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threadedComments/threadedComment6.xml" ContentType="application/vnd.ms-excel.threadedcomments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https://tcg22-my.sharepoint.com/personal/leonel_molina_grupoorion_com_gt/Documents/Documentos/Puerta Abierta/"/>
    </mc:Choice>
  </mc:AlternateContent>
  <xr:revisionPtr revIDLastSave="0" documentId="8_{5C0ACC3F-28A5-4D45-AA02-7BF7E0C60873}" xr6:coauthVersionLast="47" xr6:coauthVersionMax="47" xr10:uidLastSave="{00000000-0000-0000-0000-000000000000}"/>
  <bookViews>
    <workbookView xWindow="-108" yWindow="-108" windowWidth="23256" windowHeight="12456" tabRatio="881" firstSheet="13" activeTab="13" xr2:uid="{B85B4B6A-A5C7-409A-A21A-569A082B59BE}"/>
  </bookViews>
  <sheets>
    <sheet name="A" sheetId="6" state="hidden" r:id="rId1"/>
    <sheet name="B" sheetId="12" state="hidden" r:id="rId2"/>
    <sheet name="C" sheetId="14" state="hidden" r:id="rId3"/>
    <sheet name="RESUMEN" sheetId="1" r:id="rId4"/>
    <sheet name="Detalle2" sheetId="26" r:id="rId5"/>
    <sheet name="Detalle3" sheetId="27" r:id="rId6"/>
    <sheet name="ALERTA (B5)" sheetId="7" r:id="rId7"/>
    <sheet name="Detalle1" sheetId="24" r:id="rId8"/>
    <sheet name="ALERTA BEN" sheetId="18" r:id="rId9"/>
    <sheet name="ALERTA BLT" sheetId="23" r:id="rId10"/>
    <sheet name="SANTA ELISA" sheetId="4" r:id="rId11"/>
    <sheet name="SANTA ELISA PPTO" sheetId="3" r:id="rId12"/>
    <sheet name="ANÁLISIS" sheetId="29" r:id="rId13"/>
    <sheet name="BOULEVARD 5" sheetId="15" r:id="rId14"/>
    <sheet name="Dep. por confirmar" sheetId="30" r:id="rId15"/>
    <sheet name="B5-Status cobranza" sheetId="31" state="hidden" r:id="rId16"/>
    <sheet name="B5-2" sheetId="37" state="hidden" r:id="rId17"/>
    <sheet name="B5" sheetId="36" state="hidden" r:id="rId18"/>
    <sheet name="BOULEVARD PPTO" sheetId="11" r:id="rId19"/>
    <sheet name="status1B5" sheetId="34" state="hidden" r:id="rId20"/>
    <sheet name="status2B5" sheetId="35" state="hidden" r:id="rId21"/>
    <sheet name="BENES" sheetId="8" state="hidden" r:id="rId22"/>
    <sheet name="BOULEVARD 5 orig." sheetId="10" state="hidden" r:id="rId23"/>
    <sheet name="BENESTARE " sheetId="20" r:id="rId24"/>
    <sheet name="BENESTARE PPTO" sheetId="9" r:id="rId25"/>
    <sheet name="BL-TAPIAS" sheetId="16" r:id="rId26"/>
    <sheet name="BL PPTO" sheetId="17" r:id="rId27"/>
    <sheet name="Info" sheetId="28" r:id="rId28"/>
    <sheet name="PEND. BTARE" sheetId="21" state="hidden" r:id="rId29"/>
  </sheets>
  <definedNames>
    <definedName name="_xlnm._FilterDatabase" localSheetId="17" hidden="1">'B5'!$A$1:$V$299</definedName>
    <definedName name="_xlnm._FilterDatabase" localSheetId="15" hidden="1">'B5-Status cobranza'!$A$8:$AW$306</definedName>
    <definedName name="_xlnm._FilterDatabase" localSheetId="21" hidden="1">BENES!$B$6:$BL$91</definedName>
    <definedName name="_xlnm._FilterDatabase" localSheetId="23" hidden="1">'BENESTARE '!$A$7:$CG$145</definedName>
    <definedName name="_xlnm._FilterDatabase" localSheetId="24" hidden="1">'BENESTARE PPTO'!$A$1:$BJ$116</definedName>
    <definedName name="_xlnm._FilterDatabase" localSheetId="26" hidden="1">'BL PPTO'!$A$1:$CM$118</definedName>
    <definedName name="_xlnm._FilterDatabase" localSheetId="25" hidden="1">'BL-TAPIAS'!$A$6:$AT$128</definedName>
    <definedName name="_xlnm._FilterDatabase" localSheetId="13" hidden="1">'BOULEVARD 5'!$A$6:$CF$315</definedName>
    <definedName name="_xlnm._FilterDatabase" localSheetId="22" hidden="1">'BOULEVARD 5 orig.'!$B$6:$AZ$308</definedName>
    <definedName name="_xlnm._FilterDatabase" localSheetId="18" hidden="1">'BOULEVARD PPTO'!$A$1:$BH$299</definedName>
    <definedName name="_xlnm._FilterDatabase" localSheetId="27" hidden="1">Info!$A$1:$A$5</definedName>
    <definedName name="_xlnm._FilterDatabase" localSheetId="10" hidden="1">'SANTA ELISA'!$A$4:$BG$82</definedName>
    <definedName name="_xlnm._FilterDatabase" localSheetId="11" hidden="1">'SANTA ELISA PPTO'!$A$4:$AP$81</definedName>
    <definedName name="_xlnm._FilterDatabase" localSheetId="19" hidden="1">status1B5!$A$8:$AR$8</definedName>
    <definedName name="_xlnm._FilterDatabase" localSheetId="20" hidden="1">status2B5!$A$7:$AP$306</definedName>
  </definedNames>
  <calcPr calcId="191028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  <pivotCache cacheId="8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AT304" i="15"/>
  <c r="AT303" i="15"/>
  <c r="AT302" i="15"/>
  <c r="AT301" i="15"/>
  <c r="AT300" i="15"/>
  <c r="AT299" i="15"/>
  <c r="AT298" i="15"/>
  <c r="AT296" i="15"/>
  <c r="AT295" i="15"/>
  <c r="AT293" i="15"/>
  <c r="AT292" i="15"/>
  <c r="AT291" i="15"/>
  <c r="AT289" i="15"/>
  <c r="AT287" i="15"/>
  <c r="AT284" i="15"/>
  <c r="AT283" i="15"/>
  <c r="AT282" i="15"/>
  <c r="AT279" i="15"/>
  <c r="AT278" i="15"/>
  <c r="AT277" i="15"/>
  <c r="AT274" i="15"/>
  <c r="AT273" i="15"/>
  <c r="AT271" i="15"/>
  <c r="AT269" i="15"/>
  <c r="AT268" i="15"/>
  <c r="AT267" i="15"/>
  <c r="AT266" i="15"/>
  <c r="AT265" i="15"/>
  <c r="AT264" i="15"/>
  <c r="AT263" i="15"/>
  <c r="AT262" i="15"/>
  <c r="AT261" i="15"/>
  <c r="AT260" i="15"/>
  <c r="AT259" i="15"/>
  <c r="AT257" i="15"/>
  <c r="AT256" i="15"/>
  <c r="AT255" i="15"/>
  <c r="AT253" i="15"/>
  <c r="AT252" i="15"/>
  <c r="AT250" i="15"/>
  <c r="AT249" i="15"/>
  <c r="AT246" i="15"/>
  <c r="AT244" i="15"/>
  <c r="AT243" i="15"/>
  <c r="AT238" i="15"/>
  <c r="AT236" i="15"/>
  <c r="AT234" i="15"/>
  <c r="AT230" i="15"/>
  <c r="AT229" i="15"/>
  <c r="AT228" i="15"/>
  <c r="AT227" i="15"/>
  <c r="AT226" i="15"/>
  <c r="AT225" i="15"/>
  <c r="AT221" i="15"/>
  <c r="AT220" i="15"/>
  <c r="AT219" i="15"/>
  <c r="AT218" i="15"/>
  <c r="AT217" i="15"/>
  <c r="AT215" i="15"/>
  <c r="AT213" i="15"/>
  <c r="AT211" i="15"/>
  <c r="AT209" i="15"/>
  <c r="AT208" i="15"/>
  <c r="AT207" i="15"/>
  <c r="AT204" i="15"/>
  <c r="AT202" i="15"/>
  <c r="AT201" i="15"/>
  <c r="AT200" i="15"/>
  <c r="AT197" i="15"/>
  <c r="AT196" i="15"/>
  <c r="AT195" i="15"/>
  <c r="AT194" i="15"/>
  <c r="AT192" i="15"/>
  <c r="AT191" i="15"/>
  <c r="AT190" i="15"/>
  <c r="AT188" i="15"/>
  <c r="AT185" i="15"/>
  <c r="AT184" i="15"/>
  <c r="AT183" i="15"/>
  <c r="AT182" i="15"/>
  <c r="AT181" i="15"/>
  <c r="AT179" i="15"/>
  <c r="AT178" i="15"/>
  <c r="AT177" i="15"/>
  <c r="AT174" i="15"/>
  <c r="AT173" i="15"/>
  <c r="AT170" i="15"/>
  <c r="AT167" i="15"/>
  <c r="AT165" i="15"/>
  <c r="AT164" i="15"/>
  <c r="AT163" i="15"/>
  <c r="AT161" i="15"/>
  <c r="AT160" i="15"/>
  <c r="AT159" i="15"/>
  <c r="AT157" i="15"/>
  <c r="AT155" i="15"/>
  <c r="AT153" i="15"/>
  <c r="AT152" i="15"/>
  <c r="AT151" i="15"/>
  <c r="AT148" i="15"/>
  <c r="AT146" i="15"/>
  <c r="AT145" i="15"/>
  <c r="AT144" i="15"/>
  <c r="AT141" i="15"/>
  <c r="AT139" i="15"/>
  <c r="AT138" i="15"/>
  <c r="AT135" i="15"/>
  <c r="AT133" i="15"/>
  <c r="AT132" i="15"/>
  <c r="AT129" i="15"/>
  <c r="AT127" i="15"/>
  <c r="AT126" i="15"/>
  <c r="AT125" i="15"/>
  <c r="AT120" i="15"/>
  <c r="AT115" i="15"/>
  <c r="AT113" i="15"/>
  <c r="AT110" i="15"/>
  <c r="AT109" i="15"/>
  <c r="AT108" i="15"/>
  <c r="AT107" i="15"/>
  <c r="AT106" i="15"/>
  <c r="AT105" i="15"/>
  <c r="AT101" i="15"/>
  <c r="AT100" i="15"/>
  <c r="AT97" i="15"/>
  <c r="AT96" i="15"/>
  <c r="AT95" i="15"/>
  <c r="AT91" i="15"/>
  <c r="AT90" i="15"/>
  <c r="AT86" i="15"/>
  <c r="AT83" i="15"/>
  <c r="AT81" i="15"/>
  <c r="AT80" i="15"/>
  <c r="AT79" i="15"/>
  <c r="AT78" i="15"/>
  <c r="AT77" i="15"/>
  <c r="AT75" i="15"/>
  <c r="AT74" i="15"/>
  <c r="AT73" i="15"/>
  <c r="AT71" i="15"/>
  <c r="AT69" i="15"/>
  <c r="AT68" i="15"/>
  <c r="AT67" i="15"/>
  <c r="AT66" i="15"/>
  <c r="AT64" i="15"/>
  <c r="AT63" i="15"/>
  <c r="AT62" i="15"/>
  <c r="AT61" i="15"/>
  <c r="AT59" i="15"/>
  <c r="AT58" i="15"/>
  <c r="AT57" i="15"/>
  <c r="AT56" i="15"/>
  <c r="AT54" i="15"/>
  <c r="AT53" i="15"/>
  <c r="AT52" i="15"/>
  <c r="AT51" i="15"/>
  <c r="AT50" i="15"/>
  <c r="AT48" i="15"/>
  <c r="AT47" i="15"/>
  <c r="AT46" i="15"/>
  <c r="AT44" i="15"/>
  <c r="AT42" i="15"/>
  <c r="AT40" i="15"/>
  <c r="AT39" i="15"/>
  <c r="AT38" i="15"/>
  <c r="AT37" i="15"/>
  <c r="AT36" i="15"/>
  <c r="AT32" i="15"/>
  <c r="AT31" i="15"/>
  <c r="AT30" i="15"/>
  <c r="AT29" i="15"/>
  <c r="AT28" i="15"/>
  <c r="AT27" i="15"/>
  <c r="AT26" i="15"/>
  <c r="AT25" i="15"/>
  <c r="AT23" i="15"/>
  <c r="AT22" i="15"/>
  <c r="AT21" i="15"/>
  <c r="AT20" i="15"/>
  <c r="AT17" i="15"/>
  <c r="AT16" i="15"/>
  <c r="AT14" i="15"/>
  <c r="AT13" i="15"/>
  <c r="AT12" i="15"/>
  <c r="AT11" i="15"/>
  <c r="AT10" i="15"/>
  <c r="AT9" i="15"/>
  <c r="AT8" i="15"/>
  <c r="AT7" i="15"/>
  <c r="AT4" i="15" l="1"/>
  <c r="AW93" i="20"/>
  <c r="BP165" i="20"/>
  <c r="BO165" i="20"/>
  <c r="BM165" i="20"/>
  <c r="BN165" i="20" s="1"/>
  <c r="BL165" i="20"/>
  <c r="BH165" i="20"/>
  <c r="BI165" i="20" s="1"/>
  <c r="BE165" i="20"/>
  <c r="BD165" i="20" s="1"/>
  <c r="AX165" i="20"/>
  <c r="BP164" i="20"/>
  <c r="BO164" i="20"/>
  <c r="BM164" i="20"/>
  <c r="BN164" i="20" s="1"/>
  <c r="BL164" i="20"/>
  <c r="BH164" i="20"/>
  <c r="BI164" i="20" s="1"/>
  <c r="BE164" i="20"/>
  <c r="BD164" i="20" s="1"/>
  <c r="AX164" i="20"/>
  <c r="AY164" i="20" s="1"/>
  <c r="BP166" i="20"/>
  <c r="BO166" i="20"/>
  <c r="BM166" i="20"/>
  <c r="BN166" i="20" s="1"/>
  <c r="BL166" i="20"/>
  <c r="BH166" i="20"/>
  <c r="BI166" i="20" s="1"/>
  <c r="BE166" i="20"/>
  <c r="BD166" i="20" s="1"/>
  <c r="AX166" i="20"/>
  <c r="BP169" i="20"/>
  <c r="BO169" i="20"/>
  <c r="BM169" i="20"/>
  <c r="BN169" i="20" s="1"/>
  <c r="BL169" i="20"/>
  <c r="BH169" i="20"/>
  <c r="BI169" i="20" s="1"/>
  <c r="BE169" i="20"/>
  <c r="BD169" i="20" s="1"/>
  <c r="AX169" i="20"/>
  <c r="BB169" i="20" s="1"/>
  <c r="BC169" i="20" s="1"/>
  <c r="BP167" i="20"/>
  <c r="BO167" i="20"/>
  <c r="BM167" i="20"/>
  <c r="BN167" i="20" s="1"/>
  <c r="BL167" i="20"/>
  <c r="BH167" i="20"/>
  <c r="BI167" i="20" s="1"/>
  <c r="BE167" i="20"/>
  <c r="BD167" i="20" s="1"/>
  <c r="AX167" i="20"/>
  <c r="BE148" i="20"/>
  <c r="BE147" i="20"/>
  <c r="BD147" i="20" s="1"/>
  <c r="BE146" i="20"/>
  <c r="BD146" i="20" s="1"/>
  <c r="BE144" i="20"/>
  <c r="AR215" i="20"/>
  <c r="AX211" i="20"/>
  <c r="AX212" i="20"/>
  <c r="AX213" i="20"/>
  <c r="BP168" i="20"/>
  <c r="BO168" i="20"/>
  <c r="BM168" i="20"/>
  <c r="BN168" i="20" s="1"/>
  <c r="BL168" i="20"/>
  <c r="BH168" i="20"/>
  <c r="BI168" i="20" s="1"/>
  <c r="BE168" i="20"/>
  <c r="BD168" i="20" s="1"/>
  <c r="AX168" i="20"/>
  <c r="AS158" i="15"/>
  <c r="AT158" i="15" s="1"/>
  <c r="AS247" i="15"/>
  <c r="X131" i="16"/>
  <c r="X130" i="16"/>
  <c r="BL161" i="20"/>
  <c r="BM161" i="20"/>
  <c r="BN161" i="20" s="1"/>
  <c r="BO161" i="20"/>
  <c r="BP161" i="20"/>
  <c r="AX161" i="20"/>
  <c r="AY161" i="20" s="1"/>
  <c r="BE161" i="20"/>
  <c r="BD161" i="20" s="1"/>
  <c r="BH161" i="20"/>
  <c r="BI161" i="20" s="1"/>
  <c r="BP159" i="20"/>
  <c r="BO159" i="20"/>
  <c r="BM159" i="20"/>
  <c r="BN159" i="20" s="1"/>
  <c r="BL159" i="20"/>
  <c r="BH159" i="20"/>
  <c r="BI159" i="20" s="1"/>
  <c r="BE159" i="20"/>
  <c r="BD159" i="20" s="1"/>
  <c r="AX159" i="20"/>
  <c r="AW42" i="20"/>
  <c r="AX207" i="20"/>
  <c r="AX208" i="20"/>
  <c r="AX209" i="20"/>
  <c r="AX210" i="20"/>
  <c r="AS123" i="15"/>
  <c r="AT123" i="15" s="1"/>
  <c r="AS70" i="15"/>
  <c r="AS294" i="15"/>
  <c r="AT294" i="15" s="1"/>
  <c r="Q10" i="16"/>
  <c r="V137" i="16"/>
  <c r="V138" i="16"/>
  <c r="V139" i="16"/>
  <c r="T141" i="16"/>
  <c r="T125" i="16" s="1"/>
  <c r="T74" i="16"/>
  <c r="T59" i="16"/>
  <c r="T55" i="16"/>
  <c r="AX214" i="20"/>
  <c r="AT215" i="20"/>
  <c r="AU215" i="20"/>
  <c r="AU175" i="20" s="1"/>
  <c r="AV215" i="20"/>
  <c r="AV175" i="20" s="1"/>
  <c r="AW215" i="20"/>
  <c r="AW175" i="20" s="1"/>
  <c r="BP160" i="20"/>
  <c r="BO160" i="20"/>
  <c r="BM160" i="20"/>
  <c r="BN160" i="20" s="1"/>
  <c r="BL160" i="20"/>
  <c r="BH160" i="20"/>
  <c r="BI160" i="20" s="1"/>
  <c r="BE160" i="20"/>
  <c r="BD160" i="20" s="1"/>
  <c r="AX160" i="20"/>
  <c r="BP162" i="20"/>
  <c r="BO162" i="20"/>
  <c r="BM162" i="20"/>
  <c r="BN162" i="20" s="1"/>
  <c r="BL162" i="20"/>
  <c r="BH162" i="20"/>
  <c r="BI162" i="20" s="1"/>
  <c r="BE162" i="20"/>
  <c r="BD162" i="20" s="1"/>
  <c r="AX162" i="20"/>
  <c r="BP157" i="20"/>
  <c r="BO157" i="20"/>
  <c r="BM157" i="20"/>
  <c r="BN157" i="20" s="1"/>
  <c r="BL157" i="20"/>
  <c r="BH157" i="20"/>
  <c r="BI157" i="20" s="1"/>
  <c r="BE157" i="20"/>
  <c r="BD157" i="20" s="1"/>
  <c r="AX157" i="20"/>
  <c r="AW163" i="20"/>
  <c r="AX163" i="20" s="1"/>
  <c r="BP163" i="20"/>
  <c r="BO163" i="20"/>
  <c r="BM163" i="20"/>
  <c r="BN163" i="20" s="1"/>
  <c r="BL163" i="20"/>
  <c r="BH163" i="20"/>
  <c r="BI163" i="20" s="1"/>
  <c r="BE163" i="20"/>
  <c r="BD163" i="20" s="1"/>
  <c r="BP156" i="20"/>
  <c r="BO156" i="20"/>
  <c r="BM156" i="20"/>
  <c r="BN156" i="20" s="1"/>
  <c r="BL156" i="20"/>
  <c r="BH156" i="20"/>
  <c r="BI156" i="20" s="1"/>
  <c r="BE156" i="20"/>
  <c r="BD156" i="20" s="1"/>
  <c r="AX156" i="20"/>
  <c r="BP170" i="20"/>
  <c r="BO170" i="20"/>
  <c r="BM170" i="20"/>
  <c r="BN170" i="20" s="1"/>
  <c r="BL170" i="20"/>
  <c r="BH170" i="20"/>
  <c r="BI170" i="20" s="1"/>
  <c r="BE170" i="20"/>
  <c r="BD170" i="20" s="1"/>
  <c r="AX170" i="20"/>
  <c r="BB170" i="20" s="1"/>
  <c r="BC170" i="20" s="1"/>
  <c r="BP158" i="20"/>
  <c r="BO158" i="20"/>
  <c r="BM158" i="20"/>
  <c r="BN158" i="20" s="1"/>
  <c r="BL158" i="20"/>
  <c r="BH158" i="20"/>
  <c r="BI158" i="20" s="1"/>
  <c r="BE158" i="20"/>
  <c r="BD158" i="20" s="1"/>
  <c r="AX158" i="20"/>
  <c r="BP155" i="20"/>
  <c r="BO155" i="20"/>
  <c r="BM155" i="20"/>
  <c r="BN155" i="20" s="1"/>
  <c r="BL155" i="20"/>
  <c r="BH155" i="20"/>
  <c r="BI155" i="20" s="1"/>
  <c r="BE155" i="20"/>
  <c r="BD155" i="20" s="1"/>
  <c r="AX155" i="20"/>
  <c r="AV146" i="20"/>
  <c r="AV129" i="20"/>
  <c r="AV121" i="20"/>
  <c r="AV101" i="20"/>
  <c r="AV83" i="20"/>
  <c r="AV69" i="20"/>
  <c r="AV38" i="20"/>
  <c r="AV36" i="20"/>
  <c r="AV35" i="20"/>
  <c r="AV17" i="20"/>
  <c r="AS240" i="15"/>
  <c r="AS286" i="15"/>
  <c r="AS98" i="15"/>
  <c r="AR353" i="15"/>
  <c r="AR306" i="15" s="1"/>
  <c r="AR310" i="15"/>
  <c r="AR247" i="15"/>
  <c r="AR241" i="15"/>
  <c r="AR235" i="15"/>
  <c r="AR193" i="15"/>
  <c r="AT193" i="15" s="1"/>
  <c r="AR189" i="15"/>
  <c r="AR176" i="15"/>
  <c r="AT176" i="15" s="1"/>
  <c r="AR131" i="15"/>
  <c r="AT131" i="15" s="1"/>
  <c r="AR117" i="15"/>
  <c r="AR99" i="15"/>
  <c r="AT99" i="15" s="1"/>
  <c r="AR94" i="15"/>
  <c r="AT94" i="15" s="1"/>
  <c r="AR93" i="15"/>
  <c r="AR76" i="15"/>
  <c r="AT76" i="15" s="1"/>
  <c r="AR70" i="15"/>
  <c r="AR55" i="15"/>
  <c r="AR43" i="15"/>
  <c r="AT43" i="15" s="1"/>
  <c r="AR15" i="15"/>
  <c r="AT15" i="15" s="1"/>
  <c r="U124" i="16"/>
  <c r="V135" i="16"/>
  <c r="V136" i="16"/>
  <c r="T124" i="16" l="1"/>
  <c r="T128" i="16" s="1"/>
  <c r="V141" i="16"/>
  <c r="AR305" i="15"/>
  <c r="AR307" i="15" s="1"/>
  <c r="AT70" i="15"/>
  <c r="AT247" i="15"/>
  <c r="BR165" i="20"/>
  <c r="BF165" i="20"/>
  <c r="AY165" i="20"/>
  <c r="AZ165" i="20"/>
  <c r="BA165" i="20" s="1"/>
  <c r="BB165" i="20"/>
  <c r="BC165" i="20" s="1"/>
  <c r="BS165" i="20"/>
  <c r="BT165" i="20" s="1"/>
  <c r="BQ165" i="20"/>
  <c r="BF164" i="20"/>
  <c r="BQ164" i="20"/>
  <c r="BR164" i="20"/>
  <c r="AZ164" i="20"/>
  <c r="BA164" i="20" s="1"/>
  <c r="BB164" i="20"/>
  <c r="BC164" i="20" s="1"/>
  <c r="BS164" i="20"/>
  <c r="BT164" i="20" s="1"/>
  <c r="BS166" i="20"/>
  <c r="BT166" i="20" s="1"/>
  <c r="BF166" i="20"/>
  <c r="AY166" i="20"/>
  <c r="AZ166" i="20"/>
  <c r="BA166" i="20" s="1"/>
  <c r="BQ166" i="20"/>
  <c r="BR166" i="20"/>
  <c r="BB166" i="20"/>
  <c r="BC166" i="20" s="1"/>
  <c r="AZ161" i="20"/>
  <c r="BA161" i="20" s="1"/>
  <c r="BF169" i="20"/>
  <c r="AZ169" i="20"/>
  <c r="BA169" i="20" s="1"/>
  <c r="BQ169" i="20"/>
  <c r="BR169" i="20"/>
  <c r="BS169" i="20"/>
  <c r="BT169" i="20" s="1"/>
  <c r="AY169" i="20"/>
  <c r="BS167" i="20"/>
  <c r="BT167" i="20" s="1"/>
  <c r="BF167" i="20"/>
  <c r="BB167" i="20"/>
  <c r="BC167" i="20" s="1"/>
  <c r="BQ167" i="20"/>
  <c r="BR167" i="20"/>
  <c r="AY167" i="20"/>
  <c r="AZ167" i="20"/>
  <c r="BA167" i="20" s="1"/>
  <c r="BF161" i="20"/>
  <c r="BD144" i="20"/>
  <c r="BB161" i="20"/>
  <c r="BC161" i="20" s="1"/>
  <c r="BS168" i="20"/>
  <c r="BT168" i="20" s="1"/>
  <c r="BF168" i="20"/>
  <c r="BB168" i="20"/>
  <c r="BC168" i="20" s="1"/>
  <c r="BQ168" i="20"/>
  <c r="BR168" i="20"/>
  <c r="AY168" i="20"/>
  <c r="AZ168" i="20"/>
  <c r="BA168" i="20" s="1"/>
  <c r="X132" i="16"/>
  <c r="BQ161" i="20"/>
  <c r="BR161" i="20"/>
  <c r="BS161" i="20"/>
  <c r="BT161" i="20" s="1"/>
  <c r="AZ159" i="20"/>
  <c r="BA159" i="20" s="1"/>
  <c r="BB159" i="20"/>
  <c r="BC159" i="20" s="1"/>
  <c r="BQ159" i="20"/>
  <c r="BR159" i="20"/>
  <c r="BS159" i="20"/>
  <c r="BT159" i="20" s="1"/>
  <c r="AY159" i="20"/>
  <c r="AW174" i="20"/>
  <c r="BR160" i="20"/>
  <c r="BS157" i="20"/>
  <c r="BT157" i="20" s="1"/>
  <c r="BF160" i="20"/>
  <c r="AY160" i="20"/>
  <c r="BQ160" i="20"/>
  <c r="BS160" i="20"/>
  <c r="BT160" i="20" s="1"/>
  <c r="AZ160" i="20"/>
  <c r="BA160" i="20" s="1"/>
  <c r="BB160" i="20"/>
  <c r="BC160" i="20" s="1"/>
  <c r="BS162" i="20"/>
  <c r="BT162" i="20" s="1"/>
  <c r="BR162" i="20"/>
  <c r="BQ162" i="20"/>
  <c r="BB162" i="20"/>
  <c r="BC162" i="20" s="1"/>
  <c r="AZ162" i="20"/>
  <c r="BA162" i="20" s="1"/>
  <c r="AY162" i="20"/>
  <c r="BF162" i="20"/>
  <c r="BF157" i="20"/>
  <c r="AY157" i="20"/>
  <c r="AZ157" i="20"/>
  <c r="BA157" i="20" s="1"/>
  <c r="BB157" i="20"/>
  <c r="BC157" i="20" s="1"/>
  <c r="BQ157" i="20"/>
  <c r="BR157" i="20"/>
  <c r="AZ163" i="20"/>
  <c r="BA163" i="20" s="1"/>
  <c r="BF163" i="20"/>
  <c r="BB163" i="20"/>
  <c r="BC163" i="20" s="1"/>
  <c r="BR163" i="20"/>
  <c r="BQ163" i="20"/>
  <c r="BS163" i="20"/>
  <c r="BT163" i="20" s="1"/>
  <c r="AY163" i="20"/>
  <c r="AZ156" i="20"/>
  <c r="BA156" i="20" s="1"/>
  <c r="BF156" i="20"/>
  <c r="AY156" i="20"/>
  <c r="BB156" i="20"/>
  <c r="BC156" i="20" s="1"/>
  <c r="BQ156" i="20"/>
  <c r="BR156" i="20"/>
  <c r="BS156" i="20"/>
  <c r="BT156" i="20" s="1"/>
  <c r="BF170" i="20"/>
  <c r="BQ170" i="20"/>
  <c r="BR170" i="20"/>
  <c r="BS170" i="20"/>
  <c r="BT170" i="20" s="1"/>
  <c r="AY170" i="20"/>
  <c r="AZ170" i="20"/>
  <c r="BA170" i="20" s="1"/>
  <c r="BS158" i="20"/>
  <c r="BT158" i="20" s="1"/>
  <c r="BF158" i="20"/>
  <c r="BB158" i="20"/>
  <c r="BC158" i="20" s="1"/>
  <c r="BQ158" i="20"/>
  <c r="BR158" i="20"/>
  <c r="AY158" i="20"/>
  <c r="AZ158" i="20"/>
  <c r="BA158" i="20" s="1"/>
  <c r="BS155" i="20"/>
  <c r="BT155" i="20" s="1"/>
  <c r="BF155" i="20"/>
  <c r="BB155" i="20"/>
  <c r="BC155" i="20" s="1"/>
  <c r="BQ155" i="20"/>
  <c r="BR155" i="20"/>
  <c r="AY155" i="20"/>
  <c r="AZ155" i="20"/>
  <c r="BA155" i="20" s="1"/>
  <c r="AV174" i="20"/>
  <c r="AV176" i="20" s="1"/>
  <c r="BL154" i="20"/>
  <c r="BM154" i="20"/>
  <c r="BN154" i="20" s="1"/>
  <c r="BO154" i="20"/>
  <c r="BP154" i="20"/>
  <c r="AX154" i="20"/>
  <c r="BB154" i="20" s="1"/>
  <c r="BC154" i="20" s="1"/>
  <c r="BE154" i="20"/>
  <c r="BD154" i="20" s="1"/>
  <c r="BH154" i="20"/>
  <c r="BI154" i="20" s="1"/>
  <c r="AX146" i="20"/>
  <c r="BF146" i="20" s="1"/>
  <c r="BL151" i="20"/>
  <c r="BM151" i="20"/>
  <c r="BN151" i="20" s="1"/>
  <c r="BO151" i="20"/>
  <c r="BP151" i="20"/>
  <c r="AX151" i="20"/>
  <c r="BE151" i="20"/>
  <c r="BD151" i="20" s="1"/>
  <c r="BH151" i="20"/>
  <c r="BI151" i="20" s="1"/>
  <c r="BL152" i="20"/>
  <c r="BM152" i="20"/>
  <c r="BN152" i="20" s="1"/>
  <c r="BO152" i="20"/>
  <c r="BP152" i="20"/>
  <c r="AX152" i="20"/>
  <c r="BB152" i="20" s="1"/>
  <c r="BC152" i="20" s="1"/>
  <c r="BE152" i="20"/>
  <c r="BD152" i="20" s="1"/>
  <c r="BH152" i="20"/>
  <c r="BI152" i="20" s="1"/>
  <c r="AX132" i="20"/>
  <c r="BL148" i="20"/>
  <c r="BM148" i="20"/>
  <c r="BN148" i="20" s="1"/>
  <c r="BO148" i="20"/>
  <c r="BP148" i="20"/>
  <c r="AX148" i="20"/>
  <c r="BH148" i="20"/>
  <c r="BI148" i="20" s="1"/>
  <c r="BL150" i="20"/>
  <c r="BM150" i="20"/>
  <c r="BN150" i="20" s="1"/>
  <c r="BO150" i="20"/>
  <c r="BP150" i="20"/>
  <c r="AX150" i="20"/>
  <c r="BB150" i="20" s="1"/>
  <c r="BC150" i="20" s="1"/>
  <c r="BE150" i="20"/>
  <c r="BH150" i="20"/>
  <c r="BI150" i="20" s="1"/>
  <c r="BL153" i="20"/>
  <c r="BM153" i="20"/>
  <c r="BN153" i="20" s="1"/>
  <c r="BO153" i="20"/>
  <c r="BP153" i="20"/>
  <c r="AX153" i="20"/>
  <c r="BB153" i="20" s="1"/>
  <c r="BC153" i="20" s="1"/>
  <c r="BE153" i="20"/>
  <c r="BD153" i="20" s="1"/>
  <c r="BH153" i="20"/>
  <c r="BI153" i="20" s="1"/>
  <c r="BL147" i="20"/>
  <c r="BM147" i="20"/>
  <c r="BN147" i="20" s="1"/>
  <c r="BO147" i="20"/>
  <c r="BP147" i="20"/>
  <c r="AX147" i="20"/>
  <c r="BB147" i="20" s="1"/>
  <c r="BC147" i="20" s="1"/>
  <c r="BH147" i="20"/>
  <c r="BI147" i="20" s="1"/>
  <c r="BL171" i="20"/>
  <c r="BM171" i="20"/>
  <c r="BN171" i="20" s="1"/>
  <c r="BO171" i="20"/>
  <c r="BP171" i="20"/>
  <c r="AX171" i="20"/>
  <c r="AY171" i="20" s="1"/>
  <c r="BE171" i="20"/>
  <c r="BH171" i="20"/>
  <c r="BI171" i="20" s="1"/>
  <c r="BL149" i="20"/>
  <c r="BM149" i="20"/>
  <c r="BN149" i="20" s="1"/>
  <c r="BO149" i="20"/>
  <c r="BP149" i="20"/>
  <c r="AX149" i="20"/>
  <c r="BE149" i="20"/>
  <c r="BD149" i="20" s="1"/>
  <c r="BH149" i="20"/>
  <c r="BI149" i="20" s="1"/>
  <c r="AX124" i="20"/>
  <c r="AX125" i="20"/>
  <c r="AX126" i="20"/>
  <c r="AX127" i="20"/>
  <c r="AX128" i="20"/>
  <c r="AX129" i="20"/>
  <c r="AX130" i="20"/>
  <c r="AX131" i="20"/>
  <c r="AX133" i="20"/>
  <c r="AX134" i="20"/>
  <c r="AX135" i="20"/>
  <c r="AX136" i="20"/>
  <c r="AX137" i="20"/>
  <c r="AX138" i="20"/>
  <c r="AX139" i="20"/>
  <c r="AX140" i="20"/>
  <c r="AX141" i="20"/>
  <c r="AX142" i="20"/>
  <c r="AX143" i="20"/>
  <c r="AX144" i="20"/>
  <c r="AX145" i="20"/>
  <c r="AX172" i="20"/>
  <c r="AX173" i="20"/>
  <c r="AX121" i="20"/>
  <c r="N353" i="15"/>
  <c r="T126" i="16" l="1"/>
  <c r="BF147" i="20"/>
  <c r="BB148" i="20"/>
  <c r="BC148" i="20" s="1"/>
  <c r="AZ147" i="20"/>
  <c r="BA147" i="20" s="1"/>
  <c r="BB146" i="20"/>
  <c r="BC146" i="20" s="1"/>
  <c r="AZ146" i="20"/>
  <c r="BA146" i="20" s="1"/>
  <c r="BB144" i="20"/>
  <c r="BC144" i="20" s="1"/>
  <c r="AZ144" i="20"/>
  <c r="BA144" i="20" s="1"/>
  <c r="BF144" i="20"/>
  <c r="BF159" i="20"/>
  <c r="AZ154" i="20"/>
  <c r="BA154" i="20" s="1"/>
  <c r="AY153" i="20"/>
  <c r="BQ151" i="20"/>
  <c r="AY154" i="20"/>
  <c r="BF154" i="20"/>
  <c r="BS154" i="20"/>
  <c r="BT154" i="20" s="1"/>
  <c r="BR154" i="20"/>
  <c r="BQ154" i="20"/>
  <c r="BQ152" i="20"/>
  <c r="AZ151" i="20"/>
  <c r="BA151" i="20" s="1"/>
  <c r="AY151" i="20"/>
  <c r="BB151" i="20"/>
  <c r="BC151" i="20" s="1"/>
  <c r="BS151" i="20"/>
  <c r="BT151" i="20" s="1"/>
  <c r="BR151" i="20"/>
  <c r="BF151" i="20"/>
  <c r="AY150" i="20"/>
  <c r="AW176" i="20"/>
  <c r="AZ152" i="20"/>
  <c r="BA152" i="20" s="1"/>
  <c r="AY152" i="20"/>
  <c r="BF152" i="20"/>
  <c r="BS152" i="20"/>
  <c r="BT152" i="20" s="1"/>
  <c r="BR152" i="20"/>
  <c r="BD148" i="20"/>
  <c r="BF148" i="20" s="1"/>
  <c r="AY148" i="20"/>
  <c r="BS148" i="20"/>
  <c r="BT148" i="20" s="1"/>
  <c r="BR148" i="20"/>
  <c r="BQ148" i="20"/>
  <c r="AZ153" i="20"/>
  <c r="BA153" i="20" s="1"/>
  <c r="BD150" i="20"/>
  <c r="AZ150" i="20" s="1"/>
  <c r="BA150" i="20" s="1"/>
  <c r="BS150" i="20"/>
  <c r="BT150" i="20" s="1"/>
  <c r="BR150" i="20"/>
  <c r="BQ150" i="20"/>
  <c r="BQ153" i="20"/>
  <c r="BS153" i="20"/>
  <c r="BT153" i="20" s="1"/>
  <c r="BR153" i="20"/>
  <c r="BF153" i="20"/>
  <c r="AY147" i="20"/>
  <c r="BR147" i="20"/>
  <c r="BS147" i="20"/>
  <c r="BT147" i="20" s="1"/>
  <c r="BQ147" i="20"/>
  <c r="BB171" i="20"/>
  <c r="BC171" i="20" s="1"/>
  <c r="BQ171" i="20"/>
  <c r="BR171" i="20"/>
  <c r="BS171" i="20"/>
  <c r="BT171" i="20" s="1"/>
  <c r="BD171" i="20"/>
  <c r="AZ171" i="20" s="1"/>
  <c r="BA171" i="20" s="1"/>
  <c r="BR149" i="20"/>
  <c r="BQ149" i="20"/>
  <c r="BB149" i="20"/>
  <c r="BC149" i="20" s="1"/>
  <c r="AZ149" i="20"/>
  <c r="BA149" i="20" s="1"/>
  <c r="AY149" i="20"/>
  <c r="BS149" i="20"/>
  <c r="BT149" i="20" s="1"/>
  <c r="BF149" i="20"/>
  <c r="AZ148" i="20" l="1"/>
  <c r="BA148" i="20" s="1"/>
  <c r="BF150" i="20"/>
  <c r="BF171" i="20"/>
  <c r="S104" i="16" l="1"/>
  <c r="S94" i="16"/>
  <c r="AP39" i="20"/>
  <c r="AS305" i="15"/>
  <c r="AT351" i="15"/>
  <c r="AT350" i="15"/>
  <c r="AT349" i="15"/>
  <c r="BP132" i="20" l="1"/>
  <c r="BO132" i="20"/>
  <c r="BM132" i="20"/>
  <c r="BN132" i="20" s="1"/>
  <c r="BR132" i="20" s="1"/>
  <c r="BL132" i="20"/>
  <c r="BH132" i="20"/>
  <c r="BI132" i="20" s="1"/>
  <c r="BE132" i="20"/>
  <c r="BD132" i="20" s="1"/>
  <c r="AX206" i="20"/>
  <c r="AX205" i="20"/>
  <c r="AX204" i="20"/>
  <c r="AX203" i="20"/>
  <c r="AX202" i="20"/>
  <c r="AX201" i="20"/>
  <c r="AX200" i="20"/>
  <c r="AX199" i="20"/>
  <c r="AX198" i="20"/>
  <c r="AX197" i="20"/>
  <c r="AX196" i="20"/>
  <c r="AX195" i="20"/>
  <c r="AX194" i="20"/>
  <c r="AX193" i="20"/>
  <c r="AX192" i="20"/>
  <c r="AX191" i="20"/>
  <c r="AX190" i="20"/>
  <c r="AX189" i="20"/>
  <c r="AX188" i="20"/>
  <c r="AX187" i="20"/>
  <c r="AX186" i="20"/>
  <c r="AX215" i="20" l="1"/>
  <c r="BS132" i="20"/>
  <c r="BT132" i="20" s="1"/>
  <c r="AY132" i="20"/>
  <c r="AZ132" i="20"/>
  <c r="BA132" i="20" s="1"/>
  <c r="BQ132" i="20"/>
  <c r="BB132" i="20"/>
  <c r="BC132" i="20" s="1"/>
  <c r="AQ305" i="15"/>
  <c r="BF132" i="20" l="1"/>
  <c r="AT106" i="20" l="1"/>
  <c r="J304" i="15"/>
  <c r="J303" i="15"/>
  <c r="J302" i="15"/>
  <c r="J301" i="15"/>
  <c r="J290" i="15"/>
  <c r="J286" i="15"/>
  <c r="J276" i="15"/>
  <c r="J268" i="15"/>
  <c r="J256" i="15"/>
  <c r="J244" i="15"/>
  <c r="J240" i="15"/>
  <c r="I231" i="15"/>
  <c r="I229" i="15"/>
  <c r="J227" i="15"/>
  <c r="J188" i="15"/>
  <c r="J185" i="15"/>
  <c r="J181" i="15"/>
  <c r="J173" i="15"/>
  <c r="J145" i="15"/>
  <c r="J134" i="15"/>
  <c r="J124" i="15"/>
  <c r="J114" i="15"/>
  <c r="J95" i="15"/>
  <c r="I94" i="15"/>
  <c r="J63" i="15"/>
  <c r="J62" i="15"/>
  <c r="J50" i="15"/>
  <c r="J41" i="15"/>
  <c r="J38" i="15"/>
  <c r="J37" i="15"/>
  <c r="I24" i="15"/>
  <c r="I19" i="15"/>
  <c r="J9" i="15"/>
  <c r="AP124" i="15"/>
  <c r="AT124" i="15" s="1"/>
  <c r="AP89" i="15"/>
  <c r="AO60" i="15"/>
  <c r="AO305" i="15" l="1"/>
  <c r="AT60" i="15"/>
  <c r="AP305" i="15"/>
  <c r="J48" i="16"/>
  <c r="A3" i="20"/>
  <c r="BI304" i="15"/>
  <c r="BH304" i="15"/>
  <c r="BD304" i="15"/>
  <c r="BE304" i="15" s="1"/>
  <c r="BI303" i="15"/>
  <c r="BH303" i="15"/>
  <c r="BD303" i="15"/>
  <c r="BE303" i="15" s="1"/>
  <c r="BI302" i="15"/>
  <c r="BH302" i="15"/>
  <c r="BD302" i="15"/>
  <c r="BE302" i="15" s="1"/>
  <c r="BI301" i="15"/>
  <c r="BH301" i="15"/>
  <c r="BD301" i="15"/>
  <c r="BE301" i="15" s="1"/>
  <c r="BI300" i="15"/>
  <c r="BH300" i="15"/>
  <c r="BD300" i="15"/>
  <c r="BE300" i="15" s="1"/>
  <c r="BI299" i="15"/>
  <c r="BH299" i="15"/>
  <c r="BD299" i="15"/>
  <c r="BE299" i="15" s="1"/>
  <c r="BI298" i="15"/>
  <c r="BH298" i="15"/>
  <c r="BD298" i="15"/>
  <c r="BE298" i="15" s="1"/>
  <c r="BI297" i="15"/>
  <c r="BD297" i="15"/>
  <c r="BE297" i="15" s="1"/>
  <c r="BI296" i="15"/>
  <c r="BH296" i="15"/>
  <c r="BD296" i="15"/>
  <c r="BE296" i="15" s="1"/>
  <c r="BI295" i="15"/>
  <c r="BH295" i="15"/>
  <c r="BD295" i="15"/>
  <c r="BE295" i="15" s="1"/>
  <c r="BI294" i="15"/>
  <c r="BH294" i="15"/>
  <c r="BD294" i="15"/>
  <c r="BE294" i="15" s="1"/>
  <c r="BI293" i="15"/>
  <c r="BH293" i="15"/>
  <c r="BD293" i="15"/>
  <c r="BE293" i="15" s="1"/>
  <c r="BI292" i="15"/>
  <c r="BH292" i="15"/>
  <c r="BD292" i="15"/>
  <c r="BE292" i="15" s="1"/>
  <c r="BI291" i="15"/>
  <c r="BH291" i="15"/>
  <c r="BD291" i="15"/>
  <c r="BE291" i="15" s="1"/>
  <c r="BI290" i="15"/>
  <c r="BD290" i="15"/>
  <c r="BE290" i="15" s="1"/>
  <c r="BI289" i="15"/>
  <c r="BH289" i="15"/>
  <c r="BD289" i="15"/>
  <c r="BE289" i="15" s="1"/>
  <c r="BI288" i="15"/>
  <c r="BD288" i="15"/>
  <c r="BE288" i="15" s="1"/>
  <c r="BI287" i="15"/>
  <c r="BH287" i="15"/>
  <c r="BD287" i="15"/>
  <c r="BE287" i="15" s="1"/>
  <c r="BI286" i="15"/>
  <c r="BD286" i="15"/>
  <c r="BE286" i="15" s="1"/>
  <c r="BI285" i="15"/>
  <c r="BD285" i="15"/>
  <c r="BE285" i="15" s="1"/>
  <c r="BI284" i="15"/>
  <c r="BH284" i="15"/>
  <c r="BD284" i="15"/>
  <c r="BE284" i="15" s="1"/>
  <c r="BI283" i="15"/>
  <c r="BH283" i="15"/>
  <c r="BD283" i="15"/>
  <c r="BE283" i="15" s="1"/>
  <c r="BI282" i="15"/>
  <c r="BH282" i="15"/>
  <c r="BD282" i="15"/>
  <c r="BE282" i="15" s="1"/>
  <c r="BI281" i="15"/>
  <c r="BD281" i="15"/>
  <c r="BE281" i="15" s="1"/>
  <c r="BI280" i="15"/>
  <c r="BD280" i="15"/>
  <c r="BE280" i="15" s="1"/>
  <c r="BI279" i="15"/>
  <c r="BH279" i="15"/>
  <c r="BD279" i="15"/>
  <c r="BE279" i="15" s="1"/>
  <c r="BI278" i="15"/>
  <c r="BH278" i="15"/>
  <c r="BD278" i="15"/>
  <c r="BE278" i="15" s="1"/>
  <c r="BI277" i="15"/>
  <c r="BH277" i="15"/>
  <c r="BD277" i="15"/>
  <c r="BE277" i="15" s="1"/>
  <c r="BI276" i="15"/>
  <c r="BD276" i="15"/>
  <c r="BE276" i="15" s="1"/>
  <c r="BI275" i="15"/>
  <c r="BD275" i="15"/>
  <c r="BE275" i="15" s="1"/>
  <c r="BI274" i="15"/>
  <c r="BH274" i="15"/>
  <c r="BD274" i="15"/>
  <c r="BE274" i="15" s="1"/>
  <c r="BI273" i="15"/>
  <c r="BH273" i="15"/>
  <c r="BD273" i="15"/>
  <c r="BE273" i="15" s="1"/>
  <c r="BI272" i="15"/>
  <c r="BD272" i="15"/>
  <c r="BE272" i="15" s="1"/>
  <c r="BI271" i="15"/>
  <c r="BH271" i="15"/>
  <c r="BD271" i="15"/>
  <c r="BE271" i="15" s="1"/>
  <c r="BI270" i="15"/>
  <c r="BD270" i="15"/>
  <c r="BE270" i="15" s="1"/>
  <c r="BI269" i="15"/>
  <c r="BH269" i="15"/>
  <c r="BD269" i="15"/>
  <c r="BE269" i="15" s="1"/>
  <c r="BI268" i="15"/>
  <c r="BH268" i="15"/>
  <c r="BD268" i="15"/>
  <c r="BE268" i="15" s="1"/>
  <c r="BI267" i="15"/>
  <c r="BH267" i="15"/>
  <c r="BD267" i="15"/>
  <c r="BE267" i="15" s="1"/>
  <c r="BI266" i="15"/>
  <c r="BH266" i="15"/>
  <c r="BD266" i="15"/>
  <c r="BE266" i="15" s="1"/>
  <c r="BI265" i="15"/>
  <c r="BH265" i="15"/>
  <c r="BD265" i="15"/>
  <c r="BE265" i="15" s="1"/>
  <c r="BI264" i="15"/>
  <c r="BH264" i="15"/>
  <c r="BD264" i="15"/>
  <c r="BE264" i="15" s="1"/>
  <c r="BI263" i="15"/>
  <c r="BH263" i="15"/>
  <c r="BD263" i="15"/>
  <c r="BE263" i="15" s="1"/>
  <c r="BI262" i="15"/>
  <c r="BH262" i="15"/>
  <c r="BD262" i="15"/>
  <c r="BE262" i="15" s="1"/>
  <c r="BI261" i="15"/>
  <c r="BH261" i="15"/>
  <c r="BD261" i="15"/>
  <c r="BE261" i="15" s="1"/>
  <c r="BI260" i="15"/>
  <c r="BH260" i="15"/>
  <c r="BD260" i="15"/>
  <c r="BE260" i="15" s="1"/>
  <c r="BI259" i="15"/>
  <c r="BH259" i="15"/>
  <c r="BD259" i="15"/>
  <c r="BE259" i="15" s="1"/>
  <c r="BI258" i="15"/>
  <c r="BD258" i="15"/>
  <c r="BE258" i="15" s="1"/>
  <c r="BI257" i="15"/>
  <c r="BH257" i="15"/>
  <c r="BD257" i="15"/>
  <c r="BE257" i="15" s="1"/>
  <c r="BI256" i="15"/>
  <c r="BH256" i="15"/>
  <c r="BD256" i="15"/>
  <c r="BE256" i="15" s="1"/>
  <c r="BI255" i="15"/>
  <c r="BH255" i="15"/>
  <c r="BD255" i="15"/>
  <c r="BE255" i="15" s="1"/>
  <c r="BI254" i="15"/>
  <c r="BD254" i="15"/>
  <c r="BE254" i="15" s="1"/>
  <c r="BI253" i="15"/>
  <c r="BH253" i="15"/>
  <c r="BD253" i="15"/>
  <c r="BE253" i="15" s="1"/>
  <c r="BI252" i="15"/>
  <c r="BH252" i="15"/>
  <c r="BD252" i="15"/>
  <c r="BE252" i="15" s="1"/>
  <c r="BI251" i="15"/>
  <c r="BD251" i="15"/>
  <c r="BE251" i="15" s="1"/>
  <c r="BI250" i="15"/>
  <c r="BH250" i="15"/>
  <c r="BD250" i="15"/>
  <c r="BE250" i="15" s="1"/>
  <c r="BI249" i="15"/>
  <c r="BH249" i="15"/>
  <c r="BD249" i="15"/>
  <c r="BE249" i="15" s="1"/>
  <c r="BI248" i="15"/>
  <c r="BD248" i="15"/>
  <c r="BE248" i="15" s="1"/>
  <c r="BI247" i="15"/>
  <c r="BH247" i="15"/>
  <c r="BD247" i="15"/>
  <c r="BE247" i="15" s="1"/>
  <c r="BI246" i="15"/>
  <c r="BH246" i="15"/>
  <c r="BD246" i="15"/>
  <c r="BE246" i="15" s="1"/>
  <c r="BI245" i="15"/>
  <c r="BD245" i="15"/>
  <c r="BE245" i="15" s="1"/>
  <c r="BI244" i="15"/>
  <c r="BH244" i="15"/>
  <c r="BD244" i="15"/>
  <c r="BE244" i="15" s="1"/>
  <c r="BI243" i="15"/>
  <c r="BH243" i="15"/>
  <c r="BD243" i="15"/>
  <c r="BE243" i="15" s="1"/>
  <c r="BI242" i="15"/>
  <c r="BD242" i="15"/>
  <c r="BE242" i="15" s="1"/>
  <c r="BI241" i="15"/>
  <c r="BD241" i="15"/>
  <c r="BE241" i="15" s="1"/>
  <c r="BI240" i="15"/>
  <c r="BD240" i="15"/>
  <c r="BE240" i="15" s="1"/>
  <c r="BI239" i="15"/>
  <c r="BD239" i="15"/>
  <c r="BE239" i="15" s="1"/>
  <c r="BI238" i="15"/>
  <c r="BH238" i="15"/>
  <c r="BD238" i="15"/>
  <c r="BE238" i="15" s="1"/>
  <c r="BI237" i="15"/>
  <c r="BD237" i="15"/>
  <c r="BE237" i="15" s="1"/>
  <c r="BI236" i="15"/>
  <c r="BH236" i="15"/>
  <c r="BG236" i="15"/>
  <c r="BD236" i="15"/>
  <c r="BE236" i="15" s="1"/>
  <c r="BI235" i="15"/>
  <c r="BD235" i="15"/>
  <c r="BE235" i="15" s="1"/>
  <c r="BI234" i="15"/>
  <c r="BH234" i="15"/>
  <c r="BD234" i="15"/>
  <c r="BE234" i="15" s="1"/>
  <c r="BI233" i="15"/>
  <c r="BD233" i="15"/>
  <c r="BE233" i="15" s="1"/>
  <c r="BI232" i="15"/>
  <c r="BD232" i="15"/>
  <c r="BE232" i="15" s="1"/>
  <c r="BI231" i="15"/>
  <c r="BD231" i="15"/>
  <c r="BE231" i="15" s="1"/>
  <c r="BI230" i="15"/>
  <c r="BH230" i="15"/>
  <c r="BD230" i="15"/>
  <c r="BE230" i="15" s="1"/>
  <c r="BI229" i="15"/>
  <c r="BH229" i="15"/>
  <c r="BD229" i="15"/>
  <c r="BE229" i="15" s="1"/>
  <c r="BI228" i="15"/>
  <c r="BH228" i="15"/>
  <c r="BD228" i="15"/>
  <c r="BE228" i="15" s="1"/>
  <c r="BI227" i="15"/>
  <c r="BH227" i="15"/>
  <c r="BD227" i="15"/>
  <c r="BE227" i="15" s="1"/>
  <c r="BI226" i="15"/>
  <c r="BH226" i="15"/>
  <c r="BD226" i="15"/>
  <c r="BE226" i="15" s="1"/>
  <c r="BI225" i="15"/>
  <c r="BH225" i="15"/>
  <c r="BD225" i="15"/>
  <c r="BE225" i="15" s="1"/>
  <c r="BI224" i="15"/>
  <c r="BD224" i="15"/>
  <c r="BE224" i="15" s="1"/>
  <c r="BI223" i="15"/>
  <c r="BD223" i="15"/>
  <c r="BE223" i="15" s="1"/>
  <c r="BI222" i="15"/>
  <c r="BD222" i="15"/>
  <c r="BE222" i="15" s="1"/>
  <c r="BI221" i="15"/>
  <c r="BH221" i="15"/>
  <c r="BD221" i="15"/>
  <c r="BE221" i="15" s="1"/>
  <c r="BI220" i="15"/>
  <c r="BH220" i="15"/>
  <c r="BD220" i="15"/>
  <c r="BE220" i="15" s="1"/>
  <c r="BI219" i="15"/>
  <c r="BH219" i="15"/>
  <c r="BD219" i="15"/>
  <c r="BE219" i="15" s="1"/>
  <c r="BI218" i="15"/>
  <c r="BH218" i="15"/>
  <c r="BD218" i="15"/>
  <c r="BE218" i="15" s="1"/>
  <c r="BI217" i="15"/>
  <c r="BH217" i="15"/>
  <c r="BD217" i="15"/>
  <c r="BE217" i="15" s="1"/>
  <c r="BI216" i="15"/>
  <c r="BD216" i="15"/>
  <c r="BE216" i="15" s="1"/>
  <c r="BI215" i="15"/>
  <c r="BH215" i="15"/>
  <c r="BD215" i="15"/>
  <c r="BE215" i="15" s="1"/>
  <c r="BI214" i="15"/>
  <c r="BD214" i="15"/>
  <c r="BE214" i="15" s="1"/>
  <c r="BI213" i="15"/>
  <c r="BH213" i="15"/>
  <c r="BD213" i="15"/>
  <c r="BE213" i="15" s="1"/>
  <c r="BI212" i="15"/>
  <c r="BD212" i="15"/>
  <c r="BE212" i="15" s="1"/>
  <c r="BI211" i="15"/>
  <c r="BH211" i="15"/>
  <c r="BD211" i="15"/>
  <c r="BE211" i="15" s="1"/>
  <c r="BI210" i="15"/>
  <c r="BD210" i="15"/>
  <c r="BE210" i="15" s="1"/>
  <c r="BI209" i="15"/>
  <c r="BH209" i="15"/>
  <c r="BD209" i="15"/>
  <c r="BE209" i="15" s="1"/>
  <c r="BI208" i="15"/>
  <c r="BH208" i="15"/>
  <c r="BD208" i="15"/>
  <c r="BE208" i="15" s="1"/>
  <c r="BI207" i="15"/>
  <c r="BH207" i="15"/>
  <c r="BD207" i="15"/>
  <c r="BE207" i="15" s="1"/>
  <c r="BI206" i="15"/>
  <c r="BD206" i="15"/>
  <c r="BE206" i="15" s="1"/>
  <c r="BI205" i="15"/>
  <c r="BD205" i="15"/>
  <c r="BE205" i="15" s="1"/>
  <c r="BI204" i="15"/>
  <c r="BH204" i="15"/>
  <c r="BD204" i="15"/>
  <c r="BE204" i="15" s="1"/>
  <c r="BI203" i="15"/>
  <c r="BD203" i="15"/>
  <c r="BE203" i="15" s="1"/>
  <c r="BI202" i="15"/>
  <c r="BH202" i="15"/>
  <c r="BD202" i="15"/>
  <c r="BE202" i="15" s="1"/>
  <c r="BI201" i="15"/>
  <c r="BH201" i="15"/>
  <c r="BD201" i="15"/>
  <c r="BE201" i="15" s="1"/>
  <c r="BI200" i="15"/>
  <c r="BH200" i="15"/>
  <c r="BD200" i="15"/>
  <c r="BE200" i="15" s="1"/>
  <c r="BI199" i="15"/>
  <c r="BD199" i="15"/>
  <c r="BE199" i="15" s="1"/>
  <c r="BI198" i="15"/>
  <c r="BD198" i="15"/>
  <c r="BE198" i="15" s="1"/>
  <c r="BI197" i="15"/>
  <c r="BH197" i="15"/>
  <c r="BD197" i="15"/>
  <c r="BE197" i="15" s="1"/>
  <c r="BI196" i="15"/>
  <c r="BH196" i="15"/>
  <c r="BD196" i="15"/>
  <c r="BE196" i="15" s="1"/>
  <c r="BI195" i="15"/>
  <c r="BH195" i="15"/>
  <c r="BD195" i="15"/>
  <c r="BE195" i="15" s="1"/>
  <c r="BI194" i="15"/>
  <c r="BH194" i="15"/>
  <c r="BD194" i="15"/>
  <c r="BE194" i="15" s="1"/>
  <c r="BI193" i="15"/>
  <c r="BH193" i="15"/>
  <c r="BD193" i="15"/>
  <c r="BE193" i="15" s="1"/>
  <c r="BI192" i="15"/>
  <c r="BH192" i="15"/>
  <c r="BD192" i="15"/>
  <c r="BE192" i="15" s="1"/>
  <c r="BI191" i="15"/>
  <c r="BH191" i="15"/>
  <c r="BD191" i="15"/>
  <c r="BE191" i="15" s="1"/>
  <c r="BI190" i="15"/>
  <c r="BH190" i="15"/>
  <c r="BD190" i="15"/>
  <c r="BE190" i="15" s="1"/>
  <c r="BI189" i="15"/>
  <c r="BD189" i="15"/>
  <c r="BE189" i="15" s="1"/>
  <c r="BI188" i="15"/>
  <c r="BH188" i="15"/>
  <c r="BD188" i="15"/>
  <c r="BE188" i="15" s="1"/>
  <c r="BI187" i="15"/>
  <c r="BD187" i="15"/>
  <c r="BE187" i="15" s="1"/>
  <c r="BI186" i="15"/>
  <c r="BD186" i="15"/>
  <c r="BE186" i="15" s="1"/>
  <c r="BI185" i="15"/>
  <c r="BH185" i="15"/>
  <c r="BD185" i="15"/>
  <c r="BE185" i="15" s="1"/>
  <c r="BI184" i="15"/>
  <c r="BH184" i="15"/>
  <c r="BD184" i="15"/>
  <c r="BE184" i="15" s="1"/>
  <c r="BI183" i="15"/>
  <c r="BH183" i="15"/>
  <c r="BD183" i="15"/>
  <c r="BE183" i="15" s="1"/>
  <c r="BI182" i="15"/>
  <c r="BH182" i="15"/>
  <c r="BD182" i="15"/>
  <c r="BE182" i="15" s="1"/>
  <c r="BI181" i="15"/>
  <c r="BH181" i="15"/>
  <c r="BD181" i="15"/>
  <c r="BE181" i="15" s="1"/>
  <c r="BI180" i="15"/>
  <c r="BD180" i="15"/>
  <c r="BE180" i="15" s="1"/>
  <c r="BI179" i="15"/>
  <c r="BH179" i="15"/>
  <c r="BD179" i="15"/>
  <c r="BE179" i="15" s="1"/>
  <c r="BI178" i="15"/>
  <c r="BH178" i="15"/>
  <c r="BD178" i="15"/>
  <c r="BE178" i="15" s="1"/>
  <c r="BI177" i="15"/>
  <c r="BH177" i="15"/>
  <c r="BD177" i="15"/>
  <c r="BE177" i="15" s="1"/>
  <c r="BI176" i="15"/>
  <c r="BH176" i="15"/>
  <c r="BD176" i="15"/>
  <c r="BE176" i="15" s="1"/>
  <c r="BI175" i="15"/>
  <c r="BD175" i="15"/>
  <c r="BE175" i="15" s="1"/>
  <c r="BI174" i="15"/>
  <c r="BH174" i="15"/>
  <c r="BD174" i="15"/>
  <c r="BE174" i="15" s="1"/>
  <c r="BI173" i="15"/>
  <c r="BH173" i="15"/>
  <c r="BD173" i="15"/>
  <c r="BE173" i="15" s="1"/>
  <c r="BI172" i="15"/>
  <c r="BD172" i="15"/>
  <c r="BE172" i="15" s="1"/>
  <c r="BI171" i="15"/>
  <c r="BD171" i="15"/>
  <c r="BE171" i="15" s="1"/>
  <c r="BI170" i="15"/>
  <c r="BH170" i="15"/>
  <c r="BD170" i="15"/>
  <c r="BE170" i="15" s="1"/>
  <c r="BI169" i="15"/>
  <c r="BD169" i="15"/>
  <c r="BE169" i="15" s="1"/>
  <c r="BI168" i="15"/>
  <c r="BD168" i="15"/>
  <c r="BE168" i="15" s="1"/>
  <c r="BI167" i="15"/>
  <c r="BH167" i="15"/>
  <c r="BD167" i="15"/>
  <c r="BE167" i="15" s="1"/>
  <c r="BI166" i="15"/>
  <c r="BD166" i="15"/>
  <c r="BE166" i="15" s="1"/>
  <c r="BI165" i="15"/>
  <c r="BH165" i="15"/>
  <c r="BD165" i="15"/>
  <c r="BE165" i="15" s="1"/>
  <c r="BI164" i="15"/>
  <c r="BH164" i="15"/>
  <c r="BD164" i="15"/>
  <c r="BE164" i="15" s="1"/>
  <c r="BI163" i="15"/>
  <c r="BH163" i="15"/>
  <c r="BD163" i="15"/>
  <c r="BE163" i="15" s="1"/>
  <c r="BI162" i="15"/>
  <c r="BD162" i="15"/>
  <c r="BE162" i="15" s="1"/>
  <c r="BI161" i="15"/>
  <c r="BH161" i="15"/>
  <c r="BD161" i="15"/>
  <c r="BE161" i="15" s="1"/>
  <c r="BI160" i="15"/>
  <c r="BH160" i="15"/>
  <c r="BD160" i="15"/>
  <c r="BE160" i="15" s="1"/>
  <c r="BI159" i="15"/>
  <c r="BD159" i="15"/>
  <c r="BE159" i="15" s="1"/>
  <c r="BI158" i="15"/>
  <c r="BH158" i="15"/>
  <c r="BD158" i="15"/>
  <c r="BE158" i="15" s="1"/>
  <c r="BI157" i="15"/>
  <c r="BH157" i="15"/>
  <c r="BD157" i="15"/>
  <c r="BE157" i="15" s="1"/>
  <c r="BI156" i="15"/>
  <c r="BD156" i="15"/>
  <c r="BE156" i="15" s="1"/>
  <c r="BI155" i="15"/>
  <c r="BH155" i="15"/>
  <c r="BD155" i="15"/>
  <c r="BE155" i="15" s="1"/>
  <c r="BI154" i="15"/>
  <c r="BD154" i="15"/>
  <c r="BE154" i="15" s="1"/>
  <c r="BI153" i="15"/>
  <c r="BH153" i="15"/>
  <c r="BD153" i="15"/>
  <c r="BE153" i="15" s="1"/>
  <c r="BI152" i="15"/>
  <c r="BH152" i="15"/>
  <c r="BD152" i="15"/>
  <c r="BE152" i="15" s="1"/>
  <c r="BI151" i="15"/>
  <c r="BH151" i="15"/>
  <c r="BD151" i="15"/>
  <c r="BE151" i="15" s="1"/>
  <c r="BI150" i="15"/>
  <c r="BD150" i="15"/>
  <c r="BE150" i="15" s="1"/>
  <c r="BI149" i="15"/>
  <c r="BD149" i="15"/>
  <c r="BE149" i="15" s="1"/>
  <c r="BI148" i="15"/>
  <c r="BH148" i="15"/>
  <c r="BD148" i="15"/>
  <c r="BE148" i="15" s="1"/>
  <c r="BI147" i="15"/>
  <c r="BD147" i="15"/>
  <c r="BE147" i="15" s="1"/>
  <c r="BI146" i="15"/>
  <c r="BH146" i="15"/>
  <c r="BD146" i="15"/>
  <c r="BE146" i="15" s="1"/>
  <c r="BI145" i="15"/>
  <c r="BH145" i="15"/>
  <c r="BD145" i="15"/>
  <c r="BE145" i="15" s="1"/>
  <c r="BI144" i="15"/>
  <c r="BH144" i="15"/>
  <c r="BG144" i="15"/>
  <c r="BD144" i="15"/>
  <c r="BE144" i="15" s="1"/>
  <c r="BI143" i="15"/>
  <c r="BD143" i="15"/>
  <c r="BE143" i="15" s="1"/>
  <c r="BI142" i="15"/>
  <c r="BD142" i="15"/>
  <c r="BE142" i="15" s="1"/>
  <c r="BI141" i="15"/>
  <c r="BH141" i="15"/>
  <c r="BD141" i="15"/>
  <c r="BE141" i="15" s="1"/>
  <c r="BI140" i="15"/>
  <c r="BD140" i="15"/>
  <c r="BE140" i="15" s="1"/>
  <c r="BI139" i="15"/>
  <c r="BH139" i="15"/>
  <c r="BD139" i="15"/>
  <c r="BE139" i="15" s="1"/>
  <c r="BI138" i="15"/>
  <c r="BH138" i="15"/>
  <c r="BD138" i="15"/>
  <c r="BE138" i="15" s="1"/>
  <c r="BI137" i="15"/>
  <c r="BD137" i="15"/>
  <c r="BE137" i="15" s="1"/>
  <c r="BI136" i="15"/>
  <c r="BD136" i="15"/>
  <c r="BE136" i="15" s="1"/>
  <c r="BI135" i="15"/>
  <c r="BH135" i="15"/>
  <c r="BD135" i="15"/>
  <c r="BE135" i="15" s="1"/>
  <c r="BI134" i="15"/>
  <c r="BD134" i="15"/>
  <c r="BE134" i="15" s="1"/>
  <c r="BI133" i="15"/>
  <c r="BH133" i="15"/>
  <c r="BD133" i="15"/>
  <c r="BE133" i="15" s="1"/>
  <c r="BI132" i="15"/>
  <c r="BH132" i="15"/>
  <c r="BD132" i="15"/>
  <c r="BE132" i="15" s="1"/>
  <c r="BI131" i="15"/>
  <c r="BH131" i="15"/>
  <c r="BD131" i="15"/>
  <c r="BE131" i="15" s="1"/>
  <c r="BI130" i="15"/>
  <c r="BD130" i="15"/>
  <c r="BE130" i="15" s="1"/>
  <c r="BI129" i="15"/>
  <c r="BH129" i="15"/>
  <c r="BD129" i="15"/>
  <c r="BE129" i="15" s="1"/>
  <c r="BI128" i="15"/>
  <c r="BD128" i="15"/>
  <c r="BE128" i="15" s="1"/>
  <c r="BI127" i="15"/>
  <c r="BH127" i="15"/>
  <c r="BD127" i="15"/>
  <c r="BE127" i="15" s="1"/>
  <c r="BI126" i="15"/>
  <c r="BH126" i="15"/>
  <c r="BD126" i="15"/>
  <c r="BE126" i="15" s="1"/>
  <c r="BI125" i="15"/>
  <c r="BH125" i="15"/>
  <c r="BD125" i="15"/>
  <c r="BE125" i="15" s="1"/>
  <c r="BI124" i="15"/>
  <c r="BH124" i="15"/>
  <c r="BD124" i="15"/>
  <c r="BE124" i="15" s="1"/>
  <c r="BI123" i="15"/>
  <c r="BH123" i="15"/>
  <c r="BD123" i="15"/>
  <c r="BE123" i="15" s="1"/>
  <c r="BI122" i="15"/>
  <c r="BD122" i="15"/>
  <c r="BE122" i="15" s="1"/>
  <c r="BI121" i="15"/>
  <c r="BD121" i="15"/>
  <c r="BE121" i="15" s="1"/>
  <c r="BI120" i="15"/>
  <c r="BH120" i="15"/>
  <c r="BD120" i="15"/>
  <c r="BE120" i="15" s="1"/>
  <c r="BI119" i="15"/>
  <c r="BD119" i="15"/>
  <c r="BE119" i="15" s="1"/>
  <c r="BI118" i="15"/>
  <c r="BD118" i="15"/>
  <c r="BE118" i="15" s="1"/>
  <c r="BI117" i="15"/>
  <c r="BD117" i="15"/>
  <c r="BE117" i="15" s="1"/>
  <c r="BI116" i="15"/>
  <c r="BD116" i="15"/>
  <c r="BE116" i="15" s="1"/>
  <c r="BI115" i="15"/>
  <c r="BH115" i="15"/>
  <c r="BD115" i="15"/>
  <c r="BE115" i="15" s="1"/>
  <c r="BI114" i="15"/>
  <c r="BD114" i="15"/>
  <c r="BE114" i="15" s="1"/>
  <c r="BI113" i="15"/>
  <c r="BH113" i="15"/>
  <c r="BD113" i="15"/>
  <c r="BE113" i="15" s="1"/>
  <c r="BI112" i="15"/>
  <c r="BD112" i="15"/>
  <c r="BE112" i="15" s="1"/>
  <c r="BI111" i="15"/>
  <c r="BD111" i="15"/>
  <c r="BE111" i="15" s="1"/>
  <c r="BI110" i="15"/>
  <c r="BH110" i="15"/>
  <c r="BD110" i="15"/>
  <c r="BE110" i="15" s="1"/>
  <c r="BI109" i="15"/>
  <c r="BH109" i="15"/>
  <c r="BD109" i="15"/>
  <c r="BE109" i="15" s="1"/>
  <c r="BI108" i="15"/>
  <c r="BH108" i="15"/>
  <c r="BD108" i="15"/>
  <c r="BE108" i="15" s="1"/>
  <c r="BI107" i="15"/>
  <c r="BH107" i="15"/>
  <c r="BD107" i="15"/>
  <c r="BE107" i="15" s="1"/>
  <c r="BI106" i="15"/>
  <c r="BH106" i="15"/>
  <c r="BD106" i="15"/>
  <c r="BE106" i="15" s="1"/>
  <c r="BI105" i="15"/>
  <c r="BH105" i="15"/>
  <c r="BD105" i="15"/>
  <c r="BE105" i="15" s="1"/>
  <c r="BI104" i="15"/>
  <c r="BD104" i="15"/>
  <c r="BE104" i="15" s="1"/>
  <c r="BI103" i="15"/>
  <c r="BD103" i="15"/>
  <c r="BE103" i="15" s="1"/>
  <c r="BI102" i="15"/>
  <c r="BD102" i="15"/>
  <c r="BE102" i="15" s="1"/>
  <c r="BI101" i="15"/>
  <c r="BH101" i="15"/>
  <c r="BD101" i="15"/>
  <c r="BE101" i="15" s="1"/>
  <c r="BI100" i="15"/>
  <c r="BH100" i="15"/>
  <c r="BD100" i="15"/>
  <c r="BE100" i="15" s="1"/>
  <c r="BI99" i="15"/>
  <c r="BH99" i="15"/>
  <c r="BD99" i="15"/>
  <c r="BE99" i="15" s="1"/>
  <c r="BI98" i="15"/>
  <c r="BD98" i="15"/>
  <c r="BE98" i="15" s="1"/>
  <c r="BI97" i="15"/>
  <c r="BH97" i="15"/>
  <c r="BD97" i="15"/>
  <c r="BE97" i="15" s="1"/>
  <c r="BI96" i="15"/>
  <c r="BH96" i="15"/>
  <c r="BD96" i="15"/>
  <c r="BE96" i="15" s="1"/>
  <c r="BI95" i="15"/>
  <c r="BH95" i="15"/>
  <c r="BD95" i="15"/>
  <c r="BE95" i="15" s="1"/>
  <c r="BI94" i="15"/>
  <c r="BH94" i="15"/>
  <c r="BD94" i="15"/>
  <c r="BE94" i="15" s="1"/>
  <c r="BI93" i="15"/>
  <c r="BD93" i="15"/>
  <c r="BE93" i="15" s="1"/>
  <c r="BI92" i="15"/>
  <c r="BD92" i="15"/>
  <c r="BE92" i="15" s="1"/>
  <c r="BI91" i="15"/>
  <c r="BH91" i="15"/>
  <c r="BD91" i="15"/>
  <c r="BE91" i="15" s="1"/>
  <c r="BI90" i="15"/>
  <c r="BH90" i="15"/>
  <c r="BD90" i="15"/>
  <c r="BE90" i="15" s="1"/>
  <c r="BI89" i="15"/>
  <c r="BD89" i="15"/>
  <c r="BE89" i="15" s="1"/>
  <c r="BI88" i="15"/>
  <c r="BD88" i="15"/>
  <c r="BE88" i="15" s="1"/>
  <c r="BI87" i="15"/>
  <c r="BD87" i="15"/>
  <c r="BE87" i="15" s="1"/>
  <c r="BI86" i="15"/>
  <c r="BH86" i="15"/>
  <c r="BD86" i="15"/>
  <c r="BE86" i="15" s="1"/>
  <c r="BI85" i="15"/>
  <c r="BD85" i="15"/>
  <c r="BE85" i="15" s="1"/>
  <c r="BI84" i="15"/>
  <c r="BD84" i="15"/>
  <c r="BE84" i="15" s="1"/>
  <c r="BI83" i="15"/>
  <c r="BH83" i="15"/>
  <c r="BD83" i="15"/>
  <c r="BE83" i="15" s="1"/>
  <c r="BI82" i="15"/>
  <c r="BD82" i="15"/>
  <c r="BE82" i="15" s="1"/>
  <c r="BI81" i="15"/>
  <c r="BH81" i="15"/>
  <c r="BD81" i="15"/>
  <c r="BE81" i="15" s="1"/>
  <c r="BI80" i="15"/>
  <c r="BH80" i="15"/>
  <c r="BD80" i="15"/>
  <c r="BE80" i="15" s="1"/>
  <c r="BI79" i="15"/>
  <c r="BH79" i="15"/>
  <c r="BD79" i="15"/>
  <c r="BE79" i="15" s="1"/>
  <c r="BI78" i="15"/>
  <c r="BH78" i="15"/>
  <c r="BD78" i="15"/>
  <c r="BE78" i="15" s="1"/>
  <c r="BI77" i="15"/>
  <c r="BH77" i="15"/>
  <c r="BD77" i="15"/>
  <c r="BE77" i="15" s="1"/>
  <c r="BI76" i="15"/>
  <c r="BH76" i="15"/>
  <c r="BD76" i="15"/>
  <c r="BE76" i="15" s="1"/>
  <c r="BI75" i="15"/>
  <c r="BH75" i="15"/>
  <c r="BD75" i="15"/>
  <c r="BE75" i="15" s="1"/>
  <c r="BI74" i="15"/>
  <c r="BH74" i="15"/>
  <c r="BD74" i="15"/>
  <c r="BE74" i="15" s="1"/>
  <c r="BI73" i="15"/>
  <c r="BH73" i="15"/>
  <c r="BD73" i="15"/>
  <c r="BE73" i="15" s="1"/>
  <c r="BI72" i="15"/>
  <c r="BD72" i="15"/>
  <c r="BE72" i="15" s="1"/>
  <c r="BI71" i="15"/>
  <c r="BH71" i="15"/>
  <c r="BD71" i="15"/>
  <c r="BE71" i="15" s="1"/>
  <c r="BI70" i="15"/>
  <c r="BH70" i="15"/>
  <c r="BD70" i="15"/>
  <c r="BE70" i="15" s="1"/>
  <c r="BI69" i="15"/>
  <c r="BH69" i="15"/>
  <c r="BD69" i="15"/>
  <c r="BE69" i="15" s="1"/>
  <c r="BI68" i="15"/>
  <c r="BH68" i="15"/>
  <c r="BD68" i="15"/>
  <c r="BE68" i="15" s="1"/>
  <c r="BI67" i="15"/>
  <c r="BH67" i="15"/>
  <c r="BD67" i="15"/>
  <c r="BE67" i="15" s="1"/>
  <c r="BI66" i="15"/>
  <c r="BH66" i="15"/>
  <c r="BD66" i="15"/>
  <c r="BE66" i="15" s="1"/>
  <c r="BI65" i="15"/>
  <c r="BD65" i="15"/>
  <c r="BE65" i="15" s="1"/>
  <c r="BI64" i="15"/>
  <c r="BH64" i="15"/>
  <c r="BD64" i="15"/>
  <c r="BE64" i="15" s="1"/>
  <c r="BI63" i="15"/>
  <c r="BH63" i="15"/>
  <c r="BD63" i="15"/>
  <c r="BE63" i="15" s="1"/>
  <c r="BI62" i="15"/>
  <c r="BH62" i="15"/>
  <c r="BD62" i="15"/>
  <c r="BE62" i="15" s="1"/>
  <c r="BI61" i="15"/>
  <c r="BH61" i="15"/>
  <c r="BD61" i="15"/>
  <c r="BE61" i="15" s="1"/>
  <c r="BI60" i="15"/>
  <c r="BH60" i="15"/>
  <c r="BD60" i="15"/>
  <c r="BE60" i="15" s="1"/>
  <c r="BI59" i="15"/>
  <c r="BH59" i="15"/>
  <c r="BD59" i="15"/>
  <c r="BE59" i="15" s="1"/>
  <c r="BI58" i="15"/>
  <c r="BH58" i="15"/>
  <c r="BD58" i="15"/>
  <c r="BE58" i="15" s="1"/>
  <c r="BI57" i="15"/>
  <c r="BH57" i="15"/>
  <c r="BD57" i="15"/>
  <c r="BE57" i="15" s="1"/>
  <c r="BI56" i="15"/>
  <c r="BH56" i="15"/>
  <c r="BD56" i="15"/>
  <c r="BE56" i="15" s="1"/>
  <c r="BI55" i="15"/>
  <c r="BD55" i="15"/>
  <c r="BE55" i="15" s="1"/>
  <c r="BI54" i="15"/>
  <c r="BH54" i="15"/>
  <c r="BD54" i="15"/>
  <c r="BE54" i="15" s="1"/>
  <c r="BI53" i="15"/>
  <c r="BH53" i="15"/>
  <c r="BD53" i="15"/>
  <c r="BE53" i="15" s="1"/>
  <c r="BI52" i="15"/>
  <c r="BH52" i="15"/>
  <c r="BD52" i="15"/>
  <c r="BE52" i="15" s="1"/>
  <c r="BI51" i="15"/>
  <c r="BH51" i="15"/>
  <c r="BD51" i="15"/>
  <c r="BE51" i="15" s="1"/>
  <c r="BI50" i="15"/>
  <c r="BH50" i="15"/>
  <c r="BD50" i="15"/>
  <c r="BE50" i="15" s="1"/>
  <c r="BI49" i="15"/>
  <c r="BD49" i="15"/>
  <c r="BE49" i="15" s="1"/>
  <c r="BI48" i="15"/>
  <c r="BH48" i="15"/>
  <c r="BD48" i="15"/>
  <c r="BE48" i="15" s="1"/>
  <c r="BI47" i="15"/>
  <c r="BH47" i="15"/>
  <c r="BD47" i="15"/>
  <c r="BE47" i="15" s="1"/>
  <c r="BI46" i="15"/>
  <c r="BH46" i="15"/>
  <c r="BD46" i="15"/>
  <c r="BE46" i="15" s="1"/>
  <c r="BI45" i="15"/>
  <c r="BD45" i="15"/>
  <c r="BE45" i="15" s="1"/>
  <c r="BI44" i="15"/>
  <c r="BH44" i="15"/>
  <c r="BD44" i="15"/>
  <c r="BE44" i="15" s="1"/>
  <c r="BI43" i="15"/>
  <c r="BH43" i="15"/>
  <c r="BD43" i="15"/>
  <c r="BE43" i="15" s="1"/>
  <c r="BI42" i="15"/>
  <c r="BH42" i="15"/>
  <c r="BD42" i="15"/>
  <c r="BE42" i="15" s="1"/>
  <c r="BI41" i="15"/>
  <c r="BD41" i="15"/>
  <c r="BE41" i="15" s="1"/>
  <c r="BI40" i="15"/>
  <c r="BH40" i="15"/>
  <c r="BD40" i="15"/>
  <c r="BE40" i="15" s="1"/>
  <c r="BI39" i="15"/>
  <c r="BH39" i="15"/>
  <c r="BD39" i="15"/>
  <c r="BE39" i="15" s="1"/>
  <c r="BI38" i="15"/>
  <c r="BH38" i="15"/>
  <c r="BD38" i="15"/>
  <c r="BE38" i="15" s="1"/>
  <c r="BI37" i="15"/>
  <c r="BH37" i="15"/>
  <c r="BD37" i="15"/>
  <c r="BE37" i="15" s="1"/>
  <c r="BI36" i="15"/>
  <c r="BH36" i="15"/>
  <c r="BD36" i="15"/>
  <c r="BE36" i="15" s="1"/>
  <c r="BI35" i="15"/>
  <c r="BD35" i="15"/>
  <c r="BE35" i="15" s="1"/>
  <c r="BI34" i="15"/>
  <c r="BD34" i="15"/>
  <c r="BE34" i="15" s="1"/>
  <c r="BI33" i="15"/>
  <c r="BD33" i="15"/>
  <c r="BE33" i="15" s="1"/>
  <c r="BI32" i="15"/>
  <c r="BH32" i="15"/>
  <c r="BD32" i="15"/>
  <c r="BE32" i="15" s="1"/>
  <c r="BI31" i="15"/>
  <c r="BH31" i="15"/>
  <c r="BD31" i="15"/>
  <c r="BE31" i="15" s="1"/>
  <c r="BI30" i="15"/>
  <c r="BH30" i="15"/>
  <c r="BD30" i="15"/>
  <c r="BE30" i="15" s="1"/>
  <c r="BI29" i="15"/>
  <c r="BH29" i="15"/>
  <c r="BD29" i="15"/>
  <c r="BE29" i="15" s="1"/>
  <c r="BI28" i="15"/>
  <c r="BH28" i="15"/>
  <c r="BD28" i="15"/>
  <c r="BE28" i="15" s="1"/>
  <c r="BI27" i="15"/>
  <c r="BH27" i="15"/>
  <c r="BD27" i="15"/>
  <c r="BE27" i="15" s="1"/>
  <c r="BI26" i="15"/>
  <c r="BH26" i="15"/>
  <c r="BD26" i="15"/>
  <c r="BE26" i="15" s="1"/>
  <c r="BI25" i="15"/>
  <c r="BH25" i="15"/>
  <c r="BD25" i="15"/>
  <c r="BE25" i="15" s="1"/>
  <c r="BI24" i="15"/>
  <c r="BD24" i="15"/>
  <c r="BE24" i="15" s="1"/>
  <c r="BI23" i="15"/>
  <c r="BH23" i="15"/>
  <c r="BD23" i="15"/>
  <c r="BE23" i="15" s="1"/>
  <c r="BI22" i="15"/>
  <c r="BH22" i="15"/>
  <c r="BD22" i="15"/>
  <c r="BE22" i="15" s="1"/>
  <c r="BI21" i="15"/>
  <c r="BH21" i="15"/>
  <c r="BD21" i="15"/>
  <c r="BE21" i="15" s="1"/>
  <c r="BI20" i="15"/>
  <c r="BH20" i="15"/>
  <c r="BD20" i="15"/>
  <c r="BE20" i="15" s="1"/>
  <c r="BI19" i="15"/>
  <c r="BD19" i="15"/>
  <c r="BE19" i="15" s="1"/>
  <c r="BI18" i="15"/>
  <c r="BD18" i="15"/>
  <c r="BE18" i="15" s="1"/>
  <c r="BI17" i="15"/>
  <c r="BH17" i="15"/>
  <c r="BD17" i="15"/>
  <c r="BE17" i="15" s="1"/>
  <c r="BI16" i="15"/>
  <c r="BH16" i="15"/>
  <c r="BD16" i="15"/>
  <c r="BE16" i="15" s="1"/>
  <c r="BI15" i="15"/>
  <c r="BH15" i="15"/>
  <c r="BD15" i="15"/>
  <c r="BE15" i="15" s="1"/>
  <c r="BI14" i="15"/>
  <c r="BH14" i="15"/>
  <c r="BD14" i="15"/>
  <c r="BE14" i="15" s="1"/>
  <c r="BI13" i="15"/>
  <c r="BH13" i="15"/>
  <c r="BD13" i="15"/>
  <c r="BE13" i="15" s="1"/>
  <c r="BI12" i="15"/>
  <c r="BH12" i="15"/>
  <c r="BD12" i="15"/>
  <c r="BE12" i="15" s="1"/>
  <c r="BI11" i="15"/>
  <c r="BH11" i="15"/>
  <c r="BD11" i="15"/>
  <c r="BE11" i="15" s="1"/>
  <c r="BI10" i="15"/>
  <c r="BH10" i="15"/>
  <c r="BD10" i="15"/>
  <c r="BE10" i="15" s="1"/>
  <c r="BI9" i="15"/>
  <c r="BH9" i="15"/>
  <c r="BD9" i="15"/>
  <c r="BE9" i="15" s="1"/>
  <c r="BI8" i="15"/>
  <c r="BH8" i="15"/>
  <c r="BD8" i="15"/>
  <c r="BE8" i="15" s="1"/>
  <c r="BI7" i="15"/>
  <c r="BH7" i="15"/>
  <c r="BD7" i="15"/>
  <c r="BE7" i="15" s="1"/>
  <c r="AT174" i="20" l="1"/>
  <c r="AU174" i="20"/>
  <c r="AU176" i="20" s="1"/>
  <c r="BP172" i="20" l="1"/>
  <c r="BO172" i="20"/>
  <c r="BM172" i="20"/>
  <c r="BN172" i="20" s="1"/>
  <c r="BL172" i="20"/>
  <c r="BH172" i="20"/>
  <c r="BI172" i="20" s="1"/>
  <c r="BE172" i="20"/>
  <c r="BD172" i="20" s="1"/>
  <c r="BP131" i="20"/>
  <c r="BO131" i="20"/>
  <c r="BM131" i="20"/>
  <c r="BN131" i="20" s="1"/>
  <c r="BL131" i="20"/>
  <c r="BH131" i="20"/>
  <c r="BI131" i="20" s="1"/>
  <c r="BE131" i="20"/>
  <c r="BD131" i="20" s="1"/>
  <c r="BB131" i="20"/>
  <c r="BC131" i="20" s="1"/>
  <c r="BS172" i="20" l="1"/>
  <c r="BT172" i="20" s="1"/>
  <c r="AZ131" i="20"/>
  <c r="BA131" i="20" s="1"/>
  <c r="BQ131" i="20"/>
  <c r="BS131" i="20"/>
  <c r="BT131" i="20" s="1"/>
  <c r="BR131" i="20"/>
  <c r="BF131" i="20"/>
  <c r="AY172" i="20"/>
  <c r="AZ172" i="20"/>
  <c r="BA172" i="20" s="1"/>
  <c r="BB172" i="20"/>
  <c r="BC172" i="20" s="1"/>
  <c r="BQ172" i="20"/>
  <c r="AY131" i="20"/>
  <c r="BR172" i="20"/>
  <c r="BF172" i="20" l="1"/>
  <c r="A108" i="9" l="1"/>
  <c r="B108" i="9" s="1"/>
  <c r="BI111" i="9"/>
  <c r="A111" i="9"/>
  <c r="B111" i="9" s="1"/>
  <c r="BI110" i="9"/>
  <c r="A110" i="9"/>
  <c r="B110" i="9" s="1"/>
  <c r="BP128" i="20"/>
  <c r="BO128" i="20"/>
  <c r="BM128" i="20"/>
  <c r="BN128" i="20" s="1"/>
  <c r="BL128" i="20"/>
  <c r="BH128" i="20"/>
  <c r="BI128" i="20" s="1"/>
  <c r="BE128" i="20"/>
  <c r="BD128" i="20" s="1"/>
  <c r="BP124" i="20"/>
  <c r="BO124" i="20"/>
  <c r="BM124" i="20"/>
  <c r="BN124" i="20" s="1"/>
  <c r="BL124" i="20"/>
  <c r="BH124" i="20"/>
  <c r="BI124" i="20" s="1"/>
  <c r="BE124" i="20"/>
  <c r="BD124" i="20" s="1"/>
  <c r="AY173" i="20"/>
  <c r="BE173" i="20"/>
  <c r="BD173" i="20" s="1"/>
  <c r="BH173" i="20"/>
  <c r="BI173" i="20" s="1"/>
  <c r="BL173" i="20"/>
  <c r="BM173" i="20"/>
  <c r="BN173" i="20" s="1"/>
  <c r="BO173" i="20"/>
  <c r="BP173" i="20"/>
  <c r="A109" i="9"/>
  <c r="B109" i="9" s="1"/>
  <c r="A107" i="9"/>
  <c r="B107" i="9" s="1"/>
  <c r="A106" i="9"/>
  <c r="B106" i="9" s="1"/>
  <c r="A105" i="9"/>
  <c r="B105" i="9" s="1"/>
  <c r="A104" i="9"/>
  <c r="B104" i="9" s="1"/>
  <c r="A103" i="9"/>
  <c r="B103" i="9" s="1"/>
  <c r="A102" i="9"/>
  <c r="B102" i="9" s="1"/>
  <c r="A101" i="9"/>
  <c r="B101" i="9" s="1"/>
  <c r="A100" i="9"/>
  <c r="B100" i="9" s="1"/>
  <c r="A99" i="9"/>
  <c r="B99" i="9" s="1"/>
  <c r="A98" i="9"/>
  <c r="B98" i="9" s="1"/>
  <c r="A97" i="9"/>
  <c r="B97" i="9" s="1"/>
  <c r="A96" i="9"/>
  <c r="B96" i="9" s="1"/>
  <c r="A95" i="9"/>
  <c r="B95" i="9" s="1"/>
  <c r="A94" i="9"/>
  <c r="B94" i="9" s="1"/>
  <c r="A93" i="9"/>
  <c r="B93" i="9" s="1"/>
  <c r="A92" i="9"/>
  <c r="B92" i="9" s="1"/>
  <c r="A91" i="9"/>
  <c r="B91" i="9" s="1"/>
  <c r="A90" i="9"/>
  <c r="B90" i="9" s="1"/>
  <c r="A89" i="9"/>
  <c r="B89" i="9" s="1"/>
  <c r="A88" i="9"/>
  <c r="B88" i="9" s="1"/>
  <c r="A87" i="9"/>
  <c r="B87" i="9" s="1"/>
  <c r="A86" i="9"/>
  <c r="B86" i="9" s="1"/>
  <c r="A85" i="9"/>
  <c r="B85" i="9" s="1"/>
  <c r="A84" i="9"/>
  <c r="B84" i="9" s="1"/>
  <c r="A83" i="9"/>
  <c r="B83" i="9" s="1"/>
  <c r="A82" i="9"/>
  <c r="B82" i="9" s="1"/>
  <c r="A81" i="9"/>
  <c r="B81" i="9" s="1"/>
  <c r="A80" i="9"/>
  <c r="B80" i="9" s="1"/>
  <c r="A79" i="9"/>
  <c r="B79" i="9" s="1"/>
  <c r="A78" i="9"/>
  <c r="B78" i="9" s="1"/>
  <c r="A77" i="9"/>
  <c r="B77" i="9" s="1"/>
  <c r="A76" i="9"/>
  <c r="B76" i="9" s="1"/>
  <c r="A75" i="9"/>
  <c r="B75" i="9" s="1"/>
  <c r="BP123" i="20"/>
  <c r="BO123" i="20"/>
  <c r="BM123" i="20"/>
  <c r="BN123" i="20" s="1"/>
  <c r="BL123" i="20"/>
  <c r="BH123" i="20"/>
  <c r="BI123" i="20" s="1"/>
  <c r="BE123" i="20"/>
  <c r="BD123" i="20" s="1"/>
  <c r="AX123" i="20"/>
  <c r="BI107" i="9"/>
  <c r="BI109" i="9"/>
  <c r="BI106" i="9"/>
  <c r="BI105" i="9"/>
  <c r="BI104" i="9"/>
  <c r="BI103" i="9"/>
  <c r="BI102" i="9"/>
  <c r="BI101" i="9"/>
  <c r="BI100" i="9"/>
  <c r="BI99" i="9"/>
  <c r="BI98" i="9"/>
  <c r="BI97" i="9"/>
  <c r="BI96" i="9"/>
  <c r="BI95" i="9"/>
  <c r="BI94" i="9"/>
  <c r="BI93" i="9"/>
  <c r="BI92" i="9"/>
  <c r="BI91" i="9"/>
  <c r="BI90" i="9"/>
  <c r="BI89" i="9"/>
  <c r="BI88" i="9"/>
  <c r="BI87" i="9"/>
  <c r="BI86" i="9"/>
  <c r="BI85" i="9"/>
  <c r="BI84" i="9"/>
  <c r="BI83" i="9"/>
  <c r="BI82" i="9"/>
  <c r="BI81" i="9"/>
  <c r="BI80" i="9"/>
  <c r="BI79" i="9"/>
  <c r="BI78" i="9"/>
  <c r="BI77" i="9"/>
  <c r="BI76" i="9"/>
  <c r="BI75" i="9"/>
  <c r="BI74" i="9"/>
  <c r="BI73" i="9"/>
  <c r="BI72" i="9"/>
  <c r="BI71" i="9"/>
  <c r="BI70" i="9"/>
  <c r="BI69" i="9"/>
  <c r="BI68" i="9"/>
  <c r="BI67" i="9"/>
  <c r="BI66" i="9"/>
  <c r="BI65" i="9"/>
  <c r="BI64" i="9"/>
  <c r="BI63" i="9"/>
  <c r="BI62" i="9"/>
  <c r="BI61" i="9"/>
  <c r="BI60" i="9"/>
  <c r="BI59" i="9"/>
  <c r="BI58" i="9"/>
  <c r="BI57" i="9"/>
  <c r="BI56" i="9"/>
  <c r="BI55" i="9"/>
  <c r="BI54" i="9"/>
  <c r="BI53" i="9"/>
  <c r="BI52" i="9"/>
  <c r="BI51" i="9"/>
  <c r="BI50" i="9"/>
  <c r="BI49" i="9"/>
  <c r="BI48" i="9"/>
  <c r="BI47" i="9"/>
  <c r="BI46" i="9"/>
  <c r="BI45" i="9"/>
  <c r="BI44" i="9"/>
  <c r="BI43" i="9"/>
  <c r="BI42" i="9"/>
  <c r="BI41" i="9"/>
  <c r="BI40" i="9"/>
  <c r="BI39" i="9"/>
  <c r="BI38" i="9"/>
  <c r="BI37" i="9"/>
  <c r="BI36" i="9"/>
  <c r="BI35" i="9"/>
  <c r="BI34" i="9"/>
  <c r="BI33" i="9"/>
  <c r="BI32" i="9"/>
  <c r="BI31" i="9"/>
  <c r="BI30" i="9"/>
  <c r="BI29" i="9"/>
  <c r="BI28" i="9"/>
  <c r="BI27" i="9"/>
  <c r="BI26" i="9"/>
  <c r="BI25" i="9"/>
  <c r="BI24" i="9"/>
  <c r="BI23" i="9"/>
  <c r="BI22" i="9"/>
  <c r="BI21" i="9"/>
  <c r="BI20" i="9"/>
  <c r="BI19" i="9"/>
  <c r="BI18" i="9"/>
  <c r="BI17" i="9"/>
  <c r="BI16" i="9"/>
  <c r="BI15" i="9"/>
  <c r="BI14" i="9"/>
  <c r="BI13" i="9"/>
  <c r="BI12" i="9"/>
  <c r="BI11" i="9"/>
  <c r="BI10" i="9"/>
  <c r="BI9" i="9"/>
  <c r="BI8" i="9"/>
  <c r="BI7" i="9"/>
  <c r="BI6" i="9"/>
  <c r="BI5" i="9"/>
  <c r="BI4" i="9"/>
  <c r="BI3" i="9"/>
  <c r="BI2" i="9"/>
  <c r="AY113" i="9"/>
  <c r="AX113" i="9"/>
  <c r="AW113" i="9"/>
  <c r="BB113" i="9"/>
  <c r="BA113" i="9"/>
  <c r="AZ113" i="9"/>
  <c r="BH113" i="9"/>
  <c r="BG113" i="9"/>
  <c r="BF113" i="9"/>
  <c r="BE113" i="9"/>
  <c r="BD113" i="9"/>
  <c r="BC113" i="9"/>
  <c r="BP125" i="20"/>
  <c r="BO125" i="20"/>
  <c r="BM125" i="20"/>
  <c r="BN125" i="20" s="1"/>
  <c r="BL125" i="20"/>
  <c r="BH125" i="20"/>
  <c r="BI125" i="20" s="1"/>
  <c r="BE125" i="20"/>
  <c r="BD125" i="20" s="1"/>
  <c r="AX12" i="20"/>
  <c r="BP122" i="20"/>
  <c r="BO122" i="20"/>
  <c r="BM122" i="20"/>
  <c r="BN122" i="20" s="1"/>
  <c r="BL122" i="20"/>
  <c r="BH122" i="20"/>
  <c r="BI122" i="20" s="1"/>
  <c r="BE122" i="20"/>
  <c r="BD122" i="20" s="1"/>
  <c r="AX122" i="20"/>
  <c r="BP129" i="20"/>
  <c r="BO129" i="20"/>
  <c r="BM129" i="20"/>
  <c r="BN129" i="20" s="1"/>
  <c r="BL129" i="20"/>
  <c r="BH129" i="20"/>
  <c r="BI129" i="20" s="1"/>
  <c r="BE129" i="20"/>
  <c r="BD129" i="20" s="1"/>
  <c r="BP130" i="20"/>
  <c r="BO130" i="20"/>
  <c r="BM130" i="20"/>
  <c r="BN130" i="20" s="1"/>
  <c r="BL130" i="20"/>
  <c r="BH130" i="20"/>
  <c r="BI130" i="20" s="1"/>
  <c r="BE130" i="20"/>
  <c r="BD130" i="20" s="1"/>
  <c r="BP126" i="20"/>
  <c r="BO126" i="20"/>
  <c r="BM126" i="20"/>
  <c r="BN126" i="20" s="1"/>
  <c r="BL126" i="20"/>
  <c r="BH126" i="20"/>
  <c r="BI126" i="20" s="1"/>
  <c r="BE126" i="20"/>
  <c r="BD126" i="20" s="1"/>
  <c r="AY126" i="20"/>
  <c r="BP127" i="20"/>
  <c r="BO127" i="20"/>
  <c r="BM127" i="20"/>
  <c r="BN127" i="20" s="1"/>
  <c r="BL127" i="20"/>
  <c r="BH127" i="20"/>
  <c r="BI127" i="20" s="1"/>
  <c r="BE127" i="20"/>
  <c r="BD127" i="20" s="1"/>
  <c r="AX14" i="20"/>
  <c r="BS123" i="20" l="1"/>
  <c r="BT123" i="20" s="1"/>
  <c r="BS124" i="20"/>
  <c r="BT124" i="20" s="1"/>
  <c r="BS125" i="20"/>
  <c r="BT125" i="20" s="1"/>
  <c r="BB173" i="20"/>
  <c r="BC173" i="20" s="1"/>
  <c r="BS128" i="20"/>
  <c r="BT128" i="20" s="1"/>
  <c r="AY128" i="20"/>
  <c r="AZ128" i="20"/>
  <c r="BA128" i="20" s="1"/>
  <c r="BB128" i="20"/>
  <c r="BC128" i="20" s="1"/>
  <c r="BQ128" i="20"/>
  <c r="BR128" i="20"/>
  <c r="BF124" i="20"/>
  <c r="AY124" i="20"/>
  <c r="AZ124" i="20"/>
  <c r="BA124" i="20" s="1"/>
  <c r="BQ173" i="20"/>
  <c r="BB124" i="20"/>
  <c r="BC124" i="20" s="1"/>
  <c r="BQ124" i="20"/>
  <c r="BR124" i="20"/>
  <c r="BS173" i="20"/>
  <c r="BT173" i="20" s="1"/>
  <c r="BR173" i="20"/>
  <c r="AZ173" i="20"/>
  <c r="BA173" i="20" s="1"/>
  <c r="AY123" i="20"/>
  <c r="BB123" i="20"/>
  <c r="BC123" i="20" s="1"/>
  <c r="BQ123" i="20"/>
  <c r="BR123" i="20"/>
  <c r="AZ123" i="20"/>
  <c r="BA123" i="20" s="1"/>
  <c r="BF125" i="20"/>
  <c r="AY125" i="20"/>
  <c r="AZ125" i="20"/>
  <c r="BA125" i="20" s="1"/>
  <c r="BB125" i="20"/>
  <c r="BC125" i="20" s="1"/>
  <c r="BQ125" i="20"/>
  <c r="BR125" i="20"/>
  <c r="BS130" i="20"/>
  <c r="BT130" i="20" s="1"/>
  <c r="BS122" i="20"/>
  <c r="BT122" i="20" s="1"/>
  <c r="BQ122" i="20"/>
  <c r="AZ129" i="20"/>
  <c r="BA129" i="20" s="1"/>
  <c r="BQ129" i="20"/>
  <c r="BB129" i="20"/>
  <c r="BC129" i="20" s="1"/>
  <c r="BB122" i="20"/>
  <c r="BC122" i="20" s="1"/>
  <c r="BF129" i="20"/>
  <c r="BR129" i="20"/>
  <c r="BS129" i="20"/>
  <c r="BT129" i="20" s="1"/>
  <c r="BB126" i="20"/>
  <c r="BC126" i="20" s="1"/>
  <c r="BQ127" i="20"/>
  <c r="AY122" i="20"/>
  <c r="AZ126" i="20"/>
  <c r="BA126" i="20" s="1"/>
  <c r="AZ122" i="20"/>
  <c r="BA122" i="20" s="1"/>
  <c r="AY129" i="20"/>
  <c r="BR122" i="20"/>
  <c r="BQ126" i="20"/>
  <c r="BS126" i="20"/>
  <c r="BT126" i="20" s="1"/>
  <c r="BR126" i="20"/>
  <c r="AY127" i="20"/>
  <c r="BS127" i="20"/>
  <c r="BT127" i="20" s="1"/>
  <c r="AZ130" i="20"/>
  <c r="BA130" i="20" s="1"/>
  <c r="BB130" i="20"/>
  <c r="BC130" i="20" s="1"/>
  <c r="BQ130" i="20"/>
  <c r="BR127" i="20"/>
  <c r="BR130" i="20"/>
  <c r="AZ127" i="20"/>
  <c r="BA127" i="20" s="1"/>
  <c r="BB127" i="20"/>
  <c r="BC127" i="20" s="1"/>
  <c r="AY130" i="20"/>
  <c r="BF123" i="20" l="1"/>
  <c r="BF128" i="20"/>
  <c r="BF173" i="20"/>
  <c r="BF126" i="20"/>
  <c r="BF122" i="20"/>
  <c r="BF127" i="20"/>
  <c r="BF130" i="20"/>
  <c r="AQ310" i="15" l="1"/>
  <c r="AS310" i="15"/>
  <c r="BP117" i="20" l="1"/>
  <c r="BO117" i="20"/>
  <c r="BM117" i="20"/>
  <c r="BN117" i="20" s="1"/>
  <c r="BL117" i="20"/>
  <c r="BH117" i="20"/>
  <c r="BI117" i="20" s="1"/>
  <c r="BE117" i="20"/>
  <c r="BD117" i="20" s="1"/>
  <c r="AX117" i="20"/>
  <c r="BF117" i="20" l="1"/>
  <c r="BS117" i="20"/>
  <c r="BT117" i="20" s="1"/>
  <c r="AY117" i="20"/>
  <c r="BR117" i="20"/>
  <c r="AZ117" i="20"/>
  <c r="BA117" i="20" s="1"/>
  <c r="BB117" i="20"/>
  <c r="BC117" i="20" s="1"/>
  <c r="BQ117" i="20"/>
  <c r="BP118" i="20" l="1"/>
  <c r="BO118" i="20"/>
  <c r="BM118" i="20"/>
  <c r="BN118" i="20" s="1"/>
  <c r="BL118" i="20"/>
  <c r="BH118" i="20"/>
  <c r="BI118" i="20" s="1"/>
  <c r="BE118" i="20"/>
  <c r="BD118" i="20" s="1"/>
  <c r="AX118" i="20"/>
  <c r="BS118" i="20" l="1"/>
  <c r="BT118" i="20" s="1"/>
  <c r="BF118" i="20"/>
  <c r="AY118" i="20"/>
  <c r="AZ118" i="20"/>
  <c r="BA118" i="20" s="1"/>
  <c r="BR118" i="20"/>
  <c r="BB118" i="20"/>
  <c r="BC118" i="20" s="1"/>
  <c r="BQ118" i="20"/>
  <c r="AS40" i="20" l="1"/>
  <c r="AS174" i="20" s="1"/>
  <c r="C33" i="37" l="1"/>
  <c r="AX116" i="20"/>
  <c r="AX115" i="20"/>
  <c r="AX114" i="20"/>
  <c r="AX113" i="20"/>
  <c r="AX112" i="20"/>
  <c r="AX111" i="20"/>
  <c r="AX110" i="20"/>
  <c r="AX109" i="20"/>
  <c r="AX108" i="20"/>
  <c r="AX107" i="20"/>
  <c r="AX106" i="20"/>
  <c r="AX105" i="20"/>
  <c r="AX104" i="20"/>
  <c r="AX103" i="20"/>
  <c r="AX102" i="20"/>
  <c r="AX101" i="20"/>
  <c r="AX100" i="20"/>
  <c r="AX99" i="20"/>
  <c r="AX98" i="20"/>
  <c r="AX97" i="20"/>
  <c r="AX96" i="20"/>
  <c r="AX95" i="20"/>
  <c r="AX94" i="20"/>
  <c r="AX93" i="20"/>
  <c r="AX91" i="20"/>
  <c r="AX90" i="20"/>
  <c r="AX89" i="20"/>
  <c r="AX88" i="20"/>
  <c r="AX87" i="20"/>
  <c r="AX86" i="20"/>
  <c r="AX84" i="20"/>
  <c r="AX83" i="20"/>
  <c r="AX82" i="20"/>
  <c r="AX81" i="20"/>
  <c r="AX80" i="20"/>
  <c r="AX78" i="20"/>
  <c r="AX77" i="20"/>
  <c r="AX75" i="20"/>
  <c r="AX72" i="20"/>
  <c r="AX70" i="20"/>
  <c r="AX69" i="20"/>
  <c r="AX67" i="20"/>
  <c r="AX66" i="20"/>
  <c r="AX65" i="20"/>
  <c r="AX64" i="20"/>
  <c r="AX63" i="20"/>
  <c r="AX62" i="20"/>
  <c r="AX61" i="20"/>
  <c r="AX59" i="20"/>
  <c r="AX58" i="20"/>
  <c r="AX57" i="20"/>
  <c r="AX54" i="20"/>
  <c r="AX53" i="20"/>
  <c r="AX51" i="20"/>
  <c r="AX46" i="20"/>
  <c r="AX42" i="20"/>
  <c r="AX39" i="20"/>
  <c r="AX37" i="20"/>
  <c r="AX36" i="20"/>
  <c r="AX35" i="20"/>
  <c r="AX34" i="20"/>
  <c r="AX32" i="20"/>
  <c r="AX31" i="20"/>
  <c r="AX30" i="20"/>
  <c r="AX29" i="20"/>
  <c r="AX28" i="20"/>
  <c r="AX25" i="20"/>
  <c r="AX24" i="20"/>
  <c r="AX23" i="20"/>
  <c r="AX19" i="20"/>
  <c r="AX18" i="20"/>
  <c r="AX17" i="20"/>
  <c r="AX16" i="20"/>
  <c r="BP116" i="20" l="1"/>
  <c r="BO116" i="20"/>
  <c r="BM116" i="20"/>
  <c r="BN116" i="20" s="1"/>
  <c r="BL116" i="20"/>
  <c r="BH116" i="20"/>
  <c r="BI116" i="20" s="1"/>
  <c r="BE116" i="20"/>
  <c r="BP115" i="20"/>
  <c r="BO115" i="20"/>
  <c r="BM115" i="20"/>
  <c r="BN115" i="20" s="1"/>
  <c r="BL115" i="20"/>
  <c r="BH115" i="20"/>
  <c r="BI115" i="20" s="1"/>
  <c r="BE115" i="20"/>
  <c r="BB115" i="20"/>
  <c r="BC115" i="20" s="1"/>
  <c r="BP114" i="20"/>
  <c r="BO114" i="20"/>
  <c r="BM114" i="20"/>
  <c r="BN114" i="20" s="1"/>
  <c r="BL114" i="20"/>
  <c r="BH114" i="20"/>
  <c r="BI114" i="20" s="1"/>
  <c r="BE114" i="20"/>
  <c r="AY114" i="20"/>
  <c r="R124" i="16"/>
  <c r="BD116" i="20" l="1"/>
  <c r="BF116" i="20" s="1"/>
  <c r="BD115" i="20"/>
  <c r="AZ115" i="20" s="1"/>
  <c r="BA115" i="20" s="1"/>
  <c r="BD114" i="20"/>
  <c r="AZ114" i="20" s="1"/>
  <c r="BA114" i="20" s="1"/>
  <c r="BQ115" i="20"/>
  <c r="BS116" i="20"/>
  <c r="BT116" i="20" s="1"/>
  <c r="BQ114" i="20"/>
  <c r="BS115" i="20"/>
  <c r="BT115" i="20" s="1"/>
  <c r="BR115" i="20"/>
  <c r="BS114" i="20"/>
  <c r="BT114" i="20" s="1"/>
  <c r="BR114" i="20"/>
  <c r="AY116" i="20"/>
  <c r="BB116" i="20"/>
  <c r="BC116" i="20" s="1"/>
  <c r="BQ116" i="20"/>
  <c r="AY115" i="20"/>
  <c r="BR116" i="20"/>
  <c r="BB114" i="20"/>
  <c r="BC114" i="20" s="1"/>
  <c r="AZ116" i="20" l="1"/>
  <c r="BA116" i="20" s="1"/>
  <c r="BF114" i="20"/>
  <c r="BF115" i="20"/>
  <c r="AP310" i="15"/>
  <c r="AO310" i="15"/>
  <c r="AN310" i="15"/>
  <c r="H17" i="30" l="1"/>
  <c r="K299" i="36" l="1"/>
  <c r="K298" i="36"/>
  <c r="K297" i="36"/>
  <c r="K296" i="36"/>
  <c r="K295" i="36"/>
  <c r="K294" i="36"/>
  <c r="K293" i="36"/>
  <c r="K292" i="36"/>
  <c r="K291" i="36"/>
  <c r="K290" i="36"/>
  <c r="K289" i="36"/>
  <c r="K288" i="36"/>
  <c r="K287" i="36"/>
  <c r="K286" i="36"/>
  <c r="K285" i="36"/>
  <c r="K284" i="36"/>
  <c r="K283" i="36"/>
  <c r="K282" i="36"/>
  <c r="K281" i="36"/>
  <c r="K280" i="36"/>
  <c r="K279" i="36"/>
  <c r="K278" i="36"/>
  <c r="K277" i="36"/>
  <c r="K276" i="36"/>
  <c r="K275" i="36"/>
  <c r="K274" i="36"/>
  <c r="K273" i="36"/>
  <c r="K272" i="36"/>
  <c r="K271" i="36"/>
  <c r="K270" i="36"/>
  <c r="K269" i="36"/>
  <c r="K268" i="36"/>
  <c r="K267" i="36"/>
  <c r="K266" i="36"/>
  <c r="K265" i="36"/>
  <c r="K264" i="36"/>
  <c r="K263" i="36"/>
  <c r="K262" i="36"/>
  <c r="K261" i="36"/>
  <c r="K260" i="36"/>
  <c r="K259" i="36"/>
  <c r="K258" i="36"/>
  <c r="K257" i="36"/>
  <c r="K256" i="36"/>
  <c r="K255" i="36"/>
  <c r="K254" i="36"/>
  <c r="K253" i="36"/>
  <c r="K252" i="36"/>
  <c r="K251" i="36"/>
  <c r="K250" i="36"/>
  <c r="K249" i="36"/>
  <c r="K248" i="36"/>
  <c r="K247" i="36"/>
  <c r="K246" i="36"/>
  <c r="K245" i="36"/>
  <c r="K244" i="36"/>
  <c r="K243" i="36"/>
  <c r="K241" i="36"/>
  <c r="K240" i="36"/>
  <c r="K239" i="36"/>
  <c r="K238" i="36"/>
  <c r="K237" i="36"/>
  <c r="K236" i="36"/>
  <c r="K235" i="36"/>
  <c r="K234" i="36"/>
  <c r="K233" i="36"/>
  <c r="K232" i="36"/>
  <c r="K231" i="36"/>
  <c r="K230" i="36"/>
  <c r="K229" i="36"/>
  <c r="K228" i="36"/>
  <c r="K227" i="36"/>
  <c r="K225" i="36"/>
  <c r="K223" i="36"/>
  <c r="K222" i="36"/>
  <c r="K221" i="36"/>
  <c r="K220" i="36"/>
  <c r="K219" i="36"/>
  <c r="K218" i="36"/>
  <c r="K217" i="36"/>
  <c r="K216" i="36"/>
  <c r="K215" i="36"/>
  <c r="K214" i="36"/>
  <c r="K213" i="36"/>
  <c r="K212" i="36"/>
  <c r="K211" i="36"/>
  <c r="K210" i="36"/>
  <c r="K209" i="36"/>
  <c r="K208" i="36"/>
  <c r="K207" i="36"/>
  <c r="K206" i="36"/>
  <c r="K205" i="36"/>
  <c r="K204" i="36"/>
  <c r="K203" i="36"/>
  <c r="K202" i="36"/>
  <c r="K201" i="36"/>
  <c r="K200" i="36"/>
  <c r="K199" i="36"/>
  <c r="K198" i="36"/>
  <c r="K197" i="36"/>
  <c r="K196" i="36"/>
  <c r="K195" i="36"/>
  <c r="K194" i="36"/>
  <c r="K193" i="36"/>
  <c r="K192" i="36"/>
  <c r="K191" i="36"/>
  <c r="K190" i="36"/>
  <c r="K189" i="36"/>
  <c r="K187" i="36"/>
  <c r="K186" i="36"/>
  <c r="K185" i="36"/>
  <c r="K184" i="36"/>
  <c r="K183" i="36"/>
  <c r="K182" i="36"/>
  <c r="K181" i="36"/>
  <c r="K180" i="36"/>
  <c r="K179" i="36"/>
  <c r="K178" i="36"/>
  <c r="K177" i="36"/>
  <c r="K176" i="36"/>
  <c r="K175" i="36"/>
  <c r="K174" i="36"/>
  <c r="K173" i="36"/>
  <c r="K172" i="36"/>
  <c r="K171" i="36"/>
  <c r="K170" i="36"/>
  <c r="K169" i="36"/>
  <c r="K168" i="36"/>
  <c r="K167" i="36"/>
  <c r="K166" i="36"/>
  <c r="K165" i="36"/>
  <c r="K164" i="36"/>
  <c r="K163" i="36"/>
  <c r="K162" i="36"/>
  <c r="K161" i="36"/>
  <c r="K160" i="36"/>
  <c r="K159" i="36"/>
  <c r="K158" i="36"/>
  <c r="K157" i="36"/>
  <c r="K156" i="36"/>
  <c r="K155" i="36"/>
  <c r="K154" i="36"/>
  <c r="K153" i="36"/>
  <c r="K152" i="36"/>
  <c r="K151" i="36"/>
  <c r="K150" i="36"/>
  <c r="K149" i="36"/>
  <c r="K148" i="36"/>
  <c r="K147" i="36"/>
  <c r="K146" i="36"/>
  <c r="K145" i="36"/>
  <c r="K144" i="36"/>
  <c r="K143" i="36"/>
  <c r="K142" i="36"/>
  <c r="K141" i="36"/>
  <c r="K140" i="36"/>
  <c r="K139" i="36"/>
  <c r="K138" i="36"/>
  <c r="K137" i="36"/>
  <c r="K136" i="36"/>
  <c r="K135" i="36"/>
  <c r="K134" i="36"/>
  <c r="K133" i="36"/>
  <c r="K132" i="36"/>
  <c r="K131" i="36"/>
  <c r="K130" i="36"/>
  <c r="K129" i="36"/>
  <c r="K128" i="36"/>
  <c r="K127" i="36"/>
  <c r="K126" i="36"/>
  <c r="K125" i="36"/>
  <c r="K124" i="36"/>
  <c r="K123" i="36"/>
  <c r="K122" i="36"/>
  <c r="K121" i="36"/>
  <c r="K120" i="36"/>
  <c r="K119" i="36"/>
  <c r="K118" i="36"/>
  <c r="K117" i="36"/>
  <c r="K116" i="36"/>
  <c r="K115" i="36"/>
  <c r="K114" i="36"/>
  <c r="K113" i="36"/>
  <c r="K112" i="36"/>
  <c r="K111" i="36"/>
  <c r="K110" i="36"/>
  <c r="K109" i="36"/>
  <c r="K108" i="36"/>
  <c r="K107" i="36"/>
  <c r="K106" i="36"/>
  <c r="K105" i="36"/>
  <c r="K104" i="36"/>
  <c r="K103" i="36"/>
  <c r="K102" i="36"/>
  <c r="K101" i="36"/>
  <c r="K100" i="36"/>
  <c r="K99" i="36"/>
  <c r="K98" i="36"/>
  <c r="K97" i="36"/>
  <c r="K96" i="36"/>
  <c r="K95" i="36"/>
  <c r="K94" i="36"/>
  <c r="K93" i="36"/>
  <c r="K92" i="36"/>
  <c r="K91" i="36"/>
  <c r="K90" i="36"/>
  <c r="K88" i="36"/>
  <c r="K87" i="36"/>
  <c r="K86" i="36"/>
  <c r="K85" i="36"/>
  <c r="K84" i="36"/>
  <c r="K83" i="36"/>
  <c r="K82" i="36"/>
  <c r="K81" i="36"/>
  <c r="K80" i="36"/>
  <c r="K79" i="36"/>
  <c r="K78" i="36"/>
  <c r="K77" i="36"/>
  <c r="K76" i="36"/>
  <c r="K75" i="36"/>
  <c r="K74" i="36"/>
  <c r="K73" i="36"/>
  <c r="K72" i="36"/>
  <c r="K71" i="36"/>
  <c r="K70" i="36"/>
  <c r="K69" i="36"/>
  <c r="K68" i="36"/>
  <c r="K67" i="36"/>
  <c r="K66" i="36"/>
  <c r="K65" i="36"/>
  <c r="K64" i="36"/>
  <c r="K63" i="36"/>
  <c r="K62" i="36"/>
  <c r="K61" i="36"/>
  <c r="K60" i="36"/>
  <c r="K59" i="36"/>
  <c r="K58" i="36"/>
  <c r="K57" i="36"/>
  <c r="K56" i="36"/>
  <c r="K55" i="36"/>
  <c r="K54" i="36"/>
  <c r="K53" i="36"/>
  <c r="K52" i="36"/>
  <c r="K51" i="36"/>
  <c r="K50" i="36"/>
  <c r="K49" i="36"/>
  <c r="K48" i="36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8" i="36"/>
  <c r="K17" i="36"/>
  <c r="K16" i="36"/>
  <c r="K15" i="36"/>
  <c r="K13" i="36"/>
  <c r="K12" i="36"/>
  <c r="K11" i="36"/>
  <c r="K10" i="36"/>
  <c r="K9" i="36"/>
  <c r="K8" i="36"/>
  <c r="K7" i="36"/>
  <c r="K6" i="36"/>
  <c r="K5" i="36"/>
  <c r="K4" i="36"/>
  <c r="K3" i="36"/>
  <c r="K2" i="36"/>
  <c r="BP113" i="20" l="1"/>
  <c r="BO113" i="20"/>
  <c r="BM113" i="20"/>
  <c r="BN113" i="20" s="1"/>
  <c r="BL113" i="20"/>
  <c r="BH113" i="20"/>
  <c r="BI113" i="20" s="1"/>
  <c r="BE113" i="20"/>
  <c r="AY113" i="20"/>
  <c r="BP112" i="20"/>
  <c r="BO112" i="20"/>
  <c r="BM112" i="20"/>
  <c r="BN112" i="20" s="1"/>
  <c r="BL112" i="20"/>
  <c r="BH112" i="20"/>
  <c r="BI112" i="20" s="1"/>
  <c r="BE112" i="20"/>
  <c r="AY112" i="20"/>
  <c r="BP111" i="20"/>
  <c r="BO111" i="20"/>
  <c r="BM111" i="20"/>
  <c r="BN111" i="20" s="1"/>
  <c r="BL111" i="20"/>
  <c r="BH111" i="20"/>
  <c r="BI111" i="20" s="1"/>
  <c r="BE111" i="20"/>
  <c r="BD111" i="20" l="1"/>
  <c r="AZ111" i="20" s="1"/>
  <c r="BD112" i="20"/>
  <c r="BF112" i="20" s="1"/>
  <c r="BD113" i="20"/>
  <c r="AZ113" i="20" s="1"/>
  <c r="BA113" i="20" s="1"/>
  <c r="BQ113" i="20"/>
  <c r="BB113" i="20"/>
  <c r="BC113" i="20" s="1"/>
  <c r="BR113" i="20"/>
  <c r="BS113" i="20"/>
  <c r="BT113" i="20" s="1"/>
  <c r="BB112" i="20"/>
  <c r="BC112" i="20" s="1"/>
  <c r="BQ112" i="20"/>
  <c r="BS111" i="20"/>
  <c r="BT111" i="20" s="1"/>
  <c r="BB111" i="20"/>
  <c r="BC111" i="20" s="1"/>
  <c r="BR112" i="20"/>
  <c r="BS112" i="20"/>
  <c r="BT112" i="20" s="1"/>
  <c r="AY111" i="20"/>
  <c r="BQ111" i="20"/>
  <c r="BR111" i="20"/>
  <c r="BF113" i="20" l="1"/>
  <c r="BF111" i="20"/>
  <c r="AZ112" i="20"/>
  <c r="BA112" i="20" s="1"/>
  <c r="BA111" i="20"/>
  <c r="Q40" i="30" l="1"/>
  <c r="Q21" i="30"/>
  <c r="Q9" i="30"/>
  <c r="A140" i="31"/>
  <c r="A66" i="31"/>
  <c r="Q41" i="30" l="1"/>
  <c r="AG308" i="11"/>
  <c r="AG307" i="11"/>
  <c r="A4" i="36"/>
  <c r="A3" i="36"/>
  <c r="A2" i="36"/>
  <c r="BP110" i="20"/>
  <c r="BO110" i="20"/>
  <c r="BM110" i="20"/>
  <c r="BN110" i="20" s="1"/>
  <c r="BL110" i="20"/>
  <c r="BH110" i="20"/>
  <c r="BI110" i="20" s="1"/>
  <c r="BE110" i="20"/>
  <c r="BP109" i="20"/>
  <c r="BO109" i="20"/>
  <c r="BM109" i="20"/>
  <c r="BN109" i="20" s="1"/>
  <c r="BL109" i="20"/>
  <c r="BH109" i="20"/>
  <c r="BI109" i="20" s="1"/>
  <c r="BE109" i="20"/>
  <c r="BP108" i="20"/>
  <c r="BO108" i="20"/>
  <c r="BM108" i="20"/>
  <c r="BN108" i="20" s="1"/>
  <c r="BL108" i="20"/>
  <c r="BH108" i="20"/>
  <c r="BI108" i="20" s="1"/>
  <c r="BE108" i="20"/>
  <c r="BP107" i="20"/>
  <c r="BO107" i="20"/>
  <c r="BM107" i="20"/>
  <c r="BN107" i="20" s="1"/>
  <c r="BL107" i="20"/>
  <c r="BH107" i="20"/>
  <c r="BI107" i="20" s="1"/>
  <c r="BE107" i="20"/>
  <c r="BD110" i="20" l="1"/>
  <c r="AZ110" i="20" s="1"/>
  <c r="BA110" i="20" s="1"/>
  <c r="BD108" i="20"/>
  <c r="BF108" i="20" s="1"/>
  <c r="BD107" i="20"/>
  <c r="AZ107" i="20" s="1"/>
  <c r="BA107" i="20" s="1"/>
  <c r="BD109" i="20"/>
  <c r="AZ109" i="20" s="1"/>
  <c r="BQ110" i="20"/>
  <c r="BS108" i="20"/>
  <c r="BT108" i="20" s="1"/>
  <c r="BS109" i="20"/>
  <c r="BT109" i="20" s="1"/>
  <c r="BB110" i="20"/>
  <c r="BC110" i="20" s="1"/>
  <c r="BR110" i="20"/>
  <c r="AY110" i="20"/>
  <c r="BS110" i="20"/>
  <c r="BT110" i="20" s="1"/>
  <c r="AY109" i="20"/>
  <c r="BR108" i="20"/>
  <c r="BB109" i="20"/>
  <c r="BC109" i="20" s="1"/>
  <c r="BQ109" i="20"/>
  <c r="BR109" i="20"/>
  <c r="AY108" i="20"/>
  <c r="BS107" i="20"/>
  <c r="BT107" i="20" s="1"/>
  <c r="BB108" i="20"/>
  <c r="BC108" i="20" s="1"/>
  <c r="BQ108" i="20"/>
  <c r="AY107" i="20"/>
  <c r="BB107" i="20"/>
  <c r="BC107" i="20" s="1"/>
  <c r="BQ107" i="20"/>
  <c r="BR107" i="20"/>
  <c r="AZ108" i="20" l="1"/>
  <c r="BA108" i="20" s="1"/>
  <c r="BF107" i="20"/>
  <c r="BF110" i="20"/>
  <c r="BA109" i="20"/>
  <c r="BF109" i="20"/>
  <c r="E33" i="37"/>
  <c r="E32" i="37"/>
  <c r="E31" i="37"/>
  <c r="AL310" i="15"/>
  <c r="E29" i="37" s="1"/>
  <c r="AK310" i="15"/>
  <c r="E28" i="37" s="1"/>
  <c r="AJ310" i="15"/>
  <c r="E27" i="37" s="1"/>
  <c r="AH310" i="15"/>
  <c r="E25" i="37" s="1"/>
  <c r="AG310" i="15"/>
  <c r="E24" i="37" s="1"/>
  <c r="AF310" i="15"/>
  <c r="E23" i="37" s="1"/>
  <c r="AD310" i="15"/>
  <c r="E21" i="37" s="1"/>
  <c r="AC310" i="15"/>
  <c r="E20" i="37" s="1"/>
  <c r="AB310" i="15"/>
  <c r="E19" i="37" s="1"/>
  <c r="AA310" i="15"/>
  <c r="E18" i="37" s="1"/>
  <c r="Z310" i="15"/>
  <c r="E17" i="37" s="1"/>
  <c r="Y310" i="15"/>
  <c r="E16" i="37" s="1"/>
  <c r="X310" i="15"/>
  <c r="E15" i="37" s="1"/>
  <c r="W310" i="15"/>
  <c r="E14" i="37" s="1"/>
  <c r="V310" i="15"/>
  <c r="E13" i="37" s="1"/>
  <c r="U310" i="15"/>
  <c r="E12" i="37" s="1"/>
  <c r="T310" i="15"/>
  <c r="E11" i="37" s="1"/>
  <c r="S310" i="15"/>
  <c r="E10" i="37" s="1"/>
  <c r="R310" i="15"/>
  <c r="E9" i="37" s="1"/>
  <c r="Q310" i="15"/>
  <c r="E8" i="37" s="1"/>
  <c r="P310" i="15"/>
  <c r="E7" i="37" s="1"/>
  <c r="O310" i="15"/>
  <c r="E6" i="37" s="1"/>
  <c r="N310" i="15"/>
  <c r="E5" i="37" s="1"/>
  <c r="M310" i="15"/>
  <c r="E4" i="37" s="1"/>
  <c r="L310" i="15"/>
  <c r="E3" i="37" s="1"/>
  <c r="K310" i="15"/>
  <c r="E2" i="37" s="1"/>
  <c r="C3" i="36"/>
  <c r="L299" i="36" l="1"/>
  <c r="L298" i="36"/>
  <c r="L297" i="36"/>
  <c r="L296" i="36"/>
  <c r="L295" i="36"/>
  <c r="L294" i="36"/>
  <c r="L293" i="36"/>
  <c r="L292" i="36"/>
  <c r="L291" i="36"/>
  <c r="L290" i="36"/>
  <c r="L289" i="36"/>
  <c r="L288" i="36"/>
  <c r="L287" i="36"/>
  <c r="L286" i="36"/>
  <c r="L285" i="36"/>
  <c r="L284" i="36"/>
  <c r="L283" i="36"/>
  <c r="L282" i="36"/>
  <c r="L281" i="36"/>
  <c r="L280" i="36"/>
  <c r="L279" i="36"/>
  <c r="L278" i="36"/>
  <c r="L277" i="36"/>
  <c r="L276" i="36"/>
  <c r="L275" i="36"/>
  <c r="L274" i="36"/>
  <c r="L273" i="36"/>
  <c r="L272" i="36"/>
  <c r="L271" i="36"/>
  <c r="L270" i="36"/>
  <c r="L269" i="36"/>
  <c r="L268" i="36"/>
  <c r="L267" i="36"/>
  <c r="L266" i="36"/>
  <c r="L265" i="36"/>
  <c r="L264" i="36"/>
  <c r="L263" i="36"/>
  <c r="L262" i="36"/>
  <c r="L261" i="36"/>
  <c r="L260" i="36"/>
  <c r="L259" i="36"/>
  <c r="L258" i="36"/>
  <c r="L257" i="36"/>
  <c r="L256" i="36"/>
  <c r="L255" i="36"/>
  <c r="L254" i="36"/>
  <c r="L253" i="36"/>
  <c r="L252" i="36"/>
  <c r="L251" i="36"/>
  <c r="L250" i="36"/>
  <c r="L249" i="36"/>
  <c r="L248" i="36"/>
  <c r="L247" i="36"/>
  <c r="L246" i="36"/>
  <c r="L245" i="36"/>
  <c r="L244" i="36"/>
  <c r="L243" i="36"/>
  <c r="L242" i="36"/>
  <c r="L241" i="36"/>
  <c r="L240" i="36"/>
  <c r="L239" i="36"/>
  <c r="L238" i="36"/>
  <c r="L237" i="36"/>
  <c r="L236" i="36"/>
  <c r="L235" i="36"/>
  <c r="L234" i="36"/>
  <c r="L233" i="36"/>
  <c r="L232" i="36"/>
  <c r="L231" i="36"/>
  <c r="L230" i="36"/>
  <c r="L229" i="36"/>
  <c r="L228" i="36"/>
  <c r="L227" i="36"/>
  <c r="L226" i="36"/>
  <c r="L225" i="36"/>
  <c r="L224" i="36"/>
  <c r="L223" i="36"/>
  <c r="L222" i="36"/>
  <c r="L221" i="36"/>
  <c r="L220" i="36"/>
  <c r="L219" i="36"/>
  <c r="L218" i="36"/>
  <c r="L217" i="36"/>
  <c r="L216" i="36"/>
  <c r="L215" i="36"/>
  <c r="L214" i="36"/>
  <c r="L213" i="36"/>
  <c r="L212" i="36"/>
  <c r="L211" i="36"/>
  <c r="L210" i="36"/>
  <c r="L209" i="36"/>
  <c r="L208" i="36"/>
  <c r="L207" i="36"/>
  <c r="L206" i="36"/>
  <c r="L205" i="36"/>
  <c r="L204" i="36"/>
  <c r="L203" i="36"/>
  <c r="L202" i="36"/>
  <c r="L201" i="36"/>
  <c r="L200" i="36"/>
  <c r="L199" i="36"/>
  <c r="L198" i="36"/>
  <c r="L197" i="36"/>
  <c r="L196" i="36"/>
  <c r="L195" i="36"/>
  <c r="L194" i="36"/>
  <c r="L193" i="36"/>
  <c r="L192" i="36"/>
  <c r="L191" i="36"/>
  <c r="L190" i="36"/>
  <c r="L189" i="36"/>
  <c r="L188" i="36"/>
  <c r="L187" i="36"/>
  <c r="L186" i="36"/>
  <c r="L185" i="36"/>
  <c r="L184" i="36"/>
  <c r="L183" i="36"/>
  <c r="L182" i="36"/>
  <c r="L181" i="36"/>
  <c r="L180" i="36"/>
  <c r="L179" i="36"/>
  <c r="L178" i="36"/>
  <c r="L177" i="36"/>
  <c r="L176" i="36"/>
  <c r="L175" i="36"/>
  <c r="L174" i="36"/>
  <c r="L173" i="36"/>
  <c r="L172" i="36"/>
  <c r="L171" i="36"/>
  <c r="L170" i="36"/>
  <c r="L169" i="36"/>
  <c r="L168" i="36"/>
  <c r="L167" i="36"/>
  <c r="L166" i="36"/>
  <c r="L165" i="36"/>
  <c r="L164" i="36"/>
  <c r="L163" i="36"/>
  <c r="L162" i="36"/>
  <c r="L161" i="36"/>
  <c r="L160" i="36"/>
  <c r="L159" i="36"/>
  <c r="L158" i="36"/>
  <c r="L157" i="36"/>
  <c r="L156" i="36"/>
  <c r="L155" i="36"/>
  <c r="L154" i="36"/>
  <c r="L153" i="36"/>
  <c r="L152" i="36"/>
  <c r="L151" i="36"/>
  <c r="L150" i="36"/>
  <c r="L149" i="36"/>
  <c r="L148" i="36"/>
  <c r="L147" i="36"/>
  <c r="L146" i="36"/>
  <c r="L145" i="36"/>
  <c r="L144" i="36"/>
  <c r="L143" i="36"/>
  <c r="L142" i="36"/>
  <c r="L141" i="36"/>
  <c r="L140" i="36"/>
  <c r="L139" i="36"/>
  <c r="L138" i="36"/>
  <c r="L137" i="36"/>
  <c r="L136" i="36"/>
  <c r="L135" i="36"/>
  <c r="L134" i="36"/>
  <c r="L133" i="36"/>
  <c r="L132" i="36"/>
  <c r="L131" i="36"/>
  <c r="L130" i="36"/>
  <c r="L129" i="36"/>
  <c r="L128" i="36"/>
  <c r="L127" i="36"/>
  <c r="L126" i="36"/>
  <c r="L125" i="36"/>
  <c r="L124" i="36"/>
  <c r="L123" i="36"/>
  <c r="L122" i="36"/>
  <c r="L121" i="36"/>
  <c r="L120" i="36"/>
  <c r="L119" i="36"/>
  <c r="L118" i="36"/>
  <c r="L117" i="36"/>
  <c r="L116" i="36"/>
  <c r="L115" i="36"/>
  <c r="L114" i="36"/>
  <c r="L113" i="36"/>
  <c r="L112" i="36"/>
  <c r="L111" i="36"/>
  <c r="L110" i="36"/>
  <c r="L109" i="36"/>
  <c r="L108" i="36"/>
  <c r="L107" i="36"/>
  <c r="L106" i="36"/>
  <c r="L105" i="36"/>
  <c r="L104" i="36"/>
  <c r="L103" i="36"/>
  <c r="L102" i="36"/>
  <c r="L101" i="36"/>
  <c r="L100" i="36"/>
  <c r="L99" i="36"/>
  <c r="L98" i="36"/>
  <c r="L97" i="36"/>
  <c r="L96" i="36"/>
  <c r="L95" i="36"/>
  <c r="L94" i="36"/>
  <c r="L93" i="36"/>
  <c r="L92" i="36"/>
  <c r="L91" i="36"/>
  <c r="L90" i="36"/>
  <c r="L89" i="36"/>
  <c r="L88" i="36"/>
  <c r="L87" i="36"/>
  <c r="L86" i="36"/>
  <c r="L85" i="36"/>
  <c r="L84" i="36"/>
  <c r="L83" i="36"/>
  <c r="L82" i="36"/>
  <c r="L81" i="36"/>
  <c r="L80" i="36"/>
  <c r="L79" i="36"/>
  <c r="L78" i="36"/>
  <c r="L77" i="36"/>
  <c r="L76" i="36"/>
  <c r="L75" i="36"/>
  <c r="L74" i="36"/>
  <c r="L73" i="36"/>
  <c r="L72" i="36"/>
  <c r="L71" i="36"/>
  <c r="L70" i="36"/>
  <c r="L69" i="36"/>
  <c r="L68" i="36"/>
  <c r="L67" i="36"/>
  <c r="L66" i="36"/>
  <c r="L65" i="36"/>
  <c r="L64" i="36"/>
  <c r="L63" i="36"/>
  <c r="L62" i="36"/>
  <c r="L61" i="36"/>
  <c r="L60" i="36"/>
  <c r="L59" i="36"/>
  <c r="L58" i="36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6" i="36"/>
  <c r="L15" i="36"/>
  <c r="L14" i="36"/>
  <c r="L13" i="36"/>
  <c r="L12" i="36"/>
  <c r="L11" i="36"/>
  <c r="L10" i="36"/>
  <c r="L9" i="36"/>
  <c r="L8" i="36"/>
  <c r="L7" i="36"/>
  <c r="L6" i="36"/>
  <c r="L5" i="36"/>
  <c r="L4" i="36"/>
  <c r="L3" i="36"/>
  <c r="L2" i="36"/>
  <c r="I310" i="15"/>
  <c r="I311" i="15" s="1"/>
  <c r="I312" i="15" s="1"/>
  <c r="I313" i="15" s="1"/>
  <c r="I314" i="15" s="1"/>
  <c r="Q88" i="16" l="1"/>
  <c r="Q124" i="16" s="1"/>
  <c r="C32" i="37"/>
  <c r="B33" i="37" l="1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B3" i="37"/>
  <c r="B2" i="37"/>
  <c r="G33" i="37" l="1"/>
  <c r="G32" i="37"/>
  <c r="H32" i="30"/>
  <c r="H33" i="30" s="1"/>
  <c r="M3" i="36" l="1"/>
  <c r="R3" i="36" s="1"/>
  <c r="E299" i="36"/>
  <c r="E298" i="36"/>
  <c r="E297" i="36"/>
  <c r="E296" i="36"/>
  <c r="E295" i="36"/>
  <c r="E294" i="36"/>
  <c r="E293" i="36"/>
  <c r="E292" i="36"/>
  <c r="E291" i="36"/>
  <c r="E290" i="36"/>
  <c r="E289" i="36"/>
  <c r="E288" i="36"/>
  <c r="E287" i="36"/>
  <c r="E286" i="36"/>
  <c r="E285" i="36"/>
  <c r="E284" i="36"/>
  <c r="E283" i="36"/>
  <c r="E282" i="36"/>
  <c r="E281" i="36"/>
  <c r="E280" i="36"/>
  <c r="E279" i="36"/>
  <c r="E278" i="36"/>
  <c r="E277" i="36"/>
  <c r="E276" i="36"/>
  <c r="E275" i="36"/>
  <c r="E274" i="36"/>
  <c r="E273" i="36"/>
  <c r="E272" i="36"/>
  <c r="E271" i="36"/>
  <c r="E270" i="36"/>
  <c r="E269" i="36"/>
  <c r="E268" i="36"/>
  <c r="E267" i="36"/>
  <c r="E266" i="36"/>
  <c r="E265" i="36"/>
  <c r="E264" i="36"/>
  <c r="E263" i="36"/>
  <c r="E262" i="36"/>
  <c r="E261" i="36"/>
  <c r="E260" i="36"/>
  <c r="E259" i="36"/>
  <c r="E258" i="36"/>
  <c r="E257" i="36"/>
  <c r="E256" i="36"/>
  <c r="E255" i="36"/>
  <c r="E254" i="36"/>
  <c r="E253" i="36"/>
  <c r="E252" i="36"/>
  <c r="E251" i="36"/>
  <c r="E250" i="36"/>
  <c r="E249" i="36"/>
  <c r="E248" i="36"/>
  <c r="E247" i="36"/>
  <c r="E246" i="36"/>
  <c r="E245" i="36"/>
  <c r="E244" i="36"/>
  <c r="E243" i="36"/>
  <c r="E242" i="36"/>
  <c r="E241" i="36"/>
  <c r="E240" i="36"/>
  <c r="E239" i="36"/>
  <c r="E238" i="36"/>
  <c r="E237" i="36"/>
  <c r="E236" i="36"/>
  <c r="E235" i="36"/>
  <c r="E233" i="36"/>
  <c r="E232" i="36"/>
  <c r="E231" i="36"/>
  <c r="E229" i="36"/>
  <c r="E228" i="36"/>
  <c r="E227" i="36"/>
  <c r="E226" i="36"/>
  <c r="E225" i="36"/>
  <c r="E224" i="36"/>
  <c r="E223" i="36"/>
  <c r="E222" i="36"/>
  <c r="E221" i="36"/>
  <c r="E220" i="36"/>
  <c r="E219" i="36"/>
  <c r="E218" i="36"/>
  <c r="E217" i="36"/>
  <c r="E216" i="36"/>
  <c r="E215" i="36"/>
  <c r="E214" i="36"/>
  <c r="E213" i="36"/>
  <c r="E212" i="36"/>
  <c r="E211" i="36"/>
  <c r="E210" i="36"/>
  <c r="E209" i="36"/>
  <c r="E208" i="36"/>
  <c r="E207" i="36"/>
  <c r="E206" i="36"/>
  <c r="E205" i="36"/>
  <c r="E204" i="36"/>
  <c r="E203" i="36"/>
  <c r="E202" i="36"/>
  <c r="E201" i="36"/>
  <c r="E200" i="36"/>
  <c r="E199" i="36"/>
  <c r="E198" i="36"/>
  <c r="E197" i="36"/>
  <c r="E196" i="36"/>
  <c r="E195" i="36"/>
  <c r="E194" i="36"/>
  <c r="E193" i="36"/>
  <c r="E192" i="36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4" i="36"/>
  <c r="E143" i="36"/>
  <c r="E142" i="36"/>
  <c r="E141" i="36"/>
  <c r="E140" i="36"/>
  <c r="E139" i="36"/>
  <c r="E138" i="36"/>
  <c r="E137" i="36"/>
  <c r="E136" i="36"/>
  <c r="E135" i="36"/>
  <c r="E134" i="36"/>
  <c r="E133" i="36"/>
  <c r="E132" i="36"/>
  <c r="E131" i="36"/>
  <c r="E130" i="36"/>
  <c r="E129" i="36"/>
  <c r="E128" i="36"/>
  <c r="E127" i="36"/>
  <c r="E126" i="36"/>
  <c r="E125" i="36"/>
  <c r="E124" i="36"/>
  <c r="E123" i="36"/>
  <c r="E122" i="36"/>
  <c r="E121" i="36"/>
  <c r="E120" i="36"/>
  <c r="E117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E76" i="36"/>
  <c r="E75" i="36"/>
  <c r="E74" i="36"/>
  <c r="E73" i="36"/>
  <c r="E72" i="36"/>
  <c r="E71" i="36"/>
  <c r="E70" i="36"/>
  <c r="E69" i="36"/>
  <c r="E68" i="36"/>
  <c r="E67" i="36"/>
  <c r="E66" i="36"/>
  <c r="E65" i="36"/>
  <c r="E64" i="36"/>
  <c r="E63" i="36"/>
  <c r="E62" i="36"/>
  <c r="E61" i="36"/>
  <c r="E60" i="36"/>
  <c r="E59" i="36"/>
  <c r="E58" i="36"/>
  <c r="E57" i="36"/>
  <c r="E56" i="36"/>
  <c r="E55" i="36"/>
  <c r="E54" i="36"/>
  <c r="E53" i="36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2" i="36"/>
  <c r="D294" i="36"/>
  <c r="D293" i="36"/>
  <c r="D292" i="36"/>
  <c r="D291" i="36"/>
  <c r="D290" i="36"/>
  <c r="D289" i="36"/>
  <c r="D288" i="36"/>
  <c r="D287" i="36"/>
  <c r="D286" i="36"/>
  <c r="D284" i="36"/>
  <c r="D283" i="36"/>
  <c r="D282" i="36"/>
  <c r="D281" i="36"/>
  <c r="D280" i="36"/>
  <c r="D279" i="36"/>
  <c r="D278" i="36"/>
  <c r="D277" i="36"/>
  <c r="D276" i="36"/>
  <c r="D275" i="36"/>
  <c r="D274" i="36"/>
  <c r="D273" i="36"/>
  <c r="D272" i="36"/>
  <c r="D271" i="36"/>
  <c r="D270" i="36"/>
  <c r="D269" i="36"/>
  <c r="D267" i="36"/>
  <c r="D266" i="36"/>
  <c r="D265" i="36"/>
  <c r="D264" i="36"/>
  <c r="D263" i="36"/>
  <c r="D262" i="36"/>
  <c r="D261" i="36"/>
  <c r="D260" i="36"/>
  <c r="D259" i="36"/>
  <c r="D258" i="36"/>
  <c r="D257" i="36"/>
  <c r="D256" i="36"/>
  <c r="D255" i="36"/>
  <c r="D254" i="36"/>
  <c r="D253" i="36"/>
  <c r="D252" i="36"/>
  <c r="D250" i="36"/>
  <c r="D248" i="36"/>
  <c r="D247" i="36"/>
  <c r="D246" i="36"/>
  <c r="D245" i="36"/>
  <c r="D244" i="36"/>
  <c r="D243" i="36"/>
  <c r="D242" i="36"/>
  <c r="D241" i="36"/>
  <c r="D240" i="36"/>
  <c r="D239" i="36"/>
  <c r="D238" i="36"/>
  <c r="D237" i="36"/>
  <c r="D236" i="36"/>
  <c r="D235" i="36"/>
  <c r="D234" i="36"/>
  <c r="D233" i="36"/>
  <c r="D232" i="36"/>
  <c r="D231" i="36"/>
  <c r="D230" i="36"/>
  <c r="D229" i="36"/>
  <c r="D228" i="36"/>
  <c r="D227" i="36"/>
  <c r="D226" i="36"/>
  <c r="D225" i="36"/>
  <c r="D224" i="36"/>
  <c r="D223" i="36"/>
  <c r="D222" i="36"/>
  <c r="D221" i="36"/>
  <c r="D220" i="36"/>
  <c r="D219" i="36"/>
  <c r="D218" i="36"/>
  <c r="D217" i="36"/>
  <c r="D216" i="36"/>
  <c r="D215" i="36"/>
  <c r="D214" i="36"/>
  <c r="D213" i="36"/>
  <c r="D212" i="36"/>
  <c r="D211" i="36"/>
  <c r="D210" i="36"/>
  <c r="D209" i="36"/>
  <c r="D208" i="36"/>
  <c r="D207" i="36"/>
  <c r="D206" i="36"/>
  <c r="D205" i="36"/>
  <c r="D204" i="36"/>
  <c r="D203" i="36"/>
  <c r="D202" i="36"/>
  <c r="D201" i="36"/>
  <c r="D200" i="36"/>
  <c r="D199" i="36"/>
  <c r="D198" i="36"/>
  <c r="D197" i="36"/>
  <c r="D196" i="36"/>
  <c r="D194" i="36"/>
  <c r="D193" i="36"/>
  <c r="D192" i="36"/>
  <c r="D191" i="36"/>
  <c r="D190" i="36"/>
  <c r="D189" i="36"/>
  <c r="D188" i="36"/>
  <c r="D187" i="36"/>
  <c r="D186" i="36"/>
  <c r="D185" i="36"/>
  <c r="D184" i="36"/>
  <c r="D183" i="36"/>
  <c r="D182" i="36"/>
  <c r="D181" i="36"/>
  <c r="D179" i="36"/>
  <c r="D178" i="36"/>
  <c r="D177" i="36"/>
  <c r="D176" i="36"/>
  <c r="D175" i="36"/>
  <c r="D174" i="36"/>
  <c r="D173" i="36"/>
  <c r="D172" i="36"/>
  <c r="D171" i="36"/>
  <c r="D170" i="36"/>
  <c r="D169" i="36"/>
  <c r="D167" i="36"/>
  <c r="D166" i="36"/>
  <c r="D165" i="36"/>
  <c r="D164" i="36"/>
  <c r="D163" i="36"/>
  <c r="D162" i="36"/>
  <c r="D161" i="36"/>
  <c r="D159" i="36"/>
  <c r="D158" i="36"/>
  <c r="D157" i="36"/>
  <c r="D156" i="36"/>
  <c r="D155" i="36"/>
  <c r="D154" i="36"/>
  <c r="D153" i="36"/>
  <c r="D152" i="36"/>
  <c r="D151" i="36"/>
  <c r="D150" i="36"/>
  <c r="D149" i="36"/>
  <c r="D148" i="36"/>
  <c r="D147" i="36"/>
  <c r="D146" i="36"/>
  <c r="D145" i="36"/>
  <c r="D144" i="36"/>
  <c r="D143" i="36"/>
  <c r="D142" i="36"/>
  <c r="D141" i="36"/>
  <c r="D140" i="36"/>
  <c r="D139" i="36"/>
  <c r="D138" i="36"/>
  <c r="D137" i="36"/>
  <c r="D136" i="36"/>
  <c r="D135" i="36"/>
  <c r="D13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3" i="36"/>
  <c r="D102" i="36"/>
  <c r="D101" i="36"/>
  <c r="D100" i="36"/>
  <c r="D99" i="36"/>
  <c r="D98" i="36"/>
  <c r="D97" i="36"/>
  <c r="D96" i="36"/>
  <c r="D95" i="36"/>
  <c r="D94" i="36"/>
  <c r="D93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3" i="36"/>
  <c r="D2" i="36"/>
  <c r="C299" i="36"/>
  <c r="C298" i="36"/>
  <c r="C297" i="36"/>
  <c r="C296" i="36"/>
  <c r="C295" i="36"/>
  <c r="C294" i="36"/>
  <c r="C293" i="36"/>
  <c r="C292" i="36"/>
  <c r="C290" i="36"/>
  <c r="C288" i="36"/>
  <c r="C287" i="36"/>
  <c r="C285" i="36"/>
  <c r="C284" i="36"/>
  <c r="C283" i="36"/>
  <c r="C282" i="36"/>
  <c r="C281" i="36"/>
  <c r="C280" i="36"/>
  <c r="C279" i="36"/>
  <c r="C277" i="36"/>
  <c r="C276" i="36"/>
  <c r="C275" i="36"/>
  <c r="C274" i="36"/>
  <c r="C273" i="36"/>
  <c r="C271" i="36"/>
  <c r="C270" i="36"/>
  <c r="C269" i="36"/>
  <c r="C268" i="36"/>
  <c r="C267" i="36"/>
  <c r="C265" i="36"/>
  <c r="C264" i="36"/>
  <c r="C263" i="36"/>
  <c r="C262" i="36"/>
  <c r="C261" i="36"/>
  <c r="C259" i="36"/>
  <c r="C258" i="36"/>
  <c r="C257" i="36"/>
  <c r="C256" i="36"/>
  <c r="C255" i="36"/>
  <c r="C254" i="36"/>
  <c r="C253" i="36"/>
  <c r="C252" i="36"/>
  <c r="C251" i="36"/>
  <c r="C249" i="36"/>
  <c r="C248" i="36"/>
  <c r="C247" i="36"/>
  <c r="C246" i="36"/>
  <c r="C245" i="36"/>
  <c r="C244" i="36"/>
  <c r="C243" i="36"/>
  <c r="C241" i="36"/>
  <c r="C240" i="36"/>
  <c r="C239" i="36"/>
  <c r="C238" i="36"/>
  <c r="C237" i="36"/>
  <c r="C236" i="36"/>
  <c r="C235" i="36"/>
  <c r="C234" i="36"/>
  <c r="C232" i="36"/>
  <c r="C231" i="36"/>
  <c r="C230" i="36"/>
  <c r="C229" i="36"/>
  <c r="C228" i="36"/>
  <c r="C227" i="36"/>
  <c r="C226" i="36"/>
  <c r="C225" i="36"/>
  <c r="C224" i="36"/>
  <c r="C223" i="36"/>
  <c r="C222" i="36"/>
  <c r="C221" i="36"/>
  <c r="C220" i="36"/>
  <c r="C219" i="36"/>
  <c r="C218" i="36"/>
  <c r="C217" i="36"/>
  <c r="C216" i="36"/>
  <c r="C215" i="36"/>
  <c r="C214" i="36"/>
  <c r="C213" i="36"/>
  <c r="C212" i="36"/>
  <c r="C211" i="36"/>
  <c r="C210" i="36"/>
  <c r="C209" i="36"/>
  <c r="C208" i="36"/>
  <c r="C207" i="36"/>
  <c r="C206" i="36"/>
  <c r="C205" i="36"/>
  <c r="C204" i="36"/>
  <c r="C203" i="36"/>
  <c r="C202" i="36"/>
  <c r="C201" i="36"/>
  <c r="C200" i="36"/>
  <c r="C199" i="36"/>
  <c r="C198" i="36"/>
  <c r="C197" i="36"/>
  <c r="C195" i="36"/>
  <c r="C194" i="36"/>
  <c r="C193" i="36"/>
  <c r="C192" i="36"/>
  <c r="C191" i="36"/>
  <c r="C190" i="36"/>
  <c r="C189" i="36"/>
  <c r="C187" i="36"/>
  <c r="C186" i="36"/>
  <c r="C185" i="36"/>
  <c r="C184" i="36"/>
  <c r="C183" i="36"/>
  <c r="C182" i="36"/>
  <c r="C181" i="36"/>
  <c r="C180" i="36"/>
  <c r="C179" i="36"/>
  <c r="C178" i="36"/>
  <c r="C177" i="36"/>
  <c r="C176" i="36"/>
  <c r="C175" i="36"/>
  <c r="C174" i="36"/>
  <c r="C173" i="36"/>
  <c r="C172" i="36"/>
  <c r="C171" i="36"/>
  <c r="C170" i="36"/>
  <c r="C169" i="36"/>
  <c r="C168" i="36"/>
  <c r="C167" i="36"/>
  <c r="C166" i="36"/>
  <c r="C165" i="36"/>
  <c r="C164" i="36"/>
  <c r="C163" i="36"/>
  <c r="C162" i="36"/>
  <c r="C161" i="36"/>
  <c r="C160" i="36"/>
  <c r="C159" i="36"/>
  <c r="C157" i="36"/>
  <c r="C156" i="36"/>
  <c r="C155" i="36"/>
  <c r="C154" i="36"/>
  <c r="C153" i="36"/>
  <c r="C152" i="36"/>
  <c r="C151" i="36"/>
  <c r="C150" i="36"/>
  <c r="C149" i="36"/>
  <c r="C148" i="36"/>
  <c r="C147" i="36"/>
  <c r="C146" i="36"/>
  <c r="C145" i="36"/>
  <c r="C144" i="36"/>
  <c r="C143" i="36"/>
  <c r="C142" i="36"/>
  <c r="C141" i="36"/>
  <c r="C140" i="36"/>
  <c r="C139" i="36"/>
  <c r="C138" i="36"/>
  <c r="C137" i="36"/>
  <c r="C136" i="36"/>
  <c r="C135" i="36"/>
  <c r="C134" i="36"/>
  <c r="C133" i="36"/>
  <c r="C132" i="36"/>
  <c r="C131" i="36"/>
  <c r="C130" i="36"/>
  <c r="C129" i="36"/>
  <c r="C127" i="36"/>
  <c r="C126" i="36"/>
  <c r="C125" i="36"/>
  <c r="C124" i="36"/>
  <c r="C123" i="36"/>
  <c r="C122" i="36"/>
  <c r="C121" i="36"/>
  <c r="C120" i="36"/>
  <c r="C119" i="36"/>
  <c r="C118" i="36"/>
  <c r="C117" i="36"/>
  <c r="C116" i="36"/>
  <c r="C115" i="36"/>
  <c r="C114" i="36"/>
  <c r="C113" i="36"/>
  <c r="C112" i="36"/>
  <c r="C111" i="36"/>
  <c r="C110" i="36"/>
  <c r="C109" i="36"/>
  <c r="C108" i="36"/>
  <c r="C107" i="36"/>
  <c r="C106" i="36"/>
  <c r="C105" i="36"/>
  <c r="C104" i="36"/>
  <c r="C103" i="36"/>
  <c r="C102" i="36"/>
  <c r="C101" i="36"/>
  <c r="C100" i="36"/>
  <c r="C99" i="36"/>
  <c r="C98" i="36"/>
  <c r="C97" i="36"/>
  <c r="C96" i="36"/>
  <c r="C95" i="36"/>
  <c r="C94" i="36"/>
  <c r="C93" i="36"/>
  <c r="C92" i="36"/>
  <c r="C91" i="36"/>
  <c r="C90" i="36"/>
  <c r="C89" i="36"/>
  <c r="C88" i="36"/>
  <c r="C87" i="36"/>
  <c r="C86" i="36"/>
  <c r="C85" i="36"/>
  <c r="C84" i="36"/>
  <c r="C83" i="36"/>
  <c r="C82" i="36"/>
  <c r="C81" i="36"/>
  <c r="C80" i="36"/>
  <c r="C79" i="36"/>
  <c r="C78" i="36"/>
  <c r="C77" i="36"/>
  <c r="C76" i="36"/>
  <c r="C75" i="36"/>
  <c r="C74" i="36"/>
  <c r="C73" i="36"/>
  <c r="C72" i="36"/>
  <c r="C71" i="36"/>
  <c r="C70" i="36"/>
  <c r="C69" i="36"/>
  <c r="C68" i="36"/>
  <c r="C67" i="36"/>
  <c r="C66" i="36"/>
  <c r="C65" i="36"/>
  <c r="C64" i="36"/>
  <c r="C61" i="36"/>
  <c r="C60" i="36"/>
  <c r="C59" i="36"/>
  <c r="C58" i="36"/>
  <c r="C57" i="36"/>
  <c r="C55" i="36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0" i="36"/>
  <c r="C39" i="36"/>
  <c r="C36" i="36"/>
  <c r="C35" i="36"/>
  <c r="C33" i="36"/>
  <c r="C32" i="36"/>
  <c r="C31" i="36"/>
  <c r="C30" i="36"/>
  <c r="C29" i="36"/>
  <c r="C28" i="36"/>
  <c r="C27" i="36"/>
  <c r="C25" i="36"/>
  <c r="C24" i="36"/>
  <c r="C20" i="36"/>
  <c r="C19" i="36"/>
  <c r="C17" i="36"/>
  <c r="C15" i="36"/>
  <c r="C14" i="36"/>
  <c r="C13" i="36"/>
  <c r="C12" i="36"/>
  <c r="C11" i="36"/>
  <c r="C10" i="36"/>
  <c r="C5" i="36"/>
  <c r="C4" i="36"/>
  <c r="C2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P8" i="31"/>
  <c r="AT175" i="20" l="1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BP106" i="20"/>
  <c r="BO106" i="20"/>
  <c r="BM106" i="20"/>
  <c r="BN106" i="20" s="1"/>
  <c r="BL106" i="20"/>
  <c r="BH106" i="20"/>
  <c r="BI106" i="20" s="1"/>
  <c r="BE106" i="20"/>
  <c r="BD106" i="20" l="1"/>
  <c r="BF106" i="20" s="1"/>
  <c r="BS106" i="20"/>
  <c r="BT106" i="20" s="1"/>
  <c r="AT176" i="20"/>
  <c r="AY106" i="20"/>
  <c r="BB106" i="20"/>
  <c r="BC106" i="20" s="1"/>
  <c r="BQ106" i="20"/>
  <c r="BR106" i="20"/>
  <c r="AZ106" i="20" l="1"/>
  <c r="BA106" i="20" s="1"/>
  <c r="D315" i="31"/>
  <c r="D314" i="31"/>
  <c r="D611" i="31"/>
  <c r="D610" i="31"/>
  <c r="D609" i="31"/>
  <c r="D608" i="31"/>
  <c r="D607" i="31"/>
  <c r="D606" i="31"/>
  <c r="D605" i="31"/>
  <c r="D604" i="31"/>
  <c r="D603" i="31"/>
  <c r="D602" i="31"/>
  <c r="D601" i="31"/>
  <c r="D600" i="31"/>
  <c r="D599" i="31"/>
  <c r="D598" i="31"/>
  <c r="D597" i="31"/>
  <c r="D596" i="31"/>
  <c r="D595" i="31"/>
  <c r="D594" i="31"/>
  <c r="D593" i="31"/>
  <c r="D592" i="31"/>
  <c r="D591" i="31"/>
  <c r="D590" i="31"/>
  <c r="D589" i="31"/>
  <c r="D588" i="31"/>
  <c r="D587" i="31"/>
  <c r="D586" i="31"/>
  <c r="D585" i="31"/>
  <c r="D584" i="31"/>
  <c r="D583" i="31"/>
  <c r="D582" i="31"/>
  <c r="D581" i="31"/>
  <c r="D580" i="31"/>
  <c r="D579" i="31"/>
  <c r="D578" i="31"/>
  <c r="D577" i="31"/>
  <c r="D576" i="31"/>
  <c r="D575" i="31"/>
  <c r="D574" i="31"/>
  <c r="D573" i="31"/>
  <c r="D572" i="31"/>
  <c r="D571" i="31"/>
  <c r="D570" i="31"/>
  <c r="D569" i="31"/>
  <c r="D568" i="31"/>
  <c r="D567" i="31"/>
  <c r="D566" i="31"/>
  <c r="D565" i="31"/>
  <c r="D564" i="31"/>
  <c r="D563" i="31"/>
  <c r="D562" i="31"/>
  <c r="D561" i="31"/>
  <c r="D560" i="31"/>
  <c r="D559" i="31"/>
  <c r="D558" i="31"/>
  <c r="D557" i="31"/>
  <c r="D556" i="31"/>
  <c r="D555" i="31"/>
  <c r="D554" i="31"/>
  <c r="D553" i="31"/>
  <c r="D552" i="31"/>
  <c r="D551" i="31"/>
  <c r="D550" i="31"/>
  <c r="D549" i="31"/>
  <c r="D548" i="31"/>
  <c r="D547" i="31"/>
  <c r="D546" i="31"/>
  <c r="D545" i="31"/>
  <c r="D544" i="31"/>
  <c r="D543" i="31"/>
  <c r="D542" i="31"/>
  <c r="D541" i="31"/>
  <c r="D540" i="31"/>
  <c r="D539" i="31"/>
  <c r="D538" i="31"/>
  <c r="D537" i="31"/>
  <c r="D536" i="31"/>
  <c r="D535" i="31"/>
  <c r="D534" i="31"/>
  <c r="D533" i="31"/>
  <c r="D532" i="31"/>
  <c r="D531" i="31"/>
  <c r="D530" i="31"/>
  <c r="D529" i="31"/>
  <c r="D528" i="31"/>
  <c r="D527" i="31"/>
  <c r="D526" i="31"/>
  <c r="D525" i="31"/>
  <c r="D524" i="31"/>
  <c r="D523" i="31"/>
  <c r="D522" i="31"/>
  <c r="D521" i="31"/>
  <c r="D520" i="31"/>
  <c r="D519" i="31"/>
  <c r="D518" i="31"/>
  <c r="D517" i="31"/>
  <c r="D516" i="31"/>
  <c r="D515" i="31"/>
  <c r="D514" i="31"/>
  <c r="D513" i="31"/>
  <c r="D512" i="31"/>
  <c r="D511" i="31"/>
  <c r="D510" i="31"/>
  <c r="D509" i="31"/>
  <c r="D508" i="31"/>
  <c r="D507" i="31"/>
  <c r="D506" i="31"/>
  <c r="D505" i="31"/>
  <c r="D504" i="31"/>
  <c r="D503" i="31"/>
  <c r="D502" i="31"/>
  <c r="D501" i="31"/>
  <c r="D500" i="31"/>
  <c r="D499" i="31"/>
  <c r="D498" i="31"/>
  <c r="D497" i="31"/>
  <c r="D496" i="31"/>
  <c r="D495" i="31"/>
  <c r="D494" i="31"/>
  <c r="D493" i="31"/>
  <c r="D492" i="31"/>
  <c r="D491" i="31"/>
  <c r="D490" i="31"/>
  <c r="D489" i="31"/>
  <c r="D488" i="31"/>
  <c r="D487" i="31"/>
  <c r="D486" i="31"/>
  <c r="D485" i="31"/>
  <c r="D484" i="31"/>
  <c r="D483" i="31"/>
  <c r="D482" i="31"/>
  <c r="D481" i="31"/>
  <c r="D480" i="31"/>
  <c r="D479" i="31"/>
  <c r="D478" i="31"/>
  <c r="D477" i="31"/>
  <c r="D476" i="31"/>
  <c r="D475" i="31"/>
  <c r="D474" i="31"/>
  <c r="D473" i="31"/>
  <c r="D472" i="31"/>
  <c r="D471" i="31"/>
  <c r="D470" i="31"/>
  <c r="D469" i="31"/>
  <c r="D468" i="31"/>
  <c r="D467" i="31"/>
  <c r="D466" i="31"/>
  <c r="D465" i="31"/>
  <c r="D464" i="31"/>
  <c r="D463" i="31"/>
  <c r="D462" i="31"/>
  <c r="D461" i="31"/>
  <c r="D460" i="31"/>
  <c r="D459" i="31"/>
  <c r="D458" i="31"/>
  <c r="D457" i="31"/>
  <c r="D456" i="31"/>
  <c r="D455" i="31"/>
  <c r="D454" i="31"/>
  <c r="D453" i="31"/>
  <c r="D452" i="31"/>
  <c r="D451" i="31"/>
  <c r="D450" i="31"/>
  <c r="D449" i="31"/>
  <c r="D448" i="31"/>
  <c r="D447" i="31"/>
  <c r="D446" i="31"/>
  <c r="D445" i="31"/>
  <c r="D444" i="31"/>
  <c r="D443" i="31"/>
  <c r="D442" i="31"/>
  <c r="D441" i="31"/>
  <c r="D440" i="31"/>
  <c r="D439" i="31"/>
  <c r="D438" i="31"/>
  <c r="D437" i="31"/>
  <c r="D436" i="31"/>
  <c r="D435" i="31"/>
  <c r="D434" i="31"/>
  <c r="D433" i="31"/>
  <c r="D432" i="31"/>
  <c r="D431" i="31"/>
  <c r="D430" i="31"/>
  <c r="D429" i="31"/>
  <c r="D428" i="31"/>
  <c r="D427" i="31"/>
  <c r="D426" i="31"/>
  <c r="D425" i="31"/>
  <c r="D424" i="31"/>
  <c r="D423" i="31"/>
  <c r="D422" i="31"/>
  <c r="D421" i="31"/>
  <c r="D420" i="31"/>
  <c r="D419" i="31"/>
  <c r="D418" i="31"/>
  <c r="D417" i="31"/>
  <c r="D416" i="31"/>
  <c r="D415" i="31"/>
  <c r="D414" i="31"/>
  <c r="D413" i="31"/>
  <c r="D412" i="31"/>
  <c r="D411" i="31"/>
  <c r="D410" i="31"/>
  <c r="D409" i="31"/>
  <c r="D408" i="31"/>
  <c r="D407" i="31"/>
  <c r="D406" i="31"/>
  <c r="D405" i="31"/>
  <c r="D404" i="31"/>
  <c r="D403" i="31"/>
  <c r="D402" i="31"/>
  <c r="D401" i="31"/>
  <c r="D400" i="31"/>
  <c r="D399" i="31"/>
  <c r="D398" i="31"/>
  <c r="D397" i="31"/>
  <c r="D396" i="31"/>
  <c r="D395" i="31"/>
  <c r="D394" i="31"/>
  <c r="D393" i="31"/>
  <c r="D392" i="31"/>
  <c r="D391" i="31"/>
  <c r="D390" i="31"/>
  <c r="D389" i="31"/>
  <c r="D388" i="31"/>
  <c r="D387" i="31"/>
  <c r="D386" i="31"/>
  <c r="D385" i="31"/>
  <c r="D384" i="31"/>
  <c r="D383" i="31"/>
  <c r="D382" i="31"/>
  <c r="D381" i="31"/>
  <c r="D380" i="31"/>
  <c r="D379" i="31"/>
  <c r="D378" i="31"/>
  <c r="D377" i="31"/>
  <c r="D376" i="31"/>
  <c r="D375" i="31"/>
  <c r="D374" i="31"/>
  <c r="D373" i="31"/>
  <c r="D372" i="3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AO7" i="31"/>
  <c r="AN7" i="31"/>
  <c r="AM7" i="31"/>
  <c r="AL7" i="31"/>
  <c r="AK7" i="31"/>
  <c r="AJ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6" i="31"/>
  <c r="A125" i="31"/>
  <c r="BP304" i="15"/>
  <c r="BP303" i="15"/>
  <c r="BP302" i="15"/>
  <c r="BP301" i="15"/>
  <c r="BP300" i="15"/>
  <c r="BP298" i="15"/>
  <c r="BP292" i="15"/>
  <c r="BP289" i="15"/>
  <c r="BP284" i="15"/>
  <c r="BP283" i="15"/>
  <c r="BP279" i="15"/>
  <c r="BP277" i="15"/>
  <c r="BP273" i="15"/>
  <c r="BP271" i="15"/>
  <c r="BP267" i="15"/>
  <c r="BP266" i="15"/>
  <c r="BP265" i="15"/>
  <c r="BP262" i="15"/>
  <c r="BP256" i="15"/>
  <c r="BP254" i="15"/>
  <c r="BP250" i="15"/>
  <c r="BP238" i="15"/>
  <c r="BP236" i="15"/>
  <c r="BP218" i="15"/>
  <c r="BP200" i="15"/>
  <c r="BP185" i="15"/>
  <c r="BP181" i="15"/>
  <c r="BP173" i="15"/>
  <c r="BP165" i="15"/>
  <c r="BP163" i="15"/>
  <c r="BP154" i="15"/>
  <c r="BP145" i="15"/>
  <c r="BP124" i="15"/>
  <c r="BP110" i="15"/>
  <c r="BP47" i="15"/>
  <c r="BP31" i="15"/>
  <c r="BP28" i="15"/>
  <c r="BP26" i="15"/>
  <c r="BP23" i="15"/>
  <c r="BP21" i="15"/>
  <c r="BP20" i="15"/>
  <c r="BP19" i="15"/>
  <c r="BP14" i="15"/>
  <c r="BP13" i="15"/>
  <c r="BP9" i="15"/>
  <c r="BP123" i="15"/>
  <c r="A124" i="31"/>
  <c r="A123" i="31"/>
  <c r="A122" i="31"/>
  <c r="A121" i="31"/>
  <c r="A120" i="31"/>
  <c r="A119" i="31"/>
  <c r="A118" i="31"/>
  <c r="A117" i="31"/>
  <c r="A116" i="31"/>
  <c r="A115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T320" i="15"/>
  <c r="A520" i="31" l="1"/>
  <c r="AR215" i="31"/>
  <c r="AS215" i="31"/>
  <c r="AS299" i="31"/>
  <c r="AR299" i="31"/>
  <c r="AS63" i="31"/>
  <c r="AR63" i="31"/>
  <c r="AS240" i="31"/>
  <c r="AR240" i="31"/>
  <c r="AS112" i="31"/>
  <c r="AR112" i="31"/>
  <c r="AQ112" i="31"/>
  <c r="AR133" i="31"/>
  <c r="AS133" i="31"/>
  <c r="AS253" i="31"/>
  <c r="AR253" i="31"/>
  <c r="AS41" i="31"/>
  <c r="AR41" i="31"/>
  <c r="AS267" i="31"/>
  <c r="AR267" i="31"/>
  <c r="AS280" i="31"/>
  <c r="AR280" i="31"/>
  <c r="AS116" i="31"/>
  <c r="AR116" i="31"/>
  <c r="AS125" i="31"/>
  <c r="AR125" i="31"/>
  <c r="AQ125" i="31"/>
  <c r="A442" i="31"/>
  <c r="AS137" i="31"/>
  <c r="AR137" i="31"/>
  <c r="AS149" i="31"/>
  <c r="AR149" i="31"/>
  <c r="AS161" i="31"/>
  <c r="AR161" i="31"/>
  <c r="AS173" i="31"/>
  <c r="AR173" i="31"/>
  <c r="AS185" i="31"/>
  <c r="AR185" i="31"/>
  <c r="AS197" i="31"/>
  <c r="AR197" i="31"/>
  <c r="AS209" i="31"/>
  <c r="AR209" i="31"/>
  <c r="AS221" i="31"/>
  <c r="AR221" i="31"/>
  <c r="AS233" i="31"/>
  <c r="AR233" i="31"/>
  <c r="AS245" i="31"/>
  <c r="AR245" i="31"/>
  <c r="AS257" i="31"/>
  <c r="AR257" i="31"/>
  <c r="AR269" i="31"/>
  <c r="AS269" i="31"/>
  <c r="AQ269" i="31"/>
  <c r="AR281" i="31"/>
  <c r="AS281" i="31"/>
  <c r="AQ281" i="31"/>
  <c r="AS293" i="31"/>
  <c r="AR293" i="31"/>
  <c r="AS305" i="31"/>
  <c r="AR305" i="31"/>
  <c r="AQ305" i="31"/>
  <c r="AS155" i="31"/>
  <c r="AR155" i="31"/>
  <c r="AS263" i="31"/>
  <c r="AR263" i="31"/>
  <c r="AS27" i="31"/>
  <c r="AR27" i="31"/>
  <c r="AS123" i="31"/>
  <c r="AR123" i="31"/>
  <c r="AS216" i="31"/>
  <c r="AR216" i="31"/>
  <c r="AS100" i="31"/>
  <c r="AR100" i="31"/>
  <c r="AS169" i="31"/>
  <c r="AR169" i="31"/>
  <c r="AS135" i="31"/>
  <c r="AR135" i="31"/>
  <c r="AR231" i="31"/>
  <c r="AS231" i="31"/>
  <c r="AR79" i="31"/>
  <c r="AS79" i="31"/>
  <c r="AS148" i="31"/>
  <c r="AR148" i="31"/>
  <c r="AS208" i="31"/>
  <c r="AR208" i="31"/>
  <c r="AS292" i="31"/>
  <c r="AR292" i="31"/>
  <c r="AR20" i="31"/>
  <c r="AS20" i="31"/>
  <c r="AS32" i="31"/>
  <c r="AR32" i="31"/>
  <c r="AS44" i="31"/>
  <c r="AR44" i="31"/>
  <c r="AS56" i="31"/>
  <c r="AR56" i="31"/>
  <c r="AS68" i="31"/>
  <c r="AR68" i="31"/>
  <c r="AS80" i="31"/>
  <c r="AR80" i="31"/>
  <c r="AS92" i="31"/>
  <c r="AR92" i="31"/>
  <c r="AS104" i="31"/>
  <c r="AR104" i="31"/>
  <c r="AS9" i="31"/>
  <c r="AR9" i="31"/>
  <c r="AS21" i="31"/>
  <c r="AQ21" i="31"/>
  <c r="AR21" i="31"/>
  <c r="AS33" i="31"/>
  <c r="AR33" i="31"/>
  <c r="A350" i="31"/>
  <c r="AR45" i="31"/>
  <c r="AS45" i="31"/>
  <c r="AS57" i="31"/>
  <c r="AR57" i="31"/>
  <c r="A374" i="31"/>
  <c r="AR69" i="31"/>
  <c r="AS69" i="31"/>
  <c r="AR81" i="31"/>
  <c r="AS81" i="31"/>
  <c r="AS93" i="31"/>
  <c r="AR93" i="31"/>
  <c r="AR105" i="31"/>
  <c r="AS105" i="31"/>
  <c r="AQ105" i="31"/>
  <c r="AR117" i="31"/>
  <c r="AS117" i="31"/>
  <c r="AS126" i="31"/>
  <c r="AQ126" i="31"/>
  <c r="AR126" i="31"/>
  <c r="AS138" i="31"/>
  <c r="AR138" i="31"/>
  <c r="AS150" i="31"/>
  <c r="AR150" i="31"/>
  <c r="AS162" i="31"/>
  <c r="AR162" i="31"/>
  <c r="AS174" i="31"/>
  <c r="AR174" i="31"/>
  <c r="AS186" i="31"/>
  <c r="AR186" i="31"/>
  <c r="AS198" i="31"/>
  <c r="AR198" i="31"/>
  <c r="AS210" i="31"/>
  <c r="AR210" i="31"/>
  <c r="AS222" i="31"/>
  <c r="AR222" i="31"/>
  <c r="AS234" i="31"/>
  <c r="AR234" i="31"/>
  <c r="AS246" i="31"/>
  <c r="AR246" i="31"/>
  <c r="AS258" i="31"/>
  <c r="AQ258" i="31"/>
  <c r="AR258" i="31"/>
  <c r="AS270" i="31"/>
  <c r="AR270" i="31"/>
  <c r="AS282" i="31"/>
  <c r="AR282" i="31"/>
  <c r="AS294" i="31"/>
  <c r="AR294" i="31"/>
  <c r="AQ294" i="31"/>
  <c r="AS306" i="31"/>
  <c r="AR306" i="31"/>
  <c r="AQ306" i="31"/>
  <c r="AS179" i="31"/>
  <c r="AR179" i="31"/>
  <c r="AS14" i="31"/>
  <c r="AR14" i="31"/>
  <c r="AS50" i="31"/>
  <c r="AR50" i="31"/>
  <c r="AS74" i="31"/>
  <c r="AR74" i="31"/>
  <c r="AS98" i="31"/>
  <c r="AR98" i="31"/>
  <c r="AS122" i="31"/>
  <c r="AR122" i="31"/>
  <c r="AS131" i="31"/>
  <c r="AR131" i="31"/>
  <c r="AQ167" i="31"/>
  <c r="AS167" i="31"/>
  <c r="AR167" i="31"/>
  <c r="AR203" i="31"/>
  <c r="AS203" i="31"/>
  <c r="AS239" i="31"/>
  <c r="AR239" i="31"/>
  <c r="AQ275" i="31"/>
  <c r="AR275" i="31"/>
  <c r="AS275" i="31"/>
  <c r="AS15" i="31"/>
  <c r="AR15" i="31"/>
  <c r="AS51" i="31"/>
  <c r="AR51" i="31"/>
  <c r="AS87" i="31"/>
  <c r="AR87" i="31"/>
  <c r="AS111" i="31"/>
  <c r="AR111" i="31"/>
  <c r="AS156" i="31"/>
  <c r="AR156" i="31"/>
  <c r="AQ156" i="31"/>
  <c r="AS192" i="31"/>
  <c r="AR192" i="31"/>
  <c r="AS228" i="31"/>
  <c r="AR228" i="31"/>
  <c r="AS264" i="31"/>
  <c r="AR264" i="31"/>
  <c r="AQ264" i="31"/>
  <c r="AS288" i="31"/>
  <c r="AR288" i="31"/>
  <c r="AS16" i="31"/>
  <c r="AR16" i="31"/>
  <c r="AS28" i="31"/>
  <c r="AR28" i="31"/>
  <c r="AS40" i="31"/>
  <c r="AR40" i="31"/>
  <c r="AS52" i="31"/>
  <c r="AR52" i="31"/>
  <c r="AS64" i="31"/>
  <c r="AR64" i="31"/>
  <c r="AS88" i="31"/>
  <c r="AR88" i="31"/>
  <c r="AS124" i="31"/>
  <c r="AR124" i="31"/>
  <c r="AS157" i="31"/>
  <c r="AR157" i="31"/>
  <c r="AS181" i="31"/>
  <c r="AR181" i="31"/>
  <c r="AR205" i="31"/>
  <c r="AS205" i="31"/>
  <c r="AS229" i="31"/>
  <c r="AR229" i="31"/>
  <c r="AR265" i="31"/>
  <c r="AS265" i="31"/>
  <c r="AR289" i="31"/>
  <c r="AS289" i="31"/>
  <c r="AS17" i="31"/>
  <c r="AR17" i="31"/>
  <c r="AS53" i="31"/>
  <c r="AR53" i="31"/>
  <c r="AS101" i="31"/>
  <c r="AR101" i="31"/>
  <c r="AS146" i="31"/>
  <c r="AQ146" i="31"/>
  <c r="AR146" i="31"/>
  <c r="AS170" i="31"/>
  <c r="AR170" i="31"/>
  <c r="AS194" i="31"/>
  <c r="AR194" i="31"/>
  <c r="AS218" i="31"/>
  <c r="AR218" i="31"/>
  <c r="AS242" i="31"/>
  <c r="AR242" i="31"/>
  <c r="AS266" i="31"/>
  <c r="AR266" i="31"/>
  <c r="AS290" i="31"/>
  <c r="AR290" i="31"/>
  <c r="AS18" i="31"/>
  <c r="AR18" i="31"/>
  <c r="AS42" i="31"/>
  <c r="AR42" i="31"/>
  <c r="AS54" i="31"/>
  <c r="AR54" i="31"/>
  <c r="AS78" i="31"/>
  <c r="AR78" i="31"/>
  <c r="AS90" i="31"/>
  <c r="AR90" i="31"/>
  <c r="AS114" i="31"/>
  <c r="AR114" i="31"/>
  <c r="AS159" i="31"/>
  <c r="AR159" i="31"/>
  <c r="AQ183" i="31"/>
  <c r="AS183" i="31"/>
  <c r="AR183" i="31"/>
  <c r="AR207" i="31"/>
  <c r="AS207" i="31"/>
  <c r="AS243" i="31"/>
  <c r="AR243" i="31"/>
  <c r="AQ291" i="31"/>
  <c r="AS291" i="31"/>
  <c r="AR291" i="31"/>
  <c r="AS19" i="31"/>
  <c r="AR19" i="31"/>
  <c r="AS67" i="31"/>
  <c r="AR67" i="31"/>
  <c r="AS127" i="31"/>
  <c r="AR127" i="31"/>
  <c r="AQ175" i="31"/>
  <c r="AR175" i="31"/>
  <c r="AS175" i="31"/>
  <c r="AR211" i="31"/>
  <c r="AS211" i="31"/>
  <c r="AS235" i="31"/>
  <c r="AR235" i="31"/>
  <c r="AS271" i="31"/>
  <c r="AR271" i="31"/>
  <c r="AS283" i="31"/>
  <c r="AR283" i="31"/>
  <c r="AS11" i="31"/>
  <c r="AR11" i="31"/>
  <c r="AQ11" i="31"/>
  <c r="AS23" i="31"/>
  <c r="AR23" i="31"/>
  <c r="AS35" i="31"/>
  <c r="AR35" i="31"/>
  <c r="AS47" i="31"/>
  <c r="AR47" i="31"/>
  <c r="AR59" i="31"/>
  <c r="AS59" i="31"/>
  <c r="AS71" i="31"/>
  <c r="AR71" i="31"/>
  <c r="AS83" i="31"/>
  <c r="AR83" i="31"/>
  <c r="AS95" i="31"/>
  <c r="AR95" i="31"/>
  <c r="AS107" i="31"/>
  <c r="AR107" i="31"/>
  <c r="AS119" i="31"/>
  <c r="AR119" i="31"/>
  <c r="AS128" i="31"/>
  <c r="AR128" i="31"/>
  <c r="AS140" i="31"/>
  <c r="AR140" i="31"/>
  <c r="AQ140" i="31"/>
  <c r="AS152" i="31"/>
  <c r="AR152" i="31"/>
  <c r="AS164" i="31"/>
  <c r="AR164" i="31"/>
  <c r="AS176" i="31"/>
  <c r="AR176" i="31"/>
  <c r="AS188" i="31"/>
  <c r="AR188" i="31"/>
  <c r="AS200" i="31"/>
  <c r="AR200" i="31"/>
  <c r="AS212" i="31"/>
  <c r="AR212" i="31"/>
  <c r="AS224" i="31"/>
  <c r="AR224" i="31"/>
  <c r="AS236" i="31"/>
  <c r="AR236" i="31"/>
  <c r="AS248" i="31"/>
  <c r="AR248" i="31"/>
  <c r="AS260" i="31"/>
  <c r="AR260" i="31"/>
  <c r="AS272" i="31"/>
  <c r="AR272" i="31"/>
  <c r="AS284" i="31"/>
  <c r="AR284" i="31"/>
  <c r="AS296" i="31"/>
  <c r="AR296" i="31"/>
  <c r="A534" i="31"/>
  <c r="A331" i="31"/>
  <c r="AS26" i="31"/>
  <c r="AR26" i="31"/>
  <c r="AS62" i="31"/>
  <c r="AR62" i="31"/>
  <c r="AS86" i="31"/>
  <c r="AR86" i="31"/>
  <c r="AS110" i="31"/>
  <c r="AR110" i="31"/>
  <c r="AS143" i="31"/>
  <c r="AR143" i="31"/>
  <c r="AR191" i="31"/>
  <c r="AS191" i="31"/>
  <c r="AR227" i="31"/>
  <c r="AS227" i="31"/>
  <c r="AS251" i="31"/>
  <c r="AR251" i="31"/>
  <c r="AS287" i="31"/>
  <c r="AR287" i="31"/>
  <c r="AS39" i="31"/>
  <c r="AR39" i="31"/>
  <c r="AS75" i="31"/>
  <c r="AR75" i="31"/>
  <c r="A404" i="31"/>
  <c r="AS99" i="31"/>
  <c r="AR99" i="31"/>
  <c r="AS132" i="31"/>
  <c r="AR132" i="31"/>
  <c r="AS144" i="31"/>
  <c r="AR144" i="31"/>
  <c r="AS168" i="31"/>
  <c r="AR168" i="31"/>
  <c r="AS180" i="31"/>
  <c r="AR180" i="31"/>
  <c r="AS204" i="31"/>
  <c r="AR204" i="31"/>
  <c r="AS252" i="31"/>
  <c r="AR252" i="31"/>
  <c r="AQ252" i="31"/>
  <c r="AS276" i="31"/>
  <c r="AR276" i="31"/>
  <c r="AS300" i="31"/>
  <c r="AR300" i="31"/>
  <c r="AQ300" i="31"/>
  <c r="AS76" i="31"/>
  <c r="AR76" i="31"/>
  <c r="AS145" i="31"/>
  <c r="AR145" i="31"/>
  <c r="AR193" i="31"/>
  <c r="AQ193" i="31"/>
  <c r="AS193" i="31"/>
  <c r="A522" i="31"/>
  <c r="AS217" i="31"/>
  <c r="AR217" i="31"/>
  <c r="AS241" i="31"/>
  <c r="AR241" i="31"/>
  <c r="AR277" i="31"/>
  <c r="AS277" i="31"/>
  <c r="AS301" i="31"/>
  <c r="AR301" i="31"/>
  <c r="AS29" i="31"/>
  <c r="AR29" i="31"/>
  <c r="AS65" i="31"/>
  <c r="AR65" i="31"/>
  <c r="AS77" i="31"/>
  <c r="AR77" i="31"/>
  <c r="AS89" i="31"/>
  <c r="AR89" i="31"/>
  <c r="AS113" i="31"/>
  <c r="AR113" i="31"/>
  <c r="AS134" i="31"/>
  <c r="AR134" i="31"/>
  <c r="AS158" i="31"/>
  <c r="AR158" i="31"/>
  <c r="AS182" i="31"/>
  <c r="AR182" i="31"/>
  <c r="AS206" i="31"/>
  <c r="AR206" i="31"/>
  <c r="AS230" i="31"/>
  <c r="AR230" i="31"/>
  <c r="AS254" i="31"/>
  <c r="AR254" i="31"/>
  <c r="AS278" i="31"/>
  <c r="AR278" i="31"/>
  <c r="AS302" i="31"/>
  <c r="AR302" i="31"/>
  <c r="AQ302" i="31"/>
  <c r="AR30" i="31"/>
  <c r="AS30" i="31"/>
  <c r="AS66" i="31"/>
  <c r="AR66" i="31"/>
  <c r="AS102" i="31"/>
  <c r="AR102" i="31"/>
  <c r="AQ147" i="31"/>
  <c r="AS147" i="31"/>
  <c r="AR147" i="31"/>
  <c r="AS171" i="31"/>
  <c r="AR171" i="31"/>
  <c r="AS195" i="31"/>
  <c r="AR195" i="31"/>
  <c r="AS219" i="31"/>
  <c r="AR219" i="31"/>
  <c r="AR255" i="31"/>
  <c r="AS255" i="31"/>
  <c r="AR279" i="31"/>
  <c r="AS279" i="31"/>
  <c r="AQ303" i="31"/>
  <c r="AS303" i="31"/>
  <c r="AR303" i="31"/>
  <c r="AS31" i="31"/>
  <c r="AR31" i="31"/>
  <c r="AS55" i="31"/>
  <c r="AR55" i="31"/>
  <c r="AS91" i="31"/>
  <c r="AR91" i="31"/>
  <c r="AS115" i="31"/>
  <c r="AR115" i="31"/>
  <c r="AS268" i="31"/>
  <c r="AR268" i="31"/>
  <c r="AQ268" i="31"/>
  <c r="AS10" i="31"/>
  <c r="AR10" i="31"/>
  <c r="AS34" i="31"/>
  <c r="AR34" i="31"/>
  <c r="AS58" i="31"/>
  <c r="AR58" i="31"/>
  <c r="AS82" i="31"/>
  <c r="AR82" i="31"/>
  <c r="AS106" i="31"/>
  <c r="AR106" i="31"/>
  <c r="AS151" i="31"/>
  <c r="AR151" i="31"/>
  <c r="AQ187" i="31"/>
  <c r="AS187" i="31"/>
  <c r="AR187" i="31"/>
  <c r="AS223" i="31"/>
  <c r="AR223" i="31"/>
  <c r="AR259" i="31"/>
  <c r="AS259" i="31"/>
  <c r="AR295" i="31"/>
  <c r="AS295" i="31"/>
  <c r="AS12" i="31"/>
  <c r="AR12" i="31"/>
  <c r="AR24" i="31"/>
  <c r="AS24" i="31"/>
  <c r="AS36" i="31"/>
  <c r="AR36" i="31"/>
  <c r="AS48" i="31"/>
  <c r="AR48" i="31"/>
  <c r="AS60" i="31"/>
  <c r="AR60" i="31"/>
  <c r="AS72" i="31"/>
  <c r="AR72" i="31"/>
  <c r="AS84" i="31"/>
  <c r="AR84" i="31"/>
  <c r="AS96" i="31"/>
  <c r="AR96" i="31"/>
  <c r="AS108" i="31"/>
  <c r="AR108" i="31"/>
  <c r="AS120" i="31"/>
  <c r="AR120" i="31"/>
  <c r="AR129" i="31"/>
  <c r="AS129" i="31"/>
  <c r="AQ129" i="31"/>
  <c r="AR141" i="31"/>
  <c r="AS141" i="31"/>
  <c r="AR153" i="31"/>
  <c r="AS153" i="31"/>
  <c r="AR165" i="31"/>
  <c r="AS165" i="31"/>
  <c r="AR177" i="31"/>
  <c r="AS177" i="31"/>
  <c r="AR189" i="31"/>
  <c r="AS189" i="31"/>
  <c r="AR201" i="31"/>
  <c r="AS201" i="31"/>
  <c r="AR213" i="31"/>
  <c r="AS213" i="31"/>
  <c r="AR225" i="31"/>
  <c r="AS225" i="31"/>
  <c r="AR237" i="31"/>
  <c r="AS237" i="31"/>
  <c r="AR249" i="31"/>
  <c r="AS249" i="31"/>
  <c r="AR261" i="31"/>
  <c r="AS261" i="31"/>
  <c r="AR273" i="31"/>
  <c r="AS273" i="31"/>
  <c r="AR285" i="31"/>
  <c r="AS285" i="31"/>
  <c r="AS297" i="31"/>
  <c r="AR297" i="31"/>
  <c r="AS43" i="31"/>
  <c r="AR43" i="31"/>
  <c r="AS103" i="31"/>
  <c r="AR103" i="31"/>
  <c r="AS136" i="31"/>
  <c r="AR136" i="31"/>
  <c r="AS160" i="31"/>
  <c r="AR160" i="31"/>
  <c r="AS172" i="31"/>
  <c r="AR172" i="31"/>
  <c r="AS184" i="31"/>
  <c r="AR184" i="31"/>
  <c r="AS196" i="31"/>
  <c r="AR196" i="31"/>
  <c r="AS220" i="31"/>
  <c r="AR220" i="31"/>
  <c r="AQ220" i="31"/>
  <c r="AS232" i="31"/>
  <c r="AR232" i="31"/>
  <c r="AS244" i="31"/>
  <c r="AR244" i="31"/>
  <c r="AS256" i="31"/>
  <c r="AR256" i="31"/>
  <c r="AQ256" i="31"/>
  <c r="AS304" i="31"/>
  <c r="AR304" i="31"/>
  <c r="AQ304" i="31"/>
  <c r="AQ22" i="31"/>
  <c r="AS22" i="31"/>
  <c r="AR22" i="31"/>
  <c r="AS46" i="31"/>
  <c r="AR46" i="31"/>
  <c r="AS70" i="31"/>
  <c r="AR70" i="31"/>
  <c r="AS94" i="31"/>
  <c r="AR94" i="31"/>
  <c r="AS118" i="31"/>
  <c r="AR118" i="31"/>
  <c r="AS139" i="31"/>
  <c r="AR139" i="31"/>
  <c r="AS163" i="31"/>
  <c r="AR163" i="31"/>
  <c r="AS199" i="31"/>
  <c r="AR199" i="31"/>
  <c r="AR247" i="31"/>
  <c r="AS247" i="31"/>
  <c r="A486" i="31"/>
  <c r="AS13" i="31"/>
  <c r="AR13" i="31"/>
  <c r="A330" i="31"/>
  <c r="AS25" i="31"/>
  <c r="AR25" i="31"/>
  <c r="AS37" i="31"/>
  <c r="AR37" i="31"/>
  <c r="AS49" i="31"/>
  <c r="AR49" i="31"/>
  <c r="AS61" i="31"/>
  <c r="AR61" i="31"/>
  <c r="AR73" i="31"/>
  <c r="AS73" i="31"/>
  <c r="AS85" i="31"/>
  <c r="AR85" i="31"/>
  <c r="AS97" i="31"/>
  <c r="AR97" i="31"/>
  <c r="AS109" i="31"/>
  <c r="AR109" i="31"/>
  <c r="AS121" i="31"/>
  <c r="AR121" i="31"/>
  <c r="AS130" i="31"/>
  <c r="AR130" i="31"/>
  <c r="AS142" i="31"/>
  <c r="AR142" i="31"/>
  <c r="AS154" i="31"/>
  <c r="AR154" i="31"/>
  <c r="AS166" i="31"/>
  <c r="AR166" i="31"/>
  <c r="AS178" i="31"/>
  <c r="AR178" i="31"/>
  <c r="AS190" i="31"/>
  <c r="AR190" i="31"/>
  <c r="AS202" i="31"/>
  <c r="AQ202" i="31"/>
  <c r="AR202" i="31"/>
  <c r="A519" i="31"/>
  <c r="AS214" i="31"/>
  <c r="AR214" i="31"/>
  <c r="AS226" i="31"/>
  <c r="AR226" i="31"/>
  <c r="AS238" i="31"/>
  <c r="AQ238" i="31"/>
  <c r="AR238" i="31"/>
  <c r="AS250" i="31"/>
  <c r="AR250" i="31"/>
  <c r="AS262" i="31"/>
  <c r="AR262" i="31"/>
  <c r="AS274" i="31"/>
  <c r="AR274" i="31"/>
  <c r="AS286" i="31"/>
  <c r="AR286" i="31"/>
  <c r="AQ286" i="31"/>
  <c r="AS298" i="31"/>
  <c r="AR298" i="31"/>
  <c r="AL11" i="31"/>
  <c r="AL12" i="31"/>
  <c r="AL10" i="31"/>
  <c r="AL9" i="31"/>
  <c r="AS38" i="31"/>
  <c r="AR38" i="31"/>
  <c r="A478" i="31"/>
  <c r="A514" i="31"/>
  <c r="A562" i="31"/>
  <c r="A527" i="31"/>
  <c r="A551" i="31"/>
  <c r="A575" i="31"/>
  <c r="A491" i="31"/>
  <c r="A315" i="31"/>
  <c r="A432" i="31"/>
  <c r="A468" i="31"/>
  <c r="A504" i="31"/>
  <c r="A540" i="31"/>
  <c r="A576" i="31"/>
  <c r="A600" i="31"/>
  <c r="A316" i="31"/>
  <c r="A328" i="31"/>
  <c r="A352" i="31"/>
  <c r="A364" i="31"/>
  <c r="A388" i="31"/>
  <c r="A400" i="31"/>
  <c r="A412" i="31"/>
  <c r="A433" i="31"/>
  <c r="A445" i="31"/>
  <c r="A469" i="31"/>
  <c r="A481" i="31"/>
  <c r="A493" i="31"/>
  <c r="A505" i="31"/>
  <c r="A517" i="31"/>
  <c r="A529" i="31"/>
  <c r="A541" i="31"/>
  <c r="A553" i="31"/>
  <c r="A565" i="31"/>
  <c r="A577" i="31"/>
  <c r="A601" i="31"/>
  <c r="A317" i="31"/>
  <c r="A329" i="31"/>
  <c r="A341" i="31"/>
  <c r="A353" i="31"/>
  <c r="A365" i="31"/>
  <c r="A377" i="31"/>
  <c r="A389" i="31"/>
  <c r="A401" i="31"/>
  <c r="A413" i="31"/>
  <c r="A425" i="31"/>
  <c r="A434" i="31"/>
  <c r="A446" i="31"/>
  <c r="A458" i="31"/>
  <c r="A470" i="31"/>
  <c r="A482" i="31"/>
  <c r="A494" i="31"/>
  <c r="A506" i="31"/>
  <c r="A518" i="31"/>
  <c r="A530" i="31"/>
  <c r="A542" i="31"/>
  <c r="A554" i="31"/>
  <c r="A566" i="31"/>
  <c r="A578" i="31"/>
  <c r="A590" i="31"/>
  <c r="A602" i="31"/>
  <c r="A373" i="31"/>
  <c r="A454" i="31"/>
  <c r="A538" i="31"/>
  <c r="A610" i="31"/>
  <c r="A410" i="31"/>
  <c r="A479" i="31"/>
  <c r="A387" i="31"/>
  <c r="A492" i="31"/>
  <c r="A564" i="31"/>
  <c r="A340" i="31"/>
  <c r="A376" i="31"/>
  <c r="A424" i="31"/>
  <c r="A457" i="31"/>
  <c r="A589" i="31"/>
  <c r="A318" i="31"/>
  <c r="A342" i="31"/>
  <c r="A354" i="31"/>
  <c r="A366" i="31"/>
  <c r="A378" i="31"/>
  <c r="A390" i="31"/>
  <c r="A402" i="31"/>
  <c r="A414" i="31"/>
  <c r="A426" i="31"/>
  <c r="A435" i="31"/>
  <c r="A447" i="31"/>
  <c r="A459" i="31"/>
  <c r="A471" i="31"/>
  <c r="A495" i="31"/>
  <c r="A507" i="31"/>
  <c r="A531" i="31"/>
  <c r="A543" i="31"/>
  <c r="A555" i="31"/>
  <c r="A567" i="31"/>
  <c r="A579" i="31"/>
  <c r="A591" i="31"/>
  <c r="A603" i="31"/>
  <c r="A325" i="31"/>
  <c r="A361" i="31"/>
  <c r="A385" i="31"/>
  <c r="A409" i="31"/>
  <c r="A430" i="31"/>
  <c r="A490" i="31"/>
  <c r="A502" i="31"/>
  <c r="A550" i="31"/>
  <c r="AM9" i="31"/>
  <c r="N2" i="36" s="1"/>
  <c r="AN9" i="31"/>
  <c r="AO9" i="31"/>
  <c r="A422" i="31"/>
  <c r="A467" i="31"/>
  <c r="A563" i="31"/>
  <c r="A327" i="31"/>
  <c r="A339" i="31"/>
  <c r="A351" i="31"/>
  <c r="A375" i="31"/>
  <c r="A399" i="31"/>
  <c r="A411" i="31"/>
  <c r="A423" i="31"/>
  <c r="A444" i="31"/>
  <c r="A456" i="31"/>
  <c r="A480" i="31"/>
  <c r="A516" i="31"/>
  <c r="A528" i="31"/>
  <c r="A552" i="31"/>
  <c r="A588" i="31"/>
  <c r="A319" i="31"/>
  <c r="A403" i="31"/>
  <c r="A580" i="31"/>
  <c r="A320" i="31"/>
  <c r="A356" i="31"/>
  <c r="A368" i="31"/>
  <c r="A428" i="31"/>
  <c r="A437" i="31"/>
  <c r="A473" i="31"/>
  <c r="A497" i="31"/>
  <c r="A521" i="31"/>
  <c r="A545" i="31"/>
  <c r="A569" i="31"/>
  <c r="A593" i="31"/>
  <c r="A586" i="31"/>
  <c r="A321" i="31"/>
  <c r="A333" i="31"/>
  <c r="A345" i="31"/>
  <c r="A357" i="31"/>
  <c r="A369" i="31"/>
  <c r="A381" i="31"/>
  <c r="A393" i="31"/>
  <c r="A405" i="31"/>
  <c r="A417" i="31"/>
  <c r="A429" i="31"/>
  <c r="A438" i="31"/>
  <c r="A450" i="31"/>
  <c r="A462" i="31"/>
  <c r="A474" i="31"/>
  <c r="A498" i="31"/>
  <c r="A510" i="31"/>
  <c r="A546" i="31"/>
  <c r="A558" i="31"/>
  <c r="A570" i="31"/>
  <c r="A582" i="31"/>
  <c r="A594" i="31"/>
  <c r="A606" i="31"/>
  <c r="A587" i="31"/>
  <c r="A397" i="31"/>
  <c r="A526" i="31"/>
  <c r="A598" i="31"/>
  <c r="A503" i="31"/>
  <c r="A599" i="31"/>
  <c r="A363" i="31"/>
  <c r="A355" i="31"/>
  <c r="A508" i="31"/>
  <c r="A532" i="31"/>
  <c r="A556" i="31"/>
  <c r="A592" i="31"/>
  <c r="A332" i="31"/>
  <c r="A392" i="31"/>
  <c r="A509" i="31"/>
  <c r="A605" i="31"/>
  <c r="A322" i="31"/>
  <c r="A334" i="31"/>
  <c r="A346" i="31"/>
  <c r="A358" i="31"/>
  <c r="A370" i="31"/>
  <c r="A382" i="31"/>
  <c r="A394" i="31"/>
  <c r="A406" i="31"/>
  <c r="A418" i="31"/>
  <c r="A439" i="31"/>
  <c r="A451" i="31"/>
  <c r="A463" i="31"/>
  <c r="A475" i="31"/>
  <c r="A487" i="31"/>
  <c r="A499" i="31"/>
  <c r="A511" i="31"/>
  <c r="A523" i="31"/>
  <c r="A535" i="31"/>
  <c r="A547" i="31"/>
  <c r="A559" i="31"/>
  <c r="A571" i="31"/>
  <c r="A583" i="31"/>
  <c r="A595" i="31"/>
  <c r="A607" i="31"/>
  <c r="A443" i="31"/>
  <c r="A349" i="31"/>
  <c r="A338" i="31"/>
  <c r="A398" i="31"/>
  <c r="A431" i="31"/>
  <c r="A515" i="31"/>
  <c r="A611" i="31"/>
  <c r="A367" i="31"/>
  <c r="A391" i="31"/>
  <c r="A415" i="31"/>
  <c r="A448" i="31"/>
  <c r="A460" i="31"/>
  <c r="A472" i="31"/>
  <c r="A496" i="31"/>
  <c r="A544" i="31"/>
  <c r="A568" i="31"/>
  <c r="A344" i="31"/>
  <c r="A380" i="31"/>
  <c r="A449" i="31"/>
  <c r="A485" i="31"/>
  <c r="A533" i="31"/>
  <c r="A581" i="31"/>
  <c r="A323" i="31"/>
  <c r="A335" i="31"/>
  <c r="A347" i="31"/>
  <c r="A359" i="31"/>
  <c r="A371" i="31"/>
  <c r="A383" i="31"/>
  <c r="A395" i="31"/>
  <c r="A407" i="31"/>
  <c r="A419" i="31"/>
  <c r="A440" i="31"/>
  <c r="A452" i="31"/>
  <c r="A464" i="31"/>
  <c r="A476" i="31"/>
  <c r="A488" i="31"/>
  <c r="A500" i="31"/>
  <c r="A512" i="31"/>
  <c r="A524" i="31"/>
  <c r="A536" i="31"/>
  <c r="A548" i="31"/>
  <c r="A560" i="31"/>
  <c r="A572" i="31"/>
  <c r="A584" i="31"/>
  <c r="A596" i="31"/>
  <c r="A608" i="31"/>
  <c r="A483" i="31"/>
  <c r="A337" i="31"/>
  <c r="A466" i="31"/>
  <c r="A574" i="31"/>
  <c r="A326" i="31"/>
  <c r="A362" i="31"/>
  <c r="A386" i="31"/>
  <c r="A455" i="31"/>
  <c r="A539" i="31"/>
  <c r="A343" i="31"/>
  <c r="A379" i="31"/>
  <c r="A427" i="31"/>
  <c r="A436" i="31"/>
  <c r="A604" i="31"/>
  <c r="A416" i="31"/>
  <c r="A461" i="31"/>
  <c r="A557" i="31"/>
  <c r="A421" i="31"/>
  <c r="A324" i="31"/>
  <c r="A336" i="31"/>
  <c r="A348" i="31"/>
  <c r="A360" i="31"/>
  <c r="A372" i="31"/>
  <c r="A384" i="31"/>
  <c r="A396" i="31"/>
  <c r="A408" i="31"/>
  <c r="A420" i="31"/>
  <c r="A441" i="31"/>
  <c r="A453" i="31"/>
  <c r="A465" i="31"/>
  <c r="A477" i="31"/>
  <c r="A489" i="31"/>
  <c r="A501" i="31"/>
  <c r="A513" i="31"/>
  <c r="A525" i="31"/>
  <c r="A537" i="31"/>
  <c r="A549" i="31"/>
  <c r="A561" i="31"/>
  <c r="A573" i="31"/>
  <c r="A585" i="31"/>
  <c r="A597" i="31"/>
  <c r="A609" i="31"/>
  <c r="A484" i="31"/>
  <c r="AN300" i="31"/>
  <c r="AN293" i="31"/>
  <c r="AN280" i="31"/>
  <c r="AN267" i="31"/>
  <c r="AN254" i="31"/>
  <c r="AN241" i="31"/>
  <c r="AN257" i="31"/>
  <c r="AN250" i="31"/>
  <c r="AN243" i="31"/>
  <c r="AN236" i="31"/>
  <c r="AN223" i="31"/>
  <c r="AN216" i="31"/>
  <c r="AN203" i="31"/>
  <c r="AN190" i="31"/>
  <c r="AN177" i="31"/>
  <c r="AN164" i="31"/>
  <c r="AN151" i="31"/>
  <c r="AN144" i="31"/>
  <c r="AN131" i="31"/>
  <c r="AN118" i="31"/>
  <c r="AN105" i="31"/>
  <c r="AN92" i="31"/>
  <c r="AN79" i="31"/>
  <c r="AN72" i="31"/>
  <c r="AN59" i="31"/>
  <c r="AN46" i="31"/>
  <c r="AN33" i="31"/>
  <c r="AN20" i="31"/>
  <c r="AN291" i="31"/>
  <c r="AN276" i="31"/>
  <c r="AN268" i="31"/>
  <c r="AN260" i="31"/>
  <c r="AN237" i="31"/>
  <c r="AN230" i="31"/>
  <c r="AN222" i="31"/>
  <c r="AN215" i="31"/>
  <c r="AN208" i="31"/>
  <c r="AN201" i="31"/>
  <c r="AN194" i="31"/>
  <c r="AN187" i="31"/>
  <c r="AN302" i="31"/>
  <c r="AN294" i="31"/>
  <c r="AN259" i="31"/>
  <c r="AN242" i="31"/>
  <c r="AN226" i="31"/>
  <c r="AN211" i="31"/>
  <c r="AN195" i="31"/>
  <c r="AN179" i="31"/>
  <c r="AN148" i="31"/>
  <c r="AN133" i="31"/>
  <c r="AN125" i="31"/>
  <c r="AN96" i="31"/>
  <c r="AN89" i="31"/>
  <c r="AN82" i="31"/>
  <c r="AN75" i="31"/>
  <c r="AN68" i="31"/>
  <c r="AN61" i="31"/>
  <c r="AN39" i="31"/>
  <c r="AN32" i="31"/>
  <c r="AN25" i="31"/>
  <c r="AN292" i="31"/>
  <c r="AN284" i="31"/>
  <c r="AN233" i="31"/>
  <c r="AN210" i="31"/>
  <c r="AN202" i="31"/>
  <c r="AN171" i="31"/>
  <c r="AN163" i="31"/>
  <c r="AN132" i="31"/>
  <c r="AN124" i="31"/>
  <c r="AN110" i="31"/>
  <c r="AN60" i="31"/>
  <c r="AN24" i="31"/>
  <c r="AN17" i="31"/>
  <c r="AN10" i="31"/>
  <c r="AN275" i="31"/>
  <c r="AN218" i="31"/>
  <c r="AN186" i="31"/>
  <c r="AN155" i="31"/>
  <c r="AN140" i="31"/>
  <c r="AN117" i="31"/>
  <c r="AN103" i="31"/>
  <c r="AN53" i="31"/>
  <c r="AN299" i="31"/>
  <c r="AN274" i="31"/>
  <c r="AN240" i="31"/>
  <c r="AN232" i="31"/>
  <c r="AN217" i="31"/>
  <c r="AN193" i="31"/>
  <c r="AN185" i="31"/>
  <c r="AN154" i="31"/>
  <c r="AN139" i="31"/>
  <c r="AN123" i="31"/>
  <c r="AN116" i="31"/>
  <c r="AN109" i="31"/>
  <c r="AN66" i="31"/>
  <c r="AN30" i="31"/>
  <c r="AN23" i="31"/>
  <c r="AN16" i="31"/>
  <c r="AN279" i="31"/>
  <c r="AN245" i="31"/>
  <c r="AN234" i="31"/>
  <c r="AN213" i="31"/>
  <c r="AN182" i="31"/>
  <c r="AN172" i="31"/>
  <c r="AN150" i="31"/>
  <c r="AN141" i="31"/>
  <c r="AN129" i="31"/>
  <c r="AN120" i="31"/>
  <c r="AN111" i="31"/>
  <c r="AN63" i="31"/>
  <c r="AN54" i="31"/>
  <c r="AN15" i="31"/>
  <c r="AN301" i="31"/>
  <c r="AN289" i="31"/>
  <c r="AN278" i="31"/>
  <c r="AN266" i="31"/>
  <c r="AN255" i="31"/>
  <c r="AN244" i="31"/>
  <c r="AN191" i="31"/>
  <c r="AN170" i="31"/>
  <c r="AN160" i="31"/>
  <c r="AN100" i="31"/>
  <c r="AN91" i="31"/>
  <c r="AN81" i="31"/>
  <c r="AN71" i="31"/>
  <c r="AN52" i="31"/>
  <c r="AN43" i="31"/>
  <c r="AN34" i="31"/>
  <c r="AN298" i="31"/>
  <c r="AN265" i="31"/>
  <c r="AN221" i="31"/>
  <c r="AN212" i="31"/>
  <c r="AN200" i="31"/>
  <c r="AN181" i="31"/>
  <c r="AN169" i="31"/>
  <c r="AN149" i="31"/>
  <c r="AN138" i="31"/>
  <c r="AN128" i="31"/>
  <c r="AN119" i="31"/>
  <c r="AN108" i="31"/>
  <c r="AN90" i="31"/>
  <c r="AN80" i="31"/>
  <c r="AN62" i="31"/>
  <c r="AN51" i="31"/>
  <c r="AN42" i="31"/>
  <c r="AN14" i="31"/>
  <c r="AN286" i="31"/>
  <c r="AN252" i="31"/>
  <c r="AN229" i="31"/>
  <c r="AN167" i="31"/>
  <c r="AN146" i="31"/>
  <c r="AN126" i="31"/>
  <c r="AN69" i="31"/>
  <c r="AN58" i="31"/>
  <c r="AN21" i="31"/>
  <c r="AN306" i="31"/>
  <c r="AN285" i="31"/>
  <c r="AN262" i="31"/>
  <c r="AN251" i="31"/>
  <c r="AN228" i="31"/>
  <c r="AN207" i="31"/>
  <c r="AN188" i="31"/>
  <c r="AN176" i="31"/>
  <c r="AN156" i="31"/>
  <c r="AN135" i="31"/>
  <c r="AN115" i="31"/>
  <c r="AN106" i="31"/>
  <c r="AN97" i="31"/>
  <c r="AN77" i="31"/>
  <c r="AN49" i="31"/>
  <c r="AN29" i="31"/>
  <c r="AN11" i="31"/>
  <c r="AN305" i="31"/>
  <c r="AN283" i="31"/>
  <c r="AN238" i="31"/>
  <c r="AN197" i="31"/>
  <c r="AN166" i="31"/>
  <c r="AN145" i="31"/>
  <c r="AN114" i="31"/>
  <c r="AN95" i="31"/>
  <c r="AN67" i="31"/>
  <c r="AN57" i="31"/>
  <c r="AN48" i="31"/>
  <c r="AN38" i="31"/>
  <c r="AN295" i="31"/>
  <c r="AN282" i="31"/>
  <c r="AN271" i="31"/>
  <c r="AN248" i="31"/>
  <c r="AN227" i="31"/>
  <c r="AN206" i="31"/>
  <c r="AN196" i="31"/>
  <c r="AN143" i="31"/>
  <c r="AN134" i="31"/>
  <c r="AN85" i="31"/>
  <c r="AN76" i="31"/>
  <c r="AN37" i="31"/>
  <c r="AN28" i="31"/>
  <c r="AN19" i="31"/>
  <c r="AN288" i="31"/>
  <c r="AN277" i="31"/>
  <c r="AN264" i="31"/>
  <c r="AN231" i="31"/>
  <c r="AN180" i="31"/>
  <c r="AN168" i="31"/>
  <c r="AN159" i="31"/>
  <c r="AN137" i="31"/>
  <c r="AN99" i="31"/>
  <c r="AN70" i="31"/>
  <c r="AN22" i="31"/>
  <c r="AN13" i="31"/>
  <c r="AN297" i="31"/>
  <c r="AN287" i="31"/>
  <c r="AN263" i="31"/>
  <c r="AN253" i="31"/>
  <c r="AN220" i="31"/>
  <c r="AN209" i="31"/>
  <c r="AN199" i="31"/>
  <c r="AN189" i="31"/>
  <c r="AN178" i="31"/>
  <c r="AN158" i="31"/>
  <c r="AN147" i="31"/>
  <c r="AN136" i="31"/>
  <c r="AN127" i="31"/>
  <c r="AN107" i="31"/>
  <c r="AN98" i="31"/>
  <c r="AN88" i="31"/>
  <c r="AN78" i="31"/>
  <c r="AN50" i="31"/>
  <c r="AN41" i="31"/>
  <c r="AN31" i="31"/>
  <c r="AN12" i="31"/>
  <c r="AN273" i="31"/>
  <c r="AN239" i="31"/>
  <c r="AN198" i="31"/>
  <c r="AN157" i="31"/>
  <c r="AN87" i="31"/>
  <c r="AN40" i="31"/>
  <c r="AN272" i="31"/>
  <c r="AN261" i="31"/>
  <c r="AN175" i="31"/>
  <c r="AN65" i="31"/>
  <c r="AN296" i="31"/>
  <c r="AN219" i="31"/>
  <c r="AN249" i="31"/>
  <c r="AN86" i="31"/>
  <c r="AN165" i="31"/>
  <c r="AN94" i="31"/>
  <c r="AN205" i="31"/>
  <c r="AN162" i="31"/>
  <c r="AN45" i="31"/>
  <c r="AN290" i="31"/>
  <c r="AN246" i="31"/>
  <c r="AN204" i="31"/>
  <c r="AN161" i="31"/>
  <c r="AN121" i="31"/>
  <c r="AN83" i="31"/>
  <c r="AN44" i="31"/>
  <c r="AN281" i="31"/>
  <c r="AN153" i="31"/>
  <c r="AN113" i="31"/>
  <c r="AN36" i="31"/>
  <c r="AN235" i="31"/>
  <c r="AN192" i="31"/>
  <c r="AN152" i="31"/>
  <c r="AN73" i="31"/>
  <c r="AN35" i="31"/>
  <c r="AN184" i="31"/>
  <c r="AN270" i="31"/>
  <c r="AN225" i="31"/>
  <c r="AN183" i="31"/>
  <c r="AN142" i="31"/>
  <c r="AN102" i="31"/>
  <c r="AN64" i="31"/>
  <c r="AN27" i="31"/>
  <c r="AN269" i="31"/>
  <c r="AN224" i="31"/>
  <c r="AN101" i="31"/>
  <c r="AN26" i="31"/>
  <c r="AN174" i="31"/>
  <c r="AN18" i="31"/>
  <c r="AN258" i="31"/>
  <c r="AN214" i="31"/>
  <c r="AN93" i="31"/>
  <c r="AN303" i="31"/>
  <c r="AN173" i="31"/>
  <c r="AN130" i="31"/>
  <c r="AN84" i="31"/>
  <c r="AN304" i="31"/>
  <c r="AN56" i="31"/>
  <c r="AN256" i="31"/>
  <c r="AN55" i="31"/>
  <c r="AN247" i="31"/>
  <c r="AN122" i="31"/>
  <c r="AN74" i="31"/>
  <c r="AN112" i="31"/>
  <c r="AN104" i="31"/>
  <c r="AN47" i="31"/>
  <c r="AM302" i="31"/>
  <c r="AM290" i="31"/>
  <c r="AM278" i="31"/>
  <c r="AM266" i="31"/>
  <c r="AM254" i="31"/>
  <c r="AM242" i="31"/>
  <c r="AM230" i="31"/>
  <c r="AM218" i="31"/>
  <c r="AM206" i="31"/>
  <c r="AM194" i="31"/>
  <c r="AM182" i="31"/>
  <c r="AM170" i="31"/>
  <c r="AM158" i="31"/>
  <c r="AM146" i="31"/>
  <c r="AM134" i="31"/>
  <c r="AM122" i="31"/>
  <c r="AM110" i="31"/>
  <c r="AM98" i="31"/>
  <c r="AM86" i="31"/>
  <c r="AM74" i="31"/>
  <c r="AM62" i="31"/>
  <c r="AM50" i="31"/>
  <c r="AM38" i="31"/>
  <c r="AM26" i="31"/>
  <c r="AM14" i="31"/>
  <c r="AM303" i="31"/>
  <c r="AM289" i="31"/>
  <c r="AM276" i="31"/>
  <c r="AM263" i="31"/>
  <c r="AM250" i="31"/>
  <c r="AM237" i="31"/>
  <c r="AM224" i="31"/>
  <c r="AM211" i="31"/>
  <c r="AM198" i="31"/>
  <c r="AM185" i="31"/>
  <c r="AM172" i="31"/>
  <c r="AM159" i="31"/>
  <c r="AM145" i="31"/>
  <c r="AM132" i="31"/>
  <c r="AM119" i="31"/>
  <c r="AM106" i="31"/>
  <c r="AM93" i="31"/>
  <c r="AM80" i="31"/>
  <c r="AM67" i="31"/>
  <c r="AM54" i="31"/>
  <c r="AM41" i="31"/>
  <c r="AM28" i="31"/>
  <c r="AM15" i="31"/>
  <c r="AM296" i="31"/>
  <c r="AM282" i="31"/>
  <c r="AM268" i="31"/>
  <c r="AM253" i="31"/>
  <c r="AM239" i="31"/>
  <c r="AM225" i="31"/>
  <c r="AM210" i="31"/>
  <c r="AM196" i="31"/>
  <c r="AM181" i="31"/>
  <c r="AM167" i="31"/>
  <c r="AM153" i="31"/>
  <c r="AM139" i="31"/>
  <c r="AM125" i="31"/>
  <c r="AM111" i="31"/>
  <c r="AM96" i="31"/>
  <c r="AM82" i="31"/>
  <c r="AM68" i="31"/>
  <c r="AM53" i="31"/>
  <c r="AM39" i="31"/>
  <c r="AM24" i="31"/>
  <c r="AM10" i="31"/>
  <c r="AM281" i="31"/>
  <c r="AM267" i="31"/>
  <c r="AM238" i="31"/>
  <c r="AM223" i="31"/>
  <c r="AM195" i="31"/>
  <c r="AM180" i="31"/>
  <c r="AM152" i="31"/>
  <c r="AM138" i="31"/>
  <c r="AM109" i="31"/>
  <c r="AM95" i="31"/>
  <c r="AM81" i="31"/>
  <c r="AM66" i="31"/>
  <c r="AM37" i="31"/>
  <c r="AM23" i="31"/>
  <c r="AM295" i="31"/>
  <c r="AM252" i="31"/>
  <c r="AM209" i="31"/>
  <c r="AM166" i="31"/>
  <c r="AM124" i="31"/>
  <c r="AM52" i="31"/>
  <c r="AM293" i="31"/>
  <c r="AM279" i="31"/>
  <c r="AM264" i="31"/>
  <c r="AM249" i="31"/>
  <c r="AM235" i="31"/>
  <c r="AM221" i="31"/>
  <c r="AM207" i="31"/>
  <c r="AM192" i="31"/>
  <c r="AM178" i="31"/>
  <c r="AM164" i="31"/>
  <c r="AM150" i="31"/>
  <c r="AM136" i="31"/>
  <c r="AM121" i="31"/>
  <c r="AM107" i="31"/>
  <c r="AM92" i="31"/>
  <c r="AM78" i="31"/>
  <c r="AM64" i="31"/>
  <c r="AM49" i="31"/>
  <c r="AM35" i="31"/>
  <c r="AM21" i="31"/>
  <c r="AM300" i="31"/>
  <c r="AM283" i="31"/>
  <c r="AM261" i="31"/>
  <c r="AM244" i="31"/>
  <c r="AM226" i="31"/>
  <c r="AM204" i="31"/>
  <c r="AM187" i="31"/>
  <c r="AM168" i="31"/>
  <c r="AM148" i="31"/>
  <c r="AM129" i="31"/>
  <c r="AM112" i="31"/>
  <c r="AM90" i="31"/>
  <c r="AM72" i="31"/>
  <c r="AM55" i="31"/>
  <c r="AM33" i="31"/>
  <c r="AM16" i="31"/>
  <c r="AV16" i="31" s="1"/>
  <c r="Q9" i="36" s="1"/>
  <c r="AM299" i="31"/>
  <c r="AM280" i="31"/>
  <c r="AM260" i="31"/>
  <c r="AM243" i="31"/>
  <c r="AM222" i="31"/>
  <c r="AM203" i="31"/>
  <c r="AM186" i="31"/>
  <c r="AM165" i="31"/>
  <c r="AM147" i="31"/>
  <c r="AM128" i="31"/>
  <c r="AM108" i="31"/>
  <c r="AM89" i="31"/>
  <c r="AM71" i="31"/>
  <c r="AM51" i="31"/>
  <c r="AM32" i="31"/>
  <c r="AM13" i="31"/>
  <c r="AM298" i="31"/>
  <c r="AM277" i="31"/>
  <c r="AM259" i="31"/>
  <c r="AM241" i="31"/>
  <c r="AM220" i="31"/>
  <c r="AM202" i="31"/>
  <c r="AM184" i="31"/>
  <c r="AM163" i="31"/>
  <c r="AM144" i="31"/>
  <c r="AM127" i="31"/>
  <c r="AM105" i="31"/>
  <c r="AM88" i="31"/>
  <c r="AM70" i="31"/>
  <c r="AM48" i="31"/>
  <c r="AM31" i="31"/>
  <c r="AM12" i="31"/>
  <c r="AM273" i="31"/>
  <c r="AM256" i="31"/>
  <c r="AM234" i="31"/>
  <c r="AM199" i="31"/>
  <c r="AM177" i="31"/>
  <c r="AM160" i="31"/>
  <c r="AM120" i="31"/>
  <c r="AM102" i="31"/>
  <c r="AM84" i="31"/>
  <c r="AM63" i="31"/>
  <c r="AM45" i="31"/>
  <c r="AM272" i="31"/>
  <c r="AM255" i="31"/>
  <c r="AM233" i="31"/>
  <c r="AM197" i="31"/>
  <c r="AM176" i="31"/>
  <c r="AM157" i="31"/>
  <c r="AM118" i="31"/>
  <c r="AM83" i="31"/>
  <c r="AM61" i="31"/>
  <c r="AM44" i="31"/>
  <c r="AM25" i="31"/>
  <c r="AM288" i="31"/>
  <c r="AM271" i="31"/>
  <c r="AM251" i="31"/>
  <c r="AM232" i="31"/>
  <c r="AM214" i="31"/>
  <c r="AM175" i="31"/>
  <c r="AM137" i="31"/>
  <c r="AM117" i="31"/>
  <c r="AM100" i="31"/>
  <c r="AM79" i="31"/>
  <c r="AM60" i="31"/>
  <c r="AM43" i="31"/>
  <c r="AM287" i="31"/>
  <c r="AM270" i="31"/>
  <c r="AM248" i="31"/>
  <c r="AM231" i="31"/>
  <c r="AM191" i="31"/>
  <c r="AM174" i="31"/>
  <c r="AM155" i="31"/>
  <c r="AM135" i="31"/>
  <c r="AM99" i="31"/>
  <c r="AM77" i="31"/>
  <c r="AM42" i="31"/>
  <c r="AM20" i="31"/>
  <c r="AM297" i="31"/>
  <c r="AM275" i="31"/>
  <c r="AM258" i="31"/>
  <c r="AM240" i="31"/>
  <c r="AM219" i="31"/>
  <c r="AM201" i="31"/>
  <c r="AM183" i="31"/>
  <c r="AM162" i="31"/>
  <c r="AM143" i="31"/>
  <c r="AM126" i="31"/>
  <c r="AM104" i="31"/>
  <c r="AM87" i="31"/>
  <c r="AM69" i="31"/>
  <c r="AM47" i="31"/>
  <c r="AM30" i="31"/>
  <c r="AM11" i="31"/>
  <c r="N4" i="36" s="1"/>
  <c r="AM294" i="31"/>
  <c r="AM274" i="31"/>
  <c r="AM257" i="31"/>
  <c r="AM236" i="31"/>
  <c r="AM217" i="31"/>
  <c r="AM200" i="31"/>
  <c r="AM179" i="31"/>
  <c r="AM161" i="31"/>
  <c r="AM142" i="31"/>
  <c r="AM123" i="31"/>
  <c r="AM103" i="31"/>
  <c r="AM85" i="31"/>
  <c r="AM65" i="31"/>
  <c r="AM46" i="31"/>
  <c r="AM29" i="31"/>
  <c r="AM292" i="31"/>
  <c r="AM216" i="31"/>
  <c r="AM141" i="31"/>
  <c r="AM27" i="31"/>
  <c r="AM215" i="31"/>
  <c r="AM101" i="31"/>
  <c r="AM193" i="31"/>
  <c r="AM22" i="31"/>
  <c r="AM213" i="31"/>
  <c r="AM59" i="31"/>
  <c r="AM291" i="31"/>
  <c r="AM140" i="31"/>
  <c r="AM156" i="31"/>
  <c r="AM306" i="31"/>
  <c r="AM116" i="31"/>
  <c r="AM304" i="31"/>
  <c r="AM228" i="31"/>
  <c r="AM151" i="31"/>
  <c r="AM75" i="31"/>
  <c r="AM301" i="31"/>
  <c r="AM227" i="31"/>
  <c r="AM149" i="31"/>
  <c r="AM73" i="31"/>
  <c r="AM286" i="31"/>
  <c r="AM212" i="31"/>
  <c r="AM133" i="31"/>
  <c r="AM58" i="31"/>
  <c r="AM284" i="31"/>
  <c r="AM205" i="31"/>
  <c r="AM56" i="31"/>
  <c r="AM269" i="31"/>
  <c r="AM115" i="31"/>
  <c r="AM40" i="31"/>
  <c r="AM265" i="31"/>
  <c r="AM189" i="31"/>
  <c r="AM114" i="31"/>
  <c r="AM36" i="31"/>
  <c r="AM262" i="31"/>
  <c r="AM113" i="31"/>
  <c r="AM34" i="31"/>
  <c r="AM247" i="31"/>
  <c r="AM173" i="31"/>
  <c r="AM97" i="31"/>
  <c r="AM246" i="31"/>
  <c r="AM94" i="31"/>
  <c r="AM18" i="31"/>
  <c r="AM245" i="31"/>
  <c r="AM169" i="31"/>
  <c r="AM17" i="31"/>
  <c r="AM305" i="31"/>
  <c r="AM76" i="31"/>
  <c r="AM188" i="31"/>
  <c r="AM19" i="31"/>
  <c r="AM171" i="31"/>
  <c r="AM229" i="31"/>
  <c r="AM285" i="31"/>
  <c r="AM208" i="31"/>
  <c r="AM131" i="31"/>
  <c r="AM57" i="31"/>
  <c r="AM130" i="31"/>
  <c r="AM190" i="31"/>
  <c r="AM91" i="31"/>
  <c r="AM154" i="31"/>
  <c r="AO305" i="31"/>
  <c r="AO299" i="31"/>
  <c r="AO293" i="31"/>
  <c r="AO287" i="31"/>
  <c r="AO281" i="31"/>
  <c r="AO275" i="31"/>
  <c r="AO269" i="31"/>
  <c r="AO263" i="31"/>
  <c r="AO257" i="31"/>
  <c r="AO251" i="31"/>
  <c r="AO245" i="31"/>
  <c r="AO239" i="31"/>
  <c r="AO306" i="31"/>
  <c r="AO286" i="31"/>
  <c r="AO273" i="31"/>
  <c r="AO260" i="31"/>
  <c r="AO247" i="31"/>
  <c r="AO234" i="31"/>
  <c r="AO228" i="31"/>
  <c r="AO222" i="31"/>
  <c r="AO216" i="31"/>
  <c r="AO210" i="31"/>
  <c r="AO204" i="31"/>
  <c r="AO198" i="31"/>
  <c r="AO192" i="31"/>
  <c r="AO186" i="31"/>
  <c r="AO180" i="31"/>
  <c r="AO174" i="31"/>
  <c r="AO168" i="31"/>
  <c r="AO162" i="31"/>
  <c r="AO156" i="31"/>
  <c r="AO150" i="31"/>
  <c r="AO144" i="31"/>
  <c r="AO138" i="31"/>
  <c r="AO132" i="31"/>
  <c r="AO126" i="31"/>
  <c r="AO120" i="31"/>
  <c r="AO114" i="31"/>
  <c r="AO108" i="31"/>
  <c r="AO102" i="31"/>
  <c r="AO96" i="31"/>
  <c r="AO90" i="31"/>
  <c r="AO84" i="31"/>
  <c r="AO78" i="31"/>
  <c r="AO72" i="31"/>
  <c r="AO66" i="31"/>
  <c r="AO60" i="31"/>
  <c r="AO54" i="31"/>
  <c r="AO48" i="31"/>
  <c r="AO42" i="31"/>
  <c r="AO36" i="31"/>
  <c r="AO30" i="31"/>
  <c r="AO24" i="31"/>
  <c r="AO18" i="31"/>
  <c r="AO12" i="31"/>
  <c r="AO300" i="31"/>
  <c r="AO292" i="31"/>
  <c r="AO285" i="31"/>
  <c r="AO278" i="31"/>
  <c r="AO271" i="31"/>
  <c r="AO264" i="31"/>
  <c r="AO229" i="31"/>
  <c r="AO209" i="31"/>
  <c r="AO196" i="31"/>
  <c r="AO183" i="31"/>
  <c r="AO170" i="31"/>
  <c r="AO157" i="31"/>
  <c r="AO137" i="31"/>
  <c r="AO124" i="31"/>
  <c r="AO111" i="31"/>
  <c r="AO98" i="31"/>
  <c r="AO85" i="31"/>
  <c r="AO65" i="31"/>
  <c r="AO52" i="31"/>
  <c r="AO39" i="31"/>
  <c r="AO26" i="31"/>
  <c r="AO13" i="31"/>
  <c r="AO298" i="31"/>
  <c r="AO283" i="31"/>
  <c r="AO252" i="31"/>
  <c r="AO244" i="31"/>
  <c r="AO179" i="31"/>
  <c r="AO172" i="31"/>
  <c r="AO165" i="31"/>
  <c r="AO158" i="31"/>
  <c r="AO151" i="31"/>
  <c r="AO143" i="31"/>
  <c r="AO136" i="31"/>
  <c r="AO129" i="31"/>
  <c r="AO284" i="31"/>
  <c r="AO276" i="31"/>
  <c r="AO267" i="31"/>
  <c r="AO250" i="31"/>
  <c r="AO233" i="31"/>
  <c r="AO218" i="31"/>
  <c r="AO202" i="31"/>
  <c r="AO187" i="31"/>
  <c r="AO171" i="31"/>
  <c r="AO163" i="31"/>
  <c r="AO155" i="31"/>
  <c r="AO140" i="31"/>
  <c r="AO117" i="31"/>
  <c r="AO110" i="31"/>
  <c r="AO103" i="31"/>
  <c r="AO53" i="31"/>
  <c r="AO46" i="31"/>
  <c r="AO17" i="31"/>
  <c r="AO10" i="31"/>
  <c r="AO266" i="31"/>
  <c r="AO258" i="31"/>
  <c r="AO249" i="31"/>
  <c r="AO225" i="31"/>
  <c r="AO194" i="31"/>
  <c r="AO178" i="31"/>
  <c r="AO147" i="31"/>
  <c r="AO95" i="31"/>
  <c r="AO88" i="31"/>
  <c r="AO74" i="31"/>
  <c r="AO45" i="31"/>
  <c r="AO38" i="31"/>
  <c r="AO301" i="31"/>
  <c r="AO241" i="31"/>
  <c r="AO81" i="31"/>
  <c r="AO67" i="31"/>
  <c r="AO31" i="31"/>
  <c r="AO290" i="31"/>
  <c r="AO282" i="31"/>
  <c r="AO265" i="31"/>
  <c r="AO256" i="31"/>
  <c r="AO248" i="31"/>
  <c r="AO224" i="31"/>
  <c r="AO208" i="31"/>
  <c r="AO200" i="31"/>
  <c r="AO177" i="31"/>
  <c r="AO169" i="31"/>
  <c r="AO161" i="31"/>
  <c r="AO146" i="31"/>
  <c r="AO130" i="31"/>
  <c r="AO101" i="31"/>
  <c r="AO94" i="31"/>
  <c r="AO87" i="31"/>
  <c r="AO80" i="31"/>
  <c r="AO73" i="31"/>
  <c r="AO58" i="31"/>
  <c r="AO51" i="31"/>
  <c r="AO44" i="31"/>
  <c r="AO37" i="31"/>
  <c r="AO302" i="31"/>
  <c r="AO289" i="31"/>
  <c r="AO268" i="31"/>
  <c r="AO255" i="31"/>
  <c r="AO223" i="31"/>
  <c r="AO203" i="31"/>
  <c r="AO191" i="31"/>
  <c r="AO160" i="31"/>
  <c r="AO100" i="31"/>
  <c r="AO91" i="31"/>
  <c r="AO82" i="31"/>
  <c r="AO71" i="31"/>
  <c r="AO43" i="31"/>
  <c r="AO34" i="31"/>
  <c r="AO25" i="31"/>
  <c r="AO232" i="31"/>
  <c r="AO221" i="31"/>
  <c r="AO212" i="31"/>
  <c r="AO201" i="31"/>
  <c r="AO181" i="31"/>
  <c r="AO149" i="31"/>
  <c r="AO139" i="31"/>
  <c r="AO128" i="31"/>
  <c r="AO119" i="31"/>
  <c r="AO109" i="31"/>
  <c r="AO62" i="31"/>
  <c r="AO23" i="31"/>
  <c r="AO14" i="31"/>
  <c r="AO288" i="31"/>
  <c r="AO277" i="31"/>
  <c r="AO254" i="31"/>
  <c r="AO243" i="31"/>
  <c r="AO231" i="31"/>
  <c r="AO190" i="31"/>
  <c r="AO159" i="31"/>
  <c r="AO99" i="31"/>
  <c r="AO70" i="31"/>
  <c r="AO33" i="31"/>
  <c r="AO22" i="31"/>
  <c r="AO296" i="31"/>
  <c r="AO262" i="31"/>
  <c r="AO219" i="31"/>
  <c r="AO207" i="31"/>
  <c r="AO188" i="31"/>
  <c r="AO176" i="31"/>
  <c r="AO135" i="31"/>
  <c r="AO106" i="31"/>
  <c r="AO97" i="31"/>
  <c r="AO77" i="31"/>
  <c r="AO40" i="31"/>
  <c r="AO29" i="31"/>
  <c r="AO11" i="31"/>
  <c r="AO238" i="31"/>
  <c r="AO166" i="31"/>
  <c r="AO86" i="31"/>
  <c r="AO57" i="31"/>
  <c r="AO20" i="31"/>
  <c r="AO295" i="31"/>
  <c r="AO261" i="31"/>
  <c r="AO227" i="31"/>
  <c r="AO206" i="31"/>
  <c r="AO185" i="31"/>
  <c r="AO134" i="31"/>
  <c r="AO123" i="31"/>
  <c r="AO76" i="31"/>
  <c r="AO19" i="31"/>
  <c r="AO304" i="31"/>
  <c r="AO215" i="31"/>
  <c r="AO184" i="31"/>
  <c r="AO153" i="31"/>
  <c r="AO122" i="31"/>
  <c r="AO113" i="31"/>
  <c r="AO104" i="31"/>
  <c r="AO56" i="31"/>
  <c r="AO47" i="31"/>
  <c r="AO297" i="31"/>
  <c r="AO253" i="31"/>
  <c r="AO242" i="31"/>
  <c r="AO220" i="31"/>
  <c r="AO211" i="31"/>
  <c r="AO199" i="31"/>
  <c r="AO189" i="31"/>
  <c r="AO148" i="31"/>
  <c r="AO127" i="31"/>
  <c r="AO118" i="31"/>
  <c r="AO107" i="31"/>
  <c r="AO89" i="31"/>
  <c r="AO79" i="31"/>
  <c r="AO61" i="31"/>
  <c r="AO50" i="31"/>
  <c r="AO41" i="31"/>
  <c r="AO32" i="31"/>
  <c r="AO274" i="31"/>
  <c r="AO240" i="31"/>
  <c r="AO230" i="31"/>
  <c r="AO167" i="31"/>
  <c r="AO116" i="31"/>
  <c r="AO69" i="31"/>
  <c r="AO59" i="31"/>
  <c r="AO21" i="31"/>
  <c r="AO115" i="31"/>
  <c r="AO49" i="31"/>
  <c r="AO272" i="31"/>
  <c r="AO197" i="31"/>
  <c r="AO125" i="31"/>
  <c r="AO217" i="31"/>
  <c r="AO154" i="31"/>
  <c r="AO105" i="31"/>
  <c r="AO28" i="31"/>
  <c r="AO145" i="31"/>
  <c r="AO68" i="31"/>
  <c r="AO175" i="31"/>
  <c r="AO237" i="31"/>
  <c r="AO291" i="31"/>
  <c r="AO246" i="31"/>
  <c r="AO121" i="31"/>
  <c r="AO83" i="31"/>
  <c r="AO236" i="31"/>
  <c r="AO195" i="31"/>
  <c r="AO75" i="31"/>
  <c r="AO226" i="31"/>
  <c r="AO142" i="31"/>
  <c r="AO64" i="31"/>
  <c r="AO27" i="31"/>
  <c r="AO182" i="31"/>
  <c r="AO141" i="31"/>
  <c r="AO63" i="31"/>
  <c r="AO259" i="31"/>
  <c r="AO214" i="31"/>
  <c r="AO133" i="31"/>
  <c r="AO93" i="31"/>
  <c r="AO173" i="31"/>
  <c r="AO55" i="31"/>
  <c r="AO16" i="31"/>
  <c r="AO213" i="31"/>
  <c r="AO92" i="31"/>
  <c r="AO15" i="31"/>
  <c r="AO294" i="31"/>
  <c r="AO164" i="31"/>
  <c r="AO303" i="31"/>
  <c r="AO131" i="31"/>
  <c r="AO280" i="31"/>
  <c r="AO235" i="31"/>
  <c r="AO193" i="31"/>
  <c r="AO152" i="31"/>
  <c r="AO112" i="31"/>
  <c r="AO35" i="31"/>
  <c r="AO279" i="31"/>
  <c r="AO270" i="31"/>
  <c r="AO205" i="31"/>
  <c r="AJ303" i="31"/>
  <c r="AJ296" i="31"/>
  <c r="AJ301" i="31"/>
  <c r="AJ289" i="31"/>
  <c r="AJ277" i="31"/>
  <c r="AJ306" i="31"/>
  <c r="AJ297" i="31"/>
  <c r="AJ291" i="31"/>
  <c r="AJ279" i="31"/>
  <c r="AJ270" i="31"/>
  <c r="AJ275" i="31"/>
  <c r="AJ265" i="31"/>
  <c r="AJ253" i="31"/>
  <c r="AJ304" i="31"/>
  <c r="AJ259" i="31"/>
  <c r="AJ240" i="31"/>
  <c r="AJ223" i="31"/>
  <c r="AJ211" i="31"/>
  <c r="AJ199" i="31"/>
  <c r="AJ187" i="31"/>
  <c r="AJ286" i="31"/>
  <c r="AJ281" i="31"/>
  <c r="AJ267" i="31"/>
  <c r="AJ271" i="31"/>
  <c r="AJ257" i="31"/>
  <c r="AJ251" i="31"/>
  <c r="AJ245" i="31"/>
  <c r="AJ239" i="31"/>
  <c r="AJ224" i="31"/>
  <c r="AJ205" i="31"/>
  <c r="AJ186" i="31"/>
  <c r="AJ171" i="31"/>
  <c r="AJ159" i="31"/>
  <c r="AJ147" i="31"/>
  <c r="AJ293" i="31"/>
  <c r="AJ292" i="31"/>
  <c r="AJ273" i="31"/>
  <c r="AJ217" i="31"/>
  <c r="AJ174" i="31"/>
  <c r="AJ166" i="31"/>
  <c r="AJ155" i="31"/>
  <c r="AJ140" i="31"/>
  <c r="AJ128" i="31"/>
  <c r="AJ116" i="31"/>
  <c r="AJ92" i="31"/>
  <c r="AJ80" i="31"/>
  <c r="AJ68" i="31"/>
  <c r="AJ56" i="31"/>
  <c r="AJ44" i="31"/>
  <c r="AJ32" i="31"/>
  <c r="AJ20" i="31"/>
  <c r="AJ302" i="31"/>
  <c r="AJ193" i="31"/>
  <c r="AJ192" i="31"/>
  <c r="AJ191" i="31"/>
  <c r="AJ190" i="31"/>
  <c r="AJ184" i="31"/>
  <c r="AJ182" i="31"/>
  <c r="AJ176" i="31"/>
  <c r="AJ153" i="31"/>
  <c r="AJ117" i="31"/>
  <c r="AJ98" i="31"/>
  <c r="AJ79" i="31"/>
  <c r="AJ60" i="31"/>
  <c r="AJ49" i="31"/>
  <c r="AJ41" i="31"/>
  <c r="AJ30" i="31"/>
  <c r="AJ22" i="31"/>
  <c r="AJ11" i="31"/>
  <c r="AJ282" i="31"/>
  <c r="AJ268" i="31"/>
  <c r="AJ262" i="31"/>
  <c r="AJ246" i="31"/>
  <c r="AJ198" i="31"/>
  <c r="AJ197" i="31"/>
  <c r="AJ196" i="31"/>
  <c r="AJ195" i="31"/>
  <c r="AJ194" i="31"/>
  <c r="AJ170" i="31"/>
  <c r="AJ164" i="31"/>
  <c r="AJ133" i="31"/>
  <c r="AJ125" i="31"/>
  <c r="AJ76" i="31"/>
  <c r="AJ204" i="31"/>
  <c r="AJ202" i="31"/>
  <c r="AJ189" i="31"/>
  <c r="AJ152" i="31"/>
  <c r="AJ114" i="31"/>
  <c r="AJ106" i="31"/>
  <c r="AJ95" i="31"/>
  <c r="AJ87" i="31"/>
  <c r="AJ269" i="31"/>
  <c r="AJ263" i="31"/>
  <c r="AJ255" i="31"/>
  <c r="AJ218" i="31"/>
  <c r="AJ249" i="31"/>
  <c r="AJ247" i="31"/>
  <c r="AJ227" i="31"/>
  <c r="AJ287" i="31"/>
  <c r="AJ216" i="31"/>
  <c r="AJ206" i="31"/>
  <c r="AJ185" i="31"/>
  <c r="AJ138" i="31"/>
  <c r="AJ135" i="31"/>
  <c r="AJ134" i="31"/>
  <c r="AJ96" i="31"/>
  <c r="AJ62" i="31"/>
  <c r="AJ39" i="31"/>
  <c r="AJ33" i="31"/>
  <c r="AJ27" i="31"/>
  <c r="AJ21" i="31"/>
  <c r="AJ305" i="31"/>
  <c r="AJ276" i="31"/>
  <c r="AJ274" i="31"/>
  <c r="AJ258" i="31"/>
  <c r="AJ236" i="31"/>
  <c r="AJ203" i="31"/>
  <c r="AJ181" i="31"/>
  <c r="AJ161" i="31"/>
  <c r="AJ156" i="31"/>
  <c r="AJ151" i="31"/>
  <c r="AJ141" i="31"/>
  <c r="AJ137" i="31"/>
  <c r="AJ254" i="31"/>
  <c r="AJ235" i="31"/>
  <c r="AJ226" i="31"/>
  <c r="AJ266" i="31"/>
  <c r="AJ256" i="31"/>
  <c r="AJ237" i="31"/>
  <c r="AJ225" i="31"/>
  <c r="AJ212" i="31"/>
  <c r="AJ177" i="31"/>
  <c r="AJ175" i="31"/>
  <c r="AJ173" i="31"/>
  <c r="AJ169" i="31"/>
  <c r="AJ167" i="31"/>
  <c r="AJ163" i="31"/>
  <c r="AJ157" i="31"/>
  <c r="AJ294" i="31"/>
  <c r="AJ261" i="31"/>
  <c r="AJ260" i="31"/>
  <c r="AJ242" i="31"/>
  <c r="AJ238" i="31"/>
  <c r="AJ233" i="31"/>
  <c r="AJ228" i="31"/>
  <c r="AJ172" i="31"/>
  <c r="AJ154" i="31"/>
  <c r="AJ146" i="31"/>
  <c r="AJ298" i="31"/>
  <c r="AJ248" i="31"/>
  <c r="AJ127" i="31"/>
  <c r="AJ280" i="31"/>
  <c r="AJ180" i="31"/>
  <c r="AJ121" i="31"/>
  <c r="AJ283" i="31"/>
  <c r="AJ232" i="31"/>
  <c r="AJ220" i="31"/>
  <c r="AJ207" i="31"/>
  <c r="AJ178" i="31"/>
  <c r="AJ150" i="31"/>
  <c r="AJ148" i="31"/>
  <c r="AJ118" i="31"/>
  <c r="AJ115" i="31"/>
  <c r="AJ285" i="31"/>
  <c r="AJ208" i="31"/>
  <c r="AJ222" i="31"/>
  <c r="AJ214" i="31"/>
  <c r="AJ210" i="31"/>
  <c r="AJ209" i="31"/>
  <c r="AJ200" i="31"/>
  <c r="AJ290" i="31"/>
  <c r="AJ162" i="31"/>
  <c r="AJ160" i="31"/>
  <c r="AJ139" i="31"/>
  <c r="AJ86" i="31"/>
  <c r="AJ83" i="31"/>
  <c r="AJ77" i="31"/>
  <c r="AJ264" i="31"/>
  <c r="AJ250" i="31"/>
  <c r="AJ230" i="31"/>
  <c r="AJ213" i="31"/>
  <c r="AJ183" i="31"/>
  <c r="AJ132" i="31"/>
  <c r="AJ124" i="31"/>
  <c r="AJ89" i="31"/>
  <c r="AJ71" i="31"/>
  <c r="AJ43" i="31"/>
  <c r="AJ243" i="31"/>
  <c r="AJ168" i="31"/>
  <c r="AJ165" i="31"/>
  <c r="AJ145" i="31"/>
  <c r="AJ102" i="31"/>
  <c r="AJ131" i="31"/>
  <c r="AJ109" i="31"/>
  <c r="AJ108" i="31"/>
  <c r="AJ67" i="31"/>
  <c r="AJ61" i="31"/>
  <c r="AJ64" i="31"/>
  <c r="AJ55" i="31"/>
  <c r="AJ28" i="31"/>
  <c r="AJ215" i="31"/>
  <c r="AJ149" i="31"/>
  <c r="AJ107" i="31"/>
  <c r="AJ58" i="31"/>
  <c r="AJ52" i="31"/>
  <c r="AJ40" i="31"/>
  <c r="AJ23" i="31"/>
  <c r="AJ122" i="31"/>
  <c r="AJ101" i="31"/>
  <c r="AJ78" i="31"/>
  <c r="AJ73" i="31"/>
  <c r="AJ70" i="31"/>
  <c r="AJ46" i="31"/>
  <c r="AJ34" i="31"/>
  <c r="AJ295" i="31"/>
  <c r="AJ91" i="31"/>
  <c r="AJ75" i="31"/>
  <c r="AJ29" i="31"/>
  <c r="AJ18" i="31"/>
  <c r="AJ12" i="31"/>
  <c r="AJ300" i="31"/>
  <c r="AJ126" i="31"/>
  <c r="AJ66" i="31"/>
  <c r="AJ26" i="31"/>
  <c r="AJ10" i="31"/>
  <c r="AJ103" i="31"/>
  <c r="AJ99" i="31"/>
  <c r="AJ82" i="31"/>
  <c r="AJ65" i="31"/>
  <c r="AJ57" i="31"/>
  <c r="AJ15" i="31"/>
  <c r="AJ112" i="31"/>
  <c r="AJ85" i="31"/>
  <c r="AJ48" i="31"/>
  <c r="AJ47" i="31"/>
  <c r="AJ25" i="31"/>
  <c r="AJ88" i="31"/>
  <c r="AJ72" i="31"/>
  <c r="AJ54" i="31"/>
  <c r="AJ38" i="31"/>
  <c r="AJ14" i="31"/>
  <c r="AJ63" i="31"/>
  <c r="AJ45" i="31"/>
  <c r="AJ19" i="31"/>
  <c r="AJ179" i="31"/>
  <c r="AJ37" i="31"/>
  <c r="AJ97" i="31"/>
  <c r="AJ13" i="31"/>
  <c r="AJ119" i="31"/>
  <c r="AJ110" i="31"/>
  <c r="AJ69" i="31"/>
  <c r="AJ59" i="31"/>
  <c r="AJ9" i="31"/>
  <c r="AJ129" i="31"/>
  <c r="AJ113" i="31"/>
  <c r="AJ24" i="31"/>
  <c r="AJ17" i="31"/>
  <c r="AJ252" i="31"/>
  <c r="AJ231" i="31"/>
  <c r="AJ143" i="31"/>
  <c r="AJ105" i="31"/>
  <c r="AJ219" i="31"/>
  <c r="AJ53" i="31"/>
  <c r="AJ42" i="31"/>
  <c r="AJ244" i="31"/>
  <c r="AJ31" i="31"/>
  <c r="AJ51" i="31"/>
  <c r="AJ111" i="31"/>
  <c r="AJ81" i="31"/>
  <c r="AJ36" i="31"/>
  <c r="AJ93" i="31"/>
  <c r="AJ16" i="31"/>
  <c r="AJ50" i="31"/>
  <c r="AJ229" i="31"/>
  <c r="AJ221" i="31"/>
  <c r="AK301" i="31"/>
  <c r="AK289" i="31"/>
  <c r="AK306" i="31"/>
  <c r="AK294" i="31"/>
  <c r="AK305" i="31"/>
  <c r="AK290" i="31"/>
  <c r="AK284" i="31"/>
  <c r="AK276" i="31"/>
  <c r="AK295" i="31"/>
  <c r="AK258" i="31"/>
  <c r="AK246" i="31"/>
  <c r="AK234" i="31"/>
  <c r="AK296" i="31"/>
  <c r="AK286" i="31"/>
  <c r="AK281" i="31"/>
  <c r="AK272" i="31"/>
  <c r="AK267" i="31"/>
  <c r="AK256" i="31"/>
  <c r="AK248" i="31"/>
  <c r="AK237" i="31"/>
  <c r="AK228" i="31"/>
  <c r="AK216" i="31"/>
  <c r="AK204" i="31"/>
  <c r="AK192" i="31"/>
  <c r="AK287" i="31"/>
  <c r="AK271" i="31"/>
  <c r="AK264" i="31"/>
  <c r="AK303" i="31"/>
  <c r="AK302" i="31"/>
  <c r="AK292" i="31"/>
  <c r="AK233" i="31"/>
  <c r="AK221" i="31"/>
  <c r="AK213" i="31"/>
  <c r="AK202" i="31"/>
  <c r="AK194" i="31"/>
  <c r="AK183" i="31"/>
  <c r="AK176" i="31"/>
  <c r="AK164" i="31"/>
  <c r="AK152" i="31"/>
  <c r="AK300" i="31"/>
  <c r="AK283" i="31"/>
  <c r="AK211" i="31"/>
  <c r="AK205" i="31"/>
  <c r="AK199" i="31"/>
  <c r="AK193" i="31"/>
  <c r="AK182" i="31"/>
  <c r="AK163" i="31"/>
  <c r="AK145" i="31"/>
  <c r="AK133" i="31"/>
  <c r="AK121" i="31"/>
  <c r="AK109" i="31"/>
  <c r="AK97" i="31"/>
  <c r="AK85" i="31"/>
  <c r="AK73" i="31"/>
  <c r="AK61" i="31"/>
  <c r="AK49" i="31"/>
  <c r="AK37" i="31"/>
  <c r="AK25" i="31"/>
  <c r="AK13" i="31"/>
  <c r="AK277" i="31"/>
  <c r="AK268" i="31"/>
  <c r="AK262" i="31"/>
  <c r="AK257" i="31"/>
  <c r="AK240" i="31"/>
  <c r="AK198" i="31"/>
  <c r="AK197" i="31"/>
  <c r="AK196" i="31"/>
  <c r="AK195" i="31"/>
  <c r="AK189" i="31"/>
  <c r="AK170" i="31"/>
  <c r="AK147" i="31"/>
  <c r="AK144" i="31"/>
  <c r="AK125" i="31"/>
  <c r="AK114" i="31"/>
  <c r="AK106" i="31"/>
  <c r="AK95" i="31"/>
  <c r="AK87" i="31"/>
  <c r="AK76" i="31"/>
  <c r="AK68" i="31"/>
  <c r="AK57" i="31"/>
  <c r="AK38" i="31"/>
  <c r="AK19" i="31"/>
  <c r="AK270" i="31"/>
  <c r="AK265" i="31"/>
  <c r="AK252" i="31"/>
  <c r="AK235" i="31"/>
  <c r="AK210" i="31"/>
  <c r="AK209" i="31"/>
  <c r="AK207" i="31"/>
  <c r="AK201" i="31"/>
  <c r="AK200" i="31"/>
  <c r="AK141" i="31"/>
  <c r="AK203" i="31"/>
  <c r="AK181" i="31"/>
  <c r="AK158" i="31"/>
  <c r="AK122" i="31"/>
  <c r="AK103" i="31"/>
  <c r="AK84" i="31"/>
  <c r="AK297" i="31"/>
  <c r="AK249" i="31"/>
  <c r="AK247" i="31"/>
  <c r="AK227" i="31"/>
  <c r="AK224" i="31"/>
  <c r="AK298" i="31"/>
  <c r="AK251" i="31"/>
  <c r="AK230" i="31"/>
  <c r="AK186" i="31"/>
  <c r="AK299" i="31"/>
  <c r="AK263" i="31"/>
  <c r="AK255" i="31"/>
  <c r="AK236" i="31"/>
  <c r="AK190" i="31"/>
  <c r="AK166" i="31"/>
  <c r="AK161" i="31"/>
  <c r="AK156" i="31"/>
  <c r="AK151" i="31"/>
  <c r="AK137" i="31"/>
  <c r="AK136" i="31"/>
  <c r="AK102" i="31"/>
  <c r="AK99" i="31"/>
  <c r="AK98" i="31"/>
  <c r="AK56" i="31"/>
  <c r="AK50" i="31"/>
  <c r="AK15" i="31"/>
  <c r="AK9" i="31"/>
  <c r="AK288" i="31"/>
  <c r="AK275" i="31"/>
  <c r="AK273" i="31"/>
  <c r="AK243" i="31"/>
  <c r="AK232" i="31"/>
  <c r="AK229" i="31"/>
  <c r="AK208" i="31"/>
  <c r="AK177" i="31"/>
  <c r="AK172" i="31"/>
  <c r="AK167" i="31"/>
  <c r="AK162" i="31"/>
  <c r="AK157" i="31"/>
  <c r="AK143" i="31"/>
  <c r="AK140" i="31"/>
  <c r="AK139" i="31"/>
  <c r="AK293" i="31"/>
  <c r="AK280" i="31"/>
  <c r="AK279" i="31"/>
  <c r="AK231" i="31"/>
  <c r="AK304" i="31"/>
  <c r="AK291" i="31"/>
  <c r="AK218" i="31"/>
  <c r="AK259" i="31"/>
  <c r="AK223" i="31"/>
  <c r="AK269" i="31"/>
  <c r="AK206" i="31"/>
  <c r="AK188" i="31"/>
  <c r="AK159" i="31"/>
  <c r="AK127" i="31"/>
  <c r="AK239" i="31"/>
  <c r="AK185" i="31"/>
  <c r="AK180" i="31"/>
  <c r="AK169" i="31"/>
  <c r="AK130" i="31"/>
  <c r="AK266" i="31"/>
  <c r="AK244" i="31"/>
  <c r="AK184" i="31"/>
  <c r="AK174" i="31"/>
  <c r="AK148" i="31"/>
  <c r="AK116" i="31"/>
  <c r="AK111" i="31"/>
  <c r="AK79" i="31"/>
  <c r="AK74" i="31"/>
  <c r="AK149" i="31"/>
  <c r="AK129" i="31"/>
  <c r="AK260" i="31"/>
  <c r="AK241" i="31"/>
  <c r="AK226" i="31"/>
  <c r="AK222" i="31"/>
  <c r="AK132" i="31"/>
  <c r="AK124" i="31"/>
  <c r="AK120" i="31"/>
  <c r="AK118" i="31"/>
  <c r="AK92" i="31"/>
  <c r="AK89" i="31"/>
  <c r="AK175" i="31"/>
  <c r="AK131" i="31"/>
  <c r="AK112" i="31"/>
  <c r="AK110" i="31"/>
  <c r="AK108" i="31"/>
  <c r="AK66" i="31"/>
  <c r="AK60" i="31"/>
  <c r="AK254" i="31"/>
  <c r="AK245" i="31"/>
  <c r="AK191" i="31"/>
  <c r="AK146" i="31"/>
  <c r="AK138" i="31"/>
  <c r="AK104" i="31"/>
  <c r="AK278" i="31"/>
  <c r="AK225" i="31"/>
  <c r="AK220" i="31"/>
  <c r="AK123" i="31"/>
  <c r="AK101" i="31"/>
  <c r="AK78" i="31"/>
  <c r="AK70" i="31"/>
  <c r="AK64" i="31"/>
  <c r="AK55" i="31"/>
  <c r="AK39" i="31"/>
  <c r="AK28" i="31"/>
  <c r="AK22" i="31"/>
  <c r="AK11" i="31"/>
  <c r="AK58" i="31"/>
  <c r="AK46" i="31"/>
  <c r="AK43" i="31"/>
  <c r="AK40" i="31"/>
  <c r="AK23" i="31"/>
  <c r="AK17" i="31"/>
  <c r="AK242" i="31"/>
  <c r="AK178" i="31"/>
  <c r="AK75" i="31"/>
  <c r="AK35" i="31"/>
  <c r="AK29" i="31"/>
  <c r="AK215" i="31"/>
  <c r="AK115" i="31"/>
  <c r="AK107" i="31"/>
  <c r="AK100" i="31"/>
  <c r="AK86" i="31"/>
  <c r="AK52" i="31"/>
  <c r="AK34" i="31"/>
  <c r="AK91" i="31"/>
  <c r="AK217" i="31"/>
  <c r="AK173" i="31"/>
  <c r="AK153" i="31"/>
  <c r="AK126" i="31"/>
  <c r="AK113" i="31"/>
  <c r="AK94" i="31"/>
  <c r="AK83" i="31"/>
  <c r="AK24" i="31"/>
  <c r="AK285" i="31"/>
  <c r="AK238" i="31"/>
  <c r="AK187" i="31"/>
  <c r="AK135" i="31"/>
  <c r="AK82" i="31"/>
  <c r="AK65" i="31"/>
  <c r="AK30" i="31"/>
  <c r="AK160" i="31"/>
  <c r="AK154" i="31"/>
  <c r="AK48" i="31"/>
  <c r="AK47" i="31"/>
  <c r="AK21" i="31"/>
  <c r="AK12" i="31"/>
  <c r="AK168" i="31"/>
  <c r="AK219" i="31"/>
  <c r="AK117" i="31"/>
  <c r="AK105" i="31"/>
  <c r="AK63" i="31"/>
  <c r="AK53" i="31"/>
  <c r="AK44" i="31"/>
  <c r="AK134" i="31"/>
  <c r="AK90" i="31"/>
  <c r="AK261" i="31"/>
  <c r="AK155" i="31"/>
  <c r="AK77" i="31"/>
  <c r="AK33" i="31"/>
  <c r="AK119" i="31"/>
  <c r="AK59" i="31"/>
  <c r="AK32" i="31"/>
  <c r="AK16" i="31"/>
  <c r="AK165" i="31"/>
  <c r="AK150" i="31"/>
  <c r="AK93" i="31"/>
  <c r="AK80" i="31"/>
  <c r="AK20" i="31"/>
  <c r="AK96" i="31"/>
  <c r="AK88" i="31"/>
  <c r="AK72" i="31"/>
  <c r="AK71" i="31"/>
  <c r="AK62" i="31"/>
  <c r="AK54" i="31"/>
  <c r="AK14" i="31"/>
  <c r="AK45" i="31"/>
  <c r="AK69" i="31"/>
  <c r="AK212" i="31"/>
  <c r="AK179" i="31"/>
  <c r="AK67" i="31"/>
  <c r="AK10" i="31"/>
  <c r="AK128" i="31"/>
  <c r="AK27" i="31"/>
  <c r="AK36" i="31"/>
  <c r="AK171" i="31"/>
  <c r="AK81" i="31"/>
  <c r="AK142" i="31"/>
  <c r="AK41" i="31"/>
  <c r="AK31" i="31"/>
  <c r="AK18" i="31"/>
  <c r="AK214" i="31"/>
  <c r="AK26" i="31"/>
  <c r="AK42" i="31"/>
  <c r="AL301" i="31"/>
  <c r="AL306" i="31"/>
  <c r="AL294" i="31"/>
  <c r="AL282" i="31"/>
  <c r="AL299" i="31"/>
  <c r="AL287" i="31"/>
  <c r="AL275" i="31"/>
  <c r="AL283" i="31"/>
  <c r="AL268" i="31"/>
  <c r="AL293" i="31"/>
  <c r="AL280" i="31"/>
  <c r="AL271" i="31"/>
  <c r="AL263" i="31"/>
  <c r="AL251" i="31"/>
  <c r="AL239" i="31"/>
  <c r="AL264" i="31"/>
  <c r="AL245" i="31"/>
  <c r="AL221" i="31"/>
  <c r="AL209" i="31"/>
  <c r="AL197" i="31"/>
  <c r="AL185" i="31"/>
  <c r="AL303" i="31"/>
  <c r="AL261" i="31"/>
  <c r="AL305" i="31"/>
  <c r="AL297" i="31"/>
  <c r="AL278" i="31"/>
  <c r="AL256" i="31"/>
  <c r="AL250" i="31"/>
  <c r="AL244" i="31"/>
  <c r="AL229" i="31"/>
  <c r="AL210" i="31"/>
  <c r="AL191" i="31"/>
  <c r="AL181" i="31"/>
  <c r="AL169" i="31"/>
  <c r="AL157" i="31"/>
  <c r="AL286" i="31"/>
  <c r="AL267" i="31"/>
  <c r="AL262" i="31"/>
  <c r="AL228" i="31"/>
  <c r="AL222" i="31"/>
  <c r="AL187" i="31"/>
  <c r="AL179" i="31"/>
  <c r="AL171" i="31"/>
  <c r="AL160" i="31"/>
  <c r="AL152" i="31"/>
  <c r="AL138" i="31"/>
  <c r="AL126" i="31"/>
  <c r="AL114" i="31"/>
  <c r="AL102" i="31"/>
  <c r="AL90" i="31"/>
  <c r="AL78" i="31"/>
  <c r="AL66" i="31"/>
  <c r="AL54" i="31"/>
  <c r="AL42" i="31"/>
  <c r="AL30" i="31"/>
  <c r="AL18" i="31"/>
  <c r="AL274" i="31"/>
  <c r="AL272" i="31"/>
  <c r="AL270" i="31"/>
  <c r="AL265" i="31"/>
  <c r="AL252" i="31"/>
  <c r="AL246" i="31"/>
  <c r="AL235" i="31"/>
  <c r="AL207" i="31"/>
  <c r="AL204" i="31"/>
  <c r="AL203" i="31"/>
  <c r="AL202" i="31"/>
  <c r="AL201" i="31"/>
  <c r="AL200" i="31"/>
  <c r="AL199" i="31"/>
  <c r="AL194" i="31"/>
  <c r="AL164" i="31"/>
  <c r="AL158" i="31"/>
  <c r="AL141" i="31"/>
  <c r="AL133" i="31"/>
  <c r="AL122" i="31"/>
  <c r="AL103" i="31"/>
  <c r="AL84" i="31"/>
  <c r="AL65" i="31"/>
  <c r="AL46" i="31"/>
  <c r="AL35" i="31"/>
  <c r="AL27" i="31"/>
  <c r="AL16" i="31"/>
  <c r="AL290" i="31"/>
  <c r="AL279" i="31"/>
  <c r="AL258" i="31"/>
  <c r="AL247" i="31"/>
  <c r="AL241" i="31"/>
  <c r="AL215" i="31"/>
  <c r="AL214" i="31"/>
  <c r="AL212" i="31"/>
  <c r="AL208" i="31"/>
  <c r="AL130" i="31"/>
  <c r="AL206" i="31"/>
  <c r="AL205" i="31"/>
  <c r="AL175" i="31"/>
  <c r="AL119" i="31"/>
  <c r="AL111" i="31"/>
  <c r="AL100" i="31"/>
  <c r="AL92" i="31"/>
  <c r="AL81" i="31"/>
  <c r="AL73" i="31"/>
  <c r="AL304" i="31"/>
  <c r="AL298" i="31"/>
  <c r="AL230" i="31"/>
  <c r="AL186" i="31"/>
  <c r="AL183" i="31"/>
  <c r="AL302" i="31"/>
  <c r="AL289" i="31"/>
  <c r="AL288" i="31"/>
  <c r="AL243" i="31"/>
  <c r="AL198" i="31"/>
  <c r="AL195" i="31"/>
  <c r="AL192" i="31"/>
  <c r="AL189" i="31"/>
  <c r="AL276" i="31"/>
  <c r="AL273" i="31"/>
  <c r="AL240" i="31"/>
  <c r="AL232" i="31"/>
  <c r="AL224" i="31"/>
  <c r="AL177" i="31"/>
  <c r="AL172" i="31"/>
  <c r="AL167" i="31"/>
  <c r="AL162" i="31"/>
  <c r="AL143" i="31"/>
  <c r="AL140" i="31"/>
  <c r="AL139" i="31"/>
  <c r="AL105" i="31"/>
  <c r="AL101" i="31"/>
  <c r="AL67" i="31"/>
  <c r="AL44" i="31"/>
  <c r="AL38" i="31"/>
  <c r="AL32" i="31"/>
  <c r="AL26" i="31"/>
  <c r="AL254" i="31"/>
  <c r="AL226" i="31"/>
  <c r="AL213" i="31"/>
  <c r="AL146" i="31"/>
  <c r="AL142" i="31"/>
  <c r="AL269" i="31"/>
  <c r="AL242" i="31"/>
  <c r="AL255" i="31"/>
  <c r="AL238" i="31"/>
  <c r="AL236" i="31"/>
  <c r="AL165" i="31"/>
  <c r="AL284" i="31"/>
  <c r="AL253" i="31"/>
  <c r="AL248" i="31"/>
  <c r="AL227" i="31"/>
  <c r="AL180" i="31"/>
  <c r="AL144" i="31"/>
  <c r="AL266" i="31"/>
  <c r="AL184" i="31"/>
  <c r="AL174" i="31"/>
  <c r="AL156" i="31"/>
  <c r="AL148" i="31"/>
  <c r="AL291" i="31"/>
  <c r="AL249" i="31"/>
  <c r="AL234" i="31"/>
  <c r="AL161" i="31"/>
  <c r="AL153" i="31"/>
  <c r="AL95" i="31"/>
  <c r="AL217" i="31"/>
  <c r="AL176" i="31"/>
  <c r="AL173" i="31"/>
  <c r="AL147" i="31"/>
  <c r="AL107" i="31"/>
  <c r="AL190" i="31"/>
  <c r="AL131" i="31"/>
  <c r="AL112" i="31"/>
  <c r="AL110" i="31"/>
  <c r="AL108" i="31"/>
  <c r="AL259" i="31"/>
  <c r="AL257" i="31"/>
  <c r="AL220" i="31"/>
  <c r="AL193" i="31"/>
  <c r="AL188" i="31"/>
  <c r="AL168" i="31"/>
  <c r="AL75" i="31"/>
  <c r="AL55" i="31"/>
  <c r="AL49" i="31"/>
  <c r="AL216" i="31"/>
  <c r="AL137" i="31"/>
  <c r="AL182" i="31"/>
  <c r="AL166" i="31"/>
  <c r="AL145" i="31"/>
  <c r="AL115" i="31"/>
  <c r="AL86" i="31"/>
  <c r="AL58" i="31"/>
  <c r="AL52" i="31"/>
  <c r="AL43" i="31"/>
  <c r="AL40" i="31"/>
  <c r="AL34" i="31"/>
  <c r="AL23" i="31"/>
  <c r="AL17" i="31"/>
  <c r="AL170" i="31"/>
  <c r="AL163" i="31"/>
  <c r="AL159" i="31"/>
  <c r="AL132" i="31"/>
  <c r="AL121" i="31"/>
  <c r="AL113" i="31"/>
  <c r="AL94" i="31"/>
  <c r="AL83" i="31"/>
  <c r="AL24" i="31"/>
  <c r="AL296" i="31"/>
  <c r="AL260" i="31"/>
  <c r="AL178" i="31"/>
  <c r="AL149" i="31"/>
  <c r="AL125" i="31"/>
  <c r="AL91" i="31"/>
  <c r="AL29" i="31"/>
  <c r="AL295" i="31"/>
  <c r="AL300" i="31"/>
  <c r="AL285" i="31"/>
  <c r="AL281" i="31"/>
  <c r="AL277" i="31"/>
  <c r="AL233" i="31"/>
  <c r="AL106" i="31"/>
  <c r="AL88" i="31"/>
  <c r="AL71" i="31"/>
  <c r="AL62" i="31"/>
  <c r="AL59" i="31"/>
  <c r="AL13" i="31"/>
  <c r="AL154" i="31"/>
  <c r="AL99" i="31"/>
  <c r="AL57" i="31"/>
  <c r="AL56" i="31"/>
  <c r="AL48" i="31"/>
  <c r="AL47" i="31"/>
  <c r="AL21" i="31"/>
  <c r="AL15" i="31"/>
  <c r="AL120" i="31"/>
  <c r="AL85" i="31"/>
  <c r="AL25" i="31"/>
  <c r="AL196" i="31"/>
  <c r="AL104" i="31"/>
  <c r="AL20" i="31"/>
  <c r="AL19" i="31"/>
  <c r="AL155" i="31"/>
  <c r="AL77" i="31"/>
  <c r="AL37" i="31"/>
  <c r="AL33" i="31"/>
  <c r="AL97" i="31"/>
  <c r="AL70" i="31"/>
  <c r="AL61" i="31"/>
  <c r="AL28" i="31"/>
  <c r="AL150" i="31"/>
  <c r="AL98" i="31"/>
  <c r="AL80" i="31"/>
  <c r="AL68" i="31"/>
  <c r="AL60" i="31"/>
  <c r="AL51" i="31"/>
  <c r="AL218" i="31"/>
  <c r="AL136" i="31"/>
  <c r="AL129" i="31"/>
  <c r="AL124" i="31"/>
  <c r="AL116" i="31"/>
  <c r="AL96" i="31"/>
  <c r="AL72" i="31"/>
  <c r="AL64" i="31"/>
  <c r="AL39" i="31"/>
  <c r="AL14" i="31"/>
  <c r="AL231" i="31"/>
  <c r="AL219" i="31"/>
  <c r="AL127" i="31"/>
  <c r="AL117" i="31"/>
  <c r="AL87" i="31"/>
  <c r="AL74" i="31"/>
  <c r="AL63" i="31"/>
  <c r="AL53" i="31"/>
  <c r="AL45" i="31"/>
  <c r="AL237" i="31"/>
  <c r="AL223" i="31"/>
  <c r="AL151" i="31"/>
  <c r="AL134" i="31"/>
  <c r="AL76" i="31"/>
  <c r="AL109" i="31"/>
  <c r="AL89" i="31"/>
  <c r="AL118" i="31"/>
  <c r="AL93" i="31"/>
  <c r="AL69" i="31"/>
  <c r="AL50" i="31"/>
  <c r="AL36" i="31"/>
  <c r="AL128" i="31"/>
  <c r="AL79" i="31"/>
  <c r="AL292" i="31"/>
  <c r="AL225" i="31"/>
  <c r="AL123" i="31"/>
  <c r="AL22" i="31"/>
  <c r="AL41" i="31"/>
  <c r="AL31" i="31"/>
  <c r="AL82" i="31"/>
  <c r="AL211" i="31"/>
  <c r="AL135" i="31"/>
  <c r="AV17" i="31" l="1"/>
  <c r="Q10" i="36" s="1"/>
  <c r="AV14" i="31"/>
  <c r="Q7" i="36" s="1"/>
  <c r="AV15" i="31"/>
  <c r="Q8" i="36" s="1"/>
  <c r="N3" i="36"/>
  <c r="AV10" i="31"/>
  <c r="Q3" i="36" s="1"/>
  <c r="N5" i="36"/>
  <c r="AV12" i="31"/>
  <c r="Q5" i="36" s="1"/>
  <c r="N6" i="36"/>
  <c r="AV13" i="31"/>
  <c r="Q6" i="36" s="1"/>
  <c r="V65" i="36"/>
  <c r="S65" i="36"/>
  <c r="V213" i="36"/>
  <c r="S213" i="36"/>
  <c r="S205" i="36"/>
  <c r="V205" i="36"/>
  <c r="S202" i="36"/>
  <c r="V202" i="36"/>
  <c r="V18" i="36"/>
  <c r="S18" i="36"/>
  <c r="V139" i="36"/>
  <c r="S139" i="36"/>
  <c r="V35" i="36"/>
  <c r="S35" i="36"/>
  <c r="S56" i="36"/>
  <c r="V56" i="36"/>
  <c r="S252" i="36"/>
  <c r="V252" i="36"/>
  <c r="V208" i="36"/>
  <c r="S208" i="36"/>
  <c r="V292" i="36"/>
  <c r="S292" i="36"/>
  <c r="V67" i="36"/>
  <c r="S67" i="36"/>
  <c r="V175" i="36"/>
  <c r="S175" i="36"/>
  <c r="S85" i="36"/>
  <c r="V85" i="36"/>
  <c r="S275" i="36"/>
  <c r="V275" i="36"/>
  <c r="S80" i="36"/>
  <c r="V80" i="36"/>
  <c r="V90" i="36"/>
  <c r="S90" i="36"/>
  <c r="S81" i="36"/>
  <c r="V81" i="36"/>
  <c r="S10" i="36"/>
  <c r="V10" i="36"/>
  <c r="V103" i="36"/>
  <c r="S103" i="36"/>
  <c r="V246" i="36"/>
  <c r="S246" i="36"/>
  <c r="S160" i="36"/>
  <c r="V160" i="36"/>
  <c r="V93" i="36"/>
  <c r="S93" i="36"/>
  <c r="S240" i="36"/>
  <c r="V240" i="36"/>
  <c r="S228" i="36"/>
  <c r="V228" i="36"/>
  <c r="V221" i="36"/>
  <c r="S221" i="36"/>
  <c r="S232" i="36"/>
  <c r="V232" i="36"/>
  <c r="V34" i="36"/>
  <c r="S34" i="36"/>
  <c r="V110" i="36"/>
  <c r="S110" i="36"/>
  <c r="S129" i="36"/>
  <c r="V129" i="36"/>
  <c r="V26" i="36"/>
  <c r="S26" i="36"/>
  <c r="V14" i="36"/>
  <c r="S14" i="36"/>
  <c r="V99" i="36"/>
  <c r="S99" i="36"/>
  <c r="S253" i="36"/>
  <c r="V253" i="36"/>
  <c r="S16" i="36"/>
  <c r="V16" i="36"/>
  <c r="V209" i="36"/>
  <c r="S209" i="36"/>
  <c r="V105" i="36"/>
  <c r="S105" i="36"/>
  <c r="V242" i="36"/>
  <c r="S242" i="36"/>
  <c r="S277" i="36"/>
  <c r="V277" i="36"/>
  <c r="S19" i="36"/>
  <c r="V19" i="36"/>
  <c r="V165" i="36"/>
  <c r="S165" i="36"/>
  <c r="S281" i="36"/>
  <c r="V281" i="36"/>
  <c r="V104" i="36"/>
  <c r="S104" i="36"/>
  <c r="S251" i="36"/>
  <c r="V251" i="36"/>
  <c r="V134" i="36"/>
  <c r="S134" i="36"/>
  <c r="S239" i="36"/>
  <c r="V239" i="36"/>
  <c r="V83" i="36"/>
  <c r="S83" i="36"/>
  <c r="V255" i="36"/>
  <c r="S255" i="36"/>
  <c r="V271" i="36"/>
  <c r="S271" i="36"/>
  <c r="S244" i="36"/>
  <c r="V244" i="36"/>
  <c r="S299" i="36"/>
  <c r="V299" i="36"/>
  <c r="V6" i="36"/>
  <c r="S6" i="36"/>
  <c r="V135" i="36"/>
  <c r="S135" i="36"/>
  <c r="V23" i="36"/>
  <c r="S23" i="36"/>
  <c r="V89" i="36"/>
  <c r="S89" i="36"/>
  <c r="V250" i="36"/>
  <c r="S250" i="36"/>
  <c r="V207" i="36"/>
  <c r="S207" i="36"/>
  <c r="S280" i="36"/>
  <c r="V280" i="36"/>
  <c r="V54" i="36"/>
  <c r="S54" i="36"/>
  <c r="V146" i="36"/>
  <c r="S146" i="36"/>
  <c r="S96" i="36"/>
  <c r="V96" i="36"/>
  <c r="V64" i="36"/>
  <c r="S64" i="36"/>
  <c r="V155" i="36"/>
  <c r="S155" i="36"/>
  <c r="V243" i="36"/>
  <c r="S243" i="36"/>
  <c r="S24" i="36"/>
  <c r="V24" i="36"/>
  <c r="V111" i="36"/>
  <c r="S111" i="36"/>
  <c r="V122" i="36"/>
  <c r="S122" i="36"/>
  <c r="S8" i="36"/>
  <c r="V8" i="36"/>
  <c r="V171" i="36"/>
  <c r="S171" i="36"/>
  <c r="S130" i="36"/>
  <c r="V130" i="36"/>
  <c r="S227" i="36"/>
  <c r="V227" i="36"/>
  <c r="V247" i="36"/>
  <c r="S247" i="36"/>
  <c r="S236" i="36"/>
  <c r="V236" i="36"/>
  <c r="V126" i="36"/>
  <c r="S126" i="36"/>
  <c r="V71" i="36"/>
  <c r="S71" i="36"/>
  <c r="V249" i="36"/>
  <c r="S249" i="36"/>
  <c r="S287" i="36"/>
  <c r="V287" i="36"/>
  <c r="V82" i="36"/>
  <c r="S82" i="36"/>
  <c r="V15" i="36"/>
  <c r="S15" i="36"/>
  <c r="S102" i="36"/>
  <c r="V102" i="36"/>
  <c r="S120" i="36"/>
  <c r="V120" i="36"/>
  <c r="V211" i="36"/>
  <c r="S211" i="36"/>
  <c r="S30" i="36"/>
  <c r="V30" i="36"/>
  <c r="S40" i="36"/>
  <c r="V40" i="36"/>
  <c r="V226" i="36"/>
  <c r="S226" i="36"/>
  <c r="S289" i="36"/>
  <c r="V289" i="36"/>
  <c r="V27" i="36"/>
  <c r="S27" i="36"/>
  <c r="S42" i="36"/>
  <c r="V42" i="36"/>
  <c r="V124" i="36"/>
  <c r="S124" i="36"/>
  <c r="V284" i="36"/>
  <c r="S284" i="36"/>
  <c r="V158" i="36"/>
  <c r="S158" i="36"/>
  <c r="S25" i="36"/>
  <c r="V25" i="36"/>
  <c r="V170" i="36"/>
  <c r="S170" i="36"/>
  <c r="S282" i="36"/>
  <c r="V282" i="36"/>
  <c r="S112" i="36"/>
  <c r="V112" i="36"/>
  <c r="S272" i="36"/>
  <c r="V272" i="36"/>
  <c r="S151" i="36"/>
  <c r="V151" i="36"/>
  <c r="S245" i="36"/>
  <c r="V245" i="36"/>
  <c r="V95" i="36"/>
  <c r="S95" i="36"/>
  <c r="S260" i="36"/>
  <c r="V260" i="36"/>
  <c r="V290" i="36"/>
  <c r="S290" i="36"/>
  <c r="V256" i="36"/>
  <c r="S256" i="36"/>
  <c r="S294" i="36"/>
  <c r="V294" i="36"/>
  <c r="V143" i="36"/>
  <c r="S143" i="36"/>
  <c r="V210" i="36"/>
  <c r="S210" i="36"/>
  <c r="S58" i="36"/>
  <c r="V58" i="36"/>
  <c r="V52" i="36"/>
  <c r="S52" i="36"/>
  <c r="S173" i="36"/>
  <c r="V173" i="36"/>
  <c r="V196" i="36"/>
  <c r="S196" i="36"/>
  <c r="S78" i="36"/>
  <c r="V78" i="36"/>
  <c r="V206" i="36"/>
  <c r="S206" i="36"/>
  <c r="S180" i="36"/>
  <c r="V180" i="36"/>
  <c r="S117" i="36"/>
  <c r="V117" i="36"/>
  <c r="S101" i="36"/>
  <c r="V101" i="36"/>
  <c r="V234" i="36"/>
  <c r="S234" i="36"/>
  <c r="V69" i="36"/>
  <c r="S69" i="36"/>
  <c r="V70" i="36"/>
  <c r="S70" i="36"/>
  <c r="V33" i="36"/>
  <c r="S33" i="36"/>
  <c r="V31" i="36"/>
  <c r="S31" i="36"/>
  <c r="S157" i="36"/>
  <c r="V157" i="36"/>
  <c r="S298" i="36"/>
  <c r="V298" i="36"/>
  <c r="S148" i="36"/>
  <c r="V148" i="36"/>
  <c r="S36" i="36"/>
  <c r="V36" i="36"/>
  <c r="S37" i="36"/>
  <c r="V37" i="36"/>
  <c r="S187" i="36"/>
  <c r="V187" i="36"/>
  <c r="S273" i="36"/>
  <c r="V273" i="36"/>
  <c r="S61" i="36"/>
  <c r="V61" i="36"/>
  <c r="S45" i="36"/>
  <c r="V45" i="36"/>
  <c r="V167" i="36"/>
  <c r="S167" i="36"/>
  <c r="S60" i="36"/>
  <c r="V60" i="36"/>
  <c r="V179" i="36"/>
  <c r="S179" i="36"/>
  <c r="V20" i="36"/>
  <c r="S20" i="36"/>
  <c r="S265" i="36"/>
  <c r="V265" i="36"/>
  <c r="V131" i="36"/>
  <c r="S131" i="36"/>
  <c r="V162" i="36"/>
  <c r="S162" i="36"/>
  <c r="S296" i="36"/>
  <c r="V296" i="36"/>
  <c r="V286" i="36"/>
  <c r="S286" i="36"/>
  <c r="V2" i="36"/>
  <c r="S2" i="36"/>
  <c r="S29" i="36"/>
  <c r="V29" i="36"/>
  <c r="V125" i="36"/>
  <c r="S125" i="36"/>
  <c r="V182" i="36"/>
  <c r="S182" i="36"/>
  <c r="V203" i="36"/>
  <c r="S203" i="36"/>
  <c r="V46" i="36"/>
  <c r="S46" i="36"/>
  <c r="V152" i="36"/>
  <c r="S152" i="36"/>
  <c r="S185" i="36"/>
  <c r="V185" i="36"/>
  <c r="V222" i="36"/>
  <c r="S222" i="36"/>
  <c r="S204" i="36"/>
  <c r="V204" i="36"/>
  <c r="V118" i="36"/>
  <c r="S118" i="36"/>
  <c r="V136" i="36"/>
  <c r="S136" i="36"/>
  <c r="V47" i="36"/>
  <c r="S47" i="36"/>
  <c r="V75" i="36"/>
  <c r="S75" i="36"/>
  <c r="V142" i="36"/>
  <c r="S142" i="36"/>
  <c r="V219" i="36"/>
  <c r="S219" i="36"/>
  <c r="V59" i="36"/>
  <c r="S59" i="36"/>
  <c r="V41" i="36"/>
  <c r="S41" i="36"/>
  <c r="V183" i="36"/>
  <c r="S183" i="36"/>
  <c r="S295" i="36"/>
  <c r="V295" i="36"/>
  <c r="V107" i="36"/>
  <c r="S107" i="36"/>
  <c r="V127" i="36"/>
  <c r="S127" i="36"/>
  <c r="S274" i="36"/>
  <c r="V274" i="36"/>
  <c r="S149" i="36"/>
  <c r="V149" i="36"/>
  <c r="V198" i="36"/>
  <c r="S198" i="36"/>
  <c r="V150" i="36"/>
  <c r="S150" i="36"/>
  <c r="S144" i="36"/>
  <c r="V144" i="36"/>
  <c r="V50" i="36"/>
  <c r="S50" i="36"/>
  <c r="V140" i="36"/>
  <c r="S140" i="36"/>
  <c r="S199" i="36"/>
  <c r="V199" i="36"/>
  <c r="V32" i="36"/>
  <c r="S32" i="36"/>
  <c r="S293" i="36"/>
  <c r="V293" i="36"/>
  <c r="S166" i="36"/>
  <c r="V166" i="36"/>
  <c r="V266" i="36"/>
  <c r="S266" i="36"/>
  <c r="S193" i="36"/>
  <c r="V193" i="36"/>
  <c r="V178" i="36"/>
  <c r="S178" i="36"/>
  <c r="V3" i="36"/>
  <c r="S3" i="36"/>
  <c r="V38" i="36"/>
  <c r="S38" i="36"/>
  <c r="S189" i="36"/>
  <c r="V189" i="36"/>
  <c r="S22" i="36"/>
  <c r="V22" i="36"/>
  <c r="S108" i="36"/>
  <c r="V108" i="36"/>
  <c r="V137" i="36"/>
  <c r="S137" i="36"/>
  <c r="S132" i="36"/>
  <c r="V132" i="36"/>
  <c r="S297" i="36"/>
  <c r="V297" i="36"/>
  <c r="V195" i="36"/>
  <c r="S195" i="36"/>
  <c r="S164" i="36"/>
  <c r="V164" i="36"/>
  <c r="S268" i="36"/>
  <c r="V268" i="36"/>
  <c r="S4" i="36"/>
  <c r="V4" i="36"/>
  <c r="S128" i="36"/>
  <c r="V128" i="36"/>
  <c r="S43" i="36"/>
  <c r="V43" i="36"/>
  <c r="V21" i="36"/>
  <c r="S21" i="36"/>
  <c r="S84" i="36"/>
  <c r="V84" i="36"/>
  <c r="V138" i="36"/>
  <c r="S138" i="36"/>
  <c r="S88" i="36"/>
  <c r="V88" i="36"/>
  <c r="S133" i="36"/>
  <c r="V133" i="36"/>
  <c r="V66" i="36"/>
  <c r="S66" i="36"/>
  <c r="S77" i="36"/>
  <c r="V77" i="36"/>
  <c r="S172" i="36"/>
  <c r="V172" i="36"/>
  <c r="V214" i="36"/>
  <c r="S214" i="36"/>
  <c r="V62" i="36"/>
  <c r="S62" i="36"/>
  <c r="S109" i="36"/>
  <c r="V109" i="36"/>
  <c r="V55" i="36"/>
  <c r="S55" i="36"/>
  <c r="S156" i="36"/>
  <c r="V156" i="36"/>
  <c r="V159" i="36"/>
  <c r="S159" i="36"/>
  <c r="S220" i="36"/>
  <c r="V220" i="36"/>
  <c r="S188" i="36"/>
  <c r="V188" i="36"/>
  <c r="V74" i="36"/>
  <c r="S74" i="36"/>
  <c r="V197" i="36"/>
  <c r="S197" i="36"/>
  <c r="S237" i="36"/>
  <c r="V237" i="36"/>
  <c r="V238" i="36"/>
  <c r="S238" i="36"/>
  <c r="V86" i="36"/>
  <c r="S86" i="36"/>
  <c r="V63" i="36"/>
  <c r="S63" i="36"/>
  <c r="S113" i="36"/>
  <c r="V113" i="36"/>
  <c r="V163" i="36"/>
  <c r="S163" i="36"/>
  <c r="V154" i="36"/>
  <c r="S154" i="36"/>
  <c r="S241" i="36"/>
  <c r="V241" i="36"/>
  <c r="S191" i="36"/>
  <c r="V191" i="36"/>
  <c r="S115" i="36"/>
  <c r="V115" i="36"/>
  <c r="S200" i="36"/>
  <c r="V200" i="36"/>
  <c r="S215" i="36"/>
  <c r="V215" i="36"/>
  <c r="S257" i="36"/>
  <c r="V257" i="36"/>
  <c r="S116" i="36"/>
  <c r="V116" i="36"/>
  <c r="V212" i="36"/>
  <c r="S212" i="36"/>
  <c r="S44" i="36"/>
  <c r="V44" i="36"/>
  <c r="V270" i="36"/>
  <c r="S270" i="36"/>
  <c r="V17" i="36"/>
  <c r="S17" i="36"/>
  <c r="S48" i="36"/>
  <c r="V48" i="36"/>
  <c r="V141" i="36"/>
  <c r="S141" i="36"/>
  <c r="S229" i="36"/>
  <c r="V229" i="36"/>
  <c r="S217" i="36"/>
  <c r="V217" i="36"/>
  <c r="S168" i="36"/>
  <c r="V168" i="36"/>
  <c r="S283" i="36"/>
  <c r="V283" i="36"/>
  <c r="V258" i="36"/>
  <c r="S258" i="36"/>
  <c r="V279" i="36"/>
  <c r="S279" i="36"/>
  <c r="S264" i="36"/>
  <c r="V264" i="36"/>
  <c r="V218" i="36"/>
  <c r="S218" i="36"/>
  <c r="V224" i="36"/>
  <c r="S224" i="36"/>
  <c r="V53" i="36"/>
  <c r="S53" i="36"/>
  <c r="S49" i="36"/>
  <c r="V49" i="36"/>
  <c r="V76" i="36"/>
  <c r="S76" i="36"/>
  <c r="V68" i="36"/>
  <c r="S68" i="36"/>
  <c r="S100" i="36"/>
  <c r="V100" i="36"/>
  <c r="V231" i="36"/>
  <c r="S231" i="36"/>
  <c r="S225" i="36"/>
  <c r="V225" i="36"/>
  <c r="V176" i="36"/>
  <c r="S176" i="36"/>
  <c r="V9" i="36"/>
  <c r="S9" i="36"/>
  <c r="S263" i="36"/>
  <c r="V263" i="36"/>
  <c r="V119" i="36"/>
  <c r="S119" i="36"/>
  <c r="V254" i="36"/>
  <c r="S254" i="36"/>
  <c r="V285" i="36"/>
  <c r="S285" i="36"/>
  <c r="V7" i="36"/>
  <c r="S7" i="36"/>
  <c r="S12" i="36"/>
  <c r="V12" i="36"/>
  <c r="V278" i="36"/>
  <c r="S278" i="36"/>
  <c r="V87" i="36"/>
  <c r="S87" i="36"/>
  <c r="V161" i="36"/>
  <c r="S161" i="36"/>
  <c r="V248" i="36"/>
  <c r="S248" i="36"/>
  <c r="V233" i="36"/>
  <c r="S233" i="36"/>
  <c r="S192" i="36"/>
  <c r="V192" i="36"/>
  <c r="S72" i="36"/>
  <c r="V72" i="36"/>
  <c r="S216" i="36"/>
  <c r="V216" i="36"/>
  <c r="S73" i="36"/>
  <c r="V73" i="36"/>
  <c r="S13" i="36"/>
  <c r="V13" i="36"/>
  <c r="S92" i="36"/>
  <c r="V92" i="36"/>
  <c r="V106" i="36"/>
  <c r="S106" i="36"/>
  <c r="V51" i="36"/>
  <c r="S51" i="36"/>
  <c r="S181" i="36"/>
  <c r="V181" i="36"/>
  <c r="V177" i="36"/>
  <c r="S177" i="36"/>
  <c r="S235" i="36"/>
  <c r="V235" i="36"/>
  <c r="V94" i="36"/>
  <c r="S94" i="36"/>
  <c r="S223" i="36"/>
  <c r="V223" i="36"/>
  <c r="V123" i="36"/>
  <c r="S123" i="36"/>
  <c r="S28" i="36"/>
  <c r="V28" i="36"/>
  <c r="V267" i="36"/>
  <c r="S267" i="36"/>
  <c r="S145" i="36"/>
  <c r="V145" i="36"/>
  <c r="S174" i="36"/>
  <c r="V174" i="36"/>
  <c r="S261" i="36"/>
  <c r="V261" i="36"/>
  <c r="S121" i="36"/>
  <c r="V121" i="36"/>
  <c r="V230" i="36"/>
  <c r="S230" i="36"/>
  <c r="S57" i="36"/>
  <c r="V57" i="36"/>
  <c r="S91" i="36"/>
  <c r="V91" i="36"/>
  <c r="S97" i="36"/>
  <c r="V97" i="36"/>
  <c r="V147" i="36"/>
  <c r="S147" i="36"/>
  <c r="S288" i="36"/>
  <c r="V288" i="36"/>
  <c r="S114" i="36"/>
  <c r="V114" i="36"/>
  <c r="S79" i="36"/>
  <c r="V79" i="36"/>
  <c r="S186" i="36"/>
  <c r="V186" i="36"/>
  <c r="S169" i="36"/>
  <c r="V169" i="36"/>
  <c r="V259" i="36"/>
  <c r="S259" i="36"/>
  <c r="S262" i="36"/>
  <c r="V262" i="36"/>
  <c r="V98" i="36"/>
  <c r="S98" i="36"/>
  <c r="V269" i="36"/>
  <c r="S269" i="36"/>
  <c r="V291" i="36"/>
  <c r="S291" i="36"/>
  <c r="S201" i="36"/>
  <c r="V201" i="36"/>
  <c r="V39" i="36"/>
  <c r="S39" i="36"/>
  <c r="V194" i="36"/>
  <c r="S194" i="36"/>
  <c r="V11" i="36"/>
  <c r="S11" i="36"/>
  <c r="V153" i="36"/>
  <c r="S153" i="36"/>
  <c r="S184" i="36"/>
  <c r="V184" i="36"/>
  <c r="V190" i="36"/>
  <c r="S190" i="36"/>
  <c r="S276" i="36"/>
  <c r="V276" i="36"/>
  <c r="V5" i="36"/>
  <c r="S5" i="36"/>
  <c r="N69" i="36"/>
  <c r="N298" i="36"/>
  <c r="N93" i="36"/>
  <c r="N85" i="36"/>
  <c r="N67" i="36"/>
  <c r="N205" i="36"/>
  <c r="N155" i="36"/>
  <c r="N111" i="36"/>
  <c r="N273" i="36"/>
  <c r="N88" i="36"/>
  <c r="N79" i="36"/>
  <c r="N204" i="36"/>
  <c r="N210" i="36"/>
  <c r="N25" i="36"/>
  <c r="N74" i="36"/>
  <c r="N183" i="36"/>
  <c r="N29" i="36"/>
  <c r="N285" i="36"/>
  <c r="N128" i="36"/>
  <c r="N153" i="36"/>
  <c r="N44" i="36"/>
  <c r="N100" i="36"/>
  <c r="N203" i="36"/>
  <c r="N230" i="36"/>
  <c r="N123" i="36"/>
  <c r="N162" i="36"/>
  <c r="N107" i="36"/>
  <c r="N279" i="36"/>
  <c r="N133" i="36"/>
  <c r="N22" i="36"/>
  <c r="N250" i="36"/>
  <c r="N176" i="36"/>
  <c r="N148" i="36"/>
  <c r="N130" i="36"/>
  <c r="N150" i="36"/>
  <c r="N170" i="36"/>
  <c r="N137" i="36"/>
  <c r="N64" i="36"/>
  <c r="N292" i="36"/>
  <c r="N219" i="36"/>
  <c r="N114" i="36"/>
  <c r="N286" i="36"/>
  <c r="N102" i="36"/>
  <c r="N46" i="36"/>
  <c r="N218" i="36"/>
  <c r="N86" i="36"/>
  <c r="N243" i="36"/>
  <c r="N91" i="36"/>
  <c r="N235" i="36"/>
  <c r="N119" i="36"/>
  <c r="N71" i="36"/>
  <c r="N255" i="36"/>
  <c r="N113" i="36"/>
  <c r="N17" i="36"/>
  <c r="N10" i="36"/>
  <c r="N149" i="36"/>
  <c r="N229" i="36"/>
  <c r="N110" i="36"/>
  <c r="N120" i="36"/>
  <c r="N197" i="36"/>
  <c r="N272" i="36"/>
  <c r="N32" i="36"/>
  <c r="N73" i="36"/>
  <c r="N223" i="36"/>
  <c r="N50" i="36"/>
  <c r="N238" i="36"/>
  <c r="N182" i="36"/>
  <c r="N66" i="36"/>
  <c r="N284" i="36"/>
  <c r="N39" i="36"/>
  <c r="N267" i="36"/>
  <c r="N194" i="36"/>
  <c r="N167" i="36"/>
  <c r="N168" i="36"/>
  <c r="N169" i="36"/>
  <c r="N192" i="36"/>
  <c r="N156" i="36"/>
  <c r="N82" i="36"/>
  <c r="N9" i="36"/>
  <c r="N237" i="36"/>
  <c r="N129" i="36"/>
  <c r="N45" i="36"/>
  <c r="N131" i="36"/>
  <c r="N61" i="36"/>
  <c r="N232" i="36"/>
  <c r="N99" i="36"/>
  <c r="N256" i="36"/>
  <c r="N103" i="36"/>
  <c r="N247" i="36"/>
  <c r="N72" i="36"/>
  <c r="N126" i="36"/>
  <c r="N124" i="36"/>
  <c r="N11" i="36"/>
  <c r="N258" i="36"/>
  <c r="N142" i="36"/>
  <c r="N52" i="36"/>
  <c r="N58" i="36"/>
  <c r="N287" i="36"/>
  <c r="N212" i="36"/>
  <c r="N184" i="36"/>
  <c r="N207" i="36"/>
  <c r="N190" i="36"/>
  <c r="N227" i="36"/>
  <c r="N177" i="36"/>
  <c r="N101" i="36"/>
  <c r="N26" i="36"/>
  <c r="N254" i="36"/>
  <c r="N143" i="36"/>
  <c r="N117" i="36"/>
  <c r="N145" i="36"/>
  <c r="N75" i="36"/>
  <c r="N246" i="36"/>
  <c r="N112" i="36"/>
  <c r="N269" i="36"/>
  <c r="N115" i="36"/>
  <c r="N259" i="36"/>
  <c r="N106" i="36"/>
  <c r="N70" i="36"/>
  <c r="N95" i="36"/>
  <c r="N81" i="36"/>
  <c r="N242" i="36"/>
  <c r="N47" i="36"/>
  <c r="N55" i="36"/>
  <c r="N299" i="36"/>
  <c r="N92" i="36"/>
  <c r="N98" i="36"/>
  <c r="N253" i="36"/>
  <c r="N257" i="36"/>
  <c r="N60" i="36"/>
  <c r="N217" i="36"/>
  <c r="N201" i="36"/>
  <c r="N33" i="36"/>
  <c r="N220" i="36"/>
  <c r="N78" i="36"/>
  <c r="N225" i="36"/>
  <c r="N195" i="36"/>
  <c r="N48" i="36"/>
  <c r="N276" i="36"/>
  <c r="N157" i="36"/>
  <c r="N159" i="36"/>
  <c r="N173" i="36"/>
  <c r="N89" i="36"/>
  <c r="N125" i="36"/>
  <c r="N282" i="36"/>
  <c r="N127" i="36"/>
  <c r="N271" i="36"/>
  <c r="N278" i="36"/>
  <c r="N239" i="36"/>
  <c r="N108" i="36"/>
  <c r="N294" i="36"/>
  <c r="N15" i="36"/>
  <c r="N96" i="36"/>
  <c r="N23" i="36"/>
  <c r="N251" i="36"/>
  <c r="N241" i="36"/>
  <c r="N244" i="36"/>
  <c r="N248" i="36"/>
  <c r="N266" i="36"/>
  <c r="N213" i="36"/>
  <c r="N140" i="36"/>
  <c r="N65" i="36"/>
  <c r="N293" i="36"/>
  <c r="N171" i="36"/>
  <c r="N202" i="36"/>
  <c r="N188" i="36"/>
  <c r="N104" i="36"/>
  <c r="N275" i="36"/>
  <c r="N138" i="36"/>
  <c r="N296" i="36"/>
  <c r="N139" i="36"/>
  <c r="N283" i="36"/>
  <c r="N193" i="36"/>
  <c r="N59" i="36"/>
  <c r="N224" i="36"/>
  <c r="N222" i="36"/>
  <c r="N90" i="36"/>
  <c r="N262" i="36"/>
  <c r="N68" i="36"/>
  <c r="N186" i="36"/>
  <c r="N116" i="36"/>
  <c r="N40" i="36"/>
  <c r="N268" i="36"/>
  <c r="N263" i="36"/>
  <c r="N264" i="36"/>
  <c r="N265" i="36"/>
  <c r="N234" i="36"/>
  <c r="N158" i="36"/>
  <c r="N83" i="36"/>
  <c r="N14" i="36"/>
  <c r="N185" i="36"/>
  <c r="N245" i="36"/>
  <c r="N216" i="36"/>
  <c r="N118" i="36"/>
  <c r="N289" i="36"/>
  <c r="N152" i="36"/>
  <c r="N7" i="36"/>
  <c r="N151" i="36"/>
  <c r="N295" i="36"/>
  <c r="N147" i="36"/>
  <c r="N109" i="36"/>
  <c r="N54" i="36"/>
  <c r="N174" i="36"/>
  <c r="N199" i="36"/>
  <c r="N84" i="36"/>
  <c r="N209" i="36"/>
  <c r="N76" i="36"/>
  <c r="N180" i="36"/>
  <c r="N189" i="36"/>
  <c r="N211" i="36"/>
  <c r="N226" i="36"/>
  <c r="N164" i="36"/>
  <c r="N166" i="36"/>
  <c r="N49" i="36"/>
  <c r="N144" i="36"/>
  <c r="N94" i="36"/>
  <c r="N135" i="36"/>
  <c r="N62" i="36"/>
  <c r="N290" i="36"/>
  <c r="N280" i="36"/>
  <c r="N281" i="36"/>
  <c r="N38" i="36"/>
  <c r="N24" i="36"/>
  <c r="N252" i="36"/>
  <c r="N179" i="36"/>
  <c r="N105" i="36"/>
  <c r="N28" i="36"/>
  <c r="N200" i="36"/>
  <c r="N288" i="36"/>
  <c r="N231" i="36"/>
  <c r="N132" i="36"/>
  <c r="N8" i="36"/>
  <c r="N165" i="36"/>
  <c r="N19" i="36"/>
  <c r="N163" i="36"/>
  <c r="N134" i="36"/>
  <c r="N161" i="36"/>
  <c r="N249" i="36"/>
  <c r="N12" i="36"/>
  <c r="N240" i="36"/>
  <c r="N198" i="36"/>
  <c r="N221" i="36"/>
  <c r="N208" i="36"/>
  <c r="N154" i="36"/>
  <c r="N80" i="36"/>
  <c r="N13" i="36"/>
  <c r="N36" i="36"/>
  <c r="N18" i="36"/>
  <c r="N56" i="36"/>
  <c r="N41" i="36"/>
  <c r="N270" i="36"/>
  <c r="N196" i="36"/>
  <c r="N122" i="36"/>
  <c r="N42" i="36"/>
  <c r="N214" i="36"/>
  <c r="N16" i="36"/>
  <c r="N260" i="36"/>
  <c r="N146" i="36"/>
  <c r="N21" i="36"/>
  <c r="N178" i="36"/>
  <c r="N31" i="36"/>
  <c r="N175" i="36"/>
  <c r="N51" i="36"/>
  <c r="N236" i="36"/>
  <c r="N136" i="36"/>
  <c r="N87" i="36"/>
  <c r="N206" i="36"/>
  <c r="N233" i="36"/>
  <c r="N121" i="36"/>
  <c r="N261" i="36"/>
  <c r="N181" i="36"/>
  <c r="N27" i="36"/>
  <c r="N277" i="36"/>
  <c r="N297" i="36"/>
  <c r="N20" i="36"/>
  <c r="N172" i="36"/>
  <c r="N97" i="36"/>
  <c r="N35" i="36"/>
  <c r="N53" i="36"/>
  <c r="N37" i="36"/>
  <c r="N77" i="36"/>
  <c r="N63" i="36"/>
  <c r="N291" i="36"/>
  <c r="N215" i="36"/>
  <c r="N141" i="36"/>
  <c r="N57" i="36"/>
  <c r="N228" i="36"/>
  <c r="N30" i="36"/>
  <c r="N274" i="36"/>
  <c r="N160" i="36"/>
  <c r="N34" i="36"/>
  <c r="N191" i="36"/>
  <c r="N43" i="36"/>
  <c r="N187" i="36"/>
  <c r="AL307" i="31"/>
  <c r="AK123" i="16"/>
  <c r="AK122" i="16"/>
  <c r="AK121" i="16"/>
  <c r="AK120" i="16"/>
  <c r="AK119" i="16"/>
  <c r="AK118" i="16"/>
  <c r="AK117" i="16"/>
  <c r="AK116" i="16"/>
  <c r="AK115" i="16"/>
  <c r="AK114" i="16"/>
  <c r="AK113" i="16"/>
  <c r="AK112" i="16"/>
  <c r="AK111" i="16"/>
  <c r="AK110" i="16"/>
  <c r="AK109" i="16"/>
  <c r="AK108" i="16"/>
  <c r="AK107" i="16"/>
  <c r="AK106" i="16"/>
  <c r="AK105" i="16"/>
  <c r="AK104" i="16"/>
  <c r="AK103" i="16"/>
  <c r="AK102" i="16"/>
  <c r="AK101" i="16"/>
  <c r="AK100" i="16"/>
  <c r="AK99" i="16"/>
  <c r="AK98" i="16"/>
  <c r="AK97" i="16"/>
  <c r="AK96" i="16"/>
  <c r="AK95" i="16"/>
  <c r="AK94" i="16"/>
  <c r="AK93" i="16"/>
  <c r="AK92" i="16"/>
  <c r="AK91" i="16"/>
  <c r="AK90" i="16"/>
  <c r="AK89" i="16"/>
  <c r="AK88" i="16"/>
  <c r="AK87" i="16"/>
  <c r="AK86" i="16"/>
  <c r="AK85" i="16"/>
  <c r="AK84" i="16"/>
  <c r="AK83" i="16"/>
  <c r="AK82" i="16"/>
  <c r="AK81" i="16"/>
  <c r="AK80" i="16"/>
  <c r="AK79" i="16"/>
  <c r="AK78" i="16"/>
  <c r="AK77" i="16"/>
  <c r="AK76" i="16"/>
  <c r="AK75" i="16"/>
  <c r="AK74" i="16"/>
  <c r="AK73" i="16"/>
  <c r="AK72" i="16"/>
  <c r="AK71" i="16"/>
  <c r="AK70" i="16"/>
  <c r="AK69" i="16"/>
  <c r="AK68" i="16"/>
  <c r="AK67" i="16"/>
  <c r="AK66" i="16"/>
  <c r="AK65" i="16"/>
  <c r="AK64" i="16"/>
  <c r="AK63" i="16"/>
  <c r="AK62" i="16"/>
  <c r="AK61" i="16"/>
  <c r="AK60" i="16"/>
  <c r="AK59" i="16"/>
  <c r="AK58" i="16"/>
  <c r="AK57" i="16"/>
  <c r="AK56" i="16"/>
  <c r="AK55" i="16"/>
  <c r="AK54" i="16"/>
  <c r="AK53" i="16"/>
  <c r="AK52" i="16"/>
  <c r="AK51" i="16"/>
  <c r="AK50" i="16"/>
  <c r="AK49" i="16"/>
  <c r="AK48" i="16"/>
  <c r="AK47" i="16"/>
  <c r="AK46" i="16"/>
  <c r="AK45" i="16"/>
  <c r="AK44" i="16"/>
  <c r="AK43" i="16"/>
  <c r="AK42" i="16"/>
  <c r="AK41" i="16"/>
  <c r="AK40" i="16"/>
  <c r="AK39" i="16"/>
  <c r="AK38" i="16"/>
  <c r="AK37" i="16"/>
  <c r="AK36" i="16"/>
  <c r="AK35" i="16"/>
  <c r="AK34" i="16"/>
  <c r="AK33" i="16"/>
  <c r="AK32" i="16"/>
  <c r="AK31" i="16"/>
  <c r="AK30" i="16"/>
  <c r="AK29" i="16"/>
  <c r="AK28" i="16"/>
  <c r="AK27" i="16"/>
  <c r="AK26" i="16"/>
  <c r="AK25" i="16"/>
  <c r="AK24" i="16"/>
  <c r="AK23" i="16"/>
  <c r="AK22" i="16"/>
  <c r="AK21" i="16"/>
  <c r="AK20" i="16"/>
  <c r="AK19" i="16"/>
  <c r="AK18" i="16"/>
  <c r="AK17" i="16"/>
  <c r="AK16" i="16"/>
  <c r="AK15" i="16"/>
  <c r="AK14" i="16"/>
  <c r="AK13" i="16"/>
  <c r="AK12" i="16"/>
  <c r="AK11" i="16"/>
  <c r="AK10" i="16"/>
  <c r="AK9" i="16"/>
  <c r="AK8" i="16"/>
  <c r="AK7" i="16"/>
  <c r="B4" i="16"/>
  <c r="U3" i="36" l="1"/>
  <c r="U2" i="36"/>
  <c r="U299" i="36"/>
  <c r="U287" i="36"/>
  <c r="U275" i="36"/>
  <c r="U263" i="36"/>
  <c r="U251" i="36"/>
  <c r="U239" i="36"/>
  <c r="U227" i="36"/>
  <c r="U215" i="36"/>
  <c r="U203" i="36"/>
  <c r="U191" i="36"/>
  <c r="U179" i="36"/>
  <c r="U167" i="36"/>
  <c r="U155" i="36"/>
  <c r="U143" i="36"/>
  <c r="U131" i="36"/>
  <c r="U119" i="36"/>
  <c r="U107" i="36"/>
  <c r="U95" i="36"/>
  <c r="U83" i="36"/>
  <c r="U71" i="36"/>
  <c r="U59" i="36"/>
  <c r="U47" i="36"/>
  <c r="U35" i="36"/>
  <c r="U23" i="36"/>
  <c r="U11" i="36"/>
  <c r="U298" i="36"/>
  <c r="U286" i="36"/>
  <c r="U274" i="36"/>
  <c r="U262" i="36"/>
  <c r="U250" i="36"/>
  <c r="U238" i="36"/>
  <c r="U226" i="36"/>
  <c r="U214" i="36"/>
  <c r="U202" i="36"/>
  <c r="U190" i="36"/>
  <c r="U178" i="36"/>
  <c r="U166" i="36"/>
  <c r="U154" i="36"/>
  <c r="U142" i="36"/>
  <c r="U130" i="36"/>
  <c r="U118" i="36"/>
  <c r="U106" i="36"/>
  <c r="U94" i="36"/>
  <c r="U82" i="36"/>
  <c r="U70" i="36"/>
  <c r="U58" i="36"/>
  <c r="U46" i="36"/>
  <c r="U34" i="36"/>
  <c r="U22" i="36"/>
  <c r="U10" i="36"/>
  <c r="U297" i="36"/>
  <c r="U285" i="36"/>
  <c r="U273" i="36"/>
  <c r="U261" i="36"/>
  <c r="U249" i="36"/>
  <c r="U237" i="36"/>
  <c r="U225" i="36"/>
  <c r="U213" i="36"/>
  <c r="U201" i="36"/>
  <c r="U189" i="36"/>
  <c r="U177" i="36"/>
  <c r="U165" i="36"/>
  <c r="U153" i="36"/>
  <c r="U141" i="36"/>
  <c r="U129" i="36"/>
  <c r="U117" i="36"/>
  <c r="U105" i="36"/>
  <c r="U93" i="36"/>
  <c r="U81" i="36"/>
  <c r="U69" i="36"/>
  <c r="U57" i="36"/>
  <c r="U45" i="36"/>
  <c r="U33" i="36"/>
  <c r="U21" i="36"/>
  <c r="U9" i="36"/>
  <c r="U296" i="36"/>
  <c r="U284" i="36"/>
  <c r="U272" i="36"/>
  <c r="U260" i="36"/>
  <c r="U248" i="36"/>
  <c r="U236" i="36"/>
  <c r="U224" i="36"/>
  <c r="U212" i="36"/>
  <c r="U200" i="36"/>
  <c r="U188" i="36"/>
  <c r="U294" i="36"/>
  <c r="U295" i="36"/>
  <c r="U278" i="36"/>
  <c r="U258" i="36"/>
  <c r="U242" i="36"/>
  <c r="U222" i="36"/>
  <c r="U206" i="36"/>
  <c r="U186" i="36"/>
  <c r="U171" i="36"/>
  <c r="U156" i="36"/>
  <c r="U138" i="36"/>
  <c r="U123" i="36"/>
  <c r="U108" i="36"/>
  <c r="U90" i="36"/>
  <c r="U75" i="36"/>
  <c r="U60" i="36"/>
  <c r="U42" i="36"/>
  <c r="U27" i="36"/>
  <c r="U12" i="36"/>
  <c r="U293" i="36"/>
  <c r="U277" i="36"/>
  <c r="U257" i="36"/>
  <c r="U241" i="36"/>
  <c r="U221" i="36"/>
  <c r="U205" i="36"/>
  <c r="U185" i="36"/>
  <c r="U170" i="36"/>
  <c r="U152" i="36"/>
  <c r="U137" i="36"/>
  <c r="U122" i="36"/>
  <c r="U104" i="36"/>
  <c r="U89" i="36"/>
  <c r="U74" i="36"/>
  <c r="U56" i="36"/>
  <c r="U41" i="36"/>
  <c r="U26" i="36"/>
  <c r="U8" i="36"/>
  <c r="U292" i="36"/>
  <c r="U276" i="36"/>
  <c r="U256" i="36"/>
  <c r="U240" i="36"/>
  <c r="U220" i="36"/>
  <c r="U204" i="36"/>
  <c r="U184" i="36"/>
  <c r="U169" i="36"/>
  <c r="U151" i="36"/>
  <c r="U136" i="36"/>
  <c r="U121" i="36"/>
  <c r="U103" i="36"/>
  <c r="U88" i="36"/>
  <c r="U73" i="36"/>
  <c r="U55" i="36"/>
  <c r="U40" i="36"/>
  <c r="U25" i="36"/>
  <c r="U7" i="36"/>
  <c r="U291" i="36"/>
  <c r="U271" i="36"/>
  <c r="U255" i="36"/>
  <c r="U235" i="36"/>
  <c r="U219" i="36"/>
  <c r="U199" i="36"/>
  <c r="U183" i="36"/>
  <c r="U168" i="36"/>
  <c r="U150" i="36"/>
  <c r="U135" i="36"/>
  <c r="U120" i="36"/>
  <c r="U102" i="36"/>
  <c r="U87" i="36"/>
  <c r="U72" i="36"/>
  <c r="U54" i="36"/>
  <c r="U39" i="36"/>
  <c r="U24" i="36"/>
  <c r="U6" i="36"/>
  <c r="U290" i="36"/>
  <c r="U270" i="36"/>
  <c r="U254" i="36"/>
  <c r="U234" i="36"/>
  <c r="U218" i="36"/>
  <c r="U198" i="36"/>
  <c r="U182" i="36"/>
  <c r="U164" i="36"/>
  <c r="U149" i="36"/>
  <c r="U134" i="36"/>
  <c r="U116" i="36"/>
  <c r="U101" i="36"/>
  <c r="U86" i="36"/>
  <c r="U68" i="36"/>
  <c r="U53" i="36"/>
  <c r="U38" i="36"/>
  <c r="U20" i="36"/>
  <c r="U5" i="36"/>
  <c r="U289" i="36"/>
  <c r="U269" i="36"/>
  <c r="U253" i="36"/>
  <c r="U233" i="36"/>
  <c r="U217" i="36"/>
  <c r="U197" i="36"/>
  <c r="U181" i="36"/>
  <c r="U163" i="36"/>
  <c r="U148" i="36"/>
  <c r="U133" i="36"/>
  <c r="U115" i="36"/>
  <c r="U100" i="36"/>
  <c r="U85" i="36"/>
  <c r="U67" i="36"/>
  <c r="U52" i="36"/>
  <c r="U37" i="36"/>
  <c r="U19" i="36"/>
  <c r="U4" i="36"/>
  <c r="U288" i="36"/>
  <c r="U268" i="36"/>
  <c r="U252" i="36"/>
  <c r="U232" i="36"/>
  <c r="U216" i="36"/>
  <c r="U196" i="36"/>
  <c r="U180" i="36"/>
  <c r="U162" i="36"/>
  <c r="U147" i="36"/>
  <c r="U132" i="36"/>
  <c r="U114" i="36"/>
  <c r="U99" i="36"/>
  <c r="U84" i="36"/>
  <c r="U66" i="36"/>
  <c r="U51" i="36"/>
  <c r="U36" i="36"/>
  <c r="U18" i="36"/>
  <c r="U283" i="36"/>
  <c r="U267" i="36"/>
  <c r="U247" i="36"/>
  <c r="U231" i="36"/>
  <c r="U211" i="36"/>
  <c r="U195" i="36"/>
  <c r="U176" i="36"/>
  <c r="U161" i="36"/>
  <c r="U146" i="36"/>
  <c r="U128" i="36"/>
  <c r="U113" i="36"/>
  <c r="U98" i="36"/>
  <c r="U80" i="36"/>
  <c r="U65" i="36"/>
  <c r="U50" i="36"/>
  <c r="U32" i="36"/>
  <c r="U17" i="36"/>
  <c r="U282" i="36"/>
  <c r="U266" i="36"/>
  <c r="U246" i="36"/>
  <c r="U230" i="36"/>
  <c r="U210" i="36"/>
  <c r="U194" i="36"/>
  <c r="U175" i="36"/>
  <c r="U160" i="36"/>
  <c r="U145" i="36"/>
  <c r="U127" i="36"/>
  <c r="U112" i="36"/>
  <c r="U97" i="36"/>
  <c r="U79" i="36"/>
  <c r="U64" i="36"/>
  <c r="U49" i="36"/>
  <c r="U31" i="36"/>
  <c r="U16" i="36"/>
  <c r="U281" i="36"/>
  <c r="U265" i="36"/>
  <c r="U245" i="36"/>
  <c r="U229" i="36"/>
  <c r="U209" i="36"/>
  <c r="U193" i="36"/>
  <c r="U174" i="36"/>
  <c r="U159" i="36"/>
  <c r="U144" i="36"/>
  <c r="U126" i="36"/>
  <c r="U111" i="36"/>
  <c r="U280" i="36"/>
  <c r="U173" i="36"/>
  <c r="U91" i="36"/>
  <c r="U28" i="36"/>
  <c r="U279" i="36"/>
  <c r="U172" i="36"/>
  <c r="U78" i="36"/>
  <c r="U15" i="36"/>
  <c r="U264" i="36"/>
  <c r="U158" i="36"/>
  <c r="U77" i="36"/>
  <c r="U14" i="36"/>
  <c r="U259" i="36"/>
  <c r="U157" i="36"/>
  <c r="U76" i="36"/>
  <c r="U13" i="36"/>
  <c r="U244" i="36"/>
  <c r="U140" i="36"/>
  <c r="U63" i="36"/>
  <c r="U243" i="36"/>
  <c r="U139" i="36"/>
  <c r="U62" i="36"/>
  <c r="U228" i="36"/>
  <c r="U125" i="36"/>
  <c r="U61" i="36"/>
  <c r="U223" i="36"/>
  <c r="U124" i="36"/>
  <c r="U48" i="36"/>
  <c r="U208" i="36"/>
  <c r="U110" i="36"/>
  <c r="U44" i="36"/>
  <c r="U207" i="36"/>
  <c r="U109" i="36"/>
  <c r="U43" i="36"/>
  <c r="U192" i="36"/>
  <c r="U96" i="36"/>
  <c r="U30" i="36"/>
  <c r="U187" i="36"/>
  <c r="U92" i="36"/>
  <c r="U29" i="36"/>
  <c r="BP104" i="20" l="1"/>
  <c r="BO104" i="20"/>
  <c r="BM104" i="20"/>
  <c r="BN104" i="20" s="1"/>
  <c r="BL104" i="20"/>
  <c r="BH104" i="20"/>
  <c r="BI104" i="20" s="1"/>
  <c r="BE104" i="20"/>
  <c r="AY104" i="20"/>
  <c r="BP103" i="20"/>
  <c r="BO103" i="20"/>
  <c r="BM103" i="20"/>
  <c r="BN103" i="20" s="1"/>
  <c r="BL103" i="20"/>
  <c r="BH103" i="20"/>
  <c r="BI103" i="20" s="1"/>
  <c r="BE103" i="20"/>
  <c r="BB103" i="20"/>
  <c r="BC103" i="20" s="1"/>
  <c r="BP102" i="20"/>
  <c r="BO102" i="20"/>
  <c r="BM102" i="20"/>
  <c r="BN102" i="20" s="1"/>
  <c r="BL102" i="20"/>
  <c r="BH102" i="20"/>
  <c r="BI102" i="20" s="1"/>
  <c r="BE102" i="20"/>
  <c r="BD102" i="20" l="1"/>
  <c r="AZ102" i="20" s="1"/>
  <c r="BA102" i="20" s="1"/>
  <c r="BS103" i="20"/>
  <c r="BT103" i="20" s="1"/>
  <c r="BR104" i="20"/>
  <c r="BB104" i="20"/>
  <c r="BC104" i="20" s="1"/>
  <c r="AY103" i="20"/>
  <c r="BS104" i="20"/>
  <c r="BT104" i="20" s="1"/>
  <c r="BQ103" i="20"/>
  <c r="BD104" i="20"/>
  <c r="AZ104" i="20" s="1"/>
  <c r="BA104" i="20" s="1"/>
  <c r="BS102" i="20"/>
  <c r="BT102" i="20" s="1"/>
  <c r="BD103" i="20"/>
  <c r="AZ103" i="20" s="1"/>
  <c r="BA103" i="20" s="1"/>
  <c r="BQ104" i="20"/>
  <c r="BR103" i="20"/>
  <c r="BQ102" i="20"/>
  <c r="AY102" i="20"/>
  <c r="BR102" i="20"/>
  <c r="BB102" i="20"/>
  <c r="BC102" i="20" s="1"/>
  <c r="BF102" i="20" l="1"/>
  <c r="BF104" i="20"/>
  <c r="BF103" i="20"/>
  <c r="N174" i="20"/>
  <c r="M174" i="20"/>
  <c r="BP101" i="20" l="1"/>
  <c r="BO101" i="20"/>
  <c r="BM101" i="20"/>
  <c r="BN101" i="20" s="1"/>
  <c r="BL101" i="20"/>
  <c r="BH101" i="20"/>
  <c r="BI101" i="20" s="1"/>
  <c r="BE101" i="20"/>
  <c r="BP100" i="20"/>
  <c r="BO100" i="20"/>
  <c r="BM100" i="20"/>
  <c r="BN100" i="20" s="1"/>
  <c r="BL100" i="20"/>
  <c r="BH100" i="20"/>
  <c r="BI100" i="20" s="1"/>
  <c r="BE100" i="20"/>
  <c r="BP99" i="20"/>
  <c r="BO99" i="20"/>
  <c r="BM99" i="20"/>
  <c r="BN99" i="20" s="1"/>
  <c r="BL99" i="20"/>
  <c r="BH99" i="20"/>
  <c r="BI99" i="20" s="1"/>
  <c r="BE99" i="20"/>
  <c r="BP98" i="20"/>
  <c r="BO98" i="20"/>
  <c r="BM98" i="20"/>
  <c r="BN98" i="20" s="1"/>
  <c r="BL98" i="20"/>
  <c r="BH98" i="20"/>
  <c r="BI98" i="20" s="1"/>
  <c r="BE98" i="20"/>
  <c r="BP97" i="20"/>
  <c r="BO97" i="20"/>
  <c r="BM97" i="20"/>
  <c r="BN97" i="20" s="1"/>
  <c r="BL97" i="20"/>
  <c r="BH97" i="20"/>
  <c r="BI97" i="20" s="1"/>
  <c r="BE97" i="20"/>
  <c r="BP96" i="20"/>
  <c r="BO96" i="20"/>
  <c r="BM96" i="20"/>
  <c r="BN96" i="20" s="1"/>
  <c r="BL96" i="20"/>
  <c r="BH96" i="20"/>
  <c r="BI96" i="20" s="1"/>
  <c r="BE96" i="20"/>
  <c r="BP95" i="20"/>
  <c r="BO95" i="20"/>
  <c r="BM95" i="20"/>
  <c r="BN95" i="20" s="1"/>
  <c r="BL95" i="20"/>
  <c r="BH95" i="20"/>
  <c r="BI95" i="20" s="1"/>
  <c r="BE95" i="20"/>
  <c r="BB95" i="20"/>
  <c r="BC95" i="20" s="1"/>
  <c r="BP94" i="20"/>
  <c r="BO94" i="20"/>
  <c r="BM94" i="20"/>
  <c r="BN94" i="20" s="1"/>
  <c r="BL94" i="20"/>
  <c r="BH94" i="20"/>
  <c r="BI94" i="20" s="1"/>
  <c r="BE94" i="20"/>
  <c r="BB94" i="20"/>
  <c r="BC94" i="20" s="1"/>
  <c r="BP105" i="20"/>
  <c r="BO105" i="20"/>
  <c r="BM105" i="20"/>
  <c r="BN105" i="20" s="1"/>
  <c r="BL105" i="20"/>
  <c r="BH105" i="20"/>
  <c r="BI105" i="20" s="1"/>
  <c r="BE105" i="20"/>
  <c r="BD98" i="20" l="1"/>
  <c r="AZ98" i="20" s="1"/>
  <c r="BA98" i="20" s="1"/>
  <c r="BD105" i="20"/>
  <c r="BF105" i="20" s="1"/>
  <c r="BD101" i="20"/>
  <c r="BF101" i="20" s="1"/>
  <c r="BD94" i="20"/>
  <c r="AZ94" i="20" s="1"/>
  <c r="BA94" i="20" s="1"/>
  <c r="BD96" i="20"/>
  <c r="AZ96" i="20" s="1"/>
  <c r="BA96" i="20" s="1"/>
  <c r="BD100" i="20"/>
  <c r="BF100" i="20" s="1"/>
  <c r="BD95" i="20"/>
  <c r="BF95" i="20" s="1"/>
  <c r="BD99" i="20"/>
  <c r="BF99" i="20" s="1"/>
  <c r="BS98" i="20"/>
  <c r="BT98" i="20" s="1"/>
  <c r="BS101" i="20"/>
  <c r="BT101" i="20" s="1"/>
  <c r="BQ101" i="20"/>
  <c r="AY101" i="20"/>
  <c r="BR101" i="20"/>
  <c r="BB101" i="20"/>
  <c r="BC101" i="20" s="1"/>
  <c r="BR100" i="20"/>
  <c r="BQ100" i="20"/>
  <c r="BB100" i="20"/>
  <c r="BC100" i="20" s="1"/>
  <c r="AY100" i="20"/>
  <c r="BS100" i="20"/>
  <c r="BT100" i="20" s="1"/>
  <c r="BR99" i="20"/>
  <c r="BS99" i="20"/>
  <c r="BT99" i="20" s="1"/>
  <c r="BQ98" i="20"/>
  <c r="AY98" i="20"/>
  <c r="BB99" i="20"/>
  <c r="BC99" i="20" s="1"/>
  <c r="BQ99" i="20"/>
  <c r="AY99" i="20"/>
  <c r="BB98" i="20"/>
  <c r="BC98" i="20" s="1"/>
  <c r="BS97" i="20"/>
  <c r="BT97" i="20" s="1"/>
  <c r="BR98" i="20"/>
  <c r="BB97" i="20"/>
  <c r="BC97" i="20" s="1"/>
  <c r="BD97" i="20"/>
  <c r="AZ97" i="20" s="1"/>
  <c r="BA97" i="20" s="1"/>
  <c r="BS96" i="20"/>
  <c r="BT96" i="20" s="1"/>
  <c r="BQ97" i="20"/>
  <c r="AY97" i="20"/>
  <c r="BR97" i="20"/>
  <c r="BQ96" i="20"/>
  <c r="BB96" i="20"/>
  <c r="BC96" i="20" s="1"/>
  <c r="AY96" i="20"/>
  <c r="BR96" i="20"/>
  <c r="BS95" i="20"/>
  <c r="BT95" i="20" s="1"/>
  <c r="AY105" i="20"/>
  <c r="AY94" i="20"/>
  <c r="AY95" i="20"/>
  <c r="BR95" i="20"/>
  <c r="BQ95" i="20"/>
  <c r="BS94" i="20"/>
  <c r="BT94" i="20" s="1"/>
  <c r="BB105" i="20"/>
  <c r="BC105" i="20" s="1"/>
  <c r="BQ94" i="20"/>
  <c r="BR94" i="20"/>
  <c r="BS105" i="20"/>
  <c r="BT105" i="20" s="1"/>
  <c r="BQ105" i="20"/>
  <c r="BR105" i="20"/>
  <c r="BM93" i="20"/>
  <c r="BN93" i="20" s="1"/>
  <c r="BL93" i="20"/>
  <c r="BH93" i="20"/>
  <c r="BI93" i="20" s="1"/>
  <c r="BE93" i="20"/>
  <c r="BF98" i="20" l="1"/>
  <c r="BF96" i="20"/>
  <c r="AZ105" i="20"/>
  <c r="BA105" i="20" s="1"/>
  <c r="AZ101" i="20"/>
  <c r="BA101" i="20" s="1"/>
  <c r="BF94" i="20"/>
  <c r="AZ99" i="20"/>
  <c r="BA99" i="20" s="1"/>
  <c r="AZ95" i="20"/>
  <c r="BA95" i="20" s="1"/>
  <c r="AZ100" i="20"/>
  <c r="BA100" i="20" s="1"/>
  <c r="BF97" i="20"/>
  <c r="BB93" i="20"/>
  <c r="BC93" i="20" s="1"/>
  <c r="BS93" i="20"/>
  <c r="BT93" i="20" s="1"/>
  <c r="BR93" i="20"/>
  <c r="AY93" i="20"/>
  <c r="BD93" i="20"/>
  <c r="AZ93" i="20" s="1"/>
  <c r="BA93" i="20" s="1"/>
  <c r="BO93" i="20"/>
  <c r="BP93" i="20"/>
  <c r="BF93" i="20" l="1"/>
  <c r="BQ93" i="20"/>
  <c r="AS215" i="20" l="1"/>
  <c r="AS175" i="20" s="1"/>
  <c r="AS176" i="20" s="1"/>
  <c r="AQ453" i="31" l="1"/>
  <c r="F141" i="36"/>
  <c r="A314" i="31" l="1"/>
  <c r="AO313" i="31"/>
  <c r="AN313" i="31"/>
  <c r="AM313" i="31"/>
  <c r="AL313" i="31"/>
  <c r="AK313" i="31"/>
  <c r="AJ313" i="31"/>
  <c r="AI313" i="31"/>
  <c r="AH313" i="31"/>
  <c r="AG313" i="31"/>
  <c r="AF313" i="31"/>
  <c r="AE313" i="31"/>
  <c r="AD313" i="31"/>
  <c r="AC313" i="31"/>
  <c r="AB313" i="31"/>
  <c r="AA313" i="31"/>
  <c r="Z313" i="31"/>
  <c r="Y313" i="31"/>
  <c r="X313" i="31"/>
  <c r="W313" i="31"/>
  <c r="V313" i="31"/>
  <c r="U313" i="31"/>
  <c r="T313" i="31"/>
  <c r="S313" i="31"/>
  <c r="R313" i="31"/>
  <c r="Q313" i="31"/>
  <c r="P313" i="31"/>
  <c r="O313" i="31"/>
  <c r="N313" i="31"/>
  <c r="M313" i="31"/>
  <c r="L313" i="31"/>
  <c r="K313" i="31"/>
  <c r="J313" i="31"/>
  <c r="I313" i="31"/>
  <c r="H313" i="31"/>
  <c r="G313" i="31"/>
  <c r="F313" i="31"/>
  <c r="E313" i="31"/>
  <c r="D313" i="31"/>
  <c r="C313" i="31"/>
  <c r="B313" i="31"/>
  <c r="C611" i="31"/>
  <c r="B611" i="31"/>
  <c r="C610" i="31"/>
  <c r="B610" i="31"/>
  <c r="C609" i="31"/>
  <c r="B609" i="31"/>
  <c r="C608" i="31"/>
  <c r="B608" i="31"/>
  <c r="C607" i="31"/>
  <c r="B607" i="31"/>
  <c r="C606" i="31"/>
  <c r="B606" i="31"/>
  <c r="C605" i="31"/>
  <c r="B605" i="31"/>
  <c r="C604" i="31"/>
  <c r="B604" i="31"/>
  <c r="C603" i="31"/>
  <c r="B603" i="31"/>
  <c r="C602" i="31"/>
  <c r="B602" i="31"/>
  <c r="C601" i="31"/>
  <c r="B601" i="31"/>
  <c r="C600" i="31"/>
  <c r="B600" i="31"/>
  <c r="C599" i="31"/>
  <c r="B599" i="31"/>
  <c r="C598" i="31"/>
  <c r="B598" i="31"/>
  <c r="C597" i="31"/>
  <c r="B597" i="31"/>
  <c r="C596" i="31"/>
  <c r="B596" i="31"/>
  <c r="C595" i="31"/>
  <c r="B595" i="31"/>
  <c r="C594" i="31"/>
  <c r="B594" i="31"/>
  <c r="C593" i="31"/>
  <c r="B593" i="31"/>
  <c r="C592" i="31"/>
  <c r="B592" i="31"/>
  <c r="C591" i="31"/>
  <c r="B591" i="31"/>
  <c r="C590" i="31"/>
  <c r="B590" i="31"/>
  <c r="C589" i="31"/>
  <c r="B589" i="31"/>
  <c r="C588" i="31"/>
  <c r="B588" i="31"/>
  <c r="C587" i="31"/>
  <c r="B587" i="31"/>
  <c r="C586" i="31"/>
  <c r="B586" i="31"/>
  <c r="C585" i="31"/>
  <c r="B585" i="31"/>
  <c r="C584" i="31"/>
  <c r="B584" i="31"/>
  <c r="C583" i="31"/>
  <c r="B583" i="31"/>
  <c r="C582" i="31"/>
  <c r="B582" i="31"/>
  <c r="C581" i="31"/>
  <c r="B581" i="31"/>
  <c r="C580" i="31"/>
  <c r="B580" i="31"/>
  <c r="C579" i="31"/>
  <c r="B579" i="31"/>
  <c r="C578" i="31"/>
  <c r="B578" i="31"/>
  <c r="C577" i="31"/>
  <c r="B577" i="31"/>
  <c r="C576" i="31"/>
  <c r="B576" i="31"/>
  <c r="C575" i="31"/>
  <c r="B575" i="31"/>
  <c r="C574" i="31"/>
  <c r="B574" i="31"/>
  <c r="C573" i="31"/>
  <c r="B573" i="31"/>
  <c r="C572" i="31"/>
  <c r="B572" i="31"/>
  <c r="C571" i="31"/>
  <c r="B571" i="31"/>
  <c r="C570" i="31"/>
  <c r="B570" i="31"/>
  <c r="C569" i="31"/>
  <c r="B569" i="31"/>
  <c r="C568" i="31"/>
  <c r="B568" i="31"/>
  <c r="C567" i="31"/>
  <c r="B567" i="31"/>
  <c r="C566" i="31"/>
  <c r="B566" i="31"/>
  <c r="C565" i="31"/>
  <c r="B565" i="31"/>
  <c r="C564" i="31"/>
  <c r="B564" i="31"/>
  <c r="C563" i="31"/>
  <c r="B563" i="31"/>
  <c r="C562" i="31"/>
  <c r="B562" i="31"/>
  <c r="C561" i="31"/>
  <c r="B561" i="31"/>
  <c r="C560" i="31"/>
  <c r="B560" i="31"/>
  <c r="C559" i="31"/>
  <c r="B559" i="31"/>
  <c r="C558" i="31"/>
  <c r="B558" i="31"/>
  <c r="C557" i="31"/>
  <c r="B557" i="31"/>
  <c r="C556" i="31"/>
  <c r="B556" i="31"/>
  <c r="C555" i="31"/>
  <c r="B555" i="31"/>
  <c r="C554" i="31"/>
  <c r="B554" i="31"/>
  <c r="C553" i="31"/>
  <c r="B553" i="31"/>
  <c r="C552" i="31"/>
  <c r="B552" i="31"/>
  <c r="C551" i="31"/>
  <c r="B551" i="31"/>
  <c r="C550" i="31"/>
  <c r="B550" i="31"/>
  <c r="C549" i="31"/>
  <c r="B549" i="31"/>
  <c r="C548" i="31"/>
  <c r="B548" i="31"/>
  <c r="C547" i="31"/>
  <c r="B547" i="31"/>
  <c r="C546" i="31"/>
  <c r="B546" i="31"/>
  <c r="C545" i="31"/>
  <c r="B545" i="31"/>
  <c r="C544" i="31"/>
  <c r="B544" i="31"/>
  <c r="C543" i="31"/>
  <c r="B543" i="31"/>
  <c r="C542" i="31"/>
  <c r="B542" i="31"/>
  <c r="C541" i="31"/>
  <c r="B541" i="31"/>
  <c r="C540" i="31"/>
  <c r="B540" i="31"/>
  <c r="C539" i="31"/>
  <c r="B539" i="31"/>
  <c r="C538" i="31"/>
  <c r="B538" i="31"/>
  <c r="C537" i="31"/>
  <c r="B537" i="31"/>
  <c r="C536" i="31"/>
  <c r="B536" i="31"/>
  <c r="C535" i="31"/>
  <c r="B535" i="31"/>
  <c r="C534" i="31"/>
  <c r="B534" i="31"/>
  <c r="C533" i="31"/>
  <c r="B533" i="31"/>
  <c r="C532" i="31"/>
  <c r="B532" i="31"/>
  <c r="C531" i="31"/>
  <c r="B531" i="31"/>
  <c r="C530" i="31"/>
  <c r="B530" i="31"/>
  <c r="C529" i="31"/>
  <c r="B529" i="31"/>
  <c r="C528" i="31"/>
  <c r="B528" i="31"/>
  <c r="C527" i="31"/>
  <c r="B527" i="31"/>
  <c r="C526" i="31"/>
  <c r="B526" i="31"/>
  <c r="C525" i="31"/>
  <c r="B525" i="31"/>
  <c r="C524" i="31"/>
  <c r="B524" i="31"/>
  <c r="C523" i="31"/>
  <c r="B523" i="31"/>
  <c r="C522" i="31"/>
  <c r="B522" i="31"/>
  <c r="C521" i="31"/>
  <c r="B521" i="31"/>
  <c r="C520" i="31"/>
  <c r="B520" i="31"/>
  <c r="C519" i="31"/>
  <c r="B519" i="31"/>
  <c r="C518" i="31"/>
  <c r="B518" i="31"/>
  <c r="C517" i="31"/>
  <c r="B517" i="31"/>
  <c r="C516" i="31"/>
  <c r="B516" i="31"/>
  <c r="C515" i="31"/>
  <c r="B515" i="31"/>
  <c r="C514" i="31"/>
  <c r="B514" i="31"/>
  <c r="C513" i="31"/>
  <c r="B513" i="31"/>
  <c r="C512" i="31"/>
  <c r="B512" i="31"/>
  <c r="C511" i="31"/>
  <c r="B511" i="31"/>
  <c r="C510" i="31"/>
  <c r="B510" i="31"/>
  <c r="C509" i="31"/>
  <c r="B509" i="31"/>
  <c r="C508" i="31"/>
  <c r="B508" i="31"/>
  <c r="C507" i="31"/>
  <c r="B507" i="31"/>
  <c r="C506" i="31"/>
  <c r="B506" i="31"/>
  <c r="C505" i="31"/>
  <c r="B505" i="31"/>
  <c r="C504" i="31"/>
  <c r="B504" i="31"/>
  <c r="C503" i="31"/>
  <c r="B503" i="31"/>
  <c r="C502" i="31"/>
  <c r="B502" i="31"/>
  <c r="C501" i="31"/>
  <c r="B501" i="31"/>
  <c r="C500" i="31"/>
  <c r="B500" i="31"/>
  <c r="C499" i="31"/>
  <c r="B499" i="31"/>
  <c r="C498" i="31"/>
  <c r="B498" i="31"/>
  <c r="C497" i="31"/>
  <c r="B497" i="31"/>
  <c r="C496" i="31"/>
  <c r="B496" i="31"/>
  <c r="C495" i="31"/>
  <c r="B495" i="31"/>
  <c r="C494" i="31"/>
  <c r="B494" i="31"/>
  <c r="C493" i="31"/>
  <c r="B493" i="31"/>
  <c r="C492" i="31"/>
  <c r="B492" i="31"/>
  <c r="C491" i="31"/>
  <c r="B491" i="31"/>
  <c r="C490" i="31"/>
  <c r="B490" i="31"/>
  <c r="C489" i="31"/>
  <c r="B489" i="31"/>
  <c r="C488" i="31"/>
  <c r="B488" i="31"/>
  <c r="C487" i="31"/>
  <c r="B487" i="31"/>
  <c r="C486" i="31"/>
  <c r="B486" i="31"/>
  <c r="C485" i="31"/>
  <c r="B485" i="31"/>
  <c r="C484" i="31"/>
  <c r="B484" i="31"/>
  <c r="C483" i="31"/>
  <c r="B483" i="31"/>
  <c r="C482" i="31"/>
  <c r="B482" i="31"/>
  <c r="C481" i="31"/>
  <c r="B481" i="31"/>
  <c r="C480" i="31"/>
  <c r="B480" i="31"/>
  <c r="C479" i="31"/>
  <c r="B479" i="31"/>
  <c r="C478" i="31"/>
  <c r="B478" i="31"/>
  <c r="C477" i="31"/>
  <c r="B477" i="31"/>
  <c r="C476" i="31"/>
  <c r="B476" i="31"/>
  <c r="C475" i="31"/>
  <c r="B475" i="31"/>
  <c r="C474" i="31"/>
  <c r="B474" i="31"/>
  <c r="C473" i="31"/>
  <c r="B473" i="31"/>
  <c r="C472" i="31"/>
  <c r="B472" i="31"/>
  <c r="C471" i="31"/>
  <c r="B471" i="31"/>
  <c r="C470" i="31"/>
  <c r="B470" i="31"/>
  <c r="C469" i="31"/>
  <c r="B469" i="31"/>
  <c r="C468" i="31"/>
  <c r="B468" i="31"/>
  <c r="C467" i="31"/>
  <c r="B467" i="31"/>
  <c r="C466" i="31"/>
  <c r="B466" i="31"/>
  <c r="C465" i="31"/>
  <c r="B465" i="31"/>
  <c r="C464" i="31"/>
  <c r="B464" i="31"/>
  <c r="C463" i="31"/>
  <c r="B463" i="31"/>
  <c r="C462" i="31"/>
  <c r="B462" i="31"/>
  <c r="C461" i="31"/>
  <c r="B461" i="31"/>
  <c r="C460" i="31"/>
  <c r="B460" i="31"/>
  <c r="C459" i="31"/>
  <c r="B459" i="31"/>
  <c r="C458" i="31"/>
  <c r="B458" i="31"/>
  <c r="C457" i="31"/>
  <c r="B457" i="31"/>
  <c r="C456" i="31"/>
  <c r="B456" i="31"/>
  <c r="C455" i="31"/>
  <c r="B455" i="31"/>
  <c r="C454" i="31"/>
  <c r="B454" i="31"/>
  <c r="C453" i="31"/>
  <c r="B453" i="31"/>
  <c r="C452" i="31"/>
  <c r="B452" i="31"/>
  <c r="C451" i="31"/>
  <c r="B451" i="31"/>
  <c r="C450" i="31"/>
  <c r="B450" i="31"/>
  <c r="C449" i="31"/>
  <c r="B449" i="31"/>
  <c r="C448" i="31"/>
  <c r="B448" i="31"/>
  <c r="C447" i="31"/>
  <c r="B447" i="31"/>
  <c r="C446" i="31"/>
  <c r="B446" i="31"/>
  <c r="C445" i="31"/>
  <c r="B445" i="31"/>
  <c r="C444" i="31"/>
  <c r="B444" i="31"/>
  <c r="C443" i="31"/>
  <c r="B443" i="31"/>
  <c r="C442" i="31"/>
  <c r="B442" i="31"/>
  <c r="C441" i="31"/>
  <c r="B441" i="31"/>
  <c r="C440" i="31"/>
  <c r="B440" i="31"/>
  <c r="C439" i="31"/>
  <c r="B439" i="31"/>
  <c r="C438" i="31"/>
  <c r="B438" i="31"/>
  <c r="C437" i="31"/>
  <c r="B437" i="31"/>
  <c r="C436" i="31"/>
  <c r="B436" i="31"/>
  <c r="C435" i="31"/>
  <c r="B435" i="31"/>
  <c r="C434" i="31"/>
  <c r="B434" i="31"/>
  <c r="C433" i="31"/>
  <c r="B433" i="31"/>
  <c r="C432" i="31"/>
  <c r="B432" i="31"/>
  <c r="C431" i="31"/>
  <c r="B431" i="31"/>
  <c r="C430" i="31"/>
  <c r="B430" i="31"/>
  <c r="C429" i="31"/>
  <c r="B429" i="31"/>
  <c r="C428" i="31"/>
  <c r="B428" i="31"/>
  <c r="C427" i="31"/>
  <c r="B427" i="31"/>
  <c r="C426" i="31"/>
  <c r="B426" i="31"/>
  <c r="C425" i="31"/>
  <c r="B425" i="31"/>
  <c r="C424" i="31"/>
  <c r="B424" i="31"/>
  <c r="C423" i="31"/>
  <c r="B423" i="31"/>
  <c r="C422" i="31"/>
  <c r="B422" i="31"/>
  <c r="C421" i="31"/>
  <c r="B421" i="31"/>
  <c r="C420" i="31"/>
  <c r="B420" i="31"/>
  <c r="C419" i="31"/>
  <c r="B419" i="31"/>
  <c r="C418" i="31"/>
  <c r="B418" i="31"/>
  <c r="C417" i="31"/>
  <c r="B417" i="31"/>
  <c r="C416" i="31"/>
  <c r="B416" i="31"/>
  <c r="C415" i="31"/>
  <c r="B415" i="31"/>
  <c r="C414" i="31"/>
  <c r="B414" i="31"/>
  <c r="C413" i="31"/>
  <c r="B413" i="31"/>
  <c r="C412" i="31"/>
  <c r="B412" i="31"/>
  <c r="C411" i="31"/>
  <c r="B411" i="31"/>
  <c r="C410" i="31"/>
  <c r="B410" i="31"/>
  <c r="C409" i="31"/>
  <c r="B409" i="31"/>
  <c r="C408" i="31"/>
  <c r="B408" i="31"/>
  <c r="C407" i="31"/>
  <c r="B407" i="31"/>
  <c r="C406" i="31"/>
  <c r="B406" i="31"/>
  <c r="C405" i="31"/>
  <c r="B405" i="31"/>
  <c r="C404" i="31"/>
  <c r="B404" i="31"/>
  <c r="C403" i="31"/>
  <c r="B403" i="31"/>
  <c r="C402" i="31"/>
  <c r="B402" i="31"/>
  <c r="C401" i="31"/>
  <c r="B401" i="31"/>
  <c r="C400" i="31"/>
  <c r="B400" i="31"/>
  <c r="C399" i="31"/>
  <c r="B399" i="31"/>
  <c r="C398" i="31"/>
  <c r="B398" i="31"/>
  <c r="C397" i="31"/>
  <c r="B397" i="31"/>
  <c r="C396" i="31"/>
  <c r="B396" i="31"/>
  <c r="C395" i="31"/>
  <c r="B395" i="31"/>
  <c r="C394" i="31"/>
  <c r="B394" i="31"/>
  <c r="C393" i="31"/>
  <c r="B393" i="31"/>
  <c r="C392" i="31"/>
  <c r="B392" i="31"/>
  <c r="C391" i="31"/>
  <c r="B391" i="31"/>
  <c r="C390" i="31"/>
  <c r="B390" i="31"/>
  <c r="C389" i="31"/>
  <c r="B389" i="31"/>
  <c r="C388" i="31"/>
  <c r="B388" i="31"/>
  <c r="C387" i="31"/>
  <c r="B387" i="31"/>
  <c r="C386" i="31"/>
  <c r="B386" i="31"/>
  <c r="C385" i="31"/>
  <c r="B385" i="31"/>
  <c r="C384" i="31"/>
  <c r="B384" i="31"/>
  <c r="C383" i="31"/>
  <c r="B383" i="31"/>
  <c r="C382" i="31"/>
  <c r="B382" i="31"/>
  <c r="C381" i="31"/>
  <c r="B381" i="31"/>
  <c r="C380" i="31"/>
  <c r="B380" i="31"/>
  <c r="C379" i="31"/>
  <c r="B379" i="31"/>
  <c r="C378" i="31"/>
  <c r="B378" i="31"/>
  <c r="C377" i="31"/>
  <c r="B377" i="31"/>
  <c r="C376" i="31"/>
  <c r="B376" i="31"/>
  <c r="C375" i="31"/>
  <c r="B375" i="31"/>
  <c r="C374" i="31"/>
  <c r="B374" i="31"/>
  <c r="C373" i="31"/>
  <c r="B373" i="31"/>
  <c r="C372" i="31"/>
  <c r="B372" i="31"/>
  <c r="C371" i="31"/>
  <c r="B371" i="31"/>
  <c r="C370" i="31"/>
  <c r="B370" i="31"/>
  <c r="C369" i="31"/>
  <c r="B369" i="31"/>
  <c r="C368" i="31"/>
  <c r="B368" i="31"/>
  <c r="C367" i="31"/>
  <c r="B367" i="31"/>
  <c r="C366" i="31"/>
  <c r="B366" i="31"/>
  <c r="C365" i="31"/>
  <c r="B365" i="31"/>
  <c r="C364" i="31"/>
  <c r="B364" i="31"/>
  <c r="C363" i="31"/>
  <c r="B363" i="31"/>
  <c r="C362" i="31"/>
  <c r="B362" i="31"/>
  <c r="C361" i="31"/>
  <c r="B361" i="31"/>
  <c r="C360" i="31"/>
  <c r="B360" i="31"/>
  <c r="C359" i="31"/>
  <c r="B359" i="31"/>
  <c r="C358" i="31"/>
  <c r="B358" i="31"/>
  <c r="C357" i="31"/>
  <c r="B357" i="31"/>
  <c r="C356" i="31"/>
  <c r="B356" i="31"/>
  <c r="C355" i="31"/>
  <c r="B355" i="31"/>
  <c r="C354" i="31"/>
  <c r="B354" i="31"/>
  <c r="C353" i="31"/>
  <c r="B353" i="31"/>
  <c r="C352" i="31"/>
  <c r="B352" i="31"/>
  <c r="C351" i="31"/>
  <c r="B351" i="31"/>
  <c r="C350" i="31"/>
  <c r="B350" i="31"/>
  <c r="C349" i="31"/>
  <c r="B349" i="31"/>
  <c r="C348" i="31"/>
  <c r="B348" i="31"/>
  <c r="C347" i="31"/>
  <c r="B347" i="31"/>
  <c r="C346" i="31"/>
  <c r="B346" i="31"/>
  <c r="C345" i="31"/>
  <c r="B345" i="31"/>
  <c r="C344" i="31"/>
  <c r="B344" i="31"/>
  <c r="C343" i="31"/>
  <c r="B343" i="31"/>
  <c r="C342" i="31"/>
  <c r="B342" i="31"/>
  <c r="C341" i="31"/>
  <c r="B341" i="31"/>
  <c r="C340" i="31"/>
  <c r="B340" i="31"/>
  <c r="C339" i="31"/>
  <c r="B339" i="31"/>
  <c r="C338" i="31"/>
  <c r="B338" i="31"/>
  <c r="C337" i="31"/>
  <c r="B337" i="31"/>
  <c r="C336" i="31"/>
  <c r="B336" i="31"/>
  <c r="C335" i="31"/>
  <c r="B335" i="31"/>
  <c r="C334" i="31"/>
  <c r="B334" i="31"/>
  <c r="C333" i="31"/>
  <c r="B333" i="31"/>
  <c r="C332" i="31"/>
  <c r="B332" i="31"/>
  <c r="C331" i="31"/>
  <c r="B331" i="31"/>
  <c r="C330" i="31"/>
  <c r="B330" i="31"/>
  <c r="C329" i="31"/>
  <c r="B329" i="31"/>
  <c r="C328" i="31"/>
  <c r="B328" i="31"/>
  <c r="C327" i="31"/>
  <c r="B327" i="31"/>
  <c r="C326" i="31"/>
  <c r="B326" i="31"/>
  <c r="C325" i="31"/>
  <c r="B325" i="31"/>
  <c r="C324" i="31"/>
  <c r="B324" i="31"/>
  <c r="C323" i="31"/>
  <c r="B323" i="31"/>
  <c r="C322" i="31"/>
  <c r="B322" i="31"/>
  <c r="C321" i="31"/>
  <c r="B321" i="31"/>
  <c r="C320" i="31"/>
  <c r="B320" i="31"/>
  <c r="C319" i="31"/>
  <c r="B319" i="31"/>
  <c r="C318" i="31"/>
  <c r="B318" i="31"/>
  <c r="C317" i="31"/>
  <c r="B317" i="31"/>
  <c r="C316" i="31"/>
  <c r="B316" i="31"/>
  <c r="C315" i="31"/>
  <c r="B315" i="31"/>
  <c r="C314" i="31"/>
  <c r="BA304" i="15" l="1"/>
  <c r="BA303" i="15"/>
  <c r="BA302" i="15"/>
  <c r="BA301" i="15"/>
  <c r="BA300" i="15"/>
  <c r="BA299" i="15"/>
  <c r="BA298" i="15"/>
  <c r="BA297" i="15"/>
  <c r="BA296" i="15"/>
  <c r="BA295" i="15"/>
  <c r="BA294" i="15"/>
  <c r="BA293" i="15"/>
  <c r="BA292" i="15"/>
  <c r="BA291" i="15"/>
  <c r="BA290" i="15"/>
  <c r="BA289" i="15"/>
  <c r="BA288" i="15"/>
  <c r="BA287" i="15"/>
  <c r="BA286" i="15"/>
  <c r="BA285" i="15"/>
  <c r="BA284" i="15"/>
  <c r="BA283" i="15"/>
  <c r="BA282" i="15"/>
  <c r="BA281" i="15"/>
  <c r="BA280" i="15"/>
  <c r="BA279" i="15"/>
  <c r="BA278" i="15"/>
  <c r="BA277" i="15"/>
  <c r="BA276" i="15"/>
  <c r="BA275" i="15"/>
  <c r="BA274" i="15"/>
  <c r="BA273" i="15"/>
  <c r="BA272" i="15"/>
  <c r="BA271" i="15"/>
  <c r="BA270" i="15"/>
  <c r="BA269" i="15"/>
  <c r="BA268" i="15"/>
  <c r="BA267" i="15"/>
  <c r="BA266" i="15"/>
  <c r="BA265" i="15"/>
  <c r="BA264" i="15"/>
  <c r="BA263" i="15"/>
  <c r="BA262" i="15"/>
  <c r="BA261" i="15"/>
  <c r="BA260" i="15"/>
  <c r="BA259" i="15"/>
  <c r="BA258" i="15"/>
  <c r="BA257" i="15"/>
  <c r="BA256" i="15"/>
  <c r="BA255" i="15"/>
  <c r="BA254" i="15"/>
  <c r="BA253" i="15"/>
  <c r="BA252" i="15"/>
  <c r="BA251" i="15"/>
  <c r="BA250" i="15"/>
  <c r="BA249" i="15"/>
  <c r="BA248" i="15"/>
  <c r="BA247" i="15"/>
  <c r="BA246" i="15"/>
  <c r="BA245" i="15"/>
  <c r="BA244" i="15"/>
  <c r="BA243" i="15"/>
  <c r="BA242" i="15"/>
  <c r="BA241" i="15"/>
  <c r="BA240" i="15"/>
  <c r="BA239" i="15"/>
  <c r="BA238" i="15"/>
  <c r="BA237" i="15"/>
  <c r="BA236" i="15"/>
  <c r="BA235" i="15"/>
  <c r="BA234" i="15"/>
  <c r="BA233" i="15"/>
  <c r="BA232" i="15"/>
  <c r="BA231" i="15"/>
  <c r="BA230" i="15"/>
  <c r="BA229" i="15"/>
  <c r="BA228" i="15"/>
  <c r="BA227" i="15"/>
  <c r="BA226" i="15"/>
  <c r="BA225" i="15"/>
  <c r="BA224" i="15"/>
  <c r="BA223" i="15"/>
  <c r="BA222" i="15"/>
  <c r="BA221" i="15"/>
  <c r="BA220" i="15"/>
  <c r="BA219" i="15"/>
  <c r="BA218" i="15"/>
  <c r="BA217" i="15"/>
  <c r="BA216" i="15"/>
  <c r="BA215" i="15"/>
  <c r="BA214" i="15"/>
  <c r="BA213" i="15"/>
  <c r="BA212" i="15"/>
  <c r="BA211" i="15"/>
  <c r="BA210" i="15"/>
  <c r="BA209" i="15"/>
  <c r="BA208" i="15"/>
  <c r="BA207" i="15"/>
  <c r="BA206" i="15"/>
  <c r="BA205" i="15"/>
  <c r="BA204" i="15"/>
  <c r="BA203" i="15"/>
  <c r="BA202" i="15"/>
  <c r="BA201" i="15"/>
  <c r="BA200" i="15"/>
  <c r="BA199" i="15"/>
  <c r="BA198" i="15"/>
  <c r="BA197" i="15"/>
  <c r="BA196" i="15"/>
  <c r="BA195" i="15"/>
  <c r="BA194" i="15"/>
  <c r="BA193" i="15"/>
  <c r="BA192" i="15"/>
  <c r="BA191" i="15"/>
  <c r="BA190" i="15"/>
  <c r="BA189" i="15"/>
  <c r="AZ189" i="15" s="1"/>
  <c r="BA188" i="15"/>
  <c r="BA187" i="15"/>
  <c r="BA186" i="15"/>
  <c r="BA185" i="15"/>
  <c r="BA184" i="15"/>
  <c r="BA183" i="15"/>
  <c r="BA182" i="15"/>
  <c r="BA181" i="15"/>
  <c r="BA180" i="15"/>
  <c r="BA179" i="15"/>
  <c r="BA178" i="15"/>
  <c r="BA177" i="15"/>
  <c r="BA176" i="15"/>
  <c r="BA175" i="15"/>
  <c r="BA174" i="15"/>
  <c r="BA173" i="15"/>
  <c r="BA172" i="15"/>
  <c r="BA171" i="15"/>
  <c r="BA170" i="15"/>
  <c r="BA169" i="15"/>
  <c r="BA168" i="15"/>
  <c r="BA167" i="15"/>
  <c r="BA166" i="15"/>
  <c r="BA165" i="15"/>
  <c r="BA164" i="15"/>
  <c r="BA163" i="15"/>
  <c r="BA162" i="15"/>
  <c r="BA161" i="15"/>
  <c r="BA160" i="15"/>
  <c r="BA159" i="15"/>
  <c r="BA158" i="15"/>
  <c r="BA157" i="15"/>
  <c r="BA156" i="15"/>
  <c r="BA155" i="15"/>
  <c r="BA154" i="15"/>
  <c r="BA153" i="15"/>
  <c r="BA152" i="15"/>
  <c r="BA151" i="15"/>
  <c r="BA150" i="15"/>
  <c r="BA149" i="15"/>
  <c r="BA148" i="15"/>
  <c r="BA147" i="15"/>
  <c r="BA146" i="15"/>
  <c r="BA145" i="15"/>
  <c r="BA144" i="15"/>
  <c r="BA143" i="15"/>
  <c r="BA142" i="15"/>
  <c r="BA141" i="15"/>
  <c r="BA140" i="15"/>
  <c r="BA139" i="15"/>
  <c r="BA138" i="15"/>
  <c r="BA137" i="15"/>
  <c r="BA136" i="15"/>
  <c r="BA135" i="15"/>
  <c r="BA134" i="15"/>
  <c r="BA133" i="15"/>
  <c r="BA132" i="15"/>
  <c r="BA131" i="15"/>
  <c r="BA130" i="15"/>
  <c r="BA129" i="15"/>
  <c r="BA128" i="15"/>
  <c r="BA127" i="15"/>
  <c r="BA126" i="15"/>
  <c r="BA125" i="15"/>
  <c r="BA124" i="15"/>
  <c r="BA123" i="15"/>
  <c r="BA122" i="15"/>
  <c r="BA121" i="15"/>
  <c r="BA120" i="15"/>
  <c r="BA119" i="15"/>
  <c r="BA118" i="15"/>
  <c r="BA117" i="15"/>
  <c r="BA116" i="15"/>
  <c r="BA115" i="15"/>
  <c r="BA114" i="15"/>
  <c r="BA113" i="15"/>
  <c r="BA112" i="15"/>
  <c r="BA111" i="15"/>
  <c r="BA110" i="15"/>
  <c r="BA109" i="15"/>
  <c r="BA108" i="15"/>
  <c r="BA107" i="15"/>
  <c r="BA106" i="15"/>
  <c r="BA105" i="15"/>
  <c r="BA104" i="15"/>
  <c r="BA103" i="15"/>
  <c r="BA102" i="15"/>
  <c r="BA101" i="15"/>
  <c r="BA100" i="15"/>
  <c r="BA99" i="15"/>
  <c r="BA98" i="15"/>
  <c r="BA97" i="15"/>
  <c r="BA96" i="15"/>
  <c r="BA95" i="15"/>
  <c r="BA94" i="15"/>
  <c r="BA93" i="15"/>
  <c r="BA92" i="15"/>
  <c r="BA91" i="15"/>
  <c r="BA90" i="15"/>
  <c r="BA89" i="15"/>
  <c r="BA88" i="15"/>
  <c r="BA87" i="15"/>
  <c r="BA86" i="15"/>
  <c r="BA85" i="15"/>
  <c r="BA84" i="15"/>
  <c r="BA83" i="15"/>
  <c r="BA82" i="15"/>
  <c r="BA81" i="15"/>
  <c r="BA80" i="15"/>
  <c r="BA79" i="15"/>
  <c r="BA78" i="15"/>
  <c r="BA77" i="15"/>
  <c r="BA76" i="15"/>
  <c r="BA75" i="15"/>
  <c r="BA74" i="15"/>
  <c r="BA73" i="15"/>
  <c r="BA72" i="15"/>
  <c r="BA71" i="15"/>
  <c r="BA70" i="15"/>
  <c r="BA69" i="15"/>
  <c r="BA68" i="15"/>
  <c r="BA67" i="15"/>
  <c r="BA66" i="15"/>
  <c r="BA65" i="15"/>
  <c r="BA64" i="15"/>
  <c r="BA63" i="15"/>
  <c r="BA62" i="15"/>
  <c r="BA61" i="15"/>
  <c r="BA60" i="15"/>
  <c r="BA59" i="15"/>
  <c r="BA58" i="15"/>
  <c r="BA57" i="15"/>
  <c r="BA56" i="15"/>
  <c r="BA55" i="15"/>
  <c r="BA54" i="15"/>
  <c r="BA53" i="15"/>
  <c r="BA52" i="15"/>
  <c r="BA51" i="15"/>
  <c r="BA50" i="15"/>
  <c r="BA49" i="15"/>
  <c r="BA48" i="15"/>
  <c r="BA47" i="15"/>
  <c r="BA46" i="15"/>
  <c r="BA45" i="15"/>
  <c r="BA44" i="15"/>
  <c r="BA43" i="15"/>
  <c r="BA42" i="15"/>
  <c r="BA41" i="15"/>
  <c r="BA40" i="15"/>
  <c r="BA39" i="15"/>
  <c r="BA38" i="15"/>
  <c r="BA37" i="15"/>
  <c r="BA36" i="15"/>
  <c r="BA35" i="15"/>
  <c r="BA34" i="15"/>
  <c r="BA33" i="15"/>
  <c r="BA32" i="15"/>
  <c r="BA31" i="15"/>
  <c r="BA30" i="15"/>
  <c r="BA29" i="15"/>
  <c r="BA28" i="15"/>
  <c r="BA27" i="15"/>
  <c r="BA26" i="15"/>
  <c r="BA25" i="15"/>
  <c r="BA24" i="15"/>
  <c r="BA23" i="15"/>
  <c r="BA22" i="15"/>
  <c r="BA21" i="15"/>
  <c r="BA20" i="15"/>
  <c r="BA19" i="15"/>
  <c r="BA18" i="15"/>
  <c r="BA17" i="15"/>
  <c r="BA16" i="15"/>
  <c r="BA15" i="15"/>
  <c r="BA14" i="15"/>
  <c r="BA13" i="15"/>
  <c r="BA12" i="15"/>
  <c r="BA11" i="15"/>
  <c r="BA10" i="15"/>
  <c r="BA9" i="15"/>
  <c r="BA8" i="15"/>
  <c r="BA7" i="15"/>
  <c r="B306" i="34"/>
  <c r="B305" i="34"/>
  <c r="B304" i="34"/>
  <c r="B303" i="34"/>
  <c r="B302" i="34"/>
  <c r="B301" i="34"/>
  <c r="B300" i="34"/>
  <c r="B299" i="34"/>
  <c r="B298" i="34"/>
  <c r="B297" i="34"/>
  <c r="B296" i="34"/>
  <c r="B295" i="34"/>
  <c r="B294" i="34"/>
  <c r="B293" i="34"/>
  <c r="B292" i="34"/>
  <c r="B291" i="34"/>
  <c r="B289" i="34"/>
  <c r="B288" i="34"/>
  <c r="B287" i="34"/>
  <c r="B286" i="34"/>
  <c r="B285" i="34"/>
  <c r="B284" i="34"/>
  <c r="B283" i="34"/>
  <c r="B282" i="34"/>
  <c r="B281" i="34"/>
  <c r="B279" i="34"/>
  <c r="B278" i="34"/>
  <c r="B277" i="34"/>
  <c r="B276" i="34"/>
  <c r="B275" i="34"/>
  <c r="B274" i="34"/>
  <c r="B273" i="34"/>
  <c r="B272" i="34"/>
  <c r="B271" i="34"/>
  <c r="B269" i="34"/>
  <c r="B268" i="34"/>
  <c r="B267" i="34"/>
  <c r="B266" i="34"/>
  <c r="B265" i="34"/>
  <c r="B264" i="34"/>
  <c r="B263" i="34"/>
  <c r="B262" i="34"/>
  <c r="B261" i="34"/>
  <c r="B260" i="34"/>
  <c r="B258" i="34"/>
  <c r="B257" i="34"/>
  <c r="B256" i="34"/>
  <c r="B255" i="34"/>
  <c r="B253" i="34"/>
  <c r="B252" i="34"/>
  <c r="B251" i="34"/>
  <c r="B250" i="34"/>
  <c r="B249" i="34"/>
  <c r="B248" i="34"/>
  <c r="B247" i="34"/>
  <c r="B245" i="34"/>
  <c r="B244" i="34"/>
  <c r="B243" i="34"/>
  <c r="B242" i="34"/>
  <c r="B241" i="34"/>
  <c r="B240" i="34"/>
  <c r="B239" i="34"/>
  <c r="B238" i="34"/>
  <c r="B237" i="34"/>
  <c r="B236" i="34"/>
  <c r="B235" i="34"/>
  <c r="B234" i="34"/>
  <c r="B233" i="34"/>
  <c r="B232" i="34"/>
  <c r="B231" i="34"/>
  <c r="B230" i="34"/>
  <c r="B228" i="34"/>
  <c r="B227" i="34"/>
  <c r="B226" i="34"/>
  <c r="B224" i="34"/>
  <c r="B223" i="34"/>
  <c r="B222" i="34"/>
  <c r="B221" i="34"/>
  <c r="B220" i="34"/>
  <c r="B219" i="34"/>
  <c r="B218" i="34"/>
  <c r="B217" i="34"/>
  <c r="B216" i="34"/>
  <c r="B215" i="34"/>
  <c r="B214" i="34"/>
  <c r="B213" i="34"/>
  <c r="B212" i="34"/>
  <c r="B210" i="34"/>
  <c r="B209" i="34"/>
  <c r="B208" i="34"/>
  <c r="B207" i="34"/>
  <c r="B206" i="34"/>
  <c r="B205" i="34"/>
  <c r="B204" i="34"/>
  <c r="B203" i="34"/>
  <c r="B202" i="34"/>
  <c r="B201" i="34"/>
  <c r="B200" i="34"/>
  <c r="B199" i="34"/>
  <c r="B198" i="34"/>
  <c r="B197" i="34"/>
  <c r="B196" i="34"/>
  <c r="B195" i="34"/>
  <c r="B194" i="34"/>
  <c r="B190" i="34"/>
  <c r="B189" i="34"/>
  <c r="B188" i="34"/>
  <c r="B187" i="34"/>
  <c r="B186" i="34"/>
  <c r="B185" i="34"/>
  <c r="B184" i="34"/>
  <c r="B183" i="34"/>
  <c r="B182" i="34"/>
  <c r="B181" i="34"/>
  <c r="B180" i="34"/>
  <c r="B179" i="34"/>
  <c r="B178" i="34"/>
  <c r="B177" i="34"/>
  <c r="B176" i="34"/>
  <c r="B175" i="34"/>
  <c r="B174" i="34"/>
  <c r="B173" i="34"/>
  <c r="B172" i="34"/>
  <c r="B171" i="34"/>
  <c r="B170" i="34"/>
  <c r="B169" i="34"/>
  <c r="B168" i="34"/>
  <c r="B167" i="34"/>
  <c r="B166" i="34"/>
  <c r="B165" i="34"/>
  <c r="B164" i="34"/>
  <c r="B163" i="34"/>
  <c r="B161" i="34"/>
  <c r="B160" i="34"/>
  <c r="B159" i="34"/>
  <c r="B158" i="34"/>
  <c r="B156" i="34"/>
  <c r="B155" i="34"/>
  <c r="B154" i="34"/>
  <c r="B153" i="34"/>
  <c r="B152" i="34"/>
  <c r="B151" i="34"/>
  <c r="B150" i="34"/>
  <c r="B149" i="34"/>
  <c r="B148" i="34"/>
  <c r="B145" i="34"/>
  <c r="B144" i="34"/>
  <c r="B143" i="34"/>
  <c r="B142" i="34"/>
  <c r="B141" i="34"/>
  <c r="B139" i="34"/>
  <c r="B138" i="34"/>
  <c r="B137" i="34"/>
  <c r="B136" i="34"/>
  <c r="B135" i="34"/>
  <c r="B134" i="34"/>
  <c r="B133" i="34"/>
  <c r="B132" i="34"/>
  <c r="B131" i="34"/>
  <c r="B130" i="34"/>
  <c r="B128" i="34"/>
  <c r="B126" i="34"/>
  <c r="B125" i="34"/>
  <c r="B123" i="34"/>
  <c r="B122" i="34"/>
  <c r="B121" i="34"/>
  <c r="B120" i="34"/>
  <c r="B118" i="34"/>
  <c r="B117" i="34"/>
  <c r="B116" i="34"/>
  <c r="B115" i="34"/>
  <c r="B113" i="34"/>
  <c r="B112" i="34"/>
  <c r="B111" i="34"/>
  <c r="B110" i="34"/>
  <c r="B108" i="34"/>
  <c r="B107" i="34"/>
  <c r="B106" i="34"/>
  <c r="B104" i="34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8" i="34"/>
  <c r="B47" i="34"/>
  <c r="B46" i="34"/>
  <c r="B45" i="34"/>
  <c r="B44" i="34"/>
  <c r="B43" i="34"/>
  <c r="B42" i="34"/>
  <c r="B41" i="34"/>
  <c r="B40" i="34"/>
  <c r="B39" i="34"/>
  <c r="B37" i="34"/>
  <c r="B36" i="34"/>
  <c r="B35" i="34"/>
  <c r="B34" i="34"/>
  <c r="B33" i="34"/>
  <c r="B32" i="34"/>
  <c r="B30" i="34"/>
  <c r="B29" i="34"/>
  <c r="B28" i="34"/>
  <c r="B27" i="34"/>
  <c r="B26" i="34"/>
  <c r="B25" i="34"/>
  <c r="B24" i="34"/>
  <c r="B23" i="34"/>
  <c r="B22" i="34"/>
  <c r="B20" i="34"/>
  <c r="B19" i="34"/>
  <c r="B18" i="34"/>
  <c r="B17" i="34"/>
  <c r="B16" i="34"/>
  <c r="B15" i="34"/>
  <c r="B14" i="34"/>
  <c r="B13" i="34"/>
  <c r="B12" i="34"/>
  <c r="B10" i="34"/>
  <c r="B9" i="34"/>
  <c r="B11" i="34"/>
  <c r="F4" i="34"/>
  <c r="E4" i="35" s="1"/>
  <c r="G306" i="35"/>
  <c r="F306" i="35"/>
  <c r="E306" i="35"/>
  <c r="B306" i="35"/>
  <c r="G305" i="35"/>
  <c r="F305" i="35"/>
  <c r="E305" i="35"/>
  <c r="B305" i="35"/>
  <c r="G304" i="35"/>
  <c r="F304" i="35"/>
  <c r="E304" i="35"/>
  <c r="B304" i="35"/>
  <c r="G303" i="35"/>
  <c r="F303" i="35"/>
  <c r="E303" i="35"/>
  <c r="B303" i="35"/>
  <c r="G302" i="35"/>
  <c r="F302" i="35"/>
  <c r="E302" i="35"/>
  <c r="B302" i="35"/>
  <c r="G301" i="35"/>
  <c r="F301" i="35"/>
  <c r="E301" i="35"/>
  <c r="B301" i="35"/>
  <c r="G300" i="35"/>
  <c r="F300" i="35"/>
  <c r="E300" i="35"/>
  <c r="B300" i="35"/>
  <c r="G299" i="35"/>
  <c r="F299" i="35"/>
  <c r="E299" i="35"/>
  <c r="B299" i="35"/>
  <c r="G298" i="35"/>
  <c r="F298" i="35"/>
  <c r="E298" i="35"/>
  <c r="B298" i="35"/>
  <c r="G297" i="35"/>
  <c r="F297" i="35"/>
  <c r="E297" i="35"/>
  <c r="B297" i="35"/>
  <c r="G296" i="35"/>
  <c r="F296" i="35"/>
  <c r="E296" i="35"/>
  <c r="B296" i="35"/>
  <c r="G295" i="35"/>
  <c r="F295" i="35"/>
  <c r="E295" i="35"/>
  <c r="B295" i="35"/>
  <c r="G294" i="35"/>
  <c r="F294" i="35"/>
  <c r="E294" i="35"/>
  <c r="B294" i="35"/>
  <c r="G293" i="35"/>
  <c r="F293" i="35"/>
  <c r="E293" i="35"/>
  <c r="B293" i="35"/>
  <c r="G292" i="35"/>
  <c r="F292" i="35"/>
  <c r="E292" i="35"/>
  <c r="B292" i="35"/>
  <c r="G291" i="35"/>
  <c r="F291" i="35"/>
  <c r="E291" i="35"/>
  <c r="B291" i="35"/>
  <c r="G290" i="35"/>
  <c r="F290" i="35"/>
  <c r="E290" i="35"/>
  <c r="B290" i="35"/>
  <c r="G289" i="35"/>
  <c r="F289" i="35"/>
  <c r="E289" i="35"/>
  <c r="B289" i="35"/>
  <c r="G288" i="35"/>
  <c r="F288" i="35"/>
  <c r="E288" i="35"/>
  <c r="B288" i="35"/>
  <c r="G287" i="35"/>
  <c r="F287" i="35"/>
  <c r="E287" i="35"/>
  <c r="B287" i="35"/>
  <c r="G286" i="35"/>
  <c r="F286" i="35"/>
  <c r="E286" i="35"/>
  <c r="B286" i="35"/>
  <c r="G285" i="35"/>
  <c r="F285" i="35"/>
  <c r="E285" i="35"/>
  <c r="B285" i="35"/>
  <c r="G284" i="35"/>
  <c r="F284" i="35"/>
  <c r="E284" i="35"/>
  <c r="B284" i="35"/>
  <c r="G283" i="35"/>
  <c r="F283" i="35"/>
  <c r="E283" i="35"/>
  <c r="B283" i="35"/>
  <c r="G282" i="35"/>
  <c r="F282" i="35"/>
  <c r="E282" i="35"/>
  <c r="B282" i="35"/>
  <c r="G281" i="35"/>
  <c r="F281" i="35"/>
  <c r="E281" i="35"/>
  <c r="B281" i="35"/>
  <c r="G280" i="35"/>
  <c r="F280" i="35"/>
  <c r="E280" i="35"/>
  <c r="B280" i="35"/>
  <c r="G279" i="35"/>
  <c r="F279" i="35"/>
  <c r="E279" i="35"/>
  <c r="B279" i="35"/>
  <c r="G278" i="35"/>
  <c r="F278" i="35"/>
  <c r="E278" i="35"/>
  <c r="B278" i="35"/>
  <c r="G277" i="35"/>
  <c r="F277" i="35"/>
  <c r="E277" i="35"/>
  <c r="B277" i="35"/>
  <c r="G276" i="35"/>
  <c r="F276" i="35"/>
  <c r="E276" i="35"/>
  <c r="B276" i="35"/>
  <c r="G275" i="35"/>
  <c r="F275" i="35"/>
  <c r="E275" i="35"/>
  <c r="B275" i="35"/>
  <c r="G274" i="35"/>
  <c r="F274" i="35"/>
  <c r="E274" i="35"/>
  <c r="B274" i="35"/>
  <c r="G273" i="35"/>
  <c r="F273" i="35"/>
  <c r="E273" i="35"/>
  <c r="B273" i="35"/>
  <c r="G272" i="35"/>
  <c r="F272" i="35"/>
  <c r="E272" i="35"/>
  <c r="B272" i="35"/>
  <c r="G271" i="35"/>
  <c r="F271" i="35"/>
  <c r="E271" i="35"/>
  <c r="B271" i="35"/>
  <c r="G270" i="35"/>
  <c r="F270" i="35"/>
  <c r="E270" i="35"/>
  <c r="B270" i="35"/>
  <c r="G269" i="35"/>
  <c r="F269" i="35"/>
  <c r="E269" i="35"/>
  <c r="B269" i="35"/>
  <c r="G268" i="35"/>
  <c r="F268" i="35"/>
  <c r="E268" i="35"/>
  <c r="B268" i="35"/>
  <c r="G267" i="35"/>
  <c r="F267" i="35"/>
  <c r="E267" i="35"/>
  <c r="B267" i="35"/>
  <c r="G266" i="35"/>
  <c r="F266" i="35"/>
  <c r="E266" i="35"/>
  <c r="B266" i="35"/>
  <c r="G265" i="35"/>
  <c r="F265" i="35"/>
  <c r="E265" i="35"/>
  <c r="B265" i="35"/>
  <c r="G264" i="35"/>
  <c r="F264" i="35"/>
  <c r="E264" i="35"/>
  <c r="B264" i="35"/>
  <c r="G263" i="35"/>
  <c r="F263" i="35"/>
  <c r="E263" i="35"/>
  <c r="B263" i="35"/>
  <c r="G262" i="35"/>
  <c r="F262" i="35"/>
  <c r="E262" i="35"/>
  <c r="B262" i="35"/>
  <c r="G261" i="35"/>
  <c r="F261" i="35"/>
  <c r="E261" i="35"/>
  <c r="B261" i="35"/>
  <c r="G260" i="35"/>
  <c r="F260" i="35"/>
  <c r="E260" i="35"/>
  <c r="B260" i="35"/>
  <c r="G259" i="35"/>
  <c r="F259" i="35"/>
  <c r="E259" i="35"/>
  <c r="B259" i="35"/>
  <c r="G258" i="35"/>
  <c r="F258" i="35"/>
  <c r="E258" i="35"/>
  <c r="B258" i="35"/>
  <c r="G257" i="35"/>
  <c r="F257" i="35"/>
  <c r="E257" i="35"/>
  <c r="B257" i="35"/>
  <c r="G256" i="35"/>
  <c r="F256" i="35"/>
  <c r="E256" i="35"/>
  <c r="B256" i="35"/>
  <c r="G255" i="35"/>
  <c r="F255" i="35"/>
  <c r="E255" i="35"/>
  <c r="B255" i="35"/>
  <c r="G254" i="35"/>
  <c r="F254" i="35"/>
  <c r="E254" i="35"/>
  <c r="B254" i="35"/>
  <c r="G253" i="35"/>
  <c r="F253" i="35"/>
  <c r="E253" i="35"/>
  <c r="B253" i="35"/>
  <c r="G252" i="35"/>
  <c r="F252" i="35"/>
  <c r="E252" i="35"/>
  <c r="B252" i="35"/>
  <c r="G251" i="35"/>
  <c r="F251" i="35"/>
  <c r="E251" i="35"/>
  <c r="B251" i="35"/>
  <c r="G250" i="35"/>
  <c r="F250" i="35"/>
  <c r="E250" i="35"/>
  <c r="B250" i="35"/>
  <c r="G249" i="35"/>
  <c r="F249" i="35"/>
  <c r="E249" i="35"/>
  <c r="B249" i="35"/>
  <c r="G248" i="35"/>
  <c r="F248" i="35"/>
  <c r="E248" i="35"/>
  <c r="B248" i="35"/>
  <c r="G247" i="35"/>
  <c r="F247" i="35"/>
  <c r="E247" i="35"/>
  <c r="B247" i="35"/>
  <c r="G246" i="35"/>
  <c r="F246" i="35"/>
  <c r="E246" i="35"/>
  <c r="B246" i="35"/>
  <c r="G245" i="35"/>
  <c r="F245" i="35"/>
  <c r="E245" i="35"/>
  <c r="B245" i="35"/>
  <c r="G244" i="35"/>
  <c r="F244" i="35"/>
  <c r="E244" i="35"/>
  <c r="B244" i="35"/>
  <c r="G243" i="35"/>
  <c r="F243" i="35"/>
  <c r="E243" i="35"/>
  <c r="B243" i="35"/>
  <c r="G242" i="35"/>
  <c r="F242" i="35"/>
  <c r="E242" i="35"/>
  <c r="B242" i="35"/>
  <c r="G241" i="35"/>
  <c r="F241" i="35"/>
  <c r="E241" i="35"/>
  <c r="B241" i="35"/>
  <c r="G240" i="35"/>
  <c r="F240" i="35"/>
  <c r="E240" i="35"/>
  <c r="B240" i="35"/>
  <c r="G239" i="35"/>
  <c r="F239" i="35"/>
  <c r="E239" i="35"/>
  <c r="B239" i="35"/>
  <c r="G238" i="35"/>
  <c r="F238" i="35"/>
  <c r="E238" i="35"/>
  <c r="B238" i="35"/>
  <c r="G237" i="35"/>
  <c r="F237" i="35"/>
  <c r="E237" i="35"/>
  <c r="B237" i="35"/>
  <c r="G236" i="35"/>
  <c r="F236" i="35"/>
  <c r="E236" i="35"/>
  <c r="B236" i="35"/>
  <c r="G235" i="35"/>
  <c r="F235" i="35"/>
  <c r="E235" i="35"/>
  <c r="B235" i="35"/>
  <c r="G234" i="35"/>
  <c r="F234" i="35"/>
  <c r="E234" i="35"/>
  <c r="B234" i="35"/>
  <c r="G233" i="35"/>
  <c r="F233" i="35"/>
  <c r="E233" i="35"/>
  <c r="B233" i="35"/>
  <c r="G232" i="35"/>
  <c r="F232" i="35"/>
  <c r="E232" i="35"/>
  <c r="B232" i="35"/>
  <c r="G231" i="35"/>
  <c r="F231" i="35"/>
  <c r="E231" i="35"/>
  <c r="B231" i="35"/>
  <c r="G230" i="35"/>
  <c r="F230" i="35"/>
  <c r="E230" i="35"/>
  <c r="B230" i="35"/>
  <c r="G229" i="35"/>
  <c r="F229" i="35"/>
  <c r="E229" i="35"/>
  <c r="B229" i="35"/>
  <c r="G228" i="35"/>
  <c r="F228" i="35"/>
  <c r="E228" i="35"/>
  <c r="B228" i="35"/>
  <c r="G227" i="35"/>
  <c r="F227" i="35"/>
  <c r="E227" i="35"/>
  <c r="B227" i="35"/>
  <c r="G226" i="35"/>
  <c r="F226" i="35"/>
  <c r="E226" i="35"/>
  <c r="B226" i="35"/>
  <c r="G225" i="35"/>
  <c r="F225" i="35"/>
  <c r="E225" i="35"/>
  <c r="B225" i="35"/>
  <c r="G224" i="35"/>
  <c r="F224" i="35"/>
  <c r="E224" i="35"/>
  <c r="B224" i="35"/>
  <c r="G223" i="35"/>
  <c r="F223" i="35"/>
  <c r="E223" i="35"/>
  <c r="B223" i="35"/>
  <c r="G222" i="35"/>
  <c r="F222" i="35"/>
  <c r="E222" i="35"/>
  <c r="B222" i="35"/>
  <c r="G221" i="35"/>
  <c r="F221" i="35"/>
  <c r="E221" i="35"/>
  <c r="B221" i="35"/>
  <c r="G220" i="35"/>
  <c r="F220" i="35"/>
  <c r="E220" i="35"/>
  <c r="B220" i="35"/>
  <c r="G219" i="35"/>
  <c r="F219" i="35"/>
  <c r="E219" i="35"/>
  <c r="B219" i="35"/>
  <c r="G218" i="35"/>
  <c r="F218" i="35"/>
  <c r="E218" i="35"/>
  <c r="B218" i="35"/>
  <c r="G217" i="35"/>
  <c r="F217" i="35"/>
  <c r="E217" i="35"/>
  <c r="B217" i="35"/>
  <c r="G216" i="35"/>
  <c r="F216" i="35"/>
  <c r="E216" i="35"/>
  <c r="B216" i="35"/>
  <c r="G215" i="35"/>
  <c r="F215" i="35"/>
  <c r="E215" i="35"/>
  <c r="B215" i="35"/>
  <c r="G214" i="35"/>
  <c r="F214" i="35"/>
  <c r="E214" i="35"/>
  <c r="B214" i="35"/>
  <c r="G213" i="35"/>
  <c r="F213" i="35"/>
  <c r="E213" i="35"/>
  <c r="B213" i="35"/>
  <c r="G212" i="35"/>
  <c r="F212" i="35"/>
  <c r="E212" i="35"/>
  <c r="B212" i="35"/>
  <c r="G211" i="35"/>
  <c r="F211" i="35"/>
  <c r="E211" i="35"/>
  <c r="B211" i="35"/>
  <c r="G210" i="35"/>
  <c r="F210" i="35"/>
  <c r="E210" i="35"/>
  <c r="B210" i="35"/>
  <c r="G209" i="35"/>
  <c r="F209" i="35"/>
  <c r="E209" i="35"/>
  <c r="B209" i="35"/>
  <c r="G208" i="35"/>
  <c r="F208" i="35"/>
  <c r="E208" i="35"/>
  <c r="B208" i="35"/>
  <c r="G207" i="35"/>
  <c r="F207" i="35"/>
  <c r="E207" i="35"/>
  <c r="B207" i="35"/>
  <c r="G206" i="35"/>
  <c r="F206" i="35"/>
  <c r="E206" i="35"/>
  <c r="B206" i="35"/>
  <c r="G205" i="35"/>
  <c r="F205" i="35"/>
  <c r="E205" i="35"/>
  <c r="B205" i="35"/>
  <c r="G204" i="35"/>
  <c r="F204" i="35"/>
  <c r="E204" i="35"/>
  <c r="B204" i="35"/>
  <c r="G203" i="35"/>
  <c r="F203" i="35"/>
  <c r="E203" i="35"/>
  <c r="B203" i="35"/>
  <c r="G202" i="35"/>
  <c r="F202" i="35"/>
  <c r="E202" i="35"/>
  <c r="B202" i="35"/>
  <c r="G201" i="35"/>
  <c r="F201" i="35"/>
  <c r="E201" i="35"/>
  <c r="B201" i="35"/>
  <c r="G200" i="35"/>
  <c r="F200" i="35"/>
  <c r="E200" i="35"/>
  <c r="B200" i="35"/>
  <c r="G199" i="35"/>
  <c r="F199" i="35"/>
  <c r="E199" i="35"/>
  <c r="B199" i="35"/>
  <c r="G198" i="35"/>
  <c r="F198" i="35"/>
  <c r="E198" i="35"/>
  <c r="B198" i="35"/>
  <c r="G197" i="35"/>
  <c r="F197" i="35"/>
  <c r="E197" i="35"/>
  <c r="B197" i="35"/>
  <c r="G196" i="35"/>
  <c r="F196" i="35"/>
  <c r="E196" i="35"/>
  <c r="B196" i="35"/>
  <c r="G195" i="35"/>
  <c r="F195" i="35"/>
  <c r="E195" i="35"/>
  <c r="B195" i="35"/>
  <c r="G194" i="35"/>
  <c r="F194" i="35"/>
  <c r="E194" i="35"/>
  <c r="B194" i="35"/>
  <c r="G193" i="35"/>
  <c r="F193" i="35"/>
  <c r="E193" i="35"/>
  <c r="B193" i="35"/>
  <c r="G192" i="35"/>
  <c r="F192" i="35"/>
  <c r="E192" i="35"/>
  <c r="B192" i="35"/>
  <c r="G191" i="35"/>
  <c r="F191" i="35"/>
  <c r="E191" i="35"/>
  <c r="B191" i="35"/>
  <c r="G190" i="35"/>
  <c r="F190" i="35"/>
  <c r="E190" i="35"/>
  <c r="B190" i="35"/>
  <c r="G189" i="35"/>
  <c r="F189" i="35"/>
  <c r="E189" i="35"/>
  <c r="B189" i="35"/>
  <c r="G188" i="35"/>
  <c r="F188" i="35"/>
  <c r="E188" i="35"/>
  <c r="B188" i="35"/>
  <c r="G187" i="35"/>
  <c r="F187" i="35"/>
  <c r="E187" i="35"/>
  <c r="B187" i="35"/>
  <c r="G186" i="35"/>
  <c r="F186" i="35"/>
  <c r="E186" i="35"/>
  <c r="B186" i="35"/>
  <c r="G185" i="35"/>
  <c r="F185" i="35"/>
  <c r="E185" i="35"/>
  <c r="B185" i="35"/>
  <c r="G184" i="35"/>
  <c r="F184" i="35"/>
  <c r="E184" i="35"/>
  <c r="B184" i="35"/>
  <c r="G183" i="35"/>
  <c r="F183" i="35"/>
  <c r="E183" i="35"/>
  <c r="B183" i="35"/>
  <c r="G182" i="35"/>
  <c r="F182" i="35"/>
  <c r="E182" i="35"/>
  <c r="B182" i="35"/>
  <c r="G181" i="35"/>
  <c r="F181" i="35"/>
  <c r="E181" i="35"/>
  <c r="B181" i="35"/>
  <c r="G180" i="35"/>
  <c r="F180" i="35"/>
  <c r="E180" i="35"/>
  <c r="B180" i="35"/>
  <c r="G179" i="35"/>
  <c r="F179" i="35"/>
  <c r="E179" i="35"/>
  <c r="B179" i="35"/>
  <c r="G178" i="35"/>
  <c r="F178" i="35"/>
  <c r="E178" i="35"/>
  <c r="B178" i="35"/>
  <c r="G177" i="35"/>
  <c r="F177" i="35"/>
  <c r="E177" i="35"/>
  <c r="B177" i="35"/>
  <c r="G176" i="35"/>
  <c r="F176" i="35"/>
  <c r="E176" i="35"/>
  <c r="B176" i="35"/>
  <c r="G175" i="35"/>
  <c r="F175" i="35"/>
  <c r="E175" i="35"/>
  <c r="B175" i="35"/>
  <c r="G174" i="35"/>
  <c r="F174" i="35"/>
  <c r="E174" i="35"/>
  <c r="B174" i="35"/>
  <c r="G173" i="35"/>
  <c r="F173" i="35"/>
  <c r="E173" i="35"/>
  <c r="B173" i="35"/>
  <c r="G172" i="35"/>
  <c r="F172" i="35"/>
  <c r="E172" i="35"/>
  <c r="B172" i="35"/>
  <c r="G171" i="35"/>
  <c r="F171" i="35"/>
  <c r="E171" i="35"/>
  <c r="B171" i="35"/>
  <c r="G170" i="35"/>
  <c r="F170" i="35"/>
  <c r="E170" i="35"/>
  <c r="B170" i="35"/>
  <c r="G169" i="35"/>
  <c r="F169" i="35"/>
  <c r="E169" i="35"/>
  <c r="B169" i="35"/>
  <c r="G168" i="35"/>
  <c r="F168" i="35"/>
  <c r="E168" i="35"/>
  <c r="B168" i="35"/>
  <c r="G167" i="35"/>
  <c r="F167" i="35"/>
  <c r="E167" i="35"/>
  <c r="B167" i="35"/>
  <c r="G166" i="35"/>
  <c r="F166" i="35"/>
  <c r="E166" i="35"/>
  <c r="B166" i="35"/>
  <c r="G165" i="35"/>
  <c r="F165" i="35"/>
  <c r="E165" i="35"/>
  <c r="B165" i="35"/>
  <c r="G164" i="35"/>
  <c r="F164" i="35"/>
  <c r="E164" i="35"/>
  <c r="B164" i="35"/>
  <c r="G163" i="35"/>
  <c r="F163" i="35"/>
  <c r="E163" i="35"/>
  <c r="B163" i="35"/>
  <c r="G162" i="35"/>
  <c r="F162" i="35"/>
  <c r="E162" i="35"/>
  <c r="B162" i="35"/>
  <c r="G161" i="35"/>
  <c r="F161" i="35"/>
  <c r="E161" i="35"/>
  <c r="B161" i="35"/>
  <c r="G160" i="35"/>
  <c r="F160" i="35"/>
  <c r="E160" i="35"/>
  <c r="B160" i="35"/>
  <c r="G159" i="35"/>
  <c r="F159" i="35"/>
  <c r="E159" i="35"/>
  <c r="B159" i="35"/>
  <c r="G158" i="35"/>
  <c r="F158" i="35"/>
  <c r="E158" i="35"/>
  <c r="B158" i="35"/>
  <c r="G157" i="35"/>
  <c r="F157" i="35"/>
  <c r="E157" i="35"/>
  <c r="B157" i="35"/>
  <c r="G156" i="35"/>
  <c r="F156" i="35"/>
  <c r="E156" i="35"/>
  <c r="B156" i="35"/>
  <c r="G155" i="35"/>
  <c r="F155" i="35"/>
  <c r="E155" i="35"/>
  <c r="B155" i="35"/>
  <c r="G154" i="35"/>
  <c r="F154" i="35"/>
  <c r="E154" i="35"/>
  <c r="B154" i="35"/>
  <c r="G153" i="35"/>
  <c r="F153" i="35"/>
  <c r="E153" i="35"/>
  <c r="B153" i="35"/>
  <c r="G152" i="35"/>
  <c r="F152" i="35"/>
  <c r="E152" i="35"/>
  <c r="B152" i="35"/>
  <c r="G151" i="35"/>
  <c r="F151" i="35"/>
  <c r="E151" i="35"/>
  <c r="B151" i="35"/>
  <c r="G150" i="35"/>
  <c r="F150" i="35"/>
  <c r="E150" i="35"/>
  <c r="B150" i="35"/>
  <c r="G149" i="35"/>
  <c r="F149" i="35"/>
  <c r="E149" i="35"/>
  <c r="B149" i="35"/>
  <c r="G148" i="35"/>
  <c r="F148" i="35"/>
  <c r="E148" i="35"/>
  <c r="B148" i="35"/>
  <c r="G147" i="35"/>
  <c r="F147" i="35"/>
  <c r="E147" i="35"/>
  <c r="B147" i="35"/>
  <c r="G146" i="35"/>
  <c r="F146" i="35"/>
  <c r="E146" i="35"/>
  <c r="B146" i="35"/>
  <c r="G145" i="35"/>
  <c r="F145" i="35"/>
  <c r="E145" i="35"/>
  <c r="B145" i="35"/>
  <c r="G144" i="35"/>
  <c r="F144" i="35"/>
  <c r="E144" i="35"/>
  <c r="B144" i="35"/>
  <c r="G143" i="35"/>
  <c r="F143" i="35"/>
  <c r="E143" i="35"/>
  <c r="B143" i="35"/>
  <c r="G142" i="35"/>
  <c r="F142" i="35"/>
  <c r="E142" i="35"/>
  <c r="B142" i="35"/>
  <c r="G141" i="35"/>
  <c r="F141" i="35"/>
  <c r="E141" i="35"/>
  <c r="B141" i="35"/>
  <c r="G140" i="35"/>
  <c r="F140" i="35"/>
  <c r="E140" i="35"/>
  <c r="B140" i="35"/>
  <c r="G139" i="35"/>
  <c r="F139" i="35"/>
  <c r="E139" i="35"/>
  <c r="B139" i="35"/>
  <c r="G138" i="35"/>
  <c r="F138" i="35"/>
  <c r="E138" i="35"/>
  <c r="B138" i="35"/>
  <c r="G137" i="35"/>
  <c r="F137" i="35"/>
  <c r="E137" i="35"/>
  <c r="B137" i="35"/>
  <c r="G136" i="35"/>
  <c r="F136" i="35"/>
  <c r="E136" i="35"/>
  <c r="B136" i="35"/>
  <c r="G135" i="35"/>
  <c r="F135" i="35"/>
  <c r="E135" i="35"/>
  <c r="B135" i="35"/>
  <c r="G134" i="35"/>
  <c r="F134" i="35"/>
  <c r="E134" i="35"/>
  <c r="B134" i="35"/>
  <c r="G133" i="35"/>
  <c r="F133" i="35"/>
  <c r="E133" i="35"/>
  <c r="B133" i="35"/>
  <c r="G132" i="35"/>
  <c r="F132" i="35"/>
  <c r="E132" i="35"/>
  <c r="B132" i="35"/>
  <c r="G131" i="35"/>
  <c r="F131" i="35"/>
  <c r="E131" i="35"/>
  <c r="B131" i="35"/>
  <c r="G130" i="35"/>
  <c r="F130" i="35"/>
  <c r="E130" i="35"/>
  <c r="B130" i="35"/>
  <c r="G129" i="35"/>
  <c r="F129" i="35"/>
  <c r="E129" i="35"/>
  <c r="B129" i="35"/>
  <c r="G128" i="35"/>
  <c r="F128" i="35"/>
  <c r="E128" i="35"/>
  <c r="B128" i="35"/>
  <c r="G127" i="35"/>
  <c r="F127" i="35"/>
  <c r="E127" i="35"/>
  <c r="B127" i="35"/>
  <c r="G126" i="35"/>
  <c r="F126" i="35"/>
  <c r="E126" i="35"/>
  <c r="B126" i="35"/>
  <c r="G125" i="35"/>
  <c r="F125" i="35"/>
  <c r="E125" i="35"/>
  <c r="B125" i="35"/>
  <c r="G124" i="35"/>
  <c r="F124" i="35"/>
  <c r="E124" i="35"/>
  <c r="B124" i="35"/>
  <c r="G123" i="35"/>
  <c r="F123" i="35"/>
  <c r="E123" i="35"/>
  <c r="B123" i="35"/>
  <c r="G122" i="35"/>
  <c r="F122" i="35"/>
  <c r="E122" i="35"/>
  <c r="B122" i="35"/>
  <c r="G121" i="35"/>
  <c r="F121" i="35"/>
  <c r="E121" i="35"/>
  <c r="B121" i="35"/>
  <c r="G120" i="35"/>
  <c r="F120" i="35"/>
  <c r="E120" i="35"/>
  <c r="B120" i="35"/>
  <c r="G119" i="35"/>
  <c r="F119" i="35"/>
  <c r="E119" i="35"/>
  <c r="B119" i="35"/>
  <c r="G118" i="35"/>
  <c r="F118" i="35"/>
  <c r="E118" i="35"/>
  <c r="B118" i="35"/>
  <c r="G117" i="35"/>
  <c r="F117" i="35"/>
  <c r="E117" i="35"/>
  <c r="B117" i="35"/>
  <c r="G116" i="35"/>
  <c r="F116" i="35"/>
  <c r="E116" i="35"/>
  <c r="B116" i="35"/>
  <c r="G115" i="35"/>
  <c r="F115" i="35"/>
  <c r="E115" i="35"/>
  <c r="B115" i="35"/>
  <c r="G114" i="35"/>
  <c r="F114" i="35"/>
  <c r="E114" i="35"/>
  <c r="B114" i="35"/>
  <c r="G113" i="35"/>
  <c r="F113" i="35"/>
  <c r="E113" i="35"/>
  <c r="B113" i="35"/>
  <c r="G112" i="35"/>
  <c r="F112" i="35"/>
  <c r="E112" i="35"/>
  <c r="B112" i="35"/>
  <c r="G111" i="35"/>
  <c r="F111" i="35"/>
  <c r="E111" i="35"/>
  <c r="B111" i="35"/>
  <c r="G110" i="35"/>
  <c r="F110" i="35"/>
  <c r="E110" i="35"/>
  <c r="B110" i="35"/>
  <c r="G109" i="35"/>
  <c r="F109" i="35"/>
  <c r="E109" i="35"/>
  <c r="B109" i="35"/>
  <c r="G108" i="35"/>
  <c r="F108" i="35"/>
  <c r="E108" i="35"/>
  <c r="B108" i="35"/>
  <c r="G107" i="35"/>
  <c r="F107" i="35"/>
  <c r="E107" i="35"/>
  <c r="B107" i="35"/>
  <c r="G106" i="35"/>
  <c r="F106" i="35"/>
  <c r="E106" i="35"/>
  <c r="B106" i="35"/>
  <c r="G105" i="35"/>
  <c r="F105" i="35"/>
  <c r="E105" i="35"/>
  <c r="B105" i="35"/>
  <c r="G104" i="35"/>
  <c r="F104" i="35"/>
  <c r="E104" i="35"/>
  <c r="B104" i="35"/>
  <c r="G103" i="35"/>
  <c r="F103" i="35"/>
  <c r="E103" i="35"/>
  <c r="B103" i="35"/>
  <c r="G102" i="35"/>
  <c r="F102" i="35"/>
  <c r="E102" i="35"/>
  <c r="B102" i="35"/>
  <c r="G101" i="35"/>
  <c r="F101" i="35"/>
  <c r="E101" i="35"/>
  <c r="B101" i="35"/>
  <c r="G100" i="35"/>
  <c r="F100" i="35"/>
  <c r="E100" i="35"/>
  <c r="B100" i="35"/>
  <c r="G99" i="35"/>
  <c r="F99" i="35"/>
  <c r="E99" i="35"/>
  <c r="B99" i="35"/>
  <c r="G98" i="35"/>
  <c r="F98" i="35"/>
  <c r="E98" i="35"/>
  <c r="B98" i="35"/>
  <c r="G97" i="35"/>
  <c r="F97" i="35"/>
  <c r="E97" i="35"/>
  <c r="B97" i="35"/>
  <c r="G96" i="35"/>
  <c r="F96" i="35"/>
  <c r="E96" i="35"/>
  <c r="B96" i="35"/>
  <c r="G95" i="35"/>
  <c r="F95" i="35"/>
  <c r="E95" i="35"/>
  <c r="B95" i="35"/>
  <c r="G94" i="35"/>
  <c r="F94" i="35"/>
  <c r="E94" i="35"/>
  <c r="B94" i="35"/>
  <c r="G93" i="35"/>
  <c r="F93" i="35"/>
  <c r="E93" i="35"/>
  <c r="B93" i="35"/>
  <c r="G92" i="35"/>
  <c r="F92" i="35"/>
  <c r="E92" i="35"/>
  <c r="B92" i="35"/>
  <c r="G91" i="35"/>
  <c r="F91" i="35"/>
  <c r="E91" i="35"/>
  <c r="B91" i="35"/>
  <c r="G90" i="35"/>
  <c r="F90" i="35"/>
  <c r="E90" i="35"/>
  <c r="B90" i="35"/>
  <c r="G89" i="35"/>
  <c r="F89" i="35"/>
  <c r="E89" i="35"/>
  <c r="B89" i="35"/>
  <c r="G88" i="35"/>
  <c r="F88" i="35"/>
  <c r="E88" i="35"/>
  <c r="B88" i="35"/>
  <c r="G87" i="35"/>
  <c r="F87" i="35"/>
  <c r="E87" i="35"/>
  <c r="B87" i="35"/>
  <c r="G86" i="35"/>
  <c r="F86" i="35"/>
  <c r="E86" i="35"/>
  <c r="B86" i="35"/>
  <c r="G85" i="35"/>
  <c r="F85" i="35"/>
  <c r="E85" i="35"/>
  <c r="B85" i="35"/>
  <c r="G84" i="35"/>
  <c r="F84" i="35"/>
  <c r="E84" i="35"/>
  <c r="B84" i="35"/>
  <c r="G83" i="35"/>
  <c r="F83" i="35"/>
  <c r="E83" i="35"/>
  <c r="B83" i="35"/>
  <c r="G82" i="35"/>
  <c r="F82" i="35"/>
  <c r="E82" i="35"/>
  <c r="B82" i="35"/>
  <c r="G81" i="35"/>
  <c r="F81" i="35"/>
  <c r="E81" i="35"/>
  <c r="B81" i="35"/>
  <c r="G80" i="35"/>
  <c r="F80" i="35"/>
  <c r="E80" i="35"/>
  <c r="B80" i="35"/>
  <c r="G79" i="35"/>
  <c r="F79" i="35"/>
  <c r="E79" i="35"/>
  <c r="B79" i="35"/>
  <c r="G78" i="35"/>
  <c r="F78" i="35"/>
  <c r="E78" i="35"/>
  <c r="B78" i="35"/>
  <c r="G77" i="35"/>
  <c r="F77" i="35"/>
  <c r="E77" i="35"/>
  <c r="B77" i="35"/>
  <c r="G76" i="35"/>
  <c r="F76" i="35"/>
  <c r="E76" i="35"/>
  <c r="B76" i="35"/>
  <c r="G75" i="35"/>
  <c r="F75" i="35"/>
  <c r="E75" i="35"/>
  <c r="B75" i="35"/>
  <c r="G74" i="35"/>
  <c r="F74" i="35"/>
  <c r="E74" i="35"/>
  <c r="B74" i="35"/>
  <c r="G73" i="35"/>
  <c r="F73" i="35"/>
  <c r="E73" i="35"/>
  <c r="B73" i="35"/>
  <c r="G72" i="35"/>
  <c r="F72" i="35"/>
  <c r="E72" i="35"/>
  <c r="B72" i="35"/>
  <c r="G71" i="35"/>
  <c r="F71" i="35"/>
  <c r="E71" i="35"/>
  <c r="B71" i="35"/>
  <c r="G70" i="35"/>
  <c r="F70" i="35"/>
  <c r="E70" i="35"/>
  <c r="B70" i="35"/>
  <c r="G69" i="35"/>
  <c r="F69" i="35"/>
  <c r="E69" i="35"/>
  <c r="B69" i="35"/>
  <c r="G68" i="35"/>
  <c r="F68" i="35"/>
  <c r="E68" i="35"/>
  <c r="B68" i="35"/>
  <c r="G67" i="35"/>
  <c r="F67" i="35"/>
  <c r="E67" i="35"/>
  <c r="B67" i="35"/>
  <c r="G66" i="35"/>
  <c r="F66" i="35"/>
  <c r="E66" i="35"/>
  <c r="B66" i="35"/>
  <c r="G65" i="35"/>
  <c r="F65" i="35"/>
  <c r="E65" i="35"/>
  <c r="B65" i="35"/>
  <c r="G64" i="35"/>
  <c r="F64" i="35"/>
  <c r="E64" i="35"/>
  <c r="B64" i="35"/>
  <c r="G63" i="35"/>
  <c r="F63" i="35"/>
  <c r="E63" i="35"/>
  <c r="B63" i="35"/>
  <c r="G62" i="35"/>
  <c r="F62" i="35"/>
  <c r="E62" i="35"/>
  <c r="B62" i="35"/>
  <c r="G61" i="35"/>
  <c r="F61" i="35"/>
  <c r="E61" i="35"/>
  <c r="B61" i="35"/>
  <c r="G60" i="35"/>
  <c r="F60" i="35"/>
  <c r="E60" i="35"/>
  <c r="B60" i="35"/>
  <c r="G59" i="35"/>
  <c r="F59" i="35"/>
  <c r="E59" i="35"/>
  <c r="B59" i="35"/>
  <c r="G58" i="35"/>
  <c r="F58" i="35"/>
  <c r="E58" i="35"/>
  <c r="B58" i="35"/>
  <c r="G57" i="35"/>
  <c r="F57" i="35"/>
  <c r="E57" i="35"/>
  <c r="B57" i="35"/>
  <c r="G56" i="35"/>
  <c r="F56" i="35"/>
  <c r="E56" i="35"/>
  <c r="B56" i="35"/>
  <c r="G55" i="35"/>
  <c r="F55" i="35"/>
  <c r="E55" i="35"/>
  <c r="B55" i="35"/>
  <c r="G54" i="35"/>
  <c r="F54" i="35"/>
  <c r="E54" i="35"/>
  <c r="B54" i="35"/>
  <c r="G53" i="35"/>
  <c r="F53" i="35"/>
  <c r="E53" i="35"/>
  <c r="B53" i="35"/>
  <c r="G52" i="35"/>
  <c r="F52" i="35"/>
  <c r="E52" i="35"/>
  <c r="B52" i="35"/>
  <c r="G51" i="35"/>
  <c r="F51" i="35"/>
  <c r="E51" i="35"/>
  <c r="B51" i="35"/>
  <c r="G50" i="35"/>
  <c r="F50" i="35"/>
  <c r="E50" i="35"/>
  <c r="B50" i="35"/>
  <c r="G49" i="35"/>
  <c r="F49" i="35"/>
  <c r="E49" i="35"/>
  <c r="B49" i="35"/>
  <c r="G48" i="35"/>
  <c r="F48" i="35"/>
  <c r="E48" i="35"/>
  <c r="B48" i="35"/>
  <c r="G47" i="35"/>
  <c r="F47" i="35"/>
  <c r="E47" i="35"/>
  <c r="B47" i="35"/>
  <c r="G46" i="35"/>
  <c r="F46" i="35"/>
  <c r="E46" i="35"/>
  <c r="B46" i="35"/>
  <c r="G45" i="35"/>
  <c r="F45" i="35"/>
  <c r="E45" i="35"/>
  <c r="B45" i="35"/>
  <c r="G44" i="35"/>
  <c r="F44" i="35"/>
  <c r="E44" i="35"/>
  <c r="B44" i="35"/>
  <c r="G43" i="35"/>
  <c r="F43" i="35"/>
  <c r="E43" i="35"/>
  <c r="B43" i="35"/>
  <c r="G42" i="35"/>
  <c r="F42" i="35"/>
  <c r="E42" i="35"/>
  <c r="B42" i="35"/>
  <c r="G41" i="35"/>
  <c r="F41" i="35"/>
  <c r="E41" i="35"/>
  <c r="B41" i="35"/>
  <c r="G40" i="35"/>
  <c r="AI40" i="35" s="1"/>
  <c r="F40" i="35"/>
  <c r="E40" i="35"/>
  <c r="B40" i="35"/>
  <c r="G39" i="35"/>
  <c r="F39" i="35"/>
  <c r="E39" i="35"/>
  <c r="B39" i="35"/>
  <c r="G38" i="35"/>
  <c r="F38" i="35"/>
  <c r="E38" i="35"/>
  <c r="B38" i="35"/>
  <c r="G37" i="35"/>
  <c r="F37" i="35"/>
  <c r="E37" i="35"/>
  <c r="B37" i="35"/>
  <c r="G36" i="35"/>
  <c r="F36" i="35"/>
  <c r="E36" i="35"/>
  <c r="B36" i="35"/>
  <c r="G35" i="35"/>
  <c r="F35" i="35"/>
  <c r="E35" i="35"/>
  <c r="B35" i="35"/>
  <c r="G34" i="35"/>
  <c r="F34" i="35"/>
  <c r="E34" i="35"/>
  <c r="B34" i="35"/>
  <c r="G33" i="35"/>
  <c r="AA33" i="35" s="1"/>
  <c r="F33" i="35"/>
  <c r="E33" i="35"/>
  <c r="B33" i="35"/>
  <c r="G32" i="35"/>
  <c r="F32" i="35"/>
  <c r="E32" i="35"/>
  <c r="B32" i="35"/>
  <c r="G31" i="35"/>
  <c r="F31" i="35"/>
  <c r="E31" i="35"/>
  <c r="B31" i="35"/>
  <c r="G30" i="35"/>
  <c r="AM30" i="35" s="1"/>
  <c r="F30" i="35"/>
  <c r="E30" i="35"/>
  <c r="B30" i="35"/>
  <c r="G29" i="35"/>
  <c r="AI29" i="35" s="1"/>
  <c r="F29" i="35"/>
  <c r="E29" i="35"/>
  <c r="B29" i="35"/>
  <c r="G28" i="35"/>
  <c r="AF28" i="35" s="1"/>
  <c r="F28" i="35"/>
  <c r="E28" i="35"/>
  <c r="B28" i="35"/>
  <c r="G27" i="35"/>
  <c r="F27" i="35"/>
  <c r="E27" i="35"/>
  <c r="B27" i="35"/>
  <c r="G26" i="35"/>
  <c r="F26" i="35"/>
  <c r="E26" i="35"/>
  <c r="B26" i="35"/>
  <c r="G25" i="35"/>
  <c r="AG25" i="35" s="1"/>
  <c r="F25" i="35"/>
  <c r="E25" i="35"/>
  <c r="B25" i="35"/>
  <c r="G24" i="35"/>
  <c r="F24" i="35"/>
  <c r="E24" i="35"/>
  <c r="B24" i="35"/>
  <c r="G23" i="35"/>
  <c r="AK23" i="35" s="1"/>
  <c r="F23" i="35"/>
  <c r="E23" i="35"/>
  <c r="B23" i="35"/>
  <c r="G22" i="35"/>
  <c r="AG22" i="35" s="1"/>
  <c r="F22" i="35"/>
  <c r="E22" i="35"/>
  <c r="B22" i="35"/>
  <c r="G21" i="35"/>
  <c r="F21" i="35"/>
  <c r="E21" i="35"/>
  <c r="B21" i="35"/>
  <c r="G20" i="35"/>
  <c r="F20" i="35"/>
  <c r="E20" i="35"/>
  <c r="B20" i="35"/>
  <c r="G19" i="35"/>
  <c r="F19" i="35"/>
  <c r="E19" i="35"/>
  <c r="B19" i="35"/>
  <c r="G18" i="35"/>
  <c r="F18" i="35"/>
  <c r="E18" i="35"/>
  <c r="B18" i="35"/>
  <c r="G17" i="35"/>
  <c r="F17" i="35"/>
  <c r="E17" i="35"/>
  <c r="B17" i="35"/>
  <c r="G16" i="35"/>
  <c r="AI16" i="35" s="1"/>
  <c r="F16" i="35"/>
  <c r="E16" i="35"/>
  <c r="B16" i="35"/>
  <c r="G15" i="35"/>
  <c r="AE15" i="35" s="1"/>
  <c r="F15" i="35"/>
  <c r="E15" i="35"/>
  <c r="B15" i="35"/>
  <c r="G14" i="35"/>
  <c r="AM14" i="35" s="1"/>
  <c r="F14" i="35"/>
  <c r="E14" i="35"/>
  <c r="B14" i="35"/>
  <c r="G13" i="35"/>
  <c r="AI13" i="35" s="1"/>
  <c r="F13" i="35"/>
  <c r="E13" i="35"/>
  <c r="B13" i="35"/>
  <c r="G12" i="35"/>
  <c r="F12" i="35"/>
  <c r="E12" i="35"/>
  <c r="B12" i="35"/>
  <c r="G11" i="35"/>
  <c r="AM11" i="35" s="1"/>
  <c r="F11" i="35"/>
  <c r="E11" i="35"/>
  <c r="B11" i="35"/>
  <c r="G10" i="35"/>
  <c r="AL10" i="35" s="1"/>
  <c r="F10" i="35"/>
  <c r="E10" i="35"/>
  <c r="B10" i="35"/>
  <c r="G9" i="35"/>
  <c r="F9" i="35"/>
  <c r="E9" i="35"/>
  <c r="B9" i="35"/>
  <c r="H306" i="34"/>
  <c r="G306" i="34"/>
  <c r="F306" i="34"/>
  <c r="H305" i="34"/>
  <c r="G305" i="34"/>
  <c r="F305" i="34"/>
  <c r="H304" i="34"/>
  <c r="G304" i="34"/>
  <c r="F304" i="34"/>
  <c r="H303" i="34"/>
  <c r="G303" i="34"/>
  <c r="F303" i="34"/>
  <c r="H302" i="34"/>
  <c r="G302" i="34"/>
  <c r="F302" i="34"/>
  <c r="H301" i="34"/>
  <c r="G301" i="34"/>
  <c r="F301" i="34"/>
  <c r="H300" i="34"/>
  <c r="G300" i="34"/>
  <c r="F300" i="34"/>
  <c r="H299" i="34"/>
  <c r="G299" i="34"/>
  <c r="F299" i="34"/>
  <c r="H298" i="34"/>
  <c r="G298" i="34"/>
  <c r="F298" i="34"/>
  <c r="H297" i="34"/>
  <c r="G297" i="34"/>
  <c r="F297" i="34"/>
  <c r="H296" i="34"/>
  <c r="G296" i="34"/>
  <c r="F296" i="34"/>
  <c r="H295" i="34"/>
  <c r="G295" i="34"/>
  <c r="F295" i="34"/>
  <c r="H294" i="34"/>
  <c r="G294" i="34"/>
  <c r="F294" i="34"/>
  <c r="H293" i="34"/>
  <c r="G293" i="34"/>
  <c r="F293" i="34"/>
  <c r="H292" i="34"/>
  <c r="G292" i="34"/>
  <c r="F292" i="34"/>
  <c r="H291" i="34"/>
  <c r="G291" i="34"/>
  <c r="F291" i="34"/>
  <c r="H290" i="34"/>
  <c r="G290" i="34"/>
  <c r="F290" i="34"/>
  <c r="H289" i="34"/>
  <c r="G289" i="34"/>
  <c r="F289" i="34"/>
  <c r="H288" i="34"/>
  <c r="G288" i="34"/>
  <c r="F288" i="34"/>
  <c r="H287" i="34"/>
  <c r="G287" i="34"/>
  <c r="F287" i="34"/>
  <c r="H286" i="34"/>
  <c r="G286" i="34"/>
  <c r="F286" i="34"/>
  <c r="H285" i="34"/>
  <c r="G285" i="34"/>
  <c r="F285" i="34"/>
  <c r="H284" i="34"/>
  <c r="G284" i="34"/>
  <c r="F284" i="34"/>
  <c r="H283" i="34"/>
  <c r="G283" i="34"/>
  <c r="F283" i="34"/>
  <c r="H282" i="34"/>
  <c r="G282" i="34"/>
  <c r="F282" i="34"/>
  <c r="H281" i="34"/>
  <c r="G281" i="34"/>
  <c r="F281" i="34"/>
  <c r="H280" i="34"/>
  <c r="G280" i="34"/>
  <c r="F280" i="34"/>
  <c r="H279" i="34"/>
  <c r="G279" i="34"/>
  <c r="F279" i="34"/>
  <c r="H278" i="34"/>
  <c r="G278" i="34"/>
  <c r="F278" i="34"/>
  <c r="H277" i="34"/>
  <c r="G277" i="34"/>
  <c r="F277" i="34"/>
  <c r="H276" i="34"/>
  <c r="G276" i="34"/>
  <c r="F276" i="34"/>
  <c r="H275" i="34"/>
  <c r="G275" i="34"/>
  <c r="F275" i="34"/>
  <c r="H274" i="34"/>
  <c r="G274" i="34"/>
  <c r="F274" i="34"/>
  <c r="H273" i="34"/>
  <c r="G273" i="34"/>
  <c r="F273" i="34"/>
  <c r="H272" i="34"/>
  <c r="G272" i="34"/>
  <c r="F272" i="34"/>
  <c r="H271" i="34"/>
  <c r="G271" i="34"/>
  <c r="F271" i="34"/>
  <c r="H270" i="34"/>
  <c r="G270" i="34"/>
  <c r="F270" i="34"/>
  <c r="H269" i="34"/>
  <c r="G269" i="34"/>
  <c r="F269" i="34"/>
  <c r="H268" i="34"/>
  <c r="G268" i="34"/>
  <c r="F268" i="34"/>
  <c r="H267" i="34"/>
  <c r="G267" i="34"/>
  <c r="F267" i="34"/>
  <c r="H266" i="34"/>
  <c r="G266" i="34"/>
  <c r="F266" i="34"/>
  <c r="H265" i="34"/>
  <c r="G265" i="34"/>
  <c r="F265" i="34"/>
  <c r="H264" i="34"/>
  <c r="G264" i="34"/>
  <c r="F264" i="34"/>
  <c r="H263" i="34"/>
  <c r="G263" i="34"/>
  <c r="F263" i="34"/>
  <c r="H262" i="34"/>
  <c r="G262" i="34"/>
  <c r="F262" i="34"/>
  <c r="H261" i="34"/>
  <c r="G261" i="34"/>
  <c r="F261" i="34"/>
  <c r="H260" i="34"/>
  <c r="G260" i="34"/>
  <c r="F260" i="34"/>
  <c r="H259" i="34"/>
  <c r="G259" i="34"/>
  <c r="F259" i="34"/>
  <c r="H258" i="34"/>
  <c r="G258" i="34"/>
  <c r="F258" i="34"/>
  <c r="H257" i="34"/>
  <c r="G257" i="34"/>
  <c r="F257" i="34"/>
  <c r="H256" i="34"/>
  <c r="G256" i="34"/>
  <c r="F256" i="34"/>
  <c r="H255" i="34"/>
  <c r="G255" i="34"/>
  <c r="F255" i="34"/>
  <c r="H254" i="34"/>
  <c r="G254" i="34"/>
  <c r="F254" i="34"/>
  <c r="H253" i="34"/>
  <c r="G253" i="34"/>
  <c r="F253" i="34"/>
  <c r="H252" i="34"/>
  <c r="G252" i="34"/>
  <c r="F252" i="34"/>
  <c r="H251" i="34"/>
  <c r="G251" i="34"/>
  <c r="F251" i="34"/>
  <c r="H250" i="34"/>
  <c r="G250" i="34"/>
  <c r="F250" i="34"/>
  <c r="H249" i="34"/>
  <c r="G249" i="34"/>
  <c r="F249" i="34"/>
  <c r="H248" i="34"/>
  <c r="G248" i="34"/>
  <c r="F248" i="34"/>
  <c r="H247" i="34"/>
  <c r="G247" i="34"/>
  <c r="F247" i="34"/>
  <c r="H246" i="34"/>
  <c r="G246" i="34"/>
  <c r="F246" i="34"/>
  <c r="H245" i="34"/>
  <c r="G245" i="34"/>
  <c r="F245" i="34"/>
  <c r="H244" i="34"/>
  <c r="G244" i="34"/>
  <c r="F244" i="34"/>
  <c r="H243" i="34"/>
  <c r="G243" i="34"/>
  <c r="F243" i="34"/>
  <c r="H242" i="34"/>
  <c r="G242" i="34"/>
  <c r="F242" i="34"/>
  <c r="H241" i="34"/>
  <c r="G241" i="34"/>
  <c r="F241" i="34"/>
  <c r="H240" i="34"/>
  <c r="G240" i="34"/>
  <c r="F240" i="34"/>
  <c r="H239" i="34"/>
  <c r="G239" i="34"/>
  <c r="F239" i="34"/>
  <c r="H238" i="34"/>
  <c r="G238" i="34"/>
  <c r="F238" i="34"/>
  <c r="H237" i="34"/>
  <c r="G237" i="34"/>
  <c r="F237" i="34"/>
  <c r="H236" i="34"/>
  <c r="G236" i="34"/>
  <c r="F236" i="34"/>
  <c r="H235" i="34"/>
  <c r="G235" i="34"/>
  <c r="F235" i="34"/>
  <c r="H234" i="34"/>
  <c r="G234" i="34"/>
  <c r="F234" i="34"/>
  <c r="H233" i="34"/>
  <c r="G233" i="34"/>
  <c r="F233" i="34"/>
  <c r="H232" i="34"/>
  <c r="G232" i="34"/>
  <c r="F232" i="34"/>
  <c r="H231" i="34"/>
  <c r="G231" i="34"/>
  <c r="F231" i="34"/>
  <c r="H230" i="34"/>
  <c r="G230" i="34"/>
  <c r="F230" i="34"/>
  <c r="H229" i="34"/>
  <c r="G229" i="34"/>
  <c r="F229" i="34"/>
  <c r="H228" i="34"/>
  <c r="G228" i="34"/>
  <c r="F228" i="34"/>
  <c r="H227" i="34"/>
  <c r="G227" i="34"/>
  <c r="F227" i="34"/>
  <c r="H226" i="34"/>
  <c r="G226" i="34"/>
  <c r="F226" i="34"/>
  <c r="H225" i="34"/>
  <c r="G225" i="34"/>
  <c r="F225" i="34"/>
  <c r="H224" i="34"/>
  <c r="G224" i="34"/>
  <c r="F224" i="34"/>
  <c r="H223" i="34"/>
  <c r="G223" i="34"/>
  <c r="F223" i="34"/>
  <c r="H222" i="34"/>
  <c r="G222" i="34"/>
  <c r="F222" i="34"/>
  <c r="H221" i="34"/>
  <c r="G221" i="34"/>
  <c r="F221" i="34"/>
  <c r="H220" i="34"/>
  <c r="G220" i="34"/>
  <c r="F220" i="34"/>
  <c r="H219" i="34"/>
  <c r="G219" i="34"/>
  <c r="F219" i="34"/>
  <c r="H218" i="34"/>
  <c r="G218" i="34"/>
  <c r="F218" i="34"/>
  <c r="H217" i="34"/>
  <c r="G217" i="34"/>
  <c r="F217" i="34"/>
  <c r="H216" i="34"/>
  <c r="G216" i="34"/>
  <c r="F216" i="34"/>
  <c r="H215" i="34"/>
  <c r="G215" i="34"/>
  <c r="F215" i="34"/>
  <c r="H214" i="34"/>
  <c r="G214" i="34"/>
  <c r="F214" i="34"/>
  <c r="H213" i="34"/>
  <c r="G213" i="34"/>
  <c r="F213" i="34"/>
  <c r="H212" i="34"/>
  <c r="G212" i="34"/>
  <c r="F212" i="34"/>
  <c r="H211" i="34"/>
  <c r="G211" i="34"/>
  <c r="F211" i="34"/>
  <c r="H210" i="34"/>
  <c r="G210" i="34"/>
  <c r="F210" i="34"/>
  <c r="H209" i="34"/>
  <c r="G209" i="34"/>
  <c r="F209" i="34"/>
  <c r="H208" i="34"/>
  <c r="G208" i="34"/>
  <c r="F208" i="34"/>
  <c r="H207" i="34"/>
  <c r="G207" i="34"/>
  <c r="F207" i="34"/>
  <c r="H206" i="34"/>
  <c r="G206" i="34"/>
  <c r="F206" i="34"/>
  <c r="H205" i="34"/>
  <c r="G205" i="34"/>
  <c r="F205" i="34"/>
  <c r="H204" i="34"/>
  <c r="G204" i="34"/>
  <c r="F204" i="34"/>
  <c r="H203" i="34"/>
  <c r="G203" i="34"/>
  <c r="F203" i="34"/>
  <c r="H202" i="34"/>
  <c r="G202" i="34"/>
  <c r="F202" i="34"/>
  <c r="H201" i="34"/>
  <c r="G201" i="34"/>
  <c r="F201" i="34"/>
  <c r="H200" i="34"/>
  <c r="G200" i="34"/>
  <c r="F200" i="34"/>
  <c r="H199" i="34"/>
  <c r="G199" i="34"/>
  <c r="F199" i="34"/>
  <c r="H198" i="34"/>
  <c r="G198" i="34"/>
  <c r="F198" i="34"/>
  <c r="H197" i="34"/>
  <c r="G197" i="34"/>
  <c r="F197" i="34"/>
  <c r="H196" i="34"/>
  <c r="G196" i="34"/>
  <c r="F196" i="34"/>
  <c r="H195" i="34"/>
  <c r="G195" i="34"/>
  <c r="F195" i="34"/>
  <c r="H194" i="34"/>
  <c r="G194" i="34"/>
  <c r="F194" i="34"/>
  <c r="H193" i="34"/>
  <c r="G193" i="34"/>
  <c r="F193" i="34"/>
  <c r="H192" i="34"/>
  <c r="G192" i="34"/>
  <c r="F192" i="34"/>
  <c r="H191" i="34"/>
  <c r="G191" i="34"/>
  <c r="F191" i="34"/>
  <c r="H190" i="34"/>
  <c r="G190" i="34"/>
  <c r="F190" i="34"/>
  <c r="H189" i="34"/>
  <c r="G189" i="34"/>
  <c r="F189" i="34"/>
  <c r="H188" i="34"/>
  <c r="G188" i="34"/>
  <c r="F188" i="34"/>
  <c r="H187" i="34"/>
  <c r="G187" i="34"/>
  <c r="F187" i="34"/>
  <c r="H186" i="34"/>
  <c r="G186" i="34"/>
  <c r="F186" i="34"/>
  <c r="H185" i="34"/>
  <c r="G185" i="34"/>
  <c r="F185" i="34"/>
  <c r="H184" i="34"/>
  <c r="G184" i="34"/>
  <c r="F184" i="34"/>
  <c r="H183" i="34"/>
  <c r="G183" i="34"/>
  <c r="F183" i="34"/>
  <c r="H182" i="34"/>
  <c r="G182" i="34"/>
  <c r="F182" i="34"/>
  <c r="H181" i="34"/>
  <c r="G181" i="34"/>
  <c r="F181" i="34"/>
  <c r="H180" i="34"/>
  <c r="G180" i="34"/>
  <c r="F180" i="34"/>
  <c r="H179" i="34"/>
  <c r="G179" i="34"/>
  <c r="F179" i="34"/>
  <c r="H178" i="34"/>
  <c r="G178" i="34"/>
  <c r="F178" i="34"/>
  <c r="H177" i="34"/>
  <c r="G177" i="34"/>
  <c r="F177" i="34"/>
  <c r="H176" i="34"/>
  <c r="G176" i="34"/>
  <c r="F176" i="34"/>
  <c r="H175" i="34"/>
  <c r="G175" i="34"/>
  <c r="F175" i="34"/>
  <c r="H174" i="34"/>
  <c r="G174" i="34"/>
  <c r="F174" i="34"/>
  <c r="H173" i="34"/>
  <c r="G173" i="34"/>
  <c r="F173" i="34"/>
  <c r="H172" i="34"/>
  <c r="G172" i="34"/>
  <c r="F172" i="34"/>
  <c r="H171" i="34"/>
  <c r="G171" i="34"/>
  <c r="F171" i="34"/>
  <c r="H170" i="34"/>
  <c r="G170" i="34"/>
  <c r="F170" i="34"/>
  <c r="H169" i="34"/>
  <c r="G169" i="34"/>
  <c r="F169" i="34"/>
  <c r="H168" i="34"/>
  <c r="G168" i="34"/>
  <c r="F168" i="34"/>
  <c r="H167" i="34"/>
  <c r="G167" i="34"/>
  <c r="F167" i="34"/>
  <c r="H166" i="34"/>
  <c r="G166" i="34"/>
  <c r="F166" i="34"/>
  <c r="H165" i="34"/>
  <c r="G165" i="34"/>
  <c r="F165" i="34"/>
  <c r="H164" i="34"/>
  <c r="G164" i="34"/>
  <c r="F164" i="34"/>
  <c r="H163" i="34"/>
  <c r="G163" i="34"/>
  <c r="F163" i="34"/>
  <c r="H162" i="34"/>
  <c r="G162" i="34"/>
  <c r="F162" i="34"/>
  <c r="H161" i="34"/>
  <c r="G161" i="34"/>
  <c r="F161" i="34"/>
  <c r="H160" i="34"/>
  <c r="G160" i="34"/>
  <c r="F160" i="34"/>
  <c r="H159" i="34"/>
  <c r="G159" i="34"/>
  <c r="F159" i="34"/>
  <c r="H158" i="34"/>
  <c r="G158" i="34"/>
  <c r="F158" i="34"/>
  <c r="H157" i="34"/>
  <c r="G157" i="34"/>
  <c r="F157" i="34"/>
  <c r="H156" i="34"/>
  <c r="G156" i="34"/>
  <c r="F156" i="34"/>
  <c r="H155" i="34"/>
  <c r="G155" i="34"/>
  <c r="F155" i="34"/>
  <c r="H154" i="34"/>
  <c r="G154" i="34"/>
  <c r="F154" i="34"/>
  <c r="H153" i="34"/>
  <c r="G153" i="34"/>
  <c r="F153" i="34"/>
  <c r="H152" i="34"/>
  <c r="G152" i="34"/>
  <c r="F152" i="34"/>
  <c r="H151" i="34"/>
  <c r="G151" i="34"/>
  <c r="F151" i="34"/>
  <c r="H150" i="34"/>
  <c r="G150" i="34"/>
  <c r="F150" i="34"/>
  <c r="H149" i="34"/>
  <c r="G149" i="34"/>
  <c r="F149" i="34"/>
  <c r="H148" i="34"/>
  <c r="G148" i="34"/>
  <c r="F148" i="34"/>
  <c r="H147" i="34"/>
  <c r="G147" i="34"/>
  <c r="F147" i="34"/>
  <c r="H146" i="34"/>
  <c r="G146" i="34"/>
  <c r="F146" i="34"/>
  <c r="H145" i="34"/>
  <c r="G145" i="34"/>
  <c r="F145" i="34"/>
  <c r="H144" i="34"/>
  <c r="G144" i="34"/>
  <c r="F144" i="34"/>
  <c r="H143" i="34"/>
  <c r="G143" i="34"/>
  <c r="F143" i="34"/>
  <c r="H142" i="34"/>
  <c r="G142" i="34"/>
  <c r="F142" i="34"/>
  <c r="H141" i="34"/>
  <c r="G141" i="34"/>
  <c r="F141" i="34"/>
  <c r="H140" i="34"/>
  <c r="G140" i="34"/>
  <c r="F140" i="34"/>
  <c r="H139" i="34"/>
  <c r="G139" i="34"/>
  <c r="F139" i="34"/>
  <c r="H138" i="34"/>
  <c r="G138" i="34"/>
  <c r="F138" i="34"/>
  <c r="H137" i="34"/>
  <c r="G137" i="34"/>
  <c r="F137" i="34"/>
  <c r="H136" i="34"/>
  <c r="G136" i="34"/>
  <c r="F136" i="34"/>
  <c r="H135" i="34"/>
  <c r="G135" i="34"/>
  <c r="F135" i="34"/>
  <c r="H134" i="34"/>
  <c r="G134" i="34"/>
  <c r="F134" i="34"/>
  <c r="H133" i="34"/>
  <c r="G133" i="34"/>
  <c r="F133" i="34"/>
  <c r="H132" i="34"/>
  <c r="G132" i="34"/>
  <c r="F132" i="34"/>
  <c r="H131" i="34"/>
  <c r="G131" i="34"/>
  <c r="F131" i="34"/>
  <c r="H130" i="34"/>
  <c r="G130" i="34"/>
  <c r="F130" i="34"/>
  <c r="H129" i="34"/>
  <c r="G129" i="34"/>
  <c r="F129" i="34"/>
  <c r="H128" i="34"/>
  <c r="G128" i="34"/>
  <c r="F128" i="34"/>
  <c r="H127" i="34"/>
  <c r="G127" i="34"/>
  <c r="F127" i="34"/>
  <c r="H126" i="34"/>
  <c r="G126" i="34"/>
  <c r="F126" i="34"/>
  <c r="H125" i="34"/>
  <c r="G125" i="34"/>
  <c r="F125" i="34"/>
  <c r="H124" i="34"/>
  <c r="G124" i="34"/>
  <c r="F124" i="34"/>
  <c r="H123" i="34"/>
  <c r="G123" i="34"/>
  <c r="F123" i="34"/>
  <c r="H122" i="34"/>
  <c r="G122" i="34"/>
  <c r="F122" i="34"/>
  <c r="H121" i="34"/>
  <c r="G121" i="34"/>
  <c r="F121" i="34"/>
  <c r="H120" i="34"/>
  <c r="G120" i="34"/>
  <c r="F120" i="34"/>
  <c r="H119" i="34"/>
  <c r="G119" i="34"/>
  <c r="F119" i="34"/>
  <c r="H118" i="34"/>
  <c r="G118" i="34"/>
  <c r="F118" i="34"/>
  <c r="H117" i="34"/>
  <c r="G117" i="34"/>
  <c r="F117" i="34"/>
  <c r="H116" i="34"/>
  <c r="G116" i="34"/>
  <c r="F116" i="34"/>
  <c r="H115" i="34"/>
  <c r="G115" i="34"/>
  <c r="F115" i="34"/>
  <c r="H114" i="34"/>
  <c r="G114" i="34"/>
  <c r="F114" i="34"/>
  <c r="H113" i="34"/>
  <c r="G113" i="34"/>
  <c r="F113" i="34"/>
  <c r="H112" i="34"/>
  <c r="G112" i="34"/>
  <c r="F112" i="34"/>
  <c r="H111" i="34"/>
  <c r="G111" i="34"/>
  <c r="F111" i="34"/>
  <c r="H110" i="34"/>
  <c r="G110" i="34"/>
  <c r="F110" i="34"/>
  <c r="H109" i="34"/>
  <c r="G109" i="34"/>
  <c r="F109" i="34"/>
  <c r="H108" i="34"/>
  <c r="G108" i="34"/>
  <c r="F108" i="34"/>
  <c r="H107" i="34"/>
  <c r="G107" i="34"/>
  <c r="F107" i="34"/>
  <c r="H106" i="34"/>
  <c r="G106" i="34"/>
  <c r="F106" i="34"/>
  <c r="H105" i="34"/>
  <c r="G105" i="34"/>
  <c r="F105" i="34"/>
  <c r="H104" i="34"/>
  <c r="G104" i="34"/>
  <c r="F104" i="34"/>
  <c r="H103" i="34"/>
  <c r="G103" i="34"/>
  <c r="F103" i="34"/>
  <c r="H102" i="34"/>
  <c r="G102" i="34"/>
  <c r="F102" i="34"/>
  <c r="H101" i="34"/>
  <c r="G101" i="34"/>
  <c r="F101" i="34"/>
  <c r="H100" i="34"/>
  <c r="G100" i="34"/>
  <c r="F100" i="34"/>
  <c r="H99" i="34"/>
  <c r="G99" i="34"/>
  <c r="F99" i="34"/>
  <c r="H98" i="34"/>
  <c r="G98" i="34"/>
  <c r="F98" i="34"/>
  <c r="H97" i="34"/>
  <c r="G97" i="34"/>
  <c r="F97" i="34"/>
  <c r="H96" i="34"/>
  <c r="G96" i="34"/>
  <c r="F96" i="34"/>
  <c r="H95" i="34"/>
  <c r="G95" i="34"/>
  <c r="F95" i="34"/>
  <c r="H94" i="34"/>
  <c r="G94" i="34"/>
  <c r="F94" i="34"/>
  <c r="H93" i="34"/>
  <c r="G93" i="34"/>
  <c r="F93" i="34"/>
  <c r="H92" i="34"/>
  <c r="G92" i="34"/>
  <c r="F92" i="34"/>
  <c r="H91" i="34"/>
  <c r="G91" i="34"/>
  <c r="F91" i="34"/>
  <c r="H90" i="34"/>
  <c r="G90" i="34"/>
  <c r="F90" i="34"/>
  <c r="H89" i="34"/>
  <c r="G89" i="34"/>
  <c r="F89" i="34"/>
  <c r="H88" i="34"/>
  <c r="G88" i="34"/>
  <c r="F88" i="34"/>
  <c r="H87" i="34"/>
  <c r="G87" i="34"/>
  <c r="F87" i="34"/>
  <c r="H86" i="34"/>
  <c r="G86" i="34"/>
  <c r="F86" i="34"/>
  <c r="H85" i="34"/>
  <c r="G85" i="34"/>
  <c r="F85" i="34"/>
  <c r="H84" i="34"/>
  <c r="G84" i="34"/>
  <c r="F84" i="34"/>
  <c r="H83" i="34"/>
  <c r="G83" i="34"/>
  <c r="F83" i="34"/>
  <c r="H82" i="34"/>
  <c r="G82" i="34"/>
  <c r="F82" i="34"/>
  <c r="H81" i="34"/>
  <c r="G81" i="34"/>
  <c r="F81" i="34"/>
  <c r="H80" i="34"/>
  <c r="G80" i="34"/>
  <c r="F80" i="34"/>
  <c r="H79" i="34"/>
  <c r="G79" i="34"/>
  <c r="F79" i="34"/>
  <c r="H78" i="34"/>
  <c r="G78" i="34"/>
  <c r="F78" i="34"/>
  <c r="H77" i="34"/>
  <c r="G77" i="34"/>
  <c r="F77" i="34"/>
  <c r="H76" i="34"/>
  <c r="G76" i="34"/>
  <c r="F76" i="34"/>
  <c r="H75" i="34"/>
  <c r="G75" i="34"/>
  <c r="F75" i="34"/>
  <c r="H74" i="34"/>
  <c r="G74" i="34"/>
  <c r="F74" i="34"/>
  <c r="H73" i="34"/>
  <c r="G73" i="34"/>
  <c r="F73" i="34"/>
  <c r="H72" i="34"/>
  <c r="G72" i="34"/>
  <c r="F72" i="34"/>
  <c r="H71" i="34"/>
  <c r="G71" i="34"/>
  <c r="F71" i="34"/>
  <c r="H70" i="34"/>
  <c r="G70" i="34"/>
  <c r="F70" i="34"/>
  <c r="H69" i="34"/>
  <c r="G69" i="34"/>
  <c r="F69" i="34"/>
  <c r="H68" i="34"/>
  <c r="G68" i="34"/>
  <c r="F68" i="34"/>
  <c r="H67" i="34"/>
  <c r="G67" i="34"/>
  <c r="F67" i="34"/>
  <c r="H66" i="34"/>
  <c r="G66" i="34"/>
  <c r="F66" i="34"/>
  <c r="H65" i="34"/>
  <c r="G65" i="34"/>
  <c r="F65" i="34"/>
  <c r="H64" i="34"/>
  <c r="G64" i="34"/>
  <c r="F64" i="34"/>
  <c r="H63" i="34"/>
  <c r="G63" i="34"/>
  <c r="F63" i="34"/>
  <c r="H62" i="34"/>
  <c r="G62" i="34"/>
  <c r="F62" i="34"/>
  <c r="H61" i="34"/>
  <c r="G61" i="34"/>
  <c r="F61" i="34"/>
  <c r="H60" i="34"/>
  <c r="G60" i="34"/>
  <c r="F60" i="34"/>
  <c r="H59" i="34"/>
  <c r="G59" i="34"/>
  <c r="F59" i="34"/>
  <c r="H58" i="34"/>
  <c r="G58" i="34"/>
  <c r="F58" i="34"/>
  <c r="H57" i="34"/>
  <c r="G57" i="34"/>
  <c r="F57" i="34"/>
  <c r="H56" i="34"/>
  <c r="G56" i="34"/>
  <c r="F56" i="34"/>
  <c r="H55" i="34"/>
  <c r="G55" i="34"/>
  <c r="F55" i="34"/>
  <c r="H54" i="34"/>
  <c r="G54" i="34"/>
  <c r="F54" i="34"/>
  <c r="H53" i="34"/>
  <c r="G53" i="34"/>
  <c r="F53" i="34"/>
  <c r="H52" i="34"/>
  <c r="G52" i="34"/>
  <c r="F52" i="34"/>
  <c r="H51" i="34"/>
  <c r="G51" i="34"/>
  <c r="F51" i="34"/>
  <c r="H50" i="34"/>
  <c r="G50" i="34"/>
  <c r="F50" i="34"/>
  <c r="H49" i="34"/>
  <c r="G49" i="34"/>
  <c r="F49" i="34"/>
  <c r="H48" i="34"/>
  <c r="G48" i="34"/>
  <c r="F48" i="34"/>
  <c r="H47" i="34"/>
  <c r="G47" i="34"/>
  <c r="F47" i="34"/>
  <c r="H46" i="34"/>
  <c r="G46" i="34"/>
  <c r="F46" i="34"/>
  <c r="H45" i="34"/>
  <c r="G45" i="34"/>
  <c r="F45" i="34"/>
  <c r="H44" i="34"/>
  <c r="G44" i="34"/>
  <c r="F44" i="34"/>
  <c r="H43" i="34"/>
  <c r="G43" i="34"/>
  <c r="F43" i="34"/>
  <c r="H42" i="34"/>
  <c r="G42" i="34"/>
  <c r="F42" i="34"/>
  <c r="H41" i="34"/>
  <c r="G41" i="34"/>
  <c r="F41" i="34"/>
  <c r="H40" i="34"/>
  <c r="G40" i="34"/>
  <c r="F40" i="34"/>
  <c r="H39" i="34"/>
  <c r="G39" i="34"/>
  <c r="F39" i="34"/>
  <c r="H38" i="34"/>
  <c r="G38" i="34"/>
  <c r="F38" i="34"/>
  <c r="H37" i="34"/>
  <c r="G37" i="34"/>
  <c r="F37" i="34"/>
  <c r="H36" i="34"/>
  <c r="G36" i="34"/>
  <c r="F36" i="34"/>
  <c r="H35" i="34"/>
  <c r="G35" i="34"/>
  <c r="F35" i="34"/>
  <c r="H34" i="34"/>
  <c r="G34" i="34"/>
  <c r="F34" i="34"/>
  <c r="H33" i="34"/>
  <c r="G33" i="34"/>
  <c r="F33" i="34"/>
  <c r="H32" i="34"/>
  <c r="G32" i="34"/>
  <c r="F32" i="34"/>
  <c r="H31" i="34"/>
  <c r="G31" i="34"/>
  <c r="F31" i="34"/>
  <c r="H30" i="34"/>
  <c r="G30" i="34"/>
  <c r="F30" i="34"/>
  <c r="H29" i="34"/>
  <c r="G29" i="34"/>
  <c r="F29" i="34"/>
  <c r="H28" i="34"/>
  <c r="G28" i="34"/>
  <c r="F28" i="34"/>
  <c r="H27" i="34"/>
  <c r="G27" i="34"/>
  <c r="F27" i="34"/>
  <c r="H26" i="34"/>
  <c r="G26" i="34"/>
  <c r="F26" i="34"/>
  <c r="H25" i="34"/>
  <c r="G25" i="34"/>
  <c r="F25" i="34"/>
  <c r="H24" i="34"/>
  <c r="G24" i="34"/>
  <c r="F24" i="34"/>
  <c r="H23" i="34"/>
  <c r="G23" i="34"/>
  <c r="F23" i="34"/>
  <c r="H22" i="34"/>
  <c r="G22" i="34"/>
  <c r="F22" i="34"/>
  <c r="H21" i="34"/>
  <c r="G21" i="34"/>
  <c r="F21" i="34"/>
  <c r="H20" i="34"/>
  <c r="G20" i="34"/>
  <c r="F20" i="34"/>
  <c r="H19" i="34"/>
  <c r="G19" i="34"/>
  <c r="F19" i="34"/>
  <c r="H18" i="34"/>
  <c r="G18" i="34"/>
  <c r="F18" i="34"/>
  <c r="H17" i="34"/>
  <c r="G17" i="34"/>
  <c r="F17" i="34"/>
  <c r="H16" i="34"/>
  <c r="G16" i="34"/>
  <c r="F16" i="34"/>
  <c r="H15" i="34"/>
  <c r="G15" i="34"/>
  <c r="F15" i="34"/>
  <c r="H14" i="34"/>
  <c r="G14" i="34"/>
  <c r="F14" i="34"/>
  <c r="H13" i="34"/>
  <c r="G13" i="34"/>
  <c r="F13" i="34"/>
  <c r="H12" i="34"/>
  <c r="G12" i="34"/>
  <c r="F12" i="34"/>
  <c r="H11" i="34"/>
  <c r="G11" i="34"/>
  <c r="F11" i="34"/>
  <c r="H10" i="34"/>
  <c r="G10" i="34"/>
  <c r="F10" i="34"/>
  <c r="G9" i="34"/>
  <c r="F9" i="34"/>
  <c r="F9" i="31"/>
  <c r="F314" i="31" s="1"/>
  <c r="E9" i="31"/>
  <c r="E314" i="31" s="1"/>
  <c r="F306" i="31"/>
  <c r="F611" i="31" s="1"/>
  <c r="E306" i="31"/>
  <c r="E611" i="31" s="1"/>
  <c r="F305" i="31"/>
  <c r="F610" i="31" s="1"/>
  <c r="E305" i="31"/>
  <c r="E610" i="31" s="1"/>
  <c r="F304" i="31"/>
  <c r="F609" i="31" s="1"/>
  <c r="E304" i="31"/>
  <c r="E609" i="31" s="1"/>
  <c r="F303" i="31"/>
  <c r="F608" i="31" s="1"/>
  <c r="E303" i="31"/>
  <c r="E608" i="31" s="1"/>
  <c r="F302" i="31"/>
  <c r="F607" i="31" s="1"/>
  <c r="E302" i="31"/>
  <c r="E607" i="31" s="1"/>
  <c r="F301" i="31"/>
  <c r="F606" i="31" s="1"/>
  <c r="E301" i="31"/>
  <c r="E606" i="31" s="1"/>
  <c r="F300" i="31"/>
  <c r="F605" i="31" s="1"/>
  <c r="E300" i="31"/>
  <c r="E605" i="31" s="1"/>
  <c r="F299" i="31"/>
  <c r="F604" i="31" s="1"/>
  <c r="E299" i="31"/>
  <c r="E604" i="31" s="1"/>
  <c r="F298" i="31"/>
  <c r="F603" i="31" s="1"/>
  <c r="E298" i="31"/>
  <c r="E603" i="31" s="1"/>
  <c r="F297" i="31"/>
  <c r="F602" i="31" s="1"/>
  <c r="E297" i="31"/>
  <c r="E602" i="31" s="1"/>
  <c r="F296" i="31"/>
  <c r="F601" i="31" s="1"/>
  <c r="E296" i="31"/>
  <c r="E601" i="31" s="1"/>
  <c r="F295" i="31"/>
  <c r="F600" i="31" s="1"/>
  <c r="E295" i="31"/>
  <c r="E600" i="31" s="1"/>
  <c r="F294" i="31"/>
  <c r="F599" i="31" s="1"/>
  <c r="E294" i="31"/>
  <c r="E599" i="31" s="1"/>
  <c r="F293" i="31"/>
  <c r="F598" i="31" s="1"/>
  <c r="E293" i="31"/>
  <c r="E598" i="31" s="1"/>
  <c r="F292" i="31"/>
  <c r="F597" i="31" s="1"/>
  <c r="E292" i="31"/>
  <c r="E597" i="31" s="1"/>
  <c r="F291" i="31"/>
  <c r="F596" i="31" s="1"/>
  <c r="E291" i="31"/>
  <c r="E596" i="31" s="1"/>
  <c r="F290" i="31"/>
  <c r="F595" i="31" s="1"/>
  <c r="E290" i="31"/>
  <c r="E595" i="31" s="1"/>
  <c r="F289" i="31"/>
  <c r="F594" i="31" s="1"/>
  <c r="E289" i="31"/>
  <c r="E594" i="31" s="1"/>
  <c r="F288" i="31"/>
  <c r="F593" i="31" s="1"/>
  <c r="E288" i="31"/>
  <c r="E593" i="31" s="1"/>
  <c r="F287" i="31"/>
  <c r="F592" i="31" s="1"/>
  <c r="E287" i="31"/>
  <c r="E592" i="31" s="1"/>
  <c r="F286" i="31"/>
  <c r="F591" i="31" s="1"/>
  <c r="E286" i="31"/>
  <c r="E591" i="31" s="1"/>
  <c r="F285" i="31"/>
  <c r="F590" i="31" s="1"/>
  <c r="E285" i="31"/>
  <c r="E590" i="31" s="1"/>
  <c r="F284" i="31"/>
  <c r="F589" i="31" s="1"/>
  <c r="E284" i="31"/>
  <c r="E589" i="31" s="1"/>
  <c r="F283" i="31"/>
  <c r="F588" i="31" s="1"/>
  <c r="E283" i="31"/>
  <c r="E588" i="31" s="1"/>
  <c r="F282" i="31"/>
  <c r="F587" i="31" s="1"/>
  <c r="E282" i="31"/>
  <c r="E587" i="31" s="1"/>
  <c r="F281" i="31"/>
  <c r="F586" i="31" s="1"/>
  <c r="E281" i="31"/>
  <c r="E586" i="31" s="1"/>
  <c r="F280" i="31"/>
  <c r="F585" i="31" s="1"/>
  <c r="E280" i="31"/>
  <c r="E585" i="31" s="1"/>
  <c r="F279" i="31"/>
  <c r="F584" i="31" s="1"/>
  <c r="E279" i="31"/>
  <c r="E584" i="31" s="1"/>
  <c r="F278" i="31"/>
  <c r="F583" i="31" s="1"/>
  <c r="E278" i="31"/>
  <c r="E583" i="31" s="1"/>
  <c r="F277" i="31"/>
  <c r="F582" i="31" s="1"/>
  <c r="E277" i="31"/>
  <c r="E582" i="31" s="1"/>
  <c r="F276" i="31"/>
  <c r="F581" i="31" s="1"/>
  <c r="E276" i="31"/>
  <c r="E581" i="31" s="1"/>
  <c r="F275" i="31"/>
  <c r="F580" i="31" s="1"/>
  <c r="E275" i="31"/>
  <c r="E580" i="31" s="1"/>
  <c r="F274" i="31"/>
  <c r="F579" i="31" s="1"/>
  <c r="E274" i="31"/>
  <c r="E579" i="31" s="1"/>
  <c r="F273" i="31"/>
  <c r="F578" i="31" s="1"/>
  <c r="E273" i="31"/>
  <c r="E578" i="31" s="1"/>
  <c r="F272" i="31"/>
  <c r="F577" i="31" s="1"/>
  <c r="E272" i="31"/>
  <c r="E577" i="31" s="1"/>
  <c r="F271" i="31"/>
  <c r="F576" i="31" s="1"/>
  <c r="E271" i="31"/>
  <c r="E576" i="31" s="1"/>
  <c r="F270" i="31"/>
  <c r="F575" i="31" s="1"/>
  <c r="E270" i="31"/>
  <c r="E575" i="31" s="1"/>
  <c r="F269" i="31"/>
  <c r="F574" i="31" s="1"/>
  <c r="E269" i="31"/>
  <c r="E574" i="31" s="1"/>
  <c r="F268" i="31"/>
  <c r="F573" i="31" s="1"/>
  <c r="E268" i="31"/>
  <c r="E573" i="31" s="1"/>
  <c r="F267" i="31"/>
  <c r="F572" i="31" s="1"/>
  <c r="E267" i="31"/>
  <c r="E572" i="31" s="1"/>
  <c r="F266" i="31"/>
  <c r="F571" i="31" s="1"/>
  <c r="E266" i="31"/>
  <c r="E571" i="31" s="1"/>
  <c r="F265" i="31"/>
  <c r="F570" i="31" s="1"/>
  <c r="E265" i="31"/>
  <c r="E570" i="31" s="1"/>
  <c r="F264" i="31"/>
  <c r="F569" i="31" s="1"/>
  <c r="E264" i="31"/>
  <c r="E569" i="31" s="1"/>
  <c r="F263" i="31"/>
  <c r="F568" i="31" s="1"/>
  <c r="E263" i="31"/>
  <c r="E568" i="31" s="1"/>
  <c r="F262" i="31"/>
  <c r="F567" i="31" s="1"/>
  <c r="E262" i="31"/>
  <c r="E567" i="31" s="1"/>
  <c r="F261" i="31"/>
  <c r="F566" i="31" s="1"/>
  <c r="E261" i="31"/>
  <c r="E566" i="31" s="1"/>
  <c r="F260" i="31"/>
  <c r="F565" i="31" s="1"/>
  <c r="E260" i="31"/>
  <c r="E565" i="31" s="1"/>
  <c r="F259" i="31"/>
  <c r="F564" i="31" s="1"/>
  <c r="E259" i="31"/>
  <c r="E564" i="31" s="1"/>
  <c r="F258" i="31"/>
  <c r="F563" i="31" s="1"/>
  <c r="E258" i="31"/>
  <c r="E563" i="31" s="1"/>
  <c r="F257" i="31"/>
  <c r="F562" i="31" s="1"/>
  <c r="E257" i="31"/>
  <c r="E562" i="31" s="1"/>
  <c r="F256" i="31"/>
  <c r="F561" i="31" s="1"/>
  <c r="E256" i="31"/>
  <c r="E561" i="31" s="1"/>
  <c r="F255" i="31"/>
  <c r="F560" i="31" s="1"/>
  <c r="E255" i="31"/>
  <c r="E560" i="31" s="1"/>
  <c r="F254" i="31"/>
  <c r="F559" i="31" s="1"/>
  <c r="E254" i="31"/>
  <c r="E559" i="31" s="1"/>
  <c r="F253" i="31"/>
  <c r="F558" i="31" s="1"/>
  <c r="E253" i="31"/>
  <c r="E558" i="31" s="1"/>
  <c r="F252" i="31"/>
  <c r="F557" i="31" s="1"/>
  <c r="E252" i="31"/>
  <c r="E557" i="31" s="1"/>
  <c r="F251" i="31"/>
  <c r="F556" i="31" s="1"/>
  <c r="E251" i="31"/>
  <c r="E556" i="31" s="1"/>
  <c r="F250" i="31"/>
  <c r="F555" i="31" s="1"/>
  <c r="E250" i="31"/>
  <c r="E555" i="31" s="1"/>
  <c r="F249" i="31"/>
  <c r="F554" i="31" s="1"/>
  <c r="E249" i="31"/>
  <c r="E554" i="31" s="1"/>
  <c r="F248" i="31"/>
  <c r="F553" i="31" s="1"/>
  <c r="E248" i="31"/>
  <c r="E553" i="31" s="1"/>
  <c r="F247" i="31"/>
  <c r="F552" i="31" s="1"/>
  <c r="E247" i="31"/>
  <c r="E552" i="31" s="1"/>
  <c r="F246" i="31"/>
  <c r="F551" i="31" s="1"/>
  <c r="E246" i="31"/>
  <c r="E551" i="31" s="1"/>
  <c r="F245" i="31"/>
  <c r="F550" i="31" s="1"/>
  <c r="E245" i="31"/>
  <c r="E550" i="31" s="1"/>
  <c r="F244" i="31"/>
  <c r="F549" i="31" s="1"/>
  <c r="E244" i="31"/>
  <c r="E549" i="31" s="1"/>
  <c r="F243" i="31"/>
  <c r="F548" i="31" s="1"/>
  <c r="E243" i="31"/>
  <c r="E548" i="31" s="1"/>
  <c r="F242" i="31"/>
  <c r="F547" i="31" s="1"/>
  <c r="E242" i="31"/>
  <c r="E547" i="31" s="1"/>
  <c r="F241" i="31"/>
  <c r="F546" i="31" s="1"/>
  <c r="E241" i="31"/>
  <c r="E546" i="31" s="1"/>
  <c r="F240" i="31"/>
  <c r="F545" i="31" s="1"/>
  <c r="E240" i="31"/>
  <c r="E545" i="31" s="1"/>
  <c r="F239" i="31"/>
  <c r="F544" i="31" s="1"/>
  <c r="E239" i="31"/>
  <c r="E544" i="31" s="1"/>
  <c r="F238" i="31"/>
  <c r="F543" i="31" s="1"/>
  <c r="E238" i="31"/>
  <c r="E543" i="31" s="1"/>
  <c r="F237" i="31"/>
  <c r="F542" i="31" s="1"/>
  <c r="E237" i="31"/>
  <c r="E542" i="31" s="1"/>
  <c r="F236" i="31"/>
  <c r="F541" i="31" s="1"/>
  <c r="E236" i="31"/>
  <c r="E541" i="31" s="1"/>
  <c r="F235" i="31"/>
  <c r="F540" i="31" s="1"/>
  <c r="E235" i="31"/>
  <c r="E540" i="31" s="1"/>
  <c r="F234" i="31"/>
  <c r="F539" i="31" s="1"/>
  <c r="E234" i="31"/>
  <c r="E539" i="31" s="1"/>
  <c r="F233" i="31"/>
  <c r="F538" i="31" s="1"/>
  <c r="E233" i="31"/>
  <c r="E538" i="31" s="1"/>
  <c r="F232" i="31"/>
  <c r="F537" i="31" s="1"/>
  <c r="E232" i="31"/>
  <c r="E537" i="31" s="1"/>
  <c r="F231" i="31"/>
  <c r="F536" i="31" s="1"/>
  <c r="E231" i="31"/>
  <c r="E536" i="31" s="1"/>
  <c r="F230" i="31"/>
  <c r="F535" i="31" s="1"/>
  <c r="E230" i="31"/>
  <c r="E535" i="31" s="1"/>
  <c r="F229" i="31"/>
  <c r="F534" i="31" s="1"/>
  <c r="E229" i="31"/>
  <c r="E534" i="31" s="1"/>
  <c r="F228" i="31"/>
  <c r="F533" i="31" s="1"/>
  <c r="E228" i="31"/>
  <c r="E533" i="31" s="1"/>
  <c r="F227" i="31"/>
  <c r="F532" i="31" s="1"/>
  <c r="E227" i="31"/>
  <c r="E532" i="31" s="1"/>
  <c r="F226" i="31"/>
  <c r="F531" i="31" s="1"/>
  <c r="E226" i="31"/>
  <c r="E531" i="31" s="1"/>
  <c r="F225" i="31"/>
  <c r="F530" i="31" s="1"/>
  <c r="E225" i="31"/>
  <c r="E530" i="31" s="1"/>
  <c r="F224" i="31"/>
  <c r="F529" i="31" s="1"/>
  <c r="E224" i="31"/>
  <c r="E529" i="31" s="1"/>
  <c r="F223" i="31"/>
  <c r="F528" i="31" s="1"/>
  <c r="E223" i="31"/>
  <c r="E528" i="31" s="1"/>
  <c r="F222" i="31"/>
  <c r="F527" i="31" s="1"/>
  <c r="E222" i="31"/>
  <c r="E527" i="31" s="1"/>
  <c r="F221" i="31"/>
  <c r="F526" i="31" s="1"/>
  <c r="E221" i="31"/>
  <c r="E526" i="31" s="1"/>
  <c r="F220" i="31"/>
  <c r="F525" i="31" s="1"/>
  <c r="E220" i="31"/>
  <c r="E525" i="31" s="1"/>
  <c r="F219" i="31"/>
  <c r="F524" i="31" s="1"/>
  <c r="E219" i="31"/>
  <c r="E524" i="31" s="1"/>
  <c r="F218" i="31"/>
  <c r="F523" i="31" s="1"/>
  <c r="E218" i="31"/>
  <c r="E523" i="31" s="1"/>
  <c r="F217" i="31"/>
  <c r="F522" i="31" s="1"/>
  <c r="E217" i="31"/>
  <c r="E522" i="31" s="1"/>
  <c r="F216" i="31"/>
  <c r="F521" i="31" s="1"/>
  <c r="E216" i="31"/>
  <c r="E521" i="31" s="1"/>
  <c r="F215" i="31"/>
  <c r="F520" i="31" s="1"/>
  <c r="E215" i="31"/>
  <c r="E520" i="31" s="1"/>
  <c r="F214" i="31"/>
  <c r="F519" i="31" s="1"/>
  <c r="E214" i="31"/>
  <c r="E519" i="31" s="1"/>
  <c r="F213" i="31"/>
  <c r="F518" i="31" s="1"/>
  <c r="E213" i="31"/>
  <c r="E518" i="31" s="1"/>
  <c r="F212" i="31"/>
  <c r="F517" i="31" s="1"/>
  <c r="E212" i="31"/>
  <c r="E517" i="31" s="1"/>
  <c r="F211" i="31"/>
  <c r="F516" i="31" s="1"/>
  <c r="E211" i="31"/>
  <c r="E516" i="31" s="1"/>
  <c r="F210" i="31"/>
  <c r="F515" i="31" s="1"/>
  <c r="E210" i="31"/>
  <c r="E515" i="31" s="1"/>
  <c r="F209" i="31"/>
  <c r="F514" i="31" s="1"/>
  <c r="E209" i="31"/>
  <c r="E514" i="31" s="1"/>
  <c r="F208" i="31"/>
  <c r="F513" i="31" s="1"/>
  <c r="E208" i="31"/>
  <c r="E513" i="31" s="1"/>
  <c r="F207" i="31"/>
  <c r="F512" i="31" s="1"/>
  <c r="E207" i="31"/>
  <c r="E512" i="31" s="1"/>
  <c r="F206" i="31"/>
  <c r="F511" i="31" s="1"/>
  <c r="E206" i="31"/>
  <c r="E511" i="31" s="1"/>
  <c r="F205" i="31"/>
  <c r="F510" i="31" s="1"/>
  <c r="E205" i="31"/>
  <c r="E510" i="31" s="1"/>
  <c r="F204" i="31"/>
  <c r="F509" i="31" s="1"/>
  <c r="E204" i="31"/>
  <c r="E509" i="31" s="1"/>
  <c r="F203" i="31"/>
  <c r="F508" i="31" s="1"/>
  <c r="E203" i="31"/>
  <c r="E508" i="31" s="1"/>
  <c r="F202" i="31"/>
  <c r="F507" i="31" s="1"/>
  <c r="E202" i="31"/>
  <c r="E507" i="31" s="1"/>
  <c r="F201" i="31"/>
  <c r="F506" i="31" s="1"/>
  <c r="E201" i="31"/>
  <c r="E506" i="31" s="1"/>
  <c r="F200" i="31"/>
  <c r="F505" i="31" s="1"/>
  <c r="E200" i="31"/>
  <c r="E505" i="31" s="1"/>
  <c r="F199" i="31"/>
  <c r="F504" i="31" s="1"/>
  <c r="E199" i="31"/>
  <c r="E504" i="31" s="1"/>
  <c r="F198" i="31"/>
  <c r="F503" i="31" s="1"/>
  <c r="E198" i="31"/>
  <c r="E503" i="31" s="1"/>
  <c r="F197" i="31"/>
  <c r="F502" i="31" s="1"/>
  <c r="E197" i="31"/>
  <c r="E502" i="31" s="1"/>
  <c r="F196" i="31"/>
  <c r="F501" i="31" s="1"/>
  <c r="E196" i="31"/>
  <c r="E501" i="31" s="1"/>
  <c r="F195" i="31"/>
  <c r="F500" i="31" s="1"/>
  <c r="E195" i="31"/>
  <c r="E500" i="31" s="1"/>
  <c r="F194" i="31"/>
  <c r="F499" i="31" s="1"/>
  <c r="E194" i="31"/>
  <c r="E499" i="31" s="1"/>
  <c r="F193" i="31"/>
  <c r="F498" i="31" s="1"/>
  <c r="E193" i="31"/>
  <c r="E498" i="31" s="1"/>
  <c r="F192" i="31"/>
  <c r="F497" i="31" s="1"/>
  <c r="E192" i="31"/>
  <c r="E497" i="31" s="1"/>
  <c r="F191" i="31"/>
  <c r="F496" i="31" s="1"/>
  <c r="E191" i="31"/>
  <c r="E496" i="31" s="1"/>
  <c r="F190" i="31"/>
  <c r="F495" i="31" s="1"/>
  <c r="E190" i="31"/>
  <c r="E495" i="31" s="1"/>
  <c r="F189" i="31"/>
  <c r="F494" i="31" s="1"/>
  <c r="E189" i="31"/>
  <c r="E494" i="31" s="1"/>
  <c r="F188" i="31"/>
  <c r="F493" i="31" s="1"/>
  <c r="E188" i="31"/>
  <c r="E493" i="31" s="1"/>
  <c r="F187" i="31"/>
  <c r="F492" i="31" s="1"/>
  <c r="E187" i="31"/>
  <c r="E492" i="31" s="1"/>
  <c r="F186" i="31"/>
  <c r="F491" i="31" s="1"/>
  <c r="E186" i="31"/>
  <c r="E491" i="31" s="1"/>
  <c r="F185" i="31"/>
  <c r="F490" i="31" s="1"/>
  <c r="E185" i="31"/>
  <c r="E490" i="31" s="1"/>
  <c r="F184" i="31"/>
  <c r="F489" i="31" s="1"/>
  <c r="E184" i="31"/>
  <c r="E489" i="31" s="1"/>
  <c r="F183" i="31"/>
  <c r="F488" i="31" s="1"/>
  <c r="E183" i="31"/>
  <c r="E488" i="31" s="1"/>
  <c r="F182" i="31"/>
  <c r="F487" i="31" s="1"/>
  <c r="E182" i="31"/>
  <c r="E487" i="31" s="1"/>
  <c r="F181" i="31"/>
  <c r="F486" i="31" s="1"/>
  <c r="E181" i="31"/>
  <c r="E486" i="31" s="1"/>
  <c r="F180" i="31"/>
  <c r="F485" i="31" s="1"/>
  <c r="E180" i="31"/>
  <c r="E485" i="31" s="1"/>
  <c r="F179" i="31"/>
  <c r="F484" i="31" s="1"/>
  <c r="E179" i="31"/>
  <c r="E484" i="31" s="1"/>
  <c r="F178" i="31"/>
  <c r="F483" i="31" s="1"/>
  <c r="E178" i="31"/>
  <c r="E483" i="31" s="1"/>
  <c r="F177" i="31"/>
  <c r="F482" i="31" s="1"/>
  <c r="E177" i="31"/>
  <c r="E482" i="31" s="1"/>
  <c r="F176" i="31"/>
  <c r="F481" i="31" s="1"/>
  <c r="E176" i="31"/>
  <c r="E481" i="31" s="1"/>
  <c r="F175" i="31"/>
  <c r="F480" i="31" s="1"/>
  <c r="E175" i="31"/>
  <c r="E480" i="31" s="1"/>
  <c r="F174" i="31"/>
  <c r="F479" i="31" s="1"/>
  <c r="E174" i="31"/>
  <c r="E479" i="31" s="1"/>
  <c r="F173" i="31"/>
  <c r="F478" i="31" s="1"/>
  <c r="E173" i="31"/>
  <c r="E478" i="31" s="1"/>
  <c r="F172" i="31"/>
  <c r="F477" i="31" s="1"/>
  <c r="E172" i="31"/>
  <c r="E477" i="31" s="1"/>
  <c r="F171" i="31"/>
  <c r="F476" i="31" s="1"/>
  <c r="E171" i="31"/>
  <c r="E476" i="31" s="1"/>
  <c r="F170" i="31"/>
  <c r="F475" i="31" s="1"/>
  <c r="E170" i="31"/>
  <c r="E475" i="31" s="1"/>
  <c r="F169" i="31"/>
  <c r="F474" i="31" s="1"/>
  <c r="E169" i="31"/>
  <c r="E474" i="31" s="1"/>
  <c r="F168" i="31"/>
  <c r="F473" i="31" s="1"/>
  <c r="E168" i="31"/>
  <c r="E473" i="31" s="1"/>
  <c r="F167" i="31"/>
  <c r="F472" i="31" s="1"/>
  <c r="E167" i="31"/>
  <c r="E472" i="31" s="1"/>
  <c r="F166" i="31"/>
  <c r="F471" i="31" s="1"/>
  <c r="E166" i="31"/>
  <c r="E471" i="31" s="1"/>
  <c r="F165" i="31"/>
  <c r="F470" i="31" s="1"/>
  <c r="E165" i="31"/>
  <c r="E470" i="31" s="1"/>
  <c r="F164" i="31"/>
  <c r="F469" i="31" s="1"/>
  <c r="E164" i="31"/>
  <c r="E469" i="31" s="1"/>
  <c r="F163" i="31"/>
  <c r="F468" i="31" s="1"/>
  <c r="E163" i="31"/>
  <c r="E468" i="31" s="1"/>
  <c r="F162" i="31"/>
  <c r="F467" i="31" s="1"/>
  <c r="E162" i="31"/>
  <c r="E467" i="31" s="1"/>
  <c r="F161" i="31"/>
  <c r="F466" i="31" s="1"/>
  <c r="E161" i="31"/>
  <c r="E466" i="31" s="1"/>
  <c r="F160" i="31"/>
  <c r="F465" i="31" s="1"/>
  <c r="E160" i="31"/>
  <c r="E465" i="31" s="1"/>
  <c r="F159" i="31"/>
  <c r="F464" i="31" s="1"/>
  <c r="E159" i="31"/>
  <c r="E464" i="31" s="1"/>
  <c r="F158" i="31"/>
  <c r="F463" i="31" s="1"/>
  <c r="E158" i="31"/>
  <c r="E463" i="31" s="1"/>
  <c r="F157" i="31"/>
  <c r="F462" i="31" s="1"/>
  <c r="E157" i="31"/>
  <c r="E462" i="31" s="1"/>
  <c r="F156" i="31"/>
  <c r="F461" i="31" s="1"/>
  <c r="E156" i="31"/>
  <c r="E461" i="31" s="1"/>
  <c r="F155" i="31"/>
  <c r="F460" i="31" s="1"/>
  <c r="E155" i="31"/>
  <c r="E460" i="31" s="1"/>
  <c r="F154" i="31"/>
  <c r="F459" i="31" s="1"/>
  <c r="E154" i="31"/>
  <c r="E459" i="31" s="1"/>
  <c r="F153" i="31"/>
  <c r="F458" i="31" s="1"/>
  <c r="E153" i="31"/>
  <c r="E458" i="31" s="1"/>
  <c r="F152" i="31"/>
  <c r="F457" i="31" s="1"/>
  <c r="E152" i="31"/>
  <c r="E457" i="31" s="1"/>
  <c r="F151" i="31"/>
  <c r="F456" i="31" s="1"/>
  <c r="E151" i="31"/>
  <c r="E456" i="31" s="1"/>
  <c r="F150" i="31"/>
  <c r="F455" i="31" s="1"/>
  <c r="E150" i="31"/>
  <c r="E455" i="31" s="1"/>
  <c r="F149" i="31"/>
  <c r="F454" i="31" s="1"/>
  <c r="E149" i="31"/>
  <c r="E454" i="31" s="1"/>
  <c r="F148" i="31"/>
  <c r="F453" i="31" s="1"/>
  <c r="E148" i="31"/>
  <c r="E453" i="31" s="1"/>
  <c r="F147" i="31"/>
  <c r="F452" i="31" s="1"/>
  <c r="E147" i="31"/>
  <c r="E452" i="31" s="1"/>
  <c r="F146" i="31"/>
  <c r="F451" i="31" s="1"/>
  <c r="E146" i="31"/>
  <c r="E451" i="31" s="1"/>
  <c r="F145" i="31"/>
  <c r="F450" i="31" s="1"/>
  <c r="E145" i="31"/>
  <c r="E450" i="31" s="1"/>
  <c r="F144" i="31"/>
  <c r="F449" i="31" s="1"/>
  <c r="E144" i="31"/>
  <c r="E449" i="31" s="1"/>
  <c r="F143" i="31"/>
  <c r="F448" i="31" s="1"/>
  <c r="E143" i="31"/>
  <c r="E448" i="31" s="1"/>
  <c r="F142" i="31"/>
  <c r="F447" i="31" s="1"/>
  <c r="E142" i="31"/>
  <c r="E447" i="31" s="1"/>
  <c r="F141" i="31"/>
  <c r="F446" i="31" s="1"/>
  <c r="E141" i="31"/>
  <c r="E446" i="31" s="1"/>
  <c r="F140" i="31"/>
  <c r="F445" i="31" s="1"/>
  <c r="E140" i="31"/>
  <c r="E445" i="31" s="1"/>
  <c r="F139" i="31"/>
  <c r="F444" i="31" s="1"/>
  <c r="E139" i="31"/>
  <c r="E444" i="31" s="1"/>
  <c r="F138" i="31"/>
  <c r="F443" i="31" s="1"/>
  <c r="E138" i="31"/>
  <c r="E443" i="31" s="1"/>
  <c r="F137" i="31"/>
  <c r="F442" i="31" s="1"/>
  <c r="E137" i="31"/>
  <c r="E442" i="31" s="1"/>
  <c r="F136" i="31"/>
  <c r="F441" i="31" s="1"/>
  <c r="E136" i="31"/>
  <c r="E441" i="31" s="1"/>
  <c r="F135" i="31"/>
  <c r="F440" i="31" s="1"/>
  <c r="E135" i="31"/>
  <c r="E440" i="31" s="1"/>
  <c r="F134" i="31"/>
  <c r="F439" i="31" s="1"/>
  <c r="E134" i="31"/>
  <c r="E439" i="31" s="1"/>
  <c r="F133" i="31"/>
  <c r="F438" i="31" s="1"/>
  <c r="E133" i="31"/>
  <c r="E438" i="31" s="1"/>
  <c r="F132" i="31"/>
  <c r="F437" i="31" s="1"/>
  <c r="E132" i="31"/>
  <c r="E437" i="31" s="1"/>
  <c r="F131" i="31"/>
  <c r="F436" i="31" s="1"/>
  <c r="E131" i="31"/>
  <c r="E436" i="31" s="1"/>
  <c r="F130" i="31"/>
  <c r="F435" i="31" s="1"/>
  <c r="E130" i="31"/>
  <c r="E435" i="31" s="1"/>
  <c r="F129" i="31"/>
  <c r="F434" i="31" s="1"/>
  <c r="E129" i="31"/>
  <c r="E434" i="31" s="1"/>
  <c r="F128" i="31"/>
  <c r="F433" i="31" s="1"/>
  <c r="E128" i="31"/>
  <c r="E433" i="31" s="1"/>
  <c r="F127" i="31"/>
  <c r="F432" i="31" s="1"/>
  <c r="E127" i="31"/>
  <c r="E432" i="31" s="1"/>
  <c r="F126" i="31"/>
  <c r="F431" i="31" s="1"/>
  <c r="E126" i="31"/>
  <c r="E431" i="31" s="1"/>
  <c r="F125" i="31"/>
  <c r="F430" i="31" s="1"/>
  <c r="E125" i="31"/>
  <c r="E430" i="31" s="1"/>
  <c r="F124" i="31"/>
  <c r="F429" i="31" s="1"/>
  <c r="E124" i="31"/>
  <c r="E429" i="31" s="1"/>
  <c r="F123" i="31"/>
  <c r="F428" i="31" s="1"/>
  <c r="E123" i="31"/>
  <c r="E428" i="31" s="1"/>
  <c r="F122" i="31"/>
  <c r="F427" i="31" s="1"/>
  <c r="E122" i="31"/>
  <c r="E427" i="31" s="1"/>
  <c r="F121" i="31"/>
  <c r="F426" i="31" s="1"/>
  <c r="E121" i="31"/>
  <c r="E426" i="31" s="1"/>
  <c r="F120" i="31"/>
  <c r="F425" i="31" s="1"/>
  <c r="E120" i="31"/>
  <c r="E425" i="31" s="1"/>
  <c r="F119" i="31"/>
  <c r="F424" i="31" s="1"/>
  <c r="E119" i="31"/>
  <c r="E424" i="31" s="1"/>
  <c r="F118" i="31"/>
  <c r="F423" i="31" s="1"/>
  <c r="E118" i="31"/>
  <c r="E423" i="31" s="1"/>
  <c r="F117" i="31"/>
  <c r="F422" i="31" s="1"/>
  <c r="E117" i="31"/>
  <c r="E422" i="31" s="1"/>
  <c r="F116" i="31"/>
  <c r="F421" i="31" s="1"/>
  <c r="E116" i="31"/>
  <c r="E421" i="31" s="1"/>
  <c r="F115" i="31"/>
  <c r="F420" i="31" s="1"/>
  <c r="E115" i="31"/>
  <c r="E420" i="31" s="1"/>
  <c r="F114" i="31"/>
  <c r="F419" i="31" s="1"/>
  <c r="E114" i="31"/>
  <c r="E419" i="31" s="1"/>
  <c r="F113" i="31"/>
  <c r="F418" i="31" s="1"/>
  <c r="E113" i="31"/>
  <c r="E418" i="31" s="1"/>
  <c r="F112" i="31"/>
  <c r="F417" i="31" s="1"/>
  <c r="E112" i="31"/>
  <c r="E417" i="31" s="1"/>
  <c r="F111" i="31"/>
  <c r="F416" i="31" s="1"/>
  <c r="E111" i="31"/>
  <c r="E416" i="31" s="1"/>
  <c r="F110" i="31"/>
  <c r="F415" i="31" s="1"/>
  <c r="E110" i="31"/>
  <c r="E415" i="31" s="1"/>
  <c r="F109" i="31"/>
  <c r="F414" i="31" s="1"/>
  <c r="E109" i="31"/>
  <c r="E414" i="31" s="1"/>
  <c r="F108" i="31"/>
  <c r="F413" i="31" s="1"/>
  <c r="E108" i="31"/>
  <c r="E413" i="31" s="1"/>
  <c r="F107" i="31"/>
  <c r="F412" i="31" s="1"/>
  <c r="E107" i="31"/>
  <c r="E412" i="31" s="1"/>
  <c r="F106" i="31"/>
  <c r="F411" i="31" s="1"/>
  <c r="E106" i="31"/>
  <c r="E411" i="31" s="1"/>
  <c r="F105" i="31"/>
  <c r="F410" i="31" s="1"/>
  <c r="E105" i="31"/>
  <c r="E410" i="31" s="1"/>
  <c r="F104" i="31"/>
  <c r="F409" i="31" s="1"/>
  <c r="E104" i="31"/>
  <c r="E409" i="31" s="1"/>
  <c r="F103" i="31"/>
  <c r="F408" i="31" s="1"/>
  <c r="E103" i="31"/>
  <c r="E408" i="31" s="1"/>
  <c r="F102" i="31"/>
  <c r="F407" i="31" s="1"/>
  <c r="E102" i="31"/>
  <c r="E407" i="31" s="1"/>
  <c r="F101" i="31"/>
  <c r="F406" i="31" s="1"/>
  <c r="E101" i="31"/>
  <c r="E406" i="31" s="1"/>
  <c r="F100" i="31"/>
  <c r="F405" i="31" s="1"/>
  <c r="E100" i="31"/>
  <c r="E405" i="31" s="1"/>
  <c r="F99" i="31"/>
  <c r="F404" i="31" s="1"/>
  <c r="E99" i="31"/>
  <c r="E404" i="31" s="1"/>
  <c r="F98" i="31"/>
  <c r="F403" i="31" s="1"/>
  <c r="E98" i="31"/>
  <c r="E403" i="31" s="1"/>
  <c r="F97" i="31"/>
  <c r="F402" i="31" s="1"/>
  <c r="E97" i="31"/>
  <c r="E402" i="31" s="1"/>
  <c r="F96" i="31"/>
  <c r="F401" i="31" s="1"/>
  <c r="E96" i="31"/>
  <c r="E401" i="31" s="1"/>
  <c r="F95" i="31"/>
  <c r="F400" i="31" s="1"/>
  <c r="E95" i="31"/>
  <c r="E400" i="31" s="1"/>
  <c r="F94" i="31"/>
  <c r="F399" i="31" s="1"/>
  <c r="E94" i="31"/>
  <c r="E399" i="31" s="1"/>
  <c r="F93" i="31"/>
  <c r="F398" i="31" s="1"/>
  <c r="E93" i="31"/>
  <c r="E398" i="31" s="1"/>
  <c r="F92" i="31"/>
  <c r="F397" i="31" s="1"/>
  <c r="E92" i="31"/>
  <c r="E397" i="31" s="1"/>
  <c r="F91" i="31"/>
  <c r="F396" i="31" s="1"/>
  <c r="E91" i="31"/>
  <c r="E396" i="31" s="1"/>
  <c r="F90" i="31"/>
  <c r="F395" i="31" s="1"/>
  <c r="E90" i="31"/>
  <c r="E395" i="31" s="1"/>
  <c r="F89" i="31"/>
  <c r="F394" i="31" s="1"/>
  <c r="E89" i="31"/>
  <c r="E394" i="31" s="1"/>
  <c r="F88" i="31"/>
  <c r="F393" i="31" s="1"/>
  <c r="E88" i="31"/>
  <c r="E393" i="31" s="1"/>
  <c r="F87" i="31"/>
  <c r="F392" i="31" s="1"/>
  <c r="E87" i="31"/>
  <c r="E392" i="31" s="1"/>
  <c r="F86" i="31"/>
  <c r="F391" i="31" s="1"/>
  <c r="E86" i="31"/>
  <c r="E391" i="31" s="1"/>
  <c r="F85" i="31"/>
  <c r="F390" i="31" s="1"/>
  <c r="E85" i="31"/>
  <c r="E390" i="31" s="1"/>
  <c r="F84" i="31"/>
  <c r="F389" i="31" s="1"/>
  <c r="E84" i="31"/>
  <c r="E389" i="31" s="1"/>
  <c r="F83" i="31"/>
  <c r="F388" i="31" s="1"/>
  <c r="E83" i="31"/>
  <c r="E388" i="31" s="1"/>
  <c r="F82" i="31"/>
  <c r="F387" i="31" s="1"/>
  <c r="E82" i="31"/>
  <c r="E387" i="31" s="1"/>
  <c r="F81" i="31"/>
  <c r="F386" i="31" s="1"/>
  <c r="E81" i="31"/>
  <c r="E386" i="31" s="1"/>
  <c r="F80" i="31"/>
  <c r="F385" i="31" s="1"/>
  <c r="E80" i="31"/>
  <c r="E385" i="31" s="1"/>
  <c r="F79" i="31"/>
  <c r="F384" i="31" s="1"/>
  <c r="E79" i="31"/>
  <c r="E384" i="31" s="1"/>
  <c r="F78" i="31"/>
  <c r="F383" i="31" s="1"/>
  <c r="E78" i="31"/>
  <c r="E383" i="31" s="1"/>
  <c r="F77" i="31"/>
  <c r="F382" i="31" s="1"/>
  <c r="E77" i="31"/>
  <c r="E382" i="31" s="1"/>
  <c r="F76" i="31"/>
  <c r="F381" i="31" s="1"/>
  <c r="E76" i="31"/>
  <c r="E381" i="31" s="1"/>
  <c r="F75" i="31"/>
  <c r="F380" i="31" s="1"/>
  <c r="E75" i="31"/>
  <c r="E380" i="31" s="1"/>
  <c r="F74" i="31"/>
  <c r="F379" i="31" s="1"/>
  <c r="E74" i="31"/>
  <c r="E379" i="31" s="1"/>
  <c r="F73" i="31"/>
  <c r="F378" i="31" s="1"/>
  <c r="E73" i="31"/>
  <c r="E378" i="31" s="1"/>
  <c r="F72" i="31"/>
  <c r="F377" i="31" s="1"/>
  <c r="E72" i="31"/>
  <c r="E377" i="31" s="1"/>
  <c r="F71" i="31"/>
  <c r="F376" i="31" s="1"/>
  <c r="E71" i="31"/>
  <c r="E376" i="31" s="1"/>
  <c r="F70" i="31"/>
  <c r="F375" i="31" s="1"/>
  <c r="E70" i="31"/>
  <c r="E375" i="31" s="1"/>
  <c r="F69" i="31"/>
  <c r="F374" i="31" s="1"/>
  <c r="E69" i="31"/>
  <c r="E374" i="31" s="1"/>
  <c r="F68" i="31"/>
  <c r="F373" i="31" s="1"/>
  <c r="E68" i="31"/>
  <c r="E373" i="31" s="1"/>
  <c r="F67" i="31"/>
  <c r="F372" i="31" s="1"/>
  <c r="E67" i="31"/>
  <c r="E372" i="31" s="1"/>
  <c r="F66" i="31"/>
  <c r="F371" i="31" s="1"/>
  <c r="E66" i="31"/>
  <c r="E371" i="31" s="1"/>
  <c r="F65" i="31"/>
  <c r="F370" i="31" s="1"/>
  <c r="E65" i="31"/>
  <c r="E370" i="31" s="1"/>
  <c r="F64" i="31"/>
  <c r="F369" i="31" s="1"/>
  <c r="E64" i="31"/>
  <c r="E369" i="31" s="1"/>
  <c r="F63" i="31"/>
  <c r="F368" i="31" s="1"/>
  <c r="E63" i="31"/>
  <c r="E368" i="31" s="1"/>
  <c r="F62" i="31"/>
  <c r="F367" i="31" s="1"/>
  <c r="E62" i="31"/>
  <c r="E367" i="31" s="1"/>
  <c r="F61" i="31"/>
  <c r="F366" i="31" s="1"/>
  <c r="E61" i="31"/>
  <c r="E366" i="31" s="1"/>
  <c r="F60" i="31"/>
  <c r="F365" i="31" s="1"/>
  <c r="E60" i="31"/>
  <c r="E365" i="31" s="1"/>
  <c r="F59" i="31"/>
  <c r="F364" i="31" s="1"/>
  <c r="E59" i="31"/>
  <c r="E364" i="31" s="1"/>
  <c r="F58" i="31"/>
  <c r="F363" i="31" s="1"/>
  <c r="E58" i="31"/>
  <c r="E363" i="31" s="1"/>
  <c r="F57" i="31"/>
  <c r="F362" i="31" s="1"/>
  <c r="E57" i="31"/>
  <c r="E362" i="31" s="1"/>
  <c r="F56" i="31"/>
  <c r="F361" i="31" s="1"/>
  <c r="E56" i="31"/>
  <c r="E361" i="31" s="1"/>
  <c r="F55" i="31"/>
  <c r="F360" i="31" s="1"/>
  <c r="E55" i="31"/>
  <c r="E360" i="31" s="1"/>
  <c r="F54" i="31"/>
  <c r="F359" i="31" s="1"/>
  <c r="E54" i="31"/>
  <c r="E359" i="31" s="1"/>
  <c r="F53" i="31"/>
  <c r="F358" i="31" s="1"/>
  <c r="E53" i="31"/>
  <c r="E358" i="31" s="1"/>
  <c r="F52" i="31"/>
  <c r="F357" i="31" s="1"/>
  <c r="E52" i="31"/>
  <c r="E357" i="31" s="1"/>
  <c r="F51" i="31"/>
  <c r="F356" i="31" s="1"/>
  <c r="E51" i="31"/>
  <c r="E356" i="31" s="1"/>
  <c r="F50" i="31"/>
  <c r="F355" i="31" s="1"/>
  <c r="E50" i="31"/>
  <c r="E355" i="31" s="1"/>
  <c r="F49" i="31"/>
  <c r="F354" i="31" s="1"/>
  <c r="E49" i="31"/>
  <c r="E354" i="31" s="1"/>
  <c r="F48" i="31"/>
  <c r="F353" i="31" s="1"/>
  <c r="E48" i="31"/>
  <c r="E353" i="31" s="1"/>
  <c r="F47" i="31"/>
  <c r="F352" i="31" s="1"/>
  <c r="E47" i="31"/>
  <c r="E352" i="31" s="1"/>
  <c r="F46" i="31"/>
  <c r="F351" i="31" s="1"/>
  <c r="E46" i="31"/>
  <c r="E351" i="31" s="1"/>
  <c r="F45" i="31"/>
  <c r="F350" i="31" s="1"/>
  <c r="E45" i="31"/>
  <c r="E350" i="31" s="1"/>
  <c r="F44" i="31"/>
  <c r="F349" i="31" s="1"/>
  <c r="E44" i="31"/>
  <c r="E349" i="31" s="1"/>
  <c r="F43" i="31"/>
  <c r="F348" i="31" s="1"/>
  <c r="E43" i="31"/>
  <c r="E348" i="31" s="1"/>
  <c r="F42" i="31"/>
  <c r="F347" i="31" s="1"/>
  <c r="E42" i="31"/>
  <c r="E347" i="31" s="1"/>
  <c r="F41" i="31"/>
  <c r="F346" i="31" s="1"/>
  <c r="E41" i="31"/>
  <c r="E346" i="31" s="1"/>
  <c r="F40" i="31"/>
  <c r="F345" i="31" s="1"/>
  <c r="E40" i="31"/>
  <c r="E345" i="31" s="1"/>
  <c r="F39" i="31"/>
  <c r="F344" i="31" s="1"/>
  <c r="E39" i="31"/>
  <c r="E344" i="31" s="1"/>
  <c r="F38" i="31"/>
  <c r="F343" i="31" s="1"/>
  <c r="E38" i="31"/>
  <c r="E343" i="31" s="1"/>
  <c r="F37" i="31"/>
  <c r="F342" i="31" s="1"/>
  <c r="E37" i="31"/>
  <c r="E342" i="31" s="1"/>
  <c r="F36" i="31"/>
  <c r="F341" i="31" s="1"/>
  <c r="E36" i="31"/>
  <c r="E341" i="31" s="1"/>
  <c r="F35" i="31"/>
  <c r="F340" i="31" s="1"/>
  <c r="E35" i="31"/>
  <c r="E340" i="31" s="1"/>
  <c r="F34" i="31"/>
  <c r="F339" i="31" s="1"/>
  <c r="E34" i="31"/>
  <c r="E339" i="31" s="1"/>
  <c r="F33" i="31"/>
  <c r="F338" i="31" s="1"/>
  <c r="E33" i="31"/>
  <c r="E338" i="31" s="1"/>
  <c r="F32" i="31"/>
  <c r="F337" i="31" s="1"/>
  <c r="E32" i="31"/>
  <c r="E337" i="31" s="1"/>
  <c r="F31" i="31"/>
  <c r="F336" i="31" s="1"/>
  <c r="E31" i="31"/>
  <c r="E336" i="31" s="1"/>
  <c r="F30" i="31"/>
  <c r="F335" i="31" s="1"/>
  <c r="E30" i="31"/>
  <c r="E335" i="31" s="1"/>
  <c r="F29" i="31"/>
  <c r="F334" i="31" s="1"/>
  <c r="E29" i="31"/>
  <c r="E334" i="31" s="1"/>
  <c r="F28" i="31"/>
  <c r="F333" i="31" s="1"/>
  <c r="E28" i="31"/>
  <c r="E333" i="31" s="1"/>
  <c r="F27" i="31"/>
  <c r="F332" i="31" s="1"/>
  <c r="E27" i="31"/>
  <c r="E332" i="31" s="1"/>
  <c r="F26" i="31"/>
  <c r="F331" i="31" s="1"/>
  <c r="E26" i="31"/>
  <c r="E331" i="31" s="1"/>
  <c r="F25" i="31"/>
  <c r="F330" i="31" s="1"/>
  <c r="E25" i="31"/>
  <c r="E330" i="31" s="1"/>
  <c r="F24" i="31"/>
  <c r="F329" i="31" s="1"/>
  <c r="E24" i="31"/>
  <c r="E329" i="31" s="1"/>
  <c r="F23" i="31"/>
  <c r="F328" i="31" s="1"/>
  <c r="E23" i="31"/>
  <c r="E328" i="31" s="1"/>
  <c r="F22" i="31"/>
  <c r="F327" i="31" s="1"/>
  <c r="E22" i="31"/>
  <c r="E327" i="31" s="1"/>
  <c r="F21" i="31"/>
  <c r="F326" i="31" s="1"/>
  <c r="E21" i="31"/>
  <c r="E326" i="31" s="1"/>
  <c r="F20" i="31"/>
  <c r="F325" i="31" s="1"/>
  <c r="E20" i="31"/>
  <c r="E325" i="31" s="1"/>
  <c r="F19" i="31"/>
  <c r="F324" i="31" s="1"/>
  <c r="E19" i="31"/>
  <c r="E324" i="31" s="1"/>
  <c r="F18" i="31"/>
  <c r="F323" i="31" s="1"/>
  <c r="E18" i="31"/>
  <c r="E323" i="31" s="1"/>
  <c r="F17" i="31"/>
  <c r="F322" i="31" s="1"/>
  <c r="E17" i="31"/>
  <c r="E322" i="31" s="1"/>
  <c r="F16" i="31"/>
  <c r="F321" i="31" s="1"/>
  <c r="E16" i="31"/>
  <c r="E321" i="31" s="1"/>
  <c r="F15" i="31"/>
  <c r="F320" i="31" s="1"/>
  <c r="E15" i="31"/>
  <c r="E320" i="31" s="1"/>
  <c r="F14" i="31"/>
  <c r="F319" i="31" s="1"/>
  <c r="E14" i="31"/>
  <c r="E319" i="31" s="1"/>
  <c r="F13" i="31"/>
  <c r="F318" i="31" s="1"/>
  <c r="E13" i="31"/>
  <c r="E318" i="31" s="1"/>
  <c r="F12" i="31"/>
  <c r="F317" i="31" s="1"/>
  <c r="E12" i="31"/>
  <c r="E317" i="31" s="1"/>
  <c r="F11" i="31"/>
  <c r="F316" i="31" s="1"/>
  <c r="E11" i="31"/>
  <c r="E316" i="31" s="1"/>
  <c r="F10" i="31"/>
  <c r="F315" i="31" s="1"/>
  <c r="E10" i="31"/>
  <c r="E315" i="31" s="1"/>
  <c r="AJ13" i="34" l="1"/>
  <c r="AE77" i="34"/>
  <c r="P109" i="34"/>
  <c r="P125" i="34"/>
  <c r="AM133" i="34"/>
  <c r="K173" i="34"/>
  <c r="AD12" i="34"/>
  <c r="AF84" i="34"/>
  <c r="J116" i="34"/>
  <c r="AD132" i="34"/>
  <c r="AC148" i="34"/>
  <c r="AD172" i="34"/>
  <c r="M188" i="34"/>
  <c r="AL14" i="34"/>
  <c r="AK319" i="31" s="1"/>
  <c r="AI22" i="34"/>
  <c r="AP30" i="34"/>
  <c r="AO335" i="31" s="1"/>
  <c r="AI38" i="34"/>
  <c r="AH38" i="35" s="1"/>
  <c r="AC54" i="34"/>
  <c r="T62" i="34"/>
  <c r="AH70" i="34"/>
  <c r="AJ78" i="34"/>
  <c r="AC86" i="34"/>
  <c r="T94" i="34"/>
  <c r="AP102" i="34"/>
  <c r="V110" i="34"/>
  <c r="AD118" i="34"/>
  <c r="Z142" i="34"/>
  <c r="J150" i="34"/>
  <c r="I158" i="34"/>
  <c r="Y182" i="34"/>
  <c r="X182" i="35" s="1"/>
  <c r="I190" i="34"/>
  <c r="AK206" i="34"/>
  <c r="I15" i="34"/>
  <c r="Y23" i="34"/>
  <c r="Y39" i="34"/>
  <c r="R47" i="34"/>
  <c r="R63" i="34"/>
  <c r="R79" i="34"/>
  <c r="AB103" i="34"/>
  <c r="AA16" i="34"/>
  <c r="N24" i="34"/>
  <c r="AI32" i="34"/>
  <c r="S40" i="34"/>
  <c r="AF56" i="34"/>
  <c r="AN64" i="34"/>
  <c r="X72" i="34"/>
  <c r="AF88" i="34"/>
  <c r="P96" i="34"/>
  <c r="AH104" i="34"/>
  <c r="W112" i="34"/>
  <c r="AM120" i="34"/>
  <c r="AL168" i="34"/>
  <c r="AJ11" i="34"/>
  <c r="AN17" i="34"/>
  <c r="AJ33" i="34"/>
  <c r="W49" i="34"/>
  <c r="AD73" i="34"/>
  <c r="AJ153" i="34"/>
  <c r="S169" i="34"/>
  <c r="AI193" i="34"/>
  <c r="AH193" i="35" s="1"/>
  <c r="X18" i="34"/>
  <c r="X26" i="34"/>
  <c r="AM42" i="34"/>
  <c r="U50" i="34"/>
  <c r="AJ58" i="34"/>
  <c r="AK66" i="34"/>
  <c r="AJ66" i="35" s="1"/>
  <c r="T74" i="34"/>
  <c r="L90" i="34"/>
  <c r="AP98" i="34"/>
  <c r="M106" i="34"/>
  <c r="M114" i="34"/>
  <c r="V122" i="34"/>
  <c r="AH138" i="34"/>
  <c r="AG138" i="35" s="1"/>
  <c r="Q154" i="34"/>
  <c r="AG178" i="34"/>
  <c r="AK202" i="34"/>
  <c r="AJ507" i="31" s="1"/>
  <c r="AL10" i="34"/>
  <c r="AK315" i="31" s="1"/>
  <c r="AK19" i="34"/>
  <c r="AJ19" i="35" s="1"/>
  <c r="P27" i="34"/>
  <c r="Y35" i="34"/>
  <c r="X35" i="35" s="1"/>
  <c r="Y43" i="34"/>
  <c r="AP59" i="34"/>
  <c r="X67" i="34"/>
  <c r="AH91" i="34"/>
  <c r="L131" i="34"/>
  <c r="O139" i="34"/>
  <c r="N139" i="35" s="1"/>
  <c r="AE163" i="34"/>
  <c r="O171" i="34"/>
  <c r="AE195" i="34"/>
  <c r="Z227" i="34"/>
  <c r="M13" i="34"/>
  <c r="Q13" i="34"/>
  <c r="AD16" i="34"/>
  <c r="AE16" i="34"/>
  <c r="AN26" i="34"/>
  <c r="AK43" i="34"/>
  <c r="S10" i="34"/>
  <c r="O14" i="34"/>
  <c r="O18" i="34"/>
  <c r="J30" i="34"/>
  <c r="R86" i="34"/>
  <c r="W10" i="34"/>
  <c r="P14" i="34"/>
  <c r="AE18" i="34"/>
  <c r="S30" i="34"/>
  <c r="J91" i="34"/>
  <c r="AI10" i="34"/>
  <c r="AE14" i="34"/>
  <c r="AD19" i="34"/>
  <c r="P35" i="34"/>
  <c r="AM10" i="34"/>
  <c r="AL315" i="31" s="1"/>
  <c r="AF14" i="34"/>
  <c r="L62" i="34"/>
  <c r="J98" i="34"/>
  <c r="V12" i="34"/>
  <c r="Y15" i="34"/>
  <c r="J22" i="34"/>
  <c r="S38" i="34"/>
  <c r="W12" i="34"/>
  <c r="AO15" i="34"/>
  <c r="AN320" i="31" s="1"/>
  <c r="O22" i="34"/>
  <c r="AE38" i="34"/>
  <c r="AD38" i="35" s="1"/>
  <c r="AK118" i="34"/>
  <c r="AN25" i="34"/>
  <c r="AM330" i="31" s="1"/>
  <c r="AH25" i="34"/>
  <c r="R25" i="34"/>
  <c r="AG25" i="34"/>
  <c r="Q25" i="34"/>
  <c r="AC25" i="34"/>
  <c r="M25" i="34"/>
  <c r="AB25" i="34"/>
  <c r="L25" i="34"/>
  <c r="AO25" i="34"/>
  <c r="AN330" i="31" s="1"/>
  <c r="Y25" i="34"/>
  <c r="I25" i="34"/>
  <c r="AK25" i="34"/>
  <c r="AJ330" i="31" s="1"/>
  <c r="U25" i="34"/>
  <c r="AN57" i="34"/>
  <c r="AD57" i="34"/>
  <c r="AB57" i="34"/>
  <c r="W57" i="34"/>
  <c r="V57" i="34"/>
  <c r="L57" i="34"/>
  <c r="AM57" i="34"/>
  <c r="AN81" i="34"/>
  <c r="AM81" i="34"/>
  <c r="AL81" i="34"/>
  <c r="AD81" i="34"/>
  <c r="AB81" i="34"/>
  <c r="V81" i="34"/>
  <c r="N81" i="34"/>
  <c r="AN113" i="34"/>
  <c r="AF113" i="34"/>
  <c r="AE113" i="34"/>
  <c r="T161" i="34"/>
  <c r="AI161" i="34"/>
  <c r="J25" i="34"/>
  <c r="AN41" i="34"/>
  <c r="AK41" i="34"/>
  <c r="U41" i="34"/>
  <c r="AJ41" i="34"/>
  <c r="T41" i="34"/>
  <c r="AH41" i="34"/>
  <c r="R41" i="34"/>
  <c r="AG41" i="34"/>
  <c r="Q41" i="34"/>
  <c r="AB41" i="34"/>
  <c r="L41" i="34"/>
  <c r="AP41" i="34"/>
  <c r="AO346" i="31" s="1"/>
  <c r="Z41" i="34"/>
  <c r="J41" i="34"/>
  <c r="AN89" i="34"/>
  <c r="AD89" i="34"/>
  <c r="AB89" i="34"/>
  <c r="W89" i="34"/>
  <c r="V89" i="34"/>
  <c r="L89" i="34"/>
  <c r="AM89" i="34"/>
  <c r="AK121" i="34"/>
  <c r="AF121" i="34"/>
  <c r="AC33" i="34"/>
  <c r="AJ19" i="34"/>
  <c r="AI19" i="35" s="1"/>
  <c r="AC19" i="34"/>
  <c r="AN19" i="34"/>
  <c r="X19" i="34"/>
  <c r="AL19" i="34"/>
  <c r="V19" i="34"/>
  <c r="AG19" i="34"/>
  <c r="Q19" i="34"/>
  <c r="AF19" i="34"/>
  <c r="P19" i="34"/>
  <c r="AJ27" i="34"/>
  <c r="AD27" i="34"/>
  <c r="N27" i="34"/>
  <c r="AC27" i="34"/>
  <c r="M27" i="34"/>
  <c r="AO27" i="34"/>
  <c r="Y27" i="34"/>
  <c r="I27" i="34"/>
  <c r="AN27" i="34"/>
  <c r="X27" i="34"/>
  <c r="AK27" i="34"/>
  <c r="U27" i="34"/>
  <c r="AG27" i="34"/>
  <c r="Q27" i="34"/>
  <c r="AJ35" i="34"/>
  <c r="AN35" i="34"/>
  <c r="X35" i="34"/>
  <c r="AL35" i="34"/>
  <c r="V35" i="34"/>
  <c r="AK35" i="34"/>
  <c r="U35" i="34"/>
  <c r="T35" i="35" s="1"/>
  <c r="AG35" i="34"/>
  <c r="Q35" i="34"/>
  <c r="AD35" i="34"/>
  <c r="AC35" i="35" s="1"/>
  <c r="N35" i="34"/>
  <c r="AC35" i="34"/>
  <c r="M35" i="34"/>
  <c r="AJ43" i="34"/>
  <c r="AG43" i="34"/>
  <c r="Q43" i="34"/>
  <c r="AF43" i="34"/>
  <c r="P43" i="34"/>
  <c r="AD43" i="34"/>
  <c r="N43" i="34"/>
  <c r="AC43" i="34"/>
  <c r="M43" i="34"/>
  <c r="AN43" i="34"/>
  <c r="X43" i="34"/>
  <c r="AL43" i="34"/>
  <c r="V43" i="34"/>
  <c r="AB51" i="34"/>
  <c r="AI51" i="34"/>
  <c r="AH51" i="34"/>
  <c r="Z51" i="34"/>
  <c r="X51" i="34"/>
  <c r="R51" i="34"/>
  <c r="AP51" i="34"/>
  <c r="J51" i="34"/>
  <c r="AB59" i="34"/>
  <c r="Z59" i="34"/>
  <c r="Y59" i="35" s="1"/>
  <c r="X59" i="34"/>
  <c r="S59" i="34"/>
  <c r="R59" i="34"/>
  <c r="AN59" i="34"/>
  <c r="AI59" i="34"/>
  <c r="AB67" i="34"/>
  <c r="S67" i="34"/>
  <c r="R67" i="34"/>
  <c r="AP67" i="34"/>
  <c r="J67" i="34"/>
  <c r="AN67" i="34"/>
  <c r="AH67" i="34"/>
  <c r="Z67" i="34"/>
  <c r="Y67" i="35" s="1"/>
  <c r="AB75" i="34"/>
  <c r="AP75" i="34"/>
  <c r="J75" i="34"/>
  <c r="AN75" i="34"/>
  <c r="AI75" i="34"/>
  <c r="AH75" i="34"/>
  <c r="X75" i="34"/>
  <c r="S75" i="34"/>
  <c r="AB83" i="34"/>
  <c r="AI83" i="34"/>
  <c r="AH83" i="34"/>
  <c r="AG83" i="35" s="1"/>
  <c r="Z83" i="34"/>
  <c r="X83" i="34"/>
  <c r="R83" i="34"/>
  <c r="AP83" i="34"/>
  <c r="J83" i="34"/>
  <c r="AB91" i="34"/>
  <c r="Z91" i="34"/>
  <c r="X91" i="34"/>
  <c r="S91" i="34"/>
  <c r="R91" i="34"/>
  <c r="AN91" i="34"/>
  <c r="AI91" i="34"/>
  <c r="AB99" i="34"/>
  <c r="X99" i="34"/>
  <c r="S99" i="34"/>
  <c r="R99" i="34"/>
  <c r="J99" i="34"/>
  <c r="AJ99" i="34"/>
  <c r="AI99" i="34"/>
  <c r="AI107" i="34"/>
  <c r="AN107" i="34"/>
  <c r="AB107" i="34"/>
  <c r="AA107" i="34"/>
  <c r="S107" i="34"/>
  <c r="AJ115" i="34"/>
  <c r="T115" i="34"/>
  <c r="K115" i="34"/>
  <c r="I123" i="34"/>
  <c r="AB123" i="34"/>
  <c r="T123" i="34"/>
  <c r="X10" i="34"/>
  <c r="AN10" i="34"/>
  <c r="AM315" i="31" s="1"/>
  <c r="V11" i="34"/>
  <c r="AL11" i="34"/>
  <c r="AK316" i="31" s="1"/>
  <c r="AA12" i="34"/>
  <c r="Y13" i="34"/>
  <c r="R14" i="34"/>
  <c r="AH14" i="34"/>
  <c r="K16" i="34"/>
  <c r="AI16" i="34"/>
  <c r="T17" i="34"/>
  <c r="AJ17" i="34"/>
  <c r="R18" i="34"/>
  <c r="AM18" i="34"/>
  <c r="AO19" i="34"/>
  <c r="S22" i="34"/>
  <c r="Z25" i="34"/>
  <c r="V27" i="34"/>
  <c r="Z30" i="34"/>
  <c r="AF35" i="34"/>
  <c r="K42" i="34"/>
  <c r="AO43" i="34"/>
  <c r="N57" i="34"/>
  <c r="AI67" i="34"/>
  <c r="AB74" i="34"/>
  <c r="AA74" i="35" s="1"/>
  <c r="W81" i="34"/>
  <c r="AP91" i="34"/>
  <c r="T107" i="34"/>
  <c r="AP123" i="34"/>
  <c r="AN33" i="34"/>
  <c r="AM338" i="31" s="1"/>
  <c r="AB33" i="34"/>
  <c r="L33" i="34"/>
  <c r="AP33" i="34"/>
  <c r="AO338" i="31" s="1"/>
  <c r="Z33" i="34"/>
  <c r="J33" i="34"/>
  <c r="AO33" i="34"/>
  <c r="AN338" i="31" s="1"/>
  <c r="Y33" i="34"/>
  <c r="I33" i="34"/>
  <c r="AK33" i="34"/>
  <c r="AJ338" i="31" s="1"/>
  <c r="U33" i="34"/>
  <c r="AH33" i="34"/>
  <c r="R33" i="34"/>
  <c r="AG33" i="34"/>
  <c r="Q33" i="34"/>
  <c r="AN65" i="34"/>
  <c r="W65" i="34"/>
  <c r="V65" i="34"/>
  <c r="N65" i="34"/>
  <c r="L65" i="34"/>
  <c r="AL65" i="34"/>
  <c r="AD65" i="34"/>
  <c r="AN73" i="34"/>
  <c r="N73" i="34"/>
  <c r="L73" i="34"/>
  <c r="AM73" i="34"/>
  <c r="AL73" i="34"/>
  <c r="AB73" i="34"/>
  <c r="W73" i="34"/>
  <c r="AB105" i="34"/>
  <c r="AA105" i="35" s="1"/>
  <c r="X105" i="34"/>
  <c r="W105" i="35" s="1"/>
  <c r="W105" i="34"/>
  <c r="V105" i="35" s="1"/>
  <c r="L105" i="34"/>
  <c r="AF105" i="34"/>
  <c r="AE105" i="35" s="1"/>
  <c r="AF129" i="34"/>
  <c r="AE129" i="35" s="1"/>
  <c r="P129" i="34"/>
  <c r="O129" i="35" s="1"/>
  <c r="AL34" i="34"/>
  <c r="AP34" i="34"/>
  <c r="Z34" i="34"/>
  <c r="J34" i="34"/>
  <c r="AN34" i="34"/>
  <c r="X34" i="34"/>
  <c r="AM34" i="34"/>
  <c r="W34" i="34"/>
  <c r="AI34" i="34"/>
  <c r="S34" i="34"/>
  <c r="AF34" i="34"/>
  <c r="P34" i="34"/>
  <c r="AE34" i="34"/>
  <c r="O34" i="34"/>
  <c r="AC50" i="34"/>
  <c r="AK50" i="34"/>
  <c r="AJ50" i="34"/>
  <c r="AB50" i="34"/>
  <c r="Z50" i="34"/>
  <c r="T50" i="34"/>
  <c r="L50" i="34"/>
  <c r="AC66" i="34"/>
  <c r="AB66" i="35" s="1"/>
  <c r="U66" i="34"/>
  <c r="T66" i="34"/>
  <c r="L66" i="34"/>
  <c r="AP66" i="34"/>
  <c r="J66" i="34"/>
  <c r="AJ66" i="34"/>
  <c r="AI66" i="35" s="1"/>
  <c r="AB66" i="34"/>
  <c r="AC82" i="34"/>
  <c r="AK82" i="34"/>
  <c r="AJ82" i="34"/>
  <c r="AB82" i="34"/>
  <c r="Z82" i="34"/>
  <c r="T82" i="34"/>
  <c r="L82" i="34"/>
  <c r="AC98" i="34"/>
  <c r="Z98" i="34"/>
  <c r="U98" i="34"/>
  <c r="T98" i="34"/>
  <c r="L98" i="34"/>
  <c r="AK98" i="34"/>
  <c r="AJ98" i="34"/>
  <c r="V106" i="34"/>
  <c r="AH106" i="34"/>
  <c r="AD106" i="34"/>
  <c r="U106" i="34"/>
  <c r="R106" i="34"/>
  <c r="J106" i="34"/>
  <c r="AP106" i="34"/>
  <c r="AI122" i="34"/>
  <c r="T122" i="34"/>
  <c r="AL106" i="34"/>
  <c r="AD20" i="34"/>
  <c r="K20" i="34"/>
  <c r="AI20" i="34"/>
  <c r="AE20" i="34"/>
  <c r="V20" i="34"/>
  <c r="S20" i="34"/>
  <c r="AD28" i="34"/>
  <c r="O28" i="34"/>
  <c r="K28" i="34"/>
  <c r="AE28" i="34"/>
  <c r="AA28" i="34"/>
  <c r="AD36" i="34"/>
  <c r="AI36" i="34"/>
  <c r="AE36" i="34"/>
  <c r="AA36" i="34"/>
  <c r="O36" i="34"/>
  <c r="N36" i="35" s="1"/>
  <c r="K36" i="34"/>
  <c r="AF44" i="34"/>
  <c r="AA44" i="34"/>
  <c r="S44" i="34"/>
  <c r="O44" i="34"/>
  <c r="K44" i="34"/>
  <c r="AN44" i="34"/>
  <c r="AM349" i="31" s="1"/>
  <c r="AL52" i="34"/>
  <c r="AN52" i="34"/>
  <c r="P52" i="34"/>
  <c r="V60" i="34"/>
  <c r="AF60" i="34"/>
  <c r="X60" i="34"/>
  <c r="P60" i="34"/>
  <c r="O60" i="35" s="1"/>
  <c r="AL68" i="34"/>
  <c r="AF68" i="34"/>
  <c r="P68" i="34"/>
  <c r="V76" i="34"/>
  <c r="AF76" i="34"/>
  <c r="X76" i="34"/>
  <c r="AL84" i="34"/>
  <c r="AN84" i="34"/>
  <c r="P84" i="34"/>
  <c r="V92" i="34"/>
  <c r="AF92" i="34"/>
  <c r="X92" i="34"/>
  <c r="P92" i="34"/>
  <c r="V100" i="34"/>
  <c r="U100" i="35" s="1"/>
  <c r="AP100" i="34"/>
  <c r="AH108" i="34"/>
  <c r="Z108" i="34"/>
  <c r="AN124" i="34"/>
  <c r="AM124" i="35" s="1"/>
  <c r="P124" i="34"/>
  <c r="J10" i="34"/>
  <c r="Z10" i="34"/>
  <c r="AP10" i="34"/>
  <c r="AO315" i="31" s="1"/>
  <c r="X11" i="34"/>
  <c r="AN11" i="34"/>
  <c r="AM316" i="31" s="1"/>
  <c r="AE12" i="34"/>
  <c r="AC13" i="34"/>
  <c r="S14" i="34"/>
  <c r="AI14" i="34"/>
  <c r="N16" i="34"/>
  <c r="AM16" i="34"/>
  <c r="AL321" i="31" s="1"/>
  <c r="U17" i="34"/>
  <c r="T17" i="35" s="1"/>
  <c r="AK17" i="34"/>
  <c r="S18" i="34"/>
  <c r="I19" i="34"/>
  <c r="O20" i="34"/>
  <c r="AE22" i="34"/>
  <c r="AJ25" i="34"/>
  <c r="AF27" i="34"/>
  <c r="AI30" i="34"/>
  <c r="K34" i="34"/>
  <c r="AO35" i="34"/>
  <c r="W42" i="34"/>
  <c r="AG44" i="34"/>
  <c r="AP50" i="34"/>
  <c r="AL57" i="34"/>
  <c r="AN68" i="34"/>
  <c r="R75" i="34"/>
  <c r="J82" i="34"/>
  <c r="L94" i="34"/>
  <c r="Z99" i="34"/>
  <c r="AL108" i="34"/>
  <c r="AK108" i="35" s="1"/>
  <c r="AC129" i="34"/>
  <c r="AB129" i="35" s="1"/>
  <c r="AC41" i="34"/>
  <c r="T25" i="34"/>
  <c r="J50" i="34"/>
  <c r="L81" i="34"/>
  <c r="AB98" i="34"/>
  <c r="AH21" i="34"/>
  <c r="I21" i="34"/>
  <c r="AO21" i="34"/>
  <c r="AG21" i="34"/>
  <c r="Y21" i="34"/>
  <c r="Q21" i="34"/>
  <c r="AJ29" i="34"/>
  <c r="Y29" i="34"/>
  <c r="Q29" i="34"/>
  <c r="M29" i="34"/>
  <c r="I29" i="34"/>
  <c r="AO29" i="34"/>
  <c r="AN334" i="31" s="1"/>
  <c r="AG29" i="34"/>
  <c r="AH37" i="34"/>
  <c r="I37" i="34"/>
  <c r="AO37" i="34"/>
  <c r="AG37" i="34"/>
  <c r="Y37" i="34"/>
  <c r="Q37" i="34"/>
  <c r="AJ45" i="34"/>
  <c r="S45" i="34"/>
  <c r="O53" i="34"/>
  <c r="AL53" i="34"/>
  <c r="AJ61" i="34"/>
  <c r="V61" i="34"/>
  <c r="O69" i="34"/>
  <c r="AL69" i="34"/>
  <c r="AK374" i="31" s="1"/>
  <c r="O85" i="34"/>
  <c r="AL85" i="34"/>
  <c r="AJ93" i="34"/>
  <c r="V93" i="34"/>
  <c r="AM101" i="34"/>
  <c r="T101" i="34"/>
  <c r="AM117" i="34"/>
  <c r="AN117" i="34"/>
  <c r="K10" i="34"/>
  <c r="AA10" i="34"/>
  <c r="I11" i="34"/>
  <c r="Y11" i="34"/>
  <c r="AO11" i="34"/>
  <c r="AN316" i="31" s="1"/>
  <c r="AI12" i="34"/>
  <c r="AG13" i="34"/>
  <c r="W14" i="34"/>
  <c r="AM14" i="34"/>
  <c r="AL319" i="31" s="1"/>
  <c r="O16" i="34"/>
  <c r="I17" i="34"/>
  <c r="Y17" i="34"/>
  <c r="AO17" i="34"/>
  <c r="W18" i="34"/>
  <c r="M19" i="34"/>
  <c r="AA20" i="34"/>
  <c r="AP25" i="34"/>
  <c r="AO330" i="31" s="1"/>
  <c r="AL27" i="34"/>
  <c r="R34" i="34"/>
  <c r="S36" i="34"/>
  <c r="AA42" i="34"/>
  <c r="X45" i="34"/>
  <c r="S51" i="34"/>
  <c r="L58" i="34"/>
  <c r="M70" i="34"/>
  <c r="Z75" i="34"/>
  <c r="U82" i="34"/>
  <c r="N89" i="34"/>
  <c r="J100" i="34"/>
  <c r="AB131" i="34"/>
  <c r="Q11" i="34"/>
  <c r="AG11" i="34"/>
  <c r="Q17" i="34"/>
  <c r="AG17" i="34"/>
  <c r="AL30" i="34"/>
  <c r="AK335" i="31" s="1"/>
  <c r="AH30" i="34"/>
  <c r="R30" i="34"/>
  <c r="AF30" i="34"/>
  <c r="P30" i="34"/>
  <c r="AE30" i="34"/>
  <c r="O30" i="34"/>
  <c r="AA30" i="34"/>
  <c r="K30" i="34"/>
  <c r="AN30" i="34"/>
  <c r="AM335" i="31" s="1"/>
  <c r="X30" i="34"/>
  <c r="AM30" i="34"/>
  <c r="AL335" i="31" s="1"/>
  <c r="W30" i="34"/>
  <c r="T46" i="34"/>
  <c r="R46" i="34"/>
  <c r="M46" i="34"/>
  <c r="L46" i="34"/>
  <c r="AH46" i="34"/>
  <c r="AC46" i="34"/>
  <c r="AJ62" i="34"/>
  <c r="AH62" i="34"/>
  <c r="AG62" i="35" s="1"/>
  <c r="AC62" i="34"/>
  <c r="AB62" i="34"/>
  <c r="R62" i="34"/>
  <c r="M62" i="34"/>
  <c r="T78" i="34"/>
  <c r="R78" i="34"/>
  <c r="M78" i="34"/>
  <c r="L78" i="34"/>
  <c r="AH78" i="34"/>
  <c r="AC78" i="34"/>
  <c r="M86" i="34"/>
  <c r="L86" i="34"/>
  <c r="AJ86" i="34"/>
  <c r="AH86" i="34"/>
  <c r="AB86" i="34"/>
  <c r="T86" i="34"/>
  <c r="AJ94" i="34"/>
  <c r="AH94" i="34"/>
  <c r="AC94" i="34"/>
  <c r="AB94" i="34"/>
  <c r="R94" i="34"/>
  <c r="M94" i="34"/>
  <c r="AL126" i="34"/>
  <c r="AK431" i="31" s="1"/>
  <c r="AI126" i="34"/>
  <c r="O10" i="34"/>
  <c r="AE10" i="34"/>
  <c r="M11" i="34"/>
  <c r="AC11" i="34"/>
  <c r="K12" i="34"/>
  <c r="AL12" i="34"/>
  <c r="AO13" i="34"/>
  <c r="AN318" i="31" s="1"/>
  <c r="X14" i="34"/>
  <c r="AN14" i="34"/>
  <c r="AM319" i="31" s="1"/>
  <c r="S16" i="34"/>
  <c r="J17" i="34"/>
  <c r="Z17" i="34"/>
  <c r="AP17" i="34"/>
  <c r="N19" i="34"/>
  <c r="AL20" i="34"/>
  <c r="R26" i="34"/>
  <c r="S28" i="34"/>
  <c r="S32" i="34"/>
  <c r="AA34" i="34"/>
  <c r="M37" i="34"/>
  <c r="I41" i="34"/>
  <c r="AB46" i="34"/>
  <c r="AN51" i="34"/>
  <c r="AB65" i="34"/>
  <c r="P76" i="34"/>
  <c r="AP82" i="34"/>
  <c r="AL89" i="34"/>
  <c r="Z102" i="34"/>
  <c r="AP112" i="34"/>
  <c r="AO417" i="31" s="1"/>
  <c r="AO142" i="34"/>
  <c r="AN49" i="34"/>
  <c r="AM49" i="35" s="1"/>
  <c r="AM49" i="34"/>
  <c r="AL49" i="35" s="1"/>
  <c r="AL49" i="34"/>
  <c r="AD49" i="34"/>
  <c r="AB49" i="34"/>
  <c r="AA49" i="35" s="1"/>
  <c r="V49" i="34"/>
  <c r="N49" i="34"/>
  <c r="AN97" i="34"/>
  <c r="AB97" i="34"/>
  <c r="W97" i="34"/>
  <c r="V97" i="34"/>
  <c r="N97" i="34"/>
  <c r="AM97" i="34"/>
  <c r="AL97" i="34"/>
  <c r="AL18" i="34"/>
  <c r="AP18" i="34"/>
  <c r="AN18" i="34"/>
  <c r="AI18" i="34"/>
  <c r="AH18" i="34"/>
  <c r="R17" i="34"/>
  <c r="P18" i="34"/>
  <c r="AL38" i="34"/>
  <c r="AK38" i="35" s="1"/>
  <c r="AA38" i="34"/>
  <c r="Z38" i="35" s="1"/>
  <c r="K38" i="34"/>
  <c r="AP38" i="34"/>
  <c r="Z38" i="34"/>
  <c r="Y38" i="35" s="1"/>
  <c r="J38" i="34"/>
  <c r="AN38" i="34"/>
  <c r="AM38" i="35" s="1"/>
  <c r="X38" i="34"/>
  <c r="W38" i="35" s="1"/>
  <c r="AM38" i="34"/>
  <c r="AL38" i="35" s="1"/>
  <c r="W38" i="34"/>
  <c r="V38" i="35" s="1"/>
  <c r="AH38" i="34"/>
  <c r="AG38" i="35" s="1"/>
  <c r="R38" i="34"/>
  <c r="AF38" i="34"/>
  <c r="AE38" i="35" s="1"/>
  <c r="P38" i="34"/>
  <c r="M54" i="34"/>
  <c r="L54" i="34"/>
  <c r="AJ54" i="34"/>
  <c r="AH54" i="34"/>
  <c r="AB54" i="34"/>
  <c r="T54" i="34"/>
  <c r="AC70" i="34"/>
  <c r="AB70" i="34"/>
  <c r="T70" i="34"/>
  <c r="R70" i="34"/>
  <c r="L70" i="34"/>
  <c r="AJ70" i="34"/>
  <c r="AH110" i="34"/>
  <c r="AD110" i="34"/>
  <c r="Z110" i="34"/>
  <c r="M110" i="34"/>
  <c r="J110" i="34"/>
  <c r="AL23" i="34"/>
  <c r="AK328" i="31" s="1"/>
  <c r="I23" i="34"/>
  <c r="AO23" i="34"/>
  <c r="AN328" i="31" s="1"/>
  <c r="AO31" i="34"/>
  <c r="Y31" i="34"/>
  <c r="I31" i="34"/>
  <c r="AL39" i="34"/>
  <c r="I39" i="34"/>
  <c r="AO39" i="34"/>
  <c r="AA55" i="34"/>
  <c r="AH55" i="34"/>
  <c r="AA71" i="34"/>
  <c r="AH71" i="34"/>
  <c r="AA87" i="34"/>
  <c r="Z87" i="35" s="1"/>
  <c r="AH87" i="34"/>
  <c r="P10" i="34"/>
  <c r="AF10" i="34"/>
  <c r="N11" i="34"/>
  <c r="AD11" i="34"/>
  <c r="O12" i="34"/>
  <c r="AM12" i="34"/>
  <c r="J14" i="34"/>
  <c r="Z14" i="34"/>
  <c r="AP14" i="34"/>
  <c r="AO319" i="31" s="1"/>
  <c r="W16" i="34"/>
  <c r="L17" i="34"/>
  <c r="AB17" i="34"/>
  <c r="J18" i="34"/>
  <c r="Z18" i="34"/>
  <c r="U19" i="34"/>
  <c r="M21" i="34"/>
  <c r="AI28" i="34"/>
  <c r="AH34" i="34"/>
  <c r="AC37" i="34"/>
  <c r="M41" i="34"/>
  <c r="I43" i="34"/>
  <c r="AJ46" i="34"/>
  <c r="AF52" i="34"/>
  <c r="J59" i="34"/>
  <c r="AM65" i="34"/>
  <c r="V77" i="34"/>
  <c r="S83" i="34"/>
  <c r="L97" i="34"/>
  <c r="T33" i="34"/>
  <c r="AL26" i="34"/>
  <c r="AF26" i="34"/>
  <c r="P26" i="34"/>
  <c r="AE26" i="34"/>
  <c r="O26" i="34"/>
  <c r="AA26" i="34"/>
  <c r="K26" i="34"/>
  <c r="AP26" i="34"/>
  <c r="Z26" i="34"/>
  <c r="J26" i="34"/>
  <c r="AM26" i="34"/>
  <c r="W26" i="34"/>
  <c r="AI26" i="34"/>
  <c r="S26" i="34"/>
  <c r="AL42" i="34"/>
  <c r="AI42" i="34"/>
  <c r="S42" i="34"/>
  <c r="AH42" i="34"/>
  <c r="AG42" i="35" s="1"/>
  <c r="R42" i="34"/>
  <c r="AF42" i="34"/>
  <c r="P42" i="34"/>
  <c r="AE42" i="34"/>
  <c r="O42" i="34"/>
  <c r="AP42" i="34"/>
  <c r="Z42" i="34"/>
  <c r="J42" i="34"/>
  <c r="AN42" i="34"/>
  <c r="X42" i="34"/>
  <c r="AC58" i="34"/>
  <c r="AB58" i="34"/>
  <c r="Z58" i="34"/>
  <c r="U58" i="34"/>
  <c r="T58" i="34"/>
  <c r="AP58" i="34"/>
  <c r="J58" i="34"/>
  <c r="AK58" i="34"/>
  <c r="AC74" i="34"/>
  <c r="AB74" i="35" s="1"/>
  <c r="L74" i="34"/>
  <c r="AP74" i="34"/>
  <c r="J74" i="34"/>
  <c r="AK74" i="34"/>
  <c r="AJ74" i="34"/>
  <c r="AI74" i="35" s="1"/>
  <c r="Z74" i="34"/>
  <c r="U74" i="34"/>
  <c r="AC90" i="34"/>
  <c r="AB90" i="34"/>
  <c r="Z90" i="34"/>
  <c r="U90" i="34"/>
  <c r="T90" i="34"/>
  <c r="AP90" i="34"/>
  <c r="J90" i="34"/>
  <c r="AK90" i="34"/>
  <c r="V114" i="34"/>
  <c r="AL114" i="34"/>
  <c r="AK114" i="35" s="1"/>
  <c r="N114" i="34"/>
  <c r="AD130" i="34"/>
  <c r="AA130" i="34"/>
  <c r="N130" i="34"/>
  <c r="U11" i="34"/>
  <c r="AK11" i="34"/>
  <c r="AJ316" i="31" s="1"/>
  <c r="AH17" i="34"/>
  <c r="AF18" i="34"/>
  <c r="AO41" i="34"/>
  <c r="AN346" i="31" s="1"/>
  <c r="AL22" i="34"/>
  <c r="AK327" i="31" s="1"/>
  <c r="AA22" i="34"/>
  <c r="K22" i="34"/>
  <c r="AP22" i="34"/>
  <c r="AO327" i="31" s="1"/>
  <c r="Z22" i="34"/>
  <c r="AN22" i="34"/>
  <c r="AM327" i="31" s="1"/>
  <c r="X22" i="34"/>
  <c r="AM22" i="34"/>
  <c r="AL327" i="31" s="1"/>
  <c r="W22" i="34"/>
  <c r="AH22" i="34"/>
  <c r="R22" i="34"/>
  <c r="AF22" i="34"/>
  <c r="P22" i="34"/>
  <c r="U102" i="34"/>
  <c r="R102" i="34"/>
  <c r="AL102" i="34"/>
  <c r="AC102" i="34"/>
  <c r="AD24" i="34"/>
  <c r="AA24" i="34"/>
  <c r="W24" i="34"/>
  <c r="S24" i="34"/>
  <c r="K24" i="34"/>
  <c r="AM24" i="34"/>
  <c r="K32" i="34"/>
  <c r="AM32" i="34"/>
  <c r="AA32" i="34"/>
  <c r="W32" i="34"/>
  <c r="AM40" i="34"/>
  <c r="AI40" i="34"/>
  <c r="AA40" i="34"/>
  <c r="W40" i="34"/>
  <c r="K40" i="34"/>
  <c r="AN48" i="34"/>
  <c r="AM353" i="31" s="1"/>
  <c r="X48" i="34"/>
  <c r="P48" i="34"/>
  <c r="X56" i="34"/>
  <c r="AN56" i="34"/>
  <c r="X64" i="34"/>
  <c r="P64" i="34"/>
  <c r="AN72" i="34"/>
  <c r="AF72" i="34"/>
  <c r="AN80" i="34"/>
  <c r="X80" i="34"/>
  <c r="P80" i="34"/>
  <c r="X88" i="34"/>
  <c r="AN88" i="34"/>
  <c r="AN96" i="34"/>
  <c r="X96" i="34"/>
  <c r="R10" i="34"/>
  <c r="AH10" i="34"/>
  <c r="P11" i="34"/>
  <c r="AF11" i="34"/>
  <c r="S12" i="34"/>
  <c r="I13" i="34"/>
  <c r="K14" i="34"/>
  <c r="AA14" i="34"/>
  <c r="M17" i="34"/>
  <c r="AC17" i="34"/>
  <c r="K18" i="34"/>
  <c r="AA18" i="34"/>
  <c r="Y19" i="34"/>
  <c r="AC21" i="34"/>
  <c r="AB21" i="35" s="1"/>
  <c r="AI24" i="34"/>
  <c r="AH26" i="34"/>
  <c r="AC29" i="34"/>
  <c r="M33" i="34"/>
  <c r="I35" i="34"/>
  <c r="O38" i="34"/>
  <c r="Y41" i="34"/>
  <c r="U43" i="34"/>
  <c r="L49" i="34"/>
  <c r="R54" i="34"/>
  <c r="AH59" i="34"/>
  <c r="Z66" i="34"/>
  <c r="V73" i="34"/>
  <c r="AB78" i="34"/>
  <c r="AN83" i="34"/>
  <c r="AJ90" i="34"/>
  <c r="AD97" i="34"/>
  <c r="AE105" i="34"/>
  <c r="AD105" i="35" s="1"/>
  <c r="AA115" i="34"/>
  <c r="AJ15" i="34"/>
  <c r="AB15" i="34"/>
  <c r="T15" i="34"/>
  <c r="L15" i="34"/>
  <c r="AI15" i="34"/>
  <c r="AA15" i="34"/>
  <c r="S15" i="34"/>
  <c r="K15" i="34"/>
  <c r="AP15" i="34"/>
  <c r="AO320" i="31" s="1"/>
  <c r="AH15" i="34"/>
  <c r="Z15" i="34"/>
  <c r="R15" i="34"/>
  <c r="J15" i="34"/>
  <c r="AM15" i="34"/>
  <c r="AL320" i="31" s="1"/>
  <c r="AE15" i="34"/>
  <c r="W15" i="34"/>
  <c r="O15" i="34"/>
  <c r="AJ31" i="34"/>
  <c r="AB31" i="34"/>
  <c r="T31" i="34"/>
  <c r="L31" i="34"/>
  <c r="AI31" i="34"/>
  <c r="AA31" i="34"/>
  <c r="Z31" i="35" s="1"/>
  <c r="S31" i="34"/>
  <c r="R31" i="35" s="1"/>
  <c r="K31" i="34"/>
  <c r="AP31" i="34"/>
  <c r="AH31" i="34"/>
  <c r="Z31" i="34"/>
  <c r="R31" i="34"/>
  <c r="J31" i="34"/>
  <c r="AM31" i="34"/>
  <c r="AL31" i="35" s="1"/>
  <c r="AE31" i="34"/>
  <c r="W31" i="34"/>
  <c r="V31" i="35" s="1"/>
  <c r="O31" i="34"/>
  <c r="AM47" i="34"/>
  <c r="AE47" i="34"/>
  <c r="W47" i="34"/>
  <c r="O47" i="34"/>
  <c r="AL47" i="34"/>
  <c r="AD47" i="34"/>
  <c r="V47" i="34"/>
  <c r="N47" i="34"/>
  <c r="AK47" i="34"/>
  <c r="AC47" i="34"/>
  <c r="U47" i="34"/>
  <c r="M47" i="34"/>
  <c r="AO47" i="34"/>
  <c r="AG47" i="34"/>
  <c r="Y47" i="34"/>
  <c r="Q47" i="34"/>
  <c r="I47" i="34"/>
  <c r="AN47" i="34"/>
  <c r="X47" i="34"/>
  <c r="AJ47" i="34"/>
  <c r="T47" i="34"/>
  <c r="AI47" i="34"/>
  <c r="S47" i="34"/>
  <c r="AB47" i="34"/>
  <c r="L47" i="34"/>
  <c r="AM63" i="34"/>
  <c r="AL368" i="31" s="1"/>
  <c r="AE63" i="34"/>
  <c r="W63" i="34"/>
  <c r="O63" i="34"/>
  <c r="AL63" i="34"/>
  <c r="AK368" i="31" s="1"/>
  <c r="AD63" i="34"/>
  <c r="V63" i="34"/>
  <c r="N63" i="34"/>
  <c r="AK63" i="34"/>
  <c r="AJ368" i="31" s="1"/>
  <c r="AC63" i="34"/>
  <c r="U63" i="34"/>
  <c r="M63" i="34"/>
  <c r="AO63" i="34"/>
  <c r="AN368" i="31" s="1"/>
  <c r="AG63" i="34"/>
  <c r="Y63" i="34"/>
  <c r="Q63" i="34"/>
  <c r="I63" i="34"/>
  <c r="AN63" i="34"/>
  <c r="AM368" i="31" s="1"/>
  <c r="X63" i="34"/>
  <c r="AJ63" i="34"/>
  <c r="T63" i="34"/>
  <c r="AI63" i="34"/>
  <c r="S63" i="34"/>
  <c r="AB63" i="34"/>
  <c r="L63" i="34"/>
  <c r="AM79" i="34"/>
  <c r="AE79" i="34"/>
  <c r="W79" i="34"/>
  <c r="O79" i="34"/>
  <c r="AL79" i="34"/>
  <c r="AD79" i="34"/>
  <c r="V79" i="34"/>
  <c r="N79" i="34"/>
  <c r="AK79" i="34"/>
  <c r="AC79" i="34"/>
  <c r="U79" i="34"/>
  <c r="M79" i="34"/>
  <c r="AO79" i="34"/>
  <c r="AG79" i="34"/>
  <c r="Y79" i="34"/>
  <c r="Q79" i="34"/>
  <c r="I79" i="34"/>
  <c r="AN79" i="34"/>
  <c r="X79" i="34"/>
  <c r="AJ79" i="34"/>
  <c r="T79" i="34"/>
  <c r="AI79" i="34"/>
  <c r="S79" i="34"/>
  <c r="AB79" i="34"/>
  <c r="L79" i="34"/>
  <c r="AM95" i="34"/>
  <c r="AE95" i="34"/>
  <c r="W95" i="34"/>
  <c r="O95" i="34"/>
  <c r="AL95" i="34"/>
  <c r="AK95" i="35" s="1"/>
  <c r="AD95" i="34"/>
  <c r="V95" i="34"/>
  <c r="N95" i="34"/>
  <c r="AK95" i="34"/>
  <c r="AC95" i="34"/>
  <c r="U95" i="34"/>
  <c r="M95" i="34"/>
  <c r="AO95" i="34"/>
  <c r="AG95" i="34"/>
  <c r="Y95" i="34"/>
  <c r="Q95" i="34"/>
  <c r="I95" i="34"/>
  <c r="AN95" i="34"/>
  <c r="X95" i="34"/>
  <c r="AJ95" i="34"/>
  <c r="T95" i="34"/>
  <c r="AI95" i="34"/>
  <c r="S95" i="34"/>
  <c r="AB95" i="34"/>
  <c r="L95" i="34"/>
  <c r="AM111" i="34"/>
  <c r="AE111" i="34"/>
  <c r="W111" i="34"/>
  <c r="O111" i="34"/>
  <c r="AL111" i="34"/>
  <c r="AD111" i="34"/>
  <c r="V111" i="34"/>
  <c r="N111" i="34"/>
  <c r="AK111" i="34"/>
  <c r="AJ416" i="31" s="1"/>
  <c r="AC111" i="34"/>
  <c r="U111" i="34"/>
  <c r="M111" i="34"/>
  <c r="AP111" i="34"/>
  <c r="AH111" i="34"/>
  <c r="Z111" i="34"/>
  <c r="R111" i="34"/>
  <c r="J111" i="34"/>
  <c r="AO111" i="34"/>
  <c r="AG111" i="34"/>
  <c r="Y111" i="34"/>
  <c r="Q111" i="34"/>
  <c r="I111" i="34"/>
  <c r="AB111" i="34"/>
  <c r="AA111" i="34"/>
  <c r="X111" i="34"/>
  <c r="AJ111" i="34"/>
  <c r="P111" i="34"/>
  <c r="AI127" i="34"/>
  <c r="AH127" i="35" s="1"/>
  <c r="AA127" i="34"/>
  <c r="S127" i="34"/>
  <c r="K127" i="34"/>
  <c r="AP127" i="34"/>
  <c r="AH127" i="34"/>
  <c r="AG127" i="35" s="1"/>
  <c r="Z127" i="34"/>
  <c r="R127" i="34"/>
  <c r="J127" i="34"/>
  <c r="AN127" i="34"/>
  <c r="AM127" i="35" s="1"/>
  <c r="AF127" i="34"/>
  <c r="X127" i="34"/>
  <c r="P127" i="34"/>
  <c r="AM127" i="34"/>
  <c r="AL127" i="35" s="1"/>
  <c r="AE127" i="34"/>
  <c r="W127" i="34"/>
  <c r="V127" i="35" s="1"/>
  <c r="O127" i="34"/>
  <c r="AL127" i="34"/>
  <c r="AK127" i="35" s="1"/>
  <c r="AD127" i="34"/>
  <c r="AC127" i="35" s="1"/>
  <c r="V127" i="34"/>
  <c r="U127" i="35" s="1"/>
  <c r="N127" i="34"/>
  <c r="M127" i="35" s="1"/>
  <c r="AK127" i="34"/>
  <c r="AJ127" i="35" s="1"/>
  <c r="AC127" i="34"/>
  <c r="U127" i="34"/>
  <c r="M127" i="34"/>
  <c r="Q127" i="34"/>
  <c r="L127" i="34"/>
  <c r="AO127" i="34"/>
  <c r="I127" i="34"/>
  <c r="AB127" i="34"/>
  <c r="AA127" i="35" s="1"/>
  <c r="Y127" i="34"/>
  <c r="X127" i="35" s="1"/>
  <c r="T127" i="34"/>
  <c r="S127" i="35" s="1"/>
  <c r="AL143" i="34"/>
  <c r="AD143" i="34"/>
  <c r="V143" i="34"/>
  <c r="N143" i="34"/>
  <c r="AK143" i="34"/>
  <c r="AC143" i="34"/>
  <c r="U143" i="34"/>
  <c r="M143" i="34"/>
  <c r="AJ143" i="34"/>
  <c r="AB143" i="34"/>
  <c r="T143" i="34"/>
  <c r="L143" i="34"/>
  <c r="AI143" i="34"/>
  <c r="AA143" i="34"/>
  <c r="S143" i="34"/>
  <c r="K143" i="34"/>
  <c r="AP143" i="34"/>
  <c r="AO448" i="31" s="1"/>
  <c r="AH143" i="34"/>
  <c r="Z143" i="34"/>
  <c r="R143" i="34"/>
  <c r="J143" i="34"/>
  <c r="AO143" i="34"/>
  <c r="AG143" i="34"/>
  <c r="Y143" i="34"/>
  <c r="Q143" i="34"/>
  <c r="P143" i="35" s="1"/>
  <c r="I143" i="34"/>
  <c r="AF143" i="34"/>
  <c r="AE143" i="34"/>
  <c r="W143" i="34"/>
  <c r="P143" i="34"/>
  <c r="O143" i="34"/>
  <c r="AN143" i="34"/>
  <c r="AM143" i="34"/>
  <c r="X143" i="34"/>
  <c r="AL159" i="34"/>
  <c r="AD159" i="34"/>
  <c r="V159" i="34"/>
  <c r="N159" i="34"/>
  <c r="AK159" i="34"/>
  <c r="AC159" i="34"/>
  <c r="U159" i="34"/>
  <c r="T159" i="35" s="1"/>
  <c r="M159" i="34"/>
  <c r="AJ159" i="34"/>
  <c r="AB159" i="34"/>
  <c r="T159" i="34"/>
  <c r="L159" i="34"/>
  <c r="AI159" i="34"/>
  <c r="AA159" i="34"/>
  <c r="S159" i="34"/>
  <c r="K159" i="34"/>
  <c r="AP159" i="34"/>
  <c r="AH159" i="34"/>
  <c r="Z159" i="34"/>
  <c r="R159" i="34"/>
  <c r="J159" i="34"/>
  <c r="AO159" i="34"/>
  <c r="AG159" i="34"/>
  <c r="Y159" i="34"/>
  <c r="Q159" i="34"/>
  <c r="I159" i="34"/>
  <c r="AF159" i="34"/>
  <c r="AE159" i="34"/>
  <c r="W159" i="34"/>
  <c r="P159" i="34"/>
  <c r="O159" i="34"/>
  <c r="N159" i="35" s="1"/>
  <c r="AN159" i="34"/>
  <c r="X159" i="34"/>
  <c r="AL175" i="34"/>
  <c r="AK480" i="31" s="1"/>
  <c r="AD175" i="34"/>
  <c r="V175" i="34"/>
  <c r="N175" i="34"/>
  <c r="AK175" i="34"/>
  <c r="AJ480" i="31" s="1"/>
  <c r="AC175" i="34"/>
  <c r="U175" i="34"/>
  <c r="M175" i="34"/>
  <c r="AJ175" i="34"/>
  <c r="AB175" i="34"/>
  <c r="T175" i="34"/>
  <c r="L175" i="34"/>
  <c r="AI175" i="34"/>
  <c r="AA175" i="34"/>
  <c r="S175" i="34"/>
  <c r="K175" i="34"/>
  <c r="AP175" i="34"/>
  <c r="AO480" i="31" s="1"/>
  <c r="AH175" i="34"/>
  <c r="Z175" i="34"/>
  <c r="R175" i="34"/>
  <c r="J175" i="34"/>
  <c r="AO175" i="34"/>
  <c r="AN480" i="31" s="1"/>
  <c r="AG175" i="34"/>
  <c r="Y175" i="34"/>
  <c r="Q175" i="34"/>
  <c r="I175" i="34"/>
  <c r="AF175" i="34"/>
  <c r="AE175" i="34"/>
  <c r="W175" i="34"/>
  <c r="P175" i="34"/>
  <c r="O175" i="34"/>
  <c r="AN175" i="34"/>
  <c r="AM480" i="31" s="1"/>
  <c r="AM175" i="34"/>
  <c r="AL480" i="31" s="1"/>
  <c r="X175" i="34"/>
  <c r="AL191" i="34"/>
  <c r="AK191" i="35" s="1"/>
  <c r="AD191" i="34"/>
  <c r="AC191" i="35" s="1"/>
  <c r="V191" i="34"/>
  <c r="U191" i="35" s="1"/>
  <c r="N191" i="34"/>
  <c r="M191" i="35" s="1"/>
  <c r="AK191" i="34"/>
  <c r="AC191" i="34"/>
  <c r="AB191" i="35" s="1"/>
  <c r="U191" i="34"/>
  <c r="T191" i="35" s="1"/>
  <c r="M191" i="34"/>
  <c r="L191" i="35" s="1"/>
  <c r="AJ191" i="34"/>
  <c r="AI191" i="35" s="1"/>
  <c r="AB191" i="34"/>
  <c r="AA191" i="35" s="1"/>
  <c r="T191" i="34"/>
  <c r="S191" i="35" s="1"/>
  <c r="L191" i="34"/>
  <c r="K191" i="35" s="1"/>
  <c r="AI191" i="34"/>
  <c r="AA191" i="34"/>
  <c r="Z191" i="35" s="1"/>
  <c r="S191" i="34"/>
  <c r="R191" i="35" s="1"/>
  <c r="K191" i="34"/>
  <c r="J191" i="35" s="1"/>
  <c r="AP191" i="34"/>
  <c r="AH191" i="34"/>
  <c r="AG191" i="35" s="1"/>
  <c r="Z191" i="34"/>
  <c r="Y191" i="35" s="1"/>
  <c r="R191" i="34"/>
  <c r="Q191" i="35" s="1"/>
  <c r="J191" i="34"/>
  <c r="I191" i="35" s="1"/>
  <c r="AO191" i="34"/>
  <c r="AG191" i="34"/>
  <c r="AF191" i="35" s="1"/>
  <c r="Y191" i="34"/>
  <c r="X191" i="35" s="1"/>
  <c r="Q191" i="34"/>
  <c r="P191" i="35" s="1"/>
  <c r="I191" i="34"/>
  <c r="AF191" i="34"/>
  <c r="AE191" i="35" s="1"/>
  <c r="AE191" i="34"/>
  <c r="AD191" i="35" s="1"/>
  <c r="W191" i="34"/>
  <c r="V191" i="35" s="1"/>
  <c r="P191" i="34"/>
  <c r="O191" i="35" s="1"/>
  <c r="O191" i="34"/>
  <c r="N191" i="35" s="1"/>
  <c r="AN191" i="34"/>
  <c r="AM191" i="35" s="1"/>
  <c r="X191" i="34"/>
  <c r="W191" i="35" s="1"/>
  <c r="AO207" i="34"/>
  <c r="AG207" i="34"/>
  <c r="Y207" i="34"/>
  <c r="X207" i="35" s="1"/>
  <c r="Q207" i="34"/>
  <c r="I207" i="34"/>
  <c r="AN207" i="34"/>
  <c r="AF207" i="34"/>
  <c r="X207" i="34"/>
  <c r="P207" i="34"/>
  <c r="AM207" i="34"/>
  <c r="AE207" i="34"/>
  <c r="W207" i="34"/>
  <c r="O207" i="34"/>
  <c r="AL207" i="34"/>
  <c r="AD207" i="34"/>
  <c r="V207" i="34"/>
  <c r="N207" i="34"/>
  <c r="AK207" i="34"/>
  <c r="AC207" i="34"/>
  <c r="U207" i="34"/>
  <c r="M207" i="34"/>
  <c r="AJ207" i="34"/>
  <c r="AB207" i="34"/>
  <c r="T207" i="34"/>
  <c r="L207" i="34"/>
  <c r="AA207" i="34"/>
  <c r="Z207" i="34"/>
  <c r="S207" i="34"/>
  <c r="R207" i="34"/>
  <c r="K207" i="34"/>
  <c r="AP207" i="34"/>
  <c r="J207" i="34"/>
  <c r="AI207" i="34"/>
  <c r="AH207" i="34"/>
  <c r="AO223" i="34"/>
  <c r="AG223" i="34"/>
  <c r="Y223" i="34"/>
  <c r="Q223" i="34"/>
  <c r="I223" i="34"/>
  <c r="AN223" i="34"/>
  <c r="AF223" i="34"/>
  <c r="X223" i="34"/>
  <c r="P223" i="34"/>
  <c r="AM223" i="34"/>
  <c r="AE223" i="34"/>
  <c r="W223" i="34"/>
  <c r="O223" i="34"/>
  <c r="AL223" i="34"/>
  <c r="AD223" i="34"/>
  <c r="V223" i="34"/>
  <c r="N223" i="34"/>
  <c r="M223" i="35" s="1"/>
  <c r="AK223" i="34"/>
  <c r="AC223" i="34"/>
  <c r="U223" i="34"/>
  <c r="M223" i="34"/>
  <c r="AJ223" i="34"/>
  <c r="AB223" i="34"/>
  <c r="T223" i="34"/>
  <c r="L223" i="34"/>
  <c r="AA223" i="34"/>
  <c r="Z223" i="34"/>
  <c r="S223" i="34"/>
  <c r="R223" i="34"/>
  <c r="K223" i="34"/>
  <c r="AP223" i="34"/>
  <c r="J223" i="34"/>
  <c r="AI223" i="34"/>
  <c r="AH223" i="34"/>
  <c r="AK239" i="34"/>
  <c r="AC239" i="34"/>
  <c r="U239" i="34"/>
  <c r="M239" i="34"/>
  <c r="AJ239" i="34"/>
  <c r="AB239" i="34"/>
  <c r="T239" i="34"/>
  <c r="L239" i="34"/>
  <c r="AI239" i="34"/>
  <c r="AA239" i="34"/>
  <c r="S239" i="34"/>
  <c r="K239" i="34"/>
  <c r="J239" i="35" s="1"/>
  <c r="AP239" i="34"/>
  <c r="AH239" i="34"/>
  <c r="Z239" i="34"/>
  <c r="R239" i="34"/>
  <c r="J239" i="34"/>
  <c r="AD239" i="34"/>
  <c r="N239" i="34"/>
  <c r="AO239" i="34"/>
  <c r="Y239" i="34"/>
  <c r="I239" i="34"/>
  <c r="AN239" i="34"/>
  <c r="X239" i="34"/>
  <c r="AM239" i="34"/>
  <c r="W239" i="34"/>
  <c r="AL239" i="34"/>
  <c r="V239" i="34"/>
  <c r="AG239" i="34"/>
  <c r="Q239" i="34"/>
  <c r="AF239" i="34"/>
  <c r="AE239" i="35" s="1"/>
  <c r="AE239" i="34"/>
  <c r="P239" i="34"/>
  <c r="O239" i="34"/>
  <c r="AM255" i="34"/>
  <c r="AE255" i="34"/>
  <c r="W255" i="34"/>
  <c r="O255" i="34"/>
  <c r="AL255" i="34"/>
  <c r="AD255" i="34"/>
  <c r="V255" i="34"/>
  <c r="N255" i="34"/>
  <c r="AK255" i="34"/>
  <c r="AC255" i="34"/>
  <c r="U255" i="34"/>
  <c r="M255" i="34"/>
  <c r="AJ255" i="34"/>
  <c r="AB255" i="34"/>
  <c r="T255" i="34"/>
  <c r="L255" i="34"/>
  <c r="AP255" i="34"/>
  <c r="AH255" i="34"/>
  <c r="Z255" i="34"/>
  <c r="R255" i="34"/>
  <c r="J255" i="34"/>
  <c r="AN255" i="34"/>
  <c r="Q255" i="34"/>
  <c r="AI255" i="34"/>
  <c r="P255" i="34"/>
  <c r="AG255" i="34"/>
  <c r="K255" i="34"/>
  <c r="AF255" i="34"/>
  <c r="I255" i="34"/>
  <c r="AA255" i="34"/>
  <c r="AO255" i="34"/>
  <c r="Y255" i="34"/>
  <c r="X255" i="34"/>
  <c r="S255" i="34"/>
  <c r="AM271" i="34"/>
  <c r="AE271" i="34"/>
  <c r="W271" i="34"/>
  <c r="O271" i="34"/>
  <c r="AL271" i="34"/>
  <c r="AD271" i="34"/>
  <c r="V271" i="34"/>
  <c r="N271" i="34"/>
  <c r="AK271" i="34"/>
  <c r="AC271" i="34"/>
  <c r="U271" i="34"/>
  <c r="M271" i="34"/>
  <c r="AJ271" i="34"/>
  <c r="AB271" i="34"/>
  <c r="T271" i="34"/>
  <c r="L271" i="34"/>
  <c r="AP271" i="34"/>
  <c r="AH271" i="34"/>
  <c r="Z271" i="34"/>
  <c r="R271" i="34"/>
  <c r="J271" i="34"/>
  <c r="AA271" i="34"/>
  <c r="Y271" i="34"/>
  <c r="X271" i="34"/>
  <c r="AO271" i="34"/>
  <c r="S271" i="34"/>
  <c r="AN271" i="34"/>
  <c r="Q271" i="34"/>
  <c r="AI271" i="34"/>
  <c r="P271" i="34"/>
  <c r="AG271" i="34"/>
  <c r="AF271" i="34"/>
  <c r="K271" i="34"/>
  <c r="I271" i="34"/>
  <c r="AM279" i="34"/>
  <c r="AL584" i="31" s="1"/>
  <c r="AE279" i="34"/>
  <c r="W279" i="34"/>
  <c r="O279" i="34"/>
  <c r="AL279" i="34"/>
  <c r="AK584" i="31" s="1"/>
  <c r="AD279" i="34"/>
  <c r="V279" i="34"/>
  <c r="N279" i="34"/>
  <c r="AK279" i="34"/>
  <c r="AJ584" i="31" s="1"/>
  <c r="AC279" i="34"/>
  <c r="U279" i="34"/>
  <c r="M279" i="34"/>
  <c r="AJ279" i="34"/>
  <c r="AB279" i="34"/>
  <c r="T279" i="34"/>
  <c r="L279" i="34"/>
  <c r="AP279" i="34"/>
  <c r="AO584" i="31" s="1"/>
  <c r="AH279" i="34"/>
  <c r="Z279" i="34"/>
  <c r="R279" i="34"/>
  <c r="J279" i="34"/>
  <c r="AG279" i="34"/>
  <c r="K279" i="34"/>
  <c r="AF279" i="34"/>
  <c r="I279" i="34"/>
  <c r="AA279" i="34"/>
  <c r="Y279" i="34"/>
  <c r="X279" i="34"/>
  <c r="AO279" i="34"/>
  <c r="AN584" i="31" s="1"/>
  <c r="S279" i="34"/>
  <c r="AN279" i="34"/>
  <c r="AM584" i="31" s="1"/>
  <c r="AI279" i="34"/>
  <c r="Q279" i="34"/>
  <c r="P279" i="34"/>
  <c r="AN295" i="34"/>
  <c r="AF295" i="34"/>
  <c r="X295" i="34"/>
  <c r="P295" i="34"/>
  <c r="AM295" i="34"/>
  <c r="AE295" i="34"/>
  <c r="W295" i="34"/>
  <c r="O295" i="34"/>
  <c r="AL295" i="34"/>
  <c r="AD295" i="34"/>
  <c r="V295" i="34"/>
  <c r="N295" i="34"/>
  <c r="AK295" i="34"/>
  <c r="AC295" i="34"/>
  <c r="U295" i="34"/>
  <c r="M295" i="34"/>
  <c r="AJ295" i="34"/>
  <c r="AB295" i="34"/>
  <c r="T295" i="34"/>
  <c r="L295" i="34"/>
  <c r="AI295" i="34"/>
  <c r="AA295" i="34"/>
  <c r="S295" i="34"/>
  <c r="K295" i="34"/>
  <c r="AP295" i="34"/>
  <c r="AH295" i="34"/>
  <c r="Z295" i="34"/>
  <c r="R295" i="34"/>
  <c r="J295" i="34"/>
  <c r="Y295" i="34"/>
  <c r="Q295" i="34"/>
  <c r="I295" i="34"/>
  <c r="AO295" i="34"/>
  <c r="AG295" i="34"/>
  <c r="U39" i="34"/>
  <c r="AK39" i="34"/>
  <c r="AD53" i="34"/>
  <c r="N61" i="34"/>
  <c r="AP79" i="34"/>
  <c r="AD85" i="34"/>
  <c r="Z87" i="34"/>
  <c r="N93" i="34"/>
  <c r="AP16" i="34"/>
  <c r="AO321" i="31" s="1"/>
  <c r="AH16" i="34"/>
  <c r="Z16" i="34"/>
  <c r="R16" i="34"/>
  <c r="J16" i="34"/>
  <c r="AO16" i="34"/>
  <c r="AN321" i="31" s="1"/>
  <c r="AG16" i="34"/>
  <c r="Y16" i="34"/>
  <c r="Q16" i="34"/>
  <c r="I16" i="34"/>
  <c r="AN16" i="34"/>
  <c r="AM321" i="31" s="1"/>
  <c r="AF16" i="34"/>
  <c r="X16" i="34"/>
  <c r="P16" i="34"/>
  <c r="AK16" i="34"/>
  <c r="AJ321" i="31" s="1"/>
  <c r="AC16" i="34"/>
  <c r="U16" i="34"/>
  <c r="M16" i="34"/>
  <c r="AP24" i="34"/>
  <c r="AH24" i="34"/>
  <c r="Z24" i="34"/>
  <c r="R24" i="34"/>
  <c r="J24" i="34"/>
  <c r="AO24" i="34"/>
  <c r="AG24" i="34"/>
  <c r="Y24" i="34"/>
  <c r="Q24" i="34"/>
  <c r="I24" i="34"/>
  <c r="AN24" i="34"/>
  <c r="AF24" i="34"/>
  <c r="X24" i="34"/>
  <c r="P24" i="34"/>
  <c r="AK24" i="34"/>
  <c r="AC24" i="34"/>
  <c r="U24" i="34"/>
  <c r="M24" i="34"/>
  <c r="AP32" i="34"/>
  <c r="AH32" i="34"/>
  <c r="Z32" i="34"/>
  <c r="R32" i="34"/>
  <c r="J32" i="34"/>
  <c r="AO32" i="34"/>
  <c r="AG32" i="34"/>
  <c r="Y32" i="34"/>
  <c r="Q32" i="34"/>
  <c r="I32" i="34"/>
  <c r="AN32" i="34"/>
  <c r="AF32" i="34"/>
  <c r="X32" i="34"/>
  <c r="P32" i="34"/>
  <c r="AK32" i="34"/>
  <c r="AC32" i="34"/>
  <c r="U32" i="34"/>
  <c r="M32" i="34"/>
  <c r="AP40" i="34"/>
  <c r="AH40" i="34"/>
  <c r="Z40" i="34"/>
  <c r="R40" i="34"/>
  <c r="J40" i="34"/>
  <c r="AO40" i="34"/>
  <c r="AG40" i="34"/>
  <c r="Y40" i="34"/>
  <c r="Q40" i="34"/>
  <c r="I40" i="34"/>
  <c r="AN40" i="34"/>
  <c r="AF40" i="34"/>
  <c r="X40" i="34"/>
  <c r="P40" i="34"/>
  <c r="AK40" i="34"/>
  <c r="AJ345" i="31" s="1"/>
  <c r="AC40" i="34"/>
  <c r="U40" i="34"/>
  <c r="M40" i="34"/>
  <c r="AK48" i="34"/>
  <c r="AJ353" i="31" s="1"/>
  <c r="AC48" i="34"/>
  <c r="U48" i="34"/>
  <c r="M48" i="34"/>
  <c r="AJ48" i="34"/>
  <c r="AB48" i="34"/>
  <c r="T48" i="34"/>
  <c r="L48" i="34"/>
  <c r="AI48" i="34"/>
  <c r="AA48" i="34"/>
  <c r="S48" i="34"/>
  <c r="K48" i="34"/>
  <c r="AM48" i="34"/>
  <c r="AL353" i="31" s="1"/>
  <c r="AE48" i="34"/>
  <c r="W48" i="34"/>
  <c r="O48" i="34"/>
  <c r="AL48" i="34"/>
  <c r="AK353" i="31" s="1"/>
  <c r="V48" i="34"/>
  <c r="AH48" i="34"/>
  <c r="R48" i="34"/>
  <c r="AG48" i="34"/>
  <c r="Q48" i="34"/>
  <c r="AP48" i="34"/>
  <c r="AO353" i="31" s="1"/>
  <c r="Z48" i="34"/>
  <c r="J48" i="34"/>
  <c r="AK56" i="34"/>
  <c r="AC56" i="34"/>
  <c r="U56" i="34"/>
  <c r="M56" i="34"/>
  <c r="AJ56" i="34"/>
  <c r="AB56" i="34"/>
  <c r="T56" i="34"/>
  <c r="L56" i="34"/>
  <c r="AI56" i="34"/>
  <c r="AA56" i="34"/>
  <c r="S56" i="34"/>
  <c r="K56" i="34"/>
  <c r="AM56" i="34"/>
  <c r="AE56" i="34"/>
  <c r="W56" i="34"/>
  <c r="O56" i="34"/>
  <c r="AL56" i="34"/>
  <c r="V56" i="34"/>
  <c r="AH56" i="34"/>
  <c r="R56" i="34"/>
  <c r="AG56" i="34"/>
  <c r="Q56" i="34"/>
  <c r="AP56" i="34"/>
  <c r="Z56" i="34"/>
  <c r="J56" i="34"/>
  <c r="AK64" i="34"/>
  <c r="AC64" i="34"/>
  <c r="U64" i="34"/>
  <c r="M64" i="34"/>
  <c r="AJ64" i="34"/>
  <c r="AB64" i="34"/>
  <c r="T64" i="34"/>
  <c r="L64" i="34"/>
  <c r="AI64" i="34"/>
  <c r="AA64" i="34"/>
  <c r="Z64" i="35" s="1"/>
  <c r="S64" i="34"/>
  <c r="K64" i="34"/>
  <c r="AM64" i="34"/>
  <c r="AE64" i="34"/>
  <c r="AD64" i="35" s="1"/>
  <c r="W64" i="34"/>
  <c r="O64" i="34"/>
  <c r="AL64" i="34"/>
  <c r="V64" i="34"/>
  <c r="AH64" i="34"/>
  <c r="R64" i="34"/>
  <c r="AG64" i="34"/>
  <c r="Q64" i="34"/>
  <c r="AP64" i="34"/>
  <c r="Z64" i="34"/>
  <c r="Y64" i="35" s="1"/>
  <c r="J64" i="34"/>
  <c r="AK72" i="34"/>
  <c r="AC72" i="34"/>
  <c r="U72" i="34"/>
  <c r="M72" i="34"/>
  <c r="AJ72" i="34"/>
  <c r="AB72" i="34"/>
  <c r="T72" i="34"/>
  <c r="L72" i="34"/>
  <c r="AI72" i="34"/>
  <c r="AA72" i="34"/>
  <c r="S72" i="34"/>
  <c r="K72" i="34"/>
  <c r="AM72" i="34"/>
  <c r="AE72" i="34"/>
  <c r="W72" i="34"/>
  <c r="O72" i="34"/>
  <c r="AL72" i="34"/>
  <c r="V72" i="34"/>
  <c r="AH72" i="34"/>
  <c r="R72" i="34"/>
  <c r="AG72" i="34"/>
  <c r="Q72" i="34"/>
  <c r="AP72" i="34"/>
  <c r="Z72" i="34"/>
  <c r="J72" i="34"/>
  <c r="AK80" i="34"/>
  <c r="AC80" i="34"/>
  <c r="U80" i="34"/>
  <c r="M80" i="34"/>
  <c r="AJ80" i="34"/>
  <c r="AB80" i="34"/>
  <c r="T80" i="34"/>
  <c r="L80" i="34"/>
  <c r="AI80" i="34"/>
  <c r="AA80" i="34"/>
  <c r="S80" i="34"/>
  <c r="K80" i="34"/>
  <c r="AM80" i="34"/>
  <c r="AE80" i="34"/>
  <c r="W80" i="34"/>
  <c r="O80" i="34"/>
  <c r="AL80" i="34"/>
  <c r="V80" i="34"/>
  <c r="AH80" i="34"/>
  <c r="R80" i="34"/>
  <c r="AG80" i="34"/>
  <c r="Q80" i="34"/>
  <c r="AP80" i="34"/>
  <c r="Z80" i="34"/>
  <c r="J80" i="34"/>
  <c r="AK88" i="34"/>
  <c r="AC88" i="34"/>
  <c r="U88" i="34"/>
  <c r="M88" i="34"/>
  <c r="AJ88" i="34"/>
  <c r="AB88" i="34"/>
  <c r="T88" i="34"/>
  <c r="S88" i="35" s="1"/>
  <c r="L88" i="34"/>
  <c r="AI88" i="34"/>
  <c r="AA88" i="34"/>
  <c r="S88" i="34"/>
  <c r="R88" i="35" s="1"/>
  <c r="K88" i="34"/>
  <c r="J88" i="35" s="1"/>
  <c r="AM88" i="34"/>
  <c r="AE88" i="34"/>
  <c r="W88" i="34"/>
  <c r="O88" i="34"/>
  <c r="AL88" i="34"/>
  <c r="V88" i="34"/>
  <c r="AH88" i="34"/>
  <c r="R88" i="34"/>
  <c r="AG88" i="34"/>
  <c r="Q88" i="34"/>
  <c r="AP88" i="34"/>
  <c r="Z88" i="34"/>
  <c r="J88" i="34"/>
  <c r="AK96" i="34"/>
  <c r="AC96" i="34"/>
  <c r="U96" i="34"/>
  <c r="M96" i="34"/>
  <c r="AJ96" i="34"/>
  <c r="AB96" i="34"/>
  <c r="T96" i="34"/>
  <c r="L96" i="34"/>
  <c r="AI96" i="34"/>
  <c r="AA96" i="34"/>
  <c r="S96" i="34"/>
  <c r="K96" i="34"/>
  <c r="AM96" i="34"/>
  <c r="AE96" i="34"/>
  <c r="W96" i="34"/>
  <c r="O96" i="34"/>
  <c r="AL96" i="34"/>
  <c r="V96" i="34"/>
  <c r="AH96" i="34"/>
  <c r="R96" i="34"/>
  <c r="AG96" i="34"/>
  <c r="Q96" i="34"/>
  <c r="AP96" i="34"/>
  <c r="Z96" i="34"/>
  <c r="J96" i="34"/>
  <c r="AK104" i="34"/>
  <c r="AC104" i="34"/>
  <c r="U104" i="34"/>
  <c r="M104" i="34"/>
  <c r="AJ104" i="34"/>
  <c r="AB104" i="34"/>
  <c r="T104" i="34"/>
  <c r="L104" i="34"/>
  <c r="AI104" i="34"/>
  <c r="AA104" i="34"/>
  <c r="S104" i="34"/>
  <c r="K104" i="34"/>
  <c r="AN104" i="34"/>
  <c r="AF104" i="34"/>
  <c r="X104" i="34"/>
  <c r="P104" i="34"/>
  <c r="AM104" i="34"/>
  <c r="AE104" i="34"/>
  <c r="W104" i="34"/>
  <c r="O104" i="34"/>
  <c r="AG104" i="34"/>
  <c r="J104" i="34"/>
  <c r="AD104" i="34"/>
  <c r="I104" i="34"/>
  <c r="Z104" i="34"/>
  <c r="AO104" i="34"/>
  <c r="R104" i="34"/>
  <c r="AL112" i="34"/>
  <c r="AK417" i="31" s="1"/>
  <c r="AD112" i="34"/>
  <c r="V112" i="34"/>
  <c r="N112" i="34"/>
  <c r="AK112" i="34"/>
  <c r="AJ417" i="31" s="1"/>
  <c r="AC112" i="34"/>
  <c r="U112" i="34"/>
  <c r="M112" i="34"/>
  <c r="AJ112" i="34"/>
  <c r="AB112" i="34"/>
  <c r="T112" i="34"/>
  <c r="AI112" i="34"/>
  <c r="AO112" i="34"/>
  <c r="AN417" i="31" s="1"/>
  <c r="Z112" i="34"/>
  <c r="O112" i="34"/>
  <c r="AN112" i="34"/>
  <c r="AM417" i="31" s="1"/>
  <c r="Y112" i="34"/>
  <c r="L112" i="34"/>
  <c r="AM112" i="34"/>
  <c r="AL417" i="31" s="1"/>
  <c r="X112" i="34"/>
  <c r="K112" i="34"/>
  <c r="AF112" i="34"/>
  <c r="R112" i="34"/>
  <c r="AE112" i="34"/>
  <c r="Q112" i="34"/>
  <c r="S112" i="34"/>
  <c r="P112" i="34"/>
  <c r="J112" i="34"/>
  <c r="AG112" i="34"/>
  <c r="AO120" i="34"/>
  <c r="AG120" i="34"/>
  <c r="Y120" i="34"/>
  <c r="Q120" i="34"/>
  <c r="I120" i="34"/>
  <c r="AL120" i="34"/>
  <c r="AD120" i="34"/>
  <c r="V120" i="34"/>
  <c r="N120" i="34"/>
  <c r="AK120" i="34"/>
  <c r="AC120" i="34"/>
  <c r="U120" i="34"/>
  <c r="T120" i="35" s="1"/>
  <c r="M120" i="34"/>
  <c r="AJ120" i="34"/>
  <c r="AB120" i="34"/>
  <c r="T120" i="34"/>
  <c r="S120" i="35" s="1"/>
  <c r="L120" i="34"/>
  <c r="AI120" i="34"/>
  <c r="AA120" i="34"/>
  <c r="S120" i="34"/>
  <c r="K120" i="34"/>
  <c r="AH120" i="34"/>
  <c r="AG120" i="35" s="1"/>
  <c r="O120" i="34"/>
  <c r="AF120" i="34"/>
  <c r="J120" i="34"/>
  <c r="AE120" i="34"/>
  <c r="AP120" i="34"/>
  <c r="W120" i="34"/>
  <c r="AN120" i="34"/>
  <c r="R120" i="34"/>
  <c r="X120" i="34"/>
  <c r="AO128" i="34"/>
  <c r="AG128" i="34"/>
  <c r="Y128" i="34"/>
  <c r="Q128" i="34"/>
  <c r="I128" i="34"/>
  <c r="AN128" i="34"/>
  <c r="AF128" i="34"/>
  <c r="X128" i="34"/>
  <c r="P128" i="34"/>
  <c r="AL128" i="34"/>
  <c r="AD128" i="34"/>
  <c r="V128" i="34"/>
  <c r="N128" i="34"/>
  <c r="AK128" i="34"/>
  <c r="AC128" i="34"/>
  <c r="U128" i="34"/>
  <c r="M128" i="34"/>
  <c r="AJ128" i="34"/>
  <c r="AB128" i="34"/>
  <c r="T128" i="34"/>
  <c r="L128" i="34"/>
  <c r="AI128" i="34"/>
  <c r="AA128" i="34"/>
  <c r="S128" i="34"/>
  <c r="K128" i="34"/>
  <c r="O128" i="34"/>
  <c r="AP128" i="34"/>
  <c r="J128" i="34"/>
  <c r="AM128" i="34"/>
  <c r="Z128" i="34"/>
  <c r="W128" i="34"/>
  <c r="AH128" i="34"/>
  <c r="AE128" i="34"/>
  <c r="R128" i="34"/>
  <c r="AJ136" i="34"/>
  <c r="AB136" i="34"/>
  <c r="T136" i="34"/>
  <c r="L136" i="34"/>
  <c r="AI136" i="34"/>
  <c r="AA136" i="34"/>
  <c r="S136" i="34"/>
  <c r="K136" i="34"/>
  <c r="AP136" i="34"/>
  <c r="AH136" i="34"/>
  <c r="Z136" i="34"/>
  <c r="R136" i="34"/>
  <c r="J136" i="34"/>
  <c r="AO136" i="34"/>
  <c r="AG136" i="34"/>
  <c r="Y136" i="34"/>
  <c r="Q136" i="34"/>
  <c r="I136" i="34"/>
  <c r="AN136" i="34"/>
  <c r="AF136" i="34"/>
  <c r="X136" i="34"/>
  <c r="P136" i="34"/>
  <c r="AM136" i="34"/>
  <c r="AE136" i="34"/>
  <c r="W136" i="34"/>
  <c r="O136" i="34"/>
  <c r="N136" i="34"/>
  <c r="M136" i="34"/>
  <c r="AK136" i="34"/>
  <c r="AD136" i="34"/>
  <c r="AC136" i="34"/>
  <c r="V136" i="34"/>
  <c r="AL136" i="34"/>
  <c r="U136" i="34"/>
  <c r="AJ144" i="34"/>
  <c r="AB144" i="34"/>
  <c r="T144" i="34"/>
  <c r="L144" i="34"/>
  <c r="AI144" i="34"/>
  <c r="AA144" i="34"/>
  <c r="S144" i="34"/>
  <c r="K144" i="34"/>
  <c r="AP144" i="34"/>
  <c r="AH144" i="34"/>
  <c r="Z144" i="34"/>
  <c r="R144" i="34"/>
  <c r="J144" i="34"/>
  <c r="AO144" i="34"/>
  <c r="AG144" i="34"/>
  <c r="Y144" i="34"/>
  <c r="Q144" i="34"/>
  <c r="I144" i="34"/>
  <c r="AN144" i="34"/>
  <c r="AF144" i="34"/>
  <c r="X144" i="34"/>
  <c r="P144" i="34"/>
  <c r="AM144" i="34"/>
  <c r="AE144" i="34"/>
  <c r="W144" i="34"/>
  <c r="O144" i="34"/>
  <c r="AD144" i="34"/>
  <c r="AC144" i="34"/>
  <c r="U144" i="34"/>
  <c r="N144" i="34"/>
  <c r="M144" i="34"/>
  <c r="AL144" i="34"/>
  <c r="V144" i="34"/>
  <c r="AK144" i="34"/>
  <c r="AJ152" i="34"/>
  <c r="AB152" i="34"/>
  <c r="T152" i="34"/>
  <c r="L152" i="34"/>
  <c r="AI152" i="34"/>
  <c r="AA152" i="34"/>
  <c r="S152" i="34"/>
  <c r="K152" i="34"/>
  <c r="AP152" i="34"/>
  <c r="AH152" i="34"/>
  <c r="Z152" i="34"/>
  <c r="R152" i="34"/>
  <c r="J152" i="34"/>
  <c r="AO152" i="34"/>
  <c r="AG152" i="34"/>
  <c r="Y152" i="34"/>
  <c r="Q152" i="34"/>
  <c r="P152" i="35" s="1"/>
  <c r="I152" i="34"/>
  <c r="AN152" i="34"/>
  <c r="AF152" i="34"/>
  <c r="X152" i="34"/>
  <c r="P152" i="34"/>
  <c r="AM152" i="34"/>
  <c r="AE152" i="34"/>
  <c r="W152" i="34"/>
  <c r="O152" i="34"/>
  <c r="N152" i="34"/>
  <c r="M152" i="34"/>
  <c r="AK152" i="34"/>
  <c r="AD152" i="34"/>
  <c r="AC152" i="34"/>
  <c r="V152" i="34"/>
  <c r="AL152" i="34"/>
  <c r="AJ160" i="34"/>
  <c r="AB160" i="34"/>
  <c r="T160" i="34"/>
  <c r="L160" i="34"/>
  <c r="AI160" i="34"/>
  <c r="AA160" i="34"/>
  <c r="S160" i="34"/>
  <c r="K160" i="34"/>
  <c r="AP160" i="34"/>
  <c r="AH160" i="34"/>
  <c r="Z160" i="34"/>
  <c r="R160" i="34"/>
  <c r="J160" i="34"/>
  <c r="AO160" i="34"/>
  <c r="AG160" i="34"/>
  <c r="Y160" i="34"/>
  <c r="Q160" i="34"/>
  <c r="I160" i="34"/>
  <c r="AN160" i="34"/>
  <c r="AF160" i="34"/>
  <c r="X160" i="34"/>
  <c r="P160" i="34"/>
  <c r="AM160" i="34"/>
  <c r="AE160" i="34"/>
  <c r="W160" i="34"/>
  <c r="O160" i="34"/>
  <c r="AD160" i="34"/>
  <c r="AC160" i="34"/>
  <c r="U160" i="34"/>
  <c r="N160" i="34"/>
  <c r="M160" i="34"/>
  <c r="AL160" i="34"/>
  <c r="AK160" i="34"/>
  <c r="V160" i="34"/>
  <c r="AJ168" i="34"/>
  <c r="AB168" i="34"/>
  <c r="T168" i="34"/>
  <c r="L168" i="34"/>
  <c r="K168" i="35" s="1"/>
  <c r="AI168" i="34"/>
  <c r="AA168" i="34"/>
  <c r="S168" i="34"/>
  <c r="R168" i="35" s="1"/>
  <c r="K168" i="34"/>
  <c r="J168" i="35" s="1"/>
  <c r="AP168" i="34"/>
  <c r="AH168" i="34"/>
  <c r="Z168" i="34"/>
  <c r="R168" i="34"/>
  <c r="J168" i="34"/>
  <c r="AO168" i="34"/>
  <c r="AG168" i="34"/>
  <c r="Y168" i="34"/>
  <c r="Q168" i="34"/>
  <c r="P168" i="35" s="1"/>
  <c r="I168" i="34"/>
  <c r="AN168" i="34"/>
  <c r="AF168" i="34"/>
  <c r="X168" i="34"/>
  <c r="P168" i="34"/>
  <c r="AM168" i="34"/>
  <c r="AE168" i="34"/>
  <c r="W168" i="34"/>
  <c r="O168" i="34"/>
  <c r="N168" i="34"/>
  <c r="M168" i="34"/>
  <c r="AK168" i="34"/>
  <c r="AD168" i="34"/>
  <c r="AC168" i="34"/>
  <c r="V168" i="34"/>
  <c r="U168" i="34"/>
  <c r="AJ176" i="34"/>
  <c r="AB176" i="34"/>
  <c r="T176" i="34"/>
  <c r="L176" i="34"/>
  <c r="AI176" i="34"/>
  <c r="AA176" i="34"/>
  <c r="S176" i="34"/>
  <c r="K176" i="34"/>
  <c r="AP176" i="34"/>
  <c r="AH176" i="34"/>
  <c r="Z176" i="34"/>
  <c r="R176" i="34"/>
  <c r="J176" i="34"/>
  <c r="AO176" i="34"/>
  <c r="AG176" i="34"/>
  <c r="Y176" i="34"/>
  <c r="Q176" i="34"/>
  <c r="I176" i="34"/>
  <c r="AN176" i="34"/>
  <c r="AF176" i="34"/>
  <c r="X176" i="34"/>
  <c r="P176" i="34"/>
  <c r="AM176" i="34"/>
  <c r="AE176" i="34"/>
  <c r="W176" i="34"/>
  <c r="O176" i="34"/>
  <c r="AD176" i="34"/>
  <c r="AC176" i="34"/>
  <c r="U176" i="34"/>
  <c r="N176" i="34"/>
  <c r="M176" i="34"/>
  <c r="AL176" i="34"/>
  <c r="AK176" i="34"/>
  <c r="V176" i="34"/>
  <c r="AJ184" i="34"/>
  <c r="AB184" i="34"/>
  <c r="T184" i="34"/>
  <c r="L184" i="34"/>
  <c r="AI184" i="34"/>
  <c r="AA184" i="34"/>
  <c r="S184" i="34"/>
  <c r="K184" i="34"/>
  <c r="AP184" i="34"/>
  <c r="AH184" i="34"/>
  <c r="Z184" i="34"/>
  <c r="R184" i="34"/>
  <c r="J184" i="34"/>
  <c r="AO184" i="34"/>
  <c r="AG184" i="34"/>
  <c r="Y184" i="34"/>
  <c r="Q184" i="34"/>
  <c r="I184" i="34"/>
  <c r="AN184" i="34"/>
  <c r="AF184" i="34"/>
  <c r="X184" i="34"/>
  <c r="P184" i="34"/>
  <c r="AM184" i="34"/>
  <c r="AE184" i="34"/>
  <c r="W184" i="34"/>
  <c r="O184" i="34"/>
  <c r="N184" i="34"/>
  <c r="M184" i="34"/>
  <c r="AK184" i="34"/>
  <c r="AD184" i="34"/>
  <c r="AC184" i="34"/>
  <c r="V184" i="34"/>
  <c r="AL184" i="34"/>
  <c r="U184" i="34"/>
  <c r="AJ192" i="34"/>
  <c r="AI192" i="35" s="1"/>
  <c r="AB192" i="34"/>
  <c r="AA192" i="35" s="1"/>
  <c r="T192" i="34"/>
  <c r="S192" i="35" s="1"/>
  <c r="L192" i="34"/>
  <c r="K192" i="35" s="1"/>
  <c r="AI192" i="34"/>
  <c r="AH192" i="35" s="1"/>
  <c r="AA192" i="34"/>
  <c r="Z192" i="35" s="1"/>
  <c r="S192" i="34"/>
  <c r="R192" i="35" s="1"/>
  <c r="K192" i="34"/>
  <c r="J192" i="35" s="1"/>
  <c r="AP192" i="34"/>
  <c r="AH192" i="34"/>
  <c r="AG192" i="35" s="1"/>
  <c r="Z192" i="34"/>
  <c r="Y192" i="35" s="1"/>
  <c r="R192" i="34"/>
  <c r="Q192" i="35" s="1"/>
  <c r="J192" i="34"/>
  <c r="I192" i="35" s="1"/>
  <c r="AO192" i="34"/>
  <c r="AG192" i="34"/>
  <c r="AF192" i="35" s="1"/>
  <c r="Y192" i="34"/>
  <c r="X192" i="35" s="1"/>
  <c r="Q192" i="34"/>
  <c r="P192" i="35" s="1"/>
  <c r="I192" i="34"/>
  <c r="AN192" i="34"/>
  <c r="AM192" i="35" s="1"/>
  <c r="AF192" i="34"/>
  <c r="AE192" i="35" s="1"/>
  <c r="X192" i="34"/>
  <c r="W192" i="35" s="1"/>
  <c r="P192" i="34"/>
  <c r="O192" i="35" s="1"/>
  <c r="AM192" i="34"/>
  <c r="AL192" i="35" s="1"/>
  <c r="AE192" i="34"/>
  <c r="AD192" i="35" s="1"/>
  <c r="W192" i="34"/>
  <c r="V192" i="35" s="1"/>
  <c r="O192" i="34"/>
  <c r="N192" i="35" s="1"/>
  <c r="AD192" i="34"/>
  <c r="AC192" i="35" s="1"/>
  <c r="AC192" i="34"/>
  <c r="AB192" i="35" s="1"/>
  <c r="U192" i="34"/>
  <c r="T192" i="35" s="1"/>
  <c r="N192" i="34"/>
  <c r="M192" i="35" s="1"/>
  <c r="M192" i="34"/>
  <c r="L192" i="35" s="1"/>
  <c r="AL192" i="34"/>
  <c r="AK192" i="35" s="1"/>
  <c r="AK192" i="34"/>
  <c r="AJ192" i="35" s="1"/>
  <c r="V192" i="34"/>
  <c r="U192" i="35" s="1"/>
  <c r="AM200" i="34"/>
  <c r="AE200" i="34"/>
  <c r="W200" i="34"/>
  <c r="O200" i="34"/>
  <c r="AL200" i="34"/>
  <c r="AD200" i="34"/>
  <c r="AP200" i="34"/>
  <c r="AO505" i="31" s="1"/>
  <c r="AH200" i="34"/>
  <c r="Z200" i="34"/>
  <c r="R200" i="34"/>
  <c r="J200" i="34"/>
  <c r="AK200" i="34"/>
  <c r="Y200" i="34"/>
  <c r="N200" i="34"/>
  <c r="AJ200" i="34"/>
  <c r="X200" i="34"/>
  <c r="M200" i="34"/>
  <c r="AI200" i="34"/>
  <c r="V200" i="34"/>
  <c r="L200" i="34"/>
  <c r="AG200" i="34"/>
  <c r="U200" i="34"/>
  <c r="K200" i="34"/>
  <c r="AF200" i="34"/>
  <c r="T200" i="34"/>
  <c r="I200" i="34"/>
  <c r="AC200" i="34"/>
  <c r="S200" i="34"/>
  <c r="AB200" i="34"/>
  <c r="AA200" i="34"/>
  <c r="P200" i="34"/>
  <c r="AO200" i="34"/>
  <c r="AN200" i="34"/>
  <c r="Q200" i="34"/>
  <c r="AM208" i="34"/>
  <c r="AE208" i="34"/>
  <c r="W208" i="34"/>
  <c r="O208" i="34"/>
  <c r="AL208" i="34"/>
  <c r="AD208" i="34"/>
  <c r="V208" i="34"/>
  <c r="N208" i="34"/>
  <c r="AK208" i="34"/>
  <c r="AC208" i="34"/>
  <c r="U208" i="34"/>
  <c r="M208" i="34"/>
  <c r="AJ208" i="34"/>
  <c r="AB208" i="34"/>
  <c r="T208" i="34"/>
  <c r="L208" i="34"/>
  <c r="AI208" i="34"/>
  <c r="AA208" i="34"/>
  <c r="S208" i="34"/>
  <c r="K208" i="34"/>
  <c r="AP208" i="34"/>
  <c r="AH208" i="34"/>
  <c r="Z208" i="34"/>
  <c r="R208" i="34"/>
  <c r="J208" i="34"/>
  <c r="Y208" i="34"/>
  <c r="X208" i="34"/>
  <c r="Q208" i="34"/>
  <c r="P208" i="34"/>
  <c r="AO208" i="34"/>
  <c r="I208" i="34"/>
  <c r="AN208" i="34"/>
  <c r="AG208" i="34"/>
  <c r="AM216" i="34"/>
  <c r="AE216" i="34"/>
  <c r="W216" i="34"/>
  <c r="O216" i="34"/>
  <c r="N216" i="35" s="1"/>
  <c r="AL216" i="34"/>
  <c r="AD216" i="34"/>
  <c r="V216" i="34"/>
  <c r="N216" i="34"/>
  <c r="AK216" i="34"/>
  <c r="AC216" i="34"/>
  <c r="U216" i="34"/>
  <c r="M216" i="34"/>
  <c r="AJ216" i="34"/>
  <c r="AB216" i="34"/>
  <c r="T216" i="34"/>
  <c r="L216" i="34"/>
  <c r="AI216" i="34"/>
  <c r="AA216" i="34"/>
  <c r="S216" i="34"/>
  <c r="K216" i="34"/>
  <c r="J216" i="35" s="1"/>
  <c r="AP216" i="34"/>
  <c r="AH216" i="34"/>
  <c r="Z216" i="34"/>
  <c r="R216" i="34"/>
  <c r="J216" i="34"/>
  <c r="AO216" i="34"/>
  <c r="I216" i="34"/>
  <c r="AN216" i="34"/>
  <c r="AG216" i="34"/>
  <c r="AF216" i="34"/>
  <c r="Y216" i="34"/>
  <c r="X216" i="34"/>
  <c r="Q216" i="34"/>
  <c r="P216" i="34"/>
  <c r="AM224" i="34"/>
  <c r="AE224" i="34"/>
  <c r="W224" i="34"/>
  <c r="O224" i="34"/>
  <c r="AL224" i="34"/>
  <c r="AD224" i="34"/>
  <c r="V224" i="34"/>
  <c r="N224" i="34"/>
  <c r="M224" i="35" s="1"/>
  <c r="AK224" i="34"/>
  <c r="AC224" i="34"/>
  <c r="U224" i="34"/>
  <c r="M224" i="34"/>
  <c r="AJ224" i="34"/>
  <c r="AB224" i="34"/>
  <c r="T224" i="34"/>
  <c r="L224" i="34"/>
  <c r="AI224" i="34"/>
  <c r="AA224" i="34"/>
  <c r="S224" i="34"/>
  <c r="K224" i="34"/>
  <c r="AP224" i="34"/>
  <c r="AH224" i="34"/>
  <c r="Z224" i="34"/>
  <c r="R224" i="34"/>
  <c r="J224" i="34"/>
  <c r="Y224" i="34"/>
  <c r="X224" i="34"/>
  <c r="Q224" i="34"/>
  <c r="P224" i="34"/>
  <c r="AO224" i="34"/>
  <c r="I224" i="34"/>
  <c r="AN224" i="34"/>
  <c r="AG224" i="34"/>
  <c r="AF224" i="34"/>
  <c r="AI232" i="34"/>
  <c r="AN232" i="34"/>
  <c r="AE232" i="34"/>
  <c r="W232" i="34"/>
  <c r="O232" i="34"/>
  <c r="AM232" i="34"/>
  <c r="AD232" i="34"/>
  <c r="V232" i="34"/>
  <c r="N232" i="34"/>
  <c r="AL232" i="34"/>
  <c r="AC232" i="34"/>
  <c r="U232" i="34"/>
  <c r="M232" i="34"/>
  <c r="AK232" i="34"/>
  <c r="AB232" i="34"/>
  <c r="T232" i="34"/>
  <c r="L232" i="34"/>
  <c r="AJ232" i="34"/>
  <c r="AA232" i="34"/>
  <c r="S232" i="34"/>
  <c r="K232" i="34"/>
  <c r="AH232" i="34"/>
  <c r="Z232" i="34"/>
  <c r="R232" i="34"/>
  <c r="J232" i="34"/>
  <c r="AP232" i="34"/>
  <c r="I232" i="34"/>
  <c r="AO232" i="34"/>
  <c r="AG232" i="34"/>
  <c r="AF232" i="34"/>
  <c r="Y232" i="34"/>
  <c r="X232" i="34"/>
  <c r="Q232" i="34"/>
  <c r="P232" i="34"/>
  <c r="AI240" i="34"/>
  <c r="AA240" i="34"/>
  <c r="S240" i="34"/>
  <c r="K240" i="34"/>
  <c r="AP240" i="34"/>
  <c r="AO545" i="31" s="1"/>
  <c r="AH240" i="34"/>
  <c r="Z240" i="34"/>
  <c r="R240" i="34"/>
  <c r="J240" i="34"/>
  <c r="AO240" i="34"/>
  <c r="AN545" i="31" s="1"/>
  <c r="AG240" i="34"/>
  <c r="Y240" i="34"/>
  <c r="Q240" i="34"/>
  <c r="I240" i="34"/>
  <c r="AN240" i="34"/>
  <c r="AM545" i="31" s="1"/>
  <c r="AF240" i="34"/>
  <c r="X240" i="34"/>
  <c r="P240" i="34"/>
  <c r="AB240" i="34"/>
  <c r="L240" i="34"/>
  <c r="AM240" i="34"/>
  <c r="AL545" i="31" s="1"/>
  <c r="W240" i="34"/>
  <c r="AL240" i="34"/>
  <c r="AK545" i="31" s="1"/>
  <c r="V240" i="34"/>
  <c r="AK240" i="34"/>
  <c r="AJ545" i="31" s="1"/>
  <c r="U240" i="34"/>
  <c r="AJ240" i="34"/>
  <c r="T240" i="34"/>
  <c r="AE240" i="34"/>
  <c r="O240" i="34"/>
  <c r="N240" i="34"/>
  <c r="M240" i="34"/>
  <c r="AD240" i="34"/>
  <c r="AC240" i="34"/>
  <c r="AI248" i="34"/>
  <c r="AA248" i="34"/>
  <c r="S248" i="34"/>
  <c r="K248" i="34"/>
  <c r="AP248" i="34"/>
  <c r="AH248" i="34"/>
  <c r="Z248" i="34"/>
  <c r="R248" i="34"/>
  <c r="J248" i="34"/>
  <c r="AO248" i="34"/>
  <c r="AG248" i="34"/>
  <c r="Y248" i="34"/>
  <c r="Q248" i="34"/>
  <c r="I248" i="34"/>
  <c r="AN248" i="34"/>
  <c r="AF248" i="34"/>
  <c r="X248" i="34"/>
  <c r="P248" i="34"/>
  <c r="AM248" i="34"/>
  <c r="AE248" i="34"/>
  <c r="W248" i="34"/>
  <c r="O248" i="34"/>
  <c r="AL248" i="34"/>
  <c r="T248" i="34"/>
  <c r="AK248" i="34"/>
  <c r="N248" i="34"/>
  <c r="AJ248" i="34"/>
  <c r="M248" i="34"/>
  <c r="AD248" i="34"/>
  <c r="L248" i="34"/>
  <c r="AC248" i="34"/>
  <c r="AB248" i="34"/>
  <c r="V248" i="34"/>
  <c r="U248" i="34"/>
  <c r="AK256" i="34"/>
  <c r="AJ561" i="31" s="1"/>
  <c r="AC256" i="34"/>
  <c r="U256" i="34"/>
  <c r="M256" i="34"/>
  <c r="AJ256" i="34"/>
  <c r="AB256" i="34"/>
  <c r="T256" i="34"/>
  <c r="L256" i="34"/>
  <c r="AI256" i="34"/>
  <c r="AA256" i="34"/>
  <c r="S256" i="34"/>
  <c r="K256" i="34"/>
  <c r="AP256" i="34"/>
  <c r="AO561" i="31" s="1"/>
  <c r="AH256" i="34"/>
  <c r="Z256" i="34"/>
  <c r="R256" i="34"/>
  <c r="J256" i="34"/>
  <c r="AN256" i="34"/>
  <c r="AM561" i="31" s="1"/>
  <c r="AF256" i="34"/>
  <c r="X256" i="34"/>
  <c r="P256" i="34"/>
  <c r="Y256" i="34"/>
  <c r="W256" i="34"/>
  <c r="AO256" i="34"/>
  <c r="AN561" i="31" s="1"/>
  <c r="V256" i="34"/>
  <c r="AM256" i="34"/>
  <c r="AL561" i="31" s="1"/>
  <c r="Q256" i="34"/>
  <c r="AL256" i="34"/>
  <c r="AK561" i="31" s="1"/>
  <c r="O256" i="34"/>
  <c r="N256" i="34"/>
  <c r="I256" i="34"/>
  <c r="AG256" i="34"/>
  <c r="AE256" i="34"/>
  <c r="AD256" i="34"/>
  <c r="AK264" i="34"/>
  <c r="AJ569" i="31" s="1"/>
  <c r="AC264" i="34"/>
  <c r="U264" i="34"/>
  <c r="M264" i="34"/>
  <c r="AJ264" i="34"/>
  <c r="AB264" i="34"/>
  <c r="T264" i="34"/>
  <c r="L264" i="34"/>
  <c r="AI264" i="34"/>
  <c r="AA264" i="34"/>
  <c r="S264" i="34"/>
  <c r="K264" i="34"/>
  <c r="AP264" i="34"/>
  <c r="AO569" i="31" s="1"/>
  <c r="AH264" i="34"/>
  <c r="Z264" i="34"/>
  <c r="R264" i="34"/>
  <c r="J264" i="34"/>
  <c r="AN264" i="34"/>
  <c r="AM569" i="31" s="1"/>
  <c r="AF264" i="34"/>
  <c r="X264" i="34"/>
  <c r="P264" i="34"/>
  <c r="AE264" i="34"/>
  <c r="I264" i="34"/>
  <c r="AD264" i="34"/>
  <c r="Y264" i="34"/>
  <c r="W264" i="34"/>
  <c r="AO264" i="34"/>
  <c r="AN569" i="31" s="1"/>
  <c r="V264" i="34"/>
  <c r="AM264" i="34"/>
  <c r="AL569" i="31" s="1"/>
  <c r="Q264" i="34"/>
  <c r="AL264" i="34"/>
  <c r="AK569" i="31" s="1"/>
  <c r="AG264" i="34"/>
  <c r="O264" i="34"/>
  <c r="N264" i="34"/>
  <c r="AK272" i="34"/>
  <c r="AC272" i="34"/>
  <c r="U272" i="34"/>
  <c r="M272" i="34"/>
  <c r="AJ272" i="34"/>
  <c r="AB272" i="34"/>
  <c r="T272" i="34"/>
  <c r="L272" i="34"/>
  <c r="AI272" i="34"/>
  <c r="AA272" i="34"/>
  <c r="S272" i="34"/>
  <c r="K272" i="34"/>
  <c r="AP272" i="34"/>
  <c r="AH272" i="34"/>
  <c r="Z272" i="34"/>
  <c r="R272" i="34"/>
  <c r="J272" i="34"/>
  <c r="AN272" i="34"/>
  <c r="AF272" i="34"/>
  <c r="X272" i="34"/>
  <c r="P272" i="34"/>
  <c r="AL272" i="34"/>
  <c r="O272" i="34"/>
  <c r="AG272" i="34"/>
  <c r="N272" i="34"/>
  <c r="AE272" i="34"/>
  <c r="I272" i="34"/>
  <c r="AD272" i="34"/>
  <c r="Y272" i="34"/>
  <c r="W272" i="34"/>
  <c r="V272" i="34"/>
  <c r="Q272" i="34"/>
  <c r="AO272" i="34"/>
  <c r="AM272" i="34"/>
  <c r="AK280" i="34"/>
  <c r="AJ280" i="35" s="1"/>
  <c r="AC280" i="34"/>
  <c r="U280" i="34"/>
  <c r="M280" i="34"/>
  <c r="L280" i="35" s="1"/>
  <c r="AJ280" i="34"/>
  <c r="AB280" i="34"/>
  <c r="T280" i="34"/>
  <c r="S280" i="35" s="1"/>
  <c r="L280" i="34"/>
  <c r="K280" i="35" s="1"/>
  <c r="AI280" i="34"/>
  <c r="AH280" i="35" s="1"/>
  <c r="AA280" i="34"/>
  <c r="S280" i="34"/>
  <c r="K280" i="34"/>
  <c r="AP280" i="34"/>
  <c r="AH280" i="34"/>
  <c r="Z280" i="34"/>
  <c r="Y280" i="35" s="1"/>
  <c r="R280" i="34"/>
  <c r="Q280" i="35" s="1"/>
  <c r="J280" i="34"/>
  <c r="AN280" i="34"/>
  <c r="AM280" i="35" s="1"/>
  <c r="AF280" i="34"/>
  <c r="X280" i="34"/>
  <c r="W280" i="35" s="1"/>
  <c r="P280" i="34"/>
  <c r="AO280" i="34"/>
  <c r="V280" i="34"/>
  <c r="U280" i="35" s="1"/>
  <c r="AM280" i="34"/>
  <c r="AL280" i="35" s="1"/>
  <c r="Q280" i="34"/>
  <c r="P280" i="35" s="1"/>
  <c r="AL280" i="34"/>
  <c r="O280" i="34"/>
  <c r="AG280" i="34"/>
  <c r="AF280" i="35" s="1"/>
  <c r="N280" i="34"/>
  <c r="AE280" i="34"/>
  <c r="I280" i="34"/>
  <c r="AD280" i="34"/>
  <c r="AC280" i="35" s="1"/>
  <c r="Y280" i="34"/>
  <c r="X280" i="35" s="1"/>
  <c r="W280" i="34"/>
  <c r="V280" i="35" s="1"/>
  <c r="AL288" i="34"/>
  <c r="AD288" i="34"/>
  <c r="V288" i="34"/>
  <c r="N288" i="34"/>
  <c r="AK288" i="34"/>
  <c r="AC288" i="34"/>
  <c r="U288" i="34"/>
  <c r="M288" i="34"/>
  <c r="AJ288" i="34"/>
  <c r="AB288" i="34"/>
  <c r="T288" i="34"/>
  <c r="L288" i="34"/>
  <c r="AI288" i="34"/>
  <c r="AA288" i="34"/>
  <c r="S288" i="34"/>
  <c r="K288" i="34"/>
  <c r="AO288" i="34"/>
  <c r="AG288" i="34"/>
  <c r="Y288" i="34"/>
  <c r="Q288" i="34"/>
  <c r="I288" i="34"/>
  <c r="AN288" i="34"/>
  <c r="AF288" i="34"/>
  <c r="X288" i="34"/>
  <c r="P288" i="34"/>
  <c r="AE288" i="34"/>
  <c r="Z288" i="34"/>
  <c r="W288" i="34"/>
  <c r="R288" i="34"/>
  <c r="AP288" i="34"/>
  <c r="J288" i="34"/>
  <c r="AM288" i="34"/>
  <c r="AH288" i="34"/>
  <c r="O288" i="34"/>
  <c r="AL296" i="34"/>
  <c r="AK601" i="31" s="1"/>
  <c r="AD296" i="34"/>
  <c r="V296" i="34"/>
  <c r="N296" i="34"/>
  <c r="AK296" i="34"/>
  <c r="AJ601" i="31" s="1"/>
  <c r="AC296" i="34"/>
  <c r="U296" i="34"/>
  <c r="M296" i="34"/>
  <c r="AJ296" i="34"/>
  <c r="AB296" i="34"/>
  <c r="T296" i="34"/>
  <c r="L296" i="34"/>
  <c r="AI296" i="34"/>
  <c r="AA296" i="34"/>
  <c r="S296" i="34"/>
  <c r="K296" i="34"/>
  <c r="AP296" i="34"/>
  <c r="AO601" i="31" s="1"/>
  <c r="AH296" i="34"/>
  <c r="Z296" i="34"/>
  <c r="R296" i="34"/>
  <c r="J296" i="34"/>
  <c r="AO296" i="34"/>
  <c r="AN601" i="31" s="1"/>
  <c r="AG296" i="34"/>
  <c r="Y296" i="34"/>
  <c r="Q296" i="34"/>
  <c r="I296" i="34"/>
  <c r="AN296" i="34"/>
  <c r="AM601" i="31" s="1"/>
  <c r="AF296" i="34"/>
  <c r="X296" i="34"/>
  <c r="P296" i="34"/>
  <c r="AM296" i="34"/>
  <c r="AL601" i="31" s="1"/>
  <c r="AE296" i="34"/>
  <c r="O296" i="34"/>
  <c r="W296" i="34"/>
  <c r="AL304" i="34"/>
  <c r="AK609" i="31" s="1"/>
  <c r="AD304" i="34"/>
  <c r="V304" i="34"/>
  <c r="N304" i="34"/>
  <c r="AK304" i="34"/>
  <c r="AJ609" i="31" s="1"/>
  <c r="AC304" i="34"/>
  <c r="U304" i="34"/>
  <c r="M304" i="34"/>
  <c r="AJ304" i="34"/>
  <c r="AB304" i="34"/>
  <c r="T304" i="34"/>
  <c r="L304" i="34"/>
  <c r="AI304" i="34"/>
  <c r="AA304" i="34"/>
  <c r="S304" i="34"/>
  <c r="K304" i="34"/>
  <c r="AP304" i="34"/>
  <c r="AO609" i="31" s="1"/>
  <c r="AH304" i="34"/>
  <c r="Z304" i="34"/>
  <c r="R304" i="34"/>
  <c r="J304" i="34"/>
  <c r="AO304" i="34"/>
  <c r="AN609" i="31" s="1"/>
  <c r="AG304" i="34"/>
  <c r="Y304" i="34"/>
  <c r="Q304" i="34"/>
  <c r="I304" i="34"/>
  <c r="AN304" i="34"/>
  <c r="AM609" i="31" s="1"/>
  <c r="AF304" i="34"/>
  <c r="X304" i="34"/>
  <c r="P304" i="34"/>
  <c r="AM304" i="34"/>
  <c r="AL609" i="31" s="1"/>
  <c r="AE304" i="34"/>
  <c r="W304" i="34"/>
  <c r="O304" i="34"/>
  <c r="L12" i="34"/>
  <c r="AB12" i="34"/>
  <c r="J13" i="34"/>
  <c r="Z13" i="34"/>
  <c r="AP13" i="34"/>
  <c r="AO318" i="31" s="1"/>
  <c r="V15" i="34"/>
  <c r="AL15" i="34"/>
  <c r="AK320" i="31" s="1"/>
  <c r="T16" i="34"/>
  <c r="AJ16" i="34"/>
  <c r="L20" i="34"/>
  <c r="AB20" i="34"/>
  <c r="J21" i="34"/>
  <c r="Z21" i="34"/>
  <c r="AP21" i="34"/>
  <c r="V23" i="34"/>
  <c r="T24" i="34"/>
  <c r="AJ24" i="34"/>
  <c r="L28" i="34"/>
  <c r="AB28" i="34"/>
  <c r="J29" i="34"/>
  <c r="Z29" i="34"/>
  <c r="AP29" i="34"/>
  <c r="AO334" i="31" s="1"/>
  <c r="V31" i="34"/>
  <c r="AL31" i="34"/>
  <c r="T32" i="34"/>
  <c r="AJ32" i="34"/>
  <c r="L36" i="34"/>
  <c r="K36" i="35" s="1"/>
  <c r="AB36" i="34"/>
  <c r="J37" i="34"/>
  <c r="Z37" i="34"/>
  <c r="AP37" i="34"/>
  <c r="V39" i="34"/>
  <c r="T40" i="34"/>
  <c r="AJ40" i="34"/>
  <c r="L44" i="34"/>
  <c r="AC44" i="34"/>
  <c r="T45" i="34"/>
  <c r="K47" i="34"/>
  <c r="I48" i="34"/>
  <c r="AO48" i="34"/>
  <c r="AN353" i="31" s="1"/>
  <c r="AG52" i="34"/>
  <c r="AE53" i="34"/>
  <c r="Y56" i="34"/>
  <c r="Q60" i="34"/>
  <c r="P60" i="35" s="1"/>
  <c r="O61" i="34"/>
  <c r="K63" i="34"/>
  <c r="I64" i="34"/>
  <c r="AO64" i="34"/>
  <c r="AG68" i="34"/>
  <c r="AE69" i="34"/>
  <c r="Y72" i="34"/>
  <c r="Q76" i="34"/>
  <c r="O77" i="34"/>
  <c r="K79" i="34"/>
  <c r="I80" i="34"/>
  <c r="AO80" i="34"/>
  <c r="AG84" i="34"/>
  <c r="AE85" i="34"/>
  <c r="Y88" i="34"/>
  <c r="Q92" i="34"/>
  <c r="O93" i="34"/>
  <c r="K95" i="34"/>
  <c r="I96" i="34"/>
  <c r="AO96" i="34"/>
  <c r="L101" i="34"/>
  <c r="AL104" i="34"/>
  <c r="AD108" i="34"/>
  <c r="AM109" i="34"/>
  <c r="AL109" i="35" s="1"/>
  <c r="L111" i="34"/>
  <c r="AA112" i="34"/>
  <c r="X117" i="34"/>
  <c r="P120" i="34"/>
  <c r="J132" i="34"/>
  <c r="AJ23" i="34"/>
  <c r="AB23" i="34"/>
  <c r="T23" i="34"/>
  <c r="L23" i="34"/>
  <c r="AI23" i="34"/>
  <c r="AA23" i="34"/>
  <c r="S23" i="34"/>
  <c r="K23" i="34"/>
  <c r="AP23" i="34"/>
  <c r="AO328" i="31" s="1"/>
  <c r="AH23" i="34"/>
  <c r="Z23" i="34"/>
  <c r="R23" i="34"/>
  <c r="J23" i="34"/>
  <c r="AM23" i="34"/>
  <c r="AL328" i="31" s="1"/>
  <c r="AE23" i="34"/>
  <c r="W23" i="34"/>
  <c r="O23" i="34"/>
  <c r="AJ39" i="34"/>
  <c r="AB39" i="34"/>
  <c r="T39" i="34"/>
  <c r="L39" i="34"/>
  <c r="AI39" i="34"/>
  <c r="AA39" i="34"/>
  <c r="S39" i="34"/>
  <c r="K39" i="34"/>
  <c r="AP39" i="34"/>
  <c r="AH39" i="34"/>
  <c r="Z39" i="34"/>
  <c r="R39" i="34"/>
  <c r="J39" i="34"/>
  <c r="AM39" i="34"/>
  <c r="AE39" i="34"/>
  <c r="W39" i="34"/>
  <c r="O39" i="34"/>
  <c r="AM55" i="34"/>
  <c r="AE55" i="34"/>
  <c r="W55" i="34"/>
  <c r="O55" i="34"/>
  <c r="AL55" i="34"/>
  <c r="AD55" i="34"/>
  <c r="V55" i="34"/>
  <c r="N55" i="34"/>
  <c r="AK55" i="34"/>
  <c r="AC55" i="34"/>
  <c r="U55" i="34"/>
  <c r="M55" i="34"/>
  <c r="AO55" i="34"/>
  <c r="AG55" i="34"/>
  <c r="Y55" i="34"/>
  <c r="Q55" i="34"/>
  <c r="I55" i="34"/>
  <c r="AN55" i="34"/>
  <c r="X55" i="34"/>
  <c r="AJ55" i="34"/>
  <c r="T55" i="34"/>
  <c r="AI55" i="34"/>
  <c r="S55" i="34"/>
  <c r="AB55" i="34"/>
  <c r="L55" i="34"/>
  <c r="AM71" i="34"/>
  <c r="AE71" i="34"/>
  <c r="W71" i="34"/>
  <c r="O71" i="34"/>
  <c r="AL71" i="34"/>
  <c r="AD71" i="34"/>
  <c r="V71" i="34"/>
  <c r="N71" i="34"/>
  <c r="AK71" i="34"/>
  <c r="AC71" i="34"/>
  <c r="U71" i="34"/>
  <c r="M71" i="34"/>
  <c r="AO71" i="34"/>
  <c r="AG71" i="34"/>
  <c r="Y71" i="34"/>
  <c r="Q71" i="34"/>
  <c r="I71" i="34"/>
  <c r="AN71" i="34"/>
  <c r="X71" i="34"/>
  <c r="AJ71" i="34"/>
  <c r="T71" i="34"/>
  <c r="AI71" i="34"/>
  <c r="S71" i="34"/>
  <c r="AB71" i="34"/>
  <c r="L71" i="34"/>
  <c r="AM87" i="34"/>
  <c r="AE87" i="34"/>
  <c r="W87" i="34"/>
  <c r="V87" i="35" s="1"/>
  <c r="O87" i="34"/>
  <c r="AL87" i="34"/>
  <c r="AD87" i="34"/>
  <c r="V87" i="34"/>
  <c r="U87" i="35" s="1"/>
  <c r="N87" i="34"/>
  <c r="AK87" i="34"/>
  <c r="AC87" i="34"/>
  <c r="U87" i="34"/>
  <c r="M87" i="34"/>
  <c r="AO87" i="34"/>
  <c r="AG87" i="34"/>
  <c r="Y87" i="34"/>
  <c r="Q87" i="34"/>
  <c r="I87" i="34"/>
  <c r="AN87" i="34"/>
  <c r="X87" i="34"/>
  <c r="W87" i="35" s="1"/>
  <c r="AJ87" i="34"/>
  <c r="T87" i="34"/>
  <c r="S87" i="35" s="1"/>
  <c r="AI87" i="34"/>
  <c r="S87" i="34"/>
  <c r="AB87" i="34"/>
  <c r="L87" i="34"/>
  <c r="AM103" i="34"/>
  <c r="AE103" i="34"/>
  <c r="W103" i="34"/>
  <c r="O103" i="34"/>
  <c r="AL103" i="34"/>
  <c r="AD103" i="34"/>
  <c r="V103" i="34"/>
  <c r="N103" i="34"/>
  <c r="AK103" i="34"/>
  <c r="AC103" i="34"/>
  <c r="U103" i="34"/>
  <c r="M103" i="34"/>
  <c r="AP103" i="34"/>
  <c r="AH103" i="34"/>
  <c r="Z103" i="34"/>
  <c r="R103" i="34"/>
  <c r="J103" i="34"/>
  <c r="AO103" i="34"/>
  <c r="AG103" i="34"/>
  <c r="Y103" i="34"/>
  <c r="Q103" i="34"/>
  <c r="I103" i="34"/>
  <c r="X103" i="34"/>
  <c r="T103" i="34"/>
  <c r="AN103" i="34"/>
  <c r="S103" i="34"/>
  <c r="AF103" i="34"/>
  <c r="K103" i="34"/>
  <c r="AI119" i="34"/>
  <c r="AH119" i="35" s="1"/>
  <c r="AN119" i="34"/>
  <c r="AM119" i="35" s="1"/>
  <c r="AF119" i="34"/>
  <c r="AE119" i="35" s="1"/>
  <c r="X119" i="34"/>
  <c r="W119" i="35" s="1"/>
  <c r="P119" i="34"/>
  <c r="AM119" i="34"/>
  <c r="AL119" i="35" s="1"/>
  <c r="AE119" i="34"/>
  <c r="AD119" i="35" s="1"/>
  <c r="W119" i="34"/>
  <c r="V119" i="35" s="1"/>
  <c r="O119" i="34"/>
  <c r="AL119" i="34"/>
  <c r="AK119" i="35" s="1"/>
  <c r="AD119" i="34"/>
  <c r="AC119" i="35" s="1"/>
  <c r="V119" i="34"/>
  <c r="U119" i="35" s="1"/>
  <c r="N119" i="34"/>
  <c r="AK119" i="34"/>
  <c r="AJ119" i="35" s="1"/>
  <c r="AC119" i="34"/>
  <c r="AB119" i="35" s="1"/>
  <c r="U119" i="34"/>
  <c r="T119" i="35" s="1"/>
  <c r="M119" i="34"/>
  <c r="AA119" i="34"/>
  <c r="Z119" i="35" s="1"/>
  <c r="K119" i="34"/>
  <c r="Z119" i="34"/>
  <c r="Y119" i="35" s="1"/>
  <c r="J119" i="34"/>
  <c r="AP119" i="34"/>
  <c r="Y119" i="34"/>
  <c r="X119" i="35" s="1"/>
  <c r="I119" i="34"/>
  <c r="AH119" i="34"/>
  <c r="AG119" i="35" s="1"/>
  <c r="R119" i="34"/>
  <c r="AG119" i="34"/>
  <c r="AF119" i="35" s="1"/>
  <c r="Q119" i="34"/>
  <c r="AJ119" i="34"/>
  <c r="AB119" i="34"/>
  <c r="AA119" i="35" s="1"/>
  <c r="T119" i="34"/>
  <c r="AL135" i="34"/>
  <c r="AK440" i="31" s="1"/>
  <c r="AD135" i="34"/>
  <c r="V135" i="34"/>
  <c r="N135" i="34"/>
  <c r="AK135" i="34"/>
  <c r="AJ440" i="31" s="1"/>
  <c r="AC135" i="34"/>
  <c r="U135" i="34"/>
  <c r="M135" i="34"/>
  <c r="AJ135" i="34"/>
  <c r="AB135" i="34"/>
  <c r="T135" i="34"/>
  <c r="L135" i="34"/>
  <c r="AI135" i="34"/>
  <c r="AA135" i="34"/>
  <c r="S135" i="34"/>
  <c r="K135" i="34"/>
  <c r="AP135" i="34"/>
  <c r="AO440" i="31" s="1"/>
  <c r="AH135" i="34"/>
  <c r="Z135" i="34"/>
  <c r="R135" i="34"/>
  <c r="J135" i="34"/>
  <c r="AO135" i="34"/>
  <c r="AN440" i="31" s="1"/>
  <c r="AG135" i="34"/>
  <c r="Y135" i="34"/>
  <c r="Q135" i="34"/>
  <c r="I135" i="34"/>
  <c r="P135" i="34"/>
  <c r="O135" i="34"/>
  <c r="AM135" i="34"/>
  <c r="AF135" i="34"/>
  <c r="AE135" i="34"/>
  <c r="X135" i="34"/>
  <c r="AN135" i="34"/>
  <c r="W135" i="34"/>
  <c r="AL151" i="34"/>
  <c r="AD151" i="34"/>
  <c r="V151" i="34"/>
  <c r="N151" i="34"/>
  <c r="AK151" i="34"/>
  <c r="AC151" i="34"/>
  <c r="U151" i="34"/>
  <c r="M151" i="34"/>
  <c r="AJ151" i="34"/>
  <c r="AB151" i="34"/>
  <c r="T151" i="34"/>
  <c r="L151" i="34"/>
  <c r="AI151" i="34"/>
  <c r="AA151" i="34"/>
  <c r="S151" i="34"/>
  <c r="K151" i="34"/>
  <c r="AP151" i="34"/>
  <c r="AH151" i="34"/>
  <c r="Z151" i="34"/>
  <c r="R151" i="34"/>
  <c r="J151" i="34"/>
  <c r="AO151" i="34"/>
  <c r="AG151" i="34"/>
  <c r="Y151" i="34"/>
  <c r="Q151" i="34"/>
  <c r="I151" i="34"/>
  <c r="P151" i="34"/>
  <c r="O151" i="34"/>
  <c r="AM151" i="34"/>
  <c r="AF151" i="34"/>
  <c r="AE151" i="34"/>
  <c r="X151" i="34"/>
  <c r="AN151" i="34"/>
  <c r="W151" i="34"/>
  <c r="AL167" i="34"/>
  <c r="AK472" i="31" s="1"/>
  <c r="AD167" i="34"/>
  <c r="V167" i="34"/>
  <c r="N167" i="34"/>
  <c r="AK167" i="34"/>
  <c r="AJ472" i="31" s="1"/>
  <c r="AC167" i="34"/>
  <c r="U167" i="34"/>
  <c r="M167" i="34"/>
  <c r="AJ167" i="34"/>
  <c r="AB167" i="34"/>
  <c r="T167" i="34"/>
  <c r="L167" i="34"/>
  <c r="AI167" i="34"/>
  <c r="AA167" i="34"/>
  <c r="S167" i="34"/>
  <c r="K167" i="34"/>
  <c r="AP167" i="34"/>
  <c r="AO472" i="31" s="1"/>
  <c r="AH167" i="34"/>
  <c r="Z167" i="34"/>
  <c r="R167" i="34"/>
  <c r="J167" i="34"/>
  <c r="AO167" i="34"/>
  <c r="AN472" i="31" s="1"/>
  <c r="AG167" i="34"/>
  <c r="Y167" i="34"/>
  <c r="Q167" i="34"/>
  <c r="I167" i="34"/>
  <c r="P167" i="34"/>
  <c r="O167" i="34"/>
  <c r="AM167" i="34"/>
  <c r="AL472" i="31" s="1"/>
  <c r="AF167" i="34"/>
  <c r="AE167" i="34"/>
  <c r="X167" i="34"/>
  <c r="AN167" i="34"/>
  <c r="AM472" i="31" s="1"/>
  <c r="W167" i="34"/>
  <c r="AL183" i="34"/>
  <c r="AK488" i="31" s="1"/>
  <c r="AD183" i="34"/>
  <c r="V183" i="34"/>
  <c r="N183" i="34"/>
  <c r="AK183" i="34"/>
  <c r="AJ488" i="31" s="1"/>
  <c r="AC183" i="34"/>
  <c r="U183" i="34"/>
  <c r="M183" i="34"/>
  <c r="AJ183" i="34"/>
  <c r="AB183" i="34"/>
  <c r="T183" i="34"/>
  <c r="L183" i="34"/>
  <c r="AI183" i="34"/>
  <c r="AA183" i="34"/>
  <c r="S183" i="34"/>
  <c r="K183" i="34"/>
  <c r="AP183" i="34"/>
  <c r="AO488" i="31" s="1"/>
  <c r="AH183" i="34"/>
  <c r="Z183" i="34"/>
  <c r="R183" i="34"/>
  <c r="J183" i="34"/>
  <c r="AO183" i="34"/>
  <c r="AN488" i="31" s="1"/>
  <c r="AG183" i="34"/>
  <c r="Y183" i="34"/>
  <c r="Q183" i="34"/>
  <c r="I183" i="34"/>
  <c r="P183" i="34"/>
  <c r="O183" i="34"/>
  <c r="AM183" i="34"/>
  <c r="AL488" i="31" s="1"/>
  <c r="AF183" i="34"/>
  <c r="AE183" i="34"/>
  <c r="X183" i="34"/>
  <c r="W183" i="34"/>
  <c r="AO199" i="34"/>
  <c r="AG199" i="34"/>
  <c r="Y199" i="34"/>
  <c r="Q199" i="34"/>
  <c r="I199" i="34"/>
  <c r="AJ199" i="34"/>
  <c r="AL199" i="34"/>
  <c r="AB199" i="34"/>
  <c r="S199" i="34"/>
  <c r="J199" i="34"/>
  <c r="AK199" i="34"/>
  <c r="AA199" i="34"/>
  <c r="R199" i="34"/>
  <c r="AI199" i="34"/>
  <c r="Z199" i="34"/>
  <c r="P199" i="34"/>
  <c r="AH199" i="34"/>
  <c r="X199" i="34"/>
  <c r="O199" i="34"/>
  <c r="AF199" i="34"/>
  <c r="W199" i="34"/>
  <c r="N199" i="34"/>
  <c r="AP199" i="34"/>
  <c r="AE199" i="34"/>
  <c r="V199" i="34"/>
  <c r="M199" i="34"/>
  <c r="U199" i="34"/>
  <c r="T199" i="34"/>
  <c r="K199" i="34"/>
  <c r="AN199" i="34"/>
  <c r="AM199" i="34"/>
  <c r="AD199" i="34"/>
  <c r="AO215" i="34"/>
  <c r="AG215" i="34"/>
  <c r="Y215" i="34"/>
  <c r="Q215" i="34"/>
  <c r="I215" i="34"/>
  <c r="AN215" i="34"/>
  <c r="AF215" i="34"/>
  <c r="X215" i="34"/>
  <c r="P215" i="34"/>
  <c r="AM215" i="34"/>
  <c r="AE215" i="34"/>
  <c r="W215" i="34"/>
  <c r="O215" i="34"/>
  <c r="AL215" i="34"/>
  <c r="AD215" i="34"/>
  <c r="V215" i="34"/>
  <c r="N215" i="34"/>
  <c r="AK215" i="34"/>
  <c r="AC215" i="34"/>
  <c r="U215" i="34"/>
  <c r="M215" i="34"/>
  <c r="AJ215" i="34"/>
  <c r="AB215" i="34"/>
  <c r="T215" i="34"/>
  <c r="L215" i="34"/>
  <c r="K215" i="34"/>
  <c r="AP215" i="34"/>
  <c r="J215" i="34"/>
  <c r="AI215" i="34"/>
  <c r="AH215" i="34"/>
  <c r="AA215" i="34"/>
  <c r="Z215" i="34"/>
  <c r="S215" i="34"/>
  <c r="R215" i="35" s="1"/>
  <c r="R215" i="34"/>
  <c r="Q215" i="35" s="1"/>
  <c r="AO231" i="34"/>
  <c r="AG231" i="34"/>
  <c r="Y231" i="34"/>
  <c r="Q231" i="34"/>
  <c r="I231" i="34"/>
  <c r="AN231" i="34"/>
  <c r="AF231" i="34"/>
  <c r="X231" i="34"/>
  <c r="P231" i="34"/>
  <c r="AM231" i="34"/>
  <c r="AE231" i="34"/>
  <c r="W231" i="34"/>
  <c r="O231" i="34"/>
  <c r="AL231" i="34"/>
  <c r="AD231" i="34"/>
  <c r="V231" i="34"/>
  <c r="N231" i="34"/>
  <c r="AK231" i="34"/>
  <c r="AC231" i="34"/>
  <c r="U231" i="34"/>
  <c r="M231" i="34"/>
  <c r="AJ231" i="34"/>
  <c r="AB231" i="34"/>
  <c r="T231" i="34"/>
  <c r="L231" i="34"/>
  <c r="K231" i="34"/>
  <c r="AP231" i="34"/>
  <c r="J231" i="34"/>
  <c r="AI231" i="34"/>
  <c r="AH231" i="34"/>
  <c r="AA231" i="34"/>
  <c r="Z231" i="34"/>
  <c r="S231" i="34"/>
  <c r="R231" i="34"/>
  <c r="AK247" i="34"/>
  <c r="AC247" i="34"/>
  <c r="U247" i="34"/>
  <c r="M247" i="34"/>
  <c r="AJ247" i="34"/>
  <c r="AB247" i="34"/>
  <c r="T247" i="34"/>
  <c r="L247" i="34"/>
  <c r="AI247" i="34"/>
  <c r="AA247" i="34"/>
  <c r="S247" i="34"/>
  <c r="K247" i="34"/>
  <c r="J247" i="35" s="1"/>
  <c r="AP247" i="34"/>
  <c r="AH247" i="34"/>
  <c r="Z247" i="34"/>
  <c r="R247" i="34"/>
  <c r="J247" i="34"/>
  <c r="AO247" i="34"/>
  <c r="AG247" i="34"/>
  <c r="Y247" i="34"/>
  <c r="Q247" i="34"/>
  <c r="I247" i="34"/>
  <c r="AE247" i="34"/>
  <c r="AD247" i="34"/>
  <c r="X247" i="34"/>
  <c r="W247" i="34"/>
  <c r="AN247" i="34"/>
  <c r="V247" i="34"/>
  <c r="AM247" i="34"/>
  <c r="P247" i="34"/>
  <c r="AL247" i="34"/>
  <c r="AF247" i="34"/>
  <c r="O247" i="34"/>
  <c r="N247" i="34"/>
  <c r="AM263" i="34"/>
  <c r="AE263" i="34"/>
  <c r="W263" i="34"/>
  <c r="O263" i="34"/>
  <c r="AL263" i="34"/>
  <c r="AD263" i="34"/>
  <c r="V263" i="34"/>
  <c r="N263" i="34"/>
  <c r="AK263" i="34"/>
  <c r="AC263" i="34"/>
  <c r="U263" i="34"/>
  <c r="M263" i="34"/>
  <c r="AJ263" i="34"/>
  <c r="AB263" i="34"/>
  <c r="T263" i="34"/>
  <c r="L263" i="34"/>
  <c r="AP263" i="34"/>
  <c r="AH263" i="34"/>
  <c r="Z263" i="34"/>
  <c r="R263" i="34"/>
  <c r="J263" i="34"/>
  <c r="X263" i="34"/>
  <c r="AO263" i="34"/>
  <c r="S263" i="34"/>
  <c r="AN263" i="34"/>
  <c r="Q263" i="34"/>
  <c r="AI263" i="34"/>
  <c r="P263" i="34"/>
  <c r="AG263" i="34"/>
  <c r="K263" i="34"/>
  <c r="AF263" i="34"/>
  <c r="I263" i="34"/>
  <c r="AA263" i="34"/>
  <c r="Y263" i="34"/>
  <c r="AN287" i="34"/>
  <c r="AF287" i="34"/>
  <c r="X287" i="34"/>
  <c r="P287" i="34"/>
  <c r="AM287" i="34"/>
  <c r="AE287" i="34"/>
  <c r="W287" i="34"/>
  <c r="O287" i="34"/>
  <c r="AL287" i="34"/>
  <c r="AD287" i="34"/>
  <c r="V287" i="34"/>
  <c r="N287" i="34"/>
  <c r="AK287" i="34"/>
  <c r="AC287" i="34"/>
  <c r="U287" i="34"/>
  <c r="M287" i="34"/>
  <c r="AI287" i="34"/>
  <c r="AA287" i="34"/>
  <c r="S287" i="34"/>
  <c r="K287" i="34"/>
  <c r="AP287" i="34"/>
  <c r="AH287" i="34"/>
  <c r="Z287" i="34"/>
  <c r="R287" i="34"/>
  <c r="J287" i="34"/>
  <c r="AG287" i="34"/>
  <c r="AB287" i="34"/>
  <c r="Y287" i="34"/>
  <c r="T287" i="34"/>
  <c r="L287" i="34"/>
  <c r="AO287" i="34"/>
  <c r="AJ287" i="34"/>
  <c r="Q287" i="34"/>
  <c r="I287" i="34"/>
  <c r="AN303" i="34"/>
  <c r="AM608" i="31" s="1"/>
  <c r="AF303" i="34"/>
  <c r="X303" i="34"/>
  <c r="P303" i="34"/>
  <c r="AM303" i="34"/>
  <c r="AL608" i="31" s="1"/>
  <c r="AE303" i="34"/>
  <c r="W303" i="34"/>
  <c r="O303" i="34"/>
  <c r="AL303" i="34"/>
  <c r="AK608" i="31" s="1"/>
  <c r="AD303" i="34"/>
  <c r="V303" i="34"/>
  <c r="N303" i="34"/>
  <c r="AK303" i="34"/>
  <c r="AJ608" i="31" s="1"/>
  <c r="AC303" i="34"/>
  <c r="U303" i="34"/>
  <c r="M303" i="34"/>
  <c r="AJ303" i="34"/>
  <c r="AB303" i="34"/>
  <c r="T303" i="34"/>
  <c r="L303" i="34"/>
  <c r="AI303" i="34"/>
  <c r="AA303" i="34"/>
  <c r="S303" i="34"/>
  <c r="K303" i="34"/>
  <c r="AP303" i="34"/>
  <c r="AO608" i="31" s="1"/>
  <c r="AH303" i="34"/>
  <c r="Z303" i="34"/>
  <c r="R303" i="34"/>
  <c r="J303" i="34"/>
  <c r="I303" i="34"/>
  <c r="AG303" i="34"/>
  <c r="AO303" i="34"/>
  <c r="AN608" i="31" s="1"/>
  <c r="Y303" i="34"/>
  <c r="Q303" i="34"/>
  <c r="U15" i="34"/>
  <c r="AK15" i="34"/>
  <c r="AJ320" i="31" s="1"/>
  <c r="U23" i="34"/>
  <c r="AK23" i="34"/>
  <c r="AJ328" i="31" s="1"/>
  <c r="U31" i="34"/>
  <c r="T31" i="35" s="1"/>
  <c r="AK31" i="34"/>
  <c r="J47" i="34"/>
  <c r="AP47" i="34"/>
  <c r="Z55" i="34"/>
  <c r="J63" i="34"/>
  <c r="AP63" i="34"/>
  <c r="AO368" i="31" s="1"/>
  <c r="AD69" i="34"/>
  <c r="Z71" i="34"/>
  <c r="N77" i="34"/>
  <c r="J79" i="34"/>
  <c r="J95" i="34"/>
  <c r="AP95" i="34"/>
  <c r="AA103" i="34"/>
  <c r="AJ109" i="34"/>
  <c r="K111" i="34"/>
  <c r="W117" i="34"/>
  <c r="AO119" i="34"/>
  <c r="N12" i="34"/>
  <c r="L13" i="34"/>
  <c r="AB13" i="34"/>
  <c r="X15" i="34"/>
  <c r="AN15" i="34"/>
  <c r="AM320" i="31" s="1"/>
  <c r="V16" i="34"/>
  <c r="AL16" i="34"/>
  <c r="AK321" i="31" s="1"/>
  <c r="N20" i="34"/>
  <c r="L21" i="34"/>
  <c r="AB21" i="34"/>
  <c r="X23" i="34"/>
  <c r="AN23" i="34"/>
  <c r="AM328" i="31" s="1"/>
  <c r="V24" i="34"/>
  <c r="AL24" i="34"/>
  <c r="N28" i="34"/>
  <c r="L29" i="34"/>
  <c r="AB29" i="34"/>
  <c r="X31" i="34"/>
  <c r="AN31" i="34"/>
  <c r="AM31" i="35" s="1"/>
  <c r="V32" i="34"/>
  <c r="AL32" i="34"/>
  <c r="N36" i="34"/>
  <c r="M36" i="35" s="1"/>
  <c r="L37" i="34"/>
  <c r="AB37" i="34"/>
  <c r="X39" i="34"/>
  <c r="AN39" i="34"/>
  <c r="V40" i="34"/>
  <c r="AL40" i="34"/>
  <c r="N44" i="34"/>
  <c r="W45" i="34"/>
  <c r="P47" i="34"/>
  <c r="N48" i="34"/>
  <c r="AJ53" i="34"/>
  <c r="AF55" i="34"/>
  <c r="AD56" i="34"/>
  <c r="T61" i="34"/>
  <c r="P63" i="34"/>
  <c r="N64" i="34"/>
  <c r="AJ69" i="34"/>
  <c r="AF71" i="34"/>
  <c r="AD72" i="34"/>
  <c r="T77" i="34"/>
  <c r="P79" i="34"/>
  <c r="N80" i="34"/>
  <c r="AJ85" i="34"/>
  <c r="AF87" i="34"/>
  <c r="AD88" i="34"/>
  <c r="T93" i="34"/>
  <c r="P95" i="34"/>
  <c r="N96" i="34"/>
  <c r="I100" i="34"/>
  <c r="P101" i="34"/>
  <c r="AI103" i="34"/>
  <c r="AP104" i="34"/>
  <c r="S111" i="34"/>
  <c r="AH112" i="34"/>
  <c r="Z120" i="34"/>
  <c r="AG127" i="34"/>
  <c r="AF127" i="35" s="1"/>
  <c r="U152" i="34"/>
  <c r="AM191" i="34"/>
  <c r="AL191" i="35" s="1"/>
  <c r="AJ103" i="34"/>
  <c r="M39" i="34"/>
  <c r="AC39" i="34"/>
  <c r="Z47" i="34"/>
  <c r="J55" i="34"/>
  <c r="AP55" i="34"/>
  <c r="Z63" i="34"/>
  <c r="N69" i="34"/>
  <c r="J71" i="34"/>
  <c r="AP71" i="34"/>
  <c r="Z79" i="34"/>
  <c r="J87" i="34"/>
  <c r="AP87" i="34"/>
  <c r="AE101" i="34"/>
  <c r="N104" i="34"/>
  <c r="O109" i="34"/>
  <c r="AF111" i="34"/>
  <c r="L199" i="34"/>
  <c r="T111" i="34"/>
  <c r="M23" i="34"/>
  <c r="AC23" i="34"/>
  <c r="AE45" i="34"/>
  <c r="N53" i="34"/>
  <c r="AD61" i="34"/>
  <c r="AD77" i="34"/>
  <c r="N85" i="34"/>
  <c r="AD93" i="34"/>
  <c r="Z95" i="34"/>
  <c r="AP12" i="34"/>
  <c r="AH12" i="34"/>
  <c r="Z12" i="34"/>
  <c r="R12" i="34"/>
  <c r="J12" i="34"/>
  <c r="AO12" i="34"/>
  <c r="AG12" i="34"/>
  <c r="Y12" i="34"/>
  <c r="Q12" i="34"/>
  <c r="I12" i="34"/>
  <c r="AN12" i="34"/>
  <c r="AF12" i="34"/>
  <c r="X12" i="34"/>
  <c r="P12" i="34"/>
  <c r="AK12" i="34"/>
  <c r="AC12" i="34"/>
  <c r="U12" i="34"/>
  <c r="M12" i="34"/>
  <c r="AP20" i="34"/>
  <c r="AH20" i="34"/>
  <c r="Z20" i="34"/>
  <c r="R20" i="34"/>
  <c r="J20" i="34"/>
  <c r="AO20" i="34"/>
  <c r="AG20" i="34"/>
  <c r="Y20" i="34"/>
  <c r="Q20" i="34"/>
  <c r="I20" i="34"/>
  <c r="AN20" i="34"/>
  <c r="AF20" i="34"/>
  <c r="X20" i="34"/>
  <c r="P20" i="34"/>
  <c r="AK20" i="34"/>
  <c r="AC20" i="34"/>
  <c r="U20" i="34"/>
  <c r="M20" i="34"/>
  <c r="AP28" i="34"/>
  <c r="AO333" i="31" s="1"/>
  <c r="AH28" i="34"/>
  <c r="Z28" i="34"/>
  <c r="R28" i="34"/>
  <c r="J28" i="34"/>
  <c r="AO28" i="34"/>
  <c r="AN333" i="31" s="1"/>
  <c r="AG28" i="34"/>
  <c r="Y28" i="34"/>
  <c r="Q28" i="34"/>
  <c r="I28" i="34"/>
  <c r="AN28" i="34"/>
  <c r="AM333" i="31" s="1"/>
  <c r="AF28" i="34"/>
  <c r="X28" i="34"/>
  <c r="P28" i="34"/>
  <c r="AK28" i="34"/>
  <c r="AJ333" i="31" s="1"/>
  <c r="AC28" i="34"/>
  <c r="U28" i="34"/>
  <c r="M28" i="34"/>
  <c r="AP36" i="34"/>
  <c r="AH36" i="34"/>
  <c r="Z36" i="34"/>
  <c r="R36" i="34"/>
  <c r="J36" i="34"/>
  <c r="AO36" i="34"/>
  <c r="AG36" i="34"/>
  <c r="Y36" i="34"/>
  <c r="Q36" i="34"/>
  <c r="I36" i="34"/>
  <c r="AN36" i="34"/>
  <c r="AF36" i="34"/>
  <c r="X36" i="34"/>
  <c r="P36" i="34"/>
  <c r="AK36" i="34"/>
  <c r="AC36" i="34"/>
  <c r="U36" i="34"/>
  <c r="M36" i="34"/>
  <c r="AJ44" i="34"/>
  <c r="AB44" i="34"/>
  <c r="AI44" i="34"/>
  <c r="AM44" i="34"/>
  <c r="AL349" i="31" s="1"/>
  <c r="AE44" i="34"/>
  <c r="AL44" i="34"/>
  <c r="AK349" i="31" s="1"/>
  <c r="Z44" i="34"/>
  <c r="R44" i="34"/>
  <c r="J44" i="34"/>
  <c r="AK44" i="34"/>
  <c r="AJ349" i="31" s="1"/>
  <c r="Y44" i="34"/>
  <c r="Q44" i="34"/>
  <c r="I44" i="34"/>
  <c r="AH44" i="34"/>
  <c r="X44" i="34"/>
  <c r="P44" i="34"/>
  <c r="AP44" i="34"/>
  <c r="AO349" i="31" s="1"/>
  <c r="AD44" i="34"/>
  <c r="U44" i="34"/>
  <c r="M44" i="34"/>
  <c r="AK52" i="34"/>
  <c r="AJ357" i="31" s="1"/>
  <c r="AC52" i="34"/>
  <c r="U52" i="34"/>
  <c r="M52" i="34"/>
  <c r="AJ52" i="34"/>
  <c r="AB52" i="34"/>
  <c r="T52" i="34"/>
  <c r="L52" i="34"/>
  <c r="AI52" i="34"/>
  <c r="AA52" i="34"/>
  <c r="S52" i="34"/>
  <c r="K52" i="34"/>
  <c r="AM52" i="34"/>
  <c r="AE52" i="34"/>
  <c r="W52" i="34"/>
  <c r="O52" i="34"/>
  <c r="AD52" i="34"/>
  <c r="N52" i="34"/>
  <c r="AP52" i="34"/>
  <c r="Z52" i="34"/>
  <c r="J52" i="34"/>
  <c r="AO52" i="34"/>
  <c r="Y52" i="34"/>
  <c r="I52" i="34"/>
  <c r="AH52" i="34"/>
  <c r="R52" i="34"/>
  <c r="AK60" i="34"/>
  <c r="AC60" i="34"/>
  <c r="U60" i="34"/>
  <c r="M60" i="34"/>
  <c r="AJ60" i="34"/>
  <c r="AB60" i="34"/>
  <c r="T60" i="34"/>
  <c r="L60" i="34"/>
  <c r="AI60" i="34"/>
  <c r="AA60" i="34"/>
  <c r="S60" i="34"/>
  <c r="K60" i="34"/>
  <c r="AM60" i="34"/>
  <c r="AE60" i="34"/>
  <c r="W60" i="34"/>
  <c r="O60" i="34"/>
  <c r="AD60" i="34"/>
  <c r="N60" i="34"/>
  <c r="AP60" i="34"/>
  <c r="Z60" i="34"/>
  <c r="J60" i="34"/>
  <c r="AO60" i="34"/>
  <c r="Y60" i="34"/>
  <c r="I60" i="34"/>
  <c r="AH60" i="34"/>
  <c r="R60" i="34"/>
  <c r="AK68" i="34"/>
  <c r="AC68" i="34"/>
  <c r="U68" i="34"/>
  <c r="T68" i="35" s="1"/>
  <c r="M68" i="34"/>
  <c r="L68" i="35" s="1"/>
  <c r="AJ68" i="34"/>
  <c r="AB68" i="34"/>
  <c r="AA68" i="35" s="1"/>
  <c r="T68" i="34"/>
  <c r="S68" i="35" s="1"/>
  <c r="L68" i="34"/>
  <c r="AI68" i="34"/>
  <c r="AA68" i="34"/>
  <c r="S68" i="34"/>
  <c r="K68" i="34"/>
  <c r="AM68" i="34"/>
  <c r="AE68" i="34"/>
  <c r="W68" i="34"/>
  <c r="O68" i="34"/>
  <c r="AD68" i="34"/>
  <c r="AC68" i="35" s="1"/>
  <c r="N68" i="34"/>
  <c r="M68" i="35" s="1"/>
  <c r="AP68" i="34"/>
  <c r="Z68" i="34"/>
  <c r="J68" i="34"/>
  <c r="AO68" i="34"/>
  <c r="Y68" i="34"/>
  <c r="I68" i="34"/>
  <c r="AH68" i="34"/>
  <c r="AG68" i="35" s="1"/>
  <c r="R68" i="34"/>
  <c r="AK76" i="34"/>
  <c r="AC76" i="34"/>
  <c r="U76" i="34"/>
  <c r="M76" i="34"/>
  <c r="AJ76" i="34"/>
  <c r="AB76" i="34"/>
  <c r="T76" i="34"/>
  <c r="L76" i="34"/>
  <c r="AI76" i="34"/>
  <c r="AA76" i="34"/>
  <c r="S76" i="34"/>
  <c r="K76" i="34"/>
  <c r="AM76" i="34"/>
  <c r="AE76" i="34"/>
  <c r="W76" i="34"/>
  <c r="O76" i="34"/>
  <c r="AD76" i="34"/>
  <c r="N76" i="34"/>
  <c r="AP76" i="34"/>
  <c r="Z76" i="34"/>
  <c r="J76" i="34"/>
  <c r="AO76" i="34"/>
  <c r="Y76" i="34"/>
  <c r="I76" i="34"/>
  <c r="AH76" i="34"/>
  <c r="AG76" i="35" s="1"/>
  <c r="R76" i="34"/>
  <c r="AK84" i="34"/>
  <c r="AC84" i="34"/>
  <c r="U84" i="34"/>
  <c r="M84" i="34"/>
  <c r="AJ84" i="34"/>
  <c r="AB84" i="34"/>
  <c r="T84" i="34"/>
  <c r="L84" i="34"/>
  <c r="AI84" i="34"/>
  <c r="AA84" i="34"/>
  <c r="S84" i="34"/>
  <c r="K84" i="34"/>
  <c r="AM84" i="34"/>
  <c r="AE84" i="34"/>
  <c r="W84" i="34"/>
  <c r="O84" i="34"/>
  <c r="AD84" i="34"/>
  <c r="N84" i="34"/>
  <c r="AP84" i="34"/>
  <c r="Z84" i="34"/>
  <c r="J84" i="34"/>
  <c r="AO84" i="34"/>
  <c r="Y84" i="34"/>
  <c r="I84" i="34"/>
  <c r="AH84" i="34"/>
  <c r="R84" i="34"/>
  <c r="AK92" i="34"/>
  <c r="AC92" i="34"/>
  <c r="U92" i="34"/>
  <c r="M92" i="34"/>
  <c r="AJ92" i="34"/>
  <c r="AB92" i="34"/>
  <c r="T92" i="34"/>
  <c r="L92" i="34"/>
  <c r="AI92" i="34"/>
  <c r="AA92" i="34"/>
  <c r="S92" i="34"/>
  <c r="K92" i="34"/>
  <c r="AM92" i="34"/>
  <c r="AE92" i="34"/>
  <c r="W92" i="34"/>
  <c r="O92" i="34"/>
  <c r="AD92" i="34"/>
  <c r="N92" i="34"/>
  <c r="AP92" i="34"/>
  <c r="Z92" i="34"/>
  <c r="J92" i="34"/>
  <c r="AO92" i="34"/>
  <c r="Y92" i="34"/>
  <c r="I92" i="34"/>
  <c r="AH92" i="34"/>
  <c r="R92" i="34"/>
  <c r="AK100" i="34"/>
  <c r="AC100" i="34"/>
  <c r="U100" i="34"/>
  <c r="M100" i="34"/>
  <c r="AJ100" i="34"/>
  <c r="AB100" i="34"/>
  <c r="T100" i="34"/>
  <c r="L100" i="34"/>
  <c r="AI100" i="34"/>
  <c r="AA100" i="34"/>
  <c r="S100" i="34"/>
  <c r="K100" i="34"/>
  <c r="AN100" i="34"/>
  <c r="AF100" i="34"/>
  <c r="X100" i="34"/>
  <c r="P100" i="34"/>
  <c r="AM100" i="34"/>
  <c r="AE100" i="34"/>
  <c r="W100" i="34"/>
  <c r="O100" i="34"/>
  <c r="AO100" i="34"/>
  <c r="R100" i="34"/>
  <c r="AL100" i="34"/>
  <c r="Q100" i="34"/>
  <c r="AH100" i="34"/>
  <c r="N100" i="34"/>
  <c r="Z100" i="34"/>
  <c r="AK108" i="34"/>
  <c r="AC108" i="34"/>
  <c r="U108" i="34"/>
  <c r="M108" i="34"/>
  <c r="AJ108" i="34"/>
  <c r="AB108" i="34"/>
  <c r="T108" i="34"/>
  <c r="L108" i="34"/>
  <c r="AI108" i="34"/>
  <c r="AA108" i="34"/>
  <c r="S108" i="34"/>
  <c r="K108" i="34"/>
  <c r="AN108" i="34"/>
  <c r="AF108" i="34"/>
  <c r="X108" i="34"/>
  <c r="P108" i="34"/>
  <c r="AM108" i="34"/>
  <c r="AE108" i="34"/>
  <c r="W108" i="34"/>
  <c r="O108" i="34"/>
  <c r="Y108" i="34"/>
  <c r="AP108" i="34"/>
  <c r="V108" i="34"/>
  <c r="AO108" i="34"/>
  <c r="R108" i="34"/>
  <c r="AG108" i="34"/>
  <c r="J108" i="34"/>
  <c r="AL116" i="34"/>
  <c r="AD116" i="34"/>
  <c r="AC116" i="35" s="1"/>
  <c r="V116" i="34"/>
  <c r="U116" i="35" s="1"/>
  <c r="N116" i="34"/>
  <c r="AK116" i="34"/>
  <c r="AC116" i="34"/>
  <c r="U116" i="34"/>
  <c r="M116" i="34"/>
  <c r="AJ116" i="34"/>
  <c r="AB116" i="34"/>
  <c r="T116" i="34"/>
  <c r="S116" i="35" s="1"/>
  <c r="L116" i="34"/>
  <c r="AI116" i="34"/>
  <c r="AA116" i="34"/>
  <c r="S116" i="34"/>
  <c r="K116" i="34"/>
  <c r="AG116" i="34"/>
  <c r="Q116" i="34"/>
  <c r="AF116" i="34"/>
  <c r="P116" i="34"/>
  <c r="AE116" i="34"/>
  <c r="O116" i="34"/>
  <c r="AN116" i="34"/>
  <c r="X116" i="34"/>
  <c r="AM116" i="34"/>
  <c r="W116" i="34"/>
  <c r="V116" i="35" s="1"/>
  <c r="I116" i="34"/>
  <c r="AP116" i="34"/>
  <c r="AO116" i="34"/>
  <c r="Y116" i="34"/>
  <c r="AO124" i="34"/>
  <c r="AG124" i="34"/>
  <c r="AF124" i="35" s="1"/>
  <c r="Y124" i="34"/>
  <c r="X124" i="35" s="1"/>
  <c r="Q124" i="34"/>
  <c r="I124" i="34"/>
  <c r="AL124" i="34"/>
  <c r="AK124" i="35" s="1"/>
  <c r="AD124" i="34"/>
  <c r="AC124" i="35" s="1"/>
  <c r="V124" i="34"/>
  <c r="U124" i="35" s="1"/>
  <c r="N124" i="34"/>
  <c r="AK124" i="34"/>
  <c r="AJ124" i="35" s="1"/>
  <c r="AC124" i="34"/>
  <c r="AB124" i="35" s="1"/>
  <c r="U124" i="34"/>
  <c r="T124" i="35" s="1"/>
  <c r="M124" i="34"/>
  <c r="AJ124" i="34"/>
  <c r="AI124" i="35" s="1"/>
  <c r="AB124" i="34"/>
  <c r="AA124" i="35" s="1"/>
  <c r="T124" i="34"/>
  <c r="S124" i="35" s="1"/>
  <c r="L124" i="34"/>
  <c r="AI124" i="34"/>
  <c r="AH124" i="35" s="1"/>
  <c r="AA124" i="34"/>
  <c r="Z124" i="35" s="1"/>
  <c r="S124" i="34"/>
  <c r="R124" i="35" s="1"/>
  <c r="K124" i="34"/>
  <c r="Z124" i="34"/>
  <c r="Y124" i="35" s="1"/>
  <c r="X124" i="34"/>
  <c r="W124" i="35" s="1"/>
  <c r="AP124" i="34"/>
  <c r="W124" i="34"/>
  <c r="V124" i="35" s="1"/>
  <c r="AH124" i="34"/>
  <c r="O124" i="34"/>
  <c r="AF124" i="34"/>
  <c r="AE124" i="35" s="1"/>
  <c r="J124" i="34"/>
  <c r="AM124" i="34"/>
  <c r="AL124" i="35" s="1"/>
  <c r="AE124" i="34"/>
  <c r="AD124" i="35" s="1"/>
  <c r="R124" i="34"/>
  <c r="AJ132" i="34"/>
  <c r="AB132" i="34"/>
  <c r="AI132" i="34"/>
  <c r="AA132" i="34"/>
  <c r="AP132" i="34"/>
  <c r="AH132" i="34"/>
  <c r="AN132" i="34"/>
  <c r="AF132" i="34"/>
  <c r="X132" i="34"/>
  <c r="AM132" i="34"/>
  <c r="AE132" i="34"/>
  <c r="W132" i="34"/>
  <c r="AC132" i="34"/>
  <c r="Q132" i="34"/>
  <c r="I132" i="34"/>
  <c r="Z132" i="34"/>
  <c r="P132" i="34"/>
  <c r="AO132" i="34"/>
  <c r="V132" i="34"/>
  <c r="N132" i="34"/>
  <c r="AL132" i="34"/>
  <c r="U132" i="34"/>
  <c r="M132" i="34"/>
  <c r="AK132" i="34"/>
  <c r="T132" i="34"/>
  <c r="L132" i="34"/>
  <c r="AG132" i="34"/>
  <c r="S132" i="34"/>
  <c r="K132" i="34"/>
  <c r="R132" i="34"/>
  <c r="O132" i="34"/>
  <c r="Y132" i="34"/>
  <c r="AJ140" i="34"/>
  <c r="AI140" i="35" s="1"/>
  <c r="AB140" i="34"/>
  <c r="AA140" i="35" s="1"/>
  <c r="T140" i="34"/>
  <c r="L140" i="34"/>
  <c r="AI140" i="34"/>
  <c r="AH140" i="35" s="1"/>
  <c r="AA140" i="34"/>
  <c r="Z140" i="35" s="1"/>
  <c r="S140" i="34"/>
  <c r="K140" i="34"/>
  <c r="AP140" i="34"/>
  <c r="AH140" i="34"/>
  <c r="AG140" i="35" s="1"/>
  <c r="Z140" i="34"/>
  <c r="Y140" i="35" s="1"/>
  <c r="R140" i="34"/>
  <c r="J140" i="34"/>
  <c r="AO140" i="34"/>
  <c r="AG140" i="34"/>
  <c r="AF140" i="35" s="1"/>
  <c r="Y140" i="34"/>
  <c r="X140" i="35" s="1"/>
  <c r="Q140" i="34"/>
  <c r="I140" i="34"/>
  <c r="AN140" i="34"/>
  <c r="AM140" i="35" s="1"/>
  <c r="AF140" i="34"/>
  <c r="AE140" i="35" s="1"/>
  <c r="X140" i="34"/>
  <c r="W140" i="35" s="1"/>
  <c r="P140" i="34"/>
  <c r="AM140" i="34"/>
  <c r="AL140" i="35" s="1"/>
  <c r="AE140" i="34"/>
  <c r="AD140" i="35" s="1"/>
  <c r="W140" i="34"/>
  <c r="V140" i="35" s="1"/>
  <c r="O140" i="34"/>
  <c r="AL140" i="34"/>
  <c r="AK140" i="35" s="1"/>
  <c r="AK140" i="34"/>
  <c r="AJ140" i="35" s="1"/>
  <c r="AC140" i="34"/>
  <c r="AB140" i="35" s="1"/>
  <c r="V140" i="34"/>
  <c r="U140" i="34"/>
  <c r="N140" i="34"/>
  <c r="AD140" i="34"/>
  <c r="AC140" i="35" s="1"/>
  <c r="M140" i="34"/>
  <c r="AJ148" i="34"/>
  <c r="AB148" i="34"/>
  <c r="T148" i="34"/>
  <c r="L148" i="34"/>
  <c r="AI148" i="34"/>
  <c r="AA148" i="34"/>
  <c r="S148" i="34"/>
  <c r="K148" i="34"/>
  <c r="AP148" i="34"/>
  <c r="AH148" i="34"/>
  <c r="Z148" i="34"/>
  <c r="R148" i="34"/>
  <c r="J148" i="34"/>
  <c r="AO148" i="34"/>
  <c r="AG148" i="34"/>
  <c r="Y148" i="34"/>
  <c r="Q148" i="34"/>
  <c r="I148" i="34"/>
  <c r="AN148" i="34"/>
  <c r="AF148" i="34"/>
  <c r="X148" i="34"/>
  <c r="P148" i="34"/>
  <c r="AM148" i="34"/>
  <c r="AE148" i="34"/>
  <c r="W148" i="34"/>
  <c r="O148" i="34"/>
  <c r="V148" i="34"/>
  <c r="U148" i="34"/>
  <c r="M148" i="34"/>
  <c r="AL148" i="34"/>
  <c r="AK148" i="34"/>
  <c r="AD148" i="34"/>
  <c r="N148" i="34"/>
  <c r="AJ156" i="34"/>
  <c r="AB156" i="34"/>
  <c r="T156" i="34"/>
  <c r="L156" i="34"/>
  <c r="AI156" i="34"/>
  <c r="AA156" i="34"/>
  <c r="S156" i="34"/>
  <c r="K156" i="34"/>
  <c r="AP156" i="34"/>
  <c r="AO461" i="31" s="1"/>
  <c r="AH156" i="34"/>
  <c r="Z156" i="34"/>
  <c r="R156" i="34"/>
  <c r="J156" i="34"/>
  <c r="AO156" i="34"/>
  <c r="AN461" i="31" s="1"/>
  <c r="AG156" i="34"/>
  <c r="Y156" i="34"/>
  <c r="Q156" i="34"/>
  <c r="I156" i="34"/>
  <c r="AN156" i="34"/>
  <c r="AM461" i="31" s="1"/>
  <c r="AF156" i="34"/>
  <c r="X156" i="34"/>
  <c r="P156" i="34"/>
  <c r="AM156" i="34"/>
  <c r="AL461" i="31" s="1"/>
  <c r="AE156" i="34"/>
  <c r="W156" i="34"/>
  <c r="O156" i="34"/>
  <c r="AL156" i="34"/>
  <c r="AK461" i="31" s="1"/>
  <c r="AK156" i="34"/>
  <c r="AJ461" i="31" s="1"/>
  <c r="AC156" i="34"/>
  <c r="V156" i="34"/>
  <c r="U156" i="34"/>
  <c r="N156" i="34"/>
  <c r="AD156" i="34"/>
  <c r="M156" i="34"/>
  <c r="AJ164" i="34"/>
  <c r="AB164" i="34"/>
  <c r="T164" i="34"/>
  <c r="L164" i="34"/>
  <c r="AI164" i="34"/>
  <c r="AA164" i="34"/>
  <c r="S164" i="34"/>
  <c r="K164" i="34"/>
  <c r="AP164" i="34"/>
  <c r="AH164" i="34"/>
  <c r="Z164" i="34"/>
  <c r="R164" i="34"/>
  <c r="J164" i="34"/>
  <c r="AO164" i="34"/>
  <c r="AG164" i="34"/>
  <c r="Y164" i="34"/>
  <c r="Q164" i="34"/>
  <c r="I164" i="34"/>
  <c r="AN164" i="34"/>
  <c r="AF164" i="34"/>
  <c r="X164" i="34"/>
  <c r="P164" i="34"/>
  <c r="AM164" i="34"/>
  <c r="AE164" i="34"/>
  <c r="W164" i="34"/>
  <c r="O164" i="34"/>
  <c r="V164" i="34"/>
  <c r="U164" i="34"/>
  <c r="M164" i="34"/>
  <c r="AL164" i="34"/>
  <c r="AK164" i="34"/>
  <c r="AD164" i="34"/>
  <c r="AC164" i="34"/>
  <c r="N164" i="34"/>
  <c r="AJ172" i="34"/>
  <c r="AB172" i="34"/>
  <c r="T172" i="34"/>
  <c r="L172" i="34"/>
  <c r="AI172" i="34"/>
  <c r="AA172" i="34"/>
  <c r="S172" i="34"/>
  <c r="K172" i="34"/>
  <c r="AP172" i="34"/>
  <c r="AH172" i="34"/>
  <c r="Z172" i="34"/>
  <c r="R172" i="34"/>
  <c r="J172" i="34"/>
  <c r="I172" i="35" s="1"/>
  <c r="AO172" i="34"/>
  <c r="AG172" i="34"/>
  <c r="Y172" i="34"/>
  <c r="Q172" i="34"/>
  <c r="I172" i="34"/>
  <c r="AN172" i="34"/>
  <c r="AF172" i="34"/>
  <c r="X172" i="34"/>
  <c r="P172" i="34"/>
  <c r="AM172" i="34"/>
  <c r="AE172" i="34"/>
  <c r="W172" i="34"/>
  <c r="O172" i="34"/>
  <c r="AL172" i="34"/>
  <c r="AK172" i="34"/>
  <c r="AC172" i="34"/>
  <c r="V172" i="34"/>
  <c r="U172" i="34"/>
  <c r="N172" i="34"/>
  <c r="M172" i="34"/>
  <c r="AJ180" i="34"/>
  <c r="AB180" i="34"/>
  <c r="T180" i="34"/>
  <c r="L180" i="34"/>
  <c r="AI180" i="34"/>
  <c r="AA180" i="34"/>
  <c r="S180" i="34"/>
  <c r="K180" i="34"/>
  <c r="AP180" i="34"/>
  <c r="AH180" i="34"/>
  <c r="Z180" i="34"/>
  <c r="R180" i="34"/>
  <c r="J180" i="34"/>
  <c r="AO180" i="34"/>
  <c r="AG180" i="34"/>
  <c r="Y180" i="34"/>
  <c r="Q180" i="34"/>
  <c r="I180" i="34"/>
  <c r="AN180" i="34"/>
  <c r="AF180" i="34"/>
  <c r="X180" i="34"/>
  <c r="P180" i="34"/>
  <c r="AM180" i="34"/>
  <c r="AE180" i="34"/>
  <c r="W180" i="34"/>
  <c r="O180" i="34"/>
  <c r="V180" i="34"/>
  <c r="U180" i="34"/>
  <c r="M180" i="34"/>
  <c r="AL180" i="34"/>
  <c r="AK180" i="34"/>
  <c r="AD180" i="34"/>
  <c r="AC180" i="34"/>
  <c r="AJ188" i="34"/>
  <c r="AB188" i="34"/>
  <c r="T188" i="34"/>
  <c r="L188" i="34"/>
  <c r="AI188" i="34"/>
  <c r="AA188" i="34"/>
  <c r="S188" i="34"/>
  <c r="K188" i="34"/>
  <c r="AP188" i="34"/>
  <c r="AH188" i="34"/>
  <c r="Z188" i="34"/>
  <c r="R188" i="34"/>
  <c r="J188" i="34"/>
  <c r="AO188" i="34"/>
  <c r="AG188" i="34"/>
  <c r="Y188" i="34"/>
  <c r="Q188" i="34"/>
  <c r="I188" i="34"/>
  <c r="AN188" i="34"/>
  <c r="AF188" i="34"/>
  <c r="X188" i="34"/>
  <c r="P188" i="34"/>
  <c r="AM188" i="34"/>
  <c r="AE188" i="34"/>
  <c r="W188" i="34"/>
  <c r="O188" i="34"/>
  <c r="AL188" i="34"/>
  <c r="AK188" i="34"/>
  <c r="AC188" i="34"/>
  <c r="V188" i="34"/>
  <c r="U188" i="34"/>
  <c r="N188" i="34"/>
  <c r="AD188" i="34"/>
  <c r="AJ196" i="34"/>
  <c r="AB196" i="34"/>
  <c r="T196" i="34"/>
  <c r="L196" i="34"/>
  <c r="AI196" i="34"/>
  <c r="AA196" i="34"/>
  <c r="S196" i="34"/>
  <c r="K196" i="34"/>
  <c r="AP196" i="34"/>
  <c r="AH196" i="34"/>
  <c r="Z196" i="34"/>
  <c r="R196" i="34"/>
  <c r="Q196" i="35" s="1"/>
  <c r="J196" i="34"/>
  <c r="AO196" i="34"/>
  <c r="AG196" i="34"/>
  <c r="Y196" i="34"/>
  <c r="Q196" i="34"/>
  <c r="I196" i="34"/>
  <c r="AN196" i="34"/>
  <c r="AF196" i="34"/>
  <c r="X196" i="34"/>
  <c r="P196" i="34"/>
  <c r="O196" i="35" s="1"/>
  <c r="AM196" i="34"/>
  <c r="AE196" i="34"/>
  <c r="W196" i="34"/>
  <c r="O196" i="34"/>
  <c r="V196" i="34"/>
  <c r="U196" i="34"/>
  <c r="M196" i="34"/>
  <c r="AL196" i="34"/>
  <c r="AK196" i="34"/>
  <c r="AD196" i="34"/>
  <c r="AC196" i="34"/>
  <c r="N196" i="34"/>
  <c r="AM204" i="34"/>
  <c r="AE204" i="34"/>
  <c r="W204" i="34"/>
  <c r="O204" i="34"/>
  <c r="AL204" i="34"/>
  <c r="AD204" i="34"/>
  <c r="V204" i="34"/>
  <c r="N204" i="34"/>
  <c r="AK204" i="34"/>
  <c r="AC204" i="34"/>
  <c r="U204" i="34"/>
  <c r="M204" i="34"/>
  <c r="AJ204" i="34"/>
  <c r="AB204" i="34"/>
  <c r="T204" i="34"/>
  <c r="L204" i="34"/>
  <c r="AP204" i="34"/>
  <c r="AH204" i="34"/>
  <c r="Z204" i="34"/>
  <c r="R204" i="34"/>
  <c r="J204" i="34"/>
  <c r="AF204" i="34"/>
  <c r="I204" i="34"/>
  <c r="AA204" i="34"/>
  <c r="Y204" i="34"/>
  <c r="X204" i="34"/>
  <c r="AO204" i="34"/>
  <c r="S204" i="34"/>
  <c r="AN204" i="34"/>
  <c r="Q204" i="34"/>
  <c r="AI204" i="34"/>
  <c r="AG204" i="34"/>
  <c r="K204" i="34"/>
  <c r="P204" i="34"/>
  <c r="AM212" i="34"/>
  <c r="AE212" i="34"/>
  <c r="W212" i="34"/>
  <c r="O212" i="34"/>
  <c r="N212" i="35" s="1"/>
  <c r="AL212" i="34"/>
  <c r="AD212" i="34"/>
  <c r="V212" i="34"/>
  <c r="N212" i="34"/>
  <c r="AK212" i="34"/>
  <c r="AC212" i="34"/>
  <c r="U212" i="34"/>
  <c r="M212" i="34"/>
  <c r="AJ212" i="34"/>
  <c r="AB212" i="34"/>
  <c r="T212" i="34"/>
  <c r="L212" i="34"/>
  <c r="K212" i="35" s="1"/>
  <c r="AI212" i="34"/>
  <c r="AA212" i="34"/>
  <c r="S212" i="34"/>
  <c r="K212" i="34"/>
  <c r="AP212" i="34"/>
  <c r="AH212" i="34"/>
  <c r="Z212" i="34"/>
  <c r="R212" i="34"/>
  <c r="J212" i="34"/>
  <c r="Q212" i="34"/>
  <c r="P212" i="34"/>
  <c r="AO212" i="34"/>
  <c r="I212" i="34"/>
  <c r="AN212" i="34"/>
  <c r="AG212" i="34"/>
  <c r="AF212" i="34"/>
  <c r="Y212" i="34"/>
  <c r="X212" i="34"/>
  <c r="AM220" i="34"/>
  <c r="AL525" i="31" s="1"/>
  <c r="AE220" i="34"/>
  <c r="W220" i="34"/>
  <c r="O220" i="34"/>
  <c r="AL220" i="34"/>
  <c r="AK525" i="31" s="1"/>
  <c r="AD220" i="34"/>
  <c r="V220" i="34"/>
  <c r="N220" i="34"/>
  <c r="AK220" i="34"/>
  <c r="AJ525" i="31" s="1"/>
  <c r="AC220" i="34"/>
  <c r="U220" i="34"/>
  <c r="M220" i="34"/>
  <c r="AJ220" i="34"/>
  <c r="AB220" i="34"/>
  <c r="T220" i="34"/>
  <c r="L220" i="34"/>
  <c r="AI220" i="34"/>
  <c r="AA220" i="34"/>
  <c r="S220" i="34"/>
  <c r="K220" i="34"/>
  <c r="AP220" i="34"/>
  <c r="AO525" i="31" s="1"/>
  <c r="AH220" i="34"/>
  <c r="Z220" i="34"/>
  <c r="R220" i="34"/>
  <c r="J220" i="34"/>
  <c r="AG220" i="34"/>
  <c r="AF220" i="34"/>
  <c r="Y220" i="34"/>
  <c r="X220" i="34"/>
  <c r="Q220" i="34"/>
  <c r="P220" i="34"/>
  <c r="AO220" i="34"/>
  <c r="AN525" i="31" s="1"/>
  <c r="AN220" i="34"/>
  <c r="AM525" i="31" s="1"/>
  <c r="I220" i="34"/>
  <c r="AM228" i="34"/>
  <c r="AE228" i="34"/>
  <c r="W228" i="34"/>
  <c r="O228" i="34"/>
  <c r="AL228" i="34"/>
  <c r="AD228" i="34"/>
  <c r="V228" i="34"/>
  <c r="N228" i="34"/>
  <c r="AK228" i="34"/>
  <c r="AC228" i="34"/>
  <c r="U228" i="34"/>
  <c r="M228" i="34"/>
  <c r="AJ228" i="34"/>
  <c r="AB228" i="34"/>
  <c r="T228" i="34"/>
  <c r="L228" i="34"/>
  <c r="AI228" i="34"/>
  <c r="AA228" i="34"/>
  <c r="S228" i="34"/>
  <c r="K228" i="34"/>
  <c r="AP228" i="34"/>
  <c r="AH228" i="34"/>
  <c r="Z228" i="34"/>
  <c r="R228" i="34"/>
  <c r="J228" i="34"/>
  <c r="Q228" i="34"/>
  <c r="P228" i="34"/>
  <c r="AO228" i="34"/>
  <c r="I228" i="34"/>
  <c r="AN228" i="34"/>
  <c r="AG228" i="34"/>
  <c r="AF228" i="34"/>
  <c r="Y228" i="34"/>
  <c r="X228" i="34"/>
  <c r="AI236" i="34"/>
  <c r="AA236" i="34"/>
  <c r="S236" i="34"/>
  <c r="K236" i="34"/>
  <c r="AP236" i="34"/>
  <c r="AH236" i="34"/>
  <c r="Z236" i="34"/>
  <c r="R236" i="34"/>
  <c r="J236" i="34"/>
  <c r="AO236" i="34"/>
  <c r="AG236" i="34"/>
  <c r="Y236" i="34"/>
  <c r="Q236" i="34"/>
  <c r="I236" i="34"/>
  <c r="AJ236" i="34"/>
  <c r="V236" i="34"/>
  <c r="AF236" i="34"/>
  <c r="U236" i="34"/>
  <c r="AE236" i="34"/>
  <c r="T236" i="34"/>
  <c r="AD236" i="34"/>
  <c r="P236" i="34"/>
  <c r="AN236" i="34"/>
  <c r="AC236" i="34"/>
  <c r="O236" i="34"/>
  <c r="AM236" i="34"/>
  <c r="AB236" i="34"/>
  <c r="N236" i="34"/>
  <c r="AL236" i="34"/>
  <c r="AK236" i="34"/>
  <c r="X236" i="34"/>
  <c r="W236" i="34"/>
  <c r="M236" i="34"/>
  <c r="L236" i="34"/>
  <c r="AI244" i="34"/>
  <c r="AA244" i="34"/>
  <c r="S244" i="34"/>
  <c r="K244" i="34"/>
  <c r="AP244" i="34"/>
  <c r="AH244" i="34"/>
  <c r="Z244" i="34"/>
  <c r="R244" i="34"/>
  <c r="J244" i="34"/>
  <c r="AO244" i="34"/>
  <c r="AG244" i="34"/>
  <c r="Y244" i="34"/>
  <c r="Q244" i="34"/>
  <c r="I244" i="34"/>
  <c r="AN244" i="34"/>
  <c r="AF244" i="34"/>
  <c r="X244" i="34"/>
  <c r="P244" i="34"/>
  <c r="AJ244" i="34"/>
  <c r="T244" i="34"/>
  <c r="AE244" i="34"/>
  <c r="O244" i="34"/>
  <c r="AD244" i="34"/>
  <c r="N244" i="34"/>
  <c r="AC244" i="34"/>
  <c r="M244" i="34"/>
  <c r="AB244" i="34"/>
  <c r="L244" i="34"/>
  <c r="AM244" i="34"/>
  <c r="W244" i="34"/>
  <c r="AL244" i="34"/>
  <c r="AK244" i="34"/>
  <c r="V244" i="34"/>
  <c r="U244" i="34"/>
  <c r="AK252" i="34"/>
  <c r="AJ557" i="31" s="1"/>
  <c r="AC252" i="34"/>
  <c r="U252" i="34"/>
  <c r="M252" i="34"/>
  <c r="AJ252" i="34"/>
  <c r="AB252" i="34"/>
  <c r="T252" i="34"/>
  <c r="L252" i="34"/>
  <c r="AI252" i="34"/>
  <c r="AA252" i="34"/>
  <c r="S252" i="34"/>
  <c r="K252" i="34"/>
  <c r="AP252" i="34"/>
  <c r="AO557" i="31" s="1"/>
  <c r="AH252" i="34"/>
  <c r="Z252" i="34"/>
  <c r="R252" i="34"/>
  <c r="J252" i="34"/>
  <c r="AN252" i="34"/>
  <c r="AM557" i="31" s="1"/>
  <c r="AF252" i="34"/>
  <c r="X252" i="34"/>
  <c r="P252" i="34"/>
  <c r="AG252" i="34"/>
  <c r="N252" i="34"/>
  <c r="AE252" i="34"/>
  <c r="I252" i="34"/>
  <c r="AD252" i="34"/>
  <c r="Y252" i="34"/>
  <c r="W252" i="34"/>
  <c r="AM252" i="34"/>
  <c r="AL557" i="31" s="1"/>
  <c r="AL252" i="34"/>
  <c r="AK557" i="31" s="1"/>
  <c r="V252" i="34"/>
  <c r="Q252" i="34"/>
  <c r="O252" i="34"/>
  <c r="AO252" i="34"/>
  <c r="AN557" i="31" s="1"/>
  <c r="AK260" i="34"/>
  <c r="AC260" i="34"/>
  <c r="U260" i="34"/>
  <c r="M260" i="34"/>
  <c r="AJ260" i="34"/>
  <c r="AB260" i="34"/>
  <c r="T260" i="34"/>
  <c r="L260" i="34"/>
  <c r="AI260" i="34"/>
  <c r="AA260" i="34"/>
  <c r="S260" i="34"/>
  <c r="K260" i="34"/>
  <c r="AP260" i="34"/>
  <c r="AH260" i="34"/>
  <c r="Z260" i="34"/>
  <c r="R260" i="34"/>
  <c r="J260" i="34"/>
  <c r="AN260" i="34"/>
  <c r="AF260" i="34"/>
  <c r="X260" i="34"/>
  <c r="P260" i="34"/>
  <c r="AM260" i="34"/>
  <c r="Q260" i="34"/>
  <c r="AL260" i="34"/>
  <c r="O260" i="34"/>
  <c r="AG260" i="34"/>
  <c r="N260" i="34"/>
  <c r="AE260" i="34"/>
  <c r="I260" i="34"/>
  <c r="AD260" i="34"/>
  <c r="Y260" i="34"/>
  <c r="AO260" i="34"/>
  <c r="W260" i="34"/>
  <c r="V260" i="34"/>
  <c r="AK268" i="34"/>
  <c r="AJ573" i="31" s="1"/>
  <c r="AC268" i="34"/>
  <c r="U268" i="34"/>
  <c r="M268" i="34"/>
  <c r="AJ268" i="34"/>
  <c r="AB268" i="34"/>
  <c r="T268" i="34"/>
  <c r="L268" i="34"/>
  <c r="AI268" i="34"/>
  <c r="AA268" i="34"/>
  <c r="S268" i="34"/>
  <c r="K268" i="34"/>
  <c r="AP268" i="34"/>
  <c r="AO573" i="31" s="1"/>
  <c r="AH268" i="34"/>
  <c r="Z268" i="34"/>
  <c r="R268" i="34"/>
  <c r="J268" i="34"/>
  <c r="AN268" i="34"/>
  <c r="AM573" i="31" s="1"/>
  <c r="AF268" i="34"/>
  <c r="X268" i="34"/>
  <c r="P268" i="34"/>
  <c r="W268" i="34"/>
  <c r="AO268" i="34"/>
  <c r="AN573" i="31" s="1"/>
  <c r="V268" i="34"/>
  <c r="AM268" i="34"/>
  <c r="AL573" i="31" s="1"/>
  <c r="Q268" i="34"/>
  <c r="AL268" i="34"/>
  <c r="AK573" i="31" s="1"/>
  <c r="O268" i="34"/>
  <c r="AG268" i="34"/>
  <c r="N268" i="34"/>
  <c r="AE268" i="34"/>
  <c r="I268" i="34"/>
  <c r="AD268" i="34"/>
  <c r="Y268" i="34"/>
  <c r="AK276" i="34"/>
  <c r="AC276" i="34"/>
  <c r="U276" i="34"/>
  <c r="M276" i="34"/>
  <c r="AJ276" i="34"/>
  <c r="AB276" i="34"/>
  <c r="T276" i="34"/>
  <c r="L276" i="34"/>
  <c r="AI276" i="34"/>
  <c r="AA276" i="34"/>
  <c r="S276" i="34"/>
  <c r="K276" i="34"/>
  <c r="AP276" i="34"/>
  <c r="AH276" i="34"/>
  <c r="Z276" i="34"/>
  <c r="R276" i="34"/>
  <c r="J276" i="34"/>
  <c r="AN276" i="34"/>
  <c r="AF276" i="34"/>
  <c r="X276" i="34"/>
  <c r="P276" i="34"/>
  <c r="AD276" i="34"/>
  <c r="Y276" i="34"/>
  <c r="W276" i="34"/>
  <c r="AO276" i="34"/>
  <c r="V276" i="34"/>
  <c r="AM276" i="34"/>
  <c r="Q276" i="34"/>
  <c r="AL276" i="34"/>
  <c r="O276" i="34"/>
  <c r="AG276" i="34"/>
  <c r="AE276" i="34"/>
  <c r="N276" i="34"/>
  <c r="I276" i="34"/>
  <c r="AK284" i="34"/>
  <c r="AC284" i="34"/>
  <c r="U284" i="34"/>
  <c r="M284" i="34"/>
  <c r="AJ284" i="34"/>
  <c r="AB284" i="34"/>
  <c r="T284" i="34"/>
  <c r="L284" i="34"/>
  <c r="AI284" i="34"/>
  <c r="AA284" i="34"/>
  <c r="S284" i="34"/>
  <c r="K284" i="34"/>
  <c r="AP284" i="34"/>
  <c r="AH284" i="34"/>
  <c r="Z284" i="34"/>
  <c r="R284" i="34"/>
  <c r="J284" i="34"/>
  <c r="AN284" i="34"/>
  <c r="AF284" i="34"/>
  <c r="X284" i="34"/>
  <c r="P284" i="34"/>
  <c r="AG284" i="34"/>
  <c r="N284" i="34"/>
  <c r="AE284" i="34"/>
  <c r="I284" i="34"/>
  <c r="AD284" i="34"/>
  <c r="Y284" i="34"/>
  <c r="W284" i="34"/>
  <c r="AO284" i="34"/>
  <c r="V284" i="34"/>
  <c r="AM284" i="34"/>
  <c r="AL284" i="34"/>
  <c r="Q284" i="34"/>
  <c r="O284" i="34"/>
  <c r="AL292" i="34"/>
  <c r="AD292" i="34"/>
  <c r="V292" i="34"/>
  <c r="N292" i="34"/>
  <c r="AK292" i="34"/>
  <c r="AC292" i="34"/>
  <c r="U292" i="34"/>
  <c r="T292" i="35" s="1"/>
  <c r="M292" i="34"/>
  <c r="AJ292" i="34"/>
  <c r="AB292" i="34"/>
  <c r="AA292" i="35" s="1"/>
  <c r="T292" i="34"/>
  <c r="S292" i="35" s="1"/>
  <c r="L292" i="34"/>
  <c r="K292" i="35" s="1"/>
  <c r="AI292" i="34"/>
  <c r="AA292" i="34"/>
  <c r="S292" i="34"/>
  <c r="K292" i="34"/>
  <c r="AO292" i="34"/>
  <c r="AG292" i="34"/>
  <c r="Y292" i="34"/>
  <c r="Q292" i="34"/>
  <c r="I292" i="34"/>
  <c r="AN292" i="34"/>
  <c r="AF292" i="34"/>
  <c r="AE292" i="35" s="1"/>
  <c r="X292" i="34"/>
  <c r="W292" i="35" s="1"/>
  <c r="P292" i="34"/>
  <c r="W292" i="34"/>
  <c r="R292" i="34"/>
  <c r="O292" i="34"/>
  <c r="AP292" i="34"/>
  <c r="J292" i="34"/>
  <c r="AH292" i="34"/>
  <c r="AM292" i="34"/>
  <c r="AE292" i="34"/>
  <c r="Z292" i="34"/>
  <c r="Y292" i="35" s="1"/>
  <c r="AL300" i="34"/>
  <c r="AK605" i="31" s="1"/>
  <c r="AD300" i="34"/>
  <c r="V300" i="34"/>
  <c r="N300" i="34"/>
  <c r="AK300" i="34"/>
  <c r="AJ605" i="31" s="1"/>
  <c r="AC300" i="34"/>
  <c r="U300" i="34"/>
  <c r="M300" i="34"/>
  <c r="AJ300" i="34"/>
  <c r="AB300" i="34"/>
  <c r="T300" i="34"/>
  <c r="L300" i="34"/>
  <c r="AI300" i="34"/>
  <c r="AA300" i="34"/>
  <c r="S300" i="34"/>
  <c r="K300" i="34"/>
  <c r="AP300" i="34"/>
  <c r="AO605" i="31" s="1"/>
  <c r="AH300" i="34"/>
  <c r="Z300" i="34"/>
  <c r="R300" i="34"/>
  <c r="J300" i="34"/>
  <c r="AO300" i="34"/>
  <c r="AN605" i="31" s="1"/>
  <c r="AG300" i="34"/>
  <c r="Y300" i="34"/>
  <c r="Q300" i="34"/>
  <c r="I300" i="34"/>
  <c r="AN300" i="34"/>
  <c r="AM605" i="31" s="1"/>
  <c r="AF300" i="34"/>
  <c r="X300" i="34"/>
  <c r="P300" i="34"/>
  <c r="AM300" i="34"/>
  <c r="AL605" i="31" s="1"/>
  <c r="AE300" i="34"/>
  <c r="W300" i="34"/>
  <c r="O300" i="34"/>
  <c r="T12" i="34"/>
  <c r="AJ12" i="34"/>
  <c r="R13" i="34"/>
  <c r="AH13" i="34"/>
  <c r="N15" i="34"/>
  <c r="AD15" i="34"/>
  <c r="L16" i="34"/>
  <c r="AB16" i="34"/>
  <c r="T20" i="34"/>
  <c r="AJ20" i="34"/>
  <c r="R21" i="34"/>
  <c r="N23" i="34"/>
  <c r="AD23" i="34"/>
  <c r="L24" i="34"/>
  <c r="AB24" i="34"/>
  <c r="T28" i="34"/>
  <c r="AJ28" i="34"/>
  <c r="R29" i="34"/>
  <c r="AH29" i="34"/>
  <c r="N31" i="34"/>
  <c r="AD31" i="34"/>
  <c r="AC31" i="35" s="1"/>
  <c r="L32" i="34"/>
  <c r="AB32" i="34"/>
  <c r="T36" i="34"/>
  <c r="AJ36" i="34"/>
  <c r="R37" i="34"/>
  <c r="N39" i="34"/>
  <c r="AD39" i="34"/>
  <c r="L40" i="34"/>
  <c r="AB40" i="34"/>
  <c r="T44" i="34"/>
  <c r="AO44" i="34"/>
  <c r="AN349" i="31" s="1"/>
  <c r="AF45" i="34"/>
  <c r="AA47" i="34"/>
  <c r="Y48" i="34"/>
  <c r="Q52" i="34"/>
  <c r="K55" i="34"/>
  <c r="I56" i="34"/>
  <c r="AO56" i="34"/>
  <c r="AG60" i="34"/>
  <c r="AE61" i="34"/>
  <c r="AA63" i="34"/>
  <c r="Y64" i="34"/>
  <c r="Q68" i="34"/>
  <c r="K71" i="34"/>
  <c r="I72" i="34"/>
  <c r="AO72" i="34"/>
  <c r="AG76" i="34"/>
  <c r="AA79" i="34"/>
  <c r="Y80" i="34"/>
  <c r="Q84" i="34"/>
  <c r="K87" i="34"/>
  <c r="I88" i="34"/>
  <c r="H88" i="35" s="1"/>
  <c r="AO88" i="34"/>
  <c r="AG92" i="34"/>
  <c r="AE93" i="34"/>
  <c r="AA95" i="34"/>
  <c r="Y96" i="34"/>
  <c r="Y100" i="34"/>
  <c r="AF101" i="34"/>
  <c r="Q104" i="34"/>
  <c r="I108" i="34"/>
  <c r="AI111" i="34"/>
  <c r="R116" i="34"/>
  <c r="Q116" i="35" s="1"/>
  <c r="AM159" i="34"/>
  <c r="N180" i="34"/>
  <c r="AC199" i="34"/>
  <c r="R95" i="34"/>
  <c r="AJ127" i="34"/>
  <c r="AI127" i="35" s="1"/>
  <c r="M15" i="34"/>
  <c r="AC15" i="34"/>
  <c r="AN21" i="34"/>
  <c r="AM21" i="35" s="1"/>
  <c r="AF21" i="34"/>
  <c r="X21" i="34"/>
  <c r="P21" i="34"/>
  <c r="AM21" i="34"/>
  <c r="AL21" i="35" s="1"/>
  <c r="AE21" i="34"/>
  <c r="AD21" i="35" s="1"/>
  <c r="W21" i="34"/>
  <c r="O21" i="34"/>
  <c r="AL21" i="34"/>
  <c r="AD21" i="34"/>
  <c r="V21" i="34"/>
  <c r="N21" i="34"/>
  <c r="AI21" i="34"/>
  <c r="AH21" i="35" s="1"/>
  <c r="AA21" i="34"/>
  <c r="S21" i="34"/>
  <c r="K21" i="34"/>
  <c r="AN37" i="34"/>
  <c r="AF37" i="34"/>
  <c r="X37" i="34"/>
  <c r="P37" i="34"/>
  <c r="AM37" i="34"/>
  <c r="AE37" i="34"/>
  <c r="W37" i="34"/>
  <c r="O37" i="34"/>
  <c r="AL37" i="34"/>
  <c r="AD37" i="34"/>
  <c r="V37" i="34"/>
  <c r="N37" i="34"/>
  <c r="AI37" i="34"/>
  <c r="AA37" i="34"/>
  <c r="S37" i="34"/>
  <c r="K37" i="34"/>
  <c r="AI53" i="34"/>
  <c r="AA53" i="34"/>
  <c r="S53" i="34"/>
  <c r="K53" i="34"/>
  <c r="AP53" i="34"/>
  <c r="AH53" i="34"/>
  <c r="Z53" i="34"/>
  <c r="R53" i="34"/>
  <c r="J53" i="34"/>
  <c r="AO53" i="34"/>
  <c r="AG53" i="34"/>
  <c r="Y53" i="34"/>
  <c r="Q53" i="34"/>
  <c r="I53" i="34"/>
  <c r="AK53" i="34"/>
  <c r="AC53" i="34"/>
  <c r="U53" i="34"/>
  <c r="M53" i="34"/>
  <c r="AB53" i="34"/>
  <c r="L53" i="34"/>
  <c r="AN53" i="34"/>
  <c r="X53" i="34"/>
  <c r="AM53" i="34"/>
  <c r="W53" i="34"/>
  <c r="AF53" i="34"/>
  <c r="P53" i="34"/>
  <c r="AI69" i="34"/>
  <c r="AA69" i="34"/>
  <c r="S69" i="34"/>
  <c r="K69" i="34"/>
  <c r="AP69" i="34"/>
  <c r="AO374" i="31" s="1"/>
  <c r="AH69" i="34"/>
  <c r="Z69" i="34"/>
  <c r="R69" i="34"/>
  <c r="J69" i="34"/>
  <c r="AO69" i="34"/>
  <c r="AN374" i="31" s="1"/>
  <c r="AG69" i="34"/>
  <c r="Y69" i="34"/>
  <c r="Q69" i="34"/>
  <c r="I69" i="34"/>
  <c r="AK69" i="34"/>
  <c r="AJ374" i="31" s="1"/>
  <c r="AC69" i="34"/>
  <c r="U69" i="34"/>
  <c r="M69" i="34"/>
  <c r="AB69" i="34"/>
  <c r="L69" i="34"/>
  <c r="AN69" i="34"/>
  <c r="AM374" i="31" s="1"/>
  <c r="X69" i="34"/>
  <c r="AM69" i="34"/>
  <c r="AL374" i="31" s="1"/>
  <c r="W69" i="34"/>
  <c r="AF69" i="34"/>
  <c r="P69" i="34"/>
  <c r="AI77" i="34"/>
  <c r="AA77" i="34"/>
  <c r="S77" i="34"/>
  <c r="K77" i="34"/>
  <c r="AP77" i="34"/>
  <c r="AH77" i="34"/>
  <c r="Z77" i="34"/>
  <c r="R77" i="34"/>
  <c r="J77" i="34"/>
  <c r="AO77" i="34"/>
  <c r="AG77" i="34"/>
  <c r="Y77" i="34"/>
  <c r="Q77" i="34"/>
  <c r="I77" i="34"/>
  <c r="AK77" i="34"/>
  <c r="AC77" i="34"/>
  <c r="U77" i="34"/>
  <c r="M77" i="34"/>
  <c r="L77" i="35" s="1"/>
  <c r="AB77" i="34"/>
  <c r="L77" i="34"/>
  <c r="AN77" i="34"/>
  <c r="X77" i="34"/>
  <c r="AM77" i="34"/>
  <c r="W77" i="34"/>
  <c r="AF77" i="34"/>
  <c r="P77" i="34"/>
  <c r="O77" i="35" s="1"/>
  <c r="AI85" i="34"/>
  <c r="AA85" i="34"/>
  <c r="S85" i="34"/>
  <c r="K85" i="34"/>
  <c r="AP85" i="34"/>
  <c r="AH85" i="34"/>
  <c r="Z85" i="34"/>
  <c r="R85" i="34"/>
  <c r="J85" i="34"/>
  <c r="AO85" i="34"/>
  <c r="AG85" i="34"/>
  <c r="Y85" i="34"/>
  <c r="Q85" i="34"/>
  <c r="I85" i="34"/>
  <c r="AK85" i="34"/>
  <c r="AC85" i="34"/>
  <c r="U85" i="34"/>
  <c r="M85" i="34"/>
  <c r="AB85" i="34"/>
  <c r="L85" i="34"/>
  <c r="AN85" i="34"/>
  <c r="X85" i="34"/>
  <c r="AM85" i="34"/>
  <c r="W85" i="34"/>
  <c r="AF85" i="34"/>
  <c r="P85" i="34"/>
  <c r="AI109" i="34"/>
  <c r="AA109" i="34"/>
  <c r="S109" i="34"/>
  <c r="K109" i="34"/>
  <c r="AP109" i="34"/>
  <c r="AH109" i="34"/>
  <c r="Z109" i="34"/>
  <c r="R109" i="34"/>
  <c r="J109" i="34"/>
  <c r="AO109" i="34"/>
  <c r="AG109" i="34"/>
  <c r="Y109" i="34"/>
  <c r="Q109" i="34"/>
  <c r="I109" i="34"/>
  <c r="AL109" i="34"/>
  <c r="AK414" i="31" s="1"/>
  <c r="AD109" i="34"/>
  <c r="V109" i="34"/>
  <c r="N109" i="34"/>
  <c r="AK109" i="34"/>
  <c r="AJ414" i="31" s="1"/>
  <c r="AC109" i="34"/>
  <c r="U109" i="34"/>
  <c r="M109" i="34"/>
  <c r="AF109" i="34"/>
  <c r="L109" i="34"/>
  <c r="AE109" i="34"/>
  <c r="AB109" i="34"/>
  <c r="AN109" i="34"/>
  <c r="AM109" i="35" s="1"/>
  <c r="T109" i="34"/>
  <c r="AM125" i="34"/>
  <c r="AE125" i="34"/>
  <c r="W125" i="34"/>
  <c r="O125" i="34"/>
  <c r="AJ125" i="34"/>
  <c r="AB125" i="34"/>
  <c r="T125" i="34"/>
  <c r="L125" i="34"/>
  <c r="AI125" i="34"/>
  <c r="AA125" i="34"/>
  <c r="S125" i="34"/>
  <c r="K125" i="34"/>
  <c r="AP125" i="34"/>
  <c r="AH125" i="34"/>
  <c r="Z125" i="34"/>
  <c r="R125" i="34"/>
  <c r="J125" i="34"/>
  <c r="AO125" i="34"/>
  <c r="AG125" i="34"/>
  <c r="Y125" i="34"/>
  <c r="Q125" i="34"/>
  <c r="I125" i="34"/>
  <c r="AK125" i="34"/>
  <c r="AJ430" i="31" s="1"/>
  <c r="N125" i="34"/>
  <c r="AF125" i="34"/>
  <c r="M125" i="34"/>
  <c r="AD125" i="34"/>
  <c r="V125" i="34"/>
  <c r="AN125" i="34"/>
  <c r="U125" i="34"/>
  <c r="X125" i="34"/>
  <c r="AP141" i="34"/>
  <c r="AH141" i="34"/>
  <c r="Z141" i="34"/>
  <c r="R141" i="34"/>
  <c r="J141" i="34"/>
  <c r="AO141" i="34"/>
  <c r="AG141" i="34"/>
  <c r="Y141" i="34"/>
  <c r="Q141" i="34"/>
  <c r="I141" i="34"/>
  <c r="AN141" i="34"/>
  <c r="AF141" i="34"/>
  <c r="X141" i="34"/>
  <c r="P141" i="34"/>
  <c r="AM141" i="34"/>
  <c r="AE141" i="34"/>
  <c r="W141" i="34"/>
  <c r="O141" i="34"/>
  <c r="AL141" i="34"/>
  <c r="AD141" i="34"/>
  <c r="V141" i="34"/>
  <c r="N141" i="34"/>
  <c r="AK141" i="34"/>
  <c r="AC141" i="34"/>
  <c r="U141" i="34"/>
  <c r="M141" i="34"/>
  <c r="AJ141" i="34"/>
  <c r="AI141" i="34"/>
  <c r="AA141" i="34"/>
  <c r="T141" i="34"/>
  <c r="S141" i="34"/>
  <c r="L141" i="34"/>
  <c r="AB141" i="34"/>
  <c r="K141" i="34"/>
  <c r="AP157" i="34"/>
  <c r="AH157" i="34"/>
  <c r="AG157" i="35" s="1"/>
  <c r="Z157" i="34"/>
  <c r="Y157" i="35" s="1"/>
  <c r="R157" i="34"/>
  <c r="Q157" i="35" s="1"/>
  <c r="J157" i="34"/>
  <c r="AO157" i="34"/>
  <c r="AG157" i="34"/>
  <c r="AF157" i="35" s="1"/>
  <c r="Y157" i="34"/>
  <c r="X157" i="35" s="1"/>
  <c r="Q157" i="34"/>
  <c r="P157" i="35" s="1"/>
  <c r="I157" i="34"/>
  <c r="AN157" i="34"/>
  <c r="AM157" i="35" s="1"/>
  <c r="AF157" i="34"/>
  <c r="AE157" i="35" s="1"/>
  <c r="X157" i="34"/>
  <c r="W157" i="35" s="1"/>
  <c r="P157" i="34"/>
  <c r="AM157" i="34"/>
  <c r="AL157" i="35" s="1"/>
  <c r="AE157" i="34"/>
  <c r="AD157" i="35" s="1"/>
  <c r="W157" i="34"/>
  <c r="V157" i="35" s="1"/>
  <c r="O157" i="34"/>
  <c r="AL157" i="34"/>
  <c r="AK157" i="35" s="1"/>
  <c r="AD157" i="34"/>
  <c r="AC157" i="35" s="1"/>
  <c r="V157" i="34"/>
  <c r="U157" i="35" s="1"/>
  <c r="N157" i="34"/>
  <c r="AK157" i="34"/>
  <c r="AJ157" i="35" s="1"/>
  <c r="AC157" i="34"/>
  <c r="AB157" i="35" s="1"/>
  <c r="U157" i="34"/>
  <c r="T157" i="35" s="1"/>
  <c r="M157" i="34"/>
  <c r="AJ157" i="34"/>
  <c r="AI157" i="34"/>
  <c r="AH157" i="35" s="1"/>
  <c r="AA157" i="34"/>
  <c r="Z157" i="35" s="1"/>
  <c r="T157" i="34"/>
  <c r="S157" i="35" s="1"/>
  <c r="S157" i="34"/>
  <c r="R157" i="35" s="1"/>
  <c r="L157" i="34"/>
  <c r="K157" i="34"/>
  <c r="AB157" i="34"/>
  <c r="AA157" i="35" s="1"/>
  <c r="AP173" i="34"/>
  <c r="AH173" i="34"/>
  <c r="Z173" i="34"/>
  <c r="R173" i="34"/>
  <c r="J173" i="34"/>
  <c r="I173" i="35" s="1"/>
  <c r="AO173" i="34"/>
  <c r="AG173" i="34"/>
  <c r="Y173" i="34"/>
  <c r="Q173" i="34"/>
  <c r="I173" i="34"/>
  <c r="AN173" i="34"/>
  <c r="AF173" i="34"/>
  <c r="X173" i="34"/>
  <c r="P173" i="34"/>
  <c r="AM173" i="34"/>
  <c r="AE173" i="34"/>
  <c r="W173" i="34"/>
  <c r="O173" i="34"/>
  <c r="AL173" i="34"/>
  <c r="AD173" i="34"/>
  <c r="V173" i="34"/>
  <c r="N173" i="34"/>
  <c r="AK173" i="34"/>
  <c r="AC173" i="34"/>
  <c r="U173" i="34"/>
  <c r="M173" i="34"/>
  <c r="AJ173" i="34"/>
  <c r="AI173" i="34"/>
  <c r="AA173" i="34"/>
  <c r="T173" i="34"/>
  <c r="S173" i="34"/>
  <c r="L173" i="34"/>
  <c r="AB173" i="34"/>
  <c r="AP189" i="34"/>
  <c r="AH189" i="34"/>
  <c r="Z189" i="34"/>
  <c r="R189" i="34"/>
  <c r="J189" i="34"/>
  <c r="AO189" i="34"/>
  <c r="AG189" i="34"/>
  <c r="Y189" i="34"/>
  <c r="Q189" i="34"/>
  <c r="I189" i="34"/>
  <c r="AN189" i="34"/>
  <c r="AF189" i="34"/>
  <c r="X189" i="34"/>
  <c r="P189" i="34"/>
  <c r="AM189" i="34"/>
  <c r="AE189" i="34"/>
  <c r="W189" i="34"/>
  <c r="O189" i="34"/>
  <c r="AL189" i="34"/>
  <c r="AD189" i="34"/>
  <c r="V189" i="34"/>
  <c r="N189" i="34"/>
  <c r="AK189" i="34"/>
  <c r="AC189" i="34"/>
  <c r="U189" i="34"/>
  <c r="M189" i="34"/>
  <c r="AJ189" i="34"/>
  <c r="AI189" i="34"/>
  <c r="AA189" i="34"/>
  <c r="T189" i="34"/>
  <c r="S189" i="34"/>
  <c r="L189" i="34"/>
  <c r="AB189" i="34"/>
  <c r="K189" i="34"/>
  <c r="J189" i="35" s="1"/>
  <c r="AK205" i="34"/>
  <c r="AC205" i="34"/>
  <c r="U205" i="34"/>
  <c r="M205" i="34"/>
  <c r="AJ205" i="34"/>
  <c r="AB205" i="34"/>
  <c r="T205" i="34"/>
  <c r="L205" i="34"/>
  <c r="AI205" i="34"/>
  <c r="AA205" i="34"/>
  <c r="S205" i="34"/>
  <c r="K205" i="34"/>
  <c r="AP205" i="34"/>
  <c r="AH205" i="34"/>
  <c r="Z205" i="34"/>
  <c r="R205" i="34"/>
  <c r="J205" i="34"/>
  <c r="AN205" i="34"/>
  <c r="AF205" i="34"/>
  <c r="X205" i="34"/>
  <c r="P205" i="34"/>
  <c r="AM205" i="34"/>
  <c r="Q205" i="34"/>
  <c r="AL205" i="34"/>
  <c r="O205" i="34"/>
  <c r="AG205" i="34"/>
  <c r="N205" i="34"/>
  <c r="AE205" i="34"/>
  <c r="I205" i="34"/>
  <c r="AD205" i="34"/>
  <c r="Y205" i="34"/>
  <c r="AO205" i="34"/>
  <c r="W205" i="34"/>
  <c r="V205" i="34"/>
  <c r="AK229" i="34"/>
  <c r="AC229" i="34"/>
  <c r="AB229" i="35" s="1"/>
  <c r="U229" i="34"/>
  <c r="T229" i="35" s="1"/>
  <c r="M229" i="34"/>
  <c r="AJ229" i="34"/>
  <c r="AB229" i="34"/>
  <c r="AA229" i="35" s="1"/>
  <c r="T229" i="34"/>
  <c r="L229" i="34"/>
  <c r="AI229" i="34"/>
  <c r="AA229" i="34"/>
  <c r="Z229" i="35" s="1"/>
  <c r="S229" i="34"/>
  <c r="K229" i="34"/>
  <c r="J229" i="35" s="1"/>
  <c r="AP229" i="34"/>
  <c r="AH229" i="34"/>
  <c r="AG229" i="35" s="1"/>
  <c r="Z229" i="34"/>
  <c r="R229" i="34"/>
  <c r="J229" i="34"/>
  <c r="AO229" i="34"/>
  <c r="AG229" i="34"/>
  <c r="Y229" i="34"/>
  <c r="Q229" i="34"/>
  <c r="I229" i="34"/>
  <c r="AN229" i="34"/>
  <c r="AM229" i="35" s="1"/>
  <c r="AF229" i="34"/>
  <c r="X229" i="34"/>
  <c r="W229" i="35" s="1"/>
  <c r="P229" i="34"/>
  <c r="O229" i="35" s="1"/>
  <c r="O229" i="34"/>
  <c r="N229" i="35" s="1"/>
  <c r="N229" i="34"/>
  <c r="AM229" i="34"/>
  <c r="AL229" i="35" s="1"/>
  <c r="AL229" i="34"/>
  <c r="AE229" i="34"/>
  <c r="AD229" i="34"/>
  <c r="W229" i="34"/>
  <c r="V229" i="34"/>
  <c r="U229" i="35" s="1"/>
  <c r="AO237" i="34"/>
  <c r="AG237" i="34"/>
  <c r="Y237" i="34"/>
  <c r="Q237" i="34"/>
  <c r="I237" i="34"/>
  <c r="AN237" i="34"/>
  <c r="AF237" i="34"/>
  <c r="X237" i="34"/>
  <c r="P237" i="34"/>
  <c r="AM237" i="34"/>
  <c r="AE237" i="34"/>
  <c r="W237" i="34"/>
  <c r="O237" i="34"/>
  <c r="AL237" i="34"/>
  <c r="AA237" i="34"/>
  <c r="M237" i="34"/>
  <c r="AK237" i="34"/>
  <c r="Z237" i="34"/>
  <c r="L237" i="34"/>
  <c r="AJ237" i="34"/>
  <c r="V237" i="34"/>
  <c r="K237" i="34"/>
  <c r="AI237" i="34"/>
  <c r="U237" i="34"/>
  <c r="J237" i="34"/>
  <c r="AH237" i="34"/>
  <c r="T237" i="34"/>
  <c r="AD237" i="34"/>
  <c r="S237" i="34"/>
  <c r="AP237" i="34"/>
  <c r="AC237" i="34"/>
  <c r="AB237" i="34"/>
  <c r="R237" i="34"/>
  <c r="N237" i="34"/>
  <c r="AI253" i="34"/>
  <c r="AA253" i="34"/>
  <c r="S253" i="34"/>
  <c r="K253" i="34"/>
  <c r="AP253" i="34"/>
  <c r="AH253" i="34"/>
  <c r="Z253" i="34"/>
  <c r="R253" i="34"/>
  <c r="J253" i="34"/>
  <c r="AO253" i="34"/>
  <c r="AG253" i="34"/>
  <c r="Y253" i="34"/>
  <c r="Q253" i="34"/>
  <c r="I253" i="34"/>
  <c r="AN253" i="34"/>
  <c r="AF253" i="34"/>
  <c r="X253" i="34"/>
  <c r="P253" i="34"/>
  <c r="AL253" i="34"/>
  <c r="AD253" i="34"/>
  <c r="V253" i="34"/>
  <c r="N253" i="34"/>
  <c r="U253" i="34"/>
  <c r="AM253" i="34"/>
  <c r="T253" i="34"/>
  <c r="AK253" i="34"/>
  <c r="O253" i="34"/>
  <c r="AJ253" i="34"/>
  <c r="M253" i="34"/>
  <c r="AE253" i="34"/>
  <c r="L253" i="34"/>
  <c r="AC253" i="34"/>
  <c r="AB253" i="34"/>
  <c r="W253" i="34"/>
  <c r="AI261" i="34"/>
  <c r="AA261" i="34"/>
  <c r="S261" i="34"/>
  <c r="K261" i="34"/>
  <c r="AP261" i="34"/>
  <c r="AH261" i="34"/>
  <c r="Z261" i="34"/>
  <c r="R261" i="34"/>
  <c r="J261" i="34"/>
  <c r="AO261" i="34"/>
  <c r="AG261" i="34"/>
  <c r="Y261" i="34"/>
  <c r="Q261" i="34"/>
  <c r="I261" i="34"/>
  <c r="AN261" i="34"/>
  <c r="AF261" i="34"/>
  <c r="X261" i="34"/>
  <c r="P261" i="34"/>
  <c r="AL261" i="34"/>
  <c r="AD261" i="34"/>
  <c r="V261" i="34"/>
  <c r="N261" i="34"/>
  <c r="AB261" i="34"/>
  <c r="W261" i="34"/>
  <c r="U261" i="34"/>
  <c r="AM261" i="34"/>
  <c r="T261" i="34"/>
  <c r="AK261" i="34"/>
  <c r="O261" i="34"/>
  <c r="AJ261" i="34"/>
  <c r="M261" i="34"/>
  <c r="AE261" i="34"/>
  <c r="AC261" i="34"/>
  <c r="L261" i="34"/>
  <c r="AI277" i="34"/>
  <c r="AA277" i="34"/>
  <c r="S277" i="34"/>
  <c r="K277" i="34"/>
  <c r="AP277" i="34"/>
  <c r="AH277" i="34"/>
  <c r="Z277" i="34"/>
  <c r="R277" i="34"/>
  <c r="J277" i="34"/>
  <c r="AO277" i="34"/>
  <c r="AG277" i="34"/>
  <c r="Y277" i="34"/>
  <c r="Q277" i="34"/>
  <c r="I277" i="34"/>
  <c r="AN277" i="34"/>
  <c r="AF277" i="34"/>
  <c r="X277" i="34"/>
  <c r="P277" i="34"/>
  <c r="AL277" i="34"/>
  <c r="AD277" i="34"/>
  <c r="V277" i="34"/>
  <c r="N277" i="34"/>
  <c r="AK277" i="34"/>
  <c r="O277" i="34"/>
  <c r="AJ277" i="34"/>
  <c r="M277" i="34"/>
  <c r="AE277" i="34"/>
  <c r="L277" i="34"/>
  <c r="AC277" i="34"/>
  <c r="AB277" i="34"/>
  <c r="W277" i="34"/>
  <c r="U277" i="34"/>
  <c r="T277" i="34"/>
  <c r="AM277" i="34"/>
  <c r="AJ293" i="34"/>
  <c r="AB293" i="34"/>
  <c r="T293" i="34"/>
  <c r="L293" i="34"/>
  <c r="AI293" i="34"/>
  <c r="AA293" i="34"/>
  <c r="S293" i="34"/>
  <c r="K293" i="34"/>
  <c r="AP293" i="34"/>
  <c r="AO598" i="31" s="1"/>
  <c r="AH293" i="34"/>
  <c r="Z293" i="34"/>
  <c r="R293" i="34"/>
  <c r="J293" i="34"/>
  <c r="AO293" i="34"/>
  <c r="AN293" i="35" s="1"/>
  <c r="AG293" i="34"/>
  <c r="Y293" i="34"/>
  <c r="Q293" i="34"/>
  <c r="I293" i="34"/>
  <c r="AM293" i="34"/>
  <c r="AL598" i="31" s="1"/>
  <c r="AE293" i="34"/>
  <c r="W293" i="34"/>
  <c r="O293" i="34"/>
  <c r="AL293" i="34"/>
  <c r="AK598" i="31" s="1"/>
  <c r="AD293" i="34"/>
  <c r="V293" i="34"/>
  <c r="N293" i="34"/>
  <c r="U293" i="34"/>
  <c r="P293" i="34"/>
  <c r="M293" i="34"/>
  <c r="AN293" i="34"/>
  <c r="AF293" i="34"/>
  <c r="AK293" i="34"/>
  <c r="AJ598" i="31" s="1"/>
  <c r="AC293" i="34"/>
  <c r="X293" i="34"/>
  <c r="T13" i="34"/>
  <c r="P15" i="34"/>
  <c r="AF15" i="34"/>
  <c r="T21" i="34"/>
  <c r="AJ21" i="34"/>
  <c r="P23" i="34"/>
  <c r="AF23" i="34"/>
  <c r="V28" i="34"/>
  <c r="AL28" i="34"/>
  <c r="AK333" i="31" s="1"/>
  <c r="T29" i="34"/>
  <c r="P31" i="34"/>
  <c r="O31" i="35" s="1"/>
  <c r="AF31" i="34"/>
  <c r="AE31" i="35" s="1"/>
  <c r="N32" i="34"/>
  <c r="AD32" i="34"/>
  <c r="V36" i="34"/>
  <c r="AL36" i="34"/>
  <c r="T37" i="34"/>
  <c r="AJ37" i="34"/>
  <c r="P39" i="34"/>
  <c r="AF39" i="34"/>
  <c r="N40" i="34"/>
  <c r="AD40" i="34"/>
  <c r="V44" i="34"/>
  <c r="K45" i="34"/>
  <c r="AF47" i="34"/>
  <c r="AD48" i="34"/>
  <c r="V52" i="34"/>
  <c r="T53" i="34"/>
  <c r="P55" i="34"/>
  <c r="N56" i="34"/>
  <c r="AL60" i="34"/>
  <c r="AF63" i="34"/>
  <c r="AD64" i="34"/>
  <c r="V68" i="34"/>
  <c r="T69" i="34"/>
  <c r="P71" i="34"/>
  <c r="N72" i="34"/>
  <c r="AL76" i="34"/>
  <c r="AJ77" i="34"/>
  <c r="AF79" i="34"/>
  <c r="AD80" i="34"/>
  <c r="V84" i="34"/>
  <c r="T85" i="34"/>
  <c r="P87" i="34"/>
  <c r="N88" i="34"/>
  <c r="AL92" i="34"/>
  <c r="AF95" i="34"/>
  <c r="AD96" i="34"/>
  <c r="AD100" i="34"/>
  <c r="L103" i="34"/>
  <c r="V104" i="34"/>
  <c r="N108" i="34"/>
  <c r="W109" i="34"/>
  <c r="AN111" i="34"/>
  <c r="Z116" i="34"/>
  <c r="L119" i="34"/>
  <c r="AC125" i="34"/>
  <c r="M31" i="34"/>
  <c r="L31" i="35" s="1"/>
  <c r="AC31" i="34"/>
  <c r="AB31" i="35" s="1"/>
  <c r="AN13" i="34"/>
  <c r="AM318" i="31" s="1"/>
  <c r="AF13" i="34"/>
  <c r="X13" i="34"/>
  <c r="P13" i="34"/>
  <c r="AM13" i="34"/>
  <c r="AL318" i="31" s="1"/>
  <c r="AE13" i="34"/>
  <c r="W13" i="34"/>
  <c r="O13" i="34"/>
  <c r="AL13" i="34"/>
  <c r="AK318" i="31" s="1"/>
  <c r="AD13" i="34"/>
  <c r="V13" i="34"/>
  <c r="N13" i="34"/>
  <c r="AI13" i="34"/>
  <c r="AA13" i="34"/>
  <c r="S13" i="34"/>
  <c r="K13" i="34"/>
  <c r="AN29" i="34"/>
  <c r="AF29" i="34"/>
  <c r="X29" i="34"/>
  <c r="P29" i="34"/>
  <c r="AM29" i="34"/>
  <c r="AL334" i="31" s="1"/>
  <c r="AE29" i="34"/>
  <c r="W29" i="34"/>
  <c r="O29" i="34"/>
  <c r="AL29" i="34"/>
  <c r="AK334" i="31" s="1"/>
  <c r="AD29" i="34"/>
  <c r="V29" i="34"/>
  <c r="N29" i="34"/>
  <c r="AI29" i="34"/>
  <c r="AA29" i="34"/>
  <c r="S29" i="34"/>
  <c r="K29" i="34"/>
  <c r="AP45" i="34"/>
  <c r="AO350" i="31" s="1"/>
  <c r="AH45" i="34"/>
  <c r="Z45" i="34"/>
  <c r="R45" i="34"/>
  <c r="J45" i="34"/>
  <c r="AO45" i="34"/>
  <c r="AN350" i="31" s="1"/>
  <c r="AG45" i="34"/>
  <c r="Y45" i="34"/>
  <c r="Q45" i="34"/>
  <c r="I45" i="34"/>
  <c r="AK45" i="34"/>
  <c r="AJ350" i="31" s="1"/>
  <c r="AC45" i="34"/>
  <c r="U45" i="34"/>
  <c r="M45" i="34"/>
  <c r="AD45" i="34"/>
  <c r="P45" i="34"/>
  <c r="AN45" i="34"/>
  <c r="AM350" i="31" s="1"/>
  <c r="AB45" i="34"/>
  <c r="O45" i="34"/>
  <c r="AM45" i="34"/>
  <c r="AL350" i="31" s="1"/>
  <c r="AA45" i="34"/>
  <c r="N45" i="34"/>
  <c r="AI45" i="34"/>
  <c r="V45" i="34"/>
  <c r="AI61" i="34"/>
  <c r="AA61" i="34"/>
  <c r="S61" i="34"/>
  <c r="K61" i="34"/>
  <c r="J61" i="35" s="1"/>
  <c r="AP61" i="34"/>
  <c r="AH61" i="34"/>
  <c r="Z61" i="34"/>
  <c r="R61" i="34"/>
  <c r="J61" i="34"/>
  <c r="AO61" i="34"/>
  <c r="AG61" i="34"/>
  <c r="Y61" i="34"/>
  <c r="Q61" i="34"/>
  <c r="I61" i="34"/>
  <c r="AK61" i="34"/>
  <c r="AC61" i="34"/>
  <c r="U61" i="34"/>
  <c r="M61" i="34"/>
  <c r="L61" i="35" s="1"/>
  <c r="AB61" i="34"/>
  <c r="L61" i="34"/>
  <c r="K61" i="35" s="1"/>
  <c r="AN61" i="34"/>
  <c r="X61" i="34"/>
  <c r="AM61" i="34"/>
  <c r="W61" i="34"/>
  <c r="AF61" i="34"/>
  <c r="P61" i="34"/>
  <c r="AI93" i="34"/>
  <c r="AA93" i="34"/>
  <c r="S93" i="34"/>
  <c r="K93" i="34"/>
  <c r="AP93" i="34"/>
  <c r="AH93" i="34"/>
  <c r="Z93" i="34"/>
  <c r="R93" i="34"/>
  <c r="J93" i="34"/>
  <c r="AO93" i="34"/>
  <c r="AG93" i="34"/>
  <c r="Y93" i="34"/>
  <c r="Q93" i="34"/>
  <c r="I93" i="34"/>
  <c r="AK93" i="34"/>
  <c r="AC93" i="34"/>
  <c r="U93" i="34"/>
  <c r="M93" i="34"/>
  <c r="AB93" i="34"/>
  <c r="L93" i="34"/>
  <c r="AN93" i="34"/>
  <c r="X93" i="34"/>
  <c r="AM93" i="34"/>
  <c r="W93" i="34"/>
  <c r="AF93" i="34"/>
  <c r="P93" i="34"/>
  <c r="AI101" i="34"/>
  <c r="AA101" i="34"/>
  <c r="S101" i="34"/>
  <c r="K101" i="34"/>
  <c r="AP101" i="34"/>
  <c r="AH101" i="34"/>
  <c r="Z101" i="34"/>
  <c r="R101" i="34"/>
  <c r="J101" i="34"/>
  <c r="AO101" i="34"/>
  <c r="AG101" i="34"/>
  <c r="Y101" i="34"/>
  <c r="Q101" i="34"/>
  <c r="I101" i="34"/>
  <c r="AL101" i="34"/>
  <c r="AD101" i="34"/>
  <c r="V101" i="34"/>
  <c r="N101" i="34"/>
  <c r="AK101" i="34"/>
  <c r="AC101" i="34"/>
  <c r="U101" i="34"/>
  <c r="M101" i="34"/>
  <c r="AB101" i="34"/>
  <c r="X101" i="34"/>
  <c r="W101" i="34"/>
  <c r="AJ101" i="34"/>
  <c r="O101" i="34"/>
  <c r="AJ117" i="34"/>
  <c r="AB117" i="34"/>
  <c r="T117" i="34"/>
  <c r="L117" i="34"/>
  <c r="AI117" i="34"/>
  <c r="AA117" i="34"/>
  <c r="S117" i="34"/>
  <c r="K117" i="34"/>
  <c r="AP117" i="34"/>
  <c r="AH117" i="34"/>
  <c r="Z117" i="34"/>
  <c r="R117" i="34"/>
  <c r="J117" i="34"/>
  <c r="AO117" i="34"/>
  <c r="AG117" i="34"/>
  <c r="Y117" i="34"/>
  <c r="Q117" i="34"/>
  <c r="I117" i="34"/>
  <c r="AE117" i="34"/>
  <c r="O117" i="34"/>
  <c r="AD117" i="34"/>
  <c r="N117" i="34"/>
  <c r="AC117" i="34"/>
  <c r="M117" i="34"/>
  <c r="AL117" i="34"/>
  <c r="V117" i="34"/>
  <c r="AK117" i="34"/>
  <c r="U117" i="34"/>
  <c r="P117" i="34"/>
  <c r="AF117" i="34"/>
  <c r="AP133" i="34"/>
  <c r="AH133" i="34"/>
  <c r="Z133" i="34"/>
  <c r="R133" i="34"/>
  <c r="J133" i="34"/>
  <c r="AO133" i="34"/>
  <c r="AG133" i="34"/>
  <c r="Y133" i="34"/>
  <c r="Q133" i="34"/>
  <c r="I133" i="34"/>
  <c r="AN133" i="34"/>
  <c r="AF133" i="34"/>
  <c r="X133" i="34"/>
  <c r="P133" i="34"/>
  <c r="AL133" i="34"/>
  <c r="AD133" i="34"/>
  <c r="V133" i="34"/>
  <c r="N133" i="34"/>
  <c r="AK133" i="34"/>
  <c r="AC133" i="34"/>
  <c r="U133" i="34"/>
  <c r="M133" i="34"/>
  <c r="AJ133" i="34"/>
  <c r="O133" i="34"/>
  <c r="AI133" i="34"/>
  <c r="L133" i="34"/>
  <c r="AB133" i="34"/>
  <c r="AA133" i="34"/>
  <c r="W133" i="34"/>
  <c r="T133" i="34"/>
  <c r="AE133" i="34"/>
  <c r="S133" i="34"/>
  <c r="K133" i="34"/>
  <c r="AP149" i="34"/>
  <c r="AH149" i="34"/>
  <c r="Z149" i="34"/>
  <c r="R149" i="34"/>
  <c r="J149" i="34"/>
  <c r="AO149" i="34"/>
  <c r="AG149" i="34"/>
  <c r="Y149" i="34"/>
  <c r="Q149" i="34"/>
  <c r="I149" i="34"/>
  <c r="AN149" i="34"/>
  <c r="AF149" i="34"/>
  <c r="X149" i="34"/>
  <c r="P149" i="34"/>
  <c r="AM149" i="34"/>
  <c r="AE149" i="34"/>
  <c r="W149" i="34"/>
  <c r="O149" i="34"/>
  <c r="AL149" i="34"/>
  <c r="AD149" i="34"/>
  <c r="V149" i="34"/>
  <c r="N149" i="34"/>
  <c r="AK149" i="34"/>
  <c r="AC149" i="34"/>
  <c r="U149" i="34"/>
  <c r="M149" i="34"/>
  <c r="T149" i="34"/>
  <c r="S149" i="34"/>
  <c r="K149" i="34"/>
  <c r="AJ149" i="34"/>
  <c r="AI149" i="34"/>
  <c r="AB149" i="34"/>
  <c r="AA149" i="34"/>
  <c r="L149" i="34"/>
  <c r="AP165" i="34"/>
  <c r="AO470" i="31" s="1"/>
  <c r="AH165" i="34"/>
  <c r="Z165" i="34"/>
  <c r="R165" i="34"/>
  <c r="J165" i="34"/>
  <c r="AO165" i="34"/>
  <c r="AN470" i="31" s="1"/>
  <c r="AG165" i="34"/>
  <c r="Y165" i="34"/>
  <c r="Q165" i="34"/>
  <c r="I165" i="34"/>
  <c r="AN165" i="34"/>
  <c r="AM470" i="31" s="1"/>
  <c r="AF165" i="34"/>
  <c r="X165" i="34"/>
  <c r="P165" i="34"/>
  <c r="AM165" i="34"/>
  <c r="AL470" i="31" s="1"/>
  <c r="AE165" i="34"/>
  <c r="W165" i="34"/>
  <c r="O165" i="34"/>
  <c r="AL165" i="34"/>
  <c r="AK470" i="31" s="1"/>
  <c r="AD165" i="34"/>
  <c r="V165" i="34"/>
  <c r="N165" i="34"/>
  <c r="AK165" i="34"/>
  <c r="AJ470" i="31" s="1"/>
  <c r="AC165" i="34"/>
  <c r="U165" i="34"/>
  <c r="M165" i="34"/>
  <c r="T165" i="34"/>
  <c r="S165" i="34"/>
  <c r="K165" i="34"/>
  <c r="AJ165" i="34"/>
  <c r="AI165" i="34"/>
  <c r="AB165" i="34"/>
  <c r="AA165" i="34"/>
  <c r="L165" i="34"/>
  <c r="AP181" i="34"/>
  <c r="AH181" i="34"/>
  <c r="Z181" i="34"/>
  <c r="R181" i="34"/>
  <c r="J181" i="34"/>
  <c r="AO181" i="34"/>
  <c r="AG181" i="34"/>
  <c r="Y181" i="34"/>
  <c r="Q181" i="34"/>
  <c r="I181" i="34"/>
  <c r="AN181" i="34"/>
  <c r="AF181" i="34"/>
  <c r="X181" i="34"/>
  <c r="P181" i="34"/>
  <c r="AM181" i="34"/>
  <c r="AE181" i="34"/>
  <c r="W181" i="34"/>
  <c r="O181" i="34"/>
  <c r="AL181" i="34"/>
  <c r="AD181" i="34"/>
  <c r="V181" i="34"/>
  <c r="N181" i="34"/>
  <c r="AK181" i="34"/>
  <c r="AC181" i="34"/>
  <c r="U181" i="34"/>
  <c r="M181" i="34"/>
  <c r="T181" i="34"/>
  <c r="S181" i="34"/>
  <c r="K181" i="34"/>
  <c r="AJ181" i="34"/>
  <c r="AI181" i="34"/>
  <c r="AB181" i="34"/>
  <c r="AA181" i="34"/>
  <c r="L181" i="34"/>
  <c r="AP197" i="34"/>
  <c r="AH197" i="34"/>
  <c r="Z197" i="34"/>
  <c r="R197" i="34"/>
  <c r="J197" i="34"/>
  <c r="AO197" i="34"/>
  <c r="AG197" i="34"/>
  <c r="Y197" i="34"/>
  <c r="Q197" i="34"/>
  <c r="I197" i="34"/>
  <c r="AN197" i="34"/>
  <c r="AF197" i="34"/>
  <c r="X197" i="34"/>
  <c r="P197" i="34"/>
  <c r="AM197" i="34"/>
  <c r="AE197" i="34"/>
  <c r="W197" i="34"/>
  <c r="O197" i="34"/>
  <c r="AL197" i="34"/>
  <c r="AD197" i="34"/>
  <c r="V197" i="34"/>
  <c r="N197" i="34"/>
  <c r="AK197" i="34"/>
  <c r="AC197" i="34"/>
  <c r="U197" i="34"/>
  <c r="M197" i="34"/>
  <c r="T197" i="34"/>
  <c r="S197" i="34"/>
  <c r="K197" i="34"/>
  <c r="AJ197" i="34"/>
  <c r="AI197" i="34"/>
  <c r="AB197" i="34"/>
  <c r="L197" i="34"/>
  <c r="AA197" i="34"/>
  <c r="AK213" i="34"/>
  <c r="AC213" i="34"/>
  <c r="U213" i="34"/>
  <c r="M213" i="34"/>
  <c r="AJ213" i="34"/>
  <c r="AB213" i="34"/>
  <c r="T213" i="34"/>
  <c r="L213" i="34"/>
  <c r="AI213" i="34"/>
  <c r="AA213" i="34"/>
  <c r="S213" i="34"/>
  <c r="K213" i="34"/>
  <c r="AP213" i="34"/>
  <c r="AH213" i="34"/>
  <c r="Z213" i="34"/>
  <c r="R213" i="34"/>
  <c r="J213" i="34"/>
  <c r="AO213" i="34"/>
  <c r="AG213" i="34"/>
  <c r="Y213" i="34"/>
  <c r="Q213" i="34"/>
  <c r="I213" i="34"/>
  <c r="AN213" i="34"/>
  <c r="AF213" i="34"/>
  <c r="X213" i="34"/>
  <c r="P213" i="34"/>
  <c r="O213" i="34"/>
  <c r="N213" i="34"/>
  <c r="AM213" i="34"/>
  <c r="AL213" i="34"/>
  <c r="AE213" i="34"/>
  <c r="AD213" i="34"/>
  <c r="W213" i="34"/>
  <c r="V213" i="34"/>
  <c r="AK221" i="34"/>
  <c r="AC221" i="34"/>
  <c r="U221" i="34"/>
  <c r="M221" i="34"/>
  <c r="AJ221" i="34"/>
  <c r="AB221" i="34"/>
  <c r="T221" i="34"/>
  <c r="L221" i="34"/>
  <c r="AI221" i="34"/>
  <c r="AA221" i="34"/>
  <c r="S221" i="34"/>
  <c r="K221" i="34"/>
  <c r="AP221" i="34"/>
  <c r="AH221" i="34"/>
  <c r="Z221" i="34"/>
  <c r="R221" i="34"/>
  <c r="J221" i="34"/>
  <c r="AO221" i="34"/>
  <c r="AG221" i="34"/>
  <c r="Y221" i="34"/>
  <c r="Q221" i="34"/>
  <c r="I221" i="34"/>
  <c r="AN221" i="34"/>
  <c r="AF221" i="34"/>
  <c r="X221" i="34"/>
  <c r="P221" i="34"/>
  <c r="AE221" i="34"/>
  <c r="AD221" i="34"/>
  <c r="W221" i="34"/>
  <c r="V221" i="34"/>
  <c r="O221" i="34"/>
  <c r="N221" i="34"/>
  <c r="AM221" i="34"/>
  <c r="AL221" i="34"/>
  <c r="AO245" i="34"/>
  <c r="AG245" i="34"/>
  <c r="Y245" i="34"/>
  <c r="Q245" i="34"/>
  <c r="I245" i="34"/>
  <c r="AN245" i="34"/>
  <c r="AF245" i="34"/>
  <c r="X245" i="34"/>
  <c r="P245" i="34"/>
  <c r="AM245" i="34"/>
  <c r="AE245" i="34"/>
  <c r="W245" i="34"/>
  <c r="O245" i="34"/>
  <c r="AL245" i="34"/>
  <c r="AD245" i="34"/>
  <c r="V245" i="34"/>
  <c r="N245" i="34"/>
  <c r="AK245" i="34"/>
  <c r="AC245" i="34"/>
  <c r="AI245" i="34"/>
  <c r="R245" i="34"/>
  <c r="AH245" i="34"/>
  <c r="M245" i="34"/>
  <c r="AB245" i="34"/>
  <c r="L245" i="34"/>
  <c r="AA245" i="34"/>
  <c r="K245" i="34"/>
  <c r="Z245" i="34"/>
  <c r="J245" i="34"/>
  <c r="U245" i="34"/>
  <c r="AP245" i="34"/>
  <c r="AJ245" i="34"/>
  <c r="T245" i="34"/>
  <c r="S245" i="34"/>
  <c r="AI269" i="34"/>
  <c r="AA269" i="34"/>
  <c r="S269" i="34"/>
  <c r="K269" i="34"/>
  <c r="AP269" i="34"/>
  <c r="AO574" i="31" s="1"/>
  <c r="AH269" i="34"/>
  <c r="Z269" i="34"/>
  <c r="R269" i="34"/>
  <c r="J269" i="34"/>
  <c r="AO269" i="34"/>
  <c r="AN574" i="31" s="1"/>
  <c r="AG269" i="34"/>
  <c r="Y269" i="34"/>
  <c r="Q269" i="34"/>
  <c r="I269" i="34"/>
  <c r="AN269" i="34"/>
  <c r="AM574" i="31" s="1"/>
  <c r="AF269" i="34"/>
  <c r="X269" i="34"/>
  <c r="P269" i="34"/>
  <c r="AL269" i="34"/>
  <c r="AK574" i="31" s="1"/>
  <c r="AD269" i="34"/>
  <c r="V269" i="34"/>
  <c r="N269" i="34"/>
  <c r="AE269" i="34"/>
  <c r="L269" i="34"/>
  <c r="AC269" i="34"/>
  <c r="AB269" i="34"/>
  <c r="W269" i="34"/>
  <c r="U269" i="34"/>
  <c r="AM269" i="34"/>
  <c r="AL574" i="31" s="1"/>
  <c r="T269" i="34"/>
  <c r="AK269" i="34"/>
  <c r="AJ574" i="31" s="1"/>
  <c r="AJ269" i="34"/>
  <c r="O269" i="34"/>
  <c r="M269" i="34"/>
  <c r="AI285" i="34"/>
  <c r="AA285" i="34"/>
  <c r="S285" i="34"/>
  <c r="K285" i="34"/>
  <c r="AP285" i="34"/>
  <c r="AO590" i="31" s="1"/>
  <c r="AH285" i="34"/>
  <c r="Z285" i="34"/>
  <c r="R285" i="34"/>
  <c r="J285" i="34"/>
  <c r="AO285" i="34"/>
  <c r="AN590" i="31" s="1"/>
  <c r="AG285" i="34"/>
  <c r="Y285" i="34"/>
  <c r="Q285" i="34"/>
  <c r="I285" i="34"/>
  <c r="AN285" i="34"/>
  <c r="AM590" i="31" s="1"/>
  <c r="AF285" i="34"/>
  <c r="X285" i="34"/>
  <c r="P285" i="34"/>
  <c r="AL285" i="34"/>
  <c r="AK590" i="31" s="1"/>
  <c r="AD285" i="34"/>
  <c r="V285" i="34"/>
  <c r="N285" i="34"/>
  <c r="U285" i="34"/>
  <c r="AM285" i="34"/>
  <c r="AL590" i="31" s="1"/>
  <c r="T285" i="34"/>
  <c r="AK285" i="34"/>
  <c r="AJ590" i="31" s="1"/>
  <c r="O285" i="34"/>
  <c r="AJ285" i="34"/>
  <c r="M285" i="34"/>
  <c r="AE285" i="34"/>
  <c r="L285" i="34"/>
  <c r="AC285" i="34"/>
  <c r="AB285" i="34"/>
  <c r="W285" i="34"/>
  <c r="AJ301" i="34"/>
  <c r="AB301" i="34"/>
  <c r="T301" i="34"/>
  <c r="L301" i="34"/>
  <c r="AI301" i="34"/>
  <c r="AA301" i="34"/>
  <c r="S301" i="34"/>
  <c r="K301" i="34"/>
  <c r="AP301" i="34"/>
  <c r="AH301" i="34"/>
  <c r="Z301" i="34"/>
  <c r="R301" i="34"/>
  <c r="J301" i="34"/>
  <c r="AO301" i="34"/>
  <c r="AG301" i="34"/>
  <c r="Y301" i="34"/>
  <c r="Q301" i="34"/>
  <c r="I301" i="34"/>
  <c r="AN301" i="34"/>
  <c r="AF301" i="34"/>
  <c r="X301" i="34"/>
  <c r="P301" i="34"/>
  <c r="AM301" i="34"/>
  <c r="AE301" i="34"/>
  <c r="W301" i="34"/>
  <c r="O301" i="34"/>
  <c r="AL301" i="34"/>
  <c r="AD301" i="34"/>
  <c r="V301" i="34"/>
  <c r="N301" i="34"/>
  <c r="M301" i="34"/>
  <c r="AK301" i="34"/>
  <c r="U301" i="34"/>
  <c r="AC301" i="34"/>
  <c r="U13" i="34"/>
  <c r="AK13" i="34"/>
  <c r="AJ318" i="31" s="1"/>
  <c r="Q15" i="34"/>
  <c r="AG15" i="34"/>
  <c r="W20" i="34"/>
  <c r="AM20" i="34"/>
  <c r="U21" i="34"/>
  <c r="AK21" i="34"/>
  <c r="Q23" i="34"/>
  <c r="AG23" i="34"/>
  <c r="O24" i="34"/>
  <c r="AE24" i="34"/>
  <c r="W28" i="34"/>
  <c r="AM28" i="34"/>
  <c r="AL333" i="31" s="1"/>
  <c r="U29" i="34"/>
  <c r="AK29" i="34"/>
  <c r="AJ334" i="31" s="1"/>
  <c r="Q31" i="34"/>
  <c r="AG31" i="34"/>
  <c r="O32" i="34"/>
  <c r="AE32" i="34"/>
  <c r="W36" i="34"/>
  <c r="AM36" i="34"/>
  <c r="U37" i="34"/>
  <c r="AK37" i="34"/>
  <c r="Q39" i="34"/>
  <c r="AG39" i="34"/>
  <c r="O40" i="34"/>
  <c r="AE40" i="34"/>
  <c r="W44" i="34"/>
  <c r="L45" i="34"/>
  <c r="AL45" i="34"/>
  <c r="AK350" i="31" s="1"/>
  <c r="AH47" i="34"/>
  <c r="AF48" i="34"/>
  <c r="X52" i="34"/>
  <c r="V53" i="34"/>
  <c r="R55" i="34"/>
  <c r="P56" i="34"/>
  <c r="AN60" i="34"/>
  <c r="AL61" i="34"/>
  <c r="AH63" i="34"/>
  <c r="AF64" i="34"/>
  <c r="AE64" i="35" s="1"/>
  <c r="X68" i="34"/>
  <c r="V69" i="34"/>
  <c r="R71" i="34"/>
  <c r="P72" i="34"/>
  <c r="AN76" i="34"/>
  <c r="AL77" i="34"/>
  <c r="AH79" i="34"/>
  <c r="AF80" i="34"/>
  <c r="X84" i="34"/>
  <c r="V85" i="34"/>
  <c r="R87" i="34"/>
  <c r="P88" i="34"/>
  <c r="O88" i="35" s="1"/>
  <c r="AN92" i="34"/>
  <c r="AL93" i="34"/>
  <c r="AH95" i="34"/>
  <c r="AF96" i="34"/>
  <c r="AG100" i="34"/>
  <c r="AN101" i="34"/>
  <c r="P103" i="34"/>
  <c r="Y104" i="34"/>
  <c r="Q108" i="34"/>
  <c r="X109" i="34"/>
  <c r="I112" i="34"/>
  <c r="AH116" i="34"/>
  <c r="S119" i="34"/>
  <c r="AL125" i="34"/>
  <c r="AK430" i="31" s="1"/>
  <c r="AN183" i="34"/>
  <c r="AM488" i="31" s="1"/>
  <c r="AF208" i="34"/>
  <c r="AO46" i="34"/>
  <c r="AG46" i="34"/>
  <c r="Y46" i="34"/>
  <c r="Q46" i="34"/>
  <c r="I46" i="34"/>
  <c r="AN46" i="34"/>
  <c r="AF46" i="34"/>
  <c r="X46" i="34"/>
  <c r="P46" i="34"/>
  <c r="AM46" i="34"/>
  <c r="AE46" i="34"/>
  <c r="W46" i="34"/>
  <c r="O46" i="34"/>
  <c r="AI46" i="34"/>
  <c r="AA46" i="34"/>
  <c r="S46" i="34"/>
  <c r="K46" i="34"/>
  <c r="AO54" i="34"/>
  <c r="AG54" i="34"/>
  <c r="Y54" i="34"/>
  <c r="Q54" i="34"/>
  <c r="I54" i="34"/>
  <c r="AN54" i="34"/>
  <c r="AF54" i="34"/>
  <c r="X54" i="34"/>
  <c r="P54" i="34"/>
  <c r="AM54" i="34"/>
  <c r="AE54" i="34"/>
  <c r="W54" i="34"/>
  <c r="O54" i="34"/>
  <c r="AI54" i="34"/>
  <c r="AA54" i="34"/>
  <c r="S54" i="34"/>
  <c r="K54" i="34"/>
  <c r="AO62" i="34"/>
  <c r="AG62" i="34"/>
  <c r="Y62" i="34"/>
  <c r="Q62" i="34"/>
  <c r="I62" i="34"/>
  <c r="AN62" i="34"/>
  <c r="AF62" i="34"/>
  <c r="X62" i="34"/>
  <c r="P62" i="34"/>
  <c r="AM62" i="34"/>
  <c r="AE62" i="34"/>
  <c r="W62" i="34"/>
  <c r="O62" i="34"/>
  <c r="AI62" i="34"/>
  <c r="AA62" i="34"/>
  <c r="S62" i="34"/>
  <c r="K62" i="34"/>
  <c r="AO70" i="34"/>
  <c r="AN375" i="31" s="1"/>
  <c r="AG70" i="34"/>
  <c r="Y70" i="34"/>
  <c r="Q70" i="34"/>
  <c r="I70" i="34"/>
  <c r="AN70" i="34"/>
  <c r="AM375" i="31" s="1"/>
  <c r="AF70" i="34"/>
  <c r="X70" i="34"/>
  <c r="P70" i="34"/>
  <c r="AM70" i="34"/>
  <c r="AL375" i="31" s="1"/>
  <c r="AE70" i="34"/>
  <c r="W70" i="34"/>
  <c r="O70" i="34"/>
  <c r="AI70" i="34"/>
  <c r="AA70" i="34"/>
  <c r="S70" i="34"/>
  <c r="K70" i="34"/>
  <c r="AO78" i="34"/>
  <c r="AG78" i="34"/>
  <c r="Y78" i="34"/>
  <c r="Q78" i="34"/>
  <c r="I78" i="34"/>
  <c r="AN78" i="34"/>
  <c r="AF78" i="34"/>
  <c r="X78" i="34"/>
  <c r="P78" i="34"/>
  <c r="AM78" i="34"/>
  <c r="AE78" i="34"/>
  <c r="W78" i="34"/>
  <c r="O78" i="34"/>
  <c r="AI78" i="34"/>
  <c r="AA78" i="34"/>
  <c r="S78" i="34"/>
  <c r="K78" i="34"/>
  <c r="AO86" i="34"/>
  <c r="AG86" i="34"/>
  <c r="Y86" i="34"/>
  <c r="Q86" i="34"/>
  <c r="I86" i="34"/>
  <c r="AN86" i="34"/>
  <c r="AF86" i="34"/>
  <c r="X86" i="34"/>
  <c r="P86" i="34"/>
  <c r="AM86" i="34"/>
  <c r="AE86" i="34"/>
  <c r="W86" i="34"/>
  <c r="O86" i="34"/>
  <c r="AI86" i="34"/>
  <c r="AA86" i="34"/>
  <c r="S86" i="34"/>
  <c r="K86" i="34"/>
  <c r="AO94" i="34"/>
  <c r="AG94" i="34"/>
  <c r="Y94" i="34"/>
  <c r="Q94" i="34"/>
  <c r="I94" i="34"/>
  <c r="AN94" i="34"/>
  <c r="AF94" i="34"/>
  <c r="X94" i="34"/>
  <c r="P94" i="34"/>
  <c r="AM94" i="34"/>
  <c r="AE94" i="34"/>
  <c r="W94" i="34"/>
  <c r="O94" i="34"/>
  <c r="AI94" i="34"/>
  <c r="AA94" i="34"/>
  <c r="S94" i="34"/>
  <c r="K94" i="34"/>
  <c r="AO102" i="34"/>
  <c r="AG102" i="34"/>
  <c r="Y102" i="34"/>
  <c r="Q102" i="34"/>
  <c r="I102" i="34"/>
  <c r="AN102" i="34"/>
  <c r="AF102" i="34"/>
  <c r="X102" i="34"/>
  <c r="P102" i="34"/>
  <c r="AM102" i="34"/>
  <c r="AE102" i="34"/>
  <c r="W102" i="34"/>
  <c r="O102" i="34"/>
  <c r="AJ102" i="34"/>
  <c r="AB102" i="34"/>
  <c r="T102" i="34"/>
  <c r="L102" i="34"/>
  <c r="AI102" i="34"/>
  <c r="AA102" i="34"/>
  <c r="S102" i="34"/>
  <c r="K102" i="34"/>
  <c r="AO110" i="34"/>
  <c r="AG110" i="34"/>
  <c r="Y110" i="34"/>
  <c r="Q110" i="34"/>
  <c r="I110" i="34"/>
  <c r="AN110" i="34"/>
  <c r="AF110" i="34"/>
  <c r="X110" i="34"/>
  <c r="P110" i="34"/>
  <c r="AM110" i="34"/>
  <c r="AE110" i="34"/>
  <c r="W110" i="34"/>
  <c r="O110" i="34"/>
  <c r="AJ110" i="34"/>
  <c r="AB110" i="34"/>
  <c r="T110" i="34"/>
  <c r="L110" i="34"/>
  <c r="AI110" i="34"/>
  <c r="AA110" i="34"/>
  <c r="S110" i="34"/>
  <c r="K110" i="34"/>
  <c r="AP118" i="34"/>
  <c r="AH118" i="34"/>
  <c r="Z118" i="34"/>
  <c r="R118" i="34"/>
  <c r="J118" i="34"/>
  <c r="AO118" i="34"/>
  <c r="AG118" i="34"/>
  <c r="Y118" i="34"/>
  <c r="Q118" i="34"/>
  <c r="I118" i="34"/>
  <c r="AN118" i="34"/>
  <c r="AF118" i="34"/>
  <c r="X118" i="34"/>
  <c r="P118" i="34"/>
  <c r="AM118" i="34"/>
  <c r="AE118" i="34"/>
  <c r="W118" i="34"/>
  <c r="O118" i="34"/>
  <c r="AC118" i="34"/>
  <c r="M118" i="34"/>
  <c r="AB118" i="34"/>
  <c r="L118" i="34"/>
  <c r="AA118" i="34"/>
  <c r="K118" i="34"/>
  <c r="AJ118" i="34"/>
  <c r="T118" i="34"/>
  <c r="AI118" i="34"/>
  <c r="S118" i="34"/>
  <c r="AK126" i="34"/>
  <c r="AJ431" i="31" s="1"/>
  <c r="AC126" i="34"/>
  <c r="U126" i="34"/>
  <c r="M126" i="34"/>
  <c r="AJ126" i="34"/>
  <c r="AP126" i="34"/>
  <c r="AO431" i="31" s="1"/>
  <c r="AH126" i="34"/>
  <c r="Z126" i="34"/>
  <c r="R126" i="34"/>
  <c r="J126" i="34"/>
  <c r="AO126" i="34"/>
  <c r="AN431" i="31" s="1"/>
  <c r="AG126" i="34"/>
  <c r="Y126" i="34"/>
  <c r="Q126" i="34"/>
  <c r="I126" i="34"/>
  <c r="AN126" i="34"/>
  <c r="AM431" i="31" s="1"/>
  <c r="AF126" i="34"/>
  <c r="X126" i="34"/>
  <c r="P126" i="34"/>
  <c r="AM126" i="34"/>
  <c r="AL431" i="31" s="1"/>
  <c r="AE126" i="34"/>
  <c r="W126" i="34"/>
  <c r="O126" i="34"/>
  <c r="V126" i="34"/>
  <c r="T126" i="34"/>
  <c r="S126" i="34"/>
  <c r="AD126" i="34"/>
  <c r="K126" i="34"/>
  <c r="AB126" i="34"/>
  <c r="AN134" i="34"/>
  <c r="AF134" i="34"/>
  <c r="X134" i="34"/>
  <c r="P134" i="34"/>
  <c r="AM134" i="34"/>
  <c r="AE134" i="34"/>
  <c r="W134" i="34"/>
  <c r="O134" i="34"/>
  <c r="AL134" i="34"/>
  <c r="AK439" i="31" s="1"/>
  <c r="AD134" i="34"/>
  <c r="V134" i="34"/>
  <c r="N134" i="34"/>
  <c r="AK134" i="34"/>
  <c r="AJ439" i="31" s="1"/>
  <c r="AJ134" i="34"/>
  <c r="AB134" i="34"/>
  <c r="T134" i="34"/>
  <c r="L134" i="34"/>
  <c r="AI134" i="34"/>
  <c r="AA134" i="34"/>
  <c r="S134" i="34"/>
  <c r="K134" i="34"/>
  <c r="Y134" i="34"/>
  <c r="U134" i="34"/>
  <c r="AO134" i="34"/>
  <c r="Q134" i="34"/>
  <c r="AH134" i="34"/>
  <c r="M134" i="34"/>
  <c r="AG134" i="34"/>
  <c r="J134" i="34"/>
  <c r="AC134" i="34"/>
  <c r="I134" i="34"/>
  <c r="Z134" i="34"/>
  <c r="R134" i="34"/>
  <c r="AN142" i="34"/>
  <c r="AF142" i="34"/>
  <c r="X142" i="34"/>
  <c r="P142" i="34"/>
  <c r="AM142" i="34"/>
  <c r="AE142" i="34"/>
  <c r="W142" i="34"/>
  <c r="O142" i="34"/>
  <c r="AL142" i="34"/>
  <c r="AD142" i="34"/>
  <c r="V142" i="34"/>
  <c r="N142" i="34"/>
  <c r="AK142" i="34"/>
  <c r="AC142" i="34"/>
  <c r="U142" i="34"/>
  <c r="M142" i="34"/>
  <c r="AJ142" i="34"/>
  <c r="AB142" i="34"/>
  <c r="T142" i="34"/>
  <c r="L142" i="34"/>
  <c r="AI142" i="34"/>
  <c r="AA142" i="34"/>
  <c r="S142" i="34"/>
  <c r="K142" i="34"/>
  <c r="AH142" i="34"/>
  <c r="AG142" i="34"/>
  <c r="Y142" i="34"/>
  <c r="R142" i="34"/>
  <c r="Q142" i="34"/>
  <c r="AP142" i="34"/>
  <c r="J142" i="34"/>
  <c r="I142" i="34"/>
  <c r="AN150" i="34"/>
  <c r="AF150" i="34"/>
  <c r="X150" i="34"/>
  <c r="P150" i="34"/>
  <c r="AM150" i="34"/>
  <c r="AE150" i="34"/>
  <c r="W150" i="34"/>
  <c r="O150" i="34"/>
  <c r="AL150" i="34"/>
  <c r="AD150" i="34"/>
  <c r="V150" i="34"/>
  <c r="N150" i="34"/>
  <c r="AK150" i="34"/>
  <c r="AC150" i="34"/>
  <c r="U150" i="34"/>
  <c r="M150" i="34"/>
  <c r="AJ150" i="34"/>
  <c r="AB150" i="34"/>
  <c r="T150" i="34"/>
  <c r="L150" i="34"/>
  <c r="AI150" i="34"/>
  <c r="AA150" i="34"/>
  <c r="S150" i="34"/>
  <c r="R150" i="35" s="1"/>
  <c r="K150" i="34"/>
  <c r="R150" i="34"/>
  <c r="Q150" i="35" s="1"/>
  <c r="Q150" i="34"/>
  <c r="AO150" i="34"/>
  <c r="I150" i="34"/>
  <c r="AH150" i="34"/>
  <c r="AG150" i="34"/>
  <c r="Z150" i="34"/>
  <c r="AP150" i="34"/>
  <c r="AN158" i="34"/>
  <c r="AF158" i="34"/>
  <c r="X158" i="34"/>
  <c r="P158" i="34"/>
  <c r="AM158" i="34"/>
  <c r="AE158" i="34"/>
  <c r="W158" i="34"/>
  <c r="O158" i="34"/>
  <c r="AL158" i="34"/>
  <c r="AD158" i="34"/>
  <c r="V158" i="34"/>
  <c r="N158" i="34"/>
  <c r="AK158" i="34"/>
  <c r="AC158" i="34"/>
  <c r="U158" i="34"/>
  <c r="M158" i="34"/>
  <c r="AJ158" i="34"/>
  <c r="AB158" i="34"/>
  <c r="T158" i="34"/>
  <c r="L158" i="34"/>
  <c r="AI158" i="34"/>
  <c r="AA158" i="34"/>
  <c r="S158" i="34"/>
  <c r="K158" i="34"/>
  <c r="AH158" i="34"/>
  <c r="AG158" i="34"/>
  <c r="Y158" i="34"/>
  <c r="R158" i="34"/>
  <c r="Q158" i="34"/>
  <c r="AP158" i="34"/>
  <c r="J158" i="34"/>
  <c r="AO158" i="34"/>
  <c r="Z158" i="34"/>
  <c r="AN166" i="34"/>
  <c r="AF166" i="34"/>
  <c r="X166" i="34"/>
  <c r="P166" i="34"/>
  <c r="AM166" i="34"/>
  <c r="AE166" i="34"/>
  <c r="W166" i="34"/>
  <c r="O166" i="34"/>
  <c r="AL166" i="34"/>
  <c r="AD166" i="34"/>
  <c r="V166" i="34"/>
  <c r="N166" i="34"/>
  <c r="AK166" i="34"/>
  <c r="AC166" i="34"/>
  <c r="U166" i="34"/>
  <c r="M166" i="34"/>
  <c r="AJ166" i="34"/>
  <c r="AB166" i="34"/>
  <c r="T166" i="34"/>
  <c r="L166" i="34"/>
  <c r="AI166" i="34"/>
  <c r="AA166" i="34"/>
  <c r="S166" i="34"/>
  <c r="K166" i="34"/>
  <c r="R166" i="34"/>
  <c r="Q166" i="34"/>
  <c r="AO166" i="34"/>
  <c r="I166" i="34"/>
  <c r="AH166" i="34"/>
  <c r="AG166" i="34"/>
  <c r="Z166" i="34"/>
  <c r="AP166" i="34"/>
  <c r="Y166" i="34"/>
  <c r="J166" i="34"/>
  <c r="AN174" i="34"/>
  <c r="AF174" i="34"/>
  <c r="X174" i="34"/>
  <c r="P174" i="34"/>
  <c r="AM174" i="34"/>
  <c r="AE174" i="34"/>
  <c r="W174" i="34"/>
  <c r="O174" i="34"/>
  <c r="AL174" i="34"/>
  <c r="AD174" i="34"/>
  <c r="V174" i="34"/>
  <c r="N174" i="34"/>
  <c r="AK174" i="34"/>
  <c r="AC174" i="34"/>
  <c r="U174" i="34"/>
  <c r="M174" i="34"/>
  <c r="AJ174" i="34"/>
  <c r="AB174" i="34"/>
  <c r="T174" i="34"/>
  <c r="L174" i="34"/>
  <c r="AI174" i="34"/>
  <c r="AA174" i="34"/>
  <c r="S174" i="34"/>
  <c r="K174" i="34"/>
  <c r="AH174" i="34"/>
  <c r="AG174" i="34"/>
  <c r="Y174" i="34"/>
  <c r="R174" i="34"/>
  <c r="Q174" i="34"/>
  <c r="AP174" i="34"/>
  <c r="J174" i="34"/>
  <c r="Z174" i="34"/>
  <c r="I174" i="34"/>
  <c r="AN182" i="34"/>
  <c r="AF182" i="34"/>
  <c r="X182" i="34"/>
  <c r="P182" i="34"/>
  <c r="AM182" i="34"/>
  <c r="AE182" i="34"/>
  <c r="W182" i="34"/>
  <c r="O182" i="34"/>
  <c r="AL182" i="34"/>
  <c r="AD182" i="34"/>
  <c r="V182" i="34"/>
  <c r="N182" i="34"/>
  <c r="AK182" i="34"/>
  <c r="AC182" i="34"/>
  <c r="U182" i="34"/>
  <c r="M182" i="34"/>
  <c r="AJ182" i="34"/>
  <c r="AB182" i="34"/>
  <c r="T182" i="34"/>
  <c r="L182" i="34"/>
  <c r="AI182" i="34"/>
  <c r="AA182" i="34"/>
  <c r="S182" i="34"/>
  <c r="K182" i="34"/>
  <c r="R182" i="34"/>
  <c r="Q182" i="34"/>
  <c r="AO182" i="34"/>
  <c r="I182" i="34"/>
  <c r="AH182" i="34"/>
  <c r="AG182" i="34"/>
  <c r="Z182" i="34"/>
  <c r="J182" i="34"/>
  <c r="AP182" i="34"/>
  <c r="AN190" i="34"/>
  <c r="AF190" i="34"/>
  <c r="X190" i="34"/>
  <c r="P190" i="34"/>
  <c r="AM190" i="34"/>
  <c r="AE190" i="34"/>
  <c r="W190" i="34"/>
  <c r="O190" i="34"/>
  <c r="AL190" i="34"/>
  <c r="AD190" i="34"/>
  <c r="V190" i="34"/>
  <c r="N190" i="34"/>
  <c r="AK190" i="34"/>
  <c r="AC190" i="34"/>
  <c r="U190" i="34"/>
  <c r="M190" i="34"/>
  <c r="AJ190" i="34"/>
  <c r="AB190" i="34"/>
  <c r="T190" i="34"/>
  <c r="L190" i="34"/>
  <c r="AI190" i="34"/>
  <c r="AA190" i="34"/>
  <c r="S190" i="34"/>
  <c r="K190" i="34"/>
  <c r="AH190" i="34"/>
  <c r="AG190" i="34"/>
  <c r="Y190" i="34"/>
  <c r="R190" i="34"/>
  <c r="Q190" i="34"/>
  <c r="AP190" i="34"/>
  <c r="J190" i="34"/>
  <c r="AO190" i="34"/>
  <c r="Z190" i="34"/>
  <c r="AI198" i="34"/>
  <c r="AA198" i="34"/>
  <c r="S198" i="34"/>
  <c r="AH198" i="34"/>
  <c r="Y198" i="34"/>
  <c r="P198" i="34"/>
  <c r="AP198" i="34"/>
  <c r="AG198" i="34"/>
  <c r="X198" i="34"/>
  <c r="O198" i="34"/>
  <c r="AO198" i="34"/>
  <c r="AF198" i="34"/>
  <c r="W198" i="34"/>
  <c r="N198" i="34"/>
  <c r="AN198" i="34"/>
  <c r="AE198" i="34"/>
  <c r="V198" i="34"/>
  <c r="M198" i="34"/>
  <c r="AM198" i="34"/>
  <c r="AD198" i="34"/>
  <c r="U198" i="34"/>
  <c r="L198" i="34"/>
  <c r="AL198" i="34"/>
  <c r="AC198" i="34"/>
  <c r="T198" i="34"/>
  <c r="K198" i="34"/>
  <c r="R198" i="34"/>
  <c r="Q198" i="34"/>
  <c r="I198" i="34"/>
  <c r="AK198" i="34"/>
  <c r="AJ198" i="34"/>
  <c r="AB198" i="34"/>
  <c r="Z198" i="34"/>
  <c r="J198" i="34"/>
  <c r="AI206" i="34"/>
  <c r="AA206" i="34"/>
  <c r="S206" i="34"/>
  <c r="K206" i="34"/>
  <c r="AP206" i="34"/>
  <c r="AH206" i="34"/>
  <c r="Z206" i="34"/>
  <c r="R206" i="34"/>
  <c r="Q206" i="35" s="1"/>
  <c r="J206" i="34"/>
  <c r="I206" i="35" s="1"/>
  <c r="AO206" i="34"/>
  <c r="AG206" i="34"/>
  <c r="Y206" i="34"/>
  <c r="Q206" i="34"/>
  <c r="P206" i="35" s="1"/>
  <c r="I206" i="34"/>
  <c r="AN206" i="34"/>
  <c r="AF206" i="34"/>
  <c r="X206" i="34"/>
  <c r="P206" i="34"/>
  <c r="O206" i="35" s="1"/>
  <c r="AM206" i="34"/>
  <c r="AE206" i="34"/>
  <c r="W206" i="34"/>
  <c r="AL206" i="34"/>
  <c r="AD206" i="34"/>
  <c r="V206" i="34"/>
  <c r="N206" i="34"/>
  <c r="AC206" i="34"/>
  <c r="AB206" i="34"/>
  <c r="U206" i="34"/>
  <c r="T206" i="34"/>
  <c r="O206" i="34"/>
  <c r="N206" i="35" s="1"/>
  <c r="M206" i="34"/>
  <c r="L206" i="35" s="1"/>
  <c r="AJ206" i="34"/>
  <c r="L206" i="34"/>
  <c r="K206" i="35" s="1"/>
  <c r="AI214" i="34"/>
  <c r="AA214" i="34"/>
  <c r="S214" i="34"/>
  <c r="K214" i="34"/>
  <c r="J214" i="35" s="1"/>
  <c r="AP214" i="34"/>
  <c r="AH214" i="34"/>
  <c r="Z214" i="34"/>
  <c r="R214" i="34"/>
  <c r="Q214" i="35" s="1"/>
  <c r="J214" i="34"/>
  <c r="I214" i="35" s="1"/>
  <c r="AO214" i="34"/>
  <c r="AG214" i="34"/>
  <c r="Y214" i="34"/>
  <c r="Q214" i="34"/>
  <c r="I214" i="34"/>
  <c r="AN214" i="34"/>
  <c r="AF214" i="34"/>
  <c r="X214" i="34"/>
  <c r="P214" i="34"/>
  <c r="AM214" i="34"/>
  <c r="AE214" i="34"/>
  <c r="W214" i="34"/>
  <c r="V214" i="35" s="1"/>
  <c r="O214" i="34"/>
  <c r="AL214" i="34"/>
  <c r="AD214" i="34"/>
  <c r="V214" i="34"/>
  <c r="U214" i="35" s="1"/>
  <c r="N214" i="34"/>
  <c r="M214" i="34"/>
  <c r="L214" i="34"/>
  <c r="K214" i="35" s="1"/>
  <c r="AK214" i="34"/>
  <c r="AJ214" i="34"/>
  <c r="AC214" i="34"/>
  <c r="AB214" i="34"/>
  <c r="T214" i="34"/>
  <c r="U214" i="34"/>
  <c r="T214" i="35" s="1"/>
  <c r="AI222" i="34"/>
  <c r="AA222" i="34"/>
  <c r="S222" i="34"/>
  <c r="K222" i="34"/>
  <c r="AP222" i="34"/>
  <c r="AH222" i="34"/>
  <c r="Z222" i="34"/>
  <c r="R222" i="34"/>
  <c r="J222" i="34"/>
  <c r="AO222" i="34"/>
  <c r="AG222" i="34"/>
  <c r="Y222" i="34"/>
  <c r="Q222" i="34"/>
  <c r="I222" i="34"/>
  <c r="AN222" i="34"/>
  <c r="AF222" i="34"/>
  <c r="X222" i="34"/>
  <c r="P222" i="34"/>
  <c r="AM222" i="34"/>
  <c r="AE222" i="34"/>
  <c r="W222" i="34"/>
  <c r="O222" i="34"/>
  <c r="AL222" i="34"/>
  <c r="AD222" i="34"/>
  <c r="V222" i="34"/>
  <c r="N222" i="34"/>
  <c r="AC222" i="34"/>
  <c r="AB222" i="34"/>
  <c r="U222" i="34"/>
  <c r="T222" i="34"/>
  <c r="M222" i="34"/>
  <c r="L222" i="34"/>
  <c r="AK222" i="34"/>
  <c r="AJ222" i="34"/>
  <c r="AI230" i="34"/>
  <c r="AA230" i="34"/>
  <c r="S230" i="34"/>
  <c r="R230" i="35" s="1"/>
  <c r="K230" i="34"/>
  <c r="J230" i="35" s="1"/>
  <c r="AP230" i="34"/>
  <c r="AH230" i="34"/>
  <c r="Z230" i="34"/>
  <c r="R230" i="34"/>
  <c r="J230" i="34"/>
  <c r="AO230" i="34"/>
  <c r="AG230" i="34"/>
  <c r="Y230" i="34"/>
  <c r="Q230" i="34"/>
  <c r="P230" i="35" s="1"/>
  <c r="I230" i="34"/>
  <c r="AN230" i="34"/>
  <c r="AF230" i="34"/>
  <c r="X230" i="34"/>
  <c r="P230" i="34"/>
  <c r="AM230" i="34"/>
  <c r="AE230" i="34"/>
  <c r="W230" i="34"/>
  <c r="O230" i="34"/>
  <c r="AL230" i="34"/>
  <c r="AD230" i="34"/>
  <c r="V230" i="34"/>
  <c r="N230" i="34"/>
  <c r="M230" i="35" s="1"/>
  <c r="M230" i="34"/>
  <c r="L230" i="35" s="1"/>
  <c r="L230" i="34"/>
  <c r="K230" i="35" s="1"/>
  <c r="AK230" i="34"/>
  <c r="AJ230" i="34"/>
  <c r="AC230" i="34"/>
  <c r="AB230" i="34"/>
  <c r="U230" i="34"/>
  <c r="T230" i="34"/>
  <c r="AM238" i="34"/>
  <c r="AL543" i="31" s="1"/>
  <c r="AE238" i="34"/>
  <c r="W238" i="34"/>
  <c r="O238" i="34"/>
  <c r="AL238" i="34"/>
  <c r="AK543" i="31" s="1"/>
  <c r="AD238" i="34"/>
  <c r="V238" i="34"/>
  <c r="N238" i="34"/>
  <c r="AK238" i="34"/>
  <c r="AJ543" i="31" s="1"/>
  <c r="AC238" i="34"/>
  <c r="U238" i="34"/>
  <c r="M238" i="34"/>
  <c r="AJ238" i="34"/>
  <c r="AF238" i="34"/>
  <c r="R238" i="34"/>
  <c r="AB238" i="34"/>
  <c r="Q238" i="34"/>
  <c r="AP238" i="34"/>
  <c r="AO543" i="31" s="1"/>
  <c r="AA238" i="34"/>
  <c r="P238" i="34"/>
  <c r="AO238" i="34"/>
  <c r="AN543" i="31" s="1"/>
  <c r="Z238" i="34"/>
  <c r="L238" i="34"/>
  <c r="AN238" i="34"/>
  <c r="AM543" i="31" s="1"/>
  <c r="Y238" i="34"/>
  <c r="K238" i="34"/>
  <c r="AI238" i="34"/>
  <c r="X238" i="34"/>
  <c r="J238" i="34"/>
  <c r="T238" i="34"/>
  <c r="S238" i="34"/>
  <c r="I238" i="34"/>
  <c r="AH238" i="34"/>
  <c r="AG238" i="34"/>
  <c r="AM246" i="34"/>
  <c r="AL246" i="35" s="1"/>
  <c r="AE246" i="34"/>
  <c r="W246" i="34"/>
  <c r="O246" i="34"/>
  <c r="AL246" i="34"/>
  <c r="AD246" i="34"/>
  <c r="AC246" i="35" s="1"/>
  <c r="V246" i="34"/>
  <c r="U246" i="35" s="1"/>
  <c r="N246" i="34"/>
  <c r="M246" i="35" s="1"/>
  <c r="AK246" i="34"/>
  <c r="AC246" i="34"/>
  <c r="U246" i="34"/>
  <c r="M246" i="34"/>
  <c r="L246" i="35" s="1"/>
  <c r="AJ246" i="34"/>
  <c r="AB246" i="34"/>
  <c r="AA246" i="35" s="1"/>
  <c r="T246" i="34"/>
  <c r="L246" i="34"/>
  <c r="AI246" i="34"/>
  <c r="AA246" i="34"/>
  <c r="Z246" i="35" s="1"/>
  <c r="S246" i="34"/>
  <c r="R246" i="35" s="1"/>
  <c r="K246" i="34"/>
  <c r="AP246" i="34"/>
  <c r="X246" i="34"/>
  <c r="AO246" i="34"/>
  <c r="R246" i="34"/>
  <c r="Q246" i="35" s="1"/>
  <c r="AN246" i="34"/>
  <c r="AM246" i="35" s="1"/>
  <c r="Q246" i="34"/>
  <c r="P246" i="35" s="1"/>
  <c r="AH246" i="34"/>
  <c r="P246" i="34"/>
  <c r="O246" i="35" s="1"/>
  <c r="AG246" i="34"/>
  <c r="AF246" i="35" s="1"/>
  <c r="J246" i="34"/>
  <c r="I246" i="35" s="1"/>
  <c r="AF246" i="34"/>
  <c r="AE246" i="35" s="1"/>
  <c r="I246" i="34"/>
  <c r="H246" i="35" s="1"/>
  <c r="Z246" i="34"/>
  <c r="Y246" i="35" s="1"/>
  <c r="Y246" i="34"/>
  <c r="AO254" i="34"/>
  <c r="AG254" i="34"/>
  <c r="Y254" i="34"/>
  <c r="Q254" i="34"/>
  <c r="I254" i="34"/>
  <c r="AN254" i="34"/>
  <c r="AM254" i="35" s="1"/>
  <c r="AF254" i="34"/>
  <c r="X254" i="34"/>
  <c r="P254" i="34"/>
  <c r="AM254" i="34"/>
  <c r="AE254" i="34"/>
  <c r="W254" i="34"/>
  <c r="O254" i="34"/>
  <c r="AL254" i="34"/>
  <c r="AD254" i="34"/>
  <c r="V254" i="34"/>
  <c r="N254" i="34"/>
  <c r="AJ254" i="34"/>
  <c r="AB254" i="34"/>
  <c r="T254" i="34"/>
  <c r="L254" i="34"/>
  <c r="AC254" i="34"/>
  <c r="J254" i="34"/>
  <c r="AA254" i="34"/>
  <c r="Z254" i="34"/>
  <c r="U254" i="34"/>
  <c r="AP254" i="34"/>
  <c r="S254" i="34"/>
  <c r="AH254" i="34"/>
  <c r="R254" i="34"/>
  <c r="M254" i="34"/>
  <c r="K254" i="34"/>
  <c r="AK254" i="34"/>
  <c r="AI254" i="34"/>
  <c r="AO262" i="34"/>
  <c r="AG262" i="34"/>
  <c r="Y262" i="34"/>
  <c r="Q262" i="34"/>
  <c r="P262" i="35" s="1"/>
  <c r="I262" i="34"/>
  <c r="AN262" i="34"/>
  <c r="AF262" i="34"/>
  <c r="X262" i="34"/>
  <c r="W262" i="35" s="1"/>
  <c r="P262" i="34"/>
  <c r="AM262" i="34"/>
  <c r="AE262" i="34"/>
  <c r="W262" i="34"/>
  <c r="V262" i="35" s="1"/>
  <c r="O262" i="34"/>
  <c r="AL262" i="34"/>
  <c r="AD262" i="34"/>
  <c r="V262" i="34"/>
  <c r="U262" i="35" s="1"/>
  <c r="N262" i="34"/>
  <c r="M262" i="35" s="1"/>
  <c r="AJ262" i="34"/>
  <c r="AB262" i="34"/>
  <c r="T262" i="34"/>
  <c r="L262" i="34"/>
  <c r="AI262" i="34"/>
  <c r="M262" i="34"/>
  <c r="L262" i="35" s="1"/>
  <c r="AH262" i="34"/>
  <c r="K262" i="34"/>
  <c r="J262" i="35" s="1"/>
  <c r="AC262" i="34"/>
  <c r="J262" i="34"/>
  <c r="AA262" i="34"/>
  <c r="Z262" i="35" s="1"/>
  <c r="Z262" i="34"/>
  <c r="Y262" i="35" s="1"/>
  <c r="U262" i="34"/>
  <c r="S262" i="34"/>
  <c r="R262" i="34"/>
  <c r="Q262" i="35" s="1"/>
  <c r="AP262" i="34"/>
  <c r="AK262" i="34"/>
  <c r="AO270" i="34"/>
  <c r="AG270" i="34"/>
  <c r="Y270" i="34"/>
  <c r="Q270" i="34"/>
  <c r="I270" i="34"/>
  <c r="AN270" i="34"/>
  <c r="AM270" i="35" s="1"/>
  <c r="AF270" i="34"/>
  <c r="X270" i="34"/>
  <c r="P270" i="34"/>
  <c r="AM270" i="34"/>
  <c r="AL270" i="35" s="1"/>
  <c r="AE270" i="34"/>
  <c r="W270" i="34"/>
  <c r="O270" i="34"/>
  <c r="AL270" i="34"/>
  <c r="AD270" i="34"/>
  <c r="V270" i="34"/>
  <c r="N270" i="34"/>
  <c r="AJ270" i="34"/>
  <c r="AB270" i="34"/>
  <c r="T270" i="34"/>
  <c r="L270" i="34"/>
  <c r="AP270" i="34"/>
  <c r="S270" i="34"/>
  <c r="AK270" i="34"/>
  <c r="R270" i="34"/>
  <c r="AI270" i="34"/>
  <c r="AH270" i="35" s="1"/>
  <c r="M270" i="34"/>
  <c r="AH270" i="34"/>
  <c r="K270" i="34"/>
  <c r="AC270" i="34"/>
  <c r="J270" i="34"/>
  <c r="AA270" i="34"/>
  <c r="Z270" i="34"/>
  <c r="U270" i="34"/>
  <c r="AO278" i="34"/>
  <c r="AG278" i="34"/>
  <c r="Y278" i="34"/>
  <c r="X278" i="35" s="1"/>
  <c r="Q278" i="34"/>
  <c r="I278" i="34"/>
  <c r="AN278" i="34"/>
  <c r="AF278" i="34"/>
  <c r="X278" i="34"/>
  <c r="W278" i="35" s="1"/>
  <c r="P278" i="34"/>
  <c r="AM278" i="34"/>
  <c r="AE278" i="34"/>
  <c r="W278" i="34"/>
  <c r="O278" i="34"/>
  <c r="AL278" i="34"/>
  <c r="AD278" i="34"/>
  <c r="V278" i="34"/>
  <c r="U278" i="35" s="1"/>
  <c r="N278" i="34"/>
  <c r="AJ278" i="34"/>
  <c r="AB278" i="34"/>
  <c r="T278" i="34"/>
  <c r="S278" i="35" s="1"/>
  <c r="L278" i="34"/>
  <c r="Z278" i="34"/>
  <c r="Y278" i="35" s="1"/>
  <c r="U278" i="34"/>
  <c r="AP278" i="34"/>
  <c r="S278" i="34"/>
  <c r="R278" i="35" s="1"/>
  <c r="AK278" i="34"/>
  <c r="R278" i="34"/>
  <c r="AI278" i="34"/>
  <c r="M278" i="34"/>
  <c r="AH278" i="34"/>
  <c r="K278" i="34"/>
  <c r="AC278" i="34"/>
  <c r="AA278" i="34"/>
  <c r="J278" i="34"/>
  <c r="AO286" i="34"/>
  <c r="AN591" i="31" s="1"/>
  <c r="AG286" i="34"/>
  <c r="Y286" i="34"/>
  <c r="Q286" i="34"/>
  <c r="I286" i="34"/>
  <c r="AN286" i="34"/>
  <c r="AM591" i="31" s="1"/>
  <c r="AF286" i="34"/>
  <c r="X286" i="34"/>
  <c r="P286" i="34"/>
  <c r="AM286" i="34"/>
  <c r="AL591" i="31" s="1"/>
  <c r="AE286" i="34"/>
  <c r="W286" i="34"/>
  <c r="O286" i="34"/>
  <c r="AL286" i="34"/>
  <c r="AK591" i="31" s="1"/>
  <c r="AD286" i="34"/>
  <c r="V286" i="34"/>
  <c r="N286" i="34"/>
  <c r="AJ286" i="34"/>
  <c r="AB286" i="34"/>
  <c r="T286" i="34"/>
  <c r="L286" i="34"/>
  <c r="AC286" i="34"/>
  <c r="J286" i="34"/>
  <c r="AA286" i="34"/>
  <c r="Z286" i="34"/>
  <c r="U286" i="34"/>
  <c r="AP286" i="34"/>
  <c r="AO591" i="31" s="1"/>
  <c r="S286" i="34"/>
  <c r="AK286" i="34"/>
  <c r="AJ591" i="31" s="1"/>
  <c r="R286" i="34"/>
  <c r="AI286" i="34"/>
  <c r="AH286" i="34"/>
  <c r="M286" i="34"/>
  <c r="K286" i="34"/>
  <c r="AP294" i="34"/>
  <c r="AO599" i="31" s="1"/>
  <c r="AH294" i="34"/>
  <c r="Z294" i="34"/>
  <c r="R294" i="34"/>
  <c r="J294" i="34"/>
  <c r="AO294" i="34"/>
  <c r="AN599" i="31" s="1"/>
  <c r="AG294" i="34"/>
  <c r="Y294" i="34"/>
  <c r="Q294" i="34"/>
  <c r="I294" i="34"/>
  <c r="AN294" i="34"/>
  <c r="AM599" i="31" s="1"/>
  <c r="AF294" i="34"/>
  <c r="X294" i="34"/>
  <c r="P294" i="34"/>
  <c r="AM294" i="34"/>
  <c r="AL599" i="31" s="1"/>
  <c r="AE294" i="34"/>
  <c r="W294" i="34"/>
  <c r="O294" i="34"/>
  <c r="AK294" i="34"/>
  <c r="AJ599" i="31" s="1"/>
  <c r="AC294" i="34"/>
  <c r="U294" i="34"/>
  <c r="M294" i="34"/>
  <c r="AJ294" i="34"/>
  <c r="AB294" i="34"/>
  <c r="T294" i="34"/>
  <c r="L294" i="34"/>
  <c r="S294" i="34"/>
  <c r="N294" i="34"/>
  <c r="K294" i="34"/>
  <c r="AL294" i="34"/>
  <c r="AK599" i="31" s="1"/>
  <c r="AD294" i="34"/>
  <c r="AI294" i="34"/>
  <c r="AA294" i="34"/>
  <c r="V294" i="34"/>
  <c r="AP302" i="34"/>
  <c r="AO607" i="31" s="1"/>
  <c r="AH302" i="34"/>
  <c r="Z302" i="34"/>
  <c r="R302" i="34"/>
  <c r="J302" i="34"/>
  <c r="AO302" i="34"/>
  <c r="AN607" i="31" s="1"/>
  <c r="AG302" i="34"/>
  <c r="Y302" i="34"/>
  <c r="Q302" i="34"/>
  <c r="I302" i="34"/>
  <c r="AN302" i="34"/>
  <c r="AM607" i="31" s="1"/>
  <c r="AF302" i="34"/>
  <c r="X302" i="34"/>
  <c r="P302" i="34"/>
  <c r="AM302" i="34"/>
  <c r="AL607" i="31" s="1"/>
  <c r="AE302" i="34"/>
  <c r="W302" i="34"/>
  <c r="O302" i="34"/>
  <c r="AL302" i="34"/>
  <c r="AK607" i="31" s="1"/>
  <c r="AD302" i="34"/>
  <c r="V302" i="34"/>
  <c r="N302" i="34"/>
  <c r="AK302" i="34"/>
  <c r="AJ607" i="31" s="1"/>
  <c r="AC302" i="34"/>
  <c r="U302" i="34"/>
  <c r="M302" i="34"/>
  <c r="AJ302" i="34"/>
  <c r="AB302" i="34"/>
  <c r="T302" i="34"/>
  <c r="L302" i="34"/>
  <c r="AI302" i="34"/>
  <c r="AA302" i="34"/>
  <c r="S302" i="34"/>
  <c r="K302" i="34"/>
  <c r="I10" i="34"/>
  <c r="Q10" i="34"/>
  <c r="Y10" i="34"/>
  <c r="AG10" i="34"/>
  <c r="AO10" i="34"/>
  <c r="AN315" i="31" s="1"/>
  <c r="O11" i="34"/>
  <c r="W11" i="34"/>
  <c r="AE11" i="34"/>
  <c r="AM11" i="34"/>
  <c r="AL316" i="31" s="1"/>
  <c r="I14" i="34"/>
  <c r="Q14" i="34"/>
  <c r="Y14" i="34"/>
  <c r="AG14" i="34"/>
  <c r="AO14" i="34"/>
  <c r="AN319" i="31" s="1"/>
  <c r="K17" i="34"/>
  <c r="S17" i="34"/>
  <c r="AA17" i="34"/>
  <c r="AI17" i="34"/>
  <c r="I18" i="34"/>
  <c r="Q18" i="34"/>
  <c r="Y18" i="34"/>
  <c r="AG18" i="34"/>
  <c r="AO18" i="34"/>
  <c r="O19" i="34"/>
  <c r="W19" i="34"/>
  <c r="AE19" i="34"/>
  <c r="AM19" i="34"/>
  <c r="I22" i="34"/>
  <c r="Q22" i="34"/>
  <c r="Y22" i="34"/>
  <c r="AG22" i="34"/>
  <c r="AO22" i="34"/>
  <c r="AN327" i="31" s="1"/>
  <c r="K25" i="34"/>
  <c r="S25" i="34"/>
  <c r="AA25" i="34"/>
  <c r="AI25" i="34"/>
  <c r="I26" i="34"/>
  <c r="Q26" i="34"/>
  <c r="Y26" i="34"/>
  <c r="AG26" i="34"/>
  <c r="AO26" i="34"/>
  <c r="O27" i="34"/>
  <c r="W27" i="34"/>
  <c r="AE27" i="34"/>
  <c r="AM27" i="34"/>
  <c r="I30" i="34"/>
  <c r="Q30" i="34"/>
  <c r="Y30" i="34"/>
  <c r="AG30" i="34"/>
  <c r="AO30" i="34"/>
  <c r="AN335" i="31" s="1"/>
  <c r="K33" i="34"/>
  <c r="S33" i="34"/>
  <c r="AA33" i="34"/>
  <c r="AI33" i="34"/>
  <c r="I34" i="34"/>
  <c r="Q34" i="34"/>
  <c r="Y34" i="34"/>
  <c r="AG34" i="34"/>
  <c r="AO34" i="34"/>
  <c r="O35" i="34"/>
  <c r="W35" i="34"/>
  <c r="V35" i="35" s="1"/>
  <c r="AE35" i="34"/>
  <c r="AD35" i="35" s="1"/>
  <c r="AM35" i="34"/>
  <c r="I38" i="34"/>
  <c r="Q38" i="34"/>
  <c r="Y38" i="34"/>
  <c r="X38" i="35" s="1"/>
  <c r="AG38" i="34"/>
  <c r="AF38" i="35" s="1"/>
  <c r="AO38" i="34"/>
  <c r="K41" i="34"/>
  <c r="S41" i="34"/>
  <c r="AA41" i="34"/>
  <c r="AI41" i="34"/>
  <c r="I42" i="34"/>
  <c r="Q42" i="34"/>
  <c r="Y42" i="34"/>
  <c r="AG42" i="34"/>
  <c r="AO42" i="34"/>
  <c r="O43" i="34"/>
  <c r="W43" i="34"/>
  <c r="AE43" i="34"/>
  <c r="AM43" i="34"/>
  <c r="N46" i="34"/>
  <c r="AD46" i="34"/>
  <c r="X49" i="34"/>
  <c r="V50" i="34"/>
  <c r="AL50" i="34"/>
  <c r="T51" i="34"/>
  <c r="AJ51" i="34"/>
  <c r="N54" i="34"/>
  <c r="AD54" i="34"/>
  <c r="X57" i="34"/>
  <c r="V58" i="34"/>
  <c r="AL58" i="34"/>
  <c r="T59" i="34"/>
  <c r="AJ59" i="34"/>
  <c r="N62" i="34"/>
  <c r="AD62" i="34"/>
  <c r="X65" i="34"/>
  <c r="V66" i="34"/>
  <c r="AL66" i="34"/>
  <c r="T67" i="34"/>
  <c r="AJ67" i="34"/>
  <c r="N70" i="34"/>
  <c r="AD70" i="34"/>
  <c r="X73" i="34"/>
  <c r="V74" i="34"/>
  <c r="AL74" i="34"/>
  <c r="T75" i="34"/>
  <c r="AJ75" i="34"/>
  <c r="N78" i="34"/>
  <c r="AD78" i="34"/>
  <c r="X81" i="34"/>
  <c r="V82" i="34"/>
  <c r="AL82" i="34"/>
  <c r="T83" i="34"/>
  <c r="AJ83" i="34"/>
  <c r="N86" i="34"/>
  <c r="AD86" i="34"/>
  <c r="X89" i="34"/>
  <c r="V90" i="34"/>
  <c r="AL90" i="34"/>
  <c r="T91" i="34"/>
  <c r="AJ91" i="34"/>
  <c r="N94" i="34"/>
  <c r="AD94" i="34"/>
  <c r="X97" i="34"/>
  <c r="V98" i="34"/>
  <c r="AL98" i="34"/>
  <c r="T99" i="34"/>
  <c r="AN99" i="34"/>
  <c r="V102" i="34"/>
  <c r="N106" i="34"/>
  <c r="AK106" i="34"/>
  <c r="X107" i="34"/>
  <c r="AC110" i="34"/>
  <c r="L115" i="34"/>
  <c r="AL118" i="34"/>
  <c r="L122" i="34"/>
  <c r="AG123" i="34"/>
  <c r="AF123" i="35" s="1"/>
  <c r="Y150" i="34"/>
  <c r="AI49" i="34"/>
  <c r="AA49" i="34"/>
  <c r="S49" i="34"/>
  <c r="K49" i="34"/>
  <c r="AP49" i="34"/>
  <c r="AH49" i="34"/>
  <c r="Z49" i="34"/>
  <c r="R49" i="34"/>
  <c r="J49" i="34"/>
  <c r="AO49" i="34"/>
  <c r="AG49" i="34"/>
  <c r="Y49" i="34"/>
  <c r="Q49" i="34"/>
  <c r="I49" i="34"/>
  <c r="AK49" i="34"/>
  <c r="AC49" i="34"/>
  <c r="U49" i="34"/>
  <c r="M49" i="34"/>
  <c r="AI57" i="34"/>
  <c r="AA57" i="34"/>
  <c r="S57" i="34"/>
  <c r="K57" i="34"/>
  <c r="AP57" i="34"/>
  <c r="AH57" i="34"/>
  <c r="Z57" i="34"/>
  <c r="R57" i="34"/>
  <c r="J57" i="34"/>
  <c r="AO57" i="34"/>
  <c r="AG57" i="34"/>
  <c r="Y57" i="34"/>
  <c r="Q57" i="34"/>
  <c r="I57" i="34"/>
  <c r="AK57" i="34"/>
  <c r="AC57" i="34"/>
  <c r="U57" i="34"/>
  <c r="M57" i="34"/>
  <c r="AI65" i="34"/>
  <c r="AA65" i="34"/>
  <c r="S65" i="34"/>
  <c r="K65" i="34"/>
  <c r="AP65" i="34"/>
  <c r="AH65" i="34"/>
  <c r="Z65" i="34"/>
  <c r="R65" i="34"/>
  <c r="J65" i="34"/>
  <c r="AO65" i="34"/>
  <c r="AG65" i="34"/>
  <c r="Y65" i="34"/>
  <c r="Q65" i="34"/>
  <c r="I65" i="34"/>
  <c r="AK65" i="34"/>
  <c r="AC65" i="34"/>
  <c r="U65" i="34"/>
  <c r="M65" i="34"/>
  <c r="AI73" i="34"/>
  <c r="AA73" i="34"/>
  <c r="S73" i="34"/>
  <c r="K73" i="34"/>
  <c r="AP73" i="34"/>
  <c r="AH73" i="34"/>
  <c r="Z73" i="34"/>
  <c r="R73" i="34"/>
  <c r="J73" i="34"/>
  <c r="AO73" i="34"/>
  <c r="AG73" i="34"/>
  <c r="Y73" i="34"/>
  <c r="Q73" i="34"/>
  <c r="I73" i="34"/>
  <c r="AK73" i="34"/>
  <c r="AC73" i="34"/>
  <c r="U73" i="34"/>
  <c r="M73" i="34"/>
  <c r="AI81" i="34"/>
  <c r="AA81" i="34"/>
  <c r="Z81" i="35" s="1"/>
  <c r="S81" i="34"/>
  <c r="K81" i="34"/>
  <c r="AP81" i="34"/>
  <c r="AH81" i="34"/>
  <c r="Z81" i="34"/>
  <c r="R81" i="34"/>
  <c r="J81" i="34"/>
  <c r="AO81" i="34"/>
  <c r="AG81" i="34"/>
  <c r="Y81" i="34"/>
  <c r="X81" i="35" s="1"/>
  <c r="Q81" i="34"/>
  <c r="I81" i="34"/>
  <c r="AK81" i="34"/>
  <c r="AC81" i="34"/>
  <c r="AB81" i="35" s="1"/>
  <c r="U81" i="34"/>
  <c r="T81" i="35" s="1"/>
  <c r="M81" i="34"/>
  <c r="AI89" i="34"/>
  <c r="AA89" i="34"/>
  <c r="S89" i="34"/>
  <c r="K89" i="34"/>
  <c r="AP89" i="34"/>
  <c r="AH89" i="34"/>
  <c r="Z89" i="34"/>
  <c r="R89" i="34"/>
  <c r="J89" i="34"/>
  <c r="AO89" i="34"/>
  <c r="AG89" i="34"/>
  <c r="Y89" i="34"/>
  <c r="Q89" i="34"/>
  <c r="I89" i="34"/>
  <c r="AK89" i="34"/>
  <c r="AC89" i="34"/>
  <c r="U89" i="34"/>
  <c r="M89" i="34"/>
  <c r="AI97" i="34"/>
  <c r="AA97" i="34"/>
  <c r="S97" i="34"/>
  <c r="K97" i="34"/>
  <c r="AP97" i="34"/>
  <c r="AH97" i="34"/>
  <c r="Z97" i="34"/>
  <c r="R97" i="34"/>
  <c r="J97" i="34"/>
  <c r="AO97" i="34"/>
  <c r="AG97" i="34"/>
  <c r="Y97" i="34"/>
  <c r="Q97" i="34"/>
  <c r="I97" i="34"/>
  <c r="AK97" i="34"/>
  <c r="AJ402" i="31" s="1"/>
  <c r="AC97" i="34"/>
  <c r="U97" i="34"/>
  <c r="M97" i="34"/>
  <c r="AI105" i="34"/>
  <c r="AH105" i="35" s="1"/>
  <c r="AA105" i="34"/>
  <c r="Z105" i="35" s="1"/>
  <c r="S105" i="34"/>
  <c r="K105" i="34"/>
  <c r="AP105" i="34"/>
  <c r="AH105" i="34"/>
  <c r="Z105" i="34"/>
  <c r="Y105" i="35" s="1"/>
  <c r="R105" i="34"/>
  <c r="J105" i="34"/>
  <c r="AO105" i="34"/>
  <c r="AG105" i="34"/>
  <c r="AF105" i="35" s="1"/>
  <c r="Y105" i="34"/>
  <c r="X105" i="35" s="1"/>
  <c r="Q105" i="34"/>
  <c r="I105" i="34"/>
  <c r="AL105" i="34"/>
  <c r="AK105" i="35" s="1"/>
  <c r="AD105" i="34"/>
  <c r="AC105" i="35" s="1"/>
  <c r="V105" i="34"/>
  <c r="U105" i="35" s="1"/>
  <c r="N105" i="34"/>
  <c r="AK105" i="34"/>
  <c r="AJ105" i="35" s="1"/>
  <c r="AC105" i="34"/>
  <c r="AB105" i="35" s="1"/>
  <c r="U105" i="34"/>
  <c r="T105" i="35" s="1"/>
  <c r="M105" i="34"/>
  <c r="AJ113" i="34"/>
  <c r="AB113" i="34"/>
  <c r="T113" i="34"/>
  <c r="L113" i="34"/>
  <c r="AI113" i="34"/>
  <c r="AA113" i="34"/>
  <c r="S113" i="34"/>
  <c r="K113" i="34"/>
  <c r="AP113" i="34"/>
  <c r="AH113" i="34"/>
  <c r="Z113" i="34"/>
  <c r="R113" i="34"/>
  <c r="J113" i="34"/>
  <c r="AO113" i="34"/>
  <c r="AG113" i="34"/>
  <c r="Y113" i="34"/>
  <c r="Q113" i="34"/>
  <c r="I113" i="34"/>
  <c r="AM113" i="34"/>
  <c r="W113" i="34"/>
  <c r="AL113" i="34"/>
  <c r="V113" i="34"/>
  <c r="AK113" i="34"/>
  <c r="U113" i="34"/>
  <c r="AD113" i="34"/>
  <c r="N113" i="34"/>
  <c r="AC113" i="34"/>
  <c r="M113" i="34"/>
  <c r="AM121" i="34"/>
  <c r="AE121" i="34"/>
  <c r="W121" i="34"/>
  <c r="O121" i="34"/>
  <c r="AJ121" i="34"/>
  <c r="AB121" i="34"/>
  <c r="T121" i="34"/>
  <c r="L121" i="34"/>
  <c r="AI121" i="34"/>
  <c r="AA121" i="34"/>
  <c r="S121" i="34"/>
  <c r="K121" i="34"/>
  <c r="AP121" i="34"/>
  <c r="AH121" i="34"/>
  <c r="Z121" i="34"/>
  <c r="R121" i="34"/>
  <c r="J121" i="34"/>
  <c r="AO121" i="34"/>
  <c r="AG121" i="34"/>
  <c r="Y121" i="34"/>
  <c r="Q121" i="34"/>
  <c r="I121" i="34"/>
  <c r="V121" i="34"/>
  <c r="AN121" i="34"/>
  <c r="U121" i="34"/>
  <c r="AL121" i="34"/>
  <c r="P121" i="34"/>
  <c r="AD121" i="34"/>
  <c r="AC121" i="34"/>
  <c r="AM129" i="34"/>
  <c r="AL129" i="35" s="1"/>
  <c r="AE129" i="34"/>
  <c r="AD129" i="35" s="1"/>
  <c r="W129" i="34"/>
  <c r="V129" i="35" s="1"/>
  <c r="O129" i="34"/>
  <c r="N129" i="35" s="1"/>
  <c r="AL129" i="34"/>
  <c r="AK129" i="35" s="1"/>
  <c r="AD129" i="34"/>
  <c r="AC129" i="35" s="1"/>
  <c r="V129" i="34"/>
  <c r="U129" i="35" s="1"/>
  <c r="N129" i="34"/>
  <c r="M129" i="35" s="1"/>
  <c r="AJ129" i="34"/>
  <c r="AI129" i="35" s="1"/>
  <c r="AB129" i="34"/>
  <c r="AA129" i="35" s="1"/>
  <c r="T129" i="34"/>
  <c r="S129" i="35" s="1"/>
  <c r="L129" i="34"/>
  <c r="K129" i="35" s="1"/>
  <c r="AI129" i="34"/>
  <c r="AH129" i="35" s="1"/>
  <c r="AA129" i="34"/>
  <c r="Z129" i="35" s="1"/>
  <c r="S129" i="34"/>
  <c r="R129" i="35" s="1"/>
  <c r="K129" i="34"/>
  <c r="AP129" i="34"/>
  <c r="AH129" i="34"/>
  <c r="AG129" i="35" s="1"/>
  <c r="Z129" i="34"/>
  <c r="Y129" i="35" s="1"/>
  <c r="R129" i="34"/>
  <c r="Q129" i="35" s="1"/>
  <c r="J129" i="34"/>
  <c r="AO129" i="34"/>
  <c r="AG129" i="34"/>
  <c r="AF129" i="35" s="1"/>
  <c r="Y129" i="34"/>
  <c r="X129" i="35" s="1"/>
  <c r="Q129" i="34"/>
  <c r="P129" i="35" s="1"/>
  <c r="I129" i="34"/>
  <c r="M129" i="34"/>
  <c r="L129" i="35" s="1"/>
  <c r="AN129" i="34"/>
  <c r="AM129" i="35" s="1"/>
  <c r="AK129" i="34"/>
  <c r="AJ129" i="35" s="1"/>
  <c r="X129" i="34"/>
  <c r="W129" i="35" s="1"/>
  <c r="U129" i="34"/>
  <c r="T129" i="35" s="1"/>
  <c r="AP137" i="34"/>
  <c r="AH137" i="34"/>
  <c r="Z137" i="34"/>
  <c r="R137" i="34"/>
  <c r="J137" i="34"/>
  <c r="AO137" i="34"/>
  <c r="AG137" i="34"/>
  <c r="Y137" i="34"/>
  <c r="Q137" i="34"/>
  <c r="I137" i="34"/>
  <c r="AN137" i="34"/>
  <c r="AF137" i="34"/>
  <c r="X137" i="34"/>
  <c r="P137" i="34"/>
  <c r="AM137" i="34"/>
  <c r="AE137" i="34"/>
  <c r="W137" i="34"/>
  <c r="O137" i="34"/>
  <c r="AL137" i="34"/>
  <c r="AD137" i="34"/>
  <c r="V137" i="34"/>
  <c r="N137" i="34"/>
  <c r="AK137" i="34"/>
  <c r="AC137" i="34"/>
  <c r="U137" i="34"/>
  <c r="M137" i="34"/>
  <c r="L137" i="34"/>
  <c r="K137" i="34"/>
  <c r="AI137" i="34"/>
  <c r="AB137" i="34"/>
  <c r="AA137" i="34"/>
  <c r="T137" i="34"/>
  <c r="AJ137" i="34"/>
  <c r="AP145" i="34"/>
  <c r="AH145" i="34"/>
  <c r="Z145" i="34"/>
  <c r="R145" i="34"/>
  <c r="J145" i="34"/>
  <c r="AO145" i="34"/>
  <c r="AG145" i="34"/>
  <c r="Y145" i="34"/>
  <c r="Q145" i="34"/>
  <c r="I145" i="34"/>
  <c r="AN145" i="34"/>
  <c r="AF145" i="34"/>
  <c r="X145" i="34"/>
  <c r="P145" i="34"/>
  <c r="AM145" i="34"/>
  <c r="AE145" i="34"/>
  <c r="W145" i="34"/>
  <c r="O145" i="34"/>
  <c r="AL145" i="34"/>
  <c r="AD145" i="34"/>
  <c r="V145" i="34"/>
  <c r="N145" i="34"/>
  <c r="AK145" i="34"/>
  <c r="AC145" i="34"/>
  <c r="U145" i="34"/>
  <c r="M145" i="34"/>
  <c r="AB145" i="34"/>
  <c r="AA145" i="34"/>
  <c r="S145" i="34"/>
  <c r="L145" i="34"/>
  <c r="K145" i="34"/>
  <c r="AJ145" i="34"/>
  <c r="AI145" i="34"/>
  <c r="T145" i="34"/>
  <c r="AP153" i="34"/>
  <c r="AH153" i="34"/>
  <c r="Z153" i="34"/>
  <c r="R153" i="34"/>
  <c r="J153" i="34"/>
  <c r="AO153" i="34"/>
  <c r="AG153" i="34"/>
  <c r="Y153" i="34"/>
  <c r="Q153" i="34"/>
  <c r="I153" i="34"/>
  <c r="AN153" i="34"/>
  <c r="AF153" i="34"/>
  <c r="X153" i="34"/>
  <c r="P153" i="34"/>
  <c r="AM153" i="34"/>
  <c r="AE153" i="34"/>
  <c r="W153" i="34"/>
  <c r="O153" i="34"/>
  <c r="AL153" i="34"/>
  <c r="AD153" i="34"/>
  <c r="V153" i="34"/>
  <c r="N153" i="34"/>
  <c r="AK153" i="34"/>
  <c r="AC153" i="34"/>
  <c r="U153" i="34"/>
  <c r="M153" i="34"/>
  <c r="L153" i="34"/>
  <c r="K153" i="34"/>
  <c r="AI153" i="34"/>
  <c r="AB153" i="34"/>
  <c r="AA153" i="34"/>
  <c r="T153" i="34"/>
  <c r="S153" i="34"/>
  <c r="AP161" i="34"/>
  <c r="AH161" i="34"/>
  <c r="Z161" i="34"/>
  <c r="R161" i="34"/>
  <c r="J161" i="34"/>
  <c r="AO161" i="34"/>
  <c r="AG161" i="34"/>
  <c r="Y161" i="34"/>
  <c r="X161" i="35" s="1"/>
  <c r="Q161" i="34"/>
  <c r="I161" i="34"/>
  <c r="AN161" i="34"/>
  <c r="AF161" i="34"/>
  <c r="X161" i="34"/>
  <c r="P161" i="34"/>
  <c r="AM161" i="34"/>
  <c r="AE161" i="34"/>
  <c r="W161" i="34"/>
  <c r="V161" i="35" s="1"/>
  <c r="O161" i="34"/>
  <c r="AL161" i="34"/>
  <c r="AD161" i="34"/>
  <c r="V161" i="34"/>
  <c r="N161" i="34"/>
  <c r="AK161" i="34"/>
  <c r="AC161" i="34"/>
  <c r="AB161" i="35" s="1"/>
  <c r="U161" i="34"/>
  <c r="M161" i="34"/>
  <c r="AB161" i="34"/>
  <c r="AA161" i="35" s="1"/>
  <c r="AA161" i="34"/>
  <c r="Z161" i="35" s="1"/>
  <c r="S161" i="34"/>
  <c r="L161" i="34"/>
  <c r="K161" i="34"/>
  <c r="AJ161" i="34"/>
  <c r="AP169" i="34"/>
  <c r="AH169" i="34"/>
  <c r="Z169" i="34"/>
  <c r="R169" i="34"/>
  <c r="J169" i="34"/>
  <c r="AO169" i="34"/>
  <c r="AG169" i="34"/>
  <c r="Y169" i="34"/>
  <c r="Q169" i="34"/>
  <c r="I169" i="34"/>
  <c r="AN169" i="34"/>
  <c r="AF169" i="34"/>
  <c r="X169" i="34"/>
  <c r="P169" i="34"/>
  <c r="AM169" i="34"/>
  <c r="AE169" i="34"/>
  <c r="W169" i="34"/>
  <c r="O169" i="34"/>
  <c r="AL169" i="34"/>
  <c r="AD169" i="34"/>
  <c r="V169" i="34"/>
  <c r="N169" i="34"/>
  <c r="AK169" i="34"/>
  <c r="AC169" i="34"/>
  <c r="U169" i="34"/>
  <c r="M169" i="34"/>
  <c r="L169" i="34"/>
  <c r="K169" i="34"/>
  <c r="AI169" i="34"/>
  <c r="AB169" i="34"/>
  <c r="AA169" i="34"/>
  <c r="T169" i="34"/>
  <c r="AJ169" i="34"/>
  <c r="AP177" i="34"/>
  <c r="AH177" i="34"/>
  <c r="Z177" i="34"/>
  <c r="R177" i="34"/>
  <c r="J177" i="34"/>
  <c r="AO177" i="34"/>
  <c r="AG177" i="34"/>
  <c r="Y177" i="34"/>
  <c r="Q177" i="34"/>
  <c r="I177" i="34"/>
  <c r="AN177" i="34"/>
  <c r="AF177" i="34"/>
  <c r="X177" i="34"/>
  <c r="P177" i="34"/>
  <c r="AM177" i="34"/>
  <c r="AE177" i="34"/>
  <c r="W177" i="34"/>
  <c r="O177" i="34"/>
  <c r="AL177" i="34"/>
  <c r="AD177" i="34"/>
  <c r="V177" i="34"/>
  <c r="N177" i="34"/>
  <c r="AK177" i="34"/>
  <c r="AC177" i="34"/>
  <c r="U177" i="34"/>
  <c r="M177" i="34"/>
  <c r="AB177" i="34"/>
  <c r="AA177" i="34"/>
  <c r="S177" i="34"/>
  <c r="L177" i="34"/>
  <c r="K177" i="34"/>
  <c r="AJ177" i="34"/>
  <c r="AI177" i="34"/>
  <c r="T177" i="34"/>
  <c r="AP185" i="34"/>
  <c r="AH185" i="34"/>
  <c r="Z185" i="34"/>
  <c r="R185" i="34"/>
  <c r="J185" i="34"/>
  <c r="AO185" i="34"/>
  <c r="AG185" i="34"/>
  <c r="Y185" i="34"/>
  <c r="Q185" i="34"/>
  <c r="I185" i="34"/>
  <c r="AN185" i="34"/>
  <c r="AF185" i="34"/>
  <c r="X185" i="34"/>
  <c r="P185" i="34"/>
  <c r="AM185" i="34"/>
  <c r="AE185" i="34"/>
  <c r="W185" i="34"/>
  <c r="O185" i="34"/>
  <c r="AL185" i="34"/>
  <c r="AD185" i="34"/>
  <c r="V185" i="34"/>
  <c r="N185" i="34"/>
  <c r="AK185" i="34"/>
  <c r="AC185" i="34"/>
  <c r="U185" i="34"/>
  <c r="M185" i="34"/>
  <c r="L185" i="34"/>
  <c r="K185" i="34"/>
  <c r="AI185" i="34"/>
  <c r="AB185" i="34"/>
  <c r="AA185" i="34"/>
  <c r="T185" i="34"/>
  <c r="AJ185" i="34"/>
  <c r="S185" i="34"/>
  <c r="AP193" i="34"/>
  <c r="AH193" i="34"/>
  <c r="AG193" i="35" s="1"/>
  <c r="Z193" i="34"/>
  <c r="Y193" i="35" s="1"/>
  <c r="R193" i="34"/>
  <c r="Q193" i="35" s="1"/>
  <c r="J193" i="34"/>
  <c r="AO193" i="34"/>
  <c r="AG193" i="34"/>
  <c r="AF193" i="35" s="1"/>
  <c r="Y193" i="34"/>
  <c r="X193" i="35" s="1"/>
  <c r="Q193" i="34"/>
  <c r="P193" i="35" s="1"/>
  <c r="I193" i="34"/>
  <c r="AN193" i="34"/>
  <c r="AM193" i="35" s="1"/>
  <c r="AF193" i="34"/>
  <c r="AE193" i="35" s="1"/>
  <c r="X193" i="34"/>
  <c r="W193" i="35" s="1"/>
  <c r="P193" i="34"/>
  <c r="O193" i="35" s="1"/>
  <c r="AM193" i="34"/>
  <c r="AL193" i="35" s="1"/>
  <c r="AE193" i="34"/>
  <c r="AD193" i="35" s="1"/>
  <c r="W193" i="34"/>
  <c r="V193" i="35" s="1"/>
  <c r="O193" i="34"/>
  <c r="N193" i="35" s="1"/>
  <c r="AL193" i="34"/>
  <c r="AK193" i="35" s="1"/>
  <c r="AD193" i="34"/>
  <c r="AC193" i="35" s="1"/>
  <c r="V193" i="34"/>
  <c r="U193" i="35" s="1"/>
  <c r="N193" i="34"/>
  <c r="M193" i="35" s="1"/>
  <c r="AK193" i="34"/>
  <c r="AJ193" i="35" s="1"/>
  <c r="AC193" i="34"/>
  <c r="AB193" i="35" s="1"/>
  <c r="U193" i="34"/>
  <c r="T193" i="35" s="1"/>
  <c r="M193" i="34"/>
  <c r="AB193" i="34"/>
  <c r="AA193" i="35" s="1"/>
  <c r="AA193" i="34"/>
  <c r="Z193" i="35" s="1"/>
  <c r="S193" i="34"/>
  <c r="R193" i="35" s="1"/>
  <c r="L193" i="34"/>
  <c r="K193" i="34"/>
  <c r="AJ193" i="34"/>
  <c r="AI193" i="35" s="1"/>
  <c r="T193" i="34"/>
  <c r="S193" i="35" s="1"/>
  <c r="AK201" i="34"/>
  <c r="AC201" i="34"/>
  <c r="U201" i="34"/>
  <c r="M201" i="34"/>
  <c r="AJ201" i="34"/>
  <c r="AB201" i="34"/>
  <c r="T201" i="34"/>
  <c r="L201" i="34"/>
  <c r="AI201" i="34"/>
  <c r="AA201" i="34"/>
  <c r="AN201" i="34"/>
  <c r="AF201" i="34"/>
  <c r="X201" i="34"/>
  <c r="P201" i="34"/>
  <c r="AE201" i="34"/>
  <c r="Q201" i="34"/>
  <c r="AD201" i="34"/>
  <c r="O201" i="34"/>
  <c r="AP201" i="34"/>
  <c r="Z201" i="34"/>
  <c r="N201" i="34"/>
  <c r="AO201" i="34"/>
  <c r="Y201" i="34"/>
  <c r="K201" i="34"/>
  <c r="AM201" i="34"/>
  <c r="W201" i="34"/>
  <c r="J201" i="34"/>
  <c r="AL201" i="34"/>
  <c r="V201" i="34"/>
  <c r="I201" i="34"/>
  <c r="AG201" i="34"/>
  <c r="S201" i="34"/>
  <c r="R201" i="34"/>
  <c r="AH201" i="34"/>
  <c r="AK209" i="34"/>
  <c r="AC209" i="34"/>
  <c r="U209" i="34"/>
  <c r="M209" i="34"/>
  <c r="AJ209" i="34"/>
  <c r="AB209" i="34"/>
  <c r="T209" i="34"/>
  <c r="S209" i="35" s="1"/>
  <c r="L209" i="34"/>
  <c r="AI209" i="34"/>
  <c r="AA209" i="34"/>
  <c r="S209" i="34"/>
  <c r="K209" i="34"/>
  <c r="AP209" i="34"/>
  <c r="AH209" i="34"/>
  <c r="Z209" i="34"/>
  <c r="R209" i="34"/>
  <c r="J209" i="34"/>
  <c r="AO209" i="34"/>
  <c r="AG209" i="34"/>
  <c r="Y209" i="34"/>
  <c r="Q209" i="34"/>
  <c r="P209" i="35" s="1"/>
  <c r="I209" i="34"/>
  <c r="AN209" i="34"/>
  <c r="AF209" i="34"/>
  <c r="X209" i="34"/>
  <c r="P209" i="34"/>
  <c r="W209" i="34"/>
  <c r="V209" i="34"/>
  <c r="U209" i="35" s="1"/>
  <c r="O209" i="34"/>
  <c r="N209" i="34"/>
  <c r="AM209" i="34"/>
  <c r="AL209" i="34"/>
  <c r="AE209" i="34"/>
  <c r="AD209" i="34"/>
  <c r="AK217" i="34"/>
  <c r="AC217" i="34"/>
  <c r="U217" i="34"/>
  <c r="M217" i="34"/>
  <c r="AJ217" i="34"/>
  <c r="AB217" i="34"/>
  <c r="T217" i="34"/>
  <c r="L217" i="34"/>
  <c r="AI217" i="34"/>
  <c r="AA217" i="34"/>
  <c r="S217" i="34"/>
  <c r="R217" i="35" s="1"/>
  <c r="K217" i="34"/>
  <c r="AP217" i="34"/>
  <c r="AH217" i="34"/>
  <c r="Z217" i="34"/>
  <c r="R217" i="34"/>
  <c r="J217" i="34"/>
  <c r="AO217" i="34"/>
  <c r="AG217" i="34"/>
  <c r="Y217" i="34"/>
  <c r="Q217" i="34"/>
  <c r="P217" i="35" s="1"/>
  <c r="I217" i="34"/>
  <c r="AN217" i="34"/>
  <c r="AF217" i="34"/>
  <c r="X217" i="34"/>
  <c r="P217" i="34"/>
  <c r="O217" i="35" s="1"/>
  <c r="AM217" i="34"/>
  <c r="AL217" i="34"/>
  <c r="AE217" i="34"/>
  <c r="AD217" i="34"/>
  <c r="W217" i="34"/>
  <c r="V217" i="34"/>
  <c r="O217" i="34"/>
  <c r="N217" i="35" s="1"/>
  <c r="N217" i="34"/>
  <c r="AK225" i="34"/>
  <c r="AC225" i="34"/>
  <c r="AB225" i="35" s="1"/>
  <c r="U225" i="34"/>
  <c r="T225" i="35" s="1"/>
  <c r="M225" i="34"/>
  <c r="L225" i="35" s="1"/>
  <c r="AJ225" i="34"/>
  <c r="AI225" i="35" s="1"/>
  <c r="AB225" i="34"/>
  <c r="AA225" i="35" s="1"/>
  <c r="T225" i="34"/>
  <c r="S225" i="35" s="1"/>
  <c r="L225" i="34"/>
  <c r="AI225" i="34"/>
  <c r="AA225" i="34"/>
  <c r="Z225" i="35" s="1"/>
  <c r="S225" i="34"/>
  <c r="R225" i="35" s="1"/>
  <c r="K225" i="34"/>
  <c r="AP225" i="34"/>
  <c r="AH225" i="34"/>
  <c r="AG225" i="35" s="1"/>
  <c r="Z225" i="34"/>
  <c r="Y225" i="35" s="1"/>
  <c r="R225" i="34"/>
  <c r="Q225" i="35" s="1"/>
  <c r="J225" i="34"/>
  <c r="AO225" i="34"/>
  <c r="AG225" i="34"/>
  <c r="AF225" i="35" s="1"/>
  <c r="Y225" i="34"/>
  <c r="X225" i="35" s="1"/>
  <c r="Q225" i="34"/>
  <c r="P225" i="35" s="1"/>
  <c r="I225" i="34"/>
  <c r="AN225" i="34"/>
  <c r="AM225" i="35" s="1"/>
  <c r="AF225" i="34"/>
  <c r="AE225" i="35" s="1"/>
  <c r="X225" i="34"/>
  <c r="W225" i="35" s="1"/>
  <c r="P225" i="34"/>
  <c r="O225" i="35" s="1"/>
  <c r="W225" i="34"/>
  <c r="V225" i="35" s="1"/>
  <c r="V225" i="34"/>
  <c r="U225" i="35" s="1"/>
  <c r="O225" i="34"/>
  <c r="N225" i="35" s="1"/>
  <c r="N225" i="34"/>
  <c r="M225" i="35" s="1"/>
  <c r="AM225" i="34"/>
  <c r="AL225" i="35" s="1"/>
  <c r="AL225" i="34"/>
  <c r="AK225" i="35" s="1"/>
  <c r="AE225" i="34"/>
  <c r="AD225" i="35" s="1"/>
  <c r="AD225" i="34"/>
  <c r="AC225" i="35" s="1"/>
  <c r="AO233" i="34"/>
  <c r="AG233" i="34"/>
  <c r="Y233" i="34"/>
  <c r="Q233" i="34"/>
  <c r="I233" i="34"/>
  <c r="AH233" i="34"/>
  <c r="X233" i="34"/>
  <c r="O233" i="34"/>
  <c r="AP233" i="34"/>
  <c r="AF233" i="34"/>
  <c r="W233" i="34"/>
  <c r="N233" i="34"/>
  <c r="AN233" i="34"/>
  <c r="AE233" i="34"/>
  <c r="V233" i="34"/>
  <c r="M233" i="34"/>
  <c r="AM233" i="34"/>
  <c r="AD233" i="34"/>
  <c r="U233" i="34"/>
  <c r="L233" i="34"/>
  <c r="AL233" i="34"/>
  <c r="AC233" i="34"/>
  <c r="T233" i="34"/>
  <c r="K233" i="34"/>
  <c r="AK233" i="34"/>
  <c r="AB233" i="34"/>
  <c r="S233" i="34"/>
  <c r="J233" i="34"/>
  <c r="AJ233" i="34"/>
  <c r="AI233" i="34"/>
  <c r="AA233" i="34"/>
  <c r="Z233" i="34"/>
  <c r="R233" i="34"/>
  <c r="P233" i="34"/>
  <c r="AO241" i="34"/>
  <c r="AG241" i="34"/>
  <c r="Y241" i="34"/>
  <c r="Q241" i="34"/>
  <c r="I241" i="34"/>
  <c r="AN241" i="34"/>
  <c r="AF241" i="34"/>
  <c r="X241" i="34"/>
  <c r="P241" i="34"/>
  <c r="AM241" i="34"/>
  <c r="AE241" i="34"/>
  <c r="W241" i="34"/>
  <c r="O241" i="34"/>
  <c r="AL241" i="34"/>
  <c r="AD241" i="34"/>
  <c r="V241" i="34"/>
  <c r="N241" i="34"/>
  <c r="AP241" i="34"/>
  <c r="Z241" i="34"/>
  <c r="J241" i="34"/>
  <c r="AK241" i="34"/>
  <c r="U241" i="34"/>
  <c r="AJ241" i="34"/>
  <c r="T241" i="34"/>
  <c r="AI241" i="34"/>
  <c r="S241" i="34"/>
  <c r="AH241" i="34"/>
  <c r="R241" i="34"/>
  <c r="AC241" i="34"/>
  <c r="M241" i="34"/>
  <c r="AB241" i="34"/>
  <c r="AA241" i="34"/>
  <c r="L241" i="34"/>
  <c r="K241" i="34"/>
  <c r="AO249" i="34"/>
  <c r="AN554" i="31" s="1"/>
  <c r="AG249" i="34"/>
  <c r="Y249" i="34"/>
  <c r="Q249" i="34"/>
  <c r="I249" i="34"/>
  <c r="AN249" i="34"/>
  <c r="AM554" i="31" s="1"/>
  <c r="AF249" i="34"/>
  <c r="X249" i="34"/>
  <c r="P249" i="34"/>
  <c r="AM249" i="34"/>
  <c r="AL554" i="31" s="1"/>
  <c r="AE249" i="34"/>
  <c r="W249" i="34"/>
  <c r="O249" i="34"/>
  <c r="AL249" i="34"/>
  <c r="AK554" i="31" s="1"/>
  <c r="AD249" i="34"/>
  <c r="V249" i="34"/>
  <c r="N249" i="34"/>
  <c r="AK249" i="34"/>
  <c r="AJ554" i="31" s="1"/>
  <c r="AC249" i="34"/>
  <c r="U249" i="34"/>
  <c r="M249" i="34"/>
  <c r="AA249" i="34"/>
  <c r="Z249" i="34"/>
  <c r="T249" i="34"/>
  <c r="AP249" i="34"/>
  <c r="AO554" i="31" s="1"/>
  <c r="S249" i="34"/>
  <c r="AJ249" i="34"/>
  <c r="R249" i="34"/>
  <c r="AI249" i="34"/>
  <c r="L249" i="34"/>
  <c r="AH249" i="34"/>
  <c r="AB249" i="34"/>
  <c r="K249" i="34"/>
  <c r="J249" i="34"/>
  <c r="AI257" i="34"/>
  <c r="AA257" i="34"/>
  <c r="S257" i="34"/>
  <c r="K257" i="34"/>
  <c r="AP257" i="34"/>
  <c r="AO562" i="31" s="1"/>
  <c r="AH257" i="34"/>
  <c r="Z257" i="34"/>
  <c r="R257" i="34"/>
  <c r="J257" i="34"/>
  <c r="AO257" i="34"/>
  <c r="AN562" i="31" s="1"/>
  <c r="AG257" i="34"/>
  <c r="Y257" i="34"/>
  <c r="Q257" i="34"/>
  <c r="I257" i="34"/>
  <c r="AN257" i="34"/>
  <c r="AM562" i="31" s="1"/>
  <c r="AF257" i="34"/>
  <c r="X257" i="34"/>
  <c r="P257" i="34"/>
  <c r="AL257" i="34"/>
  <c r="AK562" i="31" s="1"/>
  <c r="AD257" i="34"/>
  <c r="V257" i="34"/>
  <c r="N257" i="34"/>
  <c r="AJ257" i="34"/>
  <c r="M257" i="34"/>
  <c r="AE257" i="34"/>
  <c r="L257" i="34"/>
  <c r="AC257" i="34"/>
  <c r="AB257" i="34"/>
  <c r="W257" i="34"/>
  <c r="AM257" i="34"/>
  <c r="AL562" i="31" s="1"/>
  <c r="AK257" i="34"/>
  <c r="AJ562" i="31" s="1"/>
  <c r="U257" i="34"/>
  <c r="T257" i="34"/>
  <c r="O257" i="34"/>
  <c r="AI265" i="34"/>
  <c r="AA265" i="34"/>
  <c r="S265" i="34"/>
  <c r="K265" i="34"/>
  <c r="AP265" i="34"/>
  <c r="AH265" i="34"/>
  <c r="Z265" i="34"/>
  <c r="R265" i="34"/>
  <c r="J265" i="34"/>
  <c r="AO265" i="34"/>
  <c r="AG265" i="34"/>
  <c r="Y265" i="34"/>
  <c r="Q265" i="34"/>
  <c r="I265" i="34"/>
  <c r="AN265" i="34"/>
  <c r="AF265" i="34"/>
  <c r="X265" i="34"/>
  <c r="P265" i="34"/>
  <c r="AL265" i="34"/>
  <c r="AD265" i="34"/>
  <c r="V265" i="34"/>
  <c r="N265" i="34"/>
  <c r="AM265" i="34"/>
  <c r="T265" i="34"/>
  <c r="AK265" i="34"/>
  <c r="O265" i="34"/>
  <c r="AJ265" i="34"/>
  <c r="M265" i="34"/>
  <c r="AE265" i="34"/>
  <c r="L265" i="34"/>
  <c r="AC265" i="34"/>
  <c r="AB265" i="34"/>
  <c r="W265" i="34"/>
  <c r="U265" i="34"/>
  <c r="AI273" i="34"/>
  <c r="AA273" i="34"/>
  <c r="S273" i="34"/>
  <c r="K273" i="34"/>
  <c r="AP273" i="34"/>
  <c r="AO578" i="31" s="1"/>
  <c r="AH273" i="34"/>
  <c r="Z273" i="34"/>
  <c r="R273" i="34"/>
  <c r="J273" i="34"/>
  <c r="AO273" i="34"/>
  <c r="AN578" i="31" s="1"/>
  <c r="AG273" i="34"/>
  <c r="Y273" i="34"/>
  <c r="Q273" i="34"/>
  <c r="I273" i="34"/>
  <c r="AN273" i="34"/>
  <c r="AM578" i="31" s="1"/>
  <c r="AF273" i="34"/>
  <c r="X273" i="34"/>
  <c r="P273" i="34"/>
  <c r="AL273" i="34"/>
  <c r="AK578" i="31" s="1"/>
  <c r="AD273" i="34"/>
  <c r="V273" i="34"/>
  <c r="N273" i="34"/>
  <c r="W273" i="34"/>
  <c r="U273" i="34"/>
  <c r="AM273" i="34"/>
  <c r="AL578" i="31" s="1"/>
  <c r="T273" i="34"/>
  <c r="AK273" i="34"/>
  <c r="AJ578" i="31" s="1"/>
  <c r="O273" i="34"/>
  <c r="AJ273" i="34"/>
  <c r="M273" i="34"/>
  <c r="AE273" i="34"/>
  <c r="L273" i="34"/>
  <c r="AC273" i="34"/>
  <c r="AB273" i="34"/>
  <c r="AI281" i="34"/>
  <c r="AA281" i="34"/>
  <c r="S281" i="34"/>
  <c r="K281" i="34"/>
  <c r="AP281" i="34"/>
  <c r="AO586" i="31" s="1"/>
  <c r="AH281" i="34"/>
  <c r="Z281" i="34"/>
  <c r="R281" i="34"/>
  <c r="J281" i="34"/>
  <c r="AO281" i="34"/>
  <c r="AN586" i="31" s="1"/>
  <c r="AG281" i="34"/>
  <c r="Y281" i="34"/>
  <c r="Q281" i="34"/>
  <c r="I281" i="34"/>
  <c r="AN281" i="34"/>
  <c r="AM586" i="31" s="1"/>
  <c r="AF281" i="34"/>
  <c r="X281" i="34"/>
  <c r="P281" i="34"/>
  <c r="AL281" i="34"/>
  <c r="AK586" i="31" s="1"/>
  <c r="AD281" i="34"/>
  <c r="V281" i="34"/>
  <c r="N281" i="34"/>
  <c r="AC281" i="34"/>
  <c r="AB281" i="34"/>
  <c r="W281" i="34"/>
  <c r="U281" i="34"/>
  <c r="AM281" i="34"/>
  <c r="AL586" i="31" s="1"/>
  <c r="T281" i="34"/>
  <c r="AK281" i="34"/>
  <c r="AJ586" i="31" s="1"/>
  <c r="O281" i="34"/>
  <c r="AJ281" i="34"/>
  <c r="AE281" i="34"/>
  <c r="M281" i="34"/>
  <c r="L281" i="34"/>
  <c r="AJ289" i="34"/>
  <c r="AB289" i="34"/>
  <c r="T289" i="34"/>
  <c r="L289" i="34"/>
  <c r="AI289" i="34"/>
  <c r="AA289" i="34"/>
  <c r="S289" i="34"/>
  <c r="K289" i="34"/>
  <c r="AP289" i="34"/>
  <c r="AH289" i="34"/>
  <c r="Z289" i="34"/>
  <c r="R289" i="34"/>
  <c r="J289" i="34"/>
  <c r="AO289" i="34"/>
  <c r="AG289" i="34"/>
  <c r="Y289" i="34"/>
  <c r="Q289" i="34"/>
  <c r="I289" i="34"/>
  <c r="AM289" i="34"/>
  <c r="AE289" i="34"/>
  <c r="W289" i="34"/>
  <c r="O289" i="34"/>
  <c r="AL289" i="34"/>
  <c r="AD289" i="34"/>
  <c r="V289" i="34"/>
  <c r="N289" i="34"/>
  <c r="AC289" i="34"/>
  <c r="X289" i="34"/>
  <c r="U289" i="34"/>
  <c r="P289" i="34"/>
  <c r="AN289" i="34"/>
  <c r="AK289" i="34"/>
  <c r="AF289" i="34"/>
  <c r="M289" i="34"/>
  <c r="AJ297" i="34"/>
  <c r="AB297" i="34"/>
  <c r="T297" i="34"/>
  <c r="L297" i="34"/>
  <c r="AI297" i="34"/>
  <c r="AA297" i="34"/>
  <c r="S297" i="34"/>
  <c r="K297" i="34"/>
  <c r="AP297" i="34"/>
  <c r="AH297" i="34"/>
  <c r="Z297" i="34"/>
  <c r="R297" i="34"/>
  <c r="J297" i="34"/>
  <c r="AO297" i="34"/>
  <c r="AG297" i="34"/>
  <c r="Y297" i="34"/>
  <c r="Q297" i="34"/>
  <c r="I297" i="34"/>
  <c r="AN297" i="34"/>
  <c r="AF297" i="34"/>
  <c r="X297" i="34"/>
  <c r="P297" i="34"/>
  <c r="AM297" i="34"/>
  <c r="AE297" i="34"/>
  <c r="W297" i="34"/>
  <c r="O297" i="34"/>
  <c r="AL297" i="34"/>
  <c r="AD297" i="34"/>
  <c r="V297" i="34"/>
  <c r="N297" i="34"/>
  <c r="U297" i="34"/>
  <c r="M297" i="34"/>
  <c r="AK297" i="34"/>
  <c r="AC297" i="34"/>
  <c r="AJ305" i="34"/>
  <c r="AB305" i="34"/>
  <c r="T305" i="34"/>
  <c r="L305" i="34"/>
  <c r="AI305" i="34"/>
  <c r="AA305" i="34"/>
  <c r="S305" i="34"/>
  <c r="K305" i="34"/>
  <c r="AP305" i="34"/>
  <c r="AO610" i="31" s="1"/>
  <c r="AH305" i="34"/>
  <c r="Z305" i="34"/>
  <c r="R305" i="34"/>
  <c r="J305" i="34"/>
  <c r="AO305" i="34"/>
  <c r="AN610" i="31" s="1"/>
  <c r="AG305" i="34"/>
  <c r="Y305" i="34"/>
  <c r="Q305" i="34"/>
  <c r="I305" i="34"/>
  <c r="AN305" i="34"/>
  <c r="AM610" i="31" s="1"/>
  <c r="AF305" i="34"/>
  <c r="X305" i="34"/>
  <c r="P305" i="34"/>
  <c r="AM305" i="34"/>
  <c r="AL610" i="31" s="1"/>
  <c r="AE305" i="34"/>
  <c r="W305" i="34"/>
  <c r="O305" i="34"/>
  <c r="AL305" i="34"/>
  <c r="AK610" i="31" s="1"/>
  <c r="AD305" i="34"/>
  <c r="V305" i="34"/>
  <c r="N305" i="34"/>
  <c r="AC305" i="34"/>
  <c r="AK305" i="34"/>
  <c r="AJ610" i="31" s="1"/>
  <c r="U305" i="34"/>
  <c r="M305" i="34"/>
  <c r="L10" i="34"/>
  <c r="T10" i="34"/>
  <c r="AB10" i="34"/>
  <c r="AJ10" i="34"/>
  <c r="J11" i="34"/>
  <c r="R11" i="34"/>
  <c r="Z11" i="34"/>
  <c r="AH11" i="34"/>
  <c r="AP11" i="34"/>
  <c r="AO316" i="31" s="1"/>
  <c r="L14" i="34"/>
  <c r="T14" i="34"/>
  <c r="AB14" i="34"/>
  <c r="AJ14" i="34"/>
  <c r="N17" i="34"/>
  <c r="V17" i="34"/>
  <c r="U17" i="35" s="1"/>
  <c r="AD17" i="34"/>
  <c r="AL17" i="34"/>
  <c r="L18" i="34"/>
  <c r="T18" i="34"/>
  <c r="AB18" i="34"/>
  <c r="AJ18" i="34"/>
  <c r="J19" i="34"/>
  <c r="R19" i="34"/>
  <c r="Z19" i="34"/>
  <c r="AH19" i="34"/>
  <c r="AP19" i="34"/>
  <c r="L22" i="34"/>
  <c r="T22" i="34"/>
  <c r="AB22" i="34"/>
  <c r="AJ22" i="34"/>
  <c r="N25" i="34"/>
  <c r="V25" i="34"/>
  <c r="AD25" i="34"/>
  <c r="AL25" i="34"/>
  <c r="AK330" i="31" s="1"/>
  <c r="L26" i="34"/>
  <c r="T26" i="34"/>
  <c r="AB26" i="34"/>
  <c r="AJ26" i="34"/>
  <c r="J27" i="34"/>
  <c r="R27" i="34"/>
  <c r="Z27" i="34"/>
  <c r="AH27" i="34"/>
  <c r="AP27" i="34"/>
  <c r="L30" i="34"/>
  <c r="T30" i="34"/>
  <c r="AB30" i="34"/>
  <c r="AJ30" i="34"/>
  <c r="N33" i="34"/>
  <c r="V33" i="34"/>
  <c r="AD33" i="34"/>
  <c r="AL33" i="34"/>
  <c r="AK338" i="31" s="1"/>
  <c r="L34" i="34"/>
  <c r="K34" i="35" s="1"/>
  <c r="T34" i="34"/>
  <c r="AB34" i="34"/>
  <c r="AJ34" i="34"/>
  <c r="J35" i="34"/>
  <c r="R35" i="34"/>
  <c r="Z35" i="34"/>
  <c r="Y35" i="35" s="1"/>
  <c r="AH35" i="34"/>
  <c r="AP35" i="34"/>
  <c r="L38" i="34"/>
  <c r="T38" i="34"/>
  <c r="AB38" i="34"/>
  <c r="AA38" i="35" s="1"/>
  <c r="AJ38" i="34"/>
  <c r="AI38" i="35" s="1"/>
  <c r="N41" i="34"/>
  <c r="V41" i="34"/>
  <c r="AD41" i="34"/>
  <c r="AL41" i="34"/>
  <c r="L42" i="34"/>
  <c r="T42" i="34"/>
  <c r="AB42" i="34"/>
  <c r="AJ42" i="34"/>
  <c r="J43" i="34"/>
  <c r="R43" i="34"/>
  <c r="Z43" i="34"/>
  <c r="AH43" i="34"/>
  <c r="AP43" i="34"/>
  <c r="U46" i="34"/>
  <c r="AK46" i="34"/>
  <c r="O49" i="34"/>
  <c r="AE49" i="34"/>
  <c r="M50" i="34"/>
  <c r="K51" i="34"/>
  <c r="AA51" i="34"/>
  <c r="U54" i="34"/>
  <c r="AK54" i="34"/>
  <c r="O57" i="34"/>
  <c r="AE57" i="34"/>
  <c r="M58" i="34"/>
  <c r="K59" i="34"/>
  <c r="AA59" i="34"/>
  <c r="U62" i="34"/>
  <c r="AK62" i="34"/>
  <c r="O65" i="34"/>
  <c r="AE65" i="34"/>
  <c r="M66" i="34"/>
  <c r="K67" i="34"/>
  <c r="AA67" i="34"/>
  <c r="U70" i="34"/>
  <c r="AK70" i="34"/>
  <c r="AJ375" i="31" s="1"/>
  <c r="O73" i="34"/>
  <c r="AE73" i="34"/>
  <c r="M74" i="34"/>
  <c r="K75" i="34"/>
  <c r="AA75" i="34"/>
  <c r="U78" i="34"/>
  <c r="AK78" i="34"/>
  <c r="O81" i="34"/>
  <c r="AE81" i="34"/>
  <c r="M82" i="34"/>
  <c r="K83" i="34"/>
  <c r="AA83" i="34"/>
  <c r="U86" i="34"/>
  <c r="AK86" i="34"/>
  <c r="O89" i="34"/>
  <c r="AE89" i="34"/>
  <c r="M90" i="34"/>
  <c r="K91" i="34"/>
  <c r="AA91" i="34"/>
  <c r="U94" i="34"/>
  <c r="AK94" i="34"/>
  <c r="O97" i="34"/>
  <c r="AE97" i="34"/>
  <c r="M98" i="34"/>
  <c r="K99" i="34"/>
  <c r="AA99" i="34"/>
  <c r="J102" i="34"/>
  <c r="AD102" i="34"/>
  <c r="O105" i="34"/>
  <c r="AJ105" i="34"/>
  <c r="AI105" i="35" s="1"/>
  <c r="K107" i="34"/>
  <c r="AF107" i="34"/>
  <c r="N110" i="34"/>
  <c r="AK110" i="34"/>
  <c r="O113" i="34"/>
  <c r="AB115" i="34"/>
  <c r="N118" i="34"/>
  <c r="M121" i="34"/>
  <c r="L126" i="34"/>
  <c r="AP134" i="34"/>
  <c r="AO174" i="34"/>
  <c r="P195" i="34"/>
  <c r="AO50" i="34"/>
  <c r="AG50" i="34"/>
  <c r="Y50" i="34"/>
  <c r="Q50" i="34"/>
  <c r="I50" i="34"/>
  <c r="AN50" i="34"/>
  <c r="AF50" i="34"/>
  <c r="X50" i="34"/>
  <c r="P50" i="34"/>
  <c r="AM50" i="34"/>
  <c r="AE50" i="34"/>
  <c r="W50" i="34"/>
  <c r="O50" i="34"/>
  <c r="AI50" i="34"/>
  <c r="AA50" i="34"/>
  <c r="S50" i="34"/>
  <c r="K50" i="34"/>
  <c r="AO58" i="34"/>
  <c r="AG58" i="34"/>
  <c r="Y58" i="34"/>
  <c r="Q58" i="34"/>
  <c r="I58" i="34"/>
  <c r="AN58" i="34"/>
  <c r="AF58" i="34"/>
  <c r="X58" i="34"/>
  <c r="P58" i="34"/>
  <c r="AM58" i="34"/>
  <c r="AE58" i="34"/>
  <c r="W58" i="34"/>
  <c r="O58" i="34"/>
  <c r="AI58" i="34"/>
  <c r="AA58" i="34"/>
  <c r="S58" i="34"/>
  <c r="K58" i="34"/>
  <c r="AO66" i="34"/>
  <c r="AG66" i="34"/>
  <c r="Y66" i="34"/>
  <c r="Q66" i="34"/>
  <c r="I66" i="34"/>
  <c r="AN66" i="34"/>
  <c r="AM66" i="35" s="1"/>
  <c r="AF66" i="34"/>
  <c r="X66" i="34"/>
  <c r="P66" i="34"/>
  <c r="AM66" i="34"/>
  <c r="AE66" i="34"/>
  <c r="W66" i="34"/>
  <c r="O66" i="34"/>
  <c r="AI66" i="34"/>
  <c r="AA66" i="34"/>
  <c r="S66" i="34"/>
  <c r="K66" i="34"/>
  <c r="AO74" i="34"/>
  <c r="AG74" i="34"/>
  <c r="Y74" i="34"/>
  <c r="X74" i="35" s="1"/>
  <c r="Q74" i="34"/>
  <c r="I74" i="34"/>
  <c r="AN74" i="34"/>
  <c r="AF74" i="34"/>
  <c r="X74" i="34"/>
  <c r="P74" i="34"/>
  <c r="AM74" i="34"/>
  <c r="AE74" i="34"/>
  <c r="W74" i="34"/>
  <c r="O74" i="34"/>
  <c r="AI74" i="34"/>
  <c r="AA74" i="34"/>
  <c r="S74" i="34"/>
  <c r="K74" i="34"/>
  <c r="AO82" i="34"/>
  <c r="AG82" i="34"/>
  <c r="Y82" i="34"/>
  <c r="Q82" i="34"/>
  <c r="I82" i="34"/>
  <c r="AN82" i="34"/>
  <c r="AF82" i="34"/>
  <c r="X82" i="34"/>
  <c r="P82" i="34"/>
  <c r="AM82" i="34"/>
  <c r="AE82" i="34"/>
  <c r="W82" i="34"/>
  <c r="O82" i="34"/>
  <c r="AI82" i="34"/>
  <c r="AA82" i="34"/>
  <c r="S82" i="34"/>
  <c r="K82" i="34"/>
  <c r="AO90" i="34"/>
  <c r="AG90" i="34"/>
  <c r="Y90" i="34"/>
  <c r="Q90" i="34"/>
  <c r="I90" i="34"/>
  <c r="AN90" i="34"/>
  <c r="AF90" i="34"/>
  <c r="X90" i="34"/>
  <c r="P90" i="34"/>
  <c r="AM90" i="34"/>
  <c r="AE90" i="34"/>
  <c r="W90" i="34"/>
  <c r="O90" i="34"/>
  <c r="AI90" i="34"/>
  <c r="AA90" i="34"/>
  <c r="S90" i="34"/>
  <c r="K90" i="34"/>
  <c r="AO98" i="34"/>
  <c r="AG98" i="34"/>
  <c r="Y98" i="34"/>
  <c r="Q98" i="34"/>
  <c r="I98" i="34"/>
  <c r="AN98" i="34"/>
  <c r="AF98" i="34"/>
  <c r="X98" i="34"/>
  <c r="P98" i="34"/>
  <c r="AM98" i="34"/>
  <c r="AE98" i="34"/>
  <c r="W98" i="34"/>
  <c r="O98" i="34"/>
  <c r="AI98" i="34"/>
  <c r="AA98" i="34"/>
  <c r="S98" i="34"/>
  <c r="K98" i="34"/>
  <c r="AO106" i="34"/>
  <c r="AG106" i="34"/>
  <c r="Y106" i="34"/>
  <c r="Q106" i="34"/>
  <c r="I106" i="34"/>
  <c r="AN106" i="34"/>
  <c r="AF106" i="34"/>
  <c r="X106" i="34"/>
  <c r="P106" i="34"/>
  <c r="AM106" i="34"/>
  <c r="AE106" i="34"/>
  <c r="W106" i="34"/>
  <c r="O106" i="34"/>
  <c r="AJ106" i="34"/>
  <c r="AB106" i="34"/>
  <c r="T106" i="34"/>
  <c r="L106" i="34"/>
  <c r="AI106" i="34"/>
  <c r="AA106" i="34"/>
  <c r="S106" i="34"/>
  <c r="K106" i="34"/>
  <c r="AP114" i="34"/>
  <c r="AH114" i="34"/>
  <c r="AG114" i="35" s="1"/>
  <c r="Z114" i="34"/>
  <c r="Y114" i="35" s="1"/>
  <c r="R114" i="34"/>
  <c r="Q114" i="35" s="1"/>
  <c r="J114" i="34"/>
  <c r="AO114" i="34"/>
  <c r="AG114" i="34"/>
  <c r="AF114" i="35" s="1"/>
  <c r="Y114" i="34"/>
  <c r="X114" i="35" s="1"/>
  <c r="Q114" i="34"/>
  <c r="I114" i="34"/>
  <c r="AN114" i="34"/>
  <c r="AM114" i="35" s="1"/>
  <c r="AF114" i="34"/>
  <c r="X114" i="34"/>
  <c r="W114" i="35" s="1"/>
  <c r="P114" i="34"/>
  <c r="AM114" i="34"/>
  <c r="AL114" i="35" s="1"/>
  <c r="AE114" i="34"/>
  <c r="AD114" i="35" s="1"/>
  <c r="W114" i="34"/>
  <c r="V114" i="35" s="1"/>
  <c r="O114" i="34"/>
  <c r="AK114" i="34"/>
  <c r="AJ114" i="35" s="1"/>
  <c r="U114" i="34"/>
  <c r="T114" i="35" s="1"/>
  <c r="AJ114" i="34"/>
  <c r="AI114" i="35" s="1"/>
  <c r="T114" i="34"/>
  <c r="AI114" i="34"/>
  <c r="AH114" i="35" s="1"/>
  <c r="S114" i="34"/>
  <c r="R114" i="35" s="1"/>
  <c r="AB114" i="34"/>
  <c r="AA114" i="35" s="1"/>
  <c r="L114" i="34"/>
  <c r="AA114" i="34"/>
  <c r="Z114" i="35" s="1"/>
  <c r="K114" i="34"/>
  <c r="AK122" i="34"/>
  <c r="AC122" i="34"/>
  <c r="U122" i="34"/>
  <c r="M122" i="34"/>
  <c r="AP122" i="34"/>
  <c r="AH122" i="34"/>
  <c r="Z122" i="34"/>
  <c r="R122" i="34"/>
  <c r="J122" i="34"/>
  <c r="AO122" i="34"/>
  <c r="AG122" i="34"/>
  <c r="Y122" i="34"/>
  <c r="Q122" i="34"/>
  <c r="I122" i="34"/>
  <c r="AN122" i="34"/>
  <c r="AF122" i="34"/>
  <c r="X122" i="34"/>
  <c r="P122" i="34"/>
  <c r="AM122" i="34"/>
  <c r="AE122" i="34"/>
  <c r="W122" i="34"/>
  <c r="O122" i="34"/>
  <c r="AD122" i="34"/>
  <c r="K122" i="34"/>
  <c r="AB122" i="34"/>
  <c r="AA122" i="34"/>
  <c r="AL122" i="34"/>
  <c r="S122" i="34"/>
  <c r="AJ122" i="34"/>
  <c r="N122" i="34"/>
  <c r="AK130" i="34"/>
  <c r="AC130" i="34"/>
  <c r="U130" i="34"/>
  <c r="M130" i="34"/>
  <c r="AJ130" i="34"/>
  <c r="AB130" i="34"/>
  <c r="T130" i="34"/>
  <c r="L130" i="34"/>
  <c r="AP130" i="34"/>
  <c r="AH130" i="34"/>
  <c r="Z130" i="34"/>
  <c r="R130" i="34"/>
  <c r="J130" i="34"/>
  <c r="AO130" i="34"/>
  <c r="AG130" i="34"/>
  <c r="Y130" i="34"/>
  <c r="Q130" i="34"/>
  <c r="I130" i="34"/>
  <c r="AN130" i="34"/>
  <c r="AF130" i="34"/>
  <c r="X130" i="34"/>
  <c r="P130" i="34"/>
  <c r="AM130" i="34"/>
  <c r="AE130" i="34"/>
  <c r="W130" i="34"/>
  <c r="O130" i="34"/>
  <c r="K130" i="34"/>
  <c r="AL130" i="34"/>
  <c r="AI130" i="34"/>
  <c r="V130" i="34"/>
  <c r="S130" i="34"/>
  <c r="AN138" i="34"/>
  <c r="AF138" i="34"/>
  <c r="X138" i="34"/>
  <c r="P138" i="34"/>
  <c r="AM138" i="34"/>
  <c r="AE138" i="34"/>
  <c r="W138" i="34"/>
  <c r="O138" i="34"/>
  <c r="AL138" i="34"/>
  <c r="AD138" i="34"/>
  <c r="V138" i="34"/>
  <c r="N138" i="34"/>
  <c r="AK138" i="34"/>
  <c r="AC138" i="34"/>
  <c r="U138" i="34"/>
  <c r="M138" i="34"/>
  <c r="AJ138" i="34"/>
  <c r="AB138" i="34"/>
  <c r="T138" i="34"/>
  <c r="L138" i="34"/>
  <c r="AI138" i="34"/>
  <c r="AA138" i="34"/>
  <c r="S138" i="34"/>
  <c r="K138" i="34"/>
  <c r="AP138" i="34"/>
  <c r="J138" i="34"/>
  <c r="AO138" i="34"/>
  <c r="I138" i="34"/>
  <c r="AG138" i="34"/>
  <c r="Z138" i="34"/>
  <c r="Y138" i="34"/>
  <c r="R138" i="34"/>
  <c r="Q138" i="34"/>
  <c r="AN146" i="34"/>
  <c r="AM146" i="35" s="1"/>
  <c r="AF146" i="34"/>
  <c r="X146" i="34"/>
  <c r="P146" i="34"/>
  <c r="AM146" i="34"/>
  <c r="AL146" i="35" s="1"/>
  <c r="AE146" i="34"/>
  <c r="W146" i="34"/>
  <c r="O146" i="34"/>
  <c r="AL146" i="34"/>
  <c r="AD146" i="34"/>
  <c r="V146" i="34"/>
  <c r="N146" i="34"/>
  <c r="AK146" i="34"/>
  <c r="AC146" i="34"/>
  <c r="U146" i="34"/>
  <c r="M146" i="34"/>
  <c r="AJ146" i="34"/>
  <c r="AB146" i="34"/>
  <c r="T146" i="34"/>
  <c r="L146" i="34"/>
  <c r="AI146" i="34"/>
  <c r="AA146" i="34"/>
  <c r="S146" i="34"/>
  <c r="K146" i="34"/>
  <c r="Z146" i="34"/>
  <c r="Y146" i="34"/>
  <c r="Q146" i="34"/>
  <c r="AP146" i="34"/>
  <c r="J146" i="34"/>
  <c r="AO146" i="34"/>
  <c r="I146" i="34"/>
  <c r="AH146" i="34"/>
  <c r="AN154" i="34"/>
  <c r="AF154" i="34"/>
  <c r="X154" i="34"/>
  <c r="P154" i="34"/>
  <c r="AM154" i="34"/>
  <c r="AE154" i="34"/>
  <c r="W154" i="34"/>
  <c r="O154" i="34"/>
  <c r="AL154" i="34"/>
  <c r="AD154" i="34"/>
  <c r="V154" i="34"/>
  <c r="N154" i="34"/>
  <c r="AK154" i="34"/>
  <c r="AC154" i="34"/>
  <c r="U154" i="34"/>
  <c r="M154" i="34"/>
  <c r="AJ154" i="34"/>
  <c r="AB154" i="34"/>
  <c r="T154" i="34"/>
  <c r="L154" i="34"/>
  <c r="AI154" i="34"/>
  <c r="AA154" i="34"/>
  <c r="S154" i="34"/>
  <c r="K154" i="34"/>
  <c r="AP154" i="34"/>
  <c r="J154" i="34"/>
  <c r="AO154" i="34"/>
  <c r="I154" i="34"/>
  <c r="AG154" i="34"/>
  <c r="Z154" i="34"/>
  <c r="Y154" i="34"/>
  <c r="R154" i="34"/>
  <c r="AH154" i="34"/>
  <c r="AN162" i="34"/>
  <c r="AM162" i="35" s="1"/>
  <c r="AF162" i="34"/>
  <c r="AE162" i="35" s="1"/>
  <c r="X162" i="34"/>
  <c r="W162" i="35" s="1"/>
  <c r="P162" i="34"/>
  <c r="O162" i="35" s="1"/>
  <c r="AM162" i="34"/>
  <c r="AL162" i="35" s="1"/>
  <c r="AE162" i="34"/>
  <c r="AD162" i="35" s="1"/>
  <c r="W162" i="34"/>
  <c r="V162" i="35" s="1"/>
  <c r="O162" i="34"/>
  <c r="N162" i="35" s="1"/>
  <c r="AL162" i="34"/>
  <c r="AK162" i="35" s="1"/>
  <c r="AD162" i="34"/>
  <c r="AC162" i="35" s="1"/>
  <c r="V162" i="34"/>
  <c r="U162" i="35" s="1"/>
  <c r="N162" i="34"/>
  <c r="AK162" i="34"/>
  <c r="AJ162" i="35" s="1"/>
  <c r="AC162" i="34"/>
  <c r="AB162" i="35" s="1"/>
  <c r="U162" i="34"/>
  <c r="T162" i="35" s="1"/>
  <c r="M162" i="34"/>
  <c r="AJ162" i="34"/>
  <c r="AI162" i="35" s="1"/>
  <c r="AB162" i="34"/>
  <c r="AA162" i="35" s="1"/>
  <c r="T162" i="34"/>
  <c r="S162" i="35" s="1"/>
  <c r="L162" i="34"/>
  <c r="AI162" i="34"/>
  <c r="AH162" i="35" s="1"/>
  <c r="AA162" i="34"/>
  <c r="Z162" i="35" s="1"/>
  <c r="S162" i="34"/>
  <c r="R162" i="35" s="1"/>
  <c r="K162" i="34"/>
  <c r="Z162" i="34"/>
  <c r="Y162" i="35" s="1"/>
  <c r="Y162" i="34"/>
  <c r="X162" i="35" s="1"/>
  <c r="Q162" i="34"/>
  <c r="P162" i="35" s="1"/>
  <c r="AP162" i="34"/>
  <c r="J162" i="34"/>
  <c r="AO162" i="34"/>
  <c r="I162" i="34"/>
  <c r="AH162" i="34"/>
  <c r="AG162" i="35" s="1"/>
  <c r="AG162" i="34"/>
  <c r="AF162" i="35" s="1"/>
  <c r="R162" i="34"/>
  <c r="Q162" i="35" s="1"/>
  <c r="AN170" i="34"/>
  <c r="AF170" i="34"/>
  <c r="X170" i="34"/>
  <c r="P170" i="34"/>
  <c r="AM170" i="34"/>
  <c r="AE170" i="34"/>
  <c r="W170" i="34"/>
  <c r="O170" i="34"/>
  <c r="AL170" i="34"/>
  <c r="AD170" i="34"/>
  <c r="V170" i="34"/>
  <c r="N170" i="34"/>
  <c r="AK170" i="34"/>
  <c r="AC170" i="34"/>
  <c r="U170" i="34"/>
  <c r="M170" i="34"/>
  <c r="AJ170" i="34"/>
  <c r="AB170" i="34"/>
  <c r="T170" i="34"/>
  <c r="L170" i="34"/>
  <c r="AI170" i="34"/>
  <c r="AA170" i="34"/>
  <c r="S170" i="34"/>
  <c r="K170" i="34"/>
  <c r="AP170" i="34"/>
  <c r="J170" i="34"/>
  <c r="AO170" i="34"/>
  <c r="I170" i="34"/>
  <c r="AG170" i="34"/>
  <c r="Z170" i="34"/>
  <c r="Y170" i="34"/>
  <c r="R170" i="34"/>
  <c r="AH170" i="34"/>
  <c r="Q170" i="34"/>
  <c r="AN178" i="34"/>
  <c r="AF178" i="34"/>
  <c r="X178" i="34"/>
  <c r="P178" i="34"/>
  <c r="AM178" i="34"/>
  <c r="AE178" i="34"/>
  <c r="W178" i="34"/>
  <c r="O178" i="34"/>
  <c r="AL178" i="34"/>
  <c r="AD178" i="34"/>
  <c r="V178" i="34"/>
  <c r="N178" i="34"/>
  <c r="AK178" i="34"/>
  <c r="AC178" i="34"/>
  <c r="U178" i="34"/>
  <c r="M178" i="34"/>
  <c r="AJ178" i="34"/>
  <c r="AB178" i="34"/>
  <c r="T178" i="34"/>
  <c r="L178" i="34"/>
  <c r="AI178" i="34"/>
  <c r="AA178" i="34"/>
  <c r="S178" i="34"/>
  <c r="K178" i="34"/>
  <c r="Z178" i="34"/>
  <c r="Y178" i="34"/>
  <c r="Q178" i="34"/>
  <c r="AP178" i="34"/>
  <c r="J178" i="34"/>
  <c r="AO178" i="34"/>
  <c r="I178" i="34"/>
  <c r="AH178" i="34"/>
  <c r="R178" i="34"/>
  <c r="AN186" i="34"/>
  <c r="AF186" i="34"/>
  <c r="X186" i="34"/>
  <c r="P186" i="34"/>
  <c r="AM186" i="34"/>
  <c r="AE186" i="34"/>
  <c r="W186" i="34"/>
  <c r="O186" i="34"/>
  <c r="AL186" i="34"/>
  <c r="AD186" i="34"/>
  <c r="V186" i="34"/>
  <c r="N186" i="34"/>
  <c r="AK186" i="34"/>
  <c r="AC186" i="34"/>
  <c r="U186" i="34"/>
  <c r="M186" i="34"/>
  <c r="AJ186" i="34"/>
  <c r="AB186" i="34"/>
  <c r="T186" i="34"/>
  <c r="L186" i="34"/>
  <c r="AI186" i="34"/>
  <c r="AA186" i="34"/>
  <c r="S186" i="34"/>
  <c r="K186" i="34"/>
  <c r="AP186" i="34"/>
  <c r="J186" i="34"/>
  <c r="AO186" i="34"/>
  <c r="I186" i="34"/>
  <c r="AG186" i="34"/>
  <c r="Z186" i="34"/>
  <c r="Y186" i="34"/>
  <c r="R186" i="34"/>
  <c r="AH186" i="34"/>
  <c r="AN194" i="34"/>
  <c r="AF194" i="34"/>
  <c r="X194" i="34"/>
  <c r="P194" i="34"/>
  <c r="O194" i="35" s="1"/>
  <c r="AM194" i="34"/>
  <c r="AE194" i="34"/>
  <c r="AD194" i="35" s="1"/>
  <c r="W194" i="34"/>
  <c r="V194" i="35" s="1"/>
  <c r="O194" i="34"/>
  <c r="N194" i="35" s="1"/>
  <c r="AL194" i="34"/>
  <c r="AD194" i="34"/>
  <c r="V194" i="34"/>
  <c r="U194" i="35" s="1"/>
  <c r="N194" i="34"/>
  <c r="AK194" i="34"/>
  <c r="AJ499" i="31" s="1"/>
  <c r="AC194" i="34"/>
  <c r="U194" i="34"/>
  <c r="T194" i="35" s="1"/>
  <c r="M194" i="34"/>
  <c r="L194" i="35" s="1"/>
  <c r="AJ194" i="34"/>
  <c r="AI194" i="35" s="1"/>
  <c r="AB194" i="34"/>
  <c r="AA194" i="35" s="1"/>
  <c r="T194" i="34"/>
  <c r="S194" i="35" s="1"/>
  <c r="L194" i="34"/>
  <c r="K194" i="35" s="1"/>
  <c r="AI194" i="34"/>
  <c r="AA194" i="34"/>
  <c r="S194" i="34"/>
  <c r="R194" i="35" s="1"/>
  <c r="K194" i="34"/>
  <c r="J194" i="35" s="1"/>
  <c r="Z194" i="34"/>
  <c r="Y194" i="35" s="1"/>
  <c r="Y194" i="34"/>
  <c r="Q194" i="34"/>
  <c r="P194" i="35" s="1"/>
  <c r="AP194" i="34"/>
  <c r="J194" i="34"/>
  <c r="I194" i="35" s="1"/>
  <c r="AO194" i="34"/>
  <c r="I194" i="34"/>
  <c r="H194" i="35" s="1"/>
  <c r="AH194" i="34"/>
  <c r="AG194" i="34"/>
  <c r="R194" i="34"/>
  <c r="AI202" i="34"/>
  <c r="AA202" i="34"/>
  <c r="S202" i="34"/>
  <c r="K202" i="34"/>
  <c r="AP202" i="34"/>
  <c r="AO507" i="31" s="1"/>
  <c r="AH202" i="34"/>
  <c r="Z202" i="34"/>
  <c r="R202" i="34"/>
  <c r="J202" i="34"/>
  <c r="AO202" i="34"/>
  <c r="AN507" i="31" s="1"/>
  <c r="AG202" i="34"/>
  <c r="Y202" i="34"/>
  <c r="Q202" i="34"/>
  <c r="I202" i="34"/>
  <c r="AN202" i="34"/>
  <c r="AM507" i="31" s="1"/>
  <c r="AF202" i="34"/>
  <c r="X202" i="34"/>
  <c r="P202" i="34"/>
  <c r="AL202" i="34"/>
  <c r="AK507" i="31" s="1"/>
  <c r="AD202" i="34"/>
  <c r="V202" i="34"/>
  <c r="N202" i="34"/>
  <c r="AJ202" i="34"/>
  <c r="M202" i="34"/>
  <c r="AE202" i="34"/>
  <c r="L202" i="34"/>
  <c r="AC202" i="34"/>
  <c r="AB202" i="34"/>
  <c r="W202" i="34"/>
  <c r="U202" i="34"/>
  <c r="T202" i="34"/>
  <c r="O202" i="34"/>
  <c r="AM202" i="34"/>
  <c r="AL507" i="31" s="1"/>
  <c r="AI210" i="34"/>
  <c r="AA210" i="34"/>
  <c r="S210" i="34"/>
  <c r="K210" i="34"/>
  <c r="AP210" i="34"/>
  <c r="AH210" i="34"/>
  <c r="Z210" i="34"/>
  <c r="R210" i="34"/>
  <c r="J210" i="34"/>
  <c r="AO210" i="34"/>
  <c r="AG210" i="34"/>
  <c r="Y210" i="34"/>
  <c r="Q210" i="34"/>
  <c r="I210" i="34"/>
  <c r="AN210" i="34"/>
  <c r="AF210" i="34"/>
  <c r="X210" i="34"/>
  <c r="P210" i="34"/>
  <c r="AM210" i="34"/>
  <c r="AE210" i="34"/>
  <c r="W210" i="34"/>
  <c r="O210" i="34"/>
  <c r="AL210" i="34"/>
  <c r="AD210" i="34"/>
  <c r="V210" i="34"/>
  <c r="N210" i="34"/>
  <c r="U210" i="34"/>
  <c r="T210" i="34"/>
  <c r="M210" i="34"/>
  <c r="L210" i="34"/>
  <c r="AK210" i="34"/>
  <c r="AJ210" i="34"/>
  <c r="AB210" i="34"/>
  <c r="AC210" i="34"/>
  <c r="AI218" i="34"/>
  <c r="AA218" i="34"/>
  <c r="S218" i="34"/>
  <c r="K218" i="34"/>
  <c r="AP218" i="34"/>
  <c r="AH218" i="34"/>
  <c r="Z218" i="34"/>
  <c r="R218" i="34"/>
  <c r="J218" i="34"/>
  <c r="AO218" i="34"/>
  <c r="AG218" i="34"/>
  <c r="Y218" i="34"/>
  <c r="Q218" i="34"/>
  <c r="I218" i="34"/>
  <c r="AN218" i="34"/>
  <c r="AF218" i="34"/>
  <c r="X218" i="34"/>
  <c r="P218" i="34"/>
  <c r="AM218" i="34"/>
  <c r="AE218" i="34"/>
  <c r="W218" i="34"/>
  <c r="O218" i="34"/>
  <c r="AL218" i="34"/>
  <c r="AD218" i="34"/>
  <c r="V218" i="34"/>
  <c r="N218" i="34"/>
  <c r="AK218" i="34"/>
  <c r="AJ218" i="34"/>
  <c r="AC218" i="34"/>
  <c r="AB218" i="34"/>
  <c r="U218" i="34"/>
  <c r="T218" i="34"/>
  <c r="M218" i="34"/>
  <c r="L218" i="34"/>
  <c r="AI226" i="34"/>
  <c r="AA226" i="34"/>
  <c r="S226" i="34"/>
  <c r="K226" i="34"/>
  <c r="AP226" i="34"/>
  <c r="AH226" i="34"/>
  <c r="Z226" i="34"/>
  <c r="R226" i="34"/>
  <c r="J226" i="34"/>
  <c r="AO226" i="34"/>
  <c r="AG226" i="34"/>
  <c r="Y226" i="34"/>
  <c r="Q226" i="34"/>
  <c r="I226" i="34"/>
  <c r="AN226" i="34"/>
  <c r="AF226" i="34"/>
  <c r="X226" i="34"/>
  <c r="P226" i="34"/>
  <c r="AM226" i="34"/>
  <c r="AE226" i="34"/>
  <c r="W226" i="34"/>
  <c r="O226" i="34"/>
  <c r="AL226" i="34"/>
  <c r="AD226" i="34"/>
  <c r="V226" i="34"/>
  <c r="N226" i="34"/>
  <c r="U226" i="34"/>
  <c r="T226" i="34"/>
  <c r="M226" i="34"/>
  <c r="L226" i="34"/>
  <c r="AK226" i="34"/>
  <c r="AJ226" i="34"/>
  <c r="AC226" i="34"/>
  <c r="AB226" i="34"/>
  <c r="AM234" i="34"/>
  <c r="AE234" i="34"/>
  <c r="W234" i="34"/>
  <c r="O234" i="34"/>
  <c r="AL234" i="34"/>
  <c r="AK234" i="34"/>
  <c r="AC234" i="34"/>
  <c r="AN234" i="34"/>
  <c r="AA234" i="34"/>
  <c r="R234" i="34"/>
  <c r="I234" i="34"/>
  <c r="AJ234" i="34"/>
  <c r="Z234" i="34"/>
  <c r="Q234" i="34"/>
  <c r="AI234" i="34"/>
  <c r="Y234" i="34"/>
  <c r="P234" i="34"/>
  <c r="AH234" i="34"/>
  <c r="X234" i="34"/>
  <c r="N234" i="34"/>
  <c r="AG234" i="34"/>
  <c r="V234" i="34"/>
  <c r="M234" i="34"/>
  <c r="AF234" i="34"/>
  <c r="U234" i="34"/>
  <c r="L234" i="34"/>
  <c r="K234" i="35" s="1"/>
  <c r="K234" i="34"/>
  <c r="J234" i="35" s="1"/>
  <c r="J234" i="34"/>
  <c r="I234" i="35" s="1"/>
  <c r="AP234" i="34"/>
  <c r="AO234" i="34"/>
  <c r="AD234" i="34"/>
  <c r="AB234" i="34"/>
  <c r="T234" i="34"/>
  <c r="S234" i="34"/>
  <c r="AM242" i="34"/>
  <c r="AE242" i="34"/>
  <c r="W242" i="34"/>
  <c r="O242" i="34"/>
  <c r="AL242" i="34"/>
  <c r="AD242" i="34"/>
  <c r="V242" i="34"/>
  <c r="N242" i="34"/>
  <c r="M242" i="35" s="1"/>
  <c r="AK242" i="34"/>
  <c r="AC242" i="34"/>
  <c r="U242" i="34"/>
  <c r="M242" i="34"/>
  <c r="AJ242" i="34"/>
  <c r="AB242" i="34"/>
  <c r="T242" i="34"/>
  <c r="L242" i="34"/>
  <c r="AN242" i="34"/>
  <c r="X242" i="34"/>
  <c r="AI242" i="34"/>
  <c r="S242" i="34"/>
  <c r="AH242" i="34"/>
  <c r="R242" i="34"/>
  <c r="AG242" i="34"/>
  <c r="Q242" i="34"/>
  <c r="AF242" i="34"/>
  <c r="P242" i="34"/>
  <c r="AA242" i="34"/>
  <c r="K242" i="34"/>
  <c r="J242" i="34"/>
  <c r="I242" i="34"/>
  <c r="AP242" i="34"/>
  <c r="AO242" i="34"/>
  <c r="Z242" i="34"/>
  <c r="Y242" i="34"/>
  <c r="AO250" i="34"/>
  <c r="AG250" i="34"/>
  <c r="AN250" i="34"/>
  <c r="AF250" i="34"/>
  <c r="AM250" i="34"/>
  <c r="AE250" i="34"/>
  <c r="AL250" i="34"/>
  <c r="AD250" i="34"/>
  <c r="AJ250" i="34"/>
  <c r="AB250" i="34"/>
  <c r="AK250" i="34"/>
  <c r="W250" i="34"/>
  <c r="O250" i="34"/>
  <c r="AI250" i="34"/>
  <c r="V250" i="34"/>
  <c r="N250" i="34"/>
  <c r="AH250" i="34"/>
  <c r="U250" i="34"/>
  <c r="M250" i="34"/>
  <c r="L250" i="35" s="1"/>
  <c r="AC250" i="34"/>
  <c r="T250" i="34"/>
  <c r="L250" i="34"/>
  <c r="K250" i="35" s="1"/>
  <c r="AA250" i="34"/>
  <c r="S250" i="34"/>
  <c r="K250" i="34"/>
  <c r="P250" i="34"/>
  <c r="J250" i="34"/>
  <c r="I250" i="35" s="1"/>
  <c r="AP250" i="34"/>
  <c r="I250" i="34"/>
  <c r="H250" i="35" s="1"/>
  <c r="Z250" i="34"/>
  <c r="Y250" i="34"/>
  <c r="X250" i="34"/>
  <c r="R250" i="34"/>
  <c r="Q250" i="34"/>
  <c r="AO258" i="34"/>
  <c r="AN563" i="31" s="1"/>
  <c r="AG258" i="34"/>
  <c r="Y258" i="34"/>
  <c r="Q258" i="34"/>
  <c r="I258" i="34"/>
  <c r="AN258" i="34"/>
  <c r="AM563" i="31" s="1"/>
  <c r="AF258" i="34"/>
  <c r="X258" i="34"/>
  <c r="P258" i="34"/>
  <c r="AM258" i="34"/>
  <c r="AL563" i="31" s="1"/>
  <c r="AE258" i="34"/>
  <c r="W258" i="34"/>
  <c r="O258" i="34"/>
  <c r="AL258" i="34"/>
  <c r="AK563" i="31" s="1"/>
  <c r="AD258" i="34"/>
  <c r="V258" i="34"/>
  <c r="N258" i="34"/>
  <c r="AJ258" i="34"/>
  <c r="AB258" i="34"/>
  <c r="T258" i="34"/>
  <c r="L258" i="34"/>
  <c r="U258" i="34"/>
  <c r="AP258" i="34"/>
  <c r="AO563" i="31" s="1"/>
  <c r="S258" i="34"/>
  <c r="AK258" i="34"/>
  <c r="AJ563" i="31" s="1"/>
  <c r="R258" i="34"/>
  <c r="AI258" i="34"/>
  <c r="M258" i="34"/>
  <c r="AH258" i="34"/>
  <c r="K258" i="34"/>
  <c r="AC258" i="34"/>
  <c r="AA258" i="34"/>
  <c r="Z258" i="34"/>
  <c r="J258" i="34"/>
  <c r="AO266" i="34"/>
  <c r="AG266" i="34"/>
  <c r="Y266" i="34"/>
  <c r="Q266" i="34"/>
  <c r="I266" i="34"/>
  <c r="AN266" i="34"/>
  <c r="AF266" i="34"/>
  <c r="X266" i="34"/>
  <c r="P266" i="34"/>
  <c r="AM266" i="34"/>
  <c r="AE266" i="34"/>
  <c r="W266" i="34"/>
  <c r="O266" i="34"/>
  <c r="AL266" i="34"/>
  <c r="AD266" i="34"/>
  <c r="V266" i="34"/>
  <c r="N266" i="34"/>
  <c r="AJ266" i="34"/>
  <c r="AB266" i="34"/>
  <c r="T266" i="34"/>
  <c r="L266" i="34"/>
  <c r="AA266" i="34"/>
  <c r="Z266" i="34"/>
  <c r="U266" i="34"/>
  <c r="AP266" i="34"/>
  <c r="S266" i="34"/>
  <c r="AK266" i="34"/>
  <c r="R266" i="34"/>
  <c r="AI266" i="34"/>
  <c r="M266" i="34"/>
  <c r="AH266" i="34"/>
  <c r="AC266" i="34"/>
  <c r="K266" i="34"/>
  <c r="J266" i="34"/>
  <c r="AO274" i="34"/>
  <c r="AG274" i="34"/>
  <c r="Y274" i="34"/>
  <c r="Q274" i="34"/>
  <c r="I274" i="34"/>
  <c r="AN274" i="34"/>
  <c r="AF274" i="34"/>
  <c r="X274" i="34"/>
  <c r="P274" i="34"/>
  <c r="AM274" i="34"/>
  <c r="AE274" i="34"/>
  <c r="W274" i="34"/>
  <c r="O274" i="34"/>
  <c r="AL274" i="34"/>
  <c r="AD274" i="34"/>
  <c r="V274" i="34"/>
  <c r="N274" i="34"/>
  <c r="AJ274" i="34"/>
  <c r="AB274" i="34"/>
  <c r="T274" i="34"/>
  <c r="L274" i="34"/>
  <c r="AH274" i="34"/>
  <c r="K274" i="34"/>
  <c r="AC274" i="34"/>
  <c r="J274" i="34"/>
  <c r="AA274" i="34"/>
  <c r="Z274" i="34"/>
  <c r="U274" i="34"/>
  <c r="AP274" i="34"/>
  <c r="S274" i="34"/>
  <c r="AK274" i="34"/>
  <c r="AI274" i="34"/>
  <c r="R274" i="34"/>
  <c r="M274" i="34"/>
  <c r="AO282" i="34"/>
  <c r="AG282" i="34"/>
  <c r="Y282" i="34"/>
  <c r="Q282" i="34"/>
  <c r="I282" i="34"/>
  <c r="AN282" i="34"/>
  <c r="AF282" i="34"/>
  <c r="X282" i="34"/>
  <c r="P282" i="34"/>
  <c r="AM282" i="34"/>
  <c r="AE282" i="34"/>
  <c r="W282" i="34"/>
  <c r="O282" i="34"/>
  <c r="AL282" i="34"/>
  <c r="AD282" i="34"/>
  <c r="V282" i="34"/>
  <c r="N282" i="34"/>
  <c r="AJ282" i="34"/>
  <c r="AB282" i="34"/>
  <c r="T282" i="34"/>
  <c r="L282" i="34"/>
  <c r="AK282" i="34"/>
  <c r="R282" i="34"/>
  <c r="AI282" i="34"/>
  <c r="M282" i="34"/>
  <c r="AH282" i="34"/>
  <c r="K282" i="34"/>
  <c r="AC282" i="34"/>
  <c r="J282" i="34"/>
  <c r="AA282" i="34"/>
  <c r="Z282" i="34"/>
  <c r="U282" i="34"/>
  <c r="S282" i="34"/>
  <c r="AP282" i="34"/>
  <c r="AP290" i="34"/>
  <c r="AH290" i="34"/>
  <c r="Z290" i="34"/>
  <c r="R290" i="34"/>
  <c r="Q290" i="35" s="1"/>
  <c r="J290" i="34"/>
  <c r="AO290" i="34"/>
  <c r="AG290" i="34"/>
  <c r="AF290" i="35" s="1"/>
  <c r="Y290" i="34"/>
  <c r="X290" i="35" s="1"/>
  <c r="Q290" i="34"/>
  <c r="I290" i="34"/>
  <c r="AN290" i="34"/>
  <c r="AM290" i="35" s="1"/>
  <c r="AF290" i="34"/>
  <c r="AE290" i="35" s="1"/>
  <c r="X290" i="34"/>
  <c r="P290" i="34"/>
  <c r="O290" i="35" s="1"/>
  <c r="AM290" i="34"/>
  <c r="AL290" i="35" s="1"/>
  <c r="AE290" i="34"/>
  <c r="AD290" i="35" s="1"/>
  <c r="W290" i="34"/>
  <c r="V290" i="35" s="1"/>
  <c r="O290" i="34"/>
  <c r="N290" i="35" s="1"/>
  <c r="AK290" i="34"/>
  <c r="AC290" i="34"/>
  <c r="AB290" i="35" s="1"/>
  <c r="U290" i="34"/>
  <c r="T290" i="35" s="1"/>
  <c r="M290" i="34"/>
  <c r="AJ290" i="34"/>
  <c r="AB290" i="34"/>
  <c r="AA290" i="35" s="1"/>
  <c r="T290" i="34"/>
  <c r="S290" i="35" s="1"/>
  <c r="L290" i="34"/>
  <c r="AA290" i="34"/>
  <c r="V290" i="34"/>
  <c r="U290" i="35" s="1"/>
  <c r="S290" i="34"/>
  <c r="R290" i="35" s="1"/>
  <c r="N290" i="34"/>
  <c r="M290" i="35" s="1"/>
  <c r="AL290" i="34"/>
  <c r="AD290" i="34"/>
  <c r="AC290" i="35" s="1"/>
  <c r="K290" i="34"/>
  <c r="J290" i="35" s="1"/>
  <c r="AI290" i="34"/>
  <c r="AP298" i="34"/>
  <c r="AO603" i="31" s="1"/>
  <c r="AH298" i="34"/>
  <c r="Z298" i="34"/>
  <c r="R298" i="34"/>
  <c r="J298" i="34"/>
  <c r="AO298" i="34"/>
  <c r="AN603" i="31" s="1"/>
  <c r="AG298" i="34"/>
  <c r="Y298" i="34"/>
  <c r="Q298" i="34"/>
  <c r="I298" i="34"/>
  <c r="AN298" i="34"/>
  <c r="AM603" i="31" s="1"/>
  <c r="AF298" i="34"/>
  <c r="X298" i="34"/>
  <c r="P298" i="34"/>
  <c r="AM298" i="34"/>
  <c r="AL603" i="31" s="1"/>
  <c r="AE298" i="34"/>
  <c r="W298" i="34"/>
  <c r="O298" i="34"/>
  <c r="AL298" i="34"/>
  <c r="AK603" i="31" s="1"/>
  <c r="AD298" i="34"/>
  <c r="V298" i="34"/>
  <c r="N298" i="34"/>
  <c r="AK298" i="34"/>
  <c r="AJ603" i="31" s="1"/>
  <c r="AC298" i="34"/>
  <c r="U298" i="34"/>
  <c r="M298" i="34"/>
  <c r="AJ298" i="34"/>
  <c r="AB298" i="34"/>
  <c r="T298" i="34"/>
  <c r="L298" i="34"/>
  <c r="AI298" i="34"/>
  <c r="AA298" i="34"/>
  <c r="K298" i="34"/>
  <c r="S298" i="34"/>
  <c r="AP306" i="34"/>
  <c r="AO611" i="31" s="1"/>
  <c r="AH306" i="34"/>
  <c r="Z306" i="34"/>
  <c r="R306" i="34"/>
  <c r="J306" i="34"/>
  <c r="AO306" i="34"/>
  <c r="AN611" i="31" s="1"/>
  <c r="AG306" i="34"/>
  <c r="Y306" i="34"/>
  <c r="Q306" i="34"/>
  <c r="I306" i="34"/>
  <c r="AN306" i="34"/>
  <c r="AM611" i="31" s="1"/>
  <c r="AF306" i="34"/>
  <c r="X306" i="34"/>
  <c r="P306" i="34"/>
  <c r="AM306" i="34"/>
  <c r="AL611" i="31" s="1"/>
  <c r="AE306" i="34"/>
  <c r="W306" i="34"/>
  <c r="O306" i="34"/>
  <c r="AL306" i="34"/>
  <c r="AK611" i="31" s="1"/>
  <c r="AD306" i="34"/>
  <c r="V306" i="34"/>
  <c r="N306" i="34"/>
  <c r="AK306" i="34"/>
  <c r="AJ611" i="31" s="1"/>
  <c r="AC306" i="34"/>
  <c r="U306" i="34"/>
  <c r="M306" i="34"/>
  <c r="AJ306" i="34"/>
  <c r="AB306" i="34"/>
  <c r="T306" i="34"/>
  <c r="L306" i="34"/>
  <c r="AI306" i="34"/>
  <c r="AA306" i="34"/>
  <c r="S306" i="34"/>
  <c r="K306" i="34"/>
  <c r="M10" i="34"/>
  <c r="U10" i="34"/>
  <c r="AC10" i="34"/>
  <c r="AK10" i="34"/>
  <c r="AJ315" i="31" s="1"/>
  <c r="K11" i="34"/>
  <c r="S11" i="34"/>
  <c r="AA11" i="34"/>
  <c r="AI11" i="34"/>
  <c r="M14" i="34"/>
  <c r="U14" i="34"/>
  <c r="AC14" i="34"/>
  <c r="AK14" i="34"/>
  <c r="AJ319" i="31" s="1"/>
  <c r="O17" i="34"/>
  <c r="N17" i="35" s="1"/>
  <c r="W17" i="34"/>
  <c r="V17" i="35" s="1"/>
  <c r="AE17" i="34"/>
  <c r="AM17" i="34"/>
  <c r="M18" i="34"/>
  <c r="U18" i="34"/>
  <c r="AC18" i="34"/>
  <c r="AK18" i="34"/>
  <c r="K19" i="34"/>
  <c r="S19" i="34"/>
  <c r="AA19" i="34"/>
  <c r="AI19" i="34"/>
  <c r="M22" i="34"/>
  <c r="U22" i="34"/>
  <c r="AC22" i="34"/>
  <c r="AK22" i="34"/>
  <c r="AJ327" i="31" s="1"/>
  <c r="O25" i="34"/>
  <c r="W25" i="34"/>
  <c r="AE25" i="34"/>
  <c r="AM25" i="34"/>
  <c r="AL330" i="31" s="1"/>
  <c r="M26" i="34"/>
  <c r="U26" i="34"/>
  <c r="AC26" i="34"/>
  <c r="AK26" i="34"/>
  <c r="K27" i="34"/>
  <c r="S27" i="34"/>
  <c r="AA27" i="34"/>
  <c r="AI27" i="34"/>
  <c r="M30" i="34"/>
  <c r="U30" i="34"/>
  <c r="AC30" i="34"/>
  <c r="AK30" i="34"/>
  <c r="AJ335" i="31" s="1"/>
  <c r="O33" i="34"/>
  <c r="W33" i="34"/>
  <c r="AE33" i="34"/>
  <c r="AM33" i="34"/>
  <c r="AL338" i="31" s="1"/>
  <c r="M34" i="34"/>
  <c r="L34" i="35" s="1"/>
  <c r="U34" i="34"/>
  <c r="AC34" i="34"/>
  <c r="AK34" i="34"/>
  <c r="K35" i="34"/>
  <c r="S35" i="34"/>
  <c r="AA35" i="34"/>
  <c r="AI35" i="34"/>
  <c r="M38" i="34"/>
  <c r="U38" i="34"/>
  <c r="T38" i="35" s="1"/>
  <c r="AC38" i="34"/>
  <c r="AB38" i="35" s="1"/>
  <c r="AK38" i="34"/>
  <c r="AJ38" i="35" s="1"/>
  <c r="O41" i="34"/>
  <c r="W41" i="34"/>
  <c r="AE41" i="34"/>
  <c r="AM41" i="34"/>
  <c r="M42" i="34"/>
  <c r="U42" i="34"/>
  <c r="AC42" i="34"/>
  <c r="AK42" i="34"/>
  <c r="K43" i="34"/>
  <c r="S43" i="34"/>
  <c r="AA43" i="34"/>
  <c r="AI43" i="34"/>
  <c r="V46" i="34"/>
  <c r="AL46" i="34"/>
  <c r="P49" i="34"/>
  <c r="AF49" i="34"/>
  <c r="N50" i="34"/>
  <c r="AD50" i="34"/>
  <c r="L51" i="34"/>
  <c r="V54" i="34"/>
  <c r="AL54" i="34"/>
  <c r="P57" i="34"/>
  <c r="AF57" i="34"/>
  <c r="N58" i="34"/>
  <c r="AD58" i="34"/>
  <c r="L59" i="34"/>
  <c r="V62" i="34"/>
  <c r="AL62" i="34"/>
  <c r="P65" i="34"/>
  <c r="AF65" i="34"/>
  <c r="N66" i="34"/>
  <c r="AD66" i="34"/>
  <c r="L67" i="34"/>
  <c r="V70" i="34"/>
  <c r="AL70" i="34"/>
  <c r="AK375" i="31" s="1"/>
  <c r="P73" i="34"/>
  <c r="AF73" i="34"/>
  <c r="N74" i="34"/>
  <c r="AD74" i="34"/>
  <c r="AC74" i="35" s="1"/>
  <c r="L75" i="34"/>
  <c r="V78" i="34"/>
  <c r="AL78" i="34"/>
  <c r="P81" i="34"/>
  <c r="AF81" i="34"/>
  <c r="AE81" i="35" s="1"/>
  <c r="N82" i="34"/>
  <c r="AD82" i="34"/>
  <c r="L83" i="34"/>
  <c r="V86" i="34"/>
  <c r="AL86" i="34"/>
  <c r="P89" i="34"/>
  <c r="AF89" i="34"/>
  <c r="N90" i="34"/>
  <c r="AD90" i="34"/>
  <c r="L91" i="34"/>
  <c r="V94" i="34"/>
  <c r="AL94" i="34"/>
  <c r="P97" i="34"/>
  <c r="AF97" i="34"/>
  <c r="N98" i="34"/>
  <c r="AD98" i="34"/>
  <c r="L99" i="34"/>
  <c r="M102" i="34"/>
  <c r="AH102" i="34"/>
  <c r="P105" i="34"/>
  <c r="AM105" i="34"/>
  <c r="AL105" i="35" s="1"/>
  <c r="Z106" i="34"/>
  <c r="L107" i="34"/>
  <c r="R110" i="34"/>
  <c r="AL110" i="34"/>
  <c r="P113" i="34"/>
  <c r="AC114" i="34"/>
  <c r="AB114" i="35" s="1"/>
  <c r="U118" i="34"/>
  <c r="N121" i="34"/>
  <c r="N126" i="34"/>
  <c r="R146" i="34"/>
  <c r="Q186" i="34"/>
  <c r="AM51" i="34"/>
  <c r="AE51" i="34"/>
  <c r="W51" i="34"/>
  <c r="O51" i="34"/>
  <c r="AL51" i="34"/>
  <c r="AD51" i="34"/>
  <c r="V51" i="34"/>
  <c r="N51" i="34"/>
  <c r="AK51" i="34"/>
  <c r="AC51" i="34"/>
  <c r="U51" i="34"/>
  <c r="M51" i="34"/>
  <c r="AO51" i="34"/>
  <c r="AG51" i="34"/>
  <c r="Y51" i="34"/>
  <c r="Q51" i="34"/>
  <c r="I51" i="34"/>
  <c r="AM59" i="34"/>
  <c r="AE59" i="34"/>
  <c r="W59" i="34"/>
  <c r="O59" i="34"/>
  <c r="AL59" i="34"/>
  <c r="AD59" i="34"/>
  <c r="V59" i="34"/>
  <c r="N59" i="34"/>
  <c r="AK59" i="34"/>
  <c r="AC59" i="34"/>
  <c r="U59" i="34"/>
  <c r="M59" i="34"/>
  <c r="AO59" i="34"/>
  <c r="AG59" i="34"/>
  <c r="Y59" i="34"/>
  <c r="Q59" i="34"/>
  <c r="I59" i="34"/>
  <c r="AM67" i="34"/>
  <c r="AE67" i="34"/>
  <c r="W67" i="34"/>
  <c r="O67" i="34"/>
  <c r="AL67" i="34"/>
  <c r="AD67" i="34"/>
  <c r="V67" i="34"/>
  <c r="N67" i="34"/>
  <c r="AK67" i="34"/>
  <c r="AC67" i="34"/>
  <c r="U67" i="34"/>
  <c r="M67" i="34"/>
  <c r="AO67" i="34"/>
  <c r="AG67" i="34"/>
  <c r="Y67" i="34"/>
  <c r="Q67" i="34"/>
  <c r="I67" i="34"/>
  <c r="AM75" i="34"/>
  <c r="AE75" i="34"/>
  <c r="W75" i="34"/>
  <c r="O75" i="34"/>
  <c r="N75" i="35" s="1"/>
  <c r="AL75" i="34"/>
  <c r="AD75" i="34"/>
  <c r="V75" i="34"/>
  <c r="N75" i="34"/>
  <c r="M75" i="35" s="1"/>
  <c r="AK75" i="34"/>
  <c r="AC75" i="34"/>
  <c r="U75" i="34"/>
  <c r="M75" i="34"/>
  <c r="AO75" i="34"/>
  <c r="AG75" i="34"/>
  <c r="Y75" i="34"/>
  <c r="Q75" i="34"/>
  <c r="I75" i="34"/>
  <c r="AM83" i="34"/>
  <c r="AE83" i="34"/>
  <c r="W83" i="34"/>
  <c r="O83" i="34"/>
  <c r="AL83" i="34"/>
  <c r="AD83" i="34"/>
  <c r="V83" i="34"/>
  <c r="N83" i="34"/>
  <c r="AK83" i="34"/>
  <c r="AC83" i="34"/>
  <c r="U83" i="34"/>
  <c r="M83" i="34"/>
  <c r="AO83" i="34"/>
  <c r="AG83" i="34"/>
  <c r="Y83" i="34"/>
  <c r="Q83" i="34"/>
  <c r="I83" i="34"/>
  <c r="AM91" i="34"/>
  <c r="AE91" i="34"/>
  <c r="W91" i="34"/>
  <c r="O91" i="34"/>
  <c r="AL91" i="34"/>
  <c r="AD91" i="34"/>
  <c r="V91" i="34"/>
  <c r="N91" i="34"/>
  <c r="AK91" i="34"/>
  <c r="AC91" i="34"/>
  <c r="U91" i="34"/>
  <c r="M91" i="34"/>
  <c r="AO91" i="34"/>
  <c r="AG91" i="34"/>
  <c r="Y91" i="34"/>
  <c r="Q91" i="34"/>
  <c r="I91" i="34"/>
  <c r="AM99" i="34"/>
  <c r="AE99" i="34"/>
  <c r="W99" i="34"/>
  <c r="O99" i="34"/>
  <c r="AL99" i="34"/>
  <c r="AD99" i="34"/>
  <c r="V99" i="34"/>
  <c r="N99" i="34"/>
  <c r="AK99" i="34"/>
  <c r="AJ404" i="31" s="1"/>
  <c r="AC99" i="34"/>
  <c r="U99" i="34"/>
  <c r="M99" i="34"/>
  <c r="AP99" i="34"/>
  <c r="AH99" i="34"/>
  <c r="AO99" i="34"/>
  <c r="AG99" i="34"/>
  <c r="Y99" i="34"/>
  <c r="Q99" i="34"/>
  <c r="I99" i="34"/>
  <c r="AM107" i="34"/>
  <c r="AE107" i="34"/>
  <c r="W107" i="34"/>
  <c r="O107" i="34"/>
  <c r="AL107" i="34"/>
  <c r="AD107" i="34"/>
  <c r="V107" i="34"/>
  <c r="N107" i="34"/>
  <c r="AK107" i="34"/>
  <c r="AC107" i="34"/>
  <c r="U107" i="34"/>
  <c r="M107" i="34"/>
  <c r="AP107" i="34"/>
  <c r="AH107" i="34"/>
  <c r="Z107" i="34"/>
  <c r="R107" i="34"/>
  <c r="J107" i="34"/>
  <c r="AO107" i="34"/>
  <c r="AG107" i="34"/>
  <c r="Y107" i="34"/>
  <c r="Q107" i="34"/>
  <c r="P107" i="35" s="1"/>
  <c r="I107" i="34"/>
  <c r="AN115" i="34"/>
  <c r="AF115" i="34"/>
  <c r="X115" i="34"/>
  <c r="P115" i="34"/>
  <c r="AM115" i="34"/>
  <c r="AE115" i="34"/>
  <c r="W115" i="34"/>
  <c r="O115" i="34"/>
  <c r="AL115" i="34"/>
  <c r="AD115" i="34"/>
  <c r="V115" i="34"/>
  <c r="N115" i="34"/>
  <c r="AK115" i="34"/>
  <c r="AC115" i="34"/>
  <c r="U115" i="34"/>
  <c r="M115" i="34"/>
  <c r="AI115" i="34"/>
  <c r="S115" i="34"/>
  <c r="AH115" i="34"/>
  <c r="R115" i="34"/>
  <c r="AG115" i="34"/>
  <c r="Q115" i="34"/>
  <c r="AP115" i="34"/>
  <c r="Z115" i="34"/>
  <c r="J115" i="34"/>
  <c r="AO115" i="34"/>
  <c r="Y115" i="34"/>
  <c r="I115" i="34"/>
  <c r="AI123" i="34"/>
  <c r="AA123" i="34"/>
  <c r="S123" i="34"/>
  <c r="K123" i="34"/>
  <c r="AN123" i="34"/>
  <c r="AF123" i="34"/>
  <c r="AE123" i="35" s="1"/>
  <c r="X123" i="34"/>
  <c r="W123" i="35" s="1"/>
  <c r="P123" i="34"/>
  <c r="AM123" i="34"/>
  <c r="AE123" i="34"/>
  <c r="AD123" i="35" s="1"/>
  <c r="W123" i="34"/>
  <c r="V123" i="35" s="1"/>
  <c r="O123" i="34"/>
  <c r="AL123" i="34"/>
  <c r="AD123" i="34"/>
  <c r="AC123" i="35" s="1"/>
  <c r="V123" i="34"/>
  <c r="N123" i="34"/>
  <c r="AK123" i="34"/>
  <c r="AC123" i="34"/>
  <c r="AB123" i="35" s="1"/>
  <c r="U123" i="34"/>
  <c r="T123" i="35" s="1"/>
  <c r="M123" i="34"/>
  <c r="AO123" i="34"/>
  <c r="R123" i="34"/>
  <c r="AJ123" i="34"/>
  <c r="Q123" i="34"/>
  <c r="AH123" i="34"/>
  <c r="L123" i="34"/>
  <c r="Z123" i="34"/>
  <c r="Y123" i="34"/>
  <c r="X123" i="35" s="1"/>
  <c r="AI131" i="34"/>
  <c r="AA131" i="34"/>
  <c r="S131" i="34"/>
  <c r="K131" i="34"/>
  <c r="AP131" i="34"/>
  <c r="AH131" i="34"/>
  <c r="Z131" i="34"/>
  <c r="R131" i="34"/>
  <c r="J131" i="34"/>
  <c r="AN131" i="34"/>
  <c r="AF131" i="34"/>
  <c r="X131" i="34"/>
  <c r="P131" i="34"/>
  <c r="AM131" i="34"/>
  <c r="AE131" i="34"/>
  <c r="W131" i="34"/>
  <c r="O131" i="34"/>
  <c r="AL131" i="34"/>
  <c r="AD131" i="34"/>
  <c r="V131" i="34"/>
  <c r="N131" i="34"/>
  <c r="AK131" i="34"/>
  <c r="AC131" i="34"/>
  <c r="U131" i="34"/>
  <c r="M131" i="34"/>
  <c r="AO131" i="34"/>
  <c r="I131" i="34"/>
  <c r="AJ131" i="34"/>
  <c r="AG131" i="34"/>
  <c r="T131" i="34"/>
  <c r="Q131" i="34"/>
  <c r="AL139" i="34"/>
  <c r="AD139" i="34"/>
  <c r="V139" i="34"/>
  <c r="N139" i="34"/>
  <c r="AK139" i="34"/>
  <c r="AC139" i="34"/>
  <c r="U139" i="34"/>
  <c r="M139" i="34"/>
  <c r="AJ139" i="34"/>
  <c r="AB139" i="34"/>
  <c r="T139" i="34"/>
  <c r="L139" i="34"/>
  <c r="AI139" i="34"/>
  <c r="AA139" i="34"/>
  <c r="S139" i="34"/>
  <c r="K139" i="34"/>
  <c r="AP139" i="34"/>
  <c r="AH139" i="34"/>
  <c r="Z139" i="34"/>
  <c r="R139" i="34"/>
  <c r="J139" i="34"/>
  <c r="AO139" i="34"/>
  <c r="AG139" i="34"/>
  <c r="Y139" i="34"/>
  <c r="Q139" i="34"/>
  <c r="I139" i="34"/>
  <c r="AN139" i="34"/>
  <c r="AM139" i="34"/>
  <c r="AE139" i="34"/>
  <c r="X139" i="34"/>
  <c r="W139" i="34"/>
  <c r="P139" i="34"/>
  <c r="AF139" i="34"/>
  <c r="AL147" i="34"/>
  <c r="AK147" i="35" s="1"/>
  <c r="AD147" i="34"/>
  <c r="AC147" i="35" s="1"/>
  <c r="V147" i="34"/>
  <c r="N147" i="34"/>
  <c r="AK147" i="34"/>
  <c r="AJ147" i="35" s="1"/>
  <c r="AC147" i="34"/>
  <c r="AB147" i="35" s="1"/>
  <c r="U147" i="34"/>
  <c r="M147" i="34"/>
  <c r="AJ147" i="34"/>
  <c r="AI147" i="35" s="1"/>
  <c r="AB147" i="34"/>
  <c r="AA147" i="35" s="1"/>
  <c r="T147" i="34"/>
  <c r="L147" i="34"/>
  <c r="AI147" i="34"/>
  <c r="AH147" i="35" s="1"/>
  <c r="AA147" i="34"/>
  <c r="Z147" i="35" s="1"/>
  <c r="S147" i="34"/>
  <c r="K147" i="34"/>
  <c r="AP147" i="34"/>
  <c r="AH147" i="34"/>
  <c r="AG147" i="35" s="1"/>
  <c r="Z147" i="34"/>
  <c r="Y147" i="35" s="1"/>
  <c r="R147" i="34"/>
  <c r="J147" i="34"/>
  <c r="AO147" i="34"/>
  <c r="AG147" i="34"/>
  <c r="AF147" i="35" s="1"/>
  <c r="Y147" i="34"/>
  <c r="X147" i="35" s="1"/>
  <c r="Q147" i="34"/>
  <c r="I147" i="34"/>
  <c r="X147" i="34"/>
  <c r="W147" i="34"/>
  <c r="O147" i="34"/>
  <c r="AN147" i="34"/>
  <c r="AM147" i="35" s="1"/>
  <c r="AM147" i="34"/>
  <c r="AL147" i="35" s="1"/>
  <c r="AF147" i="34"/>
  <c r="AE147" i="35" s="1"/>
  <c r="AE147" i="34"/>
  <c r="AD147" i="35" s="1"/>
  <c r="P147" i="34"/>
  <c r="AL155" i="34"/>
  <c r="AD155" i="34"/>
  <c r="V155" i="34"/>
  <c r="N155" i="34"/>
  <c r="AK155" i="34"/>
  <c r="AC155" i="34"/>
  <c r="U155" i="34"/>
  <c r="M155" i="34"/>
  <c r="AJ155" i="34"/>
  <c r="AB155" i="34"/>
  <c r="T155" i="34"/>
  <c r="L155" i="34"/>
  <c r="AI155" i="34"/>
  <c r="AA155" i="34"/>
  <c r="S155" i="34"/>
  <c r="K155" i="34"/>
  <c r="AP155" i="34"/>
  <c r="AH155" i="34"/>
  <c r="Z155" i="34"/>
  <c r="R155" i="34"/>
  <c r="J155" i="34"/>
  <c r="AO155" i="34"/>
  <c r="AG155" i="34"/>
  <c r="Y155" i="34"/>
  <c r="Q155" i="34"/>
  <c r="I155" i="34"/>
  <c r="AN155" i="34"/>
  <c r="AM155" i="34"/>
  <c r="AE155" i="34"/>
  <c r="X155" i="34"/>
  <c r="W155" i="34"/>
  <c r="P155" i="34"/>
  <c r="AF155" i="34"/>
  <c r="O155" i="34"/>
  <c r="AL163" i="34"/>
  <c r="AD163" i="34"/>
  <c r="V163" i="34"/>
  <c r="N163" i="34"/>
  <c r="AK163" i="34"/>
  <c r="AC163" i="34"/>
  <c r="U163" i="34"/>
  <c r="M163" i="34"/>
  <c r="AJ163" i="34"/>
  <c r="AB163" i="34"/>
  <c r="T163" i="34"/>
  <c r="L163" i="34"/>
  <c r="AI163" i="34"/>
  <c r="AA163" i="34"/>
  <c r="S163" i="34"/>
  <c r="K163" i="34"/>
  <c r="AP163" i="34"/>
  <c r="AH163" i="34"/>
  <c r="Z163" i="34"/>
  <c r="R163" i="34"/>
  <c r="J163" i="34"/>
  <c r="AO163" i="34"/>
  <c r="AG163" i="34"/>
  <c r="Y163" i="34"/>
  <c r="Q163" i="34"/>
  <c r="I163" i="34"/>
  <c r="X163" i="34"/>
  <c r="W163" i="34"/>
  <c r="O163" i="34"/>
  <c r="AN163" i="34"/>
  <c r="AM163" i="34"/>
  <c r="AF163" i="34"/>
  <c r="P163" i="34"/>
  <c r="AL171" i="34"/>
  <c r="AD171" i="34"/>
  <c r="V171" i="34"/>
  <c r="N171" i="34"/>
  <c r="AK171" i="34"/>
  <c r="AC171" i="34"/>
  <c r="U171" i="34"/>
  <c r="M171" i="34"/>
  <c r="AJ171" i="34"/>
  <c r="AB171" i="34"/>
  <c r="T171" i="34"/>
  <c r="L171" i="34"/>
  <c r="AI171" i="34"/>
  <c r="AA171" i="34"/>
  <c r="S171" i="34"/>
  <c r="K171" i="34"/>
  <c r="AP171" i="34"/>
  <c r="AH171" i="34"/>
  <c r="Z171" i="34"/>
  <c r="R171" i="34"/>
  <c r="J171" i="34"/>
  <c r="AO171" i="34"/>
  <c r="AG171" i="34"/>
  <c r="Y171" i="34"/>
  <c r="Q171" i="34"/>
  <c r="I171" i="34"/>
  <c r="AN171" i="34"/>
  <c r="AM171" i="34"/>
  <c r="AE171" i="34"/>
  <c r="X171" i="34"/>
  <c r="W171" i="34"/>
  <c r="P171" i="34"/>
  <c r="AF171" i="34"/>
  <c r="AL179" i="34"/>
  <c r="AD179" i="34"/>
  <c r="V179" i="34"/>
  <c r="N179" i="34"/>
  <c r="AK179" i="34"/>
  <c r="AC179" i="34"/>
  <c r="U179" i="34"/>
  <c r="M179" i="34"/>
  <c r="AJ179" i="34"/>
  <c r="AB179" i="34"/>
  <c r="T179" i="34"/>
  <c r="L179" i="34"/>
  <c r="AI179" i="34"/>
  <c r="AA179" i="34"/>
  <c r="S179" i="34"/>
  <c r="K179" i="34"/>
  <c r="AP179" i="34"/>
  <c r="AH179" i="34"/>
  <c r="Z179" i="34"/>
  <c r="R179" i="34"/>
  <c r="J179" i="34"/>
  <c r="AO179" i="34"/>
  <c r="AG179" i="34"/>
  <c r="Y179" i="34"/>
  <c r="Q179" i="34"/>
  <c r="I179" i="34"/>
  <c r="X179" i="34"/>
  <c r="W179" i="34"/>
  <c r="O179" i="34"/>
  <c r="AN179" i="34"/>
  <c r="AM179" i="34"/>
  <c r="AF179" i="34"/>
  <c r="AE179" i="34"/>
  <c r="P179" i="34"/>
  <c r="AL187" i="34"/>
  <c r="AK492" i="31" s="1"/>
  <c r="AD187" i="34"/>
  <c r="V187" i="34"/>
  <c r="N187" i="34"/>
  <c r="AK187" i="34"/>
  <c r="AJ492" i="31" s="1"/>
  <c r="AC187" i="34"/>
  <c r="U187" i="34"/>
  <c r="M187" i="34"/>
  <c r="AJ187" i="34"/>
  <c r="AB187" i="34"/>
  <c r="T187" i="34"/>
  <c r="L187" i="34"/>
  <c r="AI187" i="34"/>
  <c r="AA187" i="34"/>
  <c r="S187" i="34"/>
  <c r="K187" i="34"/>
  <c r="AP187" i="34"/>
  <c r="AO492" i="31" s="1"/>
  <c r="AH187" i="34"/>
  <c r="Z187" i="34"/>
  <c r="R187" i="34"/>
  <c r="J187" i="34"/>
  <c r="AO187" i="34"/>
  <c r="AN492" i="31" s="1"/>
  <c r="AG187" i="34"/>
  <c r="Y187" i="34"/>
  <c r="Q187" i="34"/>
  <c r="I187" i="34"/>
  <c r="AN187" i="34"/>
  <c r="AM492" i="31" s="1"/>
  <c r="AM187" i="34"/>
  <c r="AL492" i="31" s="1"/>
  <c r="AE187" i="34"/>
  <c r="X187" i="34"/>
  <c r="W187" i="34"/>
  <c r="P187" i="34"/>
  <c r="O187" i="34"/>
  <c r="AL195" i="34"/>
  <c r="AK500" i="31" s="1"/>
  <c r="AD195" i="34"/>
  <c r="V195" i="34"/>
  <c r="N195" i="34"/>
  <c r="AK195" i="34"/>
  <c r="AJ500" i="31" s="1"/>
  <c r="AC195" i="34"/>
  <c r="U195" i="34"/>
  <c r="M195" i="34"/>
  <c r="AJ195" i="34"/>
  <c r="AB195" i="34"/>
  <c r="T195" i="34"/>
  <c r="L195" i="34"/>
  <c r="AI195" i="34"/>
  <c r="AA195" i="34"/>
  <c r="S195" i="34"/>
  <c r="K195" i="34"/>
  <c r="AP195" i="34"/>
  <c r="AO500" i="31" s="1"/>
  <c r="AH195" i="34"/>
  <c r="Z195" i="34"/>
  <c r="R195" i="34"/>
  <c r="J195" i="34"/>
  <c r="AO195" i="34"/>
  <c r="AN500" i="31" s="1"/>
  <c r="AG195" i="34"/>
  <c r="Y195" i="34"/>
  <c r="Q195" i="34"/>
  <c r="I195" i="34"/>
  <c r="X195" i="34"/>
  <c r="W195" i="34"/>
  <c r="O195" i="34"/>
  <c r="AN195" i="34"/>
  <c r="AM500" i="31" s="1"/>
  <c r="AM195" i="34"/>
  <c r="AL500" i="31" s="1"/>
  <c r="AF195" i="34"/>
  <c r="AO203" i="34"/>
  <c r="AN508" i="31" s="1"/>
  <c r="AG203" i="34"/>
  <c r="AF203" i="35" s="1"/>
  <c r="Y203" i="34"/>
  <c r="X203" i="35" s="1"/>
  <c r="Q203" i="34"/>
  <c r="P203" i="35" s="1"/>
  <c r="I203" i="34"/>
  <c r="H203" i="35" s="1"/>
  <c r="AN203" i="34"/>
  <c r="AF203" i="34"/>
  <c r="AE203" i="35" s="1"/>
  <c r="X203" i="34"/>
  <c r="W203" i="35" s="1"/>
  <c r="P203" i="34"/>
  <c r="O203" i="35" s="1"/>
  <c r="AM203" i="34"/>
  <c r="AE203" i="34"/>
  <c r="AD203" i="35" s="1"/>
  <c r="W203" i="34"/>
  <c r="V203" i="35" s="1"/>
  <c r="O203" i="34"/>
  <c r="N203" i="35" s="1"/>
  <c r="AL203" i="34"/>
  <c r="AD203" i="34"/>
  <c r="AC203" i="35" s="1"/>
  <c r="V203" i="34"/>
  <c r="U203" i="35" s="1"/>
  <c r="N203" i="34"/>
  <c r="M203" i="35" s="1"/>
  <c r="AJ203" i="34"/>
  <c r="AI203" i="35" s="1"/>
  <c r="AB203" i="34"/>
  <c r="AA203" i="35" s="1"/>
  <c r="T203" i="34"/>
  <c r="S203" i="35" s="1"/>
  <c r="L203" i="34"/>
  <c r="K203" i="35" s="1"/>
  <c r="U203" i="34"/>
  <c r="T203" i="35" s="1"/>
  <c r="AP203" i="34"/>
  <c r="AO508" i="31" s="1"/>
  <c r="S203" i="34"/>
  <c r="R203" i="35" s="1"/>
  <c r="AK203" i="34"/>
  <c r="R203" i="34"/>
  <c r="Q203" i="35" s="1"/>
  <c r="AI203" i="34"/>
  <c r="AH203" i="35" s="1"/>
  <c r="M203" i="34"/>
  <c r="L203" i="35" s="1"/>
  <c r="AH203" i="34"/>
  <c r="AG203" i="35" s="1"/>
  <c r="K203" i="34"/>
  <c r="J203" i="35" s="1"/>
  <c r="AC203" i="34"/>
  <c r="AB203" i="35" s="1"/>
  <c r="J203" i="34"/>
  <c r="I203" i="35" s="1"/>
  <c r="AA203" i="34"/>
  <c r="Z203" i="35" s="1"/>
  <c r="Z203" i="34"/>
  <c r="Y203" i="35" s="1"/>
  <c r="AO211" i="34"/>
  <c r="AG211" i="34"/>
  <c r="AF211" i="35" s="1"/>
  <c r="Y211" i="34"/>
  <c r="X211" i="35" s="1"/>
  <c r="Q211" i="34"/>
  <c r="I211" i="34"/>
  <c r="AN211" i="34"/>
  <c r="AM211" i="35" s="1"/>
  <c r="AF211" i="34"/>
  <c r="AE211" i="35" s="1"/>
  <c r="X211" i="34"/>
  <c r="W211" i="35" s="1"/>
  <c r="P211" i="34"/>
  <c r="AM211" i="34"/>
  <c r="AL211" i="35" s="1"/>
  <c r="AE211" i="34"/>
  <c r="AD211" i="35" s="1"/>
  <c r="W211" i="34"/>
  <c r="V211" i="35" s="1"/>
  <c r="O211" i="34"/>
  <c r="AL211" i="34"/>
  <c r="AK211" i="35" s="1"/>
  <c r="AD211" i="34"/>
  <c r="AC211" i="35" s="1"/>
  <c r="V211" i="34"/>
  <c r="U211" i="35" s="1"/>
  <c r="N211" i="34"/>
  <c r="AK211" i="34"/>
  <c r="AJ211" i="35" s="1"/>
  <c r="AC211" i="34"/>
  <c r="AB211" i="35" s="1"/>
  <c r="U211" i="34"/>
  <c r="T211" i="35" s="1"/>
  <c r="M211" i="34"/>
  <c r="AJ211" i="34"/>
  <c r="AI211" i="35" s="1"/>
  <c r="AB211" i="34"/>
  <c r="AA211" i="35" s="1"/>
  <c r="T211" i="34"/>
  <c r="S211" i="35" s="1"/>
  <c r="L211" i="34"/>
  <c r="S211" i="34"/>
  <c r="R211" i="35" s="1"/>
  <c r="R211" i="34"/>
  <c r="K211" i="34"/>
  <c r="AP211" i="34"/>
  <c r="J211" i="34"/>
  <c r="AI211" i="34"/>
  <c r="AH211" i="35" s="1"/>
  <c r="AH211" i="34"/>
  <c r="AG211" i="35" s="1"/>
  <c r="AA211" i="34"/>
  <c r="Z211" i="35" s="1"/>
  <c r="Z211" i="34"/>
  <c r="Y211" i="35" s="1"/>
  <c r="AO219" i="34"/>
  <c r="AG219" i="34"/>
  <c r="Y219" i="34"/>
  <c r="Q219" i="34"/>
  <c r="I219" i="34"/>
  <c r="AN219" i="34"/>
  <c r="AF219" i="34"/>
  <c r="X219" i="34"/>
  <c r="P219" i="34"/>
  <c r="AM219" i="34"/>
  <c r="AE219" i="34"/>
  <c r="W219" i="34"/>
  <c r="O219" i="34"/>
  <c r="AL219" i="34"/>
  <c r="AD219" i="34"/>
  <c r="V219" i="34"/>
  <c r="N219" i="34"/>
  <c r="AK219" i="34"/>
  <c r="AC219" i="34"/>
  <c r="U219" i="34"/>
  <c r="M219" i="34"/>
  <c r="AJ219" i="34"/>
  <c r="AB219" i="34"/>
  <c r="T219" i="34"/>
  <c r="L219" i="34"/>
  <c r="AI219" i="34"/>
  <c r="AH219" i="34"/>
  <c r="AA219" i="34"/>
  <c r="Z219" i="34"/>
  <c r="S219" i="34"/>
  <c r="R219" i="34"/>
  <c r="K219" i="34"/>
  <c r="J219" i="34"/>
  <c r="AP219" i="34"/>
  <c r="AO227" i="34"/>
  <c r="AG227" i="34"/>
  <c r="Y227" i="34"/>
  <c r="Q227" i="34"/>
  <c r="I227" i="34"/>
  <c r="AN227" i="34"/>
  <c r="AF227" i="34"/>
  <c r="X227" i="34"/>
  <c r="P227" i="34"/>
  <c r="AM227" i="34"/>
  <c r="AE227" i="34"/>
  <c r="W227" i="34"/>
  <c r="O227" i="34"/>
  <c r="AL227" i="34"/>
  <c r="AD227" i="34"/>
  <c r="V227" i="34"/>
  <c r="N227" i="34"/>
  <c r="AK227" i="34"/>
  <c r="AC227" i="34"/>
  <c r="U227" i="34"/>
  <c r="M227" i="34"/>
  <c r="AJ227" i="34"/>
  <c r="AB227" i="34"/>
  <c r="T227" i="34"/>
  <c r="L227" i="34"/>
  <c r="S227" i="34"/>
  <c r="R227" i="34"/>
  <c r="K227" i="34"/>
  <c r="AP227" i="34"/>
  <c r="J227" i="34"/>
  <c r="AI227" i="34"/>
  <c r="AH227" i="34"/>
  <c r="AA227" i="34"/>
  <c r="AK235" i="34"/>
  <c r="AC235" i="34"/>
  <c r="U235" i="34"/>
  <c r="M235" i="34"/>
  <c r="AJ235" i="34"/>
  <c r="AB235" i="34"/>
  <c r="T235" i="34"/>
  <c r="L235" i="34"/>
  <c r="AI235" i="34"/>
  <c r="AA235" i="34"/>
  <c r="S235" i="34"/>
  <c r="K235" i="34"/>
  <c r="AP235" i="34"/>
  <c r="AE235" i="34"/>
  <c r="Q235" i="34"/>
  <c r="AO235" i="34"/>
  <c r="AD235" i="34"/>
  <c r="P235" i="34"/>
  <c r="AN235" i="34"/>
  <c r="Z235" i="34"/>
  <c r="O235" i="34"/>
  <c r="AM235" i="34"/>
  <c r="Y235" i="34"/>
  <c r="N235" i="34"/>
  <c r="AL235" i="34"/>
  <c r="X235" i="34"/>
  <c r="J235" i="34"/>
  <c r="AH235" i="34"/>
  <c r="W235" i="34"/>
  <c r="I235" i="34"/>
  <c r="V235" i="34"/>
  <c r="R235" i="34"/>
  <c r="AG235" i="34"/>
  <c r="AF235" i="34"/>
  <c r="AK243" i="34"/>
  <c r="AC243" i="34"/>
  <c r="U243" i="34"/>
  <c r="M243" i="34"/>
  <c r="AJ243" i="34"/>
  <c r="AB243" i="34"/>
  <c r="T243" i="34"/>
  <c r="L243" i="34"/>
  <c r="AI243" i="34"/>
  <c r="AA243" i="34"/>
  <c r="S243" i="34"/>
  <c r="K243" i="34"/>
  <c r="AP243" i="34"/>
  <c r="AH243" i="34"/>
  <c r="Z243" i="34"/>
  <c r="R243" i="34"/>
  <c r="J243" i="34"/>
  <c r="AL243" i="34"/>
  <c r="V243" i="34"/>
  <c r="AG243" i="34"/>
  <c r="Q243" i="34"/>
  <c r="AF243" i="34"/>
  <c r="P243" i="34"/>
  <c r="AE243" i="34"/>
  <c r="O243" i="34"/>
  <c r="AD243" i="34"/>
  <c r="N243" i="34"/>
  <c r="AO243" i="34"/>
  <c r="Y243" i="34"/>
  <c r="I243" i="34"/>
  <c r="AN243" i="34"/>
  <c r="AM243" i="34"/>
  <c r="X243" i="34"/>
  <c r="W243" i="34"/>
  <c r="AM251" i="34"/>
  <c r="AE251" i="34"/>
  <c r="W251" i="34"/>
  <c r="O251" i="34"/>
  <c r="AL251" i="34"/>
  <c r="AD251" i="34"/>
  <c r="V251" i="34"/>
  <c r="N251" i="34"/>
  <c r="AK251" i="34"/>
  <c r="AC251" i="34"/>
  <c r="U251" i="34"/>
  <c r="M251" i="34"/>
  <c r="AJ251" i="34"/>
  <c r="AB251" i="34"/>
  <c r="T251" i="34"/>
  <c r="L251" i="34"/>
  <c r="AP251" i="34"/>
  <c r="AH251" i="34"/>
  <c r="Z251" i="34"/>
  <c r="R251" i="34"/>
  <c r="J251" i="34"/>
  <c r="Y251" i="34"/>
  <c r="X251" i="34"/>
  <c r="AO251" i="34"/>
  <c r="S251" i="34"/>
  <c r="AN251" i="34"/>
  <c r="Q251" i="34"/>
  <c r="AI251" i="34"/>
  <c r="P251" i="34"/>
  <c r="K251" i="34"/>
  <c r="I251" i="34"/>
  <c r="AG251" i="34"/>
  <c r="AF251" i="34"/>
  <c r="AA251" i="34"/>
  <c r="AM259" i="34"/>
  <c r="AL259" i="35" s="1"/>
  <c r="AE259" i="34"/>
  <c r="AD259" i="35" s="1"/>
  <c r="W259" i="34"/>
  <c r="V259" i="35" s="1"/>
  <c r="O259" i="34"/>
  <c r="AL259" i="34"/>
  <c r="AK259" i="35" s="1"/>
  <c r="AD259" i="34"/>
  <c r="AC259" i="35" s="1"/>
  <c r="V259" i="34"/>
  <c r="U259" i="35" s="1"/>
  <c r="N259" i="34"/>
  <c r="M259" i="35" s="1"/>
  <c r="AK259" i="34"/>
  <c r="AJ259" i="35" s="1"/>
  <c r="AC259" i="34"/>
  <c r="AB259" i="35" s="1"/>
  <c r="U259" i="34"/>
  <c r="T259" i="35" s="1"/>
  <c r="M259" i="34"/>
  <c r="AJ259" i="34"/>
  <c r="AI259" i="35" s="1"/>
  <c r="AB259" i="34"/>
  <c r="AA259" i="35" s="1"/>
  <c r="T259" i="34"/>
  <c r="S259" i="35" s="1"/>
  <c r="L259" i="34"/>
  <c r="AP259" i="34"/>
  <c r="AH259" i="34"/>
  <c r="AG259" i="35" s="1"/>
  <c r="Z259" i="34"/>
  <c r="Y259" i="35" s="1"/>
  <c r="R259" i="34"/>
  <c r="Q259" i="35" s="1"/>
  <c r="J259" i="34"/>
  <c r="I259" i="35" s="1"/>
  <c r="AF259" i="34"/>
  <c r="AE259" i="35" s="1"/>
  <c r="I259" i="34"/>
  <c r="AA259" i="34"/>
  <c r="Z259" i="35" s="1"/>
  <c r="Y259" i="34"/>
  <c r="X259" i="35" s="1"/>
  <c r="X259" i="34"/>
  <c r="W259" i="35" s="1"/>
  <c r="AO259" i="34"/>
  <c r="S259" i="34"/>
  <c r="R259" i="35" s="1"/>
  <c r="AN259" i="34"/>
  <c r="AM259" i="35" s="1"/>
  <c r="Q259" i="34"/>
  <c r="P259" i="35" s="1"/>
  <c r="AI259" i="34"/>
  <c r="AH259" i="35" s="1"/>
  <c r="AG259" i="34"/>
  <c r="AF259" i="35" s="1"/>
  <c r="P259" i="34"/>
  <c r="O259" i="35" s="1"/>
  <c r="K259" i="34"/>
  <c r="J259" i="35" s="1"/>
  <c r="AM267" i="34"/>
  <c r="AL572" i="31" s="1"/>
  <c r="AE267" i="34"/>
  <c r="W267" i="34"/>
  <c r="O267" i="34"/>
  <c r="AL267" i="34"/>
  <c r="AK572" i="31" s="1"/>
  <c r="AD267" i="34"/>
  <c r="V267" i="34"/>
  <c r="N267" i="34"/>
  <c r="AK267" i="34"/>
  <c r="AJ572" i="31" s="1"/>
  <c r="AC267" i="34"/>
  <c r="U267" i="34"/>
  <c r="M267" i="34"/>
  <c r="AJ267" i="34"/>
  <c r="AB267" i="34"/>
  <c r="T267" i="34"/>
  <c r="L267" i="34"/>
  <c r="AP267" i="34"/>
  <c r="AO572" i="31" s="1"/>
  <c r="AH267" i="34"/>
  <c r="Z267" i="34"/>
  <c r="R267" i="34"/>
  <c r="J267" i="34"/>
  <c r="AI267" i="34"/>
  <c r="P267" i="34"/>
  <c r="AG267" i="34"/>
  <c r="K267" i="34"/>
  <c r="AF267" i="34"/>
  <c r="I267" i="34"/>
  <c r="AA267" i="34"/>
  <c r="Y267" i="34"/>
  <c r="X267" i="34"/>
  <c r="S267" i="34"/>
  <c r="Q267" i="34"/>
  <c r="AO267" i="34"/>
  <c r="AN572" i="31" s="1"/>
  <c r="AN267" i="34"/>
  <c r="AM572" i="31" s="1"/>
  <c r="AM275" i="34"/>
  <c r="AL580" i="31" s="1"/>
  <c r="AE275" i="34"/>
  <c r="W275" i="34"/>
  <c r="O275" i="34"/>
  <c r="AL275" i="34"/>
  <c r="AK580" i="31" s="1"/>
  <c r="AD275" i="34"/>
  <c r="V275" i="34"/>
  <c r="N275" i="34"/>
  <c r="AK275" i="34"/>
  <c r="AJ580" i="31" s="1"/>
  <c r="AC275" i="34"/>
  <c r="U275" i="34"/>
  <c r="M275" i="34"/>
  <c r="AJ275" i="34"/>
  <c r="AB275" i="34"/>
  <c r="T275" i="34"/>
  <c r="L275" i="34"/>
  <c r="AP275" i="34"/>
  <c r="AO580" i="31" s="1"/>
  <c r="AH275" i="34"/>
  <c r="Z275" i="34"/>
  <c r="R275" i="34"/>
  <c r="J275" i="34"/>
  <c r="AO275" i="34"/>
  <c r="AN580" i="31" s="1"/>
  <c r="S275" i="34"/>
  <c r="AN275" i="34"/>
  <c r="AM580" i="31" s="1"/>
  <c r="Q275" i="34"/>
  <c r="AI275" i="34"/>
  <c r="P275" i="34"/>
  <c r="AG275" i="34"/>
  <c r="K275" i="34"/>
  <c r="AF275" i="34"/>
  <c r="I275" i="34"/>
  <c r="AA275" i="34"/>
  <c r="Y275" i="34"/>
  <c r="X275" i="34"/>
  <c r="AM283" i="34"/>
  <c r="AE283" i="34"/>
  <c r="W283" i="34"/>
  <c r="O283" i="34"/>
  <c r="AL283" i="34"/>
  <c r="AD283" i="34"/>
  <c r="V283" i="34"/>
  <c r="N283" i="34"/>
  <c r="AK283" i="34"/>
  <c r="AC283" i="34"/>
  <c r="U283" i="34"/>
  <c r="M283" i="34"/>
  <c r="AJ283" i="34"/>
  <c r="AB283" i="34"/>
  <c r="T283" i="34"/>
  <c r="L283" i="34"/>
  <c r="AP283" i="34"/>
  <c r="AH283" i="34"/>
  <c r="Z283" i="34"/>
  <c r="R283" i="34"/>
  <c r="J283" i="34"/>
  <c r="Y283" i="34"/>
  <c r="X283" i="34"/>
  <c r="AO283" i="34"/>
  <c r="S283" i="34"/>
  <c r="AN283" i="34"/>
  <c r="Q283" i="34"/>
  <c r="AI283" i="34"/>
  <c r="P283" i="34"/>
  <c r="AG283" i="34"/>
  <c r="K283" i="34"/>
  <c r="AF283" i="34"/>
  <c r="AA283" i="34"/>
  <c r="I283" i="34"/>
  <c r="AN291" i="34"/>
  <c r="AM596" i="31" s="1"/>
  <c r="AF291" i="34"/>
  <c r="X291" i="34"/>
  <c r="P291" i="34"/>
  <c r="AM291" i="34"/>
  <c r="AL596" i="31" s="1"/>
  <c r="AE291" i="34"/>
  <c r="W291" i="34"/>
  <c r="O291" i="34"/>
  <c r="AL291" i="34"/>
  <c r="AK596" i="31" s="1"/>
  <c r="AD291" i="34"/>
  <c r="V291" i="34"/>
  <c r="N291" i="34"/>
  <c r="AK291" i="34"/>
  <c r="AJ596" i="31" s="1"/>
  <c r="AC291" i="34"/>
  <c r="U291" i="34"/>
  <c r="M291" i="34"/>
  <c r="AI291" i="34"/>
  <c r="AA291" i="34"/>
  <c r="S291" i="34"/>
  <c r="K291" i="34"/>
  <c r="AP291" i="34"/>
  <c r="AO596" i="31" s="1"/>
  <c r="AH291" i="34"/>
  <c r="Z291" i="34"/>
  <c r="R291" i="34"/>
  <c r="J291" i="34"/>
  <c r="Y291" i="34"/>
  <c r="T291" i="34"/>
  <c r="Q291" i="34"/>
  <c r="L291" i="34"/>
  <c r="AJ291" i="34"/>
  <c r="AO291" i="34"/>
  <c r="AN596" i="31" s="1"/>
  <c r="AG291" i="34"/>
  <c r="AB291" i="34"/>
  <c r="I291" i="34"/>
  <c r="AN299" i="34"/>
  <c r="AF299" i="34"/>
  <c r="X299" i="34"/>
  <c r="P299" i="34"/>
  <c r="AM299" i="34"/>
  <c r="AE299" i="34"/>
  <c r="W299" i="34"/>
  <c r="O299" i="34"/>
  <c r="AL299" i="34"/>
  <c r="AD299" i="34"/>
  <c r="V299" i="34"/>
  <c r="N299" i="34"/>
  <c r="AK299" i="34"/>
  <c r="AC299" i="34"/>
  <c r="U299" i="34"/>
  <c r="M299" i="34"/>
  <c r="AJ299" i="34"/>
  <c r="AB299" i="34"/>
  <c r="T299" i="34"/>
  <c r="L299" i="34"/>
  <c r="AI299" i="34"/>
  <c r="AA299" i="34"/>
  <c r="S299" i="34"/>
  <c r="K299" i="34"/>
  <c r="AP299" i="34"/>
  <c r="AH299" i="34"/>
  <c r="Z299" i="34"/>
  <c r="R299" i="34"/>
  <c r="J299" i="34"/>
  <c r="Q299" i="34"/>
  <c r="I299" i="34"/>
  <c r="AO299" i="34"/>
  <c r="AG299" i="34"/>
  <c r="Y299" i="34"/>
  <c r="N10" i="34"/>
  <c r="V10" i="34"/>
  <c r="AD10" i="34"/>
  <c r="L11" i="34"/>
  <c r="T11" i="34"/>
  <c r="AB11" i="34"/>
  <c r="N14" i="34"/>
  <c r="V14" i="34"/>
  <c r="AD14" i="34"/>
  <c r="P17" i="34"/>
  <c r="O17" i="35" s="1"/>
  <c r="X17" i="34"/>
  <c r="AF17" i="34"/>
  <c r="N18" i="34"/>
  <c r="V18" i="34"/>
  <c r="AD18" i="34"/>
  <c r="L19" i="34"/>
  <c r="T19" i="34"/>
  <c r="AB19" i="34"/>
  <c r="N22" i="34"/>
  <c r="V22" i="34"/>
  <c r="AD22" i="34"/>
  <c r="P25" i="34"/>
  <c r="X25" i="34"/>
  <c r="AF25" i="34"/>
  <c r="N26" i="34"/>
  <c r="V26" i="34"/>
  <c r="AD26" i="34"/>
  <c r="L27" i="34"/>
  <c r="T27" i="34"/>
  <c r="AB27" i="34"/>
  <c r="N30" i="34"/>
  <c r="V30" i="34"/>
  <c r="AD30" i="34"/>
  <c r="P33" i="34"/>
  <c r="X33" i="34"/>
  <c r="AF33" i="34"/>
  <c r="N34" i="34"/>
  <c r="V34" i="34"/>
  <c r="AD34" i="34"/>
  <c r="L35" i="34"/>
  <c r="T35" i="34"/>
  <c r="S35" i="35" s="1"/>
  <c r="AB35" i="34"/>
  <c r="AA35" i="35" s="1"/>
  <c r="N38" i="34"/>
  <c r="V38" i="34"/>
  <c r="U38" i="35" s="1"/>
  <c r="AD38" i="34"/>
  <c r="AC38" i="35" s="1"/>
  <c r="P41" i="34"/>
  <c r="X41" i="34"/>
  <c r="AF41" i="34"/>
  <c r="N42" i="34"/>
  <c r="V42" i="34"/>
  <c r="AD42" i="34"/>
  <c r="L43" i="34"/>
  <c r="T43" i="34"/>
  <c r="AB43" i="34"/>
  <c r="J46" i="34"/>
  <c r="Z46" i="34"/>
  <c r="AP46" i="34"/>
  <c r="T49" i="34"/>
  <c r="AJ49" i="34"/>
  <c r="R50" i="34"/>
  <c r="AH50" i="34"/>
  <c r="P51" i="34"/>
  <c r="AF51" i="34"/>
  <c r="J54" i="34"/>
  <c r="Z54" i="34"/>
  <c r="AP54" i="34"/>
  <c r="T57" i="34"/>
  <c r="AJ57" i="34"/>
  <c r="R58" i="34"/>
  <c r="AH58" i="34"/>
  <c r="P59" i="34"/>
  <c r="AF59" i="34"/>
  <c r="J62" i="34"/>
  <c r="Z62" i="34"/>
  <c r="AP62" i="34"/>
  <c r="T65" i="34"/>
  <c r="AJ65" i="34"/>
  <c r="R66" i="34"/>
  <c r="AH66" i="34"/>
  <c r="P67" i="34"/>
  <c r="AF67" i="34"/>
  <c r="J70" i="34"/>
  <c r="Z70" i="34"/>
  <c r="AP70" i="34"/>
  <c r="AO375" i="31" s="1"/>
  <c r="T73" i="34"/>
  <c r="AJ73" i="34"/>
  <c r="R74" i="34"/>
  <c r="AH74" i="34"/>
  <c r="P75" i="34"/>
  <c r="O75" i="35" s="1"/>
  <c r="AF75" i="34"/>
  <c r="J78" i="34"/>
  <c r="Z78" i="34"/>
  <c r="AP78" i="34"/>
  <c r="T81" i="34"/>
  <c r="AJ81" i="34"/>
  <c r="R82" i="34"/>
  <c r="AH82" i="34"/>
  <c r="P83" i="34"/>
  <c r="AF83" i="34"/>
  <c r="J86" i="34"/>
  <c r="Z86" i="34"/>
  <c r="AP86" i="34"/>
  <c r="T89" i="34"/>
  <c r="AJ89" i="34"/>
  <c r="R90" i="34"/>
  <c r="AH90" i="34"/>
  <c r="P91" i="34"/>
  <c r="AF91" i="34"/>
  <c r="J94" i="34"/>
  <c r="Z94" i="34"/>
  <c r="AP94" i="34"/>
  <c r="T97" i="34"/>
  <c r="AJ97" i="34"/>
  <c r="R98" i="34"/>
  <c r="AH98" i="34"/>
  <c r="P99" i="34"/>
  <c r="AF99" i="34"/>
  <c r="N102" i="34"/>
  <c r="AK102" i="34"/>
  <c r="T105" i="34"/>
  <c r="S105" i="35" s="1"/>
  <c r="AN105" i="34"/>
  <c r="AM105" i="35" s="1"/>
  <c r="AC106" i="34"/>
  <c r="P107" i="34"/>
  <c r="AJ107" i="34"/>
  <c r="U110" i="34"/>
  <c r="AP110" i="34"/>
  <c r="X113" i="34"/>
  <c r="AD114" i="34"/>
  <c r="V118" i="34"/>
  <c r="X121" i="34"/>
  <c r="J123" i="34"/>
  <c r="AA126" i="34"/>
  <c r="Y131" i="34"/>
  <c r="S137" i="34"/>
  <c r="AG146" i="34"/>
  <c r="AF187" i="34"/>
  <c r="H10" i="35"/>
  <c r="P10" i="35"/>
  <c r="X10" i="35"/>
  <c r="AF10" i="35"/>
  <c r="R11" i="35"/>
  <c r="AC11" i="35"/>
  <c r="N13" i="35"/>
  <c r="Y13" i="35"/>
  <c r="L14" i="35"/>
  <c r="W14" i="35"/>
  <c r="AG14" i="35"/>
  <c r="J15" i="35"/>
  <c r="U15" i="35"/>
  <c r="H16" i="35"/>
  <c r="S16" i="35"/>
  <c r="AC16" i="35"/>
  <c r="AN16" i="35"/>
  <c r="Q17" i="35"/>
  <c r="I21" i="35"/>
  <c r="S21" i="35"/>
  <c r="Q22" i="35"/>
  <c r="AB22" i="35"/>
  <c r="AM22" i="35"/>
  <c r="O23" i="35"/>
  <c r="Z23" i="35"/>
  <c r="M24" i="35"/>
  <c r="X24" i="35"/>
  <c r="K25" i="35"/>
  <c r="V25" i="35"/>
  <c r="I26" i="35"/>
  <c r="T26" i="35"/>
  <c r="R27" i="35"/>
  <c r="AC27" i="35"/>
  <c r="P28" i="35"/>
  <c r="AA28" i="35"/>
  <c r="AK28" i="35"/>
  <c r="N29" i="35"/>
  <c r="Y29" i="35"/>
  <c r="L30" i="35"/>
  <c r="W30" i="35"/>
  <c r="AG30" i="35"/>
  <c r="J31" i="35"/>
  <c r="U31" i="35"/>
  <c r="H32" i="35"/>
  <c r="S32" i="35"/>
  <c r="AC32" i="35"/>
  <c r="J33" i="35"/>
  <c r="AA40" i="35"/>
  <c r="AJ11" i="35"/>
  <c r="AB11" i="35"/>
  <c r="T11" i="35"/>
  <c r="L11" i="35"/>
  <c r="AO11" i="35"/>
  <c r="AG11" i="35"/>
  <c r="Y11" i="35"/>
  <c r="Q11" i="35"/>
  <c r="I11" i="35"/>
  <c r="AN13" i="35"/>
  <c r="AF13" i="35"/>
  <c r="X13" i="35"/>
  <c r="P13" i="35"/>
  <c r="H13" i="35"/>
  <c r="AK13" i="35"/>
  <c r="AC13" i="35"/>
  <c r="U13" i="35"/>
  <c r="M13" i="35"/>
  <c r="AJ15" i="35"/>
  <c r="AB15" i="35"/>
  <c r="T15" i="35"/>
  <c r="L15" i="35"/>
  <c r="AO15" i="35"/>
  <c r="AG15" i="35"/>
  <c r="Y15" i="35"/>
  <c r="Q15" i="35"/>
  <c r="I15" i="35"/>
  <c r="P17" i="35"/>
  <c r="H17" i="35"/>
  <c r="M17" i="35"/>
  <c r="X21" i="35"/>
  <c r="P21" i="35"/>
  <c r="H21" i="35"/>
  <c r="U21" i="35"/>
  <c r="M21" i="35"/>
  <c r="AJ23" i="35"/>
  <c r="AB23" i="35"/>
  <c r="T23" i="35"/>
  <c r="L23" i="35"/>
  <c r="AO23" i="35"/>
  <c r="AG23" i="35"/>
  <c r="Y23" i="35"/>
  <c r="Q23" i="35"/>
  <c r="I23" i="35"/>
  <c r="AN25" i="35"/>
  <c r="AF25" i="35"/>
  <c r="X25" i="35"/>
  <c r="P25" i="35"/>
  <c r="H25" i="35"/>
  <c r="AK25" i="35"/>
  <c r="AC25" i="35"/>
  <c r="U25" i="35"/>
  <c r="M25" i="35"/>
  <c r="AB27" i="35"/>
  <c r="T27" i="35"/>
  <c r="L27" i="35"/>
  <c r="Y27" i="35"/>
  <c r="Q27" i="35"/>
  <c r="I27" i="35"/>
  <c r="AF29" i="35"/>
  <c r="X29" i="35"/>
  <c r="P29" i="35"/>
  <c r="H29" i="35"/>
  <c r="AK29" i="35"/>
  <c r="AC29" i="35"/>
  <c r="U29" i="35"/>
  <c r="M29" i="35"/>
  <c r="AG31" i="35"/>
  <c r="Y31" i="35"/>
  <c r="Q31" i="35"/>
  <c r="I31" i="35"/>
  <c r="AJ33" i="35"/>
  <c r="AB33" i="35"/>
  <c r="T33" i="35"/>
  <c r="L33" i="35"/>
  <c r="AN33" i="35"/>
  <c r="AF33" i="35"/>
  <c r="X33" i="35"/>
  <c r="P33" i="35"/>
  <c r="H33" i="35"/>
  <c r="AM33" i="35"/>
  <c r="AE33" i="35"/>
  <c r="W33" i="35"/>
  <c r="O33" i="35"/>
  <c r="AL33" i="35"/>
  <c r="AD33" i="35"/>
  <c r="V33" i="35"/>
  <c r="AK33" i="35"/>
  <c r="AC33" i="35"/>
  <c r="U33" i="35"/>
  <c r="M33" i="35"/>
  <c r="P35" i="35"/>
  <c r="H35" i="35"/>
  <c r="W35" i="35"/>
  <c r="O35" i="35"/>
  <c r="N35" i="35"/>
  <c r="AB35" i="35"/>
  <c r="L35" i="35"/>
  <c r="K35" i="35"/>
  <c r="Z35" i="35"/>
  <c r="R35" i="35"/>
  <c r="J35" i="35"/>
  <c r="Q35" i="35"/>
  <c r="I35" i="35"/>
  <c r="L37" i="35"/>
  <c r="S37" i="35"/>
  <c r="K37" i="35"/>
  <c r="R37" i="35"/>
  <c r="J37" i="35"/>
  <c r="P37" i="35"/>
  <c r="H37" i="35"/>
  <c r="O37" i="35"/>
  <c r="N37" i="35"/>
  <c r="M37" i="35"/>
  <c r="P39" i="35"/>
  <c r="H39" i="35"/>
  <c r="W39" i="35"/>
  <c r="O39" i="35"/>
  <c r="V39" i="35"/>
  <c r="N39" i="35"/>
  <c r="T39" i="35"/>
  <c r="L39" i="35"/>
  <c r="S39" i="35"/>
  <c r="K39" i="35"/>
  <c r="R39" i="35"/>
  <c r="J39" i="35"/>
  <c r="Q39" i="35"/>
  <c r="I39" i="35"/>
  <c r="AJ41" i="35"/>
  <c r="AB41" i="35"/>
  <c r="T41" i="35"/>
  <c r="L41" i="35"/>
  <c r="AI41" i="35"/>
  <c r="AA41" i="35"/>
  <c r="S41" i="35"/>
  <c r="K41" i="35"/>
  <c r="AH41" i="35"/>
  <c r="Z41" i="35"/>
  <c r="R41" i="35"/>
  <c r="J41" i="35"/>
  <c r="AO41" i="35"/>
  <c r="AG41" i="35"/>
  <c r="AN41" i="35"/>
  <c r="AF41" i="35"/>
  <c r="X41" i="35"/>
  <c r="P41" i="35"/>
  <c r="H41" i="35"/>
  <c r="AM41" i="35"/>
  <c r="AE41" i="35"/>
  <c r="W41" i="35"/>
  <c r="O41" i="35"/>
  <c r="AL41" i="35"/>
  <c r="AD41" i="35"/>
  <c r="V41" i="35"/>
  <c r="N41" i="35"/>
  <c r="AK41" i="35"/>
  <c r="AC41" i="35"/>
  <c r="U41" i="35"/>
  <c r="M41" i="35"/>
  <c r="AF43" i="35"/>
  <c r="X43" i="35"/>
  <c r="P43" i="35"/>
  <c r="H43" i="35"/>
  <c r="AE43" i="35"/>
  <c r="W43" i="35"/>
  <c r="O43" i="35"/>
  <c r="AD43" i="35"/>
  <c r="V43" i="35"/>
  <c r="N43" i="35"/>
  <c r="AC43" i="35"/>
  <c r="U43" i="35"/>
  <c r="M43" i="35"/>
  <c r="AB43" i="35"/>
  <c r="T43" i="35"/>
  <c r="L43" i="35"/>
  <c r="AA43" i="35"/>
  <c r="S43" i="35"/>
  <c r="K43" i="35"/>
  <c r="Z43" i="35"/>
  <c r="R43" i="35"/>
  <c r="J43" i="35"/>
  <c r="Y43" i="35"/>
  <c r="Q43" i="35"/>
  <c r="I43" i="35"/>
  <c r="AJ45" i="35"/>
  <c r="AB45" i="35"/>
  <c r="T45" i="35"/>
  <c r="L45" i="35"/>
  <c r="AI45" i="35"/>
  <c r="AA45" i="35"/>
  <c r="S45" i="35"/>
  <c r="K45" i="35"/>
  <c r="AH45" i="35"/>
  <c r="Z45" i="35"/>
  <c r="R45" i="35"/>
  <c r="J45" i="35"/>
  <c r="AG45" i="35"/>
  <c r="Y45" i="35"/>
  <c r="Q45" i="35"/>
  <c r="I45" i="35"/>
  <c r="AN45" i="35"/>
  <c r="AF45" i="35"/>
  <c r="X45" i="35"/>
  <c r="P45" i="35"/>
  <c r="H45" i="35"/>
  <c r="AM45" i="35"/>
  <c r="AE45" i="35"/>
  <c r="W45" i="35"/>
  <c r="O45" i="35"/>
  <c r="AL45" i="35"/>
  <c r="AD45" i="35"/>
  <c r="V45" i="35"/>
  <c r="N45" i="35"/>
  <c r="AK45" i="35"/>
  <c r="AC45" i="35"/>
  <c r="U45" i="35"/>
  <c r="M45" i="35"/>
  <c r="X47" i="35"/>
  <c r="P47" i="35"/>
  <c r="H47" i="35"/>
  <c r="W47" i="35"/>
  <c r="O47" i="35"/>
  <c r="V47" i="35"/>
  <c r="N47" i="35"/>
  <c r="U47" i="35"/>
  <c r="M47" i="35"/>
  <c r="T47" i="35"/>
  <c r="L47" i="35"/>
  <c r="S47" i="35"/>
  <c r="K47" i="35"/>
  <c r="R47" i="35"/>
  <c r="J47" i="35"/>
  <c r="Q47" i="35"/>
  <c r="I47" i="35"/>
  <c r="T49" i="35"/>
  <c r="L49" i="35"/>
  <c r="S49" i="35"/>
  <c r="K49" i="35"/>
  <c r="R49" i="35"/>
  <c r="J49" i="35"/>
  <c r="Y49" i="35"/>
  <c r="Q49" i="35"/>
  <c r="I49" i="35"/>
  <c r="X49" i="35"/>
  <c r="P49" i="35"/>
  <c r="H49" i="35"/>
  <c r="W49" i="35"/>
  <c r="O49" i="35"/>
  <c r="V49" i="35"/>
  <c r="N49" i="35"/>
  <c r="U49" i="35"/>
  <c r="M49" i="35"/>
  <c r="P51" i="35"/>
  <c r="H51" i="35"/>
  <c r="O51" i="35"/>
  <c r="N51" i="35"/>
  <c r="U51" i="35"/>
  <c r="M51" i="35"/>
  <c r="T51" i="35"/>
  <c r="L51" i="35"/>
  <c r="S51" i="35"/>
  <c r="K51" i="35"/>
  <c r="R51" i="35"/>
  <c r="J51" i="35"/>
  <c r="Q51" i="35"/>
  <c r="I51" i="35"/>
  <c r="AB53" i="35"/>
  <c r="T53" i="35"/>
  <c r="L53" i="35"/>
  <c r="AA53" i="35"/>
  <c r="S53" i="35"/>
  <c r="K53" i="35"/>
  <c r="Z53" i="35"/>
  <c r="R53" i="35"/>
  <c r="J53" i="35"/>
  <c r="Y53" i="35"/>
  <c r="Q53" i="35"/>
  <c r="I53" i="35"/>
  <c r="AF53" i="35"/>
  <c r="X53" i="35"/>
  <c r="P53" i="35"/>
  <c r="H53" i="35"/>
  <c r="AE53" i="35"/>
  <c r="W53" i="35"/>
  <c r="O53" i="35"/>
  <c r="AD53" i="35"/>
  <c r="V53" i="35"/>
  <c r="N53" i="35"/>
  <c r="AC53" i="35"/>
  <c r="U53" i="35"/>
  <c r="M53" i="35"/>
  <c r="N55" i="35"/>
  <c r="L55" i="35"/>
  <c r="K55" i="35"/>
  <c r="J55" i="35"/>
  <c r="I55" i="35"/>
  <c r="H55" i="35"/>
  <c r="O55" i="35"/>
  <c r="M55" i="35"/>
  <c r="M57" i="35"/>
  <c r="R57" i="35"/>
  <c r="J57" i="35"/>
  <c r="N57" i="35"/>
  <c r="L57" i="35"/>
  <c r="K57" i="35"/>
  <c r="I57" i="35"/>
  <c r="H57" i="35"/>
  <c r="Q57" i="35"/>
  <c r="P57" i="35"/>
  <c r="O57" i="35"/>
  <c r="Q59" i="35"/>
  <c r="I59" i="35"/>
  <c r="N59" i="35"/>
  <c r="J59" i="35"/>
  <c r="H59" i="35"/>
  <c r="P59" i="35"/>
  <c r="O59" i="35"/>
  <c r="M59" i="35"/>
  <c r="L59" i="35"/>
  <c r="K59" i="35"/>
  <c r="I61" i="35"/>
  <c r="H61" i="35"/>
  <c r="AG63" i="35"/>
  <c r="Y63" i="35"/>
  <c r="Q63" i="35"/>
  <c r="I63" i="35"/>
  <c r="AL63" i="35"/>
  <c r="AD63" i="35"/>
  <c r="V63" i="35"/>
  <c r="N63" i="35"/>
  <c r="AH63" i="35"/>
  <c r="W63" i="35"/>
  <c r="L63" i="35"/>
  <c r="AF63" i="35"/>
  <c r="U63" i="35"/>
  <c r="K63" i="35"/>
  <c r="AE63" i="35"/>
  <c r="T63" i="35"/>
  <c r="J63" i="35"/>
  <c r="AN63" i="35"/>
  <c r="AC63" i="35"/>
  <c r="S63" i="35"/>
  <c r="H63" i="35"/>
  <c r="AM63" i="35"/>
  <c r="AB63" i="35"/>
  <c r="R63" i="35"/>
  <c r="AK63" i="35"/>
  <c r="AA63" i="35"/>
  <c r="P63" i="35"/>
  <c r="AJ63" i="35"/>
  <c r="Z63" i="35"/>
  <c r="O63" i="35"/>
  <c r="AI63" i="35"/>
  <c r="X63" i="35"/>
  <c r="M63" i="35"/>
  <c r="AC65" i="35"/>
  <c r="U65" i="35"/>
  <c r="M65" i="35"/>
  <c r="Z65" i="35"/>
  <c r="R65" i="35"/>
  <c r="J65" i="35"/>
  <c r="AD65" i="35"/>
  <c r="S65" i="35"/>
  <c r="H65" i="35"/>
  <c r="AB65" i="35"/>
  <c r="Q65" i="35"/>
  <c r="AA65" i="35"/>
  <c r="P65" i="35"/>
  <c r="Y65" i="35"/>
  <c r="O65" i="35"/>
  <c r="X65" i="35"/>
  <c r="N65" i="35"/>
  <c r="AG65" i="35"/>
  <c r="W65" i="35"/>
  <c r="L65" i="35"/>
  <c r="AF65" i="35"/>
  <c r="V65" i="35"/>
  <c r="K65" i="35"/>
  <c r="AE65" i="35"/>
  <c r="T65" i="35"/>
  <c r="I65" i="35"/>
  <c r="Q67" i="35"/>
  <c r="I67" i="35"/>
  <c r="V67" i="35"/>
  <c r="N67" i="35"/>
  <c r="O67" i="35"/>
  <c r="X67" i="35"/>
  <c r="M67" i="35"/>
  <c r="W67" i="35"/>
  <c r="L67" i="35"/>
  <c r="U67" i="35"/>
  <c r="K67" i="35"/>
  <c r="T67" i="35"/>
  <c r="J67" i="35"/>
  <c r="S67" i="35"/>
  <c r="H67" i="35"/>
  <c r="R67" i="35"/>
  <c r="P67" i="35"/>
  <c r="AK69" i="35"/>
  <c r="AC69" i="35"/>
  <c r="U69" i="35"/>
  <c r="M69" i="35"/>
  <c r="AH69" i="35"/>
  <c r="Z69" i="35"/>
  <c r="R69" i="35"/>
  <c r="J69" i="35"/>
  <c r="AF69" i="35"/>
  <c r="V69" i="35"/>
  <c r="K69" i="35"/>
  <c r="AO69" i="35"/>
  <c r="AE69" i="35"/>
  <c r="T69" i="35"/>
  <c r="I69" i="35"/>
  <c r="AD69" i="35"/>
  <c r="S69" i="35"/>
  <c r="H69" i="35"/>
  <c r="AM69" i="35"/>
  <c r="AB69" i="35"/>
  <c r="Q69" i="35"/>
  <c r="AL69" i="35"/>
  <c r="AA69" i="35"/>
  <c r="P69" i="35"/>
  <c r="AJ69" i="35"/>
  <c r="Y69" i="35"/>
  <c r="O69" i="35"/>
  <c r="AI69" i="35"/>
  <c r="X69" i="35"/>
  <c r="N69" i="35"/>
  <c r="AG69" i="35"/>
  <c r="W69" i="35"/>
  <c r="L69" i="35"/>
  <c r="Y71" i="35"/>
  <c r="Q71" i="35"/>
  <c r="I71" i="35"/>
  <c r="AD71" i="35"/>
  <c r="V71" i="35"/>
  <c r="N71" i="35"/>
  <c r="AB71" i="35"/>
  <c r="R71" i="35"/>
  <c r="AA71" i="35"/>
  <c r="P71" i="35"/>
  <c r="Z71" i="35"/>
  <c r="O71" i="35"/>
  <c r="X71" i="35"/>
  <c r="M71" i="35"/>
  <c r="W71" i="35"/>
  <c r="L71" i="35"/>
  <c r="U71" i="35"/>
  <c r="K71" i="35"/>
  <c r="T71" i="35"/>
  <c r="J71" i="35"/>
  <c r="AC71" i="35"/>
  <c r="S71" i="35"/>
  <c r="H71" i="35"/>
  <c r="AC73" i="35"/>
  <c r="U73" i="35"/>
  <c r="M73" i="35"/>
  <c r="AH73" i="35"/>
  <c r="Z73" i="35"/>
  <c r="R73" i="35"/>
  <c r="J73" i="35"/>
  <c r="X73" i="35"/>
  <c r="N73" i="35"/>
  <c r="AG73" i="35"/>
  <c r="W73" i="35"/>
  <c r="L73" i="35"/>
  <c r="AF73" i="35"/>
  <c r="V73" i="35"/>
  <c r="K73" i="35"/>
  <c r="AE73" i="35"/>
  <c r="T73" i="35"/>
  <c r="I73" i="35"/>
  <c r="AD73" i="35"/>
  <c r="S73" i="35"/>
  <c r="H73" i="35"/>
  <c r="AB73" i="35"/>
  <c r="Q73" i="35"/>
  <c r="AA73" i="35"/>
  <c r="P73" i="35"/>
  <c r="Y73" i="35"/>
  <c r="O73" i="35"/>
  <c r="I75" i="35"/>
  <c r="J75" i="35"/>
  <c r="H75" i="35"/>
  <c r="L75" i="35"/>
  <c r="K75" i="35"/>
  <c r="M77" i="35"/>
  <c r="J77" i="35"/>
  <c r="N77" i="35"/>
  <c r="K77" i="35"/>
  <c r="I77" i="35"/>
  <c r="H77" i="35"/>
  <c r="AC79" i="35"/>
  <c r="U79" i="35"/>
  <c r="M79" i="35"/>
  <c r="Y79" i="35"/>
  <c r="Q79" i="35"/>
  <c r="I79" i="35"/>
  <c r="V79" i="35"/>
  <c r="N79" i="35"/>
  <c r="Z79" i="35"/>
  <c r="L79" i="35"/>
  <c r="X79" i="35"/>
  <c r="K79" i="35"/>
  <c r="W79" i="35"/>
  <c r="J79" i="35"/>
  <c r="T79" i="35"/>
  <c r="H79" i="35"/>
  <c r="S79" i="35"/>
  <c r="R79" i="35"/>
  <c r="AB79" i="35"/>
  <c r="P79" i="35"/>
  <c r="AA79" i="35"/>
  <c r="O79" i="35"/>
  <c r="AG81" i="35"/>
  <c r="Y81" i="35"/>
  <c r="Q81" i="35"/>
  <c r="I81" i="35"/>
  <c r="W81" i="35"/>
  <c r="O81" i="35"/>
  <c r="AD81" i="35"/>
  <c r="V81" i="35"/>
  <c r="N81" i="35"/>
  <c r="AC81" i="35"/>
  <c r="U81" i="35"/>
  <c r="M81" i="35"/>
  <c r="L81" i="35"/>
  <c r="AA81" i="35"/>
  <c r="S81" i="35"/>
  <c r="K81" i="35"/>
  <c r="R81" i="35"/>
  <c r="J81" i="35"/>
  <c r="P81" i="35"/>
  <c r="H81" i="35"/>
  <c r="AF81" i="35"/>
  <c r="U83" i="35"/>
  <c r="M83" i="35"/>
  <c r="S83" i="35"/>
  <c r="K83" i="35"/>
  <c r="R83" i="35"/>
  <c r="J83" i="35"/>
  <c r="Q83" i="35"/>
  <c r="I83" i="35"/>
  <c r="P83" i="35"/>
  <c r="H83" i="35"/>
  <c r="W83" i="35"/>
  <c r="O83" i="35"/>
  <c r="V83" i="35"/>
  <c r="N83" i="35"/>
  <c r="L83" i="35"/>
  <c r="T83" i="35"/>
  <c r="I85" i="35"/>
  <c r="L85" i="35"/>
  <c r="K85" i="35"/>
  <c r="J85" i="35"/>
  <c r="H85" i="35"/>
  <c r="M87" i="35"/>
  <c r="K87" i="35"/>
  <c r="R87" i="35"/>
  <c r="J87" i="35"/>
  <c r="Q87" i="35"/>
  <c r="I87" i="35"/>
  <c r="P87" i="35"/>
  <c r="H87" i="35"/>
  <c r="O87" i="35"/>
  <c r="N87" i="35"/>
  <c r="T87" i="35"/>
  <c r="L87" i="35"/>
  <c r="Q89" i="35"/>
  <c r="I89" i="35"/>
  <c r="P89" i="35"/>
  <c r="H89" i="35"/>
  <c r="O89" i="35"/>
  <c r="V89" i="35"/>
  <c r="N89" i="35"/>
  <c r="U89" i="35"/>
  <c r="M89" i="35"/>
  <c r="T89" i="35"/>
  <c r="L89" i="35"/>
  <c r="S89" i="35"/>
  <c r="K89" i="35"/>
  <c r="R89" i="35"/>
  <c r="J89" i="35"/>
  <c r="K91" i="35"/>
  <c r="J91" i="35"/>
  <c r="I91" i="35"/>
  <c r="H91" i="35"/>
  <c r="U95" i="35"/>
  <c r="M95" i="35"/>
  <c r="T95" i="35"/>
  <c r="L95" i="35"/>
  <c r="S95" i="35"/>
  <c r="K95" i="35"/>
  <c r="R95" i="35"/>
  <c r="J95" i="35"/>
  <c r="Q95" i="35"/>
  <c r="I95" i="35"/>
  <c r="P95" i="35"/>
  <c r="H95" i="35"/>
  <c r="O95" i="35"/>
  <c r="N95" i="35"/>
  <c r="AG97" i="35"/>
  <c r="Y97" i="35"/>
  <c r="Q97" i="35"/>
  <c r="I97" i="35"/>
  <c r="AF97" i="35"/>
  <c r="X97" i="35"/>
  <c r="P97" i="35"/>
  <c r="H97" i="35"/>
  <c r="AE97" i="35"/>
  <c r="W97" i="35"/>
  <c r="O97" i="35"/>
  <c r="AD97" i="35"/>
  <c r="V97" i="35"/>
  <c r="N97" i="35"/>
  <c r="AC97" i="35"/>
  <c r="U97" i="35"/>
  <c r="M97" i="35"/>
  <c r="AJ97" i="35"/>
  <c r="AB97" i="35"/>
  <c r="T97" i="35"/>
  <c r="L97" i="35"/>
  <c r="AI97" i="35"/>
  <c r="AA97" i="35"/>
  <c r="S97" i="35"/>
  <c r="K97" i="35"/>
  <c r="AH97" i="35"/>
  <c r="Z97" i="35"/>
  <c r="R97" i="35"/>
  <c r="J97" i="35"/>
  <c r="AJ99" i="35"/>
  <c r="AB99" i="35"/>
  <c r="AG99" i="35"/>
  <c r="Y99" i="35"/>
  <c r="AE99" i="35"/>
  <c r="U99" i="35"/>
  <c r="M99" i="35"/>
  <c r="AD99" i="35"/>
  <c r="T99" i="35"/>
  <c r="L99" i="35"/>
  <c r="AC99" i="35"/>
  <c r="S99" i="35"/>
  <c r="K99" i="35"/>
  <c r="AA99" i="35"/>
  <c r="R99" i="35"/>
  <c r="J99" i="35"/>
  <c r="Z99" i="35"/>
  <c r="Q99" i="35"/>
  <c r="I99" i="35"/>
  <c r="AI99" i="35"/>
  <c r="X99" i="35"/>
  <c r="P99" i="35"/>
  <c r="H99" i="35"/>
  <c r="AH99" i="35"/>
  <c r="W99" i="35"/>
  <c r="O99" i="35"/>
  <c r="AF99" i="35"/>
  <c r="V99" i="35"/>
  <c r="N99" i="35"/>
  <c r="P101" i="35"/>
  <c r="H101" i="35"/>
  <c r="M101" i="35"/>
  <c r="Q101" i="35"/>
  <c r="O101" i="35"/>
  <c r="N101" i="35"/>
  <c r="L101" i="35"/>
  <c r="K101" i="35"/>
  <c r="T101" i="35"/>
  <c r="J101" i="35"/>
  <c r="S101" i="35"/>
  <c r="I101" i="35"/>
  <c r="R101" i="35"/>
  <c r="T103" i="35"/>
  <c r="L103" i="35"/>
  <c r="Q103" i="35"/>
  <c r="I103" i="35"/>
  <c r="W103" i="35"/>
  <c r="M103" i="35"/>
  <c r="V103" i="35"/>
  <c r="K103" i="35"/>
  <c r="U103" i="35"/>
  <c r="J103" i="35"/>
  <c r="S103" i="35"/>
  <c r="H103" i="35"/>
  <c r="R103" i="35"/>
  <c r="P103" i="35"/>
  <c r="O103" i="35"/>
  <c r="X103" i="35"/>
  <c r="N103" i="35"/>
  <c r="P105" i="35"/>
  <c r="H105" i="35"/>
  <c r="M105" i="35"/>
  <c r="I105" i="35"/>
  <c r="R105" i="35"/>
  <c r="Q105" i="35"/>
  <c r="O105" i="35"/>
  <c r="N105" i="35"/>
  <c r="L105" i="35"/>
  <c r="K105" i="35"/>
  <c r="J105" i="35"/>
  <c r="L107" i="35"/>
  <c r="Q107" i="35"/>
  <c r="I107" i="35"/>
  <c r="O107" i="35"/>
  <c r="N107" i="35"/>
  <c r="M107" i="35"/>
  <c r="K107" i="35"/>
  <c r="J107" i="35"/>
  <c r="S107" i="35"/>
  <c r="H107" i="35"/>
  <c r="R107" i="35"/>
  <c r="AF109" i="35"/>
  <c r="X109" i="35"/>
  <c r="P109" i="35"/>
  <c r="H109" i="35"/>
  <c r="AK109" i="35"/>
  <c r="AC109" i="35"/>
  <c r="U109" i="35"/>
  <c r="M109" i="35"/>
  <c r="AG109" i="35"/>
  <c r="V109" i="35"/>
  <c r="K109" i="35"/>
  <c r="AE109" i="35"/>
  <c r="T109" i="35"/>
  <c r="J109" i="35"/>
  <c r="AD109" i="35"/>
  <c r="S109" i="35"/>
  <c r="I109" i="35"/>
  <c r="AB109" i="35"/>
  <c r="R109" i="35"/>
  <c r="AA109" i="35"/>
  <c r="Q109" i="35"/>
  <c r="AJ109" i="35"/>
  <c r="Z109" i="35"/>
  <c r="O109" i="35"/>
  <c r="AI109" i="35"/>
  <c r="Y109" i="35"/>
  <c r="N109" i="35"/>
  <c r="AH109" i="35"/>
  <c r="W109" i="35"/>
  <c r="L109" i="35"/>
  <c r="AJ111" i="35"/>
  <c r="AB111" i="35"/>
  <c r="T111" i="35"/>
  <c r="L111" i="35"/>
  <c r="AG111" i="35"/>
  <c r="Y111" i="35"/>
  <c r="Q111" i="35"/>
  <c r="I111" i="35"/>
  <c r="AC111" i="35"/>
  <c r="R111" i="35"/>
  <c r="AA111" i="35"/>
  <c r="P111" i="35"/>
  <c r="Z111" i="35"/>
  <c r="O111" i="35"/>
  <c r="AI111" i="35"/>
  <c r="X111" i="35"/>
  <c r="N111" i="35"/>
  <c r="AH111" i="35"/>
  <c r="W111" i="35"/>
  <c r="M111" i="35"/>
  <c r="AF111" i="35"/>
  <c r="V111" i="35"/>
  <c r="K111" i="35"/>
  <c r="AE111" i="35"/>
  <c r="U111" i="35"/>
  <c r="J111" i="35"/>
  <c r="AD111" i="35"/>
  <c r="S111" i="35"/>
  <c r="H111" i="35"/>
  <c r="P113" i="35"/>
  <c r="H113" i="35"/>
  <c r="M113" i="35"/>
  <c r="N113" i="35"/>
  <c r="L113" i="35"/>
  <c r="K113" i="35"/>
  <c r="J113" i="35"/>
  <c r="S113" i="35"/>
  <c r="I113" i="35"/>
  <c r="R113" i="35"/>
  <c r="Q113" i="35"/>
  <c r="O113" i="35"/>
  <c r="AB115" i="35"/>
  <c r="T115" i="35"/>
  <c r="L115" i="35"/>
  <c r="Y115" i="35"/>
  <c r="Q115" i="35"/>
  <c r="I115" i="35"/>
  <c r="AE115" i="35"/>
  <c r="U115" i="35"/>
  <c r="J115" i="35"/>
  <c r="AD115" i="35"/>
  <c r="S115" i="35"/>
  <c r="H115" i="35"/>
  <c r="AC115" i="35"/>
  <c r="R115" i="35"/>
  <c r="AA115" i="35"/>
  <c r="P115" i="35"/>
  <c r="Z115" i="35"/>
  <c r="O115" i="35"/>
  <c r="X115" i="35"/>
  <c r="N115" i="35"/>
  <c r="W115" i="35"/>
  <c r="M115" i="35"/>
  <c r="AF115" i="35"/>
  <c r="V115" i="35"/>
  <c r="K115" i="35"/>
  <c r="L119" i="35"/>
  <c r="Q119" i="35"/>
  <c r="I119" i="35"/>
  <c r="M119" i="35"/>
  <c r="K119" i="35"/>
  <c r="J119" i="35"/>
  <c r="S119" i="35"/>
  <c r="H119" i="35"/>
  <c r="R119" i="35"/>
  <c r="P119" i="35"/>
  <c r="O119" i="35"/>
  <c r="N119" i="35"/>
  <c r="AB121" i="35"/>
  <c r="X121" i="35"/>
  <c r="P121" i="35"/>
  <c r="H121" i="35"/>
  <c r="AC121" i="35"/>
  <c r="U121" i="35"/>
  <c r="M121" i="35"/>
  <c r="S121" i="35"/>
  <c r="I121" i="35"/>
  <c r="AD121" i="35"/>
  <c r="R121" i="35"/>
  <c r="AA121" i="35"/>
  <c r="Q121" i="35"/>
  <c r="Z121" i="35"/>
  <c r="O121" i="35"/>
  <c r="Y121" i="35"/>
  <c r="N121" i="35"/>
  <c r="W121" i="35"/>
  <c r="L121" i="35"/>
  <c r="V121" i="35"/>
  <c r="K121" i="35"/>
  <c r="T121" i="35"/>
  <c r="J121" i="35"/>
  <c r="P123" i="35"/>
  <c r="H123" i="35"/>
  <c r="O123" i="35"/>
  <c r="L123" i="35"/>
  <c r="Y123" i="35"/>
  <c r="Q123" i="35"/>
  <c r="I123" i="35"/>
  <c r="S123" i="35"/>
  <c r="R123" i="35"/>
  <c r="N123" i="35"/>
  <c r="M123" i="35"/>
  <c r="AA123" i="35"/>
  <c r="K123" i="35"/>
  <c r="Z123" i="35"/>
  <c r="J123" i="35"/>
  <c r="U123" i="35"/>
  <c r="L125" i="35"/>
  <c r="K125" i="35"/>
  <c r="H125" i="35"/>
  <c r="M125" i="35"/>
  <c r="N125" i="35"/>
  <c r="J125" i="35"/>
  <c r="I125" i="35"/>
  <c r="P127" i="35"/>
  <c r="H127" i="35"/>
  <c r="AE127" i="35"/>
  <c r="W127" i="35"/>
  <c r="O127" i="35"/>
  <c r="AB127" i="35"/>
  <c r="T127" i="35"/>
  <c r="L127" i="35"/>
  <c r="K127" i="35"/>
  <c r="Z127" i="35"/>
  <c r="R127" i="35"/>
  <c r="J127" i="35"/>
  <c r="Y127" i="35"/>
  <c r="Q127" i="35"/>
  <c r="I127" i="35"/>
  <c r="AD127" i="35"/>
  <c r="N127" i="35"/>
  <c r="H129" i="35"/>
  <c r="J129" i="35"/>
  <c r="I129" i="35"/>
  <c r="T133" i="35"/>
  <c r="L133" i="35"/>
  <c r="S133" i="35"/>
  <c r="K133" i="35"/>
  <c r="R133" i="35"/>
  <c r="J133" i="35"/>
  <c r="Q133" i="35"/>
  <c r="I133" i="35"/>
  <c r="P133" i="35"/>
  <c r="H133" i="35"/>
  <c r="O133" i="35"/>
  <c r="N133" i="35"/>
  <c r="U133" i="35"/>
  <c r="M133" i="35"/>
  <c r="AF135" i="35"/>
  <c r="X135" i="35"/>
  <c r="P135" i="35"/>
  <c r="H135" i="35"/>
  <c r="AE135" i="35"/>
  <c r="W135" i="35"/>
  <c r="O135" i="35"/>
  <c r="AD135" i="35"/>
  <c r="V135" i="35"/>
  <c r="N135" i="35"/>
  <c r="AK135" i="35"/>
  <c r="AC135" i="35"/>
  <c r="U135" i="35"/>
  <c r="M135" i="35"/>
  <c r="AJ135" i="35"/>
  <c r="AB135" i="35"/>
  <c r="T135" i="35"/>
  <c r="L135" i="35"/>
  <c r="AI135" i="35"/>
  <c r="AA135" i="35"/>
  <c r="S135" i="35"/>
  <c r="K135" i="35"/>
  <c r="AH135" i="35"/>
  <c r="Z135" i="35"/>
  <c r="R135" i="35"/>
  <c r="J135" i="35"/>
  <c r="AG135" i="35"/>
  <c r="Y135" i="35"/>
  <c r="Q135" i="35"/>
  <c r="I135" i="35"/>
  <c r="J137" i="35"/>
  <c r="I137" i="35"/>
  <c r="H137" i="35"/>
  <c r="H139" i="35"/>
  <c r="J139" i="35"/>
  <c r="I139" i="35"/>
  <c r="Y141" i="35"/>
  <c r="Q141" i="35"/>
  <c r="I141" i="35"/>
  <c r="V141" i="35"/>
  <c r="N141" i="35"/>
  <c r="X141" i="35"/>
  <c r="M141" i="35"/>
  <c r="W141" i="35"/>
  <c r="L141" i="35"/>
  <c r="U141" i="35"/>
  <c r="K141" i="35"/>
  <c r="T141" i="35"/>
  <c r="J141" i="35"/>
  <c r="S141" i="35"/>
  <c r="H141" i="35"/>
  <c r="R141" i="35"/>
  <c r="P141" i="35"/>
  <c r="O141" i="35"/>
  <c r="M143" i="35"/>
  <c r="R143" i="35"/>
  <c r="J143" i="35"/>
  <c r="I143" i="35"/>
  <c r="S143" i="35"/>
  <c r="H143" i="35"/>
  <c r="Q143" i="35"/>
  <c r="O143" i="35"/>
  <c r="N143" i="35"/>
  <c r="L143" i="35"/>
  <c r="K143" i="35"/>
  <c r="I145" i="35"/>
  <c r="J145" i="35"/>
  <c r="H145" i="35"/>
  <c r="U147" i="35"/>
  <c r="M147" i="35"/>
  <c r="R147" i="35"/>
  <c r="J147" i="35"/>
  <c r="W147" i="35"/>
  <c r="L147" i="35"/>
  <c r="V147" i="35"/>
  <c r="K147" i="35"/>
  <c r="T147" i="35"/>
  <c r="I147" i="35"/>
  <c r="S147" i="35"/>
  <c r="H147" i="35"/>
  <c r="Q147" i="35"/>
  <c r="P147" i="35"/>
  <c r="O147" i="35"/>
  <c r="N147" i="35"/>
  <c r="I149" i="35"/>
  <c r="N149" i="35"/>
  <c r="H149" i="35"/>
  <c r="O149" i="35"/>
  <c r="M149" i="35"/>
  <c r="L149" i="35"/>
  <c r="K149" i="35"/>
  <c r="J149" i="35"/>
  <c r="H151" i="35"/>
  <c r="I153" i="35"/>
  <c r="K153" i="35"/>
  <c r="J153" i="35"/>
  <c r="H153" i="35"/>
  <c r="M155" i="35"/>
  <c r="J155" i="35"/>
  <c r="Q155" i="35"/>
  <c r="P155" i="35"/>
  <c r="O155" i="35"/>
  <c r="N155" i="35"/>
  <c r="L155" i="35"/>
  <c r="K155" i="35"/>
  <c r="I155" i="35"/>
  <c r="H155" i="35"/>
  <c r="I157" i="35"/>
  <c r="N157" i="35"/>
  <c r="M157" i="35"/>
  <c r="L157" i="35"/>
  <c r="K157" i="35"/>
  <c r="J157" i="35"/>
  <c r="H157" i="35"/>
  <c r="O157" i="35"/>
  <c r="I159" i="35"/>
  <c r="H159" i="35"/>
  <c r="Y161" i="35"/>
  <c r="Q161" i="35"/>
  <c r="I161" i="35"/>
  <c r="N161" i="35"/>
  <c r="P161" i="35"/>
  <c r="O161" i="35"/>
  <c r="M161" i="35"/>
  <c r="W161" i="35"/>
  <c r="L161" i="35"/>
  <c r="U161" i="35"/>
  <c r="K161" i="35"/>
  <c r="T161" i="35"/>
  <c r="J161" i="35"/>
  <c r="S161" i="35"/>
  <c r="H161" i="35"/>
  <c r="R161" i="35"/>
  <c r="M163" i="35"/>
  <c r="J163" i="35"/>
  <c r="L163" i="35"/>
  <c r="K163" i="35"/>
  <c r="I163" i="35"/>
  <c r="H163" i="35"/>
  <c r="Q163" i="35"/>
  <c r="P163" i="35"/>
  <c r="O163" i="35"/>
  <c r="N163" i="35"/>
  <c r="AO165" i="35"/>
  <c r="AG165" i="35"/>
  <c r="Y165" i="35"/>
  <c r="Q165" i="35"/>
  <c r="I165" i="35"/>
  <c r="AL165" i="35"/>
  <c r="AD165" i="35"/>
  <c r="V165" i="35"/>
  <c r="N165" i="35"/>
  <c r="AN165" i="35"/>
  <c r="AC165" i="35"/>
  <c r="S165" i="35"/>
  <c r="H165" i="35"/>
  <c r="AM165" i="35"/>
  <c r="AB165" i="35"/>
  <c r="R165" i="35"/>
  <c r="AK165" i="35"/>
  <c r="AA165" i="35"/>
  <c r="P165" i="35"/>
  <c r="AJ165" i="35"/>
  <c r="Z165" i="35"/>
  <c r="O165" i="35"/>
  <c r="AI165" i="35"/>
  <c r="X165" i="35"/>
  <c r="M165" i="35"/>
  <c r="AH165" i="35"/>
  <c r="W165" i="35"/>
  <c r="L165" i="35"/>
  <c r="AF165" i="35"/>
  <c r="U165" i="35"/>
  <c r="K165" i="35"/>
  <c r="AE165" i="35"/>
  <c r="T165" i="35"/>
  <c r="J165" i="35"/>
  <c r="AN167" i="35"/>
  <c r="AM167" i="35"/>
  <c r="AE167" i="35"/>
  <c r="W167" i="35"/>
  <c r="O167" i="35"/>
  <c r="AL167" i="35"/>
  <c r="AD167" i="35"/>
  <c r="AK167" i="35"/>
  <c r="AC167" i="35"/>
  <c r="U167" i="35"/>
  <c r="M167" i="35"/>
  <c r="AJ167" i="35"/>
  <c r="AB167" i="35"/>
  <c r="T167" i="35"/>
  <c r="L167" i="35"/>
  <c r="AI167" i="35"/>
  <c r="AA167" i="35"/>
  <c r="S167" i="35"/>
  <c r="K167" i="35"/>
  <c r="AH167" i="35"/>
  <c r="Z167" i="35"/>
  <c r="R167" i="35"/>
  <c r="J167" i="35"/>
  <c r="V167" i="35"/>
  <c r="Q167" i="35"/>
  <c r="P167" i="35"/>
  <c r="AO167" i="35"/>
  <c r="N167" i="35"/>
  <c r="AG167" i="35"/>
  <c r="I167" i="35"/>
  <c r="AF167" i="35"/>
  <c r="H167" i="35"/>
  <c r="Y167" i="35"/>
  <c r="X167" i="35"/>
  <c r="L169" i="35"/>
  <c r="K169" i="35"/>
  <c r="J169" i="35"/>
  <c r="Q169" i="35"/>
  <c r="I169" i="35"/>
  <c r="P169" i="35"/>
  <c r="H169" i="35"/>
  <c r="O169" i="35"/>
  <c r="N169" i="35"/>
  <c r="M169" i="35"/>
  <c r="H171" i="35"/>
  <c r="I171" i="35"/>
  <c r="K173" i="35"/>
  <c r="J173" i="35"/>
  <c r="H173" i="35"/>
  <c r="AO175" i="35"/>
  <c r="AG175" i="35"/>
  <c r="Y175" i="35"/>
  <c r="Q175" i="35"/>
  <c r="I175" i="35"/>
  <c r="AN175" i="35"/>
  <c r="AF175" i="35"/>
  <c r="X175" i="35"/>
  <c r="P175" i="35"/>
  <c r="H175" i="35"/>
  <c r="AM175" i="35"/>
  <c r="AE175" i="35"/>
  <c r="W175" i="35"/>
  <c r="O175" i="35"/>
  <c r="AL175" i="35"/>
  <c r="AD175" i="35"/>
  <c r="V175" i="35"/>
  <c r="N175" i="35"/>
  <c r="AK175" i="35"/>
  <c r="AC175" i="35"/>
  <c r="U175" i="35"/>
  <c r="M175" i="35"/>
  <c r="AJ175" i="35"/>
  <c r="AB175" i="35"/>
  <c r="T175" i="35"/>
  <c r="L175" i="35"/>
  <c r="AI175" i="35"/>
  <c r="AA175" i="35"/>
  <c r="S175" i="35"/>
  <c r="K175" i="35"/>
  <c r="AH175" i="35"/>
  <c r="Z175" i="35"/>
  <c r="R175" i="35"/>
  <c r="J175" i="35"/>
  <c r="I179" i="35"/>
  <c r="H179" i="35"/>
  <c r="M181" i="35"/>
  <c r="L181" i="35"/>
  <c r="K181" i="35"/>
  <c r="R181" i="35"/>
  <c r="J181" i="35"/>
  <c r="Q181" i="35"/>
  <c r="I181" i="35"/>
  <c r="P181" i="35"/>
  <c r="H181" i="35"/>
  <c r="O181" i="35"/>
  <c r="N181" i="35"/>
  <c r="AM183" i="35"/>
  <c r="AE183" i="35"/>
  <c r="W183" i="35"/>
  <c r="O183" i="35"/>
  <c r="AJ183" i="35"/>
  <c r="AB183" i="35"/>
  <c r="T183" i="35"/>
  <c r="L183" i="35"/>
  <c r="AN183" i="35"/>
  <c r="AC183" i="35"/>
  <c r="R183" i="35"/>
  <c r="H183" i="35"/>
  <c r="AL183" i="35"/>
  <c r="AA183" i="35"/>
  <c r="Q183" i="35"/>
  <c r="AK183" i="35"/>
  <c r="Z183" i="35"/>
  <c r="P183" i="35"/>
  <c r="AI183" i="35"/>
  <c r="Y183" i="35"/>
  <c r="N183" i="35"/>
  <c r="AH183" i="35"/>
  <c r="X183" i="35"/>
  <c r="M183" i="35"/>
  <c r="AG183" i="35"/>
  <c r="V183" i="35"/>
  <c r="K183" i="35"/>
  <c r="AF183" i="35"/>
  <c r="U183" i="35"/>
  <c r="J183" i="35"/>
  <c r="AO183" i="35"/>
  <c r="AD183" i="35"/>
  <c r="S183" i="35"/>
  <c r="I183" i="35"/>
  <c r="K185" i="35"/>
  <c r="H185" i="35"/>
  <c r="L185" i="35"/>
  <c r="J185" i="35"/>
  <c r="I185" i="35"/>
  <c r="AM187" i="35"/>
  <c r="AE187" i="35"/>
  <c r="W187" i="35"/>
  <c r="O187" i="35"/>
  <c r="AJ187" i="35"/>
  <c r="AB187" i="35"/>
  <c r="T187" i="35"/>
  <c r="L187" i="35"/>
  <c r="AF187" i="35"/>
  <c r="U187" i="35"/>
  <c r="J187" i="35"/>
  <c r="AO187" i="35"/>
  <c r="AD187" i="35"/>
  <c r="S187" i="35"/>
  <c r="I187" i="35"/>
  <c r="AN187" i="35"/>
  <c r="AC187" i="35"/>
  <c r="R187" i="35"/>
  <c r="H187" i="35"/>
  <c r="AL187" i="35"/>
  <c r="AA187" i="35"/>
  <c r="Q187" i="35"/>
  <c r="AK187" i="35"/>
  <c r="Z187" i="35"/>
  <c r="P187" i="35"/>
  <c r="AI187" i="35"/>
  <c r="Y187" i="35"/>
  <c r="N187" i="35"/>
  <c r="AH187" i="35"/>
  <c r="X187" i="35"/>
  <c r="M187" i="35"/>
  <c r="AG187" i="35"/>
  <c r="V187" i="35"/>
  <c r="K187" i="35"/>
  <c r="H189" i="35"/>
  <c r="I189" i="35"/>
  <c r="H191" i="35"/>
  <c r="K193" i="35"/>
  <c r="H193" i="35"/>
  <c r="I193" i="35"/>
  <c r="L193" i="35"/>
  <c r="J193" i="35"/>
  <c r="AM195" i="35"/>
  <c r="AE195" i="35"/>
  <c r="W195" i="35"/>
  <c r="O195" i="35"/>
  <c r="AJ195" i="35"/>
  <c r="AB195" i="35"/>
  <c r="T195" i="35"/>
  <c r="L195" i="35"/>
  <c r="AK195" i="35"/>
  <c r="Z195" i="35"/>
  <c r="P195" i="35"/>
  <c r="AI195" i="35"/>
  <c r="Y195" i="35"/>
  <c r="N195" i="35"/>
  <c r="AH195" i="35"/>
  <c r="X195" i="35"/>
  <c r="M195" i="35"/>
  <c r="AG195" i="35"/>
  <c r="V195" i="35"/>
  <c r="K195" i="35"/>
  <c r="AF195" i="35"/>
  <c r="U195" i="35"/>
  <c r="J195" i="35"/>
  <c r="AD195" i="35"/>
  <c r="S195" i="35"/>
  <c r="I195" i="35"/>
  <c r="AC195" i="35"/>
  <c r="R195" i="35"/>
  <c r="H195" i="35"/>
  <c r="AL195" i="35"/>
  <c r="AA195" i="35"/>
  <c r="Q195" i="35"/>
  <c r="H197" i="35"/>
  <c r="O199" i="35"/>
  <c r="L199" i="35"/>
  <c r="R199" i="35"/>
  <c r="H199" i="35"/>
  <c r="Q199" i="35"/>
  <c r="P199" i="35"/>
  <c r="N199" i="35"/>
  <c r="M199" i="35"/>
  <c r="K199" i="35"/>
  <c r="J199" i="35"/>
  <c r="I199" i="35"/>
  <c r="H201" i="35"/>
  <c r="K205" i="35"/>
  <c r="H205" i="35"/>
  <c r="L205" i="35"/>
  <c r="J205" i="35"/>
  <c r="I205" i="35"/>
  <c r="J207" i="35"/>
  <c r="I207" i="35"/>
  <c r="H207" i="35"/>
  <c r="K209" i="35"/>
  <c r="H209" i="35"/>
  <c r="T209" i="35"/>
  <c r="I209" i="35"/>
  <c r="R209" i="35"/>
  <c r="Q209" i="35"/>
  <c r="O209" i="35"/>
  <c r="N209" i="35"/>
  <c r="M209" i="35"/>
  <c r="L209" i="35"/>
  <c r="J209" i="35"/>
  <c r="O211" i="35"/>
  <c r="L211" i="35"/>
  <c r="P211" i="35"/>
  <c r="N211" i="35"/>
  <c r="M211" i="35"/>
  <c r="K211" i="35"/>
  <c r="J211" i="35"/>
  <c r="I211" i="35"/>
  <c r="H211" i="35"/>
  <c r="Q211" i="35"/>
  <c r="S213" i="35"/>
  <c r="K213" i="35"/>
  <c r="P213" i="35"/>
  <c r="H213" i="35"/>
  <c r="V213" i="35"/>
  <c r="L213" i="35"/>
  <c r="U213" i="35"/>
  <c r="J213" i="35"/>
  <c r="T213" i="35"/>
  <c r="I213" i="35"/>
  <c r="R213" i="35"/>
  <c r="Q213" i="35"/>
  <c r="O213" i="35"/>
  <c r="N213" i="35"/>
  <c r="M213" i="35"/>
  <c r="P215" i="35"/>
  <c r="H215" i="35"/>
  <c r="M215" i="35"/>
  <c r="I215" i="35"/>
  <c r="O215" i="35"/>
  <c r="N215" i="35"/>
  <c r="L215" i="35"/>
  <c r="K215" i="35"/>
  <c r="J215" i="35"/>
  <c r="L217" i="35"/>
  <c r="Q217" i="35"/>
  <c r="I217" i="35"/>
  <c r="J217" i="35"/>
  <c r="H217" i="35"/>
  <c r="M217" i="35"/>
  <c r="K217" i="35"/>
  <c r="H219" i="35"/>
  <c r="I219" i="35"/>
  <c r="H221" i="35"/>
  <c r="H223" i="35"/>
  <c r="I225" i="35"/>
  <c r="K225" i="35"/>
  <c r="J225" i="35"/>
  <c r="H225" i="35"/>
  <c r="H227" i="35"/>
  <c r="J227" i="35"/>
  <c r="I227" i="35"/>
  <c r="L229" i="35"/>
  <c r="Y229" i="35"/>
  <c r="Q229" i="35"/>
  <c r="I229" i="35"/>
  <c r="AC229" i="35"/>
  <c r="R229" i="35"/>
  <c r="P229" i="35"/>
  <c r="AI229" i="35"/>
  <c r="X229" i="35"/>
  <c r="AH229" i="35"/>
  <c r="M229" i="35"/>
  <c r="AF229" i="35"/>
  <c r="V229" i="35"/>
  <c r="K229" i="35"/>
  <c r="AE229" i="35"/>
  <c r="AD229" i="35"/>
  <c r="S229" i="35"/>
  <c r="H229" i="35"/>
  <c r="X231" i="35"/>
  <c r="P231" i="35"/>
  <c r="H231" i="35"/>
  <c r="U231" i="35"/>
  <c r="M231" i="35"/>
  <c r="Y231" i="35"/>
  <c r="N231" i="35"/>
  <c r="W231" i="35"/>
  <c r="L231" i="35"/>
  <c r="V231" i="35"/>
  <c r="K231" i="35"/>
  <c r="T231" i="35"/>
  <c r="J231" i="35"/>
  <c r="S231" i="35"/>
  <c r="I231" i="35"/>
  <c r="R231" i="35"/>
  <c r="AA231" i="35"/>
  <c r="Q231" i="35"/>
  <c r="Z231" i="35"/>
  <c r="O231" i="35"/>
  <c r="T233" i="35"/>
  <c r="L233" i="35"/>
  <c r="Y233" i="35"/>
  <c r="Q233" i="35"/>
  <c r="I233" i="35"/>
  <c r="U233" i="35"/>
  <c r="J233" i="35"/>
  <c r="S233" i="35"/>
  <c r="H233" i="35"/>
  <c r="R233" i="35"/>
  <c r="AA233" i="35"/>
  <c r="P233" i="35"/>
  <c r="Z233" i="35"/>
  <c r="O233" i="35"/>
  <c r="X233" i="35"/>
  <c r="N233" i="35"/>
  <c r="W233" i="35"/>
  <c r="M233" i="35"/>
  <c r="V233" i="35"/>
  <c r="K233" i="35"/>
  <c r="H235" i="35"/>
  <c r="M235" i="35"/>
  <c r="N235" i="35"/>
  <c r="L235" i="35"/>
  <c r="K235" i="35"/>
  <c r="J235" i="35"/>
  <c r="I235" i="35"/>
  <c r="I237" i="35"/>
  <c r="H237" i="35"/>
  <c r="H239" i="35"/>
  <c r="M239" i="35"/>
  <c r="I239" i="35"/>
  <c r="O239" i="35"/>
  <c r="N239" i="35"/>
  <c r="L239" i="35"/>
  <c r="K239" i="35"/>
  <c r="H243" i="35"/>
  <c r="O247" i="35"/>
  <c r="L247" i="35"/>
  <c r="K247" i="35"/>
  <c r="H247" i="35"/>
  <c r="N247" i="35"/>
  <c r="M247" i="35"/>
  <c r="I247" i="35"/>
  <c r="AL249" i="35"/>
  <c r="AD249" i="35"/>
  <c r="V249" i="35"/>
  <c r="N249" i="35"/>
  <c r="AI249" i="35"/>
  <c r="AA249" i="35"/>
  <c r="S249" i="35"/>
  <c r="K249" i="35"/>
  <c r="AN249" i="35"/>
  <c r="AC249" i="35"/>
  <c r="R249" i="35"/>
  <c r="H249" i="35"/>
  <c r="AM249" i="35"/>
  <c r="AB249" i="35"/>
  <c r="Q249" i="35"/>
  <c r="AJ249" i="35"/>
  <c r="Y249" i="35"/>
  <c r="O249" i="35"/>
  <c r="AH249" i="35"/>
  <c r="X249" i="35"/>
  <c r="M249" i="35"/>
  <c r="AG249" i="35"/>
  <c r="W249" i="35"/>
  <c r="L249" i="35"/>
  <c r="AF249" i="35"/>
  <c r="U249" i="35"/>
  <c r="J249" i="35"/>
  <c r="AE249" i="35"/>
  <c r="T249" i="35"/>
  <c r="I249" i="35"/>
  <c r="AK249" i="35"/>
  <c r="Z249" i="35"/>
  <c r="P249" i="35"/>
  <c r="Z251" i="35"/>
  <c r="R251" i="35"/>
  <c r="J251" i="35"/>
  <c r="W251" i="35"/>
  <c r="O251" i="35"/>
  <c r="Y251" i="35"/>
  <c r="N251" i="35"/>
  <c r="X251" i="35"/>
  <c r="M251" i="35"/>
  <c r="U251" i="35"/>
  <c r="K251" i="35"/>
  <c r="T251" i="35"/>
  <c r="I251" i="35"/>
  <c r="S251" i="35"/>
  <c r="H251" i="35"/>
  <c r="Q251" i="35"/>
  <c r="P251" i="35"/>
  <c r="V251" i="35"/>
  <c r="L251" i="35"/>
  <c r="AL257" i="35"/>
  <c r="AD257" i="35"/>
  <c r="V257" i="35"/>
  <c r="N257" i="35"/>
  <c r="AI257" i="35"/>
  <c r="AA257" i="35"/>
  <c r="S257" i="35"/>
  <c r="K257" i="35"/>
  <c r="AH257" i="35"/>
  <c r="X257" i="35"/>
  <c r="M257" i="35"/>
  <c r="AG257" i="35"/>
  <c r="W257" i="35"/>
  <c r="L257" i="35"/>
  <c r="AF257" i="35"/>
  <c r="U257" i="35"/>
  <c r="J257" i="35"/>
  <c r="AO257" i="35"/>
  <c r="AE257" i="35"/>
  <c r="T257" i="35"/>
  <c r="I257" i="35"/>
  <c r="AN257" i="35"/>
  <c r="AC257" i="35"/>
  <c r="R257" i="35"/>
  <c r="H257" i="35"/>
  <c r="AM257" i="35"/>
  <c r="AB257" i="35"/>
  <c r="Q257" i="35"/>
  <c r="AK257" i="35"/>
  <c r="Z257" i="35"/>
  <c r="P257" i="35"/>
  <c r="AJ257" i="35"/>
  <c r="Y257" i="35"/>
  <c r="O257" i="35"/>
  <c r="H259" i="35"/>
  <c r="N259" i="35"/>
  <c r="L259" i="35"/>
  <c r="K259" i="35"/>
  <c r="H261" i="35"/>
  <c r="V263" i="35"/>
  <c r="N263" i="35"/>
  <c r="Z263" i="35"/>
  <c r="R263" i="35"/>
  <c r="J263" i="35"/>
  <c r="Y263" i="35"/>
  <c r="Q263" i="35"/>
  <c r="I263" i="35"/>
  <c r="W263" i="35"/>
  <c r="O263" i="35"/>
  <c r="X263" i="35"/>
  <c r="H263" i="35"/>
  <c r="U263" i="35"/>
  <c r="T263" i="35"/>
  <c r="S263" i="35"/>
  <c r="P263" i="35"/>
  <c r="M263" i="35"/>
  <c r="L263" i="35"/>
  <c r="K263" i="35"/>
  <c r="I265" i="35"/>
  <c r="H265" i="35"/>
  <c r="AL267" i="35"/>
  <c r="AD267" i="35"/>
  <c r="V267" i="35"/>
  <c r="N267" i="35"/>
  <c r="AI267" i="35"/>
  <c r="AA267" i="35"/>
  <c r="S267" i="35"/>
  <c r="K267" i="35"/>
  <c r="AF267" i="35"/>
  <c r="U267" i="35"/>
  <c r="J267" i="35"/>
  <c r="AK267" i="35"/>
  <c r="Z267" i="35"/>
  <c r="P267" i="35"/>
  <c r="AJ267" i="35"/>
  <c r="Y267" i="35"/>
  <c r="O267" i="35"/>
  <c r="AG267" i="35"/>
  <c r="W267" i="35"/>
  <c r="L267" i="35"/>
  <c r="AH267" i="35"/>
  <c r="M267" i="35"/>
  <c r="AE267" i="35"/>
  <c r="I267" i="35"/>
  <c r="AC267" i="35"/>
  <c r="H267" i="35"/>
  <c r="AB267" i="35"/>
  <c r="X267" i="35"/>
  <c r="AO267" i="35"/>
  <c r="T267" i="35"/>
  <c r="AN267" i="35"/>
  <c r="R267" i="35"/>
  <c r="AM267" i="35"/>
  <c r="Q267" i="35"/>
  <c r="AH269" i="35"/>
  <c r="Z269" i="35"/>
  <c r="R269" i="35"/>
  <c r="J269" i="35"/>
  <c r="AM269" i="35"/>
  <c r="AE269" i="35"/>
  <c r="W269" i="35"/>
  <c r="O269" i="35"/>
  <c r="AL269" i="35"/>
  <c r="AB269" i="35"/>
  <c r="Q269" i="35"/>
  <c r="AG269" i="35"/>
  <c r="V269" i="35"/>
  <c r="L269" i="35"/>
  <c r="AF269" i="35"/>
  <c r="U269" i="35"/>
  <c r="K269" i="35"/>
  <c r="AN269" i="35"/>
  <c r="AC269" i="35"/>
  <c r="S269" i="35"/>
  <c r="H269" i="35"/>
  <c r="AD269" i="35"/>
  <c r="I269" i="35"/>
  <c r="AA269" i="35"/>
  <c r="Y269" i="35"/>
  <c r="X269" i="35"/>
  <c r="AO269" i="35"/>
  <c r="T269" i="35"/>
  <c r="AK269" i="35"/>
  <c r="P269" i="35"/>
  <c r="AJ269" i="35"/>
  <c r="N269" i="35"/>
  <c r="AI269" i="35"/>
  <c r="M269" i="35"/>
  <c r="I271" i="35"/>
  <c r="J271" i="35"/>
  <c r="H271" i="35"/>
  <c r="AI273" i="35"/>
  <c r="AA273" i="35"/>
  <c r="S273" i="35"/>
  <c r="K273" i="35"/>
  <c r="AO273" i="35"/>
  <c r="AG273" i="35"/>
  <c r="Y273" i="35"/>
  <c r="Q273" i="35"/>
  <c r="I273" i="35"/>
  <c r="AK273" i="35"/>
  <c r="Z273" i="35"/>
  <c r="O273" i="35"/>
  <c r="AF273" i="35"/>
  <c r="V273" i="35"/>
  <c r="L273" i="35"/>
  <c r="AJ273" i="35"/>
  <c r="U273" i="35"/>
  <c r="AH273" i="35"/>
  <c r="T273" i="35"/>
  <c r="AE273" i="35"/>
  <c r="AC273" i="35"/>
  <c r="N273" i="35"/>
  <c r="AN273" i="35"/>
  <c r="AB273" i="35"/>
  <c r="M273" i="35"/>
  <c r="AM273" i="35"/>
  <c r="X273" i="35"/>
  <c r="J273" i="35"/>
  <c r="AL273" i="35"/>
  <c r="W273" i="35"/>
  <c r="H273" i="35"/>
  <c r="AD273" i="35"/>
  <c r="R273" i="35"/>
  <c r="P273" i="35"/>
  <c r="AM275" i="35"/>
  <c r="AE275" i="35"/>
  <c r="W275" i="35"/>
  <c r="O275" i="35"/>
  <c r="AK275" i="35"/>
  <c r="AC275" i="35"/>
  <c r="U275" i="35"/>
  <c r="M275" i="35"/>
  <c r="AG275" i="35"/>
  <c r="V275" i="35"/>
  <c r="K275" i="35"/>
  <c r="AN275" i="35"/>
  <c r="AB275" i="35"/>
  <c r="R275" i="35"/>
  <c r="H275" i="35"/>
  <c r="AL275" i="35"/>
  <c r="Y275" i="35"/>
  <c r="J275" i="35"/>
  <c r="AJ275" i="35"/>
  <c r="X275" i="35"/>
  <c r="I275" i="35"/>
  <c r="AI275" i="35"/>
  <c r="T275" i="35"/>
  <c r="AF275" i="35"/>
  <c r="Q275" i="35"/>
  <c r="AD275" i="35"/>
  <c r="P275" i="35"/>
  <c r="AA275" i="35"/>
  <c r="N275" i="35"/>
  <c r="AO275" i="35"/>
  <c r="Z275" i="35"/>
  <c r="L275" i="35"/>
  <c r="S275" i="35"/>
  <c r="AH275" i="35"/>
  <c r="I277" i="35"/>
  <c r="H277" i="35"/>
  <c r="AN279" i="35"/>
  <c r="AF279" i="35"/>
  <c r="X279" i="35"/>
  <c r="P279" i="35"/>
  <c r="H279" i="35"/>
  <c r="AI279" i="35"/>
  <c r="Z279" i="35"/>
  <c r="Q279" i="35"/>
  <c r="AG279" i="35"/>
  <c r="W279" i="35"/>
  <c r="N279" i="35"/>
  <c r="AK279" i="35"/>
  <c r="Y279" i="35"/>
  <c r="L279" i="35"/>
  <c r="AE279" i="35"/>
  <c r="T279" i="35"/>
  <c r="I279" i="35"/>
  <c r="AB279" i="35"/>
  <c r="K279" i="35"/>
  <c r="AO279" i="35"/>
  <c r="AA279" i="35"/>
  <c r="J279" i="35"/>
  <c r="AM279" i="35"/>
  <c r="V279" i="35"/>
  <c r="AJ279" i="35"/>
  <c r="S279" i="35"/>
  <c r="AH279" i="35"/>
  <c r="R279" i="35"/>
  <c r="AD279" i="35"/>
  <c r="O279" i="35"/>
  <c r="AC279" i="35"/>
  <c r="M279" i="35"/>
  <c r="AL279" i="35"/>
  <c r="U279" i="35"/>
  <c r="AJ281" i="35"/>
  <c r="AB281" i="35"/>
  <c r="T281" i="35"/>
  <c r="L281" i="35"/>
  <c r="AI281" i="35"/>
  <c r="AA281" i="35"/>
  <c r="S281" i="35"/>
  <c r="K281" i="35"/>
  <c r="AM281" i="35"/>
  <c r="AC281" i="35"/>
  <c r="Q281" i="35"/>
  <c r="AK281" i="35"/>
  <c r="Y281" i="35"/>
  <c r="O281" i="35"/>
  <c r="AL281" i="35"/>
  <c r="W281" i="35"/>
  <c r="I281" i="35"/>
  <c r="AF281" i="35"/>
  <c r="R281" i="35"/>
  <c r="AE281" i="35"/>
  <c r="M281" i="35"/>
  <c r="AD281" i="35"/>
  <c r="J281" i="35"/>
  <c r="Z281" i="35"/>
  <c r="H281" i="35"/>
  <c r="AO281" i="35"/>
  <c r="V281" i="35"/>
  <c r="AN281" i="35"/>
  <c r="U281" i="35"/>
  <c r="AH281" i="35"/>
  <c r="P281" i="35"/>
  <c r="AG281" i="35"/>
  <c r="N281" i="35"/>
  <c r="X281" i="35"/>
  <c r="H283" i="35"/>
  <c r="J283" i="35"/>
  <c r="I283" i="35"/>
  <c r="AJ285" i="35"/>
  <c r="AB285" i="35"/>
  <c r="T285" i="35"/>
  <c r="L285" i="35"/>
  <c r="AI285" i="35"/>
  <c r="AA285" i="35"/>
  <c r="S285" i="35"/>
  <c r="K285" i="35"/>
  <c r="AO285" i="35"/>
  <c r="AE285" i="35"/>
  <c r="U285" i="35"/>
  <c r="I285" i="35"/>
  <c r="AM285" i="35"/>
  <c r="AC285" i="35"/>
  <c r="Q285" i="35"/>
  <c r="AD285" i="35"/>
  <c r="O285" i="35"/>
  <c r="AL285" i="35"/>
  <c r="X285" i="35"/>
  <c r="J285" i="35"/>
  <c r="Z285" i="35"/>
  <c r="H285" i="35"/>
  <c r="Y285" i="35"/>
  <c r="W285" i="35"/>
  <c r="AK285" i="35"/>
  <c r="R285" i="35"/>
  <c r="AH285" i="35"/>
  <c r="P285" i="35"/>
  <c r="AG285" i="35"/>
  <c r="N285" i="35"/>
  <c r="AF285" i="35"/>
  <c r="M285" i="35"/>
  <c r="AN285" i="35"/>
  <c r="V285" i="35"/>
  <c r="H287" i="35"/>
  <c r="AN291" i="35"/>
  <c r="AF291" i="35"/>
  <c r="X291" i="35"/>
  <c r="P291" i="35"/>
  <c r="H291" i="35"/>
  <c r="AM291" i="35"/>
  <c r="AE291" i="35"/>
  <c r="W291" i="35"/>
  <c r="O291" i="35"/>
  <c r="AL291" i="35"/>
  <c r="AD291" i="35"/>
  <c r="V291" i="35"/>
  <c r="N291" i="35"/>
  <c r="AK291" i="35"/>
  <c r="AC291" i="35"/>
  <c r="U291" i="35"/>
  <c r="M291" i="35"/>
  <c r="AG291" i="35"/>
  <c r="Q291" i="35"/>
  <c r="AB291" i="35"/>
  <c r="L291" i="35"/>
  <c r="AJ291" i="35"/>
  <c r="R291" i="35"/>
  <c r="AH291" i="35"/>
  <c r="J291" i="35"/>
  <c r="AI291" i="35"/>
  <c r="Y291" i="35"/>
  <c r="AO291" i="35"/>
  <c r="AA291" i="35"/>
  <c r="Z291" i="35"/>
  <c r="T291" i="35"/>
  <c r="S291" i="35"/>
  <c r="K291" i="35"/>
  <c r="I291" i="35"/>
  <c r="AJ293" i="35"/>
  <c r="AB293" i="35"/>
  <c r="T293" i="35"/>
  <c r="L293" i="35"/>
  <c r="AI293" i="35"/>
  <c r="AA293" i="35"/>
  <c r="S293" i="35"/>
  <c r="K293" i="35"/>
  <c r="AH293" i="35"/>
  <c r="Z293" i="35"/>
  <c r="R293" i="35"/>
  <c r="J293" i="35"/>
  <c r="AG293" i="35"/>
  <c r="Y293" i="35"/>
  <c r="Q293" i="35"/>
  <c r="I293" i="35"/>
  <c r="AC293" i="35"/>
  <c r="M293" i="35"/>
  <c r="X293" i="35"/>
  <c r="H293" i="35"/>
  <c r="AF293" i="35"/>
  <c r="N293" i="35"/>
  <c r="AD293" i="35"/>
  <c r="V293" i="35"/>
  <c r="O293" i="35"/>
  <c r="AL293" i="35"/>
  <c r="AK293" i="35"/>
  <c r="AE293" i="35"/>
  <c r="W293" i="35"/>
  <c r="U293" i="35"/>
  <c r="P293" i="35"/>
  <c r="H295" i="35"/>
  <c r="I295" i="35"/>
  <c r="L301" i="35"/>
  <c r="K301" i="35"/>
  <c r="J301" i="35"/>
  <c r="I301" i="35"/>
  <c r="N301" i="35"/>
  <c r="M301" i="35"/>
  <c r="H301" i="35"/>
  <c r="AN303" i="35"/>
  <c r="AF303" i="35"/>
  <c r="X303" i="35"/>
  <c r="P303" i="35"/>
  <c r="H303" i="35"/>
  <c r="AM303" i="35"/>
  <c r="AE303" i="35"/>
  <c r="W303" i="35"/>
  <c r="O303" i="35"/>
  <c r="AL303" i="35"/>
  <c r="AD303" i="35"/>
  <c r="V303" i="35"/>
  <c r="N303" i="35"/>
  <c r="AK303" i="35"/>
  <c r="AC303" i="35"/>
  <c r="U303" i="35"/>
  <c r="M303" i="35"/>
  <c r="AH303" i="35"/>
  <c r="R303" i="35"/>
  <c r="Z303" i="35"/>
  <c r="J303" i="35"/>
  <c r="AO303" i="35"/>
  <c r="Y303" i="35"/>
  <c r="I303" i="35"/>
  <c r="AJ303" i="35"/>
  <c r="T303" i="35"/>
  <c r="AI303" i="35"/>
  <c r="AB303" i="35"/>
  <c r="L303" i="35"/>
  <c r="AG303" i="35"/>
  <c r="AA303" i="35"/>
  <c r="S303" i="35"/>
  <c r="Q303" i="35"/>
  <c r="K303" i="35"/>
  <c r="AJ305" i="35"/>
  <c r="AB305" i="35"/>
  <c r="T305" i="35"/>
  <c r="L305" i="35"/>
  <c r="AI305" i="35"/>
  <c r="AA305" i="35"/>
  <c r="S305" i="35"/>
  <c r="K305" i="35"/>
  <c r="AH305" i="35"/>
  <c r="Z305" i="35"/>
  <c r="R305" i="35"/>
  <c r="J305" i="35"/>
  <c r="AO305" i="35"/>
  <c r="AG305" i="35"/>
  <c r="Y305" i="35"/>
  <c r="Q305" i="35"/>
  <c r="I305" i="35"/>
  <c r="AD305" i="35"/>
  <c r="N305" i="35"/>
  <c r="AL305" i="35"/>
  <c r="V305" i="35"/>
  <c r="AK305" i="35"/>
  <c r="U305" i="35"/>
  <c r="AF305" i="35"/>
  <c r="P305" i="35"/>
  <c r="W305" i="35"/>
  <c r="AM305" i="35"/>
  <c r="AE305" i="35"/>
  <c r="X305" i="35"/>
  <c r="AC305" i="35"/>
  <c r="AN305" i="35"/>
  <c r="O305" i="35"/>
  <c r="M305" i="35"/>
  <c r="H305" i="35"/>
  <c r="I10" i="35"/>
  <c r="Q10" i="35"/>
  <c r="Y10" i="35"/>
  <c r="AG10" i="35"/>
  <c r="H11" i="35"/>
  <c r="S11" i="35"/>
  <c r="AD11" i="35"/>
  <c r="AN11" i="35"/>
  <c r="O13" i="35"/>
  <c r="Z13" i="35"/>
  <c r="AJ13" i="35"/>
  <c r="M14" i="35"/>
  <c r="X14" i="35"/>
  <c r="AH14" i="35"/>
  <c r="K15" i="35"/>
  <c r="V15" i="35"/>
  <c r="AF15" i="35"/>
  <c r="I16" i="35"/>
  <c r="T16" i="35"/>
  <c r="AD16" i="35"/>
  <c r="AO16" i="35"/>
  <c r="R17" i="35"/>
  <c r="J21" i="35"/>
  <c r="T21" i="35"/>
  <c r="H22" i="35"/>
  <c r="R22" i="35"/>
  <c r="AC22" i="35"/>
  <c r="AN22" i="35"/>
  <c r="P23" i="35"/>
  <c r="AA23" i="35"/>
  <c r="AL23" i="35"/>
  <c r="N24" i="35"/>
  <c r="Y24" i="35"/>
  <c r="L25" i="35"/>
  <c r="W25" i="35"/>
  <c r="AH25" i="35"/>
  <c r="J26" i="35"/>
  <c r="U26" i="35"/>
  <c r="H27" i="35"/>
  <c r="S27" i="35"/>
  <c r="AD27" i="35"/>
  <c r="Q28" i="35"/>
  <c r="AB28" i="35"/>
  <c r="AL28" i="35"/>
  <c r="O29" i="35"/>
  <c r="Z29" i="35"/>
  <c r="AJ29" i="35"/>
  <c r="M30" i="35"/>
  <c r="X30" i="35"/>
  <c r="AH30" i="35"/>
  <c r="K31" i="35"/>
  <c r="AF31" i="35"/>
  <c r="I32" i="35"/>
  <c r="T32" i="35"/>
  <c r="AD32" i="35"/>
  <c r="K33" i="35"/>
  <c r="AG33" i="35"/>
  <c r="M35" i="35"/>
  <c r="I37" i="35"/>
  <c r="J10" i="35"/>
  <c r="R10" i="35"/>
  <c r="Z10" i="35"/>
  <c r="AH10" i="35"/>
  <c r="J11" i="35"/>
  <c r="U11" i="35"/>
  <c r="AE11" i="35"/>
  <c r="H12" i="35"/>
  <c r="Q13" i="35"/>
  <c r="AA13" i="35"/>
  <c r="AL13" i="35"/>
  <c r="O14" i="35"/>
  <c r="Y14" i="35"/>
  <c r="AJ14" i="35"/>
  <c r="M15" i="35"/>
  <c r="W15" i="35"/>
  <c r="AH15" i="35"/>
  <c r="K16" i="35"/>
  <c r="U16" i="35"/>
  <c r="AF16" i="35"/>
  <c r="I17" i="35"/>
  <c r="S17" i="35"/>
  <c r="K21" i="35"/>
  <c r="V21" i="35"/>
  <c r="I22" i="35"/>
  <c r="T22" i="35"/>
  <c r="AE22" i="35"/>
  <c r="AO22" i="35"/>
  <c r="R23" i="35"/>
  <c r="AC23" i="35"/>
  <c r="AM23" i="35"/>
  <c r="P24" i="35"/>
  <c r="AA24" i="35"/>
  <c r="N25" i="35"/>
  <c r="Y25" i="35"/>
  <c r="AI25" i="35"/>
  <c r="L26" i="35"/>
  <c r="W26" i="35"/>
  <c r="J27" i="35"/>
  <c r="U27" i="35"/>
  <c r="H28" i="35"/>
  <c r="S28" i="35"/>
  <c r="AC28" i="35"/>
  <c r="AN28" i="35"/>
  <c r="Q29" i="35"/>
  <c r="AA29" i="35"/>
  <c r="AL29" i="35"/>
  <c r="O30" i="35"/>
  <c r="Y30" i="35"/>
  <c r="AJ30" i="35"/>
  <c r="M31" i="35"/>
  <c r="W31" i="35"/>
  <c r="AH31" i="35"/>
  <c r="K32" i="35"/>
  <c r="U32" i="35"/>
  <c r="AF32" i="35"/>
  <c r="N33" i="35"/>
  <c r="AH33" i="35"/>
  <c r="U35" i="35"/>
  <c r="Q37" i="35"/>
  <c r="M39" i="35"/>
  <c r="I41" i="35"/>
  <c r="K10" i="35"/>
  <c r="S10" i="35"/>
  <c r="AA10" i="35"/>
  <c r="AI10" i="35"/>
  <c r="K11" i="35"/>
  <c r="V11" i="35"/>
  <c r="AF11" i="35"/>
  <c r="I12" i="35"/>
  <c r="R13" i="35"/>
  <c r="AB13" i="35"/>
  <c r="AM13" i="35"/>
  <c r="P14" i="35"/>
  <c r="Z14" i="35"/>
  <c r="AK14" i="35"/>
  <c r="N15" i="35"/>
  <c r="X15" i="35"/>
  <c r="AI15" i="35"/>
  <c r="L16" i="35"/>
  <c r="V16" i="35"/>
  <c r="AG16" i="35"/>
  <c r="J17" i="35"/>
  <c r="H18" i="35"/>
  <c r="L21" i="35"/>
  <c r="W21" i="35"/>
  <c r="J22" i="35"/>
  <c r="U22" i="35"/>
  <c r="AF22" i="35"/>
  <c r="H23" i="35"/>
  <c r="S23" i="35"/>
  <c r="AD23" i="35"/>
  <c r="AN23" i="35"/>
  <c r="Q24" i="35"/>
  <c r="AB24" i="35"/>
  <c r="O25" i="35"/>
  <c r="Z25" i="35"/>
  <c r="AJ25" i="35"/>
  <c r="M26" i="35"/>
  <c r="X26" i="35"/>
  <c r="K27" i="35"/>
  <c r="V27" i="35"/>
  <c r="I28" i="35"/>
  <c r="T28" i="35"/>
  <c r="AD28" i="35"/>
  <c r="AO28" i="35"/>
  <c r="R29" i="35"/>
  <c r="AB29" i="35"/>
  <c r="P30" i="35"/>
  <c r="Z30" i="35"/>
  <c r="AK30" i="35"/>
  <c r="N31" i="35"/>
  <c r="X31" i="35"/>
  <c r="AI31" i="35"/>
  <c r="L32" i="35"/>
  <c r="V32" i="35"/>
  <c r="AI32" i="35"/>
  <c r="Q33" i="35"/>
  <c r="AI33" i="35"/>
  <c r="U39" i="35"/>
  <c r="Q41" i="35"/>
  <c r="L10" i="35"/>
  <c r="T10" i="35"/>
  <c r="AB10" i="35"/>
  <c r="AJ10" i="35"/>
  <c r="M11" i="35"/>
  <c r="W11" i="35"/>
  <c r="AH11" i="35"/>
  <c r="K12" i="35"/>
  <c r="I13" i="35"/>
  <c r="S13" i="35"/>
  <c r="AD13" i="35"/>
  <c r="Q14" i="35"/>
  <c r="AB14" i="35"/>
  <c r="O15" i="35"/>
  <c r="Z15" i="35"/>
  <c r="AK15" i="35"/>
  <c r="M16" i="35"/>
  <c r="X16" i="35"/>
  <c r="K17" i="35"/>
  <c r="I18" i="35"/>
  <c r="N21" i="35"/>
  <c r="Y21" i="35"/>
  <c r="L22" i="35"/>
  <c r="W22" i="35"/>
  <c r="J23" i="35"/>
  <c r="U23" i="35"/>
  <c r="AE23" i="35"/>
  <c r="H24" i="35"/>
  <c r="S24" i="35"/>
  <c r="AC24" i="35"/>
  <c r="Q25" i="35"/>
  <c r="AA25" i="35"/>
  <c r="AL25" i="35"/>
  <c r="O26" i="35"/>
  <c r="Y26" i="35"/>
  <c r="M27" i="35"/>
  <c r="W27" i="35"/>
  <c r="K28" i="35"/>
  <c r="U28" i="35"/>
  <c r="I29" i="35"/>
  <c r="S29" i="35"/>
  <c r="AD29" i="35"/>
  <c r="Q30" i="35"/>
  <c r="AB30" i="35"/>
  <c r="M32" i="35"/>
  <c r="X32" i="35"/>
  <c r="R33" i="35"/>
  <c r="AO33" i="35"/>
  <c r="Y41" i="35"/>
  <c r="J12" i="35"/>
  <c r="AL14" i="35"/>
  <c r="AD14" i="35"/>
  <c r="V14" i="35"/>
  <c r="N14" i="35"/>
  <c r="AI14" i="35"/>
  <c r="AA14" i="35"/>
  <c r="S14" i="35"/>
  <c r="K14" i="35"/>
  <c r="AH16" i="35"/>
  <c r="Z16" i="35"/>
  <c r="R16" i="35"/>
  <c r="J16" i="35"/>
  <c r="AM16" i="35"/>
  <c r="AE16" i="35"/>
  <c r="W16" i="35"/>
  <c r="O16" i="35"/>
  <c r="AL22" i="35"/>
  <c r="AD22" i="35"/>
  <c r="V22" i="35"/>
  <c r="N22" i="35"/>
  <c r="AI22" i="35"/>
  <c r="AA22" i="35"/>
  <c r="S22" i="35"/>
  <c r="K22" i="35"/>
  <c r="Z24" i="35"/>
  <c r="R24" i="35"/>
  <c r="J24" i="35"/>
  <c r="AE24" i="35"/>
  <c r="W24" i="35"/>
  <c r="O24" i="35"/>
  <c r="V26" i="35"/>
  <c r="N26" i="35"/>
  <c r="AA26" i="35"/>
  <c r="S26" i="35"/>
  <c r="K26" i="35"/>
  <c r="AH28" i="35"/>
  <c r="Z28" i="35"/>
  <c r="R28" i="35"/>
  <c r="J28" i="35"/>
  <c r="AM28" i="35"/>
  <c r="AE28" i="35"/>
  <c r="W28" i="35"/>
  <c r="O28" i="35"/>
  <c r="AL30" i="35"/>
  <c r="AD30" i="35"/>
  <c r="V30" i="35"/>
  <c r="N30" i="35"/>
  <c r="AI30" i="35"/>
  <c r="AA30" i="35"/>
  <c r="S30" i="35"/>
  <c r="K30" i="35"/>
  <c r="AH32" i="35"/>
  <c r="Z32" i="35"/>
  <c r="R32" i="35"/>
  <c r="J32" i="35"/>
  <c r="AG32" i="35"/>
  <c r="AE32" i="35"/>
  <c r="W32" i="35"/>
  <c r="O32" i="35"/>
  <c r="J34" i="35"/>
  <c r="N34" i="35"/>
  <c r="M34" i="35"/>
  <c r="L36" i="35"/>
  <c r="J36" i="35"/>
  <c r="I36" i="35"/>
  <c r="H36" i="35"/>
  <c r="O36" i="35"/>
  <c r="R38" i="35"/>
  <c r="J38" i="35"/>
  <c r="Q38" i="35"/>
  <c r="I38" i="35"/>
  <c r="P38" i="35"/>
  <c r="H38" i="35"/>
  <c r="N38" i="35"/>
  <c r="M38" i="35"/>
  <c r="L38" i="35"/>
  <c r="S38" i="35"/>
  <c r="K38" i="35"/>
  <c r="AD40" i="35"/>
  <c r="V40" i="35"/>
  <c r="N40" i="35"/>
  <c r="AC40" i="35"/>
  <c r="U40" i="35"/>
  <c r="M40" i="35"/>
  <c r="AJ40" i="35"/>
  <c r="AB40" i="35"/>
  <c r="T40" i="35"/>
  <c r="L40" i="35"/>
  <c r="AH40" i="35"/>
  <c r="Z40" i="35"/>
  <c r="R40" i="35"/>
  <c r="J40" i="35"/>
  <c r="AG40" i="35"/>
  <c r="Y40" i="35"/>
  <c r="Q40" i="35"/>
  <c r="I40" i="35"/>
  <c r="AF40" i="35"/>
  <c r="X40" i="35"/>
  <c r="P40" i="35"/>
  <c r="H40" i="35"/>
  <c r="AE40" i="35"/>
  <c r="W40" i="35"/>
  <c r="O40" i="35"/>
  <c r="Z42" i="35"/>
  <c r="R42" i="35"/>
  <c r="J42" i="35"/>
  <c r="Y42" i="35"/>
  <c r="Q42" i="35"/>
  <c r="I42" i="35"/>
  <c r="X42" i="35"/>
  <c r="P42" i="35"/>
  <c r="H42" i="35"/>
  <c r="AE42" i="35"/>
  <c r="W42" i="35"/>
  <c r="O42" i="35"/>
  <c r="AD42" i="35"/>
  <c r="V42" i="35"/>
  <c r="N42" i="35"/>
  <c r="AC42" i="35"/>
  <c r="U42" i="35"/>
  <c r="M42" i="35"/>
  <c r="AB42" i="35"/>
  <c r="T42" i="35"/>
  <c r="L42" i="35"/>
  <c r="AA42" i="35"/>
  <c r="S42" i="35"/>
  <c r="K42" i="35"/>
  <c r="AL44" i="35"/>
  <c r="AD44" i="35"/>
  <c r="V44" i="35"/>
  <c r="N44" i="35"/>
  <c r="AK44" i="35"/>
  <c r="AC44" i="35"/>
  <c r="U44" i="35"/>
  <c r="M44" i="35"/>
  <c r="AJ44" i="35"/>
  <c r="AB44" i="35"/>
  <c r="T44" i="35"/>
  <c r="L44" i="35"/>
  <c r="AI44" i="35"/>
  <c r="AA44" i="35"/>
  <c r="S44" i="35"/>
  <c r="K44" i="35"/>
  <c r="AH44" i="35"/>
  <c r="Z44" i="35"/>
  <c r="R44" i="35"/>
  <c r="J44" i="35"/>
  <c r="AO44" i="35"/>
  <c r="AG44" i="35"/>
  <c r="Y44" i="35"/>
  <c r="Q44" i="35"/>
  <c r="I44" i="35"/>
  <c r="AN44" i="35"/>
  <c r="AF44" i="35"/>
  <c r="X44" i="35"/>
  <c r="P44" i="35"/>
  <c r="H44" i="35"/>
  <c r="AM44" i="35"/>
  <c r="AE44" i="35"/>
  <c r="W44" i="35"/>
  <c r="O44" i="35"/>
  <c r="Z46" i="35"/>
  <c r="R46" i="35"/>
  <c r="J46" i="35"/>
  <c r="Y46" i="35"/>
  <c r="Q46" i="35"/>
  <c r="I46" i="35"/>
  <c r="X46" i="35"/>
  <c r="P46" i="35"/>
  <c r="H46" i="35"/>
  <c r="AE46" i="35"/>
  <c r="W46" i="35"/>
  <c r="O46" i="35"/>
  <c r="AD46" i="35"/>
  <c r="V46" i="35"/>
  <c r="N46" i="35"/>
  <c r="AC46" i="35"/>
  <c r="U46" i="35"/>
  <c r="M46" i="35"/>
  <c r="AB46" i="35"/>
  <c r="T46" i="35"/>
  <c r="L46" i="35"/>
  <c r="AA46" i="35"/>
  <c r="S46" i="35"/>
  <c r="K46" i="35"/>
  <c r="AL48" i="35"/>
  <c r="AD48" i="35"/>
  <c r="V48" i="35"/>
  <c r="N48" i="35"/>
  <c r="AK48" i="35"/>
  <c r="AC48" i="35"/>
  <c r="U48" i="35"/>
  <c r="M48" i="35"/>
  <c r="AJ48" i="35"/>
  <c r="AB48" i="35"/>
  <c r="T48" i="35"/>
  <c r="L48" i="35"/>
  <c r="AI48" i="35"/>
  <c r="AA48" i="35"/>
  <c r="S48" i="35"/>
  <c r="K48" i="35"/>
  <c r="AH48" i="35"/>
  <c r="Z48" i="35"/>
  <c r="R48" i="35"/>
  <c r="J48" i="35"/>
  <c r="AG48" i="35"/>
  <c r="Y48" i="35"/>
  <c r="Q48" i="35"/>
  <c r="I48" i="35"/>
  <c r="AN48" i="35"/>
  <c r="AF48" i="35"/>
  <c r="X48" i="35"/>
  <c r="P48" i="35"/>
  <c r="H48" i="35"/>
  <c r="AM48" i="35"/>
  <c r="AE48" i="35"/>
  <c r="W48" i="35"/>
  <c r="O48" i="35"/>
  <c r="Z50" i="35"/>
  <c r="R50" i="35"/>
  <c r="J50" i="35"/>
  <c r="Y50" i="35"/>
  <c r="Q50" i="35"/>
  <c r="I50" i="35"/>
  <c r="X50" i="35"/>
  <c r="P50" i="35"/>
  <c r="H50" i="35"/>
  <c r="W50" i="35"/>
  <c r="O50" i="35"/>
  <c r="V50" i="35"/>
  <c r="N50" i="35"/>
  <c r="U50" i="35"/>
  <c r="M50" i="35"/>
  <c r="AB50" i="35"/>
  <c r="T50" i="35"/>
  <c r="L50" i="35"/>
  <c r="AA50" i="35"/>
  <c r="S50" i="35"/>
  <c r="K50" i="35"/>
  <c r="AD52" i="35"/>
  <c r="V52" i="35"/>
  <c r="N52" i="35"/>
  <c r="AC52" i="35"/>
  <c r="U52" i="35"/>
  <c r="M52" i="35"/>
  <c r="AJ52" i="35"/>
  <c r="AB52" i="35"/>
  <c r="T52" i="35"/>
  <c r="L52" i="35"/>
  <c r="AI52" i="35"/>
  <c r="AA52" i="35"/>
  <c r="S52" i="35"/>
  <c r="K52" i="35"/>
  <c r="AH52" i="35"/>
  <c r="Z52" i="35"/>
  <c r="R52" i="35"/>
  <c r="J52" i="35"/>
  <c r="AG52" i="35"/>
  <c r="Y52" i="35"/>
  <c r="Q52" i="35"/>
  <c r="I52" i="35"/>
  <c r="AF52" i="35"/>
  <c r="X52" i="35"/>
  <c r="P52" i="35"/>
  <c r="H52" i="35"/>
  <c r="AE52" i="35"/>
  <c r="W52" i="35"/>
  <c r="O52" i="35"/>
  <c r="J54" i="35"/>
  <c r="I54" i="35"/>
  <c r="H54" i="35"/>
  <c r="N54" i="35"/>
  <c r="M54" i="35"/>
  <c r="L54" i="35"/>
  <c r="K54" i="35"/>
  <c r="O56" i="35"/>
  <c r="L56" i="35"/>
  <c r="N56" i="35"/>
  <c r="M56" i="35"/>
  <c r="K56" i="35"/>
  <c r="J56" i="35"/>
  <c r="I56" i="35"/>
  <c r="H56" i="35"/>
  <c r="K58" i="35"/>
  <c r="H58" i="35"/>
  <c r="L58" i="35"/>
  <c r="J58" i="35"/>
  <c r="I58" i="35"/>
  <c r="L60" i="35"/>
  <c r="H60" i="35"/>
  <c r="N60" i="35"/>
  <c r="M60" i="35"/>
  <c r="K60" i="35"/>
  <c r="J60" i="35"/>
  <c r="I60" i="35"/>
  <c r="K62" i="35"/>
  <c r="H62" i="35"/>
  <c r="N62" i="35"/>
  <c r="M62" i="35"/>
  <c r="L62" i="35"/>
  <c r="J62" i="35"/>
  <c r="I62" i="35"/>
  <c r="O62" i="35"/>
  <c r="W64" i="35"/>
  <c r="O64" i="35"/>
  <c r="AB64" i="35"/>
  <c r="T64" i="35"/>
  <c r="L64" i="35"/>
  <c r="AF64" i="35"/>
  <c r="U64" i="35"/>
  <c r="J64" i="35"/>
  <c r="S64" i="35"/>
  <c r="I64" i="35"/>
  <c r="AC64" i="35"/>
  <c r="R64" i="35"/>
  <c r="H64" i="35"/>
  <c r="AA64" i="35"/>
  <c r="Q64" i="35"/>
  <c r="P64" i="35"/>
  <c r="N64" i="35"/>
  <c r="X64" i="35"/>
  <c r="M64" i="35"/>
  <c r="AG64" i="35"/>
  <c r="V64" i="35"/>
  <c r="K64" i="35"/>
  <c r="K66" i="35"/>
  <c r="P66" i="35"/>
  <c r="H66" i="35"/>
  <c r="Q66" i="35"/>
  <c r="O66" i="35"/>
  <c r="N66" i="35"/>
  <c r="M66" i="35"/>
  <c r="L66" i="35"/>
  <c r="J66" i="35"/>
  <c r="I66" i="35"/>
  <c r="R66" i="35"/>
  <c r="AE68" i="35"/>
  <c r="W68" i="35"/>
  <c r="O68" i="35"/>
  <c r="AB68" i="35"/>
  <c r="AH68" i="35"/>
  <c r="X68" i="35"/>
  <c r="V68" i="35"/>
  <c r="K68" i="35"/>
  <c r="AF68" i="35"/>
  <c r="U68" i="35"/>
  <c r="J68" i="35"/>
  <c r="AD68" i="35"/>
  <c r="I68" i="35"/>
  <c r="R68" i="35"/>
  <c r="H68" i="35"/>
  <c r="Q68" i="35"/>
  <c r="Z68" i="35"/>
  <c r="P68" i="35"/>
  <c r="AI68" i="35"/>
  <c r="Y68" i="35"/>
  <c r="N68" i="35"/>
  <c r="AI70" i="35"/>
  <c r="AA70" i="35"/>
  <c r="S70" i="35"/>
  <c r="K70" i="35"/>
  <c r="AF70" i="35"/>
  <c r="X70" i="35"/>
  <c r="P70" i="35"/>
  <c r="H70" i="35"/>
  <c r="AD70" i="35"/>
  <c r="T70" i="35"/>
  <c r="I70" i="35"/>
  <c r="AM70" i="35"/>
  <c r="AC70" i="35"/>
  <c r="R70" i="35"/>
  <c r="AL70" i="35"/>
  <c r="AB70" i="35"/>
  <c r="Q70" i="35"/>
  <c r="AK70" i="35"/>
  <c r="Z70" i="35"/>
  <c r="O70" i="35"/>
  <c r="AJ70" i="35"/>
  <c r="Y70" i="35"/>
  <c r="N70" i="35"/>
  <c r="AH70" i="35"/>
  <c r="W70" i="35"/>
  <c r="M70" i="35"/>
  <c r="AG70" i="35"/>
  <c r="V70" i="35"/>
  <c r="L70" i="35"/>
  <c r="AE70" i="35"/>
  <c r="U70" i="35"/>
  <c r="J70" i="35"/>
  <c r="O72" i="35"/>
  <c r="T72" i="35"/>
  <c r="L72" i="35"/>
  <c r="P72" i="35"/>
  <c r="N72" i="35"/>
  <c r="M72" i="35"/>
  <c r="K72" i="35"/>
  <c r="U72" i="35"/>
  <c r="J72" i="35"/>
  <c r="S72" i="35"/>
  <c r="I72" i="35"/>
  <c r="R72" i="35"/>
  <c r="H72" i="35"/>
  <c r="Q72" i="35"/>
  <c r="S74" i="35"/>
  <c r="K74" i="35"/>
  <c r="P74" i="35"/>
  <c r="H74" i="35"/>
  <c r="V74" i="35"/>
  <c r="L74" i="35"/>
  <c r="U74" i="35"/>
  <c r="J74" i="35"/>
  <c r="AD74" i="35"/>
  <c r="T74" i="35"/>
  <c r="I74" i="35"/>
  <c r="R74" i="35"/>
  <c r="Q74" i="35"/>
  <c r="Z74" i="35"/>
  <c r="O74" i="35"/>
  <c r="Y74" i="35"/>
  <c r="N74" i="35"/>
  <c r="W74" i="35"/>
  <c r="M74" i="35"/>
  <c r="AE76" i="35"/>
  <c r="W76" i="35"/>
  <c r="O76" i="35"/>
  <c r="AB76" i="35"/>
  <c r="T76" i="35"/>
  <c r="L76" i="35"/>
  <c r="AC76" i="35"/>
  <c r="R76" i="35"/>
  <c r="H76" i="35"/>
  <c r="AA76" i="35"/>
  <c r="Q76" i="35"/>
  <c r="Z76" i="35"/>
  <c r="P76" i="35"/>
  <c r="Y76" i="35"/>
  <c r="N76" i="35"/>
  <c r="X76" i="35"/>
  <c r="M76" i="35"/>
  <c r="V76" i="35"/>
  <c r="K76" i="35"/>
  <c r="AF76" i="35"/>
  <c r="U76" i="35"/>
  <c r="J76" i="35"/>
  <c r="AD76" i="35"/>
  <c r="S76" i="35"/>
  <c r="I76" i="35"/>
  <c r="S78" i="35"/>
  <c r="K78" i="35"/>
  <c r="P78" i="35"/>
  <c r="H78" i="35"/>
  <c r="N78" i="35"/>
  <c r="W78" i="35"/>
  <c r="M78" i="35"/>
  <c r="V78" i="35"/>
  <c r="L78" i="35"/>
  <c r="U78" i="35"/>
  <c r="J78" i="35"/>
  <c r="T78" i="35"/>
  <c r="I78" i="35"/>
  <c r="R78" i="35"/>
  <c r="Q78" i="35"/>
  <c r="O78" i="35"/>
  <c r="AA80" i="35"/>
  <c r="S80" i="35"/>
  <c r="K80" i="35"/>
  <c r="AG80" i="35"/>
  <c r="Y80" i="35"/>
  <c r="AE80" i="35"/>
  <c r="W80" i="35"/>
  <c r="O80" i="35"/>
  <c r="AD80" i="35"/>
  <c r="V80" i="35"/>
  <c r="N80" i="35"/>
  <c r="AB80" i="35"/>
  <c r="T80" i="35"/>
  <c r="L80" i="35"/>
  <c r="X80" i="35"/>
  <c r="H80" i="35"/>
  <c r="U80" i="35"/>
  <c r="R80" i="35"/>
  <c r="Q80" i="35"/>
  <c r="AH80" i="35"/>
  <c r="P80" i="35"/>
  <c r="AF80" i="35"/>
  <c r="M80" i="35"/>
  <c r="AC80" i="35"/>
  <c r="J80" i="35"/>
  <c r="Z80" i="35"/>
  <c r="I80" i="35"/>
  <c r="AE82" i="35"/>
  <c r="W82" i="35"/>
  <c r="O82" i="35"/>
  <c r="AC82" i="35"/>
  <c r="U82" i="35"/>
  <c r="M82" i="35"/>
  <c r="AB82" i="35"/>
  <c r="T82" i="35"/>
  <c r="L82" i="35"/>
  <c r="AA82" i="35"/>
  <c r="S82" i="35"/>
  <c r="K82" i="35"/>
  <c r="Z82" i="35"/>
  <c r="R82" i="35"/>
  <c r="J82" i="35"/>
  <c r="AG82" i="35"/>
  <c r="Y82" i="35"/>
  <c r="Q82" i="35"/>
  <c r="I82" i="35"/>
  <c r="AF82" i="35"/>
  <c r="X82" i="35"/>
  <c r="P82" i="35"/>
  <c r="H82" i="35"/>
  <c r="AD82" i="35"/>
  <c r="V82" i="35"/>
  <c r="N82" i="35"/>
  <c r="S84" i="35"/>
  <c r="K84" i="35"/>
  <c r="Y84" i="35"/>
  <c r="Q84" i="35"/>
  <c r="I84" i="35"/>
  <c r="X84" i="35"/>
  <c r="P84" i="35"/>
  <c r="H84" i="35"/>
  <c r="W84" i="35"/>
  <c r="O84" i="35"/>
  <c r="V84" i="35"/>
  <c r="N84" i="35"/>
  <c r="U84" i="35"/>
  <c r="M84" i="35"/>
  <c r="T84" i="35"/>
  <c r="L84" i="35"/>
  <c r="Z84" i="35"/>
  <c r="R84" i="35"/>
  <c r="J84" i="35"/>
  <c r="O86" i="35"/>
  <c r="M86" i="35"/>
  <c r="T86" i="35"/>
  <c r="L86" i="35"/>
  <c r="S86" i="35"/>
  <c r="K86" i="35"/>
  <c r="R86" i="35"/>
  <c r="J86" i="35"/>
  <c r="Q86" i="35"/>
  <c r="I86" i="35"/>
  <c r="P86" i="35"/>
  <c r="H86" i="35"/>
  <c r="N86" i="35"/>
  <c r="K88" i="35"/>
  <c r="Q88" i="35"/>
  <c r="I88" i="35"/>
  <c r="P88" i="35"/>
  <c r="N88" i="35"/>
  <c r="M88" i="35"/>
  <c r="L88" i="35"/>
  <c r="K90" i="35"/>
  <c r="J90" i="35"/>
  <c r="I90" i="35"/>
  <c r="H90" i="35"/>
  <c r="AA92" i="35"/>
  <c r="S92" i="35"/>
  <c r="K92" i="35"/>
  <c r="Z92" i="35"/>
  <c r="R92" i="35"/>
  <c r="J92" i="35"/>
  <c r="Y92" i="35"/>
  <c r="Q92" i="35"/>
  <c r="I92" i="35"/>
  <c r="X92" i="35"/>
  <c r="P92" i="35"/>
  <c r="H92" i="35"/>
  <c r="AE92" i="35"/>
  <c r="W92" i="35"/>
  <c r="O92" i="35"/>
  <c r="AD92" i="35"/>
  <c r="V92" i="35"/>
  <c r="N92" i="35"/>
  <c r="AC92" i="35"/>
  <c r="U92" i="35"/>
  <c r="M92" i="35"/>
  <c r="AB92" i="35"/>
  <c r="T92" i="35"/>
  <c r="L92" i="35"/>
  <c r="W94" i="35"/>
  <c r="O94" i="35"/>
  <c r="V94" i="35"/>
  <c r="N94" i="35"/>
  <c r="U94" i="35"/>
  <c r="M94" i="35"/>
  <c r="T94" i="35"/>
  <c r="L94" i="35"/>
  <c r="S94" i="35"/>
  <c r="K94" i="35"/>
  <c r="R94" i="35"/>
  <c r="J94" i="35"/>
  <c r="Y94" i="35"/>
  <c r="Q94" i="35"/>
  <c r="I94" i="35"/>
  <c r="X94" i="35"/>
  <c r="P94" i="35"/>
  <c r="H94" i="35"/>
  <c r="S96" i="35"/>
  <c r="K96" i="35"/>
  <c r="Z96" i="35"/>
  <c r="R96" i="35"/>
  <c r="J96" i="35"/>
  <c r="Y96" i="35"/>
  <c r="Q96" i="35"/>
  <c r="I96" i="35"/>
  <c r="X96" i="35"/>
  <c r="P96" i="35"/>
  <c r="H96" i="35"/>
  <c r="W96" i="35"/>
  <c r="O96" i="35"/>
  <c r="V96" i="35"/>
  <c r="N96" i="35"/>
  <c r="U96" i="35"/>
  <c r="M96" i="35"/>
  <c r="T96" i="35"/>
  <c r="L96" i="35"/>
  <c r="W98" i="35"/>
  <c r="O98" i="35"/>
  <c r="V98" i="35"/>
  <c r="N98" i="35"/>
  <c r="U98" i="35"/>
  <c r="M98" i="35"/>
  <c r="T98" i="35"/>
  <c r="L98" i="35"/>
  <c r="S98" i="35"/>
  <c r="K98" i="35"/>
  <c r="Z98" i="35"/>
  <c r="R98" i="35"/>
  <c r="J98" i="35"/>
  <c r="Y98" i="35"/>
  <c r="Q98" i="35"/>
  <c r="I98" i="35"/>
  <c r="X98" i="35"/>
  <c r="P98" i="35"/>
  <c r="H98" i="35"/>
  <c r="R100" i="35"/>
  <c r="J100" i="35"/>
  <c r="O100" i="35"/>
  <c r="S100" i="35"/>
  <c r="H100" i="35"/>
  <c r="Q100" i="35"/>
  <c r="P100" i="35"/>
  <c r="N100" i="35"/>
  <c r="M100" i="35"/>
  <c r="L100" i="35"/>
  <c r="K100" i="35"/>
  <c r="T100" i="35"/>
  <c r="I100" i="35"/>
  <c r="V102" i="35"/>
  <c r="N102" i="35"/>
  <c r="S102" i="35"/>
  <c r="K102" i="35"/>
  <c r="Y102" i="35"/>
  <c r="O102" i="35"/>
  <c r="X102" i="35"/>
  <c r="M102" i="35"/>
  <c r="W102" i="35"/>
  <c r="L102" i="35"/>
  <c r="U102" i="35"/>
  <c r="J102" i="35"/>
  <c r="T102" i="35"/>
  <c r="I102" i="35"/>
  <c r="R102" i="35"/>
  <c r="H102" i="35"/>
  <c r="Q102" i="35"/>
  <c r="P102" i="35"/>
  <c r="Z104" i="35"/>
  <c r="R104" i="35"/>
  <c r="J104" i="35"/>
  <c r="AE104" i="35"/>
  <c r="W104" i="35"/>
  <c r="O104" i="35"/>
  <c r="AF104" i="35"/>
  <c r="U104" i="35"/>
  <c r="K104" i="35"/>
  <c r="AD104" i="35"/>
  <c r="T104" i="35"/>
  <c r="I104" i="35"/>
  <c r="AC104" i="35"/>
  <c r="S104" i="35"/>
  <c r="H104" i="35"/>
  <c r="AB104" i="35"/>
  <c r="Q104" i="35"/>
  <c r="AA104" i="35"/>
  <c r="P104" i="35"/>
  <c r="Y104" i="35"/>
  <c r="N104" i="35"/>
  <c r="X104" i="35"/>
  <c r="M104" i="35"/>
  <c r="V104" i="35"/>
  <c r="L104" i="35"/>
  <c r="N106" i="35"/>
  <c r="S106" i="35"/>
  <c r="K106" i="35"/>
  <c r="Q106" i="35"/>
  <c r="P106" i="35"/>
  <c r="O106" i="35"/>
  <c r="M106" i="35"/>
  <c r="L106" i="35"/>
  <c r="U106" i="35"/>
  <c r="J106" i="35"/>
  <c r="T106" i="35"/>
  <c r="I106" i="35"/>
  <c r="R106" i="35"/>
  <c r="H106" i="35"/>
  <c r="AH108" i="35"/>
  <c r="Z108" i="35"/>
  <c r="R108" i="35"/>
  <c r="J108" i="35"/>
  <c r="AE108" i="35"/>
  <c r="W108" i="35"/>
  <c r="O108" i="35"/>
  <c r="X108" i="35"/>
  <c r="M108" i="35"/>
  <c r="AG108" i="35"/>
  <c r="V108" i="35"/>
  <c r="L108" i="35"/>
  <c r="AF108" i="35"/>
  <c r="U108" i="35"/>
  <c r="K108" i="35"/>
  <c r="AD108" i="35"/>
  <c r="T108" i="35"/>
  <c r="I108" i="35"/>
  <c r="AC108" i="35"/>
  <c r="S108" i="35"/>
  <c r="H108" i="35"/>
  <c r="AB108" i="35"/>
  <c r="Q108" i="35"/>
  <c r="AA108" i="35"/>
  <c r="P108" i="35"/>
  <c r="Y108" i="35"/>
  <c r="N108" i="35"/>
  <c r="K110" i="35"/>
  <c r="I110" i="35"/>
  <c r="H110" i="35"/>
  <c r="J110" i="35"/>
  <c r="AH112" i="35"/>
  <c r="Z112" i="35"/>
  <c r="R112" i="35"/>
  <c r="J112" i="35"/>
  <c r="AM112" i="35"/>
  <c r="AE112" i="35"/>
  <c r="W112" i="35"/>
  <c r="O112" i="35"/>
  <c r="AK112" i="35"/>
  <c r="AA112" i="35"/>
  <c r="P112" i="35"/>
  <c r="AJ112" i="35"/>
  <c r="Y112" i="35"/>
  <c r="N112" i="35"/>
  <c r="AI112" i="35"/>
  <c r="X112" i="35"/>
  <c r="M112" i="35"/>
  <c r="AG112" i="35"/>
  <c r="V112" i="35"/>
  <c r="L112" i="35"/>
  <c r="AF112" i="35"/>
  <c r="U112" i="35"/>
  <c r="K112" i="35"/>
  <c r="AO112" i="35"/>
  <c r="AD112" i="35"/>
  <c r="T112" i="35"/>
  <c r="I112" i="35"/>
  <c r="AN112" i="35"/>
  <c r="AC112" i="35"/>
  <c r="S112" i="35"/>
  <c r="H112" i="35"/>
  <c r="AL112" i="35"/>
  <c r="AB112" i="35"/>
  <c r="Q112" i="35"/>
  <c r="N114" i="35"/>
  <c r="S114" i="35"/>
  <c r="K114" i="35"/>
  <c r="L114" i="35"/>
  <c r="U114" i="35"/>
  <c r="J114" i="35"/>
  <c r="I114" i="35"/>
  <c r="H114" i="35"/>
  <c r="P114" i="35"/>
  <c r="O114" i="35"/>
  <c r="M114" i="35"/>
  <c r="Z116" i="35"/>
  <c r="R116" i="35"/>
  <c r="J116" i="35"/>
  <c r="AE116" i="35"/>
  <c r="W116" i="35"/>
  <c r="O116" i="35"/>
  <c r="H116" i="35"/>
  <c r="AB116" i="35"/>
  <c r="AA116" i="35"/>
  <c r="P116" i="35"/>
  <c r="Y116" i="35"/>
  <c r="N116" i="35"/>
  <c r="X116" i="35"/>
  <c r="M116" i="35"/>
  <c r="L116" i="35"/>
  <c r="K116" i="35"/>
  <c r="AD116" i="35"/>
  <c r="T116" i="35"/>
  <c r="I116" i="35"/>
  <c r="H118" i="35"/>
  <c r="R120" i="35"/>
  <c r="J120" i="35"/>
  <c r="O120" i="35"/>
  <c r="K120" i="35"/>
  <c r="I120" i="35"/>
  <c r="H120" i="35"/>
  <c r="Q120" i="35"/>
  <c r="P120" i="35"/>
  <c r="N120" i="35"/>
  <c r="M120" i="35"/>
  <c r="L120" i="35"/>
  <c r="Z122" i="35"/>
  <c r="R122" i="35"/>
  <c r="J122" i="35"/>
  <c r="AD122" i="35"/>
  <c r="V122" i="35"/>
  <c r="N122" i="35"/>
  <c r="AA122" i="35"/>
  <c r="S122" i="35"/>
  <c r="K122" i="35"/>
  <c r="W122" i="35"/>
  <c r="I122" i="35"/>
  <c r="U122" i="35"/>
  <c r="H122" i="35"/>
  <c r="T122" i="35"/>
  <c r="AE122" i="35"/>
  <c r="Q122" i="35"/>
  <c r="AC122" i="35"/>
  <c r="P122" i="35"/>
  <c r="AB122" i="35"/>
  <c r="O122" i="35"/>
  <c r="Y122" i="35"/>
  <c r="M122" i="35"/>
  <c r="X122" i="35"/>
  <c r="L122" i="35"/>
  <c r="N124" i="35"/>
  <c r="M124" i="35"/>
  <c r="J124" i="35"/>
  <c r="O124" i="35"/>
  <c r="Q124" i="35"/>
  <c r="P124" i="35"/>
  <c r="L124" i="35"/>
  <c r="K124" i="35"/>
  <c r="I124" i="35"/>
  <c r="H124" i="35"/>
  <c r="AH126" i="35"/>
  <c r="Z126" i="35"/>
  <c r="R126" i="35"/>
  <c r="J126" i="35"/>
  <c r="AO126" i="35"/>
  <c r="AG126" i="35"/>
  <c r="Y126" i="35"/>
  <c r="Q126" i="35"/>
  <c r="I126" i="35"/>
  <c r="AL126" i="35"/>
  <c r="AD126" i="35"/>
  <c r="V126" i="35"/>
  <c r="N126" i="35"/>
  <c r="AK126" i="35"/>
  <c r="AC126" i="35"/>
  <c r="U126" i="35"/>
  <c r="M126" i="35"/>
  <c r="AJ126" i="35"/>
  <c r="AB126" i="35"/>
  <c r="AI126" i="35"/>
  <c r="AA126" i="35"/>
  <c r="S126" i="35"/>
  <c r="K126" i="35"/>
  <c r="AM126" i="35"/>
  <c r="L126" i="35"/>
  <c r="AF126" i="35"/>
  <c r="H126" i="35"/>
  <c r="AE126" i="35"/>
  <c r="X126" i="35"/>
  <c r="W126" i="35"/>
  <c r="T126" i="35"/>
  <c r="P126" i="35"/>
  <c r="AN126" i="35"/>
  <c r="O126" i="35"/>
  <c r="J128" i="35"/>
  <c r="I128" i="35"/>
  <c r="H128" i="35"/>
  <c r="R130" i="35"/>
  <c r="J130" i="35"/>
  <c r="Q130" i="35"/>
  <c r="I130" i="35"/>
  <c r="N130" i="35"/>
  <c r="M130" i="35"/>
  <c r="T130" i="35"/>
  <c r="L130" i="35"/>
  <c r="S130" i="35"/>
  <c r="K130" i="35"/>
  <c r="P130" i="35"/>
  <c r="O130" i="35"/>
  <c r="H130" i="35"/>
  <c r="N132" i="35"/>
  <c r="M132" i="35"/>
  <c r="L132" i="35"/>
  <c r="K132" i="35"/>
  <c r="J132" i="35"/>
  <c r="Q132" i="35"/>
  <c r="I132" i="35"/>
  <c r="P132" i="35"/>
  <c r="H132" i="35"/>
  <c r="O132" i="35"/>
  <c r="AH134" i="35"/>
  <c r="Z134" i="35"/>
  <c r="R134" i="35"/>
  <c r="J134" i="35"/>
  <c r="AG134" i="35"/>
  <c r="Y134" i="35"/>
  <c r="Q134" i="35"/>
  <c r="I134" i="35"/>
  <c r="AF134" i="35"/>
  <c r="X134" i="35"/>
  <c r="P134" i="35"/>
  <c r="H134" i="35"/>
  <c r="AE134" i="35"/>
  <c r="W134" i="35"/>
  <c r="O134" i="35"/>
  <c r="AD134" i="35"/>
  <c r="V134" i="35"/>
  <c r="N134" i="35"/>
  <c r="AK134" i="35"/>
  <c r="AC134" i="35"/>
  <c r="U134" i="35"/>
  <c r="M134" i="35"/>
  <c r="AJ134" i="35"/>
  <c r="AB134" i="35"/>
  <c r="T134" i="35"/>
  <c r="L134" i="35"/>
  <c r="AI134" i="35"/>
  <c r="AA134" i="35"/>
  <c r="S134" i="35"/>
  <c r="K134" i="35"/>
  <c r="K136" i="35"/>
  <c r="J136" i="35"/>
  <c r="I136" i="35"/>
  <c r="H136" i="35"/>
  <c r="N140" i="35"/>
  <c r="U140" i="35"/>
  <c r="M140" i="35"/>
  <c r="T140" i="35"/>
  <c r="L140" i="35"/>
  <c r="S140" i="35"/>
  <c r="K140" i="35"/>
  <c r="R140" i="35"/>
  <c r="J140" i="35"/>
  <c r="Q140" i="35"/>
  <c r="I140" i="35"/>
  <c r="P140" i="35"/>
  <c r="H140" i="35"/>
  <c r="O140" i="35"/>
  <c r="O142" i="35"/>
  <c r="L142" i="35"/>
  <c r="K142" i="35"/>
  <c r="J142" i="35"/>
  <c r="I142" i="35"/>
  <c r="H142" i="35"/>
  <c r="P142" i="35"/>
  <c r="N142" i="35"/>
  <c r="M142" i="35"/>
  <c r="S144" i="35"/>
  <c r="K144" i="35"/>
  <c r="P144" i="35"/>
  <c r="H144" i="35"/>
  <c r="R144" i="35"/>
  <c r="Q144" i="35"/>
  <c r="O144" i="35"/>
  <c r="N144" i="35"/>
  <c r="M144" i="35"/>
  <c r="L144" i="35"/>
  <c r="J144" i="35"/>
  <c r="I144" i="35"/>
  <c r="W146" i="35"/>
  <c r="O146" i="35"/>
  <c r="T146" i="35"/>
  <c r="L146" i="35"/>
  <c r="N146" i="35"/>
  <c r="M146" i="35"/>
  <c r="V146" i="35"/>
  <c r="K146" i="35"/>
  <c r="U146" i="35"/>
  <c r="J146" i="35"/>
  <c r="S146" i="35"/>
  <c r="I146" i="35"/>
  <c r="R146" i="35"/>
  <c r="H146" i="35"/>
  <c r="Q146" i="35"/>
  <c r="P146" i="35"/>
  <c r="S148" i="35"/>
  <c r="K148" i="35"/>
  <c r="P148" i="35"/>
  <c r="H148" i="35"/>
  <c r="U148" i="35"/>
  <c r="J148" i="35"/>
  <c r="T148" i="35"/>
  <c r="I148" i="35"/>
  <c r="R148" i="35"/>
  <c r="Q148" i="35"/>
  <c r="O148" i="35"/>
  <c r="N148" i="35"/>
  <c r="M148" i="35"/>
  <c r="L148" i="35"/>
  <c r="O150" i="35"/>
  <c r="L150" i="35"/>
  <c r="P150" i="35"/>
  <c r="N150" i="35"/>
  <c r="M150" i="35"/>
  <c r="K150" i="35"/>
  <c r="J150" i="35"/>
  <c r="I150" i="35"/>
  <c r="H150" i="35"/>
  <c r="H152" i="35"/>
  <c r="I154" i="35"/>
  <c r="H154" i="35"/>
  <c r="AI156" i="35"/>
  <c r="AA156" i="35"/>
  <c r="S156" i="35"/>
  <c r="K156" i="35"/>
  <c r="AN156" i="35"/>
  <c r="AF156" i="35"/>
  <c r="X156" i="35"/>
  <c r="P156" i="35"/>
  <c r="H156" i="35"/>
  <c r="AK156" i="35"/>
  <c r="Z156" i="35"/>
  <c r="O156" i="35"/>
  <c r="AJ156" i="35"/>
  <c r="Y156" i="35"/>
  <c r="N156" i="35"/>
  <c r="AH156" i="35"/>
  <c r="W156" i="35"/>
  <c r="M156" i="35"/>
  <c r="AG156" i="35"/>
  <c r="V156" i="35"/>
  <c r="L156" i="35"/>
  <c r="AE156" i="35"/>
  <c r="U156" i="35"/>
  <c r="J156" i="35"/>
  <c r="AO156" i="35"/>
  <c r="AD156" i="35"/>
  <c r="T156" i="35"/>
  <c r="I156" i="35"/>
  <c r="AM156" i="35"/>
  <c r="AC156" i="35"/>
  <c r="R156" i="35"/>
  <c r="AL156" i="35"/>
  <c r="AB156" i="35"/>
  <c r="Q156" i="35"/>
  <c r="I158" i="35"/>
  <c r="H158" i="35"/>
  <c r="S160" i="35"/>
  <c r="K160" i="35"/>
  <c r="P160" i="35"/>
  <c r="H160" i="35"/>
  <c r="R160" i="35"/>
  <c r="Q160" i="35"/>
  <c r="O160" i="35"/>
  <c r="N160" i="35"/>
  <c r="W160" i="35"/>
  <c r="M160" i="35"/>
  <c r="V160" i="35"/>
  <c r="L160" i="35"/>
  <c r="U160" i="35"/>
  <c r="J160" i="35"/>
  <c r="T160" i="35"/>
  <c r="I160" i="35"/>
  <c r="L162" i="35"/>
  <c r="M162" i="35"/>
  <c r="K162" i="35"/>
  <c r="J162" i="35"/>
  <c r="I162" i="35"/>
  <c r="H162" i="35"/>
  <c r="K164" i="35"/>
  <c r="H164" i="35"/>
  <c r="J164" i="35"/>
  <c r="I164" i="35"/>
  <c r="L166" i="35"/>
  <c r="M166" i="35"/>
  <c r="K166" i="35"/>
  <c r="J166" i="35"/>
  <c r="I166" i="35"/>
  <c r="H166" i="35"/>
  <c r="N168" i="35"/>
  <c r="M168" i="35"/>
  <c r="T168" i="35"/>
  <c r="L168" i="35"/>
  <c r="S168" i="35"/>
  <c r="Q168" i="35"/>
  <c r="I168" i="35"/>
  <c r="H168" i="35"/>
  <c r="O168" i="35"/>
  <c r="J170" i="35"/>
  <c r="I170" i="35"/>
  <c r="H170" i="35"/>
  <c r="M170" i="35"/>
  <c r="L170" i="35"/>
  <c r="K170" i="35"/>
  <c r="H172" i="35"/>
  <c r="H174" i="35"/>
  <c r="H176" i="35"/>
  <c r="I178" i="35"/>
  <c r="H178" i="35"/>
  <c r="K180" i="35"/>
  <c r="J180" i="35"/>
  <c r="I180" i="35"/>
  <c r="H180" i="35"/>
  <c r="K182" i="35"/>
  <c r="J182" i="35"/>
  <c r="I182" i="35"/>
  <c r="H182" i="35"/>
  <c r="M182" i="35"/>
  <c r="L182" i="35"/>
  <c r="U184" i="35"/>
  <c r="M184" i="35"/>
  <c r="Z184" i="35"/>
  <c r="R184" i="35"/>
  <c r="J184" i="35"/>
  <c r="AA184" i="35"/>
  <c r="P184" i="35"/>
  <c r="Y184" i="35"/>
  <c r="O184" i="35"/>
  <c r="X184" i="35"/>
  <c r="N184" i="35"/>
  <c r="W184" i="35"/>
  <c r="L184" i="35"/>
  <c r="V184" i="35"/>
  <c r="K184" i="35"/>
  <c r="T184" i="35"/>
  <c r="I184" i="35"/>
  <c r="S184" i="35"/>
  <c r="H184" i="35"/>
  <c r="Q184" i="35"/>
  <c r="H186" i="35"/>
  <c r="M188" i="35"/>
  <c r="J188" i="35"/>
  <c r="H188" i="35"/>
  <c r="L188" i="35"/>
  <c r="K188" i="35"/>
  <c r="I188" i="35"/>
  <c r="H190" i="35"/>
  <c r="H192" i="35"/>
  <c r="AG194" i="35"/>
  <c r="Q194" i="35"/>
  <c r="AB194" i="35"/>
  <c r="AJ194" i="35"/>
  <c r="Z194" i="35"/>
  <c r="X194" i="35"/>
  <c r="M194" i="35"/>
  <c r="AH194" i="35"/>
  <c r="W194" i="35"/>
  <c r="AF194" i="35"/>
  <c r="AE194" i="35"/>
  <c r="AC194" i="35"/>
  <c r="M196" i="35"/>
  <c r="R196" i="35"/>
  <c r="J196" i="35"/>
  <c r="N196" i="35"/>
  <c r="L196" i="35"/>
  <c r="K196" i="35"/>
  <c r="I196" i="35"/>
  <c r="S196" i="35"/>
  <c r="H196" i="35"/>
  <c r="P196" i="35"/>
  <c r="I198" i="35"/>
  <c r="H198" i="35"/>
  <c r="AO202" i="35"/>
  <c r="AG202" i="35"/>
  <c r="Y202" i="35"/>
  <c r="Q202" i="35"/>
  <c r="I202" i="35"/>
  <c r="AL202" i="35"/>
  <c r="AD202" i="35"/>
  <c r="V202" i="35"/>
  <c r="N202" i="35"/>
  <c r="AH202" i="35"/>
  <c r="W202" i="35"/>
  <c r="L202" i="35"/>
  <c r="AF202" i="35"/>
  <c r="U202" i="35"/>
  <c r="K202" i="35"/>
  <c r="AE202" i="35"/>
  <c r="T202" i="35"/>
  <c r="J202" i="35"/>
  <c r="AN202" i="35"/>
  <c r="AC202" i="35"/>
  <c r="S202" i="35"/>
  <c r="H202" i="35"/>
  <c r="AM202" i="35"/>
  <c r="AB202" i="35"/>
  <c r="R202" i="35"/>
  <c r="AK202" i="35"/>
  <c r="AA202" i="35"/>
  <c r="P202" i="35"/>
  <c r="AJ202" i="35"/>
  <c r="Z202" i="35"/>
  <c r="O202" i="35"/>
  <c r="AI202" i="35"/>
  <c r="X202" i="35"/>
  <c r="M202" i="35"/>
  <c r="M204" i="35"/>
  <c r="J204" i="35"/>
  <c r="H204" i="35"/>
  <c r="P204" i="35"/>
  <c r="O204" i="35"/>
  <c r="N204" i="35"/>
  <c r="L204" i="35"/>
  <c r="K204" i="35"/>
  <c r="I204" i="35"/>
  <c r="M206" i="35"/>
  <c r="J206" i="35"/>
  <c r="H206" i="35"/>
  <c r="R206" i="35"/>
  <c r="H208" i="35"/>
  <c r="Y210" i="35"/>
  <c r="Q210" i="35"/>
  <c r="I210" i="35"/>
  <c r="AD210" i="35"/>
  <c r="V210" i="35"/>
  <c r="N210" i="35"/>
  <c r="AB210" i="35"/>
  <c r="R210" i="35"/>
  <c r="AA210" i="35"/>
  <c r="P210" i="35"/>
  <c r="Z210" i="35"/>
  <c r="O210" i="35"/>
  <c r="X210" i="35"/>
  <c r="M210" i="35"/>
  <c r="W210" i="35"/>
  <c r="L210" i="35"/>
  <c r="AF210" i="35"/>
  <c r="U210" i="35"/>
  <c r="K210" i="35"/>
  <c r="AE210" i="35"/>
  <c r="T210" i="35"/>
  <c r="J210" i="35"/>
  <c r="AC210" i="35"/>
  <c r="S210" i="35"/>
  <c r="H210" i="35"/>
  <c r="M212" i="35"/>
  <c r="J212" i="35"/>
  <c r="L212" i="35"/>
  <c r="I212" i="35"/>
  <c r="H212" i="35"/>
  <c r="P212" i="35"/>
  <c r="O212" i="35"/>
  <c r="R214" i="35"/>
  <c r="O214" i="35"/>
  <c r="L214" i="35"/>
  <c r="H214" i="35"/>
  <c r="S214" i="35"/>
  <c r="P214" i="35"/>
  <c r="N214" i="35"/>
  <c r="M214" i="35"/>
  <c r="K216" i="35"/>
  <c r="L216" i="35"/>
  <c r="I216" i="35"/>
  <c r="H216" i="35"/>
  <c r="AL220" i="35"/>
  <c r="AD220" i="35"/>
  <c r="V220" i="35"/>
  <c r="N220" i="35"/>
  <c r="AI220" i="35"/>
  <c r="AA220" i="35"/>
  <c r="S220" i="35"/>
  <c r="K220" i="35"/>
  <c r="AJ220" i="35"/>
  <c r="Y220" i="35"/>
  <c r="O220" i="35"/>
  <c r="AH220" i="35"/>
  <c r="X220" i="35"/>
  <c r="M220" i="35"/>
  <c r="AG220" i="35"/>
  <c r="W220" i="35"/>
  <c r="L220" i="35"/>
  <c r="AF220" i="35"/>
  <c r="U220" i="35"/>
  <c r="J220" i="35"/>
  <c r="AO220" i="35"/>
  <c r="AE220" i="35"/>
  <c r="T220" i="35"/>
  <c r="I220" i="35"/>
  <c r="AN220" i="35"/>
  <c r="AC220" i="35"/>
  <c r="R220" i="35"/>
  <c r="H220" i="35"/>
  <c r="AM220" i="35"/>
  <c r="AB220" i="35"/>
  <c r="Q220" i="35"/>
  <c r="AK220" i="35"/>
  <c r="Z220" i="35"/>
  <c r="P220" i="35"/>
  <c r="N224" i="35"/>
  <c r="K224" i="35"/>
  <c r="O224" i="35"/>
  <c r="L224" i="35"/>
  <c r="J224" i="35"/>
  <c r="I224" i="35"/>
  <c r="H224" i="35"/>
  <c r="H226" i="35"/>
  <c r="H228" i="35"/>
  <c r="O230" i="35"/>
  <c r="N230" i="35"/>
  <c r="T230" i="35"/>
  <c r="I230" i="35"/>
  <c r="S230" i="35"/>
  <c r="H230" i="35"/>
  <c r="Q230" i="35"/>
  <c r="V232" i="35"/>
  <c r="N232" i="35"/>
  <c r="S232" i="35"/>
  <c r="K232" i="35"/>
  <c r="L232" i="35"/>
  <c r="U232" i="35"/>
  <c r="J232" i="35"/>
  <c r="T232" i="35"/>
  <c r="I232" i="35"/>
  <c r="R232" i="35"/>
  <c r="H232" i="35"/>
  <c r="Q232" i="35"/>
  <c r="P232" i="35"/>
  <c r="O232" i="35"/>
  <c r="M232" i="35"/>
  <c r="H234" i="35"/>
  <c r="L234" i="35"/>
  <c r="AD236" i="35"/>
  <c r="V236" i="35"/>
  <c r="N236" i="35"/>
  <c r="AA236" i="35"/>
  <c r="S236" i="35"/>
  <c r="K236" i="35"/>
  <c r="Y236" i="35"/>
  <c r="O236" i="35"/>
  <c r="X236" i="35"/>
  <c r="M236" i="35"/>
  <c r="AG236" i="35"/>
  <c r="W236" i="35"/>
  <c r="L236" i="35"/>
  <c r="AF236" i="35"/>
  <c r="U236" i="35"/>
  <c r="J236" i="35"/>
  <c r="AE236" i="35"/>
  <c r="T236" i="35"/>
  <c r="I236" i="35"/>
  <c r="AC236" i="35"/>
  <c r="R236" i="35"/>
  <c r="H236" i="35"/>
  <c r="AB236" i="35"/>
  <c r="Q236" i="35"/>
  <c r="Z236" i="35"/>
  <c r="P236" i="35"/>
  <c r="AH238" i="35"/>
  <c r="Z238" i="35"/>
  <c r="R238" i="35"/>
  <c r="J238" i="35"/>
  <c r="AM238" i="35"/>
  <c r="AE238" i="35"/>
  <c r="W238" i="35"/>
  <c r="O238" i="35"/>
  <c r="AF238" i="35"/>
  <c r="U238" i="35"/>
  <c r="K238" i="35"/>
  <c r="AO238" i="35"/>
  <c r="AD238" i="35"/>
  <c r="T238" i="35"/>
  <c r="I238" i="35"/>
  <c r="AN238" i="35"/>
  <c r="AC238" i="35"/>
  <c r="S238" i="35"/>
  <c r="H238" i="35"/>
  <c r="AL238" i="35"/>
  <c r="AB238" i="35"/>
  <c r="Q238" i="35"/>
  <c r="AK238" i="35"/>
  <c r="AA238" i="35"/>
  <c r="P238" i="35"/>
  <c r="AJ238" i="35"/>
  <c r="Y238" i="35"/>
  <c r="N238" i="35"/>
  <c r="AI238" i="35"/>
  <c r="X238" i="35"/>
  <c r="M238" i="35"/>
  <c r="AG238" i="35"/>
  <c r="V238" i="35"/>
  <c r="L238" i="35"/>
  <c r="AN240" i="35"/>
  <c r="AF240" i="35"/>
  <c r="AK240" i="35"/>
  <c r="AC240" i="35"/>
  <c r="AE240" i="35"/>
  <c r="V240" i="35"/>
  <c r="N240" i="35"/>
  <c r="AL240" i="35"/>
  <c r="AA240" i="35"/>
  <c r="S240" i="35"/>
  <c r="K240" i="35"/>
  <c r="AB240" i="35"/>
  <c r="Q240" i="35"/>
  <c r="AO240" i="35"/>
  <c r="Z240" i="35"/>
  <c r="P240" i="35"/>
  <c r="AM240" i="35"/>
  <c r="Y240" i="35"/>
  <c r="O240" i="35"/>
  <c r="AJ240" i="35"/>
  <c r="X240" i="35"/>
  <c r="M240" i="35"/>
  <c r="AI240" i="35"/>
  <c r="W240" i="35"/>
  <c r="L240" i="35"/>
  <c r="AH240" i="35"/>
  <c r="U240" i="35"/>
  <c r="J240" i="35"/>
  <c r="AG240" i="35"/>
  <c r="T240" i="35"/>
  <c r="I240" i="35"/>
  <c r="AD240" i="35"/>
  <c r="R240" i="35"/>
  <c r="H240" i="35"/>
  <c r="L242" i="35"/>
  <c r="I242" i="35"/>
  <c r="K242" i="35"/>
  <c r="N242" i="35"/>
  <c r="J242" i="35"/>
  <c r="H242" i="35"/>
  <c r="H244" i="35"/>
  <c r="AB246" i="35"/>
  <c r="T246" i="35"/>
  <c r="AG246" i="35"/>
  <c r="AI246" i="35"/>
  <c r="X246" i="35"/>
  <c r="N246" i="35"/>
  <c r="AH246" i="35"/>
  <c r="W246" i="35"/>
  <c r="J246" i="35"/>
  <c r="AD246" i="35"/>
  <c r="S246" i="35"/>
  <c r="V246" i="35"/>
  <c r="K246" i="35"/>
  <c r="X248" i="35"/>
  <c r="P248" i="35"/>
  <c r="H248" i="35"/>
  <c r="U248" i="35"/>
  <c r="M248" i="35"/>
  <c r="T248" i="35"/>
  <c r="J248" i="35"/>
  <c r="S248" i="35"/>
  <c r="I248" i="35"/>
  <c r="Q248" i="35"/>
  <c r="O248" i="35"/>
  <c r="N248" i="35"/>
  <c r="W248" i="35"/>
  <c r="L248" i="35"/>
  <c r="V248" i="35"/>
  <c r="K248" i="35"/>
  <c r="R248" i="35"/>
  <c r="J250" i="35"/>
  <c r="AN252" i="35"/>
  <c r="AF252" i="35"/>
  <c r="X252" i="35"/>
  <c r="P252" i="35"/>
  <c r="H252" i="35"/>
  <c r="AK252" i="35"/>
  <c r="AC252" i="35"/>
  <c r="U252" i="35"/>
  <c r="M252" i="35"/>
  <c r="AH252" i="35"/>
  <c r="W252" i="35"/>
  <c r="L252" i="35"/>
  <c r="AG252" i="35"/>
  <c r="V252" i="35"/>
  <c r="K252" i="35"/>
  <c r="AE252" i="35"/>
  <c r="T252" i="35"/>
  <c r="AO252" i="35"/>
  <c r="AD252" i="35"/>
  <c r="S252" i="35"/>
  <c r="I252" i="35"/>
  <c r="AM252" i="35"/>
  <c r="AB252" i="35"/>
  <c r="R252" i="35"/>
  <c r="AL252" i="35"/>
  <c r="AA252" i="35"/>
  <c r="Q252" i="35"/>
  <c r="AJ252" i="35"/>
  <c r="Z252" i="35"/>
  <c r="O252" i="35"/>
  <c r="AI252" i="35"/>
  <c r="Y252" i="35"/>
  <c r="N252" i="35"/>
  <c r="J252" i="35"/>
  <c r="H254" i="35"/>
  <c r="AN256" i="35"/>
  <c r="AF256" i="35"/>
  <c r="X256" i="35"/>
  <c r="P256" i="35"/>
  <c r="H256" i="35"/>
  <c r="AK256" i="35"/>
  <c r="AC256" i="35"/>
  <c r="U256" i="35"/>
  <c r="M256" i="35"/>
  <c r="AJ256" i="35"/>
  <c r="Z256" i="35"/>
  <c r="O256" i="35"/>
  <c r="AI256" i="35"/>
  <c r="Y256" i="35"/>
  <c r="N256" i="35"/>
  <c r="AH256" i="35"/>
  <c r="W256" i="35"/>
  <c r="L256" i="35"/>
  <c r="AG256" i="35"/>
  <c r="V256" i="35"/>
  <c r="K256" i="35"/>
  <c r="AE256" i="35"/>
  <c r="T256" i="35"/>
  <c r="J256" i="35"/>
  <c r="AO256" i="35"/>
  <c r="AD256" i="35"/>
  <c r="S256" i="35"/>
  <c r="I256" i="35"/>
  <c r="AM256" i="35"/>
  <c r="AB256" i="35"/>
  <c r="R256" i="35"/>
  <c r="AL256" i="35"/>
  <c r="AA256" i="35"/>
  <c r="Q256" i="35"/>
  <c r="AJ258" i="35"/>
  <c r="AB258" i="35"/>
  <c r="T258" i="35"/>
  <c r="L258" i="35"/>
  <c r="AO258" i="35"/>
  <c r="AG258" i="35"/>
  <c r="Y258" i="35"/>
  <c r="Q258" i="35"/>
  <c r="I258" i="35"/>
  <c r="AF258" i="35"/>
  <c r="V258" i="35"/>
  <c r="K258" i="35"/>
  <c r="AE258" i="35"/>
  <c r="U258" i="35"/>
  <c r="J258" i="35"/>
  <c r="AN258" i="35"/>
  <c r="AD258" i="35"/>
  <c r="S258" i="35"/>
  <c r="H258" i="35"/>
  <c r="AM258" i="35"/>
  <c r="AC258" i="35"/>
  <c r="R258" i="35"/>
  <c r="AL258" i="35"/>
  <c r="AA258" i="35"/>
  <c r="P258" i="35"/>
  <c r="AK258" i="35"/>
  <c r="Z258" i="35"/>
  <c r="O258" i="35"/>
  <c r="AI258" i="35"/>
  <c r="X258" i="35"/>
  <c r="N258" i="35"/>
  <c r="AH258" i="35"/>
  <c r="W258" i="35"/>
  <c r="M258" i="35"/>
  <c r="H260" i="35"/>
  <c r="J260" i="35"/>
  <c r="I260" i="35"/>
  <c r="AF262" i="35"/>
  <c r="X262" i="35"/>
  <c r="H262" i="35"/>
  <c r="AB262" i="35"/>
  <c r="T262" i="35"/>
  <c r="AA262" i="35"/>
  <c r="S262" i="35"/>
  <c r="K262" i="35"/>
  <c r="I262" i="35"/>
  <c r="R262" i="35"/>
  <c r="AE262" i="35"/>
  <c r="O262" i="35"/>
  <c r="AD262" i="35"/>
  <c r="N262" i="35"/>
  <c r="AC262" i="35"/>
  <c r="AJ264" i="35"/>
  <c r="AB264" i="35"/>
  <c r="T264" i="35"/>
  <c r="L264" i="35"/>
  <c r="AN264" i="35"/>
  <c r="AF264" i="35"/>
  <c r="X264" i="35"/>
  <c r="P264" i="35"/>
  <c r="H264" i="35"/>
  <c r="AM264" i="35"/>
  <c r="AE264" i="35"/>
  <c r="W264" i="35"/>
  <c r="O264" i="35"/>
  <c r="AK264" i="35"/>
  <c r="AC264" i="35"/>
  <c r="U264" i="35"/>
  <c r="M264" i="35"/>
  <c r="AL264" i="35"/>
  <c r="V264" i="35"/>
  <c r="AI264" i="35"/>
  <c r="S264" i="35"/>
  <c r="AH264" i="35"/>
  <c r="R264" i="35"/>
  <c r="AG264" i="35"/>
  <c r="Q264" i="35"/>
  <c r="AD264" i="35"/>
  <c r="N264" i="35"/>
  <c r="AA264" i="35"/>
  <c r="K264" i="35"/>
  <c r="Z264" i="35"/>
  <c r="J264" i="35"/>
  <c r="AO264" i="35"/>
  <c r="Y264" i="35"/>
  <c r="I264" i="35"/>
  <c r="P266" i="35"/>
  <c r="H266" i="35"/>
  <c r="U266" i="35"/>
  <c r="M266" i="35"/>
  <c r="W266" i="35"/>
  <c r="L266" i="35"/>
  <c r="R266" i="35"/>
  <c r="Q266" i="35"/>
  <c r="N266" i="35"/>
  <c r="V266" i="35"/>
  <c r="T266" i="35"/>
  <c r="S266" i="35"/>
  <c r="O266" i="35"/>
  <c r="K266" i="35"/>
  <c r="J266" i="35"/>
  <c r="I266" i="35"/>
  <c r="AJ268" i="35"/>
  <c r="AB268" i="35"/>
  <c r="T268" i="35"/>
  <c r="L268" i="35"/>
  <c r="AO268" i="35"/>
  <c r="AG268" i="35"/>
  <c r="Y268" i="35"/>
  <c r="Q268" i="35"/>
  <c r="I268" i="35"/>
  <c r="AN268" i="35"/>
  <c r="AD268" i="35"/>
  <c r="S268" i="35"/>
  <c r="H268" i="35"/>
  <c r="AI268" i="35"/>
  <c r="X268" i="35"/>
  <c r="N268" i="35"/>
  <c r="AH268" i="35"/>
  <c r="W268" i="35"/>
  <c r="M268" i="35"/>
  <c r="AE268" i="35"/>
  <c r="U268" i="35"/>
  <c r="J268" i="35"/>
  <c r="V268" i="35"/>
  <c r="AM268" i="35"/>
  <c r="R268" i="35"/>
  <c r="AL268" i="35"/>
  <c r="P268" i="35"/>
  <c r="AK268" i="35"/>
  <c r="O268" i="35"/>
  <c r="AF268" i="35"/>
  <c r="K268" i="35"/>
  <c r="AC268" i="35"/>
  <c r="AA268" i="35"/>
  <c r="Z268" i="35"/>
  <c r="AG270" i="35"/>
  <c r="AF270" i="35"/>
  <c r="X270" i="35"/>
  <c r="P270" i="35"/>
  <c r="H270" i="35"/>
  <c r="AC270" i="35"/>
  <c r="U270" i="35"/>
  <c r="M270" i="35"/>
  <c r="Z270" i="35"/>
  <c r="O270" i="35"/>
  <c r="AE270" i="35"/>
  <c r="T270" i="35"/>
  <c r="J270" i="35"/>
  <c r="AD270" i="35"/>
  <c r="S270" i="35"/>
  <c r="I270" i="35"/>
  <c r="AA270" i="35"/>
  <c r="Q270" i="35"/>
  <c r="R270" i="35"/>
  <c r="N270" i="35"/>
  <c r="AI270" i="35"/>
  <c r="L270" i="35"/>
  <c r="K270" i="35"/>
  <c r="AB270" i="35"/>
  <c r="Y270" i="35"/>
  <c r="W270" i="35"/>
  <c r="V270" i="35"/>
  <c r="K272" i="35"/>
  <c r="L272" i="35"/>
  <c r="J272" i="35"/>
  <c r="I272" i="35"/>
  <c r="H272" i="35"/>
  <c r="I274" i="35"/>
  <c r="J274" i="35"/>
  <c r="L274" i="35"/>
  <c r="H274" i="35"/>
  <c r="K274" i="35"/>
  <c r="Z278" i="35"/>
  <c r="J278" i="35"/>
  <c r="N278" i="35"/>
  <c r="L278" i="35"/>
  <c r="V278" i="35"/>
  <c r="I278" i="35"/>
  <c r="Q278" i="35"/>
  <c r="M278" i="35"/>
  <c r="K278" i="35"/>
  <c r="H278" i="35"/>
  <c r="T278" i="35"/>
  <c r="P278" i="35"/>
  <c r="O278" i="35"/>
  <c r="J280" i="35"/>
  <c r="H280" i="35"/>
  <c r="I280" i="35"/>
  <c r="K284" i="35"/>
  <c r="I284" i="35"/>
  <c r="J284" i="35"/>
  <c r="H284" i="35"/>
  <c r="AH286" i="35"/>
  <c r="Z286" i="35"/>
  <c r="R286" i="35"/>
  <c r="J286" i="35"/>
  <c r="AO286" i="35"/>
  <c r="AG286" i="35"/>
  <c r="Y286" i="35"/>
  <c r="Q286" i="35"/>
  <c r="I286" i="35"/>
  <c r="AM286" i="35"/>
  <c r="AC286" i="35"/>
  <c r="S286" i="35"/>
  <c r="AK286" i="35"/>
  <c r="AA286" i="35"/>
  <c r="O286" i="35"/>
  <c r="AL286" i="35"/>
  <c r="W286" i="35"/>
  <c r="K286" i="35"/>
  <c r="AF286" i="35"/>
  <c r="T286" i="35"/>
  <c r="AE286" i="35"/>
  <c r="M286" i="35"/>
  <c r="AD286" i="35"/>
  <c r="L286" i="35"/>
  <c r="AB286" i="35"/>
  <c r="H286" i="35"/>
  <c r="X286" i="35"/>
  <c r="V286" i="35"/>
  <c r="AN286" i="35"/>
  <c r="U286" i="35"/>
  <c r="AJ286" i="35"/>
  <c r="P286" i="35"/>
  <c r="AI286" i="35"/>
  <c r="N286" i="35"/>
  <c r="AD288" i="35"/>
  <c r="V288" i="35"/>
  <c r="N288" i="35"/>
  <c r="AC288" i="35"/>
  <c r="U288" i="35"/>
  <c r="M288" i="35"/>
  <c r="AB288" i="35"/>
  <c r="T288" i="35"/>
  <c r="L288" i="35"/>
  <c r="AA288" i="35"/>
  <c r="S288" i="35"/>
  <c r="K288" i="35"/>
  <c r="W288" i="35"/>
  <c r="R288" i="35"/>
  <c r="AF288" i="35"/>
  <c r="J288" i="35"/>
  <c r="Z288" i="35"/>
  <c r="H288" i="35"/>
  <c r="X288" i="35"/>
  <c r="O288" i="35"/>
  <c r="AE288" i="35"/>
  <c r="Y288" i="35"/>
  <c r="Q288" i="35"/>
  <c r="P288" i="35"/>
  <c r="I288" i="35"/>
  <c r="Z290" i="35"/>
  <c r="Y290" i="35"/>
  <c r="I290" i="35"/>
  <c r="P290" i="35"/>
  <c r="H290" i="35"/>
  <c r="W290" i="35"/>
  <c r="L290" i="35"/>
  <c r="K290" i="35"/>
  <c r="AD292" i="35"/>
  <c r="V292" i="35"/>
  <c r="N292" i="35"/>
  <c r="AC292" i="35"/>
  <c r="U292" i="35"/>
  <c r="M292" i="35"/>
  <c r="AB292" i="35"/>
  <c r="L292" i="35"/>
  <c r="O292" i="35"/>
  <c r="Z292" i="35"/>
  <c r="J292" i="35"/>
  <c r="X292" i="35"/>
  <c r="R292" i="35"/>
  <c r="Q292" i="35"/>
  <c r="H292" i="35"/>
  <c r="P292" i="35"/>
  <c r="I292" i="35"/>
  <c r="AH294" i="35"/>
  <c r="Z294" i="35"/>
  <c r="R294" i="35"/>
  <c r="J294" i="35"/>
  <c r="AO294" i="35"/>
  <c r="AG294" i="35"/>
  <c r="Y294" i="35"/>
  <c r="Q294" i="35"/>
  <c r="I294" i="35"/>
  <c r="AN294" i="35"/>
  <c r="AF294" i="35"/>
  <c r="X294" i="35"/>
  <c r="P294" i="35"/>
  <c r="H294" i="35"/>
  <c r="AM294" i="35"/>
  <c r="AE294" i="35"/>
  <c r="W294" i="35"/>
  <c r="O294" i="35"/>
  <c r="AJ294" i="35"/>
  <c r="T294" i="35"/>
  <c r="AB294" i="35"/>
  <c r="AA294" i="35"/>
  <c r="K294" i="35"/>
  <c r="AL294" i="35"/>
  <c r="V294" i="35"/>
  <c r="U294" i="35"/>
  <c r="N294" i="35"/>
  <c r="S294" i="35"/>
  <c r="M294" i="35"/>
  <c r="L294" i="35"/>
  <c r="AK294" i="35"/>
  <c r="AI294" i="35"/>
  <c r="AD294" i="35"/>
  <c r="AC294" i="35"/>
  <c r="AL296" i="35"/>
  <c r="AD296" i="35"/>
  <c r="V296" i="35"/>
  <c r="N296" i="35"/>
  <c r="AK296" i="35"/>
  <c r="AC296" i="35"/>
  <c r="U296" i="35"/>
  <c r="M296" i="35"/>
  <c r="AJ296" i="35"/>
  <c r="AB296" i="35"/>
  <c r="T296" i="35"/>
  <c r="L296" i="35"/>
  <c r="AI296" i="35"/>
  <c r="AA296" i="35"/>
  <c r="S296" i="35"/>
  <c r="K296" i="35"/>
  <c r="AF296" i="35"/>
  <c r="P296" i="35"/>
  <c r="X296" i="35"/>
  <c r="H296" i="35"/>
  <c r="AM296" i="35"/>
  <c r="W296" i="35"/>
  <c r="AH296" i="35"/>
  <c r="R296" i="35"/>
  <c r="Q296" i="35"/>
  <c r="J296" i="35"/>
  <c r="AG296" i="35"/>
  <c r="Y296" i="35"/>
  <c r="AE296" i="35"/>
  <c r="Z296" i="35"/>
  <c r="O296" i="35"/>
  <c r="I296" i="35"/>
  <c r="AH298" i="35"/>
  <c r="Z298" i="35"/>
  <c r="R298" i="35"/>
  <c r="J298" i="35"/>
  <c r="AG298" i="35"/>
  <c r="Y298" i="35"/>
  <c r="Q298" i="35"/>
  <c r="I298" i="35"/>
  <c r="AN298" i="35"/>
  <c r="AF298" i="35"/>
  <c r="X298" i="35"/>
  <c r="P298" i="35"/>
  <c r="H298" i="35"/>
  <c r="AM298" i="35"/>
  <c r="AE298" i="35"/>
  <c r="W298" i="35"/>
  <c r="O298" i="35"/>
  <c r="AB298" i="35"/>
  <c r="L298" i="35"/>
  <c r="AJ298" i="35"/>
  <c r="T298" i="35"/>
  <c r="AI298" i="35"/>
  <c r="S298" i="35"/>
  <c r="AD298" i="35"/>
  <c r="N298" i="35"/>
  <c r="M298" i="35"/>
  <c r="AL298" i="35"/>
  <c r="K298" i="35"/>
  <c r="AK298" i="35"/>
  <c r="AC298" i="35"/>
  <c r="AA298" i="35"/>
  <c r="V298" i="35"/>
  <c r="U298" i="35"/>
  <c r="AL300" i="35"/>
  <c r="AD300" i="35"/>
  <c r="V300" i="35"/>
  <c r="N300" i="35"/>
  <c r="AK300" i="35"/>
  <c r="AC300" i="35"/>
  <c r="U300" i="35"/>
  <c r="M300" i="35"/>
  <c r="AJ300" i="35"/>
  <c r="AB300" i="35"/>
  <c r="T300" i="35"/>
  <c r="L300" i="35"/>
  <c r="AI300" i="35"/>
  <c r="AA300" i="35"/>
  <c r="S300" i="35"/>
  <c r="K300" i="35"/>
  <c r="AN300" i="35"/>
  <c r="X300" i="35"/>
  <c r="H300" i="35"/>
  <c r="AF300" i="35"/>
  <c r="P300" i="35"/>
  <c r="AE300" i="35"/>
  <c r="O300" i="35"/>
  <c r="Z300" i="35"/>
  <c r="J300" i="35"/>
  <c r="AO300" i="35"/>
  <c r="I300" i="35"/>
  <c r="AH300" i="35"/>
  <c r="Y300" i="35"/>
  <c r="Q300" i="35"/>
  <c r="AM300" i="35"/>
  <c r="AG300" i="35"/>
  <c r="W300" i="35"/>
  <c r="R300" i="35"/>
  <c r="AH302" i="35"/>
  <c r="Z302" i="35"/>
  <c r="R302" i="35"/>
  <c r="J302" i="35"/>
  <c r="AO302" i="35"/>
  <c r="AG302" i="35"/>
  <c r="Y302" i="35"/>
  <c r="Q302" i="35"/>
  <c r="I302" i="35"/>
  <c r="AN302" i="35"/>
  <c r="AF302" i="35"/>
  <c r="X302" i="35"/>
  <c r="P302" i="35"/>
  <c r="H302" i="35"/>
  <c r="AM302" i="35"/>
  <c r="AE302" i="35"/>
  <c r="W302" i="35"/>
  <c r="O302" i="35"/>
  <c r="AJ302" i="35"/>
  <c r="T302" i="35"/>
  <c r="AB302" i="35"/>
  <c r="L302" i="35"/>
  <c r="AA302" i="35"/>
  <c r="K302" i="35"/>
  <c r="AL302" i="35"/>
  <c r="V302" i="35"/>
  <c r="AK302" i="35"/>
  <c r="AD302" i="35"/>
  <c r="AC302" i="35"/>
  <c r="U302" i="35"/>
  <c r="S302" i="35"/>
  <c r="N302" i="35"/>
  <c r="M302" i="35"/>
  <c r="AI302" i="35"/>
  <c r="AL304" i="35"/>
  <c r="AD304" i="35"/>
  <c r="V304" i="35"/>
  <c r="N304" i="35"/>
  <c r="AK304" i="35"/>
  <c r="AC304" i="35"/>
  <c r="U304" i="35"/>
  <c r="M304" i="35"/>
  <c r="AJ304" i="35"/>
  <c r="AB304" i="35"/>
  <c r="T304" i="35"/>
  <c r="L304" i="35"/>
  <c r="AI304" i="35"/>
  <c r="AA304" i="35"/>
  <c r="S304" i="35"/>
  <c r="K304" i="35"/>
  <c r="AF304" i="35"/>
  <c r="P304" i="35"/>
  <c r="AN304" i="35"/>
  <c r="X304" i="35"/>
  <c r="H304" i="35"/>
  <c r="AM304" i="35"/>
  <c r="W304" i="35"/>
  <c r="AH304" i="35"/>
  <c r="R304" i="35"/>
  <c r="Y304" i="35"/>
  <c r="AO304" i="35"/>
  <c r="I304" i="35"/>
  <c r="AG304" i="35"/>
  <c r="Z304" i="35"/>
  <c r="AE304" i="35"/>
  <c r="J304" i="35"/>
  <c r="Q304" i="35"/>
  <c r="O304" i="35"/>
  <c r="AH306" i="35"/>
  <c r="Z306" i="35"/>
  <c r="R306" i="35"/>
  <c r="J306" i="35"/>
  <c r="AO306" i="35"/>
  <c r="AG306" i="35"/>
  <c r="Y306" i="35"/>
  <c r="Q306" i="35"/>
  <c r="I306" i="35"/>
  <c r="AN306" i="35"/>
  <c r="AF306" i="35"/>
  <c r="X306" i="35"/>
  <c r="P306" i="35"/>
  <c r="H306" i="35"/>
  <c r="AM306" i="35"/>
  <c r="AE306" i="35"/>
  <c r="W306" i="35"/>
  <c r="O306" i="35"/>
  <c r="AB306" i="35"/>
  <c r="L306" i="35"/>
  <c r="AJ306" i="35"/>
  <c r="T306" i="35"/>
  <c r="AI306" i="35"/>
  <c r="S306" i="35"/>
  <c r="AD306" i="35"/>
  <c r="N306" i="35"/>
  <c r="U306" i="35"/>
  <c r="AK306" i="35"/>
  <c r="AC306" i="35"/>
  <c r="V306" i="35"/>
  <c r="AA306" i="35"/>
  <c r="M306" i="35"/>
  <c r="AL306" i="35"/>
  <c r="K306" i="35"/>
  <c r="M10" i="35"/>
  <c r="U10" i="35"/>
  <c r="AC10" i="35"/>
  <c r="AK10" i="35"/>
  <c r="N11" i="35"/>
  <c r="X11" i="35"/>
  <c r="AI11" i="35"/>
  <c r="L12" i="35"/>
  <c r="J13" i="35"/>
  <c r="T13" i="35"/>
  <c r="AE13" i="35"/>
  <c r="H14" i="35"/>
  <c r="R14" i="35"/>
  <c r="AC14" i="35"/>
  <c r="AN14" i="35"/>
  <c r="P15" i="35"/>
  <c r="AA15" i="35"/>
  <c r="AL15" i="35"/>
  <c r="N16" i="35"/>
  <c r="Y16" i="35"/>
  <c r="AJ16" i="35"/>
  <c r="L17" i="35"/>
  <c r="J18" i="35"/>
  <c r="O21" i="35"/>
  <c r="Z21" i="35"/>
  <c r="M22" i="35"/>
  <c r="X22" i="35"/>
  <c r="AH22" i="35"/>
  <c r="K23" i="35"/>
  <c r="V23" i="35"/>
  <c r="AF23" i="35"/>
  <c r="I24" i="35"/>
  <c r="T24" i="35"/>
  <c r="AD24" i="35"/>
  <c r="R25" i="35"/>
  <c r="AB25" i="35"/>
  <c r="AM25" i="35"/>
  <c r="P26" i="35"/>
  <c r="Z26" i="35"/>
  <c r="N27" i="35"/>
  <c r="X27" i="35"/>
  <c r="L28" i="35"/>
  <c r="V28" i="35"/>
  <c r="AG28" i="35"/>
  <c r="J29" i="35"/>
  <c r="T29" i="35"/>
  <c r="AE29" i="35"/>
  <c r="H30" i="35"/>
  <c r="R30" i="35"/>
  <c r="AC30" i="35"/>
  <c r="AN30" i="35"/>
  <c r="P31" i="35"/>
  <c r="AA31" i="35"/>
  <c r="N32" i="35"/>
  <c r="Y32" i="35"/>
  <c r="S33" i="35"/>
  <c r="H34" i="35"/>
  <c r="N10" i="35"/>
  <c r="V10" i="35"/>
  <c r="AD10" i="35"/>
  <c r="AM10" i="35"/>
  <c r="O11" i="35"/>
  <c r="Z11" i="35"/>
  <c r="AK11" i="35"/>
  <c r="K13" i="35"/>
  <c r="V13" i="35"/>
  <c r="AG13" i="35"/>
  <c r="I14" i="35"/>
  <c r="T14" i="35"/>
  <c r="AE14" i="35"/>
  <c r="R15" i="35"/>
  <c r="AC15" i="35"/>
  <c r="AM15" i="35"/>
  <c r="P16" i="35"/>
  <c r="AA16" i="35"/>
  <c r="AK16" i="35"/>
  <c r="Q21" i="35"/>
  <c r="AA21" i="35"/>
  <c r="O22" i="35"/>
  <c r="Y22" i="35"/>
  <c r="AJ22" i="35"/>
  <c r="M23" i="35"/>
  <c r="W23" i="35"/>
  <c r="AH23" i="35"/>
  <c r="K24" i="35"/>
  <c r="U24" i="35"/>
  <c r="I25" i="35"/>
  <c r="S25" i="35"/>
  <c r="AD25" i="35"/>
  <c r="AO25" i="35"/>
  <c r="Q26" i="35"/>
  <c r="O27" i="35"/>
  <c r="Z27" i="35"/>
  <c r="M28" i="35"/>
  <c r="X28" i="35"/>
  <c r="AI28" i="35"/>
  <c r="K29" i="35"/>
  <c r="V29" i="35"/>
  <c r="AG29" i="35"/>
  <c r="I30" i="35"/>
  <c r="T30" i="35"/>
  <c r="AE30" i="35"/>
  <c r="AO30" i="35"/>
  <c r="P32" i="35"/>
  <c r="AA32" i="35"/>
  <c r="Y33" i="35"/>
  <c r="I34" i="35"/>
  <c r="O38" i="35"/>
  <c r="K40" i="35"/>
  <c r="O10" i="35"/>
  <c r="W10" i="35"/>
  <c r="AE10" i="35"/>
  <c r="AN10" i="35"/>
  <c r="P11" i="35"/>
  <c r="AA11" i="35"/>
  <c r="AL11" i="35"/>
  <c r="L13" i="35"/>
  <c r="W13" i="35"/>
  <c r="AH13" i="35"/>
  <c r="J14" i="35"/>
  <c r="U14" i="35"/>
  <c r="AF14" i="35"/>
  <c r="H15" i="35"/>
  <c r="S15" i="35"/>
  <c r="AD15" i="35"/>
  <c r="AN15" i="35"/>
  <c r="Q16" i="35"/>
  <c r="AB16" i="35"/>
  <c r="AL16" i="35"/>
  <c r="R21" i="35"/>
  <c r="P22" i="35"/>
  <c r="Z22" i="35"/>
  <c r="AK22" i="35"/>
  <c r="N23" i="35"/>
  <c r="X23" i="35"/>
  <c r="AI23" i="35"/>
  <c r="L24" i="35"/>
  <c r="V24" i="35"/>
  <c r="J25" i="35"/>
  <c r="T25" i="35"/>
  <c r="AE25" i="35"/>
  <c r="H26" i="35"/>
  <c r="R26" i="35"/>
  <c r="P27" i="35"/>
  <c r="AA27" i="35"/>
  <c r="N28" i="35"/>
  <c r="Y28" i="35"/>
  <c r="AJ28" i="35"/>
  <c r="L29" i="35"/>
  <c r="W29" i="35"/>
  <c r="AH29" i="35"/>
  <c r="J30" i="35"/>
  <c r="U30" i="35"/>
  <c r="AF30" i="35"/>
  <c r="H31" i="35"/>
  <c r="S31" i="35"/>
  <c r="AD31" i="35"/>
  <c r="Q32" i="35"/>
  <c r="AB32" i="35"/>
  <c r="I33" i="35"/>
  <c r="Z33" i="35"/>
  <c r="O34" i="35"/>
  <c r="S40" i="35"/>
  <c r="AO48" i="35" l="1"/>
  <c r="AO63" i="35"/>
  <c r="AO10" i="35"/>
  <c r="AO195" i="35"/>
  <c r="AO45" i="35"/>
  <c r="AO298" i="35"/>
  <c r="AO13" i="35"/>
  <c r="AN70" i="35"/>
  <c r="AO249" i="35"/>
  <c r="AO14" i="35"/>
  <c r="AN195" i="35"/>
  <c r="AO70" i="35"/>
  <c r="AO296" i="35"/>
  <c r="AN203" i="35"/>
  <c r="AJ203" i="35"/>
  <c r="AN69" i="35"/>
  <c r="AL203" i="35"/>
  <c r="AN296" i="35"/>
  <c r="AM203" i="35"/>
  <c r="AO203" i="35"/>
  <c r="AK203" i="35"/>
  <c r="AM29" i="35"/>
  <c r="AN135" i="35"/>
  <c r="AN29" i="35"/>
  <c r="AO135" i="35"/>
  <c r="AM135" i="35"/>
  <c r="AL135" i="35"/>
  <c r="AO29" i="35"/>
  <c r="AO293" i="35"/>
  <c r="AM293" i="35"/>
  <c r="AO200" i="35"/>
  <c r="AO143" i="35"/>
  <c r="AN259" i="35"/>
  <c r="AN564" i="31"/>
  <c r="AO259" i="35"/>
  <c r="AO564" i="31"/>
  <c r="AO211" i="35"/>
  <c r="AO516" i="31"/>
  <c r="AN211" i="35"/>
  <c r="AN516" i="31"/>
  <c r="AN147" i="35"/>
  <c r="AN452" i="31"/>
  <c r="AO147" i="35"/>
  <c r="AO452" i="31"/>
  <c r="AN290" i="35"/>
  <c r="AN595" i="31"/>
  <c r="AO290" i="35"/>
  <c r="AO595" i="31"/>
  <c r="AN162" i="35"/>
  <c r="AN467" i="31"/>
  <c r="AO162" i="35"/>
  <c r="AO467" i="31"/>
  <c r="AN146" i="35"/>
  <c r="AN451" i="31"/>
  <c r="AO146" i="35"/>
  <c r="AO451" i="31"/>
  <c r="AN114" i="35"/>
  <c r="AN419" i="31"/>
  <c r="AO114" i="35"/>
  <c r="AO419" i="31"/>
  <c r="AN66" i="35"/>
  <c r="AN371" i="31"/>
  <c r="AN225" i="35"/>
  <c r="AN530" i="31"/>
  <c r="AO225" i="35"/>
  <c r="AO530" i="31"/>
  <c r="AN193" i="35"/>
  <c r="AN498" i="31"/>
  <c r="AO193" i="35"/>
  <c r="AO498" i="31"/>
  <c r="AN129" i="35"/>
  <c r="AN434" i="31"/>
  <c r="AO129" i="35"/>
  <c r="AO434" i="31"/>
  <c r="AN105" i="35"/>
  <c r="AN410" i="31"/>
  <c r="AO105" i="35"/>
  <c r="AO410" i="31"/>
  <c r="AN49" i="35"/>
  <c r="AN354" i="31"/>
  <c r="AO49" i="35"/>
  <c r="AO354" i="31"/>
  <c r="AN38" i="35"/>
  <c r="AN343" i="31"/>
  <c r="AO270" i="35"/>
  <c r="AO575" i="31"/>
  <c r="AN270" i="35"/>
  <c r="AN575" i="31"/>
  <c r="AO254" i="35"/>
  <c r="AO559" i="31"/>
  <c r="AN254" i="35"/>
  <c r="AN559" i="31"/>
  <c r="AN246" i="35"/>
  <c r="AN551" i="31"/>
  <c r="AO246" i="35"/>
  <c r="AO551" i="31"/>
  <c r="AN229" i="35"/>
  <c r="AN534" i="31"/>
  <c r="AO229" i="35"/>
  <c r="AO534" i="31"/>
  <c r="AN157" i="35"/>
  <c r="AN462" i="31"/>
  <c r="AO157" i="35"/>
  <c r="AO462" i="31"/>
  <c r="AN109" i="35"/>
  <c r="AN414" i="31"/>
  <c r="AO109" i="35"/>
  <c r="AO414" i="31"/>
  <c r="AN140" i="35"/>
  <c r="AN445" i="31"/>
  <c r="AO140" i="35"/>
  <c r="AO445" i="31"/>
  <c r="AO124" i="35"/>
  <c r="AO429" i="31"/>
  <c r="AN124" i="35"/>
  <c r="AN429" i="31"/>
  <c r="AN119" i="35"/>
  <c r="AN424" i="31"/>
  <c r="AO119" i="35"/>
  <c r="AO424" i="31"/>
  <c r="AO21" i="35"/>
  <c r="AO326" i="31"/>
  <c r="AN280" i="35"/>
  <c r="AN585" i="31"/>
  <c r="AO280" i="35"/>
  <c r="AO585" i="31"/>
  <c r="AN192" i="35"/>
  <c r="AN497" i="31"/>
  <c r="AO192" i="35"/>
  <c r="AO497" i="31"/>
  <c r="AN191" i="35"/>
  <c r="AN496" i="31"/>
  <c r="AO191" i="35"/>
  <c r="AO496" i="31"/>
  <c r="AN127" i="35"/>
  <c r="AN432" i="31"/>
  <c r="AO127" i="35"/>
  <c r="AO432" i="31"/>
  <c r="AO31" i="35"/>
  <c r="AO336" i="31"/>
  <c r="AN31" i="35"/>
  <c r="AN336" i="31"/>
  <c r="AO38" i="35"/>
  <c r="AO343" i="31"/>
  <c r="AN21" i="35"/>
  <c r="AN326" i="31"/>
  <c r="AO66" i="35"/>
  <c r="AO371" i="31"/>
  <c r="X37" i="35"/>
  <c r="N299" i="35"/>
  <c r="AA243" i="35"/>
  <c r="O179" i="35"/>
  <c r="AK99" i="35"/>
  <c r="AG102" i="35"/>
  <c r="X266" i="35"/>
  <c r="W234" i="35"/>
  <c r="AI186" i="35"/>
  <c r="S201" i="35"/>
  <c r="AI137" i="35"/>
  <c r="AO97" i="35"/>
  <c r="AO402" i="31"/>
  <c r="AM222" i="35"/>
  <c r="AF198" i="35"/>
  <c r="X166" i="35"/>
  <c r="AC301" i="35"/>
  <c r="K221" i="35"/>
  <c r="AC101" i="35"/>
  <c r="AH141" i="35"/>
  <c r="Z276" i="35"/>
  <c r="W228" i="35"/>
  <c r="AH172" i="35"/>
  <c r="X12" i="35"/>
  <c r="AD287" i="35"/>
  <c r="R55" i="35"/>
  <c r="Q224" i="35"/>
  <c r="L200" i="35"/>
  <c r="U168" i="35"/>
  <c r="V144" i="35"/>
  <c r="O128" i="35"/>
  <c r="AJ96" i="35"/>
  <c r="U56" i="35"/>
  <c r="AM295" i="35"/>
  <c r="AF239" i="35"/>
  <c r="AJ159" i="35"/>
  <c r="AM91" i="35"/>
  <c r="AO78" i="35"/>
  <c r="AO383" i="31"/>
  <c r="S283" i="35"/>
  <c r="T235" i="35"/>
  <c r="W171" i="35"/>
  <c r="Q139" i="35"/>
  <c r="U75" i="35"/>
  <c r="AK46" i="35"/>
  <c r="AK266" i="35"/>
  <c r="AG234" i="35"/>
  <c r="O186" i="35"/>
  <c r="AD154" i="35"/>
  <c r="AN106" i="35"/>
  <c r="AN411" i="31"/>
  <c r="X289" i="35"/>
  <c r="Q241" i="35"/>
  <c r="AK209" i="35"/>
  <c r="AJ177" i="35"/>
  <c r="AO153" i="35"/>
  <c r="AO458" i="31"/>
  <c r="AI198" i="35"/>
  <c r="AG116" i="35"/>
  <c r="N221" i="35"/>
  <c r="Y197" i="35"/>
  <c r="Q117" i="35"/>
  <c r="AK76" i="35"/>
  <c r="AD261" i="35"/>
  <c r="P237" i="35"/>
  <c r="AL159" i="35"/>
  <c r="M276" i="35"/>
  <c r="O188" i="35"/>
  <c r="AA164" i="35"/>
  <c r="AJ116" i="35"/>
  <c r="AG92" i="35"/>
  <c r="AI76" i="35"/>
  <c r="AO68" i="35"/>
  <c r="AO373" i="31"/>
  <c r="AO36" i="35"/>
  <c r="AO341" i="31"/>
  <c r="W20" i="35"/>
  <c r="AO20" i="35"/>
  <c r="AO325" i="31"/>
  <c r="AF12" i="35"/>
  <c r="T152" i="35"/>
  <c r="AC88" i="35"/>
  <c r="AC56" i="35"/>
  <c r="V117" i="35"/>
  <c r="Y55" i="35"/>
  <c r="S287" i="35"/>
  <c r="AH287" i="35"/>
  <c r="AL287" i="35"/>
  <c r="AH263" i="35"/>
  <c r="W247" i="35"/>
  <c r="AO247" i="35"/>
  <c r="AO552" i="31"/>
  <c r="AJ247" i="35"/>
  <c r="AD231" i="35"/>
  <c r="AG199" i="35"/>
  <c r="V151" i="35"/>
  <c r="AN151" i="35"/>
  <c r="AN456" i="31"/>
  <c r="AA151" i="35"/>
  <c r="AF103" i="35"/>
  <c r="AI87" i="35"/>
  <c r="AJ71" i="35"/>
  <c r="AH55" i="35"/>
  <c r="AB55" i="35"/>
  <c r="AD39" i="35"/>
  <c r="AF84" i="35"/>
  <c r="N61" i="35"/>
  <c r="N272" i="35"/>
  <c r="R272" i="35"/>
  <c r="AC248" i="35"/>
  <c r="AO248" i="35"/>
  <c r="AO553" i="31"/>
  <c r="AH232" i="35"/>
  <c r="Y224" i="35"/>
  <c r="T224" i="35"/>
  <c r="P216" i="35"/>
  <c r="AO216" i="35"/>
  <c r="AO521" i="31"/>
  <c r="AJ216" i="35"/>
  <c r="AN208" i="35"/>
  <c r="AN513" i="31"/>
  <c r="Z208" i="35"/>
  <c r="AC208" i="35"/>
  <c r="R200" i="35"/>
  <c r="W200" i="35"/>
  <c r="N200" i="35"/>
  <c r="AD184" i="35"/>
  <c r="U176" i="35"/>
  <c r="O176" i="35"/>
  <c r="AG176" i="35"/>
  <c r="AB168" i="35"/>
  <c r="AM168" i="35"/>
  <c r="AH160" i="35"/>
  <c r="N152" i="35"/>
  <c r="AN152" i="35"/>
  <c r="AN457" i="31"/>
  <c r="AA152" i="35"/>
  <c r="AD144" i="35"/>
  <c r="T136" i="35"/>
  <c r="O136" i="35"/>
  <c r="AG136" i="35"/>
  <c r="AG128" i="35"/>
  <c r="S128" i="35"/>
  <c r="W128" i="35"/>
  <c r="AO120" i="35"/>
  <c r="AO425" i="31"/>
  <c r="X120" i="35"/>
  <c r="AL88" i="35"/>
  <c r="AJ88" i="35"/>
  <c r="V72" i="35"/>
  <c r="AK56" i="35"/>
  <c r="AI56" i="35"/>
  <c r="AN32" i="35"/>
  <c r="AN337" i="31"/>
  <c r="AJ39" i="35"/>
  <c r="J295" i="35"/>
  <c r="M295" i="35"/>
  <c r="AE271" i="35"/>
  <c r="Q271" i="35"/>
  <c r="M271" i="35"/>
  <c r="Z255" i="35"/>
  <c r="AG255" i="35"/>
  <c r="AC255" i="35"/>
  <c r="U239" i="35"/>
  <c r="Q239" i="35"/>
  <c r="Z223" i="35"/>
  <c r="AK223" i="35"/>
  <c r="AF223" i="35"/>
  <c r="S207" i="35"/>
  <c r="V207" i="35"/>
  <c r="AD159" i="35"/>
  <c r="J159" i="35"/>
  <c r="M159" i="35"/>
  <c r="Z143" i="35"/>
  <c r="AC143" i="35"/>
  <c r="AO111" i="35"/>
  <c r="AO416" i="31"/>
  <c r="AL111" i="35"/>
  <c r="AF95" i="35"/>
  <c r="AD95" i="35"/>
  <c r="AK47" i="35"/>
  <c r="Q54" i="35"/>
  <c r="Z18" i="35"/>
  <c r="W56" i="35"/>
  <c r="AO74" i="35"/>
  <c r="AO379" i="31"/>
  <c r="AM42" i="35"/>
  <c r="AK42" i="35"/>
  <c r="AG55" i="35"/>
  <c r="L110" i="35"/>
  <c r="AG54" i="35"/>
  <c r="AK18" i="35"/>
  <c r="AG78" i="35"/>
  <c r="AG46" i="35"/>
  <c r="Z20" i="35"/>
  <c r="R20" i="35"/>
  <c r="AE34" i="35"/>
  <c r="AM73" i="35"/>
  <c r="AA107" i="35"/>
  <c r="Q91" i="35"/>
  <c r="AA83" i="35"/>
  <c r="O19" i="35"/>
  <c r="AJ121" i="35"/>
  <c r="V12" i="35"/>
  <c r="AM26" i="35"/>
  <c r="R169" i="35"/>
  <c r="AE88" i="35"/>
  <c r="X39" i="35"/>
  <c r="K299" i="35"/>
  <c r="AF251" i="35"/>
  <c r="N227" i="35"/>
  <c r="V171" i="35"/>
  <c r="AE139" i="35"/>
  <c r="X83" i="35"/>
  <c r="AE89" i="35"/>
  <c r="Y282" i="35"/>
  <c r="AJ250" i="35"/>
  <c r="AO226" i="35"/>
  <c r="AO531" i="31"/>
  <c r="X154" i="35"/>
  <c r="AL74" i="35"/>
  <c r="AJ78" i="35"/>
  <c r="AM297" i="35"/>
  <c r="AO201" i="35"/>
  <c r="AO506" i="31"/>
  <c r="AO81" i="35"/>
  <c r="AO386" i="31"/>
  <c r="AB222" i="35"/>
  <c r="AA198" i="35"/>
  <c r="R174" i="35"/>
  <c r="AM92" i="35"/>
  <c r="M221" i="35"/>
  <c r="I117" i="35"/>
  <c r="I261" i="35"/>
  <c r="AJ205" i="35"/>
  <c r="T85" i="35"/>
  <c r="M180" i="35"/>
  <c r="AD284" i="35"/>
  <c r="AN196" i="35"/>
  <c r="AN501" i="31"/>
  <c r="AB172" i="35"/>
  <c r="Y132" i="35"/>
  <c r="Z60" i="35"/>
  <c r="AI199" i="35"/>
  <c r="AD85" i="35"/>
  <c r="AF272" i="35"/>
  <c r="AO232" i="35"/>
  <c r="AO537" i="31"/>
  <c r="R208" i="35"/>
  <c r="Y176" i="35"/>
  <c r="S152" i="35"/>
  <c r="V120" i="35"/>
  <c r="AO40" i="35"/>
  <c r="AO345" i="31"/>
  <c r="AC223" i="35"/>
  <c r="V95" i="35"/>
  <c r="Q90" i="35"/>
  <c r="P283" i="35"/>
  <c r="AD179" i="35"/>
  <c r="U163" i="35"/>
  <c r="P250" i="35"/>
  <c r="S226" i="35"/>
  <c r="U170" i="35"/>
  <c r="M297" i="35"/>
  <c r="P241" i="35"/>
  <c r="S169" i="35"/>
  <c r="AJ145" i="35"/>
  <c r="AN57" i="35"/>
  <c r="AN362" i="31"/>
  <c r="Q182" i="35"/>
  <c r="N166" i="35"/>
  <c r="AH142" i="35"/>
  <c r="AH94" i="35"/>
  <c r="O245" i="35"/>
  <c r="AL197" i="35"/>
  <c r="AN133" i="35"/>
  <c r="AN438" i="31"/>
  <c r="Y61" i="35"/>
  <c r="AL277" i="35"/>
  <c r="AC237" i="35"/>
  <c r="AK173" i="35"/>
  <c r="AH292" i="35"/>
  <c r="AI260" i="35"/>
  <c r="AO228" i="35"/>
  <c r="AO533" i="31"/>
  <c r="S204" i="35"/>
  <c r="AM180" i="35"/>
  <c r="AO148" i="35"/>
  <c r="AO453" i="31"/>
  <c r="AA299" i="35"/>
  <c r="AN243" i="35"/>
  <c r="AN548" i="31"/>
  <c r="AD227" i="35"/>
  <c r="AJ171" i="35"/>
  <c r="T139" i="35"/>
  <c r="AC75" i="35"/>
  <c r="AK234" i="35"/>
  <c r="AK210" i="35"/>
  <c r="P170" i="35"/>
  <c r="AI18" i="35"/>
  <c r="S289" i="35"/>
  <c r="AG241" i="35"/>
  <c r="AH217" i="35"/>
  <c r="S177" i="35"/>
  <c r="AL161" i="35"/>
  <c r="Z137" i="35"/>
  <c r="AI206" i="35"/>
  <c r="W190" i="35"/>
  <c r="S166" i="35"/>
  <c r="AD110" i="35"/>
  <c r="AF54" i="35"/>
  <c r="U221" i="35"/>
  <c r="AG197" i="35"/>
  <c r="S277" i="35"/>
  <c r="AO253" i="35"/>
  <c r="AO558" i="31"/>
  <c r="U189" i="35"/>
  <c r="AJ85" i="35"/>
  <c r="AC39" i="35"/>
  <c r="Z284" i="35"/>
  <c r="X244" i="35"/>
  <c r="W188" i="35"/>
  <c r="AO116" i="35"/>
  <c r="AO421" i="31"/>
  <c r="Z100" i="35"/>
  <c r="Y60" i="35"/>
  <c r="AN52" i="35"/>
  <c r="AN357" i="31"/>
  <c r="AE36" i="35"/>
  <c r="AN12" i="35"/>
  <c r="AN317" i="31"/>
  <c r="AO71" i="35"/>
  <c r="AO376" i="31"/>
  <c r="AE87" i="35"/>
  <c r="AE55" i="35"/>
  <c r="AO47" i="35"/>
  <c r="AO352" i="31"/>
  <c r="X287" i="35"/>
  <c r="L287" i="35"/>
  <c r="O287" i="35"/>
  <c r="AA263" i="35"/>
  <c r="AD263" i="35"/>
  <c r="AC247" i="35"/>
  <c r="AI231" i="35"/>
  <c r="AL231" i="35"/>
  <c r="Y215" i="35"/>
  <c r="T215" i="35"/>
  <c r="W215" i="35"/>
  <c r="S199" i="35"/>
  <c r="AM151" i="35"/>
  <c r="I151" i="35"/>
  <c r="AI151" i="35"/>
  <c r="AN103" i="35"/>
  <c r="AN408" i="31"/>
  <c r="AC103" i="35"/>
  <c r="AI71" i="35"/>
  <c r="S55" i="35"/>
  <c r="AJ55" i="35"/>
  <c r="AL39" i="35"/>
  <c r="AA39" i="35"/>
  <c r="AN80" i="35"/>
  <c r="AN385" i="31"/>
  <c r="AL272" i="35"/>
  <c r="AK272" i="35"/>
  <c r="Z272" i="35"/>
  <c r="AE248" i="35"/>
  <c r="AG224" i="35"/>
  <c r="AB224" i="35"/>
  <c r="W216" i="35"/>
  <c r="M216" i="35"/>
  <c r="O208" i="35"/>
  <c r="AH208" i="35"/>
  <c r="AK208" i="35"/>
  <c r="AB200" i="35"/>
  <c r="AI200" i="35"/>
  <c r="V200" i="35"/>
  <c r="AL184" i="35"/>
  <c r="AJ176" i="35"/>
  <c r="W176" i="35"/>
  <c r="AO176" i="35"/>
  <c r="AO481" i="31"/>
  <c r="AC168" i="35"/>
  <c r="Z168" i="35"/>
  <c r="AB160" i="35"/>
  <c r="X160" i="35"/>
  <c r="V152" i="35"/>
  <c r="I152" i="35"/>
  <c r="AI152" i="35"/>
  <c r="AL144" i="35"/>
  <c r="Y144" i="35"/>
  <c r="AK136" i="35"/>
  <c r="W136" i="35"/>
  <c r="AO136" i="35"/>
  <c r="AO441" i="31"/>
  <c r="V128" i="35"/>
  <c r="AA128" i="35"/>
  <c r="AE128" i="35"/>
  <c r="AD120" i="35"/>
  <c r="AI120" i="35"/>
  <c r="AF120" i="35"/>
  <c r="AO96" i="35"/>
  <c r="AO401" i="31"/>
  <c r="Y88" i="35"/>
  <c r="AL80" i="35"/>
  <c r="AJ80" i="35"/>
  <c r="AD72" i="35"/>
  <c r="AB72" i="35"/>
  <c r="AM40" i="35"/>
  <c r="AM24" i="35"/>
  <c r="R295" i="35"/>
  <c r="U295" i="35"/>
  <c r="AF271" i="35"/>
  <c r="Y271" i="35"/>
  <c r="U271" i="35"/>
  <c r="AO255" i="35"/>
  <c r="AO560" i="31"/>
  <c r="AK255" i="35"/>
  <c r="AK239" i="35"/>
  <c r="Y239" i="35"/>
  <c r="T239" i="35"/>
  <c r="K223" i="35"/>
  <c r="N223" i="35"/>
  <c r="AN223" i="35"/>
  <c r="AN528" i="31"/>
  <c r="AA207" i="35"/>
  <c r="AD207" i="35"/>
  <c r="AE159" i="35"/>
  <c r="R159" i="35"/>
  <c r="U159" i="35"/>
  <c r="AH143" i="35"/>
  <c r="AK143" i="35"/>
  <c r="AA219" i="35"/>
  <c r="T171" i="35"/>
  <c r="AI139" i="35"/>
  <c r="AJ242" i="35"/>
  <c r="AL186" i="35"/>
  <c r="J138" i="35"/>
  <c r="AE98" i="35"/>
  <c r="AL265" i="35"/>
  <c r="AI169" i="35"/>
  <c r="AI75" i="35"/>
  <c r="AO230" i="35"/>
  <c r="AO535" i="31"/>
  <c r="AC198" i="35"/>
  <c r="U174" i="35"/>
  <c r="AB150" i="35"/>
  <c r="AN110" i="35"/>
  <c r="AN415" i="31"/>
  <c r="X221" i="35"/>
  <c r="AI117" i="35"/>
  <c r="AI77" i="35"/>
  <c r="Y253" i="35"/>
  <c r="AL53" i="35"/>
  <c r="AC180" i="35"/>
  <c r="AG148" i="35"/>
  <c r="AC61" i="35"/>
  <c r="AI215" i="35"/>
  <c r="AJ232" i="35"/>
  <c r="AA200" i="35"/>
  <c r="AI144" i="35"/>
  <c r="AJ295" i="35"/>
  <c r="Y223" i="35"/>
  <c r="AE143" i="35"/>
  <c r="AM47" i="35"/>
  <c r="AJ43" i="35"/>
  <c r="AE67" i="35"/>
  <c r="AO219" i="35"/>
  <c r="AO524" i="31"/>
  <c r="AO115" i="35"/>
  <c r="AO420" i="31"/>
  <c r="AM282" i="35"/>
  <c r="AN242" i="35"/>
  <c r="AN547" i="31"/>
  <c r="U138" i="35"/>
  <c r="AN265" i="35"/>
  <c r="AN570" i="31"/>
  <c r="Z217" i="35"/>
  <c r="AO185" i="35"/>
  <c r="AO490" i="31"/>
  <c r="W153" i="35"/>
  <c r="M222" i="35"/>
  <c r="AL198" i="35"/>
  <c r="AO166" i="35"/>
  <c r="AO471" i="31"/>
  <c r="AF94" i="35"/>
  <c r="U149" i="35"/>
  <c r="AA61" i="35"/>
  <c r="AN277" i="35"/>
  <c r="AN582" i="31"/>
  <c r="AK205" i="35"/>
  <c r="AD61" i="35"/>
  <c r="M284" i="35"/>
  <c r="AM236" i="35"/>
  <c r="AN204" i="35"/>
  <c r="AN509" i="31"/>
  <c r="AJ172" i="35"/>
  <c r="W148" i="35"/>
  <c r="AK100" i="35"/>
  <c r="AA227" i="35"/>
  <c r="L179" i="35"/>
  <c r="AO266" i="35"/>
  <c r="AO571" i="31"/>
  <c r="AO234" i="35"/>
  <c r="AO539" i="31"/>
  <c r="AH218" i="35"/>
  <c r="T186" i="35"/>
  <c r="AL154" i="35"/>
  <c r="AF289" i="35"/>
  <c r="AB185" i="35"/>
  <c r="AK74" i="35"/>
  <c r="AF214" i="35"/>
  <c r="T190" i="35"/>
  <c r="V166" i="35"/>
  <c r="AN94" i="35"/>
  <c r="AN399" i="31"/>
  <c r="AH245" i="35"/>
  <c r="O197" i="35"/>
  <c r="AG61" i="35"/>
  <c r="L261" i="35"/>
  <c r="AG141" i="35"/>
  <c r="AH125" i="35"/>
  <c r="AF60" i="35"/>
  <c r="AF284" i="35"/>
  <c r="AO188" i="35"/>
  <c r="AO493" i="31"/>
  <c r="V164" i="35"/>
  <c r="W113" i="35"/>
  <c r="AI283" i="35"/>
  <c r="AK251" i="35"/>
  <c r="AK235" i="35"/>
  <c r="AL227" i="35"/>
  <c r="AL171" i="35"/>
  <c r="AH163" i="35"/>
  <c r="W139" i="35"/>
  <c r="O131" i="35"/>
  <c r="AM123" i="35"/>
  <c r="U107" i="35"/>
  <c r="U91" i="35"/>
  <c r="AB67" i="35"/>
  <c r="T118" i="35"/>
  <c r="AH43" i="35"/>
  <c r="U282" i="35"/>
  <c r="AB250" i="35"/>
  <c r="AC242" i="35"/>
  <c r="M226" i="35"/>
  <c r="X218" i="35"/>
  <c r="AB186" i="35"/>
  <c r="AG170" i="35"/>
  <c r="L154" i="35"/>
  <c r="AK138" i="35"/>
  <c r="AE74" i="35"/>
  <c r="AO134" i="35"/>
  <c r="AO439" i="31"/>
  <c r="AA18" i="35"/>
  <c r="M289" i="35"/>
  <c r="AC265" i="35"/>
  <c r="AF241" i="35"/>
  <c r="X217" i="35"/>
  <c r="AK201" i="35"/>
  <c r="AM185" i="35"/>
  <c r="AA169" i="35"/>
  <c r="AH145" i="35"/>
  <c r="N137" i="35"/>
  <c r="U113" i="35"/>
  <c r="AM99" i="35"/>
  <c r="AF278" i="35"/>
  <c r="X222" i="35"/>
  <c r="X198" i="35"/>
  <c r="U182" i="35"/>
  <c r="AF166" i="35"/>
  <c r="T158" i="35"/>
  <c r="U150" i="35"/>
  <c r="V142" i="35"/>
  <c r="AI118" i="35"/>
  <c r="Z102" i="35"/>
  <c r="AN54" i="35"/>
  <c r="AN359" i="31"/>
  <c r="AB245" i="35"/>
  <c r="I221" i="35"/>
  <c r="AM181" i="35"/>
  <c r="T61" i="35"/>
  <c r="T277" i="35"/>
  <c r="O261" i="35"/>
  <c r="AG237" i="35"/>
  <c r="AL205" i="35"/>
  <c r="K189" i="35"/>
  <c r="V173" i="35"/>
  <c r="AO141" i="35"/>
  <c r="AO446" i="31"/>
  <c r="X125" i="35"/>
  <c r="AB77" i="35"/>
  <c r="AN56" i="35"/>
  <c r="AN361" i="31"/>
  <c r="P284" i="35"/>
  <c r="O284" i="35"/>
  <c r="AF276" i="35"/>
  <c r="AE276" i="35"/>
  <c r="S276" i="35"/>
  <c r="M260" i="35"/>
  <c r="Y260" i="35"/>
  <c r="T260" i="35"/>
  <c r="AC244" i="35"/>
  <c r="AF244" i="35"/>
  <c r="AF228" i="35"/>
  <c r="R228" i="35"/>
  <c r="U228" i="35"/>
  <c r="S212" i="35"/>
  <c r="V212" i="35"/>
  <c r="X204" i="35"/>
  <c r="AI204" i="35"/>
  <c r="AL204" i="35"/>
  <c r="AL196" i="35"/>
  <c r="Y196" i="35"/>
  <c r="AE188" i="35"/>
  <c r="L180" i="35"/>
  <c r="P180" i="35"/>
  <c r="AH180" i="35"/>
  <c r="N172" i="35"/>
  <c r="AN172" i="35"/>
  <c r="AN477" i="31"/>
  <c r="AA172" i="35"/>
  <c r="AD164" i="35"/>
  <c r="Q164" i="35"/>
  <c r="AJ148" i="35"/>
  <c r="AM148" i="35"/>
  <c r="S132" i="35"/>
  <c r="AB132" i="35"/>
  <c r="AI132" i="35"/>
  <c r="AN100" i="35"/>
  <c r="AN405" i="31"/>
  <c r="AG84" i="35"/>
  <c r="AL84" i="35"/>
  <c r="AO60" i="35"/>
  <c r="AO365" i="31"/>
  <c r="S60" i="35"/>
  <c r="AM36" i="35"/>
  <c r="AM20" i="35"/>
  <c r="T12" i="35"/>
  <c r="Y120" i="35"/>
  <c r="AI85" i="35"/>
  <c r="AI53" i="35"/>
  <c r="AK32" i="35"/>
  <c r="AA287" i="35"/>
  <c r="T287" i="35"/>
  <c r="AG90" i="35"/>
  <c r="N283" i="35"/>
  <c r="AN235" i="35"/>
  <c r="AN540" i="31"/>
  <c r="AN179" i="35"/>
  <c r="AN484" i="31"/>
  <c r="Z155" i="35"/>
  <c r="AN67" i="35"/>
  <c r="AN372" i="31"/>
  <c r="AB34" i="35"/>
  <c r="Z250" i="35"/>
  <c r="L226" i="35"/>
  <c r="AH210" i="35"/>
  <c r="AG35" i="35"/>
  <c r="P289" i="35"/>
  <c r="AG185" i="35"/>
  <c r="O153" i="35"/>
  <c r="AO65" i="35"/>
  <c r="AO370" i="31"/>
  <c r="AJ230" i="35"/>
  <c r="AK206" i="35"/>
  <c r="AB182" i="35"/>
  <c r="AD158" i="35"/>
  <c r="R118" i="35"/>
  <c r="AN78" i="35"/>
  <c r="AN383" i="31"/>
  <c r="R197" i="35"/>
  <c r="AD133" i="35"/>
  <c r="L93" i="35"/>
  <c r="U261" i="35"/>
  <c r="AO205" i="35"/>
  <c r="AO510" i="31"/>
  <c r="AD141" i="35"/>
  <c r="R125" i="35"/>
  <c r="AN88" i="35"/>
  <c r="AN393" i="31"/>
  <c r="AM260" i="35"/>
  <c r="AB228" i="35"/>
  <c r="P172" i="35"/>
  <c r="Z132" i="35"/>
  <c r="V247" i="35"/>
  <c r="AL215" i="35"/>
  <c r="AJ87" i="35"/>
  <c r="K20" i="35"/>
  <c r="AI184" i="35"/>
  <c r="M152" i="35"/>
  <c r="AD88" i="35"/>
  <c r="AA56" i="35"/>
  <c r="AO295" i="35"/>
  <c r="AO600" i="31"/>
  <c r="V159" i="35"/>
  <c r="X95" i="35"/>
  <c r="AL32" i="35"/>
  <c r="AN37" i="35"/>
  <c r="AN342" i="31"/>
  <c r="AO123" i="35"/>
  <c r="AO428" i="31"/>
  <c r="V299" i="35"/>
  <c r="X243" i="35"/>
  <c r="AI219" i="35"/>
  <c r="AK155" i="35"/>
  <c r="AD83" i="35"/>
  <c r="R170" i="35"/>
  <c r="U130" i="35"/>
  <c r="AD90" i="35"/>
  <c r="T185" i="35"/>
  <c r="AD161" i="35"/>
  <c r="X137" i="35"/>
  <c r="V206" i="35"/>
  <c r="AJ182" i="35"/>
  <c r="AL118" i="35"/>
  <c r="AL62" i="35"/>
  <c r="AF301" i="35"/>
  <c r="AL213" i="35"/>
  <c r="AO181" i="35"/>
  <c r="AO486" i="31"/>
  <c r="M189" i="35"/>
  <c r="Z37" i="35"/>
  <c r="R284" i="35"/>
  <c r="AH244" i="35"/>
  <c r="N164" i="35"/>
  <c r="AN116" i="35"/>
  <c r="AN421" i="31"/>
  <c r="AI57" i="35"/>
  <c r="Q243" i="35"/>
  <c r="O219" i="35"/>
  <c r="AN131" i="35"/>
  <c r="AN436" i="31"/>
  <c r="AC58" i="35"/>
  <c r="S250" i="35"/>
  <c r="T226" i="35"/>
  <c r="AN194" i="35"/>
  <c r="AN499" i="31"/>
  <c r="Z170" i="35"/>
  <c r="Z138" i="35"/>
  <c r="AF122" i="35"/>
  <c r="AM58" i="35"/>
  <c r="L90" i="35"/>
  <c r="AB289" i="35"/>
  <c r="AI201" i="35"/>
  <c r="AK137" i="35"/>
  <c r="AH222" i="35"/>
  <c r="O198" i="35"/>
  <c r="S118" i="35"/>
  <c r="AM86" i="35"/>
  <c r="AN301" i="35"/>
  <c r="AN606" i="31"/>
  <c r="AA149" i="35"/>
  <c r="Y117" i="35"/>
  <c r="AK261" i="35"/>
  <c r="X237" i="35"/>
  <c r="AN173" i="35"/>
  <c r="AN478" i="31"/>
  <c r="Q260" i="35"/>
  <c r="J228" i="35"/>
  <c r="AF172" i="35"/>
  <c r="AE148" i="35"/>
  <c r="I299" i="35"/>
  <c r="R283" i="35"/>
  <c r="M243" i="35"/>
  <c r="AO235" i="35"/>
  <c r="AO540" i="31"/>
  <c r="T219" i="35"/>
  <c r="AL179" i="35"/>
  <c r="J171" i="35"/>
  <c r="AK163" i="35"/>
  <c r="AH131" i="35"/>
  <c r="AK115" i="35"/>
  <c r="V59" i="35"/>
  <c r="M58" i="35"/>
  <c r="P282" i="35"/>
  <c r="AF274" i="35"/>
  <c r="AC250" i="35"/>
  <c r="I186" i="35"/>
  <c r="R178" i="35"/>
  <c r="AK170" i="35"/>
  <c r="P138" i="35"/>
  <c r="X130" i="35"/>
  <c r="AD106" i="35"/>
  <c r="AL50" i="35"/>
  <c r="T62" i="35"/>
  <c r="AC297" i="35"/>
  <c r="AN289" i="35"/>
  <c r="AN594" i="31"/>
  <c r="R241" i="35"/>
  <c r="P201" i="35"/>
  <c r="AH177" i="35"/>
  <c r="AG161" i="35"/>
  <c r="U145" i="35"/>
  <c r="AN137" i="35"/>
  <c r="AN442" i="31"/>
  <c r="AG113" i="35"/>
  <c r="AF34" i="35"/>
  <c r="AK278" i="35"/>
  <c r="AL262" i="35"/>
  <c r="Z230" i="35"/>
  <c r="AB190" i="35"/>
  <c r="Y174" i="35"/>
  <c r="AA166" i="35"/>
  <c r="W158" i="35"/>
  <c r="S142" i="35"/>
  <c r="W118" i="35"/>
  <c r="AE102" i="35"/>
  <c r="AL78" i="35"/>
  <c r="AI301" i="35"/>
  <c r="AE245" i="35"/>
  <c r="W197" i="35"/>
  <c r="AH149" i="35"/>
  <c r="AC133" i="35"/>
  <c r="V101" i="35"/>
  <c r="AJ93" i="35"/>
  <c r="AC96" i="35"/>
  <c r="Q277" i="35"/>
  <c r="AK237" i="35"/>
  <c r="Z205" i="35"/>
  <c r="Z173" i="35"/>
  <c r="AO86" i="35"/>
  <c r="AO391" i="31"/>
  <c r="AA19" i="35"/>
  <c r="L299" i="35"/>
  <c r="L283" i="35"/>
  <c r="AH251" i="35"/>
  <c r="AC243" i="35"/>
  <c r="O227" i="35"/>
  <c r="AE219" i="35"/>
  <c r="AM179" i="35"/>
  <c r="AM171" i="35"/>
  <c r="X163" i="35"/>
  <c r="AN155" i="35"/>
  <c r="AN460" i="31"/>
  <c r="AO139" i="35"/>
  <c r="AO444" i="31"/>
  <c r="W131" i="35"/>
  <c r="AN107" i="35"/>
  <c r="AN412" i="31"/>
  <c r="AL99" i="35"/>
  <c r="AD59" i="35"/>
  <c r="AB26" i="35"/>
  <c r="J282" i="35"/>
  <c r="X282" i="35"/>
  <c r="Y266" i="35"/>
  <c r="AM242" i="35"/>
  <c r="AH234" i="35"/>
  <c r="U226" i="35"/>
  <c r="AK218" i="35"/>
  <c r="AJ186" i="35"/>
  <c r="Z178" i="35"/>
  <c r="Q170" i="35"/>
  <c r="AN154" i="35"/>
  <c r="AN459" i="31"/>
  <c r="Q138" i="35"/>
  <c r="AN82" i="35"/>
  <c r="AN387" i="31"/>
  <c r="P58" i="35"/>
  <c r="AJ46" i="35"/>
  <c r="AO27" i="35"/>
  <c r="AO332" i="31"/>
  <c r="AK297" i="35"/>
  <c r="U289" i="35"/>
  <c r="AG58" i="35"/>
  <c r="AN227" i="35"/>
  <c r="AN532" i="31"/>
  <c r="J131" i="35"/>
  <c r="U62" i="35"/>
  <c r="M274" i="35"/>
  <c r="AB234" i="35"/>
  <c r="R218" i="35"/>
  <c r="X178" i="35"/>
  <c r="M138" i="35"/>
  <c r="V90" i="35"/>
  <c r="T289" i="35"/>
  <c r="AB241" i="35"/>
  <c r="AH209" i="35"/>
  <c r="AE177" i="35"/>
  <c r="L153" i="35"/>
  <c r="AH121" i="35"/>
  <c r="AF89" i="35"/>
  <c r="AK90" i="35"/>
  <c r="AL190" i="35"/>
  <c r="AO158" i="35"/>
  <c r="AO463" i="31"/>
  <c r="AC142" i="35"/>
  <c r="AL102" i="35"/>
  <c r="AG245" i="35"/>
  <c r="AD197" i="35"/>
  <c r="AJ133" i="35"/>
  <c r="AG93" i="35"/>
  <c r="AM189" i="35"/>
  <c r="AA77" i="35"/>
  <c r="AC260" i="35"/>
  <c r="Z212" i="35"/>
  <c r="Y188" i="35"/>
  <c r="S164" i="35"/>
  <c r="O20" i="35"/>
  <c r="K287" i="35"/>
  <c r="S151" i="35"/>
  <c r="T55" i="35"/>
  <c r="AK200" i="35"/>
  <c r="AD128" i="35"/>
  <c r="AN255" i="35"/>
  <c r="AN560" i="31"/>
  <c r="N207" i="35"/>
  <c r="AM56" i="35"/>
  <c r="N85" i="35"/>
  <c r="Z12" i="35"/>
  <c r="AG91" i="35"/>
  <c r="S299" i="35"/>
  <c r="I243" i="35"/>
  <c r="AL219" i="35"/>
  <c r="AG171" i="35"/>
  <c r="R163" i="35"/>
  <c r="R131" i="35"/>
  <c r="AF83" i="35"/>
  <c r="AF266" i="35"/>
  <c r="AN234" i="35"/>
  <c r="AN539" i="31"/>
  <c r="Z218" i="35"/>
  <c r="Y178" i="35"/>
  <c r="R138" i="35"/>
  <c r="AM98" i="35"/>
  <c r="K289" i="35"/>
  <c r="AC169" i="35"/>
  <c r="AM145" i="35"/>
  <c r="U90" i="35"/>
  <c r="AH278" i="35"/>
  <c r="Z222" i="35"/>
  <c r="L190" i="35"/>
  <c r="P158" i="35"/>
  <c r="AE86" i="35"/>
  <c r="AK301" i="35"/>
  <c r="AF221" i="35"/>
  <c r="W181" i="35"/>
  <c r="P149" i="35"/>
  <c r="AK101" i="35"/>
  <c r="Q261" i="35"/>
  <c r="AL141" i="35"/>
  <c r="Z125" i="35"/>
  <c r="AE37" i="35"/>
  <c r="O276" i="35"/>
  <c r="P244" i="35"/>
  <c r="AK212" i="35"/>
  <c r="AJ180" i="35"/>
  <c r="AF116" i="35"/>
  <c r="AH60" i="35"/>
  <c r="Y78" i="35"/>
  <c r="AD283" i="35"/>
  <c r="AD235" i="35"/>
  <c r="AE179" i="35"/>
  <c r="Z163" i="35"/>
  <c r="AL131" i="35"/>
  <c r="X107" i="35"/>
  <c r="AL83" i="35"/>
  <c r="AK86" i="35"/>
  <c r="I282" i="35"/>
  <c r="AN266" i="35"/>
  <c r="AN571" i="31"/>
  <c r="U242" i="35"/>
  <c r="M178" i="35"/>
  <c r="AC138" i="35"/>
  <c r="AJ62" i="35"/>
  <c r="V265" i="35"/>
  <c r="AJ233" i="35"/>
  <c r="Z169" i="35"/>
  <c r="S145" i="35"/>
  <c r="W89" i="35"/>
  <c r="AM230" i="35"/>
  <c r="AD206" i="35"/>
  <c r="X190" i="35"/>
  <c r="Y166" i="35"/>
  <c r="W245" i="35"/>
  <c r="L197" i="35"/>
  <c r="V133" i="35"/>
  <c r="AB93" i="35"/>
  <c r="U277" i="35"/>
  <c r="S237" i="35"/>
  <c r="S173" i="35"/>
  <c r="R85" i="35"/>
  <c r="AH37" i="35"/>
  <c r="AD276" i="35"/>
  <c r="AN236" i="35"/>
  <c r="AN541" i="31"/>
  <c r="AA204" i="35"/>
  <c r="AC148" i="35"/>
  <c r="AD84" i="35"/>
  <c r="AI299" i="35"/>
  <c r="Y243" i="35"/>
  <c r="AJ235" i="35"/>
  <c r="W219" i="35"/>
  <c r="T179" i="35"/>
  <c r="S155" i="35"/>
  <c r="L131" i="35"/>
  <c r="X59" i="35"/>
  <c r="AC98" i="35"/>
  <c r="Z274" i="35"/>
  <c r="X234" i="35"/>
  <c r="Z226" i="35"/>
  <c r="AE186" i="35"/>
  <c r="O154" i="35"/>
  <c r="AK130" i="35"/>
  <c r="AN122" i="35"/>
  <c r="AN427" i="31"/>
  <c r="O90" i="35"/>
  <c r="AC102" i="35"/>
  <c r="K297" i="35"/>
  <c r="AA265" i="35"/>
  <c r="AK241" i="35"/>
  <c r="AA209" i="35"/>
  <c r="AJ185" i="35"/>
  <c r="P177" i="35"/>
  <c r="AM153" i="35"/>
  <c r="AA137" i="35"/>
  <c r="S59" i="35"/>
  <c r="AJ262" i="35"/>
  <c r="AL206" i="35"/>
  <c r="U198" i="35"/>
  <c r="AE190" i="35"/>
  <c r="K174" i="35"/>
  <c r="AD166" i="35"/>
  <c r="AL110" i="35"/>
  <c r="U85" i="35"/>
  <c r="V301" i="35"/>
  <c r="AO245" i="35"/>
  <c r="AO550" i="31"/>
  <c r="AI221" i="35"/>
  <c r="T197" i="35"/>
  <c r="AJ181" i="35"/>
  <c r="AF149" i="35"/>
  <c r="M117" i="35"/>
  <c r="AH101" i="35"/>
  <c r="AO61" i="35"/>
  <c r="AO366" i="31"/>
  <c r="AC277" i="35"/>
  <c r="AG261" i="35"/>
  <c r="J253" i="35"/>
  <c r="U205" i="35"/>
  <c r="X189" i="35"/>
  <c r="AO110" i="35"/>
  <c r="AO415" i="31"/>
  <c r="AE75" i="35"/>
  <c r="O299" i="35"/>
  <c r="AN283" i="35"/>
  <c r="AN588" i="31"/>
  <c r="L227" i="35"/>
  <c r="AB219" i="35"/>
  <c r="AG179" i="35"/>
  <c r="R171" i="35"/>
  <c r="AA155" i="35"/>
  <c r="AJ139" i="35"/>
  <c r="AC107" i="35"/>
  <c r="AC91" i="35"/>
  <c r="P75" i="35"/>
  <c r="AF59" i="35"/>
  <c r="AC282" i="35"/>
  <c r="N274" i="35"/>
  <c r="AD266" i="35"/>
  <c r="P226" i="35"/>
  <c r="T154" i="35"/>
  <c r="K138" i="35"/>
  <c r="R58" i="35"/>
  <c r="Z59" i="35"/>
  <c r="S18" i="35"/>
  <c r="AF297" i="35"/>
  <c r="I289" i="35"/>
  <c r="AN299" i="35"/>
  <c r="AN604" i="31"/>
  <c r="AK243" i="35"/>
  <c r="K227" i="35"/>
  <c r="AA179" i="35"/>
  <c r="AL67" i="35"/>
  <c r="AD17" i="35"/>
  <c r="AO274" i="35"/>
  <c r="AO579" i="31"/>
  <c r="AC234" i="35"/>
  <c r="AM218" i="35"/>
  <c r="AM130" i="35"/>
  <c r="AF106" i="35"/>
  <c r="R297" i="35"/>
  <c r="AF201" i="35"/>
  <c r="U137" i="35"/>
  <c r="AC62" i="35"/>
  <c r="AI190" i="35"/>
  <c r="AK166" i="35"/>
  <c r="AE150" i="35"/>
  <c r="N110" i="35"/>
  <c r="R54" i="35"/>
  <c r="AL245" i="35"/>
  <c r="Q197" i="35"/>
  <c r="AF133" i="35"/>
  <c r="Q61" i="35"/>
  <c r="AF277" i="35"/>
  <c r="AJ237" i="35"/>
  <c r="AA196" i="35"/>
  <c r="U164" i="35"/>
  <c r="R132" i="35"/>
  <c r="S61" i="35"/>
  <c r="W199" i="35"/>
  <c r="AG248" i="35"/>
  <c r="O216" i="35"/>
  <c r="Z160" i="35"/>
  <c r="Y136" i="35"/>
  <c r="AI64" i="35"/>
  <c r="U255" i="35"/>
  <c r="K207" i="35"/>
  <c r="AG59" i="35"/>
  <c r="AH42" i="35"/>
  <c r="AO18" i="35"/>
  <c r="AO323" i="31"/>
  <c r="AK68" i="35"/>
  <c r="AH83" i="35"/>
  <c r="Q58" i="35"/>
  <c r="V227" i="35"/>
  <c r="W163" i="35"/>
  <c r="AD131" i="35"/>
  <c r="AJ91" i="35"/>
  <c r="P274" i="35"/>
  <c r="AA250" i="35"/>
  <c r="J226" i="35"/>
  <c r="AA154" i="35"/>
  <c r="Z297" i="35"/>
  <c r="AF233" i="35"/>
  <c r="AA201" i="35"/>
  <c r="X169" i="35"/>
  <c r="S137" i="35"/>
  <c r="AN89" i="35"/>
  <c r="AN394" i="31"/>
  <c r="S75" i="35"/>
  <c r="AE230" i="35"/>
  <c r="AM182" i="35"/>
  <c r="AJ150" i="35"/>
  <c r="Y118" i="35"/>
  <c r="Z54" i="35"/>
  <c r="S301" i="35"/>
  <c r="AI213" i="35"/>
  <c r="AO93" i="35"/>
  <c r="AO398" i="31"/>
  <c r="AC261" i="35"/>
  <c r="AB85" i="35"/>
  <c r="AH276" i="35"/>
  <c r="AJ228" i="35"/>
  <c r="AI196" i="35"/>
  <c r="K172" i="35"/>
  <c r="AH132" i="35"/>
  <c r="AI89" i="35"/>
  <c r="AM283" i="35"/>
  <c r="L243" i="35"/>
  <c r="L219" i="35"/>
  <c r="AO171" i="35"/>
  <c r="AO476" i="31"/>
  <c r="Y139" i="35"/>
  <c r="AC274" i="35"/>
  <c r="AH242" i="35"/>
  <c r="U218" i="35"/>
  <c r="AN186" i="35"/>
  <c r="AN491" i="31"/>
  <c r="AF154" i="35"/>
  <c r="AI130" i="35"/>
  <c r="V106" i="35"/>
  <c r="AD50" i="35"/>
  <c r="U297" i="35"/>
  <c r="U265" i="35"/>
  <c r="AM233" i="35"/>
  <c r="AC201" i="35"/>
  <c r="AK169" i="35"/>
  <c r="M145" i="35"/>
  <c r="Y113" i="35"/>
  <c r="AN18" i="35"/>
  <c r="AN323" i="31"/>
  <c r="AK214" i="35"/>
  <c r="Q158" i="35"/>
  <c r="AA301" i="35"/>
  <c r="AA221" i="35"/>
  <c r="AE181" i="35"/>
  <c r="Y261" i="35"/>
  <c r="P205" i="35"/>
  <c r="P125" i="35"/>
  <c r="W276" i="35"/>
  <c r="M244" i="35"/>
  <c r="AN212" i="35"/>
  <c r="AN517" i="31"/>
  <c r="AC188" i="35"/>
  <c r="S172" i="35"/>
  <c r="AB84" i="35"/>
  <c r="AG98" i="35"/>
  <c r="S57" i="35"/>
  <c r="AL299" i="35"/>
  <c r="AL283" i="35"/>
  <c r="AO251" i="35"/>
  <c r="AO556" i="31"/>
  <c r="T243" i="35"/>
  <c r="AI227" i="35"/>
  <c r="J219" i="35"/>
  <c r="Y179" i="35"/>
  <c r="M171" i="35"/>
  <c r="AF155" i="35"/>
  <c r="AB139" i="35"/>
  <c r="AF107" i="35"/>
  <c r="AK75" i="35"/>
  <c r="U86" i="35"/>
  <c r="AH19" i="35"/>
  <c r="AB282" i="35"/>
  <c r="W250" i="35"/>
  <c r="W242" i="35"/>
  <c r="N234" i="35"/>
  <c r="AN210" i="35"/>
  <c r="AN515" i="31"/>
  <c r="AL194" i="35"/>
  <c r="U178" i="35"/>
  <c r="AH138" i="35"/>
  <c r="AH82" i="35"/>
  <c r="X297" i="35"/>
  <c r="AA289" i="35"/>
  <c r="Q265" i="35"/>
  <c r="U217" i="35"/>
  <c r="AN209" i="35"/>
  <c r="AN514" i="31"/>
  <c r="L201" i="35"/>
  <c r="U177" i="35"/>
  <c r="AN169" i="35"/>
  <c r="AN474" i="31"/>
  <c r="AJ153" i="35"/>
  <c r="P145" i="35"/>
  <c r="AN121" i="35"/>
  <c r="AN426" i="31"/>
  <c r="AF18" i="35"/>
  <c r="AH262" i="35"/>
  <c r="AC222" i="35"/>
  <c r="AN214" i="35"/>
  <c r="AN519" i="31"/>
  <c r="Y206" i="35"/>
  <c r="AF190" i="35"/>
  <c r="R182" i="35"/>
  <c r="N174" i="35"/>
  <c r="X158" i="35"/>
  <c r="AO118" i="35"/>
  <c r="AO423" i="31"/>
  <c r="W62" i="35"/>
  <c r="AM46" i="35"/>
  <c r="V221" i="35"/>
  <c r="Y213" i="35"/>
  <c r="AO197" i="35"/>
  <c r="AO502" i="31"/>
  <c r="AK149" i="35"/>
  <c r="Z133" i="35"/>
  <c r="AG117" i="35"/>
  <c r="R93" i="35"/>
  <c r="AI261" i="35"/>
  <c r="AE253" i="35"/>
  <c r="AF237" i="35"/>
  <c r="AC189" i="35"/>
  <c r="O85" i="35"/>
  <c r="Z85" i="35"/>
  <c r="AO54" i="35"/>
  <c r="AO359" i="31"/>
  <c r="Q299" i="35"/>
  <c r="AG243" i="35"/>
  <c r="AB243" i="35"/>
  <c r="Z227" i="35"/>
  <c r="Q219" i="35"/>
  <c r="AB179" i="35"/>
  <c r="U171" i="35"/>
  <c r="AD139" i="35"/>
  <c r="T131" i="35"/>
  <c r="AO99" i="35"/>
  <c r="AO404" i="31"/>
  <c r="AJ67" i="35"/>
  <c r="AE57" i="35"/>
  <c r="Z19" i="35"/>
  <c r="AN274" i="35"/>
  <c r="AN579" i="31"/>
  <c r="X250" i="35"/>
  <c r="AK242" i="35"/>
  <c r="V234" i="35"/>
  <c r="AH226" i="35"/>
  <c r="AF218" i="35"/>
  <c r="AO194" i="35"/>
  <c r="AO499" i="31"/>
  <c r="AO186" i="35"/>
  <c r="AO491" i="31"/>
  <c r="AM186" i="35"/>
  <c r="AC178" i="35"/>
  <c r="N170" i="35"/>
  <c r="W154" i="35"/>
  <c r="N138" i="35"/>
  <c r="AL106" i="35"/>
  <c r="W90" i="35"/>
  <c r="AM74" i="35"/>
  <c r="AI34" i="35"/>
  <c r="S297" i="35"/>
  <c r="AI289" i="35"/>
  <c r="AM143" i="35"/>
  <c r="K283" i="35"/>
  <c r="AG235" i="35"/>
  <c r="AD219" i="35"/>
  <c r="Y171" i="35"/>
  <c r="AC155" i="35"/>
  <c r="AI131" i="35"/>
  <c r="AB107" i="35"/>
  <c r="AC59" i="35"/>
  <c r="AE282" i="35"/>
  <c r="AC266" i="35"/>
  <c r="Y242" i="35"/>
  <c r="AJ218" i="35"/>
  <c r="AF186" i="35"/>
  <c r="AE178" i="35"/>
  <c r="S154" i="35"/>
  <c r="V154" i="35"/>
  <c r="AJ122" i="35"/>
  <c r="AI106" i="35"/>
  <c r="AN50" i="35"/>
  <c r="AN355" i="31"/>
  <c r="Q19" i="35"/>
  <c r="T297" i="35"/>
  <c r="AH289" i="35"/>
  <c r="M241" i="35"/>
  <c r="AM217" i="35"/>
  <c r="AD209" i="35"/>
  <c r="O185" i="35"/>
  <c r="AB177" i="35"/>
  <c r="AG153" i="35"/>
  <c r="AB145" i="35"/>
  <c r="AI113" i="35"/>
  <c r="AF57" i="35"/>
  <c r="AJ106" i="35"/>
  <c r="V19" i="35"/>
  <c r="AN262" i="35"/>
  <c r="AN567" i="31"/>
  <c r="W230" i="35"/>
  <c r="AH214" i="35"/>
  <c r="AN206" i="35"/>
  <c r="AN511" i="31"/>
  <c r="P182" i="35"/>
  <c r="AE182" i="35"/>
  <c r="AA158" i="35"/>
  <c r="Z142" i="35"/>
  <c r="AD118" i="35"/>
  <c r="Q118" i="35"/>
  <c r="Z94" i="35"/>
  <c r="AD62" i="35"/>
  <c r="P54" i="35"/>
  <c r="AL20" i="35"/>
  <c r="R245" i="35"/>
  <c r="AK213" i="35"/>
  <c r="AA213" i="35"/>
  <c r="AG181" i="35"/>
  <c r="AK117" i="35"/>
  <c r="U36" i="35"/>
  <c r="AB261" i="35"/>
  <c r="K253" i="35"/>
  <c r="N205" i="35"/>
  <c r="X173" i="35"/>
  <c r="AO85" i="35"/>
  <c r="AO390" i="31"/>
  <c r="Y77" i="35"/>
  <c r="AC276" i="35"/>
  <c r="AA260" i="35"/>
  <c r="L244" i="35"/>
  <c r="AG228" i="35"/>
  <c r="AM212" i="35"/>
  <c r="AL188" i="35"/>
  <c r="AE180" i="35"/>
  <c r="AF164" i="35"/>
  <c r="AG36" i="35"/>
  <c r="AG20" i="35"/>
  <c r="Z287" i="35"/>
  <c r="AG247" i="35"/>
  <c r="AM199" i="35"/>
  <c r="AH71" i="35"/>
  <c r="AM232" i="35"/>
  <c r="AG216" i="35"/>
  <c r="U208" i="35"/>
  <c r="AE168" i="35"/>
  <c r="AL136" i="35"/>
  <c r="K128" i="35"/>
  <c r="AL96" i="35"/>
  <c r="AB88" i="35"/>
  <c r="AO24" i="35"/>
  <c r="AO329" i="31"/>
  <c r="Y255" i="35"/>
  <c r="AI239" i="35"/>
  <c r="AN207" i="35"/>
  <c r="AN512" i="31"/>
  <c r="AO159" i="35"/>
  <c r="AO464" i="31"/>
  <c r="U143" i="35"/>
  <c r="AC47" i="35"/>
  <c r="X19" i="35"/>
  <c r="AA54" i="35"/>
  <c r="AB78" i="35"/>
  <c r="AD12" i="35"/>
  <c r="Z107" i="35"/>
  <c r="AM67" i="35"/>
  <c r="AM43" i="35"/>
  <c r="AF27" i="35"/>
  <c r="AI27" i="35"/>
  <c r="AE121" i="35"/>
  <c r="AH161" i="35"/>
  <c r="AL57" i="35"/>
  <c r="U118" i="35"/>
  <c r="AO46" i="35"/>
  <c r="AO351" i="31"/>
  <c r="V283" i="35"/>
  <c r="AI243" i="35"/>
  <c r="S227" i="35"/>
  <c r="AB171" i="35"/>
  <c r="AH155" i="35"/>
  <c r="L139" i="35"/>
  <c r="AJ107" i="35"/>
  <c r="AB51" i="35"/>
  <c r="T34" i="35"/>
  <c r="Z282" i="35"/>
  <c r="T274" i="35"/>
  <c r="M218" i="35"/>
  <c r="L186" i="35"/>
  <c r="AJ178" i="35"/>
  <c r="Y154" i="35"/>
  <c r="AE58" i="35"/>
  <c r="W289" i="35"/>
  <c r="M265" i="35"/>
  <c r="U241" i="35"/>
  <c r="X209" i="35"/>
  <c r="W185" i="35"/>
  <c r="AM177" i="35"/>
  <c r="T153" i="35"/>
  <c r="AC137" i="35"/>
  <c r="T113" i="35"/>
  <c r="AC214" i="35"/>
  <c r="X214" i="35"/>
  <c r="AO198" i="35"/>
  <c r="AO503" i="31"/>
  <c r="O190" i="35"/>
  <c r="Z174" i="35"/>
  <c r="AI158" i="35"/>
  <c r="AL158" i="35"/>
  <c r="AK142" i="35"/>
  <c r="AH118" i="35"/>
  <c r="X54" i="35"/>
  <c r="V20" i="35"/>
  <c r="S245" i="35"/>
  <c r="S221" i="35"/>
  <c r="S197" i="35"/>
  <c r="T181" i="35"/>
  <c r="Z149" i="35"/>
  <c r="L117" i="35"/>
  <c r="O253" i="35"/>
  <c r="AG253" i="35"/>
  <c r="R173" i="35"/>
  <c r="AI141" i="35"/>
  <c r="AG77" i="35"/>
  <c r="AN53" i="35"/>
  <c r="AN358" i="31"/>
  <c r="AK292" i="35"/>
  <c r="AB244" i="35"/>
  <c r="AH212" i="35"/>
  <c r="V196" i="35"/>
  <c r="R180" i="35"/>
  <c r="AN164" i="35"/>
  <c r="AN469" i="31"/>
  <c r="AL92" i="35"/>
  <c r="AJ92" i="35"/>
  <c r="W36" i="35"/>
  <c r="P299" i="35"/>
  <c r="AA283" i="35"/>
  <c r="AC251" i="35"/>
  <c r="W235" i="35"/>
  <c r="AB235" i="35"/>
  <c r="Q179" i="35"/>
  <c r="AD171" i="35"/>
  <c r="X155" i="35"/>
  <c r="V139" i="35"/>
  <c r="Z131" i="35"/>
  <c r="AN99" i="35"/>
  <c r="AN404" i="31"/>
  <c r="AN83" i="35"/>
  <c r="AN388" i="31"/>
  <c r="M282" i="35"/>
  <c r="X274" i="35"/>
  <c r="Q250" i="35"/>
  <c r="AO242" i="35"/>
  <c r="AO547" i="31"/>
  <c r="O234" i="35"/>
  <c r="AM226" i="35"/>
  <c r="P218" i="35"/>
  <c r="W186" i="35"/>
  <c r="AI154" i="35"/>
  <c r="AN174" i="35"/>
  <c r="AN479" i="31"/>
  <c r="P297" i="35"/>
  <c r="X241" i="35"/>
  <c r="AN233" i="35"/>
  <c r="AN538" i="31"/>
  <c r="AL209" i="35"/>
  <c r="U201" i="35"/>
  <c r="AE185" i="35"/>
  <c r="H177" i="35"/>
  <c r="AF169" i="35"/>
  <c r="AB153" i="35"/>
  <c r="AF137" i="35"/>
  <c r="AJ113" i="35"/>
  <c r="AJ65" i="35"/>
  <c r="AN34" i="35"/>
  <c r="AN339" i="31"/>
  <c r="P222" i="35"/>
  <c r="L198" i="35"/>
  <c r="AK174" i="35"/>
  <c r="L158" i="35"/>
  <c r="O158" i="35"/>
  <c r="AL134" i="35"/>
  <c r="O118" i="35"/>
  <c r="AD78" i="35"/>
  <c r="AH54" i="35"/>
  <c r="AN221" i="35"/>
  <c r="AN526" i="31"/>
  <c r="AB181" i="35"/>
  <c r="AC149" i="35"/>
  <c r="AB117" i="35"/>
  <c r="AI101" i="35"/>
  <c r="J93" i="35"/>
  <c r="L253" i="35"/>
  <c r="Z237" i="35"/>
  <c r="R205" i="35"/>
  <c r="N173" i="35"/>
  <c r="AO77" i="35"/>
  <c r="AO382" i="31"/>
  <c r="AM53" i="35"/>
  <c r="K276" i="35"/>
  <c r="L260" i="35"/>
  <c r="M228" i="35"/>
  <c r="W204" i="35"/>
  <c r="AD196" i="35"/>
  <c r="AK180" i="35"/>
  <c r="AK172" i="35"/>
  <c r="AA132" i="35"/>
  <c r="AO94" i="35"/>
  <c r="AO399" i="31"/>
  <c r="AO62" i="35"/>
  <c r="AO367" i="31"/>
  <c r="AE51" i="35"/>
  <c r="AC34" i="35"/>
  <c r="AO299" i="35"/>
  <c r="AO604" i="31"/>
  <c r="Z283" i="35"/>
  <c r="AJ283" i="35"/>
  <c r="AI251" i="35"/>
  <c r="O243" i="35"/>
  <c r="R243" i="35"/>
  <c r="AF235" i="35"/>
  <c r="AH235" i="35"/>
  <c r="AM227" i="35"/>
  <c r="Z219" i="35"/>
  <c r="P219" i="35"/>
  <c r="W179" i="35"/>
  <c r="R179" i="35"/>
  <c r="X171" i="35"/>
  <c r="K171" i="35"/>
  <c r="AI163" i="35"/>
  <c r="V155" i="35"/>
  <c r="T155" i="35"/>
  <c r="AC139" i="35"/>
  <c r="M131" i="35"/>
  <c r="AG123" i="35"/>
  <c r="AK123" i="35"/>
  <c r="AH123" i="35"/>
  <c r="AL115" i="35"/>
  <c r="Y107" i="35"/>
  <c r="AN75" i="35"/>
  <c r="AN380" i="31"/>
  <c r="T59" i="35"/>
  <c r="Q110" i="35"/>
  <c r="U54" i="35"/>
  <c r="AJ42" i="35"/>
  <c r="AJ18" i="35"/>
  <c r="AL274" i="35"/>
  <c r="AB266" i="35"/>
  <c r="AO250" i="35"/>
  <c r="AO555" i="31"/>
  <c r="AE250" i="35"/>
  <c r="O242" i="35"/>
  <c r="AD242" i="35"/>
  <c r="AE234" i="35"/>
  <c r="AI234" i="35"/>
  <c r="N226" i="35"/>
  <c r="AN226" i="35"/>
  <c r="AN531" i="31"/>
  <c r="AD218" i="35"/>
  <c r="Q218" i="35"/>
  <c r="AG210" i="35"/>
  <c r="AM194" i="35"/>
  <c r="Z186" i="35"/>
  <c r="S178" i="35"/>
  <c r="V178" i="35"/>
  <c r="AI170" i="35"/>
  <c r="AL170" i="35"/>
  <c r="J154" i="35"/>
  <c r="AF138" i="35"/>
  <c r="AD130" i="35"/>
  <c r="AG122" i="35"/>
  <c r="AE106" i="35"/>
  <c r="AL82" i="35"/>
  <c r="N58" i="35"/>
  <c r="AN58" i="35"/>
  <c r="AN363" i="31"/>
  <c r="AC17" i="35"/>
  <c r="Q297" i="35"/>
  <c r="L289" i="35"/>
  <c r="AG289" i="35"/>
  <c r="L265" i="35"/>
  <c r="J265" i="35"/>
  <c r="J241" i="35"/>
  <c r="AL241" i="35"/>
  <c r="AK217" i="35"/>
  <c r="AB209" i="35"/>
  <c r="J201" i="35"/>
  <c r="Z185" i="35"/>
  <c r="AK185" i="35"/>
  <c r="AF185" i="35"/>
  <c r="V177" i="35"/>
  <c r="I177" i="35"/>
  <c r="AG169" i="35"/>
  <c r="Z153" i="35"/>
  <c r="AK153" i="35"/>
  <c r="R145" i="35"/>
  <c r="V145" i="35"/>
  <c r="L137" i="35"/>
  <c r="O137" i="35"/>
  <c r="AG137" i="35"/>
  <c r="Z113" i="35"/>
  <c r="AN97" i="35"/>
  <c r="AN402" i="31"/>
  <c r="AN81" i="35"/>
  <c r="AN386" i="31"/>
  <c r="AN65" i="35"/>
  <c r="AN370" i="31"/>
  <c r="AI67" i="35"/>
  <c r="AC54" i="35"/>
  <c r="AH17" i="35"/>
  <c r="AI262" i="35"/>
  <c r="K222" i="35"/>
  <c r="AD222" i="35"/>
  <c r="Q222" i="35"/>
  <c r="AI214" i="35"/>
  <c r="AA206" i="35"/>
  <c r="AM206" i="35"/>
  <c r="S198" i="35"/>
  <c r="V198" i="35"/>
  <c r="Z190" i="35"/>
  <c r="AC190" i="35"/>
  <c r="S182" i="35"/>
  <c r="V182" i="35"/>
  <c r="L174" i="35"/>
  <c r="O174" i="35"/>
  <c r="P166" i="35"/>
  <c r="AE166" i="35"/>
  <c r="R158" i="35"/>
  <c r="Y150" i="35"/>
  <c r="S150" i="35"/>
  <c r="V150" i="35"/>
  <c r="T142" i="35"/>
  <c r="W142" i="35"/>
  <c r="AA118" i="35"/>
  <c r="AH110" i="35"/>
  <c r="AM110" i="35"/>
  <c r="AN86" i="35"/>
  <c r="AN391" i="31"/>
  <c r="AM78" i="35"/>
  <c r="P62" i="35"/>
  <c r="AH46" i="35"/>
  <c r="AM101" i="35"/>
  <c r="T301" i="35"/>
  <c r="AO301" i="35"/>
  <c r="AO606" i="31"/>
  <c r="J245" i="35"/>
  <c r="X245" i="35"/>
  <c r="W221" i="35"/>
  <c r="AO221" i="35"/>
  <c r="AO526" i="31"/>
  <c r="AM213" i="35"/>
  <c r="U197" i="35"/>
  <c r="P197" i="35"/>
  <c r="AK181" i="35"/>
  <c r="AF181" i="35"/>
  <c r="AL149" i="35"/>
  <c r="Y149" i="35"/>
  <c r="AE133" i="35"/>
  <c r="AE117" i="35"/>
  <c r="H117" i="35"/>
  <c r="AF93" i="35"/>
  <c r="AE61" i="35"/>
  <c r="P61" i="35"/>
  <c r="AE39" i="35"/>
  <c r="AE277" i="35"/>
  <c r="J277" i="35"/>
  <c r="AL261" i="35"/>
  <c r="Z261" i="35"/>
  <c r="AL253" i="35"/>
  <c r="M237" i="35"/>
  <c r="AL237" i="35"/>
  <c r="AC205" i="35"/>
  <c r="AM205" i="35"/>
  <c r="AA205" i="35"/>
  <c r="AD189" i="35"/>
  <c r="Q189" i="35"/>
  <c r="T173" i="35"/>
  <c r="AO173" i="35"/>
  <c r="AO478" i="31"/>
  <c r="AA141" i="35"/>
  <c r="Q125" i="35"/>
  <c r="W85" i="35"/>
  <c r="V77" i="35"/>
  <c r="X77" i="35"/>
  <c r="AN72" i="35"/>
  <c r="AN377" i="31"/>
  <c r="AI284" i="35"/>
  <c r="AL276" i="35"/>
  <c r="T276" i="35"/>
  <c r="R260" i="35"/>
  <c r="AI244" i="35"/>
  <c r="Y244" i="35"/>
  <c r="AO236" i="35"/>
  <c r="AO541" i="31"/>
  <c r="S228" i="35"/>
  <c r="V228" i="35"/>
  <c r="T212" i="35"/>
  <c r="AJ204" i="35"/>
  <c r="AJ196" i="35"/>
  <c r="AM196" i="35"/>
  <c r="X188" i="35"/>
  <c r="V180" i="35"/>
  <c r="O172" i="35"/>
  <c r="AG172" i="35"/>
  <c r="AC164" i="35"/>
  <c r="AE164" i="35"/>
  <c r="AF148" i="35"/>
  <c r="AK132" i="35"/>
  <c r="W132" i="35"/>
  <c r="AM116" i="35"/>
  <c r="AL100" i="35"/>
  <c r="AL68" i="35"/>
  <c r="V60" i="35"/>
  <c r="T60" i="35"/>
  <c r="AF36" i="35"/>
  <c r="W12" i="35"/>
  <c r="AO12" i="35"/>
  <c r="AO317" i="31"/>
  <c r="AH103" i="35"/>
  <c r="Y287" i="35"/>
  <c r="U287" i="35"/>
  <c r="AJ263" i="35"/>
  <c r="AF247" i="35"/>
  <c r="S247" i="35"/>
  <c r="AC215" i="35"/>
  <c r="X215" i="35"/>
  <c r="AJ199" i="35"/>
  <c r="N151" i="35"/>
  <c r="M151" i="35"/>
  <c r="AM103" i="35"/>
  <c r="AL103" i="35"/>
  <c r="AF87" i="35"/>
  <c r="P55" i="35"/>
  <c r="AO39" i="35"/>
  <c r="AO344" i="31"/>
  <c r="AI288" i="35"/>
  <c r="X272" i="35"/>
  <c r="AF248" i="35"/>
  <c r="X232" i="35"/>
  <c r="AC232" i="35"/>
  <c r="AK224" i="35"/>
  <c r="S216" i="35"/>
  <c r="Q208" i="35"/>
  <c r="L208" i="35"/>
  <c r="T200" i="35"/>
  <c r="Q200" i="35"/>
  <c r="X176" i="35"/>
  <c r="K176" i="35"/>
  <c r="AI168" i="35"/>
  <c r="AL160" i="35"/>
  <c r="U152" i="35"/>
  <c r="AE152" i="35"/>
  <c r="L136" i="35"/>
  <c r="X136" i="35"/>
  <c r="AJ128" i="35"/>
  <c r="AF128" i="35"/>
  <c r="AG88" i="35"/>
  <c r="AF72" i="35"/>
  <c r="AH72" i="35"/>
  <c r="AO56" i="35"/>
  <c r="AO361" i="31"/>
  <c r="AN40" i="35"/>
  <c r="AN345" i="31"/>
  <c r="AN24" i="35"/>
  <c r="AN329" i="31"/>
  <c r="M93" i="35"/>
  <c r="X295" i="35"/>
  <c r="AD295" i="35"/>
  <c r="R271" i="35"/>
  <c r="AD271" i="35"/>
  <c r="AH255" i="35"/>
  <c r="L255" i="35"/>
  <c r="Z239" i="35"/>
  <c r="I223" i="35"/>
  <c r="W223" i="35"/>
  <c r="AM207" i="35"/>
  <c r="AN159" i="35"/>
  <c r="AN464" i="31"/>
  <c r="V163" i="35"/>
  <c r="V131" i="35"/>
  <c r="AB91" i="35"/>
  <c r="AJ266" i="35"/>
  <c r="W226" i="35"/>
  <c r="AB178" i="35"/>
  <c r="W58" i="35"/>
  <c r="AF265" i="35"/>
  <c r="U169" i="35"/>
  <c r="P137" i="35"/>
  <c r="R222" i="35"/>
  <c r="P190" i="35"/>
  <c r="AH166" i="35"/>
  <c r="W86" i="35"/>
  <c r="X301" i="35"/>
  <c r="AN213" i="35"/>
  <c r="AN518" i="31"/>
  <c r="AJ277" i="35"/>
  <c r="R237" i="35"/>
  <c r="AC173" i="35"/>
  <c r="W37" i="35"/>
  <c r="Z244" i="35"/>
  <c r="R204" i="35"/>
  <c r="AN60" i="35"/>
  <c r="AN365" i="31"/>
  <c r="S93" i="35"/>
  <c r="AB247" i="35"/>
  <c r="AF151" i="35"/>
  <c r="AL176" i="35"/>
  <c r="AF152" i="35"/>
  <c r="AJ271" i="35"/>
  <c r="X223" i="35"/>
  <c r="AD26" i="35"/>
  <c r="AA59" i="35"/>
  <c r="P235" i="35"/>
  <c r="AI179" i="35"/>
  <c r="O139" i="35"/>
  <c r="AK59" i="35"/>
  <c r="U274" i="35"/>
  <c r="R242" i="35"/>
  <c r="AM178" i="35"/>
  <c r="AA130" i="35"/>
  <c r="I19" i="35"/>
  <c r="T265" i="35"/>
  <c r="AD233" i="35"/>
  <c r="N201" i="35"/>
  <c r="AN73" i="35"/>
  <c r="AN378" i="31"/>
  <c r="N19" i="35"/>
  <c r="AG262" i="35"/>
  <c r="H222" i="35"/>
  <c r="Q190" i="35"/>
  <c r="AC174" i="35"/>
  <c r="AM150" i="35"/>
  <c r="V110" i="35"/>
  <c r="Q245" i="35"/>
  <c r="T93" i="35"/>
  <c r="M277" i="35"/>
  <c r="L237" i="35"/>
  <c r="AF173" i="35"/>
  <c r="X228" i="35"/>
  <c r="V204" i="35"/>
  <c r="X172" i="35"/>
  <c r="AD299" i="35"/>
  <c r="AG251" i="35"/>
  <c r="AC163" i="35"/>
  <c r="M91" i="35"/>
  <c r="AJ51" i="35"/>
  <c r="Y274" i="35"/>
  <c r="AI250" i="35"/>
  <c r="R226" i="35"/>
  <c r="J178" i="35"/>
  <c r="AL90" i="35"/>
  <c r="Z75" i="35"/>
  <c r="AH297" i="35"/>
  <c r="AC241" i="35"/>
  <c r="AF209" i="35"/>
  <c r="M177" i="35"/>
  <c r="AE153" i="35"/>
  <c r="AF121" i="35"/>
  <c r="AJ81" i="35"/>
  <c r="AI59" i="35"/>
  <c r="AC278" i="35"/>
  <c r="U222" i="35"/>
  <c r="AJ198" i="35"/>
  <c r="AH174" i="35"/>
  <c r="AI245" i="35"/>
  <c r="X149" i="35"/>
  <c r="Z101" i="35"/>
  <c r="AE47" i="35"/>
  <c r="W253" i="35"/>
  <c r="P189" i="35"/>
  <c r="T77" i="35"/>
  <c r="AM37" i="35"/>
  <c r="N284" i="35"/>
  <c r="AD260" i="35"/>
  <c r="AE228" i="35"/>
  <c r="AD204" i="35"/>
  <c r="Z180" i="35"/>
  <c r="AE83" i="35"/>
  <c r="AC18" i="35"/>
  <c r="AM299" i="35"/>
  <c r="AL251" i="35"/>
  <c r="AJ227" i="35"/>
  <c r="U219" i="35"/>
  <c r="U179" i="35"/>
  <c r="Y155" i="35"/>
  <c r="Z139" i="35"/>
  <c r="I131" i="35"/>
  <c r="AH115" i="35"/>
  <c r="V107" i="35"/>
  <c r="V91" i="35"/>
  <c r="AL75" i="35"/>
  <c r="AK94" i="35"/>
  <c r="AH35" i="35"/>
  <c r="V282" i="35"/>
  <c r="AG274" i="35"/>
  <c r="M250" i="35"/>
  <c r="AA242" i="35"/>
  <c r="AA226" i="35"/>
  <c r="S218" i="35"/>
  <c r="AC186" i="35"/>
  <c r="M154" i="35"/>
  <c r="AL138" i="35"/>
  <c r="Z106" i="35"/>
  <c r="AM50" i="35"/>
  <c r="Z83" i="35"/>
  <c r="AD297" i="35"/>
  <c r="N289" i="35"/>
  <c r="AE265" i="35"/>
  <c r="T241" i="35"/>
  <c r="AG209" i="35"/>
  <c r="AE201" i="35"/>
  <c r="R177" i="35"/>
  <c r="AF153" i="35"/>
  <c r="AK121" i="35"/>
  <c r="AB89" i="35"/>
  <c r="AB57" i="35"/>
  <c r="AK82" i="35"/>
  <c r="AL278" i="35"/>
  <c r="AM262" i="35"/>
  <c r="AN230" i="35"/>
  <c r="AN535" i="31"/>
  <c r="AH198" i="35"/>
  <c r="Y182" i="35"/>
  <c r="Q174" i="35"/>
  <c r="AB166" i="35"/>
  <c r="U158" i="35"/>
  <c r="X142" i="35"/>
  <c r="AN134" i="35"/>
  <c r="AN439" i="31"/>
  <c r="P118" i="35"/>
  <c r="AA102" i="35"/>
  <c r="R62" i="35"/>
  <c r="O54" i="35"/>
  <c r="AF46" i="35"/>
  <c r="AK77" i="35"/>
  <c r="T37" i="35"/>
  <c r="W301" i="35"/>
  <c r="AC245" i="35"/>
  <c r="AJ221" i="35"/>
  <c r="K197" i="35"/>
  <c r="AH181" i="35"/>
  <c r="S149" i="35"/>
  <c r="Z117" i="35"/>
  <c r="AL93" i="35"/>
  <c r="AH61" i="35"/>
  <c r="K277" i="35"/>
  <c r="X253" i="35"/>
  <c r="J237" i="35"/>
  <c r="W173" i="35"/>
  <c r="U125" i="35"/>
  <c r="AN85" i="35"/>
  <c r="AN390" i="31"/>
  <c r="X100" i="35"/>
  <c r="AN284" i="35"/>
  <c r="Y276" i="35"/>
  <c r="P260" i="35"/>
  <c r="AK244" i="35"/>
  <c r="AK236" i="35"/>
  <c r="O228" i="35"/>
  <c r="Y212" i="35"/>
  <c r="AI180" i="35"/>
  <c r="AO92" i="35"/>
  <c r="AO397" i="31"/>
  <c r="AH84" i="35"/>
  <c r="AJ68" i="35"/>
  <c r="AF20" i="35"/>
  <c r="AC72" i="35"/>
  <c r="AK247" i="35"/>
  <c r="AH231" i="35"/>
  <c r="AO215" i="35"/>
  <c r="AO520" i="31"/>
  <c r="AO199" i="35"/>
  <c r="AO504" i="31"/>
  <c r="J151" i="35"/>
  <c r="AO103" i="35"/>
  <c r="AO408" i="31"/>
  <c r="X72" i="35"/>
  <c r="AG288" i="35"/>
  <c r="AK248" i="35"/>
  <c r="Z232" i="35"/>
  <c r="V216" i="35"/>
  <c r="P200" i="35"/>
  <c r="AC184" i="35"/>
  <c r="AB176" i="35"/>
  <c r="V168" i="35"/>
  <c r="Y160" i="35"/>
  <c r="J152" i="35"/>
  <c r="Z144" i="35"/>
  <c r="N128" i="35"/>
  <c r="AL104" i="35"/>
  <c r="AA96" i="35"/>
  <c r="R56" i="35"/>
  <c r="AA295" i="35"/>
  <c r="AA271" i="35"/>
  <c r="T223" i="35"/>
  <c r="AJ207" i="35"/>
  <c r="AA159" i="35"/>
  <c r="AO102" i="35"/>
  <c r="AO407" i="31"/>
  <c r="AC172" i="35"/>
  <c r="AB148" i="35"/>
  <c r="AN95" i="35"/>
  <c r="AN400" i="31"/>
  <c r="AL95" i="35"/>
  <c r="AF79" i="35"/>
  <c r="AD79" i="35"/>
  <c r="AM96" i="35"/>
  <c r="AL24" i="35"/>
  <c r="AE18" i="35"/>
  <c r="AO90" i="35"/>
  <c r="AO395" i="31"/>
  <c r="AE26" i="35"/>
  <c r="Z55" i="35"/>
  <c r="Y110" i="35"/>
  <c r="AI54" i="35"/>
  <c r="AK97" i="35"/>
  <c r="AA94" i="35"/>
  <c r="L19" i="35"/>
  <c r="AG37" i="35"/>
  <c r="Q75" i="35"/>
  <c r="N20" i="35"/>
  <c r="W60" i="35"/>
  <c r="U20" i="35"/>
  <c r="AC106" i="35"/>
  <c r="R34" i="35"/>
  <c r="AO91" i="35"/>
  <c r="AO396" i="31"/>
  <c r="AN19" i="35"/>
  <c r="AN324" i="31"/>
  <c r="AM107" i="35"/>
  <c r="R91" i="35"/>
  <c r="R75" i="35"/>
  <c r="AO67" i="35"/>
  <c r="AO372" i="31"/>
  <c r="AO51" i="35"/>
  <c r="AO356" i="31"/>
  <c r="AJ27" i="35"/>
  <c r="AE19" i="35"/>
  <c r="AL89" i="35"/>
  <c r="AD113" i="35"/>
  <c r="U57" i="35"/>
  <c r="AO59" i="35"/>
  <c r="AO364" i="31"/>
  <c r="AI153" i="35"/>
  <c r="W72" i="35"/>
  <c r="AB86" i="35"/>
  <c r="AC132" i="35"/>
  <c r="W287" i="35"/>
  <c r="AM263" i="35"/>
  <c r="AI263" i="35"/>
  <c r="AL263" i="35"/>
  <c r="AD247" i="35"/>
  <c r="R247" i="35"/>
  <c r="Z215" i="35"/>
  <c r="AB215" i="35"/>
  <c r="AE215" i="35"/>
  <c r="T199" i="35"/>
  <c r="Y199" i="35"/>
  <c r="X199" i="35"/>
  <c r="W151" i="35"/>
  <c r="Q151" i="35"/>
  <c r="L151" i="35"/>
  <c r="AK103" i="35"/>
  <c r="AM87" i="35"/>
  <c r="AC87" i="35"/>
  <c r="AI55" i="35"/>
  <c r="AI39" i="35"/>
  <c r="X56" i="35"/>
  <c r="AO37" i="35"/>
  <c r="AO342" i="31"/>
  <c r="AH288" i="35"/>
  <c r="AK288" i="35"/>
  <c r="AN272" i="35"/>
  <c r="AN577" i="31"/>
  <c r="O272" i="35"/>
  <c r="AH272" i="35"/>
  <c r="AI248" i="35"/>
  <c r="AM248" i="35"/>
  <c r="Y232" i="35"/>
  <c r="AB232" i="35"/>
  <c r="AF224" i="35"/>
  <c r="AO224" i="35"/>
  <c r="AO529" i="31"/>
  <c r="AJ224" i="35"/>
  <c r="X216" i="35"/>
  <c r="R216" i="35"/>
  <c r="U216" i="35"/>
  <c r="P208" i="35"/>
  <c r="K208" i="35"/>
  <c r="N208" i="35"/>
  <c r="M200" i="35"/>
  <c r="AD200" i="35"/>
  <c r="AG184" i="35"/>
  <c r="AK176" i="35"/>
  <c r="AE176" i="35"/>
  <c r="J176" i="35"/>
  <c r="AJ168" i="35"/>
  <c r="AC160" i="35"/>
  <c r="AF160" i="35"/>
  <c r="AD152" i="35"/>
  <c r="Q152" i="35"/>
  <c r="AG144" i="35"/>
  <c r="U136" i="35"/>
  <c r="Y128" i="35"/>
  <c r="AI128" i="35"/>
  <c r="AM128" i="35"/>
  <c r="AN120" i="35"/>
  <c r="AN425" i="31"/>
  <c r="AO88" i="35"/>
  <c r="AO393" i="31"/>
  <c r="AL72" i="35"/>
  <c r="AJ72" i="35"/>
  <c r="V56" i="35"/>
  <c r="T56" i="35"/>
  <c r="AF295" i="35"/>
  <c r="Z295" i="35"/>
  <c r="AC295" i="35"/>
  <c r="O271" i="35"/>
  <c r="AG271" i="35"/>
  <c r="AC271" i="35"/>
  <c r="AE255" i="35"/>
  <c r="K255" i="35"/>
  <c r="N255" i="35"/>
  <c r="V239" i="35"/>
  <c r="AG239" i="35"/>
  <c r="AB239" i="35"/>
  <c r="S223" i="35"/>
  <c r="V223" i="35"/>
  <c r="AG207" i="35"/>
  <c r="AI207" i="35"/>
  <c r="AL207" i="35"/>
  <c r="Z159" i="35"/>
  <c r="AC159" i="35"/>
  <c r="X143" i="35"/>
  <c r="AA95" i="35"/>
  <c r="AN79" i="35"/>
  <c r="AN384" i="31"/>
  <c r="AL79" i="35"/>
  <c r="AB17" i="35"/>
  <c r="AM88" i="35"/>
  <c r="AG17" i="35"/>
  <c r="S90" i="35"/>
  <c r="AH26" i="35"/>
  <c r="AK26" i="35"/>
  <c r="AG34" i="35"/>
  <c r="AN39" i="35"/>
  <c r="AN344" i="31"/>
  <c r="AC110" i="35"/>
  <c r="AL97" i="35"/>
  <c r="Z34" i="35"/>
  <c r="AB94" i="35"/>
  <c r="Y75" i="35"/>
  <c r="V18" i="35"/>
  <c r="U61" i="35"/>
  <c r="AM68" i="35"/>
  <c r="AE60" i="35"/>
  <c r="AG106" i="35"/>
  <c r="AH34" i="35"/>
  <c r="AK65" i="35"/>
  <c r="AL18" i="35"/>
  <c r="AH107" i="35"/>
  <c r="W91" i="35"/>
  <c r="W75" i="35"/>
  <c r="AF35" i="35"/>
  <c r="P19" i="35"/>
  <c r="AE113" i="35"/>
  <c r="V57" i="35"/>
  <c r="AO98" i="35"/>
  <c r="AO403" i="31"/>
  <c r="AM64" i="35"/>
  <c r="AI78" i="35"/>
  <c r="Y265" i="35"/>
  <c r="N241" i="35"/>
  <c r="AD201" i="35"/>
  <c r="M185" i="35"/>
  <c r="AC177" i="35"/>
  <c r="AO161" i="35"/>
  <c r="AO466" i="31"/>
  <c r="AI145" i="35"/>
  <c r="AH137" i="35"/>
  <c r="AK113" i="35"/>
  <c r="AL43" i="35"/>
  <c r="X18" i="35"/>
  <c r="AN278" i="35"/>
  <c r="AN583" i="31"/>
  <c r="U230" i="35"/>
  <c r="AH230" i="35"/>
  <c r="AK222" i="35"/>
  <c r="AF222" i="35"/>
  <c r="AG206" i="35"/>
  <c r="P198" i="35"/>
  <c r="AD198" i="35"/>
  <c r="AG198" i="35"/>
  <c r="AG190" i="35"/>
  <c r="AJ190" i="35"/>
  <c r="AM190" i="35"/>
  <c r="Z182" i="35"/>
  <c r="I174" i="35"/>
  <c r="S174" i="35"/>
  <c r="V174" i="35"/>
  <c r="AG166" i="35"/>
  <c r="AI166" i="35"/>
  <c r="AL166" i="35"/>
  <c r="AF158" i="35"/>
  <c r="AB158" i="35"/>
  <c r="AE158" i="35"/>
  <c r="Z150" i="35"/>
  <c r="AC150" i="35"/>
  <c r="AO142" i="35"/>
  <c r="AO447" i="31"/>
  <c r="AA142" i="35"/>
  <c r="AD142" i="35"/>
  <c r="J118" i="35"/>
  <c r="AE118" i="35"/>
  <c r="O110" i="35"/>
  <c r="AH102" i="35"/>
  <c r="AM102" i="35"/>
  <c r="AD94" i="35"/>
  <c r="AE62" i="35"/>
  <c r="V54" i="35"/>
  <c r="AM60" i="35"/>
  <c r="AF39" i="35"/>
  <c r="AD301" i="35"/>
  <c r="Q301" i="35"/>
  <c r="T245" i="35"/>
  <c r="AJ245" i="35"/>
  <c r="AM245" i="35"/>
  <c r="AC221" i="35"/>
  <c r="Q221" i="35"/>
  <c r="L221" i="35"/>
  <c r="AG213" i="35"/>
  <c r="AB213" i="35"/>
  <c r="AB197" i="35"/>
  <c r="AE197" i="35"/>
  <c r="AI149" i="35"/>
  <c r="AN149" i="35"/>
  <c r="AN454" i="31"/>
  <c r="AA133" i="35"/>
  <c r="AK133" i="35"/>
  <c r="Y133" i="35"/>
  <c r="AC117" i="35"/>
  <c r="AO117" i="35"/>
  <c r="AO422" i="31"/>
  <c r="W101" i="35"/>
  <c r="X101" i="35"/>
  <c r="O93" i="35"/>
  <c r="H93" i="35"/>
  <c r="Z93" i="35"/>
  <c r="AB61" i="35"/>
  <c r="AE95" i="35"/>
  <c r="V277" i="35"/>
  <c r="AK277" i="35"/>
  <c r="Y277" i="35"/>
  <c r="N261" i="35"/>
  <c r="W261" i="35"/>
  <c r="AO261" i="35"/>
  <c r="AO566" i="31"/>
  <c r="N253" i="35"/>
  <c r="AM253" i="35"/>
  <c r="R253" i="35"/>
  <c r="N237" i="35"/>
  <c r="AN237" i="35"/>
  <c r="AN542" i="31"/>
  <c r="V205" i="35"/>
  <c r="O205" i="35"/>
  <c r="AH205" i="35"/>
  <c r="R189" i="35"/>
  <c r="AK189" i="35"/>
  <c r="AF189" i="35"/>
  <c r="AD173" i="35"/>
  <c r="Q173" i="35"/>
  <c r="AB141" i="35"/>
  <c r="W125" i="35"/>
  <c r="AF125" i="35"/>
  <c r="S125" i="35"/>
  <c r="AE85" i="35"/>
  <c r="P85" i="35"/>
  <c r="AH85" i="35"/>
  <c r="AJ77" i="35"/>
  <c r="R77" i="35"/>
  <c r="U37" i="35"/>
  <c r="AI12" i="35"/>
  <c r="AM292" i="35"/>
  <c r="AK284" i="35"/>
  <c r="W284" i="35"/>
  <c r="N276" i="35"/>
  <c r="AM276" i="35"/>
  <c r="AA276" i="35"/>
  <c r="AF260" i="35"/>
  <c r="AG260" i="35"/>
  <c r="AB260" i="35"/>
  <c r="T244" i="35"/>
  <c r="N244" i="35"/>
  <c r="AN244" i="35"/>
  <c r="AN549" i="31"/>
  <c r="AM228" i="35"/>
  <c r="Z228" i="35"/>
  <c r="AC228" i="35"/>
  <c r="AA212" i="35"/>
  <c r="AD212" i="35"/>
  <c r="Z204" i="35"/>
  <c r="AG196" i="35"/>
  <c r="T188" i="35"/>
  <c r="AM188" i="35"/>
  <c r="R188" i="35"/>
  <c r="T180" i="35"/>
  <c r="X180" i="35"/>
  <c r="V172" i="35"/>
  <c r="AI172" i="35"/>
  <c r="AL164" i="35"/>
  <c r="Y164" i="35"/>
  <c r="AK148" i="35"/>
  <c r="Z148" i="35"/>
  <c r="AJ132" i="35"/>
  <c r="V132" i="35"/>
  <c r="AL108" i="35"/>
  <c r="AI108" i="35"/>
  <c r="AN92" i="35"/>
  <c r="AN397" i="31"/>
  <c r="AA60" i="35"/>
  <c r="AB12" i="35"/>
  <c r="Q12" i="35"/>
  <c r="M20" i="35"/>
  <c r="Z103" i="35"/>
  <c r="AB287" i="35"/>
  <c r="AE287" i="35"/>
  <c r="AG215" i="35"/>
  <c r="AJ215" i="35"/>
  <c r="AM215" i="35"/>
  <c r="AH199" i="35"/>
  <c r="AF199" i="35"/>
  <c r="AD151" i="35"/>
  <c r="Y151" i="35"/>
  <c r="T151" i="35"/>
  <c r="AK87" i="35"/>
  <c r="AM71" i="35"/>
  <c r="W55" i="35"/>
  <c r="U55" i="35"/>
  <c r="AK104" i="35"/>
  <c r="Y37" i="35"/>
  <c r="P272" i="35"/>
  <c r="W272" i="35"/>
  <c r="Z248" i="35"/>
  <c r="AG232" i="35"/>
  <c r="AK232" i="35"/>
  <c r="AM224" i="35"/>
  <c r="Z216" i="35"/>
  <c r="AC216" i="35"/>
  <c r="W208" i="35"/>
  <c r="S208" i="35"/>
  <c r="V208" i="35"/>
  <c r="S200" i="35"/>
  <c r="X200" i="35"/>
  <c r="AL200" i="35"/>
  <c r="AK184" i="35"/>
  <c r="AO184" i="35"/>
  <c r="AO489" i="31"/>
  <c r="L176" i="35"/>
  <c r="AM176" i="35"/>
  <c r="R176" i="35"/>
  <c r="X168" i="35"/>
  <c r="AN160" i="35"/>
  <c r="AN465" i="31"/>
  <c r="AA160" i="35"/>
  <c r="AL152" i="35"/>
  <c r="Y152" i="35"/>
  <c r="U144" i="35"/>
  <c r="W144" i="35"/>
  <c r="AO144" i="35"/>
  <c r="AO449" i="31"/>
  <c r="AB136" i="35"/>
  <c r="AM136" i="35"/>
  <c r="R136" i="35"/>
  <c r="AL128" i="35"/>
  <c r="L128" i="35"/>
  <c r="AF96" i="35"/>
  <c r="AH96" i="35"/>
  <c r="Z88" i="35"/>
  <c r="AO80" i="35"/>
  <c r="AO385" i="31"/>
  <c r="Y72" i="35"/>
  <c r="AL64" i="35"/>
  <c r="AJ64" i="35"/>
  <c r="AD56" i="35"/>
  <c r="AB56" i="35"/>
  <c r="AJ32" i="35"/>
  <c r="AN295" i="35"/>
  <c r="AN600" i="31"/>
  <c r="AH295" i="35"/>
  <c r="AK295" i="35"/>
  <c r="AH271" i="35"/>
  <c r="AO271" i="35"/>
  <c r="AO576" i="31"/>
  <c r="AK271" i="35"/>
  <c r="J255" i="35"/>
  <c r="S255" i="35"/>
  <c r="V255" i="35"/>
  <c r="AL239" i="35"/>
  <c r="AO239" i="35"/>
  <c r="AO544" i="31"/>
  <c r="AJ239" i="35"/>
  <c r="AA223" i="35"/>
  <c r="AD223" i="35"/>
  <c r="L207" i="35"/>
  <c r="O207" i="35"/>
  <c r="P159" i="35"/>
  <c r="AH159" i="35"/>
  <c r="AK159" i="35"/>
  <c r="AF143" i="35"/>
  <c r="AF47" i="35"/>
  <c r="AD47" i="35"/>
  <c r="W88" i="35"/>
  <c r="T90" i="35"/>
  <c r="AJ58" i="35"/>
  <c r="AO42" i="35"/>
  <c r="AO347" i="31"/>
  <c r="N12" i="35"/>
  <c r="AG110" i="35"/>
  <c r="AN142" i="35"/>
  <c r="AN447" i="31"/>
  <c r="AK12" i="35"/>
  <c r="AG94" i="35"/>
  <c r="AN17" i="35"/>
  <c r="AN322" i="31"/>
  <c r="AI61" i="35"/>
  <c r="AA98" i="35"/>
  <c r="AK57" i="35"/>
  <c r="R18" i="35"/>
  <c r="U60" i="35"/>
  <c r="Z36" i="35"/>
  <c r="AH20" i="35"/>
  <c r="AI82" i="35"/>
  <c r="V34" i="35"/>
  <c r="Q18" i="35"/>
  <c r="Y91" i="35"/>
  <c r="AG75" i="35"/>
  <c r="W51" i="35"/>
  <c r="AM27" i="35"/>
  <c r="AF19" i="35"/>
  <c r="AM113" i="35"/>
  <c r="AA57" i="35"/>
  <c r="AD18" i="35"/>
  <c r="AE56" i="35"/>
  <c r="AJ206" i="35"/>
  <c r="AB265" i="35"/>
  <c r="AH241" i="35"/>
  <c r="AN241" i="35"/>
  <c r="AN546" i="31"/>
  <c r="AF217" i="35"/>
  <c r="I201" i="35"/>
  <c r="R185" i="35"/>
  <c r="AI177" i="35"/>
  <c r="X177" i="35"/>
  <c r="V169" i="35"/>
  <c r="M153" i="35"/>
  <c r="AC145" i="35"/>
  <c r="V137" i="35"/>
  <c r="AH81" i="35"/>
  <c r="AH65" i="35"/>
  <c r="AK58" i="35"/>
  <c r="AL27" i="35"/>
  <c r="T110" i="35"/>
  <c r="Y86" i="35"/>
  <c r="AI65" i="35"/>
  <c r="Y299" i="35"/>
  <c r="W299" i="35"/>
  <c r="T283" i="35"/>
  <c r="AO243" i="35"/>
  <c r="AO548" i="31"/>
  <c r="X235" i="35"/>
  <c r="AG227" i="35"/>
  <c r="W227" i="35"/>
  <c r="AM219" i="35"/>
  <c r="N179" i="35"/>
  <c r="AC171" i="35"/>
  <c r="S163" i="35"/>
  <c r="AL139" i="35"/>
  <c r="M139" i="35"/>
  <c r="AE131" i="35"/>
  <c r="AG115" i="35"/>
  <c r="AK91" i="35"/>
  <c r="X75" i="35"/>
  <c r="V75" i="35"/>
  <c r="AL59" i="35"/>
  <c r="AG282" i="35"/>
  <c r="V274" i="35"/>
  <c r="Z266" i="35"/>
  <c r="Y250" i="35"/>
  <c r="AD250" i="35"/>
  <c r="P234" i="35"/>
  <c r="AC226" i="35"/>
  <c r="K218" i="35"/>
  <c r="AN218" i="35"/>
  <c r="AN523" i="31"/>
  <c r="M186" i="35"/>
  <c r="AH178" i="35"/>
  <c r="X170" i="35"/>
  <c r="V170" i="35"/>
  <c r="AB154" i="35"/>
  <c r="X138" i="35"/>
  <c r="V138" i="35"/>
  <c r="AN130" i="35"/>
  <c r="AN435" i="31"/>
  <c r="AH98" i="35"/>
  <c r="AF98" i="35"/>
  <c r="X58" i="35"/>
  <c r="AJ86" i="35"/>
  <c r="AG27" i="35"/>
  <c r="N297" i="35"/>
  <c r="AA297" i="35"/>
  <c r="Q289" i="35"/>
  <c r="K265" i="35"/>
  <c r="AG265" i="35"/>
  <c r="V241" i="35"/>
  <c r="AE233" i="35"/>
  <c r="AC217" i="35"/>
  <c r="AA217" i="35"/>
  <c r="V201" i="35"/>
  <c r="AB201" i="35"/>
  <c r="U185" i="35"/>
  <c r="J177" i="35"/>
  <c r="AD169" i="35"/>
  <c r="R153" i="35"/>
  <c r="P153" i="35"/>
  <c r="AK145" i="35"/>
  <c r="Q137" i="35"/>
  <c r="AG89" i="35"/>
  <c r="X150" i="35"/>
  <c r="AI83" i="35"/>
  <c r="AO278" i="35"/>
  <c r="AO583" i="31"/>
  <c r="AC230" i="35"/>
  <c r="AI222" i="35"/>
  <c r="AN222" i="35"/>
  <c r="AN527" i="31"/>
  <c r="AD214" i="35"/>
  <c r="S206" i="35"/>
  <c r="AO206" i="35"/>
  <c r="AO511" i="31"/>
  <c r="AM198" i="35"/>
  <c r="J190" i="35"/>
  <c r="AK182" i="35"/>
  <c r="AO174" i="35"/>
  <c r="AO479" i="31"/>
  <c r="AD174" i="35"/>
  <c r="AG158" i="35"/>
  <c r="AM158" i="35"/>
  <c r="AK150" i="35"/>
  <c r="AL142" i="35"/>
  <c r="Z118" i="35"/>
  <c r="R110" i="35"/>
  <c r="AL94" i="35"/>
  <c r="AD54" i="35"/>
  <c r="Y301" i="35"/>
  <c r="I245" i="35"/>
  <c r="AD221" i="35"/>
  <c r="T221" i="35"/>
  <c r="AO213" i="35"/>
  <c r="AO518" i="31"/>
  <c r="AJ197" i="35"/>
  <c r="Z181" i="35"/>
  <c r="V149" i="35"/>
  <c r="AG133" i="35"/>
  <c r="J117" i="35"/>
  <c r="AF101" i="35"/>
  <c r="P93" i="35"/>
  <c r="AJ61" i="35"/>
  <c r="AK92" i="35"/>
  <c r="AA277" i="35"/>
  <c r="AG277" i="35"/>
  <c r="AE261" i="35"/>
  <c r="H253" i="35"/>
  <c r="Z253" i="35"/>
  <c r="T237" i="35"/>
  <c r="V237" i="35"/>
  <c r="AN205" i="35"/>
  <c r="AN510" i="31"/>
  <c r="W205" i="35"/>
  <c r="N189" i="35"/>
  <c r="AI173" i="35"/>
  <c r="Y173" i="35"/>
  <c r="AM141" i="35"/>
  <c r="T125" i="35"/>
  <c r="AN125" i="35"/>
  <c r="AN430" i="31"/>
  <c r="AA125" i="35"/>
  <c r="X85" i="35"/>
  <c r="AC37" i="35"/>
  <c r="AI292" i="35"/>
  <c r="AE284" i="35"/>
  <c r="AK276" i="35"/>
  <c r="AI276" i="35"/>
  <c r="AO260" i="35"/>
  <c r="AO565" i="31"/>
  <c r="U244" i="35"/>
  <c r="I244" i="35"/>
  <c r="AH228" i="35"/>
  <c r="AL212" i="35"/>
  <c r="T204" i="35"/>
  <c r="W196" i="35"/>
  <c r="U188" i="35"/>
  <c r="Z188" i="35"/>
  <c r="AF180" i="35"/>
  <c r="AD172" i="35"/>
  <c r="M164" i="35"/>
  <c r="AH148" i="35"/>
  <c r="AD132" i="35"/>
  <c r="AL116" i="35"/>
  <c r="AK116" i="35"/>
  <c r="V100" i="35"/>
  <c r="AH92" i="35"/>
  <c r="AL76" i="35"/>
  <c r="AJ76" i="35"/>
  <c r="AC60" i="35"/>
  <c r="AI60" i="35"/>
  <c r="AO52" i="35"/>
  <c r="AO357" i="31"/>
  <c r="P20" i="35"/>
  <c r="AJ12" i="35"/>
  <c r="Y12" i="35"/>
  <c r="AO95" i="35"/>
  <c r="AO400" i="31"/>
  <c r="I287" i="35"/>
  <c r="AJ287" i="35"/>
  <c r="AM287" i="35"/>
  <c r="AN263" i="35"/>
  <c r="AN568" i="31"/>
  <c r="P247" i="35"/>
  <c r="AH247" i="35"/>
  <c r="AB231" i="35"/>
  <c r="AE231" i="35"/>
  <c r="AH215" i="35"/>
  <c r="U199" i="35"/>
  <c r="AN199" i="35"/>
  <c r="AN504" i="31"/>
  <c r="AE151" i="35"/>
  <c r="AG151" i="35"/>
  <c r="AB151" i="35"/>
  <c r="AE103" i="35"/>
  <c r="Y103" i="35"/>
  <c r="AK71" i="35"/>
  <c r="AM55" i="35"/>
  <c r="AC55" i="35"/>
  <c r="Y39" i="35"/>
  <c r="AI24" i="35"/>
  <c r="U272" i="35"/>
  <c r="AE272" i="35"/>
  <c r="S272" i="35"/>
  <c r="AJ248" i="35"/>
  <c r="AH248" i="35"/>
  <c r="R224" i="35"/>
  <c r="U224" i="35"/>
  <c r="AF216" i="35"/>
  <c r="AH216" i="35"/>
  <c r="AK216" i="35"/>
  <c r="X208" i="35"/>
  <c r="AA208" i="35"/>
  <c r="AD208" i="35"/>
  <c r="AE200" i="35"/>
  <c r="AJ200" i="35"/>
  <c r="AE184" i="35"/>
  <c r="M176" i="35"/>
  <c r="Z176" i="35"/>
  <c r="AF168" i="35"/>
  <c r="AI160" i="35"/>
  <c r="O152" i="35"/>
  <c r="AK144" i="35"/>
  <c r="AE144" i="35"/>
  <c r="AC136" i="35"/>
  <c r="Z136" i="35"/>
  <c r="T128" i="35"/>
  <c r="P128" i="35"/>
  <c r="AB120" i="35"/>
  <c r="AF88" i="35"/>
  <c r="AH88" i="35"/>
  <c r="AO72" i="35"/>
  <c r="AO377" i="31"/>
  <c r="AL56" i="35"/>
  <c r="AJ56" i="35"/>
  <c r="K295" i="35"/>
  <c r="N295" i="35"/>
  <c r="P271" i="35"/>
  <c r="K271" i="35"/>
  <c r="N271" i="35"/>
  <c r="AF255" i="35"/>
  <c r="AA255" i="35"/>
  <c r="AD255" i="35"/>
  <c r="W239" i="35"/>
  <c r="AG223" i="35"/>
  <c r="AI223" i="35"/>
  <c r="AL223" i="35"/>
  <c r="T207" i="35"/>
  <c r="W207" i="35"/>
  <c r="X159" i="35"/>
  <c r="K159" i="35"/>
  <c r="W143" i="35"/>
  <c r="AN143" i="35"/>
  <c r="AN448" i="31"/>
  <c r="AA143" i="35"/>
  <c r="AH95" i="35"/>
  <c r="AN47" i="35"/>
  <c r="AN352" i="31"/>
  <c r="AL47" i="35"/>
  <c r="Y90" i="35"/>
  <c r="AL26" i="35"/>
  <c r="AK39" i="35"/>
  <c r="AI94" i="35"/>
  <c r="X17" i="35"/>
  <c r="AM117" i="35"/>
  <c r="AK53" i="35"/>
  <c r="AO50" i="35"/>
  <c r="AO355" i="31"/>
  <c r="AJ17" i="35"/>
  <c r="AM84" i="35"/>
  <c r="AD36" i="35"/>
  <c r="J20" i="35"/>
  <c r="AI98" i="35"/>
  <c r="AJ82" i="35"/>
  <c r="AL34" i="35"/>
  <c r="AH67" i="35"/>
  <c r="AI17" i="35"/>
  <c r="AA91" i="35"/>
  <c r="AH75" i="35"/>
  <c r="AA67" i="35"/>
  <c r="Y51" i="35"/>
  <c r="U19" i="35"/>
  <c r="AC57" i="35"/>
  <c r="U12" i="35"/>
  <c r="S62" i="35"/>
  <c r="AC12" i="35"/>
  <c r="AK265" i="35"/>
  <c r="V217" i="35"/>
  <c r="S217" i="35"/>
  <c r="AI209" i="35"/>
  <c r="T201" i="35"/>
  <c r="AH169" i="35"/>
  <c r="X145" i="35"/>
  <c r="AI121" i="35"/>
  <c r="AO113" i="35"/>
  <c r="AO418" i="31"/>
  <c r="Y89" i="35"/>
  <c r="Y57" i="35"/>
  <c r="X34" i="35"/>
  <c r="AO262" i="35"/>
  <c r="AO567" i="31"/>
  <c r="Y54" i="35"/>
  <c r="S19" i="35"/>
  <c r="T299" i="35"/>
  <c r="W283" i="35"/>
  <c r="N243" i="35"/>
  <c r="AJ243" i="35"/>
  <c r="R235" i="35"/>
  <c r="T227" i="35"/>
  <c r="R219" i="35"/>
  <c r="AJ219" i="35"/>
  <c r="AO179" i="35"/>
  <c r="AO484" i="31"/>
  <c r="AJ179" i="35"/>
  <c r="Z171" i="35"/>
  <c r="AF163" i="35"/>
  <c r="AE155" i="35"/>
  <c r="AI155" i="35"/>
  <c r="AB131" i="35"/>
  <c r="AK107" i="35"/>
  <c r="AB83" i="35"/>
  <c r="AN59" i="35"/>
  <c r="AN364" i="31"/>
  <c r="AC51" i="35"/>
  <c r="R19" i="35"/>
  <c r="AB274" i="35"/>
  <c r="AL266" i="35"/>
  <c r="T250" i="35"/>
  <c r="X226" i="35"/>
  <c r="N218" i="35"/>
  <c r="AI210" i="35"/>
  <c r="J186" i="35"/>
  <c r="Q178" i="35"/>
  <c r="AK178" i="35"/>
  <c r="S170" i="35"/>
  <c r="AE154" i="35"/>
  <c r="S138" i="35"/>
  <c r="Z58" i="35"/>
  <c r="AA34" i="35"/>
  <c r="K18" i="35"/>
  <c r="AN297" i="35"/>
  <c r="AN602" i="31"/>
  <c r="AC289" i="35"/>
  <c r="O265" i="35"/>
  <c r="S241" i="35"/>
  <c r="AN217" i="35"/>
  <c r="AN522" i="31"/>
  <c r="O201" i="35"/>
  <c r="AI185" i="35"/>
  <c r="P185" i="35"/>
  <c r="AK177" i="35"/>
  <c r="AF177" i="35"/>
  <c r="U153" i="35"/>
  <c r="AF145" i="35"/>
  <c r="AD137" i="35"/>
  <c r="V113" i="35"/>
  <c r="AG57" i="35"/>
  <c r="AK98" i="35"/>
  <c r="U58" i="35"/>
  <c r="P34" i="35"/>
  <c r="P18" i="35"/>
  <c r="X230" i="35"/>
  <c r="N222" i="35"/>
  <c r="AA214" i="35"/>
  <c r="W206" i="35"/>
  <c r="Q198" i="35"/>
  <c r="R198" i="35"/>
  <c r="M190" i="35"/>
  <c r="AO182" i="35"/>
  <c r="AO487" i="31"/>
  <c r="O166" i="35"/>
  <c r="AH150" i="35"/>
  <c r="AI142" i="35"/>
  <c r="AM118" i="35"/>
  <c r="W110" i="35"/>
  <c r="Z86" i="35"/>
  <c r="X86" i="35"/>
  <c r="AM62" i="35"/>
  <c r="AL301" i="35"/>
  <c r="M245" i="35"/>
  <c r="H245" i="35"/>
  <c r="Y221" i="35"/>
  <c r="W213" i="35"/>
  <c r="AJ213" i="35"/>
  <c r="AM197" i="35"/>
  <c r="U181" i="35"/>
  <c r="N117" i="35"/>
  <c r="AA101" i="35"/>
  <c r="AE93" i="35"/>
  <c r="AH93" i="35"/>
  <c r="R61" i="35"/>
  <c r="O277" i="35"/>
  <c r="AJ261" i="35"/>
  <c r="J261" i="35"/>
  <c r="S189" i="35"/>
  <c r="AN189" i="35"/>
  <c r="AN494" i="31"/>
  <c r="AL173" i="35"/>
  <c r="AJ141" i="35"/>
  <c r="V85" i="35"/>
  <c r="Z77" i="35"/>
  <c r="AG53" i="35"/>
  <c r="S12" i="35"/>
  <c r="AL284" i="35"/>
  <c r="S284" i="35"/>
  <c r="I276" i="35"/>
  <c r="N260" i="35"/>
  <c r="AJ260" i="35"/>
  <c r="AD244" i="35"/>
  <c r="AK228" i="35"/>
  <c r="AI212" i="35"/>
  <c r="AB196" i="35"/>
  <c r="AO196" i="35"/>
  <c r="AO501" i="31"/>
  <c r="U180" i="35"/>
  <c r="S180" i="35"/>
  <c r="Q172" i="35"/>
  <c r="O164" i="35"/>
  <c r="AI107" i="35"/>
  <c r="AG74" i="35"/>
  <c r="K19" i="35"/>
  <c r="AG299" i="35"/>
  <c r="AB299" i="35"/>
  <c r="AE299" i="35"/>
  <c r="X283" i="35"/>
  <c r="AB283" i="35"/>
  <c r="AM251" i="35"/>
  <c r="AA251" i="35"/>
  <c r="AD251" i="35"/>
  <c r="J243" i="35"/>
  <c r="AL235" i="35"/>
  <c r="Z235" i="35"/>
  <c r="AH227" i="35"/>
  <c r="AB227" i="35"/>
  <c r="AE227" i="35"/>
  <c r="Y219" i="35"/>
  <c r="M219" i="35"/>
  <c r="V179" i="35"/>
  <c r="J179" i="35"/>
  <c r="M179" i="35"/>
  <c r="P171" i="35"/>
  <c r="AH171" i="35"/>
  <c r="AK171" i="35"/>
  <c r="AN163" i="35"/>
  <c r="AN468" i="31"/>
  <c r="AA163" i="35"/>
  <c r="AM139" i="35"/>
  <c r="R139" i="35"/>
  <c r="U139" i="35"/>
  <c r="AJ131" i="35"/>
  <c r="AM131" i="35"/>
  <c r="P91" i="35"/>
  <c r="N91" i="35"/>
  <c r="AJ83" i="35"/>
  <c r="AF75" i="35"/>
  <c r="AD75" i="35"/>
  <c r="AK110" i="35"/>
  <c r="AK54" i="35"/>
  <c r="J19" i="35"/>
  <c r="L282" i="35"/>
  <c r="N282" i="35"/>
  <c r="AN282" i="35"/>
  <c r="AN587" i="31"/>
  <c r="AD274" i="35"/>
  <c r="AL250" i="35"/>
  <c r="Z242" i="35"/>
  <c r="S242" i="35"/>
  <c r="V242" i="35"/>
  <c r="T234" i="35"/>
  <c r="Y234" i="35"/>
  <c r="AL234" i="35"/>
  <c r="AK226" i="35"/>
  <c r="AF226" i="35"/>
  <c r="L218" i="35"/>
  <c r="V218" i="35"/>
  <c r="I218" i="35"/>
  <c r="AJ210" i="35"/>
  <c r="AL210" i="35"/>
  <c r="R186" i="35"/>
  <c r="U186" i="35"/>
  <c r="AG178" i="35"/>
  <c r="K178" i="35"/>
  <c r="N178" i="35"/>
  <c r="Y170" i="35"/>
  <c r="AA170" i="35"/>
  <c r="AD170" i="35"/>
  <c r="AO154" i="35"/>
  <c r="AO459" i="31"/>
  <c r="AJ154" i="35"/>
  <c r="AM154" i="35"/>
  <c r="Y138" i="35"/>
  <c r="AA138" i="35"/>
  <c r="AD138" i="35"/>
  <c r="V130" i="35"/>
  <c r="AL122" i="35"/>
  <c r="W106" i="35"/>
  <c r="AN98" i="35"/>
  <c r="AN403" i="31"/>
  <c r="AM90" i="35"/>
  <c r="AH58" i="35"/>
  <c r="AF58" i="35"/>
  <c r="AE50" i="35"/>
  <c r="M118" i="35"/>
  <c r="AO43" i="35"/>
  <c r="AO348" i="31"/>
  <c r="S34" i="35"/>
  <c r="AK17" i="35"/>
  <c r="V297" i="35"/>
  <c r="I297" i="35"/>
  <c r="AI297" i="35"/>
  <c r="AK289" i="35"/>
  <c r="Y289" i="35"/>
  <c r="AD265" i="35"/>
  <c r="W265" i="35"/>
  <c r="AO265" i="35"/>
  <c r="AO570" i="31"/>
  <c r="AI241" i="35"/>
  <c r="AD241" i="35"/>
  <c r="AK233" i="35"/>
  <c r="AO233" i="35"/>
  <c r="AO538" i="31"/>
  <c r="AD217" i="35"/>
  <c r="AI217" i="35"/>
  <c r="V209" i="35"/>
  <c r="Y209" i="35"/>
  <c r="AL201" i="35"/>
  <c r="W201" i="35"/>
  <c r="S185" i="35"/>
  <c r="AC185" i="35"/>
  <c r="X185" i="35"/>
  <c r="K177" i="35"/>
  <c r="N177" i="35"/>
  <c r="AN177" i="35"/>
  <c r="AN482" i="31"/>
  <c r="AL169" i="35"/>
  <c r="Y169" i="35"/>
  <c r="AJ161" i="35"/>
  <c r="AM161" i="35"/>
  <c r="S153" i="35"/>
  <c r="AC153" i="35"/>
  <c r="X153" i="35"/>
  <c r="K145" i="35"/>
  <c r="N145" i="35"/>
  <c r="AN145" i="35"/>
  <c r="AN450" i="31"/>
  <c r="K137" i="35"/>
  <c r="AL137" i="35"/>
  <c r="Y137" i="35"/>
  <c r="AL113" i="35"/>
  <c r="AO89" i="35"/>
  <c r="AO394" i="31"/>
  <c r="AO73" i="35"/>
  <c r="AO378" i="31"/>
  <c r="T57" i="35"/>
  <c r="AO57" i="35"/>
  <c r="AO362" i="31"/>
  <c r="W57" i="35"/>
  <c r="AD278" i="35"/>
  <c r="AK230" i="35"/>
  <c r="AF230" i="35"/>
  <c r="AJ222" i="35"/>
  <c r="V222" i="35"/>
  <c r="I222" i="35"/>
  <c r="AB214" i="35"/>
  <c r="AL214" i="35"/>
  <c r="Y214" i="35"/>
  <c r="T206" i="35"/>
  <c r="AE206" i="35"/>
  <c r="J198" i="35"/>
  <c r="M198" i="35"/>
  <c r="Z198" i="35"/>
  <c r="R190" i="35"/>
  <c r="U190" i="35"/>
  <c r="N182" i="35"/>
  <c r="P174" i="35"/>
  <c r="AI174" i="35"/>
  <c r="AL174" i="35"/>
  <c r="AN166" i="35"/>
  <c r="AN471" i="31"/>
  <c r="T166" i="35"/>
  <c r="W166" i="35"/>
  <c r="J158" i="35"/>
  <c r="M158" i="35"/>
  <c r="AO150" i="35"/>
  <c r="AO455" i="31"/>
  <c r="Q142" i="35"/>
  <c r="AM134" i="35"/>
  <c r="K118" i="35"/>
  <c r="Z110" i="35"/>
  <c r="AE110" i="35"/>
  <c r="AH86" i="35"/>
  <c r="AF86" i="35"/>
  <c r="AE78" i="35"/>
  <c r="AL54" i="35"/>
  <c r="AG79" i="35"/>
  <c r="Q55" i="35"/>
  <c r="AJ37" i="35"/>
  <c r="AB301" i="35"/>
  <c r="O301" i="35"/>
  <c r="AG301" i="35"/>
  <c r="Y245" i="35"/>
  <c r="U245" i="35"/>
  <c r="P245" i="35"/>
  <c r="O221" i="35"/>
  <c r="AG221" i="35"/>
  <c r="AB221" i="35"/>
  <c r="AE213" i="35"/>
  <c r="Z197" i="35"/>
  <c r="M197" i="35"/>
  <c r="AA181" i="35"/>
  <c r="AC181" i="35"/>
  <c r="X181" i="35"/>
  <c r="R149" i="35"/>
  <c r="AD149" i="35"/>
  <c r="Q149" i="35"/>
  <c r="AH133" i="35"/>
  <c r="W133" i="35"/>
  <c r="AO133" i="35"/>
  <c r="AO438" i="31"/>
  <c r="AD117" i="35"/>
  <c r="R117" i="35"/>
  <c r="AN101" i="35"/>
  <c r="AN406" i="31"/>
  <c r="V93" i="35"/>
  <c r="X93" i="35"/>
  <c r="O61" i="35"/>
  <c r="Z61" i="35"/>
  <c r="AB125" i="35"/>
  <c r="W277" i="35"/>
  <c r="AO277" i="35"/>
  <c r="AO582" i="31"/>
  <c r="S261" i="35"/>
  <c r="AM261" i="35"/>
  <c r="R261" i="35"/>
  <c r="S253" i="35"/>
  <c r="P253" i="35"/>
  <c r="AH253" i="35"/>
  <c r="AH237" i="35"/>
  <c r="AD237" i="35"/>
  <c r="X205" i="35"/>
  <c r="AE205" i="35"/>
  <c r="S205" i="35"/>
  <c r="Z189" i="35"/>
  <c r="V189" i="35"/>
  <c r="L173" i="35"/>
  <c r="O173" i="35"/>
  <c r="AG173" i="35"/>
  <c r="AM125" i="35"/>
  <c r="AM430" i="31"/>
  <c r="AI125" i="35"/>
  <c r="AF85" i="35"/>
  <c r="AE77" i="35"/>
  <c r="P77" i="35"/>
  <c r="AH77" i="35"/>
  <c r="AO53" i="35"/>
  <c r="AO358" i="31"/>
  <c r="AK37" i="35"/>
  <c r="AE101" i="35"/>
  <c r="S36" i="35"/>
  <c r="AL292" i="35"/>
  <c r="U284" i="35"/>
  <c r="AM284" i="35"/>
  <c r="AA284" i="35"/>
  <c r="P276" i="35"/>
  <c r="Q276" i="35"/>
  <c r="L276" i="35"/>
  <c r="AK260" i="35"/>
  <c r="AJ244" i="35"/>
  <c r="S244" i="35"/>
  <c r="Q244" i="35"/>
  <c r="AJ236" i="35"/>
  <c r="AN228" i="35"/>
  <c r="AN533" i="31"/>
  <c r="K228" i="35"/>
  <c r="N228" i="35"/>
  <c r="Q212" i="35"/>
  <c r="AE204" i="35"/>
  <c r="AB204" i="35"/>
  <c r="AC196" i="35"/>
  <c r="AE196" i="35"/>
  <c r="AB188" i="35"/>
  <c r="P188" i="35"/>
  <c r="AH188" i="35"/>
  <c r="N180" i="35"/>
  <c r="AN180" i="35"/>
  <c r="AN485" i="31"/>
  <c r="AA180" i="35"/>
  <c r="AL172" i="35"/>
  <c r="Y172" i="35"/>
  <c r="AB164" i="35"/>
  <c r="W164" i="35"/>
  <c r="AO164" i="35"/>
  <c r="AO469" i="31"/>
  <c r="X148" i="35"/>
  <c r="T132" i="35"/>
  <c r="AL132" i="35"/>
  <c r="AN84" i="35"/>
  <c r="AN389" i="31"/>
  <c r="X36" i="35"/>
  <c r="X20" i="35"/>
  <c r="O12" i="35"/>
  <c r="AG12" i="35"/>
  <c r="AO55" i="35"/>
  <c r="AO360" i="31"/>
  <c r="AO104" i="35"/>
  <c r="AO409" i="31"/>
  <c r="S77" i="35"/>
  <c r="Q287" i="35"/>
  <c r="M287" i="35"/>
  <c r="AB263" i="35"/>
  <c r="AE247" i="35"/>
  <c r="X247" i="35"/>
  <c r="AG231" i="35"/>
  <c r="AJ231" i="35"/>
  <c r="AM231" i="35"/>
  <c r="U215" i="35"/>
  <c r="AD199" i="35"/>
  <c r="Z199" i="35"/>
  <c r="AL151" i="35"/>
  <c r="AO151" i="35"/>
  <c r="AO456" i="31"/>
  <c r="AJ151" i="35"/>
  <c r="AG103" i="35"/>
  <c r="AD103" i="35"/>
  <c r="X87" i="35"/>
  <c r="AK55" i="35"/>
  <c r="AG39" i="35"/>
  <c r="AN96" i="35"/>
  <c r="AN401" i="31"/>
  <c r="AA36" i="35"/>
  <c r="AM288" i="35"/>
  <c r="V272" i="35"/>
  <c r="AM272" i="35"/>
  <c r="AA272" i="35"/>
  <c r="W232" i="35"/>
  <c r="AN224" i="35"/>
  <c r="AN529" i="31"/>
  <c r="Z224" i="35"/>
  <c r="AC224" i="35"/>
  <c r="AM216" i="35"/>
  <c r="I208" i="35"/>
  <c r="AI208" i="35"/>
  <c r="AL208" i="35"/>
  <c r="J200" i="35"/>
  <c r="I200" i="35"/>
  <c r="AB184" i="35"/>
  <c r="AM184" i="35"/>
  <c r="T176" i="35"/>
  <c r="P176" i="35"/>
  <c r="AH176" i="35"/>
  <c r="AN168" i="35"/>
  <c r="AN473" i="31"/>
  <c r="AA168" i="35"/>
  <c r="AD160" i="35"/>
  <c r="AK152" i="35"/>
  <c r="W152" i="35"/>
  <c r="AO152" i="35"/>
  <c r="AO457" i="31"/>
  <c r="AM144" i="35"/>
  <c r="P136" i="35"/>
  <c r="AH136" i="35"/>
  <c r="AO128" i="35"/>
  <c r="AO433" i="31"/>
  <c r="AB128" i="35"/>
  <c r="X128" i="35"/>
  <c r="AG96" i="35"/>
  <c r="Z72" i="35"/>
  <c r="AO64" i="35"/>
  <c r="AO369" i="31"/>
  <c r="Y56" i="35"/>
  <c r="AO32" i="35"/>
  <c r="AO337" i="31"/>
  <c r="AF24" i="35"/>
  <c r="P295" i="35"/>
  <c r="S295" i="35"/>
  <c r="V295" i="35"/>
  <c r="AM271" i="35"/>
  <c r="S271" i="35"/>
  <c r="V271" i="35"/>
  <c r="O255" i="35"/>
  <c r="AI255" i="35"/>
  <c r="AL255" i="35"/>
  <c r="AM239" i="35"/>
  <c r="R239" i="35"/>
  <c r="AH223" i="35"/>
  <c r="L223" i="35"/>
  <c r="O223" i="35"/>
  <c r="AO207" i="35"/>
  <c r="AO512" i="31"/>
  <c r="AB207" i="35"/>
  <c r="AE207" i="35"/>
  <c r="AF159" i="35"/>
  <c r="S159" i="35"/>
  <c r="AL143" i="35"/>
  <c r="AI143" i="35"/>
  <c r="AJ95" i="35"/>
  <c r="AH79" i="35"/>
  <c r="AA47" i="35"/>
  <c r="AA90" i="35"/>
  <c r="AO58" i="35"/>
  <c r="AO363" i="31"/>
  <c r="T19" i="35"/>
  <c r="AK84" i="35"/>
  <c r="AM52" i="35"/>
  <c r="AC20" i="35"/>
  <c r="AJ98" i="35"/>
  <c r="W34" i="35"/>
  <c r="AM75" i="35"/>
  <c r="AH59" i="35"/>
  <c r="AK19" i="35"/>
  <c r="AA89" i="35"/>
  <c r="AM57" i="35"/>
  <c r="Y227" i="35"/>
  <c r="AM17" i="35"/>
  <c r="AB54" i="35"/>
  <c r="O125" i="35"/>
  <c r="AI95" i="35"/>
  <c r="AJ79" i="35"/>
  <c r="AM80" i="35"/>
  <c r="Z130" i="35"/>
  <c r="AB90" i="35"/>
  <c r="U77" i="35"/>
  <c r="O18" i="35"/>
  <c r="AK20" i="35"/>
  <c r="AA86" i="35"/>
  <c r="AF17" i="35"/>
  <c r="AK52" i="35"/>
  <c r="AC36" i="35"/>
  <c r="AI50" i="35"/>
  <c r="AM34" i="35"/>
  <c r="AN43" i="35"/>
  <c r="AN348" i="31"/>
  <c r="AO83" i="35"/>
  <c r="AO388" i="31"/>
  <c r="AM59" i="35"/>
  <c r="AH51" i="35"/>
  <c r="AN27" i="35"/>
  <c r="AN332" i="31"/>
  <c r="W19" i="35"/>
  <c r="AC89" i="35"/>
  <c r="AI58" i="35"/>
  <c r="R137" i="35"/>
  <c r="AI73" i="35"/>
  <c r="U18" i="35"/>
  <c r="M299" i="35"/>
  <c r="AE283" i="35"/>
  <c r="M283" i="35"/>
  <c r="V243" i="35"/>
  <c r="Z243" i="35"/>
  <c r="Q235" i="35"/>
  <c r="M227" i="35"/>
  <c r="AC219" i="35"/>
  <c r="Z179" i="35"/>
  <c r="AC179" i="35"/>
  <c r="S171" i="35"/>
  <c r="AE163" i="35"/>
  <c r="W155" i="35"/>
  <c r="AB155" i="35"/>
  <c r="AH139" i="35"/>
  <c r="AK139" i="35"/>
  <c r="Q131" i="35"/>
  <c r="AG107" i="35"/>
  <c r="AF91" i="35"/>
  <c r="AK67" i="35"/>
  <c r="AB59" i="35"/>
  <c r="V51" i="35"/>
  <c r="AD282" i="35"/>
  <c r="Q274" i="35"/>
  <c r="O274" i="35"/>
  <c r="AG266" i="35"/>
  <c r="AE266" i="35"/>
  <c r="U250" i="35"/>
  <c r="AI242" i="35"/>
  <c r="V226" i="35"/>
  <c r="I226" i="35"/>
  <c r="T218" i="35"/>
  <c r="Y218" i="35"/>
  <c r="AO210" i="35"/>
  <c r="AO515" i="31"/>
  <c r="AG186" i="35"/>
  <c r="AH186" i="35"/>
  <c r="AK186" i="35"/>
  <c r="AA178" i="35"/>
  <c r="AD178" i="35"/>
  <c r="O170" i="35"/>
  <c r="U154" i="35"/>
  <c r="L138" i="35"/>
  <c r="AL130" i="35"/>
  <c r="Y130" i="35"/>
  <c r="AO122" i="35"/>
  <c r="AO427" i="31"/>
  <c r="AM106" i="35"/>
  <c r="AD98" i="35"/>
  <c r="P90" i="35"/>
  <c r="AF74" i="35"/>
  <c r="V58" i="35"/>
  <c r="AL297" i="35"/>
  <c r="AE289" i="35"/>
  <c r="V289" i="35"/>
  <c r="AI265" i="35"/>
  <c r="R265" i="35"/>
  <c r="O241" i="35"/>
  <c r="Y217" i="35"/>
  <c r="T217" i="35"/>
  <c r="W209" i="35"/>
  <c r="AJ209" i="35"/>
  <c r="X201" i="35"/>
  <c r="AA185" i="35"/>
  <c r="N185" i="35"/>
  <c r="Z177" i="35"/>
  <c r="AD177" i="35"/>
  <c r="Q177" i="35"/>
  <c r="W169" i="35"/>
  <c r="AO169" i="35"/>
  <c r="AO474" i="31"/>
  <c r="AA153" i="35"/>
  <c r="AN153" i="35"/>
  <c r="AN458" i="31"/>
  <c r="Z145" i="35"/>
  <c r="Q145" i="35"/>
  <c r="T137" i="35"/>
  <c r="AO137" i="35"/>
  <c r="AO442" i="31"/>
  <c r="AL121" i="35"/>
  <c r="AJ89" i="35"/>
  <c r="AJ73" i="35"/>
  <c r="AJ57" i="35"/>
  <c r="AC94" i="35"/>
  <c r="AN42" i="35"/>
  <c r="AN347" i="31"/>
  <c r="Z17" i="35"/>
  <c r="V230" i="35"/>
  <c r="L222" i="35"/>
  <c r="AL222" i="35"/>
  <c r="AJ214" i="35"/>
  <c r="W214" i="35"/>
  <c r="AB206" i="35"/>
  <c r="AB198" i="35"/>
  <c r="AE198" i="35"/>
  <c r="AH190" i="35"/>
  <c r="AK190" i="35"/>
  <c r="AA182" i="35"/>
  <c r="AD182" i="35"/>
  <c r="X174" i="35"/>
  <c r="W174" i="35"/>
  <c r="Q166" i="35"/>
  <c r="AM166" i="35"/>
  <c r="Z158" i="35"/>
  <c r="AF150" i="35"/>
  <c r="AA150" i="35"/>
  <c r="AD150" i="35"/>
  <c r="AB142" i="35"/>
  <c r="AE142" i="35"/>
  <c r="L118" i="35"/>
  <c r="X118" i="35"/>
  <c r="AI102" i="35"/>
  <c r="AE94" i="35"/>
  <c r="V86" i="35"/>
  <c r="Z62" i="35"/>
  <c r="W54" i="35"/>
  <c r="AN46" i="35"/>
  <c r="AN351" i="31"/>
  <c r="AM76" i="35"/>
  <c r="Z245" i="35"/>
  <c r="AF245" i="35"/>
  <c r="AE221" i="35"/>
  <c r="J221" i="35"/>
  <c r="Z213" i="35"/>
  <c r="AC197" i="35"/>
  <c r="X197" i="35"/>
  <c r="AN181" i="35"/>
  <c r="AN486" i="31"/>
  <c r="AM133" i="35"/>
  <c r="O117" i="35"/>
  <c r="AH117" i="35"/>
  <c r="AB101" i="35"/>
  <c r="W93" i="35"/>
  <c r="AN93" i="35"/>
  <c r="AN398" i="31"/>
  <c r="V61" i="35"/>
  <c r="S85" i="35"/>
  <c r="AD277" i="35"/>
  <c r="R277" i="35"/>
  <c r="T261" i="35"/>
  <c r="P261" i="35"/>
  <c r="T253" i="35"/>
  <c r="AF253" i="35"/>
  <c r="U237" i="35"/>
  <c r="O237" i="35"/>
  <c r="Y189" i="35"/>
  <c r="AE173" i="35"/>
  <c r="AC125" i="35"/>
  <c r="Y125" i="35"/>
  <c r="V125" i="35"/>
  <c r="AM85" i="35"/>
  <c r="AL77" i="35"/>
  <c r="AF77" i="35"/>
  <c r="V37" i="35"/>
  <c r="Z47" i="35"/>
  <c r="AF292" i="35"/>
  <c r="V284" i="35"/>
  <c r="Q284" i="35"/>
  <c r="L284" i="35"/>
  <c r="AG276" i="35"/>
  <c r="AB276" i="35"/>
  <c r="AL260" i="35"/>
  <c r="Z260" i="35"/>
  <c r="O244" i="35"/>
  <c r="AG244" i="35"/>
  <c r="AA228" i="35"/>
  <c r="AD228" i="35"/>
  <c r="AG212" i="35"/>
  <c r="AB212" i="35"/>
  <c r="Q204" i="35"/>
  <c r="AK196" i="35"/>
  <c r="Z196" i="35"/>
  <c r="AK188" i="35"/>
  <c r="S188" i="35"/>
  <c r="AD180" i="35"/>
  <c r="L172" i="35"/>
  <c r="W172" i="35"/>
  <c r="AO172" i="35"/>
  <c r="AO477" i="31"/>
  <c r="AM164" i="35"/>
  <c r="R164" i="35"/>
  <c r="AN148" i="35"/>
  <c r="AN453" i="31"/>
  <c r="AA148" i="35"/>
  <c r="X132" i="35"/>
  <c r="AE132" i="35"/>
  <c r="AM108" i="35"/>
  <c r="AN76" i="35"/>
  <c r="AN381" i="31"/>
  <c r="Q60" i="35"/>
  <c r="AD60" i="35"/>
  <c r="AN36" i="35"/>
  <c r="AN341" i="31"/>
  <c r="L20" i="35"/>
  <c r="AE12" i="35"/>
  <c r="Y95" i="35"/>
  <c r="Y47" i="35"/>
  <c r="AE71" i="35"/>
  <c r="AG287" i="35"/>
  <c r="AN247" i="35"/>
  <c r="AN552" i="31"/>
  <c r="AK215" i="35"/>
  <c r="AF215" i="35"/>
  <c r="R151" i="35"/>
  <c r="U151" i="35"/>
  <c r="AL87" i="35"/>
  <c r="AF71" i="35"/>
  <c r="X55" i="35"/>
  <c r="V55" i="35"/>
  <c r="AL288" i="35"/>
  <c r="AC272" i="35"/>
  <c r="AN248" i="35"/>
  <c r="AN553" i="31"/>
  <c r="AI232" i="35"/>
  <c r="AL232" i="35"/>
  <c r="AN216" i="35"/>
  <c r="AN521" i="31"/>
  <c r="AD216" i="35"/>
  <c r="Y208" i="35"/>
  <c r="T208" i="35"/>
  <c r="AF200" i="35"/>
  <c r="Y200" i="35"/>
  <c r="AH184" i="35"/>
  <c r="AF176" i="35"/>
  <c r="S176" i="35"/>
  <c r="AG160" i="35"/>
  <c r="AB152" i="35"/>
  <c r="R152" i="35"/>
  <c r="T144" i="35"/>
  <c r="M136" i="35"/>
  <c r="M128" i="35"/>
  <c r="U120" i="35"/>
  <c r="AK96" i="35"/>
  <c r="U88" i="35"/>
  <c r="AA88" i="35"/>
  <c r="AH64" i="35"/>
  <c r="P56" i="35"/>
  <c r="Z56" i="35"/>
  <c r="AM32" i="35"/>
  <c r="Y87" i="35"/>
  <c r="AI295" i="35"/>
  <c r="AL295" i="35"/>
  <c r="AI271" i="35"/>
  <c r="AL271" i="35"/>
  <c r="T255" i="35"/>
  <c r="X239" i="35"/>
  <c r="AH239" i="35"/>
  <c r="AB223" i="35"/>
  <c r="AE223" i="35"/>
  <c r="M207" i="35"/>
  <c r="Y143" i="35"/>
  <c r="T143" i="35"/>
  <c r="W95" i="35"/>
  <c r="AI79" i="35"/>
  <c r="AB47" i="35"/>
  <c r="AM83" i="35"/>
  <c r="AE72" i="35"/>
  <c r="AC130" i="35"/>
  <c r="AO26" i="35"/>
  <c r="AO331" i="31"/>
  <c r="AO82" i="35"/>
  <c r="AO387" i="31"/>
  <c r="M19" i="35"/>
  <c r="AA62" i="35"/>
  <c r="AL101" i="35"/>
  <c r="AN35" i="35"/>
  <c r="AN340" i="31"/>
  <c r="AJ50" i="35"/>
  <c r="AM65" i="35"/>
  <c r="AM19" i="35"/>
  <c r="AM89" i="35"/>
  <c r="N171" i="35"/>
  <c r="AK168" i="35"/>
  <c r="X131" i="35"/>
  <c r="AG50" i="35"/>
  <c r="M18" i="35"/>
  <c r="R299" i="35"/>
  <c r="U299" i="35"/>
  <c r="Y283" i="35"/>
  <c r="U283" i="35"/>
  <c r="W243" i="35"/>
  <c r="P243" i="35"/>
  <c r="AH243" i="35"/>
  <c r="U235" i="35"/>
  <c r="AM235" i="35"/>
  <c r="S235" i="35"/>
  <c r="U227" i="35"/>
  <c r="P227" i="35"/>
  <c r="AH219" i="35"/>
  <c r="AK219" i="35"/>
  <c r="AF219" i="35"/>
  <c r="P179" i="35"/>
  <c r="AH179" i="35"/>
  <c r="AK179" i="35"/>
  <c r="AN171" i="35"/>
  <c r="AN476" i="31"/>
  <c r="AA171" i="35"/>
  <c r="AL163" i="35"/>
  <c r="Y163" i="35"/>
  <c r="T163" i="35"/>
  <c r="AD155" i="35"/>
  <c r="AO155" i="35"/>
  <c r="AO460" i="31"/>
  <c r="AJ155" i="35"/>
  <c r="X139" i="35"/>
  <c r="K139" i="35"/>
  <c r="P131" i="35"/>
  <c r="AC131" i="35"/>
  <c r="Y131" i="35"/>
  <c r="AI123" i="35"/>
  <c r="AO107" i="35"/>
  <c r="AO412" i="31"/>
  <c r="AL107" i="35"/>
  <c r="AN91" i="35"/>
  <c r="AN396" i="31"/>
  <c r="AL91" i="35"/>
  <c r="AC83" i="35"/>
  <c r="T75" i="35"/>
  <c r="AJ59" i="35"/>
  <c r="AF51" i="35"/>
  <c r="AD51" i="35"/>
  <c r="Y106" i="35"/>
  <c r="AK78" i="35"/>
  <c r="AC50" i="35"/>
  <c r="T18" i="35"/>
  <c r="AO282" i="35"/>
  <c r="AO587" i="31"/>
  <c r="AJ282" i="35"/>
  <c r="AL282" i="35"/>
  <c r="AH274" i="35"/>
  <c r="S274" i="35"/>
  <c r="W274" i="35"/>
  <c r="AI266" i="35"/>
  <c r="AM266" i="35"/>
  <c r="O250" i="35"/>
  <c r="AH250" i="35"/>
  <c r="AF250" i="35"/>
  <c r="P242" i="35"/>
  <c r="R234" i="35"/>
  <c r="U234" i="35"/>
  <c r="Q234" i="35"/>
  <c r="AI226" i="35"/>
  <c r="AD226" i="35"/>
  <c r="Q226" i="35"/>
  <c r="AA218" i="35"/>
  <c r="O218" i="35"/>
  <c r="AG218" i="35"/>
  <c r="Q186" i="35"/>
  <c r="K186" i="35"/>
  <c r="N186" i="35"/>
  <c r="AI178" i="35"/>
  <c r="AL178" i="35"/>
  <c r="AN170" i="35"/>
  <c r="AN475" i="31"/>
  <c r="T170" i="35"/>
  <c r="W170" i="35"/>
  <c r="Z154" i="35"/>
  <c r="AC154" i="35"/>
  <c r="AN138" i="35"/>
  <c r="AN443" i="31"/>
  <c r="T138" i="35"/>
  <c r="W138" i="35"/>
  <c r="AG130" i="35"/>
  <c r="AL98" i="35"/>
  <c r="Z90" i="35"/>
  <c r="X90" i="35"/>
  <c r="AN74" i="35"/>
  <c r="AN379" i="31"/>
  <c r="AD58" i="35"/>
  <c r="AJ110" i="35"/>
  <c r="Z67" i="35"/>
  <c r="AJ54" i="35"/>
  <c r="AI26" i="35"/>
  <c r="AO19" i="35"/>
  <c r="AO324" i="31"/>
  <c r="AB297" i="35"/>
  <c r="O297" i="35"/>
  <c r="AG297" i="35"/>
  <c r="AJ289" i="35"/>
  <c r="AD289" i="35"/>
  <c r="J289" i="35"/>
  <c r="N265" i="35"/>
  <c r="Z265" i="35"/>
  <c r="Z241" i="35"/>
  <c r="I241" i="35"/>
  <c r="W241" i="35"/>
  <c r="AC233" i="35"/>
  <c r="AG233" i="35"/>
  <c r="AG217" i="35"/>
  <c r="AB217" i="35"/>
  <c r="AE209" i="35"/>
  <c r="AG201" i="35"/>
  <c r="AN201" i="35"/>
  <c r="AN506" i="31"/>
  <c r="Z201" i="35"/>
  <c r="AH185" i="35"/>
  <c r="V185" i="35"/>
  <c r="AA177" i="35"/>
  <c r="AL177" i="35"/>
  <c r="Y177" i="35"/>
  <c r="AB169" i="35"/>
  <c r="AE169" i="35"/>
  <c r="AI161" i="35"/>
  <c r="AC161" i="35"/>
  <c r="AH153" i="35"/>
  <c r="V153" i="35"/>
  <c r="AA145" i="35"/>
  <c r="AL145" i="35"/>
  <c r="Y145" i="35"/>
  <c r="AB137" i="35"/>
  <c r="AE137" i="35"/>
  <c r="AM121" i="35"/>
  <c r="X113" i="35"/>
  <c r="Z89" i="35"/>
  <c r="Z57" i="35"/>
  <c r="AI51" i="35"/>
  <c r="AF42" i="35"/>
  <c r="AF26" i="35"/>
  <c r="AB278" i="35"/>
  <c r="AA230" i="35"/>
  <c r="AD230" i="35"/>
  <c r="S222" i="35"/>
  <c r="O222" i="35"/>
  <c r="AG222" i="35"/>
  <c r="AE214" i="35"/>
  <c r="AH206" i="35"/>
  <c r="AK198" i="35"/>
  <c r="AN198" i="35"/>
  <c r="AN503" i="31"/>
  <c r="AN190" i="35"/>
  <c r="AN495" i="31"/>
  <c r="K190" i="35"/>
  <c r="N190" i="35"/>
  <c r="AG182" i="35"/>
  <c r="AI182" i="35"/>
  <c r="AL182" i="35"/>
  <c r="AF174" i="35"/>
  <c r="AB174" i="35"/>
  <c r="AE174" i="35"/>
  <c r="Y158" i="35"/>
  <c r="AH158" i="35"/>
  <c r="AK158" i="35"/>
  <c r="AG150" i="35"/>
  <c r="AI150" i="35"/>
  <c r="AL150" i="35"/>
  <c r="AM142" i="35"/>
  <c r="AB118" i="35"/>
  <c r="AF118" i="35"/>
  <c r="S110" i="35"/>
  <c r="P110" i="35"/>
  <c r="AN102" i="35"/>
  <c r="AN407" i="31"/>
  <c r="AM94" i="35"/>
  <c r="AD86" i="35"/>
  <c r="AH62" i="35"/>
  <c r="AF62" i="35"/>
  <c r="AE54" i="35"/>
  <c r="AE96" i="35"/>
  <c r="V36" i="35"/>
  <c r="AM301" i="35"/>
  <c r="R301" i="35"/>
  <c r="K245" i="35"/>
  <c r="N245" i="35"/>
  <c r="AN245" i="35"/>
  <c r="AN550" i="31"/>
  <c r="AM221" i="35"/>
  <c r="R221" i="35"/>
  <c r="AH213" i="35"/>
  <c r="AH197" i="35"/>
  <c r="AK197" i="35"/>
  <c r="AF197" i="35"/>
  <c r="V181" i="35"/>
  <c r="T149" i="35"/>
  <c r="W149" i="35"/>
  <c r="AO149" i="35"/>
  <c r="AO454" i="31"/>
  <c r="T117" i="35"/>
  <c r="X117" i="35"/>
  <c r="K117" i="35"/>
  <c r="AJ101" i="35"/>
  <c r="Y101" i="35"/>
  <c r="AM93" i="35"/>
  <c r="I93" i="35"/>
  <c r="AL61" i="35"/>
  <c r="AF61" i="35"/>
  <c r="AM111" i="35"/>
  <c r="AI37" i="35"/>
  <c r="L277" i="35"/>
  <c r="Z277" i="35"/>
  <c r="V261" i="35"/>
  <c r="X261" i="35"/>
  <c r="V253" i="35"/>
  <c r="M253" i="35"/>
  <c r="AN253" i="35"/>
  <c r="AN558" i="31"/>
  <c r="AA237" i="35"/>
  <c r="AI237" i="35"/>
  <c r="W237" i="35"/>
  <c r="AD205" i="35"/>
  <c r="Q205" i="35"/>
  <c r="L189" i="35"/>
  <c r="O189" i="35"/>
  <c r="AG189" i="35"/>
  <c r="AM173" i="35"/>
  <c r="AK141" i="35"/>
  <c r="AF141" i="35"/>
  <c r="AG125" i="35"/>
  <c r="AD125" i="35"/>
  <c r="Q85" i="35"/>
  <c r="W77" i="35"/>
  <c r="AN77" i="35"/>
  <c r="AN382" i="31"/>
  <c r="AD37" i="35"/>
  <c r="Z95" i="35"/>
  <c r="S20" i="35"/>
  <c r="AO292" i="35"/>
  <c r="AO597" i="31"/>
  <c r="AN292" i="35"/>
  <c r="AN597" i="31"/>
  <c r="AJ292" i="35"/>
  <c r="X284" i="35"/>
  <c r="Y284" i="35"/>
  <c r="T284" i="35"/>
  <c r="AN276" i="35"/>
  <c r="AN581" i="31"/>
  <c r="AO276" i="35"/>
  <c r="AO581" i="31"/>
  <c r="AJ276" i="35"/>
  <c r="V260" i="35"/>
  <c r="O260" i="35"/>
  <c r="AL244" i="35"/>
  <c r="W244" i="35"/>
  <c r="AO244" i="35"/>
  <c r="AO549" i="31"/>
  <c r="AI236" i="35"/>
  <c r="I228" i="35"/>
  <c r="AI228" i="35"/>
  <c r="AL228" i="35"/>
  <c r="X212" i="35"/>
  <c r="AO212" i="35"/>
  <c r="AO517" i="31"/>
  <c r="AJ212" i="35"/>
  <c r="AH204" i="35"/>
  <c r="Y204" i="35"/>
  <c r="U204" i="35"/>
  <c r="AH196" i="35"/>
  <c r="N188" i="35"/>
  <c r="AN188" i="35"/>
  <c r="AN493" i="31"/>
  <c r="AA188" i="35"/>
  <c r="AL180" i="35"/>
  <c r="Y180" i="35"/>
  <c r="M172" i="35"/>
  <c r="AE172" i="35"/>
  <c r="J172" i="35"/>
  <c r="AK164" i="35"/>
  <c r="Z164" i="35"/>
  <c r="V148" i="35"/>
  <c r="AI148" i="35"/>
  <c r="U132" i="35"/>
  <c r="AM132" i="35"/>
  <c r="AI116" i="35"/>
  <c r="AN108" i="35"/>
  <c r="AN413" i="31"/>
  <c r="Y100" i="35"/>
  <c r="W100" i="35"/>
  <c r="AI92" i="35"/>
  <c r="AO84" i="35"/>
  <c r="AO389" i="31"/>
  <c r="AH76" i="35"/>
  <c r="AG60" i="35"/>
  <c r="AL60" i="35"/>
  <c r="AJ60" i="35"/>
  <c r="T36" i="35"/>
  <c r="T20" i="35"/>
  <c r="I20" i="35"/>
  <c r="AM12" i="35"/>
  <c r="AC93" i="35"/>
  <c r="AB39" i="35"/>
  <c r="P287" i="35"/>
  <c r="AO287" i="35"/>
  <c r="AO592" i="31"/>
  <c r="AK287" i="35"/>
  <c r="AE263" i="35"/>
  <c r="AL247" i="35"/>
  <c r="AI247" i="35"/>
  <c r="AO231" i="35"/>
  <c r="AO536" i="31"/>
  <c r="AC231" i="35"/>
  <c r="AN215" i="35"/>
  <c r="AN520" i="31"/>
  <c r="V199" i="35"/>
  <c r="Z151" i="35"/>
  <c r="AC151" i="35"/>
  <c r="AA87" i="35"/>
  <c r="AN71" i="35"/>
  <c r="AN376" i="31"/>
  <c r="AL71" i="35"/>
  <c r="AF55" i="35"/>
  <c r="AD55" i="35"/>
  <c r="N93" i="35"/>
  <c r="Y272" i="35"/>
  <c r="T272" i="35"/>
  <c r="AF232" i="35"/>
  <c r="W224" i="35"/>
  <c r="S224" i="35"/>
  <c r="V224" i="35"/>
  <c r="AI216" i="35"/>
  <c r="AL216" i="35"/>
  <c r="AG208" i="35"/>
  <c r="AB208" i="35"/>
  <c r="AN200" i="35"/>
  <c r="AN505" i="31"/>
  <c r="K200" i="35"/>
  <c r="AG200" i="35"/>
  <c r="N176" i="35"/>
  <c r="AN176" i="35"/>
  <c r="AN481" i="31"/>
  <c r="AA176" i="35"/>
  <c r="AL168" i="35"/>
  <c r="Y168" i="35"/>
  <c r="AJ160" i="35"/>
  <c r="AO160" i="35"/>
  <c r="AO465" i="31"/>
  <c r="AC152" i="35"/>
  <c r="Z152" i="35"/>
  <c r="AB144" i="35"/>
  <c r="X144" i="35"/>
  <c r="N136" i="35"/>
  <c r="AN136" i="35"/>
  <c r="AN441" i="31"/>
  <c r="R128" i="35"/>
  <c r="U128" i="35"/>
  <c r="W120" i="35"/>
  <c r="Z120" i="35"/>
  <c r="AK88" i="35"/>
  <c r="AI88" i="35"/>
  <c r="AG72" i="35"/>
  <c r="AF56" i="35"/>
  <c r="AH56" i="35"/>
  <c r="AC85" i="35"/>
  <c r="Q295" i="35"/>
  <c r="L295" i="35"/>
  <c r="O295" i="35"/>
  <c r="W271" i="35"/>
  <c r="L271" i="35"/>
  <c r="R255" i="35"/>
  <c r="AM255" i="35"/>
  <c r="AB255" i="35"/>
  <c r="AN239" i="35"/>
  <c r="AN544" i="31"/>
  <c r="J223" i="35"/>
  <c r="AJ223" i="35"/>
  <c r="AM223" i="35"/>
  <c r="R207" i="35"/>
  <c r="U207" i="35"/>
  <c r="P207" i="35"/>
  <c r="AM159" i="35"/>
  <c r="Q159" i="35"/>
  <c r="L159" i="35"/>
  <c r="AG143" i="35"/>
  <c r="AB143" i="35"/>
  <c r="AK111" i="35"/>
  <c r="AM95" i="35"/>
  <c r="AC95" i="35"/>
  <c r="AJ47" i="35"/>
  <c r="AA78" i="35"/>
  <c r="AG26" i="35"/>
  <c r="AM72" i="35"/>
  <c r="AL40" i="35"/>
  <c r="AK102" i="35"/>
  <c r="Y58" i="35"/>
  <c r="AA17" i="35"/>
  <c r="AG87" i="35"/>
  <c r="AG18" i="35"/>
  <c r="AO17" i="35"/>
  <c r="AO322" i="31"/>
  <c r="AI86" i="35"/>
  <c r="AB62" i="35"/>
  <c r="R36" i="35"/>
  <c r="U93" i="35"/>
  <c r="AH122" i="35"/>
  <c r="Y34" i="35"/>
  <c r="AK73" i="35"/>
  <c r="AE35" i="35"/>
  <c r="AA75" i="35"/>
  <c r="R59" i="35"/>
  <c r="AI43" i="35"/>
  <c r="AM35" i="35"/>
  <c r="AB19" i="35"/>
  <c r="AK81" i="35"/>
  <c r="AJ118" i="35"/>
  <c r="N18" i="35"/>
  <c r="AD163" i="35"/>
  <c r="AF178" i="35"/>
  <c r="AL42" i="35"/>
  <c r="AL120" i="35"/>
  <c r="AA103" i="35"/>
  <c r="Y142" i="35"/>
  <c r="AE91" i="35"/>
  <c r="AE59" i="35"/>
  <c r="AE17" i="35"/>
  <c r="X299" i="35"/>
  <c r="Z299" i="35"/>
  <c r="AC299" i="35"/>
  <c r="AF283" i="35"/>
  <c r="AG283" i="35"/>
  <c r="AC283" i="35"/>
  <c r="AB251" i="35"/>
  <c r="AL243" i="35"/>
  <c r="AF243" i="35"/>
  <c r="K243" i="35"/>
  <c r="O235" i="35"/>
  <c r="AA235" i="35"/>
  <c r="Q227" i="35"/>
  <c r="AC227" i="35"/>
  <c r="X227" i="35"/>
  <c r="K219" i="35"/>
  <c r="N219" i="35"/>
  <c r="AN219" i="35"/>
  <c r="AN524" i="31"/>
  <c r="X179" i="35"/>
  <c r="K179" i="35"/>
  <c r="AE171" i="35"/>
  <c r="AI171" i="35"/>
  <c r="AM163" i="35"/>
  <c r="AG163" i="35"/>
  <c r="AB163" i="35"/>
  <c r="AL155" i="35"/>
  <c r="AF139" i="35"/>
  <c r="S139" i="35"/>
  <c r="S131" i="35"/>
  <c r="AK131" i="35"/>
  <c r="AG131" i="35"/>
  <c r="AN115" i="35"/>
  <c r="AN420" i="31"/>
  <c r="L91" i="35"/>
  <c r="AK83" i="35"/>
  <c r="AB75" i="35"/>
  <c r="AN51" i="35"/>
  <c r="AN356" i="31"/>
  <c r="AL51" i="35"/>
  <c r="AC90" i="35"/>
  <c r="L18" i="35"/>
  <c r="R282" i="35"/>
  <c r="K282" i="35"/>
  <c r="O282" i="35"/>
  <c r="AJ274" i="35"/>
  <c r="AA274" i="35"/>
  <c r="AE274" i="35"/>
  <c r="AH266" i="35"/>
  <c r="N250" i="35"/>
  <c r="AN250" i="35"/>
  <c r="AN555" i="31"/>
  <c r="AF242" i="35"/>
  <c r="T242" i="35"/>
  <c r="S234" i="35"/>
  <c r="AF234" i="35"/>
  <c r="Z234" i="35"/>
  <c r="AJ226" i="35"/>
  <c r="AL226" i="35"/>
  <c r="Y226" i="35"/>
  <c r="AB218" i="35"/>
  <c r="W218" i="35"/>
  <c r="AO218" i="35"/>
  <c r="AO523" i="31"/>
  <c r="AM210" i="35"/>
  <c r="X186" i="35"/>
  <c r="S186" i="35"/>
  <c r="V186" i="35"/>
  <c r="AO178" i="35"/>
  <c r="AO483" i="31"/>
  <c r="L178" i="35"/>
  <c r="O178" i="35"/>
  <c r="AB170" i="35"/>
  <c r="AE170" i="35"/>
  <c r="AG154" i="35"/>
  <c r="AH154" i="35"/>
  <c r="AK154" i="35"/>
  <c r="I138" i="35"/>
  <c r="AB138" i="35"/>
  <c r="AE138" i="35"/>
  <c r="W130" i="35"/>
  <c r="AO130" i="35"/>
  <c r="AO435" i="31"/>
  <c r="AK122" i="35"/>
  <c r="AM122" i="35"/>
  <c r="AH90" i="35"/>
  <c r="AF90" i="35"/>
  <c r="AL58" i="35"/>
  <c r="M110" i="35"/>
  <c r="T54" i="35"/>
  <c r="AG19" i="35"/>
  <c r="AJ297" i="35"/>
  <c r="W297" i="35"/>
  <c r="AO297" i="35"/>
  <c r="AO602" i="31"/>
  <c r="AM289" i="35"/>
  <c r="AL289" i="35"/>
  <c r="R289" i="35"/>
  <c r="AJ265" i="35"/>
  <c r="P265" i="35"/>
  <c r="AH265" i="35"/>
  <c r="AA241" i="35"/>
  <c r="Y241" i="35"/>
  <c r="AE241" i="35"/>
  <c r="AI233" i="35"/>
  <c r="AL233" i="35"/>
  <c r="W217" i="35"/>
  <c r="AO217" i="35"/>
  <c r="AO522" i="31"/>
  <c r="AJ217" i="35"/>
  <c r="AM209" i="35"/>
  <c r="Q201" i="35"/>
  <c r="M201" i="35"/>
  <c r="AH201" i="35"/>
  <c r="AD185" i="35"/>
  <c r="Q185" i="35"/>
  <c r="L177" i="35"/>
  <c r="O177" i="35"/>
  <c r="AJ169" i="35"/>
  <c r="AM169" i="35"/>
  <c r="AK161" i="35"/>
  <c r="AF161" i="35"/>
  <c r="AD153" i="35"/>
  <c r="Q153" i="35"/>
  <c r="L145" i="35"/>
  <c r="O145" i="35"/>
  <c r="AJ137" i="35"/>
  <c r="AM137" i="35"/>
  <c r="AB113" i="35"/>
  <c r="AH89" i="35"/>
  <c r="AH57" i="35"/>
  <c r="AB110" i="35"/>
  <c r="AC78" i="35"/>
  <c r="AL35" i="35"/>
  <c r="AL19" i="35"/>
  <c r="AA278" i="35"/>
  <c r="AE278" i="35"/>
  <c r="AB230" i="35"/>
  <c r="AL230" i="35"/>
  <c r="Y230" i="35"/>
  <c r="T222" i="35"/>
  <c r="W222" i="35"/>
  <c r="AO222" i="35"/>
  <c r="AO527" i="31"/>
  <c r="AM214" i="35"/>
  <c r="U206" i="35"/>
  <c r="X206" i="35"/>
  <c r="K198" i="35"/>
  <c r="N198" i="35"/>
  <c r="I190" i="35"/>
  <c r="S190" i="35"/>
  <c r="V190" i="35"/>
  <c r="O182" i="35"/>
  <c r="AG174" i="35"/>
  <c r="AJ174" i="35"/>
  <c r="AM174" i="35"/>
  <c r="R166" i="35"/>
  <c r="U166" i="35"/>
  <c r="AN158" i="35"/>
  <c r="AN463" i="31"/>
  <c r="K158" i="35"/>
  <c r="N158" i="35"/>
  <c r="N118" i="35"/>
  <c r="AN118" i="35"/>
  <c r="AN423" i="31"/>
  <c r="AA110" i="35"/>
  <c r="X110" i="35"/>
  <c r="AL86" i="35"/>
  <c r="Z78" i="35"/>
  <c r="X78" i="35"/>
  <c r="AN62" i="35"/>
  <c r="AN367" i="31"/>
  <c r="AM54" i="35"/>
  <c r="AG95" i="35"/>
  <c r="Z301" i="35"/>
  <c r="AA245" i="35"/>
  <c r="V245" i="35"/>
  <c r="AK221" i="35"/>
  <c r="Z221" i="35"/>
  <c r="AC213" i="35"/>
  <c r="X213" i="35"/>
  <c r="AI197" i="35"/>
  <c r="N197" i="35"/>
  <c r="AN197" i="35"/>
  <c r="AN502" i="31"/>
  <c r="AD181" i="35"/>
  <c r="AB149" i="35"/>
  <c r="AJ117" i="35"/>
  <c r="AF117" i="35"/>
  <c r="S117" i="35"/>
  <c r="AG101" i="35"/>
  <c r="K93" i="35"/>
  <c r="Q93" i="35"/>
  <c r="W61" i="35"/>
  <c r="AN61" i="35"/>
  <c r="AN366" i="31"/>
  <c r="AI277" i="35"/>
  <c r="P277" i="35"/>
  <c r="AH277" i="35"/>
  <c r="AA261" i="35"/>
  <c r="AF261" i="35"/>
  <c r="AA253" i="35"/>
  <c r="U253" i="35"/>
  <c r="I253" i="35"/>
  <c r="AB237" i="35"/>
  <c r="K237" i="35"/>
  <c r="M205" i="35"/>
  <c r="Y205" i="35"/>
  <c r="T205" i="35"/>
  <c r="T189" i="35"/>
  <c r="W189" i="35"/>
  <c r="AO189" i="35"/>
  <c r="AO494" i="31"/>
  <c r="M173" i="35"/>
  <c r="AN141" i="35"/>
  <c r="AN446" i="31"/>
  <c r="AE125" i="35"/>
  <c r="AO125" i="35"/>
  <c r="AO430" i="31"/>
  <c r="AL125" i="35"/>
  <c r="AL430" i="31"/>
  <c r="AA85" i="35"/>
  <c r="Y85" i="35"/>
  <c r="AM77" i="35"/>
  <c r="AH53" i="35"/>
  <c r="AL37" i="35"/>
  <c r="AC284" i="35"/>
  <c r="AG284" i="35"/>
  <c r="AB284" i="35"/>
  <c r="V276" i="35"/>
  <c r="J276" i="35"/>
  <c r="AN260" i="35"/>
  <c r="AN565" i="31"/>
  <c r="W260" i="35"/>
  <c r="K260" i="35"/>
  <c r="K244" i="35"/>
  <c r="J244" i="35"/>
  <c r="AL236" i="35"/>
  <c r="Q228" i="35"/>
  <c r="L228" i="35"/>
  <c r="AE212" i="35"/>
  <c r="AG204" i="35"/>
  <c r="AC204" i="35"/>
  <c r="T196" i="35"/>
  <c r="X196" i="35"/>
  <c r="V188" i="35"/>
  <c r="AI188" i="35"/>
  <c r="O180" i="35"/>
  <c r="AG180" i="35"/>
  <c r="T172" i="35"/>
  <c r="AM172" i="35"/>
  <c r="R172" i="35"/>
  <c r="L164" i="35"/>
  <c r="P164" i="35"/>
  <c r="AH164" i="35"/>
  <c r="AD148" i="35"/>
  <c r="AN132" i="35"/>
  <c r="AN437" i="31"/>
  <c r="AG132" i="35"/>
  <c r="AE100" i="35"/>
  <c r="AA84" i="35"/>
  <c r="AN68" i="35"/>
  <c r="AN373" i="31"/>
  <c r="AB36" i="35"/>
  <c r="Q36" i="35"/>
  <c r="AB20" i="35"/>
  <c r="Q20" i="35"/>
  <c r="M85" i="35"/>
  <c r="AD101" i="35"/>
  <c r="AM39" i="35"/>
  <c r="AK24" i="35"/>
  <c r="J287" i="35"/>
  <c r="N287" i="35"/>
  <c r="AG263" i="35"/>
  <c r="AC263" i="35"/>
  <c r="U247" i="35"/>
  <c r="Q247" i="35"/>
  <c r="AK231" i="35"/>
  <c r="AF231" i="35"/>
  <c r="S215" i="35"/>
  <c r="V215" i="35"/>
  <c r="AC199" i="35"/>
  <c r="AE199" i="35"/>
  <c r="AA199" i="35"/>
  <c r="P151" i="35"/>
  <c r="AK151" i="35"/>
  <c r="AB103" i="35"/>
  <c r="AN55" i="35"/>
  <c r="AN360" i="31"/>
  <c r="AL55" i="35"/>
  <c r="Z39" i="35"/>
  <c r="AN64" i="35"/>
  <c r="AN369" i="31"/>
  <c r="AO288" i="35"/>
  <c r="AO593" i="31"/>
  <c r="AG272" i="35"/>
  <c r="AA248" i="35"/>
  <c r="AD248" i="35"/>
  <c r="AN232" i="35"/>
  <c r="AN537" i="31"/>
  <c r="X224" i="35"/>
  <c r="AA224" i="35"/>
  <c r="AD224" i="35"/>
  <c r="Q216" i="35"/>
  <c r="AF208" i="35"/>
  <c r="AO208" i="35"/>
  <c r="AO513" i="31"/>
  <c r="AJ208" i="35"/>
  <c r="O200" i="35"/>
  <c r="U200" i="35"/>
  <c r="AF184" i="35"/>
  <c r="V176" i="35"/>
  <c r="I176" i="35"/>
  <c r="AI176" i="35"/>
  <c r="AG168" i="35"/>
  <c r="AK160" i="35"/>
  <c r="AE160" i="35"/>
  <c r="AJ152" i="35"/>
  <c r="AH152" i="35"/>
  <c r="AC144" i="35"/>
  <c r="AF144" i="35"/>
  <c r="V136" i="35"/>
  <c r="AI136" i="35"/>
  <c r="Z128" i="35"/>
  <c r="AC128" i="35"/>
  <c r="AK120" i="35"/>
  <c r="AN104" i="35"/>
  <c r="AN409" i="31"/>
  <c r="AK80" i="35"/>
  <c r="AI80" i="35"/>
  <c r="AA72" i="35"/>
  <c r="Q56" i="35"/>
  <c r="AJ24" i="35"/>
  <c r="AO79" i="35"/>
  <c r="AO384" i="31"/>
  <c r="Y295" i="35"/>
  <c r="T295" i="35"/>
  <c r="W295" i="35"/>
  <c r="X271" i="35"/>
  <c r="T271" i="35"/>
  <c r="W255" i="35"/>
  <c r="I255" i="35"/>
  <c r="AJ255" i="35"/>
  <c r="S239" i="35"/>
  <c r="Q223" i="35"/>
  <c r="Y207" i="35"/>
  <c r="AC207" i="35"/>
  <c r="Y159" i="35"/>
  <c r="V143" i="35"/>
  <c r="AJ143" i="35"/>
  <c r="AM79" i="35"/>
  <c r="AI47" i="35"/>
  <c r="AH24" i="35"/>
  <c r="AA58" i="35"/>
  <c r="AH18" i="35"/>
  <c r="Y17" i="35"/>
  <c r="Q34" i="35"/>
  <c r="AI93" i="35"/>
  <c r="AO100" i="35"/>
  <c r="AO405" i="31"/>
  <c r="AO106" i="35"/>
  <c r="AO411" i="31"/>
  <c r="AO34" i="35"/>
  <c r="AO339" i="31"/>
  <c r="AL73" i="35"/>
  <c r="AI115" i="35"/>
  <c r="Y83" i="35"/>
  <c r="W59" i="35"/>
  <c r="AK43" i="35"/>
  <c r="AI35" i="35"/>
  <c r="AL81" i="35"/>
  <c r="P154" i="35"/>
  <c r="AC118" i="35"/>
  <c r="AD77" i="35"/>
  <c r="AI90" i="35"/>
  <c r="S58" i="35"/>
  <c r="Y18" i="35"/>
  <c r="AK89" i="35"/>
  <c r="Q62" i="35"/>
  <c r="AK106" i="35"/>
  <c r="AK35" i="35"/>
  <c r="AB106" i="35"/>
  <c r="Y62" i="35"/>
  <c r="U34" i="35"/>
  <c r="J299" i="35"/>
  <c r="Q283" i="35"/>
  <c r="AN251" i="35"/>
  <c r="AN556" i="31"/>
  <c r="AE243" i="35"/>
  <c r="Y235" i="35"/>
  <c r="AO227" i="35"/>
  <c r="AO532" i="31"/>
  <c r="AG219" i="35"/>
  <c r="X219" i="35"/>
  <c r="AG155" i="35"/>
  <c r="P139" i="35"/>
  <c r="U131" i="35"/>
  <c r="AD107" i="35"/>
  <c r="AD91" i="35"/>
  <c r="X51" i="35"/>
  <c r="AB18" i="35"/>
  <c r="Q282" i="35"/>
  <c r="AA266" i="35"/>
  <c r="AM250" i="35"/>
  <c r="AL242" i="35"/>
  <c r="AB226" i="35"/>
  <c r="AL218" i="35"/>
  <c r="AN178" i="35"/>
  <c r="AN483" i="31"/>
  <c r="R154" i="35"/>
  <c r="O138" i="35"/>
  <c r="AI122" i="35"/>
  <c r="R90" i="35"/>
  <c r="AH74" i="35"/>
  <c r="Y297" i="35"/>
  <c r="AO289" i="35"/>
  <c r="AO594" i="31"/>
  <c r="AM265" i="35"/>
  <c r="K241" i="35"/>
  <c r="AL217" i="35"/>
  <c r="AO209" i="35"/>
  <c r="AO514" i="31"/>
  <c r="AM201" i="35"/>
  <c r="AN185" i="35"/>
  <c r="AN490" i="31"/>
  <c r="T169" i="35"/>
  <c r="N153" i="35"/>
  <c r="AD145" i="35"/>
  <c r="W137" i="35"/>
  <c r="AO121" i="35"/>
  <c r="AO426" i="31"/>
  <c r="AH113" i="35"/>
  <c r="AK118" i="35"/>
  <c r="AN26" i="35"/>
  <c r="AN331" i="31"/>
  <c r="Y222" i="35"/>
  <c r="AO214" i="35"/>
  <c r="AO519" i="31"/>
  <c r="Z206" i="35"/>
  <c r="Y190" i="35"/>
  <c r="AF182" i="35"/>
  <c r="T174" i="35"/>
  <c r="AC158" i="35"/>
  <c r="AF142" i="35"/>
  <c r="AF102" i="35"/>
  <c r="X62" i="35"/>
  <c r="AL36" i="35"/>
  <c r="AE301" i="35"/>
  <c r="AK245" i="35"/>
  <c r="AA197" i="35"/>
  <c r="AI181" i="35"/>
  <c r="AI133" i="35"/>
  <c r="P117" i="35"/>
  <c r="X61" i="35"/>
  <c r="AK60" i="35"/>
  <c r="AM277" i="35"/>
  <c r="AH261" i="35"/>
  <c r="Q237" i="35"/>
  <c r="AI189" i="35"/>
  <c r="AB173" i="35"/>
  <c r="AC141" i="35"/>
  <c r="AJ53" i="35"/>
  <c r="U276" i="35"/>
  <c r="U260" i="35"/>
  <c r="V244" i="35"/>
  <c r="P228" i="35"/>
  <c r="W212" i="35"/>
  <c r="AF204" i="35"/>
  <c r="Q180" i="35"/>
  <c r="AJ164" i="35"/>
  <c r="AJ108" i="35"/>
  <c r="AB60" i="35"/>
  <c r="AN20" i="35"/>
  <c r="AN325" i="31"/>
  <c r="AK40" i="35"/>
  <c r="AA247" i="35"/>
  <c r="O151" i="35"/>
  <c r="AN87" i="35"/>
  <c r="AN392" i="31"/>
  <c r="AA12" i="35"/>
  <c r="Q272" i="35"/>
  <c r="AE232" i="35"/>
  <c r="AA216" i="35"/>
  <c r="AM200" i="35"/>
  <c r="AJ184" i="35"/>
  <c r="AC176" i="35"/>
  <c r="AD168" i="35"/>
  <c r="AM152" i="35"/>
  <c r="AH144" i="35"/>
  <c r="S136" i="35"/>
  <c r="AN128" i="35"/>
  <c r="AN433" i="31"/>
  <c r="AI96" i="35"/>
  <c r="AN271" i="35"/>
  <c r="AN576" i="31"/>
  <c r="P255" i="35"/>
  <c r="AO223" i="35"/>
  <c r="AO528" i="31"/>
  <c r="Q207" i="35"/>
  <c r="W159" i="35"/>
  <c r="AI159" i="35"/>
  <c r="AN111" i="35"/>
  <c r="AN416" i="31"/>
  <c r="AH47" i="35"/>
  <c r="R12" i="35"/>
  <c r="AB102" i="35"/>
  <c r="T58" i="35"/>
  <c r="AL65" i="35"/>
  <c r="AM97" i="35"/>
  <c r="AG86" i="35"/>
  <c r="AO75" i="35"/>
  <c r="AO380" i="31"/>
  <c r="AJ102" i="35"/>
  <c r="O91" i="35"/>
  <c r="AI81" i="35"/>
  <c r="W17" i="35"/>
  <c r="AF299" i="35"/>
  <c r="AH299" i="35"/>
  <c r="AK299" i="35"/>
  <c r="O283" i="35"/>
  <c r="AO283" i="35"/>
  <c r="AO588" i="31"/>
  <c r="AK283" i="35"/>
  <c r="AE251" i="35"/>
  <c r="AJ251" i="35"/>
  <c r="AM243" i="35"/>
  <c r="U243" i="35"/>
  <c r="S243" i="35"/>
  <c r="V235" i="35"/>
  <c r="AC235" i="35"/>
  <c r="AI235" i="35"/>
  <c r="R227" i="35"/>
  <c r="AK227" i="35"/>
  <c r="AF227" i="35"/>
  <c r="S219" i="35"/>
  <c r="V219" i="35"/>
  <c r="AF179" i="35"/>
  <c r="S179" i="35"/>
  <c r="O171" i="35"/>
  <c r="Q171" i="35"/>
  <c r="L171" i="35"/>
  <c r="AO163" i="35"/>
  <c r="AO468" i="31"/>
  <c r="AJ163" i="35"/>
  <c r="AM155" i="35"/>
  <c r="R155" i="35"/>
  <c r="U155" i="35"/>
  <c r="AN139" i="35"/>
  <c r="AN444" i="31"/>
  <c r="AA139" i="35"/>
  <c r="AF131" i="35"/>
  <c r="N131" i="35"/>
  <c r="AO131" i="35"/>
  <c r="AO436" i="31"/>
  <c r="AN123" i="35"/>
  <c r="AN428" i="31"/>
  <c r="AL123" i="35"/>
  <c r="AJ115" i="35"/>
  <c r="AM115" i="35"/>
  <c r="T107" i="35"/>
  <c r="T91" i="35"/>
  <c r="AJ75" i="35"/>
  <c r="AF67" i="35"/>
  <c r="AD67" i="35"/>
  <c r="U59" i="35"/>
  <c r="P186" i="35"/>
  <c r="M90" i="35"/>
  <c r="AK62" i="35"/>
  <c r="AJ34" i="35"/>
  <c r="AH27" i="35"/>
  <c r="AL17" i="35"/>
  <c r="T282" i="35"/>
  <c r="S282" i="35"/>
  <c r="W282" i="35"/>
  <c r="R274" i="35"/>
  <c r="AI274" i="35"/>
  <c r="AM274" i="35"/>
  <c r="R250" i="35"/>
  <c r="V250" i="35"/>
  <c r="X242" i="35"/>
  <c r="Q242" i="35"/>
  <c r="AB242" i="35"/>
  <c r="AA234" i="35"/>
  <c r="M234" i="35"/>
  <c r="AM234" i="35"/>
  <c r="K226" i="35"/>
  <c r="O226" i="35"/>
  <c r="AG226" i="35"/>
  <c r="AI218" i="35"/>
  <c r="AE218" i="35"/>
  <c r="J218" i="35"/>
  <c r="AK194" i="35"/>
  <c r="Y186" i="35"/>
  <c r="AA186" i="35"/>
  <c r="AD186" i="35"/>
  <c r="P178" i="35"/>
  <c r="T178" i="35"/>
  <c r="W178" i="35"/>
  <c r="AO170" i="35"/>
  <c r="AO475" i="31"/>
  <c r="AJ170" i="35"/>
  <c r="AM170" i="35"/>
  <c r="Q154" i="35"/>
  <c r="K154" i="35"/>
  <c r="N154" i="35"/>
  <c r="AO138" i="35"/>
  <c r="AO443" i="31"/>
  <c r="AJ138" i="35"/>
  <c r="AM138" i="35"/>
  <c r="AE130" i="35"/>
  <c r="AA106" i="35"/>
  <c r="X106" i="35"/>
  <c r="N90" i="35"/>
  <c r="AN90" i="35"/>
  <c r="AN395" i="31"/>
  <c r="AM82" i="35"/>
  <c r="O58" i="35"/>
  <c r="AH50" i="35"/>
  <c r="AF50" i="35"/>
  <c r="AE107" i="35"/>
  <c r="Z51" i="35"/>
  <c r="AI42" i="35"/>
  <c r="AO35" i="35"/>
  <c r="AO340" i="31"/>
  <c r="Y19" i="35"/>
  <c r="L297" i="35"/>
  <c r="AE297" i="35"/>
  <c r="J297" i="35"/>
  <c r="O289" i="35"/>
  <c r="Z289" i="35"/>
  <c r="S265" i="35"/>
  <c r="X265" i="35"/>
  <c r="L241" i="35"/>
  <c r="AO241" i="35"/>
  <c r="AO546" i="31"/>
  <c r="AM241" i="35"/>
  <c r="AE217" i="35"/>
  <c r="AC209" i="35"/>
  <c r="Z209" i="35"/>
  <c r="R201" i="35"/>
  <c r="Y201" i="35"/>
  <c r="K201" i="35"/>
  <c r="AL185" i="35"/>
  <c r="Y185" i="35"/>
  <c r="T177" i="35"/>
  <c r="W177" i="35"/>
  <c r="AO177" i="35"/>
  <c r="AO482" i="31"/>
  <c r="AN161" i="35"/>
  <c r="AN466" i="31"/>
  <c r="AL153" i="35"/>
  <c r="Y153" i="35"/>
  <c r="T145" i="35"/>
  <c r="W145" i="35"/>
  <c r="AO145" i="35"/>
  <c r="AO450" i="31"/>
  <c r="M137" i="35"/>
  <c r="AN113" i="35"/>
  <c r="AN418" i="31"/>
  <c r="AA113" i="35"/>
  <c r="X89" i="35"/>
  <c r="X57" i="35"/>
  <c r="W107" i="35"/>
  <c r="S91" i="35"/>
  <c r="AK50" i="35"/>
  <c r="AD19" i="35"/>
  <c r="AM278" i="35"/>
  <c r="AK262" i="35"/>
  <c r="AI230" i="35"/>
  <c r="AG230" i="35"/>
  <c r="AA222" i="35"/>
  <c r="AE222" i="35"/>
  <c r="J222" i="35"/>
  <c r="Z214" i="35"/>
  <c r="AC206" i="35"/>
  <c r="AF206" i="35"/>
  <c r="Y198" i="35"/>
  <c r="T198" i="35"/>
  <c r="W198" i="35"/>
  <c r="AO190" i="35"/>
  <c r="AO495" i="31"/>
  <c r="AA190" i="35"/>
  <c r="AD190" i="35"/>
  <c r="AN182" i="35"/>
  <c r="AN487" i="31"/>
  <c r="T182" i="35"/>
  <c r="W182" i="35"/>
  <c r="J174" i="35"/>
  <c r="M174" i="35"/>
  <c r="Z166" i="35"/>
  <c r="AC166" i="35"/>
  <c r="S158" i="35"/>
  <c r="V158" i="35"/>
  <c r="AN150" i="35"/>
  <c r="AN455" i="31"/>
  <c r="T150" i="35"/>
  <c r="W150" i="35"/>
  <c r="R142" i="35"/>
  <c r="U142" i="35"/>
  <c r="V118" i="35"/>
  <c r="I118" i="35"/>
  <c r="AI110" i="35"/>
  <c r="AF110" i="35"/>
  <c r="AD102" i="35"/>
  <c r="AH78" i="35"/>
  <c r="AF78" i="35"/>
  <c r="V62" i="35"/>
  <c r="AL46" i="35"/>
  <c r="AK93" i="35"/>
  <c r="U301" i="35"/>
  <c r="P301" i="35"/>
  <c r="AH301" i="35"/>
  <c r="L245" i="35"/>
  <c r="AD245" i="35"/>
  <c r="AL221" i="35"/>
  <c r="P221" i="35"/>
  <c r="AH221" i="35"/>
  <c r="AD213" i="35"/>
  <c r="AF213" i="35"/>
  <c r="J197" i="35"/>
  <c r="V197" i="35"/>
  <c r="I197" i="35"/>
  <c r="S181" i="35"/>
  <c r="AL181" i="35"/>
  <c r="Y181" i="35"/>
  <c r="AM149" i="35"/>
  <c r="AB133" i="35"/>
  <c r="X133" i="35"/>
  <c r="U117" i="35"/>
  <c r="AN117" i="35"/>
  <c r="AN422" i="31"/>
  <c r="AA117" i="35"/>
  <c r="U101" i="35"/>
  <c r="AO101" i="35"/>
  <c r="AO406" i="31"/>
  <c r="AA93" i="35"/>
  <c r="Y93" i="35"/>
  <c r="AM61" i="35"/>
  <c r="AE79" i="35"/>
  <c r="AK36" i="35"/>
  <c r="N277" i="35"/>
  <c r="X277" i="35"/>
  <c r="K261" i="35"/>
  <c r="M261" i="35"/>
  <c r="AN261" i="35"/>
  <c r="AN566" i="31"/>
  <c r="AB253" i="35"/>
  <c r="AC253" i="35"/>
  <c r="Q253" i="35"/>
  <c r="AO237" i="35"/>
  <c r="AO542" i="31"/>
  <c r="Y237" i="35"/>
  <c r="AM237" i="35"/>
  <c r="AF205" i="35"/>
  <c r="AG205" i="35"/>
  <c r="AB205" i="35"/>
  <c r="AB189" i="35"/>
  <c r="AE189" i="35"/>
  <c r="AA173" i="35"/>
  <c r="U173" i="35"/>
  <c r="P173" i="35"/>
  <c r="Z141" i="35"/>
  <c r="AG85" i="35"/>
  <c r="Q77" i="35"/>
  <c r="AB199" i="35"/>
  <c r="AF92" i="35"/>
  <c r="AO284" i="35"/>
  <c r="AO589" i="31"/>
  <c r="X276" i="35"/>
  <c r="R276" i="35"/>
  <c r="X260" i="35"/>
  <c r="AE260" i="35"/>
  <c r="S260" i="35"/>
  <c r="AA244" i="35"/>
  <c r="AM244" i="35"/>
  <c r="R244" i="35"/>
  <c r="AH236" i="35"/>
  <c r="Y228" i="35"/>
  <c r="T228" i="35"/>
  <c r="R212" i="35"/>
  <c r="U212" i="35"/>
  <c r="AM204" i="35"/>
  <c r="AO204" i="35"/>
  <c r="AO509" i="31"/>
  <c r="AK204" i="35"/>
  <c r="U196" i="35"/>
  <c r="AF196" i="35"/>
  <c r="AD188" i="35"/>
  <c r="Q188" i="35"/>
  <c r="AB180" i="35"/>
  <c r="W180" i="35"/>
  <c r="AO180" i="35"/>
  <c r="AO485" i="31"/>
  <c r="U172" i="35"/>
  <c r="Z172" i="35"/>
  <c r="T164" i="35"/>
  <c r="X164" i="35"/>
  <c r="AL148" i="35"/>
  <c r="Y148" i="35"/>
  <c r="AO132" i="35"/>
  <c r="AO437" i="31"/>
  <c r="AO108" i="35"/>
  <c r="AO413" i="31"/>
  <c r="AM100" i="35"/>
  <c r="AC84" i="35"/>
  <c r="AI84" i="35"/>
  <c r="AO76" i="35"/>
  <c r="AO381" i="31"/>
  <c r="X60" i="35"/>
  <c r="R60" i="35"/>
  <c r="AL52" i="35"/>
  <c r="AJ36" i="35"/>
  <c r="Y36" i="35"/>
  <c r="AJ20" i="35"/>
  <c r="Y20" i="35"/>
  <c r="P12" i="35"/>
  <c r="AC77" i="35"/>
  <c r="AO87" i="35"/>
  <c r="AO392" i="31"/>
  <c r="AI103" i="35"/>
  <c r="M12" i="35"/>
  <c r="AN287" i="35"/>
  <c r="AN592" i="31"/>
  <c r="R287" i="35"/>
  <c r="V287" i="35"/>
  <c r="AF263" i="35"/>
  <c r="AO263" i="35"/>
  <c r="AO568" i="31"/>
  <c r="AK263" i="35"/>
  <c r="AM247" i="35"/>
  <c r="Y247" i="35"/>
  <c r="T247" i="35"/>
  <c r="AN231" i="35"/>
  <c r="AN536" i="31"/>
  <c r="AA215" i="35"/>
  <c r="AD215" i="35"/>
  <c r="AL199" i="35"/>
  <c r="AK199" i="35"/>
  <c r="X151" i="35"/>
  <c r="K151" i="35"/>
  <c r="AJ103" i="35"/>
  <c r="AH87" i="35"/>
  <c r="AB87" i="35"/>
  <c r="AA55" i="35"/>
  <c r="AH39" i="35"/>
  <c r="W117" i="35"/>
  <c r="X88" i="35"/>
  <c r="AA20" i="35"/>
  <c r="AN288" i="35"/>
  <c r="AN593" i="31"/>
  <c r="M272" i="35"/>
  <c r="AO272" i="35"/>
  <c r="AO577" i="31"/>
  <c r="AB248" i="35"/>
  <c r="AL248" i="35"/>
  <c r="Y248" i="35"/>
  <c r="AA232" i="35"/>
  <c r="AD232" i="35"/>
  <c r="AL224" i="35"/>
  <c r="Y216" i="35"/>
  <c r="T216" i="35"/>
  <c r="AM208" i="35"/>
  <c r="J208" i="35"/>
  <c r="M208" i="35"/>
  <c r="Z200" i="35"/>
  <c r="AH200" i="35"/>
  <c r="AC200" i="35"/>
  <c r="AN184" i="35"/>
  <c r="AN489" i="31"/>
  <c r="AD176" i="35"/>
  <c r="Q176" i="35"/>
  <c r="W168" i="35"/>
  <c r="AO168" i="35"/>
  <c r="AO473" i="31"/>
  <c r="AM160" i="35"/>
  <c r="L152" i="35"/>
  <c r="X152" i="35"/>
  <c r="K152" i="35"/>
  <c r="AN144" i="35"/>
  <c r="AN449" i="31"/>
  <c r="AA144" i="35"/>
  <c r="AD136" i="35"/>
  <c r="Q136" i="35"/>
  <c r="Q128" i="35"/>
  <c r="AH128" i="35"/>
  <c r="AK128" i="35"/>
  <c r="AM120" i="35"/>
  <c r="AM104" i="35"/>
  <c r="AD96" i="35"/>
  <c r="AB96" i="35"/>
  <c r="V88" i="35"/>
  <c r="T88" i="35"/>
  <c r="AK72" i="35"/>
  <c r="AI72" i="35"/>
  <c r="AG56" i="35"/>
  <c r="S56" i="35"/>
  <c r="AG24" i="35"/>
  <c r="M61" i="35"/>
  <c r="AG295" i="35"/>
  <c r="AB295" i="35"/>
  <c r="AE295" i="35"/>
  <c r="Z271" i="35"/>
  <c r="AB271" i="35"/>
  <c r="X255" i="35"/>
  <c r="Q255" i="35"/>
  <c r="M255" i="35"/>
  <c r="P239" i="35"/>
  <c r="AC239" i="35"/>
  <c r="AA239" i="35"/>
  <c r="R223" i="35"/>
  <c r="U223" i="35"/>
  <c r="P223" i="35"/>
  <c r="Z207" i="35"/>
  <c r="AK207" i="35"/>
  <c r="AF207" i="35"/>
  <c r="O159" i="35"/>
  <c r="AG159" i="35"/>
  <c r="AB159" i="35"/>
  <c r="AD143" i="35"/>
  <c r="AK79" i="35"/>
  <c r="AB58" i="35"/>
  <c r="AI46" i="35"/>
  <c r="AG71" i="35"/>
  <c r="S54" i="35"/>
  <c r="AM18" i="35"/>
  <c r="AM51" i="35"/>
  <c r="AI62" i="35"/>
  <c r="AA131" i="35"/>
  <c r="AK27" i="35"/>
  <c r="AH12" i="35"/>
  <c r="AK85" i="35"/>
  <c r="AF37" i="35"/>
  <c r="AE27" i="35"/>
  <c r="AB98" i="35"/>
  <c r="AD34" i="35"/>
  <c r="AK34" i="35"/>
  <c r="AH91" i="35"/>
  <c r="AG67" i="35"/>
  <c r="AM81" i="35"/>
  <c r="AC19" i="35"/>
  <c r="K131" i="35"/>
  <c r="W18" i="35"/>
  <c r="U110" i="35"/>
  <c r="AH36" i="35"/>
  <c r="AL12" i="35"/>
  <c r="AH224" i="35"/>
  <c r="H255" i="35"/>
  <c r="P36" i="35"/>
  <c r="P224" i="35"/>
  <c r="AF66" i="35"/>
  <c r="AL66" i="35"/>
  <c r="AG66" i="35"/>
  <c r="W66" i="35"/>
  <c r="Z66" i="35"/>
  <c r="AE66" i="35"/>
  <c r="S66" i="35"/>
  <c r="AH66" i="35"/>
  <c r="T66" i="35"/>
  <c r="AK66" i="35"/>
  <c r="U66" i="35"/>
  <c r="AC66" i="35"/>
  <c r="V66" i="35"/>
  <c r="Y66" i="35"/>
  <c r="AA66" i="35"/>
  <c r="AD66" i="35"/>
  <c r="X66" i="35"/>
  <c r="X254" i="35"/>
  <c r="AB254" i="35"/>
  <c r="AH254" i="35"/>
  <c r="T254" i="35"/>
  <c r="AI254" i="35"/>
  <c r="AL254" i="35"/>
  <c r="AF254" i="35"/>
  <c r="AA254" i="35"/>
  <c r="AJ254" i="35"/>
  <c r="Y254" i="35"/>
  <c r="M254" i="35"/>
  <c r="O254" i="35"/>
  <c r="AD254" i="35"/>
  <c r="J254" i="35"/>
  <c r="Z254" i="35"/>
  <c r="U254" i="35"/>
  <c r="W254" i="35"/>
  <c r="L254" i="35"/>
  <c r="I254" i="35"/>
  <c r="AC254" i="35"/>
  <c r="AE254" i="35"/>
  <c r="AG254" i="35"/>
  <c r="K254" i="35"/>
  <c r="N254" i="35"/>
  <c r="Q254" i="35"/>
  <c r="AK254" i="35"/>
  <c r="R254" i="35"/>
  <c r="S254" i="35"/>
  <c r="V254" i="35"/>
  <c r="P254" i="35"/>
  <c r="AK290" i="35"/>
  <c r="AJ146" i="35"/>
  <c r="AI21" i="35"/>
  <c r="AJ229" i="35"/>
  <c r="Z146" i="35"/>
  <c r="AB146" i="35"/>
  <c r="AD146" i="35"/>
  <c r="AF146" i="35"/>
  <c r="Z49" i="35"/>
  <c r="AJ270" i="35"/>
  <c r="AD49" i="35"/>
  <c r="AH49" i="35"/>
  <c r="AK246" i="35"/>
  <c r="AD280" i="35"/>
  <c r="AG280" i="35"/>
  <c r="AA280" i="35"/>
  <c r="AC49" i="35"/>
  <c r="AF21" i="35"/>
  <c r="AH146" i="35"/>
  <c r="AJ21" i="35"/>
  <c r="X146" i="35"/>
  <c r="AA146" i="35"/>
  <c r="AC146" i="35"/>
  <c r="AE146" i="35"/>
  <c r="AB49" i="35"/>
  <c r="AK270" i="35"/>
  <c r="AK229" i="35"/>
  <c r="AE21" i="35"/>
  <c r="M280" i="35"/>
  <c r="O280" i="35"/>
  <c r="AI280" i="35"/>
  <c r="AK49" i="35"/>
  <c r="AK31" i="35"/>
  <c r="AJ290" i="35"/>
  <c r="Y146" i="35"/>
  <c r="AI146" i="35"/>
  <c r="AK146" i="35"/>
  <c r="AJ49" i="35"/>
  <c r="AK21" i="35"/>
  <c r="AF49" i="35"/>
  <c r="AI49" i="35"/>
  <c r="AE49" i="35"/>
  <c r="AH290" i="35"/>
  <c r="AG290" i="35"/>
  <c r="AG146" i="35"/>
  <c r="AG49" i="35"/>
  <c r="N280" i="35"/>
  <c r="AE280" i="35"/>
  <c r="R280" i="35"/>
  <c r="T280" i="35"/>
  <c r="AG21" i="35"/>
  <c r="AJ246" i="35"/>
  <c r="AJ31" i="35"/>
  <c r="AK280" i="35"/>
  <c r="Z280" i="35"/>
  <c r="AB280" i="35"/>
  <c r="H19" i="35"/>
  <c r="H297" i="35"/>
  <c r="H282" i="35"/>
  <c r="H138" i="35"/>
  <c r="AK64" i="35"/>
  <c r="AK61" i="35"/>
  <c r="H241" i="35"/>
  <c r="H20" i="35"/>
  <c r="H276" i="35"/>
  <c r="H289" i="35"/>
  <c r="H218" i="35"/>
  <c r="AJ26" i="35"/>
  <c r="H131" i="35"/>
  <c r="AJ166" i="35"/>
  <c r="H299" i="35"/>
  <c r="AJ149" i="35"/>
  <c r="AE141" i="35"/>
  <c r="AL133" i="35"/>
  <c r="AJ253" i="35"/>
  <c r="AD253" i="35"/>
  <c r="AL189" i="35"/>
  <c r="AJ173" i="35"/>
  <c r="AI157" i="35"/>
  <c r="AK125" i="35"/>
  <c r="AL117" i="35"/>
  <c r="AL85" i="35"/>
  <c r="AJ301" i="35"/>
  <c r="AJ125" i="35"/>
  <c r="AJ189" i="35"/>
  <c r="AE149" i="35"/>
  <c r="AD93" i="35"/>
  <c r="G109" i="31"/>
  <c r="BJ304" i="15"/>
  <c r="BJ303" i="15"/>
  <c r="BJ302" i="15"/>
  <c r="BJ301" i="15"/>
  <c r="BJ300" i="15"/>
  <c r="BJ299" i="15"/>
  <c r="BJ298" i="15"/>
  <c r="BJ297" i="15"/>
  <c r="BJ296" i="15"/>
  <c r="BJ295" i="15"/>
  <c r="BJ294" i="15"/>
  <c r="BJ293" i="15"/>
  <c r="BJ292" i="15"/>
  <c r="BJ291" i="15"/>
  <c r="BJ290" i="15"/>
  <c r="BJ289" i="15"/>
  <c r="BJ288" i="15"/>
  <c r="BJ287" i="15"/>
  <c r="BJ286" i="15"/>
  <c r="BJ285" i="15"/>
  <c r="BJ284" i="15"/>
  <c r="BJ283" i="15"/>
  <c r="BJ282" i="15"/>
  <c r="BJ281" i="15"/>
  <c r="BJ280" i="15"/>
  <c r="BJ279" i="15"/>
  <c r="BJ278" i="15"/>
  <c r="BJ277" i="15"/>
  <c r="BJ276" i="15"/>
  <c r="BJ275" i="15"/>
  <c r="BJ274" i="15"/>
  <c r="BJ273" i="15"/>
  <c r="BJ272" i="15"/>
  <c r="BJ271" i="15"/>
  <c r="BJ270" i="15"/>
  <c r="BJ269" i="15"/>
  <c r="BJ268" i="15"/>
  <c r="BJ267" i="15"/>
  <c r="BJ266" i="15"/>
  <c r="BJ265" i="15"/>
  <c r="BJ264" i="15"/>
  <c r="BJ263" i="15"/>
  <c r="BJ262" i="15"/>
  <c r="BJ261" i="15"/>
  <c r="BJ260" i="15"/>
  <c r="BJ259" i="15"/>
  <c r="BJ258" i="15"/>
  <c r="BJ257" i="15"/>
  <c r="BJ256" i="15"/>
  <c r="BJ255" i="15"/>
  <c r="BJ254" i="15"/>
  <c r="BJ253" i="15"/>
  <c r="BJ252" i="15"/>
  <c r="BJ251" i="15"/>
  <c r="BJ250" i="15"/>
  <c r="BJ249" i="15"/>
  <c r="BJ248" i="15"/>
  <c r="BJ247" i="15"/>
  <c r="BJ246" i="15"/>
  <c r="BJ245" i="15"/>
  <c r="BJ244" i="15"/>
  <c r="BJ243" i="15"/>
  <c r="BJ242" i="15"/>
  <c r="BJ241" i="15"/>
  <c r="BJ240" i="15"/>
  <c r="BJ239" i="15"/>
  <c r="BJ238" i="15"/>
  <c r="BJ237" i="15"/>
  <c r="BJ235" i="15"/>
  <c r="BJ234" i="15"/>
  <c r="BJ233" i="15"/>
  <c r="BJ232" i="15"/>
  <c r="BJ231" i="15"/>
  <c r="BJ230" i="15"/>
  <c r="BJ229" i="15"/>
  <c r="BJ228" i="15"/>
  <c r="BJ227" i="15"/>
  <c r="BJ226" i="15"/>
  <c r="BJ225" i="15"/>
  <c r="BJ224" i="15"/>
  <c r="BJ223" i="15"/>
  <c r="BJ222" i="15"/>
  <c r="BJ221" i="15"/>
  <c r="BJ220" i="15"/>
  <c r="BJ219" i="15"/>
  <c r="BJ218" i="15"/>
  <c r="BJ217" i="15"/>
  <c r="BJ216" i="15"/>
  <c r="BJ215" i="15"/>
  <c r="BJ214" i="15"/>
  <c r="BJ213" i="15"/>
  <c r="BJ212" i="15"/>
  <c r="BJ211" i="15"/>
  <c r="BJ210" i="15"/>
  <c r="BJ209" i="15"/>
  <c r="BJ208" i="15"/>
  <c r="BJ207" i="15"/>
  <c r="BJ206" i="15"/>
  <c r="BJ205" i="15"/>
  <c r="BJ204" i="15"/>
  <c r="BJ203" i="15"/>
  <c r="BJ202" i="15"/>
  <c r="BJ201" i="15"/>
  <c r="BJ200" i="15"/>
  <c r="BJ199" i="15"/>
  <c r="BJ198" i="15"/>
  <c r="BJ197" i="15"/>
  <c r="BJ196" i="15"/>
  <c r="BJ195" i="15"/>
  <c r="BJ194" i="15"/>
  <c r="BJ193" i="15"/>
  <c r="BJ192" i="15"/>
  <c r="BJ191" i="15"/>
  <c r="BJ190" i="15"/>
  <c r="BJ189" i="15"/>
  <c r="BJ188" i="15"/>
  <c r="BJ187" i="15"/>
  <c r="BJ186" i="15"/>
  <c r="BJ185" i="15"/>
  <c r="BJ184" i="15"/>
  <c r="BJ183" i="15"/>
  <c r="BJ182" i="15"/>
  <c r="BJ181" i="15"/>
  <c r="BJ180" i="15"/>
  <c r="BJ179" i="15"/>
  <c r="BJ178" i="15"/>
  <c r="BJ177" i="15"/>
  <c r="BJ176" i="15"/>
  <c r="BJ175" i="15"/>
  <c r="BJ174" i="15"/>
  <c r="BJ173" i="15"/>
  <c r="BJ172" i="15"/>
  <c r="BJ171" i="15"/>
  <c r="BJ170" i="15"/>
  <c r="BJ169" i="15"/>
  <c r="BJ168" i="15"/>
  <c r="BJ167" i="15"/>
  <c r="BJ166" i="15"/>
  <c r="BJ165" i="15"/>
  <c r="BJ164" i="15"/>
  <c r="BJ163" i="15"/>
  <c r="BJ162" i="15"/>
  <c r="BJ161" i="15"/>
  <c r="BJ160" i="15"/>
  <c r="BJ159" i="15"/>
  <c r="BJ158" i="15"/>
  <c r="BJ157" i="15"/>
  <c r="BJ156" i="15"/>
  <c r="BJ155" i="15"/>
  <c r="BJ154" i="15"/>
  <c r="BJ153" i="15"/>
  <c r="BJ152" i="15"/>
  <c r="BJ151" i="15"/>
  <c r="BJ150" i="15"/>
  <c r="BJ149" i="15"/>
  <c r="BJ148" i="15"/>
  <c r="BJ147" i="15"/>
  <c r="BJ146" i="15"/>
  <c r="BJ143" i="15"/>
  <c r="BJ142" i="15"/>
  <c r="BJ141" i="15"/>
  <c r="BJ140" i="15"/>
  <c r="BJ139" i="15"/>
  <c r="BJ138" i="15"/>
  <c r="BJ137" i="15"/>
  <c r="BJ136" i="15"/>
  <c r="BJ135" i="15"/>
  <c r="BJ134" i="15"/>
  <c r="BJ133" i="15"/>
  <c r="BJ132" i="15"/>
  <c r="BJ131" i="15"/>
  <c r="BJ130" i="15"/>
  <c r="BJ129" i="15"/>
  <c r="BJ128" i="15"/>
  <c r="BJ126" i="15"/>
  <c r="BJ125" i="15"/>
  <c r="BJ124" i="15"/>
  <c r="BJ123" i="15"/>
  <c r="BJ122" i="15"/>
  <c r="BJ121" i="15"/>
  <c r="BJ120" i="15"/>
  <c r="BJ119" i="15"/>
  <c r="BJ118" i="15"/>
  <c r="BJ117" i="15"/>
  <c r="BJ116" i="15"/>
  <c r="BJ115" i="15"/>
  <c r="BJ114" i="15"/>
  <c r="BJ113" i="15"/>
  <c r="BJ112" i="15"/>
  <c r="BJ111" i="15"/>
  <c r="BJ110" i="15"/>
  <c r="BJ109" i="15"/>
  <c r="BJ108" i="15"/>
  <c r="BJ107" i="15"/>
  <c r="BJ106" i="15"/>
  <c r="BJ105" i="15"/>
  <c r="BJ104" i="15"/>
  <c r="BJ102" i="15"/>
  <c r="BJ101" i="15"/>
  <c r="BJ100" i="15"/>
  <c r="BJ99" i="15"/>
  <c r="BJ98" i="15"/>
  <c r="BJ97" i="15"/>
  <c r="BJ96" i="15"/>
  <c r="BJ95" i="15"/>
  <c r="BJ94" i="15"/>
  <c r="BJ93" i="15"/>
  <c r="BJ92" i="15"/>
  <c r="BJ91" i="15"/>
  <c r="BJ90" i="15"/>
  <c r="BJ89" i="15"/>
  <c r="BJ88" i="15"/>
  <c r="BJ87" i="15"/>
  <c r="BJ86" i="15"/>
  <c r="BJ85" i="15"/>
  <c r="BJ84" i="15"/>
  <c r="BJ83" i="15"/>
  <c r="BJ82" i="15"/>
  <c r="BJ81" i="15"/>
  <c r="BJ80" i="15"/>
  <c r="BJ79" i="15"/>
  <c r="BJ78" i="15"/>
  <c r="BJ77" i="15"/>
  <c r="BJ76" i="15"/>
  <c r="BJ75" i="15"/>
  <c r="BJ74" i="15"/>
  <c r="BJ73" i="15"/>
  <c r="BJ72" i="15"/>
  <c r="BJ71" i="15"/>
  <c r="BJ70" i="15"/>
  <c r="BJ69" i="15"/>
  <c r="BJ68" i="15"/>
  <c r="BJ67" i="15"/>
  <c r="BJ65" i="15"/>
  <c r="BJ64" i="15"/>
  <c r="BJ63" i="15"/>
  <c r="BJ62" i="15"/>
  <c r="BJ61" i="15"/>
  <c r="BJ60" i="15"/>
  <c r="BJ59" i="15"/>
  <c r="BJ58" i="15"/>
  <c r="BJ57" i="15"/>
  <c r="BJ56" i="15"/>
  <c r="BJ55" i="15"/>
  <c r="BJ54" i="15"/>
  <c r="BJ53" i="15"/>
  <c r="BJ52" i="15"/>
  <c r="BJ51" i="15"/>
  <c r="BJ50" i="15"/>
  <c r="BJ49" i="15"/>
  <c r="BJ48" i="15"/>
  <c r="BJ46" i="15"/>
  <c r="BJ45" i="15"/>
  <c r="BJ44" i="15"/>
  <c r="BJ43" i="15"/>
  <c r="BJ42" i="15"/>
  <c r="BJ41" i="15"/>
  <c r="BJ40" i="15"/>
  <c r="BJ39" i="15"/>
  <c r="BJ38" i="15"/>
  <c r="BJ37" i="15"/>
  <c r="BJ36" i="15"/>
  <c r="BJ35" i="15"/>
  <c r="BJ34" i="15"/>
  <c r="BJ33" i="15"/>
  <c r="BJ32" i="15"/>
  <c r="BJ31" i="15"/>
  <c r="BJ30" i="15"/>
  <c r="BJ29" i="15"/>
  <c r="BJ28" i="15"/>
  <c r="BJ27" i="15"/>
  <c r="BJ26" i="15"/>
  <c r="BJ25" i="15"/>
  <c r="BJ24" i="15"/>
  <c r="BJ23" i="15"/>
  <c r="BJ22" i="15"/>
  <c r="BJ21" i="15"/>
  <c r="BJ20" i="15"/>
  <c r="BJ18" i="15"/>
  <c r="BJ17" i="15"/>
  <c r="BJ16" i="15"/>
  <c r="BJ15" i="15"/>
  <c r="BJ14" i="15"/>
  <c r="BJ13" i="15"/>
  <c r="BJ12" i="15"/>
  <c r="BJ11" i="15"/>
  <c r="BJ10" i="15"/>
  <c r="BJ9" i="15"/>
  <c r="BJ8" i="15"/>
  <c r="BL304" i="15"/>
  <c r="BK304" i="15"/>
  <c r="BL303" i="15"/>
  <c r="BK303" i="15"/>
  <c r="BL302" i="15"/>
  <c r="BK302" i="15"/>
  <c r="BL301" i="15"/>
  <c r="BK301" i="15"/>
  <c r="BL300" i="15"/>
  <c r="BK300" i="15"/>
  <c r="BL299" i="15"/>
  <c r="BK299" i="15"/>
  <c r="BL298" i="15"/>
  <c r="BK298" i="15"/>
  <c r="BL296" i="15"/>
  <c r="BK296" i="15"/>
  <c r="BL295" i="15"/>
  <c r="BK295" i="15"/>
  <c r="BL294" i="15"/>
  <c r="BK294" i="15"/>
  <c r="BL293" i="15"/>
  <c r="BK293" i="15"/>
  <c r="BL292" i="15"/>
  <c r="BK292" i="15"/>
  <c r="BL291" i="15"/>
  <c r="BK291" i="15"/>
  <c r="BL289" i="15"/>
  <c r="BK289" i="15"/>
  <c r="BL287" i="15"/>
  <c r="BK287" i="15"/>
  <c r="BL284" i="15"/>
  <c r="BK284" i="15"/>
  <c r="BL283" i="15"/>
  <c r="BK283" i="15"/>
  <c r="BL279" i="15"/>
  <c r="BK279" i="15"/>
  <c r="BL278" i="15"/>
  <c r="BK278" i="15"/>
  <c r="BL277" i="15"/>
  <c r="BK277" i="15"/>
  <c r="BL274" i="15"/>
  <c r="BK274" i="15"/>
  <c r="BL273" i="15"/>
  <c r="BK273" i="15"/>
  <c r="BL271" i="15"/>
  <c r="BK271" i="15"/>
  <c r="BL269" i="15"/>
  <c r="BK269" i="15"/>
  <c r="BL268" i="15"/>
  <c r="BK268" i="15"/>
  <c r="BL267" i="15"/>
  <c r="BK267" i="15"/>
  <c r="BL266" i="15"/>
  <c r="BK266" i="15"/>
  <c r="BL265" i="15"/>
  <c r="BK265" i="15"/>
  <c r="BL264" i="15"/>
  <c r="BK264" i="15"/>
  <c r="BL263" i="15"/>
  <c r="BK263" i="15"/>
  <c r="BL262" i="15"/>
  <c r="BK262" i="15"/>
  <c r="BL261" i="15"/>
  <c r="BK261" i="15"/>
  <c r="BL260" i="15"/>
  <c r="BK260" i="15"/>
  <c r="BL259" i="15"/>
  <c r="BK259" i="15"/>
  <c r="BL257" i="15"/>
  <c r="BK257" i="15"/>
  <c r="BL256" i="15"/>
  <c r="BK256" i="15"/>
  <c r="BL255" i="15"/>
  <c r="BK255" i="15"/>
  <c r="BL253" i="15"/>
  <c r="BK253" i="15"/>
  <c r="BL252" i="15"/>
  <c r="BK252" i="15"/>
  <c r="BL250" i="15"/>
  <c r="BK250" i="15"/>
  <c r="BL249" i="15"/>
  <c r="BK249" i="15"/>
  <c r="BL247" i="15"/>
  <c r="BK247" i="15"/>
  <c r="BL246" i="15"/>
  <c r="BK246" i="15"/>
  <c r="BL244" i="15"/>
  <c r="BK244" i="15"/>
  <c r="BL243" i="15"/>
  <c r="BK243" i="15"/>
  <c r="BL238" i="15"/>
  <c r="BK238" i="15"/>
  <c r="BL234" i="15"/>
  <c r="BK234" i="15"/>
  <c r="BL230" i="15"/>
  <c r="BK230" i="15"/>
  <c r="BL229" i="15"/>
  <c r="BK229" i="15"/>
  <c r="BL228" i="15"/>
  <c r="BK228" i="15"/>
  <c r="BL227" i="15"/>
  <c r="BK227" i="15"/>
  <c r="BL226" i="15"/>
  <c r="BK226" i="15"/>
  <c r="BL225" i="15"/>
  <c r="BK225" i="15"/>
  <c r="BL221" i="15"/>
  <c r="BK221" i="15"/>
  <c r="BL220" i="15"/>
  <c r="BK220" i="15"/>
  <c r="BL219" i="15"/>
  <c r="BK219" i="15"/>
  <c r="BL218" i="15"/>
  <c r="BK218" i="15"/>
  <c r="BL217" i="15"/>
  <c r="BK217" i="15"/>
  <c r="BL215" i="15"/>
  <c r="BK215" i="15"/>
  <c r="BL213" i="15"/>
  <c r="BK213" i="15"/>
  <c r="BL211" i="15"/>
  <c r="BK211" i="15"/>
  <c r="BL209" i="15"/>
  <c r="BK209" i="15"/>
  <c r="BL208" i="15"/>
  <c r="BK208" i="15"/>
  <c r="BL207" i="15"/>
  <c r="BK207" i="15"/>
  <c r="BL204" i="15"/>
  <c r="BK204" i="15"/>
  <c r="BL202" i="15"/>
  <c r="BK202" i="15"/>
  <c r="BL201" i="15"/>
  <c r="BK201" i="15"/>
  <c r="BL200" i="15"/>
  <c r="BK200" i="15"/>
  <c r="BL197" i="15"/>
  <c r="BK197" i="15"/>
  <c r="BL196" i="15"/>
  <c r="BK196" i="15"/>
  <c r="BL195" i="15"/>
  <c r="BK195" i="15"/>
  <c r="BL194" i="15"/>
  <c r="BK194" i="15"/>
  <c r="BL193" i="15"/>
  <c r="BK193" i="15"/>
  <c r="BL192" i="15"/>
  <c r="BK192" i="15"/>
  <c r="BL191" i="15"/>
  <c r="BK191" i="15"/>
  <c r="BL190" i="15"/>
  <c r="BK190" i="15"/>
  <c r="BL188" i="15"/>
  <c r="BK188" i="15"/>
  <c r="BL185" i="15"/>
  <c r="BK185" i="15"/>
  <c r="BL184" i="15"/>
  <c r="BK184" i="15"/>
  <c r="BL183" i="15"/>
  <c r="BK183" i="15"/>
  <c r="BL182" i="15"/>
  <c r="BK182" i="15"/>
  <c r="BL181" i="15"/>
  <c r="BK181" i="15"/>
  <c r="BL179" i="15"/>
  <c r="BK179" i="15"/>
  <c r="BL178" i="15"/>
  <c r="BK178" i="15"/>
  <c r="BL177" i="15"/>
  <c r="BK177" i="15"/>
  <c r="BL176" i="15"/>
  <c r="BK176" i="15"/>
  <c r="BL174" i="15"/>
  <c r="BK174" i="15"/>
  <c r="BL173" i="15"/>
  <c r="BK173" i="15"/>
  <c r="BL170" i="15"/>
  <c r="BK170" i="15"/>
  <c r="BL167" i="15"/>
  <c r="BK167" i="15"/>
  <c r="BL165" i="15"/>
  <c r="BK165" i="15"/>
  <c r="BL164" i="15"/>
  <c r="BK164" i="15"/>
  <c r="BL163" i="15"/>
  <c r="BK163" i="15"/>
  <c r="BL161" i="15"/>
  <c r="BK161" i="15"/>
  <c r="BL160" i="15"/>
  <c r="BK160" i="15"/>
  <c r="BL158" i="15"/>
  <c r="BK158" i="15"/>
  <c r="BL157" i="15"/>
  <c r="BK157" i="15"/>
  <c r="BL155" i="15"/>
  <c r="BK155" i="15"/>
  <c r="BL153" i="15"/>
  <c r="BK153" i="15"/>
  <c r="BL152" i="15"/>
  <c r="BK152" i="15"/>
  <c r="BL151" i="15"/>
  <c r="BK151" i="15"/>
  <c r="BL148" i="15"/>
  <c r="BK148" i="15"/>
  <c r="BL146" i="15"/>
  <c r="BK146" i="15"/>
  <c r="BL145" i="15"/>
  <c r="BK145" i="15"/>
  <c r="BL141" i="15"/>
  <c r="BK141" i="15"/>
  <c r="BL139" i="15"/>
  <c r="BK139" i="15"/>
  <c r="BL138" i="15"/>
  <c r="BK138" i="15"/>
  <c r="BL135" i="15"/>
  <c r="BK135" i="15"/>
  <c r="BL133" i="15"/>
  <c r="BK133" i="15"/>
  <c r="BL132" i="15"/>
  <c r="BK132" i="15"/>
  <c r="BL131" i="15"/>
  <c r="BK131" i="15"/>
  <c r="BL129" i="15"/>
  <c r="BK129" i="15"/>
  <c r="BL127" i="15"/>
  <c r="BK127" i="15"/>
  <c r="BL126" i="15"/>
  <c r="BK126" i="15"/>
  <c r="BL125" i="15"/>
  <c r="BK125" i="15"/>
  <c r="BL124" i="15"/>
  <c r="BK124" i="15"/>
  <c r="BL123" i="15"/>
  <c r="BK123" i="15"/>
  <c r="BL120" i="15"/>
  <c r="BK120" i="15"/>
  <c r="BL115" i="15"/>
  <c r="BK115" i="15"/>
  <c r="BL113" i="15"/>
  <c r="BK113" i="15"/>
  <c r="BL110" i="15"/>
  <c r="BK110" i="15"/>
  <c r="BL109" i="15"/>
  <c r="BK109" i="15"/>
  <c r="BL108" i="15"/>
  <c r="BK108" i="15"/>
  <c r="BL107" i="15"/>
  <c r="BK107" i="15"/>
  <c r="BL106" i="15"/>
  <c r="BK106" i="15"/>
  <c r="BL105" i="15"/>
  <c r="BK105" i="15"/>
  <c r="BL101" i="15"/>
  <c r="BK101" i="15"/>
  <c r="BL100" i="15"/>
  <c r="BK100" i="15"/>
  <c r="BL99" i="15"/>
  <c r="BK99" i="15"/>
  <c r="BL97" i="15"/>
  <c r="BK97" i="15"/>
  <c r="BL96" i="15"/>
  <c r="BK96" i="15"/>
  <c r="BL95" i="15"/>
  <c r="BK95" i="15"/>
  <c r="BL94" i="15"/>
  <c r="BK94" i="15"/>
  <c r="BL91" i="15"/>
  <c r="BK91" i="15"/>
  <c r="BL90" i="15"/>
  <c r="BK90" i="15"/>
  <c r="BL86" i="15"/>
  <c r="BK86" i="15"/>
  <c r="BL83" i="15"/>
  <c r="BK83" i="15"/>
  <c r="BL81" i="15"/>
  <c r="BK81" i="15"/>
  <c r="BL80" i="15"/>
  <c r="BK80" i="15"/>
  <c r="BL79" i="15"/>
  <c r="BK79" i="15"/>
  <c r="BL78" i="15"/>
  <c r="BK78" i="15"/>
  <c r="BL77" i="15"/>
  <c r="BK77" i="15"/>
  <c r="BL76" i="15"/>
  <c r="BK76" i="15"/>
  <c r="BL75" i="15"/>
  <c r="BK75" i="15"/>
  <c r="BL74" i="15"/>
  <c r="BK74" i="15"/>
  <c r="BL73" i="15"/>
  <c r="BK73" i="15"/>
  <c r="BL71" i="15"/>
  <c r="BK71" i="15"/>
  <c r="BL70" i="15"/>
  <c r="BK70" i="15"/>
  <c r="BL69" i="15"/>
  <c r="BK69" i="15"/>
  <c r="BL68" i="15"/>
  <c r="BK68" i="15"/>
  <c r="BL67" i="15"/>
  <c r="BK67" i="15"/>
  <c r="BL66" i="15"/>
  <c r="BK66" i="15"/>
  <c r="BL64" i="15"/>
  <c r="BK64" i="15"/>
  <c r="BL63" i="15"/>
  <c r="BK63" i="15"/>
  <c r="BL62" i="15"/>
  <c r="BK62" i="15"/>
  <c r="BL61" i="15"/>
  <c r="BK61" i="15"/>
  <c r="BL60" i="15"/>
  <c r="BK60" i="15"/>
  <c r="BL59" i="15"/>
  <c r="BK59" i="15"/>
  <c r="BL58" i="15"/>
  <c r="BK58" i="15"/>
  <c r="BL57" i="15"/>
  <c r="BK57" i="15"/>
  <c r="BL56" i="15"/>
  <c r="BK56" i="15"/>
  <c r="BL54" i="15"/>
  <c r="BK54" i="15"/>
  <c r="BL53" i="15"/>
  <c r="BK53" i="15"/>
  <c r="BL52" i="15"/>
  <c r="BK52" i="15"/>
  <c r="BL51" i="15"/>
  <c r="BK51" i="15"/>
  <c r="BL50" i="15"/>
  <c r="BK50" i="15"/>
  <c r="BL48" i="15"/>
  <c r="BK48" i="15"/>
  <c r="BL47" i="15"/>
  <c r="BK47" i="15"/>
  <c r="BL46" i="15"/>
  <c r="BK46" i="15"/>
  <c r="BL44" i="15"/>
  <c r="BK44" i="15"/>
  <c r="BL43" i="15"/>
  <c r="BK43" i="15"/>
  <c r="BL42" i="15"/>
  <c r="BK42" i="15"/>
  <c r="BL40" i="15"/>
  <c r="BK40" i="15"/>
  <c r="BL39" i="15"/>
  <c r="BK39" i="15"/>
  <c r="BL38" i="15"/>
  <c r="BK38" i="15"/>
  <c r="BL37" i="15"/>
  <c r="BK37" i="15"/>
  <c r="BL36" i="15"/>
  <c r="BK36" i="15"/>
  <c r="BL32" i="15"/>
  <c r="BK32" i="15"/>
  <c r="BL31" i="15"/>
  <c r="BK31" i="15"/>
  <c r="BL30" i="15"/>
  <c r="BK30" i="15"/>
  <c r="BL29" i="15"/>
  <c r="BK29" i="15"/>
  <c r="BL28" i="15"/>
  <c r="BK28" i="15"/>
  <c r="BL27" i="15"/>
  <c r="BK27" i="15"/>
  <c r="BL26" i="15"/>
  <c r="BK26" i="15"/>
  <c r="BL25" i="15"/>
  <c r="BK25" i="15"/>
  <c r="BL23" i="15"/>
  <c r="BK23" i="15"/>
  <c r="BL22" i="15"/>
  <c r="BK22" i="15"/>
  <c r="BL21" i="15"/>
  <c r="BK21" i="15"/>
  <c r="BL20" i="15"/>
  <c r="BK20" i="15"/>
  <c r="BL17" i="15"/>
  <c r="BK17" i="15"/>
  <c r="BL16" i="15"/>
  <c r="BK16" i="15"/>
  <c r="BL15" i="15"/>
  <c r="BK15" i="15"/>
  <c r="BL14" i="15"/>
  <c r="BK14" i="15"/>
  <c r="BL13" i="15"/>
  <c r="BK13" i="15"/>
  <c r="BL12" i="15"/>
  <c r="BK12" i="15"/>
  <c r="BL11" i="15"/>
  <c r="BK11" i="15"/>
  <c r="BL10" i="15"/>
  <c r="BK10" i="15"/>
  <c r="BL9" i="15"/>
  <c r="BK9" i="15"/>
  <c r="BL8" i="15"/>
  <c r="BK8" i="15"/>
  <c r="BL7" i="15"/>
  <c r="BK7" i="15"/>
  <c r="K33" i="36"/>
  <c r="BJ66" i="15"/>
  <c r="G414" i="31" l="1"/>
  <c r="AT109" i="31"/>
  <c r="AP306" i="35"/>
  <c r="AP302" i="35"/>
  <c r="AP300" i="35"/>
  <c r="AP294" i="35"/>
  <c r="AP290" i="35"/>
  <c r="AP274" i="35"/>
  <c r="AP273" i="35"/>
  <c r="AP269" i="35"/>
  <c r="AP266" i="35"/>
  <c r="AP258" i="35"/>
  <c r="AP257" i="35"/>
  <c r="AP256" i="35"/>
  <c r="AP252" i="35"/>
  <c r="AP249" i="35"/>
  <c r="AP248" i="35"/>
  <c r="AP244" i="35"/>
  <c r="AP240" i="35"/>
  <c r="AP238" i="35"/>
  <c r="AP236" i="35"/>
  <c r="AP234" i="35"/>
  <c r="AP232" i="35"/>
  <c r="AP228" i="35"/>
  <c r="AP224" i="35"/>
  <c r="AP220" i="35"/>
  <c r="AP218" i="35"/>
  <c r="AP216" i="35"/>
  <c r="AP214" i="35"/>
  <c r="AP210" i="35"/>
  <c r="AP209" i="35"/>
  <c r="AP208" i="35"/>
  <c r="AP204" i="35"/>
  <c r="AP202" i="35"/>
  <c r="AP194" i="35"/>
  <c r="AP190" i="35"/>
  <c r="AP187" i="35"/>
  <c r="AP183" i="35"/>
  <c r="AP179" i="35"/>
  <c r="AP178" i="35"/>
  <c r="AP174" i="35"/>
  <c r="AP170" i="35"/>
  <c r="AP168" i="35"/>
  <c r="AP164" i="35"/>
  <c r="AP159" i="35"/>
  <c r="AP156" i="35"/>
  <c r="AP148" i="35"/>
  <c r="AP138" i="35"/>
  <c r="AP130" i="35"/>
  <c r="AP121" i="35"/>
  <c r="AP113" i="35"/>
  <c r="AP109" i="35"/>
  <c r="AP99" i="35"/>
  <c r="AP97" i="35"/>
  <c r="AP93" i="35"/>
  <c r="AP88" i="35"/>
  <c r="AP85" i="35"/>
  <c r="AP81" i="35"/>
  <c r="AP79" i="35"/>
  <c r="AP75" i="35"/>
  <c r="AP65" i="35"/>
  <c r="AP63" i="35"/>
  <c r="AP54" i="35"/>
  <c r="AP52" i="35"/>
  <c r="AP48" i="35"/>
  <c r="AP41" i="35"/>
  <c r="AP38" i="35"/>
  <c r="AP36" i="35"/>
  <c r="AP34" i="35"/>
  <c r="AP26" i="35"/>
  <c r="AP25" i="35"/>
  <c r="AP23" i="35"/>
  <c r="AP22" i="35"/>
  <c r="AP15" i="35"/>
  <c r="AP11" i="35"/>
  <c r="AO7" i="35"/>
  <c r="AN7" i="35"/>
  <c r="AM7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I6" i="35" s="1"/>
  <c r="H7" i="35"/>
  <c r="G7" i="35"/>
  <c r="F7" i="35"/>
  <c r="E7" i="35"/>
  <c r="D7" i="35"/>
  <c r="C7" i="35"/>
  <c r="B7" i="35"/>
  <c r="G24" i="31"/>
  <c r="AQ22" i="34"/>
  <c r="H9" i="34"/>
  <c r="G306" i="31"/>
  <c r="G305" i="31"/>
  <c r="G304" i="31"/>
  <c r="G303" i="31"/>
  <c r="G302" i="31"/>
  <c r="G301" i="31"/>
  <c r="G300" i="31"/>
  <c r="G299" i="31"/>
  <c r="G298" i="31"/>
  <c r="G297" i="31"/>
  <c r="G296" i="31"/>
  <c r="G295" i="31"/>
  <c r="G294" i="31"/>
  <c r="G293" i="31"/>
  <c r="G292" i="31"/>
  <c r="G291" i="31"/>
  <c r="G290" i="31"/>
  <c r="G289" i="31"/>
  <c r="G288" i="31"/>
  <c r="G287" i="31"/>
  <c r="G286" i="31"/>
  <c r="G285" i="31"/>
  <c r="G284" i="31"/>
  <c r="G283" i="31"/>
  <c r="G282" i="31"/>
  <c r="G281" i="31"/>
  <c r="G280" i="31"/>
  <c r="G279" i="31"/>
  <c r="G278" i="31"/>
  <c r="G277" i="31"/>
  <c r="G276" i="31"/>
  <c r="G275" i="31"/>
  <c r="G274" i="31"/>
  <c r="G273" i="31"/>
  <c r="G272" i="31"/>
  <c r="G271" i="31"/>
  <c r="G270" i="31"/>
  <c r="G269" i="31"/>
  <c r="G268" i="31"/>
  <c r="G267" i="31"/>
  <c r="G266" i="31"/>
  <c r="G265" i="31"/>
  <c r="G264" i="31"/>
  <c r="G263" i="31"/>
  <c r="G262" i="31"/>
  <c r="G261" i="31"/>
  <c r="G260" i="31"/>
  <c r="G259" i="31"/>
  <c r="G258" i="31"/>
  <c r="G257" i="31"/>
  <c r="G256" i="31"/>
  <c r="G255" i="31"/>
  <c r="G254" i="31"/>
  <c r="G253" i="31"/>
  <c r="G252" i="31"/>
  <c r="G251" i="31"/>
  <c r="G250" i="31"/>
  <c r="G249" i="31"/>
  <c r="G248" i="31"/>
  <c r="G247" i="31"/>
  <c r="G246" i="31"/>
  <c r="G245" i="31"/>
  <c r="G244" i="31"/>
  <c r="G243" i="31"/>
  <c r="G242" i="31"/>
  <c r="G241" i="31"/>
  <c r="G240" i="31"/>
  <c r="G239" i="31"/>
  <c r="G238" i="31"/>
  <c r="G237" i="31"/>
  <c r="G236" i="31"/>
  <c r="G235" i="31"/>
  <c r="G234" i="31"/>
  <c r="G233" i="31"/>
  <c r="G232" i="31"/>
  <c r="G231" i="31"/>
  <c r="G230" i="31"/>
  <c r="G229" i="31"/>
  <c r="G228" i="31"/>
  <c r="G227" i="31"/>
  <c r="G226" i="31"/>
  <c r="G225" i="31"/>
  <c r="G224" i="31"/>
  <c r="G223" i="31"/>
  <c r="G222" i="31"/>
  <c r="G221" i="31"/>
  <c r="G220" i="31"/>
  <c r="G219" i="31"/>
  <c r="G218" i="31"/>
  <c r="G217" i="31"/>
  <c r="G216" i="31"/>
  <c r="G215" i="31"/>
  <c r="G214" i="31"/>
  <c r="G213" i="31"/>
  <c r="G212" i="31"/>
  <c r="G211" i="31"/>
  <c r="G210" i="31"/>
  <c r="G209" i="31"/>
  <c r="G208" i="31"/>
  <c r="G207" i="31"/>
  <c r="G206" i="31"/>
  <c r="G205" i="31"/>
  <c r="G204" i="31"/>
  <c r="G203" i="31"/>
  <c r="G202" i="31"/>
  <c r="G201" i="31"/>
  <c r="G200" i="31"/>
  <c r="G199" i="31"/>
  <c r="G198" i="31"/>
  <c r="G197" i="31"/>
  <c r="G196" i="31"/>
  <c r="G195" i="31"/>
  <c r="G194" i="31"/>
  <c r="G193" i="31"/>
  <c r="AT193" i="31" s="1"/>
  <c r="G192" i="31"/>
  <c r="G191" i="31"/>
  <c r="G190" i="31"/>
  <c r="G189" i="31"/>
  <c r="G188" i="31"/>
  <c r="G187" i="31"/>
  <c r="G186" i="31"/>
  <c r="G185" i="31"/>
  <c r="G184" i="31"/>
  <c r="G183" i="31"/>
  <c r="G182" i="31"/>
  <c r="G181" i="31"/>
  <c r="G180" i="31"/>
  <c r="G179" i="31"/>
  <c r="G178" i="31"/>
  <c r="G177" i="31"/>
  <c r="G176" i="31"/>
  <c r="G175" i="31"/>
  <c r="G174" i="31"/>
  <c r="G173" i="31"/>
  <c r="G172" i="31"/>
  <c r="G171" i="31"/>
  <c r="G170" i="31"/>
  <c r="G169" i="31"/>
  <c r="G168" i="31"/>
  <c r="G167" i="31"/>
  <c r="G166" i="31"/>
  <c r="G165" i="31"/>
  <c r="G164" i="31"/>
  <c r="G163" i="31"/>
  <c r="G162" i="31"/>
  <c r="AT162" i="31" s="1"/>
  <c r="G161" i="31"/>
  <c r="G160" i="31"/>
  <c r="G159" i="31"/>
  <c r="G158" i="31"/>
  <c r="G157" i="31"/>
  <c r="G156" i="31"/>
  <c r="G155" i="31"/>
  <c r="G154" i="31"/>
  <c r="G153" i="31"/>
  <c r="G152" i="31"/>
  <c r="G151" i="31"/>
  <c r="G150" i="31"/>
  <c r="G149" i="31"/>
  <c r="G148" i="31"/>
  <c r="G147" i="31"/>
  <c r="G146" i="31"/>
  <c r="G145" i="31"/>
  <c r="G144" i="31"/>
  <c r="G143" i="31"/>
  <c r="G142" i="31"/>
  <c r="G141" i="31"/>
  <c r="G140" i="31"/>
  <c r="G139" i="31"/>
  <c r="G138" i="31"/>
  <c r="G137" i="31"/>
  <c r="G136" i="31"/>
  <c r="G135" i="31"/>
  <c r="G134" i="31"/>
  <c r="G133" i="31"/>
  <c r="G132" i="31"/>
  <c r="G131" i="31"/>
  <c r="G130" i="31"/>
  <c r="G129" i="31"/>
  <c r="G128" i="31"/>
  <c r="G127" i="31"/>
  <c r="AT127" i="31" s="1"/>
  <c r="G126" i="31"/>
  <c r="G125" i="31"/>
  <c r="G124" i="31"/>
  <c r="AT124" i="31" s="1"/>
  <c r="G123" i="31"/>
  <c r="G122" i="31"/>
  <c r="G121" i="31"/>
  <c r="G120" i="31"/>
  <c r="G119" i="31"/>
  <c r="G118" i="31"/>
  <c r="G117" i="31"/>
  <c r="G116" i="31"/>
  <c r="G115" i="31"/>
  <c r="G114" i="31"/>
  <c r="G113" i="31"/>
  <c r="G112" i="31"/>
  <c r="G111" i="31"/>
  <c r="G110" i="31"/>
  <c r="G108" i="31"/>
  <c r="G107" i="31"/>
  <c r="G106" i="31"/>
  <c r="G105" i="31"/>
  <c r="G104" i="31"/>
  <c r="G103" i="31"/>
  <c r="G102" i="31"/>
  <c r="G101" i="31"/>
  <c r="G100" i="31"/>
  <c r="G99" i="31"/>
  <c r="G98" i="31"/>
  <c r="G97" i="31"/>
  <c r="G96" i="31"/>
  <c r="G95" i="31"/>
  <c r="G94" i="31"/>
  <c r="G93" i="31"/>
  <c r="G92" i="31"/>
  <c r="G91" i="31"/>
  <c r="G90" i="31"/>
  <c r="G89" i="31"/>
  <c r="G88" i="31"/>
  <c r="G87" i="31"/>
  <c r="G86" i="31"/>
  <c r="G85" i="31"/>
  <c r="G84" i="31"/>
  <c r="G83" i="31"/>
  <c r="G82" i="31"/>
  <c r="G81" i="31"/>
  <c r="G80" i="31"/>
  <c r="G79" i="31"/>
  <c r="G78" i="31"/>
  <c r="G77" i="31"/>
  <c r="G76" i="31"/>
  <c r="G75" i="31"/>
  <c r="G74" i="31"/>
  <c r="G73" i="31"/>
  <c r="G72" i="31"/>
  <c r="G71" i="31"/>
  <c r="G70" i="31"/>
  <c r="G69" i="31"/>
  <c r="G68" i="31"/>
  <c r="G67" i="31"/>
  <c r="G66" i="31"/>
  <c r="G65" i="31"/>
  <c r="G64" i="31"/>
  <c r="G63" i="31"/>
  <c r="G62" i="31"/>
  <c r="G61" i="31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37" i="31" s="1"/>
  <c r="G31" i="31"/>
  <c r="G30" i="31"/>
  <c r="G29" i="31"/>
  <c r="G28" i="31"/>
  <c r="G27" i="31"/>
  <c r="G26" i="31"/>
  <c r="G25" i="31"/>
  <c r="G23" i="31"/>
  <c r="G22" i="31"/>
  <c r="G21" i="31"/>
  <c r="G20" i="31"/>
  <c r="G19" i="31"/>
  <c r="G18" i="31"/>
  <c r="AT18" i="31" s="1"/>
  <c r="G17" i="31"/>
  <c r="AT17" i="31" s="1"/>
  <c r="G16" i="31"/>
  <c r="G15" i="31"/>
  <c r="G14" i="31"/>
  <c r="G13" i="31"/>
  <c r="G12" i="31"/>
  <c r="G11" i="31"/>
  <c r="G10" i="31"/>
  <c r="G9" i="31"/>
  <c r="AT348" i="15"/>
  <c r="AQ320" i="31" l="1"/>
  <c r="F8" i="36"/>
  <c r="AQ319" i="31"/>
  <c r="F7" i="36"/>
  <c r="AQ324" i="31"/>
  <c r="F12" i="36"/>
  <c r="AQ315" i="31"/>
  <c r="F3" i="36"/>
  <c r="AQ318" i="31"/>
  <c r="F6" i="36"/>
  <c r="AQ316" i="31"/>
  <c r="F4" i="36"/>
  <c r="G320" i="31"/>
  <c r="AT15" i="31"/>
  <c r="G369" i="31"/>
  <c r="AT64" i="31"/>
  <c r="G418" i="31"/>
  <c r="AT113" i="31"/>
  <c r="G466" i="31"/>
  <c r="AT161" i="31"/>
  <c r="G514" i="31"/>
  <c r="AT209" i="31"/>
  <c r="G562" i="31"/>
  <c r="AT257" i="31"/>
  <c r="G586" i="31"/>
  <c r="AT281" i="31"/>
  <c r="G321" i="31"/>
  <c r="AT16" i="31"/>
  <c r="G358" i="31"/>
  <c r="AT53" i="31"/>
  <c r="G394" i="31"/>
  <c r="AT89" i="31"/>
  <c r="G431" i="31"/>
  <c r="AT126" i="31"/>
  <c r="G455" i="31"/>
  <c r="AT150" i="31"/>
  <c r="G503" i="31"/>
  <c r="AT198" i="31"/>
  <c r="G563" i="31"/>
  <c r="AT258" i="31"/>
  <c r="G359" i="31"/>
  <c r="AT54" i="31"/>
  <c r="G383" i="31"/>
  <c r="AT78" i="31"/>
  <c r="G407" i="31"/>
  <c r="AT102" i="31"/>
  <c r="G420" i="31"/>
  <c r="AT115" i="31"/>
  <c r="G444" i="31"/>
  <c r="AT139" i="31"/>
  <c r="G456" i="31"/>
  <c r="AT151" i="31"/>
  <c r="G468" i="31"/>
  <c r="AT163" i="31"/>
  <c r="G480" i="31"/>
  <c r="AT175" i="31"/>
  <c r="G492" i="31"/>
  <c r="AT187" i="31"/>
  <c r="G504" i="31"/>
  <c r="AT199" i="31"/>
  <c r="G516" i="31"/>
  <c r="AT211" i="31"/>
  <c r="G528" i="31"/>
  <c r="AT223" i="31"/>
  <c r="G540" i="31"/>
  <c r="AT235" i="31"/>
  <c r="G552" i="31"/>
  <c r="AT247" i="31"/>
  <c r="G564" i="31"/>
  <c r="AT259" i="31"/>
  <c r="G576" i="31"/>
  <c r="AT271" i="31"/>
  <c r="G588" i="31"/>
  <c r="AT283" i="31"/>
  <c r="G600" i="31"/>
  <c r="AT295" i="31"/>
  <c r="G336" i="31"/>
  <c r="AT31" i="31"/>
  <c r="G348" i="31"/>
  <c r="AT43" i="31"/>
  <c r="G360" i="31"/>
  <c r="AT55" i="31"/>
  <c r="G372" i="31"/>
  <c r="AT67" i="31"/>
  <c r="G384" i="31"/>
  <c r="AT79" i="31"/>
  <c r="G396" i="31"/>
  <c r="AT91" i="31"/>
  <c r="G408" i="31"/>
  <c r="AT103" i="31"/>
  <c r="G421" i="31"/>
  <c r="AT116" i="31"/>
  <c r="G433" i="31"/>
  <c r="AT128" i="31"/>
  <c r="G445" i="31"/>
  <c r="AT140" i="31"/>
  <c r="G457" i="31"/>
  <c r="AT152" i="31"/>
  <c r="G469" i="31"/>
  <c r="AT164" i="31"/>
  <c r="G481" i="31"/>
  <c r="AT176" i="31"/>
  <c r="G493" i="31"/>
  <c r="AT188" i="31"/>
  <c r="G505" i="31"/>
  <c r="AT200" i="31"/>
  <c r="G517" i="31"/>
  <c r="AT212" i="31"/>
  <c r="G529" i="31"/>
  <c r="AT224" i="31"/>
  <c r="G541" i="31"/>
  <c r="AT236" i="31"/>
  <c r="G553" i="31"/>
  <c r="AT248" i="31"/>
  <c r="G565" i="31"/>
  <c r="AT260" i="31"/>
  <c r="G577" i="31"/>
  <c r="AT272" i="31"/>
  <c r="G589" i="31"/>
  <c r="AT284" i="31"/>
  <c r="G601" i="31"/>
  <c r="AT296" i="31"/>
  <c r="G324" i="31"/>
  <c r="AT19" i="31"/>
  <c r="G349" i="31"/>
  <c r="AT44" i="31"/>
  <c r="G361" i="31"/>
  <c r="AT56" i="31"/>
  <c r="G373" i="31"/>
  <c r="AT68" i="31"/>
  <c r="G385" i="31"/>
  <c r="AT80" i="31"/>
  <c r="G397" i="31"/>
  <c r="AT92" i="31"/>
  <c r="G409" i="31"/>
  <c r="AT104" i="31"/>
  <c r="G422" i="31"/>
  <c r="AT117" i="31"/>
  <c r="G434" i="31"/>
  <c r="AT129" i="31"/>
  <c r="G446" i="31"/>
  <c r="AT141" i="31"/>
  <c r="G458" i="31"/>
  <c r="AT153" i="31"/>
  <c r="G470" i="31"/>
  <c r="AT165" i="31"/>
  <c r="G482" i="31"/>
  <c r="AT177" i="31"/>
  <c r="G494" i="31"/>
  <c r="AT189" i="31"/>
  <c r="G506" i="31"/>
  <c r="AT201" i="31"/>
  <c r="G518" i="31"/>
  <c r="AT213" i="31"/>
  <c r="G530" i="31"/>
  <c r="AT225" i="31"/>
  <c r="G542" i="31"/>
  <c r="AT237" i="31"/>
  <c r="G554" i="31"/>
  <c r="AT249" i="31"/>
  <c r="G566" i="31"/>
  <c r="AT261" i="31"/>
  <c r="G578" i="31"/>
  <c r="AT273" i="31"/>
  <c r="G590" i="31"/>
  <c r="AT285" i="31"/>
  <c r="G602" i="31"/>
  <c r="AT297" i="31"/>
  <c r="G329" i="31"/>
  <c r="AT24" i="31"/>
  <c r="G325" i="31"/>
  <c r="AT20" i="31"/>
  <c r="G338" i="31"/>
  <c r="AT33" i="31"/>
  <c r="G350" i="31"/>
  <c r="AT45" i="31"/>
  <c r="G362" i="31"/>
  <c r="AT57" i="31"/>
  <c r="G374" i="31"/>
  <c r="AT69" i="31"/>
  <c r="G386" i="31"/>
  <c r="AT81" i="31"/>
  <c r="G398" i="31"/>
  <c r="AT93" i="31"/>
  <c r="G410" i="31"/>
  <c r="AT105" i="31"/>
  <c r="G423" i="31"/>
  <c r="AT118" i="31"/>
  <c r="G435" i="31"/>
  <c r="AT130" i="31"/>
  <c r="G447" i="31"/>
  <c r="AT142" i="31"/>
  <c r="G459" i="31"/>
  <c r="AT154" i="31"/>
  <c r="G471" i="31"/>
  <c r="AT166" i="31"/>
  <c r="G483" i="31"/>
  <c r="AT178" i="31"/>
  <c r="G495" i="31"/>
  <c r="AT190" i="31"/>
  <c r="G507" i="31"/>
  <c r="AT202" i="31"/>
  <c r="G519" i="31"/>
  <c r="AT214" i="31"/>
  <c r="G531" i="31"/>
  <c r="AT226" i="31"/>
  <c r="G543" i="31"/>
  <c r="AT238" i="31"/>
  <c r="G555" i="31"/>
  <c r="AT250" i="31"/>
  <c r="G567" i="31"/>
  <c r="AT262" i="31"/>
  <c r="G579" i="31"/>
  <c r="AT274" i="31"/>
  <c r="G591" i="31"/>
  <c r="AT286" i="31"/>
  <c r="G603" i="31"/>
  <c r="AT298" i="31"/>
  <c r="G345" i="31"/>
  <c r="AT40" i="31"/>
  <c r="G393" i="31"/>
  <c r="AT88" i="31"/>
  <c r="G442" i="31"/>
  <c r="AT137" i="31"/>
  <c r="G490" i="31"/>
  <c r="AT185" i="31"/>
  <c r="G538" i="31"/>
  <c r="AT233" i="31"/>
  <c r="G598" i="31"/>
  <c r="AT293" i="31"/>
  <c r="G334" i="31"/>
  <c r="AT29" i="31"/>
  <c r="G370" i="31"/>
  <c r="AT65" i="31"/>
  <c r="G406" i="31"/>
  <c r="AT101" i="31"/>
  <c r="G443" i="31"/>
  <c r="AT138" i="31"/>
  <c r="G479" i="31"/>
  <c r="AT174" i="31"/>
  <c r="G527" i="31"/>
  <c r="AT222" i="31"/>
  <c r="G587" i="31"/>
  <c r="AT282" i="31"/>
  <c r="G335" i="31"/>
  <c r="AT30" i="31"/>
  <c r="G371" i="31"/>
  <c r="AT66" i="31"/>
  <c r="G339" i="31"/>
  <c r="AT34" i="31"/>
  <c r="G375" i="31"/>
  <c r="AT70" i="31"/>
  <c r="G411" i="31"/>
  <c r="AT106" i="31"/>
  <c r="G448" i="31"/>
  <c r="AT143" i="31"/>
  <c r="G484" i="31"/>
  <c r="AT179" i="31"/>
  <c r="G508" i="31"/>
  <c r="AT203" i="31"/>
  <c r="G532" i="31"/>
  <c r="AT227" i="31"/>
  <c r="G556" i="31"/>
  <c r="AT251" i="31"/>
  <c r="G580" i="31"/>
  <c r="AT275" i="31"/>
  <c r="G327" i="31"/>
  <c r="AT22" i="31"/>
  <c r="G352" i="31"/>
  <c r="AT47" i="31"/>
  <c r="G376" i="31"/>
  <c r="AT71" i="31"/>
  <c r="G412" i="31"/>
  <c r="AT107" i="31"/>
  <c r="G449" i="31"/>
  <c r="AT144" i="31"/>
  <c r="G485" i="31"/>
  <c r="AT180" i="31"/>
  <c r="G545" i="31"/>
  <c r="AT240" i="31"/>
  <c r="G353" i="31"/>
  <c r="AT48" i="31"/>
  <c r="G413" i="31"/>
  <c r="AT108" i="31"/>
  <c r="G450" i="31"/>
  <c r="AT145" i="31"/>
  <c r="G474" i="31"/>
  <c r="AT169" i="31"/>
  <c r="G510" i="31"/>
  <c r="AT205" i="31"/>
  <c r="G522" i="31"/>
  <c r="AT217" i="31"/>
  <c r="G534" i="31"/>
  <c r="AT229" i="31"/>
  <c r="G546" i="31"/>
  <c r="AT241" i="31"/>
  <c r="G558" i="31"/>
  <c r="AT253" i="31"/>
  <c r="G570" i="31"/>
  <c r="AT265" i="31"/>
  <c r="G582" i="31"/>
  <c r="AT277" i="31"/>
  <c r="G594" i="31"/>
  <c r="AT289" i="31"/>
  <c r="G606" i="31"/>
  <c r="AT301" i="31"/>
  <c r="G333" i="31"/>
  <c r="AT28" i="31"/>
  <c r="G357" i="31"/>
  <c r="AT52" i="31"/>
  <c r="G381" i="31"/>
  <c r="AT76" i="31"/>
  <c r="G405" i="31"/>
  <c r="AT100" i="31"/>
  <c r="G430" i="31"/>
  <c r="AT125" i="31"/>
  <c r="G454" i="31"/>
  <c r="AT149" i="31"/>
  <c r="G478" i="31"/>
  <c r="AT173" i="31"/>
  <c r="G502" i="31"/>
  <c r="AT197" i="31"/>
  <c r="G526" i="31"/>
  <c r="AT221" i="31"/>
  <c r="G550" i="31"/>
  <c r="AT245" i="31"/>
  <c r="G574" i="31"/>
  <c r="AT269" i="31"/>
  <c r="G610" i="31"/>
  <c r="AT305" i="31"/>
  <c r="G346" i="31"/>
  <c r="AT41" i="31"/>
  <c r="G382" i="31"/>
  <c r="AT77" i="31"/>
  <c r="G419" i="31"/>
  <c r="AT114" i="31"/>
  <c r="G491" i="31"/>
  <c r="AT186" i="31"/>
  <c r="G515" i="31"/>
  <c r="AT210" i="31"/>
  <c r="G539" i="31"/>
  <c r="AT234" i="31"/>
  <c r="G551" i="31"/>
  <c r="AT246" i="31"/>
  <c r="G575" i="31"/>
  <c r="AT270" i="31"/>
  <c r="G599" i="31"/>
  <c r="AT294" i="31"/>
  <c r="G611" i="31"/>
  <c r="AT306" i="31"/>
  <c r="G347" i="31"/>
  <c r="AT42" i="31"/>
  <c r="G395" i="31"/>
  <c r="AT90" i="31"/>
  <c r="G314" i="31"/>
  <c r="AT9" i="31"/>
  <c r="G326" i="31"/>
  <c r="AT21" i="31"/>
  <c r="G351" i="31"/>
  <c r="AT46" i="31"/>
  <c r="G363" i="31"/>
  <c r="AT58" i="31"/>
  <c r="G387" i="31"/>
  <c r="AT82" i="31"/>
  <c r="G399" i="31"/>
  <c r="AT94" i="31"/>
  <c r="G424" i="31"/>
  <c r="AT119" i="31"/>
  <c r="G436" i="31"/>
  <c r="AT131" i="31"/>
  <c r="G460" i="31"/>
  <c r="AT155" i="31"/>
  <c r="G472" i="31"/>
  <c r="AT167" i="31"/>
  <c r="G496" i="31"/>
  <c r="AT191" i="31"/>
  <c r="G520" i="31"/>
  <c r="AT215" i="31"/>
  <c r="G544" i="31"/>
  <c r="AT239" i="31"/>
  <c r="G568" i="31"/>
  <c r="AT263" i="31"/>
  <c r="G592" i="31"/>
  <c r="AT287" i="31"/>
  <c r="G604" i="31"/>
  <c r="AT299" i="31"/>
  <c r="G315" i="31"/>
  <c r="AT10" i="31"/>
  <c r="G340" i="31"/>
  <c r="AT35" i="31"/>
  <c r="G364" i="31"/>
  <c r="AT59" i="31"/>
  <c r="G388" i="31"/>
  <c r="AT83" i="31"/>
  <c r="G400" i="31"/>
  <c r="AT95" i="31"/>
  <c r="G425" i="31"/>
  <c r="AT120" i="31"/>
  <c r="G437" i="31"/>
  <c r="AT132" i="31"/>
  <c r="G461" i="31"/>
  <c r="AT156" i="31"/>
  <c r="G473" i="31"/>
  <c r="AT168" i="31"/>
  <c r="G497" i="31"/>
  <c r="AT192" i="31"/>
  <c r="G509" i="31"/>
  <c r="AT204" i="31"/>
  <c r="G521" i="31"/>
  <c r="AT216" i="31"/>
  <c r="G533" i="31"/>
  <c r="AT228" i="31"/>
  <c r="G557" i="31"/>
  <c r="AT252" i="31"/>
  <c r="G569" i="31"/>
  <c r="AT264" i="31"/>
  <c r="G581" i="31"/>
  <c r="AT276" i="31"/>
  <c r="G593" i="31"/>
  <c r="AT288" i="31"/>
  <c r="G605" i="31"/>
  <c r="AT300" i="31"/>
  <c r="G316" i="31"/>
  <c r="AT11" i="31"/>
  <c r="G328" i="31"/>
  <c r="AT23" i="31"/>
  <c r="G341" i="31"/>
  <c r="AT36" i="31"/>
  <c r="G365" i="31"/>
  <c r="AT60" i="31"/>
  <c r="G377" i="31"/>
  <c r="AT72" i="31"/>
  <c r="G389" i="31"/>
  <c r="AT84" i="31"/>
  <c r="G401" i="31"/>
  <c r="AT96" i="31"/>
  <c r="G426" i="31"/>
  <c r="AT121" i="31"/>
  <c r="G438" i="31"/>
  <c r="AT133" i="31"/>
  <c r="G462" i="31"/>
  <c r="AT157" i="31"/>
  <c r="G486" i="31"/>
  <c r="AT181" i="31"/>
  <c r="G317" i="31"/>
  <c r="AT12" i="31"/>
  <c r="G330" i="31"/>
  <c r="AT25" i="31"/>
  <c r="G342" i="31"/>
  <c r="AT37" i="31"/>
  <c r="G354" i="31"/>
  <c r="AT49" i="31"/>
  <c r="G366" i="31"/>
  <c r="AT61" i="31"/>
  <c r="G378" i="31"/>
  <c r="AT73" i="31"/>
  <c r="G390" i="31"/>
  <c r="AT85" i="31"/>
  <c r="G402" i="31"/>
  <c r="AT97" i="31"/>
  <c r="G415" i="31"/>
  <c r="AT110" i="31"/>
  <c r="G427" i="31"/>
  <c r="AT122" i="31"/>
  <c r="G439" i="31"/>
  <c r="AT134" i="31"/>
  <c r="G451" i="31"/>
  <c r="AT146" i="31"/>
  <c r="G463" i="31"/>
  <c r="AT158" i="31"/>
  <c r="G475" i="31"/>
  <c r="AT170" i="31"/>
  <c r="G487" i="31"/>
  <c r="AT182" i="31"/>
  <c r="G499" i="31"/>
  <c r="AT194" i="31"/>
  <c r="G511" i="31"/>
  <c r="AT206" i="31"/>
  <c r="G523" i="31"/>
  <c r="AT218" i="31"/>
  <c r="G535" i="31"/>
  <c r="AT230" i="31"/>
  <c r="G547" i="31"/>
  <c r="AT242" i="31"/>
  <c r="G559" i="31"/>
  <c r="AT254" i="31"/>
  <c r="G571" i="31"/>
  <c r="AT266" i="31"/>
  <c r="G583" i="31"/>
  <c r="AT278" i="31"/>
  <c r="G595" i="31"/>
  <c r="AT290" i="31"/>
  <c r="G607" i="31"/>
  <c r="AT302" i="31"/>
  <c r="G318" i="31"/>
  <c r="AT13" i="31"/>
  <c r="G331" i="31"/>
  <c r="AT26" i="31"/>
  <c r="G343" i="31"/>
  <c r="AT38" i="31"/>
  <c r="G355" i="31"/>
  <c r="AT50" i="31"/>
  <c r="G367" i="31"/>
  <c r="AT62" i="31"/>
  <c r="G379" i="31"/>
  <c r="AT74" i="31"/>
  <c r="G391" i="31"/>
  <c r="AT86" i="31"/>
  <c r="G403" i="31"/>
  <c r="AT98" i="31"/>
  <c r="G416" i="31"/>
  <c r="AT111" i="31"/>
  <c r="G428" i="31"/>
  <c r="AT123" i="31"/>
  <c r="G440" i="31"/>
  <c r="AT135" i="31"/>
  <c r="G452" i="31"/>
  <c r="AT147" i="31"/>
  <c r="G464" i="31"/>
  <c r="AT159" i="31"/>
  <c r="G476" i="31"/>
  <c r="AT171" i="31"/>
  <c r="G488" i="31"/>
  <c r="AT183" i="31"/>
  <c r="G500" i="31"/>
  <c r="AT195" i="31"/>
  <c r="G512" i="31"/>
  <c r="AT207" i="31"/>
  <c r="G524" i="31"/>
  <c r="AT219" i="31"/>
  <c r="G536" i="31"/>
  <c r="AT231" i="31"/>
  <c r="G548" i="31"/>
  <c r="AT243" i="31"/>
  <c r="G560" i="31"/>
  <c r="AT255" i="31"/>
  <c r="G572" i="31"/>
  <c r="AT267" i="31"/>
  <c r="G584" i="31"/>
  <c r="AT279" i="31"/>
  <c r="G596" i="31"/>
  <c r="AT291" i="31"/>
  <c r="G608" i="31"/>
  <c r="AT303" i="31"/>
  <c r="G319" i="31"/>
  <c r="AT14" i="31"/>
  <c r="G332" i="31"/>
  <c r="AT27" i="31"/>
  <c r="G344" i="31"/>
  <c r="AT39" i="31"/>
  <c r="G356" i="31"/>
  <c r="AT51" i="31"/>
  <c r="G368" i="31"/>
  <c r="AT63" i="31"/>
  <c r="G380" i="31"/>
  <c r="AT75" i="31"/>
  <c r="G392" i="31"/>
  <c r="AT87" i="31"/>
  <c r="G404" i="31"/>
  <c r="AT99" i="31"/>
  <c r="G417" i="31"/>
  <c r="AT112" i="31"/>
  <c r="G441" i="31"/>
  <c r="AT136" i="31"/>
  <c r="G453" i="31"/>
  <c r="AT148" i="31"/>
  <c r="G465" i="31"/>
  <c r="AT160" i="31"/>
  <c r="G477" i="31"/>
  <c r="AT172" i="31"/>
  <c r="G489" i="31"/>
  <c r="AT184" i="31"/>
  <c r="G501" i="31"/>
  <c r="AT196" i="31"/>
  <c r="G513" i="31"/>
  <c r="AT208" i="31"/>
  <c r="G525" i="31"/>
  <c r="AT220" i="31"/>
  <c r="G537" i="31"/>
  <c r="AT232" i="31"/>
  <c r="G549" i="31"/>
  <c r="AT244" i="31"/>
  <c r="G561" i="31"/>
  <c r="AT256" i="31"/>
  <c r="G573" i="31"/>
  <c r="AT268" i="31"/>
  <c r="G585" i="31"/>
  <c r="AT280" i="31"/>
  <c r="G597" i="31"/>
  <c r="AT292" i="31"/>
  <c r="G609" i="31"/>
  <c r="AT304" i="31"/>
  <c r="G432" i="31"/>
  <c r="G498" i="31"/>
  <c r="G467" i="31"/>
  <c r="G322" i="31"/>
  <c r="G323" i="31"/>
  <c r="G429" i="31"/>
  <c r="J6" i="35"/>
  <c r="K6" i="35" s="1"/>
  <c r="L6" i="35" s="1"/>
  <c r="M6" i="35" s="1"/>
  <c r="N6" i="35" s="1"/>
  <c r="O6" i="35" s="1"/>
  <c r="P6" i="35" s="1"/>
  <c r="Q6" i="35" s="1"/>
  <c r="R6" i="35" s="1"/>
  <c r="S6" i="35" s="1"/>
  <c r="T6" i="35" s="1"/>
  <c r="U6" i="35" s="1"/>
  <c r="V6" i="35" s="1"/>
  <c r="W6" i="35" s="1"/>
  <c r="X6" i="35" s="1"/>
  <c r="Y6" i="35" s="1"/>
  <c r="Z6" i="35" s="1"/>
  <c r="AA6" i="35" s="1"/>
  <c r="AB6" i="35" s="1"/>
  <c r="AC6" i="35" s="1"/>
  <c r="AD6" i="35" s="1"/>
  <c r="AE6" i="35" s="1"/>
  <c r="AF6" i="35" s="1"/>
  <c r="AG6" i="35" s="1"/>
  <c r="AH6" i="35" s="1"/>
  <c r="AI6" i="35" s="1"/>
  <c r="AJ6" i="35" s="1"/>
  <c r="AK6" i="35" s="1"/>
  <c r="AL6" i="35" s="1"/>
  <c r="AM6" i="35" s="1"/>
  <c r="AN6" i="35" s="1"/>
  <c r="AO6" i="35" s="1"/>
  <c r="BM10" i="15"/>
  <c r="BN10" i="15"/>
  <c r="BN13" i="15"/>
  <c r="BM13" i="15"/>
  <c r="BN15" i="15"/>
  <c r="BM15" i="15"/>
  <c r="S9" i="34"/>
  <c r="AM9" i="34"/>
  <c r="AA9" i="34"/>
  <c r="N9" i="34"/>
  <c r="AO9" i="34"/>
  <c r="AN314" i="31" s="1"/>
  <c r="M9" i="34"/>
  <c r="AI9" i="34"/>
  <c r="V9" i="34"/>
  <c r="I9" i="34"/>
  <c r="P9" i="34"/>
  <c r="AK9" i="34"/>
  <c r="AC9" i="34"/>
  <c r="Q9" i="34"/>
  <c r="AD9" i="34"/>
  <c r="AL9" i="34"/>
  <c r="X9" i="34"/>
  <c r="J9" i="34"/>
  <c r="AG9" i="34"/>
  <c r="Z9" i="34"/>
  <c r="T9" i="34"/>
  <c r="O9" i="34"/>
  <c r="AF9" i="34"/>
  <c r="AN9" i="34"/>
  <c r="U9" i="34"/>
  <c r="AP9" i="34"/>
  <c r="L9" i="34"/>
  <c r="R9" i="34"/>
  <c r="AJ9" i="34"/>
  <c r="W9" i="34"/>
  <c r="AB9" i="34"/>
  <c r="AH9" i="34"/>
  <c r="Y9" i="34"/>
  <c r="K9" i="34"/>
  <c r="AE9" i="34"/>
  <c r="BN16" i="15"/>
  <c r="BM16" i="15"/>
  <c r="BN12" i="15"/>
  <c r="BM12" i="15"/>
  <c r="BN8" i="15"/>
  <c r="BM8" i="15"/>
  <c r="BM17" i="15"/>
  <c r="BN17" i="15"/>
  <c r="BN11" i="15"/>
  <c r="BM11" i="15"/>
  <c r="BN9" i="15"/>
  <c r="BM9" i="15"/>
  <c r="AP205" i="35"/>
  <c r="AP24" i="35"/>
  <c r="AP114" i="35"/>
  <c r="AP239" i="35"/>
  <c r="AP50" i="35"/>
  <c r="AP68" i="35"/>
  <c r="AP77" i="35"/>
  <c r="AP95" i="35"/>
  <c r="AP129" i="35"/>
  <c r="AP131" i="35"/>
  <c r="AP143" i="35"/>
  <c r="AP155" i="35"/>
  <c r="AP176" i="35"/>
  <c r="AP201" i="35"/>
  <c r="AP212" i="35"/>
  <c r="AP230" i="35"/>
  <c r="AP253" i="35"/>
  <c r="AP262" i="35"/>
  <c r="AP298" i="35"/>
  <c r="AP100" i="35"/>
  <c r="AP235" i="35"/>
  <c r="AP260" i="35"/>
  <c r="AP276" i="35"/>
  <c r="AP27" i="35"/>
  <c r="AP30" i="35"/>
  <c r="AP37" i="35"/>
  <c r="AP46" i="35"/>
  <c r="AP62" i="35"/>
  <c r="AP64" i="35"/>
  <c r="AP73" i="35"/>
  <c r="AP91" i="35"/>
  <c r="AP105" i="35"/>
  <c r="AP110" i="35"/>
  <c r="AP172" i="35"/>
  <c r="AP206" i="35"/>
  <c r="AP217" i="35"/>
  <c r="AP226" i="35"/>
  <c r="AP242" i="35"/>
  <c r="AP247" i="35"/>
  <c r="AP265" i="35"/>
  <c r="AP19" i="35"/>
  <c r="AP44" i="35"/>
  <c r="AP60" i="35"/>
  <c r="AP71" i="35"/>
  <c r="AP87" i="35"/>
  <c r="AP89" i="35"/>
  <c r="AP115" i="35"/>
  <c r="AP125" i="35"/>
  <c r="AP139" i="35"/>
  <c r="AP151" i="35"/>
  <c r="AP186" i="35"/>
  <c r="AP195" i="35"/>
  <c r="AP231" i="35"/>
  <c r="AP20" i="35"/>
  <c r="AP42" i="35"/>
  <c r="AP58" i="35"/>
  <c r="AP69" i="35"/>
  <c r="AP76" i="35"/>
  <c r="AP118" i="35"/>
  <c r="AP142" i="35"/>
  <c r="AP200" i="35"/>
  <c r="AP222" i="35"/>
  <c r="AP254" i="35"/>
  <c r="AP270" i="35"/>
  <c r="AP282" i="35"/>
  <c r="AP292" i="35"/>
  <c r="AP21" i="35"/>
  <c r="AQ23" i="34"/>
  <c r="AP18" i="35"/>
  <c r="AP40" i="35"/>
  <c r="AP56" i="35"/>
  <c r="AP67" i="35"/>
  <c r="AP83" i="35"/>
  <c r="AP101" i="35"/>
  <c r="AP106" i="35"/>
  <c r="AP135" i="35"/>
  <c r="AP147" i="35"/>
  <c r="AP166" i="35"/>
  <c r="AP182" i="35"/>
  <c r="AP191" i="35"/>
  <c r="AP198" i="35"/>
  <c r="AP243" i="35"/>
  <c r="AP39" i="35"/>
  <c r="AP102" i="35"/>
  <c r="AP31" i="35"/>
  <c r="AP47" i="35"/>
  <c r="AP10" i="35"/>
  <c r="AP14" i="35"/>
  <c r="AP9" i="35"/>
  <c r="AP13" i="35"/>
  <c r="AP16" i="35"/>
  <c r="AP32" i="35"/>
  <c r="AP57" i="35"/>
  <c r="AP12" i="35"/>
  <c r="AP17" i="35"/>
  <c r="AP28" i="35"/>
  <c r="AP72" i="35"/>
  <c r="AP45" i="35"/>
  <c r="AP53" i="35"/>
  <c r="AP49" i="35"/>
  <c r="AP132" i="35"/>
  <c r="AP29" i="35"/>
  <c r="AP84" i="35"/>
  <c r="AP80" i="35"/>
  <c r="AP111" i="35"/>
  <c r="AP33" i="35"/>
  <c r="AP35" i="35"/>
  <c r="AP90" i="35"/>
  <c r="AP51" i="35"/>
  <c r="AP43" i="35"/>
  <c r="AP55" i="35"/>
  <c r="AP59" i="35"/>
  <c r="AP61" i="35"/>
  <c r="AP86" i="35"/>
  <c r="AP92" i="35"/>
  <c r="AP74" i="35"/>
  <c r="AP82" i="35"/>
  <c r="AP98" i="35"/>
  <c r="AP94" i="35"/>
  <c r="AP112" i="35"/>
  <c r="AP66" i="35"/>
  <c r="AP70" i="35"/>
  <c r="AP78" i="35"/>
  <c r="AP96" i="35"/>
  <c r="AP152" i="35"/>
  <c r="AP207" i="35"/>
  <c r="AP107" i="35"/>
  <c r="AP117" i="35"/>
  <c r="AP123" i="35"/>
  <c r="AP126" i="35"/>
  <c r="AP103" i="35"/>
  <c r="AP116" i="35"/>
  <c r="AP108" i="35"/>
  <c r="AP124" i="35"/>
  <c r="AP128" i="35"/>
  <c r="AP134" i="35"/>
  <c r="AP154" i="35"/>
  <c r="AP104" i="35"/>
  <c r="AP119" i="35"/>
  <c r="AP122" i="35"/>
  <c r="AP127" i="35"/>
  <c r="AP146" i="35"/>
  <c r="AP120" i="35"/>
  <c r="AP137" i="35"/>
  <c r="AP141" i="35"/>
  <c r="AP145" i="35"/>
  <c r="AP160" i="35"/>
  <c r="AP133" i="35"/>
  <c r="AP150" i="35"/>
  <c r="AP136" i="35"/>
  <c r="AP140" i="35"/>
  <c r="AP144" i="35"/>
  <c r="AP158" i="35"/>
  <c r="AP162" i="35"/>
  <c r="AP180" i="35"/>
  <c r="AP188" i="35"/>
  <c r="AP192" i="35"/>
  <c r="AP167" i="35"/>
  <c r="AP171" i="35"/>
  <c r="AP175" i="35"/>
  <c r="AP196" i="35"/>
  <c r="AP149" i="35"/>
  <c r="AP153" i="35"/>
  <c r="AP157" i="35"/>
  <c r="AP161" i="35"/>
  <c r="AP163" i="35"/>
  <c r="AP184" i="35"/>
  <c r="AP199" i="35"/>
  <c r="AP213" i="35"/>
  <c r="AP165" i="35"/>
  <c r="AP169" i="35"/>
  <c r="AP173" i="35"/>
  <c r="AP177" i="35"/>
  <c r="AP181" i="35"/>
  <c r="AP185" i="35"/>
  <c r="AP189" i="35"/>
  <c r="AP193" i="35"/>
  <c r="AP215" i="35"/>
  <c r="AP251" i="35"/>
  <c r="AP197" i="35"/>
  <c r="AP203" i="35"/>
  <c r="AP233" i="35"/>
  <c r="AP225" i="35"/>
  <c r="AP219" i="35"/>
  <c r="AP223" i="35"/>
  <c r="AP246" i="35"/>
  <c r="AP227" i="35"/>
  <c r="AP211" i="35"/>
  <c r="AP221" i="35"/>
  <c r="AP229" i="35"/>
  <c r="AP286" i="35"/>
  <c r="AP237" i="35"/>
  <c r="AP241" i="35"/>
  <c r="AP245" i="35"/>
  <c r="AP250" i="35"/>
  <c r="AP261" i="35"/>
  <c r="AP259" i="35"/>
  <c r="AP267" i="35"/>
  <c r="AP284" i="35"/>
  <c r="AP255" i="35"/>
  <c r="AP263" i="35"/>
  <c r="AP278" i="35"/>
  <c r="AP271" i="35"/>
  <c r="AP264" i="35"/>
  <c r="AP281" i="35"/>
  <c r="AP280" i="35"/>
  <c r="AP288" i="35"/>
  <c r="AP289" i="35"/>
  <c r="AP299" i="35"/>
  <c r="AP275" i="35"/>
  <c r="AP268" i="35"/>
  <c r="AP272" i="35"/>
  <c r="AP277" i="35"/>
  <c r="AP279" i="35"/>
  <c r="AP283" i="35"/>
  <c r="AP287" i="35"/>
  <c r="AP291" i="35"/>
  <c r="AP304" i="35"/>
  <c r="AP293" i="35"/>
  <c r="AP303" i="35"/>
  <c r="AP285" i="35"/>
  <c r="AP295" i="35"/>
  <c r="AP296" i="35"/>
  <c r="AP297" i="35"/>
  <c r="AP301" i="35"/>
  <c r="AP305" i="35"/>
  <c r="V9" i="35" l="1"/>
  <c r="AI9" i="35"/>
  <c r="Q9" i="35"/>
  <c r="K9" i="35"/>
  <c r="AO9" i="35"/>
  <c r="AO314" i="31"/>
  <c r="R9" i="35"/>
  <c r="T9" i="35"/>
  <c r="AB9" i="35"/>
  <c r="AM9" i="35"/>
  <c r="AJ9" i="35"/>
  <c r="I9" i="35"/>
  <c r="AN9" i="35"/>
  <c r="W9" i="35"/>
  <c r="M9" i="35"/>
  <c r="AK9" i="35"/>
  <c r="Z9" i="35"/>
  <c r="AC9" i="35"/>
  <c r="P9" i="35"/>
  <c r="AD9" i="35"/>
  <c r="AE9" i="35"/>
  <c r="O9" i="35"/>
  <c r="J9" i="35"/>
  <c r="N9" i="35"/>
  <c r="X9" i="35"/>
  <c r="S9" i="35"/>
  <c r="U9" i="35"/>
  <c r="AG9" i="35"/>
  <c r="Y9" i="35"/>
  <c r="AH9" i="35"/>
  <c r="AA9" i="35"/>
  <c r="AF9" i="35"/>
  <c r="L9" i="35"/>
  <c r="AL9" i="35"/>
  <c r="H9" i="35"/>
  <c r="AK353" i="15" l="1"/>
  <c r="AI353" i="15"/>
  <c r="AI7" i="31"/>
  <c r="AI24" i="31" s="1"/>
  <c r="AH7" i="31"/>
  <c r="AG7" i="31"/>
  <c r="AG24" i="31" s="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AQ306" i="34"/>
  <c r="AQ305" i="34"/>
  <c r="AQ304" i="34"/>
  <c r="AQ303" i="34"/>
  <c r="AQ302" i="34"/>
  <c r="AQ301" i="34"/>
  <c r="AQ300" i="34"/>
  <c r="AQ299" i="34"/>
  <c r="AQ298" i="34"/>
  <c r="AQ297" i="34"/>
  <c r="AQ296" i="34"/>
  <c r="AQ295" i="34"/>
  <c r="AQ294" i="34"/>
  <c r="AQ293" i="34"/>
  <c r="AQ292" i="34"/>
  <c r="AQ291" i="34"/>
  <c r="AQ290" i="34"/>
  <c r="AQ289" i="34"/>
  <c r="AQ288" i="34"/>
  <c r="AQ287" i="34"/>
  <c r="AQ286" i="34"/>
  <c r="AQ285" i="34"/>
  <c r="AQ284" i="34"/>
  <c r="AQ283" i="34"/>
  <c r="AQ282" i="34"/>
  <c r="AQ281" i="34"/>
  <c r="AQ280" i="34"/>
  <c r="AQ279" i="34"/>
  <c r="AQ278" i="34"/>
  <c r="AQ277" i="34"/>
  <c r="AQ276" i="34"/>
  <c r="AQ275" i="34"/>
  <c r="AQ274" i="34"/>
  <c r="AQ273" i="34"/>
  <c r="AQ272" i="34"/>
  <c r="AQ271" i="34"/>
  <c r="AQ270" i="34"/>
  <c r="AQ269" i="34"/>
  <c r="AQ268" i="34"/>
  <c r="AQ267" i="34"/>
  <c r="AQ266" i="34"/>
  <c r="AQ265" i="34"/>
  <c r="AQ264" i="34"/>
  <c r="AQ263" i="34"/>
  <c r="AQ262" i="34"/>
  <c r="AQ261" i="34"/>
  <c r="AQ260" i="34"/>
  <c r="AQ259" i="34"/>
  <c r="AQ258" i="34"/>
  <c r="AQ257" i="34"/>
  <c r="AQ256" i="34"/>
  <c r="AQ255" i="34"/>
  <c r="AQ254" i="34"/>
  <c r="AQ253" i="34"/>
  <c r="AQ252" i="34"/>
  <c r="AQ251" i="34"/>
  <c r="AQ250" i="34"/>
  <c r="AQ249" i="34"/>
  <c r="AQ248" i="34"/>
  <c r="AQ247" i="34"/>
  <c r="AQ246" i="34"/>
  <c r="AQ245" i="34"/>
  <c r="AQ244" i="34"/>
  <c r="AQ243" i="34"/>
  <c r="AQ242" i="34"/>
  <c r="AQ241" i="34"/>
  <c r="AQ240" i="34"/>
  <c r="AQ239" i="34"/>
  <c r="AQ238" i="34"/>
  <c r="AQ237" i="34"/>
  <c r="AQ236" i="34"/>
  <c r="AQ235" i="34"/>
  <c r="AQ234" i="34"/>
  <c r="AQ233" i="34"/>
  <c r="AQ232" i="34"/>
  <c r="AQ231" i="34"/>
  <c r="AQ230" i="34"/>
  <c r="AQ229" i="34"/>
  <c r="AQ228" i="34"/>
  <c r="AQ227" i="34"/>
  <c r="AQ226" i="34"/>
  <c r="AQ225" i="34"/>
  <c r="AQ224" i="34"/>
  <c r="AQ223" i="34"/>
  <c r="AQ222" i="34"/>
  <c r="AQ221" i="34"/>
  <c r="AQ220" i="34"/>
  <c r="AQ219" i="34"/>
  <c r="AQ218" i="34"/>
  <c r="AQ217" i="34"/>
  <c r="AQ216" i="34"/>
  <c r="AQ215" i="34"/>
  <c r="AQ214" i="34"/>
  <c r="AQ213" i="34"/>
  <c r="AQ212" i="34"/>
  <c r="AQ211" i="34"/>
  <c r="AQ210" i="34"/>
  <c r="AQ209" i="34"/>
  <c r="AQ208" i="34"/>
  <c r="AQ207" i="34"/>
  <c r="AQ206" i="34"/>
  <c r="AQ205" i="34"/>
  <c r="AQ204" i="34"/>
  <c r="AQ203" i="34"/>
  <c r="AQ202" i="34"/>
  <c r="AQ201" i="34"/>
  <c r="AQ200" i="34"/>
  <c r="AQ199" i="34"/>
  <c r="AQ198" i="34"/>
  <c r="AQ197" i="34"/>
  <c r="AQ196" i="34"/>
  <c r="AQ195" i="34"/>
  <c r="AQ194" i="34"/>
  <c r="AQ193" i="34"/>
  <c r="AQ192" i="34"/>
  <c r="AQ191" i="34"/>
  <c r="AQ190" i="34"/>
  <c r="AQ189" i="34"/>
  <c r="AQ188" i="34"/>
  <c r="AQ187" i="34"/>
  <c r="AQ186" i="34"/>
  <c r="AQ185" i="34"/>
  <c r="AQ184" i="34"/>
  <c r="AQ183" i="34"/>
  <c r="AQ182" i="34"/>
  <c r="AQ181" i="34"/>
  <c r="AQ180" i="34"/>
  <c r="AQ179" i="34"/>
  <c r="AQ178" i="34"/>
  <c r="AQ177" i="34"/>
  <c r="AQ176" i="34"/>
  <c r="AQ175" i="34"/>
  <c r="AQ174" i="34"/>
  <c r="AQ173" i="34"/>
  <c r="AQ172" i="34"/>
  <c r="AQ171" i="34"/>
  <c r="AQ170" i="34"/>
  <c r="AQ169" i="34"/>
  <c r="AQ168" i="34"/>
  <c r="AQ167" i="34"/>
  <c r="AQ166" i="34"/>
  <c r="AQ165" i="34"/>
  <c r="AQ164" i="34"/>
  <c r="AQ163" i="34"/>
  <c r="AQ162" i="34"/>
  <c r="AQ161" i="34"/>
  <c r="AQ160" i="34"/>
  <c r="AQ159" i="34"/>
  <c r="AQ158" i="34"/>
  <c r="AQ157" i="34"/>
  <c r="AQ156" i="34"/>
  <c r="AQ155" i="34"/>
  <c r="AQ154" i="34"/>
  <c r="AQ153" i="34"/>
  <c r="AQ152" i="34"/>
  <c r="AQ151" i="34"/>
  <c r="AQ150" i="34"/>
  <c r="AQ149" i="34"/>
  <c r="AQ148" i="34"/>
  <c r="AQ147" i="34"/>
  <c r="AQ146" i="34"/>
  <c r="AQ145" i="34"/>
  <c r="AQ144" i="34"/>
  <c r="AQ143" i="34"/>
  <c r="AQ142" i="34"/>
  <c r="AQ141" i="34"/>
  <c r="AQ140" i="34"/>
  <c r="AQ139" i="34"/>
  <c r="AQ138" i="34"/>
  <c r="AQ137" i="34"/>
  <c r="AQ136" i="34"/>
  <c r="AQ135" i="34"/>
  <c r="AQ134" i="34"/>
  <c r="AQ133" i="34"/>
  <c r="AQ132" i="34"/>
  <c r="AQ131" i="34"/>
  <c r="AQ130" i="34"/>
  <c r="AQ129" i="34"/>
  <c r="AQ128" i="34"/>
  <c r="AQ127" i="34"/>
  <c r="AQ126" i="34"/>
  <c r="AQ125" i="34"/>
  <c r="AQ124" i="34"/>
  <c r="AQ123" i="34"/>
  <c r="AQ122" i="34"/>
  <c r="AQ121" i="34"/>
  <c r="AQ120" i="34"/>
  <c r="AQ119" i="34"/>
  <c r="AQ118" i="34"/>
  <c r="AQ117" i="34"/>
  <c r="AQ116" i="34"/>
  <c r="AQ115" i="34"/>
  <c r="AQ114" i="34"/>
  <c r="AQ113" i="34"/>
  <c r="AQ112" i="34"/>
  <c r="AQ111" i="34"/>
  <c r="AQ110" i="34"/>
  <c r="AQ109" i="34"/>
  <c r="AQ108" i="34"/>
  <c r="AQ107" i="34"/>
  <c r="AQ106" i="34"/>
  <c r="AQ105" i="34"/>
  <c r="AQ104" i="34"/>
  <c r="AQ103" i="34"/>
  <c r="AQ102" i="34"/>
  <c r="AQ101" i="34"/>
  <c r="AQ100" i="34"/>
  <c r="AQ99" i="34"/>
  <c r="AQ98" i="34"/>
  <c r="AQ97" i="34"/>
  <c r="AQ96" i="34"/>
  <c r="AQ95" i="34"/>
  <c r="AQ94" i="34"/>
  <c r="AQ93" i="34"/>
  <c r="AQ92" i="34"/>
  <c r="AQ91" i="34"/>
  <c r="AQ90" i="34"/>
  <c r="AQ89" i="34"/>
  <c r="AQ88" i="34"/>
  <c r="AQ87" i="34"/>
  <c r="AQ86" i="34"/>
  <c r="AQ85" i="34"/>
  <c r="AQ84" i="34"/>
  <c r="AQ83" i="34"/>
  <c r="AQ82" i="34"/>
  <c r="AQ81" i="34"/>
  <c r="AQ80" i="34"/>
  <c r="AQ79" i="34"/>
  <c r="AQ78" i="34"/>
  <c r="AQ77" i="34"/>
  <c r="AQ76" i="34"/>
  <c r="AQ75" i="34"/>
  <c r="AQ74" i="34"/>
  <c r="AQ73" i="34"/>
  <c r="AQ72" i="34"/>
  <c r="AQ71" i="34"/>
  <c r="AQ70" i="34"/>
  <c r="AQ69" i="34"/>
  <c r="AQ68" i="34"/>
  <c r="AQ67" i="34"/>
  <c r="AQ66" i="34"/>
  <c r="AQ65" i="34"/>
  <c r="AQ64" i="34"/>
  <c r="AQ63" i="34"/>
  <c r="AQ62" i="34"/>
  <c r="AQ61" i="34"/>
  <c r="AQ60" i="34"/>
  <c r="AQ59" i="34"/>
  <c r="AQ58" i="34"/>
  <c r="AQ57" i="34"/>
  <c r="AQ56" i="34"/>
  <c r="AQ55" i="34"/>
  <c r="AQ54" i="34"/>
  <c r="AQ53" i="34"/>
  <c r="AQ52" i="34"/>
  <c r="AQ51" i="34"/>
  <c r="AQ50" i="34"/>
  <c r="AQ49" i="34"/>
  <c r="AQ48" i="34"/>
  <c r="AQ47" i="34"/>
  <c r="AQ46" i="34"/>
  <c r="AQ45" i="34"/>
  <c r="AQ44" i="34"/>
  <c r="AQ43" i="34"/>
  <c r="AQ42" i="34"/>
  <c r="AQ41" i="34"/>
  <c r="AQ40" i="34"/>
  <c r="AQ39" i="34"/>
  <c r="AQ38" i="34"/>
  <c r="AQ37" i="34"/>
  <c r="AQ36" i="34"/>
  <c r="AQ35" i="34"/>
  <c r="AQ34" i="34"/>
  <c r="AQ33" i="34"/>
  <c r="AQ32" i="34"/>
  <c r="AQ31" i="34"/>
  <c r="AQ30" i="34"/>
  <c r="AQ29" i="34"/>
  <c r="AQ28" i="34"/>
  <c r="AQ27" i="34"/>
  <c r="AQ26" i="34"/>
  <c r="AQ25" i="34"/>
  <c r="AQ24" i="34"/>
  <c r="AQ21" i="34"/>
  <c r="AQ20" i="34"/>
  <c r="AQ19" i="34"/>
  <c r="AQ18" i="34"/>
  <c r="AQ17" i="34"/>
  <c r="AQ16" i="34"/>
  <c r="AQ15" i="34"/>
  <c r="AQ14" i="34"/>
  <c r="AQ13" i="34"/>
  <c r="AQ12" i="34"/>
  <c r="AQ11" i="34"/>
  <c r="AQ10" i="34"/>
  <c r="C9" i="34"/>
  <c r="AQ7" i="34"/>
  <c r="AP7" i="34"/>
  <c r="AO7" i="34"/>
  <c r="AN7" i="34"/>
  <c r="AM7" i="34"/>
  <c r="AL7" i="34"/>
  <c r="AK7" i="34"/>
  <c r="AJ7" i="34"/>
  <c r="AI7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J6" i="34" s="1"/>
  <c r="I7" i="34"/>
  <c r="H7" i="34"/>
  <c r="G7" i="34"/>
  <c r="F7" i="34"/>
  <c r="E7" i="34"/>
  <c r="D7" i="34"/>
  <c r="C7" i="34"/>
  <c r="B9" i="31"/>
  <c r="B314" i="31" s="1"/>
  <c r="AT32" i="31"/>
  <c r="AQ343" i="31" l="1"/>
  <c r="F31" i="36"/>
  <c r="AQ332" i="31"/>
  <c r="F20" i="36"/>
  <c r="AQ337" i="31"/>
  <c r="F25" i="36"/>
  <c r="AQ344" i="31"/>
  <c r="F32" i="36"/>
  <c r="AQ345" i="31"/>
  <c r="F33" i="36"/>
  <c r="R302" i="31"/>
  <c r="R290" i="31"/>
  <c r="R295" i="31"/>
  <c r="R283" i="31"/>
  <c r="R303" i="31"/>
  <c r="R299" i="31"/>
  <c r="R280" i="31"/>
  <c r="R306" i="31"/>
  <c r="R297" i="31"/>
  <c r="R292" i="31"/>
  <c r="R259" i="31"/>
  <c r="R247" i="31"/>
  <c r="R235" i="31"/>
  <c r="R305" i="31"/>
  <c r="R279" i="31"/>
  <c r="R277" i="31"/>
  <c r="R275" i="31"/>
  <c r="R260" i="31"/>
  <c r="R241" i="31"/>
  <c r="R229" i="31"/>
  <c r="R217" i="31"/>
  <c r="R205" i="31"/>
  <c r="R193" i="31"/>
  <c r="R286" i="31"/>
  <c r="R281" i="31"/>
  <c r="R278" i="31"/>
  <c r="R268" i="31"/>
  <c r="R294" i="31"/>
  <c r="R270" i="31"/>
  <c r="R225" i="31"/>
  <c r="R206" i="31"/>
  <c r="R187" i="31"/>
  <c r="R177" i="31"/>
  <c r="R165" i="31"/>
  <c r="R153" i="31"/>
  <c r="R304" i="31"/>
  <c r="R288" i="31"/>
  <c r="R266" i="31"/>
  <c r="R258" i="31"/>
  <c r="R256" i="31"/>
  <c r="R255" i="31"/>
  <c r="R254" i="31"/>
  <c r="R253" i="31"/>
  <c r="R230" i="31"/>
  <c r="R207" i="31"/>
  <c r="R201" i="31"/>
  <c r="R195" i="31"/>
  <c r="R189" i="31"/>
  <c r="R175" i="31"/>
  <c r="R167" i="31"/>
  <c r="R156" i="31"/>
  <c r="R148" i="31"/>
  <c r="R146" i="31"/>
  <c r="R134" i="31"/>
  <c r="R122" i="31"/>
  <c r="R110" i="31"/>
  <c r="R98" i="31"/>
  <c r="R86" i="31"/>
  <c r="R74" i="31"/>
  <c r="R62" i="31"/>
  <c r="R50" i="31"/>
  <c r="R38" i="31"/>
  <c r="R26" i="31"/>
  <c r="R14" i="31"/>
  <c r="R265" i="31"/>
  <c r="R257" i="31"/>
  <c r="R251" i="31"/>
  <c r="R240" i="31"/>
  <c r="R234" i="31"/>
  <c r="R178" i="31"/>
  <c r="R172" i="31"/>
  <c r="R166" i="31"/>
  <c r="R137" i="31"/>
  <c r="R129" i="31"/>
  <c r="R118" i="31"/>
  <c r="R99" i="31"/>
  <c r="R80" i="31"/>
  <c r="R61" i="31"/>
  <c r="R42" i="31"/>
  <c r="R31" i="31"/>
  <c r="R23" i="31"/>
  <c r="R12" i="31"/>
  <c r="R289" i="31"/>
  <c r="R276" i="31"/>
  <c r="R246" i="31"/>
  <c r="R160" i="31"/>
  <c r="R154" i="31"/>
  <c r="R145" i="31"/>
  <c r="R115" i="31"/>
  <c r="R107" i="31"/>
  <c r="R88" i="31"/>
  <c r="R77" i="31"/>
  <c r="R186" i="31"/>
  <c r="R184" i="31"/>
  <c r="R183" i="31"/>
  <c r="R126" i="31"/>
  <c r="R96" i="31"/>
  <c r="R285" i="31"/>
  <c r="R249" i="31"/>
  <c r="R227" i="31"/>
  <c r="R224" i="31"/>
  <c r="R221" i="31"/>
  <c r="R192" i="31"/>
  <c r="R284" i="31"/>
  <c r="R271" i="31"/>
  <c r="R245" i="31"/>
  <c r="R243" i="31"/>
  <c r="R198" i="31"/>
  <c r="R282" i="31"/>
  <c r="R239" i="31"/>
  <c r="R213" i="31"/>
  <c r="R200" i="31"/>
  <c r="R155" i="31"/>
  <c r="R150" i="31"/>
  <c r="R131" i="31"/>
  <c r="R130" i="31"/>
  <c r="R93" i="31"/>
  <c r="R92" i="31"/>
  <c r="R91" i="31"/>
  <c r="R64" i="31"/>
  <c r="R52" i="31"/>
  <c r="R46" i="31"/>
  <c r="R11" i="31"/>
  <c r="R298" i="31"/>
  <c r="R267" i="31"/>
  <c r="R250" i="31"/>
  <c r="R210" i="31"/>
  <c r="R161" i="31"/>
  <c r="R133" i="31"/>
  <c r="R132" i="31"/>
  <c r="R242" i="31"/>
  <c r="R238" i="31"/>
  <c r="R231" i="31"/>
  <c r="R287" i="31"/>
  <c r="R274" i="31"/>
  <c r="R269" i="31"/>
  <c r="R222" i="31"/>
  <c r="R216" i="31"/>
  <c r="R203" i="31"/>
  <c r="R196" i="31"/>
  <c r="R190" i="31"/>
  <c r="R181" i="31"/>
  <c r="R159" i="31"/>
  <c r="R157" i="31"/>
  <c r="R151" i="31"/>
  <c r="R301" i="31"/>
  <c r="R293" i="31"/>
  <c r="R252" i="31"/>
  <c r="R264" i="31"/>
  <c r="R220" i="31"/>
  <c r="R219" i="31"/>
  <c r="R215" i="31"/>
  <c r="R197" i="31"/>
  <c r="R169" i="31"/>
  <c r="R144" i="31"/>
  <c r="R141" i="31"/>
  <c r="R296" i="31"/>
  <c r="R236" i="31"/>
  <c r="R214" i="31"/>
  <c r="R194" i="31"/>
  <c r="R174" i="31"/>
  <c r="R158" i="31"/>
  <c r="R127" i="31"/>
  <c r="R237" i="31"/>
  <c r="R223" i="31"/>
  <c r="R139" i="31"/>
  <c r="R136" i="31"/>
  <c r="R89" i="31"/>
  <c r="R84" i="31"/>
  <c r="R79" i="31"/>
  <c r="R261" i="31"/>
  <c r="R185" i="31"/>
  <c r="R163" i="31"/>
  <c r="R121" i="31"/>
  <c r="R101" i="31"/>
  <c r="R272" i="31"/>
  <c r="R244" i="31"/>
  <c r="R232" i="31"/>
  <c r="R211" i="31"/>
  <c r="R262" i="31"/>
  <c r="R212" i="31"/>
  <c r="R188" i="31"/>
  <c r="R182" i="31"/>
  <c r="R179" i="31"/>
  <c r="R202" i="31"/>
  <c r="R171" i="31"/>
  <c r="R170" i="31"/>
  <c r="R152" i="31"/>
  <c r="R149" i="31"/>
  <c r="R124" i="31"/>
  <c r="R114" i="31"/>
  <c r="R112" i="31"/>
  <c r="R95" i="31"/>
  <c r="R108" i="31"/>
  <c r="R106" i="31"/>
  <c r="R104" i="31"/>
  <c r="R83" i="31"/>
  <c r="R65" i="31"/>
  <c r="R59" i="31"/>
  <c r="R48" i="31"/>
  <c r="R248" i="31"/>
  <c r="R228" i="31"/>
  <c r="R226" i="31"/>
  <c r="R143" i="31"/>
  <c r="R135" i="31"/>
  <c r="R123" i="31"/>
  <c r="R102" i="31"/>
  <c r="R100" i="31"/>
  <c r="R191" i="31"/>
  <c r="R147" i="31"/>
  <c r="R142" i="31"/>
  <c r="R128" i="31"/>
  <c r="R113" i="31"/>
  <c r="R94" i="31"/>
  <c r="R78" i="31"/>
  <c r="R67" i="31"/>
  <c r="R55" i="31"/>
  <c r="R39" i="31"/>
  <c r="R33" i="31"/>
  <c r="R22" i="31"/>
  <c r="R16" i="31"/>
  <c r="R70" i="31"/>
  <c r="R58" i="31"/>
  <c r="R43" i="31"/>
  <c r="R28" i="31"/>
  <c r="R291" i="31"/>
  <c r="R218" i="31"/>
  <c r="R209" i="31"/>
  <c r="R119" i="31"/>
  <c r="R105" i="31"/>
  <c r="R34" i="31"/>
  <c r="R168" i="31"/>
  <c r="R120" i="31"/>
  <c r="R75" i="31"/>
  <c r="R73" i="31"/>
  <c r="R49" i="31"/>
  <c r="R111" i="31"/>
  <c r="R85" i="31"/>
  <c r="R40" i="31"/>
  <c r="R233" i="31"/>
  <c r="R204" i="31"/>
  <c r="R176" i="31"/>
  <c r="R97" i="31"/>
  <c r="R90" i="31"/>
  <c r="R72" i="31"/>
  <c r="R71" i="31"/>
  <c r="R63" i="31"/>
  <c r="R29" i="31"/>
  <c r="R20" i="31"/>
  <c r="R76" i="31"/>
  <c r="R54" i="31"/>
  <c r="R44" i="31"/>
  <c r="R24" i="31"/>
  <c r="R17" i="31"/>
  <c r="R9" i="31"/>
  <c r="R300" i="31"/>
  <c r="R53" i="31"/>
  <c r="R45" i="31"/>
  <c r="R103" i="31"/>
  <c r="R82" i="31"/>
  <c r="R51" i="31"/>
  <c r="R37" i="31"/>
  <c r="R140" i="31"/>
  <c r="R81" i="31"/>
  <c r="R41" i="31"/>
  <c r="R36" i="31"/>
  <c r="R32" i="31"/>
  <c r="R199" i="31"/>
  <c r="R164" i="31"/>
  <c r="R27" i="31"/>
  <c r="R13" i="31"/>
  <c r="R273" i="31"/>
  <c r="R116" i="31"/>
  <c r="R66" i="31"/>
  <c r="R208" i="31"/>
  <c r="R56" i="31"/>
  <c r="R173" i="31"/>
  <c r="R263" i="31"/>
  <c r="R180" i="31"/>
  <c r="R162" i="31"/>
  <c r="R69" i="31"/>
  <c r="R68" i="31"/>
  <c r="R60" i="31"/>
  <c r="R19" i="31"/>
  <c r="R117" i="31"/>
  <c r="R138" i="31"/>
  <c r="R57" i="31"/>
  <c r="R35" i="31"/>
  <c r="R10" i="31"/>
  <c r="R25" i="31"/>
  <c r="R21" i="31"/>
  <c r="R15" i="31"/>
  <c r="R47" i="31"/>
  <c r="R125" i="31"/>
  <c r="R30" i="31"/>
  <c r="R87" i="31"/>
  <c r="R18" i="31"/>
  <c r="R109" i="31"/>
  <c r="AD302" i="31"/>
  <c r="AD290" i="31"/>
  <c r="AD295" i="31"/>
  <c r="AD283" i="31"/>
  <c r="AD300" i="31"/>
  <c r="AD293" i="31"/>
  <c r="AD287" i="31"/>
  <c r="AD303" i="31"/>
  <c r="AD298" i="31"/>
  <c r="AD292" i="31"/>
  <c r="AD291" i="31"/>
  <c r="AD278" i="31"/>
  <c r="AD270" i="31"/>
  <c r="AD259" i="31"/>
  <c r="AD247" i="31"/>
  <c r="AD235" i="31"/>
  <c r="AD289" i="31"/>
  <c r="AD284" i="31"/>
  <c r="AD263" i="31"/>
  <c r="AD252" i="31"/>
  <c r="AD244" i="31"/>
  <c r="AD233" i="31"/>
  <c r="AD229" i="31"/>
  <c r="AD217" i="31"/>
  <c r="AD205" i="31"/>
  <c r="AD193" i="31"/>
  <c r="AD296" i="31"/>
  <c r="AD306" i="31"/>
  <c r="AD305" i="31"/>
  <c r="AD286" i="31"/>
  <c r="AD277" i="31"/>
  <c r="AD274" i="31"/>
  <c r="AD242" i="31"/>
  <c r="AD236" i="31"/>
  <c r="AD228" i="31"/>
  <c r="AD209" i="31"/>
  <c r="AD198" i="31"/>
  <c r="AD190" i="31"/>
  <c r="AD177" i="31"/>
  <c r="AD165" i="31"/>
  <c r="AD153" i="31"/>
  <c r="AD265" i="31"/>
  <c r="AD241" i="31"/>
  <c r="AD240" i="31"/>
  <c r="AD238" i="31"/>
  <c r="AD232" i="31"/>
  <c r="AD225" i="31"/>
  <c r="AD202" i="31"/>
  <c r="AD196" i="31"/>
  <c r="AD184" i="31"/>
  <c r="AD178" i="31"/>
  <c r="AD159" i="31"/>
  <c r="AD146" i="31"/>
  <c r="AD134" i="31"/>
  <c r="AD122" i="31"/>
  <c r="AD110" i="31"/>
  <c r="AD98" i="31"/>
  <c r="AD86" i="31"/>
  <c r="AD74" i="31"/>
  <c r="AD62" i="31"/>
  <c r="AD50" i="31"/>
  <c r="AD38" i="31"/>
  <c r="AD26" i="31"/>
  <c r="AD14" i="31"/>
  <c r="AD294" i="31"/>
  <c r="AD255" i="31"/>
  <c r="AD179" i="31"/>
  <c r="AD173" i="31"/>
  <c r="AD167" i="31"/>
  <c r="AD161" i="31"/>
  <c r="AD140" i="31"/>
  <c r="AD121" i="31"/>
  <c r="AD102" i="31"/>
  <c r="AD91" i="31"/>
  <c r="AD83" i="31"/>
  <c r="AD72" i="31"/>
  <c r="AD64" i="31"/>
  <c r="AD53" i="31"/>
  <c r="AD45" i="31"/>
  <c r="AD34" i="31"/>
  <c r="AD15" i="31"/>
  <c r="AD267" i="31"/>
  <c r="AD264" i="31"/>
  <c r="AD261" i="31"/>
  <c r="AD250" i="31"/>
  <c r="AD137" i="31"/>
  <c r="AD118" i="31"/>
  <c r="AD155" i="31"/>
  <c r="AD149" i="31"/>
  <c r="AD129" i="31"/>
  <c r="AD99" i="31"/>
  <c r="AD80" i="31"/>
  <c r="AD301" i="31"/>
  <c r="AD304" i="31"/>
  <c r="AD279" i="31"/>
  <c r="AD214" i="31"/>
  <c r="AD181" i="31"/>
  <c r="AD257" i="31"/>
  <c r="AD223" i="31"/>
  <c r="AD220" i="31"/>
  <c r="AD194" i="31"/>
  <c r="AD191" i="31"/>
  <c r="AD188" i="31"/>
  <c r="AD185" i="31"/>
  <c r="AD230" i="31"/>
  <c r="AD204" i="31"/>
  <c r="AD175" i="31"/>
  <c r="AD154" i="31"/>
  <c r="AD123" i="31"/>
  <c r="AD119" i="31"/>
  <c r="AD85" i="31"/>
  <c r="AD84" i="31"/>
  <c r="AD81" i="31"/>
  <c r="AD59" i="31"/>
  <c r="AD47" i="31"/>
  <c r="AD41" i="31"/>
  <c r="AD18" i="31"/>
  <c r="AD285" i="31"/>
  <c r="AD237" i="31"/>
  <c r="AD222" i="31"/>
  <c r="AD206" i="31"/>
  <c r="AD201" i="31"/>
  <c r="AD170" i="31"/>
  <c r="AD126" i="31"/>
  <c r="AD125" i="31"/>
  <c r="AD299" i="31"/>
  <c r="AD276" i="31"/>
  <c r="AD273" i="31"/>
  <c r="AD288" i="31"/>
  <c r="AD253" i="31"/>
  <c r="AD213" i="31"/>
  <c r="AD207" i="31"/>
  <c r="AD162" i="31"/>
  <c r="AD152" i="31"/>
  <c r="AD150" i="31"/>
  <c r="AD148" i="31"/>
  <c r="AD266" i="31"/>
  <c r="AD258" i="31"/>
  <c r="AD256" i="31"/>
  <c r="AD218" i="31"/>
  <c r="AD226" i="31"/>
  <c r="AD189" i="31"/>
  <c r="AD262" i="31"/>
  <c r="AD227" i="31"/>
  <c r="AD208" i="31"/>
  <c r="AD157" i="31"/>
  <c r="AD269" i="31"/>
  <c r="AD203" i="31"/>
  <c r="AD187" i="31"/>
  <c r="AD186" i="31"/>
  <c r="AD143" i="31"/>
  <c r="AD132" i="31"/>
  <c r="AD93" i="31"/>
  <c r="AD88" i="31"/>
  <c r="AD70" i="31"/>
  <c r="AD69" i="31"/>
  <c r="AD68" i="31"/>
  <c r="AD67" i="31"/>
  <c r="AD66" i="31"/>
  <c r="AD65" i="31"/>
  <c r="AD281" i="31"/>
  <c r="AD268" i="31"/>
  <c r="AD254" i="31"/>
  <c r="AD249" i="31"/>
  <c r="AD117" i="31"/>
  <c r="AD280" i="31"/>
  <c r="AD245" i="31"/>
  <c r="AD224" i="31"/>
  <c r="AD183" i="31"/>
  <c r="AD182" i="31"/>
  <c r="AD282" i="31"/>
  <c r="AD260" i="31"/>
  <c r="AD248" i="31"/>
  <c r="AD221" i="31"/>
  <c r="AD246" i="31"/>
  <c r="AD141" i="31"/>
  <c r="AD133" i="31"/>
  <c r="AD113" i="31"/>
  <c r="AD111" i="31"/>
  <c r="AD107" i="31"/>
  <c r="AD82" i="31"/>
  <c r="AD76" i="31"/>
  <c r="AD158" i="31"/>
  <c r="AD103" i="31"/>
  <c r="AD101" i="31"/>
  <c r="AD94" i="31"/>
  <c r="AD58" i="31"/>
  <c r="AD52" i="31"/>
  <c r="AD180" i="31"/>
  <c r="AD174" i="31"/>
  <c r="AD139" i="31"/>
  <c r="AD120" i="31"/>
  <c r="AD97" i="31"/>
  <c r="AD231" i="31"/>
  <c r="AD211" i="31"/>
  <c r="AD172" i="31"/>
  <c r="AD63" i="31"/>
  <c r="AD60" i="31"/>
  <c r="AD37" i="31"/>
  <c r="AD9" i="31"/>
  <c r="AD195" i="31"/>
  <c r="AD116" i="31"/>
  <c r="AD109" i="31"/>
  <c r="AD95" i="31"/>
  <c r="AD54" i="31"/>
  <c r="AD51" i="31"/>
  <c r="AD48" i="31"/>
  <c r="AD32" i="31"/>
  <c r="AD169" i="31"/>
  <c r="AD166" i="31"/>
  <c r="AD144" i="31"/>
  <c r="AD138" i="31"/>
  <c r="AD131" i="31"/>
  <c r="AD124" i="31"/>
  <c r="AD92" i="31"/>
  <c r="AD79" i="31"/>
  <c r="AD42" i="31"/>
  <c r="AD251" i="31"/>
  <c r="AD215" i="31"/>
  <c r="AD197" i="31"/>
  <c r="AD115" i="31"/>
  <c r="AD27" i="31"/>
  <c r="AD21" i="31"/>
  <c r="AD10" i="31"/>
  <c r="AD271" i="31"/>
  <c r="AD171" i="31"/>
  <c r="AD128" i="31"/>
  <c r="AD22" i="31"/>
  <c r="AD156" i="31"/>
  <c r="AD135" i="31"/>
  <c r="AD210" i="31"/>
  <c r="AD160" i="31"/>
  <c r="AD142" i="31"/>
  <c r="AD49" i="31"/>
  <c r="AD36" i="31"/>
  <c r="AD13" i="31"/>
  <c r="AD55" i="31"/>
  <c r="AD12" i="31"/>
  <c r="AD151" i="31"/>
  <c r="AD127" i="31"/>
  <c r="AD73" i="31"/>
  <c r="AD56" i="31"/>
  <c r="AD46" i="31"/>
  <c r="AD30" i="31"/>
  <c r="AD17" i="31"/>
  <c r="AD219" i="31"/>
  <c r="AD168" i="31"/>
  <c r="AD136" i="31"/>
  <c r="AD96" i="31"/>
  <c r="AD212" i="31"/>
  <c r="AD163" i="31"/>
  <c r="AD75" i="31"/>
  <c r="AD33" i="31"/>
  <c r="AD176" i="31"/>
  <c r="AD114" i="31"/>
  <c r="AD105" i="31"/>
  <c r="AD77" i="31"/>
  <c r="AD61" i="31"/>
  <c r="AD200" i="31"/>
  <c r="AD164" i="31"/>
  <c r="AD40" i="31"/>
  <c r="AD31" i="31"/>
  <c r="AD275" i="31"/>
  <c r="AD199" i="31"/>
  <c r="AD145" i="31"/>
  <c r="AD112" i="31"/>
  <c r="AD108" i="31"/>
  <c r="AD39" i="31"/>
  <c r="AD35" i="31"/>
  <c r="AD297" i="31"/>
  <c r="AD216" i="31"/>
  <c r="AD147" i="31"/>
  <c r="AD104" i="31"/>
  <c r="AD29" i="31"/>
  <c r="AD192" i="31"/>
  <c r="AD25" i="31"/>
  <c r="AD71" i="31"/>
  <c r="AD19" i="31"/>
  <c r="AD16" i="31"/>
  <c r="AD106" i="31"/>
  <c r="AD78" i="31"/>
  <c r="AD28" i="31"/>
  <c r="AD130" i="31"/>
  <c r="AD24" i="31"/>
  <c r="AD44" i="31"/>
  <c r="AD11" i="31"/>
  <c r="AD43" i="31"/>
  <c r="AD23" i="31"/>
  <c r="AD90" i="31"/>
  <c r="H300" i="31"/>
  <c r="H288" i="31"/>
  <c r="H305" i="31"/>
  <c r="H293" i="31"/>
  <c r="H281" i="31"/>
  <c r="H297" i="31"/>
  <c r="H274" i="31"/>
  <c r="H302" i="31"/>
  <c r="H299" i="31"/>
  <c r="H282" i="31"/>
  <c r="H275" i="31"/>
  <c r="H257" i="31"/>
  <c r="H245" i="31"/>
  <c r="H233" i="31"/>
  <c r="H304" i="31"/>
  <c r="H272" i="31"/>
  <c r="H262" i="31"/>
  <c r="H254" i="31"/>
  <c r="H243" i="31"/>
  <c r="H235" i="31"/>
  <c r="H227" i="31"/>
  <c r="H215" i="31"/>
  <c r="H203" i="31"/>
  <c r="H191" i="31"/>
  <c r="H295" i="31"/>
  <c r="H292" i="31"/>
  <c r="H283" i="31"/>
  <c r="H276" i="31"/>
  <c r="H239" i="31"/>
  <c r="H219" i="31"/>
  <c r="H208" i="31"/>
  <c r="H189" i="31"/>
  <c r="H175" i="31"/>
  <c r="H163" i="31"/>
  <c r="H151" i="31"/>
  <c r="H301" i="31"/>
  <c r="H289" i="31"/>
  <c r="H217" i="31"/>
  <c r="H211" i="31"/>
  <c r="H205" i="31"/>
  <c r="H199" i="31"/>
  <c r="H169" i="31"/>
  <c r="H150" i="31"/>
  <c r="H144" i="31"/>
  <c r="H132" i="31"/>
  <c r="H120" i="31"/>
  <c r="H108" i="31"/>
  <c r="H96" i="31"/>
  <c r="H84" i="31"/>
  <c r="H72" i="31"/>
  <c r="H60" i="31"/>
  <c r="H48" i="31"/>
  <c r="H36" i="31"/>
  <c r="H24" i="31"/>
  <c r="H12" i="31"/>
  <c r="H291" i="31"/>
  <c r="H280" i="31"/>
  <c r="H259" i="31"/>
  <c r="H248" i="31"/>
  <c r="H242" i="31"/>
  <c r="H216" i="31"/>
  <c r="H213" i="31"/>
  <c r="H210" i="31"/>
  <c r="H209" i="31"/>
  <c r="H207" i="31"/>
  <c r="H206" i="31"/>
  <c r="H182" i="31"/>
  <c r="H176" i="31"/>
  <c r="H153" i="31"/>
  <c r="H131" i="31"/>
  <c r="H112" i="31"/>
  <c r="H101" i="31"/>
  <c r="H93" i="31"/>
  <c r="H82" i="31"/>
  <c r="H74" i="31"/>
  <c r="H63" i="31"/>
  <c r="H55" i="31"/>
  <c r="H44" i="31"/>
  <c r="H25" i="31"/>
  <c r="H287" i="31"/>
  <c r="H237" i="31"/>
  <c r="H221" i="31"/>
  <c r="H220" i="31"/>
  <c r="H218" i="31"/>
  <c r="H214" i="31"/>
  <c r="H212" i="31"/>
  <c r="H170" i="31"/>
  <c r="H164" i="31"/>
  <c r="H152" i="31"/>
  <c r="H147" i="31"/>
  <c r="H139" i="31"/>
  <c r="H109" i="31"/>
  <c r="H158" i="31"/>
  <c r="H128" i="31"/>
  <c r="H90" i="31"/>
  <c r="H303" i="31"/>
  <c r="H290" i="31"/>
  <c r="H252" i="31"/>
  <c r="H244" i="31"/>
  <c r="H196" i="31"/>
  <c r="H193" i="31"/>
  <c r="H190" i="31"/>
  <c r="H180" i="31"/>
  <c r="H273" i="31"/>
  <c r="H269" i="31"/>
  <c r="H246" i="31"/>
  <c r="H238" i="31"/>
  <c r="H202" i="31"/>
  <c r="H306" i="31"/>
  <c r="H255" i="31"/>
  <c r="H230" i="31"/>
  <c r="H204" i="31"/>
  <c r="H143" i="31"/>
  <c r="H142" i="31"/>
  <c r="H105" i="31"/>
  <c r="H104" i="31"/>
  <c r="H62" i="31"/>
  <c r="H56" i="31"/>
  <c r="H21" i="31"/>
  <c r="H15" i="31"/>
  <c r="H279" i="31"/>
  <c r="H278" i="31"/>
  <c r="H240" i="31"/>
  <c r="H232" i="31"/>
  <c r="H222" i="31"/>
  <c r="H188" i="31"/>
  <c r="H179" i="31"/>
  <c r="H174" i="31"/>
  <c r="H146" i="31"/>
  <c r="H145" i="31"/>
  <c r="H277" i="31"/>
  <c r="H268" i="31"/>
  <c r="H261" i="31"/>
  <c r="H258" i="31"/>
  <c r="H186" i="31"/>
  <c r="H172" i="31"/>
  <c r="H162" i="31"/>
  <c r="H160" i="31"/>
  <c r="H156" i="31"/>
  <c r="H154" i="31"/>
  <c r="H241" i="31"/>
  <c r="H223" i="31"/>
  <c r="H267" i="31"/>
  <c r="H187" i="31"/>
  <c r="H185" i="31"/>
  <c r="H165" i="31"/>
  <c r="H157" i="31"/>
  <c r="H149" i="31"/>
  <c r="H250" i="31"/>
  <c r="H178" i="31"/>
  <c r="H201" i="31"/>
  <c r="H137" i="31"/>
  <c r="H134" i="31"/>
  <c r="H107" i="31"/>
  <c r="H91" i="31"/>
  <c r="H86" i="31"/>
  <c r="H81" i="31"/>
  <c r="H76" i="31"/>
  <c r="H294" i="31"/>
  <c r="H286" i="31"/>
  <c r="H236" i="31"/>
  <c r="H183" i="31"/>
  <c r="H138" i="31"/>
  <c r="H125" i="31"/>
  <c r="H114" i="31"/>
  <c r="H111" i="31"/>
  <c r="H102" i="31"/>
  <c r="H99" i="31"/>
  <c r="H296" i="31"/>
  <c r="H256" i="31"/>
  <c r="H226" i="31"/>
  <c r="H264" i="31"/>
  <c r="H247" i="31"/>
  <c r="H270" i="31"/>
  <c r="H265" i="31"/>
  <c r="H260" i="31"/>
  <c r="H251" i="31"/>
  <c r="H249" i="31"/>
  <c r="H231" i="31"/>
  <c r="H229" i="31"/>
  <c r="H225" i="31"/>
  <c r="H194" i="31"/>
  <c r="H184" i="31"/>
  <c r="H115" i="31"/>
  <c r="H197" i="31"/>
  <c r="H167" i="31"/>
  <c r="H166" i="31"/>
  <c r="H79" i="31"/>
  <c r="H73" i="31"/>
  <c r="H14" i="31"/>
  <c r="H13" i="31"/>
  <c r="H11" i="31"/>
  <c r="H10" i="31"/>
  <c r="H9" i="31"/>
  <c r="H298" i="31"/>
  <c r="H253" i="31"/>
  <c r="H168" i="31"/>
  <c r="H130" i="31"/>
  <c r="H97" i="31"/>
  <c r="H94" i="31"/>
  <c r="H181" i="31"/>
  <c r="H126" i="31"/>
  <c r="H123" i="31"/>
  <c r="H92" i="31"/>
  <c r="H50" i="31"/>
  <c r="H47" i="31"/>
  <c r="H30" i="31"/>
  <c r="H19" i="31"/>
  <c r="H234" i="31"/>
  <c r="H140" i="31"/>
  <c r="H127" i="31"/>
  <c r="H89" i="31"/>
  <c r="H271" i="31"/>
  <c r="H198" i="31"/>
  <c r="H171" i="31"/>
  <c r="H133" i="31"/>
  <c r="H122" i="31"/>
  <c r="H95" i="31"/>
  <c r="H177" i="31"/>
  <c r="H100" i="31"/>
  <c r="H69" i="31"/>
  <c r="H66" i="31"/>
  <c r="H57" i="31"/>
  <c r="H54" i="31"/>
  <c r="H51" i="31"/>
  <c r="H37" i="31"/>
  <c r="H31" i="31"/>
  <c r="H20" i="31"/>
  <c r="H285" i="31"/>
  <c r="H161" i="31"/>
  <c r="H159" i="31"/>
  <c r="H141" i="31"/>
  <c r="H121" i="31"/>
  <c r="H26" i="31"/>
  <c r="H284" i="31"/>
  <c r="H113" i="31"/>
  <c r="H85" i="31"/>
  <c r="H148" i="31"/>
  <c r="H117" i="31"/>
  <c r="H65" i="31"/>
  <c r="H40" i="31"/>
  <c r="H78" i="31"/>
  <c r="H77" i="31"/>
  <c r="H38" i="31"/>
  <c r="H34" i="31"/>
  <c r="H110" i="31"/>
  <c r="H98" i="31"/>
  <c r="H71" i="31"/>
  <c r="H70" i="31"/>
  <c r="H29" i="31"/>
  <c r="H173" i="31"/>
  <c r="H119" i="31"/>
  <c r="H61" i="31"/>
  <c r="H52" i="31"/>
  <c r="H33" i="31"/>
  <c r="H17" i="31"/>
  <c r="H43" i="31"/>
  <c r="H32" i="31"/>
  <c r="H195" i="31"/>
  <c r="H192" i="31"/>
  <c r="H103" i="31"/>
  <c r="H118" i="31"/>
  <c r="H88" i="31"/>
  <c r="H87" i="31"/>
  <c r="H75" i="31"/>
  <c r="H64" i="31"/>
  <c r="H46" i="31"/>
  <c r="H35" i="31"/>
  <c r="H18" i="31"/>
  <c r="H228" i="31"/>
  <c r="H224" i="31"/>
  <c r="H135" i="31"/>
  <c r="H106" i="31"/>
  <c r="H45" i="31"/>
  <c r="H39" i="31"/>
  <c r="H263" i="31"/>
  <c r="H53" i="31"/>
  <c r="H129" i="31"/>
  <c r="H42" i="31"/>
  <c r="H80" i="31"/>
  <c r="H124" i="31"/>
  <c r="H68" i="31"/>
  <c r="H58" i="31"/>
  <c r="H23" i="31"/>
  <c r="H116" i="31"/>
  <c r="H49" i="31"/>
  <c r="H16" i="31"/>
  <c r="H28" i="31"/>
  <c r="H83" i="31"/>
  <c r="H41" i="31"/>
  <c r="H266" i="31"/>
  <c r="H27" i="31"/>
  <c r="H136" i="31"/>
  <c r="H59" i="31"/>
  <c r="H155" i="31"/>
  <c r="H67" i="31"/>
  <c r="H22" i="31"/>
  <c r="T300" i="31"/>
  <c r="T288" i="31"/>
  <c r="T305" i="31"/>
  <c r="T293" i="31"/>
  <c r="T281" i="31"/>
  <c r="T304" i="31"/>
  <c r="T291" i="31"/>
  <c r="T285" i="31"/>
  <c r="T274" i="31"/>
  <c r="T296" i="31"/>
  <c r="T276" i="31"/>
  <c r="T272" i="31"/>
  <c r="T257" i="31"/>
  <c r="T245" i="31"/>
  <c r="T233" i="31"/>
  <c r="T273" i="31"/>
  <c r="T265" i="31"/>
  <c r="T246" i="31"/>
  <c r="T227" i="31"/>
  <c r="T215" i="31"/>
  <c r="T203" i="31"/>
  <c r="T191" i="31"/>
  <c r="T294" i="31"/>
  <c r="T262" i="31"/>
  <c r="T297" i="31"/>
  <c r="T295" i="31"/>
  <c r="T289" i="31"/>
  <c r="T287" i="31"/>
  <c r="T275" i="31"/>
  <c r="T271" i="31"/>
  <c r="T252" i="31"/>
  <c r="T240" i="31"/>
  <c r="T234" i="31"/>
  <c r="T230" i="31"/>
  <c r="T222" i="31"/>
  <c r="T211" i="31"/>
  <c r="T192" i="31"/>
  <c r="T175" i="31"/>
  <c r="T163" i="31"/>
  <c r="T151" i="31"/>
  <c r="T212" i="31"/>
  <c r="T206" i="31"/>
  <c r="T200" i="31"/>
  <c r="T194" i="31"/>
  <c r="T180" i="31"/>
  <c r="T172" i="31"/>
  <c r="T161" i="31"/>
  <c r="T153" i="31"/>
  <c r="T144" i="31"/>
  <c r="T132" i="31"/>
  <c r="T120" i="31"/>
  <c r="T108" i="31"/>
  <c r="T96" i="31"/>
  <c r="T84" i="31"/>
  <c r="T72" i="31"/>
  <c r="T60" i="31"/>
  <c r="T48" i="31"/>
  <c r="T36" i="31"/>
  <c r="T24" i="31"/>
  <c r="T12" i="31"/>
  <c r="T268" i="31"/>
  <c r="T189" i="31"/>
  <c r="T188" i="31"/>
  <c r="T187" i="31"/>
  <c r="T186" i="31"/>
  <c r="T185" i="31"/>
  <c r="T184" i="31"/>
  <c r="T183" i="31"/>
  <c r="T177" i="31"/>
  <c r="T171" i="31"/>
  <c r="T148" i="31"/>
  <c r="T142" i="31"/>
  <c r="T134" i="31"/>
  <c r="T123" i="31"/>
  <c r="T115" i="31"/>
  <c r="T104" i="31"/>
  <c r="T85" i="31"/>
  <c r="T66" i="31"/>
  <c r="T47" i="31"/>
  <c r="T28" i="31"/>
  <c r="T17" i="31"/>
  <c r="T9" i="31"/>
  <c r="T298" i="31"/>
  <c r="T235" i="31"/>
  <c r="T190" i="31"/>
  <c r="T159" i="31"/>
  <c r="T112" i="31"/>
  <c r="T82" i="31"/>
  <c r="T74" i="31"/>
  <c r="T199" i="31"/>
  <c r="T197" i="31"/>
  <c r="T196" i="31"/>
  <c r="T193" i="31"/>
  <c r="T165" i="31"/>
  <c r="T131" i="31"/>
  <c r="T101" i="31"/>
  <c r="T93" i="31"/>
  <c r="T306" i="31"/>
  <c r="T286" i="31"/>
  <c r="T241" i="31"/>
  <c r="T204" i="31"/>
  <c r="T201" i="31"/>
  <c r="T198" i="31"/>
  <c r="T195" i="31"/>
  <c r="T283" i="31"/>
  <c r="T282" i="31"/>
  <c r="T239" i="31"/>
  <c r="T237" i="31"/>
  <c r="T216" i="31"/>
  <c r="T213" i="31"/>
  <c r="T210" i="31"/>
  <c r="T207" i="31"/>
  <c r="T290" i="31"/>
  <c r="T267" i="31"/>
  <c r="T226" i="31"/>
  <c r="T181" i="31"/>
  <c r="T156" i="31"/>
  <c r="T136" i="31"/>
  <c r="T135" i="31"/>
  <c r="T98" i="31"/>
  <c r="T97" i="31"/>
  <c r="T69" i="31"/>
  <c r="T57" i="31"/>
  <c r="T51" i="31"/>
  <c r="T16" i="31"/>
  <c r="T10" i="31"/>
  <c r="T261" i="31"/>
  <c r="T242" i="31"/>
  <c r="T231" i="31"/>
  <c r="T223" i="31"/>
  <c r="T218" i="31"/>
  <c r="T202" i="31"/>
  <c r="T139" i="31"/>
  <c r="T138" i="31"/>
  <c r="T137" i="31"/>
  <c r="T266" i="31"/>
  <c r="T260" i="31"/>
  <c r="T278" i="31"/>
  <c r="T263" i="31"/>
  <c r="T248" i="31"/>
  <c r="T209" i="31"/>
  <c r="T155" i="31"/>
  <c r="T149" i="31"/>
  <c r="T250" i="31"/>
  <c r="T221" i="31"/>
  <c r="T220" i="31"/>
  <c r="T302" i="31"/>
  <c r="T292" i="31"/>
  <c r="T256" i="31"/>
  <c r="T214" i="31"/>
  <c r="T158" i="31"/>
  <c r="T130" i="31"/>
  <c r="T127" i="31"/>
  <c r="T279" i="31"/>
  <c r="T251" i="31"/>
  <c r="T232" i="31"/>
  <c r="T225" i="31"/>
  <c r="T179" i="31"/>
  <c r="T166" i="31"/>
  <c r="T133" i="31"/>
  <c r="T301" i="31"/>
  <c r="T182" i="31"/>
  <c r="T176" i="31"/>
  <c r="T168" i="31"/>
  <c r="T150" i="31"/>
  <c r="T125" i="31"/>
  <c r="T121" i="31"/>
  <c r="T116" i="31"/>
  <c r="T111" i="31"/>
  <c r="T106" i="31"/>
  <c r="T95" i="31"/>
  <c r="T90" i="31"/>
  <c r="T277" i="31"/>
  <c r="T205" i="31"/>
  <c r="T164" i="31"/>
  <c r="T162" i="31"/>
  <c r="T140" i="31"/>
  <c r="T259" i="31"/>
  <c r="T280" i="31"/>
  <c r="T224" i="31"/>
  <c r="T208" i="31"/>
  <c r="T299" i="31"/>
  <c r="T284" i="31"/>
  <c r="T219" i="31"/>
  <c r="T178" i="31"/>
  <c r="T128" i="31"/>
  <c r="T110" i="31"/>
  <c r="T244" i="31"/>
  <c r="T217" i="31"/>
  <c r="T143" i="31"/>
  <c r="T129" i="31"/>
  <c r="T102" i="31"/>
  <c r="T75" i="31"/>
  <c r="T49" i="31"/>
  <c r="T43" i="31"/>
  <c r="T269" i="31"/>
  <c r="T264" i="31"/>
  <c r="T119" i="31"/>
  <c r="T117" i="31"/>
  <c r="T303" i="31"/>
  <c r="T258" i="31"/>
  <c r="T255" i="31"/>
  <c r="T243" i="31"/>
  <c r="T228" i="31"/>
  <c r="T154" i="31"/>
  <c r="T91" i="31"/>
  <c r="T64" i="31"/>
  <c r="T58" i="31"/>
  <c r="T52" i="31"/>
  <c r="T46" i="31"/>
  <c r="T11" i="31"/>
  <c r="T34" i="31"/>
  <c r="T88" i="31"/>
  <c r="T80" i="31"/>
  <c r="T68" i="31"/>
  <c r="T40" i="31"/>
  <c r="T29" i="31"/>
  <c r="T23" i="31"/>
  <c r="T249" i="31"/>
  <c r="T105" i="31"/>
  <c r="T83" i="31"/>
  <c r="T71" i="31"/>
  <c r="T65" i="31"/>
  <c r="T62" i="31"/>
  <c r="T56" i="31"/>
  <c r="T44" i="31"/>
  <c r="T35" i="31"/>
  <c r="T18" i="31"/>
  <c r="T254" i="31"/>
  <c r="T152" i="31"/>
  <c r="T122" i="31"/>
  <c r="T118" i="31"/>
  <c r="T77" i="31"/>
  <c r="T54" i="31"/>
  <c r="T53" i="31"/>
  <c r="T45" i="31"/>
  <c r="T270" i="31"/>
  <c r="T238" i="31"/>
  <c r="T169" i="31"/>
  <c r="T89" i="31"/>
  <c r="T38" i="31"/>
  <c r="T14" i="31"/>
  <c r="T229" i="31"/>
  <c r="T173" i="31"/>
  <c r="T167" i="31"/>
  <c r="T114" i="31"/>
  <c r="T79" i="31"/>
  <c r="T78" i="31"/>
  <c r="T33" i="31"/>
  <c r="T107" i="31"/>
  <c r="T42" i="31"/>
  <c r="T27" i="31"/>
  <c r="T13" i="31"/>
  <c r="T147" i="31"/>
  <c r="T145" i="31"/>
  <c r="T99" i="31"/>
  <c r="T94" i="31"/>
  <c r="T31" i="31"/>
  <c r="T22" i="31"/>
  <c r="T26" i="31"/>
  <c r="T109" i="31"/>
  <c r="T100" i="31"/>
  <c r="T253" i="31"/>
  <c r="T146" i="31"/>
  <c r="T92" i="31"/>
  <c r="T70" i="31"/>
  <c r="T61" i="31"/>
  <c r="T37" i="31"/>
  <c r="T19" i="31"/>
  <c r="T160" i="31"/>
  <c r="T126" i="31"/>
  <c r="T103" i="31"/>
  <c r="T81" i="31"/>
  <c r="T59" i="31"/>
  <c r="T50" i="31"/>
  <c r="T41" i="31"/>
  <c r="T32" i="31"/>
  <c r="T247" i="31"/>
  <c r="T124" i="31"/>
  <c r="T67" i="31"/>
  <c r="T157" i="31"/>
  <c r="T236" i="31"/>
  <c r="T170" i="31"/>
  <c r="T87" i="31"/>
  <c r="T30" i="31"/>
  <c r="T86" i="31"/>
  <c r="T73" i="31"/>
  <c r="T39" i="31"/>
  <c r="T25" i="31"/>
  <c r="T21" i="31"/>
  <c r="T15" i="31"/>
  <c r="T76" i="31"/>
  <c r="T55" i="31"/>
  <c r="T174" i="31"/>
  <c r="T63" i="31"/>
  <c r="T20" i="31"/>
  <c r="T113" i="31"/>
  <c r="T141" i="31"/>
  <c r="J305" i="31"/>
  <c r="J298" i="31"/>
  <c r="J286" i="31"/>
  <c r="J303" i="31"/>
  <c r="J291" i="31"/>
  <c r="J279" i="31"/>
  <c r="J289" i="31"/>
  <c r="J283" i="31"/>
  <c r="J272" i="31"/>
  <c r="J294" i="31"/>
  <c r="J287" i="31"/>
  <c r="J285" i="31"/>
  <c r="J280" i="31"/>
  <c r="J267" i="31"/>
  <c r="J255" i="31"/>
  <c r="J243" i="31"/>
  <c r="J306" i="31"/>
  <c r="J295" i="31"/>
  <c r="J271" i="31"/>
  <c r="J259" i="31"/>
  <c r="J248" i="31"/>
  <c r="J240" i="31"/>
  <c r="J225" i="31"/>
  <c r="J213" i="31"/>
  <c r="J201" i="31"/>
  <c r="J189" i="31"/>
  <c r="J301" i="31"/>
  <c r="J297" i="31"/>
  <c r="J290" i="31"/>
  <c r="J284" i="31"/>
  <c r="J273" i="31"/>
  <c r="J264" i="31"/>
  <c r="J263" i="31"/>
  <c r="J250" i="31"/>
  <c r="J244" i="31"/>
  <c r="J224" i="31"/>
  <c r="J205" i="31"/>
  <c r="J194" i="31"/>
  <c r="J186" i="31"/>
  <c r="J173" i="31"/>
  <c r="J161" i="31"/>
  <c r="J149" i="31"/>
  <c r="J300" i="31"/>
  <c r="J299" i="31"/>
  <c r="J269" i="31"/>
  <c r="J222" i="31"/>
  <c r="J216" i="31"/>
  <c r="J210" i="31"/>
  <c r="J204" i="31"/>
  <c r="J174" i="31"/>
  <c r="J155" i="31"/>
  <c r="J142" i="31"/>
  <c r="J130" i="31"/>
  <c r="J118" i="31"/>
  <c r="J106" i="31"/>
  <c r="J94" i="31"/>
  <c r="J82" i="31"/>
  <c r="J70" i="31"/>
  <c r="J58" i="31"/>
  <c r="J46" i="31"/>
  <c r="J34" i="31"/>
  <c r="J22" i="31"/>
  <c r="J10" i="31"/>
  <c r="J277" i="31"/>
  <c r="J260" i="31"/>
  <c r="J254" i="31"/>
  <c r="J226" i="31"/>
  <c r="J223" i="31"/>
  <c r="J220" i="31"/>
  <c r="J219" i="31"/>
  <c r="J217" i="31"/>
  <c r="J181" i="31"/>
  <c r="J158" i="31"/>
  <c r="J136" i="31"/>
  <c r="J117" i="31"/>
  <c r="J98" i="31"/>
  <c r="J87" i="31"/>
  <c r="J79" i="31"/>
  <c r="J68" i="31"/>
  <c r="J60" i="31"/>
  <c r="J49" i="31"/>
  <c r="J41" i="31"/>
  <c r="J30" i="31"/>
  <c r="J11" i="31"/>
  <c r="J304" i="31"/>
  <c r="J249" i="31"/>
  <c r="J232" i="31"/>
  <c r="J231" i="31"/>
  <c r="J230" i="31"/>
  <c r="J229" i="31"/>
  <c r="J228" i="31"/>
  <c r="J227" i="31"/>
  <c r="J163" i="31"/>
  <c r="J133" i="31"/>
  <c r="J125" i="31"/>
  <c r="J76" i="31"/>
  <c r="J175" i="31"/>
  <c r="J169" i="31"/>
  <c r="J157" i="31"/>
  <c r="J144" i="31"/>
  <c r="J114" i="31"/>
  <c r="J95" i="31"/>
  <c r="J278" i="31"/>
  <c r="J261" i="31"/>
  <c r="J242" i="31"/>
  <c r="J238" i="31"/>
  <c r="J292" i="31"/>
  <c r="J266" i="31"/>
  <c r="J236" i="31"/>
  <c r="J234" i="31"/>
  <c r="J214" i="31"/>
  <c r="J211" i="31"/>
  <c r="J208" i="31"/>
  <c r="J270" i="31"/>
  <c r="J196" i="31"/>
  <c r="J147" i="31"/>
  <c r="J110" i="31"/>
  <c r="J109" i="31"/>
  <c r="J75" i="31"/>
  <c r="J73" i="31"/>
  <c r="J67" i="31"/>
  <c r="J61" i="31"/>
  <c r="J26" i="31"/>
  <c r="J20" i="31"/>
  <c r="J302" i="31"/>
  <c r="J251" i="31"/>
  <c r="J206" i="31"/>
  <c r="J185" i="31"/>
  <c r="J153" i="31"/>
  <c r="J148" i="31"/>
  <c r="J268" i="31"/>
  <c r="J262" i="31"/>
  <c r="J258" i="31"/>
  <c r="J239" i="31"/>
  <c r="J218" i="31"/>
  <c r="J212" i="31"/>
  <c r="J199" i="31"/>
  <c r="J198" i="31"/>
  <c r="J152" i="31"/>
  <c r="J245" i="31"/>
  <c r="J235" i="31"/>
  <c r="J170" i="31"/>
  <c r="J162" i="31"/>
  <c r="J154" i="31"/>
  <c r="J134" i="31"/>
  <c r="J281" i="31"/>
  <c r="J202" i="31"/>
  <c r="J167" i="31"/>
  <c r="J159" i="31"/>
  <c r="J140" i="31"/>
  <c r="J137" i="31"/>
  <c r="J126" i="31"/>
  <c r="J296" i="31"/>
  <c r="J276" i="31"/>
  <c r="J200" i="31"/>
  <c r="J180" i="31"/>
  <c r="J151" i="31"/>
  <c r="J143" i="31"/>
  <c r="J129" i="31"/>
  <c r="J113" i="31"/>
  <c r="J43" i="31"/>
  <c r="J42" i="31"/>
  <c r="J275" i="31"/>
  <c r="J246" i="31"/>
  <c r="J241" i="31"/>
  <c r="J184" i="31"/>
  <c r="J172" i="31"/>
  <c r="J171" i="31"/>
  <c r="J288" i="31"/>
  <c r="J237" i="31"/>
  <c r="J197" i="31"/>
  <c r="J221" i="31"/>
  <c r="J176" i="31"/>
  <c r="J166" i="31"/>
  <c r="J165" i="31"/>
  <c r="J103" i="31"/>
  <c r="J209" i="31"/>
  <c r="J192" i="31"/>
  <c r="J177" i="31"/>
  <c r="J146" i="31"/>
  <c r="J138" i="31"/>
  <c r="J107" i="31"/>
  <c r="J105" i="31"/>
  <c r="J88" i="31"/>
  <c r="J85" i="31"/>
  <c r="J57" i="31"/>
  <c r="J27" i="31"/>
  <c r="J25" i="31"/>
  <c r="J24" i="31"/>
  <c r="J23" i="31"/>
  <c r="J21" i="31"/>
  <c r="J17" i="31"/>
  <c r="J150" i="31"/>
  <c r="J120" i="31"/>
  <c r="J116" i="31"/>
  <c r="J101" i="31"/>
  <c r="J187" i="31"/>
  <c r="J179" i="31"/>
  <c r="J160" i="31"/>
  <c r="J139" i="31"/>
  <c r="J127" i="31"/>
  <c r="J122" i="31"/>
  <c r="J108" i="31"/>
  <c r="J84" i="31"/>
  <c r="J36" i="31"/>
  <c r="J19" i="31"/>
  <c r="J66" i="31"/>
  <c r="J63" i="31"/>
  <c r="J54" i="31"/>
  <c r="J37" i="31"/>
  <c r="J31" i="31"/>
  <c r="J282" i="31"/>
  <c r="J274" i="31"/>
  <c r="J252" i="31"/>
  <c r="J191" i="31"/>
  <c r="J141" i="31"/>
  <c r="J135" i="31"/>
  <c r="J121" i="31"/>
  <c r="J81" i="31"/>
  <c r="J48" i="31"/>
  <c r="J207" i="31"/>
  <c r="J164" i="31"/>
  <c r="J115" i="31"/>
  <c r="J100" i="31"/>
  <c r="J89" i="31"/>
  <c r="J72" i="31"/>
  <c r="J69" i="31"/>
  <c r="J51" i="31"/>
  <c r="J168" i="31"/>
  <c r="J128" i="31"/>
  <c r="J99" i="31"/>
  <c r="J86" i="31"/>
  <c r="J78" i="31"/>
  <c r="J45" i="31"/>
  <c r="J32" i="31"/>
  <c r="J257" i="31"/>
  <c r="J40" i="31"/>
  <c r="J13" i="31"/>
  <c r="J65" i="31"/>
  <c r="J64" i="31"/>
  <c r="J35" i="31"/>
  <c r="J265" i="31"/>
  <c r="J233" i="31"/>
  <c r="J132" i="31"/>
  <c r="J97" i="31"/>
  <c r="J56" i="31"/>
  <c r="J55" i="31"/>
  <c r="J47" i="31"/>
  <c r="J39" i="31"/>
  <c r="J18" i="31"/>
  <c r="J15" i="31"/>
  <c r="J71" i="31"/>
  <c r="J29" i="31"/>
  <c r="J12" i="31"/>
  <c r="J9" i="31"/>
  <c r="J80" i="31"/>
  <c r="J62" i="31"/>
  <c r="J53" i="31"/>
  <c r="J52" i="31"/>
  <c r="J203" i="31"/>
  <c r="J123" i="31"/>
  <c r="J92" i="31"/>
  <c r="J44" i="31"/>
  <c r="J28" i="31"/>
  <c r="J14" i="31"/>
  <c r="J195" i="31"/>
  <c r="J93" i="31"/>
  <c r="J83" i="31"/>
  <c r="J215" i="31"/>
  <c r="J182" i="31"/>
  <c r="J124" i="31"/>
  <c r="J112" i="31"/>
  <c r="J190" i="31"/>
  <c r="J96" i="31"/>
  <c r="J74" i="31"/>
  <c r="J253" i="31"/>
  <c r="J193" i="31"/>
  <c r="J178" i="31"/>
  <c r="J91" i="31"/>
  <c r="J77" i="31"/>
  <c r="J38" i="31"/>
  <c r="J156" i="31"/>
  <c r="J119" i="31"/>
  <c r="J247" i="31"/>
  <c r="J102" i="31"/>
  <c r="J111" i="31"/>
  <c r="J131" i="31"/>
  <c r="J183" i="31"/>
  <c r="J90" i="31"/>
  <c r="J33" i="31"/>
  <c r="J293" i="31"/>
  <c r="J256" i="31"/>
  <c r="J145" i="31"/>
  <c r="J50" i="31"/>
  <c r="J104" i="31"/>
  <c r="J59" i="31"/>
  <c r="J188" i="31"/>
  <c r="J16" i="31"/>
  <c r="V305" i="31"/>
  <c r="V298" i="31"/>
  <c r="V286" i="31"/>
  <c r="V303" i="31"/>
  <c r="V291" i="31"/>
  <c r="V279" i="31"/>
  <c r="V297" i="31"/>
  <c r="V272" i="31"/>
  <c r="V304" i="31"/>
  <c r="V293" i="31"/>
  <c r="V275" i="31"/>
  <c r="V269" i="31"/>
  <c r="V267" i="31"/>
  <c r="V255" i="31"/>
  <c r="V243" i="31"/>
  <c r="V287" i="31"/>
  <c r="V282" i="31"/>
  <c r="V262" i="31"/>
  <c r="V251" i="31"/>
  <c r="V232" i="31"/>
  <c r="V225" i="31"/>
  <c r="V213" i="31"/>
  <c r="V201" i="31"/>
  <c r="V189" i="31"/>
  <c r="V302" i="31"/>
  <c r="V300" i="31"/>
  <c r="V299" i="31"/>
  <c r="V285" i="31"/>
  <c r="V257" i="31"/>
  <c r="V245" i="31"/>
  <c r="V239" i="31"/>
  <c r="V227" i="31"/>
  <c r="V216" i="31"/>
  <c r="V208" i="31"/>
  <c r="V197" i="31"/>
  <c r="V173" i="31"/>
  <c r="V161" i="31"/>
  <c r="V149" i="31"/>
  <c r="V296" i="31"/>
  <c r="V280" i="31"/>
  <c r="V271" i="31"/>
  <c r="V217" i="31"/>
  <c r="V211" i="31"/>
  <c r="V205" i="31"/>
  <c r="V199" i="31"/>
  <c r="V177" i="31"/>
  <c r="V166" i="31"/>
  <c r="V158" i="31"/>
  <c r="V142" i="31"/>
  <c r="V130" i="31"/>
  <c r="V118" i="31"/>
  <c r="V106" i="31"/>
  <c r="V94" i="31"/>
  <c r="V82" i="31"/>
  <c r="V70" i="31"/>
  <c r="V58" i="31"/>
  <c r="V46" i="31"/>
  <c r="V34" i="31"/>
  <c r="V22" i="31"/>
  <c r="V10" i="31"/>
  <c r="V258" i="31"/>
  <c r="V252" i="31"/>
  <c r="V241" i="31"/>
  <c r="V235" i="31"/>
  <c r="V204" i="31"/>
  <c r="V202" i="31"/>
  <c r="V198" i="31"/>
  <c r="V196" i="31"/>
  <c r="V195" i="31"/>
  <c r="V182" i="31"/>
  <c r="V176" i="31"/>
  <c r="V153" i="31"/>
  <c r="V147" i="31"/>
  <c r="V139" i="31"/>
  <c r="V128" i="31"/>
  <c r="V120" i="31"/>
  <c r="V109" i="31"/>
  <c r="V101" i="31"/>
  <c r="V90" i="31"/>
  <c r="V71" i="31"/>
  <c r="V52" i="31"/>
  <c r="V33" i="31"/>
  <c r="V14" i="31"/>
  <c r="V306" i="31"/>
  <c r="V295" i="31"/>
  <c r="V281" i="31"/>
  <c r="V263" i="31"/>
  <c r="V253" i="31"/>
  <c r="V247" i="31"/>
  <c r="V236" i="31"/>
  <c r="V207" i="31"/>
  <c r="V206" i="31"/>
  <c r="V203" i="31"/>
  <c r="V152" i="31"/>
  <c r="V117" i="31"/>
  <c r="V79" i="31"/>
  <c r="V210" i="31"/>
  <c r="V209" i="31"/>
  <c r="V200" i="31"/>
  <c r="V170" i="31"/>
  <c r="V164" i="31"/>
  <c r="V136" i="31"/>
  <c r="V98" i="31"/>
  <c r="V87" i="31"/>
  <c r="V283" i="31"/>
  <c r="V265" i="31"/>
  <c r="V260" i="31"/>
  <c r="V301" i="31"/>
  <c r="V256" i="31"/>
  <c r="V233" i="31"/>
  <c r="V228" i="31"/>
  <c r="V222" i="31"/>
  <c r="V219" i="31"/>
  <c r="V246" i="31"/>
  <c r="V223" i="31"/>
  <c r="V192" i="31"/>
  <c r="V172" i="31"/>
  <c r="V167" i="31"/>
  <c r="V162" i="31"/>
  <c r="V157" i="31"/>
  <c r="V141" i="31"/>
  <c r="V140" i="31"/>
  <c r="V137" i="31"/>
  <c r="V103" i="31"/>
  <c r="V102" i="31"/>
  <c r="V62" i="31"/>
  <c r="V56" i="31"/>
  <c r="V21" i="31"/>
  <c r="V15" i="31"/>
  <c r="V284" i="31"/>
  <c r="V266" i="31"/>
  <c r="V238" i="31"/>
  <c r="V215" i="31"/>
  <c r="V178" i="31"/>
  <c r="V144" i="31"/>
  <c r="V143" i="31"/>
  <c r="V292" i="31"/>
  <c r="V248" i="31"/>
  <c r="V270" i="31"/>
  <c r="V231" i="31"/>
  <c r="V230" i="31"/>
  <c r="V294" i="31"/>
  <c r="V290" i="31"/>
  <c r="V288" i="31"/>
  <c r="V237" i="31"/>
  <c r="V212" i="31"/>
  <c r="V194" i="31"/>
  <c r="V163" i="31"/>
  <c r="V274" i="31"/>
  <c r="V224" i="31"/>
  <c r="V193" i="31"/>
  <c r="V171" i="31"/>
  <c r="V168" i="31"/>
  <c r="V150" i="31"/>
  <c r="V125" i="31"/>
  <c r="V268" i="31"/>
  <c r="V261" i="31"/>
  <c r="V242" i="31"/>
  <c r="V226" i="31"/>
  <c r="V155" i="31"/>
  <c r="V145" i="31"/>
  <c r="V122" i="31"/>
  <c r="V85" i="31"/>
  <c r="V80" i="31"/>
  <c r="V75" i="31"/>
  <c r="V244" i="31"/>
  <c r="V191" i="31"/>
  <c r="V186" i="31"/>
  <c r="V160" i="31"/>
  <c r="V119" i="31"/>
  <c r="V116" i="31"/>
  <c r="V113" i="31"/>
  <c r="V110" i="31"/>
  <c r="V240" i="31"/>
  <c r="V175" i="31"/>
  <c r="V174" i="31"/>
  <c r="V278" i="31"/>
  <c r="V154" i="31"/>
  <c r="V151" i="31"/>
  <c r="V104" i="31"/>
  <c r="V81" i="31"/>
  <c r="V78" i="31"/>
  <c r="V190" i="31"/>
  <c r="V185" i="31"/>
  <c r="V135" i="31"/>
  <c r="V123" i="31"/>
  <c r="V100" i="31"/>
  <c r="V84" i="31"/>
  <c r="V72" i="31"/>
  <c r="V61" i="31"/>
  <c r="V55" i="31"/>
  <c r="V44" i="31"/>
  <c r="V259" i="31"/>
  <c r="V188" i="31"/>
  <c r="V179" i="31"/>
  <c r="V156" i="31"/>
  <c r="V134" i="31"/>
  <c r="V126" i="31"/>
  <c r="V111" i="31"/>
  <c r="V96" i="31"/>
  <c r="V264" i="31"/>
  <c r="V249" i="31"/>
  <c r="V88" i="31"/>
  <c r="V40" i="31"/>
  <c r="V23" i="31"/>
  <c r="V17" i="31"/>
  <c r="V68" i="31"/>
  <c r="V35" i="31"/>
  <c r="V29" i="31"/>
  <c r="V12" i="31"/>
  <c r="V220" i="31"/>
  <c r="V165" i="31"/>
  <c r="V129" i="31"/>
  <c r="V65" i="31"/>
  <c r="V59" i="31"/>
  <c r="V50" i="31"/>
  <c r="V30" i="31"/>
  <c r="V218" i="31"/>
  <c r="V112" i="31"/>
  <c r="V97" i="31"/>
  <c r="V93" i="31"/>
  <c r="V18" i="31"/>
  <c r="V24" i="31"/>
  <c r="V254" i="31"/>
  <c r="V184" i="31"/>
  <c r="V180" i="31"/>
  <c r="V77" i="31"/>
  <c r="V53" i="31"/>
  <c r="V47" i="31"/>
  <c r="V41" i="31"/>
  <c r="V19" i="31"/>
  <c r="V277" i="31"/>
  <c r="V234" i="31"/>
  <c r="V169" i="31"/>
  <c r="V148" i="31"/>
  <c r="V114" i="31"/>
  <c r="V89" i="31"/>
  <c r="V229" i="31"/>
  <c r="V181" i="31"/>
  <c r="V146" i="31"/>
  <c r="V92" i="31"/>
  <c r="V37" i="31"/>
  <c r="V214" i="31"/>
  <c r="V187" i="31"/>
  <c r="V91" i="31"/>
  <c r="V69" i="31"/>
  <c r="V60" i="31"/>
  <c r="V51" i="31"/>
  <c r="V32" i="31"/>
  <c r="V11" i="31"/>
  <c r="V67" i="31"/>
  <c r="V31" i="31"/>
  <c r="V124" i="31"/>
  <c r="V99" i="31"/>
  <c r="V57" i="31"/>
  <c r="V49" i="31"/>
  <c r="V26" i="31"/>
  <c r="V108" i="31"/>
  <c r="V83" i="31"/>
  <c r="V159" i="31"/>
  <c r="V25" i="31"/>
  <c r="V250" i="31"/>
  <c r="V127" i="31"/>
  <c r="V121" i="31"/>
  <c r="V86" i="31"/>
  <c r="V76" i="31"/>
  <c r="V74" i="31"/>
  <c r="V289" i="31"/>
  <c r="V276" i="31"/>
  <c r="V221" i="31"/>
  <c r="V115" i="31"/>
  <c r="V43" i="31"/>
  <c r="V42" i="31"/>
  <c r="V28" i="31"/>
  <c r="V183" i="31"/>
  <c r="V133" i="31"/>
  <c r="V131" i="31"/>
  <c r="V107" i="31"/>
  <c r="V36" i="31"/>
  <c r="V27" i="31"/>
  <c r="V16" i="31"/>
  <c r="V13" i="31"/>
  <c r="V95" i="31"/>
  <c r="V73" i="31"/>
  <c r="V273" i="31"/>
  <c r="V138" i="31"/>
  <c r="V66" i="31"/>
  <c r="V48" i="31"/>
  <c r="V39" i="31"/>
  <c r="V38" i="31"/>
  <c r="V105" i="31"/>
  <c r="V9" i="31"/>
  <c r="V20" i="31"/>
  <c r="V63" i="31"/>
  <c r="V64" i="31"/>
  <c r="V54" i="31"/>
  <c r="V132" i="31"/>
  <c r="V45" i="31"/>
  <c r="AH305" i="31"/>
  <c r="AH298" i="31"/>
  <c r="AH286" i="31"/>
  <c r="AH303" i="31"/>
  <c r="AH291" i="31"/>
  <c r="AH279" i="31"/>
  <c r="AH302" i="31"/>
  <c r="AH285" i="31"/>
  <c r="AH274" i="31"/>
  <c r="AH272" i="31"/>
  <c r="AH296" i="31"/>
  <c r="AH290" i="31"/>
  <c r="AH276" i="31"/>
  <c r="AH267" i="31"/>
  <c r="AH255" i="31"/>
  <c r="AH243" i="31"/>
  <c r="AH306" i="31"/>
  <c r="AH280" i="31"/>
  <c r="AH278" i="31"/>
  <c r="AH277" i="31"/>
  <c r="AH273" i="31"/>
  <c r="AH254" i="31"/>
  <c r="AH235" i="31"/>
  <c r="AH225" i="31"/>
  <c r="AH213" i="31"/>
  <c r="AH201" i="31"/>
  <c r="AH301" i="31"/>
  <c r="AH293" i="31"/>
  <c r="AH262" i="31"/>
  <c r="AH270" i="31"/>
  <c r="AH252" i="31"/>
  <c r="AH246" i="31"/>
  <c r="AH240" i="31"/>
  <c r="AH234" i="31"/>
  <c r="AH219" i="31"/>
  <c r="AH200" i="31"/>
  <c r="AH161" i="31"/>
  <c r="AH149" i="31"/>
  <c r="AH281" i="31"/>
  <c r="AH275" i="31"/>
  <c r="AH266" i="31"/>
  <c r="AH261" i="31"/>
  <c r="AH259" i="31"/>
  <c r="AH258" i="31"/>
  <c r="AH257" i="31"/>
  <c r="AH212" i="31"/>
  <c r="AH206" i="31"/>
  <c r="AH194" i="31"/>
  <c r="AH180" i="31"/>
  <c r="AH169" i="31"/>
  <c r="AH150" i="31"/>
  <c r="AH142" i="31"/>
  <c r="AH118" i="31"/>
  <c r="AH94" i="31"/>
  <c r="AH82" i="31"/>
  <c r="AH70" i="31"/>
  <c r="AH58" i="31"/>
  <c r="AH46" i="31"/>
  <c r="AH34" i="31"/>
  <c r="AH22" i="31"/>
  <c r="AH10" i="31"/>
  <c r="AH251" i="31"/>
  <c r="AH245" i="31"/>
  <c r="AH177" i="31"/>
  <c r="AH171" i="31"/>
  <c r="AH148" i="31"/>
  <c r="AH131" i="31"/>
  <c r="AH112" i="31"/>
  <c r="AH93" i="31"/>
  <c r="AH74" i="31"/>
  <c r="AH63" i="31"/>
  <c r="AH55" i="31"/>
  <c r="AH44" i="31"/>
  <c r="AH36" i="31"/>
  <c r="AH25" i="31"/>
  <c r="AH17" i="31"/>
  <c r="AH187" i="31"/>
  <c r="AH186" i="31"/>
  <c r="AH185" i="31"/>
  <c r="AH183" i="31"/>
  <c r="AH165" i="31"/>
  <c r="AH139" i="31"/>
  <c r="AH128" i="31"/>
  <c r="AH109" i="31"/>
  <c r="AH90" i="31"/>
  <c r="AH188" i="31"/>
  <c r="AH159" i="31"/>
  <c r="AH147" i="31"/>
  <c r="AH101" i="31"/>
  <c r="AH297" i="31"/>
  <c r="AH238" i="31"/>
  <c r="AH232" i="31"/>
  <c r="AH209" i="31"/>
  <c r="AH203" i="31"/>
  <c r="AH269" i="31"/>
  <c r="AH253" i="31"/>
  <c r="AH221" i="31"/>
  <c r="AH218" i="31"/>
  <c r="AH215" i="31"/>
  <c r="AH214" i="31"/>
  <c r="AH198" i="31"/>
  <c r="AH160" i="31"/>
  <c r="AH155" i="31"/>
  <c r="AH133" i="31"/>
  <c r="AH129" i="31"/>
  <c r="AH95" i="31"/>
  <c r="AH91" i="31"/>
  <c r="AH69" i="31"/>
  <c r="AH57" i="31"/>
  <c r="AH51" i="31"/>
  <c r="AH28" i="31"/>
  <c r="AH16" i="31"/>
  <c r="AH299" i="31"/>
  <c r="AH264" i="31"/>
  <c r="AH263" i="31"/>
  <c r="AH244" i="31"/>
  <c r="AH224" i="31"/>
  <c r="AH216" i="31"/>
  <c r="AH211" i="31"/>
  <c r="AH190" i="31"/>
  <c r="AH166" i="31"/>
  <c r="AH136" i="31"/>
  <c r="AH135" i="31"/>
  <c r="AH132" i="31"/>
  <c r="AH229" i="31"/>
  <c r="AH304" i="31"/>
  <c r="AH295" i="31"/>
  <c r="AH227" i="31"/>
  <c r="AH226" i="31"/>
  <c r="AH205" i="31"/>
  <c r="AH265" i="31"/>
  <c r="AH204" i="31"/>
  <c r="AH175" i="31"/>
  <c r="AH167" i="31"/>
  <c r="AH138" i="31"/>
  <c r="AH154" i="31"/>
  <c r="AH141" i="31"/>
  <c r="AH289" i="31"/>
  <c r="AH248" i="31"/>
  <c r="AH239" i="31"/>
  <c r="AH228" i="31"/>
  <c r="AH202" i="31"/>
  <c r="AH172" i="31"/>
  <c r="AH164" i="31"/>
  <c r="AH146" i="31"/>
  <c r="AH144" i="31"/>
  <c r="AH124" i="31"/>
  <c r="AH300" i="31"/>
  <c r="AH125" i="31"/>
  <c r="AH230" i="31"/>
  <c r="AH193" i="31"/>
  <c r="AH184" i="31"/>
  <c r="AH292" i="31"/>
  <c r="AH271" i="31"/>
  <c r="AH195" i="31"/>
  <c r="AH294" i="31"/>
  <c r="AH237" i="31"/>
  <c r="AH140" i="31"/>
  <c r="AH126" i="31"/>
  <c r="AH122" i="31"/>
  <c r="AH99" i="31"/>
  <c r="AH97" i="31"/>
  <c r="AH241" i="31"/>
  <c r="AH163" i="31"/>
  <c r="AH80" i="31"/>
  <c r="AH59" i="31"/>
  <c r="AH53" i="31"/>
  <c r="AH42" i="31"/>
  <c r="AH176" i="31"/>
  <c r="AH110" i="31"/>
  <c r="AH162" i="31"/>
  <c r="AH89" i="31"/>
  <c r="AH76" i="31"/>
  <c r="AH33" i="31"/>
  <c r="AH81" i="31"/>
  <c r="AH39" i="31"/>
  <c r="AH199" i="31"/>
  <c r="AH197" i="31"/>
  <c r="AH145" i="31"/>
  <c r="AH123" i="31"/>
  <c r="AH115" i="31"/>
  <c r="AH86" i="31"/>
  <c r="AH67" i="31"/>
  <c r="AH61" i="31"/>
  <c r="AH49" i="31"/>
  <c r="AH236" i="31"/>
  <c r="AH220" i="31"/>
  <c r="AH152" i="31"/>
  <c r="AH108" i="31"/>
  <c r="AH242" i="31"/>
  <c r="AH222" i="31"/>
  <c r="AH208" i="31"/>
  <c r="AH178" i="31"/>
  <c r="AH156" i="31"/>
  <c r="AH121" i="31"/>
  <c r="AH114" i="31"/>
  <c r="AH78" i="31"/>
  <c r="AH73" i="31"/>
  <c r="AH64" i="31"/>
  <c r="AH52" i="31"/>
  <c r="AH43" i="31"/>
  <c r="AH249" i="31"/>
  <c r="AH217" i="31"/>
  <c r="AH111" i="31"/>
  <c r="AH107" i="31"/>
  <c r="AH83" i="31"/>
  <c r="AH41" i="31"/>
  <c r="AH40" i="31"/>
  <c r="AH18" i="31"/>
  <c r="AH210" i="31"/>
  <c r="AH35" i="31"/>
  <c r="AH31" i="31"/>
  <c r="AH158" i="31"/>
  <c r="AH66" i="31"/>
  <c r="AH65" i="31"/>
  <c r="AH56" i="31"/>
  <c r="AH30" i="31"/>
  <c r="AH26" i="31"/>
  <c r="AH15" i="31"/>
  <c r="AH127" i="31"/>
  <c r="AH87" i="31"/>
  <c r="AH71" i="31"/>
  <c r="AH29" i="31"/>
  <c r="AH117" i="31"/>
  <c r="AH113" i="31"/>
  <c r="AH96" i="31"/>
  <c r="AH62" i="31"/>
  <c r="AH54" i="31"/>
  <c r="AH24" i="31"/>
  <c r="AH14" i="31"/>
  <c r="AH256" i="31"/>
  <c r="AH143" i="31"/>
  <c r="AH134" i="31"/>
  <c r="AH105" i="31"/>
  <c r="AH88" i="31"/>
  <c r="AH72" i="31"/>
  <c r="AH45" i="31"/>
  <c r="AH38" i="31"/>
  <c r="AH11" i="31"/>
  <c r="AH250" i="31"/>
  <c r="AH179" i="31"/>
  <c r="AH174" i="31"/>
  <c r="AH23" i="31"/>
  <c r="AH19" i="31"/>
  <c r="AH68" i="31"/>
  <c r="AH247" i="31"/>
  <c r="AH196" i="31"/>
  <c r="AH103" i="31"/>
  <c r="AH84" i="31"/>
  <c r="AH48" i="31"/>
  <c r="AH21" i="31"/>
  <c r="AH12" i="31"/>
  <c r="AH268" i="31"/>
  <c r="AH153" i="31"/>
  <c r="AH85" i="31"/>
  <c r="AH75" i="31"/>
  <c r="AH47" i="31"/>
  <c r="AH192" i="31"/>
  <c r="AH20" i="31"/>
  <c r="AH9" i="31"/>
  <c r="AH157" i="31"/>
  <c r="AH77" i="31"/>
  <c r="AH98" i="31"/>
  <c r="AH288" i="31"/>
  <c r="AH231" i="31"/>
  <c r="AH223" i="31"/>
  <c r="AH287" i="31"/>
  <c r="AH92" i="31"/>
  <c r="AH79" i="31"/>
  <c r="AH32" i="31"/>
  <c r="AH13" i="31"/>
  <c r="AH181" i="31"/>
  <c r="AH37" i="31"/>
  <c r="AH119" i="31"/>
  <c r="AH27" i="31"/>
  <c r="AH191" i="31"/>
  <c r="AH102" i="31"/>
  <c r="AH50" i="31"/>
  <c r="AH137" i="31"/>
  <c r="AH60" i="31"/>
  <c r="K303" i="31"/>
  <c r="K291" i="31"/>
  <c r="K296" i="31"/>
  <c r="K284" i="31"/>
  <c r="K282" i="31"/>
  <c r="K276" i="31"/>
  <c r="K301" i="31"/>
  <c r="K305" i="31"/>
  <c r="K300" i="31"/>
  <c r="K295" i="31"/>
  <c r="K289" i="31"/>
  <c r="K288" i="31"/>
  <c r="K286" i="31"/>
  <c r="K274" i="31"/>
  <c r="K260" i="31"/>
  <c r="K248" i="31"/>
  <c r="K236" i="31"/>
  <c r="K306" i="31"/>
  <c r="K267" i="31"/>
  <c r="K256" i="31"/>
  <c r="K237" i="31"/>
  <c r="K230" i="31"/>
  <c r="K218" i="31"/>
  <c r="K206" i="31"/>
  <c r="K194" i="31"/>
  <c r="K298" i="31"/>
  <c r="K270" i="31"/>
  <c r="K264" i="31"/>
  <c r="K293" i="31"/>
  <c r="K302" i="31"/>
  <c r="K266" i="31"/>
  <c r="K265" i="31"/>
  <c r="K262" i="31"/>
  <c r="K261" i="31"/>
  <c r="K238" i="31"/>
  <c r="K232" i="31"/>
  <c r="K221" i="31"/>
  <c r="K213" i="31"/>
  <c r="K202" i="31"/>
  <c r="K178" i="31"/>
  <c r="K166" i="31"/>
  <c r="K154" i="31"/>
  <c r="K292" i="31"/>
  <c r="K277" i="31"/>
  <c r="K198" i="31"/>
  <c r="K192" i="31"/>
  <c r="K182" i="31"/>
  <c r="K171" i="31"/>
  <c r="K163" i="31"/>
  <c r="K152" i="31"/>
  <c r="K147" i="31"/>
  <c r="K135" i="31"/>
  <c r="K123" i="31"/>
  <c r="K111" i="31"/>
  <c r="K99" i="31"/>
  <c r="K87" i="31"/>
  <c r="K75" i="31"/>
  <c r="K63" i="31"/>
  <c r="K51" i="31"/>
  <c r="K39" i="31"/>
  <c r="K27" i="31"/>
  <c r="K15" i="31"/>
  <c r="K304" i="31"/>
  <c r="K249" i="31"/>
  <c r="K243" i="31"/>
  <c r="K231" i="31"/>
  <c r="K229" i="31"/>
  <c r="K228" i="31"/>
  <c r="K227" i="31"/>
  <c r="K225" i="31"/>
  <c r="K224" i="31"/>
  <c r="K222" i="31"/>
  <c r="K175" i="31"/>
  <c r="K169" i="31"/>
  <c r="K157" i="31"/>
  <c r="K144" i="31"/>
  <c r="K133" i="31"/>
  <c r="K125" i="31"/>
  <c r="K114" i="31"/>
  <c r="K106" i="31"/>
  <c r="K95" i="31"/>
  <c r="K76" i="31"/>
  <c r="K57" i="31"/>
  <c r="K38" i="31"/>
  <c r="K19" i="31"/>
  <c r="K290" i="31"/>
  <c r="K255" i="31"/>
  <c r="K151" i="31"/>
  <c r="K141" i="31"/>
  <c r="K122" i="31"/>
  <c r="K103" i="31"/>
  <c r="K92" i="31"/>
  <c r="K84" i="31"/>
  <c r="K269" i="31"/>
  <c r="K240" i="31"/>
  <c r="K234" i="31"/>
  <c r="K214" i="31"/>
  <c r="K211" i="31"/>
  <c r="K208" i="31"/>
  <c r="K205" i="31"/>
  <c r="K185" i="31"/>
  <c r="K226" i="31"/>
  <c r="K223" i="31"/>
  <c r="K220" i="31"/>
  <c r="K217" i="31"/>
  <c r="K191" i="31"/>
  <c r="K188" i="31"/>
  <c r="K297" i="31"/>
  <c r="K294" i="31"/>
  <c r="K279" i="31"/>
  <c r="K278" i="31"/>
  <c r="K273" i="31"/>
  <c r="K263" i="31"/>
  <c r="K251" i="31"/>
  <c r="K201" i="31"/>
  <c r="K158" i="31"/>
  <c r="K153" i="31"/>
  <c r="K148" i="31"/>
  <c r="K116" i="31"/>
  <c r="K113" i="31"/>
  <c r="K112" i="31"/>
  <c r="K78" i="31"/>
  <c r="K74" i="31"/>
  <c r="K55" i="31"/>
  <c r="K49" i="31"/>
  <c r="K43" i="31"/>
  <c r="K37" i="31"/>
  <c r="K14" i="31"/>
  <c r="K281" i="31"/>
  <c r="K280" i="31"/>
  <c r="K271" i="31"/>
  <c r="K247" i="31"/>
  <c r="K193" i="31"/>
  <c r="K164" i="31"/>
  <c r="K159" i="31"/>
  <c r="K259" i="31"/>
  <c r="K241" i="31"/>
  <c r="K299" i="31"/>
  <c r="K246" i="31"/>
  <c r="K244" i="31"/>
  <c r="K250" i="31"/>
  <c r="K245" i="31"/>
  <c r="K167" i="31"/>
  <c r="K140" i="31"/>
  <c r="K137" i="31"/>
  <c r="K126" i="31"/>
  <c r="K200" i="31"/>
  <c r="K180" i="31"/>
  <c r="K143" i="31"/>
  <c r="K129" i="31"/>
  <c r="K197" i="31"/>
  <c r="K184" i="31"/>
  <c r="K172" i="31"/>
  <c r="K132" i="31"/>
  <c r="K119" i="31"/>
  <c r="K108" i="31"/>
  <c r="K54" i="31"/>
  <c r="K48" i="31"/>
  <c r="K47" i="31"/>
  <c r="K46" i="31"/>
  <c r="K45" i="31"/>
  <c r="K44" i="31"/>
  <c r="K41" i="31"/>
  <c r="K258" i="31"/>
  <c r="K199" i="31"/>
  <c r="K189" i="31"/>
  <c r="K173" i="31"/>
  <c r="K146" i="31"/>
  <c r="K120" i="31"/>
  <c r="K117" i="31"/>
  <c r="K268" i="31"/>
  <c r="K239" i="31"/>
  <c r="K219" i="31"/>
  <c r="K215" i="31"/>
  <c r="K285" i="31"/>
  <c r="K257" i="31"/>
  <c r="K216" i="31"/>
  <c r="K242" i="31"/>
  <c r="K209" i="31"/>
  <c r="K177" i="31"/>
  <c r="K138" i="31"/>
  <c r="K107" i="31"/>
  <c r="K105" i="31"/>
  <c r="K88" i="31"/>
  <c r="K85" i="31"/>
  <c r="K82" i="31"/>
  <c r="K79" i="31"/>
  <c r="K253" i="31"/>
  <c r="K233" i="31"/>
  <c r="K204" i="31"/>
  <c r="K187" i="31"/>
  <c r="K181" i="31"/>
  <c r="K168" i="31"/>
  <c r="K139" i="31"/>
  <c r="K131" i="31"/>
  <c r="K130" i="31"/>
  <c r="K124" i="31"/>
  <c r="K97" i="31"/>
  <c r="K94" i="31"/>
  <c r="K91" i="31"/>
  <c r="K35" i="31"/>
  <c r="K32" i="31"/>
  <c r="K31" i="31"/>
  <c r="K30" i="31"/>
  <c r="K29" i="31"/>
  <c r="K28" i="31"/>
  <c r="K26" i="31"/>
  <c r="K22" i="31"/>
  <c r="K272" i="31"/>
  <c r="K212" i="31"/>
  <c r="K207" i="31"/>
  <c r="K195" i="31"/>
  <c r="K190" i="31"/>
  <c r="K170" i="31"/>
  <c r="K145" i="31"/>
  <c r="K118" i="31"/>
  <c r="K275" i="31"/>
  <c r="K196" i="31"/>
  <c r="K150" i="31"/>
  <c r="K115" i="31"/>
  <c r="K101" i="31"/>
  <c r="K100" i="31"/>
  <c r="K89" i="31"/>
  <c r="K72" i="31"/>
  <c r="K69" i="31"/>
  <c r="K66" i="31"/>
  <c r="K25" i="31"/>
  <c r="K60" i="31"/>
  <c r="K174" i="31"/>
  <c r="K161" i="31"/>
  <c r="K128" i="31"/>
  <c r="K86" i="31"/>
  <c r="K42" i="31"/>
  <c r="K287" i="31"/>
  <c r="K252" i="31"/>
  <c r="K121" i="31"/>
  <c r="K81" i="31"/>
  <c r="K134" i="31"/>
  <c r="K83" i="31"/>
  <c r="K9" i="31"/>
  <c r="K65" i="31"/>
  <c r="K64" i="31"/>
  <c r="K21" i="31"/>
  <c r="K10" i="31"/>
  <c r="K254" i="31"/>
  <c r="K165" i="31"/>
  <c r="K73" i="31"/>
  <c r="K56" i="31"/>
  <c r="K18" i="31"/>
  <c r="K96" i="31"/>
  <c r="K98" i="31"/>
  <c r="K90" i="31"/>
  <c r="K80" i="31"/>
  <c r="K62" i="31"/>
  <c r="K61" i="31"/>
  <c r="K53" i="31"/>
  <c r="K52" i="31"/>
  <c r="K33" i="31"/>
  <c r="K102" i="31"/>
  <c r="K24" i="31"/>
  <c r="K162" i="31"/>
  <c r="K160" i="31"/>
  <c r="K59" i="31"/>
  <c r="K23" i="31"/>
  <c r="K149" i="31"/>
  <c r="K136" i="31"/>
  <c r="K68" i="31"/>
  <c r="K67" i="31"/>
  <c r="K58" i="31"/>
  <c r="K176" i="31"/>
  <c r="K109" i="31"/>
  <c r="K77" i="31"/>
  <c r="K34" i="31"/>
  <c r="K210" i="31"/>
  <c r="K156" i="31"/>
  <c r="K110" i="31"/>
  <c r="K71" i="31"/>
  <c r="K70" i="31"/>
  <c r="K20" i="31"/>
  <c r="K12" i="31"/>
  <c r="K183" i="31"/>
  <c r="K142" i="31"/>
  <c r="K17" i="31"/>
  <c r="K11" i="31"/>
  <c r="K203" i="31"/>
  <c r="K186" i="31"/>
  <c r="K93" i="31"/>
  <c r="K155" i="31"/>
  <c r="K50" i="31"/>
  <c r="K36" i="31"/>
  <c r="K16" i="31"/>
  <c r="K13" i="31"/>
  <c r="K179" i="31"/>
  <c r="K104" i="31"/>
  <c r="K127" i="31"/>
  <c r="K235" i="31"/>
  <c r="K40" i="31"/>
  <c r="W303" i="31"/>
  <c r="W291" i="31"/>
  <c r="W296" i="31"/>
  <c r="W284" i="31"/>
  <c r="W290" i="31"/>
  <c r="W279" i="31"/>
  <c r="W295" i="31"/>
  <c r="W298" i="31"/>
  <c r="W294" i="31"/>
  <c r="W282" i="31"/>
  <c r="W260" i="31"/>
  <c r="W248" i="31"/>
  <c r="W236" i="31"/>
  <c r="W272" i="31"/>
  <c r="W259" i="31"/>
  <c r="W240" i="31"/>
  <c r="W230" i="31"/>
  <c r="W218" i="31"/>
  <c r="W206" i="31"/>
  <c r="W194" i="31"/>
  <c r="W297" i="31"/>
  <c r="W271" i="31"/>
  <c r="W267" i="31"/>
  <c r="W304" i="31"/>
  <c r="W281" i="31"/>
  <c r="W256" i="31"/>
  <c r="W233" i="31"/>
  <c r="W224" i="31"/>
  <c r="W205" i="31"/>
  <c r="W186" i="31"/>
  <c r="W178" i="31"/>
  <c r="W166" i="31"/>
  <c r="W154" i="31"/>
  <c r="W306" i="31"/>
  <c r="W285" i="31"/>
  <c r="W278" i="31"/>
  <c r="W276" i="31"/>
  <c r="W268" i="31"/>
  <c r="W263" i="31"/>
  <c r="W228" i="31"/>
  <c r="W193" i="31"/>
  <c r="W187" i="31"/>
  <c r="W174" i="31"/>
  <c r="W155" i="31"/>
  <c r="W147" i="31"/>
  <c r="W135" i="31"/>
  <c r="W123" i="31"/>
  <c r="W111" i="31"/>
  <c r="W99" i="31"/>
  <c r="W87" i="31"/>
  <c r="W75" i="31"/>
  <c r="W63" i="31"/>
  <c r="W51" i="31"/>
  <c r="W39" i="31"/>
  <c r="W27" i="31"/>
  <c r="W15" i="31"/>
  <c r="W299" i="31"/>
  <c r="W253" i="31"/>
  <c r="W247" i="31"/>
  <c r="W210" i="31"/>
  <c r="W209" i="31"/>
  <c r="W207" i="31"/>
  <c r="W203" i="31"/>
  <c r="W201" i="31"/>
  <c r="W200" i="31"/>
  <c r="W170" i="31"/>
  <c r="W164" i="31"/>
  <c r="W152" i="31"/>
  <c r="W136" i="31"/>
  <c r="W117" i="31"/>
  <c r="W98" i="31"/>
  <c r="W79" i="31"/>
  <c r="W68" i="31"/>
  <c r="W60" i="31"/>
  <c r="W49" i="31"/>
  <c r="W41" i="31"/>
  <c r="W30" i="31"/>
  <c r="W22" i="31"/>
  <c r="W11" i="31"/>
  <c r="W300" i="31"/>
  <c r="W288" i="31"/>
  <c r="W266" i="31"/>
  <c r="W242" i="31"/>
  <c r="W221" i="31"/>
  <c r="W216" i="31"/>
  <c r="W215" i="31"/>
  <c r="W214" i="31"/>
  <c r="W213" i="31"/>
  <c r="W211" i="31"/>
  <c r="W181" i="31"/>
  <c r="W158" i="31"/>
  <c r="W144" i="31"/>
  <c r="W114" i="31"/>
  <c r="W76" i="31"/>
  <c r="W212" i="31"/>
  <c r="W208" i="31"/>
  <c r="W133" i="31"/>
  <c r="W125" i="31"/>
  <c r="W106" i="31"/>
  <c r="W95" i="31"/>
  <c r="W301" i="31"/>
  <c r="W275" i="31"/>
  <c r="W222" i="31"/>
  <c r="W219" i="31"/>
  <c r="W258" i="31"/>
  <c r="W254" i="31"/>
  <c r="W235" i="31"/>
  <c r="W231" i="31"/>
  <c r="W225" i="31"/>
  <c r="W283" i="31"/>
  <c r="W238" i="31"/>
  <c r="W202" i="31"/>
  <c r="W197" i="31"/>
  <c r="W143" i="31"/>
  <c r="W139" i="31"/>
  <c r="W105" i="31"/>
  <c r="W104" i="31"/>
  <c r="W101" i="31"/>
  <c r="W50" i="31"/>
  <c r="W44" i="31"/>
  <c r="W38" i="31"/>
  <c r="W32" i="31"/>
  <c r="W9" i="31"/>
  <c r="W257" i="31"/>
  <c r="W249" i="31"/>
  <c r="W234" i="31"/>
  <c r="W220" i="31"/>
  <c r="W184" i="31"/>
  <c r="W173" i="31"/>
  <c r="W168" i="31"/>
  <c r="W163" i="31"/>
  <c r="W146" i="31"/>
  <c r="W145" i="31"/>
  <c r="W142" i="31"/>
  <c r="W264" i="31"/>
  <c r="W245" i="31"/>
  <c r="W237" i="31"/>
  <c r="W246" i="31"/>
  <c r="W189" i="31"/>
  <c r="W251" i="31"/>
  <c r="W229" i="31"/>
  <c r="W274" i="31"/>
  <c r="W232" i="31"/>
  <c r="W223" i="31"/>
  <c r="W171" i="31"/>
  <c r="W150" i="31"/>
  <c r="W261" i="31"/>
  <c r="W226" i="31"/>
  <c r="W195" i="31"/>
  <c r="W182" i="31"/>
  <c r="W176" i="31"/>
  <c r="W305" i="31"/>
  <c r="W286" i="31"/>
  <c r="W265" i="31"/>
  <c r="W252" i="31"/>
  <c r="W191" i="31"/>
  <c r="W160" i="31"/>
  <c r="W128" i="31"/>
  <c r="W131" i="31"/>
  <c r="W127" i="31"/>
  <c r="W122" i="31"/>
  <c r="W227" i="31"/>
  <c r="W192" i="31"/>
  <c r="W255" i="31"/>
  <c r="W250" i="31"/>
  <c r="W262" i="31"/>
  <c r="W217" i="31"/>
  <c r="W190" i="31"/>
  <c r="W185" i="31"/>
  <c r="W100" i="31"/>
  <c r="W84" i="31"/>
  <c r="W287" i="31"/>
  <c r="W269" i="31"/>
  <c r="W172" i="31"/>
  <c r="W157" i="31"/>
  <c r="W153" i="31"/>
  <c r="W121" i="31"/>
  <c r="W119" i="31"/>
  <c r="W67" i="31"/>
  <c r="W13" i="31"/>
  <c r="W277" i="31"/>
  <c r="W239" i="31"/>
  <c r="W159" i="31"/>
  <c r="W115" i="31"/>
  <c r="W113" i="31"/>
  <c r="W161" i="31"/>
  <c r="W112" i="31"/>
  <c r="W97" i="31"/>
  <c r="W93" i="31"/>
  <c r="W80" i="31"/>
  <c r="W35" i="31"/>
  <c r="W29" i="31"/>
  <c r="W18" i="31"/>
  <c r="W12" i="31"/>
  <c r="W71" i="31"/>
  <c r="W62" i="31"/>
  <c r="W24" i="31"/>
  <c r="W180" i="31"/>
  <c r="W175" i="31"/>
  <c r="W162" i="31"/>
  <c r="W151" i="31"/>
  <c r="W118" i="31"/>
  <c r="W103" i="31"/>
  <c r="W90" i="31"/>
  <c r="W77" i="31"/>
  <c r="W53" i="31"/>
  <c r="W47" i="31"/>
  <c r="W302" i="31"/>
  <c r="W177" i="31"/>
  <c r="W165" i="31"/>
  <c r="W129" i="31"/>
  <c r="W85" i="31"/>
  <c r="W65" i="31"/>
  <c r="W59" i="31"/>
  <c r="W56" i="31"/>
  <c r="W204" i="31"/>
  <c r="W188" i="31"/>
  <c r="W169" i="31"/>
  <c r="W148" i="31"/>
  <c r="W130" i="31"/>
  <c r="W96" i="31"/>
  <c r="W82" i="31"/>
  <c r="W36" i="31"/>
  <c r="W25" i="31"/>
  <c r="W273" i="31"/>
  <c r="W270" i="31"/>
  <c r="W292" i="31"/>
  <c r="W244" i="31"/>
  <c r="W137" i="31"/>
  <c r="W110" i="31"/>
  <c r="W92" i="31"/>
  <c r="W37" i="31"/>
  <c r="W17" i="31"/>
  <c r="W167" i="31"/>
  <c r="W102" i="31"/>
  <c r="W91" i="31"/>
  <c r="W78" i="31"/>
  <c r="W70" i="31"/>
  <c r="W69" i="31"/>
  <c r="W61" i="31"/>
  <c r="W33" i="31"/>
  <c r="W19" i="31"/>
  <c r="W289" i="31"/>
  <c r="W156" i="31"/>
  <c r="W126" i="31"/>
  <c r="W52" i="31"/>
  <c r="W43" i="31"/>
  <c r="W42" i="31"/>
  <c r="W28" i="31"/>
  <c r="W116" i="31"/>
  <c r="W94" i="31"/>
  <c r="W57" i="31"/>
  <c r="W26" i="31"/>
  <c r="W149" i="31"/>
  <c r="W108" i="31"/>
  <c r="W83" i="31"/>
  <c r="W58" i="31"/>
  <c r="W48" i="31"/>
  <c r="W10" i="31"/>
  <c r="W241" i="31"/>
  <c r="W109" i="31"/>
  <c r="W86" i="31"/>
  <c r="W74" i="31"/>
  <c r="W73" i="31"/>
  <c r="W20" i="31"/>
  <c r="W293" i="31"/>
  <c r="W179" i="31"/>
  <c r="W134" i="31"/>
  <c r="W72" i="31"/>
  <c r="W243" i="31"/>
  <c r="W183" i="31"/>
  <c r="W107" i="31"/>
  <c r="W81" i="31"/>
  <c r="W23" i="31"/>
  <c r="W16" i="31"/>
  <c r="W140" i="31"/>
  <c r="W31" i="31"/>
  <c r="W280" i="31"/>
  <c r="W199" i="31"/>
  <c r="W138" i="31"/>
  <c r="W124" i="31"/>
  <c r="W66" i="31"/>
  <c r="W196" i="31"/>
  <c r="W120" i="31"/>
  <c r="W40" i="31"/>
  <c r="W21" i="31"/>
  <c r="W64" i="31"/>
  <c r="W46" i="31"/>
  <c r="W132" i="31"/>
  <c r="W141" i="31"/>
  <c r="W55" i="31"/>
  <c r="W89" i="31"/>
  <c r="W34" i="31"/>
  <c r="W54" i="31"/>
  <c r="W88" i="31"/>
  <c r="W14" i="31"/>
  <c r="W45" i="31"/>
  <c r="W198" i="31"/>
  <c r="AI303" i="31"/>
  <c r="AV303" i="31" s="1"/>
  <c r="Q296" i="36" s="1"/>
  <c r="AI291" i="31"/>
  <c r="AV291" i="31" s="1"/>
  <c r="Q284" i="36" s="1"/>
  <c r="AI296" i="31"/>
  <c r="AV296" i="31" s="1"/>
  <c r="Q289" i="36" s="1"/>
  <c r="AI284" i="31"/>
  <c r="AV284" i="31" s="1"/>
  <c r="Q277" i="36" s="1"/>
  <c r="AI304" i="31"/>
  <c r="AV304" i="31" s="1"/>
  <c r="Q297" i="36" s="1"/>
  <c r="AI298" i="31"/>
  <c r="AV298" i="31" s="1"/>
  <c r="Q291" i="36" s="1"/>
  <c r="AI306" i="31"/>
  <c r="AV306" i="31" s="1"/>
  <c r="Q299" i="36" s="1"/>
  <c r="AI297" i="31"/>
  <c r="AV297" i="31" s="1"/>
  <c r="Q290" i="36" s="1"/>
  <c r="AI292" i="31"/>
  <c r="AV292" i="31" s="1"/>
  <c r="Q285" i="36" s="1"/>
  <c r="AI269" i="31"/>
  <c r="AV269" i="31" s="1"/>
  <c r="Q262" i="36" s="1"/>
  <c r="AI260" i="31"/>
  <c r="AV260" i="31" s="1"/>
  <c r="Q253" i="36" s="1"/>
  <c r="AI248" i="31"/>
  <c r="AV248" i="31" s="1"/>
  <c r="Q241" i="36" s="1"/>
  <c r="AI236" i="31"/>
  <c r="AV236" i="31" s="1"/>
  <c r="Q229" i="36" s="1"/>
  <c r="AI301" i="31"/>
  <c r="AV301" i="31" s="1"/>
  <c r="Q294" i="36" s="1"/>
  <c r="AI293" i="31"/>
  <c r="AV293" i="31" s="1"/>
  <c r="Q286" i="36" s="1"/>
  <c r="AI262" i="31"/>
  <c r="AV262" i="31" s="1"/>
  <c r="Q255" i="36" s="1"/>
  <c r="AI251" i="31"/>
  <c r="AV251" i="31" s="1"/>
  <c r="Q244" i="36" s="1"/>
  <c r="AI243" i="31"/>
  <c r="AV243" i="31" s="1"/>
  <c r="Q236" i="36" s="1"/>
  <c r="AI232" i="31"/>
  <c r="AV232" i="31" s="1"/>
  <c r="Q225" i="36" s="1"/>
  <c r="AI230" i="31"/>
  <c r="AV230" i="31" s="1"/>
  <c r="Q223" i="36" s="1"/>
  <c r="AI218" i="31"/>
  <c r="AV218" i="31" s="1"/>
  <c r="Q211" i="36" s="1"/>
  <c r="AI206" i="31"/>
  <c r="AV206" i="31" s="1"/>
  <c r="Q199" i="36" s="1"/>
  <c r="AI194" i="31"/>
  <c r="AV194" i="31" s="1"/>
  <c r="Q187" i="36" s="1"/>
  <c r="AI299" i="31"/>
  <c r="AV299" i="31" s="1"/>
  <c r="Q292" i="36" s="1"/>
  <c r="AI294" i="31"/>
  <c r="AV294" i="31" s="1"/>
  <c r="Q287" i="36" s="1"/>
  <c r="AI227" i="31"/>
  <c r="AV227" i="31" s="1"/>
  <c r="Q220" i="36" s="1"/>
  <c r="AI216" i="31"/>
  <c r="AV216" i="31" s="1"/>
  <c r="Q209" i="36" s="1"/>
  <c r="AI208" i="31"/>
  <c r="AV208" i="31" s="1"/>
  <c r="Q201" i="36" s="1"/>
  <c r="AI197" i="31"/>
  <c r="AV197" i="31" s="1"/>
  <c r="Q190" i="36" s="1"/>
  <c r="AI189" i="31"/>
  <c r="AV189" i="31" s="1"/>
  <c r="Q182" i="36" s="1"/>
  <c r="AI178" i="31"/>
  <c r="AV178" i="31" s="1"/>
  <c r="Q171" i="36" s="1"/>
  <c r="AI166" i="31"/>
  <c r="AV166" i="31" s="1"/>
  <c r="Q159" i="36" s="1"/>
  <c r="AI154" i="31"/>
  <c r="AV154" i="31" s="1"/>
  <c r="Q147" i="36" s="1"/>
  <c r="AI277" i="31"/>
  <c r="AV277" i="31" s="1"/>
  <c r="Q270" i="36" s="1"/>
  <c r="AI270" i="31"/>
  <c r="AV270" i="31" s="1"/>
  <c r="Q263" i="36" s="1"/>
  <c r="AI229" i="31"/>
  <c r="AV229" i="31" s="1"/>
  <c r="Q222" i="36" s="1"/>
  <c r="AI223" i="31"/>
  <c r="AV223" i="31" s="1"/>
  <c r="Q216" i="36" s="1"/>
  <c r="AI200" i="31"/>
  <c r="AV200" i="31" s="1"/>
  <c r="Q193" i="36" s="1"/>
  <c r="AI188" i="31"/>
  <c r="AV188" i="31" s="1"/>
  <c r="Q181" i="36" s="1"/>
  <c r="AI177" i="31"/>
  <c r="AV177" i="31" s="1"/>
  <c r="Q170" i="36" s="1"/>
  <c r="AI158" i="31"/>
  <c r="AV158" i="31" s="1"/>
  <c r="Q151" i="36" s="1"/>
  <c r="AI147" i="31"/>
  <c r="AV147" i="31" s="1"/>
  <c r="Q140" i="36" s="1"/>
  <c r="AI135" i="31"/>
  <c r="AV135" i="31" s="1"/>
  <c r="Q128" i="36" s="1"/>
  <c r="AI123" i="31"/>
  <c r="AV123" i="31" s="1"/>
  <c r="Q116" i="36" s="1"/>
  <c r="AI111" i="31"/>
  <c r="AV111" i="31" s="1"/>
  <c r="Q104" i="36" s="1"/>
  <c r="AI99" i="31"/>
  <c r="AV99" i="31" s="1"/>
  <c r="Q92" i="36" s="1"/>
  <c r="AI87" i="31"/>
  <c r="AV87" i="31" s="1"/>
  <c r="Q80" i="36" s="1"/>
  <c r="AI75" i="31"/>
  <c r="AV75" i="31" s="1"/>
  <c r="Q68" i="36" s="1"/>
  <c r="AI63" i="31"/>
  <c r="AV63" i="31" s="1"/>
  <c r="Q56" i="36" s="1"/>
  <c r="AI51" i="31"/>
  <c r="AV51" i="31" s="1"/>
  <c r="Q44" i="36" s="1"/>
  <c r="AI39" i="31"/>
  <c r="AV39" i="31" s="1"/>
  <c r="Q32" i="36" s="1"/>
  <c r="AI27" i="31"/>
  <c r="AV27" i="31" s="1"/>
  <c r="Q20" i="36" s="1"/>
  <c r="AI15" i="31"/>
  <c r="AI234" i="31"/>
  <c r="AV234" i="31" s="1"/>
  <c r="Q227" i="36" s="1"/>
  <c r="AI187" i="31"/>
  <c r="AV187" i="31" s="1"/>
  <c r="Q180" i="36" s="1"/>
  <c r="AI186" i="31"/>
  <c r="AV186" i="31" s="1"/>
  <c r="Q179" i="36" s="1"/>
  <c r="AI185" i="31"/>
  <c r="AV185" i="31" s="1"/>
  <c r="Q178" i="36" s="1"/>
  <c r="AI183" i="31"/>
  <c r="AV183" i="31" s="1"/>
  <c r="Q176" i="36" s="1"/>
  <c r="AI165" i="31"/>
  <c r="AV165" i="31" s="1"/>
  <c r="Q158" i="36" s="1"/>
  <c r="AI159" i="31"/>
  <c r="AV159" i="31" s="1"/>
  <c r="Q152" i="36" s="1"/>
  <c r="AI139" i="31"/>
  <c r="AV139" i="31" s="1"/>
  <c r="Q132" i="36" s="1"/>
  <c r="AI128" i="31"/>
  <c r="AV128" i="31" s="1"/>
  <c r="Q121" i="36" s="1"/>
  <c r="AI120" i="31"/>
  <c r="AV120" i="31" s="1"/>
  <c r="Q113" i="36" s="1"/>
  <c r="AI109" i="31"/>
  <c r="AV109" i="31" s="1"/>
  <c r="Q102" i="36" s="1"/>
  <c r="AI101" i="31"/>
  <c r="AV101" i="31" s="1"/>
  <c r="Q94" i="36" s="1"/>
  <c r="AI90" i="31"/>
  <c r="AV90" i="31" s="1"/>
  <c r="Q83" i="36" s="1"/>
  <c r="AI82" i="31"/>
  <c r="AV82" i="31" s="1"/>
  <c r="Q75" i="36" s="1"/>
  <c r="AI71" i="31"/>
  <c r="AV71" i="31" s="1"/>
  <c r="Q64" i="36" s="1"/>
  <c r="AI52" i="31"/>
  <c r="AV52" i="31" s="1"/>
  <c r="Q45" i="36" s="1"/>
  <c r="AI33" i="31"/>
  <c r="AV33" i="31" s="1"/>
  <c r="Q26" i="36" s="1"/>
  <c r="AI14" i="31"/>
  <c r="AI302" i="31"/>
  <c r="AV302" i="31" s="1"/>
  <c r="Q295" i="36" s="1"/>
  <c r="AI257" i="31"/>
  <c r="AV257" i="31" s="1"/>
  <c r="Q250" i="36" s="1"/>
  <c r="AI240" i="31"/>
  <c r="AV240" i="31" s="1"/>
  <c r="Q233" i="36" s="1"/>
  <c r="AI199" i="31"/>
  <c r="AV199" i="31" s="1"/>
  <c r="Q192" i="36" s="1"/>
  <c r="AI193" i="31"/>
  <c r="AV193" i="31" s="1"/>
  <c r="Q186" i="36" s="1"/>
  <c r="AI192" i="31"/>
  <c r="AV192" i="31" s="1"/>
  <c r="Q185" i="36" s="1"/>
  <c r="AI191" i="31"/>
  <c r="AV191" i="31" s="1"/>
  <c r="Q184" i="36" s="1"/>
  <c r="AI190" i="31"/>
  <c r="AV190" i="31" s="1"/>
  <c r="Q183" i="36" s="1"/>
  <c r="AI184" i="31"/>
  <c r="AV184" i="31" s="1"/>
  <c r="Q177" i="36" s="1"/>
  <c r="AI182" i="31"/>
  <c r="AV182" i="31" s="1"/>
  <c r="Q175" i="36" s="1"/>
  <c r="AI136" i="31"/>
  <c r="AV136" i="31" s="1"/>
  <c r="Q129" i="36" s="1"/>
  <c r="AI176" i="31"/>
  <c r="AV176" i="31" s="1"/>
  <c r="Q169" i="36" s="1"/>
  <c r="AI153" i="31"/>
  <c r="AV153" i="31" s="1"/>
  <c r="Q146" i="36" s="1"/>
  <c r="AI117" i="31"/>
  <c r="AV117" i="31" s="1"/>
  <c r="Q110" i="36" s="1"/>
  <c r="AI98" i="31"/>
  <c r="AV98" i="31" s="1"/>
  <c r="Q91" i="36" s="1"/>
  <c r="AI79" i="31"/>
  <c r="AV79" i="31" s="1"/>
  <c r="Q72" i="36" s="1"/>
  <c r="AI266" i="31"/>
  <c r="AV266" i="31" s="1"/>
  <c r="Q259" i="36" s="1"/>
  <c r="AI221" i="31"/>
  <c r="AV221" i="31" s="1"/>
  <c r="Q214" i="36" s="1"/>
  <c r="AI215" i="31"/>
  <c r="AV215" i="31" s="1"/>
  <c r="Q208" i="36" s="1"/>
  <c r="AI212" i="31"/>
  <c r="AV212" i="31" s="1"/>
  <c r="Q205" i="36" s="1"/>
  <c r="AI263" i="31"/>
  <c r="AV263" i="31" s="1"/>
  <c r="Q256" i="36" s="1"/>
  <c r="AI255" i="31"/>
  <c r="AV255" i="31" s="1"/>
  <c r="Q248" i="36" s="1"/>
  <c r="AI264" i="31"/>
  <c r="AV264" i="31" s="1"/>
  <c r="Q257" i="36" s="1"/>
  <c r="AI259" i="31"/>
  <c r="AV259" i="31" s="1"/>
  <c r="Q252" i="36" s="1"/>
  <c r="AI244" i="31"/>
  <c r="AV244" i="31" s="1"/>
  <c r="Q237" i="36" s="1"/>
  <c r="AI219" i="31"/>
  <c r="AV219" i="31" s="1"/>
  <c r="Q212" i="36" s="1"/>
  <c r="AI211" i="31"/>
  <c r="AV211" i="31" s="1"/>
  <c r="Q204" i="36" s="1"/>
  <c r="AI171" i="31"/>
  <c r="AV171" i="31" s="1"/>
  <c r="Q164" i="36" s="1"/>
  <c r="AI150" i="31"/>
  <c r="AV150" i="31" s="1"/>
  <c r="Q143" i="36" s="1"/>
  <c r="AI132" i="31"/>
  <c r="AV132" i="31" s="1"/>
  <c r="Q125" i="36" s="1"/>
  <c r="AI131" i="31"/>
  <c r="AV131" i="31" s="1"/>
  <c r="Q124" i="36" s="1"/>
  <c r="AI97" i="31"/>
  <c r="AV97" i="31" s="1"/>
  <c r="Q90" i="36" s="1"/>
  <c r="AI94" i="31"/>
  <c r="AV94" i="31" s="1"/>
  <c r="Q87" i="36" s="1"/>
  <c r="AI93" i="31"/>
  <c r="AV93" i="31" s="1"/>
  <c r="Q86" i="36" s="1"/>
  <c r="AI68" i="31"/>
  <c r="AV68" i="31" s="1"/>
  <c r="Q61" i="36" s="1"/>
  <c r="AI45" i="31"/>
  <c r="AV45" i="31" s="1"/>
  <c r="Q38" i="36" s="1"/>
  <c r="AI10" i="31"/>
  <c r="AI271" i="31"/>
  <c r="AV271" i="31" s="1"/>
  <c r="Q264" i="36" s="1"/>
  <c r="AI247" i="31"/>
  <c r="AV247" i="31" s="1"/>
  <c r="Q240" i="36" s="1"/>
  <c r="AI195" i="31"/>
  <c r="AV195" i="31" s="1"/>
  <c r="Q188" i="36" s="1"/>
  <c r="AI134" i="31"/>
  <c r="AV134" i="31" s="1"/>
  <c r="Q127" i="36" s="1"/>
  <c r="AI289" i="31"/>
  <c r="AV289" i="31" s="1"/>
  <c r="Q282" i="36" s="1"/>
  <c r="AI288" i="31"/>
  <c r="AV288" i="31" s="1"/>
  <c r="Q281" i="36" s="1"/>
  <c r="AI268" i="31"/>
  <c r="AV268" i="31" s="1"/>
  <c r="Q261" i="36" s="1"/>
  <c r="AI239" i="31"/>
  <c r="AV239" i="31" s="1"/>
  <c r="Q232" i="36" s="1"/>
  <c r="AI285" i="31"/>
  <c r="AV285" i="31" s="1"/>
  <c r="Q278" i="36" s="1"/>
  <c r="AI233" i="31"/>
  <c r="AV233" i="31" s="1"/>
  <c r="Q226" i="36" s="1"/>
  <c r="AI179" i="31"/>
  <c r="AV179" i="31" s="1"/>
  <c r="Q172" i="36" s="1"/>
  <c r="AI286" i="31"/>
  <c r="AV286" i="31" s="1"/>
  <c r="Q279" i="36" s="1"/>
  <c r="AI283" i="31"/>
  <c r="AV283" i="31" s="1"/>
  <c r="Q276" i="36" s="1"/>
  <c r="AI280" i="31"/>
  <c r="AV280" i="31" s="1"/>
  <c r="Q273" i="36" s="1"/>
  <c r="AI241" i="31"/>
  <c r="AV241" i="31" s="1"/>
  <c r="Q234" i="36" s="1"/>
  <c r="AI238" i="31"/>
  <c r="AV238" i="31" s="1"/>
  <c r="Q231" i="36" s="1"/>
  <c r="AI217" i="31"/>
  <c r="AV217" i="31" s="1"/>
  <c r="Q210" i="36" s="1"/>
  <c r="AI305" i="31"/>
  <c r="AV305" i="31" s="1"/>
  <c r="Q298" i="36" s="1"/>
  <c r="AI252" i="31"/>
  <c r="AV252" i="31" s="1"/>
  <c r="Q245" i="36" s="1"/>
  <c r="AI151" i="31"/>
  <c r="AV151" i="31" s="1"/>
  <c r="Q144" i="36" s="1"/>
  <c r="AI141" i="31"/>
  <c r="AV141" i="31" s="1"/>
  <c r="Q134" i="36" s="1"/>
  <c r="AI258" i="31"/>
  <c r="AV258" i="31" s="1"/>
  <c r="Q251" i="36" s="1"/>
  <c r="AI228" i="31"/>
  <c r="AV228" i="31" s="1"/>
  <c r="Q221" i="36" s="1"/>
  <c r="AI203" i="31"/>
  <c r="AV203" i="31" s="1"/>
  <c r="Q196" i="36" s="1"/>
  <c r="AI202" i="31"/>
  <c r="AV202" i="31" s="1"/>
  <c r="Q195" i="36" s="1"/>
  <c r="AI172" i="31"/>
  <c r="AV172" i="31" s="1"/>
  <c r="Q165" i="36" s="1"/>
  <c r="AI146" i="31"/>
  <c r="AV146" i="31" s="1"/>
  <c r="Q139" i="36" s="1"/>
  <c r="AI144" i="31"/>
  <c r="AV144" i="31" s="1"/>
  <c r="Q137" i="36" s="1"/>
  <c r="AI169" i="31"/>
  <c r="AV169" i="31" s="1"/>
  <c r="Q162" i="36" s="1"/>
  <c r="AI156" i="31"/>
  <c r="AV156" i="31" s="1"/>
  <c r="Q149" i="36" s="1"/>
  <c r="AI127" i="31"/>
  <c r="AV127" i="31" s="1"/>
  <c r="Q120" i="36" s="1"/>
  <c r="AI115" i="31"/>
  <c r="AV115" i="31" s="1"/>
  <c r="Q108" i="36" s="1"/>
  <c r="AI110" i="31"/>
  <c r="AV110" i="31" s="1"/>
  <c r="Q103" i="36" s="1"/>
  <c r="AI105" i="31"/>
  <c r="AV105" i="31" s="1"/>
  <c r="Q98" i="36" s="1"/>
  <c r="AI89" i="31"/>
  <c r="AV89" i="31" s="1"/>
  <c r="Q82" i="36" s="1"/>
  <c r="AI84" i="31"/>
  <c r="AV84" i="31" s="1"/>
  <c r="Q77" i="36" s="1"/>
  <c r="AI242" i="31"/>
  <c r="AV242" i="31" s="1"/>
  <c r="Q235" i="36" s="1"/>
  <c r="AI237" i="31"/>
  <c r="AV237" i="31" s="1"/>
  <c r="Q230" i="36" s="1"/>
  <c r="AI181" i="31"/>
  <c r="AV181" i="31" s="1"/>
  <c r="Q174" i="36" s="1"/>
  <c r="AI180" i="31"/>
  <c r="AV180" i="31" s="1"/>
  <c r="Q173" i="36" s="1"/>
  <c r="AI174" i="31"/>
  <c r="AV174" i="31" s="1"/>
  <c r="Q167" i="36" s="1"/>
  <c r="AI142" i="31"/>
  <c r="AV142" i="31" s="1"/>
  <c r="Q135" i="36" s="1"/>
  <c r="AI133" i="31"/>
  <c r="AV133" i="31" s="1"/>
  <c r="Q126" i="36" s="1"/>
  <c r="AI121" i="31"/>
  <c r="AV121" i="31" s="1"/>
  <c r="Q114" i="36" s="1"/>
  <c r="AI112" i="31"/>
  <c r="AV112" i="31" s="1"/>
  <c r="Q105" i="36" s="1"/>
  <c r="AI250" i="31"/>
  <c r="AV250" i="31" s="1"/>
  <c r="Q243" i="36" s="1"/>
  <c r="AI213" i="31"/>
  <c r="AV213" i="31" s="1"/>
  <c r="Q206" i="36" s="1"/>
  <c r="AI295" i="31"/>
  <c r="AV295" i="31" s="1"/>
  <c r="Q288" i="36" s="1"/>
  <c r="AI275" i="31"/>
  <c r="AV275" i="31" s="1"/>
  <c r="Q268" i="36" s="1"/>
  <c r="AI231" i="31"/>
  <c r="AV231" i="31" s="1"/>
  <c r="Q224" i="36" s="1"/>
  <c r="AI225" i="31"/>
  <c r="AV225" i="31" s="1"/>
  <c r="Q218" i="36" s="1"/>
  <c r="AI198" i="31"/>
  <c r="AV198" i="31" s="1"/>
  <c r="Q191" i="36" s="1"/>
  <c r="AI163" i="31"/>
  <c r="AV163" i="31" s="1"/>
  <c r="Q156" i="36" s="1"/>
  <c r="AI116" i="31"/>
  <c r="AV116" i="31" s="1"/>
  <c r="Q109" i="36" s="1"/>
  <c r="AI80" i="31"/>
  <c r="AV80" i="31" s="1"/>
  <c r="Q73" i="36" s="1"/>
  <c r="AI74" i="31"/>
  <c r="AV74" i="31" s="1"/>
  <c r="Q67" i="36" s="1"/>
  <c r="AI290" i="31"/>
  <c r="AV290" i="31" s="1"/>
  <c r="Q283" i="36" s="1"/>
  <c r="AI226" i="31"/>
  <c r="AV226" i="31" s="1"/>
  <c r="Q219" i="36" s="1"/>
  <c r="AI222" i="31"/>
  <c r="AV222" i="31" s="1"/>
  <c r="Q215" i="36" s="1"/>
  <c r="AI162" i="31"/>
  <c r="AV162" i="31" s="1"/>
  <c r="Q155" i="36" s="1"/>
  <c r="AI160" i="31"/>
  <c r="AV160" i="31" s="1"/>
  <c r="Q153" i="36" s="1"/>
  <c r="AI118" i="31"/>
  <c r="AV118" i="31" s="1"/>
  <c r="Q111" i="36" s="1"/>
  <c r="AI114" i="31"/>
  <c r="AV114" i="31" s="1"/>
  <c r="Q107" i="36" s="1"/>
  <c r="AI95" i="31"/>
  <c r="AV95" i="31" s="1"/>
  <c r="Q88" i="36" s="1"/>
  <c r="AI92" i="31"/>
  <c r="AV92" i="31" s="1"/>
  <c r="Q85" i="36" s="1"/>
  <c r="AI86" i="31"/>
  <c r="AV86" i="31" s="1"/>
  <c r="Q79" i="36" s="1"/>
  <c r="AI83" i="31"/>
  <c r="AV83" i="31" s="1"/>
  <c r="Q76" i="36" s="1"/>
  <c r="AI77" i="31"/>
  <c r="AV77" i="31" s="1"/>
  <c r="Q70" i="36" s="1"/>
  <c r="AI65" i="31"/>
  <c r="AV65" i="31" s="1"/>
  <c r="Q58" i="36" s="1"/>
  <c r="AI54" i="31"/>
  <c r="AV54" i="31" s="1"/>
  <c r="Q47" i="36" s="1"/>
  <c r="AI48" i="31"/>
  <c r="AV48" i="31" s="1"/>
  <c r="Q41" i="36" s="1"/>
  <c r="AI274" i="31"/>
  <c r="AV274" i="31" s="1"/>
  <c r="Q267" i="36" s="1"/>
  <c r="AI261" i="31"/>
  <c r="AV261" i="31" s="1"/>
  <c r="Q254" i="36" s="1"/>
  <c r="AI220" i="31"/>
  <c r="AV220" i="31" s="1"/>
  <c r="Q213" i="36" s="1"/>
  <c r="AI201" i="31"/>
  <c r="AV201" i="31" s="1"/>
  <c r="Q194" i="36" s="1"/>
  <c r="AI196" i="31"/>
  <c r="AV196" i="31" s="1"/>
  <c r="Q189" i="36" s="1"/>
  <c r="AI130" i="31"/>
  <c r="AV130" i="31" s="1"/>
  <c r="Q123" i="36" s="1"/>
  <c r="AI108" i="31"/>
  <c r="AV108" i="31" s="1"/>
  <c r="Q101" i="36" s="1"/>
  <c r="AI106" i="31"/>
  <c r="AV106" i="31" s="1"/>
  <c r="Q99" i="36" s="1"/>
  <c r="AI267" i="31"/>
  <c r="AV267" i="31" s="1"/>
  <c r="Q260" i="36" s="1"/>
  <c r="AI204" i="31"/>
  <c r="AV204" i="31" s="1"/>
  <c r="Q197" i="36" s="1"/>
  <c r="AI175" i="31"/>
  <c r="AV175" i="31" s="1"/>
  <c r="Q168" i="36" s="1"/>
  <c r="AI155" i="31"/>
  <c r="AV155" i="31" s="1"/>
  <c r="Q148" i="36" s="1"/>
  <c r="AI152" i="31"/>
  <c r="AV152" i="31" s="1"/>
  <c r="Q145" i="36" s="1"/>
  <c r="AI124" i="31"/>
  <c r="AV124" i="31" s="1"/>
  <c r="Q117" i="36" s="1"/>
  <c r="AI81" i="31"/>
  <c r="AV81" i="31" s="1"/>
  <c r="Q74" i="36" s="1"/>
  <c r="AI16" i="31"/>
  <c r="AI67" i="31"/>
  <c r="AV67" i="31" s="1"/>
  <c r="Q60" i="36" s="1"/>
  <c r="AI49" i="31"/>
  <c r="AV49" i="31" s="1"/>
  <c r="Q42" i="36" s="1"/>
  <c r="AI11" i="31"/>
  <c r="AV11" i="31" s="1"/>
  <c r="Q4" i="36" s="1"/>
  <c r="AI125" i="31"/>
  <c r="AV125" i="31" s="1"/>
  <c r="Q118" i="36" s="1"/>
  <c r="AI122" i="31"/>
  <c r="AV122" i="31" s="1"/>
  <c r="Q115" i="36" s="1"/>
  <c r="AI78" i="31"/>
  <c r="AV78" i="31" s="1"/>
  <c r="Q71" i="36" s="1"/>
  <c r="AI73" i="31"/>
  <c r="AV73" i="31" s="1"/>
  <c r="Q66" i="36" s="1"/>
  <c r="AI70" i="31"/>
  <c r="AV70" i="31" s="1"/>
  <c r="Q63" i="36" s="1"/>
  <c r="AI64" i="31"/>
  <c r="AV64" i="31" s="1"/>
  <c r="Q57" i="36" s="1"/>
  <c r="AI55" i="31"/>
  <c r="AV55" i="31" s="1"/>
  <c r="Q48" i="36" s="1"/>
  <c r="AI43" i="31"/>
  <c r="AV43" i="31" s="1"/>
  <c r="Q36" i="36" s="1"/>
  <c r="AI28" i="31"/>
  <c r="AV28" i="31" s="1"/>
  <c r="Q21" i="36" s="1"/>
  <c r="AI254" i="31"/>
  <c r="AV254" i="31" s="1"/>
  <c r="Q247" i="36" s="1"/>
  <c r="AI245" i="31"/>
  <c r="AV245" i="31" s="1"/>
  <c r="Q238" i="36" s="1"/>
  <c r="AI145" i="31"/>
  <c r="AV145" i="31" s="1"/>
  <c r="Q138" i="36" s="1"/>
  <c r="AI61" i="31"/>
  <c r="AV61" i="31" s="1"/>
  <c r="Q54" i="36" s="1"/>
  <c r="AI22" i="31"/>
  <c r="AV22" i="31" s="1"/>
  <c r="Q15" i="36" s="1"/>
  <c r="AI273" i="31"/>
  <c r="AV273" i="31" s="1"/>
  <c r="Q266" i="36" s="1"/>
  <c r="AI170" i="31"/>
  <c r="AV170" i="31" s="1"/>
  <c r="Q163" i="36" s="1"/>
  <c r="AI149" i="31"/>
  <c r="AV149" i="31" s="1"/>
  <c r="Q142" i="36" s="1"/>
  <c r="AI107" i="31"/>
  <c r="AV107" i="31" s="1"/>
  <c r="Q100" i="36" s="1"/>
  <c r="AI58" i="31"/>
  <c r="AV58" i="31" s="1"/>
  <c r="Q51" i="36" s="1"/>
  <c r="AI46" i="31"/>
  <c r="AV46" i="31" s="1"/>
  <c r="Q39" i="36" s="1"/>
  <c r="AI40" i="31"/>
  <c r="AV40" i="31" s="1"/>
  <c r="Q33" i="36" s="1"/>
  <c r="AI34" i="31"/>
  <c r="AV34" i="31" s="1"/>
  <c r="Q27" i="36" s="1"/>
  <c r="AI23" i="31"/>
  <c r="AV23" i="31" s="1"/>
  <c r="Q16" i="36" s="1"/>
  <c r="AI17" i="31"/>
  <c r="AI281" i="31"/>
  <c r="AV281" i="31" s="1"/>
  <c r="Q274" i="36" s="1"/>
  <c r="AI300" i="31"/>
  <c r="AV300" i="31" s="1"/>
  <c r="Q293" i="36" s="1"/>
  <c r="AI276" i="31"/>
  <c r="AV276" i="31" s="1"/>
  <c r="Q269" i="36" s="1"/>
  <c r="AI210" i="31"/>
  <c r="AV210" i="31" s="1"/>
  <c r="Q203" i="36" s="1"/>
  <c r="AI173" i="31"/>
  <c r="AV173" i="31" s="1"/>
  <c r="Q166" i="36" s="1"/>
  <c r="AI35" i="31"/>
  <c r="AV35" i="31" s="1"/>
  <c r="Q28" i="36" s="1"/>
  <c r="AI31" i="31"/>
  <c r="AV31" i="31" s="1"/>
  <c r="Q24" i="36" s="1"/>
  <c r="AI207" i="31"/>
  <c r="AV207" i="31" s="1"/>
  <c r="Q200" i="36" s="1"/>
  <c r="AI140" i="31"/>
  <c r="AV140" i="31" s="1"/>
  <c r="Q133" i="36" s="1"/>
  <c r="AI126" i="31"/>
  <c r="AV126" i="31" s="1"/>
  <c r="Q119" i="36" s="1"/>
  <c r="AI66" i="31"/>
  <c r="AV66" i="31" s="1"/>
  <c r="Q59" i="36" s="1"/>
  <c r="AI56" i="31"/>
  <c r="AV56" i="31" s="1"/>
  <c r="Q49" i="36" s="1"/>
  <c r="AI30" i="31"/>
  <c r="AV30" i="31" s="1"/>
  <c r="Q23" i="36" s="1"/>
  <c r="AI26" i="31"/>
  <c r="AV26" i="31" s="1"/>
  <c r="Q19" i="36" s="1"/>
  <c r="AI103" i="31"/>
  <c r="AV103" i="31" s="1"/>
  <c r="Q96" i="36" s="1"/>
  <c r="AI57" i="31"/>
  <c r="AV57" i="31" s="1"/>
  <c r="Q50" i="36" s="1"/>
  <c r="AI21" i="31"/>
  <c r="AV21" i="31" s="1"/>
  <c r="Q14" i="36" s="1"/>
  <c r="AI12" i="31"/>
  <c r="AI96" i="31"/>
  <c r="AV96" i="31" s="1"/>
  <c r="Q89" i="36" s="1"/>
  <c r="AI62" i="31"/>
  <c r="AV62" i="31" s="1"/>
  <c r="Q55" i="36" s="1"/>
  <c r="AV24" i="31"/>
  <c r="Q17" i="36" s="1"/>
  <c r="AI256" i="31"/>
  <c r="AV256" i="31" s="1"/>
  <c r="Q249" i="36" s="1"/>
  <c r="AI157" i="31"/>
  <c r="AV157" i="31" s="1"/>
  <c r="Q150" i="36" s="1"/>
  <c r="AI88" i="31"/>
  <c r="AV88" i="31" s="1"/>
  <c r="Q81" i="36" s="1"/>
  <c r="AI72" i="31"/>
  <c r="AV72" i="31" s="1"/>
  <c r="Q65" i="36" s="1"/>
  <c r="AI44" i="31"/>
  <c r="AV44" i="31" s="1"/>
  <c r="Q37" i="36" s="1"/>
  <c r="AI38" i="31"/>
  <c r="AV38" i="31" s="1"/>
  <c r="Q31" i="36" s="1"/>
  <c r="AI246" i="31"/>
  <c r="AV246" i="31" s="1"/>
  <c r="Q239" i="36" s="1"/>
  <c r="AI235" i="31"/>
  <c r="AV235" i="31" s="1"/>
  <c r="Q228" i="36" s="1"/>
  <c r="AI53" i="31"/>
  <c r="AV53" i="31" s="1"/>
  <c r="Q46" i="36" s="1"/>
  <c r="AI19" i="31"/>
  <c r="AV19" i="31" s="1"/>
  <c r="Q12" i="36" s="1"/>
  <c r="AI167" i="31"/>
  <c r="AV167" i="31" s="1"/>
  <c r="Q160" i="36" s="1"/>
  <c r="AI161" i="31"/>
  <c r="AV161" i="31" s="1"/>
  <c r="Q154" i="36" s="1"/>
  <c r="AI37" i="31"/>
  <c r="AV37" i="31" s="1"/>
  <c r="Q30" i="36" s="1"/>
  <c r="AI60" i="31"/>
  <c r="AV60" i="31" s="1"/>
  <c r="Q53" i="36" s="1"/>
  <c r="AI168" i="31"/>
  <c r="AV168" i="31" s="1"/>
  <c r="Q161" i="36" s="1"/>
  <c r="AI85" i="31"/>
  <c r="AV85" i="31" s="1"/>
  <c r="Q78" i="36" s="1"/>
  <c r="AI47" i="31"/>
  <c r="AV47" i="31" s="1"/>
  <c r="Q40" i="36" s="1"/>
  <c r="AI25" i="31"/>
  <c r="AV25" i="31" s="1"/>
  <c r="Q18" i="36" s="1"/>
  <c r="AI29" i="31"/>
  <c r="AV29" i="31" s="1"/>
  <c r="Q22" i="36" s="1"/>
  <c r="AI9" i="31"/>
  <c r="AV9" i="31" s="1"/>
  <c r="Q2" i="36" s="1"/>
  <c r="AI129" i="31"/>
  <c r="AV129" i="31" s="1"/>
  <c r="Q122" i="36" s="1"/>
  <c r="AI113" i="31"/>
  <c r="AV113" i="31" s="1"/>
  <c r="Q106" i="36" s="1"/>
  <c r="AI143" i="31"/>
  <c r="AV143" i="31" s="1"/>
  <c r="Q136" i="36" s="1"/>
  <c r="AI279" i="31"/>
  <c r="AV279" i="31" s="1"/>
  <c r="Q272" i="36" s="1"/>
  <c r="AI209" i="31"/>
  <c r="AV209" i="31" s="1"/>
  <c r="Q202" i="36" s="1"/>
  <c r="AI76" i="31"/>
  <c r="AV76" i="31" s="1"/>
  <c r="Q69" i="36" s="1"/>
  <c r="AI42" i="31"/>
  <c r="AV42" i="31" s="1"/>
  <c r="Q35" i="36" s="1"/>
  <c r="AI41" i="31"/>
  <c r="AV41" i="31" s="1"/>
  <c r="Q34" i="36" s="1"/>
  <c r="AI18" i="31"/>
  <c r="AV18" i="31" s="1"/>
  <c r="Q11" i="36" s="1"/>
  <c r="AI119" i="31"/>
  <c r="AV119" i="31" s="1"/>
  <c r="Q112" i="36" s="1"/>
  <c r="AI59" i="31"/>
  <c r="AV59" i="31" s="1"/>
  <c r="Q52" i="36" s="1"/>
  <c r="AI214" i="31"/>
  <c r="AV214" i="31" s="1"/>
  <c r="Q207" i="36" s="1"/>
  <c r="AI148" i="31"/>
  <c r="AV148" i="31" s="1"/>
  <c r="Q141" i="36" s="1"/>
  <c r="AI102" i="31"/>
  <c r="AV102" i="31" s="1"/>
  <c r="Q95" i="36" s="1"/>
  <c r="AI69" i="31"/>
  <c r="AV69" i="31" s="1"/>
  <c r="Q62" i="36" s="1"/>
  <c r="AI265" i="31"/>
  <c r="AV265" i="31" s="1"/>
  <c r="Q258" i="36" s="1"/>
  <c r="AI50" i="31"/>
  <c r="AV50" i="31" s="1"/>
  <c r="Q43" i="36" s="1"/>
  <c r="AI32" i="31"/>
  <c r="AV32" i="31" s="1"/>
  <c r="Q25" i="36" s="1"/>
  <c r="AI137" i="31"/>
  <c r="AV137" i="31" s="1"/>
  <c r="Q130" i="36" s="1"/>
  <c r="AI249" i="31"/>
  <c r="AV249" i="31" s="1"/>
  <c r="Q242" i="36" s="1"/>
  <c r="AI13" i="31"/>
  <c r="L303" i="31"/>
  <c r="L296" i="31"/>
  <c r="L284" i="31"/>
  <c r="L301" i="31"/>
  <c r="L289" i="31"/>
  <c r="L277" i="31"/>
  <c r="L295" i="31"/>
  <c r="L270" i="31"/>
  <c r="L300" i="31"/>
  <c r="L290" i="31"/>
  <c r="L271" i="31"/>
  <c r="L265" i="31"/>
  <c r="L253" i="31"/>
  <c r="L241" i="31"/>
  <c r="L298" i="31"/>
  <c r="L264" i="31"/>
  <c r="L245" i="31"/>
  <c r="L234" i="31"/>
  <c r="L223" i="31"/>
  <c r="L211" i="31"/>
  <c r="L199" i="31"/>
  <c r="L187" i="31"/>
  <c r="L299" i="31"/>
  <c r="L288" i="31"/>
  <c r="L286" i="31"/>
  <c r="L282" i="31"/>
  <c r="L268" i="31"/>
  <c r="L255" i="31"/>
  <c r="L249" i="31"/>
  <c r="L229" i="31"/>
  <c r="L210" i="31"/>
  <c r="L191" i="31"/>
  <c r="L183" i="31"/>
  <c r="L171" i="31"/>
  <c r="L159" i="31"/>
  <c r="L281" i="31"/>
  <c r="L279" i="31"/>
  <c r="L275" i="31"/>
  <c r="L272" i="31"/>
  <c r="L227" i="31"/>
  <c r="L221" i="31"/>
  <c r="L215" i="31"/>
  <c r="L209" i="31"/>
  <c r="L186" i="31"/>
  <c r="L179" i="31"/>
  <c r="L160" i="31"/>
  <c r="L140" i="31"/>
  <c r="L128" i="31"/>
  <c r="L116" i="31"/>
  <c r="L104" i="31"/>
  <c r="L92" i="31"/>
  <c r="L80" i="31"/>
  <c r="L68" i="31"/>
  <c r="L56" i="31"/>
  <c r="L44" i="31"/>
  <c r="L32" i="31"/>
  <c r="L20" i="31"/>
  <c r="L283" i="31"/>
  <c r="L232" i="31"/>
  <c r="L230" i="31"/>
  <c r="L163" i="31"/>
  <c r="L151" i="31"/>
  <c r="L141" i="31"/>
  <c r="L122" i="31"/>
  <c r="L103" i="31"/>
  <c r="L84" i="31"/>
  <c r="L73" i="31"/>
  <c r="L65" i="31"/>
  <c r="L54" i="31"/>
  <c r="L46" i="31"/>
  <c r="L35" i="31"/>
  <c r="L27" i="31"/>
  <c r="L16" i="31"/>
  <c r="L267" i="31"/>
  <c r="L261" i="31"/>
  <c r="L244" i="31"/>
  <c r="L238" i="31"/>
  <c r="L162" i="31"/>
  <c r="L130" i="31"/>
  <c r="L180" i="31"/>
  <c r="L174" i="31"/>
  <c r="L168" i="31"/>
  <c r="L138" i="31"/>
  <c r="L119" i="31"/>
  <c r="L111" i="31"/>
  <c r="L100" i="31"/>
  <c r="L81" i="31"/>
  <c r="L292" i="31"/>
  <c r="L291" i="31"/>
  <c r="L266" i="31"/>
  <c r="L236" i="31"/>
  <c r="L226" i="31"/>
  <c r="L220" i="31"/>
  <c r="L217" i="31"/>
  <c r="L188" i="31"/>
  <c r="L181" i="31"/>
  <c r="L306" i="31"/>
  <c r="L293" i="31"/>
  <c r="L259" i="31"/>
  <c r="L257" i="31"/>
  <c r="L197" i="31"/>
  <c r="L302" i="31"/>
  <c r="L280" i="31"/>
  <c r="L247" i="31"/>
  <c r="L240" i="31"/>
  <c r="L222" i="31"/>
  <c r="L214" i="31"/>
  <c r="L206" i="31"/>
  <c r="L193" i="31"/>
  <c r="L185" i="31"/>
  <c r="L169" i="31"/>
  <c r="L164" i="31"/>
  <c r="L115" i="31"/>
  <c r="L114" i="31"/>
  <c r="L77" i="31"/>
  <c r="L76" i="31"/>
  <c r="L72" i="31"/>
  <c r="L66" i="31"/>
  <c r="L31" i="31"/>
  <c r="L25" i="31"/>
  <c r="L13" i="31"/>
  <c r="L258" i="31"/>
  <c r="L239" i="31"/>
  <c r="L219" i="31"/>
  <c r="L203" i="31"/>
  <c r="L198" i="31"/>
  <c r="L190" i="31"/>
  <c r="L154" i="31"/>
  <c r="L149" i="31"/>
  <c r="L254" i="31"/>
  <c r="L250" i="31"/>
  <c r="L235" i="31"/>
  <c r="L305" i="31"/>
  <c r="L273" i="31"/>
  <c r="L260" i="31"/>
  <c r="L242" i="31"/>
  <c r="L225" i="31"/>
  <c r="L224" i="31"/>
  <c r="L205" i="31"/>
  <c r="L182" i="31"/>
  <c r="L304" i="31"/>
  <c r="L297" i="31"/>
  <c r="L285" i="31"/>
  <c r="L278" i="31"/>
  <c r="L263" i="31"/>
  <c r="L202" i="31"/>
  <c r="L200" i="31"/>
  <c r="L143" i="31"/>
  <c r="L129" i="31"/>
  <c r="L276" i="31"/>
  <c r="L201" i="31"/>
  <c r="L184" i="31"/>
  <c r="L172" i="31"/>
  <c r="L132" i="31"/>
  <c r="L294" i="31"/>
  <c r="L246" i="31"/>
  <c r="L231" i="31"/>
  <c r="L218" i="31"/>
  <c r="L216" i="31"/>
  <c r="L177" i="31"/>
  <c r="L156" i="31"/>
  <c r="L146" i="31"/>
  <c r="L135" i="31"/>
  <c r="L124" i="31"/>
  <c r="L87" i="31"/>
  <c r="L82" i="31"/>
  <c r="L59" i="31"/>
  <c r="L53" i="31"/>
  <c r="L52" i="31"/>
  <c r="L51" i="31"/>
  <c r="L50" i="31"/>
  <c r="L49" i="31"/>
  <c r="L251" i="31"/>
  <c r="L248" i="31"/>
  <c r="L195" i="31"/>
  <c r="L142" i="31"/>
  <c r="L133" i="31"/>
  <c r="L123" i="31"/>
  <c r="L97" i="31"/>
  <c r="L274" i="31"/>
  <c r="L252" i="31"/>
  <c r="L192" i="31"/>
  <c r="L233" i="31"/>
  <c r="L204" i="31"/>
  <c r="L167" i="31"/>
  <c r="L139" i="31"/>
  <c r="L131" i="31"/>
  <c r="L94" i="31"/>
  <c r="L91" i="31"/>
  <c r="L262" i="31"/>
  <c r="L150" i="31"/>
  <c r="L148" i="31"/>
  <c r="L101" i="31"/>
  <c r="L99" i="31"/>
  <c r="L69" i="31"/>
  <c r="L63" i="31"/>
  <c r="L40" i="31"/>
  <c r="L37" i="31"/>
  <c r="L36" i="31"/>
  <c r="L34" i="31"/>
  <c r="L33" i="31"/>
  <c r="L287" i="31"/>
  <c r="L237" i="31"/>
  <c r="L137" i="31"/>
  <c r="L207" i="31"/>
  <c r="L121" i="31"/>
  <c r="L60" i="31"/>
  <c r="L57" i="31"/>
  <c r="L48" i="31"/>
  <c r="L42" i="31"/>
  <c r="L14" i="31"/>
  <c r="L189" i="31"/>
  <c r="L83" i="31"/>
  <c r="L78" i="31"/>
  <c r="L45" i="31"/>
  <c r="L26" i="31"/>
  <c r="L243" i="31"/>
  <c r="L161" i="31"/>
  <c r="L157" i="31"/>
  <c r="L86" i="31"/>
  <c r="L134" i="31"/>
  <c r="L107" i="31"/>
  <c r="L228" i="31"/>
  <c r="L147" i="31"/>
  <c r="L120" i="31"/>
  <c r="L106" i="31"/>
  <c r="L70" i="31"/>
  <c r="L64" i="31"/>
  <c r="L38" i="31"/>
  <c r="L21" i="31"/>
  <c r="L15" i="31"/>
  <c r="L208" i="31"/>
  <c r="L165" i="31"/>
  <c r="L113" i="31"/>
  <c r="L18" i="31"/>
  <c r="L117" i="31"/>
  <c r="L105" i="31"/>
  <c r="L96" i="31"/>
  <c r="L88" i="31"/>
  <c r="L75" i="31"/>
  <c r="L55" i="31"/>
  <c r="L47" i="31"/>
  <c r="L39" i="31"/>
  <c r="L176" i="31"/>
  <c r="L125" i="31"/>
  <c r="L118" i="31"/>
  <c r="L109" i="31"/>
  <c r="L74" i="31"/>
  <c r="L30" i="31"/>
  <c r="L102" i="31"/>
  <c r="L24" i="31"/>
  <c r="L17" i="31"/>
  <c r="L93" i="31"/>
  <c r="L28" i="31"/>
  <c r="L196" i="31"/>
  <c r="L126" i="31"/>
  <c r="L79" i="31"/>
  <c r="L23" i="31"/>
  <c r="L155" i="31"/>
  <c r="L136" i="31"/>
  <c r="L67" i="31"/>
  <c r="L256" i="31"/>
  <c r="L212" i="31"/>
  <c r="L170" i="31"/>
  <c r="L145" i="31"/>
  <c r="L269" i="31"/>
  <c r="L194" i="31"/>
  <c r="L178" i="31"/>
  <c r="L144" i="31"/>
  <c r="L110" i="31"/>
  <c r="L89" i="31"/>
  <c r="L71" i="31"/>
  <c r="L12" i="31"/>
  <c r="L152" i="31"/>
  <c r="L98" i="31"/>
  <c r="L90" i="31"/>
  <c r="L62" i="31"/>
  <c r="L61" i="31"/>
  <c r="L29" i="31"/>
  <c r="L9" i="31"/>
  <c r="L213" i="31"/>
  <c r="L173" i="31"/>
  <c r="L158" i="31"/>
  <c r="L43" i="31"/>
  <c r="L166" i="31"/>
  <c r="L175" i="31"/>
  <c r="L11" i="31"/>
  <c r="L112" i="31"/>
  <c r="L58" i="31"/>
  <c r="L108" i="31"/>
  <c r="L19" i="31"/>
  <c r="L10" i="31"/>
  <c r="L41" i="31"/>
  <c r="L127" i="31"/>
  <c r="L95" i="31"/>
  <c r="L85" i="31"/>
  <c r="L22" i="31"/>
  <c r="L153" i="31"/>
  <c r="X303" i="31"/>
  <c r="X296" i="31"/>
  <c r="X284" i="31"/>
  <c r="X301" i="31"/>
  <c r="X289" i="31"/>
  <c r="X277" i="31"/>
  <c r="X283" i="31"/>
  <c r="X276" i="31"/>
  <c r="X270" i="31"/>
  <c r="X294" i="31"/>
  <c r="X299" i="31"/>
  <c r="X281" i="31"/>
  <c r="X280" i="31"/>
  <c r="X265" i="31"/>
  <c r="X253" i="31"/>
  <c r="X241" i="31"/>
  <c r="X297" i="31"/>
  <c r="X271" i="31"/>
  <c r="X267" i="31"/>
  <c r="X256" i="31"/>
  <c r="X248" i="31"/>
  <c r="X237" i="31"/>
  <c r="X223" i="31"/>
  <c r="X211" i="31"/>
  <c r="X199" i="31"/>
  <c r="X187" i="31"/>
  <c r="X302" i="31"/>
  <c r="X300" i="31"/>
  <c r="X288" i="31"/>
  <c r="X264" i="31"/>
  <c r="X295" i="31"/>
  <c r="X250" i="31"/>
  <c r="X244" i="31"/>
  <c r="X221" i="31"/>
  <c r="X213" i="31"/>
  <c r="X202" i="31"/>
  <c r="X194" i="31"/>
  <c r="X183" i="31"/>
  <c r="X171" i="31"/>
  <c r="X159" i="31"/>
  <c r="X304" i="31"/>
  <c r="X305" i="31"/>
  <c r="X290" i="31"/>
  <c r="X274" i="31"/>
  <c r="X222" i="31"/>
  <c r="X216" i="31"/>
  <c r="X210" i="31"/>
  <c r="X204" i="31"/>
  <c r="X182" i="31"/>
  <c r="X163" i="31"/>
  <c r="X152" i="31"/>
  <c r="X140" i="31"/>
  <c r="X128" i="31"/>
  <c r="X116" i="31"/>
  <c r="X104" i="31"/>
  <c r="X92" i="31"/>
  <c r="X80" i="31"/>
  <c r="X68" i="31"/>
  <c r="X56" i="31"/>
  <c r="X44" i="31"/>
  <c r="X32" i="31"/>
  <c r="X20" i="31"/>
  <c r="X306" i="31"/>
  <c r="X298" i="31"/>
  <c r="X266" i="31"/>
  <c r="X263" i="31"/>
  <c r="X242" i="31"/>
  <c r="X236" i="31"/>
  <c r="X215" i="31"/>
  <c r="X214" i="31"/>
  <c r="X212" i="31"/>
  <c r="X208" i="31"/>
  <c r="X206" i="31"/>
  <c r="X205" i="31"/>
  <c r="X181" i="31"/>
  <c r="X158" i="31"/>
  <c r="X144" i="31"/>
  <c r="X133" i="31"/>
  <c r="X125" i="31"/>
  <c r="X114" i="31"/>
  <c r="X106" i="31"/>
  <c r="X95" i="31"/>
  <c r="X87" i="31"/>
  <c r="X76" i="31"/>
  <c r="X57" i="31"/>
  <c r="X38" i="31"/>
  <c r="X19" i="31"/>
  <c r="X278" i="31"/>
  <c r="X273" i="31"/>
  <c r="X259" i="31"/>
  <c r="X226" i="31"/>
  <c r="X220" i="31"/>
  <c r="X219" i="31"/>
  <c r="X218" i="31"/>
  <c r="X217" i="31"/>
  <c r="X175" i="31"/>
  <c r="X169" i="31"/>
  <c r="X157" i="31"/>
  <c r="X122" i="31"/>
  <c r="X84" i="31"/>
  <c r="X73" i="31"/>
  <c r="X141" i="31"/>
  <c r="X103" i="31"/>
  <c r="X282" i="31"/>
  <c r="X258" i="31"/>
  <c r="X254" i="31"/>
  <c r="X235" i="31"/>
  <c r="X233" i="31"/>
  <c r="X231" i="31"/>
  <c r="X228" i="31"/>
  <c r="X225" i="31"/>
  <c r="X262" i="31"/>
  <c r="X190" i="31"/>
  <c r="X257" i="31"/>
  <c r="X249" i="31"/>
  <c r="X234" i="31"/>
  <c r="X184" i="31"/>
  <c r="X178" i="31"/>
  <c r="X173" i="31"/>
  <c r="X168" i="31"/>
  <c r="X146" i="31"/>
  <c r="X145" i="31"/>
  <c r="X142" i="31"/>
  <c r="X108" i="31"/>
  <c r="X107" i="31"/>
  <c r="X67" i="31"/>
  <c r="X61" i="31"/>
  <c r="X26" i="31"/>
  <c r="X292" i="31"/>
  <c r="X291" i="31"/>
  <c r="X189" i="31"/>
  <c r="X179" i="31"/>
  <c r="X252" i="31"/>
  <c r="X293" i="31"/>
  <c r="X247" i="31"/>
  <c r="X188" i="31"/>
  <c r="X174" i="31"/>
  <c r="X255" i="31"/>
  <c r="X227" i="31"/>
  <c r="X279" i="31"/>
  <c r="X261" i="31"/>
  <c r="X251" i="31"/>
  <c r="X246" i="31"/>
  <c r="X224" i="31"/>
  <c r="X195" i="31"/>
  <c r="X193" i="31"/>
  <c r="X176" i="31"/>
  <c r="X136" i="31"/>
  <c r="X286" i="31"/>
  <c r="X268" i="31"/>
  <c r="X191" i="31"/>
  <c r="X160" i="31"/>
  <c r="X155" i="31"/>
  <c r="X139" i="31"/>
  <c r="X209" i="31"/>
  <c r="X192" i="31"/>
  <c r="X147" i="31"/>
  <c r="X131" i="31"/>
  <c r="X117" i="31"/>
  <c r="X112" i="31"/>
  <c r="X101" i="31"/>
  <c r="X96" i="31"/>
  <c r="X86" i="31"/>
  <c r="X81" i="31"/>
  <c r="X239" i="31"/>
  <c r="X229" i="31"/>
  <c r="X200" i="31"/>
  <c r="X207" i="31"/>
  <c r="X180" i="31"/>
  <c r="X287" i="31"/>
  <c r="X269" i="31"/>
  <c r="X245" i="31"/>
  <c r="X238" i="31"/>
  <c r="X177" i="31"/>
  <c r="X272" i="31"/>
  <c r="X197" i="31"/>
  <c r="X172" i="31"/>
  <c r="X153" i="31"/>
  <c r="X135" i="31"/>
  <c r="X123" i="31"/>
  <c r="X121" i="31"/>
  <c r="X119" i="31"/>
  <c r="X156" i="31"/>
  <c r="X134" i="31"/>
  <c r="X127" i="31"/>
  <c r="X126" i="31"/>
  <c r="X98" i="31"/>
  <c r="X93" i="31"/>
  <c r="X90" i="31"/>
  <c r="X50" i="31"/>
  <c r="X18" i="31"/>
  <c r="X16" i="31"/>
  <c r="X14" i="31"/>
  <c r="X12" i="31"/>
  <c r="X11" i="31"/>
  <c r="X10" i="31"/>
  <c r="X9" i="31"/>
  <c r="X230" i="31"/>
  <c r="X109" i="31"/>
  <c r="X240" i="31"/>
  <c r="X165" i="31"/>
  <c r="X129" i="31"/>
  <c r="X111" i="31"/>
  <c r="X85" i="31"/>
  <c r="X71" i="31"/>
  <c r="X65" i="31"/>
  <c r="X62" i="31"/>
  <c r="X59" i="31"/>
  <c r="X24" i="31"/>
  <c r="X53" i="31"/>
  <c r="X47" i="31"/>
  <c r="X30" i="31"/>
  <c r="X13" i="31"/>
  <c r="X186" i="31"/>
  <c r="X148" i="31"/>
  <c r="X143" i="31"/>
  <c r="X130" i="31"/>
  <c r="X82" i="31"/>
  <c r="X41" i="31"/>
  <c r="X36" i="31"/>
  <c r="X25" i="31"/>
  <c r="X162" i="31"/>
  <c r="X151" i="31"/>
  <c r="X118" i="31"/>
  <c r="X77" i="31"/>
  <c r="X137" i="31"/>
  <c r="X110" i="31"/>
  <c r="X74" i="31"/>
  <c r="X37" i="31"/>
  <c r="X31" i="31"/>
  <c r="X260" i="31"/>
  <c r="X167" i="31"/>
  <c r="X102" i="31"/>
  <c r="X79" i="31"/>
  <c r="X78" i="31"/>
  <c r="X70" i="31"/>
  <c r="X69" i="31"/>
  <c r="X33" i="31"/>
  <c r="X60" i="31"/>
  <c r="X52" i="31"/>
  <c r="X51" i="31"/>
  <c r="X43" i="31"/>
  <c r="X42" i="31"/>
  <c r="X28" i="31"/>
  <c r="X243" i="31"/>
  <c r="X150" i="31"/>
  <c r="X115" i="31"/>
  <c r="X23" i="31"/>
  <c r="X83" i="31"/>
  <c r="X58" i="31"/>
  <c r="X49" i="31"/>
  <c r="X48" i="31"/>
  <c r="X22" i="31"/>
  <c r="X170" i="31"/>
  <c r="X166" i="31"/>
  <c r="X40" i="31"/>
  <c r="X21" i="31"/>
  <c r="X35" i="31"/>
  <c r="X15" i="31"/>
  <c r="X185" i="31"/>
  <c r="X100" i="31"/>
  <c r="X72" i="31"/>
  <c r="X64" i="31"/>
  <c r="X54" i="31"/>
  <c r="X132" i="31"/>
  <c r="X113" i="31"/>
  <c r="X63" i="31"/>
  <c r="X55" i="31"/>
  <c r="X232" i="31"/>
  <c r="X203" i="31"/>
  <c r="X154" i="31"/>
  <c r="X27" i="31"/>
  <c r="X138" i="31"/>
  <c r="X124" i="31"/>
  <c r="X94" i="31"/>
  <c r="X66" i="31"/>
  <c r="X275" i="31"/>
  <c r="X196" i="31"/>
  <c r="X164" i="31"/>
  <c r="X149" i="31"/>
  <c r="X99" i="31"/>
  <c r="X120" i="31"/>
  <c r="X29" i="31"/>
  <c r="X285" i="31"/>
  <c r="X45" i="31"/>
  <c r="X198" i="31"/>
  <c r="X105" i="31"/>
  <c r="X89" i="31"/>
  <c r="X34" i="31"/>
  <c r="X88" i="31"/>
  <c r="X161" i="31"/>
  <c r="X17" i="31"/>
  <c r="X46" i="31"/>
  <c r="X39" i="31"/>
  <c r="X75" i="31"/>
  <c r="X201" i="31"/>
  <c r="X97" i="31"/>
  <c r="M301" i="31"/>
  <c r="M289" i="31"/>
  <c r="M306" i="31"/>
  <c r="M294" i="31"/>
  <c r="M282" i="31"/>
  <c r="M288" i="31"/>
  <c r="M302" i="31"/>
  <c r="M299" i="31"/>
  <c r="M293" i="31"/>
  <c r="M279" i="31"/>
  <c r="M258" i="31"/>
  <c r="M246" i="31"/>
  <c r="M234" i="31"/>
  <c r="M270" i="31"/>
  <c r="M261" i="31"/>
  <c r="M253" i="31"/>
  <c r="M242" i="31"/>
  <c r="M228" i="31"/>
  <c r="M216" i="31"/>
  <c r="M204" i="31"/>
  <c r="M192" i="31"/>
  <c r="M284" i="31"/>
  <c r="M296" i="31"/>
  <c r="M292" i="31"/>
  <c r="M280" i="31"/>
  <c r="M277" i="31"/>
  <c r="M274" i="31"/>
  <c r="M269" i="31"/>
  <c r="M267" i="31"/>
  <c r="M243" i="31"/>
  <c r="M237" i="31"/>
  <c r="M226" i="31"/>
  <c r="M218" i="31"/>
  <c r="M207" i="31"/>
  <c r="M199" i="31"/>
  <c r="M188" i="31"/>
  <c r="M176" i="31"/>
  <c r="M164" i="31"/>
  <c r="M152" i="31"/>
  <c r="M203" i="31"/>
  <c r="M197" i="31"/>
  <c r="M185" i="31"/>
  <c r="M168" i="31"/>
  <c r="M157" i="31"/>
  <c r="M149" i="31"/>
  <c r="M145" i="31"/>
  <c r="M133" i="31"/>
  <c r="M121" i="31"/>
  <c r="M109" i="31"/>
  <c r="M97" i="31"/>
  <c r="M85" i="31"/>
  <c r="M73" i="31"/>
  <c r="M61" i="31"/>
  <c r="M49" i="31"/>
  <c r="M37" i="31"/>
  <c r="M25" i="31"/>
  <c r="M13" i="31"/>
  <c r="M290" i="31"/>
  <c r="M255" i="31"/>
  <c r="M244" i="31"/>
  <c r="M238" i="31"/>
  <c r="M180" i="31"/>
  <c r="M174" i="31"/>
  <c r="M162" i="31"/>
  <c r="M138" i="31"/>
  <c r="M130" i="31"/>
  <c r="M119" i="31"/>
  <c r="M111" i="31"/>
  <c r="M100" i="31"/>
  <c r="M92" i="31"/>
  <c r="M81" i="31"/>
  <c r="M62" i="31"/>
  <c r="M43" i="31"/>
  <c r="M24" i="31"/>
  <c r="M305" i="31"/>
  <c r="M286" i="31"/>
  <c r="M264" i="31"/>
  <c r="M250" i="31"/>
  <c r="M239" i="31"/>
  <c r="M233" i="31"/>
  <c r="M156" i="31"/>
  <c r="M150" i="31"/>
  <c r="M108" i="31"/>
  <c r="M146" i="31"/>
  <c r="M127" i="31"/>
  <c r="M89" i="31"/>
  <c r="M78" i="31"/>
  <c r="M303" i="31"/>
  <c r="M259" i="31"/>
  <c r="M257" i="31"/>
  <c r="M223" i="31"/>
  <c r="M191" i="31"/>
  <c r="M300" i="31"/>
  <c r="M287" i="31"/>
  <c r="M285" i="31"/>
  <c r="M272" i="31"/>
  <c r="M263" i="31"/>
  <c r="M251" i="31"/>
  <c r="M232" i="31"/>
  <c r="M229" i="31"/>
  <c r="M200" i="31"/>
  <c r="M194" i="31"/>
  <c r="M281" i="31"/>
  <c r="M271" i="31"/>
  <c r="M236" i="31"/>
  <c r="M227" i="31"/>
  <c r="M219" i="31"/>
  <c r="M198" i="31"/>
  <c r="M190" i="31"/>
  <c r="M159" i="31"/>
  <c r="M154" i="31"/>
  <c r="M118" i="31"/>
  <c r="M117" i="31"/>
  <c r="M83" i="31"/>
  <c r="M80" i="31"/>
  <c r="M79" i="31"/>
  <c r="M60" i="31"/>
  <c r="M54" i="31"/>
  <c r="M48" i="31"/>
  <c r="M42" i="31"/>
  <c r="M19" i="31"/>
  <c r="M268" i="31"/>
  <c r="M262" i="31"/>
  <c r="M224" i="31"/>
  <c r="M195" i="31"/>
  <c r="M183" i="31"/>
  <c r="M175" i="31"/>
  <c r="M170" i="31"/>
  <c r="M165" i="31"/>
  <c r="M124" i="31"/>
  <c r="M240" i="31"/>
  <c r="M211" i="31"/>
  <c r="M247" i="31"/>
  <c r="M276" i="31"/>
  <c r="M273" i="31"/>
  <c r="M201" i="31"/>
  <c r="M184" i="31"/>
  <c r="M172" i="31"/>
  <c r="M132" i="31"/>
  <c r="M231" i="31"/>
  <c r="M230" i="31"/>
  <c r="M177" i="31"/>
  <c r="M151" i="31"/>
  <c r="M135" i="31"/>
  <c r="M260" i="31"/>
  <c r="M241" i="31"/>
  <c r="M221" i="31"/>
  <c r="M217" i="31"/>
  <c r="M215" i="31"/>
  <c r="M161" i="31"/>
  <c r="M103" i="31"/>
  <c r="M98" i="31"/>
  <c r="M93" i="31"/>
  <c r="M88" i="31"/>
  <c r="M77" i="31"/>
  <c r="M64" i="31"/>
  <c r="M58" i="31"/>
  <c r="M57" i="31"/>
  <c r="M56" i="31"/>
  <c r="M55" i="31"/>
  <c r="M291" i="31"/>
  <c r="M256" i="31"/>
  <c r="M225" i="31"/>
  <c r="M209" i="31"/>
  <c r="M169" i="31"/>
  <c r="M147" i="31"/>
  <c r="M249" i="31"/>
  <c r="M210" i="31"/>
  <c r="M196" i="31"/>
  <c r="M220" i="31"/>
  <c r="M206" i="31"/>
  <c r="M187" i="31"/>
  <c r="M304" i="31"/>
  <c r="M214" i="31"/>
  <c r="M181" i="31"/>
  <c r="M148" i="31"/>
  <c r="M101" i="31"/>
  <c r="M99" i="31"/>
  <c r="M278" i="31"/>
  <c r="M275" i="31"/>
  <c r="M235" i="31"/>
  <c r="M212" i="31"/>
  <c r="M122" i="31"/>
  <c r="M120" i="31"/>
  <c r="M52" i="31"/>
  <c r="M46" i="31"/>
  <c r="M39" i="31"/>
  <c r="M38" i="31"/>
  <c r="M178" i="31"/>
  <c r="M155" i="31"/>
  <c r="M153" i="31"/>
  <c r="M144" i="31"/>
  <c r="M136" i="31"/>
  <c r="M129" i="31"/>
  <c r="M114" i="31"/>
  <c r="M112" i="31"/>
  <c r="M110" i="31"/>
  <c r="M297" i="31"/>
  <c r="M283" i="31"/>
  <c r="M252" i="31"/>
  <c r="M171" i="31"/>
  <c r="M86" i="31"/>
  <c r="M63" i="31"/>
  <c r="M31" i="31"/>
  <c r="M14" i="31"/>
  <c r="M51" i="31"/>
  <c r="M26" i="31"/>
  <c r="M20" i="31"/>
  <c r="M9" i="31"/>
  <c r="M106" i="31"/>
  <c r="M94" i="31"/>
  <c r="M70" i="31"/>
  <c r="M32" i="31"/>
  <c r="M21" i="31"/>
  <c r="M189" i="31"/>
  <c r="M141" i="31"/>
  <c r="M140" i="31"/>
  <c r="M134" i="31"/>
  <c r="M128" i="31"/>
  <c r="M107" i="31"/>
  <c r="M76" i="31"/>
  <c r="M45" i="31"/>
  <c r="M202" i="31"/>
  <c r="M193" i="31"/>
  <c r="M113" i="31"/>
  <c r="M91" i="31"/>
  <c r="M67" i="31"/>
  <c r="M10" i="31"/>
  <c r="M254" i="31"/>
  <c r="M105" i="31"/>
  <c r="M96" i="31"/>
  <c r="M75" i="31"/>
  <c r="M47" i="31"/>
  <c r="M35" i="31"/>
  <c r="M265" i="31"/>
  <c r="M125" i="31"/>
  <c r="M74" i="31"/>
  <c r="M30" i="31"/>
  <c r="M15" i="31"/>
  <c r="M248" i="31"/>
  <c r="M163" i="31"/>
  <c r="M137" i="31"/>
  <c r="M87" i="31"/>
  <c r="M71" i="31"/>
  <c r="M34" i="31"/>
  <c r="M12" i="31"/>
  <c r="M28" i="31"/>
  <c r="M123" i="31"/>
  <c r="M44" i="31"/>
  <c r="M11" i="31"/>
  <c r="M295" i="31"/>
  <c r="M166" i="31"/>
  <c r="M115" i="31"/>
  <c r="M69" i="31"/>
  <c r="M59" i="31"/>
  <c r="M182" i="31"/>
  <c r="M131" i="31"/>
  <c r="M68" i="31"/>
  <c r="M27" i="31"/>
  <c r="M16" i="31"/>
  <c r="M266" i="31"/>
  <c r="M245" i="31"/>
  <c r="M143" i="31"/>
  <c r="M104" i="31"/>
  <c r="M167" i="31"/>
  <c r="M139" i="31"/>
  <c r="M90" i="31"/>
  <c r="M72" i="31"/>
  <c r="M29" i="31"/>
  <c r="M298" i="31"/>
  <c r="M213" i="31"/>
  <c r="M173" i="31"/>
  <c r="M158" i="31"/>
  <c r="M142" i="31"/>
  <c r="M102" i="31"/>
  <c r="M53" i="31"/>
  <c r="M33" i="31"/>
  <c r="M17" i="31"/>
  <c r="M186" i="31"/>
  <c r="M126" i="31"/>
  <c r="M23" i="31"/>
  <c r="M82" i="31"/>
  <c r="M160" i="31"/>
  <c r="M116" i="31"/>
  <c r="M36" i="31"/>
  <c r="M205" i="31"/>
  <c r="M222" i="31"/>
  <c r="M22" i="31"/>
  <c r="M179" i="31"/>
  <c r="M84" i="31"/>
  <c r="M66" i="31"/>
  <c r="M65" i="31"/>
  <c r="M18" i="31"/>
  <c r="M95" i="31"/>
  <c r="M40" i="31"/>
  <c r="M50" i="31"/>
  <c r="M41" i="31"/>
  <c r="M208" i="31"/>
  <c r="Y301" i="31"/>
  <c r="Y289" i="31"/>
  <c r="Y306" i="31"/>
  <c r="Y294" i="31"/>
  <c r="Y282" i="31"/>
  <c r="Y296" i="31"/>
  <c r="Y302" i="31"/>
  <c r="Y287" i="31"/>
  <c r="Y285" i="31"/>
  <c r="Y283" i="31"/>
  <c r="Y274" i="31"/>
  <c r="Y271" i="31"/>
  <c r="Y258" i="31"/>
  <c r="Y246" i="31"/>
  <c r="Y234" i="31"/>
  <c r="Y305" i="31"/>
  <c r="Y300" i="31"/>
  <c r="Y288" i="31"/>
  <c r="Y264" i="31"/>
  <c r="Y245" i="31"/>
  <c r="Y228" i="31"/>
  <c r="Y216" i="31"/>
  <c r="Y204" i="31"/>
  <c r="Y192" i="31"/>
  <c r="Y304" i="31"/>
  <c r="Y292" i="31"/>
  <c r="Y291" i="31"/>
  <c r="Y272" i="31"/>
  <c r="Y263" i="31"/>
  <c r="Y261" i="31"/>
  <c r="Y238" i="31"/>
  <c r="Y232" i="31"/>
  <c r="Y229" i="31"/>
  <c r="Y210" i="31"/>
  <c r="Y191" i="31"/>
  <c r="Y176" i="31"/>
  <c r="Y164" i="31"/>
  <c r="Y152" i="31"/>
  <c r="Y295" i="31"/>
  <c r="Y198" i="31"/>
  <c r="Y179" i="31"/>
  <c r="Y171" i="31"/>
  <c r="Y160" i="31"/>
  <c r="Y145" i="31"/>
  <c r="Y133" i="31"/>
  <c r="Y121" i="31"/>
  <c r="Y109" i="31"/>
  <c r="Y97" i="31"/>
  <c r="Y85" i="31"/>
  <c r="Y73" i="31"/>
  <c r="Y61" i="31"/>
  <c r="Y49" i="31"/>
  <c r="Y37" i="31"/>
  <c r="Y25" i="31"/>
  <c r="Y13" i="31"/>
  <c r="Y281" i="31"/>
  <c r="Y278" i="31"/>
  <c r="Y273" i="31"/>
  <c r="Y259" i="31"/>
  <c r="Y226" i="31"/>
  <c r="Y221" i="31"/>
  <c r="Y220" i="31"/>
  <c r="Y219" i="31"/>
  <c r="Y218" i="31"/>
  <c r="Y217" i="31"/>
  <c r="Y213" i="31"/>
  <c r="Y211" i="31"/>
  <c r="Y175" i="31"/>
  <c r="Y169" i="31"/>
  <c r="Y157" i="31"/>
  <c r="Y141" i="31"/>
  <c r="Y122" i="31"/>
  <c r="Y103" i="31"/>
  <c r="Y84" i="31"/>
  <c r="Y65" i="31"/>
  <c r="Y54" i="31"/>
  <c r="Y46" i="31"/>
  <c r="Y35" i="31"/>
  <c r="Y27" i="31"/>
  <c r="Y16" i="31"/>
  <c r="Y297" i="31"/>
  <c r="Y293" i="31"/>
  <c r="Y284" i="31"/>
  <c r="Y269" i="31"/>
  <c r="Y254" i="31"/>
  <c r="Y248" i="31"/>
  <c r="Y237" i="31"/>
  <c r="Y231" i="31"/>
  <c r="Y227" i="31"/>
  <c r="Y225" i="31"/>
  <c r="Y224" i="31"/>
  <c r="Y223" i="31"/>
  <c r="Y222" i="31"/>
  <c r="Y119" i="31"/>
  <c r="Y111" i="31"/>
  <c r="Y81" i="31"/>
  <c r="Y163" i="31"/>
  <c r="Y151" i="31"/>
  <c r="Y138" i="31"/>
  <c r="Y130" i="31"/>
  <c r="Y100" i="31"/>
  <c r="Y92" i="31"/>
  <c r="Y262" i="31"/>
  <c r="Y256" i="31"/>
  <c r="Y190" i="31"/>
  <c r="Y184" i="31"/>
  <c r="Y180" i="31"/>
  <c r="Y280" i="31"/>
  <c r="Y270" i="31"/>
  <c r="Y267" i="31"/>
  <c r="Y252" i="31"/>
  <c r="Y250" i="31"/>
  <c r="Y196" i="31"/>
  <c r="Y193" i="31"/>
  <c r="Y187" i="31"/>
  <c r="Y298" i="31"/>
  <c r="Y266" i="31"/>
  <c r="Y253" i="31"/>
  <c r="Y215" i="31"/>
  <c r="Y189" i="31"/>
  <c r="Y144" i="31"/>
  <c r="Y110" i="31"/>
  <c r="Y106" i="31"/>
  <c r="Y55" i="31"/>
  <c r="Y43" i="31"/>
  <c r="Y20" i="31"/>
  <c r="Y14" i="31"/>
  <c r="Y260" i="31"/>
  <c r="Y207" i="31"/>
  <c r="Y199" i="31"/>
  <c r="Y194" i="31"/>
  <c r="Y186" i="31"/>
  <c r="Y174" i="31"/>
  <c r="Y147" i="31"/>
  <c r="Y303" i="31"/>
  <c r="Y265" i="31"/>
  <c r="Y244" i="31"/>
  <c r="Y241" i="31"/>
  <c r="Y230" i="31"/>
  <c r="Y299" i="31"/>
  <c r="Y275" i="31"/>
  <c r="Y249" i="31"/>
  <c r="Y214" i="31"/>
  <c r="Y208" i="31"/>
  <c r="Y195" i="31"/>
  <c r="Y183" i="31"/>
  <c r="Y286" i="31"/>
  <c r="Y268" i="31"/>
  <c r="Y182" i="31"/>
  <c r="Y168" i="31"/>
  <c r="Y155" i="31"/>
  <c r="Y139" i="31"/>
  <c r="Y125" i="31"/>
  <c r="Y242" i="31"/>
  <c r="Y209" i="31"/>
  <c r="Y142" i="31"/>
  <c r="Y131" i="31"/>
  <c r="Y128" i="31"/>
  <c r="Y277" i="31"/>
  <c r="Y247" i="31"/>
  <c r="Y233" i="31"/>
  <c r="Y173" i="31"/>
  <c r="Y165" i="31"/>
  <c r="Y134" i="31"/>
  <c r="Y107" i="31"/>
  <c r="Y102" i="31"/>
  <c r="Y42" i="31"/>
  <c r="Y161" i="31"/>
  <c r="Y159" i="31"/>
  <c r="Y135" i="31"/>
  <c r="Y126" i="31"/>
  <c r="Y257" i="31"/>
  <c r="Y188" i="31"/>
  <c r="Y178" i="31"/>
  <c r="Y243" i="31"/>
  <c r="Y203" i="31"/>
  <c r="Y172" i="31"/>
  <c r="Y255" i="31"/>
  <c r="Y235" i="31"/>
  <c r="Y212" i="31"/>
  <c r="Y156" i="31"/>
  <c r="Y136" i="31"/>
  <c r="Y127" i="31"/>
  <c r="Y98" i="31"/>
  <c r="Y93" i="31"/>
  <c r="Y90" i="31"/>
  <c r="Y87" i="31"/>
  <c r="Y117" i="31"/>
  <c r="Y115" i="31"/>
  <c r="Y113" i="31"/>
  <c r="Y96" i="31"/>
  <c r="Y62" i="31"/>
  <c r="Y56" i="31"/>
  <c r="Y45" i="31"/>
  <c r="Y24" i="31"/>
  <c r="Y23" i="31"/>
  <c r="Y21" i="31"/>
  <c r="Y19" i="31"/>
  <c r="Y17" i="31"/>
  <c r="Y15" i="31"/>
  <c r="Y290" i="31"/>
  <c r="Y162" i="31"/>
  <c r="Y105" i="31"/>
  <c r="Y200" i="31"/>
  <c r="Y177" i="31"/>
  <c r="Y158" i="31"/>
  <c r="Y118" i="31"/>
  <c r="Y77" i="31"/>
  <c r="Y68" i="31"/>
  <c r="Y53" i="31"/>
  <c r="Y47" i="31"/>
  <c r="Y30" i="31"/>
  <c r="Y50" i="31"/>
  <c r="Y36" i="31"/>
  <c r="Y202" i="31"/>
  <c r="Y137" i="31"/>
  <c r="Y104" i="31"/>
  <c r="Y74" i="31"/>
  <c r="Y44" i="31"/>
  <c r="Y148" i="31"/>
  <c r="Y143" i="31"/>
  <c r="Y82" i="31"/>
  <c r="Y41" i="31"/>
  <c r="Y31" i="31"/>
  <c r="Y239" i="31"/>
  <c r="Y236" i="31"/>
  <c r="Y206" i="31"/>
  <c r="Y124" i="31"/>
  <c r="Y79" i="31"/>
  <c r="Y72" i="31"/>
  <c r="Y69" i="31"/>
  <c r="Y66" i="31"/>
  <c r="Y181" i="31"/>
  <c r="Y146" i="31"/>
  <c r="Y91" i="31"/>
  <c r="Y60" i="31"/>
  <c r="Y52" i="31"/>
  <c r="Y51" i="31"/>
  <c r="Y28" i="31"/>
  <c r="Y197" i="31"/>
  <c r="Y150" i="31"/>
  <c r="Y123" i="31"/>
  <c r="Y32" i="31"/>
  <c r="Y11" i="31"/>
  <c r="Y276" i="31"/>
  <c r="Y154" i="31"/>
  <c r="Y120" i="31"/>
  <c r="Y108" i="31"/>
  <c r="Y40" i="31"/>
  <c r="Y10" i="31"/>
  <c r="Y18" i="31"/>
  <c r="Y251" i="31"/>
  <c r="Y185" i="31"/>
  <c r="Y129" i="31"/>
  <c r="Y86" i="31"/>
  <c r="Y64" i="31"/>
  <c r="Y132" i="31"/>
  <c r="Y76" i="31"/>
  <c r="Y39" i="31"/>
  <c r="Y205" i="31"/>
  <c r="Y140" i="31"/>
  <c r="Y94" i="31"/>
  <c r="Y80" i="31"/>
  <c r="Y59" i="31"/>
  <c r="Y149" i="31"/>
  <c r="Y116" i="31"/>
  <c r="Y99" i="31"/>
  <c r="Y83" i="31"/>
  <c r="Y67" i="31"/>
  <c r="Y58" i="31"/>
  <c r="Y57" i="31"/>
  <c r="Y48" i="31"/>
  <c r="Y26" i="31"/>
  <c r="Y22" i="31"/>
  <c r="Y170" i="31"/>
  <c r="Y166" i="31"/>
  <c r="Y95" i="31"/>
  <c r="Y63" i="31"/>
  <c r="Y89" i="31"/>
  <c r="Y112" i="31"/>
  <c r="Y153" i="31"/>
  <c r="Y88" i="31"/>
  <c r="Y29" i="31"/>
  <c r="Y201" i="31"/>
  <c r="Y71" i="31"/>
  <c r="Y34" i="31"/>
  <c r="Y12" i="31"/>
  <c r="Y9" i="31"/>
  <c r="Y75" i="31"/>
  <c r="Y101" i="31"/>
  <c r="Y33" i="31"/>
  <c r="Y70" i="31"/>
  <c r="Y167" i="31"/>
  <c r="Y114" i="31"/>
  <c r="Y78" i="31"/>
  <c r="Y38" i="31"/>
  <c r="Y279" i="31"/>
  <c r="Y240" i="31"/>
  <c r="N301" i="31"/>
  <c r="N306" i="31"/>
  <c r="N294" i="31"/>
  <c r="N282" i="31"/>
  <c r="N299" i="31"/>
  <c r="N287" i="31"/>
  <c r="N275" i="31"/>
  <c r="N281" i="31"/>
  <c r="N278" i="31"/>
  <c r="N304" i="31"/>
  <c r="N292" i="31"/>
  <c r="N303" i="31"/>
  <c r="N291" i="31"/>
  <c r="N263" i="31"/>
  <c r="N251" i="31"/>
  <c r="N239" i="31"/>
  <c r="N289" i="31"/>
  <c r="N284" i="31"/>
  <c r="N250" i="31"/>
  <c r="N221" i="31"/>
  <c r="N209" i="31"/>
  <c r="N197" i="31"/>
  <c r="N185" i="31"/>
  <c r="N293" i="31"/>
  <c r="N290" i="31"/>
  <c r="N285" i="31"/>
  <c r="N269" i="31"/>
  <c r="N266" i="31"/>
  <c r="N305" i="31"/>
  <c r="N296" i="31"/>
  <c r="N260" i="31"/>
  <c r="N254" i="31"/>
  <c r="N215" i="31"/>
  <c r="N196" i="31"/>
  <c r="N181" i="31"/>
  <c r="N169" i="31"/>
  <c r="N157" i="31"/>
  <c r="N302" i="31"/>
  <c r="N286" i="31"/>
  <c r="N265" i="31"/>
  <c r="N236" i="31"/>
  <c r="N235" i="31"/>
  <c r="N233" i="31"/>
  <c r="N232" i="31"/>
  <c r="N226" i="31"/>
  <c r="N220" i="31"/>
  <c r="N214" i="31"/>
  <c r="N191" i="31"/>
  <c r="N176" i="31"/>
  <c r="N165" i="31"/>
  <c r="N138" i="31"/>
  <c r="N126" i="31"/>
  <c r="N114" i="31"/>
  <c r="N102" i="31"/>
  <c r="N90" i="31"/>
  <c r="N78" i="31"/>
  <c r="N66" i="31"/>
  <c r="N54" i="31"/>
  <c r="N42" i="31"/>
  <c r="N30" i="31"/>
  <c r="N18" i="31"/>
  <c r="N267" i="31"/>
  <c r="N264" i="31"/>
  <c r="N261" i="31"/>
  <c r="N168" i="31"/>
  <c r="N156" i="31"/>
  <c r="N150" i="31"/>
  <c r="N146" i="31"/>
  <c r="N127" i="31"/>
  <c r="N108" i="31"/>
  <c r="N89" i="31"/>
  <c r="N70" i="31"/>
  <c r="N59" i="31"/>
  <c r="N51" i="31"/>
  <c r="N40" i="31"/>
  <c r="N32" i="31"/>
  <c r="N21" i="31"/>
  <c r="N13" i="31"/>
  <c r="N274" i="31"/>
  <c r="N256" i="31"/>
  <c r="N167" i="31"/>
  <c r="N135" i="31"/>
  <c r="N124" i="31"/>
  <c r="N116" i="31"/>
  <c r="N86" i="31"/>
  <c r="N179" i="31"/>
  <c r="N173" i="31"/>
  <c r="N143" i="31"/>
  <c r="N105" i="31"/>
  <c r="N97" i="31"/>
  <c r="N300" i="31"/>
  <c r="N272" i="31"/>
  <c r="N229" i="31"/>
  <c r="N200" i="31"/>
  <c r="N194" i="31"/>
  <c r="N288" i="31"/>
  <c r="N277" i="31"/>
  <c r="N276" i="31"/>
  <c r="N268" i="31"/>
  <c r="N255" i="31"/>
  <c r="N253" i="31"/>
  <c r="N247" i="31"/>
  <c r="N212" i="31"/>
  <c r="N206" i="31"/>
  <c r="N203" i="31"/>
  <c r="N262" i="31"/>
  <c r="N258" i="31"/>
  <c r="N224" i="31"/>
  <c r="N195" i="31"/>
  <c r="N183" i="31"/>
  <c r="N175" i="31"/>
  <c r="N170" i="31"/>
  <c r="N149" i="31"/>
  <c r="N121" i="31"/>
  <c r="N120" i="31"/>
  <c r="N119" i="31"/>
  <c r="N82" i="31"/>
  <c r="N81" i="31"/>
  <c r="N71" i="31"/>
  <c r="N36" i="31"/>
  <c r="N243" i="31"/>
  <c r="N211" i="31"/>
  <c r="N180" i="31"/>
  <c r="N160" i="31"/>
  <c r="N155" i="31"/>
  <c r="N298" i="31"/>
  <c r="N295" i="31"/>
  <c r="N283" i="31"/>
  <c r="N246" i="31"/>
  <c r="N245" i="31"/>
  <c r="N204" i="31"/>
  <c r="N177" i="31"/>
  <c r="N270" i="31"/>
  <c r="N249" i="31"/>
  <c r="N259" i="31"/>
  <c r="N240" i="31"/>
  <c r="N231" i="31"/>
  <c r="N230" i="31"/>
  <c r="N159" i="31"/>
  <c r="N151" i="31"/>
  <c r="N241" i="31"/>
  <c r="N218" i="31"/>
  <c r="N217" i="31"/>
  <c r="N216" i="31"/>
  <c r="N161" i="31"/>
  <c r="N219" i="31"/>
  <c r="N199" i="31"/>
  <c r="N198" i="31"/>
  <c r="N164" i="31"/>
  <c r="N148" i="31"/>
  <c r="N83" i="31"/>
  <c r="N69" i="31"/>
  <c r="N67" i="31"/>
  <c r="N65" i="31"/>
  <c r="N63" i="31"/>
  <c r="N62" i="31"/>
  <c r="N61" i="31"/>
  <c r="N60" i="31"/>
  <c r="N297" i="31"/>
  <c r="N279" i="31"/>
  <c r="N228" i="31"/>
  <c r="N222" i="31"/>
  <c r="N190" i="31"/>
  <c r="N166" i="31"/>
  <c r="N141" i="31"/>
  <c r="N137" i="31"/>
  <c r="N100" i="31"/>
  <c r="N205" i="31"/>
  <c r="N186" i="31"/>
  <c r="N192" i="31"/>
  <c r="N187" i="31"/>
  <c r="N130" i="31"/>
  <c r="N122" i="31"/>
  <c r="N207" i="31"/>
  <c r="N202" i="31"/>
  <c r="N171" i="31"/>
  <c r="N147" i="31"/>
  <c r="N145" i="31"/>
  <c r="N118" i="31"/>
  <c r="N74" i="31"/>
  <c r="N64" i="31"/>
  <c r="N58" i="31"/>
  <c r="N47" i="31"/>
  <c r="N41" i="31"/>
  <c r="N257" i="31"/>
  <c r="N182" i="31"/>
  <c r="N128" i="31"/>
  <c r="N95" i="31"/>
  <c r="N271" i="31"/>
  <c r="N237" i="31"/>
  <c r="N189" i="31"/>
  <c r="N140" i="31"/>
  <c r="N134" i="31"/>
  <c r="N107" i="31"/>
  <c r="N76" i="31"/>
  <c r="N57" i="31"/>
  <c r="N48" i="31"/>
  <c r="N45" i="31"/>
  <c r="N37" i="31"/>
  <c r="N26" i="31"/>
  <c r="N20" i="31"/>
  <c r="N9" i="31"/>
  <c r="N15" i="31"/>
  <c r="N223" i="31"/>
  <c r="N193" i="31"/>
  <c r="N154" i="31"/>
  <c r="N113" i="31"/>
  <c r="N99" i="31"/>
  <c r="N91" i="31"/>
  <c r="N38" i="31"/>
  <c r="N234" i="31"/>
  <c r="N174" i="31"/>
  <c r="N106" i="31"/>
  <c r="N94" i="31"/>
  <c r="N213" i="31"/>
  <c r="N158" i="31"/>
  <c r="N142" i="31"/>
  <c r="N136" i="31"/>
  <c r="N129" i="31"/>
  <c r="N112" i="31"/>
  <c r="N98" i="31"/>
  <c r="N75" i="31"/>
  <c r="N33" i="31"/>
  <c r="N27" i="31"/>
  <c r="N16" i="31"/>
  <c r="N248" i="31"/>
  <c r="N125" i="31"/>
  <c r="N117" i="31"/>
  <c r="N88" i="31"/>
  <c r="N73" i="31"/>
  <c r="N56" i="31"/>
  <c r="N55" i="31"/>
  <c r="N39" i="31"/>
  <c r="N244" i="31"/>
  <c r="N225" i="31"/>
  <c r="N201" i="31"/>
  <c r="N184" i="31"/>
  <c r="N163" i="31"/>
  <c r="N132" i="31"/>
  <c r="N109" i="31"/>
  <c r="N87" i="31"/>
  <c r="N46" i="31"/>
  <c r="N34" i="31"/>
  <c r="N12" i="31"/>
  <c r="N178" i="31"/>
  <c r="N144" i="31"/>
  <c r="N139" i="31"/>
  <c r="N110" i="31"/>
  <c r="N77" i="31"/>
  <c r="N72" i="31"/>
  <c r="N29" i="31"/>
  <c r="N123" i="31"/>
  <c r="N44" i="31"/>
  <c r="N43" i="31"/>
  <c r="N23" i="31"/>
  <c r="N11" i="31"/>
  <c r="N162" i="31"/>
  <c r="N92" i="31"/>
  <c r="N133" i="31"/>
  <c r="N111" i="31"/>
  <c r="N68" i="31"/>
  <c r="N227" i="31"/>
  <c r="N172" i="31"/>
  <c r="N50" i="31"/>
  <c r="N19" i="31"/>
  <c r="N273" i="31"/>
  <c r="N153" i="31"/>
  <c r="N210" i="31"/>
  <c r="N152" i="31"/>
  <c r="N101" i="31"/>
  <c r="N53" i="31"/>
  <c r="N25" i="31"/>
  <c r="N17" i="31"/>
  <c r="N242" i="31"/>
  <c r="N238" i="31"/>
  <c r="N80" i="31"/>
  <c r="N52" i="31"/>
  <c r="N28" i="31"/>
  <c r="N24" i="31"/>
  <c r="N93" i="31"/>
  <c r="N115" i="31"/>
  <c r="N131" i="31"/>
  <c r="N103" i="31"/>
  <c r="N252" i="31"/>
  <c r="N79" i="31"/>
  <c r="N14" i="31"/>
  <c r="N280" i="31"/>
  <c r="N104" i="31"/>
  <c r="N22" i="31"/>
  <c r="N85" i="31"/>
  <c r="N49" i="31"/>
  <c r="N84" i="31"/>
  <c r="N96" i="31"/>
  <c r="N188" i="31"/>
  <c r="N31" i="31"/>
  <c r="N10" i="31"/>
  <c r="N35" i="31"/>
  <c r="N208" i="31"/>
  <c r="Z301" i="31"/>
  <c r="Z306" i="31"/>
  <c r="Z294" i="31"/>
  <c r="Z282" i="31"/>
  <c r="Z299" i="31"/>
  <c r="Z287" i="31"/>
  <c r="Z275" i="31"/>
  <c r="Z295" i="31"/>
  <c r="Z289" i="31"/>
  <c r="Z288" i="31"/>
  <c r="Z286" i="31"/>
  <c r="Z284" i="31"/>
  <c r="Z263" i="31"/>
  <c r="Z251" i="31"/>
  <c r="Z239" i="31"/>
  <c r="Z304" i="31"/>
  <c r="Z302" i="31"/>
  <c r="Z292" i="31"/>
  <c r="Z261" i="31"/>
  <c r="Z253" i="31"/>
  <c r="Z242" i="31"/>
  <c r="Z234" i="31"/>
  <c r="Z221" i="31"/>
  <c r="Z209" i="31"/>
  <c r="Z197" i="31"/>
  <c r="Z185" i="31"/>
  <c r="Z283" i="31"/>
  <c r="Z270" i="31"/>
  <c r="Z298" i="31"/>
  <c r="Z279" i="31"/>
  <c r="Z276" i="31"/>
  <c r="Z273" i="31"/>
  <c r="Z266" i="31"/>
  <c r="Z262" i="31"/>
  <c r="Z255" i="31"/>
  <c r="Z249" i="31"/>
  <c r="Z226" i="31"/>
  <c r="Z218" i="31"/>
  <c r="Z207" i="31"/>
  <c r="Z199" i="31"/>
  <c r="Z188" i="31"/>
  <c r="Z181" i="31"/>
  <c r="Z169" i="31"/>
  <c r="Z157" i="31"/>
  <c r="Z305" i="31"/>
  <c r="Z227" i="31"/>
  <c r="Z215" i="31"/>
  <c r="Z192" i="31"/>
  <c r="Z186" i="31"/>
  <c r="Z168" i="31"/>
  <c r="Z149" i="31"/>
  <c r="Z138" i="31"/>
  <c r="Z126" i="31"/>
  <c r="Z114" i="31"/>
  <c r="Z102" i="31"/>
  <c r="Z90" i="31"/>
  <c r="Z78" i="31"/>
  <c r="Z66" i="31"/>
  <c r="Z54" i="31"/>
  <c r="Z42" i="31"/>
  <c r="Z30" i="31"/>
  <c r="Z18" i="31"/>
  <c r="Z300" i="31"/>
  <c r="Z297" i="31"/>
  <c r="Z293" i="31"/>
  <c r="Z269" i="31"/>
  <c r="Z254" i="31"/>
  <c r="Z248" i="31"/>
  <c r="Z237" i="31"/>
  <c r="Z231" i="31"/>
  <c r="Z225" i="31"/>
  <c r="Z224" i="31"/>
  <c r="Z223" i="31"/>
  <c r="Z222" i="31"/>
  <c r="Z216" i="31"/>
  <c r="Z163" i="31"/>
  <c r="Z151" i="31"/>
  <c r="Z130" i="31"/>
  <c r="Z119" i="31"/>
  <c r="Z111" i="31"/>
  <c r="Z100" i="31"/>
  <c r="Z92" i="31"/>
  <c r="Z81" i="31"/>
  <c r="Z73" i="31"/>
  <c r="Z62" i="31"/>
  <c r="Z43" i="31"/>
  <c r="Z24" i="31"/>
  <c r="Z296" i="31"/>
  <c r="Z260" i="31"/>
  <c r="Z243" i="31"/>
  <c r="Z230" i="31"/>
  <c r="Z229" i="31"/>
  <c r="Z228" i="31"/>
  <c r="Z180" i="31"/>
  <c r="Z174" i="31"/>
  <c r="Z127" i="31"/>
  <c r="Z162" i="31"/>
  <c r="Z146" i="31"/>
  <c r="Z108" i="31"/>
  <c r="Z89" i="31"/>
  <c r="Z280" i="31"/>
  <c r="Z267" i="31"/>
  <c r="Z252" i="31"/>
  <c r="Z250" i="31"/>
  <c r="Z196" i="31"/>
  <c r="Z193" i="31"/>
  <c r="Z187" i="31"/>
  <c r="Z281" i="31"/>
  <c r="Z274" i="31"/>
  <c r="Z264" i="31"/>
  <c r="Z244" i="31"/>
  <c r="Z202" i="31"/>
  <c r="Z291" i="31"/>
  <c r="Z220" i="31"/>
  <c r="Z210" i="31"/>
  <c r="Z194" i="31"/>
  <c r="Z179" i="31"/>
  <c r="Z152" i="31"/>
  <c r="Z147" i="31"/>
  <c r="Z113" i="31"/>
  <c r="Z112" i="31"/>
  <c r="Z109" i="31"/>
  <c r="Z75" i="31"/>
  <c r="Z74" i="31"/>
  <c r="Z72" i="31"/>
  <c r="Z49" i="31"/>
  <c r="Z37" i="31"/>
  <c r="Z31" i="31"/>
  <c r="Z245" i="31"/>
  <c r="Z212" i="31"/>
  <c r="Z191" i="31"/>
  <c r="Z182" i="31"/>
  <c r="Z158" i="31"/>
  <c r="Z153" i="31"/>
  <c r="Z148" i="31"/>
  <c r="Z285" i="31"/>
  <c r="Z233" i="31"/>
  <c r="Z232" i="31"/>
  <c r="Z201" i="31"/>
  <c r="Z178" i="31"/>
  <c r="Z176" i="31"/>
  <c r="Z172" i="31"/>
  <c r="Z170" i="31"/>
  <c r="Z236" i="31"/>
  <c r="Z271" i="31"/>
  <c r="Z213" i="31"/>
  <c r="Z211" i="31"/>
  <c r="Z160" i="31"/>
  <c r="Z142" i="31"/>
  <c r="Z131" i="31"/>
  <c r="Z128" i="31"/>
  <c r="Z277" i="31"/>
  <c r="Z265" i="31"/>
  <c r="Z173" i="31"/>
  <c r="Z165" i="31"/>
  <c r="Z145" i="31"/>
  <c r="Z134" i="31"/>
  <c r="Z257" i="31"/>
  <c r="Z238" i="31"/>
  <c r="Z208" i="31"/>
  <c r="Z190" i="31"/>
  <c r="Z137" i="31"/>
  <c r="Z123" i="31"/>
  <c r="Z118" i="31"/>
  <c r="Z97" i="31"/>
  <c r="Z76" i="31"/>
  <c r="Z48" i="31"/>
  <c r="Z47" i="31"/>
  <c r="Z45" i="31"/>
  <c r="Z41" i="31"/>
  <c r="Z272" i="31"/>
  <c r="Z259" i="31"/>
  <c r="Z219" i="31"/>
  <c r="Z206" i="31"/>
  <c r="Z156" i="31"/>
  <c r="Z154" i="31"/>
  <c r="Z144" i="31"/>
  <c r="Z143" i="31"/>
  <c r="Z105" i="31"/>
  <c r="Z99" i="31"/>
  <c r="Z240" i="31"/>
  <c r="Z198" i="31"/>
  <c r="Z183" i="31"/>
  <c r="Z155" i="31"/>
  <c r="Z117" i="31"/>
  <c r="Z115" i="31"/>
  <c r="Z96" i="31"/>
  <c r="Z303" i="31"/>
  <c r="Z205" i="31"/>
  <c r="Z200" i="31"/>
  <c r="Z51" i="31"/>
  <c r="Z29" i="31"/>
  <c r="Z28" i="31"/>
  <c r="Z26" i="31"/>
  <c r="Z25" i="31"/>
  <c r="Z22" i="31"/>
  <c r="Z20" i="31"/>
  <c r="Z203" i="31"/>
  <c r="Z141" i="31"/>
  <c r="Z140" i="31"/>
  <c r="Z132" i="31"/>
  <c r="Z107" i="31"/>
  <c r="Z94" i="31"/>
  <c r="Z246" i="31"/>
  <c r="Z82" i="31"/>
  <c r="Z56" i="31"/>
  <c r="Z50" i="31"/>
  <c r="Z36" i="31"/>
  <c r="Z13" i="31"/>
  <c r="Z44" i="31"/>
  <c r="Z19" i="31"/>
  <c r="Z278" i="31"/>
  <c r="Z204" i="31"/>
  <c r="Z184" i="31"/>
  <c r="Z136" i="31"/>
  <c r="Z124" i="31"/>
  <c r="Z110" i="31"/>
  <c r="Z79" i="31"/>
  <c r="Z69" i="31"/>
  <c r="Z175" i="31"/>
  <c r="Z104" i="31"/>
  <c r="Z103" i="31"/>
  <c r="Z290" i="31"/>
  <c r="Z195" i="31"/>
  <c r="Z159" i="31"/>
  <c r="Z116" i="31"/>
  <c r="Z87" i="31"/>
  <c r="Z63" i="31"/>
  <c r="Z60" i="31"/>
  <c r="Z57" i="31"/>
  <c r="Z14" i="31"/>
  <c r="Z150" i="31"/>
  <c r="Z61" i="31"/>
  <c r="Z32" i="31"/>
  <c r="Z11" i="31"/>
  <c r="Z217" i="31"/>
  <c r="Z214" i="31"/>
  <c r="Z23" i="31"/>
  <c r="Z106" i="31"/>
  <c r="Z80" i="31"/>
  <c r="Z59" i="31"/>
  <c r="Z27" i="31"/>
  <c r="Z16" i="31"/>
  <c r="Z95" i="31"/>
  <c r="Z84" i="31"/>
  <c r="Z21" i="31"/>
  <c r="Z64" i="31"/>
  <c r="Z35" i="31"/>
  <c r="Z15" i="31"/>
  <c r="Z177" i="31"/>
  <c r="Z65" i="31"/>
  <c r="Z39" i="31"/>
  <c r="Z256" i="31"/>
  <c r="Z121" i="31"/>
  <c r="Z88" i="31"/>
  <c r="Z55" i="31"/>
  <c r="Z46" i="31"/>
  <c r="Z34" i="31"/>
  <c r="Z12" i="31"/>
  <c r="Z235" i="31"/>
  <c r="Z101" i="31"/>
  <c r="Z171" i="31"/>
  <c r="Z135" i="31"/>
  <c r="Z133" i="31"/>
  <c r="Z98" i="31"/>
  <c r="Z93" i="31"/>
  <c r="Z83" i="31"/>
  <c r="Z68" i="31"/>
  <c r="Z67" i="31"/>
  <c r="Z58" i="31"/>
  <c r="Z258" i="31"/>
  <c r="Z166" i="31"/>
  <c r="Z164" i="31"/>
  <c r="Z120" i="31"/>
  <c r="Z40" i="31"/>
  <c r="Z10" i="31"/>
  <c r="Z86" i="31"/>
  <c r="Z268" i="31"/>
  <c r="Z241" i="31"/>
  <c r="Z189" i="31"/>
  <c r="Z129" i="31"/>
  <c r="Z85" i="31"/>
  <c r="Z125" i="31"/>
  <c r="Z9" i="31"/>
  <c r="Z53" i="31"/>
  <c r="Z167" i="31"/>
  <c r="Z122" i="31"/>
  <c r="Z38" i="31"/>
  <c r="Z71" i="31"/>
  <c r="Z139" i="31"/>
  <c r="Z70" i="31"/>
  <c r="Z161" i="31"/>
  <c r="Z33" i="31"/>
  <c r="Z17" i="31"/>
  <c r="Z52" i="31"/>
  <c r="Z77" i="31"/>
  <c r="O306" i="31"/>
  <c r="O299" i="31"/>
  <c r="O287" i="31"/>
  <c r="O304" i="31"/>
  <c r="O292" i="31"/>
  <c r="O280" i="31"/>
  <c r="O300" i="31"/>
  <c r="O294" i="31"/>
  <c r="O273" i="31"/>
  <c r="O303" i="31"/>
  <c r="O296" i="31"/>
  <c r="O278" i="31"/>
  <c r="O268" i="31"/>
  <c r="O256" i="31"/>
  <c r="O244" i="31"/>
  <c r="O232" i="31"/>
  <c r="O293" i="31"/>
  <c r="O290" i="31"/>
  <c r="O285" i="31"/>
  <c r="O269" i="31"/>
  <c r="O266" i="31"/>
  <c r="O258" i="31"/>
  <c r="O247" i="31"/>
  <c r="O239" i="31"/>
  <c r="O226" i="31"/>
  <c r="O214" i="31"/>
  <c r="O202" i="31"/>
  <c r="O190" i="31"/>
  <c r="O301" i="31"/>
  <c r="O248" i="31"/>
  <c r="O242" i="31"/>
  <c r="O236" i="31"/>
  <c r="O231" i="31"/>
  <c r="O223" i="31"/>
  <c r="O212" i="31"/>
  <c r="O204" i="31"/>
  <c r="O193" i="31"/>
  <c r="O185" i="31"/>
  <c r="O174" i="31"/>
  <c r="O162" i="31"/>
  <c r="O150" i="31"/>
  <c r="O298" i="31"/>
  <c r="O297" i="31"/>
  <c r="O241" i="31"/>
  <c r="O240" i="31"/>
  <c r="O238" i="31"/>
  <c r="O237" i="31"/>
  <c r="O234" i="31"/>
  <c r="O208" i="31"/>
  <c r="O173" i="31"/>
  <c r="O154" i="31"/>
  <c r="O143" i="31"/>
  <c r="O131" i="31"/>
  <c r="O119" i="31"/>
  <c r="O107" i="31"/>
  <c r="O95" i="31"/>
  <c r="O83" i="31"/>
  <c r="O71" i="31"/>
  <c r="O59" i="31"/>
  <c r="O47" i="31"/>
  <c r="O35" i="31"/>
  <c r="O23" i="31"/>
  <c r="O11" i="31"/>
  <c r="O305" i="31"/>
  <c r="O286" i="31"/>
  <c r="O274" i="31"/>
  <c r="O250" i="31"/>
  <c r="O233" i="31"/>
  <c r="O179" i="31"/>
  <c r="O167" i="31"/>
  <c r="O135" i="31"/>
  <c r="O124" i="31"/>
  <c r="O116" i="31"/>
  <c r="O105" i="31"/>
  <c r="O97" i="31"/>
  <c r="O86" i="31"/>
  <c r="O78" i="31"/>
  <c r="O67" i="31"/>
  <c r="O48" i="31"/>
  <c r="O29" i="31"/>
  <c r="O10" i="31"/>
  <c r="O279" i="31"/>
  <c r="O272" i="31"/>
  <c r="O270" i="31"/>
  <c r="O245" i="31"/>
  <c r="O161" i="31"/>
  <c r="O155" i="31"/>
  <c r="O132" i="31"/>
  <c r="O113" i="31"/>
  <c r="O75" i="31"/>
  <c r="O94" i="31"/>
  <c r="O289" i="31"/>
  <c r="O288" i="31"/>
  <c r="O277" i="31"/>
  <c r="O276" i="31"/>
  <c r="O263" i="31"/>
  <c r="O255" i="31"/>
  <c r="O253" i="31"/>
  <c r="O251" i="31"/>
  <c r="O206" i="31"/>
  <c r="O203" i="31"/>
  <c r="O197" i="31"/>
  <c r="O182" i="31"/>
  <c r="O249" i="31"/>
  <c r="O209" i="31"/>
  <c r="O243" i="31"/>
  <c r="O211" i="31"/>
  <c r="O180" i="31"/>
  <c r="O165" i="31"/>
  <c r="O160" i="31"/>
  <c r="O123" i="31"/>
  <c r="O122" i="31"/>
  <c r="O88" i="31"/>
  <c r="O85" i="31"/>
  <c r="O84" i="31"/>
  <c r="O65" i="31"/>
  <c r="O53" i="31"/>
  <c r="O30" i="31"/>
  <c r="O24" i="31"/>
  <c r="O18" i="31"/>
  <c r="O12" i="31"/>
  <c r="O282" i="31"/>
  <c r="O254" i="31"/>
  <c r="O235" i="31"/>
  <c r="O216" i="31"/>
  <c r="O187" i="31"/>
  <c r="O129" i="31"/>
  <c r="O126" i="31"/>
  <c r="O125" i="31"/>
  <c r="O291" i="31"/>
  <c r="O257" i="31"/>
  <c r="O302" i="31"/>
  <c r="O284" i="31"/>
  <c r="O281" i="31"/>
  <c r="O262" i="31"/>
  <c r="O217" i="31"/>
  <c r="O210" i="31"/>
  <c r="O191" i="31"/>
  <c r="O184" i="31"/>
  <c r="O171" i="31"/>
  <c r="O146" i="31"/>
  <c r="O275" i="31"/>
  <c r="O222" i="31"/>
  <c r="O218" i="31"/>
  <c r="O177" i="31"/>
  <c r="O260" i="31"/>
  <c r="O246" i="31"/>
  <c r="O221" i="31"/>
  <c r="O219" i="31"/>
  <c r="O215" i="31"/>
  <c r="O199" i="31"/>
  <c r="O198" i="31"/>
  <c r="O164" i="31"/>
  <c r="O156" i="31"/>
  <c r="O148" i="31"/>
  <c r="O271" i="31"/>
  <c r="O264" i="31"/>
  <c r="O220" i="31"/>
  <c r="O213" i="31"/>
  <c r="O196" i="31"/>
  <c r="O195" i="31"/>
  <c r="O183" i="31"/>
  <c r="O169" i="31"/>
  <c r="O166" i="31"/>
  <c r="O153" i="31"/>
  <c r="O141" i="31"/>
  <c r="O138" i="31"/>
  <c r="O127" i="31"/>
  <c r="O114" i="31"/>
  <c r="O109" i="31"/>
  <c r="O104" i="31"/>
  <c r="O99" i="31"/>
  <c r="O72" i="31"/>
  <c r="O70" i="31"/>
  <c r="O68" i="31"/>
  <c r="O66" i="31"/>
  <c r="O170" i="31"/>
  <c r="O128" i="31"/>
  <c r="O115" i="31"/>
  <c r="O112" i="31"/>
  <c r="O106" i="31"/>
  <c r="O103" i="31"/>
  <c r="O252" i="31"/>
  <c r="O207" i="31"/>
  <c r="O168" i="31"/>
  <c r="O147" i="31"/>
  <c r="O145" i="31"/>
  <c r="O120" i="31"/>
  <c r="O118" i="31"/>
  <c r="O178" i="31"/>
  <c r="O149" i="31"/>
  <c r="O144" i="31"/>
  <c r="O137" i="31"/>
  <c r="O136" i="31"/>
  <c r="O110" i="31"/>
  <c r="O80" i="31"/>
  <c r="O77" i="31"/>
  <c r="O172" i="31"/>
  <c r="O152" i="31"/>
  <c r="O261" i="31"/>
  <c r="O157" i="31"/>
  <c r="O81" i="31"/>
  <c r="O54" i="31"/>
  <c r="O51" i="31"/>
  <c r="O42" i="31"/>
  <c r="O15" i="31"/>
  <c r="O21" i="31"/>
  <c r="O228" i="31"/>
  <c r="O158" i="31"/>
  <c r="O142" i="31"/>
  <c r="O98" i="31"/>
  <c r="O33" i="31"/>
  <c r="O27" i="31"/>
  <c r="O200" i="31"/>
  <c r="O91" i="31"/>
  <c r="O38" i="31"/>
  <c r="O32" i="31"/>
  <c r="O64" i="31"/>
  <c r="O267" i="31"/>
  <c r="O151" i="31"/>
  <c r="O73" i="31"/>
  <c r="O61" i="31"/>
  <c r="O58" i="31"/>
  <c r="O55" i="31"/>
  <c r="O52" i="31"/>
  <c r="O39" i="31"/>
  <c r="O28" i="31"/>
  <c r="O22" i="31"/>
  <c r="O295" i="31"/>
  <c r="O265" i="31"/>
  <c r="O225" i="31"/>
  <c r="O201" i="31"/>
  <c r="O163" i="31"/>
  <c r="O87" i="31"/>
  <c r="O74" i="31"/>
  <c r="O46" i="31"/>
  <c r="O34" i="31"/>
  <c r="O176" i="31"/>
  <c r="O139" i="31"/>
  <c r="O130" i="31"/>
  <c r="O259" i="31"/>
  <c r="O194" i="31"/>
  <c r="O101" i="31"/>
  <c r="O90" i="31"/>
  <c r="O89" i="31"/>
  <c r="O25" i="31"/>
  <c r="O17" i="31"/>
  <c r="O92" i="31"/>
  <c r="O79" i="31"/>
  <c r="O133" i="31"/>
  <c r="O69" i="31"/>
  <c r="O227" i="31"/>
  <c r="O189" i="31"/>
  <c r="O140" i="31"/>
  <c r="O50" i="31"/>
  <c r="O192" i="31"/>
  <c r="O82" i="31"/>
  <c r="O49" i="31"/>
  <c r="O41" i="31"/>
  <c r="O230" i="31"/>
  <c r="O188" i="31"/>
  <c r="O283" i="31"/>
  <c r="O229" i="31"/>
  <c r="O224" i="31"/>
  <c r="O181" i="31"/>
  <c r="O102" i="31"/>
  <c r="O76" i="31"/>
  <c r="O63" i="31"/>
  <c r="O62" i="31"/>
  <c r="O45" i="31"/>
  <c r="O20" i="31"/>
  <c r="O9" i="31"/>
  <c r="O186" i="31"/>
  <c r="O93" i="31"/>
  <c r="O44" i="31"/>
  <c r="O43" i="31"/>
  <c r="O14" i="31"/>
  <c r="O60" i="31"/>
  <c r="O37" i="31"/>
  <c r="O19" i="31"/>
  <c r="O175" i="31"/>
  <c r="O111" i="31"/>
  <c r="O16" i="31"/>
  <c r="O205" i="31"/>
  <c r="O108" i="31"/>
  <c r="O134" i="31"/>
  <c r="O100" i="31"/>
  <c r="O26" i="31"/>
  <c r="O121" i="31"/>
  <c r="O56" i="31"/>
  <c r="O96" i="31"/>
  <c r="O31" i="31"/>
  <c r="O117" i="31"/>
  <c r="O40" i="31"/>
  <c r="O159" i="31"/>
  <c r="O36" i="31"/>
  <c r="O57" i="31"/>
  <c r="O13" i="31"/>
  <c r="AA306" i="31"/>
  <c r="AA299" i="31"/>
  <c r="AA287" i="31"/>
  <c r="AA304" i="31"/>
  <c r="AA292" i="31"/>
  <c r="AA280" i="31"/>
  <c r="AA288" i="31"/>
  <c r="AA278" i="31"/>
  <c r="AA273" i="31"/>
  <c r="AA300" i="31"/>
  <c r="AA293" i="31"/>
  <c r="AA290" i="31"/>
  <c r="AA279" i="31"/>
  <c r="AA268" i="31"/>
  <c r="AA256" i="31"/>
  <c r="AA244" i="31"/>
  <c r="AA232" i="31"/>
  <c r="AA283" i="31"/>
  <c r="AA270" i="31"/>
  <c r="AA250" i="31"/>
  <c r="AA226" i="31"/>
  <c r="AA214" i="31"/>
  <c r="AA202" i="31"/>
  <c r="AA190" i="31"/>
  <c r="AA295" i="31"/>
  <c r="AA266" i="31"/>
  <c r="AA298" i="31"/>
  <c r="AA265" i="31"/>
  <c r="AA264" i="31"/>
  <c r="AA243" i="31"/>
  <c r="AA237" i="31"/>
  <c r="AA215" i="31"/>
  <c r="AA196" i="31"/>
  <c r="AA162" i="31"/>
  <c r="AA150" i="31"/>
  <c r="AA303" i="31"/>
  <c r="AA269" i="31"/>
  <c r="AA221" i="31"/>
  <c r="AA209" i="31"/>
  <c r="AA203" i="31"/>
  <c r="AA176" i="31"/>
  <c r="AA165" i="31"/>
  <c r="AA157" i="31"/>
  <c r="AA143" i="31"/>
  <c r="AA131" i="31"/>
  <c r="AA119" i="31"/>
  <c r="AA107" i="31"/>
  <c r="AA95" i="31"/>
  <c r="AA83" i="31"/>
  <c r="AA71" i="31"/>
  <c r="AA59" i="31"/>
  <c r="AA47" i="31"/>
  <c r="AA35" i="31"/>
  <c r="AA23" i="31"/>
  <c r="AA11" i="31"/>
  <c r="AA296" i="31"/>
  <c r="AA284" i="31"/>
  <c r="AA260" i="31"/>
  <c r="AA230" i="31"/>
  <c r="AA229" i="31"/>
  <c r="AA228" i="31"/>
  <c r="AA227" i="31"/>
  <c r="AA180" i="31"/>
  <c r="AA146" i="31"/>
  <c r="AA138" i="31"/>
  <c r="AA127" i="31"/>
  <c r="AA108" i="31"/>
  <c r="AA89" i="31"/>
  <c r="AA70" i="31"/>
  <c r="AA40" i="31"/>
  <c r="AA32" i="31"/>
  <c r="AA21" i="31"/>
  <c r="AA13" i="31"/>
  <c r="AA301" i="31"/>
  <c r="AA294" i="31"/>
  <c r="AA275" i="31"/>
  <c r="AA271" i="31"/>
  <c r="AA249" i="31"/>
  <c r="AA168" i="31"/>
  <c r="AA156" i="31"/>
  <c r="AA78" i="31"/>
  <c r="AA135" i="31"/>
  <c r="AA124" i="31"/>
  <c r="AA116" i="31"/>
  <c r="AA105" i="31"/>
  <c r="AA97" i="31"/>
  <c r="AA86" i="31"/>
  <c r="AA281" i="31"/>
  <c r="AA274" i="31"/>
  <c r="AA248" i="31"/>
  <c r="AA246" i="31"/>
  <c r="AA208" i="31"/>
  <c r="AA205" i="31"/>
  <c r="AA199" i="31"/>
  <c r="AA245" i="31"/>
  <c r="AA212" i="31"/>
  <c r="AA207" i="31"/>
  <c r="AA191" i="31"/>
  <c r="AA186" i="31"/>
  <c r="AA182" i="31"/>
  <c r="AA163" i="31"/>
  <c r="AA158" i="31"/>
  <c r="AA153" i="31"/>
  <c r="AA148" i="31"/>
  <c r="AA115" i="31"/>
  <c r="AA111" i="31"/>
  <c r="AA77" i="31"/>
  <c r="AA76" i="31"/>
  <c r="AA73" i="31"/>
  <c r="AA66" i="31"/>
  <c r="AA60" i="31"/>
  <c r="AA48" i="31"/>
  <c r="AA25" i="31"/>
  <c r="AA19" i="31"/>
  <c r="AA241" i="31"/>
  <c r="AA217" i="31"/>
  <c r="AA286" i="31"/>
  <c r="AA259" i="31"/>
  <c r="AA255" i="31"/>
  <c r="AA240" i="31"/>
  <c r="AA251" i="31"/>
  <c r="AA166" i="31"/>
  <c r="AA164" i="31"/>
  <c r="AA160" i="31"/>
  <c r="AA154" i="31"/>
  <c r="AA145" i="31"/>
  <c r="AA291" i="31"/>
  <c r="AA272" i="31"/>
  <c r="AA254" i="31"/>
  <c r="AA253" i="31"/>
  <c r="AA235" i="31"/>
  <c r="AA234" i="31"/>
  <c r="AA219" i="31"/>
  <c r="AA277" i="31"/>
  <c r="AA247" i="31"/>
  <c r="AA242" i="31"/>
  <c r="AA173" i="31"/>
  <c r="AA134" i="31"/>
  <c r="AA305" i="31"/>
  <c r="AA257" i="31"/>
  <c r="AA252" i="31"/>
  <c r="AA238" i="31"/>
  <c r="AA233" i="31"/>
  <c r="AA192" i="31"/>
  <c r="AA147" i="31"/>
  <c r="AA137" i="31"/>
  <c r="AA210" i="31"/>
  <c r="AA206" i="31"/>
  <c r="AA188" i="31"/>
  <c r="AA178" i="31"/>
  <c r="AA170" i="31"/>
  <c r="AA152" i="31"/>
  <c r="AA149" i="31"/>
  <c r="AA140" i="31"/>
  <c r="AA129" i="31"/>
  <c r="AA126" i="31"/>
  <c r="AA113" i="31"/>
  <c r="AA53" i="31"/>
  <c r="AA52" i="31"/>
  <c r="AA50" i="31"/>
  <c r="AA46" i="31"/>
  <c r="AA44" i="31"/>
  <c r="AA43" i="31"/>
  <c r="AA201" i="31"/>
  <c r="AA102" i="31"/>
  <c r="AA276" i="31"/>
  <c r="AA220" i="31"/>
  <c r="AA197" i="31"/>
  <c r="AA181" i="31"/>
  <c r="AA179" i="31"/>
  <c r="AA177" i="31"/>
  <c r="AA302" i="31"/>
  <c r="AA185" i="31"/>
  <c r="AA200" i="31"/>
  <c r="AA239" i="31"/>
  <c r="AA195" i="31"/>
  <c r="AA159" i="31"/>
  <c r="AA142" i="31"/>
  <c r="AA88" i="31"/>
  <c r="AA82" i="31"/>
  <c r="AA79" i="31"/>
  <c r="AA68" i="31"/>
  <c r="AA57" i="31"/>
  <c r="AA36" i="31"/>
  <c r="AA34" i="31"/>
  <c r="AA33" i="31"/>
  <c r="AA31" i="31"/>
  <c r="AA30" i="31"/>
  <c r="AA27" i="31"/>
  <c r="AA224" i="31"/>
  <c r="AA198" i="31"/>
  <c r="AA193" i="31"/>
  <c r="AA183" i="31"/>
  <c r="AA175" i="31"/>
  <c r="AA161" i="31"/>
  <c r="AA133" i="31"/>
  <c r="AA125" i="31"/>
  <c r="AA103" i="31"/>
  <c r="AA218" i="31"/>
  <c r="AA151" i="31"/>
  <c r="AA104" i="31"/>
  <c r="AA41" i="31"/>
  <c r="AA69" i="31"/>
  <c r="AA267" i="31"/>
  <c r="AA236" i="31"/>
  <c r="AA225" i="31"/>
  <c r="AA213" i="31"/>
  <c r="AA172" i="31"/>
  <c r="AA169" i="31"/>
  <c r="AA155" i="31"/>
  <c r="AA117" i="31"/>
  <c r="AA96" i="31"/>
  <c r="AA87" i="31"/>
  <c r="AA72" i="31"/>
  <c r="AA63" i="31"/>
  <c r="AA231" i="31"/>
  <c r="AA223" i="31"/>
  <c r="AA211" i="31"/>
  <c r="AA204" i="31"/>
  <c r="AA184" i="31"/>
  <c r="AA130" i="31"/>
  <c r="AA110" i="31"/>
  <c r="AA90" i="31"/>
  <c r="AA74" i="31"/>
  <c r="AA132" i="31"/>
  <c r="AA109" i="31"/>
  <c r="AA92" i="31"/>
  <c r="AA54" i="31"/>
  <c r="AA26" i="31"/>
  <c r="AA20" i="31"/>
  <c r="AA9" i="31"/>
  <c r="AA289" i="31"/>
  <c r="AA263" i="31"/>
  <c r="AA194" i="31"/>
  <c r="AA144" i="31"/>
  <c r="AA123" i="31"/>
  <c r="AA42" i="31"/>
  <c r="AA187" i="31"/>
  <c r="AA106" i="31"/>
  <c r="AA80" i="31"/>
  <c r="AA16" i="31"/>
  <c r="AA171" i="31"/>
  <c r="AA98" i="31"/>
  <c r="AA94" i="31"/>
  <c r="AA93" i="31"/>
  <c r="AA81" i="31"/>
  <c r="AA67" i="31"/>
  <c r="AA58" i="31"/>
  <c r="AA64" i="31"/>
  <c r="AA18" i="31"/>
  <c r="AA15" i="31"/>
  <c r="AA112" i="31"/>
  <c r="AA85" i="31"/>
  <c r="AA65" i="31"/>
  <c r="AA39" i="31"/>
  <c r="AA216" i="31"/>
  <c r="AA121" i="31"/>
  <c r="AA55" i="31"/>
  <c r="AA12" i="31"/>
  <c r="AA101" i="31"/>
  <c r="AA45" i="31"/>
  <c r="AA38" i="31"/>
  <c r="AA261" i="31"/>
  <c r="AA222" i="31"/>
  <c r="AA167" i="31"/>
  <c r="AA141" i="31"/>
  <c r="AA139" i="31"/>
  <c r="AA122" i="31"/>
  <c r="AA75" i="31"/>
  <c r="AA258" i="31"/>
  <c r="AA128" i="31"/>
  <c r="AA99" i="31"/>
  <c r="AA22" i="31"/>
  <c r="AA10" i="31"/>
  <c r="AA84" i="31"/>
  <c r="AA49" i="31"/>
  <c r="AA297" i="31"/>
  <c r="AA262" i="31"/>
  <c r="AA56" i="31"/>
  <c r="AA285" i="31"/>
  <c r="AA62" i="31"/>
  <c r="AA114" i="31"/>
  <c r="AA91" i="31"/>
  <c r="AA24" i="31"/>
  <c r="AA14" i="31"/>
  <c r="AA29" i="31"/>
  <c r="AA17" i="31"/>
  <c r="AA118" i="31"/>
  <c r="AA61" i="31"/>
  <c r="AA28" i="31"/>
  <c r="P304" i="31"/>
  <c r="P292" i="31"/>
  <c r="P297" i="31"/>
  <c r="P285" i="31"/>
  <c r="P302" i="31"/>
  <c r="P293" i="31"/>
  <c r="P287" i="31"/>
  <c r="P275" i="31"/>
  <c r="P305" i="31"/>
  <c r="P298" i="31"/>
  <c r="P273" i="31"/>
  <c r="P261" i="31"/>
  <c r="P249" i="31"/>
  <c r="P237" i="31"/>
  <c r="P301" i="31"/>
  <c r="P255" i="31"/>
  <c r="P236" i="31"/>
  <c r="P231" i="31"/>
  <c r="P219" i="31"/>
  <c r="P207" i="31"/>
  <c r="P195" i="31"/>
  <c r="P303" i="31"/>
  <c r="P296" i="31"/>
  <c r="P277" i="31"/>
  <c r="P276" i="31"/>
  <c r="P274" i="31"/>
  <c r="P263" i="31"/>
  <c r="P300" i="31"/>
  <c r="P259" i="31"/>
  <c r="P220" i="31"/>
  <c r="P201" i="31"/>
  <c r="P179" i="31"/>
  <c r="P167" i="31"/>
  <c r="P155" i="31"/>
  <c r="P291" i="31"/>
  <c r="P283" i="31"/>
  <c r="P270" i="31"/>
  <c r="P252" i="31"/>
  <c r="P247" i="31"/>
  <c r="P246" i="31"/>
  <c r="P245" i="31"/>
  <c r="P244" i="31"/>
  <c r="P243" i="31"/>
  <c r="P242" i="31"/>
  <c r="P239" i="31"/>
  <c r="P225" i="31"/>
  <c r="P202" i="31"/>
  <c r="P196" i="31"/>
  <c r="P190" i="31"/>
  <c r="P184" i="31"/>
  <c r="P181" i="31"/>
  <c r="P170" i="31"/>
  <c r="P162" i="31"/>
  <c r="P151" i="31"/>
  <c r="P136" i="31"/>
  <c r="P124" i="31"/>
  <c r="P112" i="31"/>
  <c r="P100" i="31"/>
  <c r="P88" i="31"/>
  <c r="P76" i="31"/>
  <c r="P64" i="31"/>
  <c r="P52" i="31"/>
  <c r="P40" i="31"/>
  <c r="P28" i="31"/>
  <c r="P16" i="31"/>
  <c r="P279" i="31"/>
  <c r="P272" i="31"/>
  <c r="P256" i="31"/>
  <c r="P173" i="31"/>
  <c r="P161" i="31"/>
  <c r="P143" i="31"/>
  <c r="P132" i="31"/>
  <c r="P113" i="31"/>
  <c r="P94" i="31"/>
  <c r="P75" i="31"/>
  <c r="P56" i="31"/>
  <c r="P45" i="31"/>
  <c r="P37" i="31"/>
  <c r="P26" i="31"/>
  <c r="P18" i="31"/>
  <c r="P282" i="31"/>
  <c r="P262" i="31"/>
  <c r="P257" i="31"/>
  <c r="P251" i="31"/>
  <c r="P178" i="31"/>
  <c r="P129" i="31"/>
  <c r="P121" i="31"/>
  <c r="P172" i="31"/>
  <c r="P149" i="31"/>
  <c r="P140" i="31"/>
  <c r="P110" i="31"/>
  <c r="P102" i="31"/>
  <c r="P91" i="31"/>
  <c r="P83" i="31"/>
  <c r="P306" i="31"/>
  <c r="P268" i="31"/>
  <c r="P232" i="31"/>
  <c r="P212" i="31"/>
  <c r="P209" i="31"/>
  <c r="P294" i="31"/>
  <c r="P286" i="31"/>
  <c r="P224" i="31"/>
  <c r="P218" i="31"/>
  <c r="P215" i="31"/>
  <c r="P189" i="31"/>
  <c r="P186" i="31"/>
  <c r="P289" i="31"/>
  <c r="P254" i="31"/>
  <c r="P235" i="31"/>
  <c r="P216" i="31"/>
  <c r="P203" i="31"/>
  <c r="P187" i="31"/>
  <c r="P126" i="31"/>
  <c r="P125" i="31"/>
  <c r="P87" i="31"/>
  <c r="P86" i="31"/>
  <c r="P59" i="31"/>
  <c r="P47" i="31"/>
  <c r="P41" i="31"/>
  <c r="P295" i="31"/>
  <c r="P269" i="31"/>
  <c r="P229" i="31"/>
  <c r="P221" i="31"/>
  <c r="P213" i="31"/>
  <c r="P208" i="31"/>
  <c r="P200" i="31"/>
  <c r="P192" i="31"/>
  <c r="P176" i="31"/>
  <c r="P171" i="31"/>
  <c r="P166" i="31"/>
  <c r="P128" i="31"/>
  <c r="P127" i="31"/>
  <c r="P267" i="31"/>
  <c r="P197" i="31"/>
  <c r="P175" i="31"/>
  <c r="P265" i="31"/>
  <c r="P248" i="31"/>
  <c r="P299" i="31"/>
  <c r="P281" i="31"/>
  <c r="P260" i="31"/>
  <c r="P241" i="31"/>
  <c r="P217" i="31"/>
  <c r="P199" i="31"/>
  <c r="P198" i="31"/>
  <c r="P180" i="31"/>
  <c r="P164" i="31"/>
  <c r="P156" i="31"/>
  <c r="P148" i="31"/>
  <c r="P135" i="31"/>
  <c r="P290" i="31"/>
  <c r="P271" i="31"/>
  <c r="P264" i="31"/>
  <c r="P183" i="31"/>
  <c r="P169" i="31"/>
  <c r="P153" i="31"/>
  <c r="P146" i="31"/>
  <c r="P141" i="31"/>
  <c r="P138" i="31"/>
  <c r="P288" i="31"/>
  <c r="P222" i="31"/>
  <c r="P144" i="31"/>
  <c r="P130" i="31"/>
  <c r="P120" i="31"/>
  <c r="P115" i="31"/>
  <c r="P71" i="31"/>
  <c r="P214" i="31"/>
  <c r="P204" i="31"/>
  <c r="P168" i="31"/>
  <c r="P145" i="31"/>
  <c r="P118" i="31"/>
  <c r="P109" i="31"/>
  <c r="P223" i="31"/>
  <c r="P191" i="31"/>
  <c r="P278" i="31"/>
  <c r="P227" i="31"/>
  <c r="P253" i="31"/>
  <c r="P150" i="31"/>
  <c r="P137" i="31"/>
  <c r="P97" i="31"/>
  <c r="P80" i="31"/>
  <c r="P77" i="31"/>
  <c r="P284" i="31"/>
  <c r="P116" i="31"/>
  <c r="P89" i="31"/>
  <c r="P70" i="31"/>
  <c r="P53" i="31"/>
  <c r="P210" i="31"/>
  <c r="P205" i="31"/>
  <c r="P108" i="31"/>
  <c r="P106" i="31"/>
  <c r="P104" i="31"/>
  <c r="P234" i="31"/>
  <c r="P174" i="31"/>
  <c r="P114" i="31"/>
  <c r="P38" i="31"/>
  <c r="P32" i="31"/>
  <c r="P21" i="31"/>
  <c r="P33" i="31"/>
  <c r="P27" i="31"/>
  <c r="P10" i="31"/>
  <c r="P258" i="31"/>
  <c r="P240" i="31"/>
  <c r="P177" i="31"/>
  <c r="P147" i="31"/>
  <c r="P73" i="31"/>
  <c r="P67" i="31"/>
  <c r="P61" i="31"/>
  <c r="P58" i="31"/>
  <c r="P55" i="31"/>
  <c r="P39" i="31"/>
  <c r="P22" i="31"/>
  <c r="P228" i="31"/>
  <c r="P193" i="31"/>
  <c r="P158" i="31"/>
  <c r="P154" i="31"/>
  <c r="P142" i="31"/>
  <c r="P99" i="31"/>
  <c r="P98" i="31"/>
  <c r="P78" i="31"/>
  <c r="P211" i="31"/>
  <c r="P182" i="31"/>
  <c r="P165" i="31"/>
  <c r="P105" i="31"/>
  <c r="P93" i="31"/>
  <c r="P49" i="31"/>
  <c r="P46" i="31"/>
  <c r="P43" i="31"/>
  <c r="P34" i="31"/>
  <c r="P17" i="31"/>
  <c r="P11" i="31"/>
  <c r="P139" i="31"/>
  <c r="P30" i="31"/>
  <c r="P15" i="31"/>
  <c r="P12" i="31"/>
  <c r="P233" i="31"/>
  <c r="P194" i="31"/>
  <c r="P101" i="31"/>
  <c r="P90" i="31"/>
  <c r="P72" i="31"/>
  <c r="P29" i="31"/>
  <c r="P25" i="31"/>
  <c r="P152" i="31"/>
  <c r="P63" i="31"/>
  <c r="P62" i="31"/>
  <c r="P20" i="31"/>
  <c r="P9" i="31"/>
  <c r="P111" i="31"/>
  <c r="P69" i="31"/>
  <c r="P131" i="31"/>
  <c r="P60" i="31"/>
  <c r="P19" i="31"/>
  <c r="P107" i="31"/>
  <c r="P81" i="31"/>
  <c r="P51" i="31"/>
  <c r="P42" i="31"/>
  <c r="P266" i="31"/>
  <c r="P230" i="31"/>
  <c r="P188" i="31"/>
  <c r="P36" i="31"/>
  <c r="P95" i="31"/>
  <c r="P85" i="31"/>
  <c r="P84" i="31"/>
  <c r="P238" i="31"/>
  <c r="P122" i="31"/>
  <c r="P54" i="31"/>
  <c r="P44" i="31"/>
  <c r="P24" i="31"/>
  <c r="P123" i="31"/>
  <c r="P119" i="31"/>
  <c r="P92" i="31"/>
  <c r="P79" i="31"/>
  <c r="P23" i="31"/>
  <c r="P14" i="31"/>
  <c r="P160" i="31"/>
  <c r="P133" i="31"/>
  <c r="P68" i="31"/>
  <c r="P50" i="31"/>
  <c r="P82" i="31"/>
  <c r="P280" i="31"/>
  <c r="P206" i="31"/>
  <c r="P103" i="31"/>
  <c r="P96" i="31"/>
  <c r="P226" i="31"/>
  <c r="P185" i="31"/>
  <c r="P134" i="31"/>
  <c r="P157" i="31"/>
  <c r="P250" i="31"/>
  <c r="P57" i="31"/>
  <c r="P13" i="31"/>
  <c r="P66" i="31"/>
  <c r="P65" i="31"/>
  <c r="P163" i="31"/>
  <c r="P48" i="31"/>
  <c r="P159" i="31"/>
  <c r="P74" i="31"/>
  <c r="P117" i="31"/>
  <c r="P35" i="31"/>
  <c r="P31" i="31"/>
  <c r="AB304" i="31"/>
  <c r="AB292" i="31"/>
  <c r="AB297" i="31"/>
  <c r="AB285" i="31"/>
  <c r="AB281" i="31"/>
  <c r="AB302" i="31"/>
  <c r="AB305" i="31"/>
  <c r="AB295" i="31"/>
  <c r="AB289" i="31"/>
  <c r="AB261" i="31"/>
  <c r="AB249" i="31"/>
  <c r="AB237" i="31"/>
  <c r="AB266" i="31"/>
  <c r="AB258" i="31"/>
  <c r="AB247" i="31"/>
  <c r="AB239" i="31"/>
  <c r="AB231" i="31"/>
  <c r="AB219" i="31"/>
  <c r="AB207" i="31"/>
  <c r="AB195" i="31"/>
  <c r="AB183" i="31"/>
  <c r="AB298" i="31"/>
  <c r="AB269" i="31"/>
  <c r="AB294" i="31"/>
  <c r="AB268" i="31"/>
  <c r="AB267" i="31"/>
  <c r="AB260" i="31"/>
  <c r="AB254" i="31"/>
  <c r="AB223" i="31"/>
  <c r="AB212" i="31"/>
  <c r="AB204" i="31"/>
  <c r="AB193" i="31"/>
  <c r="AB185" i="31"/>
  <c r="AB179" i="31"/>
  <c r="AB167" i="31"/>
  <c r="AB155" i="31"/>
  <c r="AB306" i="31"/>
  <c r="AB282" i="31"/>
  <c r="AB264" i="31"/>
  <c r="AB220" i="31"/>
  <c r="AB197" i="31"/>
  <c r="AB191" i="31"/>
  <c r="AB173" i="31"/>
  <c r="AB154" i="31"/>
  <c r="AB136" i="31"/>
  <c r="AB124" i="31"/>
  <c r="AB112" i="31"/>
  <c r="AB88" i="31"/>
  <c r="AB76" i="31"/>
  <c r="AB64" i="31"/>
  <c r="AB52" i="31"/>
  <c r="AB40" i="31"/>
  <c r="AB28" i="31"/>
  <c r="AB16" i="31"/>
  <c r="AB301" i="31"/>
  <c r="AB288" i="31"/>
  <c r="AB275" i="31"/>
  <c r="AB271" i="31"/>
  <c r="AB243" i="31"/>
  <c r="AB174" i="31"/>
  <c r="AB168" i="31"/>
  <c r="AB162" i="31"/>
  <c r="AB156" i="31"/>
  <c r="AB135" i="31"/>
  <c r="AB116" i="31"/>
  <c r="AB105" i="31"/>
  <c r="AB97" i="31"/>
  <c r="AB86" i="31"/>
  <c r="AB78" i="31"/>
  <c r="AB67" i="31"/>
  <c r="AB59" i="31"/>
  <c r="AB48" i="31"/>
  <c r="AB29" i="31"/>
  <c r="AB10" i="31"/>
  <c r="AB280" i="31"/>
  <c r="AB255" i="31"/>
  <c r="AB238" i="31"/>
  <c r="AB232" i="31"/>
  <c r="AB143" i="31"/>
  <c r="AB113" i="31"/>
  <c r="AB150" i="31"/>
  <c r="AB132" i="31"/>
  <c r="AB94" i="31"/>
  <c r="AB75" i="31"/>
  <c r="AB270" i="31"/>
  <c r="AB248" i="31"/>
  <c r="AB246" i="31"/>
  <c r="AB244" i="31"/>
  <c r="AB208" i="31"/>
  <c r="AB205" i="31"/>
  <c r="AB202" i="31"/>
  <c r="AB199" i="31"/>
  <c r="AB296" i="31"/>
  <c r="AB242" i="31"/>
  <c r="AB240" i="31"/>
  <c r="AB217" i="31"/>
  <c r="AB214" i="31"/>
  <c r="AB211" i="31"/>
  <c r="AB284" i="31"/>
  <c r="AB241" i="31"/>
  <c r="AB228" i="31"/>
  <c r="AB118" i="31"/>
  <c r="AB117" i="31"/>
  <c r="AB114" i="31"/>
  <c r="AB80" i="31"/>
  <c r="AB79" i="31"/>
  <c r="AB54" i="31"/>
  <c r="AB42" i="31"/>
  <c r="AB36" i="31"/>
  <c r="AB13" i="31"/>
  <c r="AB303" i="31"/>
  <c r="AB265" i="31"/>
  <c r="AB256" i="31"/>
  <c r="AB252" i="31"/>
  <c r="AB225" i="31"/>
  <c r="AB188" i="31"/>
  <c r="AB169" i="31"/>
  <c r="AB164" i="31"/>
  <c r="AB159" i="31"/>
  <c r="AB236" i="31"/>
  <c r="AB279" i="31"/>
  <c r="AB250" i="31"/>
  <c r="AB221" i="31"/>
  <c r="AB200" i="31"/>
  <c r="AB194" i="31"/>
  <c r="AB180" i="31"/>
  <c r="AB276" i="31"/>
  <c r="AB257" i="31"/>
  <c r="AB226" i="31"/>
  <c r="AB209" i="31"/>
  <c r="AB192" i="31"/>
  <c r="AB165" i="31"/>
  <c r="AB147" i="31"/>
  <c r="AB145" i="31"/>
  <c r="AB137" i="31"/>
  <c r="AB210" i="31"/>
  <c r="AB206" i="31"/>
  <c r="AB190" i="31"/>
  <c r="AB178" i="31"/>
  <c r="AB170" i="31"/>
  <c r="AB152" i="31"/>
  <c r="AB149" i="31"/>
  <c r="AB140" i="31"/>
  <c r="AB129" i="31"/>
  <c r="AB126" i="31"/>
  <c r="AB227" i="31"/>
  <c r="AB189" i="31"/>
  <c r="AB181" i="31"/>
  <c r="AB175" i="31"/>
  <c r="AB92" i="31"/>
  <c r="AB87" i="31"/>
  <c r="AB82" i="31"/>
  <c r="AB58" i="31"/>
  <c r="AB57" i="31"/>
  <c r="AB56" i="31"/>
  <c r="AB55" i="31"/>
  <c r="AB51" i="31"/>
  <c r="AB49" i="31"/>
  <c r="AB196" i="31"/>
  <c r="AB187" i="31"/>
  <c r="AB158" i="31"/>
  <c r="AB157" i="31"/>
  <c r="AB139" i="31"/>
  <c r="AB120" i="31"/>
  <c r="AB108" i="31"/>
  <c r="AB290" i="31"/>
  <c r="AB283" i="31"/>
  <c r="AB278" i="31"/>
  <c r="AB262" i="31"/>
  <c r="AB235" i="31"/>
  <c r="AB273" i="31"/>
  <c r="AB184" i="31"/>
  <c r="AB171" i="31"/>
  <c r="AB287" i="31"/>
  <c r="AB182" i="31"/>
  <c r="AB142" i="31"/>
  <c r="AB134" i="31"/>
  <c r="AB141" i="31"/>
  <c r="AB111" i="31"/>
  <c r="AB109" i="31"/>
  <c r="AB91" i="31"/>
  <c r="AB85" i="31"/>
  <c r="AB73" i="31"/>
  <c r="AB69" i="31"/>
  <c r="AB63" i="31"/>
  <c r="AB39" i="31"/>
  <c r="AB38" i="31"/>
  <c r="AB35" i="31"/>
  <c r="AB32" i="31"/>
  <c r="AB293" i="31"/>
  <c r="AB215" i="31"/>
  <c r="AB160" i="31"/>
  <c r="AB101" i="31"/>
  <c r="AB99" i="31"/>
  <c r="AB148" i="31"/>
  <c r="AB110" i="31"/>
  <c r="AB103" i="31"/>
  <c r="AB90" i="31"/>
  <c r="AB74" i="31"/>
  <c r="AB44" i="31"/>
  <c r="AB19" i="31"/>
  <c r="AB72" i="31"/>
  <c r="AB31" i="31"/>
  <c r="AB14" i="31"/>
  <c r="AB286" i="31"/>
  <c r="AB66" i="31"/>
  <c r="AB60" i="31"/>
  <c r="AB26" i="31"/>
  <c r="AB20" i="31"/>
  <c r="AB291" i="31"/>
  <c r="AB274" i="31"/>
  <c r="AB213" i="31"/>
  <c r="AB186" i="31"/>
  <c r="AB172" i="31"/>
  <c r="AB96" i="31"/>
  <c r="AB25" i="31"/>
  <c r="AB263" i="31"/>
  <c r="AB245" i="31"/>
  <c r="AB230" i="31"/>
  <c r="AB166" i="31"/>
  <c r="AB144" i="31"/>
  <c r="AB138" i="31"/>
  <c r="AB131" i="31"/>
  <c r="AB125" i="31"/>
  <c r="AB123" i="31"/>
  <c r="AB102" i="31"/>
  <c r="AB84" i="31"/>
  <c r="AB45" i="31"/>
  <c r="AB15" i="31"/>
  <c r="AB251" i="31"/>
  <c r="AB229" i="31"/>
  <c r="AB106" i="31"/>
  <c r="AB43" i="31"/>
  <c r="AB23" i="31"/>
  <c r="AB300" i="31"/>
  <c r="AB115" i="31"/>
  <c r="AB98" i="31"/>
  <c r="AB93" i="31"/>
  <c r="AB81" i="31"/>
  <c r="AB27" i="31"/>
  <c r="AB253" i="31"/>
  <c r="AB224" i="31"/>
  <c r="AB203" i="31"/>
  <c r="AB133" i="31"/>
  <c r="AB128" i="31"/>
  <c r="AB107" i="31"/>
  <c r="AB83" i="31"/>
  <c r="AB68" i="31"/>
  <c r="AB22" i="31"/>
  <c r="AB65" i="31"/>
  <c r="AB121" i="31"/>
  <c r="AB12" i="31"/>
  <c r="AB153" i="31"/>
  <c r="AB104" i="31"/>
  <c r="AB47" i="31"/>
  <c r="AB46" i="31"/>
  <c r="AB34" i="31"/>
  <c r="AB30" i="31"/>
  <c r="AB9" i="31"/>
  <c r="AB222" i="31"/>
  <c r="AB127" i="31"/>
  <c r="AB122" i="31"/>
  <c r="AB89" i="31"/>
  <c r="AB17" i="31"/>
  <c r="AB201" i="31"/>
  <c r="AB198" i="31"/>
  <c r="AB161" i="31"/>
  <c r="AB70" i="31"/>
  <c r="AB299" i="31"/>
  <c r="AB119" i="31"/>
  <c r="AB50" i="31"/>
  <c r="AB41" i="31"/>
  <c r="AB21" i="31"/>
  <c r="AB18" i="31"/>
  <c r="AB177" i="31"/>
  <c r="AB151" i="31"/>
  <c r="AB71" i="31"/>
  <c r="AB62" i="31"/>
  <c r="AB53" i="31"/>
  <c r="AB61" i="31"/>
  <c r="AB218" i="31"/>
  <c r="AB163" i="31"/>
  <c r="AB24" i="31"/>
  <c r="AB176" i="31"/>
  <c r="AB33" i="31"/>
  <c r="AB259" i="31"/>
  <c r="AB146" i="31"/>
  <c r="AB234" i="31"/>
  <c r="AB77" i="31"/>
  <c r="AB11" i="31"/>
  <c r="Q304" i="31"/>
  <c r="Q297" i="31"/>
  <c r="Q285" i="31"/>
  <c r="Q302" i="31"/>
  <c r="Q290" i="31"/>
  <c r="Q278" i="31"/>
  <c r="Q301" i="31"/>
  <c r="Q286" i="31"/>
  <c r="Q271" i="31"/>
  <c r="Q291" i="31"/>
  <c r="Q306" i="31"/>
  <c r="Q277" i="31"/>
  <c r="Q270" i="31"/>
  <c r="Q266" i="31"/>
  <c r="Q254" i="31"/>
  <c r="Q242" i="31"/>
  <c r="Q303" i="31"/>
  <c r="Q296" i="31"/>
  <c r="Q276" i="31"/>
  <c r="Q274" i="31"/>
  <c r="Q263" i="31"/>
  <c r="Q252" i="31"/>
  <c r="Q244" i="31"/>
  <c r="Q233" i="31"/>
  <c r="Q224" i="31"/>
  <c r="Q212" i="31"/>
  <c r="Q200" i="31"/>
  <c r="Q188" i="31"/>
  <c r="Q305" i="31"/>
  <c r="Q299" i="31"/>
  <c r="Q280" i="31"/>
  <c r="Q279" i="31"/>
  <c r="Q275" i="31"/>
  <c r="Q253" i="31"/>
  <c r="Q247" i="31"/>
  <c r="Q241" i="31"/>
  <c r="Q235" i="31"/>
  <c r="Q228" i="31"/>
  <c r="Q217" i="31"/>
  <c r="Q209" i="31"/>
  <c r="Q198" i="31"/>
  <c r="Q190" i="31"/>
  <c r="Q172" i="31"/>
  <c r="Q160" i="31"/>
  <c r="Q148" i="31"/>
  <c r="Q273" i="31"/>
  <c r="Q257" i="31"/>
  <c r="Q251" i="31"/>
  <c r="Q250" i="31"/>
  <c r="Q249" i="31"/>
  <c r="Q248" i="31"/>
  <c r="Q231" i="31"/>
  <c r="Q219" i="31"/>
  <c r="Q213" i="31"/>
  <c r="Q178" i="31"/>
  <c r="Q159" i="31"/>
  <c r="Q141" i="31"/>
  <c r="Q129" i="31"/>
  <c r="Q117" i="31"/>
  <c r="Q105" i="31"/>
  <c r="Q93" i="31"/>
  <c r="Q81" i="31"/>
  <c r="Q69" i="31"/>
  <c r="Q57" i="31"/>
  <c r="Q45" i="31"/>
  <c r="Q33" i="31"/>
  <c r="Q21" i="31"/>
  <c r="Q9" i="31"/>
  <c r="Q282" i="31"/>
  <c r="Q262" i="31"/>
  <c r="Q245" i="31"/>
  <c r="Q239" i="31"/>
  <c r="Q155" i="31"/>
  <c r="Q149" i="31"/>
  <c r="Q140" i="31"/>
  <c r="Q121" i="31"/>
  <c r="Q110" i="31"/>
  <c r="Q102" i="31"/>
  <c r="Q91" i="31"/>
  <c r="Q83" i="31"/>
  <c r="Q72" i="31"/>
  <c r="Q64" i="31"/>
  <c r="Q53" i="31"/>
  <c r="Q34" i="31"/>
  <c r="Q15" i="31"/>
  <c r="Q268" i="31"/>
  <c r="Q265" i="31"/>
  <c r="Q240" i="31"/>
  <c r="Q234" i="31"/>
  <c r="Q118" i="31"/>
  <c r="Q80" i="31"/>
  <c r="Q166" i="31"/>
  <c r="Q137" i="31"/>
  <c r="Q99" i="31"/>
  <c r="Q300" i="31"/>
  <c r="Q294" i="31"/>
  <c r="Q293" i="31"/>
  <c r="Q287" i="31"/>
  <c r="Q218" i="31"/>
  <c r="Q215" i="31"/>
  <c r="Q189" i="31"/>
  <c r="Q186" i="31"/>
  <c r="Q183" i="31"/>
  <c r="Q295" i="31"/>
  <c r="Q230" i="31"/>
  <c r="Q227" i="31"/>
  <c r="Q221" i="31"/>
  <c r="Q195" i="31"/>
  <c r="Q192" i="31"/>
  <c r="Q269" i="31"/>
  <c r="Q232" i="31"/>
  <c r="Q229" i="31"/>
  <c r="Q208" i="31"/>
  <c r="Q176" i="31"/>
  <c r="Q171" i="31"/>
  <c r="Q128" i="31"/>
  <c r="Q127" i="31"/>
  <c r="Q124" i="31"/>
  <c r="Q90" i="31"/>
  <c r="Q89" i="31"/>
  <c r="Q70" i="31"/>
  <c r="Q58" i="31"/>
  <c r="Q35" i="31"/>
  <c r="Q29" i="31"/>
  <c r="Q23" i="31"/>
  <c r="Q17" i="31"/>
  <c r="Q283" i="31"/>
  <c r="Q246" i="31"/>
  <c r="Q205" i="31"/>
  <c r="Q177" i="31"/>
  <c r="Q150" i="31"/>
  <c r="Q134" i="31"/>
  <c r="Q131" i="31"/>
  <c r="Q130" i="31"/>
  <c r="Q284" i="31"/>
  <c r="Q261" i="31"/>
  <c r="Q226" i="31"/>
  <c r="Q243" i="31"/>
  <c r="Q223" i="31"/>
  <c r="Q179" i="31"/>
  <c r="Q173" i="31"/>
  <c r="Q169" i="31"/>
  <c r="Q167" i="31"/>
  <c r="Q165" i="31"/>
  <c r="Q163" i="31"/>
  <c r="Q161" i="31"/>
  <c r="Q153" i="31"/>
  <c r="Q264" i="31"/>
  <c r="Q216" i="31"/>
  <c r="Q146" i="31"/>
  <c r="Q138" i="31"/>
  <c r="Q292" i="31"/>
  <c r="Q288" i="31"/>
  <c r="Q255" i="31"/>
  <c r="Q222" i="31"/>
  <c r="Q220" i="31"/>
  <c r="Q197" i="31"/>
  <c r="Q196" i="31"/>
  <c r="Q144" i="31"/>
  <c r="Q256" i="31"/>
  <c r="Q236" i="31"/>
  <c r="Q214" i="31"/>
  <c r="Q194" i="31"/>
  <c r="Q174" i="31"/>
  <c r="Q158" i="31"/>
  <c r="Q133" i="31"/>
  <c r="Q94" i="31"/>
  <c r="Q78" i="31"/>
  <c r="Q73" i="31"/>
  <c r="Q210" i="31"/>
  <c r="Q136" i="31"/>
  <c r="Q237" i="31"/>
  <c r="Q201" i="31"/>
  <c r="Q202" i="31"/>
  <c r="Q193" i="31"/>
  <c r="Q207" i="31"/>
  <c r="Q116" i="31"/>
  <c r="Q298" i="31"/>
  <c r="Q281" i="31"/>
  <c r="Q267" i="31"/>
  <c r="Q182" i="31"/>
  <c r="Q170" i="31"/>
  <c r="Q152" i="31"/>
  <c r="Q151" i="31"/>
  <c r="Q114" i="31"/>
  <c r="Q112" i="31"/>
  <c r="Q95" i="31"/>
  <c r="Q92" i="31"/>
  <c r="Q86" i="31"/>
  <c r="Q42" i="31"/>
  <c r="Q185" i="31"/>
  <c r="Q154" i="31"/>
  <c r="Q142" i="31"/>
  <c r="Q98" i="31"/>
  <c r="Q164" i="31"/>
  <c r="Q106" i="31"/>
  <c r="Q27" i="31"/>
  <c r="Q10" i="31"/>
  <c r="Q61" i="31"/>
  <c r="Q55" i="31"/>
  <c r="Q39" i="31"/>
  <c r="Q22" i="31"/>
  <c r="Q16" i="31"/>
  <c r="Q211" i="31"/>
  <c r="Q168" i="31"/>
  <c r="Q120" i="31"/>
  <c r="Q75" i="31"/>
  <c r="Q52" i="31"/>
  <c r="Q49" i="31"/>
  <c r="Q46" i="31"/>
  <c r="Q43" i="31"/>
  <c r="Q28" i="31"/>
  <c r="Q258" i="31"/>
  <c r="Q191" i="31"/>
  <c r="Q147" i="31"/>
  <c r="Q135" i="31"/>
  <c r="Q113" i="31"/>
  <c r="Q67" i="31"/>
  <c r="Q225" i="31"/>
  <c r="Q119" i="31"/>
  <c r="Q104" i="31"/>
  <c r="Q88" i="31"/>
  <c r="Q184" i="31"/>
  <c r="Q132" i="31"/>
  <c r="Q109" i="31"/>
  <c r="Q101" i="31"/>
  <c r="Q25" i="31"/>
  <c r="Q259" i="31"/>
  <c r="Q204" i="31"/>
  <c r="Q97" i="31"/>
  <c r="Q77" i="31"/>
  <c r="Q71" i="31"/>
  <c r="Q63" i="31"/>
  <c r="Q62" i="31"/>
  <c r="Q20" i="31"/>
  <c r="Q238" i="31"/>
  <c r="Q181" i="31"/>
  <c r="Q122" i="31"/>
  <c r="Q76" i="31"/>
  <c r="Q54" i="31"/>
  <c r="Q44" i="31"/>
  <c r="Q24" i="31"/>
  <c r="Q115" i="31"/>
  <c r="Q68" i="31"/>
  <c r="Q60" i="31"/>
  <c r="Q50" i="31"/>
  <c r="Q19" i="31"/>
  <c r="Q107" i="31"/>
  <c r="Q103" i="31"/>
  <c r="Q82" i="31"/>
  <c r="Q51" i="31"/>
  <c r="Q41" i="31"/>
  <c r="Q36" i="31"/>
  <c r="Q199" i="31"/>
  <c r="Q145" i="31"/>
  <c r="Q143" i="31"/>
  <c r="Q84" i="31"/>
  <c r="Q40" i="31"/>
  <c r="Q31" i="31"/>
  <c r="Q13" i="31"/>
  <c r="Q66" i="31"/>
  <c r="Q187" i="31"/>
  <c r="Q156" i="31"/>
  <c r="Q123" i="31"/>
  <c r="Q79" i="31"/>
  <c r="Q38" i="31"/>
  <c r="Q14" i="31"/>
  <c r="Q111" i="31"/>
  <c r="Q11" i="31"/>
  <c r="Q289" i="31"/>
  <c r="Q206" i="31"/>
  <c r="Q203" i="31"/>
  <c r="Q180" i="31"/>
  <c r="Q175" i="31"/>
  <c r="Q162" i="31"/>
  <c r="Q126" i="31"/>
  <c r="Q59" i="31"/>
  <c r="Q37" i="31"/>
  <c r="Q85" i="31"/>
  <c r="Q108" i="31"/>
  <c r="Q65" i="31"/>
  <c r="Q32" i="31"/>
  <c r="Q96" i="31"/>
  <c r="Q157" i="31"/>
  <c r="Q100" i="31"/>
  <c r="Q26" i="31"/>
  <c r="Q56" i="31"/>
  <c r="Q272" i="31"/>
  <c r="Q48" i="31"/>
  <c r="Q18" i="31"/>
  <c r="Q139" i="31"/>
  <c r="Q12" i="31"/>
  <c r="Q260" i="31"/>
  <c r="Q30" i="31"/>
  <c r="Q87" i="31"/>
  <c r="Q125" i="31"/>
  <c r="Q74" i="31"/>
  <c r="Q47" i="31"/>
  <c r="AC304" i="31"/>
  <c r="AC297" i="31"/>
  <c r="AC285" i="31"/>
  <c r="AC302" i="31"/>
  <c r="AC290" i="31"/>
  <c r="AC278" i="31"/>
  <c r="AC294" i="31"/>
  <c r="AC275" i="31"/>
  <c r="AC271" i="31"/>
  <c r="AC301" i="31"/>
  <c r="AC299" i="31"/>
  <c r="AC300" i="31"/>
  <c r="AC273" i="31"/>
  <c r="AC266" i="31"/>
  <c r="AC254" i="31"/>
  <c r="AC242" i="31"/>
  <c r="AC298" i="31"/>
  <c r="AC295" i="31"/>
  <c r="AC269" i="31"/>
  <c r="AC255" i="31"/>
  <c r="AC236" i="31"/>
  <c r="AC224" i="31"/>
  <c r="AC200" i="31"/>
  <c r="AC188" i="31"/>
  <c r="AC289" i="31"/>
  <c r="AC284" i="31"/>
  <c r="AC263" i="31"/>
  <c r="AC306" i="31"/>
  <c r="AC293" i="31"/>
  <c r="AC248" i="31"/>
  <c r="AC231" i="31"/>
  <c r="AC220" i="31"/>
  <c r="AC201" i="31"/>
  <c r="AC172" i="31"/>
  <c r="AC160" i="31"/>
  <c r="AC148" i="31"/>
  <c r="AC272" i="31"/>
  <c r="AC235" i="31"/>
  <c r="AC233" i="31"/>
  <c r="AC226" i="31"/>
  <c r="AC214" i="31"/>
  <c r="AC208" i="31"/>
  <c r="AC185" i="31"/>
  <c r="AC181" i="31"/>
  <c r="AC162" i="31"/>
  <c r="AC151" i="31"/>
  <c r="AC141" i="31"/>
  <c r="AC129" i="31"/>
  <c r="AC117" i="31"/>
  <c r="AC105" i="31"/>
  <c r="AC93" i="31"/>
  <c r="AC81" i="31"/>
  <c r="AC69" i="31"/>
  <c r="AC57" i="31"/>
  <c r="AC45" i="31"/>
  <c r="AC33" i="31"/>
  <c r="AC21" i="31"/>
  <c r="AC9" i="31"/>
  <c r="AC280" i="31"/>
  <c r="AC249" i="31"/>
  <c r="AC238" i="31"/>
  <c r="AC232" i="31"/>
  <c r="AC150" i="31"/>
  <c r="AC143" i="31"/>
  <c r="AC132" i="31"/>
  <c r="AC124" i="31"/>
  <c r="AC94" i="31"/>
  <c r="AC75" i="31"/>
  <c r="AC56" i="31"/>
  <c r="AC37" i="31"/>
  <c r="AC18" i="31"/>
  <c r="AC292" i="31"/>
  <c r="AC277" i="31"/>
  <c r="AC244" i="31"/>
  <c r="AC179" i="31"/>
  <c r="AC173" i="31"/>
  <c r="AC140" i="31"/>
  <c r="AC110" i="31"/>
  <c r="AC83" i="31"/>
  <c r="AC72" i="31"/>
  <c r="AC167" i="31"/>
  <c r="AC161" i="31"/>
  <c r="AC121" i="31"/>
  <c r="AC102" i="31"/>
  <c r="AC91" i="31"/>
  <c r="AC303" i="31"/>
  <c r="AC296" i="31"/>
  <c r="AC264" i="31"/>
  <c r="AC240" i="31"/>
  <c r="AC217" i="31"/>
  <c r="AC211" i="31"/>
  <c r="AC279" i="31"/>
  <c r="AC265" i="31"/>
  <c r="AC260" i="31"/>
  <c r="AC256" i="31"/>
  <c r="AC252" i="31"/>
  <c r="AC225" i="31"/>
  <c r="AC199" i="31"/>
  <c r="AC174" i="31"/>
  <c r="AC169" i="31"/>
  <c r="AC164" i="31"/>
  <c r="AC159" i="31"/>
  <c r="AC116" i="31"/>
  <c r="AC82" i="31"/>
  <c r="AC78" i="31"/>
  <c r="AC71" i="31"/>
  <c r="AC65" i="31"/>
  <c r="AC53" i="31"/>
  <c r="AC30" i="31"/>
  <c r="AC24" i="31"/>
  <c r="AC12" i="31"/>
  <c r="AC286" i="31"/>
  <c r="AC259" i="31"/>
  <c r="AC230" i="31"/>
  <c r="AC209" i="31"/>
  <c r="AC204" i="31"/>
  <c r="AC196" i="31"/>
  <c r="AC175" i="31"/>
  <c r="AC154" i="31"/>
  <c r="AC149" i="31"/>
  <c r="AC123" i="31"/>
  <c r="AC305" i="31"/>
  <c r="AC274" i="31"/>
  <c r="AC251" i="31"/>
  <c r="AC227" i="31"/>
  <c r="AC229" i="31"/>
  <c r="AC206" i="31"/>
  <c r="AC187" i="31"/>
  <c r="AC168" i="31"/>
  <c r="AC158" i="31"/>
  <c r="AC156" i="31"/>
  <c r="AC228" i="31"/>
  <c r="AC257" i="31"/>
  <c r="AC210" i="31"/>
  <c r="AC191" i="31"/>
  <c r="AC190" i="31"/>
  <c r="AC178" i="31"/>
  <c r="AC152" i="31"/>
  <c r="AC126" i="31"/>
  <c r="AC189" i="31"/>
  <c r="AC262" i="31"/>
  <c r="AC243" i="31"/>
  <c r="AC207" i="31"/>
  <c r="AC157" i="31"/>
  <c r="AC108" i="31"/>
  <c r="AC103" i="31"/>
  <c r="AC98" i="31"/>
  <c r="AC77" i="31"/>
  <c r="AC64" i="31"/>
  <c r="AC63" i="31"/>
  <c r="AC62" i="31"/>
  <c r="AC61" i="31"/>
  <c r="AC60" i="31"/>
  <c r="AC59" i="31"/>
  <c r="AC54" i="31"/>
  <c r="AC215" i="31"/>
  <c r="AC155" i="31"/>
  <c r="AC130" i="31"/>
  <c r="AC111" i="31"/>
  <c r="AC203" i="31"/>
  <c r="AC202" i="31"/>
  <c r="AC198" i="31"/>
  <c r="AC258" i="31"/>
  <c r="AC253" i="31"/>
  <c r="AC213" i="31"/>
  <c r="AC281" i="31"/>
  <c r="AC239" i="31"/>
  <c r="AC205" i="31"/>
  <c r="AC195" i="31"/>
  <c r="AC109" i="31"/>
  <c r="AC88" i="31"/>
  <c r="AC85" i="31"/>
  <c r="AC79" i="31"/>
  <c r="AC246" i="31"/>
  <c r="AC237" i="31"/>
  <c r="AC133" i="31"/>
  <c r="AC125" i="31"/>
  <c r="AC107" i="31"/>
  <c r="AC76" i="31"/>
  <c r="AC46" i="31"/>
  <c r="AC40" i="31"/>
  <c r="AC250" i="31"/>
  <c r="AC241" i="31"/>
  <c r="AC234" i="31"/>
  <c r="AC222" i="31"/>
  <c r="AC186" i="31"/>
  <c r="AC122" i="31"/>
  <c r="AC291" i="31"/>
  <c r="AC223" i="31"/>
  <c r="AC193" i="31"/>
  <c r="AC184" i="31"/>
  <c r="AC136" i="31"/>
  <c r="AC96" i="31"/>
  <c r="AC31" i="31"/>
  <c r="AC25" i="31"/>
  <c r="AC14" i="31"/>
  <c r="AC66" i="31"/>
  <c r="AC245" i="31"/>
  <c r="AC166" i="31"/>
  <c r="AC144" i="31"/>
  <c r="AC138" i="31"/>
  <c r="AC131" i="31"/>
  <c r="AC92" i="31"/>
  <c r="AC84" i="31"/>
  <c r="AC282" i="31"/>
  <c r="AC267" i="31"/>
  <c r="AC180" i="31"/>
  <c r="AC137" i="31"/>
  <c r="AC87" i="31"/>
  <c r="AC20" i="31"/>
  <c r="AC270" i="31"/>
  <c r="AC101" i="31"/>
  <c r="AC95" i="31"/>
  <c r="AC89" i="31"/>
  <c r="AC51" i="31"/>
  <c r="AC48" i="31"/>
  <c r="AC42" i="31"/>
  <c r="AC38" i="31"/>
  <c r="AC32" i="31"/>
  <c r="AC197" i="31"/>
  <c r="AC115" i="31"/>
  <c r="AC80" i="31"/>
  <c r="AC27" i="31"/>
  <c r="AC19" i="31"/>
  <c r="AC16" i="31"/>
  <c r="AC276" i="31"/>
  <c r="AC171" i="31"/>
  <c r="AC128" i="31"/>
  <c r="AC68" i="31"/>
  <c r="AC58" i="31"/>
  <c r="AC22" i="31"/>
  <c r="AC283" i="31"/>
  <c r="AC221" i="31"/>
  <c r="AC183" i="31"/>
  <c r="AC135" i="31"/>
  <c r="AC119" i="31"/>
  <c r="AC99" i="31"/>
  <c r="AC50" i="31"/>
  <c r="AC41" i="31"/>
  <c r="AC10" i="31"/>
  <c r="AC112" i="31"/>
  <c r="AC39" i="31"/>
  <c r="AC35" i="31"/>
  <c r="AC147" i="31"/>
  <c r="AC104" i="31"/>
  <c r="AC55" i="31"/>
  <c r="AC47" i="31"/>
  <c r="AC34" i="31"/>
  <c r="AC192" i="31"/>
  <c r="AC74" i="31"/>
  <c r="AC17" i="31"/>
  <c r="AC261" i="31"/>
  <c r="AC219" i="31"/>
  <c r="AC139" i="31"/>
  <c r="AC134" i="31"/>
  <c r="AC70" i="31"/>
  <c r="AC29" i="31"/>
  <c r="AC163" i="31"/>
  <c r="AC142" i="31"/>
  <c r="AC49" i="31"/>
  <c r="AC36" i="31"/>
  <c r="AC13" i="31"/>
  <c r="AC247" i="31"/>
  <c r="AC15" i="31"/>
  <c r="AC268" i="31"/>
  <c r="AC177" i="31"/>
  <c r="AC145" i="31"/>
  <c r="AC288" i="31"/>
  <c r="AC73" i="31"/>
  <c r="AC216" i="31"/>
  <c r="AC153" i="31"/>
  <c r="AC127" i="31"/>
  <c r="AC97" i="31"/>
  <c r="AC165" i="31"/>
  <c r="AC90" i="31"/>
  <c r="AC176" i="31"/>
  <c r="AC194" i="31"/>
  <c r="AC44" i="31"/>
  <c r="AC118" i="31"/>
  <c r="AC11" i="31"/>
  <c r="AC43" i="31"/>
  <c r="AC23" i="31"/>
  <c r="AC146" i="31"/>
  <c r="AC106" i="31"/>
  <c r="AC52" i="31"/>
  <c r="AC28" i="31"/>
  <c r="S302" i="31"/>
  <c r="S295" i="31"/>
  <c r="S283" i="31"/>
  <c r="S300" i="31"/>
  <c r="S288" i="31"/>
  <c r="S276" i="31"/>
  <c r="S305" i="31"/>
  <c r="S298" i="31"/>
  <c r="S292" i="31"/>
  <c r="S277" i="31"/>
  <c r="S269" i="31"/>
  <c r="S297" i="31"/>
  <c r="S301" i="31"/>
  <c r="S264" i="31"/>
  <c r="S252" i="31"/>
  <c r="S240" i="31"/>
  <c r="S299" i="31"/>
  <c r="S286" i="31"/>
  <c r="S281" i="31"/>
  <c r="S280" i="31"/>
  <c r="S278" i="31"/>
  <c r="S268" i="31"/>
  <c r="S257" i="31"/>
  <c r="S249" i="31"/>
  <c r="S238" i="31"/>
  <c r="S222" i="31"/>
  <c r="S210" i="31"/>
  <c r="S198" i="31"/>
  <c r="S186" i="31"/>
  <c r="S291" i="31"/>
  <c r="S273" i="31"/>
  <c r="S265" i="31"/>
  <c r="S258" i="31"/>
  <c r="S246" i="31"/>
  <c r="S214" i="31"/>
  <c r="S203" i="31"/>
  <c r="S195" i="31"/>
  <c r="S184" i="31"/>
  <c r="S182" i="31"/>
  <c r="S170" i="31"/>
  <c r="S158" i="31"/>
  <c r="S303" i="31"/>
  <c r="S267" i="31"/>
  <c r="S262" i="31"/>
  <c r="S261" i="31"/>
  <c r="S260" i="31"/>
  <c r="S259" i="31"/>
  <c r="S224" i="31"/>
  <c r="S218" i="31"/>
  <c r="S183" i="31"/>
  <c r="S164" i="31"/>
  <c r="S139" i="31"/>
  <c r="S127" i="31"/>
  <c r="S115" i="31"/>
  <c r="S103" i="31"/>
  <c r="S91" i="31"/>
  <c r="S79" i="31"/>
  <c r="S67" i="31"/>
  <c r="S55" i="31"/>
  <c r="S43" i="31"/>
  <c r="S31" i="31"/>
  <c r="S19" i="31"/>
  <c r="S289" i="31"/>
  <c r="S270" i="31"/>
  <c r="S160" i="31"/>
  <c r="S154" i="31"/>
  <c r="S145" i="31"/>
  <c r="S126" i="31"/>
  <c r="S107" i="31"/>
  <c r="S96" i="31"/>
  <c r="S88" i="31"/>
  <c r="S77" i="31"/>
  <c r="S69" i="31"/>
  <c r="S58" i="31"/>
  <c r="S50" i="31"/>
  <c r="S39" i="31"/>
  <c r="S20" i="31"/>
  <c r="S285" i="31"/>
  <c r="S189" i="31"/>
  <c r="S188" i="31"/>
  <c r="S177" i="31"/>
  <c r="S123" i="31"/>
  <c r="S85" i="31"/>
  <c r="S194" i="31"/>
  <c r="S192" i="31"/>
  <c r="S191" i="31"/>
  <c r="S187" i="31"/>
  <c r="S185" i="31"/>
  <c r="S171" i="31"/>
  <c r="S148" i="31"/>
  <c r="S142" i="31"/>
  <c r="S134" i="31"/>
  <c r="S104" i="31"/>
  <c r="S306" i="31"/>
  <c r="S284" i="31"/>
  <c r="S271" i="31"/>
  <c r="S247" i="31"/>
  <c r="S245" i="31"/>
  <c r="S243" i="31"/>
  <c r="S230" i="31"/>
  <c r="S241" i="31"/>
  <c r="S204" i="31"/>
  <c r="S201" i="31"/>
  <c r="S250" i="31"/>
  <c r="S221" i="31"/>
  <c r="S205" i="31"/>
  <c r="S166" i="31"/>
  <c r="S161" i="31"/>
  <c r="S133" i="31"/>
  <c r="S132" i="31"/>
  <c r="S129" i="31"/>
  <c r="S95" i="31"/>
  <c r="S94" i="31"/>
  <c r="S63" i="31"/>
  <c r="S40" i="31"/>
  <c r="S34" i="31"/>
  <c r="S28" i="31"/>
  <c r="S22" i="31"/>
  <c r="S290" i="31"/>
  <c r="S226" i="31"/>
  <c r="S197" i="31"/>
  <c r="S181" i="31"/>
  <c r="S156" i="31"/>
  <c r="S151" i="31"/>
  <c r="S136" i="31"/>
  <c r="S135" i="31"/>
  <c r="S253" i="31"/>
  <c r="S228" i="31"/>
  <c r="S244" i="31"/>
  <c r="S202" i="31"/>
  <c r="S147" i="31"/>
  <c r="S282" i="31"/>
  <c r="S296" i="31"/>
  <c r="S255" i="31"/>
  <c r="S236" i="31"/>
  <c r="S196" i="31"/>
  <c r="S174" i="31"/>
  <c r="S153" i="31"/>
  <c r="S294" i="31"/>
  <c r="S256" i="31"/>
  <c r="S237" i="31"/>
  <c r="S223" i="31"/>
  <c r="S213" i="31"/>
  <c r="S130" i="31"/>
  <c r="S279" i="31"/>
  <c r="S274" i="31"/>
  <c r="S251" i="31"/>
  <c r="S232" i="31"/>
  <c r="S225" i="31"/>
  <c r="S212" i="31"/>
  <c r="S211" i="31"/>
  <c r="S193" i="31"/>
  <c r="S179" i="31"/>
  <c r="S163" i="31"/>
  <c r="S110" i="31"/>
  <c r="S105" i="31"/>
  <c r="S100" i="31"/>
  <c r="S74" i="31"/>
  <c r="S304" i="31"/>
  <c r="S263" i="31"/>
  <c r="S234" i="31"/>
  <c r="S167" i="31"/>
  <c r="S165" i="31"/>
  <c r="S98" i="31"/>
  <c r="S293" i="31"/>
  <c r="S266" i="31"/>
  <c r="S254" i="31"/>
  <c r="S242" i="31"/>
  <c r="S229" i="31"/>
  <c r="S206" i="31"/>
  <c r="S235" i="31"/>
  <c r="S233" i="31"/>
  <c r="S180" i="31"/>
  <c r="S178" i="31"/>
  <c r="S176" i="31"/>
  <c r="S275" i="31"/>
  <c r="S169" i="31"/>
  <c r="S146" i="31"/>
  <c r="S144" i="31"/>
  <c r="S108" i="31"/>
  <c r="S106" i="31"/>
  <c r="S92" i="31"/>
  <c r="S89" i="31"/>
  <c r="S86" i="31"/>
  <c r="S83" i="31"/>
  <c r="S272" i="31"/>
  <c r="S219" i="31"/>
  <c r="S128" i="31"/>
  <c r="S71" i="31"/>
  <c r="S60" i="31"/>
  <c r="S54" i="31"/>
  <c r="S200" i="31"/>
  <c r="S173" i="31"/>
  <c r="S157" i="31"/>
  <c r="S287" i="31"/>
  <c r="S216" i="31"/>
  <c r="S168" i="31"/>
  <c r="S141" i="31"/>
  <c r="S120" i="31"/>
  <c r="S99" i="31"/>
  <c r="S75" i="31"/>
  <c r="S73" i="31"/>
  <c r="S70" i="31"/>
  <c r="S61" i="31"/>
  <c r="S49" i="31"/>
  <c r="S52" i="31"/>
  <c r="S46" i="31"/>
  <c r="S17" i="31"/>
  <c r="S11" i="31"/>
  <c r="S231" i="31"/>
  <c r="S112" i="31"/>
  <c r="S111" i="31"/>
  <c r="S93" i="31"/>
  <c r="S209" i="31"/>
  <c r="S119" i="31"/>
  <c r="S64" i="31"/>
  <c r="S248" i="31"/>
  <c r="S220" i="31"/>
  <c r="S172" i="31"/>
  <c r="S162" i="31"/>
  <c r="S155" i="31"/>
  <c r="S143" i="31"/>
  <c r="S97" i="31"/>
  <c r="S90" i="31"/>
  <c r="S80" i="31"/>
  <c r="S68" i="31"/>
  <c r="S29" i="31"/>
  <c r="S23" i="31"/>
  <c r="S12" i="31"/>
  <c r="S239" i="31"/>
  <c r="S76" i="31"/>
  <c r="S62" i="31"/>
  <c r="S44" i="31"/>
  <c r="S24" i="31"/>
  <c r="S9" i="31"/>
  <c r="S152" i="31"/>
  <c r="S137" i="31"/>
  <c r="S122" i="31"/>
  <c r="S118" i="31"/>
  <c r="S53" i="31"/>
  <c r="S45" i="31"/>
  <c r="S217" i="31"/>
  <c r="S190" i="31"/>
  <c r="S102" i="31"/>
  <c r="S38" i="31"/>
  <c r="S14" i="31"/>
  <c r="S81" i="31"/>
  <c r="S59" i="31"/>
  <c r="S41" i="31"/>
  <c r="S36" i="31"/>
  <c r="S32" i="31"/>
  <c r="S27" i="31"/>
  <c r="S16" i="31"/>
  <c r="S13" i="31"/>
  <c r="S116" i="31"/>
  <c r="S84" i="31"/>
  <c r="S66" i="31"/>
  <c r="S215" i="31"/>
  <c r="S208" i="31"/>
  <c r="S149" i="31"/>
  <c r="S124" i="31"/>
  <c r="S57" i="31"/>
  <c r="S18" i="31"/>
  <c r="S10" i="31"/>
  <c r="S159" i="31"/>
  <c r="S125" i="31"/>
  <c r="S87" i="31"/>
  <c r="S207" i="31"/>
  <c r="S150" i="31"/>
  <c r="S114" i="31"/>
  <c r="S78" i="31"/>
  <c r="S33" i="31"/>
  <c r="S175" i="31"/>
  <c r="S82" i="31"/>
  <c r="S51" i="31"/>
  <c r="S37" i="31"/>
  <c r="S140" i="31"/>
  <c r="S131" i="31"/>
  <c r="S56" i="31"/>
  <c r="S35" i="31"/>
  <c r="S227" i="31"/>
  <c r="S199" i="31"/>
  <c r="S42" i="31"/>
  <c r="S138" i="31"/>
  <c r="S117" i="31"/>
  <c r="S65" i="31"/>
  <c r="S121" i="31"/>
  <c r="S21" i="31"/>
  <c r="S15" i="31"/>
  <c r="S47" i="31"/>
  <c r="S101" i="31"/>
  <c r="S30" i="31"/>
  <c r="S72" i="31"/>
  <c r="S25" i="31"/>
  <c r="S113" i="31"/>
  <c r="S48" i="31"/>
  <c r="S109" i="31"/>
  <c r="S26" i="31"/>
  <c r="AE302" i="31"/>
  <c r="AE295" i="31"/>
  <c r="AE283" i="31"/>
  <c r="AE300" i="31"/>
  <c r="AE288" i="31"/>
  <c r="AE276" i="31"/>
  <c r="AE286" i="31"/>
  <c r="AE280" i="31"/>
  <c r="AE269" i="31"/>
  <c r="AE305" i="31"/>
  <c r="AE291" i="31"/>
  <c r="AE296" i="31"/>
  <c r="AE277" i="31"/>
  <c r="AE264" i="31"/>
  <c r="AE252" i="31"/>
  <c r="AE240" i="31"/>
  <c r="AE306" i="31"/>
  <c r="AE260" i="31"/>
  <c r="AE241" i="31"/>
  <c r="AE222" i="31"/>
  <c r="AE210" i="31"/>
  <c r="AE198" i="31"/>
  <c r="AE186" i="31"/>
  <c r="AE274" i="31"/>
  <c r="AE268" i="31"/>
  <c r="AE303" i="31"/>
  <c r="AE301" i="31"/>
  <c r="AE293" i="31"/>
  <c r="AE290" i="31"/>
  <c r="AE259" i="31"/>
  <c r="AE253" i="31"/>
  <c r="AE225" i="31"/>
  <c r="AE217" i="31"/>
  <c r="AE206" i="31"/>
  <c r="AE187" i="31"/>
  <c r="AE182" i="31"/>
  <c r="AE170" i="31"/>
  <c r="AE158" i="31"/>
  <c r="AE294" i="31"/>
  <c r="AE284" i="31"/>
  <c r="AE279" i="31"/>
  <c r="AE246" i="31"/>
  <c r="AE245" i="31"/>
  <c r="AE243" i="31"/>
  <c r="AE239" i="31"/>
  <c r="AE236" i="31"/>
  <c r="AE231" i="31"/>
  <c r="AE219" i="31"/>
  <c r="AE213" i="31"/>
  <c r="AE190" i="31"/>
  <c r="AE175" i="31"/>
  <c r="AE167" i="31"/>
  <c r="AE156" i="31"/>
  <c r="AE148" i="31"/>
  <c r="AE139" i="31"/>
  <c r="AE127" i="31"/>
  <c r="AE115" i="31"/>
  <c r="AE103" i="31"/>
  <c r="AE91" i="31"/>
  <c r="AE79" i="31"/>
  <c r="AE67" i="31"/>
  <c r="AE55" i="31"/>
  <c r="AE43" i="31"/>
  <c r="AE31" i="31"/>
  <c r="AE19" i="31"/>
  <c r="AE292" i="31"/>
  <c r="AE267" i="31"/>
  <c r="AE261" i="31"/>
  <c r="AE250" i="31"/>
  <c r="AE155" i="31"/>
  <c r="AE149" i="31"/>
  <c r="AE137" i="31"/>
  <c r="AE129" i="31"/>
  <c r="AE118" i="31"/>
  <c r="AE110" i="31"/>
  <c r="AE99" i="31"/>
  <c r="AE80" i="31"/>
  <c r="AE61" i="31"/>
  <c r="AE42" i="31"/>
  <c r="AE23" i="31"/>
  <c r="AE12" i="31"/>
  <c r="AE256" i="31"/>
  <c r="AE233" i="31"/>
  <c r="AE178" i="31"/>
  <c r="AE172" i="31"/>
  <c r="AE166" i="31"/>
  <c r="AE126" i="31"/>
  <c r="AE77" i="31"/>
  <c r="AE107" i="31"/>
  <c r="AE96" i="31"/>
  <c r="AE88" i="31"/>
  <c r="AE304" i="31"/>
  <c r="AE257" i="31"/>
  <c r="AE223" i="31"/>
  <c r="AE220" i="31"/>
  <c r="AE194" i="31"/>
  <c r="AE191" i="31"/>
  <c r="AE188" i="31"/>
  <c r="AE185" i="31"/>
  <c r="AE297" i="31"/>
  <c r="AE273" i="31"/>
  <c r="AE238" i="31"/>
  <c r="AE234" i="31"/>
  <c r="AE229" i="31"/>
  <c r="AE203" i="31"/>
  <c r="AE200" i="31"/>
  <c r="AE197" i="31"/>
  <c r="AE285" i="31"/>
  <c r="AE209" i="31"/>
  <c r="AE201" i="31"/>
  <c r="AE196" i="31"/>
  <c r="AE125" i="31"/>
  <c r="AE122" i="31"/>
  <c r="AE121" i="31"/>
  <c r="AE87" i="31"/>
  <c r="AE83" i="31"/>
  <c r="AE70" i="31"/>
  <c r="AE58" i="31"/>
  <c r="AE35" i="31"/>
  <c r="AE29" i="31"/>
  <c r="AE17" i="31"/>
  <c r="AE251" i="31"/>
  <c r="AE248" i="31"/>
  <c r="AE227" i="31"/>
  <c r="AE183" i="31"/>
  <c r="AE180" i="31"/>
  <c r="AE165" i="31"/>
  <c r="AE160" i="31"/>
  <c r="AE128" i="31"/>
  <c r="AE124" i="31"/>
  <c r="AE287" i="31"/>
  <c r="AE275" i="31"/>
  <c r="AE247" i="31"/>
  <c r="AE282" i="31"/>
  <c r="AE271" i="31"/>
  <c r="AE265" i="31"/>
  <c r="AE230" i="31"/>
  <c r="AE193" i="31"/>
  <c r="AE262" i="31"/>
  <c r="AE157" i="31"/>
  <c r="AE140" i="31"/>
  <c r="AE272" i="31"/>
  <c r="AE207" i="31"/>
  <c r="AE181" i="31"/>
  <c r="AE143" i="31"/>
  <c r="AE132" i="31"/>
  <c r="AE258" i="31"/>
  <c r="AE205" i="31"/>
  <c r="AE162" i="31"/>
  <c r="AE154" i="31"/>
  <c r="AE135" i="31"/>
  <c r="AE119" i="31"/>
  <c r="AE109" i="31"/>
  <c r="AE104" i="31"/>
  <c r="AE71" i="31"/>
  <c r="AE270" i="31"/>
  <c r="AE211" i="31"/>
  <c r="AE192" i="31"/>
  <c r="AE177" i="31"/>
  <c r="AE153" i="31"/>
  <c r="AE151" i="31"/>
  <c r="AE138" i="31"/>
  <c r="AE134" i="31"/>
  <c r="AE123" i="31"/>
  <c r="AE299" i="31"/>
  <c r="AE212" i="31"/>
  <c r="AE298" i="31"/>
  <c r="AE289" i="31"/>
  <c r="AE218" i="31"/>
  <c r="AE204" i="31"/>
  <c r="AE199" i="31"/>
  <c r="AE159" i="31"/>
  <c r="AE101" i="31"/>
  <c r="AE94" i="31"/>
  <c r="AE228" i="31"/>
  <c r="AE215" i="31"/>
  <c r="AE179" i="31"/>
  <c r="AE173" i="31"/>
  <c r="AE105" i="31"/>
  <c r="AE41" i="31"/>
  <c r="AE266" i="31"/>
  <c r="AE232" i="31"/>
  <c r="AE164" i="31"/>
  <c r="AE163" i="31"/>
  <c r="AE131" i="31"/>
  <c r="AE169" i="31"/>
  <c r="AE144" i="31"/>
  <c r="AE92" i="31"/>
  <c r="AE72" i="31"/>
  <c r="AE69" i="31"/>
  <c r="AE66" i="31"/>
  <c r="AE63" i="31"/>
  <c r="AE60" i="31"/>
  <c r="AE37" i="31"/>
  <c r="AE9" i="31"/>
  <c r="AE57" i="31"/>
  <c r="AE54" i="31"/>
  <c r="AE51" i="31"/>
  <c r="AE48" i="31"/>
  <c r="AE32" i="31"/>
  <c r="AE26" i="31"/>
  <c r="AE263" i="31"/>
  <c r="AE254" i="31"/>
  <c r="AE102" i="31"/>
  <c r="AE45" i="31"/>
  <c r="AE278" i="31"/>
  <c r="AE202" i="31"/>
  <c r="AE195" i="31"/>
  <c r="AE117" i="31"/>
  <c r="AE116" i="31"/>
  <c r="AE95" i="31"/>
  <c r="AE89" i="31"/>
  <c r="AE15" i="31"/>
  <c r="AE38" i="31"/>
  <c r="AE27" i="31"/>
  <c r="AE21" i="31"/>
  <c r="AE152" i="31"/>
  <c r="AE108" i="31"/>
  <c r="AE76" i="31"/>
  <c r="AE39" i="31"/>
  <c r="AE33" i="31"/>
  <c r="AE22" i="31"/>
  <c r="AE16" i="31"/>
  <c r="AE214" i="31"/>
  <c r="AE98" i="31"/>
  <c r="AE93" i="31"/>
  <c r="AE81" i="31"/>
  <c r="AE68" i="31"/>
  <c r="AE249" i="31"/>
  <c r="AE221" i="31"/>
  <c r="AE142" i="31"/>
  <c r="AE133" i="31"/>
  <c r="AE59" i="31"/>
  <c r="AE50" i="31"/>
  <c r="AE49" i="31"/>
  <c r="AE36" i="31"/>
  <c r="AE13" i="31"/>
  <c r="AE10" i="31"/>
  <c r="AE40" i="31"/>
  <c r="AE85" i="31"/>
  <c r="AE73" i="31"/>
  <c r="AE56" i="31"/>
  <c r="AE47" i="31"/>
  <c r="AE46" i="31"/>
  <c r="AE34" i="31"/>
  <c r="AE74" i="31"/>
  <c r="AE25" i="31"/>
  <c r="AE75" i="31"/>
  <c r="AE176" i="31"/>
  <c r="AE141" i="31"/>
  <c r="AE113" i="31"/>
  <c r="AE24" i="31"/>
  <c r="AE11" i="31"/>
  <c r="AE174" i="31"/>
  <c r="AE146" i="31"/>
  <c r="AE97" i="31"/>
  <c r="AE78" i="31"/>
  <c r="AE62" i="31"/>
  <c r="AE112" i="31"/>
  <c r="AE111" i="31"/>
  <c r="AE82" i="31"/>
  <c r="AE18" i="31"/>
  <c r="AE281" i="31"/>
  <c r="AE147" i="31"/>
  <c r="AE100" i="31"/>
  <c r="AE86" i="31"/>
  <c r="AE65" i="31"/>
  <c r="AE64" i="31"/>
  <c r="AE189" i="31"/>
  <c r="AE30" i="31"/>
  <c r="AE28" i="31"/>
  <c r="AE168" i="31"/>
  <c r="AE106" i="31"/>
  <c r="AE255" i="31"/>
  <c r="AE184" i="31"/>
  <c r="AE52" i="31"/>
  <c r="AE130" i="31"/>
  <c r="AE44" i="31"/>
  <c r="AE150" i="31"/>
  <c r="AE14" i="31"/>
  <c r="AE171" i="31"/>
  <c r="AE53" i="31"/>
  <c r="AF300" i="31"/>
  <c r="AF288" i="31"/>
  <c r="AF305" i="31"/>
  <c r="AF293" i="31"/>
  <c r="AF281" i="31"/>
  <c r="AF301" i="31"/>
  <c r="AF299" i="31"/>
  <c r="AF277" i="31"/>
  <c r="AF304" i="31"/>
  <c r="AF303" i="31"/>
  <c r="AF257" i="31"/>
  <c r="AF245" i="31"/>
  <c r="AF233" i="31"/>
  <c r="AF274" i="31"/>
  <c r="AF268" i="31"/>
  <c r="AF249" i="31"/>
  <c r="AF238" i="31"/>
  <c r="AF227" i="31"/>
  <c r="AF215" i="31"/>
  <c r="AF203" i="31"/>
  <c r="AF191" i="31"/>
  <c r="AF306" i="31"/>
  <c r="AF290" i="31"/>
  <c r="AF285" i="31"/>
  <c r="AF279" i="31"/>
  <c r="AF276" i="31"/>
  <c r="AF275" i="31"/>
  <c r="AF265" i="31"/>
  <c r="AF297" i="31"/>
  <c r="AF284" i="31"/>
  <c r="AF280" i="31"/>
  <c r="AF269" i="31"/>
  <c r="AF247" i="31"/>
  <c r="AF241" i="31"/>
  <c r="AF235" i="31"/>
  <c r="AF214" i="31"/>
  <c r="AF195" i="31"/>
  <c r="AF184" i="31"/>
  <c r="AF175" i="31"/>
  <c r="AF163" i="31"/>
  <c r="AF151" i="31"/>
  <c r="AF251" i="31"/>
  <c r="AF250" i="31"/>
  <c r="AF248" i="31"/>
  <c r="AF244" i="31"/>
  <c r="AF242" i="31"/>
  <c r="AF230" i="31"/>
  <c r="AF207" i="31"/>
  <c r="AF201" i="31"/>
  <c r="AF189" i="31"/>
  <c r="AF164" i="31"/>
  <c r="AF144" i="31"/>
  <c r="AF120" i="31"/>
  <c r="AF108" i="31"/>
  <c r="AF96" i="31"/>
  <c r="AF84" i="31"/>
  <c r="AF72" i="31"/>
  <c r="AF60" i="31"/>
  <c r="AF48" i="31"/>
  <c r="AF36" i="31"/>
  <c r="AF24" i="31"/>
  <c r="AF12" i="31"/>
  <c r="AF295" i="31"/>
  <c r="AF264" i="31"/>
  <c r="AF256" i="31"/>
  <c r="AF178" i="31"/>
  <c r="AF172" i="31"/>
  <c r="AF166" i="31"/>
  <c r="AF145" i="31"/>
  <c r="AF126" i="31"/>
  <c r="AF107" i="31"/>
  <c r="AF88" i="31"/>
  <c r="AF77" i="31"/>
  <c r="AF69" i="31"/>
  <c r="AF58" i="31"/>
  <c r="AF50" i="31"/>
  <c r="AF39" i="31"/>
  <c r="AF31" i="31"/>
  <c r="AF20" i="31"/>
  <c r="AF291" i="31"/>
  <c r="AF239" i="31"/>
  <c r="AF142" i="31"/>
  <c r="AF160" i="31"/>
  <c r="AF154" i="31"/>
  <c r="AF134" i="31"/>
  <c r="AF123" i="31"/>
  <c r="AF115" i="31"/>
  <c r="AF104" i="31"/>
  <c r="AF85" i="31"/>
  <c r="AF296" i="31"/>
  <c r="AF273" i="31"/>
  <c r="AF234" i="31"/>
  <c r="AF229" i="31"/>
  <c r="AF226" i="31"/>
  <c r="AF200" i="31"/>
  <c r="AF197" i="31"/>
  <c r="AF182" i="31"/>
  <c r="AF261" i="31"/>
  <c r="AF259" i="31"/>
  <c r="AF236" i="31"/>
  <c r="AF206" i="31"/>
  <c r="AF292" i="31"/>
  <c r="AF286" i="31"/>
  <c r="AF237" i="31"/>
  <c r="AF222" i="31"/>
  <c r="AF217" i="31"/>
  <c r="AF183" i="31"/>
  <c r="AF180" i="31"/>
  <c r="AF165" i="31"/>
  <c r="AF149" i="31"/>
  <c r="AF128" i="31"/>
  <c r="AF124" i="31"/>
  <c r="AF90" i="31"/>
  <c r="AF89" i="31"/>
  <c r="AF86" i="31"/>
  <c r="AF64" i="31"/>
  <c r="AF52" i="31"/>
  <c r="AF46" i="31"/>
  <c r="AF23" i="31"/>
  <c r="AF11" i="31"/>
  <c r="AF272" i="31"/>
  <c r="AF255" i="31"/>
  <c r="AF193" i="31"/>
  <c r="AF176" i="31"/>
  <c r="AF131" i="31"/>
  <c r="AF127" i="31"/>
  <c r="AF278" i="31"/>
  <c r="AF263" i="31"/>
  <c r="AF262" i="31"/>
  <c r="AF258" i="31"/>
  <c r="AF232" i="31"/>
  <c r="AF254" i="31"/>
  <c r="AF252" i="31"/>
  <c r="AF231" i="31"/>
  <c r="AF220" i="31"/>
  <c r="AF219" i="31"/>
  <c r="AF192" i="31"/>
  <c r="AF186" i="31"/>
  <c r="AF289" i="31"/>
  <c r="AF267" i="31"/>
  <c r="AF225" i="31"/>
  <c r="AF243" i="31"/>
  <c r="AF181" i="31"/>
  <c r="AF143" i="31"/>
  <c r="AF129" i="31"/>
  <c r="AF205" i="31"/>
  <c r="AF187" i="31"/>
  <c r="AF162" i="31"/>
  <c r="AF135" i="31"/>
  <c r="AF298" i="31"/>
  <c r="AF253" i="31"/>
  <c r="AF204" i="31"/>
  <c r="AF185" i="31"/>
  <c r="AF177" i="31"/>
  <c r="AF167" i="31"/>
  <c r="AF159" i="31"/>
  <c r="AF138" i="31"/>
  <c r="AF266" i="31"/>
  <c r="AF223" i="31"/>
  <c r="AF106" i="31"/>
  <c r="AF97" i="31"/>
  <c r="AF228" i="31"/>
  <c r="AF194" i="31"/>
  <c r="AF179" i="31"/>
  <c r="AF173" i="31"/>
  <c r="AF161" i="31"/>
  <c r="AF158" i="31"/>
  <c r="AF157" i="31"/>
  <c r="AF125" i="31"/>
  <c r="AF105" i="31"/>
  <c r="AF103" i="31"/>
  <c r="AF91" i="31"/>
  <c r="AF224" i="31"/>
  <c r="AF210" i="31"/>
  <c r="AF198" i="31"/>
  <c r="AF174" i="31"/>
  <c r="AF99" i="31"/>
  <c r="AF74" i="31"/>
  <c r="AF47" i="31"/>
  <c r="AF302" i="31"/>
  <c r="AF283" i="31"/>
  <c r="AF218" i="31"/>
  <c r="AF213" i="31"/>
  <c r="AF208" i="31"/>
  <c r="AF118" i="31"/>
  <c r="AF116" i="31"/>
  <c r="AF112" i="31"/>
  <c r="AF95" i="31"/>
  <c r="AF202" i="31"/>
  <c r="AF137" i="31"/>
  <c r="AF117" i="31"/>
  <c r="AF79" i="31"/>
  <c r="AF57" i="31"/>
  <c r="AF54" i="31"/>
  <c r="AF51" i="31"/>
  <c r="AF32" i="31"/>
  <c r="AF26" i="31"/>
  <c r="AF15" i="31"/>
  <c r="AF45" i="31"/>
  <c r="AF42" i="31"/>
  <c r="AF38" i="31"/>
  <c r="AF21" i="31"/>
  <c r="AF270" i="31"/>
  <c r="AF152" i="31"/>
  <c r="AF101" i="31"/>
  <c r="AF76" i="31"/>
  <c r="AF33" i="31"/>
  <c r="AF22" i="31"/>
  <c r="AF155" i="31"/>
  <c r="AF109" i="31"/>
  <c r="AF102" i="31"/>
  <c r="AF27" i="31"/>
  <c r="AF10" i="31"/>
  <c r="AF260" i="31"/>
  <c r="AF199" i="31"/>
  <c r="AF139" i="31"/>
  <c r="AF122" i="31"/>
  <c r="AF81" i="31"/>
  <c r="AF70" i="31"/>
  <c r="AF28" i="31"/>
  <c r="AF221" i="31"/>
  <c r="AF156" i="31"/>
  <c r="AF133" i="31"/>
  <c r="AF67" i="31"/>
  <c r="AF59" i="31"/>
  <c r="AF49" i="31"/>
  <c r="AF13" i="31"/>
  <c r="AF190" i="31"/>
  <c r="AF119" i="31"/>
  <c r="AF94" i="31"/>
  <c r="AF83" i="31"/>
  <c r="AF41" i="31"/>
  <c r="AF40" i="31"/>
  <c r="AF140" i="31"/>
  <c r="AF111" i="31"/>
  <c r="AF82" i="31"/>
  <c r="AF18" i="31"/>
  <c r="AF25" i="31"/>
  <c r="AF17" i="31"/>
  <c r="AF75" i="31"/>
  <c r="AF29" i="31"/>
  <c r="AF9" i="31"/>
  <c r="AF209" i="31"/>
  <c r="AF87" i="31"/>
  <c r="AF71" i="31"/>
  <c r="AF294" i="31"/>
  <c r="AF246" i="31"/>
  <c r="AF114" i="31"/>
  <c r="AF78" i="31"/>
  <c r="AF62" i="31"/>
  <c r="AF61" i="31"/>
  <c r="AF53" i="31"/>
  <c r="AF44" i="31"/>
  <c r="AF240" i="31"/>
  <c r="AF147" i="31"/>
  <c r="AF66" i="31"/>
  <c r="AF65" i="31"/>
  <c r="AF35" i="31"/>
  <c r="AF216" i="31"/>
  <c r="AF196" i="31"/>
  <c r="AF73" i="31"/>
  <c r="AF56" i="31"/>
  <c r="AF55" i="31"/>
  <c r="AF34" i="31"/>
  <c r="AF30" i="31"/>
  <c r="AF168" i="31"/>
  <c r="AF153" i="31"/>
  <c r="AF121" i="31"/>
  <c r="AF141" i="31"/>
  <c r="AF146" i="31"/>
  <c r="AF63" i="31"/>
  <c r="AF14" i="31"/>
  <c r="AF19" i="31"/>
  <c r="AF16" i="31"/>
  <c r="AF169" i="31"/>
  <c r="AF92" i="31"/>
  <c r="AF150" i="31"/>
  <c r="AF271" i="31"/>
  <c r="AF37" i="31"/>
  <c r="AF43" i="31"/>
  <c r="AF211" i="31"/>
  <c r="AF148" i="31"/>
  <c r="AF110" i="31"/>
  <c r="AF93" i="31"/>
  <c r="AF68" i="31"/>
  <c r="AF98" i="31"/>
  <c r="AF80" i="31"/>
  <c r="I305" i="31"/>
  <c r="I293" i="31"/>
  <c r="I281" i="31"/>
  <c r="I298" i="31"/>
  <c r="I286" i="31"/>
  <c r="I296" i="31"/>
  <c r="I290" i="31"/>
  <c r="I279" i="31"/>
  <c r="I295" i="31"/>
  <c r="I284" i="31"/>
  <c r="I283" i="31"/>
  <c r="I269" i="31"/>
  <c r="I262" i="31"/>
  <c r="I250" i="31"/>
  <c r="I238" i="31"/>
  <c r="I292" i="31"/>
  <c r="I288" i="31"/>
  <c r="I251" i="31"/>
  <c r="I232" i="31"/>
  <c r="I220" i="31"/>
  <c r="I208" i="31"/>
  <c r="I196" i="31"/>
  <c r="I184" i="31"/>
  <c r="I306" i="31"/>
  <c r="I289" i="31"/>
  <c r="I271" i="31"/>
  <c r="I267" i="31"/>
  <c r="I303" i="31"/>
  <c r="I301" i="31"/>
  <c r="I256" i="31"/>
  <c r="I233" i="31"/>
  <c r="I227" i="31"/>
  <c r="I216" i="31"/>
  <c r="I197" i="31"/>
  <c r="I180" i="31"/>
  <c r="I168" i="31"/>
  <c r="I156" i="31"/>
  <c r="I300" i="31"/>
  <c r="I264" i="31"/>
  <c r="I228" i="31"/>
  <c r="I193" i="31"/>
  <c r="I187" i="31"/>
  <c r="I177" i="31"/>
  <c r="I166" i="31"/>
  <c r="I158" i="31"/>
  <c r="I137" i="31"/>
  <c r="I125" i="31"/>
  <c r="I113" i="31"/>
  <c r="I101" i="31"/>
  <c r="I89" i="31"/>
  <c r="I77" i="31"/>
  <c r="I65" i="31"/>
  <c r="I53" i="31"/>
  <c r="I41" i="31"/>
  <c r="I29" i="31"/>
  <c r="I17" i="31"/>
  <c r="I287" i="31"/>
  <c r="I237" i="31"/>
  <c r="I221" i="31"/>
  <c r="I218" i="31"/>
  <c r="I215" i="31"/>
  <c r="I214" i="31"/>
  <c r="I212" i="31"/>
  <c r="I211" i="31"/>
  <c r="I170" i="31"/>
  <c r="I164" i="31"/>
  <c r="I152" i="31"/>
  <c r="I147" i="31"/>
  <c r="I139" i="31"/>
  <c r="I128" i="31"/>
  <c r="I120" i="31"/>
  <c r="I109" i="31"/>
  <c r="I90" i="31"/>
  <c r="I71" i="31"/>
  <c r="I52" i="31"/>
  <c r="I33" i="31"/>
  <c r="I22" i="31"/>
  <c r="I14" i="31"/>
  <c r="I277" i="31"/>
  <c r="I260" i="31"/>
  <c r="I254" i="31"/>
  <c r="I243" i="31"/>
  <c r="I225" i="31"/>
  <c r="I224" i="31"/>
  <c r="I223" i="31"/>
  <c r="I222" i="31"/>
  <c r="I219" i="31"/>
  <c r="I217" i="31"/>
  <c r="I136" i="31"/>
  <c r="I87" i="31"/>
  <c r="I226" i="31"/>
  <c r="I181" i="31"/>
  <c r="I117" i="31"/>
  <c r="I106" i="31"/>
  <c r="I98" i="31"/>
  <c r="I79" i="31"/>
  <c r="I299" i="31"/>
  <c r="I273" i="31"/>
  <c r="I246" i="31"/>
  <c r="I202" i="31"/>
  <c r="I199" i="31"/>
  <c r="I291" i="31"/>
  <c r="I278" i="31"/>
  <c r="I261" i="31"/>
  <c r="I242" i="31"/>
  <c r="I240" i="31"/>
  <c r="I205" i="31"/>
  <c r="I304" i="31"/>
  <c r="I276" i="31"/>
  <c r="I275" i="31"/>
  <c r="I272" i="31"/>
  <c r="I259" i="31"/>
  <c r="I252" i="31"/>
  <c r="I248" i="31"/>
  <c r="I244" i="31"/>
  <c r="I209" i="31"/>
  <c r="I188" i="31"/>
  <c r="I182" i="31"/>
  <c r="I179" i="31"/>
  <c r="I174" i="31"/>
  <c r="I146" i="31"/>
  <c r="I145" i="31"/>
  <c r="I111" i="31"/>
  <c r="I108" i="31"/>
  <c r="I107" i="31"/>
  <c r="I50" i="31"/>
  <c r="I44" i="31"/>
  <c r="I38" i="31"/>
  <c r="I32" i="31"/>
  <c r="I9" i="31"/>
  <c r="I297" i="31"/>
  <c r="I294" i="31"/>
  <c r="I270" i="31"/>
  <c r="I263" i="31"/>
  <c r="I236" i="31"/>
  <c r="I201" i="31"/>
  <c r="I169" i="31"/>
  <c r="I282" i="31"/>
  <c r="I247" i="31"/>
  <c r="I229" i="31"/>
  <c r="I192" i="31"/>
  <c r="I185" i="31"/>
  <c r="I150" i="31"/>
  <c r="I148" i="31"/>
  <c r="I274" i="31"/>
  <c r="I204" i="31"/>
  <c r="I203" i="31"/>
  <c r="I186" i="31"/>
  <c r="I178" i="31"/>
  <c r="I175" i="31"/>
  <c r="I131" i="31"/>
  <c r="I302" i="31"/>
  <c r="I245" i="31"/>
  <c r="I235" i="31"/>
  <c r="I162" i="31"/>
  <c r="I154" i="31"/>
  <c r="I134" i="31"/>
  <c r="I255" i="31"/>
  <c r="I230" i="31"/>
  <c r="I167" i="31"/>
  <c r="I159" i="31"/>
  <c r="I140" i="31"/>
  <c r="I126" i="31"/>
  <c r="I123" i="31"/>
  <c r="I118" i="31"/>
  <c r="I102" i="31"/>
  <c r="I97" i="31"/>
  <c r="I92" i="31"/>
  <c r="I265" i="31"/>
  <c r="I253" i="31"/>
  <c r="I231" i="31"/>
  <c r="I213" i="31"/>
  <c r="I194" i="31"/>
  <c r="I176" i="31"/>
  <c r="I129" i="31"/>
  <c r="I105" i="31"/>
  <c r="I234" i="31"/>
  <c r="I200" i="31"/>
  <c r="I195" i="31"/>
  <c r="I190" i="31"/>
  <c r="I266" i="31"/>
  <c r="I258" i="31"/>
  <c r="I189" i="31"/>
  <c r="I96" i="31"/>
  <c r="I76" i="31"/>
  <c r="I165" i="31"/>
  <c r="I103" i="31"/>
  <c r="I82" i="31"/>
  <c r="I68" i="31"/>
  <c r="I62" i="31"/>
  <c r="I51" i="31"/>
  <c r="I45" i="31"/>
  <c r="I20" i="31"/>
  <c r="I19" i="31"/>
  <c r="I18" i="31"/>
  <c r="I16" i="31"/>
  <c r="I15" i="31"/>
  <c r="I12" i="31"/>
  <c r="I171" i="31"/>
  <c r="I151" i="31"/>
  <c r="I149" i="31"/>
  <c r="I124" i="31"/>
  <c r="I122" i="31"/>
  <c r="I99" i="31"/>
  <c r="I198" i="31"/>
  <c r="I133" i="31"/>
  <c r="I95" i="31"/>
  <c r="I74" i="31"/>
  <c r="I13" i="31"/>
  <c r="I36" i="31"/>
  <c r="I25" i="31"/>
  <c r="I249" i="31"/>
  <c r="I207" i="31"/>
  <c r="I157" i="31"/>
  <c r="I115" i="31"/>
  <c r="I100" i="31"/>
  <c r="I72" i="31"/>
  <c r="I69" i="31"/>
  <c r="I66" i="31"/>
  <c r="I63" i="31"/>
  <c r="I60" i="31"/>
  <c r="I54" i="31"/>
  <c r="I37" i="31"/>
  <c r="I31" i="31"/>
  <c r="I160" i="31"/>
  <c r="I127" i="31"/>
  <c r="I114" i="31"/>
  <c r="I84" i="31"/>
  <c r="I57" i="31"/>
  <c r="I191" i="31"/>
  <c r="I161" i="31"/>
  <c r="I141" i="31"/>
  <c r="I135" i="31"/>
  <c r="I121" i="31"/>
  <c r="I94" i="31"/>
  <c r="I81" i="31"/>
  <c r="I48" i="31"/>
  <c r="I42" i="31"/>
  <c r="I26" i="31"/>
  <c r="I104" i="31"/>
  <c r="I86" i="31"/>
  <c r="I85" i="31"/>
  <c r="I40" i="31"/>
  <c r="I21" i="31"/>
  <c r="I10" i="31"/>
  <c r="I130" i="31"/>
  <c r="I88" i="31"/>
  <c r="I75" i="31"/>
  <c r="I73" i="31"/>
  <c r="I64" i="31"/>
  <c r="I46" i="31"/>
  <c r="I35" i="31"/>
  <c r="I91" i="31"/>
  <c r="I70" i="31"/>
  <c r="I142" i="31"/>
  <c r="I119" i="31"/>
  <c r="I61" i="31"/>
  <c r="I268" i="31"/>
  <c r="I206" i="31"/>
  <c r="I80" i="31"/>
  <c r="I43" i="31"/>
  <c r="I241" i="31"/>
  <c r="I28" i="31"/>
  <c r="I172" i="31"/>
  <c r="I138" i="31"/>
  <c r="I93" i="31"/>
  <c r="I83" i="31"/>
  <c r="I163" i="31"/>
  <c r="I132" i="31"/>
  <c r="I56" i="31"/>
  <c r="I55" i="31"/>
  <c r="I47" i="31"/>
  <c r="I39" i="31"/>
  <c r="I30" i="31"/>
  <c r="I144" i="31"/>
  <c r="I78" i="31"/>
  <c r="I34" i="31"/>
  <c r="I257" i="31"/>
  <c r="I210" i="31"/>
  <c r="I110" i="31"/>
  <c r="I183" i="31"/>
  <c r="I24" i="31"/>
  <c r="I280" i="31"/>
  <c r="I173" i="31"/>
  <c r="I116" i="31"/>
  <c r="I155" i="31"/>
  <c r="I143" i="31"/>
  <c r="I67" i="31"/>
  <c r="I153" i="31"/>
  <c r="I112" i="31"/>
  <c r="I27" i="31"/>
  <c r="I59" i="31"/>
  <c r="I23" i="31"/>
  <c r="I11" i="31"/>
  <c r="I239" i="31"/>
  <c r="I285" i="31"/>
  <c r="I49" i="31"/>
  <c r="I58" i="31"/>
  <c r="U300" i="31"/>
  <c r="U305" i="31"/>
  <c r="U293" i="31"/>
  <c r="U281" i="31"/>
  <c r="U298" i="31"/>
  <c r="U286" i="31"/>
  <c r="U274" i="31"/>
  <c r="U306" i="31"/>
  <c r="U284" i="31"/>
  <c r="U262" i="31"/>
  <c r="U250" i="31"/>
  <c r="U238" i="31"/>
  <c r="U294" i="31"/>
  <c r="U291" i="31"/>
  <c r="U254" i="31"/>
  <c r="U243" i="31"/>
  <c r="U235" i="31"/>
  <c r="U220" i="31"/>
  <c r="U208" i="31"/>
  <c r="U196" i="31"/>
  <c r="U184" i="31"/>
  <c r="U287" i="31"/>
  <c r="U282" i="31"/>
  <c r="U272" i="31"/>
  <c r="U283" i="31"/>
  <c r="U278" i="31"/>
  <c r="U251" i="31"/>
  <c r="U219" i="31"/>
  <c r="U200" i="31"/>
  <c r="U189" i="31"/>
  <c r="U180" i="31"/>
  <c r="U168" i="31"/>
  <c r="U156" i="31"/>
  <c r="U229" i="31"/>
  <c r="U223" i="31"/>
  <c r="U188" i="31"/>
  <c r="U169" i="31"/>
  <c r="U150" i="31"/>
  <c r="U137" i="31"/>
  <c r="U125" i="31"/>
  <c r="U113" i="31"/>
  <c r="U101" i="31"/>
  <c r="U89" i="31"/>
  <c r="U77" i="31"/>
  <c r="U65" i="31"/>
  <c r="U53" i="31"/>
  <c r="U41" i="31"/>
  <c r="U29" i="31"/>
  <c r="U17" i="31"/>
  <c r="U285" i="31"/>
  <c r="U276" i="31"/>
  <c r="U246" i="31"/>
  <c r="U199" i="31"/>
  <c r="U197" i="31"/>
  <c r="U194" i="31"/>
  <c r="U193" i="31"/>
  <c r="U192" i="31"/>
  <c r="U191" i="31"/>
  <c r="U190" i="31"/>
  <c r="U165" i="31"/>
  <c r="U159" i="31"/>
  <c r="U131" i="31"/>
  <c r="U112" i="31"/>
  <c r="U93" i="31"/>
  <c r="U82" i="31"/>
  <c r="U74" i="31"/>
  <c r="U63" i="31"/>
  <c r="U55" i="31"/>
  <c r="U44" i="31"/>
  <c r="U36" i="31"/>
  <c r="U25" i="31"/>
  <c r="U299" i="31"/>
  <c r="U258" i="31"/>
  <c r="U252" i="31"/>
  <c r="U241" i="31"/>
  <c r="U205" i="31"/>
  <c r="U204" i="31"/>
  <c r="U202" i="31"/>
  <c r="U201" i="31"/>
  <c r="U198" i="31"/>
  <c r="U182" i="31"/>
  <c r="U176" i="31"/>
  <c r="U153" i="31"/>
  <c r="U147" i="31"/>
  <c r="U120" i="31"/>
  <c r="U195" i="31"/>
  <c r="U139" i="31"/>
  <c r="U128" i="31"/>
  <c r="U109" i="31"/>
  <c r="U90" i="31"/>
  <c r="U295" i="31"/>
  <c r="U239" i="31"/>
  <c r="U237" i="31"/>
  <c r="U216" i="31"/>
  <c r="U213" i="31"/>
  <c r="U210" i="31"/>
  <c r="U207" i="31"/>
  <c r="U304" i="31"/>
  <c r="U275" i="31"/>
  <c r="U265" i="31"/>
  <c r="U260" i="31"/>
  <c r="U268" i="31"/>
  <c r="U261" i="31"/>
  <c r="U242" i="31"/>
  <c r="U231" i="31"/>
  <c r="U218" i="31"/>
  <c r="U177" i="31"/>
  <c r="U151" i="31"/>
  <c r="U138" i="31"/>
  <c r="U134" i="31"/>
  <c r="U100" i="31"/>
  <c r="U99" i="31"/>
  <c r="U96" i="31"/>
  <c r="U68" i="31"/>
  <c r="U45" i="31"/>
  <c r="U39" i="31"/>
  <c r="U33" i="31"/>
  <c r="U27" i="31"/>
  <c r="U253" i="31"/>
  <c r="U228" i="31"/>
  <c r="U172" i="31"/>
  <c r="U167" i="31"/>
  <c r="U162" i="31"/>
  <c r="U157" i="31"/>
  <c r="U152" i="31"/>
  <c r="U141" i="31"/>
  <c r="U140" i="31"/>
  <c r="U301" i="31"/>
  <c r="U296" i="31"/>
  <c r="U256" i="31"/>
  <c r="U249" i="31"/>
  <c r="U234" i="31"/>
  <c r="U297" i="31"/>
  <c r="U290" i="31"/>
  <c r="U264" i="31"/>
  <c r="U215" i="31"/>
  <c r="U288" i="31"/>
  <c r="U279" i="31"/>
  <c r="U271" i="31"/>
  <c r="U233" i="31"/>
  <c r="U232" i="31"/>
  <c r="U225" i="31"/>
  <c r="U222" i="31"/>
  <c r="U221" i="31"/>
  <c r="U183" i="31"/>
  <c r="U179" i="31"/>
  <c r="U166" i="31"/>
  <c r="U161" i="31"/>
  <c r="U133" i="31"/>
  <c r="U212" i="31"/>
  <c r="U211" i="31"/>
  <c r="U163" i="31"/>
  <c r="U136" i="31"/>
  <c r="U224" i="31"/>
  <c r="U171" i="31"/>
  <c r="U142" i="31"/>
  <c r="U226" i="31"/>
  <c r="U132" i="31"/>
  <c r="U124" i="31"/>
  <c r="U107" i="31"/>
  <c r="U104" i="31"/>
  <c r="U303" i="31"/>
  <c r="U270" i="31"/>
  <c r="U247" i="31"/>
  <c r="U187" i="31"/>
  <c r="U230" i="31"/>
  <c r="U217" i="31"/>
  <c r="U181" i="31"/>
  <c r="U173" i="31"/>
  <c r="U267" i="31"/>
  <c r="U244" i="31"/>
  <c r="U143" i="31"/>
  <c r="U129" i="31"/>
  <c r="U102" i="31"/>
  <c r="U75" i="31"/>
  <c r="U255" i="31"/>
  <c r="U248" i="31"/>
  <c r="U155" i="31"/>
  <c r="U154" i="31"/>
  <c r="U87" i="31"/>
  <c r="U81" i="31"/>
  <c r="U78" i="31"/>
  <c r="U66" i="31"/>
  <c r="U280" i="31"/>
  <c r="U158" i="31"/>
  <c r="U127" i="31"/>
  <c r="U121" i="31"/>
  <c r="U209" i="31"/>
  <c r="U135" i="31"/>
  <c r="U119" i="31"/>
  <c r="U105" i="31"/>
  <c r="U98" i="31"/>
  <c r="U83" i="31"/>
  <c r="U43" i="31"/>
  <c r="U34" i="31"/>
  <c r="U28" i="31"/>
  <c r="U40" i="31"/>
  <c r="U23" i="31"/>
  <c r="U302" i="31"/>
  <c r="U97" i="31"/>
  <c r="U85" i="31"/>
  <c r="U62" i="31"/>
  <c r="U56" i="31"/>
  <c r="U35" i="31"/>
  <c r="U240" i="31"/>
  <c r="U111" i="31"/>
  <c r="U88" i="31"/>
  <c r="U80" i="31"/>
  <c r="U71" i="31"/>
  <c r="U257" i="31"/>
  <c r="U186" i="31"/>
  <c r="U175" i="31"/>
  <c r="U118" i="31"/>
  <c r="U117" i="31"/>
  <c r="U103" i="31"/>
  <c r="U59" i="31"/>
  <c r="U50" i="31"/>
  <c r="U30" i="31"/>
  <c r="U24" i="31"/>
  <c r="U13" i="31"/>
  <c r="U266" i="31"/>
  <c r="U245" i="31"/>
  <c r="U236" i="31"/>
  <c r="U259" i="31"/>
  <c r="U130" i="31"/>
  <c r="U38" i="31"/>
  <c r="U14" i="31"/>
  <c r="U292" i="31"/>
  <c r="U178" i="31"/>
  <c r="U148" i="31"/>
  <c r="U144" i="31"/>
  <c r="U114" i="31"/>
  <c r="U110" i="31"/>
  <c r="U79" i="31"/>
  <c r="U269" i="31"/>
  <c r="U146" i="31"/>
  <c r="U123" i="31"/>
  <c r="U92" i="31"/>
  <c r="U70" i="31"/>
  <c r="U61" i="31"/>
  <c r="U37" i="31"/>
  <c r="U19" i="31"/>
  <c r="U16" i="31"/>
  <c r="U116" i="31"/>
  <c r="U94" i="31"/>
  <c r="U84" i="31"/>
  <c r="U67" i="31"/>
  <c r="U273" i="31"/>
  <c r="U170" i="31"/>
  <c r="U149" i="31"/>
  <c r="U58" i="31"/>
  <c r="U57" i="31"/>
  <c r="U49" i="31"/>
  <c r="U26" i="31"/>
  <c r="U18" i="31"/>
  <c r="U108" i="31"/>
  <c r="U95" i="31"/>
  <c r="U47" i="31"/>
  <c r="U185" i="31"/>
  <c r="U263" i="31"/>
  <c r="U214" i="31"/>
  <c r="U160" i="31"/>
  <c r="U126" i="31"/>
  <c r="U106" i="31"/>
  <c r="U91" i="31"/>
  <c r="U69" i="31"/>
  <c r="U60" i="31"/>
  <c r="U52" i="31"/>
  <c r="U51" i="31"/>
  <c r="U32" i="31"/>
  <c r="U11" i="31"/>
  <c r="U289" i="31"/>
  <c r="U206" i="31"/>
  <c r="U203" i="31"/>
  <c r="U115" i="31"/>
  <c r="U42" i="31"/>
  <c r="U227" i="31"/>
  <c r="U31" i="31"/>
  <c r="U10" i="31"/>
  <c r="U48" i="31"/>
  <c r="U21" i="31"/>
  <c r="U15" i="31"/>
  <c r="U164" i="31"/>
  <c r="U145" i="31"/>
  <c r="U22" i="31"/>
  <c r="U86" i="31"/>
  <c r="U73" i="31"/>
  <c r="U46" i="31"/>
  <c r="U72" i="31"/>
  <c r="U277" i="31"/>
  <c r="U76" i="31"/>
  <c r="U12" i="31"/>
  <c r="U9" i="31"/>
  <c r="U174" i="31"/>
  <c r="U64" i="31"/>
  <c r="U20" i="31"/>
  <c r="U54" i="31"/>
  <c r="U122" i="31"/>
  <c r="AG300" i="31"/>
  <c r="AG305" i="31"/>
  <c r="AG293" i="31"/>
  <c r="AG281" i="31"/>
  <c r="AG298" i="31"/>
  <c r="AG286" i="31"/>
  <c r="AG274" i="31"/>
  <c r="AG303" i="31"/>
  <c r="AG306" i="31"/>
  <c r="AG297" i="31"/>
  <c r="AG272" i="31"/>
  <c r="AG262" i="31"/>
  <c r="AG238" i="31"/>
  <c r="AG290" i="31"/>
  <c r="AG285" i="31"/>
  <c r="AG279" i="31"/>
  <c r="AG276" i="31"/>
  <c r="AG275" i="31"/>
  <c r="AG265" i="31"/>
  <c r="AG257" i="31"/>
  <c r="AG246" i="31"/>
  <c r="AG220" i="31"/>
  <c r="AG208" i="31"/>
  <c r="AG196" i="31"/>
  <c r="AG184" i="31"/>
  <c r="AG296" i="31"/>
  <c r="AG280" i="31"/>
  <c r="AG277" i="31"/>
  <c r="AG273" i="31"/>
  <c r="AG299" i="31"/>
  <c r="AG304" i="31"/>
  <c r="AG288" i="31"/>
  <c r="AG258" i="31"/>
  <c r="AG230" i="31"/>
  <c r="AG222" i="31"/>
  <c r="AG211" i="31"/>
  <c r="AG203" i="31"/>
  <c r="AG192" i="31"/>
  <c r="AG180" i="31"/>
  <c r="AG168" i="31"/>
  <c r="AG156" i="31"/>
  <c r="AG302" i="31"/>
  <c r="AG301" i="31"/>
  <c r="AG289" i="31"/>
  <c r="AG256" i="31"/>
  <c r="AG255" i="31"/>
  <c r="AG254" i="31"/>
  <c r="AG253" i="31"/>
  <c r="AG252" i="31"/>
  <c r="AG249" i="31"/>
  <c r="AG247" i="31"/>
  <c r="AG224" i="31"/>
  <c r="AG218" i="31"/>
  <c r="AG195" i="31"/>
  <c r="AG183" i="31"/>
  <c r="AG172" i="31"/>
  <c r="AG161" i="31"/>
  <c r="AG153" i="31"/>
  <c r="AG137" i="31"/>
  <c r="AG125" i="31"/>
  <c r="AG113" i="31"/>
  <c r="AG101" i="31"/>
  <c r="AG89" i="31"/>
  <c r="AG77" i="31"/>
  <c r="AG65" i="31"/>
  <c r="AG53" i="31"/>
  <c r="AG41" i="31"/>
  <c r="AG29" i="31"/>
  <c r="AG17" i="31"/>
  <c r="AG291" i="31"/>
  <c r="AG287" i="31"/>
  <c r="AG239" i="31"/>
  <c r="AG233" i="31"/>
  <c r="AG160" i="31"/>
  <c r="AG154" i="31"/>
  <c r="AG134" i="31"/>
  <c r="AG123" i="31"/>
  <c r="AG115" i="31"/>
  <c r="AG96" i="31"/>
  <c r="AG85" i="31"/>
  <c r="AG66" i="31"/>
  <c r="AG28" i="31"/>
  <c r="AG9" i="31"/>
  <c r="AG283" i="31"/>
  <c r="AG251" i="31"/>
  <c r="AG245" i="31"/>
  <c r="AG234" i="31"/>
  <c r="AG171" i="31"/>
  <c r="AG148" i="31"/>
  <c r="AG131" i="31"/>
  <c r="AG112" i="31"/>
  <c r="AG93" i="31"/>
  <c r="AG82" i="31"/>
  <c r="AG74" i="31"/>
  <c r="AG261" i="31"/>
  <c r="AG259" i="31"/>
  <c r="AG236" i="31"/>
  <c r="AG206" i="31"/>
  <c r="AG266" i="31"/>
  <c r="AG232" i="31"/>
  <c r="AG212" i="31"/>
  <c r="AG209" i="31"/>
  <c r="AG295" i="31"/>
  <c r="AG248" i="31"/>
  <c r="AG227" i="31"/>
  <c r="AG193" i="31"/>
  <c r="AG176" i="31"/>
  <c r="AG130" i="31"/>
  <c r="AG127" i="31"/>
  <c r="AG126" i="31"/>
  <c r="AG92" i="31"/>
  <c r="AG88" i="31"/>
  <c r="AG63" i="31"/>
  <c r="AG40" i="31"/>
  <c r="AG34" i="31"/>
  <c r="AG22" i="31"/>
  <c r="AG240" i="31"/>
  <c r="AG219" i="31"/>
  <c r="AG198" i="31"/>
  <c r="AG185" i="31"/>
  <c r="AG155" i="31"/>
  <c r="AG150" i="31"/>
  <c r="AG133" i="31"/>
  <c r="AG129" i="31"/>
  <c r="AG271" i="31"/>
  <c r="AG270" i="31"/>
  <c r="AG243" i="31"/>
  <c r="AG235" i="31"/>
  <c r="AG228" i="31"/>
  <c r="AG199" i="31"/>
  <c r="AG182" i="31"/>
  <c r="AG146" i="31"/>
  <c r="AG268" i="31"/>
  <c r="AG237" i="31"/>
  <c r="AG207" i="31"/>
  <c r="AG205" i="31"/>
  <c r="AG187" i="31"/>
  <c r="AG170" i="31"/>
  <c r="AG162" i="31"/>
  <c r="AG135" i="31"/>
  <c r="AG132" i="31"/>
  <c r="AG269" i="31"/>
  <c r="AG204" i="31"/>
  <c r="AG186" i="31"/>
  <c r="AG175" i="31"/>
  <c r="AG167" i="31"/>
  <c r="AG159" i="31"/>
  <c r="AG138" i="31"/>
  <c r="AG284" i="31"/>
  <c r="AG282" i="31"/>
  <c r="AG151" i="31"/>
  <c r="AG141" i="31"/>
  <c r="AG120" i="31"/>
  <c r="AG99" i="31"/>
  <c r="AG94" i="31"/>
  <c r="AG83" i="31"/>
  <c r="AG78" i="31"/>
  <c r="AG73" i="31"/>
  <c r="AG72" i="31"/>
  <c r="AG202" i="31"/>
  <c r="AG197" i="31"/>
  <c r="AG179" i="31"/>
  <c r="AG109" i="31"/>
  <c r="AG103" i="31"/>
  <c r="AG264" i="31"/>
  <c r="AG221" i="31"/>
  <c r="AG217" i="31"/>
  <c r="AG267" i="31"/>
  <c r="AG215" i="31"/>
  <c r="AG210" i="31"/>
  <c r="AG174" i="31"/>
  <c r="AG294" i="31"/>
  <c r="AG140" i="31"/>
  <c r="AG122" i="31"/>
  <c r="AG97" i="31"/>
  <c r="AG70" i="31"/>
  <c r="AG64" i="31"/>
  <c r="AG166" i="31"/>
  <c r="AG147" i="31"/>
  <c r="AG124" i="31"/>
  <c r="AG114" i="31"/>
  <c r="AG213" i="31"/>
  <c r="AG143" i="31"/>
  <c r="AG116" i="31"/>
  <c r="AG102" i="31"/>
  <c r="AG95" i="31"/>
  <c r="AG84" i="31"/>
  <c r="AG48" i="31"/>
  <c r="AG45" i="31"/>
  <c r="AG42" i="31"/>
  <c r="AG38" i="31"/>
  <c r="AG27" i="31"/>
  <c r="AG21" i="31"/>
  <c r="AG10" i="31"/>
  <c r="AG33" i="31"/>
  <c r="AG16" i="31"/>
  <c r="AG260" i="31"/>
  <c r="AG108" i="31"/>
  <c r="AG39" i="31"/>
  <c r="AG263" i="31"/>
  <c r="AG225" i="31"/>
  <c r="AG76" i="31"/>
  <c r="AG81" i="31"/>
  <c r="AG163" i="31"/>
  <c r="AG86" i="31"/>
  <c r="AG67" i="31"/>
  <c r="AG61" i="31"/>
  <c r="AG55" i="31"/>
  <c r="AG49" i="31"/>
  <c r="AG11" i="31"/>
  <c r="AG190" i="31"/>
  <c r="AG178" i="31"/>
  <c r="AG119" i="31"/>
  <c r="AG58" i="31"/>
  <c r="AG50" i="31"/>
  <c r="AG36" i="31"/>
  <c r="AG173" i="31"/>
  <c r="AG111" i="31"/>
  <c r="AG107" i="31"/>
  <c r="AG18" i="31"/>
  <c r="AG200" i="31"/>
  <c r="AG35" i="31"/>
  <c r="AG31" i="31"/>
  <c r="AG75" i="31"/>
  <c r="AG87" i="31"/>
  <c r="AG71" i="31"/>
  <c r="AG20" i="31"/>
  <c r="AG231" i="31"/>
  <c r="AG223" i="31"/>
  <c r="AG62" i="31"/>
  <c r="AG54" i="31"/>
  <c r="AG201" i="31"/>
  <c r="AG157" i="31"/>
  <c r="AG106" i="31"/>
  <c r="AG105" i="31"/>
  <c r="AG90" i="31"/>
  <c r="AG52" i="31"/>
  <c r="AG226" i="31"/>
  <c r="AG91" i="31"/>
  <c r="AG216" i="31"/>
  <c r="AG158" i="31"/>
  <c r="AG57" i="31"/>
  <c r="AG56" i="31"/>
  <c r="AG30" i="31"/>
  <c r="AG26" i="31"/>
  <c r="AG15" i="31"/>
  <c r="AG189" i="31"/>
  <c r="AG136" i="31"/>
  <c r="AG46" i="31"/>
  <c r="AG25" i="31"/>
  <c r="AG12" i="31"/>
  <c r="AG241" i="31"/>
  <c r="AG117" i="31"/>
  <c r="AG44" i="31"/>
  <c r="AG14" i="31"/>
  <c r="AG169" i="31"/>
  <c r="AG144" i="31"/>
  <c r="AG79" i="31"/>
  <c r="AG32" i="31"/>
  <c r="AG13" i="31"/>
  <c r="AG98" i="31"/>
  <c r="AG165" i="31"/>
  <c r="AG37" i="31"/>
  <c r="AG128" i="31"/>
  <c r="AG59" i="31"/>
  <c r="AG23" i="31"/>
  <c r="AG69" i="31"/>
  <c r="AG80" i="31"/>
  <c r="AG68" i="31"/>
  <c r="AG110" i="31"/>
  <c r="AG191" i="31"/>
  <c r="AG229" i="31"/>
  <c r="AG19" i="31"/>
  <c r="AG181" i="31"/>
  <c r="AG244" i="31"/>
  <c r="AG60" i="31"/>
  <c r="AG194" i="31"/>
  <c r="W575" i="31"/>
  <c r="W326" i="31"/>
  <c r="W414" i="31"/>
  <c r="W451" i="31"/>
  <c r="W452" i="31"/>
  <c r="W534" i="31"/>
  <c r="W551" i="31"/>
  <c r="W354" i="31"/>
  <c r="W373" i="31"/>
  <c r="W608" i="31"/>
  <c r="W337" i="31"/>
  <c r="W500" i="31"/>
  <c r="W328" i="31"/>
  <c r="W499" i="31"/>
  <c r="W319" i="31"/>
  <c r="W345" i="31"/>
  <c r="W416" i="31"/>
  <c r="W553" i="31"/>
  <c r="W611" i="31"/>
  <c r="W318" i="31"/>
  <c r="W573" i="31"/>
  <c r="W596" i="31"/>
  <c r="W598" i="31"/>
  <c r="W572" i="31"/>
  <c r="W446" i="31"/>
  <c r="W609" i="31"/>
  <c r="W536" i="31"/>
  <c r="W407" i="31"/>
  <c r="W569" i="31"/>
  <c r="W561" i="31"/>
  <c r="W417" i="31"/>
  <c r="W401" i="31"/>
  <c r="W372" i="31"/>
  <c r="W439" i="31"/>
  <c r="W321" i="31"/>
  <c r="W601" i="31"/>
  <c r="W538" i="31"/>
  <c r="W507" i="31"/>
  <c r="W580" i="31"/>
  <c r="W563" i="31"/>
  <c r="W574" i="31"/>
  <c r="W333" i="31"/>
  <c r="W335" i="31"/>
  <c r="W408" i="31"/>
  <c r="W603" i="31"/>
  <c r="W368" i="31"/>
  <c r="W331" i="31"/>
  <c r="W470" i="31"/>
  <c r="W568" i="31"/>
  <c r="W350" i="31"/>
  <c r="W590" i="31"/>
  <c r="W375" i="31"/>
  <c r="W610" i="31"/>
  <c r="W389" i="31"/>
  <c r="W349" i="31"/>
  <c r="W315" i="31"/>
  <c r="W586" i="31"/>
  <c r="W338" i="31"/>
  <c r="W370" i="31"/>
  <c r="W344" i="31"/>
  <c r="W543" i="31"/>
  <c r="W466" i="31"/>
  <c r="W431" i="31"/>
  <c r="W330" i="31"/>
  <c r="W403" i="31"/>
  <c r="W571" i="31"/>
  <c r="W583" i="31"/>
  <c r="W607" i="31"/>
  <c r="W584" i="31"/>
  <c r="W554" i="31"/>
  <c r="W605" i="31"/>
  <c r="W352" i="31"/>
  <c r="W440" i="31"/>
  <c r="W567" i="31"/>
  <c r="W562" i="31"/>
  <c r="W461" i="31"/>
  <c r="W472" i="31"/>
  <c r="W327" i="31"/>
  <c r="W599" i="31"/>
  <c r="W357" i="31"/>
  <c r="W383" i="31"/>
  <c r="W316" i="31"/>
  <c r="W404" i="31"/>
  <c r="W591" i="31"/>
  <c r="W320" i="31"/>
  <c r="W334" i="31"/>
  <c r="W402" i="31"/>
  <c r="W556" i="31"/>
  <c r="W353" i="31"/>
  <c r="W557" i="31"/>
  <c r="W480" i="31"/>
  <c r="W492" i="31"/>
  <c r="W430" i="31"/>
  <c r="W374" i="31"/>
  <c r="W525" i="31"/>
  <c r="W489" i="31"/>
  <c r="W388" i="31"/>
  <c r="W578" i="31"/>
  <c r="W545" i="31"/>
  <c r="W488" i="31"/>
  <c r="W355" i="31"/>
  <c r="W399" i="31"/>
  <c r="M414" i="31"/>
  <c r="M326" i="31"/>
  <c r="M354" i="31"/>
  <c r="M334" i="31"/>
  <c r="M431" i="31"/>
  <c r="M330" i="31"/>
  <c r="M454" i="31"/>
  <c r="M335" i="31"/>
  <c r="M611" i="31"/>
  <c r="M591" i="31"/>
  <c r="M319" i="31"/>
  <c r="M525" i="31"/>
  <c r="M407" i="31"/>
  <c r="M607" i="31"/>
  <c r="M556" i="31"/>
  <c r="M605" i="31"/>
  <c r="M569" i="31"/>
  <c r="M583" i="31"/>
  <c r="M547" i="31"/>
  <c r="M470" i="31"/>
  <c r="M610" i="31"/>
  <c r="M341" i="31"/>
  <c r="M493" i="31"/>
  <c r="M475" i="31"/>
  <c r="M574" i="31"/>
  <c r="M403" i="31"/>
  <c r="M374" i="31"/>
  <c r="M557" i="31"/>
  <c r="M461" i="31"/>
  <c r="M439" i="31"/>
  <c r="M573" i="31"/>
  <c r="M580" i="31"/>
  <c r="M440" i="31"/>
  <c r="M554" i="31"/>
  <c r="M561" i="31"/>
  <c r="M316" i="31"/>
  <c r="M380" i="31"/>
  <c r="M603" i="31"/>
  <c r="M480" i="31"/>
  <c r="M349" i="31"/>
  <c r="M327" i="31"/>
  <c r="M572" i="31"/>
  <c r="M540" i="31"/>
  <c r="M536" i="31"/>
  <c r="M339" i="31"/>
  <c r="M544" i="31"/>
  <c r="M562" i="31"/>
  <c r="M430" i="31"/>
  <c r="M590" i="31"/>
  <c r="M599" i="31"/>
  <c r="M365" i="31"/>
  <c r="M509" i="31"/>
  <c r="M375" i="31"/>
  <c r="M584" i="31"/>
  <c r="M382" i="31"/>
  <c r="M350" i="31"/>
  <c r="M517" i="31"/>
  <c r="M586" i="31"/>
  <c r="M389" i="31"/>
  <c r="M596" i="31"/>
  <c r="M328" i="31"/>
  <c r="M608" i="31"/>
  <c r="M538" i="31"/>
  <c r="M360" i="31"/>
  <c r="M318" i="31"/>
  <c r="M567" i="31"/>
  <c r="M321" i="31"/>
  <c r="M606" i="31"/>
  <c r="M568" i="31"/>
  <c r="M315" i="31"/>
  <c r="M338" i="31"/>
  <c r="M320" i="31"/>
  <c r="M367" i="31"/>
  <c r="M355" i="31"/>
  <c r="M578" i="31"/>
  <c r="M601" i="31"/>
  <c r="M487" i="31"/>
  <c r="M417" i="31"/>
  <c r="M361" i="31"/>
  <c r="M472" i="31"/>
  <c r="M500" i="31"/>
  <c r="M552" i="31"/>
  <c r="M399" i="31"/>
  <c r="M507" i="31"/>
  <c r="M492" i="31"/>
  <c r="M598" i="31"/>
  <c r="M353" i="31"/>
  <c r="M466" i="31"/>
  <c r="M609" i="31"/>
  <c r="M359" i="31"/>
  <c r="M368" i="31"/>
  <c r="M543" i="31"/>
  <c r="M563" i="31"/>
  <c r="M447" i="31"/>
  <c r="M529" i="31"/>
  <c r="M545" i="31"/>
  <c r="M333" i="31"/>
  <c r="M446" i="31"/>
  <c r="M331" i="31"/>
  <c r="M489" i="31"/>
  <c r="M401" i="31"/>
  <c r="M471" i="31"/>
  <c r="M488" i="31"/>
  <c r="AA326" i="31"/>
  <c r="AA538" i="31"/>
  <c r="AA608" i="31"/>
  <c r="AA569" i="31"/>
  <c r="AA350" i="31"/>
  <c r="AA567" i="31"/>
  <c r="AA327" i="31"/>
  <c r="AA573" i="31"/>
  <c r="AA543" i="31"/>
  <c r="AA316" i="31"/>
  <c r="AA591" i="31"/>
  <c r="AA330" i="31"/>
  <c r="AA562" i="31"/>
  <c r="AA320" i="31"/>
  <c r="AA355" i="31"/>
  <c r="AA335" i="31"/>
  <c r="AA353" i="31"/>
  <c r="AA500" i="31"/>
  <c r="AA563" i="31"/>
  <c r="AA586" i="31"/>
  <c r="AA470" i="31"/>
  <c r="AA488" i="31"/>
  <c r="AA610" i="31"/>
  <c r="AA596" i="31"/>
  <c r="AA319" i="31"/>
  <c r="AA536" i="31"/>
  <c r="AA466" i="31"/>
  <c r="AA590" i="31"/>
  <c r="AA328" i="31"/>
  <c r="AA545" i="31"/>
  <c r="AA580" i="31"/>
  <c r="AA368" i="31"/>
  <c r="AA611" i="31"/>
  <c r="AA599" i="31"/>
  <c r="AA554" i="31"/>
  <c r="AA489" i="31"/>
  <c r="AA374" i="31"/>
  <c r="AA601" i="31"/>
  <c r="AA480" i="31"/>
  <c r="AA578" i="31"/>
  <c r="AA507" i="31"/>
  <c r="AA525" i="31"/>
  <c r="AA584" i="31"/>
  <c r="AA461" i="31"/>
  <c r="AA572" i="31"/>
  <c r="AA492" i="31"/>
  <c r="AA333" i="31"/>
  <c r="AA605" i="31"/>
  <c r="AA607" i="31"/>
  <c r="AA321" i="31"/>
  <c r="AA472" i="31"/>
  <c r="AA375" i="31"/>
  <c r="AA561" i="31"/>
  <c r="AA431" i="31"/>
  <c r="AA315" i="31"/>
  <c r="AA609" i="31"/>
  <c r="AA430" i="31"/>
  <c r="AA603" i="31"/>
  <c r="AA574" i="31"/>
  <c r="AA417" i="31"/>
  <c r="AA349" i="31"/>
  <c r="AA318" i="31"/>
  <c r="AA557" i="31"/>
  <c r="AA338" i="31"/>
  <c r="AA334" i="31"/>
  <c r="AB584" i="31"/>
  <c r="AB596" i="31"/>
  <c r="AB609" i="31"/>
  <c r="AB466" i="31"/>
  <c r="AB561" i="31"/>
  <c r="AB599" i="31"/>
  <c r="AB492" i="31"/>
  <c r="AB315" i="31"/>
  <c r="AB316" i="31"/>
  <c r="AB580" i="31"/>
  <c r="AB611" i="31"/>
  <c r="AB610" i="31"/>
  <c r="AB554" i="31"/>
  <c r="AB557" i="31"/>
  <c r="AB573" i="31"/>
  <c r="AB507" i="31"/>
  <c r="AB480" i="31"/>
  <c r="AB572" i="31"/>
  <c r="AB525" i="31"/>
  <c r="AB603" i="31"/>
  <c r="AB543" i="31"/>
  <c r="AB328" i="31"/>
  <c r="AB335" i="31"/>
  <c r="AB368" i="31"/>
  <c r="AB350" i="31"/>
  <c r="AB586" i="31"/>
  <c r="AB333" i="31"/>
  <c r="AB590" i="31"/>
  <c r="AB353" i="31"/>
  <c r="AB591" i="31"/>
  <c r="AB461" i="31"/>
  <c r="AB578" i="31"/>
  <c r="AB545" i="31"/>
  <c r="AB320" i="31"/>
  <c r="AB318" i="31"/>
  <c r="AB563" i="31"/>
  <c r="AB321" i="31"/>
  <c r="AB608" i="31"/>
  <c r="AB472" i="31"/>
  <c r="AB562" i="31"/>
  <c r="AB569" i="31"/>
  <c r="AB334" i="31"/>
  <c r="AB327" i="31"/>
  <c r="AB355" i="31"/>
  <c r="AB349" i="31"/>
  <c r="AB417" i="31"/>
  <c r="AB488" i="31"/>
  <c r="AB375" i="31"/>
  <c r="AB338" i="31"/>
  <c r="AB470" i="31"/>
  <c r="AB430" i="31"/>
  <c r="AB605" i="31"/>
  <c r="AB330" i="31"/>
  <c r="AB431" i="31"/>
  <c r="AB607" i="31"/>
  <c r="AB574" i="31"/>
  <c r="AB319" i="31"/>
  <c r="Q599" i="31"/>
  <c r="Q349" i="31"/>
  <c r="Q591" i="31"/>
  <c r="Q334" i="31"/>
  <c r="Q480" i="31"/>
  <c r="Q609" i="31"/>
  <c r="Q574" i="31"/>
  <c r="Q431" i="31"/>
  <c r="Q569" i="31"/>
  <c r="Q321" i="31"/>
  <c r="Q572" i="31"/>
  <c r="Q578" i="31"/>
  <c r="Q461" i="31"/>
  <c r="Q584" i="31"/>
  <c r="Q488" i="31"/>
  <c r="Q375" i="31"/>
  <c r="Q562" i="31"/>
  <c r="Q557" i="31"/>
  <c r="Q315" i="31"/>
  <c r="Q318" i="31"/>
  <c r="Q596" i="31"/>
  <c r="Q586" i="31"/>
  <c r="Q320" i="31"/>
  <c r="Q466" i="31"/>
  <c r="Q470" i="31"/>
  <c r="Q610" i="31"/>
  <c r="Q327" i="31"/>
  <c r="Q350" i="31"/>
  <c r="Q330" i="31"/>
  <c r="Q328" i="31"/>
  <c r="Q492" i="31"/>
  <c r="Q333" i="31"/>
  <c r="Q590" i="31"/>
  <c r="Q545" i="31"/>
  <c r="Q608" i="31"/>
  <c r="Q507" i="31"/>
  <c r="Q338" i="31"/>
  <c r="Q573" i="31"/>
  <c r="Q472" i="31"/>
  <c r="Q563" i="31"/>
  <c r="Q525" i="31"/>
  <c r="Q580" i="31"/>
  <c r="Q607" i="31"/>
  <c r="Q605" i="31"/>
  <c r="Q430" i="31"/>
  <c r="Q561" i="31"/>
  <c r="Q543" i="31"/>
  <c r="Q417" i="31"/>
  <c r="Q319" i="31"/>
  <c r="Q611" i="31"/>
  <c r="Q316" i="31"/>
  <c r="Q335" i="31"/>
  <c r="Q353" i="31"/>
  <c r="AC611" i="31"/>
  <c r="AC328" i="31"/>
  <c r="AC335" i="31"/>
  <c r="AC599" i="31"/>
  <c r="AC320" i="31"/>
  <c r="AC330" i="31"/>
  <c r="AC562" i="31"/>
  <c r="AC333" i="31"/>
  <c r="AC543" i="31"/>
  <c r="AC488" i="31"/>
  <c r="AC607" i="31"/>
  <c r="AC353" i="31"/>
  <c r="AC586" i="31"/>
  <c r="AC318" i="31"/>
  <c r="AC605" i="31"/>
  <c r="AC349" i="31"/>
  <c r="AC610" i="31"/>
  <c r="AC578" i="31"/>
  <c r="AC480" i="31"/>
  <c r="AC375" i="31"/>
  <c r="AC580" i="31"/>
  <c r="AC608" i="31"/>
  <c r="AC557" i="31"/>
  <c r="AC572" i="31"/>
  <c r="AC584" i="31"/>
  <c r="AC338" i="31"/>
  <c r="AC573" i="31"/>
  <c r="AC461" i="31"/>
  <c r="AC609" i="31"/>
  <c r="AC563" i="31"/>
  <c r="AC321" i="31"/>
  <c r="AC316" i="31"/>
  <c r="AC507" i="31"/>
  <c r="AC315" i="31"/>
  <c r="AC596" i="31"/>
  <c r="AC492" i="31"/>
  <c r="AC472" i="31"/>
  <c r="AC470" i="31"/>
  <c r="AC590" i="31"/>
  <c r="AC525" i="31"/>
  <c r="AC545" i="31"/>
  <c r="AC334" i="31"/>
  <c r="AC574" i="31"/>
  <c r="AC417" i="31"/>
  <c r="AC430" i="31"/>
  <c r="AC591" i="31"/>
  <c r="AC327" i="31"/>
  <c r="AC431" i="31"/>
  <c r="AC319" i="31"/>
  <c r="AC569" i="31"/>
  <c r="AC350" i="31"/>
  <c r="AC561" i="31"/>
  <c r="R575" i="31"/>
  <c r="R516" i="31"/>
  <c r="R452" i="31"/>
  <c r="R424" i="31"/>
  <c r="R595" i="31"/>
  <c r="R551" i="31"/>
  <c r="R534" i="31"/>
  <c r="R451" i="31"/>
  <c r="R414" i="31"/>
  <c r="R336" i="31"/>
  <c r="R432" i="31"/>
  <c r="R371" i="31"/>
  <c r="R564" i="31"/>
  <c r="R326" i="31"/>
  <c r="R343" i="31"/>
  <c r="R354" i="31"/>
  <c r="R410" i="31"/>
  <c r="R445" i="31"/>
  <c r="R419" i="31"/>
  <c r="R571" i="31"/>
  <c r="R327" i="31"/>
  <c r="R407" i="31"/>
  <c r="R403" i="31"/>
  <c r="R455" i="31"/>
  <c r="R572" i="31"/>
  <c r="R562" i="31"/>
  <c r="R401" i="31"/>
  <c r="R538" i="31"/>
  <c r="R387" i="31"/>
  <c r="R357" i="31"/>
  <c r="R583" i="31"/>
  <c r="R411" i="31"/>
  <c r="R488" i="31"/>
  <c r="R525" i="31"/>
  <c r="R402" i="31"/>
  <c r="R466" i="31"/>
  <c r="R543" i="31"/>
  <c r="R370" i="31"/>
  <c r="R332" i="31"/>
  <c r="R405" i="31"/>
  <c r="R409" i="31"/>
  <c r="R610" i="31"/>
  <c r="R500" i="31"/>
  <c r="R406" i="31"/>
  <c r="R586" i="31"/>
  <c r="R563" i="31"/>
  <c r="R386" i="31"/>
  <c r="R473" i="31"/>
  <c r="R348" i="31"/>
  <c r="R599" i="31"/>
  <c r="R331" i="31"/>
  <c r="R428" i="31"/>
  <c r="R418" i="31"/>
  <c r="R511" i="31"/>
  <c r="R461" i="31"/>
  <c r="R393" i="31"/>
  <c r="R318" i="31"/>
  <c r="R591" i="31"/>
  <c r="R375" i="31"/>
  <c r="R520" i="31"/>
  <c r="R328" i="31"/>
  <c r="R567" i="31"/>
  <c r="R397" i="31"/>
  <c r="R601" i="31"/>
  <c r="R537" i="31"/>
  <c r="R377" i="31"/>
  <c r="R342" i="31"/>
  <c r="R435" i="31"/>
  <c r="R605" i="31"/>
  <c r="R379" i="31"/>
  <c r="R374" i="31"/>
  <c r="R554" i="31"/>
  <c r="R421" i="31"/>
  <c r="R553" i="31"/>
  <c r="R440" i="31"/>
  <c r="R388" i="31"/>
  <c r="R335" i="31"/>
  <c r="R337" i="31"/>
  <c r="R470" i="31"/>
  <c r="R358" i="31"/>
  <c r="R321" i="31"/>
  <c r="R522" i="31"/>
  <c r="R330" i="31"/>
  <c r="R351" i="31"/>
  <c r="R333" i="31"/>
  <c r="R378" i="31"/>
  <c r="R446" i="31"/>
  <c r="R578" i="31"/>
  <c r="R486" i="31"/>
  <c r="R392" i="31"/>
  <c r="R568" i="31"/>
  <c r="R389" i="31"/>
  <c r="R322" i="31"/>
  <c r="R355" i="31"/>
  <c r="R334" i="31"/>
  <c r="R344" i="31"/>
  <c r="R598" i="31"/>
  <c r="R593" i="31"/>
  <c r="R420" i="31"/>
  <c r="R536" i="31"/>
  <c r="R400" i="31"/>
  <c r="R345" i="31"/>
  <c r="R425" i="31"/>
  <c r="R320" i="31"/>
  <c r="R439" i="31"/>
  <c r="R590" i="31"/>
  <c r="R603" i="31"/>
  <c r="R391" i="31"/>
  <c r="R385" i="31"/>
  <c r="R609" i="31"/>
  <c r="R453" i="31"/>
  <c r="R504" i="31"/>
  <c r="R449" i="31"/>
  <c r="R368" i="31"/>
  <c r="R350" i="31"/>
  <c r="R372" i="31"/>
  <c r="R515" i="31"/>
  <c r="R319" i="31"/>
  <c r="R518" i="31"/>
  <c r="R584" i="31"/>
  <c r="R381" i="31"/>
  <c r="R607" i="31"/>
  <c r="R408" i="31"/>
  <c r="R329" i="31"/>
  <c r="R574" i="31"/>
  <c r="R426" i="31"/>
  <c r="R413" i="31"/>
  <c r="R399" i="31"/>
  <c r="R356" i="31"/>
  <c r="R501" i="31"/>
  <c r="R362" i="31"/>
  <c r="R541" i="31"/>
  <c r="R352" i="31"/>
  <c r="R340" i="31"/>
  <c r="R412" i="31"/>
  <c r="R316" i="31"/>
  <c r="R519" i="31"/>
  <c r="R472" i="31"/>
  <c r="R416" i="31"/>
  <c r="R489" i="31"/>
  <c r="R492" i="31"/>
  <c r="R427" i="31"/>
  <c r="R597" i="31"/>
  <c r="R465" i="31"/>
  <c r="R535" i="31"/>
  <c r="R611" i="31"/>
  <c r="R557" i="31"/>
  <c r="R480" i="31"/>
  <c r="R404" i="31"/>
  <c r="R514" i="31"/>
  <c r="R561" i="31"/>
  <c r="R507" i="31"/>
  <c r="R338" i="31"/>
  <c r="R569" i="31"/>
  <c r="R580" i="31"/>
  <c r="R417" i="31"/>
  <c r="R383" i="31"/>
  <c r="R596" i="31"/>
  <c r="R545" i="31"/>
  <c r="R431" i="31"/>
  <c r="R573" i="31"/>
  <c r="R315" i="31"/>
  <c r="R556" i="31"/>
  <c r="R499" i="31"/>
  <c r="R353" i="31"/>
  <c r="R347" i="31"/>
  <c r="R608" i="31"/>
  <c r="R373" i="31"/>
  <c r="R438" i="31"/>
  <c r="R430" i="31"/>
  <c r="R369" i="31"/>
  <c r="R349" i="31"/>
  <c r="R448" i="31"/>
  <c r="R394" i="31"/>
  <c r="AD575" i="31"/>
  <c r="AD551" i="31"/>
  <c r="AD414" i="31"/>
  <c r="AD336" i="31"/>
  <c r="AD595" i="31"/>
  <c r="AD534" i="31"/>
  <c r="AD432" i="31"/>
  <c r="AD320" i="31"/>
  <c r="AD563" i="31"/>
  <c r="AD598" i="31"/>
  <c r="AD426" i="31"/>
  <c r="AD596" i="31"/>
  <c r="AD404" i="31"/>
  <c r="AD608" i="31"/>
  <c r="AD439" i="31"/>
  <c r="AD569" i="31"/>
  <c r="AD370" i="31"/>
  <c r="AD319" i="31"/>
  <c r="AD580" i="31"/>
  <c r="AD416" i="31"/>
  <c r="AD573" i="31"/>
  <c r="AD397" i="31"/>
  <c r="AD427" i="31"/>
  <c r="AD349" i="31"/>
  <c r="AD347" i="31"/>
  <c r="AD335" i="31"/>
  <c r="AD599" i="31"/>
  <c r="AD345" i="31"/>
  <c r="AD431" i="31"/>
  <c r="AD368" i="31"/>
  <c r="AD385" i="31"/>
  <c r="AD348" i="31"/>
  <c r="AD321" i="31"/>
  <c r="AD381" i="31"/>
  <c r="AD375" i="31"/>
  <c r="AD374" i="31"/>
  <c r="AD567" i="31"/>
  <c r="AD332" i="31"/>
  <c r="AD440" i="31"/>
  <c r="AD515" i="31"/>
  <c r="AD413" i="31"/>
  <c r="AD541" i="31"/>
  <c r="AD328" i="31"/>
  <c r="AD358" i="31"/>
  <c r="AD605" i="31"/>
  <c r="AD607" i="31"/>
  <c r="AD334" i="31"/>
  <c r="AD590" i="31"/>
  <c r="AD488" i="31"/>
  <c r="AD470" i="31"/>
  <c r="AD338" i="31"/>
  <c r="AD373" i="31"/>
  <c r="AD353" i="31"/>
  <c r="AD315" i="31"/>
  <c r="AD572" i="31"/>
  <c r="AD333" i="31"/>
  <c r="AD499" i="31"/>
  <c r="AD586" i="31"/>
  <c r="AD386" i="31"/>
  <c r="AD318" i="31"/>
  <c r="AD327" i="31"/>
  <c r="AD472" i="31"/>
  <c r="AD603" i="31"/>
  <c r="AD369" i="31"/>
  <c r="AD591" i="31"/>
  <c r="AD428" i="31"/>
  <c r="AD337" i="31"/>
  <c r="AD610" i="31"/>
  <c r="AD421" i="31"/>
  <c r="AD378" i="31"/>
  <c r="AD316" i="31"/>
  <c r="AD387" i="31"/>
  <c r="AD562" i="31"/>
  <c r="AD417" i="31"/>
  <c r="AD430" i="31"/>
  <c r="AD525" i="31"/>
  <c r="AD492" i="31"/>
  <c r="AD330" i="31"/>
  <c r="AD543" i="31"/>
  <c r="AD507" i="31"/>
  <c r="AD597" i="31"/>
  <c r="AD379" i="31"/>
  <c r="AD409" i="31"/>
  <c r="AD601" i="31"/>
  <c r="AD480" i="31"/>
  <c r="AD593" i="31"/>
  <c r="AD402" i="31"/>
  <c r="AD351" i="31"/>
  <c r="AD461" i="31"/>
  <c r="AD578" i="31"/>
  <c r="AD561" i="31"/>
  <c r="AD609" i="31"/>
  <c r="AD557" i="31"/>
  <c r="AD350" i="31"/>
  <c r="AD357" i="31"/>
  <c r="AD545" i="31"/>
  <c r="AD611" i="31"/>
  <c r="AD574" i="31"/>
  <c r="AD584" i="31"/>
  <c r="AD500" i="31"/>
  <c r="AD340" i="31"/>
  <c r="AD420" i="31"/>
  <c r="AD554" i="31"/>
  <c r="AD329" i="31"/>
  <c r="J534" i="31"/>
  <c r="J467" i="31"/>
  <c r="J452" i="31"/>
  <c r="J326" i="31"/>
  <c r="J451" i="31"/>
  <c r="J498" i="31"/>
  <c r="J551" i="31"/>
  <c r="J434" i="31"/>
  <c r="J336" i="31"/>
  <c r="J354" i="31"/>
  <c r="J414" i="31"/>
  <c r="J575" i="31"/>
  <c r="J530" i="31"/>
  <c r="J357" i="31"/>
  <c r="J475" i="31"/>
  <c r="J407" i="31"/>
  <c r="J556" i="31"/>
  <c r="J318" i="31"/>
  <c r="J545" i="31"/>
  <c r="J605" i="31"/>
  <c r="J487" i="31"/>
  <c r="J553" i="31"/>
  <c r="J442" i="31"/>
  <c r="J598" i="31"/>
  <c r="J567" i="31"/>
  <c r="J610" i="31"/>
  <c r="J370" i="31"/>
  <c r="J337" i="31"/>
  <c r="J392" i="31"/>
  <c r="J390" i="31"/>
  <c r="J403" i="31"/>
  <c r="J577" i="31"/>
  <c r="J576" i="31"/>
  <c r="J363" i="31"/>
  <c r="J401" i="31"/>
  <c r="J540" i="31"/>
  <c r="J507" i="31"/>
  <c r="J417" i="31"/>
  <c r="J510" i="31"/>
  <c r="J378" i="31"/>
  <c r="J525" i="31"/>
  <c r="J350" i="31"/>
  <c r="J599" i="31"/>
  <c r="J547" i="31"/>
  <c r="J402" i="31"/>
  <c r="J607" i="31"/>
  <c r="J375" i="31"/>
  <c r="J330" i="31"/>
  <c r="J323" i="31"/>
  <c r="J341" i="31"/>
  <c r="J366" i="31"/>
  <c r="J319" i="31"/>
  <c r="J571" i="31"/>
  <c r="J493" i="31"/>
  <c r="J374" i="31"/>
  <c r="J394" i="31"/>
  <c r="J380" i="31"/>
  <c r="J611" i="31"/>
  <c r="J446" i="31"/>
  <c r="J470" i="31"/>
  <c r="J388" i="31"/>
  <c r="J478" i="31"/>
  <c r="J574" i="31"/>
  <c r="J561" i="31"/>
  <c r="J589" i="31"/>
  <c r="J328" i="31"/>
  <c r="J552" i="31"/>
  <c r="J543" i="31"/>
  <c r="J485" i="31"/>
  <c r="J538" i="31"/>
  <c r="J557" i="31"/>
  <c r="J529" i="31"/>
  <c r="J469" i="31"/>
  <c r="J383" i="31"/>
  <c r="J555" i="31"/>
  <c r="J338" i="31"/>
  <c r="J603" i="31"/>
  <c r="J349" i="31"/>
  <c r="J554" i="31"/>
  <c r="J494" i="31"/>
  <c r="J415" i="31"/>
  <c r="J562" i="31"/>
  <c r="J367" i="31"/>
  <c r="J440" i="31"/>
  <c r="J344" i="31"/>
  <c r="J596" i="31"/>
  <c r="J569" i="31"/>
  <c r="J584" i="31"/>
  <c r="J601" i="31"/>
  <c r="J382" i="31"/>
  <c r="J408" i="31"/>
  <c r="J353" i="31"/>
  <c r="J373" i="31"/>
  <c r="J519" i="31"/>
  <c r="J339" i="31"/>
  <c r="J472" i="31"/>
  <c r="J447" i="31"/>
  <c r="J579" i="31"/>
  <c r="J395" i="31"/>
  <c r="J492" i="31"/>
  <c r="J465" i="31"/>
  <c r="J359" i="31"/>
  <c r="J488" i="31"/>
  <c r="J361" i="31"/>
  <c r="J416" i="31"/>
  <c r="J360" i="31"/>
  <c r="J431" i="31"/>
  <c r="J490" i="31"/>
  <c r="J439" i="31"/>
  <c r="J568" i="31"/>
  <c r="J444" i="31"/>
  <c r="J450" i="31"/>
  <c r="J317" i="31"/>
  <c r="J404" i="31"/>
  <c r="J389" i="31"/>
  <c r="J509" i="31"/>
  <c r="J399" i="31"/>
  <c r="J499" i="31"/>
  <c r="J321" i="31"/>
  <c r="J578" i="31"/>
  <c r="J331" i="31"/>
  <c r="J544" i="31"/>
  <c r="J372" i="31"/>
  <c r="J327" i="31"/>
  <c r="J521" i="31"/>
  <c r="J454" i="31"/>
  <c r="J355" i="31"/>
  <c r="J573" i="31"/>
  <c r="J517" i="31"/>
  <c r="J536" i="31"/>
  <c r="J609" i="31"/>
  <c r="J433" i="31"/>
  <c r="J441" i="31"/>
  <c r="J489" i="31"/>
  <c r="J608" i="31"/>
  <c r="J334" i="31"/>
  <c r="J591" i="31"/>
  <c r="J316" i="31"/>
  <c r="J333" i="31"/>
  <c r="J539" i="31"/>
  <c r="J320" i="31"/>
  <c r="J500" i="31"/>
  <c r="J396" i="31"/>
  <c r="J590" i="31"/>
  <c r="J365" i="31"/>
  <c r="J430" i="31"/>
  <c r="J368" i="31"/>
  <c r="J461" i="31"/>
  <c r="J606" i="31"/>
  <c r="J583" i="31"/>
  <c r="J385" i="31"/>
  <c r="J537" i="31"/>
  <c r="J471" i="31"/>
  <c r="J563" i="31"/>
  <c r="J512" i="31"/>
  <c r="J518" i="31"/>
  <c r="J458" i="31"/>
  <c r="J413" i="31"/>
  <c r="J345" i="31"/>
  <c r="J580" i="31"/>
  <c r="J322" i="31"/>
  <c r="J480" i="31"/>
  <c r="J352" i="31"/>
  <c r="J335" i="31"/>
  <c r="J565" i="31"/>
  <c r="J315" i="31"/>
  <c r="J532" i="31"/>
  <c r="J466" i="31"/>
  <c r="J572" i="31"/>
  <c r="J586" i="31"/>
  <c r="V534" i="31"/>
  <c r="V575" i="31"/>
  <c r="V551" i="31"/>
  <c r="V414" i="31"/>
  <c r="V451" i="31"/>
  <c r="V452" i="31"/>
  <c r="V326" i="31"/>
  <c r="V336" i="31"/>
  <c r="V354" i="31"/>
  <c r="V385" i="31"/>
  <c r="V389" i="31"/>
  <c r="V556" i="31"/>
  <c r="V603" i="31"/>
  <c r="V368" i="31"/>
  <c r="V598" i="31"/>
  <c r="V563" i="31"/>
  <c r="V489" i="31"/>
  <c r="V383" i="31"/>
  <c r="V344" i="31"/>
  <c r="V349" i="31"/>
  <c r="V608" i="31"/>
  <c r="V431" i="31"/>
  <c r="V404" i="31"/>
  <c r="V567" i="31"/>
  <c r="V461" i="31"/>
  <c r="V466" i="31"/>
  <c r="V536" i="31"/>
  <c r="V499" i="31"/>
  <c r="V388" i="31"/>
  <c r="V557" i="31"/>
  <c r="V599" i="31"/>
  <c r="V583" i="31"/>
  <c r="V355" i="31"/>
  <c r="V472" i="31"/>
  <c r="V590" i="31"/>
  <c r="V586" i="31"/>
  <c r="V338" i="31"/>
  <c r="V373" i="31"/>
  <c r="V378" i="31"/>
  <c r="V610" i="31"/>
  <c r="V605" i="31"/>
  <c r="V331" i="31"/>
  <c r="V568" i="31"/>
  <c r="V591" i="31"/>
  <c r="V507" i="31"/>
  <c r="V350" i="31"/>
  <c r="V488" i="31"/>
  <c r="V545" i="31"/>
  <c r="V315" i="31"/>
  <c r="V607" i="31"/>
  <c r="V492" i="31"/>
  <c r="V562" i="31"/>
  <c r="V440" i="31"/>
  <c r="V320" i="31"/>
  <c r="V525" i="31"/>
  <c r="V352" i="31"/>
  <c r="V328" i="31"/>
  <c r="V357" i="31"/>
  <c r="V561" i="31"/>
  <c r="V334" i="31"/>
  <c r="V403" i="31"/>
  <c r="V569" i="31"/>
  <c r="V572" i="31"/>
  <c r="V609" i="31"/>
  <c r="V322" i="31"/>
  <c r="V578" i="31"/>
  <c r="V374" i="31"/>
  <c r="V518" i="31"/>
  <c r="V573" i="31"/>
  <c r="V500" i="31"/>
  <c r="V316" i="31"/>
  <c r="V330" i="31"/>
  <c r="V538" i="31"/>
  <c r="V353" i="31"/>
  <c r="V465" i="31"/>
  <c r="V611" i="31"/>
  <c r="V394" i="31"/>
  <c r="V584" i="31"/>
  <c r="V439" i="31"/>
  <c r="V392" i="31"/>
  <c r="V327" i="31"/>
  <c r="V372" i="31"/>
  <c r="V571" i="31"/>
  <c r="V319" i="31"/>
  <c r="V519" i="31"/>
  <c r="V345" i="31"/>
  <c r="V337" i="31"/>
  <c r="V333" i="31"/>
  <c r="V554" i="31"/>
  <c r="V408" i="31"/>
  <c r="V401" i="31"/>
  <c r="V470" i="31"/>
  <c r="V553" i="31"/>
  <c r="V413" i="31"/>
  <c r="V370" i="31"/>
  <c r="V318" i="31"/>
  <c r="V417" i="31"/>
  <c r="V537" i="31"/>
  <c r="V446" i="31"/>
  <c r="V335" i="31"/>
  <c r="V375" i="31"/>
  <c r="V596" i="31"/>
  <c r="V416" i="31"/>
  <c r="V543" i="31"/>
  <c r="V580" i="31"/>
  <c r="V601" i="31"/>
  <c r="V574" i="31"/>
  <c r="V402" i="31"/>
  <c r="V321" i="31"/>
  <c r="V407" i="31"/>
  <c r="V480" i="31"/>
  <c r="V399" i="31"/>
  <c r="V430" i="31"/>
  <c r="AH534" i="31"/>
  <c r="AH575" i="31"/>
  <c r="AH336" i="31"/>
  <c r="AH414" i="31"/>
  <c r="AH551" i="31"/>
  <c r="AH599" i="31"/>
  <c r="AH416" i="31"/>
  <c r="AH611" i="31"/>
  <c r="AH316" i="31"/>
  <c r="AH413" i="31"/>
  <c r="AH472" i="31"/>
  <c r="AH603" i="31"/>
  <c r="AH500" i="31"/>
  <c r="AH554" i="31"/>
  <c r="AH596" i="31"/>
  <c r="AH590" i="31"/>
  <c r="AH591" i="31"/>
  <c r="AH402" i="31"/>
  <c r="AH470" i="31"/>
  <c r="AH580" i="31"/>
  <c r="AH572" i="31"/>
  <c r="AH605" i="31"/>
  <c r="AH610" i="31"/>
  <c r="AH368" i="31"/>
  <c r="AH330" i="31"/>
  <c r="AH357" i="31"/>
  <c r="AH349" i="31"/>
  <c r="AH318" i="31"/>
  <c r="AH543" i="31"/>
  <c r="AH375" i="31"/>
  <c r="AH569" i="31"/>
  <c r="AH607" i="31"/>
  <c r="AH492" i="31"/>
  <c r="AH321" i="31"/>
  <c r="AH319" i="31"/>
  <c r="AH563" i="31"/>
  <c r="AH337" i="31"/>
  <c r="AH525" i="31"/>
  <c r="AH545" i="31"/>
  <c r="AH333" i="31"/>
  <c r="AH507" i="31"/>
  <c r="AH334" i="31"/>
  <c r="AH430" i="31"/>
  <c r="AH461" i="31"/>
  <c r="AH439" i="31"/>
  <c r="AH350" i="31"/>
  <c r="AH385" i="31"/>
  <c r="AH562" i="31"/>
  <c r="AH374" i="31"/>
  <c r="AH578" i="31"/>
  <c r="AH404" i="31"/>
  <c r="AH598" i="31"/>
  <c r="AH335" i="31"/>
  <c r="AH608" i="31"/>
  <c r="AH320" i="31"/>
  <c r="AH338" i="31"/>
  <c r="AH378" i="31"/>
  <c r="AH586" i="31"/>
  <c r="AH345" i="31"/>
  <c r="AH609" i="31"/>
  <c r="AH328" i="31"/>
  <c r="AH327" i="31"/>
  <c r="AH353" i="31"/>
  <c r="AH431" i="31"/>
  <c r="AH373" i="31"/>
  <c r="AH440" i="31"/>
  <c r="AH499" i="31"/>
  <c r="AH561" i="31"/>
  <c r="AH584" i="31"/>
  <c r="AH315" i="31"/>
  <c r="AH557" i="31"/>
  <c r="AH573" i="31"/>
  <c r="AH480" i="31"/>
  <c r="AH601" i="31"/>
  <c r="AH417" i="31"/>
  <c r="AH574" i="31"/>
  <c r="AH488" i="31"/>
  <c r="K498" i="31"/>
  <c r="K452" i="31"/>
  <c r="K326" i="31"/>
  <c r="K534" i="31"/>
  <c r="K551" i="31"/>
  <c r="K354" i="31"/>
  <c r="K467" i="31"/>
  <c r="K414" i="31"/>
  <c r="K575" i="31"/>
  <c r="K451" i="31"/>
  <c r="K530" i="31"/>
  <c r="K596" i="31"/>
  <c r="K366" i="31"/>
  <c r="K408" i="31"/>
  <c r="K388" i="31"/>
  <c r="K603" i="31"/>
  <c r="K417" i="31"/>
  <c r="K333" i="31"/>
  <c r="K509" i="31"/>
  <c r="K335" i="31"/>
  <c r="K563" i="31"/>
  <c r="K605" i="31"/>
  <c r="K320" i="31"/>
  <c r="K478" i="31"/>
  <c r="K344" i="31"/>
  <c r="K373" i="31"/>
  <c r="K330" i="31"/>
  <c r="K606" i="31"/>
  <c r="K561" i="31"/>
  <c r="K454" i="31"/>
  <c r="K553" i="31"/>
  <c r="K345" i="31"/>
  <c r="K470" i="31"/>
  <c r="K573" i="31"/>
  <c r="K499" i="31"/>
  <c r="K472" i="31"/>
  <c r="K416" i="31"/>
  <c r="K569" i="31"/>
  <c r="K578" i="31"/>
  <c r="K608" i="31"/>
  <c r="K399" i="31"/>
  <c r="K567" i="31"/>
  <c r="K586" i="31"/>
  <c r="K383" i="31"/>
  <c r="K374" i="31"/>
  <c r="K500" i="31"/>
  <c r="K430" i="31"/>
  <c r="K539" i="31"/>
  <c r="K372" i="31"/>
  <c r="K510" i="31"/>
  <c r="K538" i="31"/>
  <c r="K562" i="31"/>
  <c r="K599" i="31"/>
  <c r="K359" i="31"/>
  <c r="K493" i="31"/>
  <c r="K319" i="31"/>
  <c r="K556" i="31"/>
  <c r="K404" i="31"/>
  <c r="K328" i="31"/>
  <c r="K540" i="31"/>
  <c r="K395" i="31"/>
  <c r="K555" i="31"/>
  <c r="K487" i="31"/>
  <c r="K350" i="31"/>
  <c r="K439" i="31"/>
  <c r="K401" i="31"/>
  <c r="K403" i="31"/>
  <c r="K389" i="31"/>
  <c r="K557" i="31"/>
  <c r="K544" i="31"/>
  <c r="K466" i="31"/>
  <c r="K321" i="31"/>
  <c r="K568" i="31"/>
  <c r="K365" i="31"/>
  <c r="K571" i="31"/>
  <c r="K475" i="31"/>
  <c r="K370" i="31"/>
  <c r="K609" i="31"/>
  <c r="K574" i="31"/>
  <c r="K601" i="31"/>
  <c r="K317" i="31"/>
  <c r="K607" i="31"/>
  <c r="K375" i="31"/>
  <c r="K580" i="31"/>
  <c r="K458" i="31"/>
  <c r="K352" i="31"/>
  <c r="K402" i="31"/>
  <c r="K545" i="31"/>
  <c r="K361" i="31"/>
  <c r="K610" i="31"/>
  <c r="K525" i="31"/>
  <c r="K577" i="31"/>
  <c r="K441" i="31"/>
  <c r="K583" i="31"/>
  <c r="K489" i="31"/>
  <c r="K554" i="31"/>
  <c r="K446" i="31"/>
  <c r="K591" i="31"/>
  <c r="K469" i="31"/>
  <c r="K407" i="31"/>
  <c r="K584" i="31"/>
  <c r="K579" i="31"/>
  <c r="K521" i="31"/>
  <c r="K339" i="31"/>
  <c r="K341" i="31"/>
  <c r="K480" i="31"/>
  <c r="K318" i="31"/>
  <c r="K334" i="31"/>
  <c r="K360" i="31"/>
  <c r="K517" i="31"/>
  <c r="K488" i="31"/>
  <c r="K337" i="31"/>
  <c r="K598" i="31"/>
  <c r="K536" i="31"/>
  <c r="K355" i="31"/>
  <c r="K357" i="31"/>
  <c r="K327" i="31"/>
  <c r="K349" i="31"/>
  <c r="K589" i="31"/>
  <c r="K315" i="31"/>
  <c r="K461" i="31"/>
  <c r="K471" i="31"/>
  <c r="K316" i="31"/>
  <c r="K611" i="31"/>
  <c r="K363" i="31"/>
  <c r="K390" i="31"/>
  <c r="K338" i="31"/>
  <c r="K490" i="31"/>
  <c r="K382" i="31"/>
  <c r="K547" i="31"/>
  <c r="K485" i="31"/>
  <c r="K572" i="31"/>
  <c r="K507" i="31"/>
  <c r="K543" i="31"/>
  <c r="K331" i="31"/>
  <c r="K440" i="31"/>
  <c r="K368" i="31"/>
  <c r="K492" i="31"/>
  <c r="K552" i="31"/>
  <c r="K367" i="31"/>
  <c r="K415" i="31"/>
  <c r="K529" i="31"/>
  <c r="K396" i="31"/>
  <c r="K380" i="31"/>
  <c r="K447" i="31"/>
  <c r="K590" i="31"/>
  <c r="K431" i="31"/>
  <c r="K353" i="31"/>
  <c r="AI575" i="31"/>
  <c r="AI534" i="31"/>
  <c r="AI414" i="31"/>
  <c r="AI551" i="31"/>
  <c r="AI492" i="31"/>
  <c r="AI439" i="31"/>
  <c r="AI488" i="31"/>
  <c r="AI345" i="31"/>
  <c r="AI596" i="31"/>
  <c r="AI335" i="31"/>
  <c r="AI333" i="31"/>
  <c r="AI500" i="31"/>
  <c r="AI573" i="31"/>
  <c r="AI608" i="31"/>
  <c r="AI330" i="31"/>
  <c r="AI499" i="31"/>
  <c r="AI461" i="31"/>
  <c r="AI591" i="31"/>
  <c r="AI554" i="31"/>
  <c r="AI574" i="31"/>
  <c r="AI353" i="31"/>
  <c r="AI470" i="31"/>
  <c r="AI417" i="31"/>
  <c r="AI543" i="31"/>
  <c r="AI431" i="31"/>
  <c r="AI315" i="31"/>
  <c r="AI320" i="31"/>
  <c r="AI569" i="31"/>
  <c r="AI607" i="31"/>
  <c r="AI440" i="31"/>
  <c r="AI404" i="31"/>
  <c r="AI610" i="31"/>
  <c r="AI334" i="31"/>
  <c r="AI609" i="31"/>
  <c r="AI578" i="31"/>
  <c r="AI586" i="31"/>
  <c r="AI599" i="31"/>
  <c r="AI584" i="31"/>
  <c r="AI525" i="31"/>
  <c r="AI350" i="31"/>
  <c r="AI507" i="31"/>
  <c r="AI580" i="31"/>
  <c r="AI368" i="31"/>
  <c r="AI319" i="31"/>
  <c r="AI416" i="31"/>
  <c r="AI472" i="31"/>
  <c r="AI603" i="31"/>
  <c r="AI601" i="31"/>
  <c r="AI590" i="31"/>
  <c r="AI373" i="31"/>
  <c r="AI349" i="31"/>
  <c r="AI337" i="31"/>
  <c r="AI572" i="31"/>
  <c r="AI321" i="31"/>
  <c r="AI318" i="31"/>
  <c r="AI562" i="31"/>
  <c r="AI480" i="31"/>
  <c r="AI598" i="31"/>
  <c r="AI611" i="31"/>
  <c r="AI357" i="31"/>
  <c r="AI430" i="31"/>
  <c r="AI545" i="31"/>
  <c r="AI316" i="31"/>
  <c r="AI338" i="31"/>
  <c r="AI563" i="31"/>
  <c r="AI328" i="31"/>
  <c r="AI561" i="31"/>
  <c r="AI327" i="31"/>
  <c r="AI605" i="31"/>
  <c r="AI374" i="31"/>
  <c r="AI557" i="31"/>
  <c r="AI402" i="31"/>
  <c r="AI375" i="31"/>
  <c r="L326" i="31"/>
  <c r="L498" i="31"/>
  <c r="L354" i="31"/>
  <c r="L467" i="31"/>
  <c r="L414" i="31"/>
  <c r="L349" i="31"/>
  <c r="L366" i="31"/>
  <c r="L446" i="31"/>
  <c r="L567" i="31"/>
  <c r="L553" i="31"/>
  <c r="L355" i="31"/>
  <c r="L544" i="31"/>
  <c r="L339" i="31"/>
  <c r="L466" i="31"/>
  <c r="L572" i="31"/>
  <c r="L315" i="31"/>
  <c r="L540" i="31"/>
  <c r="L372" i="31"/>
  <c r="L389" i="31"/>
  <c r="L596" i="31"/>
  <c r="L382" i="31"/>
  <c r="L492" i="31"/>
  <c r="L407" i="31"/>
  <c r="L480" i="31"/>
  <c r="L529" i="31"/>
  <c r="L321" i="31"/>
  <c r="L471" i="31"/>
  <c r="L416" i="31"/>
  <c r="L363" i="31"/>
  <c r="L447" i="31"/>
  <c r="L579" i="31"/>
  <c r="L561" i="31"/>
  <c r="L330" i="31"/>
  <c r="L536" i="31"/>
  <c r="L568" i="31"/>
  <c r="L345" i="31"/>
  <c r="L574" i="31"/>
  <c r="L317" i="31"/>
  <c r="L374" i="31"/>
  <c r="L586" i="31"/>
  <c r="L350" i="31"/>
  <c r="L569" i="31"/>
  <c r="L352" i="31"/>
  <c r="L440" i="31"/>
  <c r="L367" i="31"/>
  <c r="L475" i="31"/>
  <c r="L488" i="31"/>
  <c r="L320" i="31"/>
  <c r="L580" i="31"/>
  <c r="L499" i="31"/>
  <c r="L608" i="31"/>
  <c r="L403" i="31"/>
  <c r="L368" i="31"/>
  <c r="L539" i="31"/>
  <c r="L603" i="31"/>
  <c r="L370" i="31"/>
  <c r="L555" i="31"/>
  <c r="L353" i="31"/>
  <c r="L357" i="31"/>
  <c r="L545" i="31"/>
  <c r="L319" i="31"/>
  <c r="L509" i="31"/>
  <c r="L338" i="31"/>
  <c r="L454" i="31"/>
  <c r="L554" i="31"/>
  <c r="L493" i="31"/>
  <c r="L327" i="31"/>
  <c r="L404" i="31"/>
  <c r="L328" i="31"/>
  <c r="L510" i="31"/>
  <c r="L611" i="31"/>
  <c r="L333" i="31"/>
  <c r="L461" i="31"/>
  <c r="L365" i="31"/>
  <c r="L605" i="31"/>
  <c r="L490" i="31"/>
  <c r="L316" i="31"/>
  <c r="L598" i="31"/>
  <c r="L577" i="31"/>
  <c r="L547" i="31"/>
  <c r="L557" i="31"/>
  <c r="L331" i="31"/>
  <c r="L380" i="31"/>
  <c r="L408" i="31"/>
  <c r="L543" i="31"/>
  <c r="L517" i="31"/>
  <c r="L472" i="31"/>
  <c r="L359" i="31"/>
  <c r="L431" i="31"/>
  <c r="L578" i="31"/>
  <c r="L341" i="31"/>
  <c r="L607" i="31"/>
  <c r="L402" i="31"/>
  <c r="L556" i="31"/>
  <c r="L399" i="31"/>
  <c r="L417" i="31"/>
  <c r="L439" i="31"/>
  <c r="L401" i="31"/>
  <c r="L335" i="31"/>
  <c r="L361" i="31"/>
  <c r="L334" i="31"/>
  <c r="L318" i="31"/>
  <c r="L521" i="31"/>
  <c r="L573" i="31"/>
  <c r="L500" i="31"/>
  <c r="L487" i="31"/>
  <c r="L601" i="31"/>
  <c r="L562" i="31"/>
  <c r="L430" i="31"/>
  <c r="L489" i="31"/>
  <c r="L538" i="31"/>
  <c r="L584" i="31"/>
  <c r="L609" i="31"/>
  <c r="L552" i="31"/>
  <c r="L610" i="31"/>
  <c r="L507" i="31"/>
  <c r="L591" i="31"/>
  <c r="L583" i="31"/>
  <c r="L390" i="31"/>
  <c r="L563" i="31"/>
  <c r="L599" i="31"/>
  <c r="L360" i="31"/>
  <c r="L375" i="31"/>
  <c r="L525" i="31"/>
  <c r="L606" i="31"/>
  <c r="L590" i="31"/>
  <c r="L470" i="31"/>
  <c r="X326" i="31"/>
  <c r="X354" i="31"/>
  <c r="X414" i="31"/>
  <c r="X591" i="31"/>
  <c r="X611" i="31"/>
  <c r="X605" i="31"/>
  <c r="X327" i="31"/>
  <c r="X316" i="31"/>
  <c r="X525" i="31"/>
  <c r="X578" i="31"/>
  <c r="X492" i="31"/>
  <c r="X399" i="31"/>
  <c r="X538" i="31"/>
  <c r="X404" i="31"/>
  <c r="X590" i="31"/>
  <c r="X335" i="31"/>
  <c r="X472" i="31"/>
  <c r="X408" i="31"/>
  <c r="X333" i="31"/>
  <c r="X319" i="31"/>
  <c r="X607" i="31"/>
  <c r="X500" i="31"/>
  <c r="X554" i="31"/>
  <c r="X328" i="31"/>
  <c r="X603" i="31"/>
  <c r="X402" i="31"/>
  <c r="X352" i="31"/>
  <c r="X370" i="31"/>
  <c r="X350" i="31"/>
  <c r="X488" i="31"/>
  <c r="X574" i="31"/>
  <c r="X596" i="31"/>
  <c r="X499" i="31"/>
  <c r="X568" i="31"/>
  <c r="X407" i="31"/>
  <c r="X557" i="31"/>
  <c r="X403" i="31"/>
  <c r="X345" i="31"/>
  <c r="X375" i="31"/>
  <c r="X353" i="31"/>
  <c r="X556" i="31"/>
  <c r="X580" i="31"/>
  <c r="X416" i="31"/>
  <c r="X334" i="31"/>
  <c r="X553" i="31"/>
  <c r="X584" i="31"/>
  <c r="X543" i="31"/>
  <c r="X610" i="31"/>
  <c r="X489" i="31"/>
  <c r="X338" i="31"/>
  <c r="X480" i="31"/>
  <c r="X563" i="31"/>
  <c r="X573" i="31"/>
  <c r="X561" i="31"/>
  <c r="X330" i="31"/>
  <c r="X446" i="31"/>
  <c r="X357" i="31"/>
  <c r="X586" i="31"/>
  <c r="X431" i="31"/>
  <c r="X608" i="31"/>
  <c r="X583" i="31"/>
  <c r="X355" i="31"/>
  <c r="X567" i="31"/>
  <c r="X417" i="31"/>
  <c r="X507" i="31"/>
  <c r="X321" i="31"/>
  <c r="X470" i="31"/>
  <c r="X461" i="31"/>
  <c r="X599" i="31"/>
  <c r="X466" i="31"/>
  <c r="X598" i="31"/>
  <c r="X401" i="31"/>
  <c r="X536" i="31"/>
  <c r="X569" i="31"/>
  <c r="X430" i="31"/>
  <c r="X601" i="31"/>
  <c r="X320" i="31"/>
  <c r="X562" i="31"/>
  <c r="X318" i="31"/>
  <c r="X439" i="31"/>
  <c r="X572" i="31"/>
  <c r="X545" i="31"/>
  <c r="X374" i="31"/>
  <c r="X368" i="31"/>
  <c r="X389" i="31"/>
  <c r="X349" i="31"/>
  <c r="X609" i="31"/>
  <c r="X331" i="31"/>
  <c r="X315" i="31"/>
  <c r="X372" i="31"/>
  <c r="X440" i="31"/>
  <c r="Y414" i="31"/>
  <c r="Y326" i="31"/>
  <c r="Y354" i="31"/>
  <c r="Y440" i="31"/>
  <c r="Y557" i="31"/>
  <c r="Y492" i="31"/>
  <c r="Y536" i="31"/>
  <c r="Y480" i="31"/>
  <c r="Y374" i="31"/>
  <c r="Y609" i="31"/>
  <c r="Y349" i="31"/>
  <c r="Y334" i="31"/>
  <c r="Y556" i="31"/>
  <c r="Y401" i="31"/>
  <c r="Y319" i="31"/>
  <c r="Y330" i="31"/>
  <c r="Y598" i="31"/>
  <c r="Y466" i="31"/>
  <c r="Y461" i="31"/>
  <c r="Y431" i="31"/>
  <c r="Y489" i="31"/>
  <c r="Y608" i="31"/>
  <c r="Y562" i="31"/>
  <c r="Y316" i="31"/>
  <c r="Y573" i="31"/>
  <c r="Y321" i="31"/>
  <c r="Y500" i="31"/>
  <c r="Y599" i="31"/>
  <c r="Y563" i="31"/>
  <c r="Y578" i="31"/>
  <c r="Y350" i="31"/>
  <c r="Y488" i="31"/>
  <c r="Y327" i="31"/>
  <c r="Y507" i="31"/>
  <c r="Y591" i="31"/>
  <c r="Y407" i="31"/>
  <c r="Y590" i="31"/>
  <c r="Y580" i="31"/>
  <c r="Y596" i="31"/>
  <c r="Y417" i="31"/>
  <c r="Y569" i="31"/>
  <c r="Y335" i="31"/>
  <c r="Y561" i="31"/>
  <c r="Y389" i="31"/>
  <c r="Y470" i="31"/>
  <c r="Y538" i="31"/>
  <c r="Y603" i="31"/>
  <c r="Y611" i="31"/>
  <c r="Y375" i="31"/>
  <c r="Y355" i="31"/>
  <c r="Y567" i="31"/>
  <c r="Y525" i="31"/>
  <c r="Y572" i="31"/>
  <c r="Y472" i="31"/>
  <c r="Y320" i="31"/>
  <c r="Y353" i="31"/>
  <c r="Y543" i="31"/>
  <c r="Y583" i="31"/>
  <c r="Y610" i="31"/>
  <c r="Y328" i="31"/>
  <c r="Y318" i="31"/>
  <c r="Y584" i="31"/>
  <c r="Y568" i="31"/>
  <c r="Y333" i="31"/>
  <c r="Y368" i="31"/>
  <c r="Y331" i="31"/>
  <c r="Y574" i="31"/>
  <c r="Y403" i="31"/>
  <c r="Y601" i="31"/>
  <c r="Y399" i="31"/>
  <c r="Y605" i="31"/>
  <c r="Y439" i="31"/>
  <c r="Y545" i="31"/>
  <c r="Y315" i="31"/>
  <c r="Y607" i="31"/>
  <c r="Y586" i="31"/>
  <c r="Y554" i="31"/>
  <c r="Y430" i="31"/>
  <c r="Y338" i="31"/>
  <c r="Y446" i="31"/>
  <c r="N326" i="31"/>
  <c r="N431" i="31"/>
  <c r="N359" i="31"/>
  <c r="N470" i="31"/>
  <c r="N611" i="31"/>
  <c r="N610" i="31"/>
  <c r="N353" i="31"/>
  <c r="N608" i="31"/>
  <c r="N355" i="31"/>
  <c r="N492" i="31"/>
  <c r="N603" i="31"/>
  <c r="N554" i="31"/>
  <c r="N335" i="31"/>
  <c r="N389" i="31"/>
  <c r="N569" i="31"/>
  <c r="N563" i="31"/>
  <c r="N380" i="31"/>
  <c r="N507" i="31"/>
  <c r="N556" i="31"/>
  <c r="N607" i="31"/>
  <c r="N573" i="31"/>
  <c r="N517" i="31"/>
  <c r="N361" i="31"/>
  <c r="N568" i="31"/>
  <c r="N574" i="31"/>
  <c r="N561" i="31"/>
  <c r="N334" i="31"/>
  <c r="N525" i="31"/>
  <c r="N538" i="31"/>
  <c r="N375" i="31"/>
  <c r="N403" i="31"/>
  <c r="N341" i="31"/>
  <c r="N544" i="31"/>
  <c r="N567" i="31"/>
  <c r="N368" i="31"/>
  <c r="N350" i="31"/>
  <c r="N599" i="31"/>
  <c r="N401" i="31"/>
  <c r="N315" i="31"/>
  <c r="N545" i="31"/>
  <c r="N331" i="31"/>
  <c r="N583" i="31"/>
  <c r="N417" i="31"/>
  <c r="N586" i="31"/>
  <c r="N509" i="31"/>
  <c r="N547" i="31"/>
  <c r="N316" i="31"/>
  <c r="N480" i="31"/>
  <c r="N572" i="31"/>
  <c r="N318" i="31"/>
  <c r="N601" i="31"/>
  <c r="N609" i="31"/>
  <c r="N430" i="31"/>
  <c r="N543" i="31"/>
  <c r="N591" i="31"/>
  <c r="N605" i="31"/>
  <c r="N360" i="31"/>
  <c r="N580" i="31"/>
  <c r="N598" i="31"/>
  <c r="N472" i="31"/>
  <c r="N590" i="31"/>
  <c r="N374" i="31"/>
  <c r="N562" i="31"/>
  <c r="N461" i="31"/>
  <c r="N320" i="31"/>
  <c r="N333" i="31"/>
  <c r="N447" i="31"/>
  <c r="N330" i="31"/>
  <c r="N596" i="31"/>
  <c r="N319" i="31"/>
  <c r="N489" i="31"/>
  <c r="N367" i="31"/>
  <c r="N349" i="31"/>
  <c r="N382" i="31"/>
  <c r="N339" i="31"/>
  <c r="N488" i="31"/>
  <c r="N500" i="31"/>
  <c r="N328" i="31"/>
  <c r="N536" i="31"/>
  <c r="N552" i="31"/>
  <c r="N529" i="31"/>
  <c r="N454" i="31"/>
  <c r="N321" i="31"/>
  <c r="N466" i="31"/>
  <c r="N327" i="31"/>
  <c r="N365" i="31"/>
  <c r="N584" i="31"/>
  <c r="N540" i="31"/>
  <c r="N338" i="31"/>
  <c r="N557" i="31"/>
  <c r="N578" i="31"/>
  <c r="Z326" i="31"/>
  <c r="Z470" i="31"/>
  <c r="Z557" i="31"/>
  <c r="Z318" i="31"/>
  <c r="Z488" i="31"/>
  <c r="Z586" i="31"/>
  <c r="Z349" i="31"/>
  <c r="Z543" i="31"/>
  <c r="Z599" i="31"/>
  <c r="Z607" i="31"/>
  <c r="Z500" i="31"/>
  <c r="Z466" i="31"/>
  <c r="Z590" i="31"/>
  <c r="Z569" i="31"/>
  <c r="Z596" i="31"/>
  <c r="Z609" i="31"/>
  <c r="Z328" i="31"/>
  <c r="Z610" i="31"/>
  <c r="Z330" i="31"/>
  <c r="Z315" i="31"/>
  <c r="Z368" i="31"/>
  <c r="Z545" i="31"/>
  <c r="Z375" i="31"/>
  <c r="Z562" i="31"/>
  <c r="Z389" i="31"/>
  <c r="Z567" i="31"/>
  <c r="Z334" i="31"/>
  <c r="Z331" i="31"/>
  <c r="Z417" i="31"/>
  <c r="Z601" i="31"/>
  <c r="Z319" i="31"/>
  <c r="Z338" i="31"/>
  <c r="Z492" i="31"/>
  <c r="Z353" i="31"/>
  <c r="Z554" i="31"/>
  <c r="Z574" i="31"/>
  <c r="Z335" i="31"/>
  <c r="Z591" i="31"/>
  <c r="Z538" i="31"/>
  <c r="Z321" i="31"/>
  <c r="Z561" i="31"/>
  <c r="Z320" i="31"/>
  <c r="Z430" i="31"/>
  <c r="Z480" i="31"/>
  <c r="Z374" i="31"/>
  <c r="Z355" i="31"/>
  <c r="Z578" i="31"/>
  <c r="Z580" i="31"/>
  <c r="Z489" i="31"/>
  <c r="Z461" i="31"/>
  <c r="Z605" i="31"/>
  <c r="Z603" i="31"/>
  <c r="Z536" i="31"/>
  <c r="Z525" i="31"/>
  <c r="Z316" i="31"/>
  <c r="Z431" i="31"/>
  <c r="Z350" i="31"/>
  <c r="Z608" i="31"/>
  <c r="Z598" i="31"/>
  <c r="Z327" i="31"/>
  <c r="Z403" i="31"/>
  <c r="Z563" i="31"/>
  <c r="Z401" i="31"/>
  <c r="Z333" i="31"/>
  <c r="Z556" i="31"/>
  <c r="Z583" i="31"/>
  <c r="Z507" i="31"/>
  <c r="Z472" i="31"/>
  <c r="Z573" i="31"/>
  <c r="Z572" i="31"/>
  <c r="Z611" i="31"/>
  <c r="Z568" i="31"/>
  <c r="Z584" i="31"/>
  <c r="O326" i="31"/>
  <c r="O596" i="31"/>
  <c r="O361" i="31"/>
  <c r="O355" i="31"/>
  <c r="O461" i="31"/>
  <c r="O318" i="31"/>
  <c r="O365" i="31"/>
  <c r="O339" i="31"/>
  <c r="O341" i="31"/>
  <c r="O525" i="31"/>
  <c r="O330" i="31"/>
  <c r="O320" i="31"/>
  <c r="O563" i="31"/>
  <c r="O488" i="31"/>
  <c r="O562" i="31"/>
  <c r="O609" i="31"/>
  <c r="O538" i="31"/>
  <c r="O489" i="31"/>
  <c r="O574" i="31"/>
  <c r="O572" i="31"/>
  <c r="O517" i="31"/>
  <c r="O507" i="31"/>
  <c r="O447" i="31"/>
  <c r="O327" i="31"/>
  <c r="O492" i="31"/>
  <c r="O509" i="31"/>
  <c r="O601" i="31"/>
  <c r="O567" i="31"/>
  <c r="O557" i="31"/>
  <c r="O536" i="31"/>
  <c r="O333" i="31"/>
  <c r="O569" i="31"/>
  <c r="O417" i="31"/>
  <c r="O353" i="31"/>
  <c r="O349" i="31"/>
  <c r="O607" i="31"/>
  <c r="O328" i="31"/>
  <c r="O472" i="31"/>
  <c r="O338" i="31"/>
  <c r="O466" i="31"/>
  <c r="O591" i="31"/>
  <c r="O382" i="31"/>
  <c r="O543" i="31"/>
  <c r="O431" i="31"/>
  <c r="O578" i="31"/>
  <c r="O321" i="31"/>
  <c r="O580" i="31"/>
  <c r="O430" i="31"/>
  <c r="O608" i="31"/>
  <c r="O319" i="31"/>
  <c r="O335" i="31"/>
  <c r="O470" i="31"/>
  <c r="O611" i="31"/>
  <c r="O454" i="31"/>
  <c r="O315" i="31"/>
  <c r="O545" i="31"/>
  <c r="O529" i="31"/>
  <c r="O380" i="31"/>
  <c r="O610" i="31"/>
  <c r="O500" i="31"/>
  <c r="O584" i="31"/>
  <c r="O552" i="31"/>
  <c r="O603" i="31"/>
  <c r="O360" i="31"/>
  <c r="O480" i="31"/>
  <c r="O350" i="31"/>
  <c r="O590" i="31"/>
  <c r="O561" i="31"/>
  <c r="O375" i="31"/>
  <c r="O374" i="31"/>
  <c r="O554" i="31"/>
  <c r="O599" i="31"/>
  <c r="O605" i="31"/>
  <c r="O316" i="31"/>
  <c r="O573" i="31"/>
  <c r="O334" i="31"/>
  <c r="O586" i="31"/>
  <c r="O368" i="31"/>
  <c r="P611" i="31"/>
  <c r="P591" i="31"/>
  <c r="P525" i="31"/>
  <c r="P584" i="31"/>
  <c r="P580" i="31"/>
  <c r="P375" i="31"/>
  <c r="P599" i="31"/>
  <c r="P472" i="31"/>
  <c r="P572" i="31"/>
  <c r="P607" i="31"/>
  <c r="P368" i="31"/>
  <c r="P545" i="31"/>
  <c r="P603" i="31"/>
  <c r="P319" i="31"/>
  <c r="P470" i="31"/>
  <c r="P461" i="31"/>
  <c r="P586" i="31"/>
  <c r="P330" i="31"/>
  <c r="P365" i="31"/>
  <c r="P517" i="31"/>
  <c r="P480" i="31"/>
  <c r="P417" i="31"/>
  <c r="P328" i="31"/>
  <c r="P350" i="31"/>
  <c r="P333" i="31"/>
  <c r="P543" i="31"/>
  <c r="P569" i="31"/>
  <c r="P562" i="31"/>
  <c r="P353" i="31"/>
  <c r="P338" i="31"/>
  <c r="P610" i="31"/>
  <c r="P563" i="31"/>
  <c r="P509" i="31"/>
  <c r="P608" i="31"/>
  <c r="P316" i="31"/>
  <c r="P492" i="31"/>
  <c r="P590" i="31"/>
  <c r="P573" i="31"/>
  <c r="P507" i="31"/>
  <c r="P578" i="31"/>
  <c r="P335" i="31"/>
  <c r="P561" i="31"/>
  <c r="P334" i="31"/>
  <c r="P554" i="31"/>
  <c r="P318" i="31"/>
  <c r="P557" i="31"/>
  <c r="P596" i="31"/>
  <c r="P609" i="31"/>
  <c r="P605" i="31"/>
  <c r="P355" i="31"/>
  <c r="P430" i="31"/>
  <c r="P466" i="31"/>
  <c r="P349" i="31"/>
  <c r="P431" i="31"/>
  <c r="P321" i="31"/>
  <c r="P315" i="31"/>
  <c r="P320" i="31"/>
  <c r="P574" i="31"/>
  <c r="P488" i="31"/>
  <c r="P327" i="31"/>
  <c r="S595" i="31"/>
  <c r="S551" i="31"/>
  <c r="S451" i="31"/>
  <c r="S424" i="31"/>
  <c r="S354" i="31"/>
  <c r="S432" i="31"/>
  <c r="S343" i="31"/>
  <c r="S336" i="31"/>
  <c r="S575" i="31"/>
  <c r="S445" i="31"/>
  <c r="S419" i="31"/>
  <c r="S414" i="31"/>
  <c r="S452" i="31"/>
  <c r="S534" i="31"/>
  <c r="S326" i="31"/>
  <c r="S392" i="31"/>
  <c r="S353" i="31"/>
  <c r="S562" i="31"/>
  <c r="S536" i="31"/>
  <c r="S316" i="31"/>
  <c r="S402" i="31"/>
  <c r="S357" i="31"/>
  <c r="S400" i="31"/>
  <c r="S391" i="31"/>
  <c r="S535" i="31"/>
  <c r="S347" i="31"/>
  <c r="S438" i="31"/>
  <c r="S320" i="31"/>
  <c r="S404" i="31"/>
  <c r="S344" i="31"/>
  <c r="S543" i="31"/>
  <c r="S466" i="31"/>
  <c r="S333" i="31"/>
  <c r="S573" i="31"/>
  <c r="S386" i="31"/>
  <c r="S318" i="31"/>
  <c r="S387" i="31"/>
  <c r="S507" i="31"/>
  <c r="S321" i="31"/>
  <c r="S519" i="31"/>
  <c r="S556" i="31"/>
  <c r="S348" i="31"/>
  <c r="S319" i="31"/>
  <c r="S345" i="31"/>
  <c r="S329" i="31"/>
  <c r="S488" i="31"/>
  <c r="S590" i="31"/>
  <c r="S514" i="31"/>
  <c r="S335" i="31"/>
  <c r="S472" i="31"/>
  <c r="S322" i="31"/>
  <c r="S328" i="31"/>
  <c r="S401" i="31"/>
  <c r="S601" i="31"/>
  <c r="S453" i="31"/>
  <c r="S330" i="31"/>
  <c r="S611" i="31"/>
  <c r="S563" i="31"/>
  <c r="S603" i="31"/>
  <c r="S568" i="31"/>
  <c r="S394" i="31"/>
  <c r="S561" i="31"/>
  <c r="S413" i="31"/>
  <c r="S416" i="31"/>
  <c r="S553" i="31"/>
  <c r="S421" i="31"/>
  <c r="S351" i="31"/>
  <c r="S373" i="31"/>
  <c r="S538" i="31"/>
  <c r="S370" i="31"/>
  <c r="S407" i="31"/>
  <c r="S334" i="31"/>
  <c r="S405" i="31"/>
  <c r="S593" i="31"/>
  <c r="S375" i="31"/>
  <c r="S315" i="31"/>
  <c r="S557" i="31"/>
  <c r="S377" i="31"/>
  <c r="S411" i="31"/>
  <c r="S580" i="31"/>
  <c r="S597" i="31"/>
  <c r="S372" i="31"/>
  <c r="S572" i="31"/>
  <c r="S350" i="31"/>
  <c r="S439" i="31"/>
  <c r="S571" i="31"/>
  <c r="S448" i="31"/>
  <c r="S393" i="31"/>
  <c r="S599" i="31"/>
  <c r="S515" i="31"/>
  <c r="S446" i="31"/>
  <c r="S525" i="31"/>
  <c r="S449" i="31"/>
  <c r="S369" i="31"/>
  <c r="S331" i="31"/>
  <c r="S358" i="31"/>
  <c r="S435" i="31"/>
  <c r="S499" i="31"/>
  <c r="S500" i="31"/>
  <c r="S541" i="31"/>
  <c r="S473" i="31"/>
  <c r="S355" i="31"/>
  <c r="S584" i="31"/>
  <c r="S378" i="31"/>
  <c r="S583" i="31"/>
  <c r="S418" i="31"/>
  <c r="S554" i="31"/>
  <c r="S609" i="31"/>
  <c r="S327" i="31"/>
  <c r="S338" i="31"/>
  <c r="S427" i="31"/>
  <c r="S461" i="31"/>
  <c r="S492" i="31"/>
  <c r="S545" i="31"/>
  <c r="S374" i="31"/>
  <c r="S337" i="31"/>
  <c r="S591" i="31"/>
  <c r="S349" i="31"/>
  <c r="S605" i="31"/>
  <c r="S574" i="31"/>
  <c r="S399" i="31"/>
  <c r="S470" i="31"/>
  <c r="S607" i="31"/>
  <c r="S388" i="31"/>
  <c r="S408" i="31"/>
  <c r="S356" i="31"/>
  <c r="S569" i="31"/>
  <c r="S409" i="31"/>
  <c r="S389" i="31"/>
  <c r="S428" i="31"/>
  <c r="S403" i="31"/>
  <c r="S368" i="31"/>
  <c r="S537" i="31"/>
  <c r="S430" i="31"/>
  <c r="S425" i="31"/>
  <c r="S406" i="31"/>
  <c r="S596" i="31"/>
  <c r="S567" i="31"/>
  <c r="S383" i="31"/>
  <c r="S352" i="31"/>
  <c r="S608" i="31"/>
  <c r="S342" i="31"/>
  <c r="S381" i="31"/>
  <c r="S420" i="31"/>
  <c r="S598" i="31"/>
  <c r="S417" i="31"/>
  <c r="S431" i="31"/>
  <c r="S501" i="31"/>
  <c r="S440" i="31"/>
  <c r="S578" i="31"/>
  <c r="S518" i="31"/>
  <c r="S489" i="31"/>
  <c r="S397" i="31"/>
  <c r="S480" i="31"/>
  <c r="S610" i="31"/>
  <c r="S465" i="31"/>
  <c r="S586" i="31"/>
  <c r="S385" i="31"/>
  <c r="AE595" i="31"/>
  <c r="AE551" i="31"/>
  <c r="AE414" i="31"/>
  <c r="AE336" i="31"/>
  <c r="AE534" i="31"/>
  <c r="AE432" i="31"/>
  <c r="AE575" i="31"/>
  <c r="AE554" i="31"/>
  <c r="AE404" i="31"/>
  <c r="AE598" i="31"/>
  <c r="AE386" i="31"/>
  <c r="AE591" i="31"/>
  <c r="AE596" i="31"/>
  <c r="AE601" i="31"/>
  <c r="AE439" i="31"/>
  <c r="AE569" i="31"/>
  <c r="AE611" i="31"/>
  <c r="AE378" i="31"/>
  <c r="AE605" i="31"/>
  <c r="AE345" i="31"/>
  <c r="AE470" i="31"/>
  <c r="AE349" i="31"/>
  <c r="AE545" i="31"/>
  <c r="AE329" i="31"/>
  <c r="AE561" i="31"/>
  <c r="AE397" i="31"/>
  <c r="AE351" i="31"/>
  <c r="AE543" i="31"/>
  <c r="AE335" i="31"/>
  <c r="AE320" i="31"/>
  <c r="AE428" i="31"/>
  <c r="AE507" i="31"/>
  <c r="AE567" i="31"/>
  <c r="AE573" i="31"/>
  <c r="AE402" i="31"/>
  <c r="AE609" i="31"/>
  <c r="AE416" i="31"/>
  <c r="AE492" i="31"/>
  <c r="AE440" i="31"/>
  <c r="AE608" i="31"/>
  <c r="AE525" i="31"/>
  <c r="AE431" i="31"/>
  <c r="AE480" i="31"/>
  <c r="AE337" i="31"/>
  <c r="AE333" i="31"/>
  <c r="AE385" i="31"/>
  <c r="AE500" i="31"/>
  <c r="AE353" i="31"/>
  <c r="AE572" i="31"/>
  <c r="AE375" i="31"/>
  <c r="AE584" i="31"/>
  <c r="AE562" i="31"/>
  <c r="AE580" i="31"/>
  <c r="AE488" i="31"/>
  <c r="AE369" i="31"/>
  <c r="AE347" i="31"/>
  <c r="AE370" i="31"/>
  <c r="AE357" i="31"/>
  <c r="AE499" i="31"/>
  <c r="AE315" i="31"/>
  <c r="AE420" i="31"/>
  <c r="AE358" i="31"/>
  <c r="AE328" i="31"/>
  <c r="AE610" i="31"/>
  <c r="AE461" i="31"/>
  <c r="AE515" i="31"/>
  <c r="AE350" i="31"/>
  <c r="AE593" i="31"/>
  <c r="AE541" i="31"/>
  <c r="AE427" i="31"/>
  <c r="AE316" i="31"/>
  <c r="AE607" i="31"/>
  <c r="AE574" i="31"/>
  <c r="AE578" i="31"/>
  <c r="AE387" i="31"/>
  <c r="AE409" i="31"/>
  <c r="AE563" i="31"/>
  <c r="AE557" i="31"/>
  <c r="AE374" i="31"/>
  <c r="AE599" i="31"/>
  <c r="AE603" i="31"/>
  <c r="AE597" i="31"/>
  <c r="AE338" i="31"/>
  <c r="AE590" i="31"/>
  <c r="AE334" i="31"/>
  <c r="AE318" i="31"/>
  <c r="AE421" i="31"/>
  <c r="AE430" i="31"/>
  <c r="AE368" i="31"/>
  <c r="AE330" i="31"/>
  <c r="AE319" i="31"/>
  <c r="AE321" i="31"/>
  <c r="AE381" i="31"/>
  <c r="AE472" i="31"/>
  <c r="AE413" i="31"/>
  <c r="AE327" i="31"/>
  <c r="AE373" i="31"/>
  <c r="AE348" i="31"/>
  <c r="AE417" i="31"/>
  <c r="AE586" i="31"/>
  <c r="H585" i="31"/>
  <c r="H530" i="31"/>
  <c r="H467" i="31"/>
  <c r="H434" i="31"/>
  <c r="H575" i="31"/>
  <c r="H445" i="31"/>
  <c r="H496" i="31"/>
  <c r="H419" i="31"/>
  <c r="H451" i="31"/>
  <c r="H534" i="31"/>
  <c r="H497" i="31"/>
  <c r="H452" i="31"/>
  <c r="H498" i="31"/>
  <c r="H432" i="31"/>
  <c r="H326" i="31"/>
  <c r="H595" i="31"/>
  <c r="H551" i="31"/>
  <c r="H336" i="31"/>
  <c r="H354" i="31"/>
  <c r="H559" i="31"/>
  <c r="H414" i="31"/>
  <c r="H513" i="31"/>
  <c r="H435" i="31"/>
  <c r="H370" i="31"/>
  <c r="H565" i="31"/>
  <c r="H588" i="31"/>
  <c r="H453" i="31"/>
  <c r="H533" i="31"/>
  <c r="H360" i="31"/>
  <c r="H381" i="31"/>
  <c r="H580" i="31"/>
  <c r="H464" i="31"/>
  <c r="H387" i="31"/>
  <c r="H403" i="31"/>
  <c r="H368" i="31"/>
  <c r="H573" i="31"/>
  <c r="H506" i="31"/>
  <c r="H348" i="31"/>
  <c r="H430" i="31"/>
  <c r="H517" i="31"/>
  <c r="H380" i="31"/>
  <c r="H417" i="31"/>
  <c r="H319" i="31"/>
  <c r="H535" i="31"/>
  <c r="H531" i="31"/>
  <c r="H500" i="31"/>
  <c r="H554" i="31"/>
  <c r="H470" i="31"/>
  <c r="H579" i="31"/>
  <c r="H409" i="31"/>
  <c r="H450" i="31"/>
  <c r="H488" i="31"/>
  <c r="H605" i="31"/>
  <c r="H391" i="31"/>
  <c r="H586" i="31"/>
  <c r="H583" i="31"/>
  <c r="H459" i="31"/>
  <c r="H545" i="31"/>
  <c r="H316" i="31"/>
  <c r="H483" i="31"/>
  <c r="H433" i="31"/>
  <c r="H549" i="31"/>
  <c r="H375" i="31"/>
  <c r="H407" i="31"/>
  <c r="H367" i="31"/>
  <c r="H423" i="31"/>
  <c r="H561" i="31"/>
  <c r="H447" i="31"/>
  <c r="H485" i="31"/>
  <c r="H503" i="31"/>
  <c r="H413" i="31"/>
  <c r="H341" i="31"/>
  <c r="H345" i="31"/>
  <c r="H553" i="31"/>
  <c r="H600" i="31"/>
  <c r="H590" i="31"/>
  <c r="H556" i="31"/>
  <c r="H406" i="31"/>
  <c r="H386" i="31"/>
  <c r="H402" i="31"/>
  <c r="H494" i="31"/>
  <c r="H601" i="31"/>
  <c r="H548" i="31"/>
  <c r="H335" i="31"/>
  <c r="H591" i="31"/>
  <c r="H608" i="31"/>
  <c r="H339" i="31"/>
  <c r="H555" i="31"/>
  <c r="H481" i="31"/>
  <c r="H374" i="31"/>
  <c r="H524" i="31"/>
  <c r="H331" i="31"/>
  <c r="H607" i="31"/>
  <c r="H389" i="31"/>
  <c r="H480" i="31"/>
  <c r="H609" i="31"/>
  <c r="H495" i="31"/>
  <c r="H512" i="31"/>
  <c r="H327" i="31"/>
  <c r="H404" i="31"/>
  <c r="H599" i="31"/>
  <c r="H356" i="31"/>
  <c r="H444" i="31"/>
  <c r="H401" i="31"/>
  <c r="H536" i="31"/>
  <c r="H598" i="31"/>
  <c r="H475" i="31"/>
  <c r="H344" i="31"/>
  <c r="H363" i="31"/>
  <c r="H476" i="31"/>
  <c r="H349" i="31"/>
  <c r="H532" i="31"/>
  <c r="H518" i="31"/>
  <c r="H317" i="31"/>
  <c r="H578" i="31"/>
  <c r="H472" i="31"/>
  <c r="H537" i="31"/>
  <c r="H576" i="31"/>
  <c r="H361" i="31"/>
  <c r="H428" i="31"/>
  <c r="H539" i="31"/>
  <c r="H593" i="31"/>
  <c r="H484" i="31"/>
  <c r="H563" i="31"/>
  <c r="H405" i="31"/>
  <c r="H571" i="31"/>
  <c r="H528" i="31"/>
  <c r="H328" i="31"/>
  <c r="H493" i="31"/>
  <c r="H489" i="31"/>
  <c r="H420" i="31"/>
  <c r="H461" i="31"/>
  <c r="H463" i="31"/>
  <c r="H383" i="31"/>
  <c r="H358" i="31"/>
  <c r="H442" i="31"/>
  <c r="H603" i="31"/>
  <c r="H471" i="31"/>
  <c r="H382" i="31"/>
  <c r="H395" i="31"/>
  <c r="H568" i="31"/>
  <c r="H321" i="31"/>
  <c r="H544" i="31"/>
  <c r="H510" i="31"/>
  <c r="H577" i="31"/>
  <c r="H478" i="31"/>
  <c r="H365" i="31"/>
  <c r="H519" i="31"/>
  <c r="H569" i="31"/>
  <c r="H385" i="31"/>
  <c r="H322" i="31"/>
  <c r="H320" i="31"/>
  <c r="H596" i="31"/>
  <c r="H315" i="31"/>
  <c r="H499" i="31"/>
  <c r="H465" i="31"/>
  <c r="H390" i="31"/>
  <c r="H562" i="31"/>
  <c r="H466" i="31"/>
  <c r="H392" i="31"/>
  <c r="H529" i="31"/>
  <c r="H377" i="31"/>
  <c r="H438" i="31"/>
  <c r="H399" i="31"/>
  <c r="H541" i="31"/>
  <c r="H454" i="31"/>
  <c r="H366" i="31"/>
  <c r="H353" i="31"/>
  <c r="H507" i="31"/>
  <c r="H355" i="31"/>
  <c r="H570" i="31"/>
  <c r="H369" i="31"/>
  <c r="H557" i="31"/>
  <c r="H415" i="31"/>
  <c r="H411" i="31"/>
  <c r="H487" i="31"/>
  <c r="H543" i="31"/>
  <c r="H589" i="31"/>
  <c r="H425" i="31"/>
  <c r="H352" i="31"/>
  <c r="H458" i="31"/>
  <c r="H318" i="31"/>
  <c r="H372" i="31"/>
  <c r="H373" i="31"/>
  <c r="H611" i="31"/>
  <c r="H323" i="31"/>
  <c r="H446" i="31"/>
  <c r="H521" i="31"/>
  <c r="H525" i="31"/>
  <c r="H473" i="31"/>
  <c r="H441" i="31"/>
  <c r="H592" i="31"/>
  <c r="H378" i="31"/>
  <c r="H457" i="31"/>
  <c r="H469" i="31"/>
  <c r="H540" i="31"/>
  <c r="H606" i="31"/>
  <c r="H350" i="31"/>
  <c r="H359" i="31"/>
  <c r="H337" i="31"/>
  <c r="H509" i="31"/>
  <c r="H440" i="31"/>
  <c r="H582" i="31"/>
  <c r="H515" i="31"/>
  <c r="H514" i="31"/>
  <c r="H396" i="31"/>
  <c r="H334" i="31"/>
  <c r="H567" i="31"/>
  <c r="H431" i="31"/>
  <c r="H388" i="31"/>
  <c r="H610" i="31"/>
  <c r="H566" i="31"/>
  <c r="H333" i="31"/>
  <c r="H439" i="31"/>
  <c r="H574" i="31"/>
  <c r="H552" i="31"/>
  <c r="H394" i="31"/>
  <c r="H542" i="31"/>
  <c r="H408" i="31"/>
  <c r="H357" i="31"/>
  <c r="H330" i="31"/>
  <c r="H572" i="31"/>
  <c r="H492" i="31"/>
  <c r="H416" i="31"/>
  <c r="H526" i="31"/>
  <c r="H584" i="31"/>
  <c r="H477" i="31"/>
  <c r="H538" i="31"/>
  <c r="H338" i="31"/>
  <c r="H400" i="31"/>
  <c r="H547" i="31"/>
  <c r="H490" i="31"/>
  <c r="T432" i="31"/>
  <c r="T575" i="31"/>
  <c r="T336" i="31"/>
  <c r="T354" i="31"/>
  <c r="T551" i="31"/>
  <c r="T445" i="31"/>
  <c r="T419" i="31"/>
  <c r="T595" i="31"/>
  <c r="T414" i="31"/>
  <c r="T451" i="31"/>
  <c r="T452" i="31"/>
  <c r="T534" i="31"/>
  <c r="T326" i="31"/>
  <c r="T599" i="31"/>
  <c r="T611" i="31"/>
  <c r="T563" i="31"/>
  <c r="T499" i="31"/>
  <c r="T344" i="31"/>
  <c r="T381" i="31"/>
  <c r="T461" i="31"/>
  <c r="T348" i="31"/>
  <c r="T383" i="31"/>
  <c r="T562" i="31"/>
  <c r="T465" i="31"/>
  <c r="T377" i="31"/>
  <c r="T440" i="31"/>
  <c r="T591" i="31"/>
  <c r="T610" i="31"/>
  <c r="T596" i="31"/>
  <c r="T428" i="31"/>
  <c r="T519" i="31"/>
  <c r="T315" i="31"/>
  <c r="T386" i="31"/>
  <c r="T411" i="31"/>
  <c r="T370" i="31"/>
  <c r="T327" i="31"/>
  <c r="T372" i="31"/>
  <c r="T349" i="31"/>
  <c r="T319" i="31"/>
  <c r="T404" i="31"/>
  <c r="T417" i="31"/>
  <c r="T584" i="31"/>
  <c r="T480" i="31"/>
  <c r="T338" i="31"/>
  <c r="T609" i="31"/>
  <c r="T389" i="31"/>
  <c r="T321" i="31"/>
  <c r="T413" i="31"/>
  <c r="T385" i="31"/>
  <c r="T590" i="31"/>
  <c r="T402" i="31"/>
  <c r="T568" i="31"/>
  <c r="T453" i="31"/>
  <c r="T368" i="31"/>
  <c r="T569" i="31"/>
  <c r="T578" i="31"/>
  <c r="T557" i="31"/>
  <c r="T536" i="31"/>
  <c r="T472" i="31"/>
  <c r="T567" i="31"/>
  <c r="T586" i="31"/>
  <c r="T435" i="31"/>
  <c r="T514" i="31"/>
  <c r="T492" i="31"/>
  <c r="T378" i="31"/>
  <c r="T580" i="31"/>
  <c r="T537" i="31"/>
  <c r="T331" i="31"/>
  <c r="T608" i="31"/>
  <c r="T416" i="31"/>
  <c r="T353" i="31"/>
  <c r="T400" i="31"/>
  <c r="T408" i="31"/>
  <c r="T356" i="31"/>
  <c r="T541" i="31"/>
  <c r="T357" i="31"/>
  <c r="T525" i="31"/>
  <c r="T374" i="31"/>
  <c r="T573" i="31"/>
  <c r="T425" i="31"/>
  <c r="T350" i="31"/>
  <c r="T399" i="31"/>
  <c r="T358" i="31"/>
  <c r="T320" i="31"/>
  <c r="T601" i="31"/>
  <c r="T518" i="31"/>
  <c r="T375" i="31"/>
  <c r="T607" i="31"/>
  <c r="T473" i="31"/>
  <c r="T355" i="31"/>
  <c r="T420" i="31"/>
  <c r="T545" i="31"/>
  <c r="T387" i="31"/>
  <c r="T605" i="31"/>
  <c r="T405" i="31"/>
  <c r="T438" i="31"/>
  <c r="T446" i="31"/>
  <c r="T369" i="31"/>
  <c r="T316" i="31"/>
  <c r="T391" i="31"/>
  <c r="T543" i="31"/>
  <c r="T430" i="31"/>
  <c r="T394" i="31"/>
  <c r="T409" i="31"/>
  <c r="T554" i="31"/>
  <c r="T572" i="31"/>
  <c r="T352" i="31"/>
  <c r="T500" i="31"/>
  <c r="T345" i="31"/>
  <c r="T593" i="31"/>
  <c r="T507" i="31"/>
  <c r="T488" i="31"/>
  <c r="T403" i="31"/>
  <c r="T603" i="31"/>
  <c r="T337" i="31"/>
  <c r="T406" i="31"/>
  <c r="T328" i="31"/>
  <c r="T318" i="31"/>
  <c r="T583" i="31"/>
  <c r="T322" i="31"/>
  <c r="T553" i="31"/>
  <c r="T401" i="31"/>
  <c r="T388" i="31"/>
  <c r="T466" i="31"/>
  <c r="T535" i="31"/>
  <c r="T407" i="31"/>
  <c r="T561" i="31"/>
  <c r="T538" i="31"/>
  <c r="T392" i="31"/>
  <c r="T431" i="31"/>
  <c r="T598" i="31"/>
  <c r="T571" i="31"/>
  <c r="T574" i="31"/>
  <c r="T373" i="31"/>
  <c r="T335" i="31"/>
  <c r="T489" i="31"/>
  <c r="T330" i="31"/>
  <c r="T470" i="31"/>
  <c r="T439" i="31"/>
  <c r="T333" i="31"/>
  <c r="T556" i="31"/>
  <c r="T515" i="31"/>
  <c r="T334" i="31"/>
  <c r="AF595" i="31"/>
  <c r="AF551" i="31"/>
  <c r="AF534" i="31"/>
  <c r="AF432" i="31"/>
  <c r="AF336" i="31"/>
  <c r="AF575" i="31"/>
  <c r="AF414" i="31"/>
  <c r="AF572" i="31"/>
  <c r="AF375" i="31"/>
  <c r="AF358" i="31"/>
  <c r="AF321" i="31"/>
  <c r="AF586" i="31"/>
  <c r="AF611" i="31"/>
  <c r="AF327" i="31"/>
  <c r="AF605" i="31"/>
  <c r="AF387" i="31"/>
  <c r="AF541" i="31"/>
  <c r="AF350" i="31"/>
  <c r="AF500" i="31"/>
  <c r="AF378" i="31"/>
  <c r="AF431" i="31"/>
  <c r="AF561" i="31"/>
  <c r="AF472" i="31"/>
  <c r="AF370" i="31"/>
  <c r="AF402" i="31"/>
  <c r="AF599" i="31"/>
  <c r="AF420" i="31"/>
  <c r="AF492" i="31"/>
  <c r="AF439" i="31"/>
  <c r="AF591" i="31"/>
  <c r="AF525" i="31"/>
  <c r="AF488" i="31"/>
  <c r="AF417" i="31"/>
  <c r="AF319" i="31"/>
  <c r="AF470" i="31"/>
  <c r="AF416" i="31"/>
  <c r="AF554" i="31"/>
  <c r="AF333" i="31"/>
  <c r="AF334" i="31"/>
  <c r="AF318" i="31"/>
  <c r="AF499" i="31"/>
  <c r="AF386" i="31"/>
  <c r="AF515" i="31"/>
  <c r="AF578" i="31"/>
  <c r="AF345" i="31"/>
  <c r="AF315" i="31"/>
  <c r="AF337" i="31"/>
  <c r="AF574" i="31"/>
  <c r="AF557" i="31"/>
  <c r="AF601" i="31"/>
  <c r="AF596" i="31"/>
  <c r="AF609" i="31"/>
  <c r="AF316" i="31"/>
  <c r="AF598" i="31"/>
  <c r="AF569" i="31"/>
  <c r="AF373" i="31"/>
  <c r="AF603" i="31"/>
  <c r="AF330" i="31"/>
  <c r="AF543" i="31"/>
  <c r="AF580" i="31"/>
  <c r="AF563" i="31"/>
  <c r="AF335" i="31"/>
  <c r="AF608" i="31"/>
  <c r="AF607" i="31"/>
  <c r="AF381" i="31"/>
  <c r="AF610" i="31"/>
  <c r="AF349" i="31"/>
  <c r="AF368" i="31"/>
  <c r="AF328" i="31"/>
  <c r="AF374" i="31"/>
  <c r="AF430" i="31"/>
  <c r="AF428" i="31"/>
  <c r="AF584" i="31"/>
  <c r="AF409" i="31"/>
  <c r="AF385" i="31"/>
  <c r="AF357" i="31"/>
  <c r="AF562" i="31"/>
  <c r="AF348" i="31"/>
  <c r="AF573" i="31"/>
  <c r="AF567" i="31"/>
  <c r="AF353" i="31"/>
  <c r="AF545" i="31"/>
  <c r="AF593" i="31"/>
  <c r="AF507" i="31"/>
  <c r="AF480" i="31"/>
  <c r="AF461" i="31"/>
  <c r="AF338" i="31"/>
  <c r="AF413" i="31"/>
  <c r="AF590" i="31"/>
  <c r="AF404" i="31"/>
  <c r="AF320" i="31"/>
  <c r="AF369" i="31"/>
  <c r="AF440" i="31"/>
  <c r="I575" i="31"/>
  <c r="I530" i="31"/>
  <c r="I445" i="31"/>
  <c r="I419" i="31"/>
  <c r="I451" i="31"/>
  <c r="I585" i="31"/>
  <c r="I534" i="31"/>
  <c r="I452" i="31"/>
  <c r="I498" i="31"/>
  <c r="I326" i="31"/>
  <c r="I551" i="31"/>
  <c r="I434" i="31"/>
  <c r="I336" i="31"/>
  <c r="I467" i="31"/>
  <c r="I354" i="31"/>
  <c r="I414" i="31"/>
  <c r="I544" i="31"/>
  <c r="I537" i="31"/>
  <c r="I383" i="31"/>
  <c r="I431" i="31"/>
  <c r="I570" i="31"/>
  <c r="I454" i="31"/>
  <c r="I500" i="31"/>
  <c r="I607" i="31"/>
  <c r="I573" i="31"/>
  <c r="I608" i="31"/>
  <c r="I408" i="31"/>
  <c r="I472" i="31"/>
  <c r="I562" i="31"/>
  <c r="I372" i="31"/>
  <c r="I565" i="31"/>
  <c r="I524" i="31"/>
  <c r="I539" i="31"/>
  <c r="I447" i="31"/>
  <c r="I478" i="31"/>
  <c r="I571" i="31"/>
  <c r="I596" i="31"/>
  <c r="I603" i="31"/>
  <c r="I542" i="31"/>
  <c r="I401" i="31"/>
  <c r="I598" i="31"/>
  <c r="I507" i="31"/>
  <c r="I444" i="31"/>
  <c r="I466" i="31"/>
  <c r="I392" i="31"/>
  <c r="I489" i="31"/>
  <c r="I387" i="31"/>
  <c r="I365" i="31"/>
  <c r="I484" i="31"/>
  <c r="I415" i="31"/>
  <c r="I540" i="31"/>
  <c r="I499" i="31"/>
  <c r="I375" i="31"/>
  <c r="I574" i="31"/>
  <c r="I459" i="31"/>
  <c r="I586" i="31"/>
  <c r="I337" i="31"/>
  <c r="I359" i="31"/>
  <c r="I487" i="31"/>
  <c r="I338" i="31"/>
  <c r="I470" i="31"/>
  <c r="I461" i="31"/>
  <c r="I579" i="31"/>
  <c r="I439" i="31"/>
  <c r="I442" i="31"/>
  <c r="I519" i="31"/>
  <c r="I541" i="31"/>
  <c r="I563" i="31"/>
  <c r="I599" i="31"/>
  <c r="I514" i="31"/>
  <c r="I584" i="31"/>
  <c r="I582" i="31"/>
  <c r="I350" i="31"/>
  <c r="I319" i="31"/>
  <c r="I317" i="31"/>
  <c r="I353" i="31"/>
  <c r="I430" i="31"/>
  <c r="I369" i="31"/>
  <c r="I577" i="31"/>
  <c r="I380" i="31"/>
  <c r="I334" i="31"/>
  <c r="I561" i="31"/>
  <c r="I377" i="31"/>
  <c r="I370" i="31"/>
  <c r="I554" i="31"/>
  <c r="I453" i="31"/>
  <c r="I381" i="31"/>
  <c r="I521" i="31"/>
  <c r="I441" i="31"/>
  <c r="I529" i="31"/>
  <c r="I330" i="31"/>
  <c r="I576" i="31"/>
  <c r="I374" i="31"/>
  <c r="I395" i="31"/>
  <c r="I407" i="31"/>
  <c r="I396" i="31"/>
  <c r="I583" i="31"/>
  <c r="I388" i="31"/>
  <c r="I465" i="31"/>
  <c r="I545" i="31"/>
  <c r="I510" i="31"/>
  <c r="I490" i="31"/>
  <c r="I475" i="31"/>
  <c r="I492" i="31"/>
  <c r="I590" i="31"/>
  <c r="I494" i="31"/>
  <c r="I569" i="31"/>
  <c r="I471" i="31"/>
  <c r="I378" i="31"/>
  <c r="I532" i="31"/>
  <c r="I450" i="31"/>
  <c r="I525" i="31"/>
  <c r="I458" i="31"/>
  <c r="I367" i="31"/>
  <c r="I493" i="31"/>
  <c r="I557" i="31"/>
  <c r="I327" i="31"/>
  <c r="I591" i="31"/>
  <c r="I600" i="31"/>
  <c r="I335" i="31"/>
  <c r="I373" i="31"/>
  <c r="I609" i="31"/>
  <c r="I322" i="31"/>
  <c r="I403" i="31"/>
  <c r="I488" i="31"/>
  <c r="I610" i="31"/>
  <c r="I356" i="31"/>
  <c r="I385" i="31"/>
  <c r="I477" i="31"/>
  <c r="I433" i="31"/>
  <c r="I555" i="31"/>
  <c r="I389" i="31"/>
  <c r="I318" i="31"/>
  <c r="I349" i="31"/>
  <c r="I440" i="31"/>
  <c r="I518" i="31"/>
  <c r="I316" i="31"/>
  <c r="I417" i="31"/>
  <c r="I605" i="31"/>
  <c r="I536" i="31"/>
  <c r="I323" i="31"/>
  <c r="I328" i="31"/>
  <c r="I355" i="31"/>
  <c r="I315" i="31"/>
  <c r="I567" i="31"/>
  <c r="I382" i="31"/>
  <c r="I366" i="31"/>
  <c r="I352" i="31"/>
  <c r="I360" i="31"/>
  <c r="I509" i="31"/>
  <c r="I386" i="31"/>
  <c r="I390" i="31"/>
  <c r="I464" i="31"/>
  <c r="I601" i="31"/>
  <c r="I556" i="31"/>
  <c r="I411" i="31"/>
  <c r="I394" i="31"/>
  <c r="I547" i="31"/>
  <c r="I413" i="31"/>
  <c r="I320" i="31"/>
  <c r="I483" i="31"/>
  <c r="I552" i="31"/>
  <c r="I538" i="31"/>
  <c r="I399" i="31"/>
  <c r="I446" i="31"/>
  <c r="I517" i="31"/>
  <c r="I553" i="31"/>
  <c r="I543" i="31"/>
  <c r="I512" i="31"/>
  <c r="I485" i="31"/>
  <c r="I469" i="31"/>
  <c r="I344" i="31"/>
  <c r="I503" i="31"/>
  <c r="I480" i="31"/>
  <c r="I368" i="31"/>
  <c r="I578" i="31"/>
  <c r="I404" i="31"/>
  <c r="I588" i="31"/>
  <c r="I611" i="31"/>
  <c r="I463" i="31"/>
  <c r="I339" i="31"/>
  <c r="I580" i="31"/>
  <c r="I589" i="31"/>
  <c r="I363" i="31"/>
  <c r="I361" i="31"/>
  <c r="I345" i="31"/>
  <c r="I321" i="31"/>
  <c r="I416" i="31"/>
  <c r="I341" i="31"/>
  <c r="I357" i="31"/>
  <c r="I331" i="31"/>
  <c r="I400" i="31"/>
  <c r="I568" i="31"/>
  <c r="I476" i="31"/>
  <c r="I333" i="31"/>
  <c r="I606" i="31"/>
  <c r="I402" i="31"/>
  <c r="I572" i="31"/>
  <c r="U575" i="31"/>
  <c r="U445" i="31"/>
  <c r="U419" i="31"/>
  <c r="U354" i="31"/>
  <c r="U551" i="31"/>
  <c r="U414" i="31"/>
  <c r="U451" i="31"/>
  <c r="U452" i="31"/>
  <c r="U534" i="31"/>
  <c r="U326" i="31"/>
  <c r="U336" i="31"/>
  <c r="U591" i="31"/>
  <c r="U605" i="31"/>
  <c r="U607" i="31"/>
  <c r="U322" i="31"/>
  <c r="U556" i="31"/>
  <c r="U408" i="31"/>
  <c r="U470" i="31"/>
  <c r="U610" i="31"/>
  <c r="U316" i="31"/>
  <c r="U355" i="31"/>
  <c r="U562" i="31"/>
  <c r="U488" i="31"/>
  <c r="U598" i="31"/>
  <c r="U543" i="31"/>
  <c r="U583" i="31"/>
  <c r="U335" i="31"/>
  <c r="U525" i="31"/>
  <c r="U334" i="31"/>
  <c r="U407" i="31"/>
  <c r="U319" i="31"/>
  <c r="U519" i="31"/>
  <c r="U572" i="31"/>
  <c r="U321" i="31"/>
  <c r="U580" i="31"/>
  <c r="U320" i="31"/>
  <c r="U330" i="31"/>
  <c r="U611" i="31"/>
  <c r="U375" i="31"/>
  <c r="U590" i="31"/>
  <c r="U403" i="31"/>
  <c r="U578" i="31"/>
  <c r="U596" i="31"/>
  <c r="U609" i="31"/>
  <c r="U388" i="31"/>
  <c r="U333" i="31"/>
  <c r="U392" i="31"/>
  <c r="U386" i="31"/>
  <c r="U538" i="31"/>
  <c r="U507" i="31"/>
  <c r="U344" i="31"/>
  <c r="U349" i="31"/>
  <c r="U337" i="31"/>
  <c r="U401" i="31"/>
  <c r="U439" i="31"/>
  <c r="U350" i="31"/>
  <c r="U554" i="31"/>
  <c r="U574" i="31"/>
  <c r="U372" i="31"/>
  <c r="U518" i="31"/>
  <c r="U541" i="31"/>
  <c r="U492" i="31"/>
  <c r="U499" i="31"/>
  <c r="U413" i="31"/>
  <c r="U357" i="31"/>
  <c r="U446" i="31"/>
  <c r="U453" i="31"/>
  <c r="U567" i="31"/>
  <c r="U353" i="31"/>
  <c r="U514" i="31"/>
  <c r="U601" i="31"/>
  <c r="U569" i="31"/>
  <c r="U411" i="31"/>
  <c r="U345" i="31"/>
  <c r="U557" i="31"/>
  <c r="U385" i="31"/>
  <c r="U374" i="31"/>
  <c r="U352" i="31"/>
  <c r="U327" i="31"/>
  <c r="U370" i="31"/>
  <c r="U465" i="31"/>
  <c r="U431" i="31"/>
  <c r="U603" i="31"/>
  <c r="U537" i="31"/>
  <c r="U338" i="31"/>
  <c r="U571" i="31"/>
  <c r="U402" i="31"/>
  <c r="U536" i="31"/>
  <c r="U466" i="31"/>
  <c r="U400" i="31"/>
  <c r="U381" i="31"/>
  <c r="U430" i="31"/>
  <c r="U356" i="31"/>
  <c r="U417" i="31"/>
  <c r="U545" i="31"/>
  <c r="U461" i="31"/>
  <c r="U561" i="31"/>
  <c r="U563" i="31"/>
  <c r="U608" i="31"/>
  <c r="U416" i="31"/>
  <c r="U568" i="31"/>
  <c r="U489" i="31"/>
  <c r="U328" i="31"/>
  <c r="U394" i="31"/>
  <c r="U553" i="31"/>
  <c r="U584" i="31"/>
  <c r="U480" i="31"/>
  <c r="U377" i="31"/>
  <c r="U500" i="31"/>
  <c r="U440" i="31"/>
  <c r="U387" i="31"/>
  <c r="U573" i="31"/>
  <c r="U389" i="31"/>
  <c r="U399" i="31"/>
  <c r="U331" i="31"/>
  <c r="U315" i="31"/>
  <c r="U586" i="31"/>
  <c r="U383" i="31"/>
  <c r="U404" i="31"/>
  <c r="U368" i="31"/>
  <c r="U378" i="31"/>
  <c r="U318" i="31"/>
  <c r="U373" i="31"/>
  <c r="U599" i="31"/>
  <c r="U369" i="31"/>
  <c r="U472" i="31"/>
  <c r="AG534" i="31"/>
  <c r="AG336" i="31"/>
  <c r="AG575" i="31"/>
  <c r="AG414" i="31"/>
  <c r="AG551" i="31"/>
  <c r="AG417" i="31"/>
  <c r="AG599" i="31"/>
  <c r="AG574" i="31"/>
  <c r="AG416" i="31"/>
  <c r="AG461" i="31"/>
  <c r="AG316" i="31"/>
  <c r="AG338" i="31"/>
  <c r="AG318" i="31"/>
  <c r="AG557" i="31"/>
  <c r="AG492" i="31"/>
  <c r="AG507" i="31"/>
  <c r="AG404" i="31"/>
  <c r="AG381" i="31"/>
  <c r="AG572" i="31"/>
  <c r="AG562" i="31"/>
  <c r="AG349" i="31"/>
  <c r="AG373" i="31"/>
  <c r="AG431" i="31"/>
  <c r="AG350" i="31"/>
  <c r="AG480" i="31"/>
  <c r="AG596" i="31"/>
  <c r="AG563" i="31"/>
  <c r="AG499" i="31"/>
  <c r="AG378" i="31"/>
  <c r="AG321" i="31"/>
  <c r="AG569" i="31"/>
  <c r="AG369" i="31"/>
  <c r="AG440" i="31"/>
  <c r="AG561" i="31"/>
  <c r="AG472" i="31"/>
  <c r="AG335" i="31"/>
  <c r="AG598" i="31"/>
  <c r="AG375" i="31"/>
  <c r="AG590" i="31"/>
  <c r="AG488" i="31"/>
  <c r="AG591" i="31"/>
  <c r="AG573" i="31"/>
  <c r="AG337" i="31"/>
  <c r="AG330" i="31"/>
  <c r="AG315" i="31"/>
  <c r="AG470" i="31"/>
  <c r="AG605" i="31"/>
  <c r="AG601" i="31"/>
  <c r="AG327" i="31"/>
  <c r="AG554" i="31"/>
  <c r="AG586" i="31"/>
  <c r="AG578" i="31"/>
  <c r="AG580" i="31"/>
  <c r="AG439" i="31"/>
  <c r="AG345" i="31"/>
  <c r="AG609" i="31"/>
  <c r="AG584" i="31"/>
  <c r="AG500" i="31"/>
  <c r="AG607" i="31"/>
  <c r="AG611" i="31"/>
  <c r="AG402" i="31"/>
  <c r="AG334" i="31"/>
  <c r="AG328" i="31"/>
  <c r="AG374" i="31"/>
  <c r="AG543" i="31"/>
  <c r="AG545" i="31"/>
  <c r="AG387" i="31"/>
  <c r="AG386" i="31"/>
  <c r="AG430" i="31"/>
  <c r="AG541" i="31"/>
  <c r="AG320" i="31"/>
  <c r="AG413" i="31"/>
  <c r="AG525" i="31"/>
  <c r="AG370" i="31"/>
  <c r="AG603" i="31"/>
  <c r="AG353" i="31"/>
  <c r="AG319" i="31"/>
  <c r="AG357" i="31"/>
  <c r="AG368" i="31"/>
  <c r="AG610" i="31"/>
  <c r="AG333" i="31"/>
  <c r="AG608" i="31"/>
  <c r="AG385" i="31"/>
  <c r="BM30" i="15"/>
  <c r="BN30" i="15"/>
  <c r="BN32" i="15"/>
  <c r="BM32" i="15"/>
  <c r="BM25" i="15"/>
  <c r="BN25" i="15"/>
  <c r="BM36" i="15"/>
  <c r="BN36" i="15"/>
  <c r="BN37" i="15"/>
  <c r="BM37" i="15"/>
  <c r="BN38" i="15"/>
  <c r="BM38" i="15"/>
  <c r="K6" i="34"/>
  <c r="L6" i="34" s="1"/>
  <c r="M6" i="34" s="1"/>
  <c r="N6" i="34" s="1"/>
  <c r="O6" i="34" s="1"/>
  <c r="P6" i="34" s="1"/>
  <c r="Q6" i="34" s="1"/>
  <c r="R6" i="34" s="1"/>
  <c r="S6" i="34" s="1"/>
  <c r="T6" i="34" s="1"/>
  <c r="U6" i="34" s="1"/>
  <c r="V6" i="34" s="1"/>
  <c r="W6" i="34" s="1"/>
  <c r="X6" i="34" s="1"/>
  <c r="Y6" i="34" s="1"/>
  <c r="Z6" i="34" s="1"/>
  <c r="AA6" i="34" s="1"/>
  <c r="AB6" i="34" s="1"/>
  <c r="AC6" i="34" s="1"/>
  <c r="AD6" i="34" s="1"/>
  <c r="AE6" i="34" s="1"/>
  <c r="AF6" i="34" s="1"/>
  <c r="AG6" i="34" s="1"/>
  <c r="AH6" i="34" s="1"/>
  <c r="AI6" i="34" s="1"/>
  <c r="AJ6" i="34" s="1"/>
  <c r="AK6" i="34" s="1"/>
  <c r="AL6" i="34" s="1"/>
  <c r="AM6" i="34" s="1"/>
  <c r="AN6" i="34" s="1"/>
  <c r="AO6" i="34" s="1"/>
  <c r="AP6" i="34" s="1"/>
  <c r="AQ9" i="34"/>
  <c r="I6" i="31"/>
  <c r="AP9" i="31" l="1"/>
  <c r="AP18" i="31"/>
  <c r="AP266" i="31"/>
  <c r="AP42" i="31"/>
  <c r="AP46" i="31"/>
  <c r="AP33" i="31"/>
  <c r="AP159" i="31"/>
  <c r="AP30" i="31"/>
  <c r="AP298" i="31"/>
  <c r="AP184" i="31"/>
  <c r="AP294" i="31"/>
  <c r="AP157" i="31"/>
  <c r="AP240" i="31"/>
  <c r="AP230" i="31"/>
  <c r="AP210" i="31"/>
  <c r="AP60" i="31"/>
  <c r="AP211" i="31"/>
  <c r="AP276" i="31"/>
  <c r="AP293" i="31"/>
  <c r="AP41" i="31"/>
  <c r="AP129" i="31"/>
  <c r="AP52" i="31"/>
  <c r="AP78" i="31"/>
  <c r="AP256" i="31"/>
  <c r="AP165" i="31"/>
  <c r="AP258" i="31"/>
  <c r="AP255" i="31"/>
  <c r="AP252" i="31"/>
  <c r="AP82" i="31"/>
  <c r="AP72" i="31"/>
  <c r="AP217" i="31"/>
  <c r="AP304" i="31"/>
  <c r="AP305" i="31"/>
  <c r="AP83" i="31"/>
  <c r="AP75" i="31"/>
  <c r="AP40" i="31"/>
  <c r="AP285" i="31"/>
  <c r="AP10" i="31"/>
  <c r="AP225" i="31"/>
  <c r="AP296" i="31"/>
  <c r="AP185" i="31"/>
  <c r="AP279" i="31"/>
  <c r="AP306" i="31"/>
  <c r="AP290" i="31"/>
  <c r="AP93" i="31"/>
  <c r="AP28" i="31"/>
  <c r="AP263" i="31"/>
  <c r="AP119" i="31"/>
  <c r="AP65" i="31"/>
  <c r="AP92" i="31"/>
  <c r="AP11" i="31"/>
  <c r="AP99" i="31"/>
  <c r="AP187" i="31"/>
  <c r="AP268" i="31"/>
  <c r="AP15" i="31"/>
  <c r="AP202" i="31"/>
  <c r="AP303" i="31"/>
  <c r="AP101" i="31"/>
  <c r="AP96" i="31"/>
  <c r="AP301" i="31"/>
  <c r="AP295" i="31"/>
  <c r="AP300" i="31"/>
  <c r="AP16" i="31"/>
  <c r="AP31" i="31"/>
  <c r="AP13" i="31"/>
  <c r="AP102" i="31"/>
  <c r="AP267" i="31"/>
  <c r="AP21" i="31"/>
  <c r="AP238" i="31"/>
  <c r="AP220" i="31"/>
  <c r="AP112" i="31"/>
  <c r="AP191" i="31"/>
  <c r="AP257" i="31"/>
  <c r="AP49" i="31"/>
  <c r="AP45" i="31"/>
  <c r="AP29" i="31"/>
  <c r="AP198" i="31"/>
  <c r="AP126" i="31"/>
  <c r="AP14" i="31"/>
  <c r="AP249" i="31"/>
  <c r="AP223" i="31"/>
  <c r="AP56" i="31"/>
  <c r="AP128" i="31"/>
  <c r="AP221" i="31"/>
  <c r="AP259" i="31"/>
  <c r="AP163" i="31"/>
  <c r="AP203" i="31"/>
  <c r="AP275" i="31"/>
  <c r="AP22" i="31"/>
  <c r="AP103" i="31"/>
  <c r="AP70" i="31"/>
  <c r="AP85" i="31"/>
  <c r="AP181" i="31"/>
  <c r="AP73" i="31"/>
  <c r="AP134" i="31"/>
  <c r="AP146" i="31"/>
  <c r="AP62" i="31"/>
  <c r="AP269" i="31"/>
  <c r="AP153" i="31"/>
  <c r="AP280" i="31"/>
  <c r="AP175" i="31"/>
  <c r="AP215" i="31"/>
  <c r="AP23" i="31"/>
  <c r="AP135" i="31"/>
  <c r="AP192" i="31"/>
  <c r="AP71" i="31"/>
  <c r="AP54" i="31"/>
  <c r="AP79" i="31"/>
  <c r="AP125" i="31"/>
  <c r="AP137" i="31"/>
  <c r="AP154" i="31"/>
  <c r="AP273" i="31"/>
  <c r="AP291" i="31"/>
  <c r="AP227" i="31"/>
  <c r="AP155" i="31"/>
  <c r="AP58" i="31"/>
  <c r="AP195" i="31"/>
  <c r="AP98" i="31"/>
  <c r="AP127" i="31"/>
  <c r="AP97" i="31"/>
  <c r="AP166" i="31"/>
  <c r="AP156" i="31"/>
  <c r="AP179" i="31"/>
  <c r="AP105" i="31"/>
  <c r="AP25" i="31"/>
  <c r="AP12" i="31"/>
  <c r="AP150" i="31"/>
  <c r="AP302" i="31"/>
  <c r="AP59" i="31"/>
  <c r="AP228" i="31"/>
  <c r="AP32" i="31"/>
  <c r="AP110" i="31"/>
  <c r="AP66" i="31"/>
  <c r="AP140" i="31"/>
  <c r="AP167" i="31"/>
  <c r="AP183" i="31"/>
  <c r="AP190" i="31"/>
  <c r="AP147" i="31"/>
  <c r="AP44" i="31"/>
  <c r="AP24" i="31"/>
  <c r="P17" i="36" s="1"/>
  <c r="AP169" i="31"/>
  <c r="AP124" i="31"/>
  <c r="AP69" i="31"/>
  <c r="AP197" i="31"/>
  <c r="AP236" i="31"/>
  <c r="AP162" i="31"/>
  <c r="AP222" i="31"/>
  <c r="AP143" i="31"/>
  <c r="AP193" i="31"/>
  <c r="AP55" i="31"/>
  <c r="AP199" i="31"/>
  <c r="AP254" i="31"/>
  <c r="AP80" i="31"/>
  <c r="AP38" i="31"/>
  <c r="AP141" i="31"/>
  <c r="AP115" i="31"/>
  <c r="AP264" i="31"/>
  <c r="AP286" i="31"/>
  <c r="AP172" i="31"/>
  <c r="AP204" i="31"/>
  <c r="AP196" i="31"/>
  <c r="AP63" i="31"/>
  <c r="AP48" i="31"/>
  <c r="AP281" i="31"/>
  <c r="AP64" i="31"/>
  <c r="AP194" i="31"/>
  <c r="AP76" i="31"/>
  <c r="AP213" i="31"/>
  <c r="AP53" i="31"/>
  <c r="AP61" i="31"/>
  <c r="AP122" i="31"/>
  <c r="AP50" i="31"/>
  <c r="AP81" i="31"/>
  <c r="AP261" i="31"/>
  <c r="AP289" i="31"/>
  <c r="AP133" i="31"/>
  <c r="AP229" i="31"/>
  <c r="AP245" i="31"/>
  <c r="AP77" i="31"/>
  <c r="AP39" i="31"/>
  <c r="AP88" i="31"/>
  <c r="AP117" i="31"/>
  <c r="AP231" i="31"/>
  <c r="AP248" i="31"/>
  <c r="AP108" i="31"/>
  <c r="AP148" i="31"/>
  <c r="AP111" i="31"/>
  <c r="AP107" i="31"/>
  <c r="AP246" i="31"/>
  <c r="AP131" i="31"/>
  <c r="AP271" i="31"/>
  <c r="AP251" i="31"/>
  <c r="AP109" i="31"/>
  <c r="AP176" i="31"/>
  <c r="AP265" i="31"/>
  <c r="AP180" i="31"/>
  <c r="AP186" i="31"/>
  <c r="AP68" i="31"/>
  <c r="AP270" i="31"/>
  <c r="AP178" i="31"/>
  <c r="AP160" i="31"/>
  <c r="AP206" i="31"/>
  <c r="AP34" i="31"/>
  <c r="AP219" i="31"/>
  <c r="AP297" i="31"/>
  <c r="AP27" i="31"/>
  <c r="AP17" i="31"/>
  <c r="AP19" i="31"/>
  <c r="AP232" i="31"/>
  <c r="AP209" i="31"/>
  <c r="AP262" i="31"/>
  <c r="O307" i="31"/>
  <c r="S307" i="31"/>
  <c r="L307" i="31"/>
  <c r="I307" i="31"/>
  <c r="J307" i="31"/>
  <c r="M307" i="31"/>
  <c r="P307" i="31"/>
  <c r="N307" i="31"/>
  <c r="Q307" i="31"/>
  <c r="T307" i="31"/>
  <c r="R307" i="31"/>
  <c r="Y307" i="31"/>
  <c r="W307" i="31"/>
  <c r="V307" i="31"/>
  <c r="U307" i="31"/>
  <c r="AN307" i="31"/>
  <c r="AN4" i="31" s="1"/>
  <c r="AO307" i="31"/>
  <c r="AO4" i="31" s="1"/>
  <c r="BN217" i="15"/>
  <c r="BM217" i="15"/>
  <c r="BN184" i="15"/>
  <c r="BM184" i="15"/>
  <c r="BN146" i="15"/>
  <c r="BM146" i="15"/>
  <c r="J6" i="31"/>
  <c r="AA307" i="11"/>
  <c r="Z307" i="11"/>
  <c r="Y307" i="11"/>
  <c r="X307" i="11"/>
  <c r="L307" i="11"/>
  <c r="AB305" i="11"/>
  <c r="AA305" i="11"/>
  <c r="Z305" i="11"/>
  <c r="Z311" i="11" s="1"/>
  <c r="I25" i="37" s="1"/>
  <c r="Y305" i="11"/>
  <c r="X305" i="11"/>
  <c r="L305" i="11"/>
  <c r="BB305" i="11"/>
  <c r="BA305" i="11"/>
  <c r="AZ305" i="11"/>
  <c r="AY305" i="11"/>
  <c r="AX305" i="11"/>
  <c r="AW305" i="11"/>
  <c r="AV305" i="11"/>
  <c r="AU305" i="11"/>
  <c r="AT305" i="11"/>
  <c r="AS305" i="11"/>
  <c r="AR305" i="11"/>
  <c r="AQ305" i="11"/>
  <c r="AP305" i="11"/>
  <c r="AO305" i="11"/>
  <c r="AN305" i="11"/>
  <c r="AM305" i="11"/>
  <c r="AL305" i="11"/>
  <c r="AK305" i="11"/>
  <c r="AI305" i="11"/>
  <c r="AH305" i="11"/>
  <c r="AG305" i="11"/>
  <c r="AG309" i="11" s="1"/>
  <c r="AF305" i="11"/>
  <c r="AE305" i="11"/>
  <c r="AD305" i="11"/>
  <c r="AC305" i="11"/>
  <c r="W305" i="11"/>
  <c r="V305" i="11"/>
  <c r="U305" i="11"/>
  <c r="T305" i="11"/>
  <c r="S305" i="11"/>
  <c r="R305" i="11"/>
  <c r="Q305" i="11"/>
  <c r="P305" i="11"/>
  <c r="O305" i="11"/>
  <c r="N305" i="11"/>
  <c r="M305" i="11"/>
  <c r="BB301" i="11"/>
  <c r="BA301" i="11"/>
  <c r="AZ301" i="11"/>
  <c r="AY301" i="11"/>
  <c r="AX301" i="11"/>
  <c r="AW301" i="11"/>
  <c r="AV301" i="11"/>
  <c r="AU301" i="11"/>
  <c r="AT301" i="11"/>
  <c r="AS301" i="11"/>
  <c r="AR301" i="11"/>
  <c r="AQ301" i="11"/>
  <c r="AP301" i="11"/>
  <c r="AO301" i="11"/>
  <c r="AN301" i="11"/>
  <c r="AM301" i="11"/>
  <c r="AL301" i="11"/>
  <c r="AK301" i="11"/>
  <c r="AI301" i="11"/>
  <c r="AR314" i="15" s="1"/>
  <c r="AR315" i="15" s="1"/>
  <c r="AH301" i="11"/>
  <c r="AG301" i="11"/>
  <c r="AF301" i="11"/>
  <c r="AD301" i="11"/>
  <c r="AE301" i="11"/>
  <c r="AQ215" i="20"/>
  <c r="BP35" i="20"/>
  <c r="BO35" i="20"/>
  <c r="BM35" i="20"/>
  <c r="BN35" i="20" s="1"/>
  <c r="BL35" i="20"/>
  <c r="BH35" i="20"/>
  <c r="BI35" i="20" s="1"/>
  <c r="BE35" i="20"/>
  <c r="BP34" i="20"/>
  <c r="BO34" i="20"/>
  <c r="BM34" i="20"/>
  <c r="BN34" i="20" s="1"/>
  <c r="BL34" i="20"/>
  <c r="BH34" i="20"/>
  <c r="BI34" i="20" s="1"/>
  <c r="BE34" i="20"/>
  <c r="BP36" i="20"/>
  <c r="BO36" i="20"/>
  <c r="BM36" i="20"/>
  <c r="BN36" i="20" s="1"/>
  <c r="BL36" i="20"/>
  <c r="BH36" i="20"/>
  <c r="BI36" i="20" s="1"/>
  <c r="BE36" i="20"/>
  <c r="BD36" i="20" s="1"/>
  <c r="BB36" i="20"/>
  <c r="BC36" i="20" s="1"/>
  <c r="AR27" i="20"/>
  <c r="AX27" i="20" s="1"/>
  <c r="AR49" i="20"/>
  <c r="AX49" i="20" s="1"/>
  <c r="AR26" i="20"/>
  <c r="AX26" i="20" s="1"/>
  <c r="AR13" i="20"/>
  <c r="BP69" i="20"/>
  <c r="BO69" i="20"/>
  <c r="BM69" i="20"/>
  <c r="BN69" i="20" s="1"/>
  <c r="BL69" i="20"/>
  <c r="BH69" i="20"/>
  <c r="BI69" i="20" s="1"/>
  <c r="BE69" i="20"/>
  <c r="BD69" i="20" s="1"/>
  <c r="BM41" i="20"/>
  <c r="BN41" i="20" s="1"/>
  <c r="BL41" i="20"/>
  <c r="BH41" i="20"/>
  <c r="BI41" i="20" s="1"/>
  <c r="BE41" i="20"/>
  <c r="BD41" i="20" s="1"/>
  <c r="AP41" i="20"/>
  <c r="AX41" i="20" s="1"/>
  <c r="BP51" i="20"/>
  <c r="BO51" i="20"/>
  <c r="BM51" i="20"/>
  <c r="BN51" i="20" s="1"/>
  <c r="BL51" i="20"/>
  <c r="BH51" i="20"/>
  <c r="BI51" i="20" s="1"/>
  <c r="BE51" i="20"/>
  <c r="BD51" i="20" s="1"/>
  <c r="AR55" i="20"/>
  <c r="AX55" i="20" s="1"/>
  <c r="BP26" i="20"/>
  <c r="BO26" i="20"/>
  <c r="BM26" i="20"/>
  <c r="BN26" i="20" s="1"/>
  <c r="BL26" i="20"/>
  <c r="BH26" i="20"/>
  <c r="BI26" i="20" s="1"/>
  <c r="BE26" i="20"/>
  <c r="BD26" i="20" s="1"/>
  <c r="AR60" i="20"/>
  <c r="AX60" i="20" s="1"/>
  <c r="AR174" i="20" l="1"/>
  <c r="AX13" i="20"/>
  <c r="P39" i="36"/>
  <c r="O39" i="36"/>
  <c r="P272" i="36"/>
  <c r="O272" i="36"/>
  <c r="P78" i="36"/>
  <c r="O78" i="36"/>
  <c r="P233" i="36"/>
  <c r="O233" i="36"/>
  <c r="P8" i="36"/>
  <c r="O8" i="36"/>
  <c r="P288" i="36"/>
  <c r="O288" i="36"/>
  <c r="P25" i="36"/>
  <c r="O25" i="36"/>
  <c r="P92" i="36"/>
  <c r="O92" i="36"/>
  <c r="P221" i="36"/>
  <c r="O221" i="36"/>
  <c r="P208" i="36"/>
  <c r="O208" i="36"/>
  <c r="O247" i="36"/>
  <c r="P247" i="36"/>
  <c r="P122" i="36"/>
  <c r="O122" i="36"/>
  <c r="O52" i="36"/>
  <c r="P52" i="36"/>
  <c r="P98" i="36"/>
  <c r="O98" i="36"/>
  <c r="P16" i="36"/>
  <c r="O16" i="36"/>
  <c r="P242" i="36"/>
  <c r="O242" i="36"/>
  <c r="P184" i="36"/>
  <c r="O184" i="36"/>
  <c r="P24" i="36"/>
  <c r="O24" i="36"/>
  <c r="P4" i="36"/>
  <c r="O4" i="36"/>
  <c r="O3" i="36"/>
  <c r="P3" i="36"/>
  <c r="P126" i="36"/>
  <c r="O126" i="36"/>
  <c r="P192" i="36"/>
  <c r="O192" i="36"/>
  <c r="O58" i="36"/>
  <c r="P58" i="36"/>
  <c r="O17" i="36"/>
  <c r="P61" i="36"/>
  <c r="O61" i="36"/>
  <c r="P258" i="36"/>
  <c r="O258" i="36"/>
  <c r="P86" i="36"/>
  <c r="O86" i="36"/>
  <c r="P148" i="36"/>
  <c r="O148" i="36"/>
  <c r="P202" i="36"/>
  <c r="O202" i="36"/>
  <c r="P169" i="36"/>
  <c r="O169" i="36"/>
  <c r="O124" i="36"/>
  <c r="P124" i="36"/>
  <c r="P291" i="36"/>
  <c r="O291" i="36"/>
  <c r="P23" i="36"/>
  <c r="O23" i="36"/>
  <c r="P89" i="36"/>
  <c r="O89" i="36"/>
  <c r="P69" i="36"/>
  <c r="O69" i="36"/>
  <c r="P149" i="36"/>
  <c r="O149" i="36"/>
  <c r="P112" i="36"/>
  <c r="O112" i="36"/>
  <c r="O199" i="36"/>
  <c r="P199" i="36"/>
  <c r="P222" i="36"/>
  <c r="O222" i="36"/>
  <c r="P159" i="36"/>
  <c r="O159" i="36"/>
  <c r="P147" i="36"/>
  <c r="O147" i="36"/>
  <c r="P248" i="36"/>
  <c r="O248" i="36"/>
  <c r="P254" i="36"/>
  <c r="O254" i="36"/>
  <c r="P11" i="36"/>
  <c r="O11" i="36"/>
  <c r="P2" i="36"/>
  <c r="O2" i="36"/>
  <c r="P185" i="36"/>
  <c r="O185" i="36"/>
  <c r="O274" i="36"/>
  <c r="P274" i="36"/>
  <c r="P244" i="36"/>
  <c r="O244" i="36"/>
  <c r="P218" i="36"/>
  <c r="O218" i="36"/>
  <c r="O286" i="36"/>
  <c r="P286" i="36"/>
  <c r="P7" i="36"/>
  <c r="O7" i="36"/>
  <c r="P108" i="36"/>
  <c r="O108" i="36"/>
  <c r="P189" i="36"/>
  <c r="O189" i="36"/>
  <c r="P174" i="36"/>
  <c r="O174" i="36"/>
  <c r="P48" i="36"/>
  <c r="O48" i="36"/>
  <c r="P55" i="36"/>
  <c r="O55" i="36"/>
  <c r="O262" i="36"/>
  <c r="P262" i="36"/>
  <c r="O223" i="36"/>
  <c r="P223" i="36"/>
  <c r="O119" i="36"/>
  <c r="P119" i="36"/>
  <c r="P241" i="36"/>
  <c r="O241" i="36"/>
  <c r="P32" i="36"/>
  <c r="O32" i="36"/>
  <c r="P256" i="36"/>
  <c r="O256" i="36"/>
  <c r="P115" i="36"/>
  <c r="O115" i="36"/>
  <c r="P183" i="36"/>
  <c r="O183" i="36"/>
  <c r="O146" i="36"/>
  <c r="P146" i="36"/>
  <c r="P85" i="36"/>
  <c r="O85" i="36"/>
  <c r="P74" i="36"/>
  <c r="O74" i="36"/>
  <c r="P100" i="36"/>
  <c r="O100" i="36"/>
  <c r="P245" i="36"/>
  <c r="O245" i="36"/>
  <c r="O179" i="36"/>
  <c r="P179" i="36"/>
  <c r="P31" i="36"/>
  <c r="O31" i="36"/>
  <c r="P64" i="36"/>
  <c r="O64" i="36"/>
  <c r="P56" i="36"/>
  <c r="O56" i="36"/>
  <c r="P121" i="36"/>
  <c r="O121" i="36"/>
  <c r="P290" i="36"/>
  <c r="O290" i="36"/>
  <c r="O259" i="36"/>
  <c r="P259" i="36"/>
  <c r="O250" i="36"/>
  <c r="P250" i="36"/>
  <c r="P239" i="36"/>
  <c r="O239" i="36"/>
  <c r="P203" i="36"/>
  <c r="O203" i="36"/>
  <c r="P225" i="36"/>
  <c r="O225" i="36"/>
  <c r="O63" i="36"/>
  <c r="P63" i="36"/>
  <c r="P186" i="36"/>
  <c r="O186" i="36"/>
  <c r="P26" i="36"/>
  <c r="O26" i="36"/>
  <c r="P90" i="36"/>
  <c r="O90" i="36"/>
  <c r="P284" i="36"/>
  <c r="O284" i="36"/>
  <c r="O191" i="36"/>
  <c r="P191" i="36"/>
  <c r="P105" i="36"/>
  <c r="O105" i="36"/>
  <c r="P9" i="36"/>
  <c r="O9" i="36"/>
  <c r="P21" i="36"/>
  <c r="O21" i="36"/>
  <c r="P278" i="36"/>
  <c r="O278" i="36"/>
  <c r="P57" i="36"/>
  <c r="O57" i="36"/>
  <c r="P91" i="36"/>
  <c r="O91" i="36"/>
  <c r="P33" i="36"/>
  <c r="O33" i="36"/>
  <c r="O104" i="36"/>
  <c r="P104" i="36"/>
  <c r="P160" i="36"/>
  <c r="O160" i="36"/>
  <c r="P195" i="36"/>
  <c r="O195" i="36"/>
  <c r="P62" i="36"/>
  <c r="O62" i="36"/>
  <c r="P81" i="36"/>
  <c r="O81" i="36"/>
  <c r="P196" i="36"/>
  <c r="O196" i="36"/>
  <c r="P139" i="36"/>
  <c r="O139" i="36"/>
  <c r="P172" i="36"/>
  <c r="O172" i="36"/>
  <c r="P128" i="36"/>
  <c r="O128" i="36"/>
  <c r="O197" i="36"/>
  <c r="P197" i="36"/>
  <c r="P94" i="36"/>
  <c r="O94" i="36"/>
  <c r="P41" i="36"/>
  <c r="O41" i="36"/>
  <c r="P168" i="36"/>
  <c r="O168" i="36"/>
  <c r="O43" i="36"/>
  <c r="P43" i="36"/>
  <c r="O136" i="36"/>
  <c r="P136" i="36"/>
  <c r="P120" i="36"/>
  <c r="O120" i="36"/>
  <c r="P266" i="36"/>
  <c r="O266" i="36"/>
  <c r="P35" i="36"/>
  <c r="O35" i="36"/>
  <c r="P22" i="36"/>
  <c r="O22" i="36"/>
  <c r="P213" i="36"/>
  <c r="O213" i="36"/>
  <c r="P293" i="36"/>
  <c r="O293" i="36"/>
  <c r="O68" i="36"/>
  <c r="P68" i="36"/>
  <c r="P178" i="36"/>
  <c r="O178" i="36"/>
  <c r="P229" i="36"/>
  <c r="O229" i="36"/>
  <c r="O188" i="36"/>
  <c r="P188" i="36"/>
  <c r="P47" i="36"/>
  <c r="O47" i="36"/>
  <c r="P260" i="36"/>
  <c r="O260" i="36"/>
  <c r="P70" i="36"/>
  <c r="O70" i="36"/>
  <c r="P133" i="36"/>
  <c r="O133" i="36"/>
  <c r="P177" i="36"/>
  <c r="O177" i="36"/>
  <c r="P10" i="36"/>
  <c r="O10" i="36"/>
  <c r="P59" i="36"/>
  <c r="O59" i="36"/>
  <c r="P261" i="36"/>
  <c r="O261" i="36"/>
  <c r="P73" i="36"/>
  <c r="O73" i="36"/>
  <c r="P49" i="36"/>
  <c r="O49" i="36"/>
  <c r="O212" i="36"/>
  <c r="P212" i="36"/>
  <c r="P162" i="36"/>
  <c r="O162" i="36"/>
  <c r="P249" i="36"/>
  <c r="O249" i="36"/>
  <c r="P110" i="36"/>
  <c r="O110" i="36"/>
  <c r="P165" i="36"/>
  <c r="O165" i="36"/>
  <c r="P297" i="36"/>
  <c r="O297" i="36"/>
  <c r="O298" i="36"/>
  <c r="P298" i="36"/>
  <c r="P96" i="36"/>
  <c r="O96" i="36"/>
  <c r="P279" i="36"/>
  <c r="O279" i="36"/>
  <c r="P75" i="36"/>
  <c r="O75" i="36"/>
  <c r="P215" i="36"/>
  <c r="O215" i="36"/>
  <c r="P210" i="36"/>
  <c r="O210" i="36"/>
  <c r="P37" i="36"/>
  <c r="O37" i="36"/>
  <c r="O15" i="36"/>
  <c r="P15" i="36"/>
  <c r="P130" i="36"/>
  <c r="O130" i="36"/>
  <c r="P268" i="36"/>
  <c r="O268" i="36"/>
  <c r="P231" i="36"/>
  <c r="O231" i="36"/>
  <c r="O238" i="36"/>
  <c r="P238" i="36"/>
  <c r="P282" i="36"/>
  <c r="O282" i="36"/>
  <c r="P76" i="36"/>
  <c r="O76" i="36"/>
  <c r="P20" i="36"/>
  <c r="O20" i="36"/>
  <c r="O54" i="36"/>
  <c r="P54" i="36"/>
  <c r="P269" i="36"/>
  <c r="O269" i="36"/>
  <c r="P153" i="36"/>
  <c r="O153" i="36"/>
  <c r="O127" i="36"/>
  <c r="P127" i="36"/>
  <c r="O143" i="36"/>
  <c r="P143" i="36"/>
  <c r="P220" i="36"/>
  <c r="O220" i="36"/>
  <c r="P187" i="36"/>
  <c r="O187" i="36"/>
  <c r="P141" i="36"/>
  <c r="O141" i="36"/>
  <c r="P204" i="36"/>
  <c r="O204" i="36"/>
  <c r="P252" i="36"/>
  <c r="O252" i="36"/>
  <c r="P273" i="36"/>
  <c r="O273" i="36"/>
  <c r="O95" i="36"/>
  <c r="P95" i="36"/>
  <c r="P173" i="36"/>
  <c r="O173" i="36"/>
  <c r="P224" i="36"/>
  <c r="O224" i="36"/>
  <c r="O103" i="36"/>
  <c r="P103" i="36"/>
  <c r="P117" i="36"/>
  <c r="O117" i="36"/>
  <c r="P6" i="36"/>
  <c r="O6" i="36"/>
  <c r="P158" i="36"/>
  <c r="O158" i="36"/>
  <c r="O155" i="36"/>
  <c r="P155" i="36"/>
  <c r="P65" i="36"/>
  <c r="O65" i="36"/>
  <c r="O140" i="36"/>
  <c r="P140" i="36"/>
  <c r="P53" i="36"/>
  <c r="O53" i="36"/>
  <c r="P118" i="36"/>
  <c r="O118" i="36"/>
  <c r="P156" i="36"/>
  <c r="O156" i="36"/>
  <c r="P38" i="36"/>
  <c r="O38" i="36"/>
  <c r="O14" i="36"/>
  <c r="P14" i="36"/>
  <c r="P294" i="36"/>
  <c r="O294" i="36"/>
  <c r="P283" i="36"/>
  <c r="O283" i="36"/>
  <c r="P255" i="36"/>
  <c r="O255" i="36"/>
  <c r="P46" i="36"/>
  <c r="O46" i="36"/>
  <c r="P171" i="36"/>
  <c r="O171" i="36"/>
  <c r="O5" i="36"/>
  <c r="P5" i="36"/>
  <c r="P45" i="36"/>
  <c r="O45" i="36"/>
  <c r="P134" i="36"/>
  <c r="O134" i="36"/>
  <c r="P72" i="36"/>
  <c r="O72" i="36"/>
  <c r="P295" i="36"/>
  <c r="O295" i="36"/>
  <c r="P287" i="36"/>
  <c r="O287" i="36"/>
  <c r="P251" i="36"/>
  <c r="O251" i="36"/>
  <c r="O289" i="36"/>
  <c r="P289" i="36"/>
  <c r="P102" i="36"/>
  <c r="O102" i="36"/>
  <c r="P18" i="36"/>
  <c r="O18" i="36"/>
  <c r="P180" i="36"/>
  <c r="O180" i="36"/>
  <c r="P257" i="36"/>
  <c r="O257" i="36"/>
  <c r="P12" i="36"/>
  <c r="O12" i="36"/>
  <c r="O71" i="36"/>
  <c r="P71" i="36"/>
  <c r="P190" i="36"/>
  <c r="O190" i="36"/>
  <c r="O206" i="36"/>
  <c r="P206" i="36"/>
  <c r="O176" i="36"/>
  <c r="P176" i="36"/>
  <c r="P150" i="36"/>
  <c r="O150" i="36"/>
  <c r="P51" i="36"/>
  <c r="O51" i="36"/>
  <c r="O42" i="36"/>
  <c r="P42" i="36"/>
  <c r="P296" i="36"/>
  <c r="O296" i="36"/>
  <c r="P299" i="36"/>
  <c r="O299" i="36"/>
  <c r="O27" i="36"/>
  <c r="P27" i="36"/>
  <c r="P263" i="36"/>
  <c r="O263" i="36"/>
  <c r="P264" i="36"/>
  <c r="O264" i="36"/>
  <c r="P101" i="36"/>
  <c r="O101" i="36"/>
  <c r="P34" i="36"/>
  <c r="O34" i="36"/>
  <c r="O152" i="36"/>
  <c r="P152" i="36"/>
  <c r="O216" i="36"/>
  <c r="P216" i="36"/>
  <c r="O214" i="36"/>
  <c r="P214" i="36"/>
  <c r="P66" i="36"/>
  <c r="O66" i="36"/>
  <c r="K6" i="31"/>
  <c r="BR34" i="20"/>
  <c r="BR35" i="20"/>
  <c r="BB35" i="20"/>
  <c r="BC35" i="20" s="1"/>
  <c r="AY35" i="20"/>
  <c r="BS35" i="20"/>
  <c r="BT35" i="20" s="1"/>
  <c r="BD35" i="20"/>
  <c r="AZ35" i="20" s="1"/>
  <c r="BA35" i="20" s="1"/>
  <c r="BS34" i="20"/>
  <c r="BT34" i="20" s="1"/>
  <c r="BB34" i="20"/>
  <c r="BC34" i="20" s="1"/>
  <c r="BQ35" i="20"/>
  <c r="BR69" i="20"/>
  <c r="BD34" i="20"/>
  <c r="AZ34" i="20" s="1"/>
  <c r="BA34" i="20" s="1"/>
  <c r="BQ34" i="20"/>
  <c r="AY34" i="20"/>
  <c r="BS36" i="20"/>
  <c r="BT36" i="20" s="1"/>
  <c r="AY36" i="20"/>
  <c r="BR36" i="20"/>
  <c r="BQ36" i="20"/>
  <c r="BO41" i="20"/>
  <c r="AZ36" i="20"/>
  <c r="BA36" i="20" s="1"/>
  <c r="BP41" i="20"/>
  <c r="AZ69" i="20"/>
  <c r="BA69" i="20" s="1"/>
  <c r="BB69" i="20"/>
  <c r="BC69" i="20" s="1"/>
  <c r="AY69" i="20"/>
  <c r="BS69" i="20"/>
  <c r="BT69" i="20" s="1"/>
  <c r="BQ69" i="20"/>
  <c r="BS41" i="20"/>
  <c r="BT41" i="20" s="1"/>
  <c r="AZ41" i="20"/>
  <c r="BA41" i="20" s="1"/>
  <c r="BB41" i="20"/>
  <c r="BC41" i="20" s="1"/>
  <c r="BR41" i="20"/>
  <c r="AY41" i="20"/>
  <c r="BS51" i="20"/>
  <c r="BT51" i="20" s="1"/>
  <c r="AZ51" i="20"/>
  <c r="BA51" i="20" s="1"/>
  <c r="BR51" i="20"/>
  <c r="AY51" i="20"/>
  <c r="BQ51" i="20"/>
  <c r="BB51" i="20"/>
  <c r="BC51" i="20" s="1"/>
  <c r="BS26" i="20"/>
  <c r="BT26" i="20" s="1"/>
  <c r="AZ26" i="20"/>
  <c r="BA26" i="20" s="1"/>
  <c r="BB26" i="20"/>
  <c r="BC26" i="20" s="1"/>
  <c r="BQ26" i="20"/>
  <c r="AY26" i="20"/>
  <c r="BR26" i="20"/>
  <c r="BP55" i="20"/>
  <c r="BO55" i="20"/>
  <c r="BM55" i="20"/>
  <c r="BN55" i="20" s="1"/>
  <c r="BL55" i="20"/>
  <c r="BH55" i="20"/>
  <c r="BI55" i="20" s="1"/>
  <c r="BE55" i="20"/>
  <c r="L6" i="31" l="1"/>
  <c r="BF34" i="20"/>
  <c r="BF35" i="20"/>
  <c r="BQ41" i="20"/>
  <c r="BF69" i="20"/>
  <c r="BF36" i="20"/>
  <c r="BF41" i="20"/>
  <c r="BF51" i="20"/>
  <c r="BF26" i="20"/>
  <c r="BQ55" i="20"/>
  <c r="AY55" i="20"/>
  <c r="BB55" i="20"/>
  <c r="BC55" i="20" s="1"/>
  <c r="BR55" i="20"/>
  <c r="BS55" i="20"/>
  <c r="BT55" i="20" s="1"/>
  <c r="BD55" i="20"/>
  <c r="AZ55" i="20" s="1"/>
  <c r="BA55" i="20" s="1"/>
  <c r="M6" i="31" l="1"/>
  <c r="BF55" i="20"/>
  <c r="N6" i="31" l="1"/>
  <c r="BP49" i="20"/>
  <c r="BO49" i="20"/>
  <c r="BM49" i="20"/>
  <c r="BN49" i="20" s="1"/>
  <c r="BL49" i="20"/>
  <c r="BH49" i="20"/>
  <c r="BI49" i="20" s="1"/>
  <c r="BE49" i="20"/>
  <c r="BD49" i="20" s="1"/>
  <c r="BB49" i="20"/>
  <c r="BC49" i="20" s="1"/>
  <c r="O6" i="31" l="1"/>
  <c r="BS49" i="20"/>
  <c r="BT49" i="20" s="1"/>
  <c r="BQ49" i="20"/>
  <c r="AY49" i="20"/>
  <c r="BR49" i="20"/>
  <c r="AZ49" i="20"/>
  <c r="BA49" i="20" s="1"/>
  <c r="AQ175" i="20"/>
  <c r="P6" i="31" l="1"/>
  <c r="BF49" i="20"/>
  <c r="AN353" i="15"/>
  <c r="AN306" i="15" s="1"/>
  <c r="AM353" i="15"/>
  <c r="AN49" i="15"/>
  <c r="AN280" i="15"/>
  <c r="AN272" i="15"/>
  <c r="AN248" i="15"/>
  <c r="AN251" i="15"/>
  <c r="P88" i="16"/>
  <c r="BH272" i="15" l="1"/>
  <c r="AT272" i="15"/>
  <c r="AK51" i="31"/>
  <c r="AN305" i="15"/>
  <c r="C31" i="37" s="1"/>
  <c r="AK253" i="35"/>
  <c r="AK253" i="31"/>
  <c r="AK250" i="35"/>
  <c r="AK250" i="31"/>
  <c r="AK274" i="31"/>
  <c r="AP274" i="31" s="1"/>
  <c r="AK282" i="35"/>
  <c r="AK282" i="31"/>
  <c r="AK274" i="35"/>
  <c r="BL272" i="15"/>
  <c r="BK272" i="15"/>
  <c r="AK51" i="35"/>
  <c r="Q6" i="31"/>
  <c r="AK307" i="31" l="1"/>
  <c r="P267" i="36"/>
  <c r="O267" i="36"/>
  <c r="AN307" i="15"/>
  <c r="R6" i="31"/>
  <c r="BO278" i="15"/>
  <c r="F42" i="36"/>
  <c r="AT347" i="15"/>
  <c r="AT346" i="15"/>
  <c r="AT345" i="15"/>
  <c r="AT343" i="15"/>
  <c r="AT342" i="15"/>
  <c r="AT341" i="15"/>
  <c r="AT340" i="15"/>
  <c r="AT339" i="15"/>
  <c r="AT338" i="15"/>
  <c r="AT337" i="15"/>
  <c r="AT336" i="15"/>
  <c r="AT335" i="15"/>
  <c r="AT334" i="15"/>
  <c r="AT333" i="15"/>
  <c r="AT332" i="15"/>
  <c r="AT330" i="15"/>
  <c r="AT329" i="15"/>
  <c r="AT328" i="15"/>
  <c r="AT327" i="15"/>
  <c r="AT326" i="15"/>
  <c r="AT325" i="15"/>
  <c r="AT324" i="15"/>
  <c r="AT323" i="15"/>
  <c r="AT322" i="15"/>
  <c r="AT321" i="15"/>
  <c r="AQ353" i="15"/>
  <c r="AP353" i="15"/>
  <c r="AO353" i="15"/>
  <c r="AO306" i="15" s="1"/>
  <c r="AO307" i="15" s="1"/>
  <c r="AS353" i="15"/>
  <c r="K314" i="15"/>
  <c r="AQ317" i="31" l="1"/>
  <c r="F5" i="36"/>
  <c r="F179" i="36"/>
  <c r="AQ491" i="31"/>
  <c r="AQ322" i="31"/>
  <c r="F10" i="36"/>
  <c r="G31" i="37"/>
  <c r="AQ385" i="31"/>
  <c r="F73" i="36"/>
  <c r="AQ489" i="31"/>
  <c r="F177" i="36"/>
  <c r="AQ602" i="31"/>
  <c r="F290" i="36"/>
  <c r="AQ386" i="31"/>
  <c r="F74" i="36"/>
  <c r="AQ471" i="31"/>
  <c r="F159" i="36"/>
  <c r="AQ584" i="31"/>
  <c r="F272" i="36"/>
  <c r="AQ432" i="31"/>
  <c r="F120" i="36"/>
  <c r="AQ509" i="31"/>
  <c r="F197" i="36"/>
  <c r="AQ388" i="31"/>
  <c r="F76" i="36"/>
  <c r="AQ474" i="31"/>
  <c r="F162" i="36"/>
  <c r="AQ586" i="31"/>
  <c r="F274" i="36"/>
  <c r="AQ376" i="31"/>
  <c r="F64" i="36"/>
  <c r="AQ497" i="31"/>
  <c r="AQ192" i="31" s="1"/>
  <c r="F185" i="36"/>
  <c r="AQ557" i="31"/>
  <c r="F245" i="36"/>
  <c r="AQ498" i="31"/>
  <c r="F186" i="36"/>
  <c r="AQ608" i="31"/>
  <c r="F296" i="36"/>
  <c r="AQ378" i="31"/>
  <c r="F66" i="36"/>
  <c r="AQ499" i="31"/>
  <c r="F187" i="36"/>
  <c r="AQ574" i="31"/>
  <c r="F262" i="36"/>
  <c r="AQ351" i="31"/>
  <c r="F39" i="36"/>
  <c r="AQ330" i="31"/>
  <c r="F18" i="36"/>
  <c r="AQ368" i="31"/>
  <c r="F56" i="36"/>
  <c r="AQ382" i="31"/>
  <c r="F70" i="36"/>
  <c r="AQ402" i="31"/>
  <c r="F90" i="36"/>
  <c r="AQ420" i="31"/>
  <c r="F108" i="36"/>
  <c r="AQ442" i="31"/>
  <c r="F130" i="36"/>
  <c r="AQ465" i="31"/>
  <c r="F153" i="36"/>
  <c r="AQ485" i="31"/>
  <c r="F173" i="36"/>
  <c r="AQ543" i="31"/>
  <c r="F231" i="36"/>
  <c r="AQ578" i="31"/>
  <c r="F266" i="36"/>
  <c r="AQ599" i="31"/>
  <c r="F287" i="36"/>
  <c r="AQ335" i="31"/>
  <c r="F23" i="36"/>
  <c r="AQ430" i="31"/>
  <c r="F118" i="36"/>
  <c r="AQ507" i="31"/>
  <c r="F195" i="36"/>
  <c r="AQ581" i="31"/>
  <c r="F269" i="36"/>
  <c r="AQ431" i="31"/>
  <c r="F119" i="36"/>
  <c r="AQ508" i="31"/>
  <c r="F196" i="36"/>
  <c r="AQ603" i="31"/>
  <c r="F291" i="36"/>
  <c r="AQ374" i="31"/>
  <c r="F62" i="36"/>
  <c r="AQ472" i="31"/>
  <c r="F160" i="36"/>
  <c r="AQ605" i="31"/>
  <c r="F293" i="36"/>
  <c r="AQ375" i="31"/>
  <c r="F63" i="36"/>
  <c r="AQ533" i="31"/>
  <c r="F221" i="36"/>
  <c r="AQ571" i="31"/>
  <c r="F259" i="36"/>
  <c r="AQ363" i="31"/>
  <c r="F51" i="36"/>
  <c r="AQ413" i="31"/>
  <c r="F101" i="36"/>
  <c r="AQ514" i="31"/>
  <c r="F202" i="36"/>
  <c r="AQ572" i="31"/>
  <c r="F260" i="36"/>
  <c r="AQ377" i="31"/>
  <c r="F65" i="36"/>
  <c r="AQ480" i="31"/>
  <c r="F168" i="36"/>
  <c r="AQ591" i="31"/>
  <c r="F279" i="36"/>
  <c r="AQ327" i="31"/>
  <c r="F15" i="36"/>
  <c r="AQ397" i="31"/>
  <c r="F85" i="36"/>
  <c r="AQ594" i="31"/>
  <c r="F282" i="36"/>
  <c r="AQ328" i="31"/>
  <c r="F16" i="36"/>
  <c r="AQ403" i="31"/>
  <c r="F91" i="36"/>
  <c r="AQ445" i="31"/>
  <c r="F133" i="36"/>
  <c r="AQ467" i="31"/>
  <c r="AQ162" i="31" s="1"/>
  <c r="F155" i="36"/>
  <c r="AQ486" i="31"/>
  <c r="F174" i="36"/>
  <c r="AQ525" i="31"/>
  <c r="F213" i="36"/>
  <c r="AQ545" i="31"/>
  <c r="F233" i="36"/>
  <c r="AQ566" i="31"/>
  <c r="F254" i="36"/>
  <c r="AQ568" i="31"/>
  <c r="F256" i="36"/>
  <c r="AQ407" i="31"/>
  <c r="F95" i="36"/>
  <c r="AQ490" i="31"/>
  <c r="F178" i="36"/>
  <c r="AQ553" i="31"/>
  <c r="F241" i="36"/>
  <c r="AQ338" i="31"/>
  <c r="F26" i="36"/>
  <c r="AQ387" i="31"/>
  <c r="F75" i="36"/>
  <c r="AQ452" i="31"/>
  <c r="F140" i="36"/>
  <c r="AQ554" i="31"/>
  <c r="F242" i="36"/>
  <c r="AQ495" i="31"/>
  <c r="F183" i="36"/>
  <c r="AQ556" i="31"/>
  <c r="F244" i="36"/>
  <c r="AQ347" i="31"/>
  <c r="F35" i="36"/>
  <c r="AQ434" i="31"/>
  <c r="F122" i="36"/>
  <c r="AQ534" i="31"/>
  <c r="F222" i="36"/>
  <c r="AQ590" i="31"/>
  <c r="F278" i="36"/>
  <c r="AQ349" i="31"/>
  <c r="F37" i="36"/>
  <c r="AQ414" i="31"/>
  <c r="F102" i="36"/>
  <c r="AQ436" i="31"/>
  <c r="F124" i="36"/>
  <c r="AQ515" i="31"/>
  <c r="F203" i="36"/>
  <c r="AQ350" i="31"/>
  <c r="F38" i="36"/>
  <c r="AQ333" i="31"/>
  <c r="F21" i="36"/>
  <c r="AQ369" i="31"/>
  <c r="F57" i="36"/>
  <c r="AQ383" i="31"/>
  <c r="F71" i="36"/>
  <c r="AQ422" i="31"/>
  <c r="F110" i="36"/>
  <c r="AQ334" i="31"/>
  <c r="F22" i="36"/>
  <c r="AQ357" i="31"/>
  <c r="F45" i="36"/>
  <c r="AQ370" i="31"/>
  <c r="F58" i="36"/>
  <c r="AQ384" i="31"/>
  <c r="F72" i="36"/>
  <c r="AQ404" i="31"/>
  <c r="F92" i="36"/>
  <c r="AQ427" i="31"/>
  <c r="F115" i="36"/>
  <c r="AQ446" i="31"/>
  <c r="F134" i="36"/>
  <c r="AQ468" i="31"/>
  <c r="F156" i="36"/>
  <c r="AQ488" i="31"/>
  <c r="F176" i="36"/>
  <c r="AQ504" i="31"/>
  <c r="F192" i="36"/>
  <c r="AQ526" i="31"/>
  <c r="F214" i="36"/>
  <c r="AQ550" i="31"/>
  <c r="F238" i="36"/>
  <c r="AQ567" i="31"/>
  <c r="F255" i="36"/>
  <c r="AQ580" i="31"/>
  <c r="F268" i="36"/>
  <c r="AQ601" i="31"/>
  <c r="F289" i="36"/>
  <c r="AQ321" i="31"/>
  <c r="F9" i="36"/>
  <c r="AQ358" i="31"/>
  <c r="F46" i="36"/>
  <c r="AQ406" i="31"/>
  <c r="F94" i="36"/>
  <c r="AQ470" i="31"/>
  <c r="F158" i="36"/>
  <c r="AQ527" i="31"/>
  <c r="F215" i="36"/>
  <c r="AQ373" i="31"/>
  <c r="F61" i="36"/>
  <c r="AQ451" i="31"/>
  <c r="F139" i="36"/>
  <c r="AQ569" i="31"/>
  <c r="F257" i="36"/>
  <c r="AQ360" i="31"/>
  <c r="F48" i="36"/>
  <c r="AQ408" i="31"/>
  <c r="F96" i="36"/>
  <c r="AQ492" i="31"/>
  <c r="F180" i="36"/>
  <c r="AQ532" i="31"/>
  <c r="F220" i="36"/>
  <c r="AQ346" i="31"/>
  <c r="F34" i="36"/>
  <c r="AQ511" i="31"/>
  <c r="F199" i="36"/>
  <c r="AQ606" i="31"/>
  <c r="F294" i="36"/>
  <c r="AQ390" i="31"/>
  <c r="F78" i="36"/>
  <c r="AQ607" i="31"/>
  <c r="F295" i="36"/>
  <c r="AQ573" i="31"/>
  <c r="F261" i="36"/>
  <c r="AQ438" i="31"/>
  <c r="F126" i="36"/>
  <c r="AQ516" i="31"/>
  <c r="AQ211" i="31" s="1"/>
  <c r="F204" i="36"/>
  <c r="AQ560" i="31"/>
  <c r="F248" i="36"/>
  <c r="AQ609" i="31"/>
  <c r="F297" i="36"/>
  <c r="AQ366" i="31"/>
  <c r="F54" i="36"/>
  <c r="AQ380" i="31"/>
  <c r="F68" i="36"/>
  <c r="AQ398" i="31"/>
  <c r="F86" i="36"/>
  <c r="AQ416" i="31"/>
  <c r="F104" i="36"/>
  <c r="AQ439" i="31"/>
  <c r="F127" i="36"/>
  <c r="AQ500" i="31"/>
  <c r="F188" i="36"/>
  <c r="AQ518" i="31"/>
  <c r="F206" i="36"/>
  <c r="AQ537" i="31"/>
  <c r="F225" i="36"/>
  <c r="AQ562" i="31"/>
  <c r="F250" i="36"/>
  <c r="AQ575" i="31"/>
  <c r="F263" i="36"/>
  <c r="AQ596" i="31"/>
  <c r="F284" i="36"/>
  <c r="AQ610" i="31"/>
  <c r="F298" i="36"/>
  <c r="AQ329" i="31"/>
  <c r="F17" i="36"/>
  <c r="AQ353" i="31"/>
  <c r="F41" i="36"/>
  <c r="AQ367" i="31"/>
  <c r="F55" i="36"/>
  <c r="AQ401" i="31"/>
  <c r="F89" i="36"/>
  <c r="AQ417" i="31"/>
  <c r="F105" i="36"/>
  <c r="AQ440" i="31"/>
  <c r="F128" i="36"/>
  <c r="AQ464" i="31"/>
  <c r="F152" i="36"/>
  <c r="AQ520" i="31"/>
  <c r="F208" i="36"/>
  <c r="AQ541" i="31"/>
  <c r="F229" i="36"/>
  <c r="AQ563" i="31"/>
  <c r="F251" i="36"/>
  <c r="AQ598" i="31"/>
  <c r="F286" i="36"/>
  <c r="BM47" i="15"/>
  <c r="AQ354" i="31"/>
  <c r="AQ49" i="31" s="1"/>
  <c r="BN50" i="15"/>
  <c r="BM50" i="15"/>
  <c r="BM120" i="15"/>
  <c r="BN120" i="15"/>
  <c r="BM243" i="15"/>
  <c r="BN243" i="15"/>
  <c r="BN94" i="15"/>
  <c r="BM94" i="15"/>
  <c r="BN256" i="15"/>
  <c r="BM256" i="15"/>
  <c r="BM23" i="15"/>
  <c r="BN23" i="15"/>
  <c r="BM42" i="15"/>
  <c r="BN42" i="15"/>
  <c r="BM52" i="15"/>
  <c r="BN52" i="15"/>
  <c r="BM61" i="15"/>
  <c r="BN61" i="15"/>
  <c r="BM70" i="15"/>
  <c r="BN70" i="15"/>
  <c r="BM79" i="15"/>
  <c r="BN79" i="15"/>
  <c r="BM95" i="15"/>
  <c r="BN95" i="15"/>
  <c r="BM107" i="15"/>
  <c r="BN107" i="15"/>
  <c r="BM124" i="15"/>
  <c r="BN124" i="15"/>
  <c r="BN135" i="15"/>
  <c r="BM135" i="15"/>
  <c r="BM152" i="15"/>
  <c r="BN152" i="15"/>
  <c r="BM164" i="15"/>
  <c r="BN164" i="15"/>
  <c r="BN178" i="15"/>
  <c r="BM178" i="15"/>
  <c r="BN191" i="15"/>
  <c r="BM191" i="15"/>
  <c r="BM201" i="15"/>
  <c r="BN201" i="15"/>
  <c r="BN215" i="15"/>
  <c r="BM215" i="15"/>
  <c r="BN228" i="15"/>
  <c r="BM228" i="15"/>
  <c r="BM246" i="15"/>
  <c r="BN246" i="15"/>
  <c r="BN257" i="15"/>
  <c r="BM257" i="15"/>
  <c r="BM266" i="15"/>
  <c r="BN266" i="15"/>
  <c r="BN277" i="15"/>
  <c r="BM277" i="15"/>
  <c r="BN292" i="15"/>
  <c r="BM292" i="15"/>
  <c r="BN301" i="15"/>
  <c r="BM301" i="15"/>
  <c r="BN21" i="15"/>
  <c r="BM21" i="15"/>
  <c r="BM105" i="15"/>
  <c r="BN105" i="15"/>
  <c r="BM176" i="15"/>
  <c r="BN176" i="15"/>
  <c r="BM211" i="15"/>
  <c r="BN211" i="15"/>
  <c r="BM255" i="15"/>
  <c r="BN255" i="15"/>
  <c r="BM299" i="15"/>
  <c r="BN299" i="15"/>
  <c r="BM60" i="15"/>
  <c r="BN60" i="15"/>
  <c r="BM106" i="15"/>
  <c r="BN106" i="15"/>
  <c r="BM190" i="15"/>
  <c r="BN190" i="15"/>
  <c r="BM291" i="15"/>
  <c r="BN291" i="15"/>
  <c r="BN26" i="15"/>
  <c r="BM26" i="15"/>
  <c r="BM43" i="15"/>
  <c r="BN43" i="15"/>
  <c r="BM53" i="15"/>
  <c r="BN53" i="15"/>
  <c r="BM62" i="15"/>
  <c r="BN62" i="15"/>
  <c r="BN71" i="15"/>
  <c r="BM71" i="15"/>
  <c r="BM80" i="15"/>
  <c r="BN80" i="15"/>
  <c r="BM96" i="15"/>
  <c r="BN96" i="15"/>
  <c r="BN108" i="15"/>
  <c r="BM108" i="15"/>
  <c r="BN125" i="15"/>
  <c r="BM125" i="15"/>
  <c r="BM138" i="15"/>
  <c r="BN138" i="15"/>
  <c r="BM153" i="15"/>
  <c r="BN153" i="15"/>
  <c r="BM165" i="15"/>
  <c r="BN165" i="15"/>
  <c r="BM179" i="15"/>
  <c r="BN179" i="15"/>
  <c r="BN192" i="15"/>
  <c r="BM192" i="15"/>
  <c r="BM202" i="15"/>
  <c r="BN202" i="15"/>
  <c r="BM218" i="15"/>
  <c r="BN218" i="15"/>
  <c r="BN229" i="15"/>
  <c r="BM229" i="15"/>
  <c r="BM247" i="15"/>
  <c r="BN247" i="15"/>
  <c r="BM259" i="15"/>
  <c r="BN259" i="15"/>
  <c r="BM267" i="15"/>
  <c r="BN267" i="15"/>
  <c r="BN278" i="15"/>
  <c r="BM278" i="15"/>
  <c r="BN293" i="15"/>
  <c r="BM293" i="15"/>
  <c r="BN302" i="15"/>
  <c r="BM302" i="15"/>
  <c r="BM68" i="15"/>
  <c r="BN68" i="15"/>
  <c r="BM148" i="15"/>
  <c r="BN148" i="15"/>
  <c r="BM226" i="15"/>
  <c r="BN226" i="15"/>
  <c r="BM22" i="15"/>
  <c r="BN22" i="15"/>
  <c r="BN69" i="15"/>
  <c r="BM69" i="15"/>
  <c r="BM163" i="15"/>
  <c r="BN163" i="15"/>
  <c r="BM200" i="15"/>
  <c r="BN200" i="15"/>
  <c r="BM265" i="15"/>
  <c r="BN265" i="15"/>
  <c r="BM27" i="15"/>
  <c r="BN27" i="15"/>
  <c r="BM44" i="15"/>
  <c r="BN44" i="15"/>
  <c r="BM54" i="15"/>
  <c r="BN54" i="15"/>
  <c r="BM63" i="15"/>
  <c r="BN63" i="15"/>
  <c r="BN73" i="15"/>
  <c r="BM73" i="15"/>
  <c r="BN81" i="15"/>
  <c r="BM81" i="15"/>
  <c r="BM97" i="15"/>
  <c r="BN97" i="15"/>
  <c r="BN109" i="15"/>
  <c r="BM109" i="15"/>
  <c r="BM126" i="15"/>
  <c r="BN126" i="15"/>
  <c r="BM139" i="15"/>
  <c r="BN139" i="15"/>
  <c r="BM155" i="15"/>
  <c r="BN155" i="15"/>
  <c r="BM167" i="15"/>
  <c r="BN167" i="15"/>
  <c r="BN181" i="15"/>
  <c r="BM181" i="15"/>
  <c r="BM193" i="15"/>
  <c r="BN193" i="15"/>
  <c r="BN204" i="15"/>
  <c r="BM204" i="15"/>
  <c r="BM219" i="15"/>
  <c r="BN219" i="15"/>
  <c r="BN230" i="15"/>
  <c r="BM230" i="15"/>
  <c r="BM249" i="15"/>
  <c r="BN249" i="15"/>
  <c r="BM260" i="15"/>
  <c r="BN260" i="15"/>
  <c r="BN268" i="15"/>
  <c r="BM268" i="15"/>
  <c r="BM279" i="15"/>
  <c r="BN279" i="15"/>
  <c r="BN294" i="15"/>
  <c r="BM294" i="15"/>
  <c r="BN303" i="15"/>
  <c r="BM303" i="15"/>
  <c r="BM91" i="15"/>
  <c r="BN91" i="15"/>
  <c r="BN289" i="15"/>
  <c r="BM289" i="15"/>
  <c r="BM40" i="15"/>
  <c r="BN40" i="15"/>
  <c r="BM123" i="15"/>
  <c r="BN123" i="15"/>
  <c r="BM274" i="15"/>
  <c r="BN274" i="15"/>
  <c r="BM28" i="15"/>
  <c r="BN28" i="15"/>
  <c r="BN46" i="15"/>
  <c r="BM46" i="15"/>
  <c r="BM56" i="15"/>
  <c r="BN56" i="15"/>
  <c r="BN64" i="15"/>
  <c r="BM64" i="15"/>
  <c r="BM74" i="15"/>
  <c r="BN74" i="15"/>
  <c r="BM83" i="15"/>
  <c r="BN83" i="15"/>
  <c r="BM99" i="15"/>
  <c r="BN99" i="15"/>
  <c r="BM110" i="15"/>
  <c r="BN110" i="15"/>
  <c r="BM127" i="15"/>
  <c r="BN141" i="15"/>
  <c r="BM141" i="15"/>
  <c r="BN157" i="15"/>
  <c r="BM157" i="15"/>
  <c r="BM170" i="15"/>
  <c r="BN170" i="15"/>
  <c r="BN182" i="15"/>
  <c r="BM182" i="15"/>
  <c r="BM194" i="15"/>
  <c r="BN194" i="15"/>
  <c r="BN207" i="15"/>
  <c r="BM207" i="15"/>
  <c r="BM220" i="15"/>
  <c r="BN220" i="15"/>
  <c r="BN234" i="15"/>
  <c r="BM234" i="15"/>
  <c r="BM250" i="15"/>
  <c r="BN250" i="15"/>
  <c r="BN261" i="15"/>
  <c r="BM261" i="15"/>
  <c r="BN269" i="15"/>
  <c r="BM269" i="15"/>
  <c r="BM283" i="15"/>
  <c r="BN283" i="15"/>
  <c r="BM295" i="15"/>
  <c r="BN295" i="15"/>
  <c r="BN59" i="15"/>
  <c r="BM59" i="15"/>
  <c r="BM132" i="15"/>
  <c r="BN132" i="15"/>
  <c r="BN188" i="15"/>
  <c r="BM188" i="15"/>
  <c r="BM264" i="15"/>
  <c r="BN264" i="15"/>
  <c r="BM78" i="15"/>
  <c r="BN78" i="15"/>
  <c r="BN151" i="15"/>
  <c r="BM151" i="15"/>
  <c r="BM177" i="15"/>
  <c r="BN177" i="15"/>
  <c r="BN213" i="15"/>
  <c r="BM213" i="15"/>
  <c r="BM227" i="15"/>
  <c r="BN227" i="15"/>
  <c r="BN300" i="15"/>
  <c r="BM300" i="15"/>
  <c r="BM14" i="15"/>
  <c r="BN14" i="15"/>
  <c r="BM29" i="15"/>
  <c r="BN29" i="15"/>
  <c r="BN57" i="15"/>
  <c r="BM57" i="15"/>
  <c r="BN66" i="15"/>
  <c r="BM66" i="15"/>
  <c r="BM75" i="15"/>
  <c r="BN75" i="15"/>
  <c r="BN86" i="15"/>
  <c r="BM86" i="15"/>
  <c r="BN100" i="15"/>
  <c r="BM100" i="15"/>
  <c r="BN113" i="15"/>
  <c r="BM113" i="15"/>
  <c r="BM129" i="15"/>
  <c r="BN129" i="15"/>
  <c r="BN144" i="15"/>
  <c r="BN158" i="15"/>
  <c r="BM158" i="15"/>
  <c r="BN173" i="15"/>
  <c r="BM173" i="15"/>
  <c r="BM183" i="15"/>
  <c r="BN183" i="15"/>
  <c r="BM195" i="15"/>
  <c r="BN195" i="15"/>
  <c r="BN208" i="15"/>
  <c r="BM208" i="15"/>
  <c r="BN221" i="15"/>
  <c r="BM221" i="15"/>
  <c r="BN252" i="15"/>
  <c r="BM252" i="15"/>
  <c r="BN262" i="15"/>
  <c r="BM262" i="15"/>
  <c r="BM271" i="15"/>
  <c r="BN271" i="15"/>
  <c r="BM284" i="15"/>
  <c r="BN284" i="15"/>
  <c r="BN296" i="15"/>
  <c r="BM296" i="15"/>
  <c r="BM39" i="15"/>
  <c r="BN39" i="15"/>
  <c r="BM77" i="15"/>
  <c r="BN77" i="15"/>
  <c r="BN161" i="15"/>
  <c r="BM161" i="15"/>
  <c r="BM197" i="15"/>
  <c r="BN197" i="15"/>
  <c r="BM273" i="15"/>
  <c r="BN273" i="15"/>
  <c r="BM51" i="15"/>
  <c r="BN51" i="15"/>
  <c r="BM133" i="15"/>
  <c r="BN133" i="15"/>
  <c r="BM244" i="15"/>
  <c r="BN244" i="15"/>
  <c r="BM20" i="15"/>
  <c r="BN20" i="15"/>
  <c r="BM31" i="15"/>
  <c r="BN31" i="15"/>
  <c r="BN48" i="15"/>
  <c r="BM48" i="15"/>
  <c r="BM58" i="15"/>
  <c r="BN58" i="15"/>
  <c r="BM67" i="15"/>
  <c r="BN67" i="15"/>
  <c r="BM76" i="15"/>
  <c r="BN76" i="15"/>
  <c r="BM90" i="15"/>
  <c r="BN90" i="15"/>
  <c r="BN101" i="15"/>
  <c r="BM101" i="15"/>
  <c r="BM115" i="15"/>
  <c r="BN115" i="15"/>
  <c r="BM131" i="15"/>
  <c r="BN131" i="15"/>
  <c r="BN145" i="15"/>
  <c r="BM145" i="15"/>
  <c r="BN160" i="15"/>
  <c r="BM160" i="15"/>
  <c r="BN174" i="15"/>
  <c r="BM174" i="15"/>
  <c r="BN185" i="15"/>
  <c r="BM185" i="15"/>
  <c r="BN196" i="15"/>
  <c r="BM196" i="15"/>
  <c r="BN209" i="15"/>
  <c r="BM209" i="15"/>
  <c r="BM225" i="15"/>
  <c r="BN225" i="15"/>
  <c r="BN238" i="15"/>
  <c r="BM238" i="15"/>
  <c r="BN253" i="15"/>
  <c r="BM253" i="15"/>
  <c r="BM263" i="15"/>
  <c r="BN263" i="15"/>
  <c r="BN272" i="15"/>
  <c r="BM272" i="15"/>
  <c r="BM287" i="15"/>
  <c r="BN287" i="15"/>
  <c r="BM298" i="15"/>
  <c r="BN298" i="15"/>
  <c r="S6" i="31"/>
  <c r="BZ304" i="15"/>
  <c r="CB304" i="15" s="1"/>
  <c r="BY304" i="15"/>
  <c r="CA304" i="15" s="1"/>
  <c r="BZ303" i="15"/>
  <c r="CB303" i="15" s="1"/>
  <c r="BY303" i="15"/>
  <c r="CA303" i="15" s="1"/>
  <c r="BZ302" i="15"/>
  <c r="CB302" i="15" s="1"/>
  <c r="BY302" i="15"/>
  <c r="CA302" i="15" s="1"/>
  <c r="BZ301" i="15"/>
  <c r="CB301" i="15" s="1"/>
  <c r="BY301" i="15"/>
  <c r="CA301" i="15" s="1"/>
  <c r="BZ300" i="15"/>
  <c r="CB300" i="15" s="1"/>
  <c r="BY300" i="15"/>
  <c r="CA300" i="15" s="1"/>
  <c r="BZ299" i="15"/>
  <c r="CB299" i="15" s="1"/>
  <c r="BY299" i="15"/>
  <c r="CA299" i="15" s="1"/>
  <c r="BZ298" i="15"/>
  <c r="CB298" i="15" s="1"/>
  <c r="BY298" i="15"/>
  <c r="CA298" i="15" s="1"/>
  <c r="BZ297" i="15"/>
  <c r="CB297" i="15" s="1"/>
  <c r="BY297" i="15"/>
  <c r="CA297" i="15" s="1"/>
  <c r="BZ296" i="15"/>
  <c r="CB296" i="15" s="1"/>
  <c r="BY296" i="15"/>
  <c r="CA296" i="15" s="1"/>
  <c r="BZ295" i="15"/>
  <c r="CB295" i="15" s="1"/>
  <c r="BY295" i="15"/>
  <c r="CA295" i="15" s="1"/>
  <c r="BZ294" i="15"/>
  <c r="CB294" i="15" s="1"/>
  <c r="BY294" i="15"/>
  <c r="CA294" i="15" s="1"/>
  <c r="BZ293" i="15"/>
  <c r="CB293" i="15" s="1"/>
  <c r="BY293" i="15"/>
  <c r="CA293" i="15" s="1"/>
  <c r="BZ292" i="15"/>
  <c r="CB292" i="15" s="1"/>
  <c r="BY292" i="15"/>
  <c r="CA292" i="15" s="1"/>
  <c r="BZ291" i="15"/>
  <c r="CB291" i="15" s="1"/>
  <c r="BY291" i="15"/>
  <c r="CA291" i="15" s="1"/>
  <c r="BZ290" i="15"/>
  <c r="CB290" i="15" s="1"/>
  <c r="BY290" i="15"/>
  <c r="CA290" i="15" s="1"/>
  <c r="BZ289" i="15"/>
  <c r="CB289" i="15" s="1"/>
  <c r="BY289" i="15"/>
  <c r="CA289" i="15" s="1"/>
  <c r="BZ288" i="15"/>
  <c r="CB288" i="15" s="1"/>
  <c r="BY288" i="15"/>
  <c r="CA288" i="15" s="1"/>
  <c r="BZ287" i="15"/>
  <c r="CB287" i="15" s="1"/>
  <c r="BY287" i="15"/>
  <c r="CA287" i="15" s="1"/>
  <c r="BZ286" i="15"/>
  <c r="CB286" i="15" s="1"/>
  <c r="BY286" i="15"/>
  <c r="CA286" i="15" s="1"/>
  <c r="BZ285" i="15"/>
  <c r="CB285" i="15" s="1"/>
  <c r="BY285" i="15"/>
  <c r="CA285" i="15" s="1"/>
  <c r="BZ284" i="15"/>
  <c r="CB284" i="15" s="1"/>
  <c r="BY284" i="15"/>
  <c r="CA284" i="15" s="1"/>
  <c r="BZ283" i="15"/>
  <c r="CB283" i="15" s="1"/>
  <c r="BY283" i="15"/>
  <c r="CA283" i="15" s="1"/>
  <c r="BZ282" i="15"/>
  <c r="BY282" i="15"/>
  <c r="BZ281" i="15"/>
  <c r="CB281" i="15" s="1"/>
  <c r="BY281" i="15"/>
  <c r="CA281" i="15" s="1"/>
  <c r="BZ280" i="15"/>
  <c r="CB280" i="15" s="1"/>
  <c r="BY280" i="15"/>
  <c r="CA280" i="15" s="1"/>
  <c r="BZ279" i="15"/>
  <c r="CB279" i="15" s="1"/>
  <c r="BY279" i="15"/>
  <c r="CA279" i="15" s="1"/>
  <c r="BZ278" i="15"/>
  <c r="CB278" i="15" s="1"/>
  <c r="BY278" i="15"/>
  <c r="CA278" i="15" s="1"/>
  <c r="BZ277" i="15"/>
  <c r="CB277" i="15" s="1"/>
  <c r="BY277" i="15"/>
  <c r="CA277" i="15" s="1"/>
  <c r="BZ276" i="15"/>
  <c r="CB276" i="15" s="1"/>
  <c r="BY276" i="15"/>
  <c r="CA276" i="15" s="1"/>
  <c r="BZ275" i="15"/>
  <c r="CB275" i="15" s="1"/>
  <c r="BY275" i="15"/>
  <c r="CA275" i="15" s="1"/>
  <c r="BZ274" i="15"/>
  <c r="CB274" i="15" s="1"/>
  <c r="BY274" i="15"/>
  <c r="CA274" i="15" s="1"/>
  <c r="BZ273" i="15"/>
  <c r="CB273" i="15" s="1"/>
  <c r="BY273" i="15"/>
  <c r="CA273" i="15" s="1"/>
  <c r="BZ272" i="15"/>
  <c r="CB272" i="15" s="1"/>
  <c r="BY272" i="15"/>
  <c r="CA272" i="15" s="1"/>
  <c r="BZ271" i="15"/>
  <c r="CB271" i="15" s="1"/>
  <c r="BY271" i="15"/>
  <c r="CA271" i="15" s="1"/>
  <c r="BZ270" i="15"/>
  <c r="CB270" i="15" s="1"/>
  <c r="BY270" i="15"/>
  <c r="CA270" i="15" s="1"/>
  <c r="BZ269" i="15"/>
  <c r="CB269" i="15" s="1"/>
  <c r="BY269" i="15"/>
  <c r="CA269" i="15" s="1"/>
  <c r="BZ268" i="15"/>
  <c r="CB268" i="15" s="1"/>
  <c r="BY268" i="15"/>
  <c r="CA268" i="15" s="1"/>
  <c r="BZ267" i="15"/>
  <c r="CB267" i="15" s="1"/>
  <c r="BY267" i="15"/>
  <c r="CA267" i="15" s="1"/>
  <c r="BZ266" i="15"/>
  <c r="CB266" i="15" s="1"/>
  <c r="BY266" i="15"/>
  <c r="CA266" i="15" s="1"/>
  <c r="BZ265" i="15"/>
  <c r="CB265" i="15" s="1"/>
  <c r="BY265" i="15"/>
  <c r="CA265" i="15" s="1"/>
  <c r="BZ264" i="15"/>
  <c r="CB264" i="15" s="1"/>
  <c r="BY264" i="15"/>
  <c r="CA264" i="15" s="1"/>
  <c r="BZ263" i="15"/>
  <c r="CB263" i="15" s="1"/>
  <c r="BY263" i="15"/>
  <c r="CA263" i="15" s="1"/>
  <c r="BZ262" i="15"/>
  <c r="CB262" i="15" s="1"/>
  <c r="BY262" i="15"/>
  <c r="CA262" i="15" s="1"/>
  <c r="BZ261" i="15"/>
  <c r="CB261" i="15" s="1"/>
  <c r="BY261" i="15"/>
  <c r="CA261" i="15" s="1"/>
  <c r="BZ260" i="15"/>
  <c r="CB260" i="15" s="1"/>
  <c r="BY260" i="15"/>
  <c r="CA260" i="15" s="1"/>
  <c r="BZ259" i="15"/>
  <c r="CB259" i="15" s="1"/>
  <c r="BY259" i="15"/>
  <c r="CA259" i="15" s="1"/>
  <c r="BZ258" i="15"/>
  <c r="CB258" i="15" s="1"/>
  <c r="BY258" i="15"/>
  <c r="CA258" i="15" s="1"/>
  <c r="BZ257" i="15"/>
  <c r="CB257" i="15" s="1"/>
  <c r="BY257" i="15"/>
  <c r="CA257" i="15" s="1"/>
  <c r="BZ256" i="15"/>
  <c r="CB256" i="15" s="1"/>
  <c r="BY256" i="15"/>
  <c r="CA256" i="15" s="1"/>
  <c r="BZ255" i="15"/>
  <c r="CB255" i="15" s="1"/>
  <c r="BY255" i="15"/>
  <c r="CA255" i="15" s="1"/>
  <c r="BZ254" i="15"/>
  <c r="CB254" i="15" s="1"/>
  <c r="BY254" i="15"/>
  <c r="CA254" i="15" s="1"/>
  <c r="BZ253" i="15"/>
  <c r="CB253" i="15" s="1"/>
  <c r="BY253" i="15"/>
  <c r="CA253" i="15" s="1"/>
  <c r="BZ252" i="15"/>
  <c r="CB252" i="15" s="1"/>
  <c r="BY252" i="15"/>
  <c r="CA252" i="15" s="1"/>
  <c r="BZ251" i="15"/>
  <c r="CB251" i="15" s="1"/>
  <c r="BY251" i="15"/>
  <c r="CA251" i="15" s="1"/>
  <c r="BZ250" i="15"/>
  <c r="CB250" i="15" s="1"/>
  <c r="BY250" i="15"/>
  <c r="CA250" i="15" s="1"/>
  <c r="BZ249" i="15"/>
  <c r="CB249" i="15" s="1"/>
  <c r="BY249" i="15"/>
  <c r="CA249" i="15" s="1"/>
  <c r="BZ248" i="15"/>
  <c r="CB248" i="15" s="1"/>
  <c r="BY248" i="15"/>
  <c r="CA248" i="15" s="1"/>
  <c r="BZ246" i="15"/>
  <c r="CB246" i="15" s="1"/>
  <c r="BY246" i="15"/>
  <c r="CA246" i="15" s="1"/>
  <c r="BZ245" i="15"/>
  <c r="CB245" i="15" s="1"/>
  <c r="BY245" i="15"/>
  <c r="CA245" i="15" s="1"/>
  <c r="BZ244" i="15"/>
  <c r="CB244" i="15" s="1"/>
  <c r="BY244" i="15"/>
  <c r="CA244" i="15" s="1"/>
  <c r="BZ243" i="15"/>
  <c r="CB243" i="15" s="1"/>
  <c r="BY243" i="15"/>
  <c r="CA243" i="15" s="1"/>
  <c r="BZ242" i="15"/>
  <c r="CB242" i="15" s="1"/>
  <c r="BY242" i="15"/>
  <c r="CA242" i="15" s="1"/>
  <c r="BZ241" i="15"/>
  <c r="CB241" i="15" s="1"/>
  <c r="BY241" i="15"/>
  <c r="CA241" i="15" s="1"/>
  <c r="BZ240" i="15"/>
  <c r="CB240" i="15" s="1"/>
  <c r="BY240" i="15"/>
  <c r="CA240" i="15" s="1"/>
  <c r="BZ239" i="15"/>
  <c r="CB239" i="15" s="1"/>
  <c r="BY239" i="15"/>
  <c r="CA239" i="15" s="1"/>
  <c r="BZ238" i="15"/>
  <c r="CB238" i="15" s="1"/>
  <c r="BY238" i="15"/>
  <c r="CA238" i="15" s="1"/>
  <c r="BZ237" i="15"/>
  <c r="CB237" i="15" s="1"/>
  <c r="BY237" i="15"/>
  <c r="CA237" i="15" s="1"/>
  <c r="BZ236" i="15"/>
  <c r="CB236" i="15" s="1"/>
  <c r="BY236" i="15"/>
  <c r="CA236" i="15" s="1"/>
  <c r="BZ235" i="15"/>
  <c r="CB235" i="15" s="1"/>
  <c r="BY235" i="15"/>
  <c r="CA235" i="15" s="1"/>
  <c r="BZ234" i="15"/>
  <c r="CB234" i="15" s="1"/>
  <c r="BY234" i="15"/>
  <c r="CA234" i="15" s="1"/>
  <c r="BZ233" i="15"/>
  <c r="CB233" i="15" s="1"/>
  <c r="BY233" i="15"/>
  <c r="CA233" i="15" s="1"/>
  <c r="BZ232" i="15"/>
  <c r="CB232" i="15" s="1"/>
  <c r="BY232" i="15"/>
  <c r="CA232" i="15" s="1"/>
  <c r="BZ230" i="15"/>
  <c r="CB230" i="15" s="1"/>
  <c r="BY230" i="15"/>
  <c r="CA230" i="15" s="1"/>
  <c r="BZ228" i="15"/>
  <c r="CB228" i="15" s="1"/>
  <c r="BY228" i="15"/>
  <c r="CA228" i="15" s="1"/>
  <c r="BZ227" i="15"/>
  <c r="CB227" i="15" s="1"/>
  <c r="BY227" i="15"/>
  <c r="CA227" i="15" s="1"/>
  <c r="BZ226" i="15"/>
  <c r="CB226" i="15" s="1"/>
  <c r="BY226" i="15"/>
  <c r="CA226" i="15" s="1"/>
  <c r="BZ225" i="15"/>
  <c r="CB225" i="15" s="1"/>
  <c r="BY225" i="15"/>
  <c r="CA225" i="15" s="1"/>
  <c r="BZ224" i="15"/>
  <c r="CB224" i="15" s="1"/>
  <c r="BY224" i="15"/>
  <c r="CA224" i="15" s="1"/>
  <c r="BZ223" i="15"/>
  <c r="CB223" i="15" s="1"/>
  <c r="BY223" i="15"/>
  <c r="CA223" i="15" s="1"/>
  <c r="BZ222" i="15"/>
  <c r="CB222" i="15" s="1"/>
  <c r="BY222" i="15"/>
  <c r="CA222" i="15" s="1"/>
  <c r="BZ221" i="15"/>
  <c r="CB221" i="15" s="1"/>
  <c r="BY221" i="15"/>
  <c r="CA221" i="15" s="1"/>
  <c r="BZ220" i="15"/>
  <c r="CB220" i="15" s="1"/>
  <c r="BY220" i="15"/>
  <c r="CA220" i="15" s="1"/>
  <c r="BZ219" i="15"/>
  <c r="CB219" i="15" s="1"/>
  <c r="BY219" i="15"/>
  <c r="CA219" i="15" s="1"/>
  <c r="BZ218" i="15"/>
  <c r="CB218" i="15" s="1"/>
  <c r="BY218" i="15"/>
  <c r="CA218" i="15" s="1"/>
  <c r="BZ217" i="15"/>
  <c r="CB217" i="15" s="1"/>
  <c r="BY217" i="15"/>
  <c r="CA217" i="15" s="1"/>
  <c r="BZ216" i="15"/>
  <c r="CB216" i="15" s="1"/>
  <c r="BY216" i="15"/>
  <c r="CA216" i="15" s="1"/>
  <c r="BZ215" i="15"/>
  <c r="CB215" i="15" s="1"/>
  <c r="BY215" i="15"/>
  <c r="CA215" i="15" s="1"/>
  <c r="BZ214" i="15"/>
  <c r="CB214" i="15" s="1"/>
  <c r="BY214" i="15"/>
  <c r="CA214" i="15" s="1"/>
  <c r="BZ213" i="15"/>
  <c r="CB213" i="15" s="1"/>
  <c r="BY213" i="15"/>
  <c r="CA213" i="15" s="1"/>
  <c r="BZ212" i="15"/>
  <c r="CB212" i="15" s="1"/>
  <c r="BY212" i="15"/>
  <c r="CA212" i="15" s="1"/>
  <c r="BZ211" i="15"/>
  <c r="CB211" i="15" s="1"/>
  <c r="BY211" i="15"/>
  <c r="CA211" i="15" s="1"/>
  <c r="BZ210" i="15"/>
  <c r="CB210" i="15" s="1"/>
  <c r="BY210" i="15"/>
  <c r="CA210" i="15" s="1"/>
  <c r="BZ209" i="15"/>
  <c r="CB209" i="15" s="1"/>
  <c r="BY209" i="15"/>
  <c r="CA209" i="15" s="1"/>
  <c r="BZ208" i="15"/>
  <c r="CB208" i="15" s="1"/>
  <c r="BY208" i="15"/>
  <c r="CA208" i="15" s="1"/>
  <c r="BZ207" i="15"/>
  <c r="CB207" i="15" s="1"/>
  <c r="BY207" i="15"/>
  <c r="CA207" i="15" s="1"/>
  <c r="BZ206" i="15"/>
  <c r="CB206" i="15" s="1"/>
  <c r="BY206" i="15"/>
  <c r="CA206" i="15" s="1"/>
  <c r="BZ205" i="15"/>
  <c r="CB205" i="15" s="1"/>
  <c r="BY205" i="15"/>
  <c r="CA205" i="15" s="1"/>
  <c r="BZ204" i="15"/>
  <c r="CB204" i="15" s="1"/>
  <c r="BY204" i="15"/>
  <c r="CA204" i="15" s="1"/>
  <c r="BZ203" i="15"/>
  <c r="CB203" i="15" s="1"/>
  <c r="BY203" i="15"/>
  <c r="CA203" i="15" s="1"/>
  <c r="BZ202" i="15"/>
  <c r="CB202" i="15" s="1"/>
  <c r="BY202" i="15"/>
  <c r="CA202" i="15" s="1"/>
  <c r="BZ201" i="15"/>
  <c r="CB201" i="15" s="1"/>
  <c r="BY201" i="15"/>
  <c r="CA201" i="15" s="1"/>
  <c r="BZ200" i="15"/>
  <c r="CB200" i="15" s="1"/>
  <c r="BY200" i="15"/>
  <c r="CA200" i="15" s="1"/>
  <c r="BZ199" i="15"/>
  <c r="CB199" i="15" s="1"/>
  <c r="BY199" i="15"/>
  <c r="CA199" i="15" s="1"/>
  <c r="BZ198" i="15"/>
  <c r="CB198" i="15" s="1"/>
  <c r="BY198" i="15"/>
  <c r="CA198" i="15" s="1"/>
  <c r="BZ197" i="15"/>
  <c r="CB197" i="15" s="1"/>
  <c r="BY197" i="15"/>
  <c r="CA197" i="15" s="1"/>
  <c r="BZ196" i="15"/>
  <c r="CB196" i="15" s="1"/>
  <c r="BY196" i="15"/>
  <c r="CA196" i="15" s="1"/>
  <c r="BZ195" i="15"/>
  <c r="CB195" i="15" s="1"/>
  <c r="BY195" i="15"/>
  <c r="CA195" i="15" s="1"/>
  <c r="BZ194" i="15"/>
  <c r="CB194" i="15" s="1"/>
  <c r="BY194" i="15"/>
  <c r="CA194" i="15" s="1"/>
  <c r="BZ192" i="15"/>
  <c r="CB192" i="15" s="1"/>
  <c r="BY192" i="15"/>
  <c r="CA192" i="15" s="1"/>
  <c r="BZ191" i="15"/>
  <c r="CB191" i="15" s="1"/>
  <c r="BY191" i="15"/>
  <c r="CA191" i="15" s="1"/>
  <c r="BZ190" i="15"/>
  <c r="CB190" i="15" s="1"/>
  <c r="BY190" i="15"/>
  <c r="CA190" i="15" s="1"/>
  <c r="BZ189" i="15"/>
  <c r="CB189" i="15" s="1"/>
  <c r="BY189" i="15"/>
  <c r="CA189" i="15" s="1"/>
  <c r="BZ188" i="15"/>
  <c r="CB188" i="15" s="1"/>
  <c r="BY188" i="15"/>
  <c r="CA188" i="15" s="1"/>
  <c r="BZ187" i="15"/>
  <c r="CB187" i="15" s="1"/>
  <c r="BY187" i="15"/>
  <c r="CA187" i="15" s="1"/>
  <c r="BZ186" i="15"/>
  <c r="CB186" i="15" s="1"/>
  <c r="BY186" i="15"/>
  <c r="CA186" i="15" s="1"/>
  <c r="BZ185" i="15"/>
  <c r="CB185" i="15" s="1"/>
  <c r="BY185" i="15"/>
  <c r="CA185" i="15" s="1"/>
  <c r="BZ184" i="15"/>
  <c r="CB184" i="15" s="1"/>
  <c r="BY184" i="15"/>
  <c r="CA184" i="15" s="1"/>
  <c r="BZ183" i="15"/>
  <c r="CB183" i="15" s="1"/>
  <c r="BY183" i="15"/>
  <c r="CA183" i="15" s="1"/>
  <c r="BZ182" i="15"/>
  <c r="CB182" i="15" s="1"/>
  <c r="BY182" i="15"/>
  <c r="CA182" i="15" s="1"/>
  <c r="BZ181" i="15"/>
  <c r="CB181" i="15" s="1"/>
  <c r="BY181" i="15"/>
  <c r="CA181" i="15" s="1"/>
  <c r="BZ180" i="15"/>
  <c r="CB180" i="15" s="1"/>
  <c r="BY180" i="15"/>
  <c r="CA180" i="15" s="1"/>
  <c r="BZ179" i="15"/>
  <c r="CB179" i="15" s="1"/>
  <c r="BY179" i="15"/>
  <c r="CA179" i="15" s="1"/>
  <c r="BZ178" i="15"/>
  <c r="CB178" i="15" s="1"/>
  <c r="BY178" i="15"/>
  <c r="CA178" i="15" s="1"/>
  <c r="BZ177" i="15"/>
  <c r="CB177" i="15" s="1"/>
  <c r="BY177" i="15"/>
  <c r="CA177" i="15" s="1"/>
  <c r="BZ176" i="15"/>
  <c r="CB176" i="15" s="1"/>
  <c r="BY176" i="15"/>
  <c r="CA176" i="15" s="1"/>
  <c r="BZ175" i="15"/>
  <c r="CB175" i="15" s="1"/>
  <c r="BY175" i="15"/>
  <c r="CA175" i="15" s="1"/>
  <c r="BZ174" i="15"/>
  <c r="CB174" i="15" s="1"/>
  <c r="BY174" i="15"/>
  <c r="CA174" i="15" s="1"/>
  <c r="BZ173" i="15"/>
  <c r="CB173" i="15" s="1"/>
  <c r="BY173" i="15"/>
  <c r="CA173" i="15" s="1"/>
  <c r="BZ172" i="15"/>
  <c r="CB172" i="15" s="1"/>
  <c r="BY172" i="15"/>
  <c r="CA172" i="15" s="1"/>
  <c r="BZ171" i="15"/>
  <c r="CB171" i="15" s="1"/>
  <c r="BY171" i="15"/>
  <c r="CA171" i="15" s="1"/>
  <c r="BZ170" i="15"/>
  <c r="CB170" i="15" s="1"/>
  <c r="BY170" i="15"/>
  <c r="CA170" i="15" s="1"/>
  <c r="BZ169" i="15"/>
  <c r="CB169" i="15" s="1"/>
  <c r="BY169" i="15"/>
  <c r="CA169" i="15" s="1"/>
  <c r="BZ168" i="15"/>
  <c r="CB168" i="15" s="1"/>
  <c r="BY168" i="15"/>
  <c r="CA168" i="15" s="1"/>
  <c r="BZ167" i="15"/>
  <c r="CB167" i="15" s="1"/>
  <c r="BY167" i="15"/>
  <c r="CA167" i="15" s="1"/>
  <c r="BZ166" i="15"/>
  <c r="CB166" i="15" s="1"/>
  <c r="BY166" i="15"/>
  <c r="CA166" i="15" s="1"/>
  <c r="BZ165" i="15"/>
  <c r="CB165" i="15" s="1"/>
  <c r="BY165" i="15"/>
  <c r="CA165" i="15" s="1"/>
  <c r="BZ164" i="15"/>
  <c r="CB164" i="15" s="1"/>
  <c r="BY164" i="15"/>
  <c r="CA164" i="15" s="1"/>
  <c r="BZ163" i="15"/>
  <c r="CB163" i="15" s="1"/>
  <c r="BY163" i="15"/>
  <c r="CA163" i="15" s="1"/>
  <c r="BZ162" i="15"/>
  <c r="CB162" i="15" s="1"/>
  <c r="BY162" i="15"/>
  <c r="CA162" i="15" s="1"/>
  <c r="BZ161" i="15"/>
  <c r="CB161" i="15" s="1"/>
  <c r="BY161" i="15"/>
  <c r="CA161" i="15" s="1"/>
  <c r="BZ160" i="15"/>
  <c r="CB160" i="15" s="1"/>
  <c r="BY160" i="15"/>
  <c r="CA160" i="15" s="1"/>
  <c r="BZ159" i="15"/>
  <c r="CB159" i="15" s="1"/>
  <c r="BY159" i="15"/>
  <c r="CA159" i="15" s="1"/>
  <c r="BZ158" i="15"/>
  <c r="CB158" i="15" s="1"/>
  <c r="BY158" i="15"/>
  <c r="CA158" i="15" s="1"/>
  <c r="BZ157" i="15"/>
  <c r="CB157" i="15" s="1"/>
  <c r="BY157" i="15"/>
  <c r="CA157" i="15" s="1"/>
  <c r="BZ156" i="15"/>
  <c r="CB156" i="15" s="1"/>
  <c r="BY156" i="15"/>
  <c r="CA156" i="15" s="1"/>
  <c r="BZ155" i="15"/>
  <c r="CB155" i="15" s="1"/>
  <c r="BY155" i="15"/>
  <c r="CA155" i="15" s="1"/>
  <c r="BZ154" i="15"/>
  <c r="CB154" i="15" s="1"/>
  <c r="BY154" i="15"/>
  <c r="CA154" i="15" s="1"/>
  <c r="BZ153" i="15"/>
  <c r="CB153" i="15" s="1"/>
  <c r="BY153" i="15"/>
  <c r="CA153" i="15" s="1"/>
  <c r="BZ152" i="15"/>
  <c r="CB152" i="15" s="1"/>
  <c r="BY152" i="15"/>
  <c r="CA152" i="15" s="1"/>
  <c r="BZ151" i="15"/>
  <c r="CB151" i="15" s="1"/>
  <c r="BY151" i="15"/>
  <c r="CA151" i="15" s="1"/>
  <c r="BZ150" i="15"/>
  <c r="CB150" i="15" s="1"/>
  <c r="BY150" i="15"/>
  <c r="CA150" i="15" s="1"/>
  <c r="BZ149" i="15"/>
  <c r="CB149" i="15" s="1"/>
  <c r="BY149" i="15"/>
  <c r="CA149" i="15" s="1"/>
  <c r="BZ148" i="15"/>
  <c r="CB148" i="15" s="1"/>
  <c r="BY148" i="15"/>
  <c r="CA148" i="15" s="1"/>
  <c r="BZ147" i="15"/>
  <c r="CB147" i="15" s="1"/>
  <c r="BY147" i="15"/>
  <c r="CA147" i="15" s="1"/>
  <c r="BZ146" i="15"/>
  <c r="CB146" i="15" s="1"/>
  <c r="BY146" i="15"/>
  <c r="CA146" i="15" s="1"/>
  <c r="BZ145" i="15"/>
  <c r="CB145" i="15" s="1"/>
  <c r="BY145" i="15"/>
  <c r="CA145" i="15" s="1"/>
  <c r="BZ144" i="15"/>
  <c r="CB144" i="15" s="1"/>
  <c r="BY144" i="15"/>
  <c r="CA144" i="15" s="1"/>
  <c r="BZ143" i="15"/>
  <c r="CB143" i="15" s="1"/>
  <c r="BY143" i="15"/>
  <c r="CA143" i="15" s="1"/>
  <c r="BZ142" i="15"/>
  <c r="CB142" i="15" s="1"/>
  <c r="BY142" i="15"/>
  <c r="CA142" i="15" s="1"/>
  <c r="BZ141" i="15"/>
  <c r="CB141" i="15" s="1"/>
  <c r="BY141" i="15"/>
  <c r="CA141" i="15" s="1"/>
  <c r="BZ140" i="15"/>
  <c r="CB140" i="15" s="1"/>
  <c r="BY140" i="15"/>
  <c r="CA140" i="15" s="1"/>
  <c r="BZ139" i="15"/>
  <c r="CB139" i="15" s="1"/>
  <c r="BY139" i="15"/>
  <c r="CA139" i="15" s="1"/>
  <c r="BZ138" i="15"/>
  <c r="CB138" i="15" s="1"/>
  <c r="BY138" i="15"/>
  <c r="CA138" i="15" s="1"/>
  <c r="BZ137" i="15"/>
  <c r="CB137" i="15" s="1"/>
  <c r="BY137" i="15"/>
  <c r="CA137" i="15" s="1"/>
  <c r="BZ136" i="15"/>
  <c r="CB136" i="15" s="1"/>
  <c r="BY136" i="15"/>
  <c r="CA136" i="15" s="1"/>
  <c r="BZ135" i="15"/>
  <c r="CB135" i="15" s="1"/>
  <c r="BY135" i="15"/>
  <c r="CA135" i="15" s="1"/>
  <c r="BZ134" i="15"/>
  <c r="CB134" i="15" s="1"/>
  <c r="BY134" i="15"/>
  <c r="CA134" i="15" s="1"/>
  <c r="BZ133" i="15"/>
  <c r="CB133" i="15" s="1"/>
  <c r="BY133" i="15"/>
  <c r="CA133" i="15" s="1"/>
  <c r="BZ132" i="15"/>
  <c r="CB132" i="15" s="1"/>
  <c r="BY132" i="15"/>
  <c r="CA132" i="15" s="1"/>
  <c r="BZ131" i="15"/>
  <c r="CB131" i="15" s="1"/>
  <c r="BY131" i="15"/>
  <c r="CA131" i="15" s="1"/>
  <c r="BZ130" i="15"/>
  <c r="CB130" i="15" s="1"/>
  <c r="BY130" i="15"/>
  <c r="CA130" i="15" s="1"/>
  <c r="BZ129" i="15"/>
  <c r="CB129" i="15" s="1"/>
  <c r="BY129" i="15"/>
  <c r="CA129" i="15" s="1"/>
  <c r="BZ128" i="15"/>
  <c r="CB128" i="15" s="1"/>
  <c r="BY128" i="15"/>
  <c r="CA128" i="15" s="1"/>
  <c r="BZ127" i="15"/>
  <c r="CB127" i="15" s="1"/>
  <c r="BY127" i="15"/>
  <c r="CA127" i="15" s="1"/>
  <c r="BZ126" i="15"/>
  <c r="CB126" i="15" s="1"/>
  <c r="BY126" i="15"/>
  <c r="CA126" i="15" s="1"/>
  <c r="BZ125" i="15"/>
  <c r="CB125" i="15" s="1"/>
  <c r="BY125" i="15"/>
  <c r="CA125" i="15" s="1"/>
  <c r="BZ124" i="15"/>
  <c r="CB124" i="15" s="1"/>
  <c r="BY124" i="15"/>
  <c r="CA124" i="15" s="1"/>
  <c r="BZ123" i="15"/>
  <c r="CB123" i="15" s="1"/>
  <c r="BY123" i="15"/>
  <c r="CA123" i="15" s="1"/>
  <c r="BZ122" i="15"/>
  <c r="CB122" i="15" s="1"/>
  <c r="BY122" i="15"/>
  <c r="CA122" i="15" s="1"/>
  <c r="BZ121" i="15"/>
  <c r="CB121" i="15" s="1"/>
  <c r="BY121" i="15"/>
  <c r="CA121" i="15" s="1"/>
  <c r="BZ120" i="15"/>
  <c r="CB120" i="15" s="1"/>
  <c r="BY120" i="15"/>
  <c r="CA120" i="15" s="1"/>
  <c r="BZ119" i="15"/>
  <c r="CB119" i="15" s="1"/>
  <c r="BY119" i="15"/>
  <c r="CA119" i="15" s="1"/>
  <c r="BZ118" i="15"/>
  <c r="CB118" i="15" s="1"/>
  <c r="BY118" i="15"/>
  <c r="CA118" i="15" s="1"/>
  <c r="BZ117" i="15"/>
  <c r="CB117" i="15" s="1"/>
  <c r="BY117" i="15"/>
  <c r="CA117" i="15" s="1"/>
  <c r="BZ116" i="15"/>
  <c r="CB116" i="15" s="1"/>
  <c r="BY116" i="15"/>
  <c r="CA116" i="15" s="1"/>
  <c r="BZ115" i="15"/>
  <c r="CB115" i="15" s="1"/>
  <c r="BY115" i="15"/>
  <c r="CA115" i="15" s="1"/>
  <c r="BZ114" i="15"/>
  <c r="CB114" i="15" s="1"/>
  <c r="BY114" i="15"/>
  <c r="CA114" i="15" s="1"/>
  <c r="BZ113" i="15"/>
  <c r="CB113" i="15" s="1"/>
  <c r="BY113" i="15"/>
  <c r="CA113" i="15" s="1"/>
  <c r="BZ112" i="15"/>
  <c r="CB112" i="15" s="1"/>
  <c r="BY112" i="15"/>
  <c r="CA112" i="15" s="1"/>
  <c r="BZ111" i="15"/>
  <c r="CB111" i="15" s="1"/>
  <c r="BY111" i="15"/>
  <c r="CA111" i="15" s="1"/>
  <c r="BZ110" i="15"/>
  <c r="CB110" i="15" s="1"/>
  <c r="BY110" i="15"/>
  <c r="CA110" i="15" s="1"/>
  <c r="BZ109" i="15"/>
  <c r="CB109" i="15" s="1"/>
  <c r="BY109" i="15"/>
  <c r="CA109" i="15" s="1"/>
  <c r="BZ108" i="15"/>
  <c r="CB108" i="15" s="1"/>
  <c r="BY108" i="15"/>
  <c r="CA108" i="15" s="1"/>
  <c r="BZ107" i="15"/>
  <c r="CB107" i="15" s="1"/>
  <c r="BY107" i="15"/>
  <c r="CA107" i="15" s="1"/>
  <c r="BZ106" i="15"/>
  <c r="CB106" i="15" s="1"/>
  <c r="BY106" i="15"/>
  <c r="CA106" i="15" s="1"/>
  <c r="BZ105" i="15"/>
  <c r="CB105" i="15" s="1"/>
  <c r="BY105" i="15"/>
  <c r="CA105" i="15" s="1"/>
  <c r="BZ104" i="15"/>
  <c r="CB104" i="15" s="1"/>
  <c r="BY104" i="15"/>
  <c r="CA104" i="15" s="1"/>
  <c r="BZ103" i="15"/>
  <c r="CB103" i="15" s="1"/>
  <c r="BY103" i="15"/>
  <c r="CA103" i="15" s="1"/>
  <c r="BZ102" i="15"/>
  <c r="CB102" i="15" s="1"/>
  <c r="BY102" i="15"/>
  <c r="CA102" i="15" s="1"/>
  <c r="BZ101" i="15"/>
  <c r="CB101" i="15" s="1"/>
  <c r="BY101" i="15"/>
  <c r="CA101" i="15" s="1"/>
  <c r="BZ100" i="15"/>
  <c r="CB100" i="15" s="1"/>
  <c r="BY100" i="15"/>
  <c r="CA100" i="15" s="1"/>
  <c r="BZ99" i="15"/>
  <c r="CB99" i="15" s="1"/>
  <c r="BY99" i="15"/>
  <c r="CA99" i="15" s="1"/>
  <c r="BZ98" i="15"/>
  <c r="CB98" i="15" s="1"/>
  <c r="BY98" i="15"/>
  <c r="CA98" i="15" s="1"/>
  <c r="BZ97" i="15"/>
  <c r="CB97" i="15" s="1"/>
  <c r="BY97" i="15"/>
  <c r="CA97" i="15" s="1"/>
  <c r="BZ96" i="15"/>
  <c r="CB96" i="15" s="1"/>
  <c r="BY96" i="15"/>
  <c r="CA96" i="15" s="1"/>
  <c r="BZ95" i="15"/>
  <c r="CB95" i="15" s="1"/>
  <c r="BY95" i="15"/>
  <c r="CA95" i="15" s="1"/>
  <c r="BZ93" i="15"/>
  <c r="CB93" i="15" s="1"/>
  <c r="BY93" i="15"/>
  <c r="CA93" i="15" s="1"/>
  <c r="BZ92" i="15"/>
  <c r="CB92" i="15" s="1"/>
  <c r="BY92" i="15"/>
  <c r="CA92" i="15" s="1"/>
  <c r="BZ91" i="15"/>
  <c r="CB91" i="15" s="1"/>
  <c r="BY91" i="15"/>
  <c r="CA91" i="15" s="1"/>
  <c r="BZ90" i="15"/>
  <c r="CB90" i="15" s="1"/>
  <c r="BY90" i="15"/>
  <c r="CA90" i="15" s="1"/>
  <c r="BZ89" i="15"/>
  <c r="CB89" i="15" s="1"/>
  <c r="BY89" i="15"/>
  <c r="CA89" i="15" s="1"/>
  <c r="BZ88" i="15"/>
  <c r="CB88" i="15" s="1"/>
  <c r="BY88" i="15"/>
  <c r="CA88" i="15" s="1"/>
  <c r="BZ87" i="15"/>
  <c r="CB87" i="15" s="1"/>
  <c r="BY87" i="15"/>
  <c r="CA87" i="15" s="1"/>
  <c r="BZ86" i="15"/>
  <c r="CB86" i="15" s="1"/>
  <c r="BY86" i="15"/>
  <c r="CA86" i="15" s="1"/>
  <c r="BZ85" i="15"/>
  <c r="CB85" i="15" s="1"/>
  <c r="BY85" i="15"/>
  <c r="CA85" i="15" s="1"/>
  <c r="BZ84" i="15"/>
  <c r="CB84" i="15" s="1"/>
  <c r="BY84" i="15"/>
  <c r="CA84" i="15" s="1"/>
  <c r="BZ83" i="15"/>
  <c r="CB83" i="15" s="1"/>
  <c r="BY83" i="15"/>
  <c r="CA83" i="15" s="1"/>
  <c r="BZ82" i="15"/>
  <c r="CB82" i="15" s="1"/>
  <c r="BY82" i="15"/>
  <c r="CA82" i="15" s="1"/>
  <c r="BZ81" i="15"/>
  <c r="CB81" i="15" s="1"/>
  <c r="BY81" i="15"/>
  <c r="CA81" i="15" s="1"/>
  <c r="BZ80" i="15"/>
  <c r="CB80" i="15" s="1"/>
  <c r="BY80" i="15"/>
  <c r="CA80" i="15" s="1"/>
  <c r="BZ79" i="15"/>
  <c r="CB79" i="15" s="1"/>
  <c r="BY79" i="15"/>
  <c r="CA79" i="15" s="1"/>
  <c r="BZ78" i="15"/>
  <c r="CB78" i="15" s="1"/>
  <c r="BY78" i="15"/>
  <c r="CA78" i="15" s="1"/>
  <c r="BZ77" i="15"/>
  <c r="CB77" i="15" s="1"/>
  <c r="BY77" i="15"/>
  <c r="CA77" i="15" s="1"/>
  <c r="BZ76" i="15"/>
  <c r="CB76" i="15" s="1"/>
  <c r="BY76" i="15"/>
  <c r="CA76" i="15" s="1"/>
  <c r="BZ75" i="15"/>
  <c r="CB75" i="15" s="1"/>
  <c r="BY75" i="15"/>
  <c r="CA75" i="15" s="1"/>
  <c r="BZ74" i="15"/>
  <c r="CB74" i="15" s="1"/>
  <c r="BY74" i="15"/>
  <c r="CA74" i="15" s="1"/>
  <c r="BZ73" i="15"/>
  <c r="CB73" i="15" s="1"/>
  <c r="BY73" i="15"/>
  <c r="CA73" i="15" s="1"/>
  <c r="BZ72" i="15"/>
  <c r="CB72" i="15" s="1"/>
  <c r="BY72" i="15"/>
  <c r="CA72" i="15" s="1"/>
  <c r="BZ71" i="15"/>
  <c r="CB71" i="15" s="1"/>
  <c r="BY71" i="15"/>
  <c r="CA71" i="15" s="1"/>
  <c r="BZ70" i="15"/>
  <c r="CB70" i="15" s="1"/>
  <c r="BY70" i="15"/>
  <c r="CA70" i="15" s="1"/>
  <c r="BZ69" i="15"/>
  <c r="CB69" i="15" s="1"/>
  <c r="BY69" i="15"/>
  <c r="CA69" i="15" s="1"/>
  <c r="BZ68" i="15"/>
  <c r="CB68" i="15" s="1"/>
  <c r="BY68" i="15"/>
  <c r="CA68" i="15" s="1"/>
  <c r="BZ67" i="15"/>
  <c r="CB67" i="15" s="1"/>
  <c r="BY67" i="15"/>
  <c r="CA67" i="15" s="1"/>
  <c r="BZ66" i="15"/>
  <c r="CB66" i="15" s="1"/>
  <c r="BY66" i="15"/>
  <c r="CA66" i="15" s="1"/>
  <c r="BZ65" i="15"/>
  <c r="CB65" i="15" s="1"/>
  <c r="BY65" i="15"/>
  <c r="CA65" i="15" s="1"/>
  <c r="BZ64" i="15"/>
  <c r="CB64" i="15" s="1"/>
  <c r="BY64" i="15"/>
  <c r="CA64" i="15" s="1"/>
  <c r="BZ63" i="15"/>
  <c r="CB63" i="15" s="1"/>
  <c r="BY63" i="15"/>
  <c r="CA63" i="15" s="1"/>
  <c r="BZ62" i="15"/>
  <c r="CB62" i="15" s="1"/>
  <c r="BY62" i="15"/>
  <c r="CA62" i="15" s="1"/>
  <c r="BZ61" i="15"/>
  <c r="CB61" i="15" s="1"/>
  <c r="BY61" i="15"/>
  <c r="CA61" i="15" s="1"/>
  <c r="BZ60" i="15"/>
  <c r="CB60" i="15" s="1"/>
  <c r="BY60" i="15"/>
  <c r="CA60" i="15" s="1"/>
  <c r="BZ59" i="15"/>
  <c r="CB59" i="15" s="1"/>
  <c r="BY59" i="15"/>
  <c r="CA59" i="15" s="1"/>
  <c r="BZ58" i="15"/>
  <c r="CB58" i="15" s="1"/>
  <c r="BY58" i="15"/>
  <c r="CA58" i="15" s="1"/>
  <c r="BZ57" i="15"/>
  <c r="CB57" i="15" s="1"/>
  <c r="BY57" i="15"/>
  <c r="CA57" i="15" s="1"/>
  <c r="BZ56" i="15"/>
  <c r="CB56" i="15" s="1"/>
  <c r="BY56" i="15"/>
  <c r="CA56" i="15" s="1"/>
  <c r="BZ55" i="15"/>
  <c r="CB55" i="15" s="1"/>
  <c r="BY55" i="15"/>
  <c r="CA55" i="15" s="1"/>
  <c r="BZ54" i="15"/>
  <c r="CB54" i="15" s="1"/>
  <c r="BY54" i="15"/>
  <c r="CA54" i="15" s="1"/>
  <c r="BZ53" i="15"/>
  <c r="CB53" i="15" s="1"/>
  <c r="BY53" i="15"/>
  <c r="CA53" i="15" s="1"/>
  <c r="BZ52" i="15"/>
  <c r="CB52" i="15" s="1"/>
  <c r="BY52" i="15"/>
  <c r="CA52" i="15" s="1"/>
  <c r="BZ51" i="15"/>
  <c r="CB51" i="15" s="1"/>
  <c r="BY51" i="15"/>
  <c r="CA51" i="15" s="1"/>
  <c r="BZ50" i="15"/>
  <c r="CB50" i="15" s="1"/>
  <c r="BY50" i="15"/>
  <c r="CA50" i="15" s="1"/>
  <c r="BZ49" i="15"/>
  <c r="CB49" i="15" s="1"/>
  <c r="BY49" i="15"/>
  <c r="CA49" i="15" s="1"/>
  <c r="BZ48" i="15"/>
  <c r="CB48" i="15" s="1"/>
  <c r="BY48" i="15"/>
  <c r="CA48" i="15" s="1"/>
  <c r="BZ47" i="15"/>
  <c r="CB47" i="15" s="1"/>
  <c r="BY47" i="15"/>
  <c r="CA47" i="15" s="1"/>
  <c r="BZ46" i="15"/>
  <c r="CB46" i="15" s="1"/>
  <c r="BY46" i="15"/>
  <c r="CA46" i="15" s="1"/>
  <c r="BZ45" i="15"/>
  <c r="CB45" i="15" s="1"/>
  <c r="BY45" i="15"/>
  <c r="CA45" i="15" s="1"/>
  <c r="BZ44" i="15"/>
  <c r="CB44" i="15" s="1"/>
  <c r="BY44" i="15"/>
  <c r="CA44" i="15" s="1"/>
  <c r="BZ43" i="15"/>
  <c r="CB43" i="15" s="1"/>
  <c r="BY43" i="15"/>
  <c r="CA43" i="15" s="1"/>
  <c r="BZ42" i="15"/>
  <c r="CB42" i="15" s="1"/>
  <c r="BY42" i="15"/>
  <c r="CA42" i="15" s="1"/>
  <c r="BZ41" i="15"/>
  <c r="CB41" i="15" s="1"/>
  <c r="BY41" i="15"/>
  <c r="CA41" i="15" s="1"/>
  <c r="BZ40" i="15"/>
  <c r="CB40" i="15" s="1"/>
  <c r="BY40" i="15"/>
  <c r="CA40" i="15" s="1"/>
  <c r="BZ39" i="15"/>
  <c r="CB39" i="15" s="1"/>
  <c r="BY39" i="15"/>
  <c r="CA39" i="15" s="1"/>
  <c r="BZ38" i="15"/>
  <c r="CB38" i="15" s="1"/>
  <c r="BY38" i="15"/>
  <c r="CA38" i="15" s="1"/>
  <c r="BZ37" i="15"/>
  <c r="CB37" i="15" s="1"/>
  <c r="BY37" i="15"/>
  <c r="CA37" i="15" s="1"/>
  <c r="BZ36" i="15"/>
  <c r="CB36" i="15" s="1"/>
  <c r="BY36" i="15"/>
  <c r="CA36" i="15" s="1"/>
  <c r="BZ35" i="15"/>
  <c r="CB35" i="15" s="1"/>
  <c r="BY35" i="15"/>
  <c r="CA35" i="15" s="1"/>
  <c r="BZ34" i="15"/>
  <c r="CB34" i="15" s="1"/>
  <c r="BY34" i="15"/>
  <c r="CA34" i="15" s="1"/>
  <c r="BZ33" i="15"/>
  <c r="CB33" i="15" s="1"/>
  <c r="BY33" i="15"/>
  <c r="CA33" i="15" s="1"/>
  <c r="BZ32" i="15"/>
  <c r="CB32" i="15" s="1"/>
  <c r="BY32" i="15"/>
  <c r="CA32" i="15" s="1"/>
  <c r="BZ31" i="15"/>
  <c r="CB31" i="15" s="1"/>
  <c r="BY31" i="15"/>
  <c r="CA31" i="15" s="1"/>
  <c r="BZ30" i="15"/>
  <c r="CB30" i="15" s="1"/>
  <c r="BY30" i="15"/>
  <c r="CA30" i="15" s="1"/>
  <c r="BZ29" i="15"/>
  <c r="CB29" i="15" s="1"/>
  <c r="BY29" i="15"/>
  <c r="CA29" i="15" s="1"/>
  <c r="BZ28" i="15"/>
  <c r="CB28" i="15" s="1"/>
  <c r="BY28" i="15"/>
  <c r="CA28" i="15" s="1"/>
  <c r="BZ27" i="15"/>
  <c r="CB27" i="15" s="1"/>
  <c r="BY27" i="15"/>
  <c r="CA27" i="15" s="1"/>
  <c r="BZ26" i="15"/>
  <c r="CB26" i="15" s="1"/>
  <c r="BY26" i="15"/>
  <c r="CA26" i="15" s="1"/>
  <c r="BZ25" i="15"/>
  <c r="CB25" i="15" s="1"/>
  <c r="BY25" i="15"/>
  <c r="CA25" i="15" s="1"/>
  <c r="BZ23" i="15"/>
  <c r="CB23" i="15" s="1"/>
  <c r="BY23" i="15"/>
  <c r="CA23" i="15" s="1"/>
  <c r="BZ22" i="15"/>
  <c r="CB22" i="15" s="1"/>
  <c r="BY22" i="15"/>
  <c r="CA22" i="15" s="1"/>
  <c r="BZ21" i="15"/>
  <c r="CB21" i="15" s="1"/>
  <c r="BY21" i="15"/>
  <c r="CA21" i="15" s="1"/>
  <c r="BZ20" i="15"/>
  <c r="CB20" i="15" s="1"/>
  <c r="BY20" i="15"/>
  <c r="CA20" i="15" s="1"/>
  <c r="BZ18" i="15"/>
  <c r="CB18" i="15" s="1"/>
  <c r="BY18" i="15"/>
  <c r="CA18" i="15" s="1"/>
  <c r="BZ17" i="15"/>
  <c r="CB17" i="15" s="1"/>
  <c r="BY17" i="15"/>
  <c r="CA17" i="15" s="1"/>
  <c r="BZ16" i="15"/>
  <c r="CB16" i="15" s="1"/>
  <c r="BY16" i="15"/>
  <c r="CA16" i="15" s="1"/>
  <c r="BZ15" i="15"/>
  <c r="CB15" i="15" s="1"/>
  <c r="BY15" i="15"/>
  <c r="CA15" i="15" s="1"/>
  <c r="BZ14" i="15"/>
  <c r="CB14" i="15" s="1"/>
  <c r="BY14" i="15"/>
  <c r="CA14" i="15" s="1"/>
  <c r="BZ13" i="15"/>
  <c r="CB13" i="15" s="1"/>
  <c r="BY13" i="15"/>
  <c r="CA13" i="15" s="1"/>
  <c r="BZ12" i="15"/>
  <c r="CB12" i="15" s="1"/>
  <c r="BY12" i="15"/>
  <c r="CA12" i="15" s="1"/>
  <c r="BZ11" i="15"/>
  <c r="CB11" i="15" s="1"/>
  <c r="BY11" i="15"/>
  <c r="CA11" i="15" s="1"/>
  <c r="BZ10" i="15"/>
  <c r="CB10" i="15" s="1"/>
  <c r="BY10" i="15"/>
  <c r="CA10" i="15" s="1"/>
  <c r="BZ9" i="15"/>
  <c r="CB9" i="15" s="1"/>
  <c r="BY9" i="15"/>
  <c r="CA9" i="15" s="1"/>
  <c r="BZ8" i="15"/>
  <c r="CB8" i="15" s="1"/>
  <c r="BY8" i="15"/>
  <c r="CA8" i="15" s="1"/>
  <c r="BZ7" i="15"/>
  <c r="CB7" i="15" s="1"/>
  <c r="BY7" i="15"/>
  <c r="CA7" i="15" s="1"/>
  <c r="CA282" i="15" l="1"/>
  <c r="CB282" i="15"/>
  <c r="T6" i="31"/>
  <c r="CD301" i="15"/>
  <c r="CD299" i="15"/>
  <c r="CC299" i="15"/>
  <c r="CD297" i="15"/>
  <c r="CC297" i="15"/>
  <c r="CC295" i="15"/>
  <c r="CC291" i="15"/>
  <c r="CC289" i="15"/>
  <c r="CD289" i="15"/>
  <c r="CD283" i="15"/>
  <c r="CC283" i="15"/>
  <c r="CD281" i="15"/>
  <c r="CC281" i="15"/>
  <c r="CC279" i="15"/>
  <c r="CD275" i="15"/>
  <c r="CD273" i="15"/>
  <c r="CC271" i="15"/>
  <c r="CD267" i="15"/>
  <c r="CC267" i="15"/>
  <c r="CC265" i="15"/>
  <c r="CC263" i="15"/>
  <c r="CD259" i="15"/>
  <c r="CC259" i="15"/>
  <c r="CC255" i="15"/>
  <c r="CD253" i="15"/>
  <c r="CC251" i="15"/>
  <c r="CD251" i="15"/>
  <c r="CD249" i="15"/>
  <c r="CC249" i="15"/>
  <c r="CC243" i="15"/>
  <c r="CD243" i="15"/>
  <c r="CD237" i="15"/>
  <c r="CD235" i="15"/>
  <c r="CC235" i="15"/>
  <c r="CD233" i="15"/>
  <c r="CC233" i="15"/>
  <c r="CC227" i="15"/>
  <c r="CD225" i="15"/>
  <c r="CC225" i="15"/>
  <c r="CD219" i="15"/>
  <c r="CC219" i="15"/>
  <c r="CD217" i="15"/>
  <c r="CC217" i="15"/>
  <c r="CC215" i="15"/>
  <c r="CD211" i="15"/>
  <c r="CC207" i="15"/>
  <c r="CC203" i="15"/>
  <c r="CD203" i="15"/>
  <c r="CC201" i="15"/>
  <c r="CC199" i="15"/>
  <c r="CD195" i="15"/>
  <c r="CC195" i="15"/>
  <c r="CC191" i="15"/>
  <c r="CD189" i="15"/>
  <c r="CC185" i="15"/>
  <c r="CD185" i="15"/>
  <c r="CC183" i="15"/>
  <c r="CD179" i="15"/>
  <c r="CC179" i="15"/>
  <c r="CD173" i="15"/>
  <c r="CD171" i="15"/>
  <c r="CC171" i="15"/>
  <c r="CD169" i="15"/>
  <c r="CC169" i="15"/>
  <c r="CC167" i="15"/>
  <c r="CC163" i="15"/>
  <c r="CD161" i="15"/>
  <c r="CC161" i="15"/>
  <c r="CD155" i="15"/>
  <c r="CC155" i="15"/>
  <c r="CD153" i="15"/>
  <c r="CC153" i="15"/>
  <c r="CC151" i="15"/>
  <c r="CD147" i="15"/>
  <c r="CC143" i="15"/>
  <c r="CD139" i="15"/>
  <c r="CC139" i="15"/>
  <c r="CC137" i="15"/>
  <c r="CC135" i="15"/>
  <c r="CD134" i="15"/>
  <c r="CD132" i="15"/>
  <c r="CC132" i="15"/>
  <c r="CC131" i="15"/>
  <c r="CC130" i="15"/>
  <c r="CD128" i="15"/>
  <c r="CC128" i="15"/>
  <c r="CC127" i="15"/>
  <c r="CC126" i="15"/>
  <c r="CD126" i="15"/>
  <c r="CC125" i="15"/>
  <c r="CC124" i="15"/>
  <c r="CC123" i="15"/>
  <c r="CD122" i="15"/>
  <c r="CC122" i="15"/>
  <c r="CD120" i="15"/>
  <c r="CC120" i="15"/>
  <c r="CC119" i="15"/>
  <c r="CD118" i="15"/>
  <c r="CC118" i="15"/>
  <c r="CD116" i="15"/>
  <c r="CC116" i="15"/>
  <c r="CD114" i="15"/>
  <c r="CC114" i="15"/>
  <c r="CC113" i="15"/>
  <c r="CD112" i="15"/>
  <c r="CC111" i="15"/>
  <c r="CD110" i="15"/>
  <c r="CC110" i="15"/>
  <c r="CC109" i="15"/>
  <c r="CD108" i="15"/>
  <c r="CC108" i="15"/>
  <c r="CD106" i="15"/>
  <c r="CD104" i="15"/>
  <c r="CC102" i="15"/>
  <c r="CD102" i="15"/>
  <c r="CC101" i="15"/>
  <c r="CD100" i="15"/>
  <c r="CC100" i="15"/>
  <c r="CD98" i="15"/>
  <c r="CC98" i="15"/>
  <c r="CC97" i="15"/>
  <c r="CD96" i="15"/>
  <c r="CC96" i="15"/>
  <c r="CC95" i="15"/>
  <c r="CC93" i="15"/>
  <c r="CD90" i="15"/>
  <c r="CC90" i="15"/>
  <c r="CC89" i="15"/>
  <c r="CD88" i="15"/>
  <c r="CD86" i="15"/>
  <c r="CC86" i="15"/>
  <c r="CC85" i="15"/>
  <c r="CD84" i="15"/>
  <c r="CC84" i="15"/>
  <c r="CC83" i="15"/>
  <c r="CD82" i="15"/>
  <c r="CC82" i="15"/>
  <c r="CC81" i="15"/>
  <c r="CD80" i="15"/>
  <c r="CC80" i="15"/>
  <c r="CC79" i="15"/>
  <c r="CD78" i="15"/>
  <c r="CC78" i="15"/>
  <c r="CC77" i="15"/>
  <c r="CC76" i="15"/>
  <c r="CD76" i="15"/>
  <c r="CD74" i="15"/>
  <c r="CC74" i="15"/>
  <c r="CD72" i="15"/>
  <c r="CC71" i="15"/>
  <c r="CD70" i="15"/>
  <c r="CC70" i="15"/>
  <c r="CC68" i="15"/>
  <c r="CD68" i="15"/>
  <c r="CC67" i="15"/>
  <c r="CC66" i="15"/>
  <c r="CC64" i="15"/>
  <c r="CC63" i="15"/>
  <c r="CD62" i="15"/>
  <c r="CC62" i="15"/>
  <c r="CC61" i="15"/>
  <c r="CD60" i="15"/>
  <c r="CC60" i="15"/>
  <c r="CC59" i="15"/>
  <c r="CD56" i="15"/>
  <c r="CC55" i="15"/>
  <c r="CD54" i="15"/>
  <c r="CC54" i="15"/>
  <c r="CD52" i="15"/>
  <c r="CC52" i="15"/>
  <c r="CD50" i="15"/>
  <c r="CC50" i="15"/>
  <c r="CC47" i="15"/>
  <c r="CC46" i="15"/>
  <c r="CC45" i="15"/>
  <c r="CD44" i="15"/>
  <c r="CC42" i="15"/>
  <c r="CD42" i="15"/>
  <c r="CD40" i="15"/>
  <c r="CD38" i="15"/>
  <c r="CC38" i="15"/>
  <c r="CC37" i="15"/>
  <c r="CD36" i="15"/>
  <c r="CC34" i="15"/>
  <c r="CD34" i="15"/>
  <c r="CC33" i="15"/>
  <c r="CD32" i="15"/>
  <c r="CC32" i="15"/>
  <c r="CC31" i="15"/>
  <c r="CD30" i="15"/>
  <c r="CC30" i="15"/>
  <c r="CC29" i="15"/>
  <c r="CD28" i="15"/>
  <c r="CC26" i="15"/>
  <c r="CC25" i="15"/>
  <c r="CC22" i="15"/>
  <c r="CD22" i="15"/>
  <c r="CC21" i="15"/>
  <c r="CC20" i="15"/>
  <c r="CC17" i="15"/>
  <c r="CC15" i="15"/>
  <c r="CD14" i="15"/>
  <c r="CC14" i="15"/>
  <c r="CC13" i="15"/>
  <c r="CD10" i="15"/>
  <c r="CD8" i="15"/>
  <c r="CC8" i="15"/>
  <c r="CD304" i="15"/>
  <c r="CC304" i="15"/>
  <c r="CD303" i="15"/>
  <c r="CD300" i="15"/>
  <c r="CC300" i="15"/>
  <c r="CD298" i="15"/>
  <c r="CD296" i="15"/>
  <c r="CC296" i="15"/>
  <c r="CD295" i="15"/>
  <c r="CD294" i="15"/>
  <c r="CC294" i="15"/>
  <c r="CD293" i="15"/>
  <c r="CC293" i="15"/>
  <c r="CD292" i="15"/>
  <c r="CC292" i="15"/>
  <c r="CC288" i="15"/>
  <c r="CD285" i="15"/>
  <c r="CC285" i="15"/>
  <c r="CD280" i="15"/>
  <c r="CC280" i="15"/>
  <c r="CD279" i="15"/>
  <c r="CC277" i="15"/>
  <c r="CD276" i="15"/>
  <c r="CC276" i="15"/>
  <c r="CD272" i="15"/>
  <c r="CC272" i="15"/>
  <c r="CC270" i="15"/>
  <c r="CD269" i="15"/>
  <c r="CD266" i="15"/>
  <c r="CC266" i="15"/>
  <c r="CD262" i="15"/>
  <c r="CC262" i="15"/>
  <c r="CD261" i="15"/>
  <c r="CC261" i="15"/>
  <c r="CD258" i="15"/>
  <c r="CC258" i="15"/>
  <c r="CD254" i="15"/>
  <c r="CC252" i="15"/>
  <c r="CD246" i="15"/>
  <c r="CC246" i="15"/>
  <c r="CD245" i="15"/>
  <c r="CC245" i="15"/>
  <c r="CD244" i="15"/>
  <c r="CD242" i="15"/>
  <c r="CC240" i="15"/>
  <c r="CD239" i="15"/>
  <c r="CC236" i="15"/>
  <c r="CD234" i="15"/>
  <c r="CC234" i="15"/>
  <c r="CD232" i="15"/>
  <c r="CC232" i="15"/>
  <c r="CD230" i="15"/>
  <c r="CD228" i="15"/>
  <c r="CC228" i="15"/>
  <c r="CD227" i="15"/>
  <c r="CD224" i="15"/>
  <c r="CC221" i="15"/>
  <c r="CD220" i="15"/>
  <c r="CD218" i="15"/>
  <c r="CD216" i="15"/>
  <c r="CC216" i="15"/>
  <c r="CD215" i="15"/>
  <c r="CD213" i="15"/>
  <c r="CC213" i="15"/>
  <c r="CD212" i="15"/>
  <c r="CC212" i="15"/>
  <c r="CD209" i="15"/>
  <c r="CD208" i="15"/>
  <c r="CC208" i="15"/>
  <c r="CD206" i="15"/>
  <c r="CC206" i="15"/>
  <c r="CD205" i="15"/>
  <c r="CD202" i="15"/>
  <c r="CC202" i="15"/>
  <c r="CD199" i="15"/>
  <c r="CD198" i="15"/>
  <c r="CC198" i="15"/>
  <c r="CD197" i="15"/>
  <c r="CD194" i="15"/>
  <c r="CC194" i="15"/>
  <c r="CD191" i="15"/>
  <c r="CD190" i="15"/>
  <c r="CC188" i="15"/>
  <c r="CD187" i="15"/>
  <c r="CD186" i="15"/>
  <c r="CD184" i="15"/>
  <c r="CD183" i="15"/>
  <c r="CC181" i="15"/>
  <c r="CD180" i="15"/>
  <c r="CD178" i="15"/>
  <c r="CD176" i="15"/>
  <c r="CC176" i="15"/>
  <c r="CD175" i="15"/>
  <c r="CD172" i="15"/>
  <c r="CC172" i="15"/>
  <c r="CC170" i="15"/>
  <c r="CD168" i="15"/>
  <c r="CC168" i="15"/>
  <c r="CC166" i="15"/>
  <c r="CD165" i="15"/>
  <c r="CC165" i="15"/>
  <c r="CD164" i="15"/>
  <c r="CC164" i="15"/>
  <c r="CD162" i="15"/>
  <c r="CC160" i="15"/>
  <c r="CC158" i="15"/>
  <c r="CD157" i="15"/>
  <c r="CC157" i="15"/>
  <c r="CD154" i="15"/>
  <c r="CC154" i="15"/>
  <c r="CD151" i="15"/>
  <c r="CD150" i="15"/>
  <c r="CC150" i="15"/>
  <c r="CC149" i="15"/>
  <c r="CC147" i="15"/>
  <c r="CD146" i="15"/>
  <c r="CD144" i="15"/>
  <c r="CC144" i="15"/>
  <c r="CD138" i="15"/>
  <c r="CC138" i="15"/>
  <c r="CD136" i="15"/>
  <c r="CC136" i="15"/>
  <c r="CD130" i="15"/>
  <c r="CD129" i="15"/>
  <c r="CD127" i="15"/>
  <c r="CD115" i="15"/>
  <c r="CD113" i="15"/>
  <c r="CC112" i="15"/>
  <c r="CD101" i="15"/>
  <c r="CD99" i="15"/>
  <c r="CD97" i="15"/>
  <c r="CD95" i="15"/>
  <c r="CD89" i="15"/>
  <c r="CC88" i="15"/>
  <c r="CD85" i="15"/>
  <c r="CD77" i="15"/>
  <c r="CD71" i="15"/>
  <c r="CD67" i="15"/>
  <c r="CD66" i="15"/>
  <c r="CD65" i="15"/>
  <c r="CC65" i="15"/>
  <c r="CD59" i="15"/>
  <c r="CC58" i="15"/>
  <c r="CD55" i="15"/>
  <c r="CD47" i="15"/>
  <c r="CD37" i="15"/>
  <c r="CD25" i="15"/>
  <c r="CD17" i="15"/>
  <c r="CD15" i="15"/>
  <c r="AP306" i="15"/>
  <c r="AP307" i="15" s="1"/>
  <c r="AQ314" i="15"/>
  <c r="AP314" i="15"/>
  <c r="AO314" i="15"/>
  <c r="AS306" i="15"/>
  <c r="AQ306" i="15"/>
  <c r="AQ307" i="15" s="1"/>
  <c r="N305" i="15"/>
  <c r="C5" i="37" s="1"/>
  <c r="M305" i="15"/>
  <c r="C4" i="37" s="1"/>
  <c r="G4" i="37" s="1"/>
  <c r="L305" i="15"/>
  <c r="C3" i="37" s="1"/>
  <c r="G3" i="37" s="1"/>
  <c r="C5" i="15"/>
  <c r="D5" i="15" s="1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BP13" i="20"/>
  <c r="BO13" i="20"/>
  <c r="BM13" i="20"/>
  <c r="BN13" i="20" s="1"/>
  <c r="BL13" i="20"/>
  <c r="BH13" i="20"/>
  <c r="BI13" i="20" s="1"/>
  <c r="BE13" i="20"/>
  <c r="BD13" i="20" s="1"/>
  <c r="BB13" i="20"/>
  <c r="BC13" i="20" s="1"/>
  <c r="BP28" i="20"/>
  <c r="BO28" i="20"/>
  <c r="BM28" i="20"/>
  <c r="BN28" i="20" s="1"/>
  <c r="BL28" i="20"/>
  <c r="BH28" i="20"/>
  <c r="BI28" i="20" s="1"/>
  <c r="BE28" i="20"/>
  <c r="G5" i="37" l="1"/>
  <c r="AQ611" i="31"/>
  <c r="F299" i="36"/>
  <c r="BM304" i="15"/>
  <c r="BN304" i="15"/>
  <c r="U6" i="31"/>
  <c r="AS307" i="15"/>
  <c r="CE213" i="15"/>
  <c r="CE234" i="15"/>
  <c r="CE60" i="15"/>
  <c r="CE217" i="15"/>
  <c r="CE266" i="15"/>
  <c r="CE118" i="15"/>
  <c r="CE113" i="15"/>
  <c r="CE15" i="15"/>
  <c r="CE101" i="15"/>
  <c r="CC49" i="15"/>
  <c r="CD64" i="15"/>
  <c r="CE64" i="15" s="1"/>
  <c r="CD145" i="15"/>
  <c r="CC301" i="15"/>
  <c r="CE301" i="15" s="1"/>
  <c r="CD141" i="15"/>
  <c r="CD58" i="15"/>
  <c r="CE58" i="15" s="1"/>
  <c r="CD192" i="15"/>
  <c r="CC214" i="15"/>
  <c r="CD255" i="15"/>
  <c r="CE255" i="15" s="1"/>
  <c r="CD270" i="15"/>
  <c r="CE270" i="15" s="1"/>
  <c r="CD278" i="15"/>
  <c r="CE74" i="15"/>
  <c r="CE179" i="15"/>
  <c r="CC72" i="15"/>
  <c r="CE72" i="15" s="1"/>
  <c r="CC92" i="15"/>
  <c r="CC106" i="15"/>
  <c r="CE106" i="15" s="1"/>
  <c r="CC142" i="15"/>
  <c r="CC148" i="15"/>
  <c r="CE154" i="15"/>
  <c r="CD170" i="15"/>
  <c r="CE170" i="15" s="1"/>
  <c r="CC200" i="15"/>
  <c r="CD214" i="15"/>
  <c r="CD221" i="15"/>
  <c r="CE221" i="15" s="1"/>
  <c r="CC237" i="15"/>
  <c r="CE237" i="15" s="1"/>
  <c r="CC256" i="15"/>
  <c r="CE47" i="15"/>
  <c r="CE71" i="15"/>
  <c r="CE95" i="15"/>
  <c r="CC129" i="15"/>
  <c r="CE129" i="15" s="1"/>
  <c r="CC211" i="15"/>
  <c r="CE211" i="15" s="1"/>
  <c r="CE227" i="15"/>
  <c r="CC275" i="15"/>
  <c r="CE275" i="15" s="1"/>
  <c r="CD131" i="15"/>
  <c r="CE131" i="15" s="1"/>
  <c r="CD152" i="15"/>
  <c r="CC286" i="15"/>
  <c r="CE108" i="15"/>
  <c r="CD21" i="15"/>
  <c r="CE21" i="15" s="1"/>
  <c r="CC48" i="15"/>
  <c r="CD92" i="15"/>
  <c r="CD123" i="15"/>
  <c r="CE123" i="15" s="1"/>
  <c r="CD135" i="15"/>
  <c r="CE135" i="15" s="1"/>
  <c r="CD142" i="15"/>
  <c r="CD148" i="15"/>
  <c r="CD210" i="15"/>
  <c r="CC222" i="15"/>
  <c r="CE246" i="15"/>
  <c r="CD256" i="15"/>
  <c r="CD263" i="15"/>
  <c r="CE263" i="15" s="1"/>
  <c r="CD290" i="15"/>
  <c r="CE130" i="15"/>
  <c r="CD119" i="15"/>
  <c r="CE119" i="15" s="1"/>
  <c r="CC152" i="15"/>
  <c r="CD181" i="15"/>
  <c r="CE181" i="15" s="1"/>
  <c r="CC248" i="15"/>
  <c r="CE90" i="15"/>
  <c r="CE96" i="15"/>
  <c r="CC278" i="15"/>
  <c r="CD26" i="15"/>
  <c r="CE26" i="15" s="1"/>
  <c r="CC196" i="15"/>
  <c r="CC264" i="15"/>
  <c r="CD49" i="15"/>
  <c r="CC182" i="15"/>
  <c r="CC282" i="15"/>
  <c r="CE25" i="15"/>
  <c r="CC192" i="15"/>
  <c r="CD79" i="15"/>
  <c r="CE79" i="15" s="1"/>
  <c r="CC197" i="15"/>
  <c r="CE197" i="15" s="1"/>
  <c r="CD226" i="15"/>
  <c r="CD248" i="15"/>
  <c r="CE66" i="15"/>
  <c r="CD31" i="15"/>
  <c r="CE31" i="15" s="1"/>
  <c r="CD51" i="15"/>
  <c r="CD81" i="15"/>
  <c r="CE81" i="15" s="1"/>
  <c r="CD167" i="15"/>
  <c r="CE167" i="15" s="1"/>
  <c r="CD182" i="15"/>
  <c r="CC218" i="15"/>
  <c r="CE218" i="15" s="1"/>
  <c r="CC244" i="15"/>
  <c r="CE244" i="15" s="1"/>
  <c r="CC260" i="15"/>
  <c r="CD282" i="15"/>
  <c r="CE97" i="15"/>
  <c r="CE52" i="15"/>
  <c r="CE82" i="15"/>
  <c r="CE283" i="15"/>
  <c r="CE235" i="15"/>
  <c r="CE299" i="15"/>
  <c r="CE100" i="15"/>
  <c r="CE155" i="15"/>
  <c r="CE195" i="15"/>
  <c r="CE32" i="15"/>
  <c r="CE116" i="15"/>
  <c r="CE225" i="15"/>
  <c r="CE259" i="15"/>
  <c r="CE251" i="15"/>
  <c r="CE68" i="15"/>
  <c r="CC40" i="15"/>
  <c r="CE40" i="15" s="1"/>
  <c r="CD48" i="15"/>
  <c r="CD124" i="15"/>
  <c r="CE124" i="15" s="1"/>
  <c r="CE147" i="15"/>
  <c r="CE165" i="15"/>
  <c r="CC184" i="15"/>
  <c r="CE184" i="15" s="1"/>
  <c r="CE191" i="15"/>
  <c r="CD200" i="15"/>
  <c r="CE232" i="15"/>
  <c r="CC56" i="15"/>
  <c r="CE56" i="15" s="1"/>
  <c r="CE59" i="15"/>
  <c r="CE89" i="15"/>
  <c r="CE42" i="15"/>
  <c r="CC134" i="15"/>
  <c r="CE134" i="15" s="1"/>
  <c r="CE172" i="15"/>
  <c r="CC180" i="15"/>
  <c r="CE180" i="15" s="1"/>
  <c r="CD196" i="15"/>
  <c r="CE202" i="15"/>
  <c r="CE228" i="15"/>
  <c r="CD240" i="15"/>
  <c r="CE240" i="15" s="1"/>
  <c r="CD277" i="15"/>
  <c r="CE277" i="15" s="1"/>
  <c r="CD284" i="15"/>
  <c r="CD291" i="15"/>
  <c r="CE291" i="15" s="1"/>
  <c r="CE296" i="15"/>
  <c r="CE304" i="15"/>
  <c r="CC36" i="15"/>
  <c r="CE36" i="15" s="1"/>
  <c r="CC44" i="15"/>
  <c r="CE44" i="15" s="1"/>
  <c r="CD46" i="15"/>
  <c r="CE46" i="15" s="1"/>
  <c r="CC104" i="15"/>
  <c r="CE104" i="15" s="1"/>
  <c r="CD163" i="15"/>
  <c r="CE163" i="15" s="1"/>
  <c r="CC187" i="15"/>
  <c r="CE187" i="15" s="1"/>
  <c r="CD160" i="15"/>
  <c r="CE160" i="15" s="1"/>
  <c r="CD264" i="15"/>
  <c r="CE285" i="15"/>
  <c r="CE292" i="15"/>
  <c r="CE17" i="15"/>
  <c r="CE84" i="15"/>
  <c r="CE114" i="15"/>
  <c r="CE151" i="15"/>
  <c r="CE161" i="15"/>
  <c r="CE279" i="15"/>
  <c r="CE289" i="15"/>
  <c r="CE295" i="15"/>
  <c r="CD83" i="15"/>
  <c r="CE83" i="15" s="1"/>
  <c r="CD166" i="15"/>
  <c r="CE166" i="15" s="1"/>
  <c r="CC173" i="15"/>
  <c r="CE173" i="15" s="1"/>
  <c r="CD274" i="15"/>
  <c r="CC298" i="15"/>
  <c r="CE298" i="15" s="1"/>
  <c r="CE34" i="15"/>
  <c r="CE37" i="15"/>
  <c r="CE67" i="15"/>
  <c r="CE77" i="15"/>
  <c r="CE127" i="15"/>
  <c r="CE132" i="15"/>
  <c r="CE171" i="15"/>
  <c r="CE215" i="15"/>
  <c r="CD33" i="15"/>
  <c r="CE33" i="15" s="1"/>
  <c r="CE128" i="15"/>
  <c r="CD260" i="15"/>
  <c r="CD35" i="15"/>
  <c r="CD63" i="15"/>
  <c r="CE63" i="15" s="1"/>
  <c r="CD111" i="15"/>
  <c r="CE111" i="15" s="1"/>
  <c r="CE122" i="15"/>
  <c r="CE136" i="15"/>
  <c r="CE216" i="15"/>
  <c r="CC224" i="15"/>
  <c r="CE224" i="15" s="1"/>
  <c r="CE293" i="15"/>
  <c r="CE55" i="15"/>
  <c r="CE85" i="15"/>
  <c r="CE199" i="15"/>
  <c r="CE98" i="15"/>
  <c r="CE112" i="15"/>
  <c r="CD149" i="15"/>
  <c r="CE149" i="15" s="1"/>
  <c r="CD156" i="15"/>
  <c r="CE168" i="15"/>
  <c r="CE176" i="15"/>
  <c r="CE212" i="15"/>
  <c r="CC230" i="15"/>
  <c r="CE230" i="15" s="1"/>
  <c r="CD236" i="15"/>
  <c r="CE236" i="15" s="1"/>
  <c r="CE280" i="15"/>
  <c r="CE300" i="15"/>
  <c r="CE183" i="15"/>
  <c r="CE297" i="15"/>
  <c r="CE138" i="15"/>
  <c r="CE157" i="15"/>
  <c r="CE164" i="15"/>
  <c r="CE245" i="15"/>
  <c r="CD250" i="15"/>
  <c r="CE276" i="15"/>
  <c r="CD288" i="15"/>
  <c r="CE288" i="15" s="1"/>
  <c r="CE243" i="15"/>
  <c r="CE38" i="15"/>
  <c r="CE54" i="15"/>
  <c r="CE102" i="15"/>
  <c r="CE139" i="15"/>
  <c r="CE86" i="15"/>
  <c r="CE203" i="15"/>
  <c r="CE14" i="15"/>
  <c r="CE267" i="15"/>
  <c r="CE8" i="15"/>
  <c r="CE80" i="15"/>
  <c r="CE169" i="15"/>
  <c r="CE219" i="15"/>
  <c r="CE22" i="15"/>
  <c r="CE50" i="15"/>
  <c r="CC121" i="15"/>
  <c r="CE153" i="15"/>
  <c r="CE233" i="15"/>
  <c r="CE281" i="15"/>
  <c r="CC11" i="15"/>
  <c r="CC18" i="15"/>
  <c r="CE198" i="15"/>
  <c r="CC210" i="15"/>
  <c r="CC75" i="15"/>
  <c r="CC105" i="15"/>
  <c r="CE120" i="15"/>
  <c r="CE206" i="15"/>
  <c r="CC91" i="15"/>
  <c r="CC107" i="15"/>
  <c r="CD75" i="15"/>
  <c r="CE150" i="15"/>
  <c r="CC226" i="15"/>
  <c r="CD18" i="15"/>
  <c r="CD177" i="15"/>
  <c r="CC223" i="15"/>
  <c r="CC12" i="15"/>
  <c r="CC16" i="15"/>
  <c r="CC23" i="15"/>
  <c r="CC27" i="15"/>
  <c r="CC57" i="15"/>
  <c r="CC87" i="15"/>
  <c r="CC117" i="15"/>
  <c r="CD143" i="15"/>
  <c r="CE143" i="15" s="1"/>
  <c r="CE185" i="15"/>
  <c r="CD207" i="15"/>
  <c r="CE207" i="15" s="1"/>
  <c r="CD222" i="15"/>
  <c r="CD241" i="15"/>
  <c r="CD252" i="15"/>
  <c r="CE252" i="15" s="1"/>
  <c r="CD271" i="15"/>
  <c r="CE271" i="15" s="1"/>
  <c r="CD286" i="15"/>
  <c r="CC103" i="15"/>
  <c r="CC257" i="15"/>
  <c r="CC9" i="15"/>
  <c r="CD12" i="15"/>
  <c r="CD16" i="15"/>
  <c r="CD23" i="15"/>
  <c r="CD27" i="15"/>
  <c r="CC35" i="15"/>
  <c r="CD53" i="15"/>
  <c r="CD57" i="15"/>
  <c r="CE65" i="15"/>
  <c r="CE76" i="15"/>
  <c r="CD87" i="15"/>
  <c r="CD91" i="15"/>
  <c r="CC99" i="15"/>
  <c r="CE99" i="15" s="1"/>
  <c r="CD117" i="15"/>
  <c r="CD121" i="15"/>
  <c r="CC140" i="15"/>
  <c r="CE144" i="15"/>
  <c r="CC159" i="15"/>
  <c r="CC174" i="15"/>
  <c r="CC178" i="15"/>
  <c r="CE178" i="15" s="1"/>
  <c r="CC189" i="15"/>
  <c r="CE189" i="15" s="1"/>
  <c r="CC204" i="15"/>
  <c r="CE208" i="15"/>
  <c r="CC238" i="15"/>
  <c r="CC242" i="15"/>
  <c r="CE242" i="15" s="1"/>
  <c r="CC253" i="15"/>
  <c r="CE253" i="15" s="1"/>
  <c r="CC268" i="15"/>
  <c r="CE272" i="15"/>
  <c r="CC287" i="15"/>
  <c r="CE294" i="15"/>
  <c r="CC302" i="15"/>
  <c r="CC28" i="15"/>
  <c r="CE28" i="15" s="1"/>
  <c r="CC53" i="15"/>
  <c r="CC69" i="15"/>
  <c r="CC133" i="15"/>
  <c r="CC175" i="15"/>
  <c r="CE175" i="15" s="1"/>
  <c r="CC239" i="15"/>
  <c r="CE239" i="15" s="1"/>
  <c r="CD257" i="15"/>
  <c r="CC303" i="15"/>
  <c r="CE303" i="15" s="1"/>
  <c r="CE62" i="15"/>
  <c r="CE126" i="15"/>
  <c r="CD29" i="15"/>
  <c r="CE29" i="15" s="1"/>
  <c r="CC41" i="15"/>
  <c r="CD137" i="15"/>
  <c r="CE137" i="15" s="1"/>
  <c r="CC241" i="15"/>
  <c r="CD105" i="15"/>
  <c r="CE30" i="15"/>
  <c r="CD45" i="15"/>
  <c r="CE45" i="15" s="1"/>
  <c r="CD158" i="15"/>
  <c r="CE158" i="15" s="1"/>
  <c r="CD188" i="15"/>
  <c r="CE188" i="15" s="1"/>
  <c r="CE249" i="15"/>
  <c r="CC39" i="15"/>
  <c r="CD9" i="15"/>
  <c r="CC43" i="15"/>
  <c r="CD61" i="15"/>
  <c r="CE61" i="15" s="1"/>
  <c r="CC73" i="15"/>
  <c r="CE88" i="15"/>
  <c r="CE110" i="15"/>
  <c r="CD125" i="15"/>
  <c r="CE125" i="15" s="1"/>
  <c r="CD140" i="15"/>
  <c r="CD159" i="15"/>
  <c r="CD174" i="15"/>
  <c r="CC186" i="15"/>
  <c r="CE186" i="15" s="1"/>
  <c r="CD204" i="15"/>
  <c r="CD223" i="15"/>
  <c r="CD238" i="15"/>
  <c r="CC250" i="15"/>
  <c r="CE261" i="15"/>
  <c r="CD268" i="15"/>
  <c r="CD287" i="15"/>
  <c r="CD302" i="15"/>
  <c r="CC10" i="15"/>
  <c r="CE10" i="15" s="1"/>
  <c r="CC51" i="15"/>
  <c r="CC115" i="15"/>
  <c r="CE115" i="15" s="1"/>
  <c r="CC145" i="15"/>
  <c r="CC209" i="15"/>
  <c r="CE209" i="15" s="1"/>
  <c r="CC273" i="15"/>
  <c r="CE273" i="15" s="1"/>
  <c r="CE70" i="15"/>
  <c r="CC146" i="15"/>
  <c r="CE146" i="15" s="1"/>
  <c r="CE262" i="15"/>
  <c r="CC274" i="15"/>
  <c r="CD11" i="15"/>
  <c r="CE78" i="15"/>
  <c r="CD93" i="15"/>
  <c r="CE93" i="15" s="1"/>
  <c r="CD20" i="15"/>
  <c r="CE20" i="15" s="1"/>
  <c r="CC177" i="15"/>
  <c r="CD201" i="15"/>
  <c r="CE201" i="15" s="1"/>
  <c r="CD265" i="15"/>
  <c r="CE265" i="15" s="1"/>
  <c r="CD41" i="15"/>
  <c r="CC162" i="15"/>
  <c r="CE162" i="15" s="1"/>
  <c r="CC290" i="15"/>
  <c r="CD109" i="15"/>
  <c r="CE109" i="15" s="1"/>
  <c r="CD13" i="15"/>
  <c r="CE13" i="15" s="1"/>
  <c r="CD39" i="15"/>
  <c r="CD43" i="15"/>
  <c r="CD69" i="15"/>
  <c r="CD73" i="15"/>
  <c r="CD103" i="15"/>
  <c r="CD107" i="15"/>
  <c r="CD133" i="15"/>
  <c r="CC141" i="15"/>
  <c r="CC156" i="15"/>
  <c r="CC190" i="15"/>
  <c r="CE190" i="15" s="1"/>
  <c r="CE194" i="15"/>
  <c r="CC205" i="15"/>
  <c r="CE205" i="15" s="1"/>
  <c r="CC220" i="15"/>
  <c r="CE220" i="15" s="1"/>
  <c r="CC254" i="15"/>
  <c r="CE254" i="15" s="1"/>
  <c r="CE258" i="15"/>
  <c r="CC269" i="15"/>
  <c r="CE269" i="15" s="1"/>
  <c r="CC284" i="15"/>
  <c r="AQ315" i="15"/>
  <c r="AZ13" i="20"/>
  <c r="BA13" i="20" s="1"/>
  <c r="BS28" i="20"/>
  <c r="BT28" i="20" s="1"/>
  <c r="BS13" i="20"/>
  <c r="BT13" i="20" s="1"/>
  <c r="BR13" i="20"/>
  <c r="BQ13" i="20"/>
  <c r="AY13" i="20"/>
  <c r="BR28" i="20"/>
  <c r="BB28" i="20"/>
  <c r="BC28" i="20" s="1"/>
  <c r="BQ28" i="20"/>
  <c r="BD28" i="20"/>
  <c r="AZ28" i="20" s="1"/>
  <c r="BA28" i="20" s="1"/>
  <c r="AY28" i="20"/>
  <c r="V6" i="31" l="1"/>
  <c r="CE53" i="15"/>
  <c r="BF13" i="20"/>
  <c r="CE274" i="15"/>
  <c r="CE226" i="15"/>
  <c r="CE214" i="15"/>
  <c r="CE250" i="15"/>
  <c r="CE49" i="15"/>
  <c r="CE69" i="15"/>
  <c r="CE57" i="15"/>
  <c r="CE182" i="15"/>
  <c r="CE210" i="15"/>
  <c r="CE256" i="15"/>
  <c r="CE145" i="15"/>
  <c r="CE264" i="15"/>
  <c r="CE196" i="15"/>
  <c r="CE238" i="15"/>
  <c r="CE156" i="15"/>
  <c r="CE192" i="15"/>
  <c r="CE278" i="15"/>
  <c r="CE142" i="15"/>
  <c r="CE51" i="15"/>
  <c r="CE107" i="15"/>
  <c r="CE260" i="15"/>
  <c r="CE141" i="15"/>
  <c r="CE152" i="15"/>
  <c r="CE284" i="15"/>
  <c r="CE286" i="15"/>
  <c r="CE223" i="15"/>
  <c r="CE92" i="15"/>
  <c r="CE200" i="15"/>
  <c r="CE91" i="15"/>
  <c r="CE282" i="15"/>
  <c r="CE177" i="15"/>
  <c r="CE290" i="15"/>
  <c r="CE222" i="15"/>
  <c r="CE248" i="15"/>
  <c r="CE48" i="15"/>
  <c r="CE148" i="15"/>
  <c r="AP315" i="15"/>
  <c r="CE16" i="15"/>
  <c r="CE121" i="15"/>
  <c r="CE174" i="15"/>
  <c r="CE241" i="15"/>
  <c r="CE140" i="15"/>
  <c r="CE9" i="15"/>
  <c r="CE27" i="15"/>
  <c r="CE287" i="15"/>
  <c r="CE204" i="15"/>
  <c r="CE23" i="15"/>
  <c r="CE35" i="15"/>
  <c r="CE257" i="15"/>
  <c r="CE43" i="15"/>
  <c r="CE41" i="15"/>
  <c r="CE105" i="15"/>
  <c r="CE103" i="15"/>
  <c r="CE268" i="15"/>
  <c r="CE12" i="15"/>
  <c r="CE75" i="15"/>
  <c r="CE117" i="15"/>
  <c r="CE18" i="15"/>
  <c r="CE11" i="15"/>
  <c r="CE302" i="15"/>
  <c r="CE73" i="15"/>
  <c r="CE87" i="15"/>
  <c r="CE133" i="15"/>
  <c r="CE159" i="15"/>
  <c r="CE39" i="15"/>
  <c r="BF28" i="20"/>
  <c r="W6" i="31" l="1"/>
  <c r="P124" i="16"/>
  <c r="AN314" i="15"/>
  <c r="X6" i="31" l="1"/>
  <c r="BP90" i="20"/>
  <c r="Y6" i="31" l="1"/>
  <c r="BG299" i="11"/>
  <c r="BF299" i="11"/>
  <c r="BE299" i="11"/>
  <c r="BC299" i="11"/>
  <c r="BG2" i="11"/>
  <c r="BG5" i="11"/>
  <c r="BG3" i="11"/>
  <c r="BG298" i="11"/>
  <c r="BG297" i="11"/>
  <c r="BG296" i="11"/>
  <c r="BG295" i="11"/>
  <c r="BG294" i="11"/>
  <c r="BG293" i="11"/>
  <c r="BG292" i="11"/>
  <c r="BG291" i="11"/>
  <c r="BG290" i="11"/>
  <c r="BG289" i="11"/>
  <c r="BG288" i="11"/>
  <c r="BG287" i="11"/>
  <c r="BG286" i="11"/>
  <c r="BG285" i="11"/>
  <c r="BG284" i="11"/>
  <c r="BG283" i="11"/>
  <c r="BG282" i="11"/>
  <c r="BG281" i="11"/>
  <c r="BG280" i="11"/>
  <c r="BG279" i="11"/>
  <c r="BG278" i="11"/>
  <c r="BG277" i="11"/>
  <c r="BG275" i="11"/>
  <c r="BG274" i="11"/>
  <c r="BG273" i="11"/>
  <c r="BG272" i="11"/>
  <c r="BG271" i="11"/>
  <c r="BG270" i="11"/>
  <c r="BG269" i="11"/>
  <c r="BG268" i="11"/>
  <c r="BG267" i="11"/>
  <c r="BG266" i="11"/>
  <c r="BG265" i="11"/>
  <c r="BG264" i="11"/>
  <c r="BG263" i="11"/>
  <c r="BG262" i="11"/>
  <c r="BG261" i="11"/>
  <c r="BG260" i="11"/>
  <c r="BG259" i="11"/>
  <c r="BG258" i="11"/>
  <c r="BG257" i="11"/>
  <c r="BG256" i="11"/>
  <c r="BG255" i="11"/>
  <c r="BG254" i="11"/>
  <c r="BG253" i="11"/>
  <c r="BG252" i="11"/>
  <c r="BG251" i="11"/>
  <c r="BG250" i="11"/>
  <c r="BG249" i="11"/>
  <c r="BG248" i="11"/>
  <c r="BG247" i="11"/>
  <c r="BG246" i="11"/>
  <c r="BG245" i="11"/>
  <c r="BG244" i="11"/>
  <c r="BG243" i="11"/>
  <c r="BG242" i="11"/>
  <c r="BG241" i="11"/>
  <c r="BG240" i="11"/>
  <c r="BG239" i="11"/>
  <c r="BG238" i="11"/>
  <c r="BG237" i="11"/>
  <c r="BG236" i="11"/>
  <c r="BG235" i="11"/>
  <c r="BG234" i="11"/>
  <c r="BG233" i="11"/>
  <c r="BG232" i="11"/>
  <c r="BG231" i="11"/>
  <c r="BG230" i="11"/>
  <c r="BG229" i="11"/>
  <c r="BG228" i="11"/>
  <c r="BG227" i="11"/>
  <c r="BG226" i="11"/>
  <c r="BG225" i="11"/>
  <c r="BG224" i="11"/>
  <c r="BG223" i="11"/>
  <c r="BG222" i="11"/>
  <c r="BG221" i="11"/>
  <c r="BG220" i="11"/>
  <c r="BG219" i="11"/>
  <c r="BG218" i="11"/>
  <c r="BG217" i="11"/>
  <c r="BG216" i="11"/>
  <c r="BG215" i="11"/>
  <c r="BG214" i="11"/>
  <c r="BG213" i="11"/>
  <c r="BG212" i="11"/>
  <c r="BG211" i="11"/>
  <c r="BG210" i="11"/>
  <c r="BG209" i="11"/>
  <c r="BG208" i="11"/>
  <c r="BG207" i="11"/>
  <c r="BG206" i="11"/>
  <c r="BG205" i="11"/>
  <c r="BG204" i="11"/>
  <c r="BG203" i="11"/>
  <c r="BG202" i="11"/>
  <c r="BG201" i="11"/>
  <c r="BG200" i="11"/>
  <c r="BG199" i="11"/>
  <c r="BG198" i="11"/>
  <c r="BG197" i="11"/>
  <c r="BG196" i="11"/>
  <c r="BG195" i="11"/>
  <c r="BG194" i="11"/>
  <c r="BG193" i="11"/>
  <c r="BG192" i="11"/>
  <c r="BG191" i="11"/>
  <c r="BG190" i="11"/>
  <c r="BG189" i="11"/>
  <c r="BG188" i="11"/>
  <c r="BG187" i="11"/>
  <c r="BG186" i="11"/>
  <c r="BG185" i="11"/>
  <c r="BG184" i="11"/>
  <c r="BG183" i="11"/>
  <c r="BG182" i="11"/>
  <c r="BG181" i="11"/>
  <c r="BG179" i="11"/>
  <c r="BG178" i="11"/>
  <c r="BG177" i="11"/>
  <c r="BG176" i="11"/>
  <c r="BG175" i="11"/>
  <c r="BG174" i="11"/>
  <c r="BG173" i="11"/>
  <c r="BG172" i="11"/>
  <c r="BG171" i="11"/>
  <c r="BG170" i="11"/>
  <c r="BG169" i="11"/>
  <c r="BG167" i="11"/>
  <c r="BG166" i="11"/>
  <c r="BG165" i="11"/>
  <c r="BG164" i="11"/>
  <c r="BG163" i="11"/>
  <c r="BG162" i="11"/>
  <c r="BG161" i="11"/>
  <c r="BG159" i="11"/>
  <c r="BG158" i="11"/>
  <c r="BG157" i="11"/>
  <c r="BG156" i="11"/>
  <c r="BG155" i="11"/>
  <c r="BG154" i="11"/>
  <c r="BG153" i="11"/>
  <c r="BG152" i="11"/>
  <c r="BG151" i="11"/>
  <c r="BG150" i="11"/>
  <c r="BG149" i="11"/>
  <c r="BG148" i="11"/>
  <c r="BG147" i="11"/>
  <c r="BG146" i="11"/>
  <c r="BG145" i="11"/>
  <c r="BG144" i="11"/>
  <c r="BG143" i="11"/>
  <c r="BG142" i="11"/>
  <c r="BG141" i="11"/>
  <c r="BG140" i="11"/>
  <c r="BG139" i="11"/>
  <c r="BG138" i="11"/>
  <c r="BG137" i="11"/>
  <c r="BG136" i="11"/>
  <c r="BG135" i="11"/>
  <c r="BG134" i="11"/>
  <c r="BG133" i="11"/>
  <c r="BG132" i="11"/>
  <c r="BG131" i="11"/>
  <c r="BG130" i="11"/>
  <c r="BG129" i="11"/>
  <c r="BG128" i="11"/>
  <c r="BG127" i="11"/>
  <c r="BG126" i="11"/>
  <c r="BG125" i="11"/>
  <c r="BG124" i="11"/>
  <c r="BG123" i="11"/>
  <c r="BG122" i="11"/>
  <c r="BG121" i="11"/>
  <c r="BG120" i="11"/>
  <c r="BG119" i="11"/>
  <c r="BG118" i="11"/>
  <c r="BG117" i="11"/>
  <c r="BG116" i="11"/>
  <c r="BG115" i="11"/>
  <c r="BG114" i="11"/>
  <c r="BG113" i="11"/>
  <c r="BG112" i="11"/>
  <c r="BG111" i="11"/>
  <c r="BG110" i="11"/>
  <c r="BG109" i="11"/>
  <c r="BG108" i="11"/>
  <c r="BG107" i="11"/>
  <c r="BG106" i="11"/>
  <c r="BG105" i="11"/>
  <c r="BG104" i="11"/>
  <c r="BG103" i="11"/>
  <c r="BG102" i="11"/>
  <c r="BG101" i="11"/>
  <c r="BG100" i="11"/>
  <c r="BG99" i="11"/>
  <c r="BG98" i="11"/>
  <c r="BG97" i="11"/>
  <c r="BG96" i="11"/>
  <c r="BG95" i="11"/>
  <c r="BG94" i="11"/>
  <c r="BG93" i="11"/>
  <c r="BG92" i="11"/>
  <c r="BG91" i="11"/>
  <c r="BG90" i="11"/>
  <c r="BG89" i="11"/>
  <c r="BG88" i="11"/>
  <c r="BG87" i="11"/>
  <c r="BG86" i="11"/>
  <c r="BG85" i="11"/>
  <c r="BG84" i="11"/>
  <c r="BG83" i="11"/>
  <c r="BG82" i="11"/>
  <c r="BG81" i="11"/>
  <c r="BG80" i="11"/>
  <c r="BG79" i="11"/>
  <c r="BG78" i="11"/>
  <c r="BG77" i="11"/>
  <c r="BG76" i="11"/>
  <c r="BG75" i="11"/>
  <c r="BG74" i="11"/>
  <c r="BG73" i="11"/>
  <c r="BG72" i="11"/>
  <c r="BG71" i="11"/>
  <c r="BG70" i="11"/>
  <c r="BG69" i="11"/>
  <c r="BG68" i="11"/>
  <c r="BG67" i="11"/>
  <c r="BG66" i="11"/>
  <c r="BG65" i="11"/>
  <c r="BG64" i="11"/>
  <c r="BG63" i="11"/>
  <c r="BG62" i="11"/>
  <c r="BG61" i="11"/>
  <c r="BG60" i="11"/>
  <c r="BG59" i="11"/>
  <c r="BG58" i="11"/>
  <c r="BG57" i="11"/>
  <c r="BG56" i="11"/>
  <c r="BG55" i="11"/>
  <c r="BG54" i="11"/>
  <c r="BG53" i="11"/>
  <c r="BG52" i="11"/>
  <c r="BG51" i="11"/>
  <c r="BG50" i="11"/>
  <c r="BG49" i="11"/>
  <c r="BG48" i="11"/>
  <c r="BG47" i="11"/>
  <c r="BG46" i="11"/>
  <c r="BG45" i="11"/>
  <c r="BG44" i="11"/>
  <c r="BG43" i="11"/>
  <c r="BG42" i="11"/>
  <c r="BG41" i="11"/>
  <c r="BG40" i="11"/>
  <c r="BG39" i="11"/>
  <c r="BG38" i="11"/>
  <c r="BG37" i="11"/>
  <c r="BG36" i="11"/>
  <c r="BG35" i="11"/>
  <c r="BG34" i="11"/>
  <c r="BG33" i="11"/>
  <c r="BG32" i="11"/>
  <c r="BG31" i="11"/>
  <c r="BG30" i="11"/>
  <c r="BG29" i="11"/>
  <c r="BG28" i="11"/>
  <c r="BG27" i="11"/>
  <c r="BG26" i="11"/>
  <c r="BG25" i="11"/>
  <c r="BG24" i="11"/>
  <c r="BG23" i="11"/>
  <c r="BG22" i="11"/>
  <c r="BG21" i="11"/>
  <c r="BG20" i="11"/>
  <c r="BG19" i="11"/>
  <c r="BG18" i="11"/>
  <c r="BG17" i="11"/>
  <c r="BG16" i="11"/>
  <c r="BG15" i="11"/>
  <c r="BG14" i="11"/>
  <c r="BG13" i="11"/>
  <c r="BG12" i="11"/>
  <c r="BG11" i="11"/>
  <c r="BG10" i="11"/>
  <c r="BG9" i="11"/>
  <c r="BG8" i="11"/>
  <c r="BG7" i="11"/>
  <c r="BG6" i="11"/>
  <c r="AF311" i="11"/>
  <c r="AF308" i="11"/>
  <c r="AF307" i="11"/>
  <c r="AM311" i="11"/>
  <c r="AL311" i="11"/>
  <c r="AK311" i="11"/>
  <c r="AS308" i="15" s="1"/>
  <c r="AI311" i="11"/>
  <c r="J305" i="11"/>
  <c r="I305" i="11"/>
  <c r="H305" i="11"/>
  <c r="G305" i="11"/>
  <c r="F305" i="11"/>
  <c r="AL353" i="15"/>
  <c r="AL306" i="15" s="1"/>
  <c r="CC7" i="15"/>
  <c r="CD7" i="15"/>
  <c r="BE298" i="11"/>
  <c r="BE297" i="11"/>
  <c r="BE296" i="11"/>
  <c r="BE295" i="11"/>
  <c r="BE294" i="11"/>
  <c r="BE293" i="11"/>
  <c r="BE292" i="11"/>
  <c r="BE291" i="11"/>
  <c r="BE290" i="11"/>
  <c r="BE289" i="11"/>
  <c r="BE288" i="11"/>
  <c r="BE287" i="11"/>
  <c r="BE286" i="11"/>
  <c r="BE285" i="11"/>
  <c r="BE284" i="11"/>
  <c r="BE283" i="11"/>
  <c r="BE282" i="11"/>
  <c r="BE281" i="11"/>
  <c r="BE280" i="11"/>
  <c r="BE279" i="11"/>
  <c r="BE278" i="11"/>
  <c r="BE277" i="11"/>
  <c r="BE275" i="11"/>
  <c r="BE274" i="11"/>
  <c r="BE273" i="11"/>
  <c r="BE272" i="11"/>
  <c r="BE271" i="11"/>
  <c r="BE270" i="11"/>
  <c r="BE269" i="11"/>
  <c r="BE268" i="11"/>
  <c r="BE267" i="11"/>
  <c r="BE266" i="11"/>
  <c r="BE265" i="11"/>
  <c r="BE264" i="11"/>
  <c r="BE263" i="11"/>
  <c r="BE262" i="11"/>
  <c r="BE261" i="11"/>
  <c r="BE260" i="11"/>
  <c r="BE259" i="11"/>
  <c r="BE258" i="11"/>
  <c r="BE257" i="11"/>
  <c r="BE256" i="11"/>
  <c r="BE255" i="11"/>
  <c r="BE254" i="11"/>
  <c r="BE253" i="11"/>
  <c r="BE252" i="11"/>
  <c r="BE251" i="11"/>
  <c r="BE250" i="11"/>
  <c r="BE249" i="11"/>
  <c r="BE248" i="11"/>
  <c r="BE247" i="11"/>
  <c r="BE246" i="11"/>
  <c r="BE245" i="11"/>
  <c r="BE244" i="11"/>
  <c r="BE243" i="11"/>
  <c r="BE242" i="11"/>
  <c r="BE241" i="11"/>
  <c r="BE240" i="11"/>
  <c r="BE239" i="11"/>
  <c r="BE238" i="11"/>
  <c r="BE237" i="11"/>
  <c r="BE236" i="11"/>
  <c r="BE235" i="11"/>
  <c r="BE234" i="11"/>
  <c r="BE233" i="11"/>
  <c r="BE232" i="11"/>
  <c r="BE231" i="11"/>
  <c r="BE230" i="11"/>
  <c r="BE229" i="11"/>
  <c r="BE228" i="11"/>
  <c r="BE227" i="11"/>
  <c r="BE226" i="11"/>
  <c r="BE225" i="11"/>
  <c r="BE224" i="11"/>
  <c r="BE223" i="11"/>
  <c r="BE222" i="11"/>
  <c r="BE221" i="11"/>
  <c r="BE220" i="11"/>
  <c r="BE219" i="11"/>
  <c r="BE218" i="11"/>
  <c r="BE217" i="11"/>
  <c r="BE216" i="11"/>
  <c r="BE215" i="11"/>
  <c r="BE214" i="11"/>
  <c r="BE213" i="11"/>
  <c r="BE212" i="11"/>
  <c r="BE211" i="11"/>
  <c r="BE210" i="11"/>
  <c r="BE209" i="11"/>
  <c r="BE208" i="11"/>
  <c r="BE207" i="11"/>
  <c r="BE206" i="11"/>
  <c r="BE205" i="11"/>
  <c r="BE204" i="11"/>
  <c r="BE203" i="11"/>
  <c r="BE202" i="11"/>
  <c r="BE201" i="11"/>
  <c r="BE200" i="11"/>
  <c r="BE199" i="11"/>
  <c r="BE198" i="11"/>
  <c r="BE197" i="11"/>
  <c r="BE196" i="11"/>
  <c r="BE195" i="11"/>
  <c r="BE194" i="11"/>
  <c r="BE193" i="11"/>
  <c r="BE192" i="11"/>
  <c r="BE191" i="11"/>
  <c r="BE190" i="11"/>
  <c r="BE189" i="11"/>
  <c r="BE188" i="11"/>
  <c r="BE187" i="11"/>
  <c r="BE186" i="11"/>
  <c r="BE185" i="11"/>
  <c r="BE184" i="11"/>
  <c r="BE183" i="11"/>
  <c r="BE182" i="11"/>
  <c r="BE181" i="11"/>
  <c r="BE179" i="11"/>
  <c r="BE178" i="11"/>
  <c r="BE177" i="11"/>
  <c r="BE176" i="11"/>
  <c r="BE175" i="11"/>
  <c r="BE174" i="11"/>
  <c r="BE173" i="11"/>
  <c r="BE172" i="11"/>
  <c r="BE171" i="11"/>
  <c r="BE170" i="11"/>
  <c r="BE169" i="11"/>
  <c r="BE167" i="11"/>
  <c r="BE166" i="11"/>
  <c r="BE165" i="11"/>
  <c r="BE164" i="11"/>
  <c r="BE163" i="11"/>
  <c r="BE162" i="11"/>
  <c r="BE161" i="11"/>
  <c r="BE159" i="11"/>
  <c r="BE158" i="11"/>
  <c r="BE157" i="11"/>
  <c r="BE156" i="11"/>
  <c r="BE155" i="11"/>
  <c r="BE154" i="11"/>
  <c r="BE153" i="11"/>
  <c r="BE152" i="11"/>
  <c r="BE151" i="11"/>
  <c r="BE150" i="11"/>
  <c r="BE149" i="11"/>
  <c r="BE148" i="11"/>
  <c r="BE147" i="11"/>
  <c r="BE146" i="11"/>
  <c r="BE145" i="11"/>
  <c r="BE144" i="11"/>
  <c r="BE143" i="11"/>
  <c r="BE142" i="11"/>
  <c r="BE141" i="11"/>
  <c r="BE140" i="11"/>
  <c r="BE139" i="11"/>
  <c r="BE138" i="11"/>
  <c r="BE137" i="11"/>
  <c r="BE136" i="11"/>
  <c r="BE135" i="11"/>
  <c r="BE134" i="11"/>
  <c r="BE133" i="11"/>
  <c r="BE132" i="11"/>
  <c r="BE131" i="11"/>
  <c r="BE130" i="11"/>
  <c r="BE129" i="11"/>
  <c r="BE128" i="11"/>
  <c r="BE127" i="11"/>
  <c r="BE126" i="11"/>
  <c r="BE125" i="11"/>
  <c r="BE124" i="11"/>
  <c r="BE123" i="11"/>
  <c r="BE122" i="11"/>
  <c r="BE121" i="11"/>
  <c r="BE120" i="11"/>
  <c r="BE119" i="11"/>
  <c r="BE118" i="11"/>
  <c r="BE117" i="11"/>
  <c r="BE116" i="11"/>
  <c r="BE115" i="11"/>
  <c r="BE114" i="11"/>
  <c r="BE113" i="11"/>
  <c r="BE112" i="11"/>
  <c r="BE111" i="11"/>
  <c r="BE110" i="11"/>
  <c r="BE109" i="11"/>
  <c r="BE108" i="11"/>
  <c r="BE107" i="11"/>
  <c r="BE106" i="11"/>
  <c r="BE105" i="11"/>
  <c r="BE104" i="11"/>
  <c r="BE103" i="11"/>
  <c r="BE102" i="11"/>
  <c r="BE101" i="11"/>
  <c r="BE100" i="11"/>
  <c r="BE99" i="11"/>
  <c r="BE98" i="11"/>
  <c r="BE97" i="11"/>
  <c r="BE96" i="11"/>
  <c r="BE95" i="11"/>
  <c r="BE94" i="11"/>
  <c r="BE93" i="11"/>
  <c r="BE92" i="11"/>
  <c r="BE91" i="11"/>
  <c r="BE90" i="11"/>
  <c r="BE89" i="11"/>
  <c r="BE88" i="11"/>
  <c r="BE87" i="11"/>
  <c r="BE86" i="11"/>
  <c r="BE85" i="11"/>
  <c r="BE84" i="11"/>
  <c r="BE83" i="11"/>
  <c r="BE82" i="11"/>
  <c r="BE81" i="11"/>
  <c r="BE80" i="11"/>
  <c r="BE79" i="11"/>
  <c r="BE78" i="11"/>
  <c r="BE77" i="11"/>
  <c r="BE76" i="11"/>
  <c r="BE75" i="11"/>
  <c r="BE74" i="11"/>
  <c r="BE73" i="11"/>
  <c r="BE72" i="11"/>
  <c r="BE71" i="11"/>
  <c r="BE70" i="11"/>
  <c r="BE69" i="11"/>
  <c r="BE68" i="11"/>
  <c r="BE67" i="11"/>
  <c r="BE66" i="11"/>
  <c r="BE65" i="11"/>
  <c r="BE64" i="11"/>
  <c r="BE63" i="11"/>
  <c r="BE62" i="11"/>
  <c r="BE61" i="11"/>
  <c r="BE60" i="11"/>
  <c r="BE59" i="11"/>
  <c r="BE58" i="11"/>
  <c r="BE57" i="11"/>
  <c r="BE56" i="11"/>
  <c r="BE55" i="11"/>
  <c r="BE54" i="11"/>
  <c r="BE53" i="11"/>
  <c r="BE52" i="11"/>
  <c r="BE51" i="11"/>
  <c r="BE50" i="11"/>
  <c r="BE49" i="11"/>
  <c r="BE48" i="11"/>
  <c r="BE47" i="11"/>
  <c r="BE46" i="11"/>
  <c r="BE45" i="11"/>
  <c r="BE44" i="11"/>
  <c r="BE43" i="11"/>
  <c r="BE42" i="11"/>
  <c r="BE41" i="11"/>
  <c r="BE40" i="11"/>
  <c r="BE39" i="11"/>
  <c r="BE38" i="11"/>
  <c r="BE37" i="11"/>
  <c r="BE36" i="11"/>
  <c r="BE35" i="11"/>
  <c r="BE34" i="11"/>
  <c r="BE33" i="11"/>
  <c r="BE32" i="11"/>
  <c r="BE31" i="11"/>
  <c r="BE30" i="11"/>
  <c r="BE29" i="11"/>
  <c r="BE28" i="11"/>
  <c r="BE27" i="11"/>
  <c r="BE26" i="11"/>
  <c r="BE25" i="11"/>
  <c r="BE24" i="11"/>
  <c r="BE23" i="11"/>
  <c r="BE22" i="11"/>
  <c r="BE21" i="11"/>
  <c r="BE20" i="11"/>
  <c r="BE19" i="11"/>
  <c r="BE18" i="11"/>
  <c r="BE17" i="11"/>
  <c r="BE16" i="11"/>
  <c r="BE15" i="11"/>
  <c r="BE14" i="11"/>
  <c r="BE13" i="11"/>
  <c r="BE12" i="11"/>
  <c r="BE11" i="11"/>
  <c r="BE10" i="11"/>
  <c r="BE9" i="11"/>
  <c r="BE8" i="11"/>
  <c r="BE7" i="11"/>
  <c r="BE6" i="11"/>
  <c r="BE5" i="11"/>
  <c r="BE3" i="11"/>
  <c r="BE2" i="11"/>
  <c r="BC298" i="11"/>
  <c r="BC297" i="11"/>
  <c r="BC296" i="11"/>
  <c r="BC295" i="11"/>
  <c r="BC294" i="11"/>
  <c r="BC293" i="11"/>
  <c r="BC292" i="11"/>
  <c r="BC291" i="11"/>
  <c r="BC290" i="11"/>
  <c r="BC289" i="11"/>
  <c r="BC288" i="11"/>
  <c r="BC287" i="11"/>
  <c r="BC286" i="11"/>
  <c r="BC285" i="11"/>
  <c r="BC284" i="11"/>
  <c r="BC283" i="11"/>
  <c r="BC282" i="11"/>
  <c r="BC281" i="11"/>
  <c r="BC280" i="11"/>
  <c r="BC279" i="11"/>
  <c r="BC278" i="11"/>
  <c r="BC277" i="11"/>
  <c r="BC275" i="11"/>
  <c r="BC274" i="11"/>
  <c r="BC273" i="11"/>
  <c r="BC272" i="11"/>
  <c r="BC271" i="11"/>
  <c r="BC270" i="11"/>
  <c r="BC269" i="11"/>
  <c r="BC268" i="11"/>
  <c r="BC267" i="11"/>
  <c r="BC266" i="11"/>
  <c r="BC265" i="11"/>
  <c r="BC264" i="11"/>
  <c r="BC263" i="11"/>
  <c r="BC262" i="11"/>
  <c r="BC261" i="11"/>
  <c r="BC260" i="11"/>
  <c r="BC259" i="11"/>
  <c r="BC258" i="11"/>
  <c r="BC257" i="11"/>
  <c r="BC256" i="11"/>
  <c r="BC255" i="11"/>
  <c r="BC254" i="11"/>
  <c r="BC253" i="11"/>
  <c r="BC252" i="11"/>
  <c r="BC251" i="11"/>
  <c r="BC250" i="11"/>
  <c r="BC249" i="11"/>
  <c r="BC248" i="11"/>
  <c r="BC247" i="11"/>
  <c r="BC246" i="11"/>
  <c r="BC245" i="11"/>
  <c r="BC244" i="11"/>
  <c r="BC243" i="11"/>
  <c r="BC242" i="11"/>
  <c r="BC241" i="11"/>
  <c r="BC240" i="11"/>
  <c r="BC239" i="11"/>
  <c r="BC238" i="11"/>
  <c r="BC237" i="11"/>
  <c r="BC236" i="11"/>
  <c r="BC235" i="11"/>
  <c r="BC234" i="11"/>
  <c r="BC233" i="11"/>
  <c r="BC232" i="11"/>
  <c r="BC231" i="11"/>
  <c r="BC230" i="11"/>
  <c r="BC229" i="11"/>
  <c r="BC228" i="11"/>
  <c r="BC227" i="11"/>
  <c r="BC226" i="11"/>
  <c r="BC225" i="11"/>
  <c r="BC224" i="11"/>
  <c r="BC223" i="11"/>
  <c r="BC222" i="11"/>
  <c r="BC221" i="11"/>
  <c r="BC220" i="11"/>
  <c r="BC219" i="11"/>
  <c r="BC218" i="11"/>
  <c r="BC217" i="11"/>
  <c r="BC216" i="11"/>
  <c r="BC215" i="11"/>
  <c r="BC214" i="11"/>
  <c r="BC213" i="11"/>
  <c r="BC212" i="11"/>
  <c r="BC211" i="11"/>
  <c r="BC210" i="11"/>
  <c r="BC209" i="11"/>
  <c r="BC208" i="11"/>
  <c r="BC207" i="11"/>
  <c r="BC206" i="11"/>
  <c r="BC205" i="11"/>
  <c r="BC204" i="11"/>
  <c r="BC203" i="11"/>
  <c r="BC202" i="11"/>
  <c r="BC201" i="11"/>
  <c r="BC200" i="11"/>
  <c r="BC199" i="11"/>
  <c r="BC198" i="11"/>
  <c r="BC197" i="11"/>
  <c r="BC196" i="11"/>
  <c r="BC195" i="11"/>
  <c r="BC194" i="11"/>
  <c r="BC193" i="11"/>
  <c r="BC192" i="11"/>
  <c r="BC191" i="11"/>
  <c r="BC190" i="11"/>
  <c r="BC189" i="11"/>
  <c r="BC188" i="11"/>
  <c r="BC187" i="11"/>
  <c r="BC186" i="11"/>
  <c r="BC185" i="11"/>
  <c r="BC184" i="11"/>
  <c r="BC183" i="11"/>
  <c r="BC182" i="11"/>
  <c r="BC181" i="11"/>
  <c r="BC179" i="11"/>
  <c r="BC178" i="11"/>
  <c r="BC177" i="11"/>
  <c r="BC176" i="11"/>
  <c r="BC175" i="11"/>
  <c r="BC174" i="11"/>
  <c r="BC173" i="11"/>
  <c r="BC172" i="11"/>
  <c r="BC171" i="11"/>
  <c r="BC170" i="11"/>
  <c r="BC169" i="11"/>
  <c r="BC167" i="11"/>
  <c r="BC166" i="11"/>
  <c r="BC165" i="11"/>
  <c r="BC164" i="11"/>
  <c r="BC163" i="11"/>
  <c r="BC162" i="11"/>
  <c r="BC161" i="11"/>
  <c r="BC159" i="11"/>
  <c r="BC158" i="11"/>
  <c r="BC157" i="11"/>
  <c r="BC156" i="11"/>
  <c r="BC155" i="11"/>
  <c r="BC154" i="11"/>
  <c r="BC153" i="11"/>
  <c r="BC152" i="11"/>
  <c r="BC151" i="11"/>
  <c r="BC150" i="11"/>
  <c r="BC149" i="11"/>
  <c r="BC148" i="11"/>
  <c r="BC147" i="11"/>
  <c r="BC146" i="11"/>
  <c r="BC145" i="11"/>
  <c r="BC144" i="11"/>
  <c r="BC143" i="11"/>
  <c r="BC142" i="11"/>
  <c r="BC141" i="11"/>
  <c r="BC140" i="11"/>
  <c r="BC139" i="11"/>
  <c r="BC138" i="11"/>
  <c r="BC137" i="11"/>
  <c r="BC136" i="11"/>
  <c r="BC135" i="11"/>
  <c r="BC134" i="11"/>
  <c r="BC133" i="11"/>
  <c r="BC132" i="11"/>
  <c r="BC131" i="11"/>
  <c r="BC130" i="11"/>
  <c r="BC129" i="11"/>
  <c r="BC128" i="11"/>
  <c r="BC127" i="11"/>
  <c r="BC126" i="11"/>
  <c r="BC125" i="11"/>
  <c r="BC124" i="11"/>
  <c r="BC123" i="11"/>
  <c r="BC122" i="11"/>
  <c r="BC121" i="11"/>
  <c r="BC120" i="11"/>
  <c r="BC119" i="11"/>
  <c r="BC118" i="11"/>
  <c r="BC117" i="11"/>
  <c r="BC116" i="11"/>
  <c r="BC115" i="11"/>
  <c r="BC114" i="11"/>
  <c r="BC113" i="11"/>
  <c r="BC112" i="11"/>
  <c r="BC111" i="11"/>
  <c r="BC110" i="11"/>
  <c r="BC109" i="11"/>
  <c r="BC108" i="11"/>
  <c r="BC107" i="11"/>
  <c r="BC106" i="11"/>
  <c r="BC105" i="11"/>
  <c r="BC104" i="11"/>
  <c r="BC103" i="11"/>
  <c r="BC102" i="11"/>
  <c r="BC101" i="11"/>
  <c r="BC100" i="11"/>
  <c r="BC99" i="11"/>
  <c r="BC98" i="11"/>
  <c r="BC97" i="11"/>
  <c r="BC96" i="11"/>
  <c r="BC95" i="11"/>
  <c r="BC94" i="11"/>
  <c r="BC93" i="11"/>
  <c r="BC92" i="11"/>
  <c r="BC91" i="11"/>
  <c r="BC90" i="11"/>
  <c r="BC89" i="11"/>
  <c r="BC88" i="11"/>
  <c r="BC87" i="11"/>
  <c r="BC86" i="11"/>
  <c r="BC85" i="11"/>
  <c r="BC84" i="11"/>
  <c r="BC83" i="11"/>
  <c r="BC82" i="11"/>
  <c r="BC81" i="11"/>
  <c r="BC80" i="11"/>
  <c r="BC79" i="11"/>
  <c r="BC78" i="11"/>
  <c r="BC77" i="11"/>
  <c r="BC76" i="11"/>
  <c r="BC75" i="11"/>
  <c r="BC74" i="11"/>
  <c r="BC73" i="11"/>
  <c r="BC72" i="11"/>
  <c r="BC71" i="11"/>
  <c r="BC70" i="11"/>
  <c r="BC69" i="11"/>
  <c r="BC68" i="11"/>
  <c r="BC67" i="11"/>
  <c r="BC66" i="11"/>
  <c r="BC65" i="11"/>
  <c r="BC64" i="11"/>
  <c r="BC63" i="11"/>
  <c r="BC62" i="11"/>
  <c r="BC61" i="11"/>
  <c r="BC60" i="11"/>
  <c r="BC59" i="11"/>
  <c r="BC58" i="11"/>
  <c r="BC57" i="11"/>
  <c r="BC56" i="11"/>
  <c r="BC55" i="11"/>
  <c r="BC54" i="11"/>
  <c r="BC53" i="11"/>
  <c r="BC52" i="11"/>
  <c r="BC51" i="11"/>
  <c r="BC50" i="11"/>
  <c r="BC49" i="11"/>
  <c r="BC48" i="11"/>
  <c r="BC47" i="11"/>
  <c r="BC46" i="11"/>
  <c r="BC45" i="11"/>
  <c r="BC44" i="11"/>
  <c r="BC43" i="11"/>
  <c r="BC42" i="11"/>
  <c r="BC41" i="11"/>
  <c r="BC40" i="11"/>
  <c r="BC39" i="11"/>
  <c r="BC38" i="11"/>
  <c r="BC37" i="11"/>
  <c r="BC36" i="11"/>
  <c r="BC35" i="11"/>
  <c r="BC34" i="11"/>
  <c r="BC33" i="11"/>
  <c r="BC32" i="11"/>
  <c r="BC31" i="11"/>
  <c r="BC30" i="11"/>
  <c r="BC29" i="11"/>
  <c r="BC28" i="11"/>
  <c r="BC27" i="11"/>
  <c r="BC26" i="11"/>
  <c r="BC25" i="11"/>
  <c r="BC24" i="11"/>
  <c r="BC23" i="11"/>
  <c r="BC22" i="11"/>
  <c r="BC21" i="11"/>
  <c r="BC20" i="11"/>
  <c r="BC19" i="11"/>
  <c r="BC18" i="11"/>
  <c r="BC17" i="11"/>
  <c r="BC16" i="11"/>
  <c r="BC15" i="11"/>
  <c r="BC14" i="11"/>
  <c r="BC13" i="11"/>
  <c r="BC12" i="11"/>
  <c r="BC11" i="11"/>
  <c r="BC10" i="11"/>
  <c r="BC9" i="11"/>
  <c r="BC8" i="11"/>
  <c r="BC7" i="11"/>
  <c r="H7" i="36" s="1"/>
  <c r="I7" i="36" s="1"/>
  <c r="BC6" i="11"/>
  <c r="H6" i="36" s="1"/>
  <c r="I6" i="36" s="1"/>
  <c r="BC5" i="11"/>
  <c r="H5" i="36" s="1"/>
  <c r="I5" i="36" s="1"/>
  <c r="BC3" i="11"/>
  <c r="H3" i="36" s="1"/>
  <c r="I3" i="36" s="1"/>
  <c r="BC2" i="11"/>
  <c r="H2" i="36" s="1"/>
  <c r="E305" i="11"/>
  <c r="D305" i="11"/>
  <c r="C305" i="11"/>
  <c r="BM92" i="20"/>
  <c r="BM91" i="20"/>
  <c r="BM90" i="20"/>
  <c r="BM89" i="20"/>
  <c r="BM88" i="20"/>
  <c r="BM87" i="20"/>
  <c r="BM86" i="20"/>
  <c r="BM85" i="20"/>
  <c r="BM84" i="20"/>
  <c r="BM83" i="20"/>
  <c r="BM82" i="20"/>
  <c r="BM81" i="20"/>
  <c r="BM80" i="20"/>
  <c r="BM79" i="20"/>
  <c r="BM78" i="20"/>
  <c r="BM77" i="20"/>
  <c r="BM76" i="20"/>
  <c r="BM75" i="20"/>
  <c r="BM74" i="20"/>
  <c r="BM73" i="20"/>
  <c r="BM72" i="20"/>
  <c r="BN72" i="20" s="1"/>
  <c r="BM71" i="20"/>
  <c r="BM70" i="20"/>
  <c r="BN70" i="20" s="1"/>
  <c r="BM68" i="20"/>
  <c r="BM67" i="20"/>
  <c r="BM66" i="20"/>
  <c r="BM65" i="20"/>
  <c r="BN65" i="20" s="1"/>
  <c r="BM64" i="20"/>
  <c r="BM63" i="20"/>
  <c r="BM62" i="20"/>
  <c r="BM61" i="20"/>
  <c r="BN61" i="20" s="1"/>
  <c r="BM60" i="20"/>
  <c r="BN60" i="20" s="1"/>
  <c r="BM59" i="20"/>
  <c r="BM58" i="20"/>
  <c r="BM57" i="20"/>
  <c r="BM56" i="20"/>
  <c r="BM54" i="20"/>
  <c r="BN54" i="20" s="1"/>
  <c r="BM53" i="20"/>
  <c r="BM52" i="20"/>
  <c r="BM50" i="20"/>
  <c r="BM48" i="20"/>
  <c r="BM47" i="20"/>
  <c r="BM46" i="20"/>
  <c r="BN46" i="20" s="1"/>
  <c r="BM45" i="20"/>
  <c r="BM44" i="20"/>
  <c r="BM43" i="20"/>
  <c r="BM42" i="20"/>
  <c r="BM40" i="20"/>
  <c r="BM39" i="20"/>
  <c r="BM38" i="20"/>
  <c r="BM37" i="20"/>
  <c r="BM33" i="20"/>
  <c r="BM32" i="20"/>
  <c r="BM31" i="20"/>
  <c r="BN31" i="20" s="1"/>
  <c r="BM30" i="20"/>
  <c r="BM29" i="20"/>
  <c r="BM27" i="20"/>
  <c r="BN27" i="20" s="1"/>
  <c r="BM25" i="20"/>
  <c r="BM24" i="20"/>
  <c r="BM23" i="20"/>
  <c r="BM22" i="20"/>
  <c r="BM21" i="20"/>
  <c r="BM20" i="20"/>
  <c r="BM19" i="20"/>
  <c r="BM18" i="20"/>
  <c r="BM17" i="20"/>
  <c r="BN17" i="20" s="1"/>
  <c r="BM16" i="20"/>
  <c r="BN16" i="20" s="1"/>
  <c r="BM15" i="20"/>
  <c r="BM14" i="20"/>
  <c r="BM12" i="20"/>
  <c r="BM11" i="20"/>
  <c r="BM10" i="20"/>
  <c r="BM9" i="20"/>
  <c r="BM8" i="20"/>
  <c r="AR175" i="20"/>
  <c r="BH70" i="20"/>
  <c r="BI70" i="20" s="1"/>
  <c r="BE70" i="20"/>
  <c r="BD70" i="20" s="1"/>
  <c r="BP65" i="20"/>
  <c r="BO65" i="20"/>
  <c r="BL65" i="20"/>
  <c r="BH65" i="20"/>
  <c r="BI65" i="20" s="1"/>
  <c r="BE65" i="20"/>
  <c r="BD65" i="20" s="1"/>
  <c r="BP60" i="20"/>
  <c r="BO60" i="20"/>
  <c r="BL60" i="20"/>
  <c r="BH60" i="20"/>
  <c r="BI60" i="20" s="1"/>
  <c r="BE60" i="20"/>
  <c r="BD60" i="20" s="1"/>
  <c r="BP27" i="20"/>
  <c r="BO27" i="20"/>
  <c r="BL27" i="20"/>
  <c r="BH27" i="20"/>
  <c r="BI27" i="20" s="1"/>
  <c r="BE27" i="20"/>
  <c r="BD27" i="20" s="1"/>
  <c r="BP61" i="20"/>
  <c r="BO61" i="20"/>
  <c r="BL61" i="20"/>
  <c r="BH61" i="20"/>
  <c r="BI61" i="20" s="1"/>
  <c r="BE61" i="20"/>
  <c r="BD61" i="20" s="1"/>
  <c r="BP72" i="20"/>
  <c r="BO72" i="20"/>
  <c r="BL72" i="20"/>
  <c r="BH72" i="20"/>
  <c r="BI72" i="20" s="1"/>
  <c r="BE72" i="20"/>
  <c r="BD72" i="20" s="1"/>
  <c r="BP54" i="20"/>
  <c r="BO54" i="20"/>
  <c r="BL54" i="20"/>
  <c r="BH54" i="20"/>
  <c r="BI54" i="20" s="1"/>
  <c r="BE54" i="20"/>
  <c r="BD54" i="20" s="1"/>
  <c r="BP46" i="20"/>
  <c r="BO46" i="20"/>
  <c r="BL46" i="20"/>
  <c r="BH46" i="20"/>
  <c r="BI46" i="20" s="1"/>
  <c r="BE46" i="20"/>
  <c r="BD46" i="20" s="1"/>
  <c r="BP17" i="20"/>
  <c r="BO17" i="20"/>
  <c r="BL17" i="20"/>
  <c r="BI17" i="20"/>
  <c r="BE17" i="20"/>
  <c r="BD17" i="20" s="1"/>
  <c r="BP16" i="20"/>
  <c r="BO16" i="20"/>
  <c r="BL16" i="20"/>
  <c r="BI16" i="20"/>
  <c r="BE16" i="20"/>
  <c r="BD16" i="20" s="1"/>
  <c r="BP31" i="20"/>
  <c r="BO31" i="20"/>
  <c r="BL31" i="20"/>
  <c r="BH31" i="20"/>
  <c r="BI31" i="20" s="1"/>
  <c r="BE31" i="20"/>
  <c r="BD31" i="20" s="1"/>
  <c r="AQ308" i="15" l="1"/>
  <c r="AQ312" i="15" s="1"/>
  <c r="AQ311" i="15" s="1"/>
  <c r="AN308" i="15"/>
  <c r="AN309" i="15" s="1"/>
  <c r="I31" i="37"/>
  <c r="K31" i="37" s="1"/>
  <c r="AP337" i="31"/>
  <c r="AM337" i="31" s="1"/>
  <c r="H25" i="36"/>
  <c r="AP373" i="31"/>
  <c r="AM373" i="31" s="1"/>
  <c r="H61" i="36"/>
  <c r="I61" i="36" s="1"/>
  <c r="J61" i="36" s="1"/>
  <c r="AP397" i="31"/>
  <c r="H85" i="36"/>
  <c r="I85" i="36" s="1"/>
  <c r="J85" i="36" s="1"/>
  <c r="AP433" i="31"/>
  <c r="U433" i="31" s="1"/>
  <c r="H121" i="36"/>
  <c r="AP469" i="31"/>
  <c r="Z469" i="31" s="1"/>
  <c r="H157" i="36"/>
  <c r="AP529" i="31"/>
  <c r="AA529" i="31" s="1"/>
  <c r="H217" i="36"/>
  <c r="AP565" i="31"/>
  <c r="K565" i="31" s="1"/>
  <c r="H253" i="36"/>
  <c r="AP314" i="31"/>
  <c r="AJ314" i="31" s="1"/>
  <c r="AP350" i="31"/>
  <c r="AQ45" i="31" s="1"/>
  <c r="H38" i="36"/>
  <c r="I38" i="36" s="1"/>
  <c r="J38" i="36" s="1"/>
  <c r="AP386" i="31"/>
  <c r="H74" i="36"/>
  <c r="I74" i="36" s="1"/>
  <c r="J74" i="36" s="1"/>
  <c r="AP410" i="31"/>
  <c r="H98" i="36"/>
  <c r="AP446" i="31"/>
  <c r="H134" i="36"/>
  <c r="I134" i="36" s="1"/>
  <c r="J134" i="36" s="1"/>
  <c r="AP482" i="31"/>
  <c r="H170" i="36"/>
  <c r="AP518" i="31"/>
  <c r="AL518" i="31" s="1"/>
  <c r="H206" i="36"/>
  <c r="I206" i="36" s="1"/>
  <c r="J206" i="36" s="1"/>
  <c r="AP554" i="31"/>
  <c r="H242" i="36"/>
  <c r="I242" i="36" s="1"/>
  <c r="J242" i="36" s="1"/>
  <c r="AP602" i="31"/>
  <c r="AG602" i="31" s="1"/>
  <c r="H290" i="36"/>
  <c r="I290" i="36" s="1"/>
  <c r="J290" i="36" s="1"/>
  <c r="AP327" i="31"/>
  <c r="AR327" i="31" s="1"/>
  <c r="H15" i="36"/>
  <c r="AP363" i="31"/>
  <c r="AF363" i="31" s="1"/>
  <c r="H51" i="36"/>
  <c r="I51" i="36" s="1"/>
  <c r="J51" i="36" s="1"/>
  <c r="AP399" i="31"/>
  <c r="H87" i="36"/>
  <c r="AP435" i="31"/>
  <c r="V435" i="31" s="1"/>
  <c r="H123" i="36"/>
  <c r="AP471" i="31"/>
  <c r="AJ471" i="31" s="1"/>
  <c r="H159" i="36"/>
  <c r="I159" i="36" s="1"/>
  <c r="J159" i="36" s="1"/>
  <c r="AP507" i="31"/>
  <c r="AR507" i="31" s="1"/>
  <c r="H195" i="36"/>
  <c r="I195" i="36" s="1"/>
  <c r="J195" i="36" s="1"/>
  <c r="AP555" i="31"/>
  <c r="H243" i="36"/>
  <c r="AP591" i="31"/>
  <c r="AR591" i="31" s="1"/>
  <c r="H279" i="36"/>
  <c r="I279" i="36" s="1"/>
  <c r="J279" i="36" s="1"/>
  <c r="AP328" i="31"/>
  <c r="H16" i="36"/>
  <c r="AP364" i="31"/>
  <c r="AK364" i="31" s="1"/>
  <c r="H52" i="36"/>
  <c r="AP412" i="31"/>
  <c r="AD412" i="31" s="1"/>
  <c r="H100" i="36"/>
  <c r="AP448" i="31"/>
  <c r="H136" i="36"/>
  <c r="AP484" i="31"/>
  <c r="H172" i="36"/>
  <c r="AP520" i="31"/>
  <c r="H208" i="36"/>
  <c r="I208" i="36" s="1"/>
  <c r="J208" i="36" s="1"/>
  <c r="AP556" i="31"/>
  <c r="H244" i="36"/>
  <c r="I244" i="36" s="1"/>
  <c r="J244" i="36" s="1"/>
  <c r="AP592" i="31"/>
  <c r="R592" i="31" s="1"/>
  <c r="H280" i="36"/>
  <c r="AP341" i="31"/>
  <c r="Y341" i="31" s="1"/>
  <c r="H29" i="36"/>
  <c r="AP377" i="31"/>
  <c r="H65" i="36"/>
  <c r="I65" i="36" s="1"/>
  <c r="J65" i="36" s="1"/>
  <c r="AP413" i="31"/>
  <c r="H101" i="36"/>
  <c r="I101" i="36" s="1"/>
  <c r="J101" i="36" s="1"/>
  <c r="AP437" i="31"/>
  <c r="H125" i="36"/>
  <c r="AP473" i="31"/>
  <c r="H161" i="36"/>
  <c r="AP509" i="31"/>
  <c r="AQ204" i="31" s="1"/>
  <c r="H197" i="36"/>
  <c r="I197" i="36" s="1"/>
  <c r="J197" i="36" s="1"/>
  <c r="AP545" i="31"/>
  <c r="H233" i="36"/>
  <c r="I233" i="36" s="1"/>
  <c r="J233" i="36" s="1"/>
  <c r="AP581" i="31"/>
  <c r="P581" i="31" s="1"/>
  <c r="H269" i="36"/>
  <c r="I269" i="36" s="1"/>
  <c r="J269" i="36" s="1"/>
  <c r="AP318" i="31"/>
  <c r="J6" i="36"/>
  <c r="AP366" i="31"/>
  <c r="H54" i="36"/>
  <c r="I54" i="36" s="1"/>
  <c r="J54" i="36" s="1"/>
  <c r="AP402" i="31"/>
  <c r="H90" i="36"/>
  <c r="I90" i="36" s="1"/>
  <c r="J90" i="36" s="1"/>
  <c r="AP438" i="31"/>
  <c r="AJ438" i="31" s="1"/>
  <c r="H126" i="36"/>
  <c r="I126" i="36" s="1"/>
  <c r="J126" i="36" s="1"/>
  <c r="AP486" i="31"/>
  <c r="H174" i="36"/>
  <c r="I174" i="36" s="1"/>
  <c r="J174" i="36" s="1"/>
  <c r="AP522" i="31"/>
  <c r="H210" i="36"/>
  <c r="AP570" i="31"/>
  <c r="Q570" i="31" s="1"/>
  <c r="H258" i="36"/>
  <c r="AP606" i="31"/>
  <c r="AE606" i="31" s="1"/>
  <c r="H294" i="36"/>
  <c r="I294" i="36" s="1"/>
  <c r="J294" i="36" s="1"/>
  <c r="AP319" i="31"/>
  <c r="J7" i="36"/>
  <c r="AP367" i="31"/>
  <c r="AC367" i="31" s="1"/>
  <c r="H55" i="36"/>
  <c r="I55" i="36" s="1"/>
  <c r="J55" i="36" s="1"/>
  <c r="AP415" i="31"/>
  <c r="AJ415" i="31" s="1"/>
  <c r="H103" i="36"/>
  <c r="AP451" i="31"/>
  <c r="H139" i="36"/>
  <c r="I139" i="36" s="1"/>
  <c r="J139" i="36" s="1"/>
  <c r="AP487" i="31"/>
  <c r="H175" i="36"/>
  <c r="AP535" i="31"/>
  <c r="H223" i="36"/>
  <c r="AP571" i="31"/>
  <c r="H259" i="36"/>
  <c r="I259" i="36" s="1"/>
  <c r="J259" i="36" s="1"/>
  <c r="AP595" i="31"/>
  <c r="H283" i="36"/>
  <c r="AP356" i="31"/>
  <c r="H44" i="36"/>
  <c r="AP392" i="31"/>
  <c r="H80" i="36"/>
  <c r="AP428" i="31"/>
  <c r="H116" i="36"/>
  <c r="AP452" i="31"/>
  <c r="H140" i="36"/>
  <c r="I140" i="36" s="1"/>
  <c r="J140" i="36" s="1"/>
  <c r="AP512" i="31"/>
  <c r="H200" i="36"/>
  <c r="AP548" i="31"/>
  <c r="L548" i="31" s="1"/>
  <c r="H236" i="36"/>
  <c r="AP584" i="31"/>
  <c r="H272" i="36"/>
  <c r="I272" i="36" s="1"/>
  <c r="J272" i="36" s="1"/>
  <c r="AP321" i="31"/>
  <c r="H9" i="36"/>
  <c r="AP369" i="31"/>
  <c r="H57" i="36"/>
  <c r="I57" i="36" s="1"/>
  <c r="J57" i="36" s="1"/>
  <c r="AP405" i="31"/>
  <c r="H93" i="36"/>
  <c r="AP441" i="31"/>
  <c r="H129" i="36"/>
  <c r="AP477" i="31"/>
  <c r="AJ477" i="31" s="1"/>
  <c r="H165" i="36"/>
  <c r="AP513" i="31"/>
  <c r="V513" i="31" s="1"/>
  <c r="H201" i="36"/>
  <c r="AP561" i="31"/>
  <c r="H249" i="36"/>
  <c r="AP597" i="31"/>
  <c r="H285" i="36"/>
  <c r="AP611" i="31"/>
  <c r="AR611" i="31" s="1"/>
  <c r="H299" i="36"/>
  <c r="I299" i="36" s="1"/>
  <c r="J299" i="36" s="1"/>
  <c r="AP322" i="31"/>
  <c r="H10" i="36"/>
  <c r="AP334" i="31"/>
  <c r="AM334" i="31" s="1"/>
  <c r="H22" i="36"/>
  <c r="AP346" i="31"/>
  <c r="H34" i="36"/>
  <c r="I34" i="36" s="1"/>
  <c r="J34" i="36" s="1"/>
  <c r="AP358" i="31"/>
  <c r="H46" i="36"/>
  <c r="I46" i="36" s="1"/>
  <c r="J46" i="36" s="1"/>
  <c r="AP370" i="31"/>
  <c r="H58" i="36"/>
  <c r="I58" i="36" s="1"/>
  <c r="J58" i="36" s="1"/>
  <c r="AP382" i="31"/>
  <c r="U382" i="31" s="1"/>
  <c r="H70" i="36"/>
  <c r="I70" i="36" s="1"/>
  <c r="J70" i="36" s="1"/>
  <c r="AP394" i="31"/>
  <c r="H82" i="36"/>
  <c r="AP406" i="31"/>
  <c r="AI406" i="31" s="1"/>
  <c r="H94" i="36"/>
  <c r="I94" i="36" s="1"/>
  <c r="J94" i="36" s="1"/>
  <c r="AP418" i="31"/>
  <c r="H106" i="36"/>
  <c r="AP430" i="31"/>
  <c r="AR430" i="31" s="1"/>
  <c r="H118" i="36"/>
  <c r="I118" i="36" s="1"/>
  <c r="J118" i="36" s="1"/>
  <c r="AP442" i="31"/>
  <c r="AG442" i="31" s="1"/>
  <c r="H130" i="36"/>
  <c r="I130" i="36" s="1"/>
  <c r="J130" i="36" s="1"/>
  <c r="AP454" i="31"/>
  <c r="H142" i="36"/>
  <c r="AP466" i="31"/>
  <c r="H154" i="36"/>
  <c r="AP478" i="31"/>
  <c r="AA478" i="31" s="1"/>
  <c r="H166" i="36"/>
  <c r="AP490" i="31"/>
  <c r="S490" i="31" s="1"/>
  <c r="H178" i="36"/>
  <c r="I178" i="36" s="1"/>
  <c r="J178" i="36" s="1"/>
  <c r="AP502" i="31"/>
  <c r="L502" i="31" s="1"/>
  <c r="H190" i="36"/>
  <c r="AP514" i="31"/>
  <c r="H202" i="36"/>
  <c r="I202" i="36" s="1"/>
  <c r="J202" i="36" s="1"/>
  <c r="AP526" i="31"/>
  <c r="AM526" i="31" s="1"/>
  <c r="H214" i="36"/>
  <c r="I214" i="36" s="1"/>
  <c r="J214" i="36" s="1"/>
  <c r="AP538" i="31"/>
  <c r="H226" i="36"/>
  <c r="AP550" i="31"/>
  <c r="W550" i="31" s="1"/>
  <c r="H238" i="36"/>
  <c r="I238" i="36" s="1"/>
  <c r="J238" i="36" s="1"/>
  <c r="AP562" i="31"/>
  <c r="H250" i="36"/>
  <c r="I250" i="36" s="1"/>
  <c r="J250" i="36" s="1"/>
  <c r="AP574" i="31"/>
  <c r="AR574" i="31" s="1"/>
  <c r="H262" i="36"/>
  <c r="I262" i="36" s="1"/>
  <c r="J262" i="36" s="1"/>
  <c r="AP586" i="31"/>
  <c r="AR586" i="31" s="1"/>
  <c r="H274" i="36"/>
  <c r="I274" i="36" s="1"/>
  <c r="J274" i="36" s="1"/>
  <c r="AP598" i="31"/>
  <c r="H286" i="36"/>
  <c r="I286" i="36" s="1"/>
  <c r="J286" i="36" s="1"/>
  <c r="AP610" i="31"/>
  <c r="AR610" i="31" s="1"/>
  <c r="H298" i="36"/>
  <c r="I298" i="36" s="1"/>
  <c r="J298" i="36" s="1"/>
  <c r="AP325" i="31"/>
  <c r="W325" i="31" s="1"/>
  <c r="H13" i="36"/>
  <c r="AP361" i="31"/>
  <c r="AD361" i="31" s="1"/>
  <c r="H49" i="36"/>
  <c r="AP409" i="31"/>
  <c r="H97" i="36"/>
  <c r="AP445" i="31"/>
  <c r="H133" i="36"/>
  <c r="I133" i="36" s="1"/>
  <c r="J133" i="36" s="1"/>
  <c r="AP481" i="31"/>
  <c r="AA481" i="31" s="1"/>
  <c r="H169" i="36"/>
  <c r="AP505" i="31"/>
  <c r="H193" i="36"/>
  <c r="AP541" i="31"/>
  <c r="AH541" i="31" s="1"/>
  <c r="H229" i="36"/>
  <c r="I229" i="36" s="1"/>
  <c r="J229" i="36" s="1"/>
  <c r="AP589" i="31"/>
  <c r="AG589" i="31" s="1"/>
  <c r="H277" i="36"/>
  <c r="AP338" i="31"/>
  <c r="AQ33" i="31" s="1"/>
  <c r="H26" i="36"/>
  <c r="AP374" i="31"/>
  <c r="H62" i="36"/>
  <c r="I62" i="36" s="1"/>
  <c r="J62" i="36" s="1"/>
  <c r="AP422" i="31"/>
  <c r="H110" i="36"/>
  <c r="I110" i="36" s="1"/>
  <c r="J110" i="36" s="1"/>
  <c r="AP458" i="31"/>
  <c r="AF458" i="31" s="1"/>
  <c r="H146" i="36"/>
  <c r="AP494" i="31"/>
  <c r="L494" i="31" s="1"/>
  <c r="H182" i="36"/>
  <c r="AP530" i="31"/>
  <c r="T530" i="31" s="1"/>
  <c r="H218" i="36"/>
  <c r="AP566" i="31"/>
  <c r="Y566" i="31" s="1"/>
  <c r="H254" i="36"/>
  <c r="I254" i="36" s="1"/>
  <c r="J254" i="36" s="1"/>
  <c r="AP590" i="31"/>
  <c r="H278" i="36"/>
  <c r="I278" i="36" s="1"/>
  <c r="J278" i="36" s="1"/>
  <c r="AP351" i="31"/>
  <c r="H39" i="36"/>
  <c r="I39" i="36" s="1"/>
  <c r="J39" i="36" s="1"/>
  <c r="AP387" i="31"/>
  <c r="H75" i="36"/>
  <c r="I75" i="36" s="1"/>
  <c r="J75" i="36" s="1"/>
  <c r="AP423" i="31"/>
  <c r="J423" i="31" s="1"/>
  <c r="H111" i="36"/>
  <c r="AP459" i="31"/>
  <c r="U459" i="31" s="1"/>
  <c r="H147" i="36"/>
  <c r="AP495" i="31"/>
  <c r="S495" i="31" s="1"/>
  <c r="H183" i="36"/>
  <c r="I183" i="36" s="1"/>
  <c r="J183" i="36" s="1"/>
  <c r="AP531" i="31"/>
  <c r="H219" i="36"/>
  <c r="AP567" i="31"/>
  <c r="H255" i="36"/>
  <c r="I255" i="36" s="1"/>
  <c r="J255" i="36" s="1"/>
  <c r="AP340" i="31"/>
  <c r="H28" i="36"/>
  <c r="AP388" i="31"/>
  <c r="H76" i="36"/>
  <c r="I76" i="36" s="1"/>
  <c r="J76" i="36" s="1"/>
  <c r="AP424" i="31"/>
  <c r="X424" i="31" s="1"/>
  <c r="H112" i="36"/>
  <c r="AP460" i="31"/>
  <c r="H148" i="36"/>
  <c r="AP496" i="31"/>
  <c r="AB496" i="31" s="1"/>
  <c r="H184" i="36"/>
  <c r="AP532" i="31"/>
  <c r="H220" i="36"/>
  <c r="I220" i="36" s="1"/>
  <c r="J220" i="36" s="1"/>
  <c r="AP580" i="31"/>
  <c r="AR580" i="31" s="1"/>
  <c r="H268" i="36"/>
  <c r="I268" i="36" s="1"/>
  <c r="J268" i="36" s="1"/>
  <c r="AP317" i="31"/>
  <c r="AQ12" i="31" s="1"/>
  <c r="J5" i="36"/>
  <c r="AP365" i="31"/>
  <c r="V365" i="31" s="1"/>
  <c r="H53" i="36"/>
  <c r="AP401" i="31"/>
  <c r="H89" i="36"/>
  <c r="I89" i="36" s="1"/>
  <c r="J89" i="36" s="1"/>
  <c r="AP449" i="31"/>
  <c r="H137" i="36"/>
  <c r="AP485" i="31"/>
  <c r="AD485" i="31" s="1"/>
  <c r="H173" i="36"/>
  <c r="I173" i="36" s="1"/>
  <c r="J173" i="36" s="1"/>
  <c r="AP521" i="31"/>
  <c r="H209" i="36"/>
  <c r="AP557" i="31"/>
  <c r="AR557" i="31" s="1"/>
  <c r="H245" i="36"/>
  <c r="I245" i="36" s="1"/>
  <c r="J245" i="36" s="1"/>
  <c r="AP593" i="31"/>
  <c r="H281" i="36"/>
  <c r="AP342" i="31"/>
  <c r="H30" i="36"/>
  <c r="AP390" i="31"/>
  <c r="X390" i="31" s="1"/>
  <c r="H78" i="36"/>
  <c r="I78" i="36" s="1"/>
  <c r="J78" i="36" s="1"/>
  <c r="AP426" i="31"/>
  <c r="H114" i="36"/>
  <c r="AP462" i="31"/>
  <c r="H150" i="36"/>
  <c r="AP510" i="31"/>
  <c r="AD510" i="31" s="1"/>
  <c r="H198" i="36"/>
  <c r="AP546" i="31"/>
  <c r="AF546" i="31" s="1"/>
  <c r="H234" i="36"/>
  <c r="AP594" i="31"/>
  <c r="AK594" i="31" s="1"/>
  <c r="H282" i="36"/>
  <c r="I282" i="36" s="1"/>
  <c r="J282" i="36" s="1"/>
  <c r="AP331" i="31"/>
  <c r="H19" i="36"/>
  <c r="AP355" i="31"/>
  <c r="H43" i="36"/>
  <c r="AP403" i="31"/>
  <c r="H91" i="36"/>
  <c r="I91" i="36" s="1"/>
  <c r="J91" i="36" s="1"/>
  <c r="AP439" i="31"/>
  <c r="H127" i="36"/>
  <c r="I127" i="36" s="1"/>
  <c r="J127" i="36" s="1"/>
  <c r="AP475" i="31"/>
  <c r="W475" i="31" s="1"/>
  <c r="H163" i="36"/>
  <c r="AP511" i="31"/>
  <c r="H199" i="36"/>
  <c r="I199" i="36" s="1"/>
  <c r="J199" i="36" s="1"/>
  <c r="AP559" i="31"/>
  <c r="AK559" i="31" s="1"/>
  <c r="H247" i="36"/>
  <c r="AP607" i="31"/>
  <c r="AR607" i="31" s="1"/>
  <c r="H295" i="36"/>
  <c r="I295" i="36" s="1"/>
  <c r="J295" i="36" s="1"/>
  <c r="AP332" i="31"/>
  <c r="H20" i="36"/>
  <c r="AP368" i="31"/>
  <c r="H56" i="36"/>
  <c r="I56" i="36" s="1"/>
  <c r="J56" i="36" s="1"/>
  <c r="AP404" i="31"/>
  <c r="H92" i="36"/>
  <c r="I92" i="36" s="1"/>
  <c r="J92" i="36" s="1"/>
  <c r="AP464" i="31"/>
  <c r="AF464" i="31" s="1"/>
  <c r="H152" i="36"/>
  <c r="I152" i="36" s="1"/>
  <c r="J152" i="36" s="1"/>
  <c r="AP500" i="31"/>
  <c r="H188" i="36"/>
  <c r="I188" i="36" s="1"/>
  <c r="J188" i="36" s="1"/>
  <c r="AP536" i="31"/>
  <c r="H224" i="36"/>
  <c r="AP572" i="31"/>
  <c r="H260" i="36"/>
  <c r="I260" i="36" s="1"/>
  <c r="J260" i="36" s="1"/>
  <c r="AP608" i="31"/>
  <c r="AR608" i="31" s="1"/>
  <c r="H296" i="36"/>
  <c r="I296" i="36" s="1"/>
  <c r="J296" i="36" s="1"/>
  <c r="AP345" i="31"/>
  <c r="H33" i="36"/>
  <c r="I33" i="36" s="1"/>
  <c r="J33" i="36" s="1"/>
  <c r="AP381" i="31"/>
  <c r="H69" i="36"/>
  <c r="AP417" i="31"/>
  <c r="AR417" i="31" s="1"/>
  <c r="H105" i="36"/>
  <c r="I105" i="36" s="1"/>
  <c r="J105" i="36" s="1"/>
  <c r="AP453" i="31"/>
  <c r="H141" i="36"/>
  <c r="I141" i="36" s="1"/>
  <c r="J141" i="36" s="1"/>
  <c r="AP501" i="31"/>
  <c r="H189" i="36"/>
  <c r="AP537" i="31"/>
  <c r="AH537" i="31" s="1"/>
  <c r="H225" i="36"/>
  <c r="I225" i="36" s="1"/>
  <c r="J225" i="36" s="1"/>
  <c r="AP573" i="31"/>
  <c r="AR573" i="31" s="1"/>
  <c r="H261" i="36"/>
  <c r="I261" i="36" s="1"/>
  <c r="J261" i="36" s="1"/>
  <c r="AP323" i="31"/>
  <c r="Q323" i="31" s="1"/>
  <c r="H11" i="36"/>
  <c r="AP335" i="31"/>
  <c r="H23" i="36"/>
  <c r="AP347" i="31"/>
  <c r="H35" i="36"/>
  <c r="I35" i="36" s="1"/>
  <c r="J35" i="36" s="1"/>
  <c r="AP359" i="31"/>
  <c r="O359" i="31" s="1"/>
  <c r="H47" i="36"/>
  <c r="AP371" i="31"/>
  <c r="Y371" i="31" s="1"/>
  <c r="H59" i="36"/>
  <c r="AP383" i="31"/>
  <c r="AI383" i="31" s="1"/>
  <c r="H71" i="36"/>
  <c r="I71" i="36" s="1"/>
  <c r="J71" i="36" s="1"/>
  <c r="AP395" i="31"/>
  <c r="H83" i="36"/>
  <c r="AP407" i="31"/>
  <c r="H95" i="36"/>
  <c r="I95" i="36" s="1"/>
  <c r="J95" i="36" s="1"/>
  <c r="AP419" i="31"/>
  <c r="H107" i="36"/>
  <c r="AP431" i="31"/>
  <c r="AR431" i="31" s="1"/>
  <c r="H119" i="36"/>
  <c r="I119" i="36" s="1"/>
  <c r="J119" i="36" s="1"/>
  <c r="AP443" i="31"/>
  <c r="L443" i="31" s="1"/>
  <c r="H131" i="36"/>
  <c r="AP455" i="31"/>
  <c r="H143" i="36"/>
  <c r="AP467" i="31"/>
  <c r="R467" i="31" s="1"/>
  <c r="H155" i="36"/>
  <c r="I155" i="36" s="1"/>
  <c r="J155" i="36" s="1"/>
  <c r="AP479" i="31"/>
  <c r="L479" i="31" s="1"/>
  <c r="H167" i="36"/>
  <c r="AP491" i="31"/>
  <c r="P491" i="31" s="1"/>
  <c r="H179" i="36"/>
  <c r="I179" i="36" s="1"/>
  <c r="J179" i="36" s="1"/>
  <c r="AP503" i="31"/>
  <c r="H191" i="36"/>
  <c r="AP515" i="31"/>
  <c r="AG515" i="31" s="1"/>
  <c r="H203" i="36"/>
  <c r="I203" i="36" s="1"/>
  <c r="J203" i="36" s="1"/>
  <c r="AP527" i="31"/>
  <c r="AM527" i="31" s="1"/>
  <c r="H215" i="36"/>
  <c r="I215" i="36" s="1"/>
  <c r="J215" i="36" s="1"/>
  <c r="AP539" i="31"/>
  <c r="R539" i="31" s="1"/>
  <c r="H227" i="36"/>
  <c r="AP551" i="31"/>
  <c r="H239" i="36"/>
  <c r="AP563" i="31"/>
  <c r="AR563" i="31" s="1"/>
  <c r="H251" i="36"/>
  <c r="I251" i="36" s="1"/>
  <c r="J251" i="36" s="1"/>
  <c r="AP575" i="31"/>
  <c r="H263" i="36"/>
  <c r="I263" i="36" s="1"/>
  <c r="J263" i="36" s="1"/>
  <c r="AP587" i="31"/>
  <c r="I587" i="31" s="1"/>
  <c r="H275" i="36"/>
  <c r="AP599" i="31"/>
  <c r="AR599" i="31" s="1"/>
  <c r="H287" i="36"/>
  <c r="I287" i="36" s="1"/>
  <c r="J287" i="36" s="1"/>
  <c r="AP349" i="31"/>
  <c r="H37" i="36"/>
  <c r="I37" i="36" s="1"/>
  <c r="J37" i="36" s="1"/>
  <c r="AP385" i="31"/>
  <c r="H73" i="36"/>
  <c r="I73" i="36" s="1"/>
  <c r="J73" i="36" s="1"/>
  <c r="AP421" i="31"/>
  <c r="H109" i="36"/>
  <c r="AP457" i="31"/>
  <c r="H145" i="36"/>
  <c r="AP493" i="31"/>
  <c r="AB493" i="31" s="1"/>
  <c r="H181" i="36"/>
  <c r="AP517" i="31"/>
  <c r="AB517" i="31" s="1"/>
  <c r="H205" i="36"/>
  <c r="AP553" i="31"/>
  <c r="H241" i="36"/>
  <c r="I241" i="36" s="1"/>
  <c r="J241" i="36" s="1"/>
  <c r="AP577" i="31"/>
  <c r="N577" i="31" s="1"/>
  <c r="H265" i="36"/>
  <c r="AP601" i="31"/>
  <c r="H289" i="36"/>
  <c r="I289" i="36" s="1"/>
  <c r="J289" i="36" s="1"/>
  <c r="AP326" i="31"/>
  <c r="H14" i="36"/>
  <c r="AP362" i="31"/>
  <c r="Y362" i="31" s="1"/>
  <c r="H50" i="36"/>
  <c r="AP398" i="31"/>
  <c r="P398" i="31" s="1"/>
  <c r="H86" i="36"/>
  <c r="I86" i="36" s="1"/>
  <c r="J86" i="36" s="1"/>
  <c r="AP434" i="31"/>
  <c r="AK434" i="31" s="1"/>
  <c r="H122" i="36"/>
  <c r="I122" i="36" s="1"/>
  <c r="J122" i="36" s="1"/>
  <c r="AP470" i="31"/>
  <c r="H158" i="36"/>
  <c r="I158" i="36" s="1"/>
  <c r="J158" i="36" s="1"/>
  <c r="AP506" i="31"/>
  <c r="Q506" i="31" s="1"/>
  <c r="H194" i="36"/>
  <c r="AP542" i="31"/>
  <c r="H230" i="36"/>
  <c r="AP578" i="31"/>
  <c r="AQ273" i="31" s="1"/>
  <c r="H266" i="36"/>
  <c r="I266" i="36" s="1"/>
  <c r="J266" i="36" s="1"/>
  <c r="AP315" i="31"/>
  <c r="AQ10" i="31" s="1"/>
  <c r="J3" i="36"/>
  <c r="AP339" i="31"/>
  <c r="AL339" i="31" s="1"/>
  <c r="H27" i="36"/>
  <c r="AP375" i="31"/>
  <c r="AQ70" i="31" s="1"/>
  <c r="H63" i="36"/>
  <c r="I63" i="36" s="1"/>
  <c r="J63" i="36" s="1"/>
  <c r="AP411" i="31"/>
  <c r="H99" i="36"/>
  <c r="AP447" i="31"/>
  <c r="H135" i="36"/>
  <c r="AP483" i="31"/>
  <c r="Q483" i="31" s="1"/>
  <c r="H171" i="36"/>
  <c r="AP519" i="31"/>
  <c r="H207" i="36"/>
  <c r="AP543" i="31"/>
  <c r="AR543" i="31" s="1"/>
  <c r="H231" i="36"/>
  <c r="I231" i="36" s="1"/>
  <c r="J231" i="36" s="1"/>
  <c r="AP579" i="31"/>
  <c r="H267" i="36"/>
  <c r="AP603" i="31"/>
  <c r="H291" i="36"/>
  <c r="I291" i="36" s="1"/>
  <c r="J291" i="36" s="1"/>
  <c r="AP352" i="31"/>
  <c r="H40" i="36"/>
  <c r="AP376" i="31"/>
  <c r="H64" i="36"/>
  <c r="I64" i="36" s="1"/>
  <c r="J64" i="36" s="1"/>
  <c r="AP400" i="31"/>
  <c r="H88" i="36"/>
  <c r="AP436" i="31"/>
  <c r="X436" i="31" s="1"/>
  <c r="H124" i="36"/>
  <c r="I124" i="36" s="1"/>
  <c r="J124" i="36" s="1"/>
  <c r="AP508" i="31"/>
  <c r="H196" i="36"/>
  <c r="I196" i="36" s="1"/>
  <c r="J196" i="36" s="1"/>
  <c r="AP544" i="31"/>
  <c r="H232" i="36"/>
  <c r="AP568" i="31"/>
  <c r="H256" i="36"/>
  <c r="I256" i="36" s="1"/>
  <c r="J256" i="36" s="1"/>
  <c r="AP604" i="31"/>
  <c r="AD604" i="31" s="1"/>
  <c r="H292" i="36"/>
  <c r="AP329" i="31"/>
  <c r="H17" i="36"/>
  <c r="AP353" i="31"/>
  <c r="AQ48" i="31" s="1"/>
  <c r="H41" i="36"/>
  <c r="I41" i="36" s="1"/>
  <c r="J41" i="36" s="1"/>
  <c r="AP389" i="31"/>
  <c r="H77" i="36"/>
  <c r="AP425" i="31"/>
  <c r="H113" i="36"/>
  <c r="AP461" i="31"/>
  <c r="H149" i="36"/>
  <c r="AP497" i="31"/>
  <c r="AH497" i="31" s="1"/>
  <c r="H185" i="36"/>
  <c r="I185" i="36" s="1"/>
  <c r="J185" i="36" s="1"/>
  <c r="AP533" i="31"/>
  <c r="N533" i="31" s="1"/>
  <c r="H221" i="36"/>
  <c r="I221" i="36" s="1"/>
  <c r="J221" i="36" s="1"/>
  <c r="AP569" i="31"/>
  <c r="AR569" i="31" s="1"/>
  <c r="H257" i="36"/>
  <c r="I257" i="36" s="1"/>
  <c r="J257" i="36" s="1"/>
  <c r="AP605" i="31"/>
  <c r="AR605" i="31" s="1"/>
  <c r="H293" i="36"/>
  <c r="I293" i="36" s="1"/>
  <c r="J293" i="36" s="1"/>
  <c r="AP330" i="31"/>
  <c r="H18" i="36"/>
  <c r="AP354" i="31"/>
  <c r="H42" i="36"/>
  <c r="I42" i="36" s="1"/>
  <c r="J42" i="36" s="1"/>
  <c r="AP378" i="31"/>
  <c r="H66" i="36"/>
  <c r="I66" i="36" s="1"/>
  <c r="J66" i="36" s="1"/>
  <c r="AP414" i="31"/>
  <c r="H102" i="36"/>
  <c r="I102" i="36" s="1"/>
  <c r="J102" i="36" s="1"/>
  <c r="AP450" i="31"/>
  <c r="H138" i="36"/>
  <c r="AP474" i="31"/>
  <c r="H162" i="36"/>
  <c r="I162" i="36" s="1"/>
  <c r="J162" i="36" s="1"/>
  <c r="AP498" i="31"/>
  <c r="AE498" i="31" s="1"/>
  <c r="H186" i="36"/>
  <c r="I186" i="36" s="1"/>
  <c r="J186" i="36" s="1"/>
  <c r="AP534" i="31"/>
  <c r="H222" i="36"/>
  <c r="I222" i="36" s="1"/>
  <c r="J222" i="36" s="1"/>
  <c r="AP558" i="31"/>
  <c r="AB558" i="31" s="1"/>
  <c r="H246" i="36"/>
  <c r="AP582" i="31"/>
  <c r="H270" i="36"/>
  <c r="AP343" i="31"/>
  <c r="H31" i="36"/>
  <c r="I31" i="36" s="1"/>
  <c r="J31" i="36" s="1"/>
  <c r="AP379" i="31"/>
  <c r="H67" i="36"/>
  <c r="AP391" i="31"/>
  <c r="H79" i="36"/>
  <c r="AP427" i="31"/>
  <c r="H115" i="36"/>
  <c r="I115" i="36" s="1"/>
  <c r="J115" i="36" s="1"/>
  <c r="AP463" i="31"/>
  <c r="AH463" i="31" s="1"/>
  <c r="H151" i="36"/>
  <c r="AP499" i="31"/>
  <c r="H187" i="36"/>
  <c r="I187" i="36" s="1"/>
  <c r="J187" i="36" s="1"/>
  <c r="AP523" i="31"/>
  <c r="H211" i="36"/>
  <c r="AP547" i="31"/>
  <c r="H235" i="36"/>
  <c r="AP583" i="31"/>
  <c r="H271" i="36"/>
  <c r="AP320" i="31"/>
  <c r="AQ15" i="31" s="1"/>
  <c r="H8" i="36"/>
  <c r="AP344" i="31"/>
  <c r="H32" i="36"/>
  <c r="I32" i="36" s="1"/>
  <c r="J32" i="36" s="1"/>
  <c r="AP380" i="31"/>
  <c r="AJ380" i="31" s="1"/>
  <c r="H68" i="36"/>
  <c r="I68" i="36" s="1"/>
  <c r="J68" i="36" s="1"/>
  <c r="AP416" i="31"/>
  <c r="H104" i="36"/>
  <c r="I104" i="36" s="1"/>
  <c r="J104" i="36" s="1"/>
  <c r="AP440" i="31"/>
  <c r="H128" i="36"/>
  <c r="I128" i="36" s="1"/>
  <c r="J128" i="36" s="1"/>
  <c r="AP476" i="31"/>
  <c r="R476" i="31" s="1"/>
  <c r="H164" i="36"/>
  <c r="AP488" i="31"/>
  <c r="AR488" i="31" s="1"/>
  <c r="H176" i="36"/>
  <c r="I176" i="36" s="1"/>
  <c r="J176" i="36" s="1"/>
  <c r="AP524" i="31"/>
  <c r="AD524" i="31" s="1"/>
  <c r="H212" i="36"/>
  <c r="AP560" i="31"/>
  <c r="Q560" i="31" s="1"/>
  <c r="H248" i="36"/>
  <c r="I248" i="36" s="1"/>
  <c r="J248" i="36" s="1"/>
  <c r="AP596" i="31"/>
  <c r="AR596" i="31" s="1"/>
  <c r="H284" i="36"/>
  <c r="I284" i="36" s="1"/>
  <c r="J284" i="36" s="1"/>
  <c r="AP333" i="31"/>
  <c r="AQ28" i="31" s="1"/>
  <c r="H21" i="36"/>
  <c r="AP357" i="31"/>
  <c r="H45" i="36"/>
  <c r="I45" i="36" s="1"/>
  <c r="J45" i="36" s="1"/>
  <c r="AP393" i="31"/>
  <c r="H81" i="36"/>
  <c r="AP429" i="31"/>
  <c r="H117" i="36"/>
  <c r="AP465" i="31"/>
  <c r="H153" i="36"/>
  <c r="I153" i="36" s="1"/>
  <c r="J153" i="36" s="1"/>
  <c r="AP489" i="31"/>
  <c r="H177" i="36"/>
  <c r="I177" i="36" s="1"/>
  <c r="J177" i="36" s="1"/>
  <c r="AP525" i="31"/>
  <c r="AR525" i="31" s="1"/>
  <c r="H213" i="36"/>
  <c r="I213" i="36" s="1"/>
  <c r="J213" i="36" s="1"/>
  <c r="AP549" i="31"/>
  <c r="I549" i="31" s="1"/>
  <c r="H237" i="36"/>
  <c r="AP585" i="31"/>
  <c r="R585" i="31" s="1"/>
  <c r="H273" i="36"/>
  <c r="AP609" i="31"/>
  <c r="AR609" i="31" s="1"/>
  <c r="H297" i="36"/>
  <c r="I297" i="36" s="1"/>
  <c r="J297" i="36" s="1"/>
  <c r="AP324" i="31"/>
  <c r="P324" i="31" s="1"/>
  <c r="H12" i="36"/>
  <c r="AP336" i="31"/>
  <c r="H24" i="36"/>
  <c r="AP348" i="31"/>
  <c r="H36" i="36"/>
  <c r="AP360" i="31"/>
  <c r="AD360" i="31" s="1"/>
  <c r="H48" i="36"/>
  <c r="I48" i="36" s="1"/>
  <c r="J48" i="36" s="1"/>
  <c r="AP372" i="31"/>
  <c r="H60" i="36"/>
  <c r="AP384" i="31"/>
  <c r="H72" i="36"/>
  <c r="I72" i="36" s="1"/>
  <c r="J72" i="36" s="1"/>
  <c r="AP396" i="31"/>
  <c r="H84" i="36"/>
  <c r="AP408" i="31"/>
  <c r="H96" i="36"/>
  <c r="I96" i="36" s="1"/>
  <c r="J96" i="36" s="1"/>
  <c r="AP420" i="31"/>
  <c r="H108" i="36"/>
  <c r="I108" i="36" s="1"/>
  <c r="J108" i="36" s="1"/>
  <c r="AP432" i="31"/>
  <c r="H120" i="36"/>
  <c r="I120" i="36" s="1"/>
  <c r="J120" i="36" s="1"/>
  <c r="AP444" i="31"/>
  <c r="H132" i="36"/>
  <c r="AP456" i="31"/>
  <c r="Q456" i="31" s="1"/>
  <c r="H144" i="36"/>
  <c r="AP468" i="31"/>
  <c r="H156" i="36"/>
  <c r="I156" i="36" s="1"/>
  <c r="J156" i="36" s="1"/>
  <c r="AP504" i="31"/>
  <c r="H192" i="36"/>
  <c r="I192" i="36" s="1"/>
  <c r="J192" i="36" s="1"/>
  <c r="AP516" i="31"/>
  <c r="H204" i="36"/>
  <c r="I204" i="36" s="1"/>
  <c r="J204" i="36" s="1"/>
  <c r="AP528" i="31"/>
  <c r="J528" i="31" s="1"/>
  <c r="H216" i="36"/>
  <c r="AP540" i="31"/>
  <c r="Q540" i="31" s="1"/>
  <c r="H228" i="36"/>
  <c r="AP552" i="31"/>
  <c r="Q552" i="31" s="1"/>
  <c r="H240" i="36"/>
  <c r="AP564" i="31"/>
  <c r="H252" i="36"/>
  <c r="AP576" i="31"/>
  <c r="AJ576" i="31" s="1"/>
  <c r="H264" i="36"/>
  <c r="AP600" i="31"/>
  <c r="V600" i="31" s="1"/>
  <c r="H288" i="36"/>
  <c r="H314" i="31"/>
  <c r="AE314" i="31"/>
  <c r="X518" i="31"/>
  <c r="Z471" i="31"/>
  <c r="W592" i="31"/>
  <c r="O592" i="31"/>
  <c r="AK337" i="31"/>
  <c r="AL337" i="31"/>
  <c r="AR337" i="31"/>
  <c r="AR373" i="31"/>
  <c r="Q565" i="31"/>
  <c r="M565" i="31"/>
  <c r="N565" i="31"/>
  <c r="Z565" i="31"/>
  <c r="O565" i="31"/>
  <c r="X565" i="31"/>
  <c r="Y565" i="31"/>
  <c r="L565" i="31"/>
  <c r="T565" i="31"/>
  <c r="M589" i="31"/>
  <c r="Q589" i="31"/>
  <c r="BD2" i="11"/>
  <c r="BH10" i="11"/>
  <c r="BH3" i="11"/>
  <c r="BH2" i="11"/>
  <c r="BH9" i="11"/>
  <c r="BH6" i="11"/>
  <c r="BH11" i="11"/>
  <c r="BH12" i="11"/>
  <c r="BH13" i="11"/>
  <c r="BH8" i="11"/>
  <c r="BH7" i="11"/>
  <c r="AF309" i="11"/>
  <c r="Z6" i="31"/>
  <c r="AZ109" i="15"/>
  <c r="AZ260" i="15"/>
  <c r="AQ309" i="15"/>
  <c r="AY54" i="20"/>
  <c r="AR176" i="20"/>
  <c r="CE7" i="15"/>
  <c r="AN312" i="15"/>
  <c r="AN311" i="15" s="1"/>
  <c r="BF31" i="20"/>
  <c r="CF159" i="15"/>
  <c r="CF64" i="15"/>
  <c r="CF285" i="15"/>
  <c r="CF80" i="15"/>
  <c r="CF191" i="15"/>
  <c r="CF211" i="15"/>
  <c r="CF92" i="15"/>
  <c r="CF263" i="15"/>
  <c r="CF180" i="15"/>
  <c r="CF281" i="15"/>
  <c r="CF126" i="15"/>
  <c r="CF131" i="15"/>
  <c r="CF111" i="15"/>
  <c r="CF15" i="15"/>
  <c r="CF71" i="15"/>
  <c r="CF59" i="15"/>
  <c r="CF91" i="15"/>
  <c r="CF23" i="15"/>
  <c r="CF88" i="15"/>
  <c r="CF291" i="15"/>
  <c r="CF48" i="15"/>
  <c r="CF199" i="15"/>
  <c r="CF254" i="15"/>
  <c r="CF107" i="15"/>
  <c r="CF12" i="15"/>
  <c r="CF16" i="15"/>
  <c r="CF36" i="15"/>
  <c r="CF46" i="15"/>
  <c r="CF215" i="15"/>
  <c r="BP70" i="20"/>
  <c r="BO70" i="20"/>
  <c r="BL70" i="20"/>
  <c r="BS65" i="20"/>
  <c r="BT65" i="20" s="1"/>
  <c r="BR65" i="20"/>
  <c r="BQ65" i="20"/>
  <c r="BB65" i="20"/>
  <c r="BC65" i="20" s="1"/>
  <c r="AZ65" i="20"/>
  <c r="BA65" i="20" s="1"/>
  <c r="AY65" i="20"/>
  <c r="BF65" i="20"/>
  <c r="BS60" i="20"/>
  <c r="BT60" i="20" s="1"/>
  <c r="BR60" i="20"/>
  <c r="BQ60" i="20"/>
  <c r="BB60" i="20"/>
  <c r="BC60" i="20" s="1"/>
  <c r="AZ60" i="20"/>
  <c r="BA60" i="20" s="1"/>
  <c r="AY60" i="20"/>
  <c r="BF17" i="20"/>
  <c r="BS27" i="20"/>
  <c r="BT27" i="20" s="1"/>
  <c r="BR27" i="20"/>
  <c r="BQ27" i="20"/>
  <c r="BB27" i="20"/>
  <c r="BC27" i="20" s="1"/>
  <c r="AZ27" i="20"/>
  <c r="BA27" i="20" s="1"/>
  <c r="AY27" i="20"/>
  <c r="BS61" i="20"/>
  <c r="BT61" i="20" s="1"/>
  <c r="BR61" i="20"/>
  <c r="BQ61" i="20"/>
  <c r="BB61" i="20"/>
  <c r="BC61" i="20" s="1"/>
  <c r="AZ61" i="20"/>
  <c r="BA61" i="20" s="1"/>
  <c r="AY61" i="20"/>
  <c r="BF61" i="20"/>
  <c r="BS72" i="20"/>
  <c r="BT72" i="20" s="1"/>
  <c r="BR72" i="20"/>
  <c r="BQ72" i="20"/>
  <c r="BB72" i="20"/>
  <c r="BC72" i="20" s="1"/>
  <c r="AZ72" i="20"/>
  <c r="BA72" i="20" s="1"/>
  <c r="AY72" i="20"/>
  <c r="BF72" i="20"/>
  <c r="BS46" i="20"/>
  <c r="BT46" i="20" s="1"/>
  <c r="BR46" i="20"/>
  <c r="BQ46" i="20"/>
  <c r="BB46" i="20"/>
  <c r="BC46" i="20" s="1"/>
  <c r="AZ46" i="20"/>
  <c r="BA46" i="20" s="1"/>
  <c r="AY46" i="20"/>
  <c r="BF46" i="20"/>
  <c r="BS17" i="20"/>
  <c r="BT17" i="20" s="1"/>
  <c r="BR17" i="20"/>
  <c r="BQ17" i="20"/>
  <c r="BB17" i="20"/>
  <c r="BC17" i="20" s="1"/>
  <c r="AZ17" i="20"/>
  <c r="BA17" i="20" s="1"/>
  <c r="AY17" i="20"/>
  <c r="BQ16" i="20"/>
  <c r="BS16" i="20"/>
  <c r="BT16" i="20" s="1"/>
  <c r="BR16" i="20"/>
  <c r="BB16" i="20"/>
  <c r="BC16" i="20" s="1"/>
  <c r="AZ16" i="20"/>
  <c r="BA16" i="20" s="1"/>
  <c r="AY16" i="20"/>
  <c r="BF16" i="20"/>
  <c r="BS31" i="20"/>
  <c r="BT31" i="20" s="1"/>
  <c r="BR31" i="20"/>
  <c r="BQ31" i="20"/>
  <c r="BB31" i="20"/>
  <c r="BC31" i="20" s="1"/>
  <c r="AZ31" i="20"/>
  <c r="BA31" i="20" s="1"/>
  <c r="AY31" i="20"/>
  <c r="O43" i="16"/>
  <c r="M353" i="15"/>
  <c r="M306" i="15" s="1"/>
  <c r="AA565" i="31" l="1"/>
  <c r="AE565" i="31"/>
  <c r="V565" i="31"/>
  <c r="AD565" i="31"/>
  <c r="Y592" i="31"/>
  <c r="AL373" i="31"/>
  <c r="AG314" i="31"/>
  <c r="T314" i="31"/>
  <c r="AC314" i="31"/>
  <c r="Z314" i="31"/>
  <c r="W314" i="31"/>
  <c r="M592" i="31"/>
  <c r="AF565" i="31"/>
  <c r="AC565" i="31"/>
  <c r="V325" i="31"/>
  <c r="AA518" i="31"/>
  <c r="AG509" i="31"/>
  <c r="AM518" i="31"/>
  <c r="U565" i="31"/>
  <c r="AB565" i="31"/>
  <c r="AF509" i="31"/>
  <c r="AJ518" i="31"/>
  <c r="S565" i="31"/>
  <c r="W565" i="31"/>
  <c r="AI509" i="31"/>
  <c r="O548" i="31"/>
  <c r="V592" i="31"/>
  <c r="P565" i="31"/>
  <c r="R565" i="31"/>
  <c r="AJ337" i="31"/>
  <c r="AG565" i="31"/>
  <c r="Y518" i="31"/>
  <c r="X361" i="31"/>
  <c r="R509" i="31"/>
  <c r="Y361" i="31"/>
  <c r="AA509" i="31"/>
  <c r="P317" i="31"/>
  <c r="AE364" i="31"/>
  <c r="AB509" i="31"/>
  <c r="AJ541" i="31"/>
  <c r="W443" i="31"/>
  <c r="Q509" i="31"/>
  <c r="M317" i="31"/>
  <c r="S423" i="31"/>
  <c r="AH364" i="31"/>
  <c r="Y493" i="31"/>
  <c r="T325" i="31"/>
  <c r="AA443" i="31"/>
  <c r="AR550" i="31"/>
  <c r="W493" i="31"/>
  <c r="Z325" i="31"/>
  <c r="S371" i="31"/>
  <c r="AH550" i="31"/>
  <c r="AA371" i="31"/>
  <c r="AA550" i="31"/>
  <c r="N325" i="31"/>
  <c r="AA325" i="31"/>
  <c r="AJ371" i="31"/>
  <c r="AD509" i="31"/>
  <c r="T592" i="31"/>
  <c r="AB518" i="31"/>
  <c r="J550" i="31"/>
  <c r="AB325" i="31"/>
  <c r="U509" i="31"/>
  <c r="W509" i="31"/>
  <c r="P592" i="31"/>
  <c r="AF478" i="31"/>
  <c r="X325" i="31"/>
  <c r="Y509" i="31"/>
  <c r="AL509" i="31"/>
  <c r="L592" i="31"/>
  <c r="Y406" i="31"/>
  <c r="M325" i="31"/>
  <c r="AE317" i="31"/>
  <c r="AB592" i="31"/>
  <c r="W587" i="31"/>
  <c r="T548" i="31"/>
  <c r="O477" i="31"/>
  <c r="AG443" i="31"/>
  <c r="S509" i="31"/>
  <c r="O317" i="31"/>
  <c r="AA592" i="31"/>
  <c r="M510" i="31"/>
  <c r="X548" i="31"/>
  <c r="Q477" i="31"/>
  <c r="AI541" i="31"/>
  <c r="AB443" i="31"/>
  <c r="O367" i="31"/>
  <c r="AK477" i="31"/>
  <c r="W317" i="31"/>
  <c r="M443" i="31"/>
  <c r="V509" i="31"/>
  <c r="AC317" i="31"/>
  <c r="R364" i="31"/>
  <c r="W367" i="31"/>
  <c r="AL438" i="31"/>
  <c r="N493" i="31"/>
  <c r="S325" i="31"/>
  <c r="AR515" i="31"/>
  <c r="W371" i="31"/>
  <c r="AB471" i="31"/>
  <c r="AF510" i="31"/>
  <c r="Q478" i="31"/>
  <c r="AF443" i="31"/>
  <c r="P341" i="31"/>
  <c r="H325" i="31"/>
  <c r="AH443" i="31"/>
  <c r="AM371" i="31"/>
  <c r="K423" i="31"/>
  <c r="W510" i="31"/>
  <c r="AH406" i="31"/>
  <c r="Z493" i="31"/>
  <c r="AC341" i="31"/>
  <c r="I325" i="31"/>
  <c r="H443" i="31"/>
  <c r="Q423" i="31"/>
  <c r="M548" i="31"/>
  <c r="U517" i="31"/>
  <c r="P493" i="31"/>
  <c r="R325" i="31"/>
  <c r="T371" i="31"/>
  <c r="AD317" i="31"/>
  <c r="AC550" i="31"/>
  <c r="M494" i="31"/>
  <c r="AR350" i="31"/>
  <c r="S587" i="31"/>
  <c r="AC364" i="31"/>
  <c r="AK550" i="31"/>
  <c r="P548" i="31"/>
  <c r="AD443" i="31"/>
  <c r="AL371" i="31"/>
  <c r="AB364" i="31"/>
  <c r="X478" i="31"/>
  <c r="Y367" i="31"/>
  <c r="S443" i="31"/>
  <c r="X592" i="31"/>
  <c r="Y423" i="31"/>
  <c r="R587" i="31"/>
  <c r="V478" i="31"/>
  <c r="V367" i="31"/>
  <c r="V517" i="31"/>
  <c r="AA423" i="31"/>
  <c r="AE550" i="31"/>
  <c r="AJ367" i="31"/>
  <c r="N477" i="31"/>
  <c r="Z510" i="31"/>
  <c r="AI550" i="31"/>
  <c r="I548" i="31"/>
  <c r="K494" i="31"/>
  <c r="AB477" i="31"/>
  <c r="Z456" i="31"/>
  <c r="AL477" i="31"/>
  <c r="AC438" i="31"/>
  <c r="W483" i="31"/>
  <c r="L325" i="31"/>
  <c r="AH317" i="31"/>
  <c r="R423" i="31"/>
  <c r="AJ483" i="31"/>
  <c r="W478" i="31"/>
  <c r="Z367" i="31"/>
  <c r="Y435" i="31"/>
  <c r="X537" i="31"/>
  <c r="V576" i="31"/>
  <c r="R510" i="31"/>
  <c r="W576" i="31"/>
  <c r="AB510" i="31"/>
  <c r="AJ566" i="31"/>
  <c r="K576" i="31"/>
  <c r="Y527" i="31"/>
  <c r="AI483" i="31"/>
  <c r="M564" i="31"/>
  <c r="Q564" i="31"/>
  <c r="J564" i="31"/>
  <c r="K564" i="31"/>
  <c r="L564" i="31"/>
  <c r="N564" i="31"/>
  <c r="P564" i="31"/>
  <c r="O564" i="31"/>
  <c r="H564" i="31"/>
  <c r="I564" i="31"/>
  <c r="AA420" i="31"/>
  <c r="M420" i="31"/>
  <c r="W420" i="31"/>
  <c r="AB420" i="31"/>
  <c r="J420" i="31"/>
  <c r="V420" i="31"/>
  <c r="AC420" i="31"/>
  <c r="K420" i="31"/>
  <c r="L420" i="31"/>
  <c r="Y420" i="31"/>
  <c r="Q420" i="31"/>
  <c r="X420" i="31"/>
  <c r="P420" i="31"/>
  <c r="N420" i="31"/>
  <c r="O420" i="31"/>
  <c r="Z420" i="31"/>
  <c r="U420" i="31"/>
  <c r="I420" i="31"/>
  <c r="W348" i="31"/>
  <c r="M348" i="31"/>
  <c r="AA348" i="31"/>
  <c r="AB348" i="31"/>
  <c r="K348" i="31"/>
  <c r="Q348" i="31"/>
  <c r="AC348" i="31"/>
  <c r="J348" i="31"/>
  <c r="V348" i="31"/>
  <c r="X348" i="31"/>
  <c r="Y348" i="31"/>
  <c r="N348" i="31"/>
  <c r="O348" i="31"/>
  <c r="Z348" i="31"/>
  <c r="L348" i="31"/>
  <c r="P348" i="31"/>
  <c r="I348" i="31"/>
  <c r="U348" i="31"/>
  <c r="S527" i="31"/>
  <c r="AJ504" i="31"/>
  <c r="M504" i="31"/>
  <c r="J504" i="31"/>
  <c r="Q504" i="31"/>
  <c r="L504" i="31"/>
  <c r="K504" i="31"/>
  <c r="N504" i="31"/>
  <c r="O504" i="31"/>
  <c r="P504" i="31"/>
  <c r="H504" i="31"/>
  <c r="I504" i="31"/>
  <c r="AG432" i="31"/>
  <c r="M432" i="31"/>
  <c r="AB432" i="31"/>
  <c r="W432" i="31"/>
  <c r="AA432" i="31"/>
  <c r="Q432" i="31"/>
  <c r="AC432" i="31"/>
  <c r="J432" i="31"/>
  <c r="V432" i="31"/>
  <c r="K432" i="31"/>
  <c r="L432" i="31"/>
  <c r="Y432" i="31"/>
  <c r="N432" i="31"/>
  <c r="O432" i="31"/>
  <c r="P432" i="31"/>
  <c r="X432" i="31"/>
  <c r="Z432" i="31"/>
  <c r="I432" i="31"/>
  <c r="U432" i="31"/>
  <c r="AD408" i="31"/>
  <c r="Q408" i="31"/>
  <c r="M408" i="31"/>
  <c r="N408" i="31"/>
  <c r="O408" i="31"/>
  <c r="P408" i="31"/>
  <c r="AD384" i="31"/>
  <c r="AB384" i="31"/>
  <c r="W384" i="31"/>
  <c r="AA384" i="31"/>
  <c r="AC384" i="31"/>
  <c r="J384" i="31"/>
  <c r="M384" i="31"/>
  <c r="V384" i="31"/>
  <c r="R384" i="31"/>
  <c r="X384" i="31"/>
  <c r="Q384" i="31"/>
  <c r="L384" i="31"/>
  <c r="Y384" i="31"/>
  <c r="K384" i="31"/>
  <c r="N384" i="31"/>
  <c r="Z384" i="31"/>
  <c r="O384" i="31"/>
  <c r="S384" i="31"/>
  <c r="P384" i="31"/>
  <c r="I384" i="31"/>
  <c r="H384" i="31"/>
  <c r="T384" i="31"/>
  <c r="U384" i="31"/>
  <c r="W336" i="31"/>
  <c r="M336" i="31"/>
  <c r="AA336" i="31"/>
  <c r="AB336" i="31"/>
  <c r="Q336" i="31"/>
  <c r="AC336" i="31"/>
  <c r="K336" i="31"/>
  <c r="L336" i="31"/>
  <c r="X336" i="31"/>
  <c r="N336" i="31"/>
  <c r="Z336" i="31"/>
  <c r="Y336" i="31"/>
  <c r="O336" i="31"/>
  <c r="P336" i="31"/>
  <c r="Q489" i="31"/>
  <c r="P489" i="31"/>
  <c r="M429" i="31"/>
  <c r="Q429" i="31"/>
  <c r="K429" i="31"/>
  <c r="J429" i="31"/>
  <c r="L429" i="31"/>
  <c r="N429" i="31"/>
  <c r="O429" i="31"/>
  <c r="P429" i="31"/>
  <c r="I429" i="31"/>
  <c r="H429" i="31"/>
  <c r="AQ52" i="31"/>
  <c r="AA357" i="31"/>
  <c r="M357" i="31"/>
  <c r="AB357" i="31"/>
  <c r="Q357" i="31"/>
  <c r="AC357" i="31"/>
  <c r="Y357" i="31"/>
  <c r="O357" i="31"/>
  <c r="N357" i="31"/>
  <c r="Z357" i="31"/>
  <c r="P357" i="31"/>
  <c r="M416" i="31"/>
  <c r="AA416" i="31"/>
  <c r="AB416" i="31"/>
  <c r="Q416" i="31"/>
  <c r="AC416" i="31"/>
  <c r="Y416" i="31"/>
  <c r="Z416" i="31"/>
  <c r="O416" i="31"/>
  <c r="N416" i="31"/>
  <c r="P416" i="31"/>
  <c r="AC344" i="31"/>
  <c r="M344" i="31"/>
  <c r="L344" i="31"/>
  <c r="Q344" i="31"/>
  <c r="N344" i="31"/>
  <c r="O344" i="31"/>
  <c r="P344" i="31"/>
  <c r="AA583" i="31"/>
  <c r="Q583" i="31"/>
  <c r="O583" i="31"/>
  <c r="P583" i="31"/>
  <c r="AB391" i="31"/>
  <c r="Q391" i="31"/>
  <c r="M391" i="31"/>
  <c r="J391" i="31"/>
  <c r="K391" i="31"/>
  <c r="L391" i="31"/>
  <c r="P391" i="31"/>
  <c r="N391" i="31"/>
  <c r="O391" i="31"/>
  <c r="I391" i="31"/>
  <c r="Q343" i="31"/>
  <c r="M343" i="31"/>
  <c r="J343" i="31"/>
  <c r="K343" i="31"/>
  <c r="L343" i="31"/>
  <c r="O343" i="31"/>
  <c r="N343" i="31"/>
  <c r="H343" i="31"/>
  <c r="P343" i="31"/>
  <c r="I343" i="31"/>
  <c r="AR378" i="31"/>
  <c r="M378" i="31"/>
  <c r="AA378" i="31"/>
  <c r="W378" i="31"/>
  <c r="AB378" i="31"/>
  <c r="Q378" i="31"/>
  <c r="Y378" i="31"/>
  <c r="K378" i="31"/>
  <c r="AC378" i="31"/>
  <c r="L378" i="31"/>
  <c r="X378" i="31"/>
  <c r="O378" i="31"/>
  <c r="N378" i="31"/>
  <c r="Z378" i="31"/>
  <c r="P378" i="31"/>
  <c r="M425" i="31"/>
  <c r="J425" i="31"/>
  <c r="Q425" i="31"/>
  <c r="K425" i="31"/>
  <c r="L425" i="31"/>
  <c r="N425" i="31"/>
  <c r="O425" i="31"/>
  <c r="P425" i="31"/>
  <c r="I425" i="31"/>
  <c r="AA376" i="31"/>
  <c r="AB376" i="31"/>
  <c r="W376" i="31"/>
  <c r="M376" i="31"/>
  <c r="J376" i="31"/>
  <c r="V376" i="31"/>
  <c r="Q376" i="31"/>
  <c r="R376" i="31"/>
  <c r="K376" i="31"/>
  <c r="N376" i="31"/>
  <c r="AC376" i="31"/>
  <c r="X376" i="31"/>
  <c r="Y376" i="31"/>
  <c r="Z376" i="31"/>
  <c r="S376" i="31"/>
  <c r="L376" i="31"/>
  <c r="O376" i="31"/>
  <c r="U376" i="31"/>
  <c r="H376" i="31"/>
  <c r="P376" i="31"/>
  <c r="T376" i="31"/>
  <c r="I376" i="31"/>
  <c r="Q603" i="31"/>
  <c r="AC603" i="31"/>
  <c r="J411" i="31"/>
  <c r="M411" i="31"/>
  <c r="Q411" i="31"/>
  <c r="K411" i="31"/>
  <c r="N411" i="31"/>
  <c r="P411" i="31"/>
  <c r="L411" i="31"/>
  <c r="O411" i="31"/>
  <c r="S362" i="31"/>
  <c r="M362" i="31"/>
  <c r="Q362" i="31"/>
  <c r="K362" i="31"/>
  <c r="L362" i="31"/>
  <c r="J362" i="31"/>
  <c r="N362" i="31"/>
  <c r="P362" i="31"/>
  <c r="O362" i="31"/>
  <c r="H362" i="31"/>
  <c r="I362" i="31"/>
  <c r="Q601" i="31"/>
  <c r="AB601" i="31"/>
  <c r="AC601" i="31"/>
  <c r="P601" i="31"/>
  <c r="AC553" i="31"/>
  <c r="M553" i="31"/>
  <c r="Q553" i="31"/>
  <c r="P553" i="31"/>
  <c r="O553" i="31"/>
  <c r="N553" i="31"/>
  <c r="W421" i="31"/>
  <c r="M421" i="31"/>
  <c r="AB421" i="31"/>
  <c r="AA421" i="31"/>
  <c r="AC421" i="31"/>
  <c r="V421" i="31"/>
  <c r="Y421" i="31"/>
  <c r="Q421" i="31"/>
  <c r="K421" i="31"/>
  <c r="J421" i="31"/>
  <c r="X421" i="31"/>
  <c r="N421" i="31"/>
  <c r="P421" i="31"/>
  <c r="L421" i="31"/>
  <c r="Z421" i="31"/>
  <c r="O421" i="31"/>
  <c r="T421" i="31"/>
  <c r="I421" i="31"/>
  <c r="U421" i="31"/>
  <c r="H421" i="31"/>
  <c r="AQ210" i="31"/>
  <c r="W515" i="31"/>
  <c r="Q515" i="31"/>
  <c r="AB515" i="31"/>
  <c r="AA515" i="31"/>
  <c r="V515" i="31"/>
  <c r="M515" i="31"/>
  <c r="AC515" i="31"/>
  <c r="J515" i="31"/>
  <c r="X515" i="31"/>
  <c r="K515" i="31"/>
  <c r="L515" i="31"/>
  <c r="Y515" i="31"/>
  <c r="Z515" i="31"/>
  <c r="O515" i="31"/>
  <c r="P515" i="31"/>
  <c r="N515" i="31"/>
  <c r="I515" i="31"/>
  <c r="U515" i="31"/>
  <c r="Q419" i="31"/>
  <c r="M419" i="31"/>
  <c r="K419" i="31"/>
  <c r="J419" i="31"/>
  <c r="L419" i="31"/>
  <c r="N419" i="31"/>
  <c r="O419" i="31"/>
  <c r="P419" i="31"/>
  <c r="AB371" i="31"/>
  <c r="M371" i="31"/>
  <c r="J371" i="31"/>
  <c r="Q371" i="31"/>
  <c r="K371" i="31"/>
  <c r="L371" i="31"/>
  <c r="N371" i="31"/>
  <c r="P371" i="31"/>
  <c r="O371" i="31"/>
  <c r="I371" i="31"/>
  <c r="H371" i="31"/>
  <c r="AA347" i="31"/>
  <c r="M347" i="31"/>
  <c r="Q347" i="31"/>
  <c r="W347" i="31"/>
  <c r="AC347" i="31"/>
  <c r="V347" i="31"/>
  <c r="AB347" i="31"/>
  <c r="X347" i="31"/>
  <c r="K347" i="31"/>
  <c r="L347" i="31"/>
  <c r="Y347" i="31"/>
  <c r="J347" i="31"/>
  <c r="O347" i="31"/>
  <c r="P347" i="31"/>
  <c r="Z347" i="31"/>
  <c r="N347" i="31"/>
  <c r="T347" i="31"/>
  <c r="U347" i="31"/>
  <c r="H347" i="31"/>
  <c r="I347" i="31"/>
  <c r="Y537" i="31"/>
  <c r="M537" i="31"/>
  <c r="Q537" i="31"/>
  <c r="K537" i="31"/>
  <c r="L537" i="31"/>
  <c r="N537" i="31"/>
  <c r="O537" i="31"/>
  <c r="P537" i="31"/>
  <c r="AR453" i="31"/>
  <c r="M453" i="31"/>
  <c r="Q453" i="31"/>
  <c r="J453" i="31"/>
  <c r="K453" i="31"/>
  <c r="N453" i="31"/>
  <c r="P453" i="31"/>
  <c r="L453" i="31"/>
  <c r="O453" i="31"/>
  <c r="AA381" i="31"/>
  <c r="AB381" i="31"/>
  <c r="W381" i="31"/>
  <c r="M381" i="31"/>
  <c r="Q381" i="31"/>
  <c r="V381" i="31"/>
  <c r="AC381" i="31"/>
  <c r="J381" i="31"/>
  <c r="K381" i="31"/>
  <c r="L381" i="31"/>
  <c r="X381" i="31"/>
  <c r="Z381" i="31"/>
  <c r="Y381" i="31"/>
  <c r="N381" i="31"/>
  <c r="O381" i="31"/>
  <c r="P381" i="31"/>
  <c r="AK536" i="31"/>
  <c r="Q536" i="31"/>
  <c r="P536" i="31"/>
  <c r="AQ63" i="31"/>
  <c r="Q368" i="31"/>
  <c r="AC368" i="31"/>
  <c r="V511" i="31"/>
  <c r="M511" i="31"/>
  <c r="J511" i="31"/>
  <c r="K511" i="31"/>
  <c r="Q511" i="31"/>
  <c r="N511" i="31"/>
  <c r="L511" i="31"/>
  <c r="P511" i="31"/>
  <c r="O511" i="31"/>
  <c r="H511" i="31"/>
  <c r="I511" i="31"/>
  <c r="AQ134" i="31"/>
  <c r="AA439" i="31"/>
  <c r="AB439" i="31"/>
  <c r="AC439" i="31"/>
  <c r="Q439" i="31"/>
  <c r="N439" i="31"/>
  <c r="O439" i="31"/>
  <c r="Z439" i="31"/>
  <c r="P439" i="31"/>
  <c r="AF355" i="31"/>
  <c r="Q355" i="31"/>
  <c r="W426" i="31"/>
  <c r="M426" i="31"/>
  <c r="AC426" i="31"/>
  <c r="J426" i="31"/>
  <c r="V426" i="31"/>
  <c r="AA426" i="31"/>
  <c r="AB426" i="31"/>
  <c r="Q426" i="31"/>
  <c r="K426" i="31"/>
  <c r="X426" i="31"/>
  <c r="N426" i="31"/>
  <c r="L426" i="31"/>
  <c r="Y426" i="31"/>
  <c r="S426" i="31"/>
  <c r="Z426" i="31"/>
  <c r="O426" i="31"/>
  <c r="P426" i="31"/>
  <c r="H426" i="31"/>
  <c r="I426" i="31"/>
  <c r="T426" i="31"/>
  <c r="U426" i="31"/>
  <c r="Y342" i="31"/>
  <c r="Q342" i="31"/>
  <c r="K342" i="31"/>
  <c r="M342" i="31"/>
  <c r="J342" i="31"/>
  <c r="L342" i="31"/>
  <c r="O342" i="31"/>
  <c r="N342" i="31"/>
  <c r="P342" i="31"/>
  <c r="H342" i="31"/>
  <c r="I342" i="31"/>
  <c r="AL401" i="31"/>
  <c r="Q401" i="31"/>
  <c r="O401" i="31"/>
  <c r="P401" i="31"/>
  <c r="Y460" i="31"/>
  <c r="M460" i="31"/>
  <c r="J460" i="31"/>
  <c r="Q460" i="31"/>
  <c r="K460" i="31"/>
  <c r="L460" i="31"/>
  <c r="N460" i="31"/>
  <c r="O460" i="31"/>
  <c r="P460" i="31"/>
  <c r="I460" i="31"/>
  <c r="H460" i="31"/>
  <c r="AJ388" i="31"/>
  <c r="Q388" i="31"/>
  <c r="M388" i="31"/>
  <c r="L388" i="31"/>
  <c r="O388" i="31"/>
  <c r="N388" i="31"/>
  <c r="P388" i="31"/>
  <c r="AB567" i="31"/>
  <c r="Q567" i="31"/>
  <c r="AC567" i="31"/>
  <c r="P567" i="31"/>
  <c r="AA351" i="31"/>
  <c r="M351" i="31"/>
  <c r="Q351" i="31"/>
  <c r="AC351" i="31"/>
  <c r="AB351" i="31"/>
  <c r="J351" i="31"/>
  <c r="W351" i="31"/>
  <c r="V351" i="31"/>
  <c r="K351" i="31"/>
  <c r="L351" i="31"/>
  <c r="X351" i="31"/>
  <c r="Y351" i="31"/>
  <c r="O351" i="31"/>
  <c r="Z351" i="31"/>
  <c r="N351" i="31"/>
  <c r="I351" i="31"/>
  <c r="U351" i="31"/>
  <c r="T351" i="31"/>
  <c r="P351" i="31"/>
  <c r="H351" i="31"/>
  <c r="AQ236" i="31"/>
  <c r="W541" i="31"/>
  <c r="AB541" i="31"/>
  <c r="AA541" i="31"/>
  <c r="M541" i="31"/>
  <c r="V541" i="31"/>
  <c r="Q541" i="31"/>
  <c r="J541" i="31"/>
  <c r="AC541" i="31"/>
  <c r="K541" i="31"/>
  <c r="Y541" i="31"/>
  <c r="L541" i="31"/>
  <c r="Z541" i="31"/>
  <c r="N541" i="31"/>
  <c r="O541" i="31"/>
  <c r="X541" i="31"/>
  <c r="P541" i="31"/>
  <c r="W409" i="31"/>
  <c r="AA409" i="31"/>
  <c r="M409" i="31"/>
  <c r="AB409" i="31"/>
  <c r="Q409" i="31"/>
  <c r="J409" i="31"/>
  <c r="AC409" i="31"/>
  <c r="V409" i="31"/>
  <c r="L409" i="31"/>
  <c r="K409" i="31"/>
  <c r="Z409" i="31"/>
  <c r="O409" i="31"/>
  <c r="X409" i="31"/>
  <c r="Y409" i="31"/>
  <c r="N409" i="31"/>
  <c r="P409" i="31"/>
  <c r="U409" i="31"/>
  <c r="I409" i="31"/>
  <c r="AA598" i="31"/>
  <c r="AB598" i="31"/>
  <c r="Q598" i="31"/>
  <c r="AC598" i="31"/>
  <c r="O598" i="31"/>
  <c r="P598" i="31"/>
  <c r="AJ406" i="31"/>
  <c r="M406" i="31"/>
  <c r="J406" i="31"/>
  <c r="Q406" i="31"/>
  <c r="K406" i="31"/>
  <c r="N406" i="31"/>
  <c r="L406" i="31"/>
  <c r="P406" i="31"/>
  <c r="O406" i="31"/>
  <c r="I406" i="31"/>
  <c r="AK358" i="31"/>
  <c r="AA358" i="31"/>
  <c r="W358" i="31"/>
  <c r="M358" i="31"/>
  <c r="AB358" i="31"/>
  <c r="AC358" i="31"/>
  <c r="J358" i="31"/>
  <c r="L358" i="31"/>
  <c r="Q358" i="31"/>
  <c r="K358" i="31"/>
  <c r="V358" i="31"/>
  <c r="X358" i="31"/>
  <c r="Y358" i="31"/>
  <c r="N358" i="31"/>
  <c r="P358" i="31"/>
  <c r="O358" i="31"/>
  <c r="Z358" i="31"/>
  <c r="I358" i="31"/>
  <c r="U358" i="31"/>
  <c r="X405" i="31"/>
  <c r="M405" i="31"/>
  <c r="Q405" i="31"/>
  <c r="J405" i="31"/>
  <c r="K405" i="31"/>
  <c r="L405" i="31"/>
  <c r="O405" i="31"/>
  <c r="N405" i="31"/>
  <c r="P405" i="31"/>
  <c r="I405" i="31"/>
  <c r="M452" i="31"/>
  <c r="Q452" i="31"/>
  <c r="N452" i="31"/>
  <c r="L452" i="31"/>
  <c r="O452" i="31"/>
  <c r="P452" i="31"/>
  <c r="M392" i="31"/>
  <c r="K392" i="31"/>
  <c r="L392" i="31"/>
  <c r="Q392" i="31"/>
  <c r="P392" i="31"/>
  <c r="N392" i="31"/>
  <c r="O392" i="31"/>
  <c r="AG595" i="31"/>
  <c r="AA595" i="31"/>
  <c r="AB595" i="31"/>
  <c r="W595" i="31"/>
  <c r="M595" i="31"/>
  <c r="J595" i="31"/>
  <c r="Q595" i="31"/>
  <c r="AC595" i="31"/>
  <c r="Y595" i="31"/>
  <c r="V595" i="31"/>
  <c r="K595" i="31"/>
  <c r="L595" i="31"/>
  <c r="X595" i="31"/>
  <c r="N595" i="31"/>
  <c r="O595" i="31"/>
  <c r="Z595" i="31"/>
  <c r="P595" i="31"/>
  <c r="I595" i="31"/>
  <c r="U595" i="31"/>
  <c r="Q535" i="31"/>
  <c r="K535" i="31"/>
  <c r="M535" i="31"/>
  <c r="J535" i="31"/>
  <c r="L535" i="31"/>
  <c r="O535" i="31"/>
  <c r="P535" i="31"/>
  <c r="N535" i="31"/>
  <c r="I535" i="31"/>
  <c r="AH451" i="31"/>
  <c r="M451" i="31"/>
  <c r="Q451" i="31"/>
  <c r="N451" i="31"/>
  <c r="L451" i="31"/>
  <c r="P451" i="31"/>
  <c r="O451" i="31"/>
  <c r="AC522" i="31"/>
  <c r="M522" i="31"/>
  <c r="Q522" i="31"/>
  <c r="J522" i="31"/>
  <c r="L522" i="31"/>
  <c r="K522" i="31"/>
  <c r="N522" i="31"/>
  <c r="P522" i="31"/>
  <c r="O522" i="31"/>
  <c r="H522" i="31"/>
  <c r="I522" i="31"/>
  <c r="AA438" i="31"/>
  <c r="M438" i="31"/>
  <c r="Q438" i="31"/>
  <c r="J438" i="31"/>
  <c r="K438" i="31"/>
  <c r="L438" i="31"/>
  <c r="N438" i="31"/>
  <c r="O438" i="31"/>
  <c r="P438" i="31"/>
  <c r="I438" i="31"/>
  <c r="M437" i="31"/>
  <c r="Q437" i="31"/>
  <c r="J437" i="31"/>
  <c r="K437" i="31"/>
  <c r="L437" i="31"/>
  <c r="O437" i="31"/>
  <c r="P437" i="31"/>
  <c r="N437" i="31"/>
  <c r="H437" i="31"/>
  <c r="I437" i="31"/>
  <c r="AB377" i="31"/>
  <c r="M377" i="31"/>
  <c r="J377" i="31"/>
  <c r="Q377" i="31"/>
  <c r="K377" i="31"/>
  <c r="L377" i="31"/>
  <c r="N377" i="31"/>
  <c r="O377" i="31"/>
  <c r="P377" i="31"/>
  <c r="Q520" i="31"/>
  <c r="J520" i="31"/>
  <c r="M520" i="31"/>
  <c r="L520" i="31"/>
  <c r="K520" i="31"/>
  <c r="N520" i="31"/>
  <c r="O520" i="31"/>
  <c r="P520" i="31"/>
  <c r="H520" i="31"/>
  <c r="I520" i="31"/>
  <c r="AK448" i="31"/>
  <c r="M448" i="31"/>
  <c r="Q448" i="31"/>
  <c r="J448" i="31"/>
  <c r="K448" i="31"/>
  <c r="L448" i="31"/>
  <c r="N448" i="31"/>
  <c r="O448" i="31"/>
  <c r="P448" i="31"/>
  <c r="H448" i="31"/>
  <c r="I448" i="31"/>
  <c r="AA364" i="31"/>
  <c r="M364" i="31"/>
  <c r="K364" i="31"/>
  <c r="Q364" i="31"/>
  <c r="L364" i="31"/>
  <c r="J364" i="31"/>
  <c r="N364" i="31"/>
  <c r="P364" i="31"/>
  <c r="O364" i="31"/>
  <c r="I364" i="31"/>
  <c r="H364" i="31"/>
  <c r="W435" i="31"/>
  <c r="M435" i="31"/>
  <c r="Q435" i="31"/>
  <c r="L435" i="31"/>
  <c r="J435" i="31"/>
  <c r="K435" i="31"/>
  <c r="O435" i="31"/>
  <c r="P435" i="31"/>
  <c r="N435" i="31"/>
  <c r="I435" i="31"/>
  <c r="AG518" i="31"/>
  <c r="Q518" i="31"/>
  <c r="M518" i="31"/>
  <c r="K518" i="31"/>
  <c r="L518" i="31"/>
  <c r="N518" i="31"/>
  <c r="O518" i="31"/>
  <c r="P518" i="31"/>
  <c r="Q446" i="31"/>
  <c r="O446" i="31"/>
  <c r="N446" i="31"/>
  <c r="P446" i="31"/>
  <c r="AB386" i="31"/>
  <c r="J386" i="31"/>
  <c r="M386" i="31"/>
  <c r="W386" i="31"/>
  <c r="Q386" i="31"/>
  <c r="AC386" i="31"/>
  <c r="AA386" i="31"/>
  <c r="V386" i="31"/>
  <c r="K386" i="31"/>
  <c r="X386" i="31"/>
  <c r="Y386" i="31"/>
  <c r="N386" i="31"/>
  <c r="Z386" i="31"/>
  <c r="O386" i="31"/>
  <c r="L386" i="31"/>
  <c r="P386" i="31"/>
  <c r="AF516" i="31"/>
  <c r="M516" i="31"/>
  <c r="Q516" i="31"/>
  <c r="K516" i="31"/>
  <c r="L516" i="31"/>
  <c r="N516" i="31"/>
  <c r="J516" i="31"/>
  <c r="O516" i="31"/>
  <c r="P516" i="31"/>
  <c r="I516" i="31"/>
  <c r="H516" i="31"/>
  <c r="H527" i="31"/>
  <c r="AR397" i="31"/>
  <c r="M397" i="31"/>
  <c r="W397" i="31"/>
  <c r="AA397" i="31"/>
  <c r="Q397" i="31"/>
  <c r="AC397" i="31"/>
  <c r="AB397" i="31"/>
  <c r="K397" i="31"/>
  <c r="Y397" i="31"/>
  <c r="J397" i="31"/>
  <c r="V397" i="31"/>
  <c r="X397" i="31"/>
  <c r="O397" i="31"/>
  <c r="L397" i="31"/>
  <c r="N397" i="31"/>
  <c r="Z397" i="31"/>
  <c r="U397" i="31"/>
  <c r="P397" i="31"/>
  <c r="T397" i="31"/>
  <c r="H397" i="31"/>
  <c r="I397" i="31"/>
  <c r="AQ32" i="31"/>
  <c r="Q337" i="31"/>
  <c r="M337" i="31"/>
  <c r="AA337" i="31"/>
  <c r="AB337" i="31"/>
  <c r="AC337" i="31"/>
  <c r="L337" i="31"/>
  <c r="X337" i="31"/>
  <c r="Y337" i="31"/>
  <c r="Z337" i="31"/>
  <c r="N337" i="31"/>
  <c r="P337" i="31"/>
  <c r="O337" i="31"/>
  <c r="AC393" i="31"/>
  <c r="M393" i="31"/>
  <c r="Q393" i="31"/>
  <c r="J393" i="31"/>
  <c r="K393" i="31"/>
  <c r="L393" i="31"/>
  <c r="N393" i="31"/>
  <c r="O393" i="31"/>
  <c r="P393" i="31"/>
  <c r="H393" i="31"/>
  <c r="I393" i="31"/>
  <c r="Q440" i="31"/>
  <c r="AA440" i="31"/>
  <c r="AB440" i="31"/>
  <c r="AC440" i="31"/>
  <c r="N440" i="31"/>
  <c r="Z440" i="31"/>
  <c r="O440" i="31"/>
  <c r="P440" i="31"/>
  <c r="AK499" i="31"/>
  <c r="AA499" i="31"/>
  <c r="M499" i="31"/>
  <c r="AC499" i="31"/>
  <c r="Q499" i="31"/>
  <c r="AB499" i="31"/>
  <c r="Y499" i="31"/>
  <c r="N499" i="31"/>
  <c r="O499" i="31"/>
  <c r="Z499" i="31"/>
  <c r="P499" i="31"/>
  <c r="AR427" i="31"/>
  <c r="W427" i="31"/>
  <c r="J427" i="31"/>
  <c r="AB427" i="31"/>
  <c r="M427" i="31"/>
  <c r="AC427" i="31"/>
  <c r="AA427" i="31"/>
  <c r="Q427" i="31"/>
  <c r="V427" i="31"/>
  <c r="K427" i="31"/>
  <c r="X427" i="31"/>
  <c r="Y427" i="31"/>
  <c r="L427" i="31"/>
  <c r="O427" i="31"/>
  <c r="P427" i="31"/>
  <c r="Z427" i="31"/>
  <c r="N427" i="31"/>
  <c r="U427" i="31"/>
  <c r="H427" i="31"/>
  <c r="I427" i="31"/>
  <c r="T427" i="31"/>
  <c r="M379" i="31"/>
  <c r="AA379" i="31"/>
  <c r="AB379" i="31"/>
  <c r="V379" i="31"/>
  <c r="Q379" i="31"/>
  <c r="AC379" i="31"/>
  <c r="W379" i="31"/>
  <c r="J379" i="31"/>
  <c r="K379" i="31"/>
  <c r="X379" i="31"/>
  <c r="L379" i="31"/>
  <c r="Y379" i="31"/>
  <c r="Z379" i="31"/>
  <c r="P379" i="31"/>
  <c r="N379" i="31"/>
  <c r="O379" i="31"/>
  <c r="S379" i="31"/>
  <c r="H379" i="31"/>
  <c r="U379" i="31"/>
  <c r="I379" i="31"/>
  <c r="T379" i="31"/>
  <c r="AL534" i="31"/>
  <c r="AB534" i="31"/>
  <c r="AA534" i="31"/>
  <c r="AC534" i="31"/>
  <c r="M534" i="31"/>
  <c r="Q534" i="31"/>
  <c r="X534" i="31"/>
  <c r="L534" i="31"/>
  <c r="Y534" i="31"/>
  <c r="Z534" i="31"/>
  <c r="P534" i="31"/>
  <c r="N534" i="31"/>
  <c r="O534" i="31"/>
  <c r="M474" i="31"/>
  <c r="Q474" i="31"/>
  <c r="N474" i="31"/>
  <c r="J474" i="31"/>
  <c r="K474" i="31"/>
  <c r="L474" i="31"/>
  <c r="P474" i="31"/>
  <c r="O474" i="31"/>
  <c r="I474" i="31"/>
  <c r="H474" i="31"/>
  <c r="AQ109" i="31"/>
  <c r="Q414" i="31"/>
  <c r="AA414" i="31"/>
  <c r="AB414" i="31"/>
  <c r="AC414" i="31"/>
  <c r="N414" i="31"/>
  <c r="O414" i="31"/>
  <c r="P414" i="31"/>
  <c r="Z414" i="31"/>
  <c r="AG354" i="31"/>
  <c r="Q354" i="31"/>
  <c r="N354" i="31"/>
  <c r="O354" i="31"/>
  <c r="P354" i="31"/>
  <c r="Q389" i="31"/>
  <c r="P389" i="31"/>
  <c r="O389" i="31"/>
  <c r="AK329" i="31"/>
  <c r="W329" i="31"/>
  <c r="M329" i="31"/>
  <c r="AB329" i="31"/>
  <c r="V329" i="31"/>
  <c r="Q329" i="31"/>
  <c r="AC329" i="31"/>
  <c r="J329" i="31"/>
  <c r="AA329" i="31"/>
  <c r="K329" i="31"/>
  <c r="L329" i="31"/>
  <c r="X329" i="31"/>
  <c r="Y329" i="31"/>
  <c r="O329" i="31"/>
  <c r="N329" i="31"/>
  <c r="Z329" i="31"/>
  <c r="P329" i="31"/>
  <c r="H329" i="31"/>
  <c r="U329" i="31"/>
  <c r="T329" i="31"/>
  <c r="I329" i="31"/>
  <c r="AC568" i="31"/>
  <c r="Q568" i="31"/>
  <c r="O568" i="31"/>
  <c r="P568" i="31"/>
  <c r="M400" i="31"/>
  <c r="Q400" i="31"/>
  <c r="K400" i="31"/>
  <c r="J400" i="31"/>
  <c r="L400" i="31"/>
  <c r="O400" i="31"/>
  <c r="P400" i="31"/>
  <c r="N400" i="31"/>
  <c r="AC352" i="31"/>
  <c r="M352" i="31"/>
  <c r="Q352" i="31"/>
  <c r="O352" i="31"/>
  <c r="P352" i="31"/>
  <c r="N352" i="31"/>
  <c r="Y519" i="31"/>
  <c r="M519" i="31"/>
  <c r="L519" i="31"/>
  <c r="Q519" i="31"/>
  <c r="K519" i="31"/>
  <c r="P519" i="31"/>
  <c r="N519" i="31"/>
  <c r="O519" i="31"/>
  <c r="Q326" i="31"/>
  <c r="P326" i="31"/>
  <c r="AQ80" i="31"/>
  <c r="AA385" i="31"/>
  <c r="AB385" i="31"/>
  <c r="M385" i="31"/>
  <c r="W385" i="31"/>
  <c r="Q385" i="31"/>
  <c r="AC385" i="31"/>
  <c r="K385" i="31"/>
  <c r="X385" i="31"/>
  <c r="Y385" i="31"/>
  <c r="O385" i="31"/>
  <c r="Z385" i="31"/>
  <c r="L385" i="31"/>
  <c r="N385" i="31"/>
  <c r="P385" i="31"/>
  <c r="AA575" i="31"/>
  <c r="AB575" i="31"/>
  <c r="M575" i="31"/>
  <c r="Q575" i="31"/>
  <c r="N575" i="31"/>
  <c r="L575" i="31"/>
  <c r="Y575" i="31"/>
  <c r="AC575" i="31"/>
  <c r="X575" i="31"/>
  <c r="Z575" i="31"/>
  <c r="P575" i="31"/>
  <c r="O575" i="31"/>
  <c r="AJ551" i="31"/>
  <c r="M551" i="31"/>
  <c r="AB551" i="31"/>
  <c r="Q551" i="31"/>
  <c r="AC551" i="31"/>
  <c r="AA551" i="31"/>
  <c r="L551" i="31"/>
  <c r="X551" i="31"/>
  <c r="N551" i="31"/>
  <c r="Y551" i="31"/>
  <c r="Z551" i="31"/>
  <c r="O551" i="31"/>
  <c r="P551" i="31"/>
  <c r="U455" i="31"/>
  <c r="M455" i="31"/>
  <c r="Q455" i="31"/>
  <c r="J455" i="31"/>
  <c r="K455" i="31"/>
  <c r="N455" i="31"/>
  <c r="O455" i="31"/>
  <c r="P455" i="31"/>
  <c r="L455" i="31"/>
  <c r="I455" i="31"/>
  <c r="H455" i="31"/>
  <c r="Q407" i="31"/>
  <c r="O407" i="31"/>
  <c r="P407" i="31"/>
  <c r="N407" i="31"/>
  <c r="AC383" i="31"/>
  <c r="M383" i="31"/>
  <c r="Q383" i="31"/>
  <c r="L383" i="31"/>
  <c r="N383" i="31"/>
  <c r="O383" i="31"/>
  <c r="P383" i="31"/>
  <c r="M501" i="31"/>
  <c r="Q501" i="31"/>
  <c r="J501" i="31"/>
  <c r="K501" i="31"/>
  <c r="L501" i="31"/>
  <c r="P501" i="31"/>
  <c r="N501" i="31"/>
  <c r="O501" i="31"/>
  <c r="I501" i="31"/>
  <c r="H501" i="31"/>
  <c r="AL345" i="31"/>
  <c r="M345" i="31"/>
  <c r="AA345" i="31"/>
  <c r="AB345" i="31"/>
  <c r="AC345" i="31"/>
  <c r="Q345" i="31"/>
  <c r="Y345" i="31"/>
  <c r="O345" i="31"/>
  <c r="N345" i="31"/>
  <c r="Z345" i="31"/>
  <c r="P345" i="31"/>
  <c r="AQ195" i="31"/>
  <c r="Q500" i="31"/>
  <c r="AC500" i="31"/>
  <c r="AB500" i="31"/>
  <c r="P500" i="31"/>
  <c r="AM404" i="31"/>
  <c r="M404" i="31"/>
  <c r="AB404" i="31"/>
  <c r="Q404" i="31"/>
  <c r="AA404" i="31"/>
  <c r="AC404" i="31"/>
  <c r="Y404" i="31"/>
  <c r="O404" i="31"/>
  <c r="N404" i="31"/>
  <c r="Z404" i="31"/>
  <c r="P404" i="31"/>
  <c r="W332" i="31"/>
  <c r="AA332" i="31"/>
  <c r="AB332" i="31"/>
  <c r="Q332" i="31"/>
  <c r="J332" i="31"/>
  <c r="M332" i="31"/>
  <c r="V332" i="31"/>
  <c r="AC332" i="31"/>
  <c r="K332" i="31"/>
  <c r="X332" i="31"/>
  <c r="Y332" i="31"/>
  <c r="N332" i="31"/>
  <c r="L332" i="31"/>
  <c r="O332" i="31"/>
  <c r="Z332" i="31"/>
  <c r="S332" i="31"/>
  <c r="H332" i="31"/>
  <c r="P332" i="31"/>
  <c r="I332" i="31"/>
  <c r="U332" i="31"/>
  <c r="T332" i="31"/>
  <c r="Q403" i="31"/>
  <c r="O403" i="31"/>
  <c r="P403" i="31"/>
  <c r="Q331" i="31"/>
  <c r="O331" i="31"/>
  <c r="P331" i="31"/>
  <c r="Q462" i="31"/>
  <c r="J462" i="31"/>
  <c r="M462" i="31"/>
  <c r="L462" i="31"/>
  <c r="K462" i="31"/>
  <c r="N462" i="31"/>
  <c r="P462" i="31"/>
  <c r="H462" i="31"/>
  <c r="O462" i="31"/>
  <c r="I462" i="31"/>
  <c r="AA593" i="31"/>
  <c r="M593" i="31"/>
  <c r="W593" i="31"/>
  <c r="AB593" i="31"/>
  <c r="V593" i="31"/>
  <c r="Q593" i="31"/>
  <c r="J593" i="31"/>
  <c r="X593" i="31"/>
  <c r="Y593" i="31"/>
  <c r="AC593" i="31"/>
  <c r="K593" i="31"/>
  <c r="L593" i="31"/>
  <c r="Z593" i="31"/>
  <c r="P593" i="31"/>
  <c r="N593" i="31"/>
  <c r="O593" i="31"/>
  <c r="I593" i="31"/>
  <c r="U593" i="31"/>
  <c r="AB449" i="31"/>
  <c r="M449" i="31"/>
  <c r="J449" i="31"/>
  <c r="Q449" i="31"/>
  <c r="K449" i="31"/>
  <c r="N449" i="31"/>
  <c r="O449" i="31"/>
  <c r="L449" i="31"/>
  <c r="P449" i="31"/>
  <c r="H449" i="31"/>
  <c r="I449" i="31"/>
  <c r="V424" i="31"/>
  <c r="M424" i="31"/>
  <c r="Q424" i="31"/>
  <c r="K424" i="31"/>
  <c r="J424" i="31"/>
  <c r="L424" i="31"/>
  <c r="N424" i="31"/>
  <c r="O424" i="31"/>
  <c r="P424" i="31"/>
  <c r="H424" i="31"/>
  <c r="I424" i="31"/>
  <c r="W340" i="31"/>
  <c r="AA340" i="31"/>
  <c r="M340" i="31"/>
  <c r="V340" i="31"/>
  <c r="AB340" i="31"/>
  <c r="J340" i="31"/>
  <c r="Q340" i="31"/>
  <c r="K340" i="31"/>
  <c r="AC340" i="31"/>
  <c r="L340" i="31"/>
  <c r="X340" i="31"/>
  <c r="N340" i="31"/>
  <c r="P340" i="31"/>
  <c r="S340" i="31"/>
  <c r="Z340" i="31"/>
  <c r="O340" i="31"/>
  <c r="Y340" i="31"/>
  <c r="H340" i="31"/>
  <c r="T340" i="31"/>
  <c r="U340" i="31"/>
  <c r="I340" i="31"/>
  <c r="AB387" i="31"/>
  <c r="Q387" i="31"/>
  <c r="AC387" i="31"/>
  <c r="W387" i="31"/>
  <c r="M387" i="31"/>
  <c r="AA387" i="31"/>
  <c r="V387" i="31"/>
  <c r="K387" i="31"/>
  <c r="J387" i="31"/>
  <c r="L387" i="31"/>
  <c r="Y387" i="31"/>
  <c r="N387" i="31"/>
  <c r="X387" i="31"/>
  <c r="Z387" i="31"/>
  <c r="O387" i="31"/>
  <c r="P387" i="31"/>
  <c r="AB374" i="31"/>
  <c r="AC374" i="31"/>
  <c r="Q374" i="31"/>
  <c r="P374" i="31"/>
  <c r="AH445" i="31"/>
  <c r="M445" i="31"/>
  <c r="Q445" i="31"/>
  <c r="J445" i="31"/>
  <c r="N445" i="31"/>
  <c r="K445" i="31"/>
  <c r="L445" i="31"/>
  <c r="O445" i="31"/>
  <c r="P445" i="31"/>
  <c r="Q538" i="31"/>
  <c r="P538" i="31"/>
  <c r="M514" i="31"/>
  <c r="Q514" i="31"/>
  <c r="J514" i="31"/>
  <c r="N514" i="31"/>
  <c r="L514" i="31"/>
  <c r="K514" i="31"/>
  <c r="O514" i="31"/>
  <c r="P514" i="31"/>
  <c r="AA418" i="31"/>
  <c r="M418" i="31"/>
  <c r="Q418" i="31"/>
  <c r="J418" i="31"/>
  <c r="L418" i="31"/>
  <c r="K418" i="31"/>
  <c r="N418" i="31"/>
  <c r="O418" i="31"/>
  <c r="P418" i="31"/>
  <c r="H418" i="31"/>
  <c r="I418" i="31"/>
  <c r="Q394" i="31"/>
  <c r="M394" i="31"/>
  <c r="K394" i="31"/>
  <c r="L394" i="31"/>
  <c r="O394" i="31"/>
  <c r="P394" i="31"/>
  <c r="N394" i="31"/>
  <c r="M370" i="31"/>
  <c r="AB370" i="31"/>
  <c r="AC370" i="31"/>
  <c r="AA370" i="31"/>
  <c r="Q370" i="31"/>
  <c r="Y370" i="31"/>
  <c r="O370" i="31"/>
  <c r="N370" i="31"/>
  <c r="Z370" i="31"/>
  <c r="P370" i="31"/>
  <c r="AQ41" i="31"/>
  <c r="AJ346" i="31"/>
  <c r="AM346" i="31"/>
  <c r="AK346" i="31"/>
  <c r="AL346" i="31"/>
  <c r="M346" i="31"/>
  <c r="AA346" i="31"/>
  <c r="AB346" i="31"/>
  <c r="Q346" i="31"/>
  <c r="AC346" i="31"/>
  <c r="AD346" i="31"/>
  <c r="W346" i="31"/>
  <c r="R346" i="31"/>
  <c r="J346" i="31"/>
  <c r="AH346" i="31"/>
  <c r="AI346" i="31"/>
  <c r="Y346" i="31"/>
  <c r="V346" i="31"/>
  <c r="K346" i="31"/>
  <c r="X346" i="31"/>
  <c r="N346" i="31"/>
  <c r="AE346" i="31"/>
  <c r="L346" i="31"/>
  <c r="Z346" i="31"/>
  <c r="O346" i="31"/>
  <c r="S346" i="31"/>
  <c r="P346" i="31"/>
  <c r="H346" i="31"/>
  <c r="I346" i="31"/>
  <c r="T346" i="31"/>
  <c r="AF346" i="31"/>
  <c r="U346" i="31"/>
  <c r="AG346" i="31"/>
  <c r="M322" i="31"/>
  <c r="K322" i="31"/>
  <c r="Q322" i="31"/>
  <c r="N322" i="31"/>
  <c r="L322" i="31"/>
  <c r="O322" i="31"/>
  <c r="P322" i="31"/>
  <c r="M597" i="31"/>
  <c r="AB597" i="31"/>
  <c r="AA597" i="31"/>
  <c r="J597" i="31"/>
  <c r="W597" i="31"/>
  <c r="Q597" i="31"/>
  <c r="AC597" i="31"/>
  <c r="V597" i="31"/>
  <c r="K597" i="31"/>
  <c r="X597" i="31"/>
  <c r="L597" i="31"/>
  <c r="Y597" i="31"/>
  <c r="P597" i="31"/>
  <c r="O597" i="31"/>
  <c r="N597" i="31"/>
  <c r="Z597" i="31"/>
  <c r="U597" i="31"/>
  <c r="H597" i="31"/>
  <c r="T597" i="31"/>
  <c r="I597" i="31"/>
  <c r="AL369" i="31"/>
  <c r="AA369" i="31"/>
  <c r="W369" i="31"/>
  <c r="M369" i="31"/>
  <c r="AB369" i="31"/>
  <c r="Q369" i="31"/>
  <c r="J369" i="31"/>
  <c r="L369" i="31"/>
  <c r="Y369" i="31"/>
  <c r="AC369" i="31"/>
  <c r="V369" i="31"/>
  <c r="X369" i="31"/>
  <c r="K369" i="31"/>
  <c r="O369" i="31"/>
  <c r="N369" i="31"/>
  <c r="Z369" i="31"/>
  <c r="P369" i="31"/>
  <c r="AG428" i="31"/>
  <c r="W428" i="31"/>
  <c r="M428" i="31"/>
  <c r="AA428" i="31"/>
  <c r="AB428" i="31"/>
  <c r="Q428" i="31"/>
  <c r="AC428" i="31"/>
  <c r="V428" i="31"/>
  <c r="X428" i="31"/>
  <c r="L428" i="31"/>
  <c r="Y428" i="31"/>
  <c r="J428" i="31"/>
  <c r="K428" i="31"/>
  <c r="Z428" i="31"/>
  <c r="N428" i="31"/>
  <c r="O428" i="31"/>
  <c r="P428" i="31"/>
  <c r="I428" i="31"/>
  <c r="U428" i="31"/>
  <c r="M356" i="31"/>
  <c r="Q356" i="31"/>
  <c r="L356" i="31"/>
  <c r="K356" i="31"/>
  <c r="N356" i="31"/>
  <c r="J356" i="31"/>
  <c r="O356" i="31"/>
  <c r="P356" i="31"/>
  <c r="M571" i="31"/>
  <c r="Q571" i="31"/>
  <c r="L571" i="31"/>
  <c r="P571" i="31"/>
  <c r="O571" i="31"/>
  <c r="N571" i="31"/>
  <c r="AI486" i="31"/>
  <c r="M486" i="31"/>
  <c r="Q486" i="31"/>
  <c r="L486" i="31"/>
  <c r="J486" i="31"/>
  <c r="K486" i="31"/>
  <c r="N486" i="31"/>
  <c r="O486" i="31"/>
  <c r="P486" i="31"/>
  <c r="I486" i="31"/>
  <c r="H486" i="31"/>
  <c r="AM402" i="31"/>
  <c r="AA402" i="31"/>
  <c r="M402" i="31"/>
  <c r="AB402" i="31"/>
  <c r="AC402" i="31"/>
  <c r="Q402" i="31"/>
  <c r="Y402" i="31"/>
  <c r="N402" i="31"/>
  <c r="Z402" i="31"/>
  <c r="O402" i="31"/>
  <c r="P402" i="31"/>
  <c r="Q473" i="31"/>
  <c r="M473" i="31"/>
  <c r="J473" i="31"/>
  <c r="K473" i="31"/>
  <c r="P473" i="31"/>
  <c r="L473" i="31"/>
  <c r="O473" i="31"/>
  <c r="N473" i="31"/>
  <c r="I473" i="31"/>
  <c r="AK413" i="31"/>
  <c r="W413" i="31"/>
  <c r="AA413" i="31"/>
  <c r="AB413" i="31"/>
  <c r="M413" i="31"/>
  <c r="AC413" i="31"/>
  <c r="Q413" i="31"/>
  <c r="Y413" i="31"/>
  <c r="K413" i="31"/>
  <c r="L413" i="31"/>
  <c r="X413" i="31"/>
  <c r="P413" i="31"/>
  <c r="Z413" i="31"/>
  <c r="N413" i="31"/>
  <c r="O413" i="31"/>
  <c r="Q556" i="31"/>
  <c r="O556" i="31"/>
  <c r="P556" i="31"/>
  <c r="S412" i="31"/>
  <c r="M412" i="31"/>
  <c r="Q412" i="31"/>
  <c r="J412" i="31"/>
  <c r="L412" i="31"/>
  <c r="K412" i="31"/>
  <c r="N412" i="31"/>
  <c r="O412" i="31"/>
  <c r="P412" i="31"/>
  <c r="H412" i="31"/>
  <c r="I412" i="31"/>
  <c r="Q399" i="31"/>
  <c r="P399" i="31"/>
  <c r="N399" i="31"/>
  <c r="O399" i="31"/>
  <c r="Q554" i="31"/>
  <c r="AC554" i="31"/>
  <c r="T410" i="31"/>
  <c r="M410" i="31"/>
  <c r="Q410" i="31"/>
  <c r="L410" i="31"/>
  <c r="K410" i="31"/>
  <c r="J410" i="31"/>
  <c r="N410" i="31"/>
  <c r="O410" i="31"/>
  <c r="P410" i="31"/>
  <c r="H410" i="31"/>
  <c r="I410" i="31"/>
  <c r="X468" i="31"/>
  <c r="M468" i="31"/>
  <c r="J468" i="31"/>
  <c r="Q468" i="31"/>
  <c r="K468" i="31"/>
  <c r="O468" i="31"/>
  <c r="N468" i="31"/>
  <c r="P468" i="31"/>
  <c r="L468" i="31"/>
  <c r="H468" i="31"/>
  <c r="I468" i="31"/>
  <c r="M372" i="31"/>
  <c r="Q372" i="31"/>
  <c r="N372" i="31"/>
  <c r="O372" i="31"/>
  <c r="P372" i="31"/>
  <c r="AH465" i="31"/>
  <c r="M465" i="31"/>
  <c r="Q465" i="31"/>
  <c r="L465" i="31"/>
  <c r="K465" i="31"/>
  <c r="N465" i="31"/>
  <c r="O465" i="31"/>
  <c r="P465" i="31"/>
  <c r="AH398" i="31"/>
  <c r="AQ68" i="31"/>
  <c r="AA373" i="31"/>
  <c r="M373" i="31"/>
  <c r="AB373" i="31"/>
  <c r="AC373" i="31"/>
  <c r="Q373" i="31"/>
  <c r="L373" i="31"/>
  <c r="Y373" i="31"/>
  <c r="N373" i="31"/>
  <c r="X373" i="31"/>
  <c r="Z373" i="31"/>
  <c r="O373" i="31"/>
  <c r="P373" i="31"/>
  <c r="AG401" i="31"/>
  <c r="AI451" i="31"/>
  <c r="M314" i="31"/>
  <c r="AB344" i="31"/>
  <c r="X362" i="31"/>
  <c r="AD537" i="31"/>
  <c r="AE576" i="31"/>
  <c r="AI553" i="31"/>
  <c r="Z467" i="31"/>
  <c r="Y576" i="31"/>
  <c r="AL537" i="31"/>
  <c r="AH504" i="31"/>
  <c r="R558" i="31"/>
  <c r="AC504" i="31"/>
  <c r="W323" i="31"/>
  <c r="AL504" i="31"/>
  <c r="T483" i="31"/>
  <c r="AD553" i="31"/>
  <c r="AD456" i="31"/>
  <c r="AA483" i="31"/>
  <c r="AB553" i="31"/>
  <c r="AH377" i="31"/>
  <c r="AA553" i="31"/>
  <c r="AL483" i="31"/>
  <c r="W377" i="31"/>
  <c r="AR541" i="31"/>
  <c r="T493" i="31"/>
  <c r="AB361" i="31"/>
  <c r="Y325" i="31"/>
  <c r="X443" i="31"/>
  <c r="AE371" i="31"/>
  <c r="L323" i="31"/>
  <c r="AE509" i="31"/>
  <c r="AJ509" i="31"/>
  <c r="AB317" i="31"/>
  <c r="U592" i="31"/>
  <c r="R471" i="31"/>
  <c r="AD423" i="31"/>
  <c r="T362" i="31"/>
  <c r="AH576" i="31"/>
  <c r="K587" i="31"/>
  <c r="S558" i="31"/>
  <c r="Q510" i="31"/>
  <c r="U483" i="31"/>
  <c r="S530" i="31"/>
  <c r="AL550" i="31"/>
  <c r="AC406" i="31"/>
  <c r="Q548" i="31"/>
  <c r="AF424" i="31"/>
  <c r="V314" i="31"/>
  <c r="AC537" i="31"/>
  <c r="AG524" i="31"/>
  <c r="U594" i="31"/>
  <c r="V341" i="31"/>
  <c r="Q493" i="31"/>
  <c r="AI515" i="31"/>
  <c r="U443" i="31"/>
  <c r="U371" i="31"/>
  <c r="K323" i="31"/>
  <c r="Z317" i="31"/>
  <c r="R317" i="31"/>
  <c r="P423" i="31"/>
  <c r="AE518" i="31"/>
  <c r="Z362" i="31"/>
  <c r="AL576" i="31"/>
  <c r="O587" i="31"/>
  <c r="Y558" i="31"/>
  <c r="S365" i="31"/>
  <c r="P483" i="31"/>
  <c r="N550" i="31"/>
  <c r="AH490" i="31"/>
  <c r="V406" i="31"/>
  <c r="Y548" i="31"/>
  <c r="V459" i="31"/>
  <c r="AA477" i="31"/>
  <c r="AH595" i="31"/>
  <c r="AD377" i="31"/>
  <c r="AE546" i="31"/>
  <c r="AA341" i="31"/>
  <c r="AK541" i="31"/>
  <c r="AD493" i="31"/>
  <c r="AC325" i="31"/>
  <c r="AK515" i="31"/>
  <c r="O443" i="31"/>
  <c r="V371" i="31"/>
  <c r="AB451" i="31"/>
  <c r="X509" i="31"/>
  <c r="S317" i="31"/>
  <c r="AM317" i="31"/>
  <c r="K592" i="31"/>
  <c r="AF423" i="31"/>
  <c r="Z518" i="31"/>
  <c r="W362" i="31"/>
  <c r="AE504" i="31"/>
  <c r="H587" i="31"/>
  <c r="V510" i="31"/>
  <c r="T364" i="31"/>
  <c r="M483" i="31"/>
  <c r="AG550" i="31"/>
  <c r="T478" i="31"/>
  <c r="W406" i="31"/>
  <c r="T367" i="31"/>
  <c r="Q494" i="31"/>
  <c r="R314" i="31"/>
  <c r="T477" i="31"/>
  <c r="U438" i="31"/>
  <c r="AI388" i="31"/>
  <c r="T504" i="31"/>
  <c r="T589" i="31"/>
  <c r="AL541" i="31"/>
  <c r="M433" i="31"/>
  <c r="J325" i="31"/>
  <c r="AG467" i="31"/>
  <c r="J443" i="31"/>
  <c r="AD371" i="31"/>
  <c r="AA451" i="31"/>
  <c r="AH509" i="31"/>
  <c r="U317" i="31"/>
  <c r="AL317" i="31"/>
  <c r="J592" i="31"/>
  <c r="T423" i="31"/>
  <c r="AD518" i="31"/>
  <c r="AF576" i="31"/>
  <c r="AG504" i="31"/>
  <c r="V587" i="31"/>
  <c r="U510" i="31"/>
  <c r="Z364" i="31"/>
  <c r="L483" i="31"/>
  <c r="H550" i="31"/>
  <c r="N478" i="31"/>
  <c r="AM406" i="31"/>
  <c r="X367" i="31"/>
  <c r="Z494" i="31"/>
  <c r="AD314" i="31"/>
  <c r="AI477" i="31"/>
  <c r="AG438" i="31"/>
  <c r="AH388" i="31"/>
  <c r="AC576" i="31"/>
  <c r="AC589" i="31"/>
  <c r="AM541" i="31"/>
  <c r="AR385" i="31"/>
  <c r="U325" i="31"/>
  <c r="N467" i="31"/>
  <c r="R443" i="31"/>
  <c r="AI371" i="31"/>
  <c r="AR509" i="31"/>
  <c r="AC509" i="31"/>
  <c r="T317" i="31"/>
  <c r="S592" i="31"/>
  <c r="Q592" i="31"/>
  <c r="V423" i="31"/>
  <c r="AH518" i="31"/>
  <c r="S576" i="31"/>
  <c r="AI504" i="31"/>
  <c r="M587" i="31"/>
  <c r="AG510" i="31"/>
  <c r="V364" i="31"/>
  <c r="J483" i="31"/>
  <c r="AD550" i="31"/>
  <c r="Y478" i="31"/>
  <c r="Z548" i="31"/>
  <c r="AH367" i="31"/>
  <c r="N494" i="31"/>
  <c r="X314" i="31"/>
  <c r="J477" i="31"/>
  <c r="AI438" i="31"/>
  <c r="AA388" i="31"/>
  <c r="AK508" i="31"/>
  <c r="AJ508" i="31"/>
  <c r="AL508" i="31"/>
  <c r="AM508" i="31"/>
  <c r="V508" i="31"/>
  <c r="L508" i="31"/>
  <c r="H508" i="31"/>
  <c r="Z508" i="31"/>
  <c r="O508" i="31"/>
  <c r="AI508" i="31"/>
  <c r="X508" i="31"/>
  <c r="I508" i="31"/>
  <c r="U508" i="31"/>
  <c r="K508" i="31"/>
  <c r="W508" i="31"/>
  <c r="M508" i="31"/>
  <c r="AB508" i="31"/>
  <c r="T508" i="31"/>
  <c r="AA508" i="31"/>
  <c r="J508" i="31"/>
  <c r="N508" i="31"/>
  <c r="P508" i="31"/>
  <c r="Q508" i="31"/>
  <c r="R508" i="31"/>
  <c r="AE508" i="31"/>
  <c r="AH508" i="31"/>
  <c r="S508" i="31"/>
  <c r="AC508" i="31"/>
  <c r="AD508" i="31"/>
  <c r="Y508" i="31"/>
  <c r="AF508" i="31"/>
  <c r="AG508" i="31"/>
  <c r="AB589" i="31"/>
  <c r="AM361" i="31"/>
  <c r="W471" i="31"/>
  <c r="AE455" i="31"/>
  <c r="W517" i="31"/>
  <c r="AK373" i="31"/>
  <c r="AJ361" i="31"/>
  <c r="AI412" i="31"/>
  <c r="AM471" i="31"/>
  <c r="AC455" i="31"/>
  <c r="Y483" i="31"/>
  <c r="AK483" i="31"/>
  <c r="X490" i="31"/>
  <c r="O459" i="31"/>
  <c r="J398" i="31"/>
  <c r="U314" i="31"/>
  <c r="J314" i="31"/>
  <c r="AB537" i="31"/>
  <c r="AR388" i="31"/>
  <c r="AQ135" i="31"/>
  <c r="AL440" i="31"/>
  <c r="AM440" i="31"/>
  <c r="Y517" i="31"/>
  <c r="X412" i="31"/>
  <c r="AF341" i="31"/>
  <c r="AD589" i="31"/>
  <c r="Q517" i="31"/>
  <c r="R493" i="31"/>
  <c r="AJ373" i="31"/>
  <c r="AL361" i="31"/>
  <c r="Y443" i="31"/>
  <c r="Z443" i="31"/>
  <c r="AF371" i="31"/>
  <c r="AK371" i="31"/>
  <c r="AG317" i="31"/>
  <c r="AI317" i="31"/>
  <c r="AH412" i="31"/>
  <c r="U423" i="31"/>
  <c r="Z423" i="31"/>
  <c r="Z576" i="31"/>
  <c r="R576" i="31"/>
  <c r="AM504" i="31"/>
  <c r="N587" i="31"/>
  <c r="AM455" i="31"/>
  <c r="T510" i="31"/>
  <c r="AD364" i="31"/>
  <c r="N483" i="31"/>
  <c r="Y550" i="31"/>
  <c r="AA490" i="31"/>
  <c r="AC478" i="31"/>
  <c r="AD406" i="31"/>
  <c r="J548" i="31"/>
  <c r="S367" i="31"/>
  <c r="AI459" i="31"/>
  <c r="V398" i="31"/>
  <c r="Y314" i="31"/>
  <c r="Q314" i="31"/>
  <c r="W537" i="31"/>
  <c r="AH477" i="31"/>
  <c r="AC415" i="31"/>
  <c r="AK438" i="31"/>
  <c r="X388" i="31"/>
  <c r="P361" i="31"/>
  <c r="AC490" i="31"/>
  <c r="AA412" i="31"/>
  <c r="P314" i="31"/>
  <c r="J513" i="31"/>
  <c r="AA546" i="31"/>
  <c r="S589" i="31"/>
  <c r="AK365" i="31"/>
  <c r="R398" i="31"/>
  <c r="P513" i="31"/>
  <c r="AE341" i="31"/>
  <c r="AA383" i="31"/>
  <c r="W341" i="31"/>
  <c r="Z589" i="31"/>
  <c r="V493" i="31"/>
  <c r="AA493" i="31"/>
  <c r="Z361" i="31"/>
  <c r="AH515" i="31"/>
  <c r="I443" i="31"/>
  <c r="Q443" i="31"/>
  <c r="Z371" i="31"/>
  <c r="X317" i="31"/>
  <c r="AK317" i="31"/>
  <c r="AM412" i="31"/>
  <c r="I423" i="31"/>
  <c r="L423" i="31"/>
  <c r="U576" i="31"/>
  <c r="U504" i="31"/>
  <c r="AR384" i="31"/>
  <c r="U527" i="31"/>
  <c r="AR439" i="31"/>
  <c r="S510" i="31"/>
  <c r="U364" i="31"/>
  <c r="AJ364" i="31"/>
  <c r="R483" i="31"/>
  <c r="U550" i="31"/>
  <c r="R550" i="31"/>
  <c r="L478" i="31"/>
  <c r="Z406" i="31"/>
  <c r="K548" i="31"/>
  <c r="AA548" i="31"/>
  <c r="AD367" i="31"/>
  <c r="Y494" i="31"/>
  <c r="O314" i="31"/>
  <c r="K314" i="31"/>
  <c r="AK314" i="31"/>
  <c r="AF477" i="31"/>
  <c r="V477" i="31"/>
  <c r="AR438" i="31"/>
  <c r="AA435" i="31"/>
  <c r="AM388" i="31"/>
  <c r="R517" i="31"/>
  <c r="AB412" i="31"/>
  <c r="Q530" i="31"/>
  <c r="M459" i="31"/>
  <c r="AF589" i="31"/>
  <c r="AJ398" i="31"/>
  <c r="AA314" i="31"/>
  <c r="AD341" i="31"/>
  <c r="U589" i="31"/>
  <c r="AE493" i="31"/>
  <c r="AC493" i="31"/>
  <c r="AF361" i="31"/>
  <c r="AM515" i="31"/>
  <c r="T443" i="31"/>
  <c r="K443" i="31"/>
  <c r="X371" i="31"/>
  <c r="N317" i="31"/>
  <c r="AJ317" i="31"/>
  <c r="AK412" i="31"/>
  <c r="W423" i="31"/>
  <c r="AC423" i="31"/>
  <c r="N576" i="31"/>
  <c r="S504" i="31"/>
  <c r="T587" i="31"/>
  <c r="L527" i="31"/>
  <c r="AM439" i="31"/>
  <c r="X510" i="31"/>
  <c r="S364" i="31"/>
  <c r="O483" i="31"/>
  <c r="K483" i="31"/>
  <c r="P550" i="31"/>
  <c r="V550" i="31"/>
  <c r="U478" i="31"/>
  <c r="AF406" i="31"/>
  <c r="N548" i="31"/>
  <c r="K463" i="31"/>
  <c r="Q367" i="31"/>
  <c r="S494" i="31"/>
  <c r="S314" i="31"/>
  <c r="AH314" i="31"/>
  <c r="AL314" i="31"/>
  <c r="P477" i="31"/>
  <c r="AC477" i="31"/>
  <c r="AD438" i="31"/>
  <c r="AR353" i="31"/>
  <c r="AH383" i="31"/>
  <c r="I546" i="31"/>
  <c r="AE361" i="31"/>
  <c r="W418" i="31"/>
  <c r="S341" i="31"/>
  <c r="O493" i="31"/>
  <c r="AL515" i="31"/>
  <c r="P443" i="31"/>
  <c r="AC443" i="31"/>
  <c r="AH371" i="31"/>
  <c r="AF317" i="31"/>
  <c r="V317" i="31"/>
  <c r="Y471" i="31"/>
  <c r="AE423" i="31"/>
  <c r="M423" i="31"/>
  <c r="T576" i="31"/>
  <c r="AF504" i="31"/>
  <c r="AG527" i="31"/>
  <c r="AL439" i="31"/>
  <c r="N510" i="31"/>
  <c r="AF364" i="31"/>
  <c r="AF483" i="31"/>
  <c r="AH483" i="31"/>
  <c r="S550" i="31"/>
  <c r="AB550" i="31"/>
  <c r="AE478" i="31"/>
  <c r="AE406" i="31"/>
  <c r="AF367" i="31"/>
  <c r="AK367" i="31"/>
  <c r="L314" i="31"/>
  <c r="AB314" i="31"/>
  <c r="AG537" i="31"/>
  <c r="AE477" i="31"/>
  <c r="AM477" i="31"/>
  <c r="X438" i="31"/>
  <c r="AR375" i="31"/>
  <c r="AM598" i="31"/>
  <c r="AN598" i="31"/>
  <c r="W589" i="31"/>
  <c r="AN589" i="31"/>
  <c r="AE516" i="31"/>
  <c r="AL404" i="31"/>
  <c r="M398" i="31"/>
  <c r="AL442" i="31"/>
  <c r="AM459" i="31"/>
  <c r="R513" i="31"/>
  <c r="AM360" i="31"/>
  <c r="N415" i="31"/>
  <c r="AC354" i="31"/>
  <c r="AA498" i="31"/>
  <c r="V544" i="31"/>
  <c r="P576" i="31"/>
  <c r="M576" i="31"/>
  <c r="AB504" i="31"/>
  <c r="S476" i="31"/>
  <c r="S524" i="31"/>
  <c r="AK498" i="31"/>
  <c r="AA544" i="31"/>
  <c r="AR360" i="31"/>
  <c r="U476" i="31"/>
  <c r="R549" i="31"/>
  <c r="AE360" i="31"/>
  <c r="AB549" i="31"/>
  <c r="X400" i="31"/>
  <c r="Z528" i="31"/>
  <c r="AA360" i="31"/>
  <c r="W476" i="31"/>
  <c r="M549" i="31"/>
  <c r="O576" i="31"/>
  <c r="Y528" i="31"/>
  <c r="AA504" i="31"/>
  <c r="AJ360" i="31"/>
  <c r="AR578" i="31"/>
  <c r="AQ25" i="31"/>
  <c r="AR330" i="31"/>
  <c r="AA528" i="31"/>
  <c r="L476" i="31"/>
  <c r="S544" i="31"/>
  <c r="AI432" i="31"/>
  <c r="S600" i="31"/>
  <c r="AH516" i="31"/>
  <c r="Z444" i="31"/>
  <c r="AG360" i="31"/>
  <c r="O476" i="31"/>
  <c r="Z498" i="31"/>
  <c r="X544" i="31"/>
  <c r="AA516" i="31"/>
  <c r="T360" i="31"/>
  <c r="AC476" i="31"/>
  <c r="AC583" i="31"/>
  <c r="T498" i="31"/>
  <c r="R544" i="31"/>
  <c r="AE352" i="31"/>
  <c r="Q444" i="31"/>
  <c r="W444" i="31"/>
  <c r="U444" i="31"/>
  <c r="AF427" i="31"/>
  <c r="AQ127" i="31"/>
  <c r="AM432" i="31"/>
  <c r="AK354" i="31"/>
  <c r="N444" i="31"/>
  <c r="W549" i="31"/>
  <c r="AM354" i="31"/>
  <c r="O444" i="31"/>
  <c r="AM516" i="31"/>
  <c r="AB583" i="31"/>
  <c r="AJ534" i="31"/>
  <c r="AM534" i="31"/>
  <c r="AR534" i="31"/>
  <c r="Z354" i="31"/>
  <c r="AE585" i="31"/>
  <c r="AI393" i="31"/>
  <c r="AH354" i="31"/>
  <c r="AH427" i="31"/>
  <c r="Y585" i="31"/>
  <c r="AD393" i="31"/>
  <c r="AK360" i="31"/>
  <c r="S360" i="31"/>
  <c r="AH360" i="31"/>
  <c r="W360" i="31"/>
  <c r="V549" i="31"/>
  <c r="P549" i="31"/>
  <c r="N476" i="31"/>
  <c r="T476" i="31"/>
  <c r="M498" i="31"/>
  <c r="AR498" i="31"/>
  <c r="AB498" i="31"/>
  <c r="AI498" i="31"/>
  <c r="N498" i="31"/>
  <c r="W425" i="31"/>
  <c r="X425" i="31"/>
  <c r="AR432" i="31"/>
  <c r="AL360" i="31"/>
  <c r="AG427" i="31"/>
  <c r="AH585" i="31"/>
  <c r="AL357" i="31"/>
  <c r="Y360" i="31"/>
  <c r="AF583" i="31"/>
  <c r="U498" i="31"/>
  <c r="V360" i="31"/>
  <c r="AD583" i="31"/>
  <c r="T549" i="31"/>
  <c r="O498" i="31"/>
  <c r="Q544" i="31"/>
  <c r="Z352" i="31"/>
  <c r="AJ432" i="31"/>
  <c r="AD476" i="31"/>
  <c r="Z549" i="31"/>
  <c r="S498" i="31"/>
  <c r="AD352" i="31"/>
  <c r="AC360" i="31"/>
  <c r="AA476" i="31"/>
  <c r="Z425" i="31"/>
  <c r="AD549" i="31"/>
  <c r="W498" i="31"/>
  <c r="U391" i="31"/>
  <c r="AC585" i="31"/>
  <c r="K585" i="31"/>
  <c r="T585" i="31"/>
  <c r="L585" i="31"/>
  <c r="AI354" i="31"/>
  <c r="AJ354" i="31"/>
  <c r="AL354" i="31"/>
  <c r="Y544" i="31"/>
  <c r="O544" i="31"/>
  <c r="Z360" i="31"/>
  <c r="Y476" i="31"/>
  <c r="AH432" i="31"/>
  <c r="AK432" i="31"/>
  <c r="W516" i="31"/>
  <c r="M476" i="31"/>
  <c r="AF360" i="31"/>
  <c r="AL432" i="31"/>
  <c r="AJ413" i="31"/>
  <c r="AF354" i="31"/>
  <c r="Q360" i="31"/>
  <c r="X476" i="31"/>
  <c r="N549" i="31"/>
  <c r="AD498" i="31"/>
  <c r="Y391" i="31"/>
  <c r="W527" i="31"/>
  <c r="AF530" i="31"/>
  <c r="AJ490" i="31"/>
  <c r="Z418" i="31"/>
  <c r="AI367" i="31"/>
  <c r="AB367" i="31"/>
  <c r="T494" i="31"/>
  <c r="W494" i="31"/>
  <c r="AJ537" i="31"/>
  <c r="AG477" i="31"/>
  <c r="R477" i="31"/>
  <c r="Z415" i="31"/>
  <c r="Z438" i="31"/>
  <c r="X435" i="31"/>
  <c r="P475" i="31"/>
  <c r="Z388" i="31"/>
  <c r="X341" i="31"/>
  <c r="R589" i="31"/>
  <c r="S517" i="31"/>
  <c r="AA517" i="31"/>
  <c r="U493" i="31"/>
  <c r="AK361" i="31"/>
  <c r="O325" i="31"/>
  <c r="Q325" i="31"/>
  <c r="AJ515" i="31"/>
  <c r="N443" i="31"/>
  <c r="V443" i="31"/>
  <c r="AC371" i="31"/>
  <c r="T509" i="31"/>
  <c r="AM509" i="31"/>
  <c r="Q317" i="31"/>
  <c r="AA317" i="31"/>
  <c r="Z592" i="31"/>
  <c r="N471" i="31"/>
  <c r="O423" i="31"/>
  <c r="X423" i="31"/>
  <c r="AF518" i="31"/>
  <c r="AK518" i="31"/>
  <c r="AC362" i="31"/>
  <c r="AD576" i="31"/>
  <c r="AK576" i="31"/>
  <c r="AR504" i="31"/>
  <c r="AD504" i="31"/>
  <c r="Q587" i="31"/>
  <c r="AA455" i="31"/>
  <c r="AG558" i="31"/>
  <c r="Y510" i="31"/>
  <c r="AI365" i="31"/>
  <c r="X364" i="31"/>
  <c r="AE483" i="31"/>
  <c r="AB483" i="31"/>
  <c r="L530" i="31"/>
  <c r="Z550" i="31"/>
  <c r="Q550" i="31"/>
  <c r="O478" i="31"/>
  <c r="AD478" i="31"/>
  <c r="AA406" i="31"/>
  <c r="AB548" i="31"/>
  <c r="AK404" i="31"/>
  <c r="U367" i="31"/>
  <c r="AM367" i="31"/>
  <c r="N459" i="31"/>
  <c r="AR537" i="31"/>
  <c r="S513" i="31"/>
  <c r="U477" i="31"/>
  <c r="M477" i="31"/>
  <c r="V524" i="31"/>
  <c r="O546" i="31"/>
  <c r="V438" i="31"/>
  <c r="AB388" i="31"/>
  <c r="U341" i="31"/>
  <c r="L589" i="31"/>
  <c r="T517" i="31"/>
  <c r="X493" i="31"/>
  <c r="S493" i="31"/>
  <c r="T361" i="31"/>
  <c r="P325" i="31"/>
  <c r="K325" i="31"/>
  <c r="AE443" i="31"/>
  <c r="AG371" i="31"/>
  <c r="Z509" i="31"/>
  <c r="AK509" i="31"/>
  <c r="Y317" i="31"/>
  <c r="AR317" i="31"/>
  <c r="I592" i="31"/>
  <c r="U412" i="31"/>
  <c r="AD471" i="31"/>
  <c r="AB423" i="31"/>
  <c r="AI576" i="31"/>
  <c r="V504" i="31"/>
  <c r="U587" i="31"/>
  <c r="AJ455" i="31"/>
  <c r="AH510" i="31"/>
  <c r="AL365" i="31"/>
  <c r="Z483" i="31"/>
  <c r="V530" i="31"/>
  <c r="O550" i="31"/>
  <c r="S478" i="31"/>
  <c r="AR406" i="31"/>
  <c r="AH459" i="31"/>
  <c r="O494" i="31"/>
  <c r="O513" i="31"/>
  <c r="Z477" i="31"/>
  <c r="AM413" i="31"/>
  <c r="AD467" i="31"/>
  <c r="AD451" i="31"/>
  <c r="AK600" i="31"/>
  <c r="U558" i="31"/>
  <c r="AR338" i="31"/>
  <c r="AH467" i="31"/>
  <c r="X395" i="31"/>
  <c r="AA522" i="31"/>
  <c r="V460" i="31"/>
  <c r="AD528" i="31"/>
  <c r="AE511" i="31"/>
  <c r="AA558" i="31"/>
  <c r="K566" i="31"/>
  <c r="AA524" i="31"/>
  <c r="U581" i="31"/>
  <c r="Y589" i="31"/>
  <c r="AC361" i="31"/>
  <c r="V467" i="31"/>
  <c r="N395" i="31"/>
  <c r="AL522" i="31"/>
  <c r="AF471" i="31"/>
  <c r="K444" i="31"/>
  <c r="AJ527" i="31"/>
  <c r="X558" i="31"/>
  <c r="AD424" i="31"/>
  <c r="J602" i="31"/>
  <c r="AF393" i="31"/>
  <c r="AA415" i="31"/>
  <c r="AD519" i="31"/>
  <c r="Q341" i="31"/>
  <c r="X589" i="31"/>
  <c r="X517" i="31"/>
  <c r="S469" i="31"/>
  <c r="AG361" i="31"/>
  <c r="AI361" i="31"/>
  <c r="V395" i="31"/>
  <c r="U323" i="31"/>
  <c r="AR354" i="31"/>
  <c r="AF412" i="31"/>
  <c r="O471" i="31"/>
  <c r="Z516" i="31"/>
  <c r="S456" i="31"/>
  <c r="AK527" i="31"/>
  <c r="AF511" i="31"/>
  <c r="AE365" i="31"/>
  <c r="M566" i="31"/>
  <c r="AH502" i="31"/>
  <c r="J463" i="31"/>
  <c r="K602" i="31"/>
  <c r="Q434" i="31"/>
  <c r="I314" i="31"/>
  <c r="N314" i="31"/>
  <c r="AM314" i="31"/>
  <c r="AA393" i="31"/>
  <c r="AH380" i="31"/>
  <c r="AI415" i="31"/>
  <c r="AJ497" i="31"/>
  <c r="AE460" i="31"/>
  <c r="V528" i="31"/>
  <c r="AD339" i="31"/>
  <c r="AF323" i="31"/>
  <c r="AJ460" i="31"/>
  <c r="AR516" i="31"/>
  <c r="U511" i="31"/>
  <c r="Z365" i="31"/>
  <c r="AD566" i="31"/>
  <c r="AC463" i="31"/>
  <c r="N464" i="31"/>
  <c r="AB341" i="31"/>
  <c r="V589" i="31"/>
  <c r="V433" i="31"/>
  <c r="V361" i="31"/>
  <c r="W361" i="31"/>
  <c r="T323" i="31"/>
  <c r="AE354" i="31"/>
  <c r="AG412" i="31"/>
  <c r="X471" i="31"/>
  <c r="T516" i="31"/>
  <c r="O456" i="31"/>
  <c r="AA444" i="31"/>
  <c r="AH511" i="31"/>
  <c r="AB566" i="31"/>
  <c r="S502" i="31"/>
  <c r="Q602" i="31"/>
  <c r="AI398" i="31"/>
  <c r="AF314" i="31"/>
  <c r="AI314" i="31"/>
  <c r="AH344" i="31"/>
  <c r="Z495" i="31"/>
  <c r="J582" i="31"/>
  <c r="AJ433" i="31"/>
  <c r="AF519" i="31"/>
  <c r="P589" i="31"/>
  <c r="U361" i="31"/>
  <c r="AD354" i="31"/>
  <c r="T412" i="31"/>
  <c r="T471" i="31"/>
  <c r="AD383" i="31"/>
  <c r="T396" i="31"/>
  <c r="AJ516" i="31"/>
  <c r="U516" i="31"/>
  <c r="AD516" i="31"/>
  <c r="AI516" i="31"/>
  <c r="S444" i="31"/>
  <c r="X444" i="31"/>
  <c r="AD444" i="31"/>
  <c r="AF444" i="31"/>
  <c r="N585" i="31"/>
  <c r="AF585" i="31"/>
  <c r="AA585" i="31"/>
  <c r="AK585" i="31"/>
  <c r="AJ393" i="31"/>
  <c r="AB393" i="31"/>
  <c r="X393" i="31"/>
  <c r="AG393" i="31"/>
  <c r="AQ229" i="31"/>
  <c r="AK534" i="31"/>
  <c r="AB568" i="31"/>
  <c r="AH568" i="31"/>
  <c r="K398" i="31"/>
  <c r="H398" i="31"/>
  <c r="W398" i="31"/>
  <c r="AR398" i="31"/>
  <c r="Q398" i="31"/>
  <c r="AI527" i="31"/>
  <c r="AB527" i="31"/>
  <c r="AF527" i="31"/>
  <c r="AB455" i="31"/>
  <c r="V455" i="31"/>
  <c r="AF455" i="31"/>
  <c r="R475" i="31"/>
  <c r="AB475" i="31"/>
  <c r="AB546" i="31"/>
  <c r="M546" i="31"/>
  <c r="K546" i="31"/>
  <c r="T546" i="31"/>
  <c r="AH365" i="31"/>
  <c r="AB365" i="31"/>
  <c r="U365" i="31"/>
  <c r="AG424" i="31"/>
  <c r="AL459" i="31"/>
  <c r="AD459" i="31"/>
  <c r="AK459" i="31"/>
  <c r="L459" i="31"/>
  <c r="W459" i="31"/>
  <c r="AA530" i="31"/>
  <c r="R530" i="31"/>
  <c r="Y530" i="31"/>
  <c r="AI490" i="31"/>
  <c r="Y490" i="31"/>
  <c r="Z490" i="31"/>
  <c r="V418" i="31"/>
  <c r="Y418" i="31"/>
  <c r="N513" i="31"/>
  <c r="AB513" i="31"/>
  <c r="I513" i="31"/>
  <c r="X356" i="31"/>
  <c r="AH415" i="31"/>
  <c r="Y415" i="31"/>
  <c r="V415" i="31"/>
  <c r="Y486" i="31"/>
  <c r="AJ486" i="31"/>
  <c r="X486" i="31"/>
  <c r="AA471" i="31"/>
  <c r="AC471" i="31"/>
  <c r="R341" i="31"/>
  <c r="AH341" i="31"/>
  <c r="AA589" i="31"/>
  <c r="Q361" i="31"/>
  <c r="Z341" i="31"/>
  <c r="T341" i="31"/>
  <c r="O589" i="31"/>
  <c r="N589" i="31"/>
  <c r="Z517" i="31"/>
  <c r="AH361" i="31"/>
  <c r="AA361" i="31"/>
  <c r="AB354" i="31"/>
  <c r="AE412" i="31"/>
  <c r="P471" i="31"/>
  <c r="AL471" i="31"/>
  <c r="S540" i="31"/>
  <c r="AC516" i="31"/>
  <c r="AC444" i="31"/>
  <c r="Y372" i="31"/>
  <c r="AR527" i="31"/>
  <c r="AB383" i="31"/>
  <c r="P530" i="31"/>
  <c r="N490" i="31"/>
  <c r="V356" i="31"/>
  <c r="AI568" i="31"/>
  <c r="Z459" i="31"/>
  <c r="AD398" i="31"/>
  <c r="AJ585" i="31"/>
  <c r="L513" i="31"/>
  <c r="AI546" i="31"/>
  <c r="AM576" i="31"/>
  <c r="AB576" i="31"/>
  <c r="AG576" i="31"/>
  <c r="AA576" i="31"/>
  <c r="X576" i="31"/>
  <c r="Q576" i="31"/>
  <c r="L576" i="31"/>
  <c r="AQ199" i="31"/>
  <c r="X504" i="31"/>
  <c r="AK504" i="31"/>
  <c r="Z504" i="31"/>
  <c r="W504" i="31"/>
  <c r="Y504" i="31"/>
  <c r="AQ55" i="31"/>
  <c r="X360" i="31"/>
  <c r="U360" i="31"/>
  <c r="R360" i="31"/>
  <c r="P360" i="31"/>
  <c r="AB360" i="31"/>
  <c r="AI360" i="31"/>
  <c r="AA549" i="31"/>
  <c r="K549" i="31"/>
  <c r="J549" i="31"/>
  <c r="Q549" i="31"/>
  <c r="L549" i="31"/>
  <c r="X549" i="31"/>
  <c r="Q476" i="31"/>
  <c r="AB476" i="31"/>
  <c r="V476" i="31"/>
  <c r="Z476" i="31"/>
  <c r="K476" i="31"/>
  <c r="AE583" i="31"/>
  <c r="X391" i="31"/>
  <c r="AA391" i="31"/>
  <c r="V391" i="31"/>
  <c r="R498" i="31"/>
  <c r="Q498" i="31"/>
  <c r="AJ498" i="31"/>
  <c r="AG498" i="31"/>
  <c r="AC498" i="31"/>
  <c r="P498" i="31"/>
  <c r="U425" i="31"/>
  <c r="U544" i="31"/>
  <c r="Z544" i="31"/>
  <c r="AB352" i="31"/>
  <c r="Y352" i="31"/>
  <c r="V483" i="31"/>
  <c r="X483" i="31"/>
  <c r="AC483" i="31"/>
  <c r="S483" i="31"/>
  <c r="AM483" i="31"/>
  <c r="AD483" i="31"/>
  <c r="AG483" i="31"/>
  <c r="V362" i="31"/>
  <c r="AA362" i="31"/>
  <c r="U362" i="31"/>
  <c r="AB362" i="31"/>
  <c r="J587" i="31"/>
  <c r="L587" i="31"/>
  <c r="Y587" i="31"/>
  <c r="X587" i="31"/>
  <c r="P587" i="31"/>
  <c r="Z587" i="31"/>
  <c r="AQ232" i="31"/>
  <c r="AI537" i="31"/>
  <c r="AF537" i="31"/>
  <c r="AA537" i="31"/>
  <c r="P510" i="31"/>
  <c r="AA510" i="31"/>
  <c r="O510" i="31"/>
  <c r="AC510" i="31"/>
  <c r="AE510" i="31"/>
  <c r="AQ83" i="31"/>
  <c r="AC388" i="31"/>
  <c r="Y388" i="31"/>
  <c r="AF388" i="31"/>
  <c r="N423" i="31"/>
  <c r="R494" i="31"/>
  <c r="U494" i="31"/>
  <c r="V494" i="31"/>
  <c r="X494" i="31"/>
  <c r="P494" i="31"/>
  <c r="AQ245" i="31"/>
  <c r="AJ550" i="31"/>
  <c r="X550" i="31"/>
  <c r="AF550" i="31"/>
  <c r="AM550" i="31"/>
  <c r="L550" i="31"/>
  <c r="K550" i="31"/>
  <c r="M550" i="31"/>
  <c r="I550" i="31"/>
  <c r="T550" i="31"/>
  <c r="R478" i="31"/>
  <c r="Z478" i="31"/>
  <c r="M478" i="31"/>
  <c r="P478" i="31"/>
  <c r="AB478" i="31"/>
  <c r="AG478" i="31"/>
  <c r="AQ101" i="31"/>
  <c r="AL406" i="31"/>
  <c r="AG406" i="31"/>
  <c r="AK406" i="31"/>
  <c r="X406" i="31"/>
  <c r="AB406" i="31"/>
  <c r="U406" i="31"/>
  <c r="AQ29" i="31"/>
  <c r="AR334" i="31"/>
  <c r="W477" i="31"/>
  <c r="K477" i="31"/>
  <c r="L477" i="31"/>
  <c r="S477" i="31"/>
  <c r="AD477" i="31"/>
  <c r="Y477" i="31"/>
  <c r="V548" i="31"/>
  <c r="U548" i="31"/>
  <c r="W548" i="31"/>
  <c r="S548" i="31"/>
  <c r="AC548" i="31"/>
  <c r="R548" i="31"/>
  <c r="AQ62" i="31"/>
  <c r="R367" i="31"/>
  <c r="AE367" i="31"/>
  <c r="AA367" i="31"/>
  <c r="AG367" i="31"/>
  <c r="AL367" i="31"/>
  <c r="P367" i="31"/>
  <c r="AR367" i="31"/>
  <c r="AQ133" i="31"/>
  <c r="AM438" i="31"/>
  <c r="AE438" i="31"/>
  <c r="AH438" i="31"/>
  <c r="W438" i="31"/>
  <c r="N592" i="31"/>
  <c r="AL364" i="31"/>
  <c r="AI364" i="31"/>
  <c r="AM364" i="31"/>
  <c r="AG364" i="31"/>
  <c r="W364" i="31"/>
  <c r="Y364" i="31"/>
  <c r="Z435" i="31"/>
  <c r="U435" i="31"/>
  <c r="AQ213" i="31"/>
  <c r="W518" i="31"/>
  <c r="AR518" i="31"/>
  <c r="AC518" i="31"/>
  <c r="AI518" i="31"/>
  <c r="O396" i="31"/>
  <c r="AD433" i="31"/>
  <c r="AL433" i="31"/>
  <c r="AG341" i="31"/>
  <c r="AE589" i="31"/>
  <c r="AM397" i="31"/>
  <c r="S361" i="31"/>
  <c r="R361" i="31"/>
  <c r="AG570" i="31"/>
  <c r="AA354" i="31"/>
  <c r="AC412" i="31"/>
  <c r="AE471" i="31"/>
  <c r="X516" i="31"/>
  <c r="Y444" i="31"/>
  <c r="Z372" i="31"/>
  <c r="AH527" i="31"/>
  <c r="Z455" i="31"/>
  <c r="AL383" i="31"/>
  <c r="AF365" i="31"/>
  <c r="Z530" i="31"/>
  <c r="R490" i="31"/>
  <c r="AK568" i="31"/>
  <c r="X459" i="31"/>
  <c r="U398" i="31"/>
  <c r="K513" i="31"/>
  <c r="AE415" i="31"/>
  <c r="AC546" i="31"/>
  <c r="AR346" i="31"/>
  <c r="AE469" i="31"/>
  <c r="R531" i="31"/>
  <c r="U469" i="31"/>
  <c r="AK323" i="31"/>
  <c r="AM460" i="31"/>
  <c r="X528" i="31"/>
  <c r="U464" i="31"/>
  <c r="AF581" i="31"/>
  <c r="AE433" i="31"/>
  <c r="AJ397" i="31"/>
  <c r="Z539" i="31"/>
  <c r="R395" i="31"/>
  <c r="AL323" i="31"/>
  <c r="M570" i="31"/>
  <c r="AK460" i="31"/>
  <c r="AG600" i="31"/>
  <c r="K479" i="31"/>
  <c r="AA511" i="31"/>
  <c r="Y339" i="31"/>
  <c r="O502" i="31"/>
  <c r="AI358" i="31"/>
  <c r="S549" i="31"/>
  <c r="AC549" i="31"/>
  <c r="AR357" i="31"/>
  <c r="V498" i="31"/>
  <c r="AH498" i="31"/>
  <c r="AL498" i="31"/>
  <c r="AD581" i="31"/>
  <c r="AB544" i="31"/>
  <c r="AC544" i="31"/>
  <c r="AE388" i="31"/>
  <c r="AL388" i="31"/>
  <c r="AA352" i="31"/>
  <c r="AA410" i="31"/>
  <c r="L396" i="31"/>
  <c r="R577" i="31"/>
  <c r="T433" i="31"/>
  <c r="R570" i="31"/>
  <c r="J600" i="31"/>
  <c r="AC511" i="31"/>
  <c r="AI339" i="31"/>
  <c r="O433" i="31"/>
  <c r="AK397" i="31"/>
  <c r="Q539" i="31"/>
  <c r="AE323" i="31"/>
  <c r="AM323" i="31"/>
  <c r="AF522" i="31"/>
  <c r="S436" i="31"/>
  <c r="O600" i="31"/>
  <c r="AB339" i="31"/>
  <c r="AK502" i="31"/>
  <c r="P476" i="31"/>
  <c r="J476" i="31"/>
  <c r="V425" i="31"/>
  <c r="N434" i="31"/>
  <c r="Y549" i="31"/>
  <c r="Z537" i="31"/>
  <c r="AM537" i="31"/>
  <c r="Y429" i="31"/>
  <c r="AM357" i="31"/>
  <c r="AF498" i="31"/>
  <c r="Y498" i="31"/>
  <c r="AM498" i="31"/>
  <c r="AB438" i="31"/>
  <c r="R581" i="31"/>
  <c r="P544" i="31"/>
  <c r="W544" i="31"/>
  <c r="W391" i="31"/>
  <c r="AG388" i="31"/>
  <c r="AK388" i="31"/>
  <c r="Q577" i="31"/>
  <c r="M395" i="31"/>
  <c r="AF451" i="31"/>
  <c r="N600" i="31"/>
  <c r="AC456" i="31"/>
  <c r="I533" i="31"/>
  <c r="AH566" i="31"/>
  <c r="AM502" i="31"/>
  <c r="X434" i="31"/>
  <c r="V380" i="31"/>
  <c r="AC581" i="31"/>
  <c r="AC570" i="31"/>
  <c r="AF502" i="31"/>
  <c r="P433" i="31"/>
  <c r="T539" i="31"/>
  <c r="R323" i="31"/>
  <c r="AE522" i="31"/>
  <c r="AL413" i="31"/>
  <c r="AL397" i="31"/>
  <c r="S539" i="31"/>
  <c r="S467" i="31"/>
  <c r="X323" i="31"/>
  <c r="Z451" i="31"/>
  <c r="AB600" i="31"/>
  <c r="X456" i="31"/>
  <c r="AL502" i="31"/>
  <c r="AE476" i="31"/>
  <c r="Y425" i="31"/>
  <c r="V434" i="31"/>
  <c r="U549" i="31"/>
  <c r="O549" i="31"/>
  <c r="AE537" i="31"/>
  <c r="AK537" i="31"/>
  <c r="X477" i="31"/>
  <c r="AK357" i="31"/>
  <c r="Y380" i="31"/>
  <c r="X498" i="31"/>
  <c r="AF438" i="31"/>
  <c r="Y438" i="31"/>
  <c r="M581" i="31"/>
  <c r="T544" i="31"/>
  <c r="Z391" i="31"/>
  <c r="AK497" i="31"/>
  <c r="AD388" i="31"/>
  <c r="AF352" i="31"/>
  <c r="AR368" i="31"/>
  <c r="R503" i="31"/>
  <c r="AA503" i="31"/>
  <c r="L503" i="31"/>
  <c r="X503" i="31"/>
  <c r="Q503" i="31"/>
  <c r="P503" i="31"/>
  <c r="V503" i="31"/>
  <c r="AD503" i="31"/>
  <c r="AL503" i="31"/>
  <c r="AI503" i="31"/>
  <c r="O503" i="31"/>
  <c r="Z503" i="31"/>
  <c r="S503" i="31"/>
  <c r="AF503" i="31"/>
  <c r="Y503" i="31"/>
  <c r="AJ503" i="31"/>
  <c r="N503" i="31"/>
  <c r="M503" i="31"/>
  <c r="AK503" i="31"/>
  <c r="T503" i="31"/>
  <c r="AG503" i="31"/>
  <c r="AC503" i="31"/>
  <c r="AB503" i="31"/>
  <c r="AE503" i="31"/>
  <c r="AM503" i="31"/>
  <c r="J503" i="31"/>
  <c r="K503" i="31"/>
  <c r="U503" i="31"/>
  <c r="W503" i="31"/>
  <c r="X564" i="31"/>
  <c r="Y564" i="31"/>
  <c r="AL564" i="31"/>
  <c r="AH564" i="31"/>
  <c r="AM564" i="31"/>
  <c r="Z564" i="31"/>
  <c r="AA564" i="31"/>
  <c r="U564" i="31"/>
  <c r="AI564" i="31"/>
  <c r="AF564" i="31"/>
  <c r="AD564" i="31"/>
  <c r="AE564" i="31"/>
  <c r="S564" i="31"/>
  <c r="T564" i="31"/>
  <c r="AC564" i="31"/>
  <c r="V564" i="31"/>
  <c r="AK564" i="31"/>
  <c r="AJ564" i="31"/>
  <c r="AQ115" i="31"/>
  <c r="AJ420" i="31"/>
  <c r="AK420" i="31"/>
  <c r="AI420" i="31"/>
  <c r="AH420" i="31"/>
  <c r="AL420" i="31"/>
  <c r="AG420" i="31"/>
  <c r="AR420" i="31"/>
  <c r="P547" i="31"/>
  <c r="V547" i="31"/>
  <c r="Y547" i="31"/>
  <c r="U547" i="31"/>
  <c r="O547" i="31"/>
  <c r="X547" i="31"/>
  <c r="Z547" i="31"/>
  <c r="AC547" i="31"/>
  <c r="AD547" i="31"/>
  <c r="W547" i="31"/>
  <c r="T547" i="31"/>
  <c r="AB547" i="31"/>
  <c r="S547" i="31"/>
  <c r="Q547" i="31"/>
  <c r="R547" i="31"/>
  <c r="AH379" i="31"/>
  <c r="AE379" i="31"/>
  <c r="AI379" i="31"/>
  <c r="AF379" i="31"/>
  <c r="AG379" i="31"/>
  <c r="AQ169" i="31"/>
  <c r="AC474" i="31"/>
  <c r="AD474" i="31"/>
  <c r="X474" i="31"/>
  <c r="S474" i="31"/>
  <c r="AF474" i="31"/>
  <c r="V474" i="31"/>
  <c r="Z474" i="31"/>
  <c r="AJ474" i="31"/>
  <c r="AB474" i="31"/>
  <c r="U474" i="31"/>
  <c r="AG474" i="31"/>
  <c r="AL474" i="31"/>
  <c r="AA474" i="31"/>
  <c r="AE474" i="31"/>
  <c r="AM474" i="31"/>
  <c r="AH474" i="31"/>
  <c r="AK474" i="31"/>
  <c r="AR474" i="31"/>
  <c r="AB389" i="31"/>
  <c r="AA389" i="31"/>
  <c r="AC389" i="31"/>
  <c r="AD389" i="31"/>
  <c r="S447" i="31"/>
  <c r="AA447" i="31"/>
  <c r="W447" i="31"/>
  <c r="Z447" i="31"/>
  <c r="Y447" i="31"/>
  <c r="AD447" i="31"/>
  <c r="V447" i="31"/>
  <c r="AC447" i="31"/>
  <c r="U447" i="31"/>
  <c r="R447" i="31"/>
  <c r="T447" i="31"/>
  <c r="AE447" i="31"/>
  <c r="AB447" i="31"/>
  <c r="Q447" i="31"/>
  <c r="P447" i="31"/>
  <c r="X447" i="31"/>
  <c r="K457" i="31"/>
  <c r="T457" i="31"/>
  <c r="L457" i="31"/>
  <c r="AC457" i="31"/>
  <c r="W457" i="31"/>
  <c r="O457" i="31"/>
  <c r="AD457" i="31"/>
  <c r="P457" i="31"/>
  <c r="R457" i="31"/>
  <c r="U457" i="31"/>
  <c r="AE457" i="31"/>
  <c r="Q457" i="31"/>
  <c r="AA457" i="31"/>
  <c r="AF457" i="31"/>
  <c r="I457" i="31"/>
  <c r="X457" i="31"/>
  <c r="J457" i="31"/>
  <c r="V457" i="31"/>
  <c r="N457" i="31"/>
  <c r="Z457" i="31"/>
  <c r="S457" i="31"/>
  <c r="AB501" i="31"/>
  <c r="T501" i="31"/>
  <c r="AC501" i="31"/>
  <c r="U501" i="31"/>
  <c r="AI501" i="31"/>
  <c r="AG501" i="31"/>
  <c r="W501" i="31"/>
  <c r="AM501" i="31"/>
  <c r="AJ501" i="31"/>
  <c r="AL501" i="31"/>
  <c r="AD501" i="31"/>
  <c r="V501" i="31"/>
  <c r="X501" i="31"/>
  <c r="AA501" i="31"/>
  <c r="Y501" i="31"/>
  <c r="Z501" i="31"/>
  <c r="AE501" i="31"/>
  <c r="AF501" i="31"/>
  <c r="AH501" i="31"/>
  <c r="AQ267" i="31"/>
  <c r="AR572" i="31"/>
  <c r="AQ98" i="31"/>
  <c r="AL403" i="31"/>
  <c r="AJ403" i="31"/>
  <c r="AA403" i="31"/>
  <c r="AC403" i="31"/>
  <c r="AI403" i="31"/>
  <c r="AE403" i="31"/>
  <c r="AK403" i="31"/>
  <c r="AF403" i="31"/>
  <c r="AH403" i="31"/>
  <c r="AM403" i="31"/>
  <c r="AG403" i="31"/>
  <c r="AR403" i="31"/>
  <c r="AL462" i="31"/>
  <c r="AE462" i="31"/>
  <c r="W462" i="31"/>
  <c r="Y462" i="31"/>
  <c r="V462" i="31"/>
  <c r="U462" i="31"/>
  <c r="AH462" i="31"/>
  <c r="T462" i="31"/>
  <c r="AC462" i="31"/>
  <c r="AG462" i="31"/>
  <c r="X462" i="31"/>
  <c r="R462" i="31"/>
  <c r="AF462" i="31"/>
  <c r="AJ462" i="31"/>
  <c r="AK462" i="31"/>
  <c r="AM462" i="31"/>
  <c r="AB462" i="31"/>
  <c r="S462" i="31"/>
  <c r="Z462" i="31"/>
  <c r="AI462" i="31"/>
  <c r="AQ82" i="31"/>
  <c r="AL387" i="31"/>
  <c r="AH387" i="31"/>
  <c r="AI387" i="31"/>
  <c r="AK387" i="31"/>
  <c r="AR387" i="31"/>
  <c r="AD466" i="31"/>
  <c r="AC466" i="31"/>
  <c r="X394" i="31"/>
  <c r="Z394" i="31"/>
  <c r="Y394" i="31"/>
  <c r="AA394" i="31"/>
  <c r="W394" i="31"/>
  <c r="AC394" i="31"/>
  <c r="AQ17" i="31"/>
  <c r="AH322" i="31"/>
  <c r="AI322" i="31"/>
  <c r="Z322" i="31"/>
  <c r="AK322" i="31"/>
  <c r="Y322" i="31"/>
  <c r="AF322" i="31"/>
  <c r="AD322" i="31"/>
  <c r="AR322" i="31"/>
  <c r="W322" i="31"/>
  <c r="AC322" i="31"/>
  <c r="AB322" i="31"/>
  <c r="AA322" i="31"/>
  <c r="AL322" i="31"/>
  <c r="AE322" i="31"/>
  <c r="AM322" i="31"/>
  <c r="AJ322" i="31"/>
  <c r="AQ266" i="31"/>
  <c r="AC571" i="31"/>
  <c r="Y571" i="31"/>
  <c r="X571" i="31"/>
  <c r="AB571" i="31"/>
  <c r="AI571" i="31"/>
  <c r="AM571" i="31"/>
  <c r="AF571" i="31"/>
  <c r="Z571" i="31"/>
  <c r="AH571" i="31"/>
  <c r="AK571" i="31"/>
  <c r="AR571" i="31"/>
  <c r="AL571" i="31"/>
  <c r="AA571" i="31"/>
  <c r="AD571" i="31"/>
  <c r="AE571" i="31"/>
  <c r="AJ571" i="31"/>
  <c r="AQ14" i="31"/>
  <c r="AR319" i="31"/>
  <c r="AQ97" i="31"/>
  <c r="AL402" i="31"/>
  <c r="AR402" i="31"/>
  <c r="AK402" i="31"/>
  <c r="X473" i="31"/>
  <c r="W473" i="31"/>
  <c r="AD473" i="31"/>
  <c r="AB473" i="31"/>
  <c r="AE473" i="31"/>
  <c r="Z473" i="31"/>
  <c r="U473" i="31"/>
  <c r="AF473" i="31"/>
  <c r="AG473" i="31"/>
  <c r="Y473" i="31"/>
  <c r="AC473" i="31"/>
  <c r="AQ251" i="31"/>
  <c r="AA556" i="31"/>
  <c r="AB556" i="31"/>
  <c r="AI556" i="31"/>
  <c r="AD556" i="31"/>
  <c r="AF556" i="31"/>
  <c r="AK556" i="31"/>
  <c r="AM556" i="31"/>
  <c r="AC556" i="31"/>
  <c r="AR556" i="31"/>
  <c r="AL556" i="31"/>
  <c r="AJ556" i="31"/>
  <c r="AH556" i="31"/>
  <c r="AQ23" i="31"/>
  <c r="AR328" i="31"/>
  <c r="AD399" i="31"/>
  <c r="AH399" i="31"/>
  <c r="AB399" i="31"/>
  <c r="AI399" i="31"/>
  <c r="AE399" i="31"/>
  <c r="AA399" i="31"/>
  <c r="AF399" i="31"/>
  <c r="AC399" i="31"/>
  <c r="AG399" i="31"/>
  <c r="Z399" i="31"/>
  <c r="AF447" i="31"/>
  <c r="AG322" i="31"/>
  <c r="AA462" i="31"/>
  <c r="AD462" i="31"/>
  <c r="Q441" i="31"/>
  <c r="V473" i="31"/>
  <c r="AM387" i="31"/>
  <c r="M457" i="31"/>
  <c r="AB403" i="31"/>
  <c r="W564" i="31"/>
  <c r="AH503" i="31"/>
  <c r="AG556" i="31"/>
  <c r="AD403" i="31"/>
  <c r="S521" i="31"/>
  <c r="AK501" i="31"/>
  <c r="AA547" i="31"/>
  <c r="AM420" i="31"/>
  <c r="AI474" i="31"/>
  <c r="M441" i="31"/>
  <c r="S441" i="31"/>
  <c r="V441" i="31"/>
  <c r="W441" i="31"/>
  <c r="L441" i="31"/>
  <c r="U441" i="31"/>
  <c r="Y441" i="31"/>
  <c r="Z441" i="31"/>
  <c r="P441" i="31"/>
  <c r="T441" i="31"/>
  <c r="X441" i="31"/>
  <c r="O441" i="31"/>
  <c r="N441" i="31"/>
  <c r="R441" i="31"/>
  <c r="AQ203" i="31"/>
  <c r="AR508" i="31"/>
  <c r="AD542" i="31"/>
  <c r="AB542" i="31"/>
  <c r="K542" i="31"/>
  <c r="N542" i="31"/>
  <c r="Q542" i="31"/>
  <c r="L542" i="31"/>
  <c r="AC542" i="31"/>
  <c r="P542" i="31"/>
  <c r="Y542" i="31"/>
  <c r="AA542" i="31"/>
  <c r="S542" i="31"/>
  <c r="M542" i="31"/>
  <c r="U542" i="31"/>
  <c r="O542" i="31"/>
  <c r="R542" i="31"/>
  <c r="V542" i="31"/>
  <c r="T542" i="31"/>
  <c r="J542" i="31"/>
  <c r="W542" i="31"/>
  <c r="X542" i="31"/>
  <c r="Z542" i="31"/>
  <c r="AQ270" i="31"/>
  <c r="AK575" i="31"/>
  <c r="AM575" i="31"/>
  <c r="AJ575" i="31"/>
  <c r="AL575" i="31"/>
  <c r="AR575" i="31"/>
  <c r="R359" i="31"/>
  <c r="AE359" i="31"/>
  <c r="AH359" i="31"/>
  <c r="AF359" i="31"/>
  <c r="AD359" i="31"/>
  <c r="V359" i="31"/>
  <c r="AK359" i="31"/>
  <c r="AC359" i="31"/>
  <c r="AG359" i="31"/>
  <c r="AL359" i="31"/>
  <c r="T359" i="31"/>
  <c r="AA359" i="31"/>
  <c r="X359" i="31"/>
  <c r="Y359" i="31"/>
  <c r="AM359" i="31"/>
  <c r="U359" i="31"/>
  <c r="AI359" i="31"/>
  <c r="AB359" i="31"/>
  <c r="W359" i="31"/>
  <c r="S359" i="31"/>
  <c r="Z359" i="31"/>
  <c r="Q359" i="31"/>
  <c r="AQ27" i="31"/>
  <c r="AH332" i="31"/>
  <c r="AF332" i="31"/>
  <c r="AE332" i="31"/>
  <c r="AG332" i="31"/>
  <c r="AK332" i="31"/>
  <c r="AR332" i="31"/>
  <c r="AI332" i="31"/>
  <c r="AJ332" i="31"/>
  <c r="AM332" i="31"/>
  <c r="Q521" i="31"/>
  <c r="Z521" i="31"/>
  <c r="AA521" i="31"/>
  <c r="P521" i="31"/>
  <c r="N521" i="31"/>
  <c r="O521" i="31"/>
  <c r="U521" i="31"/>
  <c r="M521" i="31"/>
  <c r="X521" i="31"/>
  <c r="R521" i="31"/>
  <c r="T521" i="31"/>
  <c r="W521" i="31"/>
  <c r="V521" i="31"/>
  <c r="Y521" i="31"/>
  <c r="AF340" i="31"/>
  <c r="AE340" i="31"/>
  <c r="AG340" i="31"/>
  <c r="AI340" i="31"/>
  <c r="AH340" i="31"/>
  <c r="X458" i="31"/>
  <c r="T458" i="31"/>
  <c r="AD458" i="31"/>
  <c r="L458" i="31"/>
  <c r="W458" i="31"/>
  <c r="O458" i="31"/>
  <c r="AC458" i="31"/>
  <c r="S458" i="31"/>
  <c r="Q458" i="31"/>
  <c r="N458" i="31"/>
  <c r="M458" i="31"/>
  <c r="AM458" i="31"/>
  <c r="Z458" i="31"/>
  <c r="U458" i="31"/>
  <c r="AB458" i="31"/>
  <c r="V458" i="31"/>
  <c r="P458" i="31"/>
  <c r="AJ458" i="31"/>
  <c r="AG458" i="31"/>
  <c r="AK458" i="31"/>
  <c r="AA458" i="31"/>
  <c r="AE458" i="31"/>
  <c r="R458" i="31"/>
  <c r="Y458" i="31"/>
  <c r="AH458" i="31"/>
  <c r="AL458" i="31"/>
  <c r="AI458" i="31"/>
  <c r="K512" i="31"/>
  <c r="U512" i="31"/>
  <c r="R512" i="31"/>
  <c r="Y512" i="31"/>
  <c r="AD512" i="31"/>
  <c r="S512" i="31"/>
  <c r="L512" i="31"/>
  <c r="AE512" i="31"/>
  <c r="O512" i="31"/>
  <c r="Q512" i="31"/>
  <c r="T512" i="31"/>
  <c r="M512" i="31"/>
  <c r="N512" i="31"/>
  <c r="W512" i="31"/>
  <c r="AA512" i="31"/>
  <c r="AF512" i="31"/>
  <c r="AG512" i="31"/>
  <c r="AC512" i="31"/>
  <c r="AB512" i="31"/>
  <c r="P512" i="31"/>
  <c r="X512" i="31"/>
  <c r="AA482" i="31"/>
  <c r="N482" i="31"/>
  <c r="U482" i="31"/>
  <c r="Z482" i="31"/>
  <c r="AE482" i="31"/>
  <c r="P482" i="31"/>
  <c r="AD482" i="31"/>
  <c r="H482" i="31"/>
  <c r="AF482" i="31"/>
  <c r="X482" i="31"/>
  <c r="AB482" i="31"/>
  <c r="Y482" i="31"/>
  <c r="M482" i="31"/>
  <c r="S482" i="31"/>
  <c r="Q482" i="31"/>
  <c r="R482" i="31"/>
  <c r="K482" i="31"/>
  <c r="J482" i="31"/>
  <c r="L482" i="31"/>
  <c r="W482" i="31"/>
  <c r="O482" i="31"/>
  <c r="V482" i="31"/>
  <c r="AC482" i="31"/>
  <c r="T482" i="31"/>
  <c r="Y457" i="31"/>
  <c r="X322" i="31"/>
  <c r="AJ387" i="31"/>
  <c r="AB457" i="31"/>
  <c r="AG564" i="31"/>
  <c r="P359" i="31"/>
  <c r="AA473" i="31"/>
  <c r="AJ359" i="31"/>
  <c r="AB564" i="31"/>
  <c r="AE556" i="31"/>
  <c r="AG571" i="31"/>
  <c r="Z512" i="31"/>
  <c r="AL332" i="31"/>
  <c r="AB394" i="31"/>
  <c r="V512" i="31"/>
  <c r="I482" i="31"/>
  <c r="AA395" i="31"/>
  <c r="AL511" i="31"/>
  <c r="AF329" i="31"/>
  <c r="AF496" i="31"/>
  <c r="AM339" i="31"/>
  <c r="AI428" i="31"/>
  <c r="AK378" i="31"/>
  <c r="AA434" i="31"/>
  <c r="Z464" i="31"/>
  <c r="AR344" i="31"/>
  <c r="AC555" i="31"/>
  <c r="O594" i="31"/>
  <c r="AI448" i="31"/>
  <c r="Q436" i="31"/>
  <c r="AK436" i="31"/>
  <c r="W436" i="31"/>
  <c r="AD442" i="31"/>
  <c r="AJ442" i="31"/>
  <c r="Q442" i="31"/>
  <c r="AA442" i="31"/>
  <c r="AI442" i="31"/>
  <c r="K570" i="31"/>
  <c r="U570" i="31"/>
  <c r="AK433" i="31"/>
  <c r="X433" i="31"/>
  <c r="AA433" i="31"/>
  <c r="Z433" i="31"/>
  <c r="W433" i="31"/>
  <c r="AF433" i="31"/>
  <c r="AK385" i="31"/>
  <c r="U528" i="31"/>
  <c r="AB528" i="31"/>
  <c r="T528" i="31"/>
  <c r="AM528" i="31"/>
  <c r="K528" i="31"/>
  <c r="AH384" i="31"/>
  <c r="AF384" i="31"/>
  <c r="AE384" i="31"/>
  <c r="AG384" i="31"/>
  <c r="V429" i="31"/>
  <c r="X429" i="31"/>
  <c r="V463" i="31"/>
  <c r="L463" i="31"/>
  <c r="AA463" i="31"/>
  <c r="AE463" i="31"/>
  <c r="N604" i="31"/>
  <c r="T604" i="31"/>
  <c r="S604" i="31"/>
  <c r="Y604" i="31"/>
  <c r="AQ248" i="31"/>
  <c r="AM553" i="31"/>
  <c r="Y553" i="31"/>
  <c r="AK553" i="31"/>
  <c r="AR553" i="31"/>
  <c r="AJ553" i="31"/>
  <c r="U342" i="31"/>
  <c r="Q502" i="31"/>
  <c r="K502" i="31"/>
  <c r="AA502" i="31"/>
  <c r="AG502" i="31"/>
  <c r="AH358" i="31"/>
  <c r="AG358" i="31"/>
  <c r="AR358" i="31"/>
  <c r="AA392" i="31"/>
  <c r="AK522" i="31"/>
  <c r="X522" i="31"/>
  <c r="AM522" i="31"/>
  <c r="T522" i="31"/>
  <c r="AJ522" i="31"/>
  <c r="AG522" i="31"/>
  <c r="W522" i="31"/>
  <c r="AB522" i="31"/>
  <c r="P602" i="31"/>
  <c r="AJ602" i="31"/>
  <c r="Z602" i="31"/>
  <c r="AM602" i="31"/>
  <c r="AI602" i="31"/>
  <c r="AK602" i="31"/>
  <c r="Q395" i="31"/>
  <c r="V323" i="31"/>
  <c r="M528" i="31"/>
  <c r="AM358" i="31"/>
  <c r="AF602" i="31"/>
  <c r="AI433" i="31"/>
  <c r="AB467" i="31"/>
  <c r="Z395" i="31"/>
  <c r="Z323" i="31"/>
  <c r="AG460" i="31"/>
  <c r="AE553" i="31"/>
  <c r="AG433" i="31"/>
  <c r="AB433" i="31"/>
  <c r="Y539" i="31"/>
  <c r="AE467" i="31"/>
  <c r="S395" i="31"/>
  <c r="W395" i="31"/>
  <c r="M323" i="31"/>
  <c r="Z522" i="31"/>
  <c r="AE528" i="31"/>
  <c r="X496" i="31"/>
  <c r="J502" i="31"/>
  <c r="AE602" i="31"/>
  <c r="W434" i="31"/>
  <c r="AI464" i="31"/>
  <c r="Y400" i="31"/>
  <c r="AB555" i="31"/>
  <c r="S497" i="31"/>
  <c r="V448" i="31"/>
  <c r="Q469" i="31"/>
  <c r="AD469" i="31"/>
  <c r="Y469" i="31"/>
  <c r="X469" i="31"/>
  <c r="AJ468" i="31"/>
  <c r="AE468" i="31"/>
  <c r="U468" i="31"/>
  <c r="Y324" i="31"/>
  <c r="AC324" i="31"/>
  <c r="Q324" i="31"/>
  <c r="AD324" i="31"/>
  <c r="AH324" i="31"/>
  <c r="N579" i="31"/>
  <c r="AD579" i="31"/>
  <c r="AC579" i="31"/>
  <c r="X579" i="31"/>
  <c r="AJ407" i="31"/>
  <c r="AC407" i="31"/>
  <c r="AR407" i="31"/>
  <c r="T487" i="31"/>
  <c r="N487" i="31"/>
  <c r="Q484" i="31"/>
  <c r="W484" i="31"/>
  <c r="R484" i="31"/>
  <c r="Q433" i="31"/>
  <c r="AL600" i="31"/>
  <c r="T600" i="31"/>
  <c r="AJ600" i="31"/>
  <c r="AH600" i="31"/>
  <c r="AA600" i="31"/>
  <c r="P600" i="31"/>
  <c r="M600" i="31"/>
  <c r="U600" i="31"/>
  <c r="R456" i="31"/>
  <c r="H456" i="31"/>
  <c r="U456" i="31"/>
  <c r="I456" i="31"/>
  <c r="U339" i="31"/>
  <c r="AE339" i="31"/>
  <c r="Q339" i="31"/>
  <c r="AL467" i="31"/>
  <c r="AK467" i="31"/>
  <c r="Y467" i="31"/>
  <c r="M467" i="31"/>
  <c r="O467" i="31"/>
  <c r="AA467" i="31"/>
  <c r="AF467" i="31"/>
  <c r="S594" i="31"/>
  <c r="Y594" i="31"/>
  <c r="Z594" i="31"/>
  <c r="AA460" i="31"/>
  <c r="AH460" i="31"/>
  <c r="R460" i="31"/>
  <c r="X460" i="31"/>
  <c r="X495" i="31"/>
  <c r="AH495" i="31"/>
  <c r="L495" i="31"/>
  <c r="AE495" i="31"/>
  <c r="S566" i="31"/>
  <c r="AG566" i="31"/>
  <c r="O566" i="31"/>
  <c r="P566" i="31"/>
  <c r="AA539" i="31"/>
  <c r="AB460" i="31"/>
  <c r="L456" i="31"/>
  <c r="AR329" i="31"/>
  <c r="K434" i="31"/>
  <c r="AG464" i="31"/>
  <c r="AH448" i="31"/>
  <c r="AH433" i="31"/>
  <c r="P539" i="31"/>
  <c r="AR467" i="31"/>
  <c r="Y522" i="31"/>
  <c r="L600" i="31"/>
  <c r="P528" i="31"/>
  <c r="AH553" i="31"/>
  <c r="N433" i="31"/>
  <c r="AC433" i="31"/>
  <c r="V539" i="31"/>
  <c r="U467" i="31"/>
  <c r="AC467" i="31"/>
  <c r="L395" i="31"/>
  <c r="AH570" i="31"/>
  <c r="AI522" i="31"/>
  <c r="AI460" i="31"/>
  <c r="AD600" i="31"/>
  <c r="AG528" i="31"/>
  <c r="AC468" i="31"/>
  <c r="Y456" i="31"/>
  <c r="AE496" i="31"/>
  <c r="T566" i="31"/>
  <c r="R502" i="31"/>
  <c r="AI579" i="31"/>
  <c r="H602" i="31"/>
  <c r="Y464" i="31"/>
  <c r="W342" i="31"/>
  <c r="W419" i="31"/>
  <c r="J533" i="31"/>
  <c r="AM533" i="31"/>
  <c r="AK533" i="31"/>
  <c r="U533" i="31"/>
  <c r="T533" i="31"/>
  <c r="O577" i="31"/>
  <c r="T577" i="31"/>
  <c r="U577" i="31"/>
  <c r="AJ445" i="31"/>
  <c r="Y445" i="31"/>
  <c r="AC445" i="31"/>
  <c r="AD514" i="31"/>
  <c r="Y514" i="31"/>
  <c r="AF514" i="31"/>
  <c r="AR514" i="31"/>
  <c r="AI385" i="31"/>
  <c r="AG436" i="31"/>
  <c r="Z445" i="31"/>
  <c r="AB484" i="31"/>
  <c r="W524" i="31"/>
  <c r="Q524" i="31"/>
  <c r="R524" i="31"/>
  <c r="M558" i="31"/>
  <c r="AC558" i="31"/>
  <c r="K558" i="31"/>
  <c r="V558" i="31"/>
  <c r="T497" i="31"/>
  <c r="P497" i="31"/>
  <c r="AE497" i="31"/>
  <c r="AF497" i="31"/>
  <c r="O434" i="31"/>
  <c r="L434" i="31"/>
  <c r="Y434" i="31"/>
  <c r="U434" i="31"/>
  <c r="N539" i="31"/>
  <c r="AC539" i="31"/>
  <c r="AB539" i="31"/>
  <c r="X539" i="31"/>
  <c r="AD395" i="31"/>
  <c r="AC395" i="31"/>
  <c r="T395" i="31"/>
  <c r="P395" i="31"/>
  <c r="Y395" i="31"/>
  <c r="U395" i="31"/>
  <c r="AC323" i="31"/>
  <c r="P323" i="31"/>
  <c r="AI323" i="31"/>
  <c r="O323" i="31"/>
  <c r="AD323" i="31"/>
  <c r="AG323" i="31"/>
  <c r="AJ323" i="31"/>
  <c r="Y323" i="31"/>
  <c r="AI511" i="31"/>
  <c r="Y511" i="31"/>
  <c r="AJ511" i="31"/>
  <c r="AR511" i="31"/>
  <c r="AK511" i="31"/>
  <c r="AA401" i="31"/>
  <c r="AB401" i="31"/>
  <c r="AF401" i="31"/>
  <c r="AE401" i="31"/>
  <c r="AC451" i="31"/>
  <c r="AJ451" i="31"/>
  <c r="AE451" i="31"/>
  <c r="AK451" i="31"/>
  <c r="X451" i="31"/>
  <c r="AL451" i="31"/>
  <c r="AM451" i="31"/>
  <c r="AC377" i="31"/>
  <c r="AA377" i="31"/>
  <c r="AH386" i="31"/>
  <c r="AR386" i="31"/>
  <c r="L433" i="31"/>
  <c r="U539" i="31"/>
  <c r="Q467" i="31"/>
  <c r="S522" i="31"/>
  <c r="X600" i="31"/>
  <c r="AF528" i="31"/>
  <c r="AK384" i="31"/>
  <c r="I496" i="31"/>
  <c r="AK339" i="31"/>
  <c r="U502" i="31"/>
  <c r="W429" i="31"/>
  <c r="AC604" i="31"/>
  <c r="AE594" i="31"/>
  <c r="AQ92" i="31"/>
  <c r="AG397" i="31"/>
  <c r="AH397" i="31"/>
  <c r="AF397" i="31"/>
  <c r="AG553" i="31"/>
  <c r="M539" i="31"/>
  <c r="K456" i="31"/>
  <c r="M577" i="31"/>
  <c r="Z553" i="31"/>
  <c r="K433" i="31"/>
  <c r="R433" i="31"/>
  <c r="AI397" i="31"/>
  <c r="P467" i="31"/>
  <c r="AM467" i="31"/>
  <c r="O395" i="31"/>
  <c r="AA323" i="31"/>
  <c r="AG451" i="31"/>
  <c r="L570" i="31"/>
  <c r="AD522" i="31"/>
  <c r="AL460" i="31"/>
  <c r="K600" i="31"/>
  <c r="AI528" i="31"/>
  <c r="AG456" i="31"/>
  <c r="M456" i="31"/>
  <c r="AI566" i="31"/>
  <c r="M502" i="31"/>
  <c r="AF463" i="31"/>
  <c r="J531" i="31"/>
  <c r="Y602" i="31"/>
  <c r="U560" i="31"/>
  <c r="AB464" i="31"/>
  <c r="AM559" i="31"/>
  <c r="Z400" i="31"/>
  <c r="AL497" i="31"/>
  <c r="U410" i="31"/>
  <c r="AR315" i="31"/>
  <c r="I23" i="36"/>
  <c r="J23" i="36" s="1"/>
  <c r="I26" i="36"/>
  <c r="J26" i="36" s="1"/>
  <c r="I9" i="36"/>
  <c r="J9" i="36" s="1"/>
  <c r="I12" i="36"/>
  <c r="J12" i="36" s="1"/>
  <c r="I8" i="36"/>
  <c r="J8" i="36" s="1"/>
  <c r="I18" i="36"/>
  <c r="J18" i="36" s="1"/>
  <c r="I22" i="36"/>
  <c r="J22" i="36" s="1"/>
  <c r="I25" i="36"/>
  <c r="J25" i="36" s="1"/>
  <c r="I17" i="36"/>
  <c r="J17" i="36" s="1"/>
  <c r="I15" i="36"/>
  <c r="J15" i="36" s="1"/>
  <c r="I21" i="36"/>
  <c r="J21" i="36" s="1"/>
  <c r="I20" i="36"/>
  <c r="J20" i="36" s="1"/>
  <c r="I10" i="36"/>
  <c r="J10" i="36" s="1"/>
  <c r="I16" i="36"/>
  <c r="J16" i="36" s="1"/>
  <c r="AR465" i="31"/>
  <c r="X559" i="31"/>
  <c r="T481" i="31"/>
  <c r="AF408" i="31"/>
  <c r="Y465" i="31"/>
  <c r="S559" i="31"/>
  <c r="AR440" i="31"/>
  <c r="S481" i="31"/>
  <c r="AJ559" i="31"/>
  <c r="T474" i="31"/>
  <c r="R474" i="31"/>
  <c r="AB326" i="31"/>
  <c r="Y474" i="31"/>
  <c r="W474" i="31"/>
  <c r="L560" i="31"/>
  <c r="AH560" i="31"/>
  <c r="AE380" i="31"/>
  <c r="AD491" i="31"/>
  <c r="AE437" i="31"/>
  <c r="W506" i="31"/>
  <c r="AB529" i="31"/>
  <c r="V529" i="31"/>
  <c r="W529" i="31"/>
  <c r="X529" i="31"/>
  <c r="Y529" i="31"/>
  <c r="Q529" i="31"/>
  <c r="T529" i="31"/>
  <c r="Z529" i="31"/>
  <c r="S529" i="31"/>
  <c r="P529" i="31"/>
  <c r="R529" i="31"/>
  <c r="AG355" i="31"/>
  <c r="AB419" i="31"/>
  <c r="X552" i="31"/>
  <c r="AD529" i="31"/>
  <c r="AL336" i="31"/>
  <c r="AI336" i="31"/>
  <c r="AK336" i="31"/>
  <c r="AQ184" i="31"/>
  <c r="AE489" i="31"/>
  <c r="AF489" i="31"/>
  <c r="AM489" i="31"/>
  <c r="AR489" i="31"/>
  <c r="AB489" i="31"/>
  <c r="AG489" i="31"/>
  <c r="AL489" i="31"/>
  <c r="AK489" i="31"/>
  <c r="AJ489" i="31"/>
  <c r="AD489" i="31"/>
  <c r="AH489" i="31"/>
  <c r="AI489" i="31"/>
  <c r="AC489" i="31"/>
  <c r="AQ111" i="31"/>
  <c r="AL416" i="31"/>
  <c r="AR416" i="31"/>
  <c r="AM416" i="31"/>
  <c r="AK416" i="31"/>
  <c r="W523" i="31"/>
  <c r="H523" i="31"/>
  <c r="L523" i="31"/>
  <c r="J523" i="31"/>
  <c r="T523" i="31"/>
  <c r="V523" i="31"/>
  <c r="AB523" i="31"/>
  <c r="AA523" i="31"/>
  <c r="R523" i="31"/>
  <c r="U523" i="31"/>
  <c r="N523" i="31"/>
  <c r="X523" i="31"/>
  <c r="Y523" i="31"/>
  <c r="P523" i="31"/>
  <c r="S523" i="31"/>
  <c r="I523" i="31"/>
  <c r="Q523" i="31"/>
  <c r="M523" i="31"/>
  <c r="K523" i="31"/>
  <c r="Z523" i="31"/>
  <c r="M450" i="31"/>
  <c r="O450" i="31"/>
  <c r="K450" i="31"/>
  <c r="S450" i="31"/>
  <c r="V450" i="31"/>
  <c r="AA450" i="31"/>
  <c r="T450" i="31"/>
  <c r="Y450" i="31"/>
  <c r="AD450" i="31"/>
  <c r="N450" i="31"/>
  <c r="AC450" i="31"/>
  <c r="W450" i="31"/>
  <c r="Q450" i="31"/>
  <c r="X450" i="31"/>
  <c r="AB450" i="31"/>
  <c r="L450" i="31"/>
  <c r="R450" i="31"/>
  <c r="U450" i="31"/>
  <c r="Z450" i="31"/>
  <c r="AE411" i="31"/>
  <c r="AF411" i="31"/>
  <c r="Z411" i="31"/>
  <c r="AC411" i="31"/>
  <c r="W411" i="31"/>
  <c r="AG411" i="31"/>
  <c r="Y411" i="31"/>
  <c r="V411" i="31"/>
  <c r="AA411" i="31"/>
  <c r="AD411" i="31"/>
  <c r="AB411" i="31"/>
  <c r="X411" i="31"/>
  <c r="AQ296" i="31"/>
  <c r="AR601" i="31"/>
  <c r="AG421" i="31"/>
  <c r="AQ186" i="31"/>
  <c r="AC491" i="31"/>
  <c r="N491" i="31"/>
  <c r="AF491" i="31"/>
  <c r="AB491" i="31"/>
  <c r="O491" i="31"/>
  <c r="V491" i="31"/>
  <c r="L491" i="31"/>
  <c r="I491" i="31"/>
  <c r="AI491" i="31"/>
  <c r="T491" i="31"/>
  <c r="Y491" i="31"/>
  <c r="J491" i="31"/>
  <c r="R491" i="31"/>
  <c r="M491" i="31"/>
  <c r="W491" i="31"/>
  <c r="AR491" i="31"/>
  <c r="K491" i="31"/>
  <c r="AG491" i="31"/>
  <c r="AK491" i="31"/>
  <c r="U491" i="31"/>
  <c r="AM491" i="31"/>
  <c r="Z491" i="31"/>
  <c r="X491" i="31"/>
  <c r="AJ491" i="31"/>
  <c r="S491" i="31"/>
  <c r="AE491" i="31"/>
  <c r="AL491" i="31"/>
  <c r="AQ42" i="31"/>
  <c r="AM347" i="31"/>
  <c r="AK347" i="31"/>
  <c r="AL347" i="31"/>
  <c r="AF347" i="31"/>
  <c r="AI347" i="31"/>
  <c r="AR347" i="31"/>
  <c r="AJ347" i="31"/>
  <c r="AH347" i="31"/>
  <c r="AG347" i="31"/>
  <c r="AF426" i="31"/>
  <c r="AE426" i="31"/>
  <c r="AQ227" i="31"/>
  <c r="Q532" i="31"/>
  <c r="T532" i="31"/>
  <c r="AC532" i="31"/>
  <c r="Z532" i="31"/>
  <c r="V532" i="31"/>
  <c r="S532" i="31"/>
  <c r="W532" i="31"/>
  <c r="L532" i="31"/>
  <c r="K532" i="31"/>
  <c r="AR532" i="31"/>
  <c r="AJ532" i="31"/>
  <c r="X532" i="31"/>
  <c r="AK532" i="31"/>
  <c r="N532" i="31"/>
  <c r="AL532" i="31"/>
  <c r="AB532" i="31"/>
  <c r="AM532" i="31"/>
  <c r="O532" i="31"/>
  <c r="AG532" i="31"/>
  <c r="P532" i="31"/>
  <c r="AF532" i="31"/>
  <c r="U532" i="31"/>
  <c r="Y532" i="31"/>
  <c r="AE532" i="31"/>
  <c r="AD532" i="31"/>
  <c r="M532" i="31"/>
  <c r="AA532" i="31"/>
  <c r="AI532" i="31"/>
  <c r="R532" i="31"/>
  <c r="AH532" i="31"/>
  <c r="AQ46" i="31"/>
  <c r="AM351" i="31"/>
  <c r="AK351" i="31"/>
  <c r="AH351" i="31"/>
  <c r="AJ351" i="31"/>
  <c r="AL351" i="31"/>
  <c r="AF351" i="31"/>
  <c r="AR351" i="31"/>
  <c r="AG351" i="31"/>
  <c r="AI351" i="31"/>
  <c r="AM481" i="31"/>
  <c r="R481" i="31"/>
  <c r="P481" i="31"/>
  <c r="J481" i="31"/>
  <c r="AI481" i="31"/>
  <c r="Z481" i="31"/>
  <c r="O481" i="31"/>
  <c r="M481" i="31"/>
  <c r="I481" i="31"/>
  <c r="AK481" i="31"/>
  <c r="Y481" i="31"/>
  <c r="Q481" i="31"/>
  <c r="L481" i="31"/>
  <c r="AJ481" i="31"/>
  <c r="N481" i="31"/>
  <c r="AG481" i="31"/>
  <c r="AL481" i="31"/>
  <c r="AH481" i="31"/>
  <c r="V481" i="31"/>
  <c r="K481" i="31"/>
  <c r="AC481" i="31"/>
  <c r="X481" i="31"/>
  <c r="W481" i="31"/>
  <c r="AF481" i="31"/>
  <c r="AE481" i="31"/>
  <c r="AQ221" i="31"/>
  <c r="M526" i="31"/>
  <c r="Z526" i="31"/>
  <c r="AG526" i="31"/>
  <c r="R526" i="31"/>
  <c r="K526" i="31"/>
  <c r="AE526" i="31"/>
  <c r="Q526" i="31"/>
  <c r="P526" i="31"/>
  <c r="AR526" i="31"/>
  <c r="AJ526" i="31"/>
  <c r="O526" i="31"/>
  <c r="AL526" i="31"/>
  <c r="T526" i="31"/>
  <c r="W526" i="31"/>
  <c r="S526" i="31"/>
  <c r="AH526" i="31"/>
  <c r="Y526" i="31"/>
  <c r="AB526" i="31"/>
  <c r="AF526" i="31"/>
  <c r="L526" i="31"/>
  <c r="AK526" i="31"/>
  <c r="AA526" i="31"/>
  <c r="X526" i="31"/>
  <c r="I526" i="31"/>
  <c r="AD526" i="31"/>
  <c r="J526" i="31"/>
  <c r="AC526" i="31"/>
  <c r="AI526" i="31"/>
  <c r="V526" i="31"/>
  <c r="N526" i="31"/>
  <c r="AC452" i="31"/>
  <c r="AR452" i="31"/>
  <c r="AI452" i="31"/>
  <c r="AB452" i="31"/>
  <c r="AG452" i="31"/>
  <c r="AF452" i="31"/>
  <c r="AH452" i="31"/>
  <c r="AA452" i="31"/>
  <c r="AE452" i="31"/>
  <c r="Y452" i="31"/>
  <c r="AK452" i="31"/>
  <c r="AJ452" i="31"/>
  <c r="AL452" i="31"/>
  <c r="X452" i="31"/>
  <c r="AD452" i="31"/>
  <c r="Z452" i="31"/>
  <c r="AQ301" i="31"/>
  <c r="AL606" i="31"/>
  <c r="U606" i="31"/>
  <c r="Z606" i="31"/>
  <c r="AJ606" i="31"/>
  <c r="AC606" i="31"/>
  <c r="T606" i="31"/>
  <c r="AK606" i="31"/>
  <c r="N606" i="31"/>
  <c r="AR606" i="31"/>
  <c r="AF606" i="31"/>
  <c r="AG606" i="31"/>
  <c r="AM606" i="31"/>
  <c r="AD606" i="31"/>
  <c r="Q606" i="31"/>
  <c r="O606" i="31"/>
  <c r="AI606" i="31"/>
  <c r="R606" i="31"/>
  <c r="Y606" i="31"/>
  <c r="W606" i="31"/>
  <c r="AA606" i="31"/>
  <c r="X606" i="31"/>
  <c r="V606" i="31"/>
  <c r="AB606" i="31"/>
  <c r="AH606" i="31"/>
  <c r="S606" i="31"/>
  <c r="P606" i="31"/>
  <c r="AD437" i="31"/>
  <c r="V437" i="31"/>
  <c r="S437" i="31"/>
  <c r="R437" i="31"/>
  <c r="AC437" i="31"/>
  <c r="AB437" i="31"/>
  <c r="W437" i="31"/>
  <c r="T437" i="31"/>
  <c r="X437" i="31"/>
  <c r="Z437" i="31"/>
  <c r="AA437" i="31"/>
  <c r="U437" i="31"/>
  <c r="Y437" i="31"/>
  <c r="AQ215" i="31"/>
  <c r="AB520" i="31"/>
  <c r="T520" i="31"/>
  <c r="AH520" i="31"/>
  <c r="AR520" i="31"/>
  <c r="AI520" i="31"/>
  <c r="AA520" i="31"/>
  <c r="V520" i="31"/>
  <c r="W520" i="31"/>
  <c r="Y520" i="31"/>
  <c r="AF520" i="31"/>
  <c r="U520" i="31"/>
  <c r="AJ520" i="31"/>
  <c r="AG520" i="31"/>
  <c r="AM520" i="31"/>
  <c r="AD520" i="31"/>
  <c r="AK520" i="31"/>
  <c r="AC520" i="31"/>
  <c r="X520" i="31"/>
  <c r="Z520" i="31"/>
  <c r="AE520" i="31"/>
  <c r="S520" i="31"/>
  <c r="AQ141" i="31"/>
  <c r="AK446" i="31"/>
  <c r="AR446" i="31"/>
  <c r="AM446" i="31"/>
  <c r="AH446" i="31"/>
  <c r="AF446" i="31"/>
  <c r="AG446" i="31"/>
  <c r="AD446" i="31"/>
  <c r="AI446" i="31"/>
  <c r="AB446" i="31"/>
  <c r="Z446" i="31"/>
  <c r="AE446" i="31"/>
  <c r="AC446" i="31"/>
  <c r="AL446" i="31"/>
  <c r="AC529" i="31"/>
  <c r="AR485" i="31"/>
  <c r="AB481" i="31"/>
  <c r="AF485" i="31"/>
  <c r="AJ446" i="31"/>
  <c r="U526" i="31"/>
  <c r="AL520" i="31"/>
  <c r="H491" i="31"/>
  <c r="AM336" i="31"/>
  <c r="AH491" i="31"/>
  <c r="AJ336" i="31"/>
  <c r="AR382" i="31"/>
  <c r="AL453" i="31"/>
  <c r="U529" i="31"/>
  <c r="T552" i="31"/>
  <c r="U552" i="31"/>
  <c r="R552" i="31"/>
  <c r="Y552" i="31"/>
  <c r="V552" i="31"/>
  <c r="W552" i="31"/>
  <c r="P552" i="31"/>
  <c r="S552" i="31"/>
  <c r="AQ103" i="31"/>
  <c r="Y408" i="31"/>
  <c r="AG408" i="31"/>
  <c r="AE408" i="31"/>
  <c r="AH408" i="31"/>
  <c r="AC408" i="31"/>
  <c r="Z408" i="31"/>
  <c r="AK408" i="31"/>
  <c r="AB408" i="31"/>
  <c r="AR408" i="31"/>
  <c r="AA408" i="31"/>
  <c r="AI408" i="31"/>
  <c r="AJ408" i="31"/>
  <c r="AL408" i="31"/>
  <c r="AM408" i="31"/>
  <c r="AQ38" i="31"/>
  <c r="AM343" i="31"/>
  <c r="V343" i="31"/>
  <c r="AK343" i="31"/>
  <c r="Z343" i="31"/>
  <c r="AL343" i="31"/>
  <c r="AH343" i="31"/>
  <c r="Y343" i="31"/>
  <c r="AC343" i="31"/>
  <c r="AB343" i="31"/>
  <c r="AG343" i="31"/>
  <c r="U343" i="31"/>
  <c r="T343" i="31"/>
  <c r="AA343" i="31"/>
  <c r="AF343" i="31"/>
  <c r="AD343" i="31"/>
  <c r="AE343" i="31"/>
  <c r="W343" i="31"/>
  <c r="AJ343" i="31"/>
  <c r="AR343" i="31"/>
  <c r="AQ298" i="31"/>
  <c r="AR603" i="31"/>
  <c r="V506" i="31"/>
  <c r="O506" i="31"/>
  <c r="K506" i="31"/>
  <c r="U506" i="31"/>
  <c r="AI506" i="31"/>
  <c r="I506" i="31"/>
  <c r="X506" i="31"/>
  <c r="T506" i="31"/>
  <c r="M506" i="31"/>
  <c r="L506" i="31"/>
  <c r="AC506" i="31"/>
  <c r="Z506" i="31"/>
  <c r="AE506" i="31"/>
  <c r="AG506" i="31"/>
  <c r="N506" i="31"/>
  <c r="J506" i="31"/>
  <c r="AD506" i="31"/>
  <c r="P506" i="31"/>
  <c r="AF506" i="31"/>
  <c r="Y506" i="31"/>
  <c r="S506" i="31"/>
  <c r="AA506" i="31"/>
  <c r="R506" i="31"/>
  <c r="AH506" i="31"/>
  <c r="AB506" i="31"/>
  <c r="Z419" i="31"/>
  <c r="AA419" i="31"/>
  <c r="V419" i="31"/>
  <c r="Y419" i="31"/>
  <c r="X419" i="31"/>
  <c r="AQ148" i="31"/>
  <c r="W453" i="31"/>
  <c r="AF453" i="31"/>
  <c r="AH453" i="31"/>
  <c r="AC453" i="31"/>
  <c r="AI453" i="31"/>
  <c r="AD453" i="31"/>
  <c r="AE453" i="31"/>
  <c r="AA453" i="31"/>
  <c r="X453" i="31"/>
  <c r="AG453" i="31"/>
  <c r="V453" i="31"/>
  <c r="Z453" i="31"/>
  <c r="AJ453" i="31"/>
  <c r="AK453" i="31"/>
  <c r="AB453" i="31"/>
  <c r="AM453" i="31"/>
  <c r="Y453" i="31"/>
  <c r="AD536" i="31"/>
  <c r="AF536" i="31"/>
  <c r="AL536" i="31"/>
  <c r="AJ536" i="31"/>
  <c r="AM536" i="31"/>
  <c r="AB536" i="31"/>
  <c r="AE536" i="31"/>
  <c r="AG536" i="31"/>
  <c r="AI536" i="31"/>
  <c r="AC536" i="31"/>
  <c r="AH536" i="31"/>
  <c r="AM355" i="31"/>
  <c r="AL355" i="31"/>
  <c r="AJ355" i="31"/>
  <c r="AH355" i="31"/>
  <c r="AI355" i="31"/>
  <c r="AE355" i="31"/>
  <c r="AC355" i="31"/>
  <c r="AD355" i="31"/>
  <c r="AK355" i="31"/>
  <c r="AQ180" i="31"/>
  <c r="AK485" i="31"/>
  <c r="W485" i="31"/>
  <c r="X485" i="31"/>
  <c r="AL485" i="31"/>
  <c r="T485" i="31"/>
  <c r="V485" i="31"/>
  <c r="AM485" i="31"/>
  <c r="N485" i="31"/>
  <c r="Y485" i="31"/>
  <c r="AJ485" i="31"/>
  <c r="AE485" i="31"/>
  <c r="L485" i="31"/>
  <c r="AG485" i="31"/>
  <c r="AH485" i="31"/>
  <c r="AA485" i="31"/>
  <c r="U485" i="31"/>
  <c r="Z485" i="31"/>
  <c r="AB485" i="31"/>
  <c r="AC485" i="31"/>
  <c r="Q485" i="31"/>
  <c r="R485" i="31"/>
  <c r="O485" i="31"/>
  <c r="AI485" i="31"/>
  <c r="M485" i="31"/>
  <c r="S485" i="31"/>
  <c r="P485" i="31"/>
  <c r="AQ262" i="31"/>
  <c r="AR567" i="31"/>
  <c r="AL567" i="31"/>
  <c r="AK567" i="31"/>
  <c r="AJ567" i="31"/>
  <c r="AG567" i="31"/>
  <c r="AM567" i="31"/>
  <c r="AH567" i="31"/>
  <c r="AI567" i="31"/>
  <c r="AQ117" i="31"/>
  <c r="V422" i="31"/>
  <c r="H422" i="31"/>
  <c r="AM422" i="31"/>
  <c r="K422" i="31"/>
  <c r="AE422" i="31"/>
  <c r="AK422" i="31"/>
  <c r="X422" i="31"/>
  <c r="T422" i="31"/>
  <c r="AJ422" i="31"/>
  <c r="R422" i="31"/>
  <c r="W422" i="31"/>
  <c r="AF422" i="31"/>
  <c r="M422" i="31"/>
  <c r="AG422" i="31"/>
  <c r="S422" i="31"/>
  <c r="Y422" i="31"/>
  <c r="Z422" i="31"/>
  <c r="U422" i="31"/>
  <c r="AH422" i="31"/>
  <c r="AB422" i="31"/>
  <c r="AL422" i="31"/>
  <c r="P422" i="31"/>
  <c r="AA422" i="31"/>
  <c r="O422" i="31"/>
  <c r="Q422" i="31"/>
  <c r="I422" i="31"/>
  <c r="J422" i="31"/>
  <c r="L422" i="31"/>
  <c r="AI422" i="31"/>
  <c r="AD422" i="31"/>
  <c r="N422" i="31"/>
  <c r="AC422" i="31"/>
  <c r="AR422" i="31"/>
  <c r="AQ293" i="31"/>
  <c r="AR598" i="31"/>
  <c r="Q454" i="31"/>
  <c r="S454" i="31"/>
  <c r="AA454" i="31"/>
  <c r="R454" i="31"/>
  <c r="AE454" i="31"/>
  <c r="X454" i="31"/>
  <c r="Y454" i="31"/>
  <c r="Z454" i="31"/>
  <c r="AB454" i="31"/>
  <c r="AD454" i="31"/>
  <c r="T454" i="31"/>
  <c r="W454" i="31"/>
  <c r="P454" i="31"/>
  <c r="AC454" i="31"/>
  <c r="U454" i="31"/>
  <c r="V454" i="31"/>
  <c r="AF454" i="31"/>
  <c r="AQ77" i="31"/>
  <c r="AD382" i="31"/>
  <c r="T382" i="31"/>
  <c r="AI382" i="31"/>
  <c r="P382" i="31"/>
  <c r="AH382" i="31"/>
  <c r="S382" i="31"/>
  <c r="Y382" i="31"/>
  <c r="AC382" i="31"/>
  <c r="Z382" i="31"/>
  <c r="AG382" i="31"/>
  <c r="AJ382" i="31"/>
  <c r="R382" i="31"/>
  <c r="W382" i="31"/>
  <c r="AK382" i="31"/>
  <c r="AM382" i="31"/>
  <c r="AB382" i="31"/>
  <c r="AF382" i="31"/>
  <c r="AL382" i="31"/>
  <c r="AA382" i="31"/>
  <c r="AE382" i="31"/>
  <c r="Q382" i="31"/>
  <c r="V382" i="31"/>
  <c r="X382" i="31"/>
  <c r="U405" i="31"/>
  <c r="W405" i="31"/>
  <c r="Y405" i="31"/>
  <c r="Z405" i="31"/>
  <c r="V405" i="31"/>
  <c r="AK535" i="31"/>
  <c r="U535" i="31"/>
  <c r="AJ535" i="31"/>
  <c r="AF535" i="31"/>
  <c r="W535" i="31"/>
  <c r="AI535" i="31"/>
  <c r="AG535" i="31"/>
  <c r="V535" i="31"/>
  <c r="Z535" i="31"/>
  <c r="AB535" i="31"/>
  <c r="AC535" i="31"/>
  <c r="AH535" i="31"/>
  <c r="AL535" i="31"/>
  <c r="AM535" i="31"/>
  <c r="AA535" i="31"/>
  <c r="AD535" i="31"/>
  <c r="Y535" i="31"/>
  <c r="X535" i="31"/>
  <c r="AE535" i="31"/>
  <c r="AQ61" i="31"/>
  <c r="AK366" i="31"/>
  <c r="AI366" i="31"/>
  <c r="S366" i="31"/>
  <c r="AJ366" i="31"/>
  <c r="AC366" i="31"/>
  <c r="O366" i="31"/>
  <c r="AL366" i="31"/>
  <c r="X366" i="31"/>
  <c r="AF366" i="31"/>
  <c r="V366" i="31"/>
  <c r="AA366" i="31"/>
  <c r="N366" i="31"/>
  <c r="T366" i="31"/>
  <c r="AM366" i="31"/>
  <c r="U366" i="31"/>
  <c r="W366" i="31"/>
  <c r="AE366" i="31"/>
  <c r="Q366" i="31"/>
  <c r="M366" i="31"/>
  <c r="R366" i="31"/>
  <c r="AD366" i="31"/>
  <c r="AB366" i="31"/>
  <c r="P366" i="31"/>
  <c r="Y366" i="31"/>
  <c r="AG366" i="31"/>
  <c r="Z366" i="31"/>
  <c r="AH366" i="31"/>
  <c r="AR366" i="31"/>
  <c r="AQ58" i="31"/>
  <c r="M363" i="31"/>
  <c r="Z363" i="31"/>
  <c r="W363" i="31"/>
  <c r="O363" i="31"/>
  <c r="Q363" i="31"/>
  <c r="AD363" i="31"/>
  <c r="AH363" i="31"/>
  <c r="Y363" i="31"/>
  <c r="AK363" i="31"/>
  <c r="X363" i="31"/>
  <c r="AG363" i="31"/>
  <c r="AE363" i="31"/>
  <c r="AM363" i="31"/>
  <c r="P363" i="31"/>
  <c r="AL363" i="31"/>
  <c r="AR363" i="31"/>
  <c r="AC363" i="31"/>
  <c r="T363" i="31"/>
  <c r="S363" i="31"/>
  <c r="R363" i="31"/>
  <c r="V363" i="31"/>
  <c r="AI363" i="31"/>
  <c r="AA363" i="31"/>
  <c r="N363" i="31"/>
  <c r="AB363" i="31"/>
  <c r="U481" i="31"/>
  <c r="U363" i="31"/>
  <c r="AD481" i="31"/>
  <c r="AA446" i="31"/>
  <c r="X343" i="31"/>
  <c r="AF421" i="31"/>
  <c r="AJ363" i="31"/>
  <c r="AI343" i="31"/>
  <c r="O523" i="31"/>
  <c r="AM452" i="31"/>
  <c r="Q491" i="31"/>
  <c r="AA491" i="31"/>
  <c r="P450" i="31"/>
  <c r="AQ160" i="31"/>
  <c r="X465" i="31"/>
  <c r="AJ465" i="31"/>
  <c r="AF465" i="31"/>
  <c r="AK465" i="31"/>
  <c r="AI465" i="31"/>
  <c r="AA465" i="31"/>
  <c r="AB465" i="31"/>
  <c r="AD465" i="31"/>
  <c r="AG465" i="31"/>
  <c r="AC465" i="31"/>
  <c r="AE465" i="31"/>
  <c r="Z465" i="31"/>
  <c r="Q555" i="31"/>
  <c r="AE555" i="31"/>
  <c r="M555" i="31"/>
  <c r="N555" i="31"/>
  <c r="AA555" i="31"/>
  <c r="X555" i="31"/>
  <c r="Y555" i="31"/>
  <c r="P555" i="31"/>
  <c r="Z555" i="31"/>
  <c r="W555" i="31"/>
  <c r="T555" i="31"/>
  <c r="AD555" i="31"/>
  <c r="V555" i="31"/>
  <c r="AF555" i="31"/>
  <c r="O555" i="31"/>
  <c r="U555" i="31"/>
  <c r="S555" i="31"/>
  <c r="AM385" i="31"/>
  <c r="V396" i="31"/>
  <c r="L496" i="31"/>
  <c r="W465" i="31"/>
  <c r="AC380" i="31"/>
  <c r="AR499" i="31"/>
  <c r="AA445" i="31"/>
  <c r="AL385" i="31"/>
  <c r="T570" i="31"/>
  <c r="W570" i="31"/>
  <c r="U436" i="31"/>
  <c r="K436" i="31"/>
  <c r="R540" i="31"/>
  <c r="AA468" i="31"/>
  <c r="AG324" i="31"/>
  <c r="AB324" i="31"/>
  <c r="P479" i="31"/>
  <c r="AH407" i="31"/>
  <c r="K533" i="31"/>
  <c r="AH329" i="31"/>
  <c r="M496" i="31"/>
  <c r="V514" i="31"/>
  <c r="T442" i="31"/>
  <c r="AM414" i="31"/>
  <c r="M579" i="31"/>
  <c r="AM465" i="31"/>
  <c r="AI369" i="31"/>
  <c r="W380" i="31"/>
  <c r="AL559" i="31"/>
  <c r="N390" i="31"/>
  <c r="AR500" i="31"/>
  <c r="Q600" i="31"/>
  <c r="AI600" i="31"/>
  <c r="AC600" i="31"/>
  <c r="Z600" i="31"/>
  <c r="R600" i="31"/>
  <c r="AE600" i="31"/>
  <c r="AM600" i="31"/>
  <c r="AF600" i="31"/>
  <c r="W600" i="31"/>
  <c r="Y600" i="31"/>
  <c r="AK528" i="31"/>
  <c r="Q528" i="31"/>
  <c r="O528" i="31"/>
  <c r="AL528" i="31"/>
  <c r="AC528" i="31"/>
  <c r="S528" i="31"/>
  <c r="AJ528" i="31"/>
  <c r="AH528" i="31"/>
  <c r="I528" i="31"/>
  <c r="W528" i="31"/>
  <c r="L528" i="31"/>
  <c r="R528" i="31"/>
  <c r="N528" i="31"/>
  <c r="W456" i="31"/>
  <c r="V456" i="31"/>
  <c r="P456" i="31"/>
  <c r="AA456" i="31"/>
  <c r="T456" i="31"/>
  <c r="AB456" i="31"/>
  <c r="AE456" i="31"/>
  <c r="AF456" i="31"/>
  <c r="J456" i="31"/>
  <c r="N456" i="31"/>
  <c r="AQ255" i="31"/>
  <c r="V560" i="31"/>
  <c r="O560" i="31"/>
  <c r="H560" i="31"/>
  <c r="AI560" i="31"/>
  <c r="AF560" i="31"/>
  <c r="AR560" i="31"/>
  <c r="AL560" i="31"/>
  <c r="K560" i="31"/>
  <c r="AE560" i="31"/>
  <c r="AK560" i="31"/>
  <c r="Z560" i="31"/>
  <c r="S560" i="31"/>
  <c r="AM560" i="31"/>
  <c r="N560" i="31"/>
  <c r="AB560" i="31"/>
  <c r="AC560" i="31"/>
  <c r="AG560" i="31"/>
  <c r="AJ560" i="31"/>
  <c r="Y560" i="31"/>
  <c r="M560" i="31"/>
  <c r="I560" i="31"/>
  <c r="AA560" i="31"/>
  <c r="P560" i="31"/>
  <c r="W560" i="31"/>
  <c r="R560" i="31"/>
  <c r="X560" i="31"/>
  <c r="AL484" i="31"/>
  <c r="J484" i="31"/>
  <c r="L484" i="31"/>
  <c r="AM484" i="31"/>
  <c r="N484" i="31"/>
  <c r="U484" i="31"/>
  <c r="AK484" i="31"/>
  <c r="X484" i="31"/>
  <c r="AD484" i="31"/>
  <c r="V484" i="31"/>
  <c r="Z484" i="31"/>
  <c r="Y484" i="31"/>
  <c r="AH484" i="31"/>
  <c r="M484" i="31"/>
  <c r="AC484" i="31"/>
  <c r="AI484" i="31"/>
  <c r="S484" i="31"/>
  <c r="K484" i="31"/>
  <c r="AE484" i="31"/>
  <c r="O484" i="31"/>
  <c r="AJ484" i="31"/>
  <c r="T484" i="31"/>
  <c r="AA484" i="31"/>
  <c r="AG484" i="31"/>
  <c r="AF570" i="31"/>
  <c r="Y436" i="31"/>
  <c r="Y540" i="31"/>
  <c r="R468" i="31"/>
  <c r="AA324" i="31"/>
  <c r="I479" i="31"/>
  <c r="AB407" i="31"/>
  <c r="X533" i="31"/>
  <c r="AG329" i="31"/>
  <c r="X514" i="31"/>
  <c r="P442" i="31"/>
  <c r="AR414" i="31"/>
  <c r="AA579" i="31"/>
  <c r="T560" i="31"/>
  <c r="AD390" i="31"/>
  <c r="AM499" i="31"/>
  <c r="S577" i="31"/>
  <c r="T469" i="31"/>
  <c r="M469" i="31"/>
  <c r="AR445" i="31"/>
  <c r="W445" i="31"/>
  <c r="AJ385" i="31"/>
  <c r="O570" i="31"/>
  <c r="AJ570" i="31"/>
  <c r="AE436" i="31"/>
  <c r="AC436" i="31"/>
  <c r="W468" i="31"/>
  <c r="U324" i="31"/>
  <c r="AR324" i="31"/>
  <c r="Y479" i="31"/>
  <c r="AL407" i="31"/>
  <c r="M533" i="31"/>
  <c r="N496" i="31"/>
  <c r="AE442" i="31"/>
  <c r="P582" i="31"/>
  <c r="AL414" i="31"/>
  <c r="AJ579" i="31"/>
  <c r="AL465" i="31"/>
  <c r="AJ369" i="31"/>
  <c r="J560" i="31"/>
  <c r="AG390" i="31"/>
  <c r="AQ108" i="31"/>
  <c r="AR413" i="31"/>
  <c r="W577" i="31"/>
  <c r="AI324" i="31"/>
  <c r="Y570" i="31"/>
  <c r="R436" i="31"/>
  <c r="Y449" i="31"/>
  <c r="AK445" i="31"/>
  <c r="P570" i="31"/>
  <c r="Z570" i="31"/>
  <c r="AL570" i="31"/>
  <c r="T436" i="31"/>
  <c r="AH436" i="31"/>
  <c r="AF468" i="31"/>
  <c r="M396" i="31"/>
  <c r="R396" i="31"/>
  <c r="T324" i="31"/>
  <c r="X479" i="31"/>
  <c r="Q533" i="31"/>
  <c r="AA496" i="31"/>
  <c r="V442" i="31"/>
  <c r="AF390" i="31"/>
  <c r="X449" i="31"/>
  <c r="AF410" i="31"/>
  <c r="AQ163" i="31"/>
  <c r="V468" i="31"/>
  <c r="AH468" i="31"/>
  <c r="AB468" i="31"/>
  <c r="Y468" i="31"/>
  <c r="AI468" i="31"/>
  <c r="AR468" i="31"/>
  <c r="AL468" i="31"/>
  <c r="AD468" i="31"/>
  <c r="AM468" i="31"/>
  <c r="S468" i="31"/>
  <c r="AQ75" i="31"/>
  <c r="AA380" i="31"/>
  <c r="AF380" i="31"/>
  <c r="AD380" i="31"/>
  <c r="U380" i="31"/>
  <c r="R380" i="31"/>
  <c r="AG380" i="31"/>
  <c r="AI380" i="31"/>
  <c r="S380" i="31"/>
  <c r="AB380" i="31"/>
  <c r="AR380" i="31"/>
  <c r="AK380" i="31"/>
  <c r="T380" i="31"/>
  <c r="AL380" i="31"/>
  <c r="P380" i="31"/>
  <c r="AM380" i="31"/>
  <c r="X380" i="31"/>
  <c r="Z380" i="31"/>
  <c r="Q380" i="31"/>
  <c r="Y582" i="31"/>
  <c r="K582" i="31"/>
  <c r="Z582" i="31"/>
  <c r="Q582" i="31"/>
  <c r="W582" i="31"/>
  <c r="U582" i="31"/>
  <c r="M582" i="31"/>
  <c r="AA582" i="31"/>
  <c r="N582" i="31"/>
  <c r="T582" i="31"/>
  <c r="V582" i="31"/>
  <c r="X582" i="31"/>
  <c r="AQ165" i="31"/>
  <c r="AR470" i="31"/>
  <c r="AL551" i="31"/>
  <c r="AK551" i="31"/>
  <c r="AQ102" i="31"/>
  <c r="AA407" i="31"/>
  <c r="Z407" i="31"/>
  <c r="AI407" i="31"/>
  <c r="AE407" i="31"/>
  <c r="AG407" i="31"/>
  <c r="AF407" i="31"/>
  <c r="AK407" i="31"/>
  <c r="AD407" i="31"/>
  <c r="AQ30" i="31"/>
  <c r="AR335" i="31"/>
  <c r="J559" i="31"/>
  <c r="Q559" i="31"/>
  <c r="U559" i="31"/>
  <c r="Y559" i="31"/>
  <c r="K559" i="31"/>
  <c r="R559" i="31"/>
  <c r="AF559" i="31"/>
  <c r="AH559" i="31"/>
  <c r="W559" i="31"/>
  <c r="V559" i="31"/>
  <c r="N559" i="31"/>
  <c r="AA559" i="31"/>
  <c r="P559" i="31"/>
  <c r="AC559" i="31"/>
  <c r="I559" i="31"/>
  <c r="AD559" i="31"/>
  <c r="AG559" i="31"/>
  <c r="M559" i="31"/>
  <c r="Z559" i="31"/>
  <c r="AI559" i="31"/>
  <c r="L559" i="31"/>
  <c r="T559" i="31"/>
  <c r="U531" i="31"/>
  <c r="AA531" i="31"/>
  <c r="Y531" i="31"/>
  <c r="K531" i="31"/>
  <c r="W531" i="31"/>
  <c r="O531" i="31"/>
  <c r="P531" i="31"/>
  <c r="AB531" i="31"/>
  <c r="S531" i="31"/>
  <c r="AC531" i="31"/>
  <c r="M531" i="31"/>
  <c r="X531" i="31"/>
  <c r="L531" i="31"/>
  <c r="I531" i="31"/>
  <c r="Q531" i="31"/>
  <c r="V531" i="31"/>
  <c r="AD531" i="31"/>
  <c r="AQ65" i="31"/>
  <c r="AL370" i="31"/>
  <c r="AI370" i="31"/>
  <c r="AH370" i="31"/>
  <c r="AM370" i="31"/>
  <c r="AJ370" i="31"/>
  <c r="AK370" i="31"/>
  <c r="AR370" i="31"/>
  <c r="AH428" i="31"/>
  <c r="AQ13" i="31"/>
  <c r="AR318" i="31"/>
  <c r="AC469" i="31"/>
  <c r="P469" i="31"/>
  <c r="R469" i="31"/>
  <c r="X445" i="31"/>
  <c r="AM445" i="31"/>
  <c r="AK570" i="31"/>
  <c r="AA540" i="31"/>
  <c r="Q396" i="31"/>
  <c r="Y496" i="31"/>
  <c r="Y577" i="31"/>
  <c r="AF469" i="31"/>
  <c r="AG445" i="31"/>
  <c r="AL445" i="31"/>
  <c r="AM551" i="31"/>
  <c r="N570" i="31"/>
  <c r="V570" i="31"/>
  <c r="AM570" i="31"/>
  <c r="N436" i="31"/>
  <c r="AA436" i="31"/>
  <c r="Z540" i="31"/>
  <c r="AG468" i="31"/>
  <c r="AE324" i="31"/>
  <c r="R442" i="31"/>
  <c r="O582" i="31"/>
  <c r="AB559" i="31"/>
  <c r="Y410" i="31"/>
  <c r="N396" i="31"/>
  <c r="U396" i="31"/>
  <c r="P396" i="31"/>
  <c r="W396" i="31"/>
  <c r="AQ194" i="31"/>
  <c r="AL499" i="31"/>
  <c r="AQ228" i="31"/>
  <c r="V533" i="31"/>
  <c r="AD533" i="31"/>
  <c r="AB533" i="31"/>
  <c r="Y533" i="31"/>
  <c r="L533" i="31"/>
  <c r="S533" i="31"/>
  <c r="AA533" i="31"/>
  <c r="P533" i="31"/>
  <c r="W533" i="31"/>
  <c r="AE533" i="31"/>
  <c r="AC533" i="31"/>
  <c r="AF533" i="31"/>
  <c r="Z533" i="31"/>
  <c r="AH533" i="31"/>
  <c r="AL533" i="31"/>
  <c r="AG533" i="31"/>
  <c r="R479" i="31"/>
  <c r="S479" i="31"/>
  <c r="J479" i="31"/>
  <c r="T479" i="31"/>
  <c r="W479" i="31"/>
  <c r="O479" i="31"/>
  <c r="U479" i="31"/>
  <c r="M479" i="31"/>
  <c r="H479" i="31"/>
  <c r="Q479" i="31"/>
  <c r="N479" i="31"/>
  <c r="AB331" i="31"/>
  <c r="AA331" i="31"/>
  <c r="Q496" i="31"/>
  <c r="S496" i="31"/>
  <c r="AC496" i="31"/>
  <c r="R496" i="31"/>
  <c r="P496" i="31"/>
  <c r="AD496" i="31"/>
  <c r="U496" i="31"/>
  <c r="K496" i="31"/>
  <c r="J496" i="31"/>
  <c r="T496" i="31"/>
  <c r="W496" i="31"/>
  <c r="Z496" i="31"/>
  <c r="V496" i="31"/>
  <c r="AQ69" i="31"/>
  <c r="AR374" i="31"/>
  <c r="AQ209" i="31"/>
  <c r="AM514" i="31"/>
  <c r="Z514" i="31"/>
  <c r="AL514" i="31"/>
  <c r="AE514" i="31"/>
  <c r="AK514" i="31"/>
  <c r="AG514" i="31"/>
  <c r="W514" i="31"/>
  <c r="AB514" i="31"/>
  <c r="AA514" i="31"/>
  <c r="AJ514" i="31"/>
  <c r="AC514" i="31"/>
  <c r="AI514" i="31"/>
  <c r="AF597" i="31"/>
  <c r="W487" i="31"/>
  <c r="Z487" i="31"/>
  <c r="AA487" i="31"/>
  <c r="Y487" i="31"/>
  <c r="AB487" i="31"/>
  <c r="R487" i="31"/>
  <c r="O487" i="31"/>
  <c r="X487" i="31"/>
  <c r="S487" i="31"/>
  <c r="Q487" i="31"/>
  <c r="V487" i="31"/>
  <c r="O469" i="31"/>
  <c r="AA570" i="31"/>
  <c r="X577" i="31"/>
  <c r="N469" i="31"/>
  <c r="AB445" i="31"/>
  <c r="AF436" i="31"/>
  <c r="AK468" i="31"/>
  <c r="AF324" i="31"/>
  <c r="Z479" i="31"/>
  <c r="AH514" i="31"/>
  <c r="Y442" i="31"/>
  <c r="N531" i="31"/>
  <c r="AD560" i="31"/>
  <c r="V577" i="31"/>
  <c r="L469" i="31"/>
  <c r="P577" i="31"/>
  <c r="V469" i="31"/>
  <c r="AF445" i="31"/>
  <c r="AI570" i="31"/>
  <c r="H436" i="31"/>
  <c r="P540" i="31"/>
  <c r="Z468" i="31"/>
  <c r="V479" i="31"/>
  <c r="AR533" i="31"/>
  <c r="R533" i="31"/>
  <c r="AG496" i="31"/>
  <c r="L582" i="31"/>
  <c r="T531" i="31"/>
  <c r="AE559" i="31"/>
  <c r="U487" i="31"/>
  <c r="AF484" i="31"/>
  <c r="W540" i="31"/>
  <c r="O540" i="31"/>
  <c r="AD540" i="31"/>
  <c r="V540" i="31"/>
  <c r="T540" i="31"/>
  <c r="AB540" i="31"/>
  <c r="U540" i="31"/>
  <c r="AC540" i="31"/>
  <c r="AQ19" i="31"/>
  <c r="J324" i="31"/>
  <c r="I324" i="31"/>
  <c r="AK324" i="31"/>
  <c r="X324" i="31"/>
  <c r="O324" i="31"/>
  <c r="AM324" i="31"/>
  <c r="V324" i="31"/>
  <c r="R324" i="31"/>
  <c r="AJ324" i="31"/>
  <c r="K324" i="31"/>
  <c r="S324" i="31"/>
  <c r="Z324" i="31"/>
  <c r="L324" i="31"/>
  <c r="W324" i="31"/>
  <c r="M324" i="31"/>
  <c r="H324" i="31"/>
  <c r="AQ24" i="31"/>
  <c r="AM329" i="31"/>
  <c r="AL329" i="31"/>
  <c r="AI329" i="31"/>
  <c r="AJ329" i="31"/>
  <c r="AQ131" i="31"/>
  <c r="AJ436" i="31"/>
  <c r="AB436" i="31"/>
  <c r="O436" i="31"/>
  <c r="AL436" i="31"/>
  <c r="AI436" i="31"/>
  <c r="J436" i="31"/>
  <c r="AM436" i="31"/>
  <c r="V436" i="31"/>
  <c r="Z436" i="31"/>
  <c r="AD436" i="31"/>
  <c r="I436" i="31"/>
  <c r="P436" i="31"/>
  <c r="AR436" i="31"/>
  <c r="AB579" i="31"/>
  <c r="AF579" i="31"/>
  <c r="W579" i="31"/>
  <c r="S579" i="31"/>
  <c r="R579" i="31"/>
  <c r="O579" i="31"/>
  <c r="AH579" i="31"/>
  <c r="T579" i="31"/>
  <c r="Y579" i="31"/>
  <c r="U579" i="31"/>
  <c r="V579" i="31"/>
  <c r="P579" i="31"/>
  <c r="Z579" i="31"/>
  <c r="Q579" i="31"/>
  <c r="AK579" i="31"/>
  <c r="AL579" i="31"/>
  <c r="AG579" i="31"/>
  <c r="AM579" i="31"/>
  <c r="AQ85" i="31"/>
  <c r="AL390" i="31"/>
  <c r="AH390" i="31"/>
  <c r="T390" i="31"/>
  <c r="AK390" i="31"/>
  <c r="AI390" i="31"/>
  <c r="U390" i="31"/>
  <c r="AM390" i="31"/>
  <c r="Z390" i="31"/>
  <c r="AR390" i="31"/>
  <c r="R390" i="31"/>
  <c r="O390" i="31"/>
  <c r="AA390" i="31"/>
  <c r="S390" i="31"/>
  <c r="AB390" i="31"/>
  <c r="W390" i="31"/>
  <c r="V390" i="31"/>
  <c r="Y390" i="31"/>
  <c r="AJ390" i="31"/>
  <c r="M390" i="31"/>
  <c r="AC390" i="31"/>
  <c r="Q390" i="31"/>
  <c r="AE390" i="31"/>
  <c r="AD449" i="31"/>
  <c r="AE449" i="31"/>
  <c r="V449" i="31"/>
  <c r="U449" i="31"/>
  <c r="W449" i="31"/>
  <c r="AG449" i="31"/>
  <c r="T449" i="31"/>
  <c r="Z449" i="31"/>
  <c r="AH449" i="31"/>
  <c r="AF449" i="31"/>
  <c r="AI449" i="31"/>
  <c r="AA449" i="31"/>
  <c r="AC449" i="31"/>
  <c r="AQ285" i="31"/>
  <c r="AR590" i="31"/>
  <c r="V445" i="31"/>
  <c r="AI445" i="31"/>
  <c r="AQ137" i="31"/>
  <c r="M442" i="31"/>
  <c r="AF442" i="31"/>
  <c r="AC442" i="31"/>
  <c r="O442" i="31"/>
  <c r="AK442" i="31"/>
  <c r="L442" i="31"/>
  <c r="U442" i="31"/>
  <c r="AB442" i="31"/>
  <c r="N442" i="31"/>
  <c r="AH442" i="31"/>
  <c r="AR442" i="31"/>
  <c r="X442" i="31"/>
  <c r="Z442" i="31"/>
  <c r="S442" i="31"/>
  <c r="AM442" i="31"/>
  <c r="K442" i="31"/>
  <c r="AQ64" i="31"/>
  <c r="AK369" i="31"/>
  <c r="AM369" i="31"/>
  <c r="AH369" i="31"/>
  <c r="AR369" i="31"/>
  <c r="AD570" i="31"/>
  <c r="S570" i="31"/>
  <c r="AB570" i="31"/>
  <c r="X570" i="31"/>
  <c r="AD410" i="31"/>
  <c r="V410" i="31"/>
  <c r="Z410" i="31"/>
  <c r="X410" i="31"/>
  <c r="AC410" i="31"/>
  <c r="W410" i="31"/>
  <c r="S410" i="31"/>
  <c r="AE410" i="31"/>
  <c r="AB410" i="31"/>
  <c r="AA577" i="31"/>
  <c r="AB469" i="31"/>
  <c r="AL324" i="31"/>
  <c r="AM407" i="31"/>
  <c r="AI533" i="31"/>
  <c r="S582" i="31"/>
  <c r="P390" i="31"/>
  <c r="AD445" i="31"/>
  <c r="AI413" i="31"/>
  <c r="Z577" i="31"/>
  <c r="AA469" i="31"/>
  <c r="W469" i="31"/>
  <c r="AE445" i="31"/>
  <c r="AE570" i="31"/>
  <c r="J570" i="31"/>
  <c r="L436" i="31"/>
  <c r="M436" i="31"/>
  <c r="X540" i="31"/>
  <c r="T468" i="31"/>
  <c r="S396" i="31"/>
  <c r="N324" i="31"/>
  <c r="O533" i="31"/>
  <c r="AJ533" i="31"/>
  <c r="O496" i="31"/>
  <c r="W442" i="31"/>
  <c r="R582" i="31"/>
  <c r="AE579" i="31"/>
  <c r="Z531" i="31"/>
  <c r="O559" i="31"/>
  <c r="P487" i="31"/>
  <c r="R555" i="31"/>
  <c r="P484" i="31"/>
  <c r="AQ79" i="31"/>
  <c r="AJ384" i="31"/>
  <c r="AL384" i="31"/>
  <c r="AM384" i="31"/>
  <c r="R429" i="31"/>
  <c r="T429" i="31"/>
  <c r="AA429" i="31"/>
  <c r="AC429" i="31"/>
  <c r="Z429" i="31"/>
  <c r="AB429" i="31"/>
  <c r="AE429" i="31"/>
  <c r="AD429" i="31"/>
  <c r="AM524" i="31"/>
  <c r="AH524" i="31"/>
  <c r="Y524" i="31"/>
  <c r="AJ524" i="31"/>
  <c r="AI524" i="31"/>
  <c r="X524" i="31"/>
  <c r="AL524" i="31"/>
  <c r="K524" i="31"/>
  <c r="AK524" i="31"/>
  <c r="L524" i="31"/>
  <c r="M524" i="31"/>
  <c r="Z524" i="31"/>
  <c r="U524" i="31"/>
  <c r="T524" i="31"/>
  <c r="AC524" i="31"/>
  <c r="N524" i="31"/>
  <c r="AQ39" i="31"/>
  <c r="AJ344" i="31"/>
  <c r="AF344" i="31"/>
  <c r="AK344" i="31"/>
  <c r="AG344" i="31"/>
  <c r="AI344" i="31"/>
  <c r="X344" i="31"/>
  <c r="AE344" i="31"/>
  <c r="AM344" i="31"/>
  <c r="AL344" i="31"/>
  <c r="AB463" i="31"/>
  <c r="Y463" i="31"/>
  <c r="P463" i="31"/>
  <c r="X463" i="31"/>
  <c r="Z463" i="31"/>
  <c r="N463" i="31"/>
  <c r="M463" i="31"/>
  <c r="U463" i="31"/>
  <c r="Q463" i="31"/>
  <c r="AG463" i="31"/>
  <c r="W463" i="31"/>
  <c r="R463" i="31"/>
  <c r="AI463" i="31"/>
  <c r="S463" i="31"/>
  <c r="L558" i="31"/>
  <c r="Z558" i="31"/>
  <c r="Q558" i="31"/>
  <c r="P558" i="31"/>
  <c r="J558" i="31"/>
  <c r="O558" i="31"/>
  <c r="AH558" i="31"/>
  <c r="T558" i="31"/>
  <c r="AD558" i="31"/>
  <c r="I558" i="31"/>
  <c r="N558" i="31"/>
  <c r="H558" i="31"/>
  <c r="AQ73" i="31"/>
  <c r="AM378" i="31"/>
  <c r="AJ378" i="31"/>
  <c r="AI378" i="31"/>
  <c r="Q497" i="31"/>
  <c r="U497" i="31"/>
  <c r="R497" i="31"/>
  <c r="Y497" i="31"/>
  <c r="K497" i="31"/>
  <c r="AI497" i="31"/>
  <c r="W497" i="31"/>
  <c r="X497" i="31"/>
  <c r="AD497" i="31"/>
  <c r="N497" i="31"/>
  <c r="AC497" i="31"/>
  <c r="AG497" i="31"/>
  <c r="J497" i="31"/>
  <c r="I497" i="31"/>
  <c r="AM497" i="31"/>
  <c r="O497" i="31"/>
  <c r="J604" i="31"/>
  <c r="P604" i="31"/>
  <c r="Z604" i="31"/>
  <c r="AE604" i="31"/>
  <c r="L604" i="31"/>
  <c r="AF604" i="31"/>
  <c r="H604" i="31"/>
  <c r="AA604" i="31"/>
  <c r="Q604" i="31"/>
  <c r="AI604" i="31"/>
  <c r="X604" i="31"/>
  <c r="AG604" i="31"/>
  <c r="W604" i="31"/>
  <c r="R604" i="31"/>
  <c r="AA400" i="31"/>
  <c r="W400" i="31"/>
  <c r="V339" i="31"/>
  <c r="T339" i="31"/>
  <c r="X339" i="31"/>
  <c r="S339" i="31"/>
  <c r="W339" i="31"/>
  <c r="AF339" i="31"/>
  <c r="AA339" i="31"/>
  <c r="AH339" i="31"/>
  <c r="AC339" i="31"/>
  <c r="AG339" i="31"/>
  <c r="R339" i="31"/>
  <c r="AD434" i="31"/>
  <c r="AG434" i="31"/>
  <c r="M434" i="31"/>
  <c r="AC434" i="31"/>
  <c r="R434" i="31"/>
  <c r="AE434" i="31"/>
  <c r="AJ434" i="31"/>
  <c r="T434" i="31"/>
  <c r="AM434" i="31"/>
  <c r="S434" i="31"/>
  <c r="AL434" i="31"/>
  <c r="Z434" i="31"/>
  <c r="AQ44" i="31"/>
  <c r="AR349" i="31"/>
  <c r="AJ381" i="31"/>
  <c r="AL381" i="31"/>
  <c r="AH381" i="31"/>
  <c r="AQ159" i="31"/>
  <c r="M464" i="31"/>
  <c r="T464" i="31"/>
  <c r="AH464" i="31"/>
  <c r="R464" i="31"/>
  <c r="AA464" i="31"/>
  <c r="AC464" i="31"/>
  <c r="V464" i="31"/>
  <c r="J464" i="31"/>
  <c r="AD464" i="31"/>
  <c r="AE464" i="31"/>
  <c r="X464" i="31"/>
  <c r="AR464" i="31"/>
  <c r="O464" i="31"/>
  <c r="K464" i="31"/>
  <c r="AQ206" i="31"/>
  <c r="AD511" i="31"/>
  <c r="X511" i="31"/>
  <c r="AM511" i="31"/>
  <c r="Z511" i="31"/>
  <c r="AG511" i="31"/>
  <c r="T511" i="31"/>
  <c r="S511" i="31"/>
  <c r="AQ289" i="31"/>
  <c r="AL594" i="31"/>
  <c r="R594" i="31"/>
  <c r="X594" i="31"/>
  <c r="AJ594" i="31"/>
  <c r="J594" i="31"/>
  <c r="H594" i="31"/>
  <c r="W594" i="31"/>
  <c r="L594" i="31"/>
  <c r="AG594" i="31"/>
  <c r="AI594" i="31"/>
  <c r="AB594" i="31"/>
  <c r="AH594" i="31"/>
  <c r="I594" i="31"/>
  <c r="K594" i="31"/>
  <c r="P594" i="31"/>
  <c r="AD594" i="31"/>
  <c r="AF594" i="31"/>
  <c r="AC594" i="31"/>
  <c r="AR594" i="31"/>
  <c r="V594" i="31"/>
  <c r="V342" i="31"/>
  <c r="X342" i="31"/>
  <c r="Z342" i="31"/>
  <c r="T342" i="31"/>
  <c r="AQ96" i="31"/>
  <c r="AC401" i="31"/>
  <c r="AH401" i="31"/>
  <c r="AI401" i="31"/>
  <c r="AR401" i="31"/>
  <c r="AM401" i="31"/>
  <c r="W460" i="31"/>
  <c r="T460" i="31"/>
  <c r="AC460" i="31"/>
  <c r="AF460" i="31"/>
  <c r="AD460" i="31"/>
  <c r="U460" i="31"/>
  <c r="AQ190" i="31"/>
  <c r="Q495" i="31"/>
  <c r="R495" i="31"/>
  <c r="Y495" i="31"/>
  <c r="AA495" i="31"/>
  <c r="V495" i="31"/>
  <c r="AR495" i="31"/>
  <c r="AD495" i="31"/>
  <c r="AG495" i="31"/>
  <c r="AC495" i="31"/>
  <c r="O495" i="31"/>
  <c r="J495" i="31"/>
  <c r="M495" i="31"/>
  <c r="AI495" i="31"/>
  <c r="T495" i="31"/>
  <c r="N495" i="31"/>
  <c r="I495" i="31"/>
  <c r="AF495" i="31"/>
  <c r="AQ261" i="31"/>
  <c r="AK566" i="31"/>
  <c r="J566" i="31"/>
  <c r="AC566" i="31"/>
  <c r="AL566" i="31"/>
  <c r="X566" i="31"/>
  <c r="L566" i="31"/>
  <c r="AM566" i="31"/>
  <c r="N566" i="31"/>
  <c r="Z566" i="31"/>
  <c r="R566" i="31"/>
  <c r="I566" i="31"/>
  <c r="W566" i="31"/>
  <c r="U566" i="31"/>
  <c r="AA566" i="31"/>
  <c r="AF566" i="31"/>
  <c r="AI502" i="31"/>
  <c r="P502" i="31"/>
  <c r="Y502" i="31"/>
  <c r="X502" i="31"/>
  <c r="AD502" i="31"/>
  <c r="AE502" i="31"/>
  <c r="W502" i="31"/>
  <c r="T502" i="31"/>
  <c r="AC502" i="31"/>
  <c r="I502" i="31"/>
  <c r="AB502" i="31"/>
  <c r="N502" i="31"/>
  <c r="AQ53" i="31"/>
  <c r="AL358" i="31"/>
  <c r="AJ358" i="31"/>
  <c r="AQ16" i="31"/>
  <c r="AR321" i="31"/>
  <c r="AB392" i="31"/>
  <c r="Z392" i="31"/>
  <c r="Y392" i="31"/>
  <c r="X392" i="31"/>
  <c r="AC392" i="31"/>
  <c r="AQ276" i="31"/>
  <c r="AA581" i="31"/>
  <c r="Y581" i="31"/>
  <c r="O581" i="31"/>
  <c r="X581" i="31"/>
  <c r="I581" i="31"/>
  <c r="H581" i="31"/>
  <c r="V581" i="31"/>
  <c r="N581" i="31"/>
  <c r="AG581" i="31"/>
  <c r="AM581" i="31"/>
  <c r="AI581" i="31"/>
  <c r="AJ581" i="31"/>
  <c r="W581" i="31"/>
  <c r="AK581" i="31"/>
  <c r="AE581" i="31"/>
  <c r="K581" i="31"/>
  <c r="J581" i="31"/>
  <c r="AB581" i="31"/>
  <c r="AR581" i="31"/>
  <c r="AH581" i="31"/>
  <c r="AQ72" i="31"/>
  <c r="AL377" i="31"/>
  <c r="Z377" i="31"/>
  <c r="AK377" i="31"/>
  <c r="Y377" i="31"/>
  <c r="AJ377" i="31"/>
  <c r="X377" i="31"/>
  <c r="AE377" i="31"/>
  <c r="AF377" i="31"/>
  <c r="AM377" i="31"/>
  <c r="AR377" i="31"/>
  <c r="V377" i="31"/>
  <c r="AI377" i="31"/>
  <c r="AG377" i="31"/>
  <c r="Y448" i="31"/>
  <c r="AC448" i="31"/>
  <c r="AJ448" i="31"/>
  <c r="Z448" i="31"/>
  <c r="AL448" i="31"/>
  <c r="U448" i="31"/>
  <c r="AM448" i="31"/>
  <c r="AF448" i="31"/>
  <c r="AA448" i="31"/>
  <c r="AE448" i="31"/>
  <c r="AB448" i="31"/>
  <c r="AD448" i="31"/>
  <c r="T448" i="31"/>
  <c r="AQ297" i="31"/>
  <c r="AB602" i="31"/>
  <c r="O602" i="31"/>
  <c r="S602" i="31"/>
  <c r="AC602" i="31"/>
  <c r="I602" i="31"/>
  <c r="AR602" i="31"/>
  <c r="V602" i="31"/>
  <c r="T602" i="31"/>
  <c r="AA602" i="31"/>
  <c r="L602" i="31"/>
  <c r="W602" i="31"/>
  <c r="N602" i="31"/>
  <c r="AH602" i="31"/>
  <c r="AD602" i="31"/>
  <c r="AQ81" i="31"/>
  <c r="AM386" i="31"/>
  <c r="AL386" i="31"/>
  <c r="AJ386" i="31"/>
  <c r="AI384" i="31"/>
  <c r="AE558" i="31"/>
  <c r="W558" i="31"/>
  <c r="AD401" i="31"/>
  <c r="AE566" i="31"/>
  <c r="V502" i="31"/>
  <c r="AJ502" i="31"/>
  <c r="AD463" i="31"/>
  <c r="AL378" i="31"/>
  <c r="X602" i="31"/>
  <c r="P434" i="31"/>
  <c r="I398" i="31"/>
  <c r="AF524" i="31"/>
  <c r="AB524" i="31"/>
  <c r="Q464" i="31"/>
  <c r="W392" i="31"/>
  <c r="Q581" i="31"/>
  <c r="AB604" i="31"/>
  <c r="N594" i="31"/>
  <c r="L497" i="31"/>
  <c r="AB495" i="31"/>
  <c r="AR320" i="31"/>
  <c r="AH604" i="31"/>
  <c r="V400" i="31"/>
  <c r="T594" i="31"/>
  <c r="Z497" i="31"/>
  <c r="W495" i="31"/>
  <c r="Y516" i="31"/>
  <c r="AL516" i="31"/>
  <c r="S516" i="31"/>
  <c r="AK516" i="31"/>
  <c r="AB516" i="31"/>
  <c r="AB444" i="31"/>
  <c r="L444" i="31"/>
  <c r="R444" i="31"/>
  <c r="T444" i="31"/>
  <c r="V444" i="31"/>
  <c r="AE444" i="31"/>
  <c r="AB372" i="31"/>
  <c r="AB585" i="31"/>
  <c r="V585" i="31"/>
  <c r="S585" i="31"/>
  <c r="W585" i="31"/>
  <c r="AG585" i="31"/>
  <c r="O585" i="31"/>
  <c r="M585" i="31"/>
  <c r="Z585" i="31"/>
  <c r="AM585" i="31"/>
  <c r="U585" i="31"/>
  <c r="AL585" i="31"/>
  <c r="X585" i="31"/>
  <c r="Q585" i="31"/>
  <c r="P585" i="31"/>
  <c r="AK393" i="31"/>
  <c r="AE393" i="31"/>
  <c r="AL393" i="31"/>
  <c r="T393" i="31"/>
  <c r="AM393" i="31"/>
  <c r="U393" i="31"/>
  <c r="AH393" i="31"/>
  <c r="Z393" i="31"/>
  <c r="Y393" i="31"/>
  <c r="AQ122" i="31"/>
  <c r="AM427" i="31"/>
  <c r="AJ427" i="31"/>
  <c r="AL427" i="31"/>
  <c r="AK427" i="31"/>
  <c r="AI427" i="31"/>
  <c r="AQ263" i="31"/>
  <c r="AD568" i="31"/>
  <c r="AG568" i="31"/>
  <c r="AM568" i="31"/>
  <c r="AE568" i="31"/>
  <c r="AJ568" i="31"/>
  <c r="AL568" i="31"/>
  <c r="AA568" i="31"/>
  <c r="AQ71" i="31"/>
  <c r="AJ376" i="31"/>
  <c r="AM376" i="31"/>
  <c r="AD376" i="31"/>
  <c r="AH376" i="31"/>
  <c r="AF376" i="31"/>
  <c r="AE376" i="31"/>
  <c r="AG376" i="31"/>
  <c r="AI376" i="31"/>
  <c r="AR376" i="31"/>
  <c r="Z519" i="31"/>
  <c r="AE519" i="31"/>
  <c r="AA519" i="31"/>
  <c r="X519" i="31"/>
  <c r="AB519" i="31"/>
  <c r="W519" i="31"/>
  <c r="AC519" i="31"/>
  <c r="AQ93" i="31"/>
  <c r="AA398" i="31"/>
  <c r="Y398" i="31"/>
  <c r="X398" i="31"/>
  <c r="AC398" i="31"/>
  <c r="N398" i="31"/>
  <c r="Z398" i="31"/>
  <c r="AB398" i="31"/>
  <c r="T398" i="31"/>
  <c r="O398" i="31"/>
  <c r="AK398" i="31"/>
  <c r="L398" i="31"/>
  <c r="AL398" i="31"/>
  <c r="S398" i="31"/>
  <c r="AM398" i="31"/>
  <c r="AF398" i="31"/>
  <c r="AQ222" i="31"/>
  <c r="M527" i="31"/>
  <c r="P527" i="31"/>
  <c r="O527" i="31"/>
  <c r="AA527" i="31"/>
  <c r="V527" i="31"/>
  <c r="T527" i="31"/>
  <c r="AD527" i="31"/>
  <c r="N527" i="31"/>
  <c r="Q527" i="31"/>
  <c r="K527" i="31"/>
  <c r="AE527" i="31"/>
  <c r="X527" i="31"/>
  <c r="I527" i="31"/>
  <c r="AC527" i="31"/>
  <c r="Z527" i="31"/>
  <c r="AH455" i="31"/>
  <c r="AG455" i="31"/>
  <c r="AI455" i="31"/>
  <c r="S455" i="31"/>
  <c r="AD455" i="31"/>
  <c r="T455" i="31"/>
  <c r="W455" i="31"/>
  <c r="X455" i="31"/>
  <c r="Y455" i="31"/>
  <c r="AQ78" i="31"/>
  <c r="AK383" i="31"/>
  <c r="AG383" i="31"/>
  <c r="AM383" i="31"/>
  <c r="AE383" i="31"/>
  <c r="AJ383" i="31"/>
  <c r="X383" i="31"/>
  <c r="Y383" i="31"/>
  <c r="AF383" i="31"/>
  <c r="Z383" i="31"/>
  <c r="AQ40" i="31"/>
  <c r="AM345" i="31"/>
  <c r="AK345" i="31"/>
  <c r="AR345" i="31"/>
  <c r="AQ99" i="31"/>
  <c r="AR404" i="31"/>
  <c r="Z475" i="31"/>
  <c r="AA475" i="31"/>
  <c r="Y475" i="31"/>
  <c r="N475" i="31"/>
  <c r="U475" i="31"/>
  <c r="T475" i="31"/>
  <c r="Q475" i="31"/>
  <c r="V475" i="31"/>
  <c r="X475" i="31"/>
  <c r="AD546" i="31"/>
  <c r="P546" i="31"/>
  <c r="V546" i="31"/>
  <c r="S546" i="31"/>
  <c r="J546" i="31"/>
  <c r="H546" i="31"/>
  <c r="N546" i="31"/>
  <c r="Q546" i="31"/>
  <c r="X546" i="31"/>
  <c r="AH546" i="31"/>
  <c r="R546" i="31"/>
  <c r="L546" i="31"/>
  <c r="Y546" i="31"/>
  <c r="AG546" i="31"/>
  <c r="AH593" i="31"/>
  <c r="AI593" i="31"/>
  <c r="AG593" i="31"/>
  <c r="AA365" i="31"/>
  <c r="X365" i="31"/>
  <c r="W365" i="31"/>
  <c r="Y365" i="31"/>
  <c r="AC365" i="31"/>
  <c r="AG365" i="31"/>
  <c r="Q365" i="31"/>
  <c r="T365" i="31"/>
  <c r="R365" i="31"/>
  <c r="AD365" i="31"/>
  <c r="W424" i="31"/>
  <c r="AC424" i="31"/>
  <c r="AB424" i="31"/>
  <c r="AA424" i="31"/>
  <c r="U424" i="31"/>
  <c r="Y424" i="31"/>
  <c r="AE424" i="31"/>
  <c r="T424" i="31"/>
  <c r="R459" i="31"/>
  <c r="AG459" i="31"/>
  <c r="Y459" i="31"/>
  <c r="AF459" i="31"/>
  <c r="AJ459" i="31"/>
  <c r="AB459" i="31"/>
  <c r="AE459" i="31"/>
  <c r="J459" i="31"/>
  <c r="S459" i="31"/>
  <c r="Q459" i="31"/>
  <c r="P459" i="31"/>
  <c r="AC459" i="31"/>
  <c r="T459" i="31"/>
  <c r="M530" i="31"/>
  <c r="AG530" i="31"/>
  <c r="AB530" i="31"/>
  <c r="N530" i="31"/>
  <c r="AD530" i="31"/>
  <c r="AE530" i="31"/>
  <c r="O530" i="31"/>
  <c r="W530" i="31"/>
  <c r="U530" i="31"/>
  <c r="AQ257" i="31"/>
  <c r="AR562" i="31"/>
  <c r="AQ185" i="31"/>
  <c r="AK490" i="31"/>
  <c r="Q490" i="31"/>
  <c r="T490" i="31"/>
  <c r="AL490" i="31"/>
  <c r="V490" i="31"/>
  <c r="AD490" i="31"/>
  <c r="AM490" i="31"/>
  <c r="O490" i="31"/>
  <c r="AR490" i="31"/>
  <c r="M490" i="31"/>
  <c r="U490" i="31"/>
  <c r="W490" i="31"/>
  <c r="P490" i="31"/>
  <c r="AB490" i="31"/>
  <c r="AE490" i="31"/>
  <c r="AB418" i="31"/>
  <c r="T418" i="31"/>
  <c r="Y513" i="31"/>
  <c r="AC513" i="31"/>
  <c r="T513" i="31"/>
  <c r="AD513" i="31"/>
  <c r="W513" i="31"/>
  <c r="M513" i="31"/>
  <c r="Q513" i="31"/>
  <c r="AA513" i="31"/>
  <c r="Z513" i="31"/>
  <c r="AQ279" i="31"/>
  <c r="AR584" i="31"/>
  <c r="Z356" i="31"/>
  <c r="W356" i="31"/>
  <c r="Y356" i="31"/>
  <c r="R415" i="31"/>
  <c r="U415" i="31"/>
  <c r="M415" i="31"/>
  <c r="L415" i="31"/>
  <c r="Q415" i="31"/>
  <c r="O415" i="31"/>
  <c r="W415" i="31"/>
  <c r="S415" i="31"/>
  <c r="AD415" i="31"/>
  <c r="X415" i="31"/>
  <c r="AB415" i="31"/>
  <c r="T415" i="31"/>
  <c r="P415" i="31"/>
  <c r="AK415" i="31"/>
  <c r="AF415" i="31"/>
  <c r="AL415" i="31"/>
  <c r="AG415" i="31"/>
  <c r="AQ181" i="31"/>
  <c r="AA486" i="31"/>
  <c r="AH486" i="31"/>
  <c r="AD486" i="31"/>
  <c r="S486" i="31"/>
  <c r="AC486" i="31"/>
  <c r="Z486" i="31"/>
  <c r="AK486" i="31"/>
  <c r="U486" i="31"/>
  <c r="AM486" i="31"/>
  <c r="AF486" i="31"/>
  <c r="AL486" i="31"/>
  <c r="AE486" i="31"/>
  <c r="T486" i="31"/>
  <c r="AG486" i="31"/>
  <c r="AR486" i="31"/>
  <c r="AQ240" i="31"/>
  <c r="AR545" i="31"/>
  <c r="Y412" i="31"/>
  <c r="AJ412" i="31"/>
  <c r="Z412" i="31"/>
  <c r="AL412" i="31"/>
  <c r="V412" i="31"/>
  <c r="AQ166" i="31"/>
  <c r="AI471" i="31"/>
  <c r="S471" i="31"/>
  <c r="V471" i="31"/>
  <c r="AG471" i="31"/>
  <c r="AK471" i="31"/>
  <c r="Q471" i="31"/>
  <c r="U471" i="31"/>
  <c r="AQ249" i="31"/>
  <c r="AR554" i="31"/>
  <c r="AB434" i="31"/>
  <c r="AI381" i="31"/>
  <c r="AE524" i="31"/>
  <c r="P464" i="31"/>
  <c r="AK464" i="31"/>
  <c r="Z344" i="31"/>
  <c r="L581" i="31"/>
  <c r="AL581" i="31"/>
  <c r="V604" i="31"/>
  <c r="AA594" i="31"/>
  <c r="AB486" i="31"/>
  <c r="M497" i="31"/>
  <c r="AK495" i="31"/>
  <c r="U429" i="31"/>
  <c r="AM381" i="31"/>
  <c r="P524" i="31"/>
  <c r="S464" i="31"/>
  <c r="AM464" i="31"/>
  <c r="AA344" i="31"/>
  <c r="S581" i="31"/>
  <c r="U604" i="31"/>
  <c r="K604" i="31"/>
  <c r="Q594" i="31"/>
  <c r="V497" i="31"/>
  <c r="X448" i="31"/>
  <c r="AL376" i="31"/>
  <c r="U495" i="31"/>
  <c r="AM495" i="31"/>
  <c r="AF553" i="31"/>
  <c r="AL553" i="31"/>
  <c r="S433" i="31"/>
  <c r="Y433" i="31"/>
  <c r="AM433" i="31"/>
  <c r="O539" i="31"/>
  <c r="W539" i="31"/>
  <c r="W467" i="31"/>
  <c r="AI467" i="31"/>
  <c r="AJ467" i="31"/>
  <c r="S323" i="31"/>
  <c r="AH323" i="31"/>
  <c r="Y451" i="31"/>
  <c r="AH522" i="31"/>
  <c r="S460" i="31"/>
  <c r="W412" i="31"/>
  <c r="AR471" i="31"/>
  <c r="AH471" i="31"/>
  <c r="AG516" i="31"/>
  <c r="M444" i="31"/>
  <c r="J527" i="31"/>
  <c r="AL527" i="31"/>
  <c r="AL455" i="31"/>
  <c r="AB511" i="31"/>
  <c r="AK401" i="31"/>
  <c r="AJ365" i="31"/>
  <c r="P339" i="31"/>
  <c r="AJ339" i="31"/>
  <c r="Q566" i="31"/>
  <c r="X530" i="31"/>
  <c r="AI386" i="31"/>
  <c r="H502" i="31"/>
  <c r="AF490" i="31"/>
  <c r="U418" i="31"/>
  <c r="T463" i="31"/>
  <c r="AR568" i="31"/>
  <c r="Z424" i="31"/>
  <c r="K459" i="31"/>
  <c r="R602" i="31"/>
  <c r="M602" i="31"/>
  <c r="AR434" i="31"/>
  <c r="AH434" i="31"/>
  <c r="AE398" i="31"/>
  <c r="AI585" i="31"/>
  <c r="U513" i="31"/>
  <c r="AF429" i="31"/>
  <c r="V393" i="31"/>
  <c r="AK381" i="31"/>
  <c r="O524" i="31"/>
  <c r="L464" i="31"/>
  <c r="AL464" i="31"/>
  <c r="Y344" i="31"/>
  <c r="AM415" i="31"/>
  <c r="Z546" i="31"/>
  <c r="W546" i="31"/>
  <c r="T581" i="31"/>
  <c r="I604" i="31"/>
  <c r="M604" i="31"/>
  <c r="S475" i="31"/>
  <c r="M594" i="31"/>
  <c r="V486" i="31"/>
  <c r="AA497" i="31"/>
  <c r="W448" i="31"/>
  <c r="AK376" i="31"/>
  <c r="P495" i="31"/>
  <c r="AJ495" i="31"/>
  <c r="T467" i="31"/>
  <c r="X467" i="31"/>
  <c r="AB395" i="31"/>
  <c r="N323" i="31"/>
  <c r="AB323" i="31"/>
  <c r="AR451" i="31"/>
  <c r="U522" i="31"/>
  <c r="V522" i="31"/>
  <c r="Z460" i="31"/>
  <c r="V516" i="31"/>
  <c r="P444" i="31"/>
  <c r="AA372" i="31"/>
  <c r="R527" i="31"/>
  <c r="AK455" i="31"/>
  <c r="AR383" i="31"/>
  <c r="W511" i="31"/>
  <c r="AF558" i="31"/>
  <c r="AJ401" i="31"/>
  <c r="AM365" i="31"/>
  <c r="Z339" i="31"/>
  <c r="AR566" i="31"/>
  <c r="V566" i="31"/>
  <c r="AC530" i="31"/>
  <c r="AK386" i="31"/>
  <c r="Z502" i="31"/>
  <c r="AG490" i="31"/>
  <c r="X418" i="31"/>
  <c r="O463" i="31"/>
  <c r="AF568" i="31"/>
  <c r="AH424" i="31"/>
  <c r="AA459" i="31"/>
  <c r="U602" i="31"/>
  <c r="AL602" i="31"/>
  <c r="AF434" i="31"/>
  <c r="AI434" i="31"/>
  <c r="AG398" i="31"/>
  <c r="AD585" i="31"/>
  <c r="J585" i="31"/>
  <c r="X513" i="31"/>
  <c r="S429" i="31"/>
  <c r="W393" i="31"/>
  <c r="J524" i="31"/>
  <c r="W464" i="31"/>
  <c r="AJ464" i="31"/>
  <c r="AD344" i="31"/>
  <c r="U546" i="31"/>
  <c r="Z581" i="31"/>
  <c r="O604" i="31"/>
  <c r="O475" i="31"/>
  <c r="AM594" i="31"/>
  <c r="W486" i="31"/>
  <c r="AR497" i="31"/>
  <c r="AB497" i="31"/>
  <c r="AG448" i="31"/>
  <c r="K495" i="31"/>
  <c r="AL495" i="31"/>
  <c r="AR333" i="31"/>
  <c r="AM307" i="31"/>
  <c r="AU127" i="31"/>
  <c r="AU38" i="31"/>
  <c r="AU229" i="31"/>
  <c r="AU162" i="31"/>
  <c r="AU129" i="31"/>
  <c r="AU270" i="31"/>
  <c r="AU254" i="31"/>
  <c r="AU66" i="31"/>
  <c r="AU49" i="31"/>
  <c r="AU140" i="31"/>
  <c r="AU147" i="31"/>
  <c r="AU31" i="31"/>
  <c r="AU246" i="31"/>
  <c r="AU280" i="31"/>
  <c r="AU157" i="31"/>
  <c r="AU193" i="31"/>
  <c r="BB109" i="15"/>
  <c r="G104" i="36" s="1"/>
  <c r="M104" i="36" s="1"/>
  <c r="R104" i="36" s="1"/>
  <c r="AA6" i="31"/>
  <c r="AZ54" i="20"/>
  <c r="BA54" i="20" s="1"/>
  <c r="BB54" i="20"/>
  <c r="BC54" i="20" s="1"/>
  <c r="BR54" i="20"/>
  <c r="BQ54" i="20"/>
  <c r="BS54" i="20"/>
  <c r="BT54" i="20" s="1"/>
  <c r="BF60" i="20"/>
  <c r="BF27" i="20"/>
  <c r="CF8" i="15"/>
  <c r="CF7" i="15"/>
  <c r="CF292" i="15"/>
  <c r="CF176" i="15"/>
  <c r="CF163" i="15"/>
  <c r="CF33" i="15"/>
  <c r="CF267" i="15"/>
  <c r="CF304" i="15"/>
  <c r="CF117" i="15"/>
  <c r="CF20" i="15"/>
  <c r="CF166" i="15"/>
  <c r="CF125" i="15"/>
  <c r="CF97" i="15"/>
  <c r="CF233" i="15"/>
  <c r="CF209" i="15"/>
  <c r="CF138" i="15"/>
  <c r="CF202" i="15"/>
  <c r="CF139" i="15"/>
  <c r="CF240" i="15"/>
  <c r="CF63" i="15"/>
  <c r="CF172" i="15"/>
  <c r="CF256" i="15"/>
  <c r="CF129" i="15"/>
  <c r="CF288" i="15"/>
  <c r="CF302" i="15"/>
  <c r="CF149" i="15"/>
  <c r="CF9" i="15"/>
  <c r="CF141" i="15"/>
  <c r="CF212" i="15"/>
  <c r="CF299" i="15"/>
  <c r="CF104" i="15"/>
  <c r="CF51" i="15"/>
  <c r="CF113" i="15"/>
  <c r="CF133" i="15"/>
  <c r="CF122" i="15"/>
  <c r="CF271" i="15"/>
  <c r="CF200" i="15"/>
  <c r="CF242" i="15"/>
  <c r="CF214" i="15"/>
  <c r="CF45" i="15"/>
  <c r="CF103" i="15"/>
  <c r="CF251" i="15"/>
  <c r="CF100" i="15"/>
  <c r="CF30" i="15"/>
  <c r="CF236" i="15"/>
  <c r="CF297" i="15"/>
  <c r="CF118" i="15"/>
  <c r="CF147" i="15"/>
  <c r="CF168" i="15"/>
  <c r="CF87" i="15"/>
  <c r="CF105" i="15"/>
  <c r="CF25" i="15"/>
  <c r="CF196" i="15"/>
  <c r="CF120" i="15"/>
  <c r="CF278" i="15"/>
  <c r="CF280" i="15"/>
  <c r="CF74" i="15"/>
  <c r="CF22" i="15"/>
  <c r="CF152" i="15"/>
  <c r="CF252" i="15"/>
  <c r="CF155" i="15"/>
  <c r="CF198" i="15"/>
  <c r="CF284" i="15"/>
  <c r="CF75" i="15"/>
  <c r="CF130" i="15"/>
  <c r="CF181" i="15"/>
  <c r="CF98" i="15"/>
  <c r="CF160" i="15"/>
  <c r="CF192" i="15"/>
  <c r="CF42" i="15"/>
  <c r="CF99" i="15"/>
  <c r="CF221" i="15"/>
  <c r="CF106" i="15"/>
  <c r="CF26" i="15"/>
  <c r="CF249" i="15"/>
  <c r="CF185" i="15"/>
  <c r="CF182" i="15"/>
  <c r="CF213" i="15"/>
  <c r="CF28" i="15"/>
  <c r="CF55" i="15"/>
  <c r="CF123" i="15"/>
  <c r="CF84" i="15"/>
  <c r="CF132" i="15"/>
  <c r="CF32" i="15"/>
  <c r="CF205" i="15"/>
  <c r="CF277" i="15"/>
  <c r="CF50" i="15"/>
  <c r="CF269" i="15"/>
  <c r="CF41" i="15"/>
  <c r="CF18" i="15"/>
  <c r="CF177" i="15"/>
  <c r="CF235" i="15"/>
  <c r="CF93" i="15"/>
  <c r="CF110" i="15"/>
  <c r="CF10" i="15"/>
  <c r="CF270" i="15"/>
  <c r="CF219" i="15"/>
  <c r="CF225" i="15"/>
  <c r="CF241" i="15"/>
  <c r="CF144" i="15"/>
  <c r="CF228" i="15"/>
  <c r="CF204" i="15"/>
  <c r="CF248" i="15"/>
  <c r="CF134" i="15"/>
  <c r="CF287" i="15"/>
  <c r="CF195" i="15"/>
  <c r="CF183" i="15"/>
  <c r="CF62" i="15"/>
  <c r="CF262" i="15"/>
  <c r="CF35" i="15"/>
  <c r="CF135" i="15"/>
  <c r="CF116" i="15"/>
  <c r="CF146" i="15"/>
  <c r="CF164" i="15"/>
  <c r="CF157" i="15"/>
  <c r="CF258" i="15"/>
  <c r="CF230" i="15"/>
  <c r="CF186" i="15"/>
  <c r="CF161" i="15"/>
  <c r="CF237" i="15"/>
  <c r="CF72" i="15"/>
  <c r="CF65" i="15"/>
  <c r="CF295" i="15"/>
  <c r="CF259" i="15"/>
  <c r="CF179" i="15"/>
  <c r="CF194" i="15"/>
  <c r="CF223" i="15"/>
  <c r="CF73" i="15"/>
  <c r="CF58" i="15"/>
  <c r="CF53" i="15"/>
  <c r="CF224" i="15"/>
  <c r="CF220" i="15"/>
  <c r="CF137" i="15"/>
  <c r="CF234" i="15"/>
  <c r="CF239" i="15"/>
  <c r="CF148" i="15"/>
  <c r="CF109" i="15"/>
  <c r="CF216" i="15"/>
  <c r="CF226" i="15"/>
  <c r="CF153" i="15"/>
  <c r="CF169" i="15"/>
  <c r="CF227" i="15"/>
  <c r="CF294" i="15"/>
  <c r="CF300" i="15"/>
  <c r="CF289" i="15"/>
  <c r="CF274" i="15"/>
  <c r="CF37" i="15"/>
  <c r="CF70" i="15"/>
  <c r="CF115" i="15"/>
  <c r="CF206" i="15"/>
  <c r="CF143" i="15"/>
  <c r="CF187" i="15"/>
  <c r="CF255" i="15"/>
  <c r="CF210" i="15"/>
  <c r="CF174" i="15"/>
  <c r="CF114" i="15"/>
  <c r="CF142" i="15"/>
  <c r="CF101" i="15"/>
  <c r="CF290" i="15"/>
  <c r="CF90" i="15"/>
  <c r="CF286" i="15"/>
  <c r="CF39" i="15"/>
  <c r="CF31" i="15"/>
  <c r="CF89" i="15"/>
  <c r="CF11" i="15"/>
  <c r="CF156" i="15"/>
  <c r="CF68" i="15"/>
  <c r="CF170" i="15"/>
  <c r="CF244" i="15"/>
  <c r="CF188" i="15"/>
  <c r="CF217" i="15"/>
  <c r="CF81" i="15"/>
  <c r="CF222" i="15"/>
  <c r="CF293" i="15"/>
  <c r="CF184" i="15"/>
  <c r="CF298" i="15"/>
  <c r="CF167" i="15"/>
  <c r="CF208" i="15"/>
  <c r="CF76" i="15"/>
  <c r="CF112" i="15"/>
  <c r="CF27" i="15"/>
  <c r="CF77" i="15"/>
  <c r="CF124" i="15"/>
  <c r="CF47" i="15"/>
  <c r="CF189" i="15"/>
  <c r="CF238" i="15"/>
  <c r="CF178" i="15"/>
  <c r="CF44" i="15"/>
  <c r="CF49" i="15"/>
  <c r="CF60" i="15"/>
  <c r="CF67" i="15"/>
  <c r="CF86" i="15"/>
  <c r="CF303" i="15"/>
  <c r="CF171" i="15"/>
  <c r="CF279" i="15"/>
  <c r="CF266" i="15"/>
  <c r="CF56" i="15"/>
  <c r="CF151" i="15"/>
  <c r="CF273" i="15"/>
  <c r="CF69" i="15"/>
  <c r="CF175" i="15"/>
  <c r="CF136" i="15"/>
  <c r="CF79" i="15"/>
  <c r="CF96" i="15"/>
  <c r="CF108" i="15"/>
  <c r="CF78" i="15"/>
  <c r="CF173" i="15"/>
  <c r="CF260" i="15"/>
  <c r="CF54" i="15"/>
  <c r="CF17" i="15"/>
  <c r="CF140" i="15"/>
  <c r="CF275" i="15"/>
  <c r="CF128" i="15"/>
  <c r="CF272" i="15"/>
  <c r="CF246" i="15"/>
  <c r="CF165" i="15"/>
  <c r="CF38" i="15"/>
  <c r="CF276" i="15"/>
  <c r="CF282" i="15"/>
  <c r="CF207" i="15"/>
  <c r="CF29" i="15"/>
  <c r="CF250" i="15"/>
  <c r="CF121" i="15"/>
  <c r="CF95" i="15"/>
  <c r="CF190" i="15"/>
  <c r="CF261" i="15"/>
  <c r="CF83" i="15"/>
  <c r="CF197" i="15"/>
  <c r="CF57" i="15"/>
  <c r="CF145" i="15"/>
  <c r="CF43" i="15"/>
  <c r="CF162" i="15"/>
  <c r="CF283" i="15"/>
  <c r="CF158" i="15"/>
  <c r="CF14" i="15"/>
  <c r="CF245" i="15"/>
  <c r="CF66" i="15"/>
  <c r="CF21" i="15"/>
  <c r="CF40" i="15"/>
  <c r="CF119" i="15"/>
  <c r="CF265" i="15"/>
  <c r="CF82" i="15"/>
  <c r="CF257" i="15"/>
  <c r="CF201" i="15"/>
  <c r="CF154" i="15"/>
  <c r="CF203" i="15"/>
  <c r="CF102" i="15"/>
  <c r="CF150" i="15"/>
  <c r="CF218" i="15"/>
  <c r="CF61" i="15"/>
  <c r="CF85" i="15"/>
  <c r="CF13" i="15"/>
  <c r="CF296" i="15"/>
  <c r="CF268" i="15"/>
  <c r="CF52" i="15"/>
  <c r="CF232" i="15"/>
  <c r="CF34" i="15"/>
  <c r="CF127" i="15"/>
  <c r="CF301" i="15"/>
  <c r="CF253" i="15"/>
  <c r="CF243" i="15"/>
  <c r="CF264" i="15"/>
  <c r="AU109" i="15"/>
  <c r="AR111" i="34" s="1"/>
  <c r="BO109" i="15"/>
  <c r="BP109" i="15" s="1"/>
  <c r="AX109" i="15"/>
  <c r="AY109" i="15" s="1"/>
  <c r="AV109" i="15"/>
  <c r="AW109" i="15" s="1"/>
  <c r="BS70" i="20"/>
  <c r="BT70" i="20" s="1"/>
  <c r="BR70" i="20"/>
  <c r="BQ70" i="20"/>
  <c r="BB70" i="20"/>
  <c r="BC70" i="20" s="1"/>
  <c r="AZ70" i="20"/>
  <c r="AY70" i="20"/>
  <c r="AE308" i="11"/>
  <c r="BL8" i="9"/>
  <c r="BL22" i="9"/>
  <c r="BL25" i="9"/>
  <c r="BL33" i="9"/>
  <c r="BL47" i="9"/>
  <c r="AM88" i="15"/>
  <c r="D113" i="9"/>
  <c r="P177" i="20" s="1"/>
  <c r="E113" i="9"/>
  <c r="Q177" i="20" s="1"/>
  <c r="F113" i="9"/>
  <c r="R177" i="20" s="1"/>
  <c r="G113" i="9"/>
  <c r="S177" i="20" s="1"/>
  <c r="H113" i="9"/>
  <c r="T177" i="20" s="1"/>
  <c r="I113" i="9"/>
  <c r="U177" i="20" s="1"/>
  <c r="J113" i="9"/>
  <c r="V177" i="20" s="1"/>
  <c r="K113" i="9"/>
  <c r="W177" i="20" s="1"/>
  <c r="L113" i="9"/>
  <c r="X177" i="20" s="1"/>
  <c r="M113" i="9"/>
  <c r="Y177" i="20" s="1"/>
  <c r="N113" i="9"/>
  <c r="Z177" i="20" s="1"/>
  <c r="O113" i="9"/>
  <c r="AA177" i="20" s="1"/>
  <c r="P113" i="9"/>
  <c r="AB177" i="20" s="1"/>
  <c r="Q113" i="9"/>
  <c r="AC177" i="20" s="1"/>
  <c r="R113" i="9"/>
  <c r="AD177" i="20" s="1"/>
  <c r="S113" i="9"/>
  <c r="AE177" i="20" s="1"/>
  <c r="T113" i="9"/>
  <c r="AF177" i="20" s="1"/>
  <c r="U113" i="9"/>
  <c r="AG177" i="20" s="1"/>
  <c r="V113" i="9"/>
  <c r="AH177" i="20" s="1"/>
  <c r="W113" i="9"/>
  <c r="AI177" i="20" s="1"/>
  <c r="X113" i="9"/>
  <c r="AJ177" i="20" s="1"/>
  <c r="Y113" i="9"/>
  <c r="AK177" i="20" s="1"/>
  <c r="Z113" i="9"/>
  <c r="AL177" i="20" s="1"/>
  <c r="AA113" i="9"/>
  <c r="AM177" i="20" s="1"/>
  <c r="AB113" i="9"/>
  <c r="AN177" i="20" s="1"/>
  <c r="AC113" i="9"/>
  <c r="AO177" i="20" s="1"/>
  <c r="AD113" i="9"/>
  <c r="AP177" i="20" s="1"/>
  <c r="AE113" i="9"/>
  <c r="AQ177" i="20" s="1"/>
  <c r="AF113" i="9"/>
  <c r="AR177" i="20" s="1"/>
  <c r="AR178" i="20" s="1"/>
  <c r="AG113" i="9"/>
  <c r="AS177" i="20" s="1"/>
  <c r="AH113" i="9"/>
  <c r="AT177" i="20" s="1"/>
  <c r="AI113" i="9"/>
  <c r="AU177" i="20" s="1"/>
  <c r="AU178" i="20" s="1"/>
  <c r="AJ113" i="9"/>
  <c r="AV177" i="20" s="1"/>
  <c r="AV178" i="20" s="1"/>
  <c r="AK113" i="9"/>
  <c r="AW177" i="20" s="1"/>
  <c r="AW178" i="20" s="1"/>
  <c r="AL113" i="9"/>
  <c r="AM113" i="9"/>
  <c r="AN113" i="9"/>
  <c r="AO113" i="9"/>
  <c r="AP113" i="9"/>
  <c r="AQ113" i="9"/>
  <c r="AR113" i="9"/>
  <c r="AS113" i="9"/>
  <c r="AT113" i="9"/>
  <c r="AU113" i="9"/>
  <c r="AV113" i="9"/>
  <c r="AQ73" i="20"/>
  <c r="AX73" i="20" s="1"/>
  <c r="AJ90" i="35" l="1"/>
  <c r="AJ90" i="31"/>
  <c r="AR181" i="20"/>
  <c r="AT178" i="20"/>
  <c r="AT181" i="20"/>
  <c r="AS178" i="20"/>
  <c r="AS181" i="20"/>
  <c r="AB6" i="31"/>
  <c r="BF54" i="20"/>
  <c r="AN315" i="15"/>
  <c r="BA70" i="20"/>
  <c r="BF70" i="20"/>
  <c r="BJ43" i="9"/>
  <c r="BJ42" i="9"/>
  <c r="BJ41" i="9"/>
  <c r="BJ40" i="9"/>
  <c r="BJ39" i="9"/>
  <c r="J345" i="15"/>
  <c r="BJ38" i="9"/>
  <c r="BJ17" i="9"/>
  <c r="BP66" i="20"/>
  <c r="BO66" i="20"/>
  <c r="BN66" i="20"/>
  <c r="BL66" i="20"/>
  <c r="BH66" i="20"/>
  <c r="BI66" i="20" s="1"/>
  <c r="BE66" i="20"/>
  <c r="BD66" i="20" s="1"/>
  <c r="BN87" i="20"/>
  <c r="BK39" i="9"/>
  <c r="BM39" i="9"/>
  <c r="BK43" i="9"/>
  <c r="BM43" i="9"/>
  <c r="BE87" i="20"/>
  <c r="BD87" i="20" s="1"/>
  <c r="BH87" i="20"/>
  <c r="BI87" i="20" s="1"/>
  <c r="BL87" i="20"/>
  <c r="BO87" i="20"/>
  <c r="BP87" i="20"/>
  <c r="AY87" i="20"/>
  <c r="BH44" i="20"/>
  <c r="BI44" i="20" s="1"/>
  <c r="BE44" i="20"/>
  <c r="BD44" i="20" s="1"/>
  <c r="BI113" i="9" l="1"/>
  <c r="AC6" i="31"/>
  <c r="BS66" i="20"/>
  <c r="BT66" i="20" s="1"/>
  <c r="BF66" i="20"/>
  <c r="AY66" i="20"/>
  <c r="BQ66" i="20"/>
  <c r="BR66" i="20"/>
  <c r="AZ66" i="20"/>
  <c r="BA66" i="20" s="1"/>
  <c r="BB66" i="20"/>
  <c r="BC66" i="20" s="1"/>
  <c r="BN39" i="9"/>
  <c r="BN43" i="9"/>
  <c r="BQ87" i="20"/>
  <c r="AZ87" i="20"/>
  <c r="BA87" i="20" s="1"/>
  <c r="BB87" i="20"/>
  <c r="BC87" i="20" s="1"/>
  <c r="BR87" i="20"/>
  <c r="BS87" i="20"/>
  <c r="BT87" i="20" s="1"/>
  <c r="BN44" i="20"/>
  <c r="AD6" i="31" l="1"/>
  <c r="BF87" i="20"/>
  <c r="AE6" i="31" l="1"/>
  <c r="AQ43" i="20"/>
  <c r="AX43" i="20" s="1"/>
  <c r="AY43" i="20" s="1"/>
  <c r="AQ76" i="20"/>
  <c r="AX76" i="20" s="1"/>
  <c r="BH80" i="20"/>
  <c r="BI80" i="20" s="1"/>
  <c r="BL80" i="20"/>
  <c r="AY80" i="20"/>
  <c r="BE80" i="20"/>
  <c r="BE76" i="20"/>
  <c r="BD76" i="20" s="1"/>
  <c r="BI76" i="20"/>
  <c r="BL76" i="20"/>
  <c r="BN76" i="20"/>
  <c r="BO76" i="20"/>
  <c r="BP76" i="20"/>
  <c r="AX239" i="20"/>
  <c r="AP215" i="20"/>
  <c r="AP175" i="20" s="1"/>
  <c r="AO215" i="20"/>
  <c r="AO175" i="20" s="1"/>
  <c r="AN215" i="20"/>
  <c r="AN175" i="20" s="1"/>
  <c r="AM215" i="20"/>
  <c r="AM175" i="20" s="1"/>
  <c r="AK215" i="20"/>
  <c r="AK175" i="20" s="1"/>
  <c r="AJ215" i="20"/>
  <c r="AJ175" i="20" s="1"/>
  <c r="AI215" i="20"/>
  <c r="AI175" i="20" s="1"/>
  <c r="AH215" i="20"/>
  <c r="AH175" i="20" s="1"/>
  <c r="AG215" i="20"/>
  <c r="AG175" i="20" s="1"/>
  <c r="AF215" i="20"/>
  <c r="AF175" i="20" s="1"/>
  <c r="AE215" i="20"/>
  <c r="AE175" i="20" s="1"/>
  <c r="AD215" i="20"/>
  <c r="AD175" i="20" s="1"/>
  <c r="AC215" i="20"/>
  <c r="AC175" i="20" s="1"/>
  <c r="AB215" i="20"/>
  <c r="AB175" i="20" s="1"/>
  <c r="AA215" i="20"/>
  <c r="AA175" i="20" s="1"/>
  <c r="Z215" i="20"/>
  <c r="Z175" i="20" s="1"/>
  <c r="Y215" i="20"/>
  <c r="Y175" i="20" s="1"/>
  <c r="X215" i="20"/>
  <c r="X175" i="20" s="1"/>
  <c r="W215" i="20"/>
  <c r="W175" i="20" s="1"/>
  <c r="V215" i="20"/>
  <c r="V175" i="20" s="1"/>
  <c r="U215" i="20"/>
  <c r="U175" i="20" s="1"/>
  <c r="T215" i="20"/>
  <c r="T175" i="20" s="1"/>
  <c r="S215" i="20"/>
  <c r="S175" i="20" s="1"/>
  <c r="R215" i="20"/>
  <c r="R175" i="20" s="1"/>
  <c r="Q215" i="20"/>
  <c r="Q175" i="20" s="1"/>
  <c r="P215" i="20"/>
  <c r="P175" i="20" s="1"/>
  <c r="O215" i="20"/>
  <c r="O175" i="20" s="1"/>
  <c r="AL44" i="20"/>
  <c r="AX44" i="20" s="1"/>
  <c r="N196" i="20"/>
  <c r="BS175" i="20"/>
  <c r="BP89" i="20"/>
  <c r="BO89" i="20"/>
  <c r="BN89" i="20"/>
  <c r="BL89" i="20"/>
  <c r="BH89" i="20"/>
  <c r="BI89" i="20" s="1"/>
  <c r="BE89" i="20"/>
  <c r="BD89" i="20" s="1"/>
  <c r="BB89" i="20"/>
  <c r="BC89" i="20" s="1"/>
  <c r="BN71" i="20"/>
  <c r="BL71" i="20"/>
  <c r="BH71" i="20"/>
  <c r="BI71" i="20" s="1"/>
  <c r="BE71" i="20"/>
  <c r="BD71" i="20" s="1"/>
  <c r="AP71" i="20"/>
  <c r="AX71" i="20" s="1"/>
  <c r="BN68" i="20"/>
  <c r="BH68" i="20"/>
  <c r="BI68" i="20" s="1"/>
  <c r="BE68" i="20"/>
  <c r="BD68" i="20" s="1"/>
  <c r="AM68" i="20"/>
  <c r="AJ68" i="20"/>
  <c r="BP67" i="20"/>
  <c r="BO67" i="20"/>
  <c r="BN67" i="20"/>
  <c r="BL67" i="20"/>
  <c r="BH67" i="20"/>
  <c r="BI67" i="20" s="1"/>
  <c r="BE67" i="20"/>
  <c r="BD67" i="20" s="1"/>
  <c r="BP88" i="20"/>
  <c r="BO88" i="20"/>
  <c r="BN88" i="20"/>
  <c r="BL88" i="20"/>
  <c r="BH88" i="20"/>
  <c r="BI88" i="20" s="1"/>
  <c r="BE88" i="20"/>
  <c r="BD88" i="20" s="1"/>
  <c r="BP64" i="20"/>
  <c r="BO64" i="20"/>
  <c r="BN64" i="20"/>
  <c r="BL64" i="20"/>
  <c r="BH64" i="20"/>
  <c r="BI64" i="20" s="1"/>
  <c r="BE64" i="20"/>
  <c r="AY64" i="20"/>
  <c r="BP63" i="20"/>
  <c r="BO63" i="20"/>
  <c r="BN63" i="20"/>
  <c r="BL63" i="20"/>
  <c r="BH63" i="20"/>
  <c r="BI63" i="20" s="1"/>
  <c r="BE63" i="20"/>
  <c r="BD63" i="20" s="1"/>
  <c r="BP62" i="20"/>
  <c r="BO62" i="20"/>
  <c r="BN62" i="20"/>
  <c r="BL62" i="20"/>
  <c r="BH62" i="20"/>
  <c r="BI62" i="20" s="1"/>
  <c r="BE62" i="20"/>
  <c r="BD62" i="20" s="1"/>
  <c r="BL86" i="20"/>
  <c r="BH86" i="20"/>
  <c r="BI86" i="20" s="1"/>
  <c r="BE86" i="20"/>
  <c r="BP85" i="20"/>
  <c r="BO85" i="20"/>
  <c r="BN85" i="20"/>
  <c r="BL85" i="20"/>
  <c r="BH85" i="20"/>
  <c r="BI85" i="20" s="1"/>
  <c r="BE85" i="20"/>
  <c r="AQ85" i="20"/>
  <c r="AX85" i="20" s="1"/>
  <c r="BL58" i="20"/>
  <c r="BH58" i="20"/>
  <c r="BI58" i="20" s="1"/>
  <c r="BE58" i="20"/>
  <c r="BD58" i="20" s="1"/>
  <c r="BL57" i="20"/>
  <c r="BI57" i="20"/>
  <c r="BE57" i="20"/>
  <c r="BD57" i="20" s="1"/>
  <c r="BB57" i="20"/>
  <c r="BC57" i="20" s="1"/>
  <c r="BN56" i="20"/>
  <c r="BH56" i="20"/>
  <c r="BI56" i="20" s="1"/>
  <c r="BE56" i="20"/>
  <c r="BD56" i="20" s="1"/>
  <c r="AL56" i="20"/>
  <c r="AX56" i="20" s="1"/>
  <c r="BP53" i="20"/>
  <c r="BO53" i="20"/>
  <c r="BN53" i="20"/>
  <c r="BL53" i="20"/>
  <c r="BH53" i="20"/>
  <c r="BI53" i="20" s="1"/>
  <c r="BE53" i="20"/>
  <c r="BP52" i="20"/>
  <c r="BO52" i="20"/>
  <c r="BN52" i="20"/>
  <c r="BL52" i="20"/>
  <c r="BH52" i="20"/>
  <c r="BI52" i="20" s="1"/>
  <c r="BE52" i="20"/>
  <c r="BD52" i="20" s="1"/>
  <c r="AQ52" i="20"/>
  <c r="AX52" i="20" s="1"/>
  <c r="BN50" i="20"/>
  <c r="BH50" i="20"/>
  <c r="BI50" i="20" s="1"/>
  <c r="BE50" i="20"/>
  <c r="BD50" i="20" s="1"/>
  <c r="AQ50" i="20"/>
  <c r="AN50" i="20"/>
  <c r="AH50" i="20"/>
  <c r="BP84" i="20"/>
  <c r="BO84" i="20"/>
  <c r="BN84" i="20"/>
  <c r="BL84" i="20"/>
  <c r="BH84" i="20"/>
  <c r="BI84" i="20" s="1"/>
  <c r="BE84" i="20"/>
  <c r="BB84" i="20"/>
  <c r="BC84" i="20" s="1"/>
  <c r="BL83" i="20"/>
  <c r="BH83" i="20"/>
  <c r="BI83" i="20" s="1"/>
  <c r="BE83" i="20"/>
  <c r="BD83" i="20" s="1"/>
  <c r="BN48" i="20"/>
  <c r="BH48" i="20"/>
  <c r="BI48" i="20" s="1"/>
  <c r="BE48" i="20"/>
  <c r="BD48" i="20" s="1"/>
  <c r="AJ48" i="20"/>
  <c r="AX48" i="20" s="1"/>
  <c r="BL82" i="20"/>
  <c r="BH82" i="20"/>
  <c r="BI82" i="20" s="1"/>
  <c r="BE82" i="20"/>
  <c r="BP59" i="20"/>
  <c r="BO59" i="20"/>
  <c r="BN59" i="20"/>
  <c r="BL59" i="20"/>
  <c r="BH59" i="20"/>
  <c r="BI59" i="20" s="1"/>
  <c r="BE59" i="20"/>
  <c r="BD59" i="20" s="1"/>
  <c r="BB59" i="20"/>
  <c r="BC59" i="20" s="1"/>
  <c r="BP81" i="20"/>
  <c r="BO81" i="20"/>
  <c r="BN81" i="20"/>
  <c r="BL81" i="20"/>
  <c r="BH81" i="20"/>
  <c r="BI81" i="20" s="1"/>
  <c r="BE81" i="20"/>
  <c r="BN45" i="20"/>
  <c r="BL45" i="20"/>
  <c r="BH45" i="20"/>
  <c r="BI45" i="20" s="1"/>
  <c r="BE45" i="20"/>
  <c r="BD45" i="20" s="1"/>
  <c r="AP45" i="20"/>
  <c r="AX45" i="20" s="1"/>
  <c r="BN92" i="20"/>
  <c r="BH92" i="20"/>
  <c r="BI92" i="20" s="1"/>
  <c r="BE92" i="20"/>
  <c r="AO92" i="20"/>
  <c r="AX92" i="20" s="1"/>
  <c r="BP43" i="20"/>
  <c r="BO43" i="20"/>
  <c r="BN43" i="20"/>
  <c r="BL43" i="20"/>
  <c r="BH43" i="20"/>
  <c r="BI43" i="20" s="1"/>
  <c r="BE43" i="20"/>
  <c r="BD43" i="20" s="1"/>
  <c r="BN42" i="20"/>
  <c r="BL42" i="20"/>
  <c r="BH42" i="20"/>
  <c r="BI42" i="20" s="1"/>
  <c r="BE42" i="20"/>
  <c r="BD42" i="20" s="1"/>
  <c r="BP47" i="20"/>
  <c r="BO47" i="20"/>
  <c r="BN47" i="20"/>
  <c r="BL47" i="20"/>
  <c r="BH47" i="20"/>
  <c r="BI47" i="20" s="1"/>
  <c r="BE47" i="20"/>
  <c r="BD47" i="20" s="1"/>
  <c r="AQ47" i="20"/>
  <c r="AX47" i="20" s="1"/>
  <c r="BN40" i="20"/>
  <c r="BH40" i="20"/>
  <c r="BI40" i="20" s="1"/>
  <c r="BE40" i="20"/>
  <c r="BD40" i="20" s="1"/>
  <c r="AO40" i="20"/>
  <c r="AX40" i="20" s="1"/>
  <c r="BL91" i="20"/>
  <c r="BH91" i="20"/>
  <c r="BI91" i="20" s="1"/>
  <c r="BE91" i="20"/>
  <c r="BD91" i="20" s="1"/>
  <c r="BN79" i="20"/>
  <c r="BH79" i="20"/>
  <c r="BI79" i="20" s="1"/>
  <c r="BE79" i="20"/>
  <c r="AN79" i="20"/>
  <c r="AX79" i="20" s="1"/>
  <c r="BN38" i="20"/>
  <c r="BH38" i="20"/>
  <c r="BI38" i="20" s="1"/>
  <c r="BE38" i="20"/>
  <c r="BD38" i="20" s="1"/>
  <c r="AL38" i="20"/>
  <c r="AJ38" i="20"/>
  <c r="BL39" i="20"/>
  <c r="BH39" i="20"/>
  <c r="BI39" i="20" s="1"/>
  <c r="BE39" i="20"/>
  <c r="BP78" i="20"/>
  <c r="BO78" i="20"/>
  <c r="BN78" i="20"/>
  <c r="BL78" i="20"/>
  <c r="BH78" i="20"/>
  <c r="BI78" i="20" s="1"/>
  <c r="BE78" i="20"/>
  <c r="BD78" i="20" s="1"/>
  <c r="BB78" i="20"/>
  <c r="BC78" i="20" s="1"/>
  <c r="BL37" i="20"/>
  <c r="BH37" i="20"/>
  <c r="BI37" i="20" s="1"/>
  <c r="BE37" i="20"/>
  <c r="BD37" i="20" s="1"/>
  <c r="BO90" i="20"/>
  <c r="BN90" i="20"/>
  <c r="BL90" i="20"/>
  <c r="BH90" i="20"/>
  <c r="BI90" i="20" s="1"/>
  <c r="BE90" i="20"/>
  <c r="BD90" i="20" s="1"/>
  <c r="BB90" i="20"/>
  <c r="BC90" i="20" s="1"/>
  <c r="BN33" i="20"/>
  <c r="BH33" i="20"/>
  <c r="BI33" i="20" s="1"/>
  <c r="BE33" i="20"/>
  <c r="AP33" i="20"/>
  <c r="AL33" i="20"/>
  <c r="BP77" i="20"/>
  <c r="BO77" i="20"/>
  <c r="BN77" i="20"/>
  <c r="BL77" i="20"/>
  <c r="BH77" i="20"/>
  <c r="BI77" i="20" s="1"/>
  <c r="BE77" i="20"/>
  <c r="BD77" i="20" s="1"/>
  <c r="BP32" i="20"/>
  <c r="BO32" i="20"/>
  <c r="BN32" i="20"/>
  <c r="BL32" i="20"/>
  <c r="BH32" i="20"/>
  <c r="BI32" i="20" s="1"/>
  <c r="BE32" i="20"/>
  <c r="BB32" i="20"/>
  <c r="BC32" i="20" s="1"/>
  <c r="BP30" i="20"/>
  <c r="BO30" i="20"/>
  <c r="BN30" i="20"/>
  <c r="BL30" i="20"/>
  <c r="BH30" i="20"/>
  <c r="BI30" i="20" s="1"/>
  <c r="BE30" i="20"/>
  <c r="BD30" i="20" s="1"/>
  <c r="AY30" i="20"/>
  <c r="BP29" i="20"/>
  <c r="BO29" i="20"/>
  <c r="BN29" i="20"/>
  <c r="BL29" i="20"/>
  <c r="BH29" i="20"/>
  <c r="BI29" i="20" s="1"/>
  <c r="BE29" i="20"/>
  <c r="BD29" i="20" s="1"/>
  <c r="BP24" i="20"/>
  <c r="BO24" i="20"/>
  <c r="BN24" i="20"/>
  <c r="BL24" i="20"/>
  <c r="BI24" i="20"/>
  <c r="BE24" i="20"/>
  <c r="BD24" i="20" s="1"/>
  <c r="AY24" i="20"/>
  <c r="BP23" i="20"/>
  <c r="BO23" i="20"/>
  <c r="BN23" i="20"/>
  <c r="BL23" i="20"/>
  <c r="BH23" i="20"/>
  <c r="BI23" i="20" s="1"/>
  <c r="BE23" i="20"/>
  <c r="BB23" i="20"/>
  <c r="BC23" i="20" s="1"/>
  <c r="BN22" i="20"/>
  <c r="BH22" i="20"/>
  <c r="BI22" i="20" s="1"/>
  <c r="BE22" i="20"/>
  <c r="BD22" i="20" s="1"/>
  <c r="AQ22" i="20"/>
  <c r="AN22" i="20"/>
  <c r="AK22" i="20"/>
  <c r="BP75" i="20"/>
  <c r="BO75" i="20"/>
  <c r="BN75" i="20"/>
  <c r="BL75" i="20"/>
  <c r="BH75" i="20"/>
  <c r="BI75" i="20" s="1"/>
  <c r="BE75" i="20"/>
  <c r="BD75" i="20" s="1"/>
  <c r="AY75" i="20"/>
  <c r="BN21" i="20"/>
  <c r="BH21" i="20"/>
  <c r="BI21" i="20" s="1"/>
  <c r="BE21" i="20"/>
  <c r="BD21" i="20" s="1"/>
  <c r="AQ21" i="20"/>
  <c r="AO21" i="20"/>
  <c r="BN20" i="20"/>
  <c r="BH20" i="20"/>
  <c r="BI20" i="20" s="1"/>
  <c r="BE20" i="20"/>
  <c r="BD20" i="20" s="1"/>
  <c r="AM20" i="20"/>
  <c r="AI20" i="20"/>
  <c r="BP19" i="20"/>
  <c r="BO19" i="20"/>
  <c r="BN19" i="20"/>
  <c r="BL19" i="20"/>
  <c r="BH19" i="20"/>
  <c r="BI19" i="20" s="1"/>
  <c r="BE19" i="20"/>
  <c r="BD19" i="20" s="1"/>
  <c r="BB19" i="20"/>
  <c r="BC19" i="20" s="1"/>
  <c r="BP25" i="20"/>
  <c r="BO25" i="20"/>
  <c r="BN25" i="20"/>
  <c r="BL25" i="20"/>
  <c r="BH25" i="20"/>
  <c r="BI25" i="20" s="1"/>
  <c r="BE25" i="20"/>
  <c r="BD25" i="20" s="1"/>
  <c r="BP18" i="20"/>
  <c r="BO18" i="20"/>
  <c r="BN18" i="20"/>
  <c r="BL18" i="20"/>
  <c r="BH18" i="20"/>
  <c r="BI18" i="20" s="1"/>
  <c r="BE18" i="20"/>
  <c r="BD18" i="20" s="1"/>
  <c r="BN10" i="20"/>
  <c r="BH10" i="20"/>
  <c r="BI10" i="20" s="1"/>
  <c r="BE10" i="20"/>
  <c r="BD10" i="20" s="1"/>
  <c r="AQ10" i="20"/>
  <c r="AO10" i="20"/>
  <c r="BP14" i="20"/>
  <c r="BO14" i="20"/>
  <c r="BN14" i="20"/>
  <c r="BL14" i="20"/>
  <c r="BH14" i="20"/>
  <c r="BI14" i="20" s="1"/>
  <c r="BE14" i="20"/>
  <c r="BD14" i="20" s="1"/>
  <c r="AY14" i="20"/>
  <c r="BP12" i="20"/>
  <c r="BO12" i="20"/>
  <c r="BN12" i="20"/>
  <c r="BL12" i="20"/>
  <c r="BH12" i="20"/>
  <c r="BI12" i="20" s="1"/>
  <c r="BE12" i="20"/>
  <c r="BD12" i="20" s="1"/>
  <c r="BB12" i="20"/>
  <c r="BC12" i="20" s="1"/>
  <c r="BN74" i="20"/>
  <c r="BH74" i="20"/>
  <c r="BI74" i="20" s="1"/>
  <c r="BE74" i="20"/>
  <c r="BD74" i="20" s="1"/>
  <c r="AM74" i="20"/>
  <c r="AX74" i="20" s="1"/>
  <c r="BN11" i="20"/>
  <c r="BH11" i="20"/>
  <c r="BI11" i="20" s="1"/>
  <c r="BE11" i="20"/>
  <c r="BD11" i="20" s="1"/>
  <c r="AM11" i="20"/>
  <c r="AX11" i="20" s="1"/>
  <c r="BP73" i="20"/>
  <c r="BO73" i="20"/>
  <c r="BN73" i="20"/>
  <c r="BL73" i="20"/>
  <c r="BH73" i="20"/>
  <c r="BI73" i="20" s="1"/>
  <c r="BE73" i="20"/>
  <c r="BD73" i="20" s="1"/>
  <c r="BN15" i="20"/>
  <c r="BH15" i="20"/>
  <c r="BI15" i="20" s="1"/>
  <c r="BE15" i="20"/>
  <c r="BD15" i="20" s="1"/>
  <c r="AM15" i="20"/>
  <c r="AX15" i="20" s="1"/>
  <c r="BN9" i="20"/>
  <c r="BH9" i="20"/>
  <c r="BI9" i="20" s="1"/>
  <c r="BE9" i="20"/>
  <c r="BD9" i="20" s="1"/>
  <c r="AN9" i="20"/>
  <c r="BN8" i="20"/>
  <c r="BH8" i="20"/>
  <c r="BI8" i="20" s="1"/>
  <c r="BE8" i="20"/>
  <c r="BD8" i="20" s="1"/>
  <c r="AM8" i="20"/>
  <c r="AI8" i="20"/>
  <c r="Q4" i="20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AH4" i="20" s="1"/>
  <c r="G6" i="20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M16" i="8"/>
  <c r="AM62" i="8"/>
  <c r="AM48" i="8"/>
  <c r="AM68" i="8"/>
  <c r="AM24" i="8"/>
  <c r="AM26" i="8"/>
  <c r="AM63" i="8"/>
  <c r="AN63" i="8" s="1"/>
  <c r="AR63" i="8" s="1"/>
  <c r="BB61" i="8"/>
  <c r="BC61" i="8"/>
  <c r="AX61" i="8"/>
  <c r="AY61" i="8" s="1"/>
  <c r="AN61" i="8"/>
  <c r="AO61" i="8" s="1"/>
  <c r="AU61" i="8"/>
  <c r="AT61" i="8" s="1"/>
  <c r="AX36" i="8"/>
  <c r="AY36" i="8" s="1"/>
  <c r="BB36" i="8"/>
  <c r="BC36" i="8"/>
  <c r="BD36" i="8" s="1"/>
  <c r="BE36" i="8"/>
  <c r="BF36" i="8"/>
  <c r="AU66" i="8"/>
  <c r="BB66" i="8"/>
  <c r="BC66" i="8"/>
  <c r="AY66" i="8"/>
  <c r="AU63" i="8"/>
  <c r="AT63" i="8" s="1"/>
  <c r="AX63" i="8"/>
  <c r="AY63" i="8" s="1"/>
  <c r="BB63" i="8"/>
  <c r="BC63" i="8"/>
  <c r="BD63" i="8" s="1"/>
  <c r="BE63" i="8"/>
  <c r="BF63" i="8"/>
  <c r="BD92" i="20" l="1"/>
  <c r="BF92" i="20" s="1"/>
  <c r="AS63" i="8"/>
  <c r="BL39" i="9"/>
  <c r="AP63" i="8"/>
  <c r="AQ63" i="8" s="1"/>
  <c r="AP174" i="20"/>
  <c r="AP176" i="20" s="1"/>
  <c r="AP181" i="20" s="1"/>
  <c r="AQ174" i="20"/>
  <c r="AX20" i="20"/>
  <c r="AZ20" i="20" s="1"/>
  <c r="BA20" i="20" s="1"/>
  <c r="AX21" i="20"/>
  <c r="BR21" i="20" s="1"/>
  <c r="AX8" i="20"/>
  <c r="BF8" i="20" s="1"/>
  <c r="AX68" i="20"/>
  <c r="AJ174" i="20"/>
  <c r="AJ176" i="20" s="1"/>
  <c r="AX38" i="20"/>
  <c r="AZ38" i="20" s="1"/>
  <c r="BA38" i="20" s="1"/>
  <c r="AM174" i="20"/>
  <c r="AM176" i="20" s="1"/>
  <c r="AO174" i="20"/>
  <c r="AO176" i="20" s="1"/>
  <c r="AX10" i="20"/>
  <c r="AN174" i="20"/>
  <c r="AN176" i="20" s="1"/>
  <c r="AX9" i="20"/>
  <c r="AH174" i="20"/>
  <c r="AH176" i="20" s="1"/>
  <c r="AX50" i="20"/>
  <c r="BF50" i="20" s="1"/>
  <c r="AK174" i="20"/>
  <c r="AK176" i="20" s="1"/>
  <c r="AX22" i="20"/>
  <c r="AX33" i="20"/>
  <c r="AI174" i="20"/>
  <c r="AI176" i="20" s="1"/>
  <c r="AL174" i="20"/>
  <c r="AF6" i="31"/>
  <c r="BO9" i="20"/>
  <c r="BO15" i="20"/>
  <c r="BR15" i="20"/>
  <c r="BP74" i="20"/>
  <c r="BO10" i="20"/>
  <c r="BP21" i="20"/>
  <c r="BO79" i="20"/>
  <c r="BL40" i="20"/>
  <c r="BP42" i="20"/>
  <c r="BS42" i="20"/>
  <c r="BT42" i="20" s="1"/>
  <c r="BL48" i="20"/>
  <c r="BS48" i="20"/>
  <c r="BT48" i="20" s="1"/>
  <c r="BL56" i="20"/>
  <c r="BB56" i="20"/>
  <c r="BC56" i="20" s="1"/>
  <c r="BO71" i="20"/>
  <c r="AY76" i="20"/>
  <c r="BL44" i="20"/>
  <c r="BP44" i="20"/>
  <c r="BO44" i="20"/>
  <c r="BD85" i="20"/>
  <c r="BF85" i="20" s="1"/>
  <c r="BD81" i="20"/>
  <c r="BF81" i="20" s="1"/>
  <c r="BD82" i="20"/>
  <c r="AZ82" i="20" s="1"/>
  <c r="BA82" i="20" s="1"/>
  <c r="BD86" i="20"/>
  <c r="AZ86" i="20" s="1"/>
  <c r="BA86" i="20" s="1"/>
  <c r="BO80" i="20"/>
  <c r="BB80" i="20"/>
  <c r="BC80" i="20" s="1"/>
  <c r="BD80" i="20"/>
  <c r="AZ80" i="20" s="1"/>
  <c r="BA80" i="20" s="1"/>
  <c r="BO8" i="20"/>
  <c r="AB176" i="20"/>
  <c r="BP11" i="20"/>
  <c r="BO42" i="20"/>
  <c r="BO45" i="20"/>
  <c r="BP45" i="20"/>
  <c r="BL15" i="20"/>
  <c r="BS53" i="20"/>
  <c r="BT53" i="20" s="1"/>
  <c r="BS81" i="20"/>
  <c r="BT81" i="20" s="1"/>
  <c r="AZ52" i="20"/>
  <c r="BA52" i="20" s="1"/>
  <c r="BB64" i="20"/>
  <c r="BC64" i="20" s="1"/>
  <c r="BL10" i="20"/>
  <c r="AY23" i="20"/>
  <c r="BP38" i="20"/>
  <c r="BO40" i="20"/>
  <c r="AY32" i="20"/>
  <c r="BS75" i="20"/>
  <c r="BT75" i="20" s="1"/>
  <c r="BR23" i="20"/>
  <c r="BO50" i="20"/>
  <c r="AZ25" i="20"/>
  <c r="BA25" i="20" s="1"/>
  <c r="BL21" i="20"/>
  <c r="BL22" i="20"/>
  <c r="BQ59" i="20"/>
  <c r="BP15" i="20"/>
  <c r="BR53" i="20"/>
  <c r="BO21" i="20"/>
  <c r="S176" i="20"/>
  <c r="AE176" i="20"/>
  <c r="Z176" i="20"/>
  <c r="AD176" i="20"/>
  <c r="BR14" i="20"/>
  <c r="BQ62" i="20"/>
  <c r="T176" i="20"/>
  <c r="AF176" i="20"/>
  <c r="BL74" i="20"/>
  <c r="BO20" i="20"/>
  <c r="BS78" i="20"/>
  <c r="BT78" i="20" s="1"/>
  <c r="BP20" i="20"/>
  <c r="BP33" i="20"/>
  <c r="Y176" i="20"/>
  <c r="BB37" i="20"/>
  <c r="BC37" i="20" s="1"/>
  <c r="BL20" i="20"/>
  <c r="BP40" i="20"/>
  <c r="BO56" i="20"/>
  <c r="BL38" i="20"/>
  <c r="BR30" i="20"/>
  <c r="BO38" i="20"/>
  <c r="BL92" i="20"/>
  <c r="BP56" i="20"/>
  <c r="O176" i="20"/>
  <c r="AA176" i="20"/>
  <c r="BP8" i="20"/>
  <c r="AZ78" i="20"/>
  <c r="BA78" i="20" s="1"/>
  <c r="BO92" i="20"/>
  <c r="BP71" i="20"/>
  <c r="Q176" i="20"/>
  <c r="Q178" i="20" s="1"/>
  <c r="AC176" i="20"/>
  <c r="BO74" i="20"/>
  <c r="BP92" i="20"/>
  <c r="BO48" i="20"/>
  <c r="AZ45" i="20"/>
  <c r="BA45" i="20" s="1"/>
  <c r="BP48" i="20"/>
  <c r="V176" i="20"/>
  <c r="AZ62" i="20"/>
  <c r="BA62" i="20" s="1"/>
  <c r="BQ19" i="20"/>
  <c r="AY78" i="20"/>
  <c r="BQ81" i="20"/>
  <c r="BR25" i="20"/>
  <c r="AZ77" i="20"/>
  <c r="BA77" i="20" s="1"/>
  <c r="BR32" i="20"/>
  <c r="BQ32" i="20"/>
  <c r="BQ14" i="20"/>
  <c r="BR75" i="20"/>
  <c r="BS63" i="20"/>
  <c r="BT63" i="20" s="1"/>
  <c r="BS62" i="20"/>
  <c r="BT62" i="20" s="1"/>
  <c r="BS24" i="20"/>
  <c r="BT24" i="20" s="1"/>
  <c r="BR24" i="20"/>
  <c r="AY84" i="20"/>
  <c r="BQ78" i="20"/>
  <c r="AY59" i="20"/>
  <c r="BQ64" i="20"/>
  <c r="BB86" i="20"/>
  <c r="BC86" i="20" s="1"/>
  <c r="AZ59" i="20"/>
  <c r="BA59" i="20" s="1"/>
  <c r="W176" i="20"/>
  <c r="BS14" i="20"/>
  <c r="BT14" i="20" s="1"/>
  <c r="BS19" i="20"/>
  <c r="BT19" i="20" s="1"/>
  <c r="AZ14" i="20"/>
  <c r="BA14" i="20" s="1"/>
  <c r="AZ19" i="20"/>
  <c r="BA19" i="20" s="1"/>
  <c r="BQ30" i="20"/>
  <c r="BS90" i="20"/>
  <c r="BT90" i="20" s="1"/>
  <c r="BS25" i="20"/>
  <c r="BT25" i="20" s="1"/>
  <c r="BQ23" i="20"/>
  <c r="BS30" i="20"/>
  <c r="BT30" i="20" s="1"/>
  <c r="AY39" i="20"/>
  <c r="AY85" i="20"/>
  <c r="BQ85" i="20"/>
  <c r="BN39" i="20"/>
  <c r="BR39" i="20" s="1"/>
  <c r="BB75" i="20"/>
  <c r="BC75" i="20" s="1"/>
  <c r="BB24" i="20"/>
  <c r="BC24" i="20" s="1"/>
  <c r="AZ75" i="20"/>
  <c r="BA75" i="20" s="1"/>
  <c r="AZ91" i="20"/>
  <c r="BA91" i="20" s="1"/>
  <c r="AY25" i="20"/>
  <c r="BB39" i="20"/>
  <c r="BC39" i="20" s="1"/>
  <c r="BQ89" i="20"/>
  <c r="BB14" i="20"/>
  <c r="BC14" i="20" s="1"/>
  <c r="BQ90" i="20"/>
  <c r="BB85" i="20"/>
  <c r="BC85" i="20" s="1"/>
  <c r="BR90" i="20"/>
  <c r="BQ43" i="20"/>
  <c r="BR62" i="20"/>
  <c r="BB30" i="20"/>
  <c r="BC30" i="20" s="1"/>
  <c r="AY90" i="20"/>
  <c r="BR43" i="20"/>
  <c r="BQ84" i="20"/>
  <c r="BF52" i="20"/>
  <c r="AY62" i="20"/>
  <c r="BR63" i="20"/>
  <c r="BQ25" i="20"/>
  <c r="AZ30" i="20"/>
  <c r="BA30" i="20" s="1"/>
  <c r="BQ75" i="20"/>
  <c r="AZ90" i="20"/>
  <c r="BR45" i="20"/>
  <c r="BS18" i="20"/>
  <c r="BT18" i="20" s="1"/>
  <c r="BF18" i="20"/>
  <c r="BP37" i="20"/>
  <c r="BO37" i="20"/>
  <c r="BS67" i="20"/>
  <c r="BT67" i="20" s="1"/>
  <c r="BR67" i="20"/>
  <c r="BQ67" i="20"/>
  <c r="BB67" i="20"/>
  <c r="BC67" i="20" s="1"/>
  <c r="AY67" i="20"/>
  <c r="AZ67" i="20"/>
  <c r="BA67" i="20" s="1"/>
  <c r="BF19" i="20"/>
  <c r="BS12" i="20"/>
  <c r="BT12" i="20" s="1"/>
  <c r="BQ18" i="20"/>
  <c r="BB18" i="20"/>
  <c r="BC18" i="20" s="1"/>
  <c r="BQ29" i="20"/>
  <c r="BB29" i="20"/>
  <c r="BC29" i="20" s="1"/>
  <c r="BS29" i="20"/>
  <c r="BT29" i="20" s="1"/>
  <c r="BR29" i="20"/>
  <c r="AZ29" i="20"/>
  <c r="BA29" i="20" s="1"/>
  <c r="BS32" i="20"/>
  <c r="BT32" i="20" s="1"/>
  <c r="BO33" i="20"/>
  <c r="BB58" i="20"/>
  <c r="BC58" i="20" s="1"/>
  <c r="BP86" i="20"/>
  <c r="BO86" i="20"/>
  <c r="BN86" i="20"/>
  <c r="BS64" i="20"/>
  <c r="BT64" i="20" s="1"/>
  <c r="BR64" i="20"/>
  <c r="AL215" i="20"/>
  <c r="AL175" i="20" s="1"/>
  <c r="AX175" i="20" s="1"/>
  <c r="BS59" i="20"/>
  <c r="BT59" i="20" s="1"/>
  <c r="BR59" i="20"/>
  <c r="BQ88" i="20"/>
  <c r="BB88" i="20"/>
  <c r="BC88" i="20" s="1"/>
  <c r="AZ88" i="20"/>
  <c r="BA88" i="20" s="1"/>
  <c r="AY88" i="20"/>
  <c r="BS88" i="20"/>
  <c r="BT88" i="20" s="1"/>
  <c r="BD84" i="20"/>
  <c r="AZ84" i="20" s="1"/>
  <c r="BA84" i="20" s="1"/>
  <c r="BL8" i="20"/>
  <c r="BQ12" i="20"/>
  <c r="BB91" i="20"/>
  <c r="BC91" i="20" s="1"/>
  <c r="AY91" i="20"/>
  <c r="BL11" i="20"/>
  <c r="BP10" i="20"/>
  <c r="AY18" i="20"/>
  <c r="AY29" i="20"/>
  <c r="BQ77" i="20"/>
  <c r="BB77" i="20"/>
  <c r="BC77" i="20" s="1"/>
  <c r="BR77" i="20"/>
  <c r="AY77" i="20"/>
  <c r="BS77" i="20"/>
  <c r="BT77" i="20" s="1"/>
  <c r="AY58" i="20"/>
  <c r="U176" i="20"/>
  <c r="AG176" i="20"/>
  <c r="BR81" i="20"/>
  <c r="BB81" i="20"/>
  <c r="BC81" i="20" s="1"/>
  <c r="AY81" i="20"/>
  <c r="BD53" i="20"/>
  <c r="BR12" i="20"/>
  <c r="AZ12" i="20"/>
  <c r="BA12" i="20" s="1"/>
  <c r="AY12" i="20"/>
  <c r="AZ43" i="20"/>
  <c r="BA43" i="20" s="1"/>
  <c r="BB43" i="20"/>
  <c r="BC43" i="20" s="1"/>
  <c r="BS43" i="20"/>
  <c r="BT43" i="20" s="1"/>
  <c r="BO11" i="20"/>
  <c r="AZ18" i="20"/>
  <c r="BA18" i="20" s="1"/>
  <c r="BR18" i="20"/>
  <c r="BP39" i="20"/>
  <c r="BO39" i="20"/>
  <c r="BD79" i="20"/>
  <c r="BO83" i="20"/>
  <c r="BP83" i="20"/>
  <c r="BL50" i="20"/>
  <c r="AZ58" i="20"/>
  <c r="BA58" i="20" s="1"/>
  <c r="BR89" i="20"/>
  <c r="BF24" i="20"/>
  <c r="BR92" i="20"/>
  <c r="AY92" i="20"/>
  <c r="BB92" i="20"/>
  <c r="BC92" i="20" s="1"/>
  <c r="BS92" i="20"/>
  <c r="BT92" i="20" s="1"/>
  <c r="BO22" i="20"/>
  <c r="BP22" i="20"/>
  <c r="BL33" i="20"/>
  <c r="BP9" i="20"/>
  <c r="BL9" i="20"/>
  <c r="BR11" i="20"/>
  <c r="BB11" i="20"/>
  <c r="BC11" i="20" s="1"/>
  <c r="BS11" i="20"/>
  <c r="BT11" i="20" s="1"/>
  <c r="AZ37" i="20"/>
  <c r="BA37" i="20" s="1"/>
  <c r="BF43" i="20"/>
  <c r="BP50" i="20"/>
  <c r="BR88" i="20"/>
  <c r="P176" i="20"/>
  <c r="P178" i="20" s="1"/>
  <c r="AY11" i="20"/>
  <c r="BD23" i="20"/>
  <c r="AZ23" i="20" s="1"/>
  <c r="BA23" i="20" s="1"/>
  <c r="BD32" i="20"/>
  <c r="AZ32" i="20" s="1"/>
  <c r="BA32" i="20" s="1"/>
  <c r="BF77" i="20"/>
  <c r="AY37" i="20"/>
  <c r="AZ11" i="20"/>
  <c r="BA11" i="20" s="1"/>
  <c r="BR19" i="20"/>
  <c r="AY19" i="20"/>
  <c r="BQ52" i="20"/>
  <c r="BB52" i="20"/>
  <c r="BC52" i="20" s="1"/>
  <c r="BR52" i="20"/>
  <c r="AY52" i="20"/>
  <c r="BS52" i="20"/>
  <c r="BT52" i="20" s="1"/>
  <c r="BL68" i="20"/>
  <c r="BQ53" i="20"/>
  <c r="BB53" i="20"/>
  <c r="BC53" i="20" s="1"/>
  <c r="AY53" i="20"/>
  <c r="BB82" i="20"/>
  <c r="BC82" i="20" s="1"/>
  <c r="AY82" i="20"/>
  <c r="BN83" i="20"/>
  <c r="BS83" i="20" s="1"/>
  <c r="BT83" i="20" s="1"/>
  <c r="AZ57" i="20"/>
  <c r="BA57" i="20" s="1"/>
  <c r="AY86" i="20"/>
  <c r="BQ47" i="20"/>
  <c r="BB47" i="20"/>
  <c r="BC47" i="20" s="1"/>
  <c r="BR47" i="20"/>
  <c r="AY47" i="20"/>
  <c r="BL79" i="20"/>
  <c r="BP79" i="20"/>
  <c r="AZ47" i="20"/>
  <c r="BA47" i="20" s="1"/>
  <c r="BS47" i="20"/>
  <c r="BT47" i="20" s="1"/>
  <c r="AY57" i="20"/>
  <c r="BD33" i="20"/>
  <c r="BB45" i="20"/>
  <c r="BC45" i="20" s="1"/>
  <c r="BS45" i="20"/>
  <c r="BT45" i="20" s="1"/>
  <c r="AZ83" i="20"/>
  <c r="BA83" i="20" s="1"/>
  <c r="AY83" i="20"/>
  <c r="BB25" i="20"/>
  <c r="BC25" i="20" s="1"/>
  <c r="BS23" i="20"/>
  <c r="BT23" i="20" s="1"/>
  <c r="AZ24" i="20"/>
  <c r="BA24" i="20" s="1"/>
  <c r="BQ24" i="20"/>
  <c r="BN37" i="20"/>
  <c r="AY45" i="20"/>
  <c r="BB83" i="20"/>
  <c r="BC83" i="20" s="1"/>
  <c r="R176" i="20"/>
  <c r="R178" i="20" s="1"/>
  <c r="BS89" i="20"/>
  <c r="BT89" i="20" s="1"/>
  <c r="BR78" i="20"/>
  <c r="BS84" i="20"/>
  <c r="BT84" i="20" s="1"/>
  <c r="BR84" i="20"/>
  <c r="BP68" i="20"/>
  <c r="BO68" i="20"/>
  <c r="X176" i="20"/>
  <c r="BF57" i="20"/>
  <c r="BQ63" i="20"/>
  <c r="BB63" i="20"/>
  <c r="BC63" i="20" s="1"/>
  <c r="AZ63" i="20"/>
  <c r="BA63" i="20" s="1"/>
  <c r="AY63" i="20"/>
  <c r="BD64" i="20"/>
  <c r="AZ64" i="20" s="1"/>
  <c r="BA64" i="20" s="1"/>
  <c r="AY89" i="20"/>
  <c r="AZ89" i="20"/>
  <c r="BA89" i="20" s="1"/>
  <c r="BB62" i="20"/>
  <c r="BC62" i="20" s="1"/>
  <c r="AP61" i="8"/>
  <c r="AQ61" i="8" s="1"/>
  <c r="AR61" i="8"/>
  <c r="AO63" i="8"/>
  <c r="AT66" i="8"/>
  <c r="AV63" i="8"/>
  <c r="BI63" i="8"/>
  <c r="BJ63" i="8" s="1"/>
  <c r="BH63" i="8"/>
  <c r="BG63" i="8"/>
  <c r="AZ92" i="20" l="1"/>
  <c r="BA92" i="20" s="1"/>
  <c r="AS61" i="8"/>
  <c r="BL37" i="9"/>
  <c r="AX174" i="20"/>
  <c r="AX176" i="20" s="1"/>
  <c r="AG6" i="31"/>
  <c r="BF47" i="20"/>
  <c r="BF12" i="20"/>
  <c r="AZ81" i="20"/>
  <c r="BA81" i="20" s="1"/>
  <c r="BB76" i="20"/>
  <c r="BC76" i="20" s="1"/>
  <c r="AZ76" i="20"/>
  <c r="BA76" i="20" s="1"/>
  <c r="BQ76" i="20"/>
  <c r="BF45" i="20"/>
  <c r="BS76" i="20"/>
  <c r="BT76" i="20" s="1"/>
  <c r="BF75" i="20"/>
  <c r="BR76" i="20"/>
  <c r="AQ176" i="20"/>
  <c r="AQ181" i="20" s="1"/>
  <c r="D10" i="1"/>
  <c r="BF67" i="20"/>
  <c r="BF78" i="20"/>
  <c r="BF59" i="20"/>
  <c r="AZ85" i="20"/>
  <c r="BA85" i="20" s="1"/>
  <c r="BF30" i="20"/>
  <c r="BF89" i="20"/>
  <c r="BF88" i="20"/>
  <c r="BF37" i="20"/>
  <c r="BF86" i="20"/>
  <c r="BF29" i="20"/>
  <c r="BQ21" i="20"/>
  <c r="BP80" i="20"/>
  <c r="BQ80" i="20" s="1"/>
  <c r="BF84" i="20"/>
  <c r="BB44" i="20"/>
  <c r="BC44" i="20" s="1"/>
  <c r="AY44" i="20"/>
  <c r="AZ44" i="20"/>
  <c r="BA44" i="20" s="1"/>
  <c r="BQ44" i="20"/>
  <c r="BR44" i="20"/>
  <c r="BS44" i="20"/>
  <c r="BT44" i="20" s="1"/>
  <c r="BN80" i="20"/>
  <c r="BS80" i="20" s="1"/>
  <c r="BT80" i="20" s="1"/>
  <c r="BQ45" i="20"/>
  <c r="BQ86" i="20"/>
  <c r="BQ74" i="20"/>
  <c r="BS38" i="20"/>
  <c r="BT38" i="20" s="1"/>
  <c r="AZ53" i="20"/>
  <c r="BA53" i="20" s="1"/>
  <c r="AZ21" i="20"/>
  <c r="BA21" i="20" s="1"/>
  <c r="BS21" i="20"/>
  <c r="BT21" i="20" s="1"/>
  <c r="BB20" i="20"/>
  <c r="BC20" i="20" s="1"/>
  <c r="AY20" i="20"/>
  <c r="BR56" i="20"/>
  <c r="BQ15" i="20"/>
  <c r="AY21" i="20"/>
  <c r="BR42" i="20"/>
  <c r="BR20" i="20"/>
  <c r="BB21" i="20"/>
  <c r="BC21" i="20" s="1"/>
  <c r="BB42" i="20"/>
  <c r="BC42" i="20" s="1"/>
  <c r="BS56" i="20"/>
  <c r="BT56" i="20" s="1"/>
  <c r="BB15" i="20"/>
  <c r="BC15" i="20" s="1"/>
  <c r="AZ42" i="20"/>
  <c r="BA42" i="20" s="1"/>
  <c r="AZ74" i="20"/>
  <c r="AZ56" i="20"/>
  <c r="BA56" i="20" s="1"/>
  <c r="BS20" i="20"/>
  <c r="BT20" i="20" s="1"/>
  <c r="AY42" i="20"/>
  <c r="BR74" i="20"/>
  <c r="BQ42" i="20"/>
  <c r="AZ15" i="20"/>
  <c r="BA15" i="20" s="1"/>
  <c r="AY56" i="20"/>
  <c r="BS15" i="20"/>
  <c r="BT15" i="20" s="1"/>
  <c r="BQ20" i="20"/>
  <c r="AY15" i="20"/>
  <c r="BB38" i="20"/>
  <c r="BC38" i="20" s="1"/>
  <c r="BF38" i="20"/>
  <c r="BQ37" i="20"/>
  <c r="BQ38" i="20"/>
  <c r="AZ48" i="20"/>
  <c r="BA48" i="20" s="1"/>
  <c r="BQ48" i="20"/>
  <c r="BQ56" i="20"/>
  <c r="AY48" i="20"/>
  <c r="BS74" i="20"/>
  <c r="BT74" i="20" s="1"/>
  <c r="BR48" i="20"/>
  <c r="BR86" i="20"/>
  <c r="BB48" i="20"/>
  <c r="BC48" i="20" s="1"/>
  <c r="BB74" i="20"/>
  <c r="BC74" i="20" s="1"/>
  <c r="AY74" i="20"/>
  <c r="BF25" i="20"/>
  <c r="BQ92" i="20"/>
  <c r="AL176" i="20"/>
  <c r="AY38" i="20"/>
  <c r="BR38" i="20"/>
  <c r="BR83" i="20"/>
  <c r="BS37" i="20"/>
  <c r="BT37" i="20" s="1"/>
  <c r="BF14" i="20"/>
  <c r="BF83" i="20"/>
  <c r="BF62" i="20"/>
  <c r="BQ83" i="20"/>
  <c r="BF11" i="20"/>
  <c r="BA90" i="20"/>
  <c r="BF90" i="20"/>
  <c r="BS39" i="20"/>
  <c r="BT39" i="20" s="1"/>
  <c r="BF23" i="20"/>
  <c r="BQ39" i="20"/>
  <c r="BP82" i="20"/>
  <c r="BO82" i="20"/>
  <c r="BN82" i="20"/>
  <c r="BF82" i="20" s="1"/>
  <c r="BQ79" i="20"/>
  <c r="BB79" i="20"/>
  <c r="BC79" i="20" s="1"/>
  <c r="BS79" i="20"/>
  <c r="BT79" i="20" s="1"/>
  <c r="AZ79" i="20"/>
  <c r="BA79" i="20" s="1"/>
  <c r="BR79" i="20"/>
  <c r="AY79" i="20"/>
  <c r="BS73" i="20"/>
  <c r="BT73" i="20" s="1"/>
  <c r="BR73" i="20"/>
  <c r="BB73" i="20"/>
  <c r="BC73" i="20" s="1"/>
  <c r="AZ73" i="20"/>
  <c r="BA73" i="20" s="1"/>
  <c r="AY73" i="20"/>
  <c r="BQ73" i="20"/>
  <c r="BS86" i="20"/>
  <c r="BT86" i="20" s="1"/>
  <c r="BF32" i="20"/>
  <c r="AZ22" i="20"/>
  <c r="BA22" i="20" s="1"/>
  <c r="BR22" i="20"/>
  <c r="BB22" i="20"/>
  <c r="BC22" i="20" s="1"/>
  <c r="BQ22" i="20"/>
  <c r="AY22" i="20"/>
  <c r="BS22" i="20"/>
  <c r="BT22" i="20" s="1"/>
  <c r="AY40" i="20"/>
  <c r="BS40" i="20"/>
  <c r="BT40" i="20" s="1"/>
  <c r="BB40" i="20"/>
  <c r="BC40" i="20" s="1"/>
  <c r="BR40" i="20"/>
  <c r="AZ40" i="20"/>
  <c r="BA40" i="20" s="1"/>
  <c r="BQ40" i="20"/>
  <c r="AZ39" i="20"/>
  <c r="BA39" i="20" s="1"/>
  <c r="BF64" i="20"/>
  <c r="BB8" i="20"/>
  <c r="BS8" i="20"/>
  <c r="BR8" i="20"/>
  <c r="AZ8" i="20"/>
  <c r="BQ8" i="20"/>
  <c r="AY8" i="20"/>
  <c r="BD174" i="20"/>
  <c r="BP91" i="20"/>
  <c r="BO91" i="20"/>
  <c r="BN91" i="20"/>
  <c r="BO58" i="20"/>
  <c r="BP58" i="20"/>
  <c r="BN58" i="20"/>
  <c r="BF73" i="20"/>
  <c r="AZ71" i="20"/>
  <c r="BB71" i="20"/>
  <c r="BC71" i="20" s="1"/>
  <c r="BS71" i="20"/>
  <c r="BT71" i="20" s="1"/>
  <c r="AY71" i="20"/>
  <c r="BR71" i="20"/>
  <c r="BQ71" i="20"/>
  <c r="BQ11" i="20"/>
  <c r="AY50" i="20"/>
  <c r="BS50" i="20"/>
  <c r="BT50" i="20" s="1"/>
  <c r="BR50" i="20"/>
  <c r="BB50" i="20"/>
  <c r="BC50" i="20" s="1"/>
  <c r="BQ50" i="20"/>
  <c r="AZ50" i="20"/>
  <c r="BA50" i="20" s="1"/>
  <c r="BF20" i="20"/>
  <c r="BS10" i="20"/>
  <c r="BT10" i="20" s="1"/>
  <c r="BR10" i="20"/>
  <c r="BB10" i="20"/>
  <c r="BC10" i="20" s="1"/>
  <c r="AZ10" i="20"/>
  <c r="BA10" i="20" s="1"/>
  <c r="AY10" i="20"/>
  <c r="BQ10" i="20"/>
  <c r="BS33" i="20"/>
  <c r="BT33" i="20" s="1"/>
  <c r="BR33" i="20"/>
  <c r="AY33" i="20"/>
  <c r="BB33" i="20"/>
  <c r="BC33" i="20" s="1"/>
  <c r="AZ33" i="20"/>
  <c r="BA33" i="20" s="1"/>
  <c r="BQ33" i="20"/>
  <c r="BF63" i="20"/>
  <c r="BQ68" i="20"/>
  <c r="BB68" i="20"/>
  <c r="BC68" i="20" s="1"/>
  <c r="AZ68" i="20"/>
  <c r="AY68" i="20"/>
  <c r="BR68" i="20"/>
  <c r="BS68" i="20"/>
  <c r="BT68" i="20" s="1"/>
  <c r="AY9" i="20"/>
  <c r="BQ9" i="20"/>
  <c r="AZ9" i="20"/>
  <c r="BB9" i="20"/>
  <c r="BC9" i="20" s="1"/>
  <c r="BS9" i="20"/>
  <c r="BT9" i="20" s="1"/>
  <c r="BR9" i="20"/>
  <c r="BR37" i="20"/>
  <c r="BD61" i="8"/>
  <c r="AV61" i="8" s="1"/>
  <c r="BE61" i="8"/>
  <c r="BF61" i="8"/>
  <c r="G10" i="1" l="1"/>
  <c r="AH6" i="31"/>
  <c r="BF21" i="20"/>
  <c r="BF79" i="20"/>
  <c r="BF10" i="20"/>
  <c r="BF76" i="20"/>
  <c r="BA74" i="20"/>
  <c r="BF74" i="20"/>
  <c r="BA68" i="20"/>
  <c r="BF68" i="20"/>
  <c r="BF15" i="20"/>
  <c r="BF56" i="20"/>
  <c r="BF33" i="20"/>
  <c r="BN174" i="20"/>
  <c r="BF40" i="20"/>
  <c r="BF53" i="20"/>
  <c r="BF22" i="20"/>
  <c r="BF44" i="20"/>
  <c r="BF80" i="20"/>
  <c r="BR80" i="20"/>
  <c r="BF42" i="20"/>
  <c r="BF48" i="20"/>
  <c r="BQ82" i="20"/>
  <c r="BF39" i="20"/>
  <c r="BQ91" i="20"/>
  <c r="BP174" i="20"/>
  <c r="BO174" i="20"/>
  <c r="BT8" i="20"/>
  <c r="BA71" i="20"/>
  <c r="BF71" i="20"/>
  <c r="BQ58" i="20"/>
  <c r="BF91" i="20"/>
  <c r="BR91" i="20"/>
  <c r="BS91" i="20"/>
  <c r="BT91" i="20" s="1"/>
  <c r="BB174" i="20"/>
  <c r="BC8" i="20"/>
  <c r="BR82" i="20"/>
  <c r="BS82" i="20"/>
  <c r="BT82" i="20" s="1"/>
  <c r="BA9" i="20"/>
  <c r="BF9" i="20"/>
  <c r="BR58" i="20"/>
  <c r="BS58" i="20"/>
  <c r="BF58" i="20"/>
  <c r="AZ174" i="20"/>
  <c r="BA8" i="20"/>
  <c r="BG61" i="8"/>
  <c r="BI61" i="8"/>
  <c r="BJ61" i="8" s="1"/>
  <c r="BH61" i="8"/>
  <c r="AI6" i="31" l="1"/>
  <c r="BG177" i="20"/>
  <c r="BS174" i="20"/>
  <c r="BS177" i="20" s="1"/>
  <c r="BS181" i="20" s="1"/>
  <c r="BR174" i="20"/>
  <c r="BQ174" i="20"/>
  <c r="BG178" i="20"/>
  <c r="BG179" i="20"/>
  <c r="AJ6" i="31" l="1"/>
  <c r="O10" i="16"/>
  <c r="V10" i="16" s="1"/>
  <c r="AM10" i="8"/>
  <c r="AK6" i="31" l="1"/>
  <c r="AM314" i="15"/>
  <c r="AL6" i="31" l="1"/>
  <c r="AJ314" i="15"/>
  <c r="AI314" i="15"/>
  <c r="AH314" i="15"/>
  <c r="AG314" i="15"/>
  <c r="AF314" i="15"/>
  <c r="AE314" i="15"/>
  <c r="AD314" i="15"/>
  <c r="AC314" i="15"/>
  <c r="AB314" i="15"/>
  <c r="AA314" i="15"/>
  <c r="Z314" i="15"/>
  <c r="Y314" i="15"/>
  <c r="X314" i="15"/>
  <c r="W314" i="15"/>
  <c r="V314" i="15"/>
  <c r="U314" i="15"/>
  <c r="T314" i="15"/>
  <c r="S314" i="15"/>
  <c r="R314" i="15"/>
  <c r="Q314" i="15"/>
  <c r="P314" i="15"/>
  <c r="O314" i="15"/>
  <c r="N314" i="15"/>
  <c r="M314" i="15"/>
  <c r="L314" i="15"/>
  <c r="BL315" i="15"/>
  <c r="AM6" i="31" l="1"/>
  <c r="AN6" i="31" s="1"/>
  <c r="AO6" i="31" s="1"/>
  <c r="AF82" i="16"/>
  <c r="AM189" i="15"/>
  <c r="AJ191" i="35" s="1"/>
  <c r="AM276" i="15"/>
  <c r="AM118" i="15"/>
  <c r="AM92" i="15"/>
  <c r="C307" i="11"/>
  <c r="D307" i="11"/>
  <c r="E307" i="11"/>
  <c r="F307" i="11"/>
  <c r="G307" i="11"/>
  <c r="H307" i="11"/>
  <c r="I307" i="11"/>
  <c r="J307" i="11"/>
  <c r="M307" i="11"/>
  <c r="N307" i="11"/>
  <c r="O307" i="11"/>
  <c r="P307" i="11"/>
  <c r="Q307" i="11"/>
  <c r="R307" i="11"/>
  <c r="S307" i="11"/>
  <c r="T307" i="11"/>
  <c r="U307" i="11"/>
  <c r="V307" i="11"/>
  <c r="W307" i="11"/>
  <c r="AB307" i="11"/>
  <c r="AC307" i="11"/>
  <c r="AD307" i="11"/>
  <c r="AE307" i="11"/>
  <c r="AE309" i="11" s="1"/>
  <c r="AH307" i="11"/>
  <c r="AI307" i="11"/>
  <c r="AK307" i="11"/>
  <c r="AL307" i="11"/>
  <c r="AM307" i="11"/>
  <c r="AN307" i="11"/>
  <c r="AO307" i="11"/>
  <c r="AP307" i="11"/>
  <c r="AQ307" i="11"/>
  <c r="AR307" i="11"/>
  <c r="AS307" i="11"/>
  <c r="AT307" i="11"/>
  <c r="AU307" i="11"/>
  <c r="AV307" i="11"/>
  <c r="AW307" i="11"/>
  <c r="AX307" i="11"/>
  <c r="AY307" i="11"/>
  <c r="AZ307" i="11"/>
  <c r="BA307" i="11"/>
  <c r="BB307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X309" i="11" s="1"/>
  <c r="Y308" i="11"/>
  <c r="Y309" i="11" s="1"/>
  <c r="Z308" i="11"/>
  <c r="Z309" i="11" s="1"/>
  <c r="AA308" i="11"/>
  <c r="AA309" i="11" s="1"/>
  <c r="AB308" i="11"/>
  <c r="AC308" i="11"/>
  <c r="AD308" i="11"/>
  <c r="AH308" i="11"/>
  <c r="AI308" i="11"/>
  <c r="AJ308" i="11"/>
  <c r="AK308" i="11"/>
  <c r="AL308" i="11"/>
  <c r="AM308" i="11"/>
  <c r="AN308" i="11"/>
  <c r="AO308" i="11"/>
  <c r="AP308" i="11"/>
  <c r="AQ308" i="11"/>
  <c r="AR308" i="11"/>
  <c r="AS308" i="11"/>
  <c r="AT308" i="11"/>
  <c r="AU308" i="11"/>
  <c r="AV308" i="11"/>
  <c r="AW308" i="11"/>
  <c r="AX308" i="11"/>
  <c r="AY308" i="11"/>
  <c r="AZ308" i="11"/>
  <c r="BA308" i="11"/>
  <c r="BB308" i="11"/>
  <c r="AM223" i="15"/>
  <c r="AJ225" i="35" s="1"/>
  <c r="AM286" i="15"/>
  <c r="AM254" i="15"/>
  <c r="AM310" i="15" s="1"/>
  <c r="E30" i="37" s="1"/>
  <c r="AM140" i="15"/>
  <c r="AM156" i="15"/>
  <c r="AM297" i="15"/>
  <c r="AN115" i="8"/>
  <c r="AN114" i="8"/>
  <c r="AM186" i="15"/>
  <c r="AM98" i="15"/>
  <c r="BJ19" i="15"/>
  <c r="AM51" i="8"/>
  <c r="AM87" i="8" s="1"/>
  <c r="BD38" i="8"/>
  <c r="AX38" i="8"/>
  <c r="AY38" i="8" s="1"/>
  <c r="BC38" i="8"/>
  <c r="AU38" i="8"/>
  <c r="AT38" i="8" s="1"/>
  <c r="O47" i="16"/>
  <c r="V47" i="16" s="1"/>
  <c r="O74" i="16"/>
  <c r="V74" i="16" s="1"/>
  <c r="AM33" i="15"/>
  <c r="AT33" i="15" s="1"/>
  <c r="AM72" i="15"/>
  <c r="AM232" i="15"/>
  <c r="AM121" i="15"/>
  <c r="AM142" i="15"/>
  <c r="AM239" i="15"/>
  <c r="AN10" i="8"/>
  <c r="AN13" i="8"/>
  <c r="AN14" i="8"/>
  <c r="AN15" i="8"/>
  <c r="AN17" i="8"/>
  <c r="AN18" i="8"/>
  <c r="AN19" i="8"/>
  <c r="AN20" i="8"/>
  <c r="AN21" i="8"/>
  <c r="AN22" i="8"/>
  <c r="AN25" i="8"/>
  <c r="AN27" i="8"/>
  <c r="AN28" i="8"/>
  <c r="AN29" i="8"/>
  <c r="AN30" i="8"/>
  <c r="AN31" i="8"/>
  <c r="AN32" i="8"/>
  <c r="AN33" i="8"/>
  <c r="AN34" i="8"/>
  <c r="AN35" i="8"/>
  <c r="AN36" i="8"/>
  <c r="AN39" i="8"/>
  <c r="AN40" i="8"/>
  <c r="AN41" i="8"/>
  <c r="AN42" i="8"/>
  <c r="AN45" i="8"/>
  <c r="AN46" i="8"/>
  <c r="AN48" i="8"/>
  <c r="AN49" i="8"/>
  <c r="AN53" i="8"/>
  <c r="AN55" i="8"/>
  <c r="AN56" i="8"/>
  <c r="AN57" i="8"/>
  <c r="AN58" i="8"/>
  <c r="AN60" i="8"/>
  <c r="AN64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4" i="8"/>
  <c r="AN86" i="8"/>
  <c r="AM88" i="8"/>
  <c r="AM134" i="15"/>
  <c r="AM102" i="15"/>
  <c r="AM82" i="15"/>
  <c r="BJ127" i="15"/>
  <c r="BN127" i="15" s="1"/>
  <c r="AM306" i="15"/>
  <c r="AM128" i="15"/>
  <c r="AM199" i="15"/>
  <c r="AM270" i="15"/>
  <c r="AL85" i="8"/>
  <c r="AN85" i="8" s="1"/>
  <c r="AL50" i="8"/>
  <c r="AN50" i="8" s="1"/>
  <c r="BC42" i="8"/>
  <c r="BB42" i="8"/>
  <c r="AX42" i="8"/>
  <c r="AY42" i="8" s="1"/>
  <c r="AU42" i="8"/>
  <c r="AT42" i="8" s="1"/>
  <c r="AL89" i="15"/>
  <c r="J109" i="8"/>
  <c r="AL288" i="15"/>
  <c r="AJ344" i="15"/>
  <c r="BJ103" i="15"/>
  <c r="AL18" i="15"/>
  <c r="AI20" i="31" s="1"/>
  <c r="AL117" i="15"/>
  <c r="AL285" i="15"/>
  <c r="C17" i="1"/>
  <c r="AH113" i="8"/>
  <c r="AH118" i="8" s="1"/>
  <c r="AE118" i="8"/>
  <c r="AF118" i="8"/>
  <c r="AG118" i="8"/>
  <c r="AI118" i="8"/>
  <c r="AJ118" i="8"/>
  <c r="AK118" i="8"/>
  <c r="AK88" i="8" s="1"/>
  <c r="AL118" i="8"/>
  <c r="AL88" i="8" s="1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B125" i="17"/>
  <c r="AC125" i="17"/>
  <c r="AN106" i="8"/>
  <c r="W12" i="1"/>
  <c r="AN105" i="8"/>
  <c r="AN107" i="8"/>
  <c r="AN108" i="8"/>
  <c r="AN111" i="8"/>
  <c r="AN110" i="8"/>
  <c r="BJ17" i="8"/>
  <c r="BJ18" i="8"/>
  <c r="BJ19" i="8"/>
  <c r="BJ30" i="8"/>
  <c r="BJ31" i="8"/>
  <c r="BJ45" i="8"/>
  <c r="BJ53" i="8"/>
  <c r="BJ70" i="8"/>
  <c r="BJ71" i="8"/>
  <c r="BJ72" i="8"/>
  <c r="BJ82" i="8"/>
  <c r="BJ84" i="8"/>
  <c r="BE10" i="8"/>
  <c r="BF10" i="8"/>
  <c r="BE13" i="8"/>
  <c r="BF13" i="8"/>
  <c r="BE14" i="8"/>
  <c r="BF14" i="8"/>
  <c r="BE15" i="8"/>
  <c r="BF15" i="8"/>
  <c r="BE20" i="8"/>
  <c r="BF20" i="8"/>
  <c r="BE21" i="8"/>
  <c r="BF21" i="8"/>
  <c r="BE22" i="8"/>
  <c r="BF22" i="8"/>
  <c r="BE25" i="8"/>
  <c r="BF25" i="8"/>
  <c r="BE27" i="8"/>
  <c r="BF27" i="8"/>
  <c r="BE29" i="8"/>
  <c r="BF29" i="8"/>
  <c r="BE32" i="8"/>
  <c r="BF32" i="8"/>
  <c r="BE33" i="8"/>
  <c r="BF33" i="8"/>
  <c r="BE34" i="8"/>
  <c r="BF34" i="8"/>
  <c r="BE35" i="8"/>
  <c r="BF35" i="8"/>
  <c r="BE48" i="8"/>
  <c r="BF48" i="8"/>
  <c r="BE49" i="8"/>
  <c r="BF49" i="8"/>
  <c r="BE56" i="8"/>
  <c r="BF56" i="8"/>
  <c r="BE58" i="8"/>
  <c r="BF58" i="8"/>
  <c r="BE74" i="8"/>
  <c r="BF74" i="8"/>
  <c r="BE75" i="8"/>
  <c r="BF75" i="8"/>
  <c r="BE77" i="8"/>
  <c r="BF77" i="8"/>
  <c r="BE78" i="8"/>
  <c r="BF78" i="8"/>
  <c r="BE80" i="8"/>
  <c r="BF80" i="8"/>
  <c r="BE81" i="8"/>
  <c r="BF81" i="8"/>
  <c r="BE86" i="8"/>
  <c r="BF86" i="8"/>
  <c r="BB21" i="8"/>
  <c r="BB22" i="8"/>
  <c r="BB25" i="8"/>
  <c r="BB27" i="8"/>
  <c r="BB28" i="8"/>
  <c r="BB29" i="8"/>
  <c r="BB30" i="8"/>
  <c r="BB31" i="8"/>
  <c r="BB32" i="8"/>
  <c r="BB33" i="8"/>
  <c r="BB34" i="8"/>
  <c r="BB35" i="8"/>
  <c r="BB39" i="8"/>
  <c r="BB40" i="8"/>
  <c r="BB41" i="8"/>
  <c r="BB45" i="8"/>
  <c r="BB46" i="8"/>
  <c r="BB48" i="8"/>
  <c r="BB49" i="8"/>
  <c r="BB50" i="8"/>
  <c r="BB53" i="8"/>
  <c r="BB54" i="8"/>
  <c r="BB55" i="8"/>
  <c r="BB56" i="8"/>
  <c r="BB57" i="8"/>
  <c r="BB58" i="8"/>
  <c r="BB60" i="8"/>
  <c r="BB64" i="8"/>
  <c r="BB67" i="8"/>
  <c r="BB68" i="8"/>
  <c r="BB69" i="8"/>
  <c r="BB70" i="8"/>
  <c r="BB71" i="8"/>
  <c r="BB72" i="8"/>
  <c r="BB73" i="8"/>
  <c r="BB74" i="8"/>
  <c r="BB75" i="8"/>
  <c r="BB76" i="8"/>
  <c r="BB77" i="8"/>
  <c r="BB78" i="8"/>
  <c r="BB80" i="8"/>
  <c r="BB81" i="8"/>
  <c r="BB82" i="8"/>
  <c r="BB84" i="8"/>
  <c r="BB85" i="8"/>
  <c r="BB86" i="8"/>
  <c r="BB10" i="8"/>
  <c r="BB13" i="8"/>
  <c r="BB14" i="8"/>
  <c r="BB15" i="8"/>
  <c r="BB17" i="8"/>
  <c r="BB18" i="8"/>
  <c r="BB19" i="8"/>
  <c r="BB20" i="8"/>
  <c r="AN142" i="8"/>
  <c r="AN112" i="8"/>
  <c r="AH65" i="8"/>
  <c r="AN65" i="8" s="1"/>
  <c r="AQ125" i="16"/>
  <c r="L11" i="1" s="1"/>
  <c r="BI88" i="8"/>
  <c r="L10" i="1" s="1"/>
  <c r="AR8" i="16"/>
  <c r="AR9" i="16"/>
  <c r="AR14" i="16"/>
  <c r="AR15" i="16"/>
  <c r="AR16" i="16"/>
  <c r="AR18" i="16"/>
  <c r="AR20" i="16"/>
  <c r="AR21" i="16"/>
  <c r="AR22" i="16"/>
  <c r="AR23" i="16"/>
  <c r="AR24" i="16"/>
  <c r="AR25" i="16"/>
  <c r="AR28" i="16"/>
  <c r="AR29" i="16"/>
  <c r="AR30" i="16"/>
  <c r="AR31" i="16"/>
  <c r="AR32" i="16"/>
  <c r="AR33" i="16"/>
  <c r="AR36" i="16"/>
  <c r="AR37" i="16"/>
  <c r="AR39" i="16"/>
  <c r="AR40" i="16"/>
  <c r="AR41" i="16"/>
  <c r="AR42" i="16"/>
  <c r="AR49" i="16"/>
  <c r="AR50" i="16"/>
  <c r="AR51" i="16"/>
  <c r="AR57" i="16"/>
  <c r="AR58" i="16"/>
  <c r="AR60" i="16"/>
  <c r="AR67" i="16"/>
  <c r="AR70" i="16"/>
  <c r="AR75" i="16"/>
  <c r="AR79" i="16"/>
  <c r="AR92" i="16"/>
  <c r="AR93" i="16"/>
  <c r="AR95" i="16"/>
  <c r="AR97" i="16"/>
  <c r="AR100" i="16"/>
  <c r="AR101" i="16"/>
  <c r="AR102" i="16"/>
  <c r="AR103" i="16"/>
  <c r="AR105" i="16"/>
  <c r="AR110" i="16"/>
  <c r="AR111" i="16"/>
  <c r="AR112" i="16"/>
  <c r="AR115" i="16"/>
  <c r="AR117" i="16"/>
  <c r="AR118" i="16"/>
  <c r="AR119" i="16"/>
  <c r="AR120" i="16"/>
  <c r="AR121" i="16"/>
  <c r="AR122" i="16"/>
  <c r="AR123" i="16"/>
  <c r="BC7" i="8"/>
  <c r="BD7" i="8" s="1"/>
  <c r="BC8" i="8"/>
  <c r="BD8" i="8" s="1"/>
  <c r="BC9" i="8"/>
  <c r="BD9" i="8" s="1"/>
  <c r="BC10" i="8"/>
  <c r="BD10" i="8" s="1"/>
  <c r="BC11" i="8"/>
  <c r="BD11" i="8" s="1"/>
  <c r="BC12" i="8"/>
  <c r="BD12" i="8" s="1"/>
  <c r="BC13" i="8"/>
  <c r="BD13" i="8" s="1"/>
  <c r="BC14" i="8"/>
  <c r="BD14" i="8" s="1"/>
  <c r="BC15" i="8"/>
  <c r="BD15" i="8" s="1"/>
  <c r="BC16" i="8"/>
  <c r="BD16" i="8" s="1"/>
  <c r="BC17" i="8"/>
  <c r="BC18" i="8"/>
  <c r="BC19" i="8"/>
  <c r="BC20" i="8"/>
  <c r="BD20" i="8" s="1"/>
  <c r="BC21" i="8"/>
  <c r="BD21" i="8" s="1"/>
  <c r="BC22" i="8"/>
  <c r="BD22" i="8" s="1"/>
  <c r="BC23" i="8"/>
  <c r="BD23" i="8" s="1"/>
  <c r="BC24" i="8"/>
  <c r="BD24" i="8" s="1"/>
  <c r="BC25" i="8"/>
  <c r="BD25" i="8" s="1"/>
  <c r="BC26" i="8"/>
  <c r="BD26" i="8" s="1"/>
  <c r="BC27" i="8"/>
  <c r="BD27" i="8" s="1"/>
  <c r="BC28" i="8"/>
  <c r="BC29" i="8"/>
  <c r="BD29" i="8" s="1"/>
  <c r="BC30" i="8"/>
  <c r="BC31" i="8"/>
  <c r="BC32" i="8"/>
  <c r="BD32" i="8" s="1"/>
  <c r="BC33" i="8"/>
  <c r="BD33" i="8" s="1"/>
  <c r="BC34" i="8"/>
  <c r="BD34" i="8" s="1"/>
  <c r="BC35" i="8"/>
  <c r="BD35" i="8" s="1"/>
  <c r="BC37" i="8"/>
  <c r="BD37" i="8" s="1"/>
  <c r="BC39" i="8"/>
  <c r="BC40" i="8"/>
  <c r="BC41" i="8"/>
  <c r="BC43" i="8"/>
  <c r="BD43" i="8" s="1"/>
  <c r="BC44" i="8"/>
  <c r="BD44" i="8" s="1"/>
  <c r="BC45" i="8"/>
  <c r="BC46" i="8"/>
  <c r="BC47" i="8"/>
  <c r="BD47" i="8" s="1"/>
  <c r="BC48" i="8"/>
  <c r="BD48" i="8" s="1"/>
  <c r="BC49" i="8"/>
  <c r="BD49" i="8" s="1"/>
  <c r="BC50" i="8"/>
  <c r="BD50" i="8" s="1"/>
  <c r="BC51" i="8"/>
  <c r="BC52" i="8"/>
  <c r="BD52" i="8" s="1"/>
  <c r="BC53" i="8"/>
  <c r="BC54" i="8"/>
  <c r="BD54" i="8" s="1"/>
  <c r="BC55" i="8"/>
  <c r="BC56" i="8"/>
  <c r="BD56" i="8" s="1"/>
  <c r="BC57" i="8"/>
  <c r="BC58" i="8"/>
  <c r="BD58" i="8" s="1"/>
  <c r="BC59" i="8"/>
  <c r="BD59" i="8" s="1"/>
  <c r="BC60" i="8"/>
  <c r="BC62" i="8"/>
  <c r="BD62" i="8" s="1"/>
  <c r="BC64" i="8"/>
  <c r="BC65" i="8"/>
  <c r="BD65" i="8" s="1"/>
  <c r="BC67" i="8"/>
  <c r="BC68" i="8"/>
  <c r="BC69" i="8"/>
  <c r="BC70" i="8"/>
  <c r="BC71" i="8"/>
  <c r="BC72" i="8"/>
  <c r="BC73" i="8"/>
  <c r="BC74" i="8"/>
  <c r="BD74" i="8" s="1"/>
  <c r="BC75" i="8"/>
  <c r="BD75" i="8" s="1"/>
  <c r="BC76" i="8"/>
  <c r="BC77" i="8"/>
  <c r="BD77" i="8" s="1"/>
  <c r="BC78" i="8"/>
  <c r="BD78" i="8" s="1"/>
  <c r="BC80" i="8"/>
  <c r="BD80" i="8" s="1"/>
  <c r="BC81" i="8"/>
  <c r="BD81" i="8" s="1"/>
  <c r="BC82" i="8"/>
  <c r="BC83" i="8"/>
  <c r="BD83" i="8" s="1"/>
  <c r="BC84" i="8"/>
  <c r="BC85" i="8"/>
  <c r="BD85" i="8" s="1"/>
  <c r="BC86" i="8"/>
  <c r="BD86" i="8" s="1"/>
  <c r="V63" i="16"/>
  <c r="V66" i="16"/>
  <c r="V67" i="16"/>
  <c r="V68" i="16"/>
  <c r="V69" i="16"/>
  <c r="V70" i="16"/>
  <c r="V71" i="16"/>
  <c r="V75" i="16"/>
  <c r="V76" i="16"/>
  <c r="V79" i="16"/>
  <c r="V82" i="16"/>
  <c r="V83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8" i="16"/>
  <c r="V9" i="16"/>
  <c r="V12" i="16"/>
  <c r="V13" i="16"/>
  <c r="V14" i="16"/>
  <c r="V15" i="16"/>
  <c r="V16" i="16"/>
  <c r="V17" i="16"/>
  <c r="V18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6" i="16"/>
  <c r="V37" i="16"/>
  <c r="V38" i="16"/>
  <c r="V39" i="16"/>
  <c r="V40" i="16"/>
  <c r="V41" i="16"/>
  <c r="V42" i="16"/>
  <c r="V44" i="16"/>
  <c r="V45" i="16"/>
  <c r="V46" i="16"/>
  <c r="V49" i="16"/>
  <c r="V50" i="16"/>
  <c r="V51" i="16"/>
  <c r="V53" i="16"/>
  <c r="V54" i="16"/>
  <c r="V55" i="16"/>
  <c r="V57" i="16"/>
  <c r="V58" i="16"/>
  <c r="V59" i="16"/>
  <c r="V60" i="16"/>
  <c r="L124" i="16"/>
  <c r="M124" i="16"/>
  <c r="N124" i="16"/>
  <c r="S124" i="16"/>
  <c r="AD125" i="17"/>
  <c r="CG117" i="17"/>
  <c r="CG118" i="17"/>
  <c r="CG115" i="17"/>
  <c r="CG111" i="17"/>
  <c r="CG112" i="17"/>
  <c r="CG108" i="17"/>
  <c r="CG85" i="17"/>
  <c r="CG79" i="17"/>
  <c r="CG80" i="17"/>
  <c r="CG75" i="17"/>
  <c r="CG76" i="17"/>
  <c r="CG61" i="17"/>
  <c r="CG62" i="17"/>
  <c r="CG57" i="17"/>
  <c r="CG58" i="17"/>
  <c r="CG53" i="17"/>
  <c r="CG54" i="17"/>
  <c r="CG55" i="17"/>
  <c r="CG48" i="17"/>
  <c r="CG49" i="17"/>
  <c r="CG44" i="17"/>
  <c r="CG45" i="17"/>
  <c r="CG40" i="17"/>
  <c r="CG39" i="17"/>
  <c r="L141" i="16"/>
  <c r="L125" i="16" s="1"/>
  <c r="CG46" i="17"/>
  <c r="CG56" i="17"/>
  <c r="BC120" i="17"/>
  <c r="BD120" i="17"/>
  <c r="BE120" i="17"/>
  <c r="BF120" i="17"/>
  <c r="BG120" i="17"/>
  <c r="BH120" i="17"/>
  <c r="BI120" i="17"/>
  <c r="BJ120" i="17"/>
  <c r="BK120" i="17"/>
  <c r="BL120" i="17"/>
  <c r="BM120" i="17"/>
  <c r="BN120" i="17"/>
  <c r="BO120" i="17"/>
  <c r="BP120" i="17"/>
  <c r="BQ120" i="17"/>
  <c r="BR120" i="17"/>
  <c r="BS120" i="17"/>
  <c r="BT120" i="17"/>
  <c r="AO91" i="17"/>
  <c r="AE125" i="17"/>
  <c r="AF125" i="17"/>
  <c r="AG125" i="17"/>
  <c r="AH125" i="17"/>
  <c r="AI125" i="17"/>
  <c r="AJ125" i="17"/>
  <c r="AK125" i="17"/>
  <c r="AM125" i="17"/>
  <c r="AN125" i="17"/>
  <c r="AP125" i="17"/>
  <c r="AQ125" i="17"/>
  <c r="AR125" i="17"/>
  <c r="AS125" i="17"/>
  <c r="AT125" i="17"/>
  <c r="AU125" i="17"/>
  <c r="AV125" i="17"/>
  <c r="AW125" i="17"/>
  <c r="AX125" i="17"/>
  <c r="AY125" i="17"/>
  <c r="AZ125" i="17"/>
  <c r="BA125" i="17"/>
  <c r="BB125" i="17"/>
  <c r="BC125" i="17"/>
  <c r="BD125" i="17"/>
  <c r="BE125" i="17"/>
  <c r="BF125" i="17"/>
  <c r="BG125" i="17"/>
  <c r="BH125" i="17"/>
  <c r="BI125" i="17"/>
  <c r="BJ125" i="17"/>
  <c r="BK125" i="17"/>
  <c r="BL125" i="17"/>
  <c r="BM125" i="17"/>
  <c r="BN125" i="17"/>
  <c r="BO125" i="17"/>
  <c r="BP125" i="17"/>
  <c r="BQ125" i="17"/>
  <c r="BR125" i="17"/>
  <c r="BS125" i="17"/>
  <c r="BT125" i="17"/>
  <c r="AL90" i="17"/>
  <c r="AL125" i="17" s="1"/>
  <c r="CG3" i="17"/>
  <c r="CG4" i="17"/>
  <c r="CG5" i="17"/>
  <c r="CG6" i="17"/>
  <c r="CG7" i="17"/>
  <c r="CG8" i="17"/>
  <c r="CG9" i="17"/>
  <c r="CG10" i="17"/>
  <c r="CG11" i="17"/>
  <c r="CG12" i="17"/>
  <c r="CG13" i="17"/>
  <c r="CG14" i="17"/>
  <c r="CG15" i="17"/>
  <c r="CG16" i="17"/>
  <c r="CG17" i="17"/>
  <c r="CG18" i="17"/>
  <c r="CG19" i="17"/>
  <c r="CG20" i="17"/>
  <c r="CG21" i="17"/>
  <c r="CG22" i="17"/>
  <c r="CG23" i="17"/>
  <c r="CG24" i="17"/>
  <c r="CG25" i="17"/>
  <c r="CG26" i="17"/>
  <c r="CG27" i="17"/>
  <c r="CG28" i="17"/>
  <c r="CG29" i="17"/>
  <c r="CG30" i="17"/>
  <c r="CG31" i="17"/>
  <c r="CG32" i="17"/>
  <c r="CG33" i="17"/>
  <c r="CG34" i="17"/>
  <c r="CG35" i="17"/>
  <c r="CG36" i="17"/>
  <c r="CG37" i="17"/>
  <c r="CG38" i="17"/>
  <c r="CG41" i="17"/>
  <c r="CG42" i="17"/>
  <c r="CG43" i="17"/>
  <c r="CG47" i="17"/>
  <c r="CG50" i="17"/>
  <c r="CG51" i="17"/>
  <c r="CG52" i="17"/>
  <c r="CG59" i="17"/>
  <c r="CG60" i="17"/>
  <c r="CG63" i="17"/>
  <c r="CG64" i="17"/>
  <c r="CG65" i="17"/>
  <c r="CG66" i="17"/>
  <c r="CG67" i="17"/>
  <c r="CG68" i="17"/>
  <c r="CG69" i="17"/>
  <c r="CG70" i="17"/>
  <c r="CG71" i="17"/>
  <c r="CG72" i="17"/>
  <c r="CG73" i="17"/>
  <c r="CG74" i="17"/>
  <c r="CG77" i="17"/>
  <c r="CG78" i="17"/>
  <c r="CG81" i="17"/>
  <c r="CG82" i="17"/>
  <c r="CG83" i="17"/>
  <c r="CG84" i="17"/>
  <c r="CG86" i="17"/>
  <c r="CG87" i="17"/>
  <c r="CG88" i="17"/>
  <c r="CG89" i="17"/>
  <c r="CG92" i="17"/>
  <c r="CG93" i="17"/>
  <c r="CG94" i="17"/>
  <c r="CG95" i="17"/>
  <c r="CG96" i="17"/>
  <c r="CG97" i="17"/>
  <c r="CG98" i="17"/>
  <c r="CG99" i="17"/>
  <c r="CG100" i="17"/>
  <c r="CG101" i="17"/>
  <c r="CG102" i="17"/>
  <c r="CG103" i="17"/>
  <c r="CG104" i="17"/>
  <c r="CG105" i="17"/>
  <c r="CG106" i="17"/>
  <c r="CG107" i="17"/>
  <c r="CG109" i="17"/>
  <c r="CG110" i="17"/>
  <c r="CG113" i="17"/>
  <c r="CG114" i="17"/>
  <c r="CG116" i="17"/>
  <c r="CG2" i="17"/>
  <c r="CI118" i="17"/>
  <c r="CK118" i="17" s="1"/>
  <c r="CL118" i="17" s="1"/>
  <c r="CI117" i="17"/>
  <c r="CK117" i="17" s="1"/>
  <c r="CL117" i="17" s="1"/>
  <c r="CI116" i="17"/>
  <c r="CK116" i="17" s="1"/>
  <c r="CL116" i="17" s="1"/>
  <c r="CI115" i="17"/>
  <c r="CK115" i="17" s="1"/>
  <c r="CL115" i="17" s="1"/>
  <c r="CI114" i="17"/>
  <c r="CK114" i="17" s="1"/>
  <c r="CL114" i="17" s="1"/>
  <c r="CI113" i="17"/>
  <c r="CK113" i="17" s="1"/>
  <c r="CL113" i="17" s="1"/>
  <c r="CI112" i="17"/>
  <c r="CK112" i="17" s="1"/>
  <c r="CL112" i="17" s="1"/>
  <c r="CI111" i="17"/>
  <c r="CK111" i="17" s="1"/>
  <c r="CL111" i="17" s="1"/>
  <c r="CI110" i="17"/>
  <c r="CK110" i="17" s="1"/>
  <c r="CL110" i="17" s="1"/>
  <c r="CI109" i="17"/>
  <c r="CK109" i="17" s="1"/>
  <c r="CL109" i="17" s="1"/>
  <c r="CI108" i="17"/>
  <c r="CK108" i="17" s="1"/>
  <c r="CL108" i="17" s="1"/>
  <c r="CI107" i="17"/>
  <c r="CK107" i="17" s="1"/>
  <c r="CL107" i="17" s="1"/>
  <c r="CI106" i="17"/>
  <c r="CK106" i="17" s="1"/>
  <c r="CL106" i="17" s="1"/>
  <c r="CI105" i="17"/>
  <c r="CK105" i="17" s="1"/>
  <c r="CL105" i="17" s="1"/>
  <c r="CI104" i="17"/>
  <c r="CK104" i="17" s="1"/>
  <c r="CL104" i="17" s="1"/>
  <c r="CI103" i="17"/>
  <c r="CK103" i="17" s="1"/>
  <c r="CL103" i="17" s="1"/>
  <c r="CI102" i="17"/>
  <c r="CK102" i="17" s="1"/>
  <c r="CL102" i="17" s="1"/>
  <c r="CI101" i="17"/>
  <c r="CK101" i="17" s="1"/>
  <c r="CL101" i="17" s="1"/>
  <c r="CI100" i="17"/>
  <c r="CK100" i="17" s="1"/>
  <c r="CL100" i="17" s="1"/>
  <c r="CI99" i="17"/>
  <c r="CK99" i="17" s="1"/>
  <c r="CL99" i="17" s="1"/>
  <c r="CI98" i="17"/>
  <c r="CK98" i="17" s="1"/>
  <c r="CL98" i="17" s="1"/>
  <c r="CI97" i="17"/>
  <c r="CK97" i="17" s="1"/>
  <c r="CL97" i="17" s="1"/>
  <c r="CI96" i="17"/>
  <c r="CK96" i="17" s="1"/>
  <c r="CL96" i="17" s="1"/>
  <c r="CI95" i="17"/>
  <c r="CK95" i="17" s="1"/>
  <c r="CL95" i="17" s="1"/>
  <c r="CI94" i="17"/>
  <c r="CK94" i="17" s="1"/>
  <c r="CL94" i="17" s="1"/>
  <c r="CI93" i="17"/>
  <c r="CK93" i="17" s="1"/>
  <c r="CL93" i="17" s="1"/>
  <c r="CI92" i="17"/>
  <c r="CK92" i="17" s="1"/>
  <c r="CL92" i="17" s="1"/>
  <c r="CI91" i="17"/>
  <c r="CK91" i="17" s="1"/>
  <c r="CL91" i="17" s="1"/>
  <c r="CI90" i="17"/>
  <c r="CK90" i="17" s="1"/>
  <c r="CL90" i="17" s="1"/>
  <c r="CI89" i="17"/>
  <c r="CK89" i="17" s="1"/>
  <c r="CL89" i="17" s="1"/>
  <c r="CI88" i="17"/>
  <c r="CK88" i="17" s="1"/>
  <c r="CL88" i="17" s="1"/>
  <c r="CI87" i="17"/>
  <c r="CK87" i="17" s="1"/>
  <c r="CL87" i="17" s="1"/>
  <c r="CI86" i="17"/>
  <c r="CK86" i="17" s="1"/>
  <c r="CL86" i="17" s="1"/>
  <c r="CI85" i="17"/>
  <c r="CK85" i="17" s="1"/>
  <c r="CL85" i="17" s="1"/>
  <c r="CI84" i="17"/>
  <c r="CK84" i="17" s="1"/>
  <c r="CL84" i="17" s="1"/>
  <c r="CI83" i="17"/>
  <c r="CK83" i="17" s="1"/>
  <c r="CL83" i="17" s="1"/>
  <c r="CI82" i="17"/>
  <c r="CK82" i="17" s="1"/>
  <c r="CL82" i="17" s="1"/>
  <c r="CI81" i="17"/>
  <c r="CK81" i="17" s="1"/>
  <c r="CL81" i="17" s="1"/>
  <c r="CI80" i="17"/>
  <c r="CK80" i="17" s="1"/>
  <c r="CL80" i="17" s="1"/>
  <c r="CI79" i="17"/>
  <c r="CK79" i="17" s="1"/>
  <c r="CL79" i="17" s="1"/>
  <c r="CI78" i="17"/>
  <c r="CK78" i="17" s="1"/>
  <c r="CL78" i="17" s="1"/>
  <c r="CI77" i="17"/>
  <c r="CK77" i="17" s="1"/>
  <c r="CL77" i="17" s="1"/>
  <c r="CI76" i="17"/>
  <c r="CK76" i="17" s="1"/>
  <c r="CL76" i="17" s="1"/>
  <c r="CI75" i="17"/>
  <c r="CK75" i="17" s="1"/>
  <c r="CL75" i="17" s="1"/>
  <c r="CI74" i="17"/>
  <c r="CK74" i="17" s="1"/>
  <c r="CL74" i="17" s="1"/>
  <c r="CI73" i="17"/>
  <c r="CK73" i="17" s="1"/>
  <c r="CL73" i="17" s="1"/>
  <c r="CI72" i="17"/>
  <c r="CK72" i="17" s="1"/>
  <c r="CL72" i="17" s="1"/>
  <c r="CI71" i="17"/>
  <c r="CK71" i="17" s="1"/>
  <c r="CL71" i="17" s="1"/>
  <c r="CI70" i="17"/>
  <c r="CK70" i="17" s="1"/>
  <c r="CL70" i="17" s="1"/>
  <c r="CI69" i="17"/>
  <c r="CK69" i="17" s="1"/>
  <c r="CL69" i="17" s="1"/>
  <c r="CI68" i="17"/>
  <c r="CK68" i="17" s="1"/>
  <c r="CL68" i="17" s="1"/>
  <c r="CI67" i="17"/>
  <c r="CK67" i="17" s="1"/>
  <c r="CL67" i="17" s="1"/>
  <c r="CI66" i="17"/>
  <c r="CK66" i="17" s="1"/>
  <c r="CL66" i="17" s="1"/>
  <c r="CI65" i="17"/>
  <c r="CK65" i="17" s="1"/>
  <c r="CL65" i="17" s="1"/>
  <c r="CI64" i="17"/>
  <c r="CK64" i="17" s="1"/>
  <c r="CL64" i="17" s="1"/>
  <c r="CI63" i="17"/>
  <c r="CK63" i="17" s="1"/>
  <c r="CL63" i="17" s="1"/>
  <c r="CI62" i="17"/>
  <c r="CK62" i="17" s="1"/>
  <c r="CL62" i="17" s="1"/>
  <c r="CI61" i="17"/>
  <c r="CK61" i="17" s="1"/>
  <c r="CL61" i="17" s="1"/>
  <c r="CI60" i="17"/>
  <c r="CK60" i="17" s="1"/>
  <c r="CL60" i="17" s="1"/>
  <c r="CI59" i="17"/>
  <c r="CK59" i="17" s="1"/>
  <c r="CL59" i="17" s="1"/>
  <c r="CI58" i="17"/>
  <c r="CK58" i="17" s="1"/>
  <c r="CL58" i="17" s="1"/>
  <c r="CI57" i="17"/>
  <c r="CK57" i="17" s="1"/>
  <c r="CL57" i="17" s="1"/>
  <c r="CI56" i="17"/>
  <c r="CK56" i="17" s="1"/>
  <c r="CI55" i="17"/>
  <c r="CK55" i="17" s="1"/>
  <c r="CL55" i="17" s="1"/>
  <c r="CI54" i="17"/>
  <c r="CK54" i="17" s="1"/>
  <c r="CL54" i="17" s="1"/>
  <c r="CI53" i="17"/>
  <c r="CK53" i="17" s="1"/>
  <c r="CL53" i="17" s="1"/>
  <c r="CI52" i="17"/>
  <c r="CK52" i="17" s="1"/>
  <c r="CL52" i="17" s="1"/>
  <c r="CI51" i="17"/>
  <c r="CK51" i="17" s="1"/>
  <c r="CL51" i="17" s="1"/>
  <c r="CI50" i="17"/>
  <c r="CK50" i="17" s="1"/>
  <c r="CL50" i="17" s="1"/>
  <c r="CI49" i="17"/>
  <c r="CK49" i="17" s="1"/>
  <c r="CL49" i="17" s="1"/>
  <c r="CI48" i="17"/>
  <c r="CK48" i="17" s="1"/>
  <c r="CL48" i="17" s="1"/>
  <c r="CI47" i="17"/>
  <c r="CK47" i="17" s="1"/>
  <c r="CL47" i="17" s="1"/>
  <c r="CI46" i="17"/>
  <c r="CK46" i="17" s="1"/>
  <c r="CL46" i="17" s="1"/>
  <c r="CI45" i="17"/>
  <c r="CK45" i="17" s="1"/>
  <c r="CL45" i="17" s="1"/>
  <c r="CI44" i="17"/>
  <c r="CK44" i="17" s="1"/>
  <c r="CL44" i="17" s="1"/>
  <c r="CI42" i="17"/>
  <c r="CK42" i="17" s="1"/>
  <c r="CI41" i="17"/>
  <c r="CK41" i="17" s="1"/>
  <c r="CI40" i="17"/>
  <c r="CK40" i="17" s="1"/>
  <c r="CL40" i="17" s="1"/>
  <c r="CI39" i="17"/>
  <c r="CK39" i="17" s="1"/>
  <c r="CL39" i="17" s="1"/>
  <c r="CI38" i="17"/>
  <c r="CK38" i="17" s="1"/>
  <c r="CL38" i="17" s="1"/>
  <c r="CI37" i="17"/>
  <c r="CK37" i="17" s="1"/>
  <c r="CL37" i="17" s="1"/>
  <c r="CI36" i="17"/>
  <c r="CK36" i="17" s="1"/>
  <c r="CL36" i="17" s="1"/>
  <c r="CI35" i="17"/>
  <c r="CK35" i="17" s="1"/>
  <c r="CL35" i="17" s="1"/>
  <c r="CI34" i="17"/>
  <c r="CK34" i="17" s="1"/>
  <c r="CL34" i="17" s="1"/>
  <c r="CI33" i="17"/>
  <c r="CK33" i="17" s="1"/>
  <c r="CI32" i="17"/>
  <c r="CK32" i="17" s="1"/>
  <c r="CI31" i="17"/>
  <c r="CK31" i="17" s="1"/>
  <c r="CL31" i="17" s="1"/>
  <c r="CI30" i="17"/>
  <c r="CK30" i="17" s="1"/>
  <c r="CL30" i="17" s="1"/>
  <c r="CI29" i="17"/>
  <c r="CK29" i="17" s="1"/>
  <c r="CI28" i="17"/>
  <c r="CK28" i="17" s="1"/>
  <c r="CL28" i="17" s="1"/>
  <c r="CI27" i="17"/>
  <c r="CK27" i="17" s="1"/>
  <c r="CL27" i="17" s="1"/>
  <c r="CI26" i="17"/>
  <c r="CK26" i="17" s="1"/>
  <c r="CL26" i="17" s="1"/>
  <c r="CI25" i="17"/>
  <c r="CK25" i="17" s="1"/>
  <c r="CL25" i="17" s="1"/>
  <c r="CI24" i="17"/>
  <c r="CK24" i="17" s="1"/>
  <c r="CI23" i="17"/>
  <c r="CK23" i="17" s="1"/>
  <c r="CL23" i="17" s="1"/>
  <c r="CI22" i="17"/>
  <c r="CK22" i="17" s="1"/>
  <c r="CL22" i="17" s="1"/>
  <c r="CI21" i="17"/>
  <c r="CK21" i="17" s="1"/>
  <c r="CL21" i="17" s="1"/>
  <c r="CI20" i="17"/>
  <c r="CK20" i="17" s="1"/>
  <c r="CI19" i="17"/>
  <c r="CK19" i="17" s="1"/>
  <c r="CL19" i="17" s="1"/>
  <c r="CI18" i="17"/>
  <c r="CK18" i="17" s="1"/>
  <c r="CL18" i="17" s="1"/>
  <c r="CI17" i="17"/>
  <c r="CK17" i="17" s="1"/>
  <c r="CL17" i="17" s="1"/>
  <c r="CI16" i="17"/>
  <c r="CK16" i="17" s="1"/>
  <c r="CL16" i="17" s="1"/>
  <c r="CI15" i="17"/>
  <c r="CK15" i="17" s="1"/>
  <c r="CI14" i="17"/>
  <c r="CK14" i="17" s="1"/>
  <c r="CI13" i="17"/>
  <c r="CK13" i="17" s="1"/>
  <c r="CL13" i="17" s="1"/>
  <c r="CI12" i="17"/>
  <c r="CK12" i="17" s="1"/>
  <c r="CL12" i="17" s="1"/>
  <c r="CI11" i="17"/>
  <c r="CK11" i="17" s="1"/>
  <c r="CL11" i="17" s="1"/>
  <c r="CI10" i="17"/>
  <c r="CK10" i="17" s="1"/>
  <c r="CL10" i="17" s="1"/>
  <c r="CI9" i="17"/>
  <c r="CK9" i="17" s="1"/>
  <c r="CL9" i="17" s="1"/>
  <c r="CI8" i="17"/>
  <c r="CK8" i="17" s="1"/>
  <c r="CL8" i="17" s="1"/>
  <c r="CI7" i="17"/>
  <c r="CK7" i="17" s="1"/>
  <c r="CL7" i="17" s="1"/>
  <c r="CI6" i="17"/>
  <c r="CK6" i="17" s="1"/>
  <c r="CL6" i="17" s="1"/>
  <c r="CI5" i="17"/>
  <c r="CK5" i="17" s="1"/>
  <c r="CL5" i="17" s="1"/>
  <c r="CI4" i="17"/>
  <c r="CK4" i="17" s="1"/>
  <c r="CL4" i="17" s="1"/>
  <c r="CI3" i="17"/>
  <c r="CK3" i="17" s="1"/>
  <c r="CL3" i="17" s="1"/>
  <c r="CI2" i="17"/>
  <c r="CK2" i="17" s="1"/>
  <c r="CL2" i="17" s="1"/>
  <c r="CH2" i="17"/>
  <c r="CH118" i="17"/>
  <c r="CH117" i="17"/>
  <c r="CH116" i="17"/>
  <c r="CH115" i="17"/>
  <c r="CH114" i="17"/>
  <c r="CH113" i="17"/>
  <c r="CH112" i="17"/>
  <c r="CH111" i="17"/>
  <c r="CH110" i="17"/>
  <c r="CH109" i="17"/>
  <c r="CH108" i="17"/>
  <c r="CH107" i="17"/>
  <c r="CH106" i="17"/>
  <c r="CH105" i="17"/>
  <c r="CH104" i="17"/>
  <c r="CH103" i="17"/>
  <c r="CH102" i="17"/>
  <c r="CH101" i="17"/>
  <c r="CH100" i="17"/>
  <c r="CH99" i="17"/>
  <c r="CH98" i="17"/>
  <c r="CH97" i="17"/>
  <c r="CH96" i="17"/>
  <c r="CH95" i="17"/>
  <c r="CH94" i="17"/>
  <c r="CH93" i="17"/>
  <c r="CH92" i="17"/>
  <c r="CH91" i="17"/>
  <c r="CH90" i="17"/>
  <c r="CH89" i="17"/>
  <c r="CH88" i="17"/>
  <c r="CH87" i="17"/>
  <c r="CH86" i="17"/>
  <c r="CH85" i="17"/>
  <c r="CH84" i="17"/>
  <c r="CH83" i="17"/>
  <c r="CH82" i="17"/>
  <c r="CH81" i="17"/>
  <c r="CH80" i="17"/>
  <c r="CH79" i="17"/>
  <c r="CH78" i="17"/>
  <c r="CH77" i="17"/>
  <c r="CH76" i="17"/>
  <c r="CH75" i="17"/>
  <c r="CH74" i="17"/>
  <c r="CH73" i="17"/>
  <c r="CH72" i="17"/>
  <c r="CH71" i="17"/>
  <c r="CH70" i="17"/>
  <c r="CH69" i="17"/>
  <c r="CH68" i="17"/>
  <c r="CH67" i="17"/>
  <c r="CH66" i="17"/>
  <c r="CH65" i="17"/>
  <c r="CH64" i="17"/>
  <c r="CH63" i="17"/>
  <c r="CH62" i="17"/>
  <c r="CH61" i="17"/>
  <c r="CH60" i="17"/>
  <c r="CH59" i="17"/>
  <c r="CH58" i="17"/>
  <c r="CH57" i="17"/>
  <c r="CH56" i="17"/>
  <c r="CH55" i="17"/>
  <c r="CH54" i="17"/>
  <c r="CH53" i="17"/>
  <c r="CH52" i="17"/>
  <c r="CH51" i="17"/>
  <c r="CH50" i="17"/>
  <c r="CH49" i="17"/>
  <c r="CH48" i="17"/>
  <c r="CH47" i="17"/>
  <c r="CH46" i="17"/>
  <c r="CH45" i="17"/>
  <c r="CH44" i="17"/>
  <c r="CH43" i="17"/>
  <c r="CH42" i="17"/>
  <c r="CH41" i="17"/>
  <c r="CH40" i="17"/>
  <c r="CH39" i="17"/>
  <c r="CH38" i="17"/>
  <c r="CH37" i="17"/>
  <c r="CH36" i="17"/>
  <c r="CH35" i="17"/>
  <c r="CH34" i="17"/>
  <c r="CH33" i="17"/>
  <c r="CH32" i="17"/>
  <c r="CH31" i="17"/>
  <c r="CH30" i="17"/>
  <c r="CH29" i="17"/>
  <c r="CH28" i="17"/>
  <c r="CH27" i="17"/>
  <c r="CH26" i="17"/>
  <c r="CH25" i="17"/>
  <c r="CH24" i="17"/>
  <c r="CH23" i="17"/>
  <c r="CH22" i="17"/>
  <c r="CH21" i="17"/>
  <c r="CH20" i="17"/>
  <c r="CH19" i="17"/>
  <c r="CH18" i="17"/>
  <c r="CH17" i="17"/>
  <c r="CH16" i="17"/>
  <c r="CH15" i="17"/>
  <c r="CH14" i="17"/>
  <c r="CH13" i="17"/>
  <c r="CH12" i="17"/>
  <c r="CH11" i="17"/>
  <c r="CH10" i="17"/>
  <c r="CH9" i="17"/>
  <c r="CH8" i="17"/>
  <c r="CH7" i="17"/>
  <c r="CH6" i="17"/>
  <c r="CH5" i="17"/>
  <c r="CH4" i="17"/>
  <c r="CH3" i="17"/>
  <c r="AV80" i="4"/>
  <c r="D8" i="1" s="1"/>
  <c r="AX79" i="4"/>
  <c r="AX78" i="4"/>
  <c r="AX77" i="4"/>
  <c r="AX76" i="4"/>
  <c r="AX75" i="4"/>
  <c r="AX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59" i="4"/>
  <c r="AX57" i="4"/>
  <c r="AX56" i="4"/>
  <c r="AX55" i="4"/>
  <c r="AX53" i="4"/>
  <c r="AX52" i="4"/>
  <c r="AX51" i="4"/>
  <c r="AX50" i="4"/>
  <c r="AX49" i="4"/>
  <c r="AX46" i="4"/>
  <c r="AX45" i="4"/>
  <c r="AX44" i="4"/>
  <c r="AX43" i="4"/>
  <c r="AX42" i="4"/>
  <c r="AX41" i="4"/>
  <c r="AX40" i="4"/>
  <c r="AX38" i="4"/>
  <c r="AX37" i="4"/>
  <c r="AX35" i="4"/>
  <c r="AX34" i="4"/>
  <c r="AX33" i="4"/>
  <c r="AX32" i="4"/>
  <c r="AX29" i="4"/>
  <c r="AX28" i="4"/>
  <c r="AX27" i="4"/>
  <c r="AX26" i="4"/>
  <c r="AX25" i="4"/>
  <c r="AX23" i="4"/>
  <c r="AX22" i="4"/>
  <c r="AX21" i="4"/>
  <c r="AX20" i="4"/>
  <c r="AX19" i="4"/>
  <c r="AX18" i="4"/>
  <c r="AX17" i="4"/>
  <c r="AX14" i="4"/>
  <c r="AX13" i="4"/>
  <c r="AX12" i="4"/>
  <c r="AX11" i="4"/>
  <c r="AX10" i="4"/>
  <c r="AX9" i="4"/>
  <c r="AX6" i="4"/>
  <c r="AX5" i="4"/>
  <c r="AL80" i="3"/>
  <c r="C8" i="1" s="1"/>
  <c r="AK80" i="3"/>
  <c r="AJ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L54" i="8"/>
  <c r="AN54" i="8" s="1"/>
  <c r="AL37" i="8"/>
  <c r="AL136" i="15"/>
  <c r="AL222" i="15"/>
  <c r="AL34" i="15"/>
  <c r="AU24" i="4"/>
  <c r="C28" i="1"/>
  <c r="I342" i="15"/>
  <c r="C18" i="1"/>
  <c r="C16" i="1"/>
  <c r="C15" i="1"/>
  <c r="O124" i="16" l="1"/>
  <c r="AN51" i="8"/>
  <c r="CG90" i="17"/>
  <c r="BH121" i="15"/>
  <c r="AT121" i="15"/>
  <c r="BH72" i="15"/>
  <c r="AT72" i="15"/>
  <c r="BH117" i="15"/>
  <c r="AT117" i="15"/>
  <c r="BH297" i="15"/>
  <c r="AT297" i="15"/>
  <c r="BH156" i="15"/>
  <c r="AT156" i="15"/>
  <c r="BH34" i="15"/>
  <c r="AT34" i="15"/>
  <c r="BH136" i="15"/>
  <c r="AT136" i="15"/>
  <c r="BH199" i="15"/>
  <c r="AT199" i="15"/>
  <c r="BH92" i="15"/>
  <c r="AT92" i="15"/>
  <c r="BH288" i="15"/>
  <c r="AT288" i="15"/>
  <c r="BH286" i="15"/>
  <c r="AT286" i="15"/>
  <c r="BH239" i="15"/>
  <c r="AT239" i="15"/>
  <c r="BH142" i="15"/>
  <c r="AT142" i="15"/>
  <c r="AM305" i="15"/>
  <c r="C30" i="37" s="1"/>
  <c r="BH33" i="15"/>
  <c r="AJ201" i="31"/>
  <c r="AP201" i="31" s="1"/>
  <c r="AL506" i="31"/>
  <c r="AM506" i="31"/>
  <c r="AK506" i="31"/>
  <c r="AJ506" i="31"/>
  <c r="AI138" i="31"/>
  <c r="AL443" i="31"/>
  <c r="AM443" i="31"/>
  <c r="AK443" i="31"/>
  <c r="AI443" i="31"/>
  <c r="AJ443" i="31"/>
  <c r="AJ130" i="35"/>
  <c r="AJ130" i="31"/>
  <c r="AJ142" i="35"/>
  <c r="AJ142" i="31"/>
  <c r="AI36" i="31"/>
  <c r="AL341" i="31"/>
  <c r="AK341" i="31"/>
  <c r="AM341" i="31"/>
  <c r="AJ341" i="31"/>
  <c r="AI341" i="31"/>
  <c r="AJ158" i="31"/>
  <c r="AP158" i="31" s="1"/>
  <c r="AK463" i="31"/>
  <c r="AM463" i="31"/>
  <c r="AJ463" i="31"/>
  <c r="AL463" i="31"/>
  <c r="AJ595" i="31"/>
  <c r="AI595" i="31"/>
  <c r="AM595" i="31"/>
  <c r="AK595" i="31"/>
  <c r="AL595" i="31"/>
  <c r="AJ284" i="35"/>
  <c r="AJ284" i="31"/>
  <c r="AJ94" i="31"/>
  <c r="AP94" i="31" s="1"/>
  <c r="AK399" i="31"/>
  <c r="AL399" i="31"/>
  <c r="AM399" i="31"/>
  <c r="AJ399" i="31"/>
  <c r="AI91" i="35"/>
  <c r="AI91" i="31"/>
  <c r="AV91" i="31" s="1"/>
  <c r="Q84" i="36" s="1"/>
  <c r="AJ84" i="35"/>
  <c r="AJ84" i="31"/>
  <c r="AJ288" i="31"/>
  <c r="AP288" i="31" s="1"/>
  <c r="AK593" i="31"/>
  <c r="AL593" i="31"/>
  <c r="AM593" i="31"/>
  <c r="AJ593" i="31"/>
  <c r="AJ278" i="35"/>
  <c r="AJ278" i="31"/>
  <c r="AJ104" i="35"/>
  <c r="AJ104" i="31"/>
  <c r="AJ241" i="31"/>
  <c r="AP241" i="31" s="1"/>
  <c r="AK546" i="31"/>
  <c r="AM546" i="31"/>
  <c r="AL546" i="31"/>
  <c r="AJ546" i="31"/>
  <c r="AJ234" i="35"/>
  <c r="AJ234" i="31"/>
  <c r="AJ136" i="35"/>
  <c r="AJ136" i="31"/>
  <c r="AJ144" i="31"/>
  <c r="AP144" i="31" s="1"/>
  <c r="AM449" i="31"/>
  <c r="AL449" i="31"/>
  <c r="AJ449" i="31"/>
  <c r="AK449" i="31"/>
  <c r="AJ188" i="35"/>
  <c r="AJ188" i="31"/>
  <c r="AI287" i="35"/>
  <c r="AI287" i="31"/>
  <c r="AV287" i="31" s="1"/>
  <c r="Q280" i="36" s="1"/>
  <c r="AJ74" i="31"/>
  <c r="AP74" i="31" s="1"/>
  <c r="AK379" i="31"/>
  <c r="AM379" i="31"/>
  <c r="AL379" i="31"/>
  <c r="AJ379" i="31"/>
  <c r="AJ424" i="31"/>
  <c r="AK424" i="31"/>
  <c r="AM424" i="31"/>
  <c r="AL424" i="31"/>
  <c r="AI424" i="31"/>
  <c r="AJ35" i="31"/>
  <c r="AK340" i="31"/>
  <c r="AL340" i="31"/>
  <c r="AJ340" i="31"/>
  <c r="AM340" i="31"/>
  <c r="AV20" i="31"/>
  <c r="AJ272" i="35"/>
  <c r="AJ272" i="31"/>
  <c r="AJ299" i="31"/>
  <c r="AP299" i="31" s="1"/>
  <c r="AL604" i="31"/>
  <c r="AJ604" i="31"/>
  <c r="AM604" i="31"/>
  <c r="AK604" i="31"/>
  <c r="AI224" i="35"/>
  <c r="AI224" i="31"/>
  <c r="AV224" i="31" s="1"/>
  <c r="Q217" i="36" s="1"/>
  <c r="AJ120" i="35"/>
  <c r="AJ120" i="31"/>
  <c r="AJ123" i="31"/>
  <c r="AP123" i="31" s="1"/>
  <c r="AJ428" i="31"/>
  <c r="AL428" i="31"/>
  <c r="AM428" i="31"/>
  <c r="AK428" i="31"/>
  <c r="AJ100" i="35"/>
  <c r="AJ100" i="31"/>
  <c r="AI119" i="35"/>
  <c r="BL117" i="15"/>
  <c r="BK117" i="15"/>
  <c r="BL33" i="15"/>
  <c r="BK33" i="15"/>
  <c r="AJ35" i="35"/>
  <c r="AI20" i="35"/>
  <c r="AJ299" i="35"/>
  <c r="BL297" i="15"/>
  <c r="BK297" i="15"/>
  <c r="AJ201" i="35"/>
  <c r="BL199" i="15"/>
  <c r="BK199" i="15"/>
  <c r="BK156" i="15"/>
  <c r="BL156" i="15"/>
  <c r="AJ158" i="35"/>
  <c r="BL239" i="15"/>
  <c r="AJ241" i="35"/>
  <c r="BK239" i="15"/>
  <c r="BK288" i="15"/>
  <c r="BL288" i="15"/>
  <c r="AI290" i="35"/>
  <c r="AJ288" i="35"/>
  <c r="BL286" i="15"/>
  <c r="BK286" i="15"/>
  <c r="BL92" i="15"/>
  <c r="AJ94" i="35"/>
  <c r="BK92" i="15"/>
  <c r="BL136" i="15"/>
  <c r="BK136" i="15"/>
  <c r="AI138" i="35"/>
  <c r="AJ144" i="35"/>
  <c r="BL142" i="15"/>
  <c r="BK142" i="15"/>
  <c r="BL34" i="15"/>
  <c r="AI36" i="35"/>
  <c r="BK34" i="15"/>
  <c r="AJ123" i="35"/>
  <c r="BL121" i="15"/>
  <c r="BK121" i="15"/>
  <c r="BK72" i="15"/>
  <c r="BL72" i="15"/>
  <c r="AJ74" i="35"/>
  <c r="AU309" i="11"/>
  <c r="AM309" i="11"/>
  <c r="AC309" i="11"/>
  <c r="AV309" i="11"/>
  <c r="AN309" i="11"/>
  <c r="AD309" i="11"/>
  <c r="R309" i="11"/>
  <c r="Q309" i="11"/>
  <c r="P309" i="11"/>
  <c r="AX309" i="11"/>
  <c r="AP309" i="11"/>
  <c r="AW309" i="11"/>
  <c r="AO309" i="11"/>
  <c r="BA309" i="11"/>
  <c r="AS309" i="11"/>
  <c r="AK309" i="11"/>
  <c r="W309" i="11"/>
  <c r="O309" i="11"/>
  <c r="AL309" i="11"/>
  <c r="AZ309" i="11"/>
  <c r="AR309" i="11"/>
  <c r="AI309" i="11"/>
  <c r="V309" i="11"/>
  <c r="N309" i="11"/>
  <c r="AB309" i="11"/>
  <c r="AY309" i="11"/>
  <c r="AQ309" i="11"/>
  <c r="AH309" i="11"/>
  <c r="U309" i="11"/>
  <c r="M309" i="11"/>
  <c r="AT309" i="11"/>
  <c r="T309" i="11"/>
  <c r="BB309" i="11"/>
  <c r="S309" i="11"/>
  <c r="AU259" i="31"/>
  <c r="AU251" i="31"/>
  <c r="AU217" i="31"/>
  <c r="AU209" i="31"/>
  <c r="AU169" i="31"/>
  <c r="AU153" i="31"/>
  <c r="AU88" i="31"/>
  <c r="AU261" i="31"/>
  <c r="AU219" i="31"/>
  <c r="AU179" i="31"/>
  <c r="AU163" i="31"/>
  <c r="AU155" i="31"/>
  <c r="AU122" i="31"/>
  <c r="AU82" i="31"/>
  <c r="AU289" i="31"/>
  <c r="AU263" i="31"/>
  <c r="AU230" i="31"/>
  <c r="AU221" i="31"/>
  <c r="AU197" i="31"/>
  <c r="AU108" i="31"/>
  <c r="AU92" i="31"/>
  <c r="AU295" i="31"/>
  <c r="AU210" i="31"/>
  <c r="AU186" i="31"/>
  <c r="AU178" i="31"/>
  <c r="AU137" i="31"/>
  <c r="AU81" i="31"/>
  <c r="AU297" i="31"/>
  <c r="AU271" i="31"/>
  <c r="AU245" i="31"/>
  <c r="AU196" i="31"/>
  <c r="AU180" i="31"/>
  <c r="AU172" i="31"/>
  <c r="AU148" i="31"/>
  <c r="AU131" i="31"/>
  <c r="AU107" i="31"/>
  <c r="AU83" i="31"/>
  <c r="AU248" i="31"/>
  <c r="AU110" i="31"/>
  <c r="AU103" i="31"/>
  <c r="AU62" i="31"/>
  <c r="AU54" i="31"/>
  <c r="AU19" i="31"/>
  <c r="AU215" i="31"/>
  <c r="AU143" i="31"/>
  <c r="AU77" i="31"/>
  <c r="AU61" i="31"/>
  <c r="AU53" i="31"/>
  <c r="AU27" i="31"/>
  <c r="AU266" i="31"/>
  <c r="AU150" i="31"/>
  <c r="AU58" i="31"/>
  <c r="AU223" i="31"/>
  <c r="AU166" i="31"/>
  <c r="AU141" i="31"/>
  <c r="AU52" i="31"/>
  <c r="AU198" i="31"/>
  <c r="AU176" i="31"/>
  <c r="AU73" i="31"/>
  <c r="AU60" i="31"/>
  <c r="AU56" i="31"/>
  <c r="AU46" i="31"/>
  <c r="AU42" i="31"/>
  <c r="AU232" i="31"/>
  <c r="AU68" i="31"/>
  <c r="AU64" i="31"/>
  <c r="AU192" i="31"/>
  <c r="AU101" i="31"/>
  <c r="AU75" i="31"/>
  <c r="AU133" i="31"/>
  <c r="AU79" i="31"/>
  <c r="AU32" i="31"/>
  <c r="AU102" i="31"/>
  <c r="AU76" i="31"/>
  <c r="AU190" i="31"/>
  <c r="AU17" i="31"/>
  <c r="AU72" i="31"/>
  <c r="AU265" i="31"/>
  <c r="AU206" i="31"/>
  <c r="AT344" i="15"/>
  <c r="AJ353" i="15"/>
  <c r="L126" i="16"/>
  <c r="D11" i="1"/>
  <c r="AU80" i="4"/>
  <c r="AX24" i="4"/>
  <c r="AM89" i="8"/>
  <c r="BH36" i="8"/>
  <c r="BI36" i="8"/>
  <c r="BJ36" i="8" s="1"/>
  <c r="BG36" i="8"/>
  <c r="AR66" i="8"/>
  <c r="AO66" i="8"/>
  <c r="AP66" i="8"/>
  <c r="AQ66" i="8" s="1"/>
  <c r="AV66" i="8"/>
  <c r="BF85" i="8"/>
  <c r="BE85" i="8"/>
  <c r="AL87" i="8"/>
  <c r="AL89" i="8" s="1"/>
  <c r="AB311" i="11"/>
  <c r="AA311" i="11"/>
  <c r="AH308" i="15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L309" i="11"/>
  <c r="J311" i="11"/>
  <c r="J309" i="11"/>
  <c r="I311" i="11"/>
  <c r="I309" i="11"/>
  <c r="H311" i="11"/>
  <c r="H309" i="11"/>
  <c r="G311" i="11"/>
  <c r="G309" i="11"/>
  <c r="F311" i="11"/>
  <c r="F309" i="11"/>
  <c r="E311" i="11"/>
  <c r="E309" i="11"/>
  <c r="D311" i="11"/>
  <c r="D309" i="11"/>
  <c r="C311" i="11"/>
  <c r="I2" i="37" s="1"/>
  <c r="C309" i="11"/>
  <c r="BF38" i="8"/>
  <c r="BE38" i="8"/>
  <c r="BB38" i="8"/>
  <c r="AN38" i="8"/>
  <c r="AN113" i="8"/>
  <c r="BE50" i="8"/>
  <c r="BF50" i="8"/>
  <c r="BE54" i="8"/>
  <c r="BF54" i="8"/>
  <c r="BE65" i="8"/>
  <c r="BF65" i="8"/>
  <c r="BB65" i="8"/>
  <c r="CM56" i="17"/>
  <c r="CL56" i="17"/>
  <c r="CL14" i="17"/>
  <c r="CM14" i="17"/>
  <c r="CL15" i="17"/>
  <c r="CM15" i="17"/>
  <c r="CL20" i="17"/>
  <c r="CM20" i="17"/>
  <c r="CL24" i="17"/>
  <c r="CM24" i="17"/>
  <c r="CL29" i="17"/>
  <c r="CM29" i="17"/>
  <c r="CL32" i="17"/>
  <c r="CM32" i="17"/>
  <c r="CL33" i="17"/>
  <c r="CM33" i="17"/>
  <c r="CL41" i="17"/>
  <c r="CM41" i="17"/>
  <c r="CL42" i="17"/>
  <c r="CM42" i="17"/>
  <c r="CM2" i="17"/>
  <c r="CM3" i="17"/>
  <c r="CM4" i="17"/>
  <c r="CM5" i="17"/>
  <c r="CM6" i="17"/>
  <c r="CM7" i="17"/>
  <c r="CM8" i="17"/>
  <c r="CM9" i="17"/>
  <c r="CM12" i="17"/>
  <c r="CM13" i="17"/>
  <c r="CM16" i="17"/>
  <c r="CM17" i="17"/>
  <c r="CM18" i="17"/>
  <c r="CM19" i="17"/>
  <c r="CM21" i="17"/>
  <c r="CM25" i="17"/>
  <c r="CM26" i="17"/>
  <c r="CM27" i="17"/>
  <c r="CM28" i="17"/>
  <c r="CM31" i="17"/>
  <c r="CM34" i="17"/>
  <c r="CM38" i="17"/>
  <c r="CM39" i="17"/>
  <c r="CM40" i="17"/>
  <c r="CM44" i="17"/>
  <c r="CM45" i="17"/>
  <c r="CM50" i="17"/>
  <c r="CM51" i="17"/>
  <c r="CM52" i="17"/>
  <c r="CM53" i="17"/>
  <c r="CM54" i="17"/>
  <c r="CM55" i="17"/>
  <c r="CM57" i="17"/>
  <c r="CM62" i="17"/>
  <c r="CM63" i="17"/>
  <c r="CM64" i="17"/>
  <c r="CM65" i="17"/>
  <c r="CM66" i="17"/>
  <c r="CM67" i="17"/>
  <c r="CM68" i="17"/>
  <c r="CM69" i="17"/>
  <c r="CM74" i="17"/>
  <c r="CM75" i="17"/>
  <c r="CM76" i="17"/>
  <c r="CM77" i="17"/>
  <c r="CM78" i="17"/>
  <c r="CM79" i="17"/>
  <c r="CM80" i="17"/>
  <c r="CM81" i="17"/>
  <c r="CM86" i="17"/>
  <c r="CM87" i="17"/>
  <c r="CM88" i="17"/>
  <c r="CM89" i="17"/>
  <c r="CM90" i="17"/>
  <c r="CM92" i="17"/>
  <c r="CM93" i="17"/>
  <c r="CM98" i="17"/>
  <c r="CM99" i="17"/>
  <c r="CM100" i="17"/>
  <c r="CM101" i="17"/>
  <c r="CM102" i="17"/>
  <c r="CM103" i="17"/>
  <c r="CM104" i="17"/>
  <c r="CM105" i="17"/>
  <c r="CM110" i="17"/>
  <c r="CM111" i="17"/>
  <c r="CM112" i="17"/>
  <c r="CM113" i="17"/>
  <c r="CM114" i="17"/>
  <c r="CM115" i="17"/>
  <c r="CM116" i="17"/>
  <c r="CM117" i="17"/>
  <c r="CM10" i="17"/>
  <c r="CM22" i="17"/>
  <c r="CM11" i="17"/>
  <c r="CM23" i="17"/>
  <c r="CM47" i="17"/>
  <c r="CM59" i="17"/>
  <c r="CM71" i="17"/>
  <c r="CM83" i="17"/>
  <c r="CM95" i="17"/>
  <c r="CM107" i="17"/>
  <c r="CM35" i="17"/>
  <c r="CM48" i="17"/>
  <c r="CM60" i="17"/>
  <c r="CM72" i="17"/>
  <c r="CM84" i="17"/>
  <c r="CM96" i="17"/>
  <c r="CM108" i="17"/>
  <c r="CM36" i="17"/>
  <c r="CM49" i="17"/>
  <c r="CM61" i="17"/>
  <c r="CM73" i="17"/>
  <c r="CM85" i="17"/>
  <c r="CM97" i="17"/>
  <c r="CM109" i="17"/>
  <c r="CM37" i="17"/>
  <c r="CM46" i="17"/>
  <c r="CM58" i="17"/>
  <c r="CM70" i="17"/>
  <c r="CM82" i="17"/>
  <c r="CM94" i="17"/>
  <c r="CM106" i="17"/>
  <c r="CM118" i="17"/>
  <c r="C19" i="1"/>
  <c r="Y308" i="15" l="1"/>
  <c r="I16" i="37"/>
  <c r="O308" i="15"/>
  <c r="I6" i="37"/>
  <c r="P308" i="15"/>
  <c r="I7" i="37"/>
  <c r="Q308" i="15"/>
  <c r="I8" i="37"/>
  <c r="AB308" i="15"/>
  <c r="I19" i="37"/>
  <c r="AI308" i="15"/>
  <c r="I26" i="37"/>
  <c r="X308" i="15"/>
  <c r="I15" i="37"/>
  <c r="N308" i="15"/>
  <c r="I5" i="37"/>
  <c r="K5" i="37" s="1"/>
  <c r="W308" i="15"/>
  <c r="I14" i="37"/>
  <c r="Z308" i="15"/>
  <c r="I17" i="37"/>
  <c r="AC308" i="15"/>
  <c r="I20" i="37"/>
  <c r="L308" i="15"/>
  <c r="I3" i="37"/>
  <c r="K3" i="37" s="1"/>
  <c r="R308" i="15"/>
  <c r="I9" i="37"/>
  <c r="AD308" i="15"/>
  <c r="I21" i="37"/>
  <c r="AG308" i="15"/>
  <c r="I24" i="37"/>
  <c r="V308" i="15"/>
  <c r="I13" i="37"/>
  <c r="AA308" i="15"/>
  <c r="I18" i="37"/>
  <c r="AE308" i="15"/>
  <c r="I22" i="37"/>
  <c r="AS66" i="8"/>
  <c r="BL42" i="9"/>
  <c r="U308" i="15"/>
  <c r="I12" i="37"/>
  <c r="M308" i="15"/>
  <c r="I4" i="37"/>
  <c r="K4" i="37" s="1"/>
  <c r="T308" i="15"/>
  <c r="I11" i="37"/>
  <c r="AF308" i="15"/>
  <c r="I23" i="37"/>
  <c r="AQ502" i="31"/>
  <c r="F190" i="36"/>
  <c r="I190" i="36" s="1"/>
  <c r="J190" i="36" s="1"/>
  <c r="F239" i="36"/>
  <c r="I239" i="36" s="1"/>
  <c r="J239" i="36" s="1"/>
  <c r="AQ551" i="31"/>
  <c r="AQ536" i="31"/>
  <c r="F224" i="36"/>
  <c r="I224" i="36" s="1"/>
  <c r="J224" i="36" s="1"/>
  <c r="AQ415" i="31"/>
  <c r="F103" i="36"/>
  <c r="I103" i="36" s="1"/>
  <c r="J103" i="36" s="1"/>
  <c r="AQ359" i="31"/>
  <c r="F47" i="36"/>
  <c r="I47" i="36" s="1"/>
  <c r="J47" i="36" s="1"/>
  <c r="AJ307" i="31"/>
  <c r="AP35" i="31"/>
  <c r="AU35" i="31" s="1"/>
  <c r="O67" i="36"/>
  <c r="P67" i="36"/>
  <c r="AV36" i="31"/>
  <c r="Q29" i="36" s="1"/>
  <c r="AP36" i="31"/>
  <c r="AU36" i="31" s="1"/>
  <c r="AV138" i="31"/>
  <c r="Q131" i="36" s="1"/>
  <c r="AP138" i="31"/>
  <c r="AU138" i="31" s="1"/>
  <c r="P234" i="36"/>
  <c r="O234" i="36"/>
  <c r="P137" i="36"/>
  <c r="O137" i="36"/>
  <c r="O292" i="36"/>
  <c r="P292" i="36"/>
  <c r="P116" i="36"/>
  <c r="O116" i="36"/>
  <c r="P87" i="36"/>
  <c r="O87" i="36"/>
  <c r="Q13" i="36"/>
  <c r="P281" i="36"/>
  <c r="O281" i="36"/>
  <c r="O151" i="36"/>
  <c r="P151" i="36"/>
  <c r="P194" i="36"/>
  <c r="O194" i="36"/>
  <c r="AJ308" i="15"/>
  <c r="I27" i="37"/>
  <c r="D9" i="1"/>
  <c r="AQ604" i="31"/>
  <c r="AQ299" i="31" s="1"/>
  <c r="F292" i="36"/>
  <c r="I292" i="36" s="1"/>
  <c r="J292" i="36" s="1"/>
  <c r="AQ424" i="31"/>
  <c r="F112" i="36"/>
  <c r="I112" i="36" s="1"/>
  <c r="J112" i="36" s="1"/>
  <c r="AQ399" i="31"/>
  <c r="AQ94" i="31" s="1"/>
  <c r="F87" i="36"/>
  <c r="I87" i="36" s="1"/>
  <c r="J87" i="36" s="1"/>
  <c r="AQ463" i="31"/>
  <c r="AQ158" i="31" s="1"/>
  <c r="F151" i="36"/>
  <c r="I151" i="36" s="1"/>
  <c r="J151" i="36" s="1"/>
  <c r="AQ593" i="31"/>
  <c r="AQ288" i="31" s="1"/>
  <c r="F281" i="36"/>
  <c r="I281" i="36" s="1"/>
  <c r="J281" i="36" s="1"/>
  <c r="AQ428" i="31"/>
  <c r="AQ123" i="31" s="1"/>
  <c r="F116" i="36"/>
  <c r="I116" i="36" s="1"/>
  <c r="J116" i="36" s="1"/>
  <c r="AQ340" i="31"/>
  <c r="AQ35" i="31" s="1"/>
  <c r="F28" i="36"/>
  <c r="I28" i="36" s="1"/>
  <c r="J28" i="36" s="1"/>
  <c r="AQ546" i="31"/>
  <c r="AQ241" i="31" s="1"/>
  <c r="F234" i="36"/>
  <c r="I234" i="36" s="1"/>
  <c r="J234" i="36" s="1"/>
  <c r="AQ443" i="31"/>
  <c r="AQ138" i="31" s="1"/>
  <c r="F131" i="36"/>
  <c r="I131" i="36" s="1"/>
  <c r="J131" i="36" s="1"/>
  <c r="AU74" i="31"/>
  <c r="AU290" i="31"/>
  <c r="AU241" i="31"/>
  <c r="AU201" i="31"/>
  <c r="AU94" i="31"/>
  <c r="AU123" i="31"/>
  <c r="AU144" i="31"/>
  <c r="AU119" i="31"/>
  <c r="AU14" i="31"/>
  <c r="AU16" i="31"/>
  <c r="AU25" i="31"/>
  <c r="AU22" i="31"/>
  <c r="AU78" i="31"/>
  <c r="AU15" i="31"/>
  <c r="AU44" i="31"/>
  <c r="AU28" i="31"/>
  <c r="AU117" i="31"/>
  <c r="AU264" i="31"/>
  <c r="AU204" i="31"/>
  <c r="AU279" i="31"/>
  <c r="AU281" i="31"/>
  <c r="AU195" i="31"/>
  <c r="AU269" i="31"/>
  <c r="AU185" i="31"/>
  <c r="AU267" i="31"/>
  <c r="AU40" i="31"/>
  <c r="AU220" i="31"/>
  <c r="AU154" i="31"/>
  <c r="AU306" i="31"/>
  <c r="AU296" i="31"/>
  <c r="AU276" i="31"/>
  <c r="AU128" i="31"/>
  <c r="AU160" i="31"/>
  <c r="AU55" i="31"/>
  <c r="AU50" i="31"/>
  <c r="AU175" i="31"/>
  <c r="AU39" i="31"/>
  <c r="AU48" i="31"/>
  <c r="AU275" i="31"/>
  <c r="AU99" i="31"/>
  <c r="AU228" i="31"/>
  <c r="AU305" i="31"/>
  <c r="AU227" i="31"/>
  <c r="AU304" i="31"/>
  <c r="AU285" i="31"/>
  <c r="AU71" i="31"/>
  <c r="AU126" i="31"/>
  <c r="AU257" i="31"/>
  <c r="AU236" i="31"/>
  <c r="AU80" i="31"/>
  <c r="AU231" i="31"/>
  <c r="AU183" i="31"/>
  <c r="AU199" i="31"/>
  <c r="AU274" i="31"/>
  <c r="AU70" i="31"/>
  <c r="AU184" i="31"/>
  <c r="AU29" i="31"/>
  <c r="AU167" i="31"/>
  <c r="AU159" i="31"/>
  <c r="AU135" i="31"/>
  <c r="AU93" i="31"/>
  <c r="AU291" i="31"/>
  <c r="AU240" i="31"/>
  <c r="AU115" i="31"/>
  <c r="AU255" i="31"/>
  <c r="AU98" i="31"/>
  <c r="AU33" i="31"/>
  <c r="AU211" i="31"/>
  <c r="AU125" i="31"/>
  <c r="AU23" i="31"/>
  <c r="AU249" i="31"/>
  <c r="AU300" i="31"/>
  <c r="AU258" i="31"/>
  <c r="AU18" i="31"/>
  <c r="AU11" i="31"/>
  <c r="AU262" i="31"/>
  <c r="AU97" i="31"/>
  <c r="AU202" i="31"/>
  <c r="AU96" i="31"/>
  <c r="AU30" i="31"/>
  <c r="AU13" i="31"/>
  <c r="AU59" i="31"/>
  <c r="AU293" i="31"/>
  <c r="AU85" i="31"/>
  <c r="AU65" i="31"/>
  <c r="AU273" i="31"/>
  <c r="AU301" i="31"/>
  <c r="AU303" i="31"/>
  <c r="AU187" i="31"/>
  <c r="AU222" i="31"/>
  <c r="C313" i="11"/>
  <c r="D313" i="11" s="1"/>
  <c r="E313" i="11" s="1"/>
  <c r="F313" i="11" s="1"/>
  <c r="G313" i="11" s="1"/>
  <c r="H313" i="11" s="1"/>
  <c r="I313" i="11" s="1"/>
  <c r="J313" i="11" s="1"/>
  <c r="K308" i="15"/>
  <c r="AU181" i="31"/>
  <c r="AU109" i="31"/>
  <c r="AU213" i="31"/>
  <c r="AM4" i="31"/>
  <c r="AU9" i="31"/>
  <c r="AU24" i="31"/>
  <c r="AU12" i="31"/>
  <c r="BM288" i="15"/>
  <c r="BN288" i="15"/>
  <c r="BN92" i="15"/>
  <c r="BM92" i="15"/>
  <c r="BM199" i="15"/>
  <c r="BN199" i="15"/>
  <c r="BN117" i="15"/>
  <c r="BM117" i="15"/>
  <c r="BM72" i="15"/>
  <c r="BN72" i="15"/>
  <c r="BN33" i="15"/>
  <c r="BM33" i="15"/>
  <c r="BM136" i="15"/>
  <c r="BN136" i="15"/>
  <c r="BN142" i="15"/>
  <c r="BM142" i="15"/>
  <c r="BN297" i="15"/>
  <c r="BM297" i="15"/>
  <c r="BM239" i="15"/>
  <c r="BN239" i="15"/>
  <c r="BM34" i="15"/>
  <c r="BN34" i="15"/>
  <c r="BN156" i="15"/>
  <c r="BM156" i="15"/>
  <c r="BM286" i="15"/>
  <c r="BN286" i="15"/>
  <c r="BN121" i="15"/>
  <c r="BM121" i="15"/>
  <c r="AM307" i="15"/>
  <c r="BI38" i="8"/>
  <c r="BJ38" i="8" s="1"/>
  <c r="BH38" i="8"/>
  <c r="BG38" i="8"/>
  <c r="AR38" i="8"/>
  <c r="AP38" i="8"/>
  <c r="AV38" i="8" s="1"/>
  <c r="AO38" i="8"/>
  <c r="AR42" i="8"/>
  <c r="AS42" i="8" s="1"/>
  <c r="AP42" i="8"/>
  <c r="AQ42" i="8" s="1"/>
  <c r="AO42" i="8"/>
  <c r="BA42" i="8"/>
  <c r="AL94" i="8"/>
  <c r="AL96" i="8" s="1"/>
  <c r="AL276" i="15"/>
  <c r="AL203" i="15"/>
  <c r="CI43" i="17"/>
  <c r="CK43" i="17" s="1"/>
  <c r="K198" i="15"/>
  <c r="AL162" i="15"/>
  <c r="AL98" i="15"/>
  <c r="AI100" i="31" s="1"/>
  <c r="AV100" i="31" s="1"/>
  <c r="Q93" i="36" s="1"/>
  <c r="AL251" i="15"/>
  <c r="AJ150" i="15"/>
  <c r="AL280" i="15"/>
  <c r="AL102" i="15"/>
  <c r="AM82" i="16"/>
  <c r="AM69" i="16"/>
  <c r="BT64" i="15"/>
  <c r="BT28" i="15"/>
  <c r="BT27" i="15"/>
  <c r="BT26" i="15"/>
  <c r="BT25" i="15"/>
  <c r="BT23" i="15"/>
  <c r="BT14" i="15"/>
  <c r="BT12" i="15"/>
  <c r="BT11" i="15"/>
  <c r="BT9" i="15"/>
  <c r="BT8" i="15"/>
  <c r="BJ7" i="15"/>
  <c r="BT125" i="15"/>
  <c r="AL270" i="15"/>
  <c r="W83" i="16"/>
  <c r="Z83" i="16"/>
  <c r="AA83" i="16" s="1"/>
  <c r="AC83" i="16"/>
  <c r="AF83" i="16"/>
  <c r="AG83" i="16" s="1"/>
  <c r="AJ83" i="16"/>
  <c r="AL83" i="16" s="1"/>
  <c r="AM83" i="16"/>
  <c r="AN83" i="16"/>
  <c r="AC84" i="16"/>
  <c r="AB84" i="16" s="1"/>
  <c r="AF84" i="16"/>
  <c r="AG84" i="16" s="1"/>
  <c r="AC85" i="16"/>
  <c r="AB85" i="16" s="1"/>
  <c r="AF85" i="16"/>
  <c r="AG85" i="16" s="1"/>
  <c r="AC86" i="16"/>
  <c r="AB86" i="16" s="1"/>
  <c r="AF86" i="16"/>
  <c r="AG86" i="16" s="1"/>
  <c r="AC87" i="16"/>
  <c r="AF87" i="16"/>
  <c r="AG87" i="16" s="1"/>
  <c r="W88" i="16"/>
  <c r="Z88" i="16"/>
  <c r="AA88" i="16" s="1"/>
  <c r="AC88" i="16"/>
  <c r="AB88" i="16" s="1"/>
  <c r="X88" i="16" s="1"/>
  <c r="AF88" i="16"/>
  <c r="AG88" i="16" s="1"/>
  <c r="AJ88" i="16"/>
  <c r="AL88" i="16" s="1"/>
  <c r="AM88" i="16"/>
  <c r="AN88" i="16"/>
  <c r="W89" i="16"/>
  <c r="Z89" i="16"/>
  <c r="AA89" i="16" s="1"/>
  <c r="AC89" i="16"/>
  <c r="AF89" i="16"/>
  <c r="AG89" i="16" s="1"/>
  <c r="AJ89" i="16"/>
  <c r="AL89" i="16" s="1"/>
  <c r="AM89" i="16"/>
  <c r="AN89" i="16"/>
  <c r="W90" i="16"/>
  <c r="Z90" i="16"/>
  <c r="AA90" i="16" s="1"/>
  <c r="AC90" i="16"/>
  <c r="AF90" i="16"/>
  <c r="AG90" i="16" s="1"/>
  <c r="AJ90" i="16"/>
  <c r="AL90" i="16" s="1"/>
  <c r="AM90" i="16"/>
  <c r="AN90" i="16"/>
  <c r="W91" i="16"/>
  <c r="Z91" i="16"/>
  <c r="AA91" i="16" s="1"/>
  <c r="AC91" i="16"/>
  <c r="AB91" i="16" s="1"/>
  <c r="X91" i="16" s="1"/>
  <c r="AF91" i="16"/>
  <c r="AG91" i="16" s="1"/>
  <c r="AJ91" i="16"/>
  <c r="AL91" i="16" s="1"/>
  <c r="AM91" i="16"/>
  <c r="AN91" i="16"/>
  <c r="W92" i="16"/>
  <c r="Z92" i="16"/>
  <c r="AA92" i="16" s="1"/>
  <c r="AC92" i="16"/>
  <c r="AB92" i="16" s="1"/>
  <c r="X92" i="16" s="1"/>
  <c r="AF92" i="16"/>
  <c r="AG92" i="16" s="1"/>
  <c r="AJ92" i="16"/>
  <c r="AL92" i="16" s="1"/>
  <c r="AM92" i="16"/>
  <c r="AN92" i="16"/>
  <c r="W93" i="16"/>
  <c r="Z93" i="16"/>
  <c r="AA93" i="16" s="1"/>
  <c r="AC93" i="16"/>
  <c r="AB93" i="16" s="1"/>
  <c r="X93" i="16" s="1"/>
  <c r="AF93" i="16"/>
  <c r="AG93" i="16" s="1"/>
  <c r="AJ93" i="16"/>
  <c r="AL93" i="16" s="1"/>
  <c r="AM93" i="16"/>
  <c r="AN93" i="16"/>
  <c r="W94" i="16"/>
  <c r="Z94" i="16"/>
  <c r="AA94" i="16" s="1"/>
  <c r="AC94" i="16"/>
  <c r="AB94" i="16" s="1"/>
  <c r="X94" i="16" s="1"/>
  <c r="AF94" i="16"/>
  <c r="AG94" i="16" s="1"/>
  <c r="AJ94" i="16"/>
  <c r="AL94" i="16" s="1"/>
  <c r="AM94" i="16"/>
  <c r="AN94" i="16"/>
  <c r="W95" i="16"/>
  <c r="Z95" i="16"/>
  <c r="AA95" i="16" s="1"/>
  <c r="AC95" i="16"/>
  <c r="AB95" i="16" s="1"/>
  <c r="X95" i="16" s="1"/>
  <c r="AF95" i="16"/>
  <c r="AG95" i="16" s="1"/>
  <c r="AJ95" i="16"/>
  <c r="AL95" i="16" s="1"/>
  <c r="AM95" i="16"/>
  <c r="AN95" i="16"/>
  <c r="W96" i="16"/>
  <c r="Z96" i="16"/>
  <c r="AA96" i="16" s="1"/>
  <c r="AC96" i="16"/>
  <c r="AB96" i="16" s="1"/>
  <c r="X96" i="16" s="1"/>
  <c r="AF96" i="16"/>
  <c r="AG96" i="16" s="1"/>
  <c r="AJ96" i="16"/>
  <c r="AL96" i="16" s="1"/>
  <c r="AM96" i="16"/>
  <c r="AN96" i="16"/>
  <c r="W97" i="16"/>
  <c r="Z97" i="16"/>
  <c r="AA97" i="16" s="1"/>
  <c r="AC97" i="16"/>
  <c r="AB97" i="16" s="1"/>
  <c r="X97" i="16" s="1"/>
  <c r="AF97" i="16"/>
  <c r="AG97" i="16" s="1"/>
  <c r="AJ97" i="16"/>
  <c r="AL97" i="16" s="1"/>
  <c r="AM97" i="16"/>
  <c r="AN97" i="16"/>
  <c r="W98" i="16"/>
  <c r="Z98" i="16"/>
  <c r="AA98" i="16" s="1"/>
  <c r="AC98" i="16"/>
  <c r="AB98" i="16" s="1"/>
  <c r="X98" i="16" s="1"/>
  <c r="AF98" i="16"/>
  <c r="AG98" i="16" s="1"/>
  <c r="AJ98" i="16"/>
  <c r="AL98" i="16" s="1"/>
  <c r="AM98" i="16"/>
  <c r="AN98" i="16"/>
  <c r="W99" i="16"/>
  <c r="Z99" i="16"/>
  <c r="AA99" i="16" s="1"/>
  <c r="AC99" i="16"/>
  <c r="AB99" i="16" s="1"/>
  <c r="X99" i="16" s="1"/>
  <c r="AF99" i="16"/>
  <c r="AG99" i="16" s="1"/>
  <c r="AJ99" i="16"/>
  <c r="AL99" i="16" s="1"/>
  <c r="AM99" i="16"/>
  <c r="AN99" i="16"/>
  <c r="W100" i="16"/>
  <c r="Z100" i="16"/>
  <c r="AA100" i="16" s="1"/>
  <c r="AC100" i="16"/>
  <c r="AB100" i="16" s="1"/>
  <c r="X100" i="16" s="1"/>
  <c r="AF100" i="16"/>
  <c r="AG100" i="16" s="1"/>
  <c r="AJ100" i="16"/>
  <c r="AL100" i="16" s="1"/>
  <c r="AM100" i="16"/>
  <c r="AN100" i="16"/>
  <c r="W101" i="16"/>
  <c r="Z101" i="16"/>
  <c r="AA101" i="16" s="1"/>
  <c r="AC101" i="16"/>
  <c r="AB101" i="16" s="1"/>
  <c r="X101" i="16" s="1"/>
  <c r="AF101" i="16"/>
  <c r="AG101" i="16" s="1"/>
  <c r="AJ101" i="16"/>
  <c r="AL101" i="16" s="1"/>
  <c r="AM101" i="16"/>
  <c r="AN101" i="16"/>
  <c r="W102" i="16"/>
  <c r="Z102" i="16"/>
  <c r="AA102" i="16" s="1"/>
  <c r="AC102" i="16"/>
  <c r="AB102" i="16" s="1"/>
  <c r="X102" i="16" s="1"/>
  <c r="AF102" i="16"/>
  <c r="AG102" i="16" s="1"/>
  <c r="AJ102" i="16"/>
  <c r="AL102" i="16" s="1"/>
  <c r="AM102" i="16"/>
  <c r="AN102" i="16"/>
  <c r="W103" i="16"/>
  <c r="Z103" i="16"/>
  <c r="AA103" i="16" s="1"/>
  <c r="AC103" i="16"/>
  <c r="AB103" i="16" s="1"/>
  <c r="X103" i="16" s="1"/>
  <c r="AF103" i="16"/>
  <c r="AG103" i="16" s="1"/>
  <c r="AJ103" i="16"/>
  <c r="AL103" i="16" s="1"/>
  <c r="AM103" i="16"/>
  <c r="AN103" i="16"/>
  <c r="W104" i="16"/>
  <c r="Z104" i="16"/>
  <c r="AA104" i="16" s="1"/>
  <c r="AC104" i="16"/>
  <c r="AB104" i="16" s="1"/>
  <c r="X104" i="16" s="1"/>
  <c r="AF104" i="16"/>
  <c r="AG104" i="16" s="1"/>
  <c r="AJ104" i="16"/>
  <c r="AL104" i="16" s="1"/>
  <c r="AM104" i="16"/>
  <c r="AN104" i="16"/>
  <c r="W105" i="16"/>
  <c r="Z105" i="16"/>
  <c r="AA105" i="16" s="1"/>
  <c r="AC105" i="16"/>
  <c r="AB105" i="16" s="1"/>
  <c r="X105" i="16" s="1"/>
  <c r="AF105" i="16"/>
  <c r="AG105" i="16" s="1"/>
  <c r="AJ105" i="16"/>
  <c r="AL105" i="16" s="1"/>
  <c r="AM105" i="16"/>
  <c r="AN105" i="16"/>
  <c r="W106" i="16"/>
  <c r="Z106" i="16"/>
  <c r="AA106" i="16" s="1"/>
  <c r="AC106" i="16"/>
  <c r="AB106" i="16" s="1"/>
  <c r="X106" i="16" s="1"/>
  <c r="AF106" i="16"/>
  <c r="AG106" i="16" s="1"/>
  <c r="AJ106" i="16"/>
  <c r="AL106" i="16" s="1"/>
  <c r="AM106" i="16"/>
  <c r="AN106" i="16"/>
  <c r="W107" i="16"/>
  <c r="Z107" i="16"/>
  <c r="AA107" i="16" s="1"/>
  <c r="AC107" i="16"/>
  <c r="AB107" i="16" s="1"/>
  <c r="X107" i="16" s="1"/>
  <c r="AF107" i="16"/>
  <c r="AG107" i="16" s="1"/>
  <c r="AJ107" i="16"/>
  <c r="AL107" i="16" s="1"/>
  <c r="AM107" i="16"/>
  <c r="AN107" i="16"/>
  <c r="W108" i="16"/>
  <c r="Z108" i="16"/>
  <c r="AA108" i="16" s="1"/>
  <c r="AC108" i="16"/>
  <c r="AB108" i="16" s="1"/>
  <c r="X108" i="16" s="1"/>
  <c r="AF108" i="16"/>
  <c r="AG108" i="16" s="1"/>
  <c r="AJ108" i="16"/>
  <c r="AL108" i="16" s="1"/>
  <c r="AM108" i="16"/>
  <c r="AN108" i="16"/>
  <c r="W109" i="16"/>
  <c r="Z109" i="16"/>
  <c r="AA109" i="16" s="1"/>
  <c r="AC109" i="16"/>
  <c r="AF109" i="16"/>
  <c r="AG109" i="16" s="1"/>
  <c r="AJ109" i="16"/>
  <c r="AL109" i="16" s="1"/>
  <c r="AQ109" i="16" s="1"/>
  <c r="AR109" i="16" s="1"/>
  <c r="AM109" i="16"/>
  <c r="AN109" i="16"/>
  <c r="W110" i="16"/>
  <c r="Z110" i="16"/>
  <c r="AA110" i="16" s="1"/>
  <c r="AC110" i="16"/>
  <c r="AB110" i="16" s="1"/>
  <c r="X110" i="16" s="1"/>
  <c r="AF110" i="16"/>
  <c r="AG110" i="16" s="1"/>
  <c r="AJ110" i="16"/>
  <c r="AL110" i="16" s="1"/>
  <c r="AQ110" i="16" s="1"/>
  <c r="AM110" i="16"/>
  <c r="AN110" i="16"/>
  <c r="W111" i="16"/>
  <c r="Z111" i="16"/>
  <c r="AA111" i="16" s="1"/>
  <c r="AC111" i="16"/>
  <c r="AB111" i="16" s="1"/>
  <c r="X111" i="16" s="1"/>
  <c r="AF111" i="16"/>
  <c r="AG111" i="16" s="1"/>
  <c r="AJ111" i="16"/>
  <c r="AL111" i="16" s="1"/>
  <c r="AM111" i="16"/>
  <c r="AN111" i="16"/>
  <c r="W112" i="16"/>
  <c r="Z112" i="16"/>
  <c r="AA112" i="16" s="1"/>
  <c r="AC112" i="16"/>
  <c r="AB112" i="16" s="1"/>
  <c r="X112" i="16" s="1"/>
  <c r="AF112" i="16"/>
  <c r="AG112" i="16" s="1"/>
  <c r="AJ112" i="16"/>
  <c r="AL112" i="16" s="1"/>
  <c r="AQ112" i="16" s="1"/>
  <c r="AM112" i="16"/>
  <c r="AN112" i="16"/>
  <c r="W113" i="16"/>
  <c r="Z113" i="16"/>
  <c r="AA113" i="16" s="1"/>
  <c r="AC113" i="16"/>
  <c r="AB113" i="16" s="1"/>
  <c r="X113" i="16" s="1"/>
  <c r="AF113" i="16"/>
  <c r="AG113" i="16" s="1"/>
  <c r="AJ113" i="16"/>
  <c r="AL113" i="16" s="1"/>
  <c r="AM113" i="16"/>
  <c r="AN113" i="16"/>
  <c r="W114" i="16"/>
  <c r="Z114" i="16"/>
  <c r="AA114" i="16" s="1"/>
  <c r="AC114" i="16"/>
  <c r="AB114" i="16" s="1"/>
  <c r="X114" i="16" s="1"/>
  <c r="AF114" i="16"/>
  <c r="AG114" i="16" s="1"/>
  <c r="AJ114" i="16"/>
  <c r="AL114" i="16" s="1"/>
  <c r="AQ114" i="16" s="1"/>
  <c r="AR114" i="16" s="1"/>
  <c r="AM114" i="16"/>
  <c r="AN114" i="16"/>
  <c r="W115" i="16"/>
  <c r="Z115" i="16"/>
  <c r="AA115" i="16" s="1"/>
  <c r="AC115" i="16"/>
  <c r="AB115" i="16" s="1"/>
  <c r="X115" i="16" s="1"/>
  <c r="AF115" i="16"/>
  <c r="AG115" i="16" s="1"/>
  <c r="AJ115" i="16"/>
  <c r="AL115" i="16" s="1"/>
  <c r="AQ115" i="16" s="1"/>
  <c r="AM115" i="16"/>
  <c r="AN115" i="16"/>
  <c r="W116" i="16"/>
  <c r="Z116" i="16"/>
  <c r="AA116" i="16" s="1"/>
  <c r="AC116" i="16"/>
  <c r="AB116" i="16" s="1"/>
  <c r="X116" i="16" s="1"/>
  <c r="AF116" i="16"/>
  <c r="AG116" i="16" s="1"/>
  <c r="AJ116" i="16"/>
  <c r="AL116" i="16" s="1"/>
  <c r="AQ116" i="16" s="1"/>
  <c r="AR116" i="16" s="1"/>
  <c r="AM116" i="16"/>
  <c r="AN116" i="16"/>
  <c r="W117" i="16"/>
  <c r="Z117" i="16"/>
  <c r="AA117" i="16" s="1"/>
  <c r="AC117" i="16"/>
  <c r="AB117" i="16" s="1"/>
  <c r="X117" i="16" s="1"/>
  <c r="AF117" i="16"/>
  <c r="AG117" i="16" s="1"/>
  <c r="AJ117" i="16"/>
  <c r="AL117" i="16" s="1"/>
  <c r="AM117" i="16"/>
  <c r="AN117" i="16"/>
  <c r="W118" i="16"/>
  <c r="Z118" i="16"/>
  <c r="AA118" i="16" s="1"/>
  <c r="AC118" i="16"/>
  <c r="AB118" i="16" s="1"/>
  <c r="X118" i="16" s="1"/>
  <c r="AF118" i="16"/>
  <c r="AG118" i="16" s="1"/>
  <c r="AJ118" i="16"/>
  <c r="AL118" i="16" s="1"/>
  <c r="AQ118" i="16" s="1"/>
  <c r="AM118" i="16"/>
  <c r="AN118" i="16"/>
  <c r="W119" i="16"/>
  <c r="Z119" i="16"/>
  <c r="AA119" i="16" s="1"/>
  <c r="AC119" i="16"/>
  <c r="AB119" i="16" s="1"/>
  <c r="X119" i="16" s="1"/>
  <c r="AF119" i="16"/>
  <c r="AG119" i="16" s="1"/>
  <c r="AJ119" i="16"/>
  <c r="AL119" i="16" s="1"/>
  <c r="AM119" i="16"/>
  <c r="AN119" i="16"/>
  <c r="W120" i="16"/>
  <c r="Z120" i="16"/>
  <c r="AA120" i="16" s="1"/>
  <c r="AC120" i="16"/>
  <c r="AB120" i="16" s="1"/>
  <c r="X120" i="16" s="1"/>
  <c r="AF120" i="16"/>
  <c r="AG120" i="16" s="1"/>
  <c r="AJ120" i="16"/>
  <c r="AL120" i="16" s="1"/>
  <c r="AQ120" i="16" s="1"/>
  <c r="AM120" i="16"/>
  <c r="AN120" i="16"/>
  <c r="W121" i="16"/>
  <c r="Z121" i="16"/>
  <c r="AA121" i="16" s="1"/>
  <c r="AC121" i="16"/>
  <c r="AB121" i="16" s="1"/>
  <c r="X121" i="16" s="1"/>
  <c r="AF121" i="16"/>
  <c r="AG121" i="16" s="1"/>
  <c r="AJ121" i="16"/>
  <c r="AL121" i="16" s="1"/>
  <c r="AQ121" i="16" s="1"/>
  <c r="AM121" i="16"/>
  <c r="AN121" i="16"/>
  <c r="W122" i="16"/>
  <c r="Z122" i="16"/>
  <c r="AA122" i="16" s="1"/>
  <c r="AC122" i="16"/>
  <c r="AB122" i="16" s="1"/>
  <c r="X122" i="16" s="1"/>
  <c r="AF122" i="16"/>
  <c r="AG122" i="16" s="1"/>
  <c r="AJ122" i="16"/>
  <c r="AL122" i="16" s="1"/>
  <c r="AQ122" i="16" s="1"/>
  <c r="AM122" i="16"/>
  <c r="AN122" i="16"/>
  <c r="W123" i="16"/>
  <c r="Z123" i="16"/>
  <c r="AA123" i="16" s="1"/>
  <c r="AC123" i="16"/>
  <c r="AB123" i="16" s="1"/>
  <c r="X123" i="16" s="1"/>
  <c r="AF123" i="16"/>
  <c r="AG123" i="16" s="1"/>
  <c r="AJ123" i="16"/>
  <c r="AL123" i="16" s="1"/>
  <c r="AM123" i="16"/>
  <c r="AN123" i="16"/>
  <c r="W70" i="16"/>
  <c r="Z70" i="16"/>
  <c r="AA70" i="16" s="1"/>
  <c r="AC70" i="16"/>
  <c r="AB70" i="16" s="1"/>
  <c r="X70" i="16" s="1"/>
  <c r="AF70" i="16"/>
  <c r="AG70" i="16" s="1"/>
  <c r="AJ70" i="16"/>
  <c r="AL70" i="16" s="1"/>
  <c r="AQ70" i="16" s="1"/>
  <c r="AM70" i="16"/>
  <c r="AN70" i="16"/>
  <c r="W71" i="16"/>
  <c r="Z71" i="16"/>
  <c r="AA71" i="16" s="1"/>
  <c r="AC71" i="16"/>
  <c r="AB71" i="16" s="1"/>
  <c r="X71" i="16" s="1"/>
  <c r="AF71" i="16"/>
  <c r="AG71" i="16" s="1"/>
  <c r="AJ71" i="16"/>
  <c r="AL71" i="16" s="1"/>
  <c r="AM71" i="16"/>
  <c r="AN71" i="16"/>
  <c r="AC72" i="16"/>
  <c r="AB72" i="16" s="1"/>
  <c r="AF72" i="16"/>
  <c r="AG72" i="16" s="1"/>
  <c r="AC73" i="16"/>
  <c r="AB73" i="16" s="1"/>
  <c r="AF73" i="16"/>
  <c r="AG73" i="16" s="1"/>
  <c r="W74" i="16"/>
  <c r="Z74" i="16"/>
  <c r="AA74" i="16" s="1"/>
  <c r="AC74" i="16"/>
  <c r="AB74" i="16" s="1"/>
  <c r="X74" i="16" s="1"/>
  <c r="AF74" i="16"/>
  <c r="AG74" i="16" s="1"/>
  <c r="AJ74" i="16"/>
  <c r="AL74" i="16" s="1"/>
  <c r="AM74" i="16"/>
  <c r="AN74" i="16"/>
  <c r="W75" i="16"/>
  <c r="Z75" i="16"/>
  <c r="AA75" i="16" s="1"/>
  <c r="AC75" i="16"/>
  <c r="AF75" i="16"/>
  <c r="AG75" i="16" s="1"/>
  <c r="AJ75" i="16"/>
  <c r="AL75" i="16" s="1"/>
  <c r="AQ75" i="16" s="1"/>
  <c r="AM75" i="16"/>
  <c r="AN75" i="16"/>
  <c r="W76" i="16"/>
  <c r="Z76" i="16"/>
  <c r="AA76" i="16" s="1"/>
  <c r="AC76" i="16"/>
  <c r="AB76" i="16" s="1"/>
  <c r="X76" i="16" s="1"/>
  <c r="AF76" i="16"/>
  <c r="AG76" i="16" s="1"/>
  <c r="AJ76" i="16"/>
  <c r="AL76" i="16" s="1"/>
  <c r="AQ76" i="16" s="1"/>
  <c r="AR76" i="16" s="1"/>
  <c r="AM76" i="16"/>
  <c r="AN76" i="16"/>
  <c r="AC77" i="16"/>
  <c r="AB77" i="16" s="1"/>
  <c r="AF77" i="16"/>
  <c r="AG77" i="16" s="1"/>
  <c r="AC78" i="16"/>
  <c r="AB78" i="16" s="1"/>
  <c r="AF78" i="16"/>
  <c r="AG78" i="16" s="1"/>
  <c r="W79" i="16"/>
  <c r="Z79" i="16"/>
  <c r="AA79" i="16" s="1"/>
  <c r="AC79" i="16"/>
  <c r="AB79" i="16" s="1"/>
  <c r="X79" i="16" s="1"/>
  <c r="AF79" i="16"/>
  <c r="AG79" i="16" s="1"/>
  <c r="AJ79" i="16"/>
  <c r="AL79" i="16" s="1"/>
  <c r="AM79" i="16"/>
  <c r="AN79" i="16"/>
  <c r="AC80" i="16"/>
  <c r="AB80" i="16" s="1"/>
  <c r="AF80" i="16"/>
  <c r="AG80" i="16" s="1"/>
  <c r="AC81" i="16"/>
  <c r="AB81" i="16" s="1"/>
  <c r="AF81" i="16"/>
  <c r="AG81" i="16" s="1"/>
  <c r="AJ68" i="16"/>
  <c r="AL68" i="16" s="1"/>
  <c r="AM68" i="16"/>
  <c r="AN68" i="16"/>
  <c r="AF68" i="16"/>
  <c r="AG68" i="16" s="1"/>
  <c r="AC68" i="16"/>
  <c r="AB68" i="16" s="1"/>
  <c r="X68" i="16" s="1"/>
  <c r="W68" i="16"/>
  <c r="Z68" i="16"/>
  <c r="AA68" i="16" s="1"/>
  <c r="AJ67" i="16"/>
  <c r="AL67" i="16" s="1"/>
  <c r="AM67" i="16"/>
  <c r="AN67" i="16"/>
  <c r="AF67" i="16"/>
  <c r="AG67" i="16" s="1"/>
  <c r="AC67" i="16"/>
  <c r="AB67" i="16" s="1"/>
  <c r="X67" i="16" s="1"/>
  <c r="Y67" i="16" s="1"/>
  <c r="W67" i="16"/>
  <c r="Z67" i="16"/>
  <c r="AA67" i="16" s="1"/>
  <c r="AJ66" i="16"/>
  <c r="AL66" i="16" s="1"/>
  <c r="AQ66" i="16" s="1"/>
  <c r="AR66" i="16" s="1"/>
  <c r="AM66" i="16"/>
  <c r="AN66" i="16"/>
  <c r="AF66" i="16"/>
  <c r="AG66" i="16" s="1"/>
  <c r="AC66" i="16"/>
  <c r="AB66" i="16" s="1"/>
  <c r="X66" i="16" s="1"/>
  <c r="W66" i="16"/>
  <c r="Z66" i="16"/>
  <c r="AA66" i="16" s="1"/>
  <c r="AF65" i="16"/>
  <c r="AG65" i="16" s="1"/>
  <c r="AC65" i="16"/>
  <c r="AB65" i="16" s="1"/>
  <c r="AJ63" i="16"/>
  <c r="AL63" i="16" s="1"/>
  <c r="AQ63" i="16" s="1"/>
  <c r="AR63" i="16" s="1"/>
  <c r="AM63" i="16"/>
  <c r="AN63" i="16"/>
  <c r="AF63" i="16"/>
  <c r="AG63" i="16" s="1"/>
  <c r="AC63" i="16"/>
  <c r="AB63" i="16" s="1"/>
  <c r="X63" i="16" s="1"/>
  <c r="W63" i="16"/>
  <c r="Z63" i="16"/>
  <c r="AA63" i="16" s="1"/>
  <c r="AF62" i="16"/>
  <c r="AG62" i="16" s="1"/>
  <c r="AC62" i="16"/>
  <c r="AB62" i="16" s="1"/>
  <c r="AC7" i="16"/>
  <c r="AB7" i="16" s="1"/>
  <c r="AF7" i="16"/>
  <c r="AG7" i="16" s="1"/>
  <c r="W8" i="16"/>
  <c r="Z8" i="16"/>
  <c r="AA8" i="16" s="1"/>
  <c r="AC8" i="16"/>
  <c r="AB8" i="16" s="1"/>
  <c r="X8" i="16" s="1"/>
  <c r="AF8" i="16"/>
  <c r="AG8" i="16" s="1"/>
  <c r="AJ8" i="16"/>
  <c r="AL8" i="16" s="1"/>
  <c r="AM8" i="16"/>
  <c r="AN8" i="16"/>
  <c r="W9" i="16"/>
  <c r="Z9" i="16"/>
  <c r="AA9" i="16" s="1"/>
  <c r="AC9" i="16"/>
  <c r="AB9" i="16" s="1"/>
  <c r="X9" i="16" s="1"/>
  <c r="AF9" i="16"/>
  <c r="AG9" i="16" s="1"/>
  <c r="AJ9" i="16"/>
  <c r="AL9" i="16" s="1"/>
  <c r="AQ9" i="16" s="1"/>
  <c r="AM9" i="16"/>
  <c r="AN9" i="16"/>
  <c r="AC10" i="16"/>
  <c r="AB10" i="16" s="1"/>
  <c r="AF10" i="16"/>
  <c r="AG10" i="16" s="1"/>
  <c r="AC11" i="16"/>
  <c r="AB11" i="16" s="1"/>
  <c r="AF11" i="16"/>
  <c r="AG11" i="16" s="1"/>
  <c r="W12" i="16"/>
  <c r="Z12" i="16"/>
  <c r="AA12" i="16" s="1"/>
  <c r="AC12" i="16"/>
  <c r="AB12" i="16" s="1"/>
  <c r="X12" i="16" s="1"/>
  <c r="AF12" i="16"/>
  <c r="AG12" i="16" s="1"/>
  <c r="AJ12" i="16"/>
  <c r="AL12" i="16" s="1"/>
  <c r="AM12" i="16"/>
  <c r="AN12" i="16"/>
  <c r="W13" i="16"/>
  <c r="Z13" i="16"/>
  <c r="AA13" i="16" s="1"/>
  <c r="AC13" i="16"/>
  <c r="AB13" i="16" s="1"/>
  <c r="X13" i="16" s="1"/>
  <c r="AF13" i="16"/>
  <c r="AG13" i="16" s="1"/>
  <c r="AJ13" i="16"/>
  <c r="AL13" i="16" s="1"/>
  <c r="AM13" i="16"/>
  <c r="AN13" i="16"/>
  <c r="W14" i="16"/>
  <c r="Z14" i="16"/>
  <c r="AA14" i="16" s="1"/>
  <c r="AC14" i="16"/>
  <c r="AB14" i="16" s="1"/>
  <c r="X14" i="16" s="1"/>
  <c r="AF14" i="16"/>
  <c r="AG14" i="16" s="1"/>
  <c r="AJ14" i="16"/>
  <c r="AL14" i="16" s="1"/>
  <c r="AQ14" i="16" s="1"/>
  <c r="AM14" i="16"/>
  <c r="AN14" i="16"/>
  <c r="W15" i="16"/>
  <c r="Z15" i="16"/>
  <c r="AA15" i="16" s="1"/>
  <c r="AC15" i="16"/>
  <c r="AB15" i="16" s="1"/>
  <c r="X15" i="16" s="1"/>
  <c r="AF15" i="16"/>
  <c r="AG15" i="16" s="1"/>
  <c r="AJ15" i="16"/>
  <c r="AL15" i="16" s="1"/>
  <c r="AQ15" i="16" s="1"/>
  <c r="AM15" i="16"/>
  <c r="AN15" i="16"/>
  <c r="W16" i="16"/>
  <c r="Z16" i="16"/>
  <c r="AA16" i="16" s="1"/>
  <c r="AC16" i="16"/>
  <c r="AB16" i="16" s="1"/>
  <c r="X16" i="16" s="1"/>
  <c r="AF16" i="16"/>
  <c r="AG16" i="16" s="1"/>
  <c r="AJ16" i="16"/>
  <c r="AL16" i="16" s="1"/>
  <c r="AQ16" i="16" s="1"/>
  <c r="AM16" i="16"/>
  <c r="AN16" i="16"/>
  <c r="W17" i="16"/>
  <c r="Z17" i="16"/>
  <c r="AA17" i="16" s="1"/>
  <c r="AC17" i="16"/>
  <c r="AB17" i="16" s="1"/>
  <c r="X17" i="16" s="1"/>
  <c r="AF17" i="16"/>
  <c r="AG17" i="16" s="1"/>
  <c r="AJ17" i="16"/>
  <c r="AL17" i="16" s="1"/>
  <c r="AQ17" i="16" s="1"/>
  <c r="AR17" i="16" s="1"/>
  <c r="AM17" i="16"/>
  <c r="AN17" i="16"/>
  <c r="W18" i="16"/>
  <c r="Z18" i="16"/>
  <c r="AA18" i="16" s="1"/>
  <c r="AC18" i="16"/>
  <c r="AB18" i="16" s="1"/>
  <c r="X18" i="16" s="1"/>
  <c r="AF18" i="16"/>
  <c r="AG18" i="16" s="1"/>
  <c r="AJ18" i="16"/>
  <c r="AL18" i="16" s="1"/>
  <c r="AQ18" i="16" s="1"/>
  <c r="AM18" i="16"/>
  <c r="AN18" i="16"/>
  <c r="AB19" i="16"/>
  <c r="AF19" i="16"/>
  <c r="AG19" i="16" s="1"/>
  <c r="W20" i="16"/>
  <c r="Z20" i="16"/>
  <c r="AA20" i="16" s="1"/>
  <c r="AC20" i="16"/>
  <c r="AB20" i="16" s="1"/>
  <c r="X20" i="16" s="1"/>
  <c r="AF20" i="16"/>
  <c r="AG20" i="16" s="1"/>
  <c r="AJ20" i="16"/>
  <c r="AL20" i="16" s="1"/>
  <c r="AQ20" i="16" s="1"/>
  <c r="AM20" i="16"/>
  <c r="AN20" i="16"/>
  <c r="W21" i="16"/>
  <c r="Z21" i="16"/>
  <c r="AA21" i="16" s="1"/>
  <c r="AC21" i="16"/>
  <c r="AB21" i="16" s="1"/>
  <c r="X21" i="16" s="1"/>
  <c r="AF21" i="16"/>
  <c r="AG21" i="16" s="1"/>
  <c r="AJ21" i="16"/>
  <c r="AL21" i="16" s="1"/>
  <c r="AQ21" i="16" s="1"/>
  <c r="AM21" i="16"/>
  <c r="AN21" i="16"/>
  <c r="W22" i="16"/>
  <c r="Z22" i="16"/>
  <c r="AA22" i="16" s="1"/>
  <c r="AC22" i="16"/>
  <c r="AB22" i="16" s="1"/>
  <c r="X22" i="16" s="1"/>
  <c r="AF22" i="16"/>
  <c r="AG22" i="16" s="1"/>
  <c r="AJ22" i="16"/>
  <c r="AL22" i="16" s="1"/>
  <c r="AQ22" i="16" s="1"/>
  <c r="AM22" i="16"/>
  <c r="AN22" i="16"/>
  <c r="W23" i="16"/>
  <c r="Z23" i="16"/>
  <c r="AA23" i="16" s="1"/>
  <c r="AC23" i="16"/>
  <c r="AB23" i="16" s="1"/>
  <c r="X23" i="16" s="1"/>
  <c r="AF23" i="16"/>
  <c r="AG23" i="16" s="1"/>
  <c r="AJ23" i="16"/>
  <c r="AL23" i="16" s="1"/>
  <c r="AQ23" i="16" s="1"/>
  <c r="AM23" i="16"/>
  <c r="AN23" i="16"/>
  <c r="W24" i="16"/>
  <c r="Z24" i="16"/>
  <c r="AA24" i="16" s="1"/>
  <c r="AC24" i="16"/>
  <c r="AB24" i="16" s="1"/>
  <c r="X24" i="16" s="1"/>
  <c r="AF24" i="16"/>
  <c r="AG24" i="16" s="1"/>
  <c r="AJ24" i="16"/>
  <c r="AL24" i="16" s="1"/>
  <c r="AQ24" i="16" s="1"/>
  <c r="AM24" i="16"/>
  <c r="AN24" i="16"/>
  <c r="W25" i="16"/>
  <c r="Z25" i="16"/>
  <c r="AA25" i="16" s="1"/>
  <c r="AC25" i="16"/>
  <c r="AB25" i="16" s="1"/>
  <c r="X25" i="16" s="1"/>
  <c r="AF25" i="16"/>
  <c r="AG25" i="16" s="1"/>
  <c r="AJ25" i="16"/>
  <c r="AL25" i="16" s="1"/>
  <c r="AQ25" i="16" s="1"/>
  <c r="AM25" i="16"/>
  <c r="AN25" i="16"/>
  <c r="W26" i="16"/>
  <c r="Z26" i="16"/>
  <c r="AA26" i="16" s="1"/>
  <c r="AC26" i="16"/>
  <c r="AB26" i="16" s="1"/>
  <c r="X26" i="16" s="1"/>
  <c r="AF26" i="16"/>
  <c r="AG26" i="16" s="1"/>
  <c r="AJ26" i="16"/>
  <c r="AL26" i="16" s="1"/>
  <c r="AQ26" i="16" s="1"/>
  <c r="AR26" i="16" s="1"/>
  <c r="AM26" i="16"/>
  <c r="AN26" i="16"/>
  <c r="W27" i="16"/>
  <c r="Z27" i="16"/>
  <c r="AA27" i="16" s="1"/>
  <c r="AC27" i="16"/>
  <c r="AB27" i="16" s="1"/>
  <c r="X27" i="16" s="1"/>
  <c r="AF27" i="16"/>
  <c r="AG27" i="16" s="1"/>
  <c r="AJ27" i="16"/>
  <c r="AL27" i="16" s="1"/>
  <c r="AQ27" i="16" s="1"/>
  <c r="AR27" i="16" s="1"/>
  <c r="AM27" i="16"/>
  <c r="AN27" i="16"/>
  <c r="W28" i="16"/>
  <c r="Z28" i="16"/>
  <c r="AA28" i="16" s="1"/>
  <c r="AC28" i="16"/>
  <c r="AB28" i="16" s="1"/>
  <c r="X28" i="16" s="1"/>
  <c r="AF28" i="16"/>
  <c r="AG28" i="16" s="1"/>
  <c r="AJ28" i="16"/>
  <c r="AL28" i="16" s="1"/>
  <c r="AQ28" i="16" s="1"/>
  <c r="AM28" i="16"/>
  <c r="AN28" i="16"/>
  <c r="W29" i="16"/>
  <c r="Z29" i="16"/>
  <c r="AA29" i="16" s="1"/>
  <c r="AC29" i="16"/>
  <c r="AB29" i="16" s="1"/>
  <c r="X29" i="16" s="1"/>
  <c r="AF29" i="16"/>
  <c r="AG29" i="16" s="1"/>
  <c r="AJ29" i="16"/>
  <c r="AL29" i="16" s="1"/>
  <c r="AQ29" i="16" s="1"/>
  <c r="AM29" i="16"/>
  <c r="AN29" i="16"/>
  <c r="W30" i="16"/>
  <c r="Z30" i="16"/>
  <c r="AA30" i="16" s="1"/>
  <c r="AC30" i="16"/>
  <c r="AB30" i="16" s="1"/>
  <c r="X30" i="16" s="1"/>
  <c r="AF30" i="16"/>
  <c r="AG30" i="16" s="1"/>
  <c r="AJ30" i="16"/>
  <c r="AL30" i="16" s="1"/>
  <c r="AQ30" i="16" s="1"/>
  <c r="AM30" i="16"/>
  <c r="AN30" i="16"/>
  <c r="W31" i="16"/>
  <c r="Z31" i="16"/>
  <c r="AA31" i="16" s="1"/>
  <c r="AC31" i="16"/>
  <c r="AB31" i="16" s="1"/>
  <c r="X31" i="16" s="1"/>
  <c r="AF31" i="16"/>
  <c r="AG31" i="16" s="1"/>
  <c r="AJ31" i="16"/>
  <c r="AL31" i="16" s="1"/>
  <c r="AQ31" i="16" s="1"/>
  <c r="AM31" i="16"/>
  <c r="AN31" i="16"/>
  <c r="W32" i="16"/>
  <c r="Z32" i="16"/>
  <c r="AA32" i="16" s="1"/>
  <c r="AC32" i="16"/>
  <c r="AB32" i="16" s="1"/>
  <c r="X32" i="16" s="1"/>
  <c r="AF32" i="16"/>
  <c r="AG32" i="16" s="1"/>
  <c r="AJ32" i="16"/>
  <c r="AL32" i="16" s="1"/>
  <c r="AQ32" i="16" s="1"/>
  <c r="AM32" i="16"/>
  <c r="AN32" i="16"/>
  <c r="W33" i="16"/>
  <c r="Z33" i="16"/>
  <c r="AA33" i="16" s="1"/>
  <c r="AC33" i="16"/>
  <c r="AB33" i="16" s="1"/>
  <c r="X33" i="16" s="1"/>
  <c r="AF33" i="16"/>
  <c r="AG33" i="16" s="1"/>
  <c r="AJ33" i="16"/>
  <c r="AL33" i="16" s="1"/>
  <c r="AQ33" i="16" s="1"/>
  <c r="AM33" i="16"/>
  <c r="AN33" i="16"/>
  <c r="AC34" i="16"/>
  <c r="AB34" i="16" s="1"/>
  <c r="AF34" i="16"/>
  <c r="AG34" i="16" s="1"/>
  <c r="AC35" i="16"/>
  <c r="AF35" i="16"/>
  <c r="AG35" i="16" s="1"/>
  <c r="W36" i="16"/>
  <c r="Z36" i="16"/>
  <c r="AA36" i="16" s="1"/>
  <c r="AC36" i="16"/>
  <c r="AB36" i="16" s="1"/>
  <c r="X36" i="16" s="1"/>
  <c r="AF36" i="16"/>
  <c r="AG36" i="16" s="1"/>
  <c r="AJ36" i="16"/>
  <c r="AL36" i="16" s="1"/>
  <c r="AM36" i="16"/>
  <c r="AN36" i="16"/>
  <c r="W37" i="16"/>
  <c r="Z37" i="16"/>
  <c r="AA37" i="16" s="1"/>
  <c r="AC37" i="16"/>
  <c r="AB37" i="16" s="1"/>
  <c r="X37" i="16" s="1"/>
  <c r="AF37" i="16"/>
  <c r="AG37" i="16" s="1"/>
  <c r="AJ37" i="16"/>
  <c r="AL37" i="16" s="1"/>
  <c r="AM37" i="16"/>
  <c r="AN37" i="16"/>
  <c r="W38" i="16"/>
  <c r="Z38" i="16"/>
  <c r="AA38" i="16" s="1"/>
  <c r="AC38" i="16"/>
  <c r="AB38" i="16" s="1"/>
  <c r="X38" i="16" s="1"/>
  <c r="AF38" i="16"/>
  <c r="AG38" i="16" s="1"/>
  <c r="AJ38" i="16"/>
  <c r="AL38" i="16" s="1"/>
  <c r="AM38" i="16"/>
  <c r="AN38" i="16"/>
  <c r="W39" i="16"/>
  <c r="Z39" i="16"/>
  <c r="AA39" i="16" s="1"/>
  <c r="AC39" i="16"/>
  <c r="AB39" i="16" s="1"/>
  <c r="X39" i="16" s="1"/>
  <c r="AF39" i="16"/>
  <c r="AG39" i="16" s="1"/>
  <c r="AJ39" i="16"/>
  <c r="AL39" i="16" s="1"/>
  <c r="AM39" i="16"/>
  <c r="AN39" i="16"/>
  <c r="W40" i="16"/>
  <c r="Z40" i="16"/>
  <c r="AA40" i="16" s="1"/>
  <c r="AC40" i="16"/>
  <c r="AB40" i="16" s="1"/>
  <c r="X40" i="16" s="1"/>
  <c r="AF40" i="16"/>
  <c r="AG40" i="16" s="1"/>
  <c r="AJ40" i="16"/>
  <c r="AL40" i="16" s="1"/>
  <c r="AM40" i="16"/>
  <c r="AN40" i="16"/>
  <c r="W41" i="16"/>
  <c r="Z41" i="16"/>
  <c r="AA41" i="16" s="1"/>
  <c r="AC41" i="16"/>
  <c r="AB41" i="16" s="1"/>
  <c r="X41" i="16" s="1"/>
  <c r="AF41" i="16"/>
  <c r="AG41" i="16" s="1"/>
  <c r="AJ41" i="16"/>
  <c r="AL41" i="16" s="1"/>
  <c r="AM41" i="16"/>
  <c r="AN41" i="16"/>
  <c r="W42" i="16"/>
  <c r="Z42" i="16"/>
  <c r="AA42" i="16" s="1"/>
  <c r="AC42" i="16"/>
  <c r="AB42" i="16" s="1"/>
  <c r="X42" i="16" s="1"/>
  <c r="AF42" i="16"/>
  <c r="AG42" i="16" s="1"/>
  <c r="AJ42" i="16"/>
  <c r="AL42" i="16" s="1"/>
  <c r="AM42" i="16"/>
  <c r="AN42" i="16"/>
  <c r="W44" i="16"/>
  <c r="Z44" i="16"/>
  <c r="AA44" i="16" s="1"/>
  <c r="AC44" i="16"/>
  <c r="AB44" i="16" s="1"/>
  <c r="X44" i="16" s="1"/>
  <c r="AF44" i="16"/>
  <c r="AG44" i="16" s="1"/>
  <c r="AJ44" i="16"/>
  <c r="AL44" i="16" s="1"/>
  <c r="AM44" i="16"/>
  <c r="AN44" i="16"/>
  <c r="W45" i="16"/>
  <c r="Z45" i="16"/>
  <c r="AA45" i="16" s="1"/>
  <c r="AC45" i="16"/>
  <c r="AB45" i="16" s="1"/>
  <c r="X45" i="16" s="1"/>
  <c r="AF45" i="16"/>
  <c r="AG45" i="16" s="1"/>
  <c r="AJ45" i="16"/>
  <c r="AL45" i="16" s="1"/>
  <c r="AM45" i="16"/>
  <c r="AN45" i="16"/>
  <c r="W46" i="16"/>
  <c r="Z46" i="16"/>
  <c r="AA46" i="16" s="1"/>
  <c r="AC46" i="16"/>
  <c r="AB46" i="16" s="1"/>
  <c r="X46" i="16" s="1"/>
  <c r="AF46" i="16"/>
  <c r="AG46" i="16" s="1"/>
  <c r="AJ46" i="16"/>
  <c r="AL46" i="16" s="1"/>
  <c r="AM46" i="16"/>
  <c r="AN46" i="16"/>
  <c r="W47" i="16"/>
  <c r="Z47" i="16"/>
  <c r="AA47" i="16" s="1"/>
  <c r="AC47" i="16"/>
  <c r="AB47" i="16" s="1"/>
  <c r="X47" i="16" s="1"/>
  <c r="AF47" i="16"/>
  <c r="AG47" i="16" s="1"/>
  <c r="AJ47" i="16"/>
  <c r="AL47" i="16" s="1"/>
  <c r="AM47" i="16"/>
  <c r="AN47" i="16"/>
  <c r="AF49" i="16"/>
  <c r="AG49" i="16" s="1"/>
  <c r="AJ49" i="16"/>
  <c r="AL49" i="16" s="1"/>
  <c r="AQ49" i="16" s="1"/>
  <c r="AM49" i="16"/>
  <c r="AN49" i="16"/>
  <c r="AF50" i="16"/>
  <c r="AG50" i="16" s="1"/>
  <c r="AJ50" i="16"/>
  <c r="AL50" i="16" s="1"/>
  <c r="AM50" i="16"/>
  <c r="AN50" i="16"/>
  <c r="AF51" i="16"/>
  <c r="AG51" i="16" s="1"/>
  <c r="AJ51" i="16"/>
  <c r="AL51" i="16" s="1"/>
  <c r="AQ51" i="16" s="1"/>
  <c r="AM51" i="16"/>
  <c r="AN51" i="16"/>
  <c r="AF52" i="16"/>
  <c r="AG52" i="16" s="1"/>
  <c r="AF53" i="16"/>
  <c r="AG53" i="16" s="1"/>
  <c r="AJ53" i="16"/>
  <c r="AL53" i="16" s="1"/>
  <c r="AQ53" i="16" s="1"/>
  <c r="AR53" i="16" s="1"/>
  <c r="AM53" i="16"/>
  <c r="AN53" i="16"/>
  <c r="AF54" i="16"/>
  <c r="AG54" i="16" s="1"/>
  <c r="AJ54" i="16"/>
  <c r="AL54" i="16" s="1"/>
  <c r="AQ54" i="16" s="1"/>
  <c r="AR54" i="16" s="1"/>
  <c r="AM54" i="16"/>
  <c r="AN54" i="16"/>
  <c r="AF55" i="16"/>
  <c r="AG55" i="16" s="1"/>
  <c r="AJ55" i="16"/>
  <c r="AL55" i="16" s="1"/>
  <c r="AQ55" i="16" s="1"/>
  <c r="AR55" i="16" s="1"/>
  <c r="AM55" i="16"/>
  <c r="AN55" i="16"/>
  <c r="AF56" i="16"/>
  <c r="AG56" i="16" s="1"/>
  <c r="AF57" i="16"/>
  <c r="AG57" i="16" s="1"/>
  <c r="AJ57" i="16"/>
  <c r="AL57" i="16" s="1"/>
  <c r="AQ57" i="16" s="1"/>
  <c r="AM57" i="16"/>
  <c r="AN57" i="16"/>
  <c r="AF58" i="16"/>
  <c r="AG58" i="16" s="1"/>
  <c r="AJ58" i="16"/>
  <c r="AL58" i="16" s="1"/>
  <c r="AQ58" i="16" s="1"/>
  <c r="AM58" i="16"/>
  <c r="AN58" i="16"/>
  <c r="AF59" i="16"/>
  <c r="AG59" i="16" s="1"/>
  <c r="AJ59" i="16"/>
  <c r="AL59" i="16" s="1"/>
  <c r="AQ59" i="16" s="1"/>
  <c r="AR59" i="16" s="1"/>
  <c r="AM59" i="16"/>
  <c r="AN59" i="16"/>
  <c r="AF60" i="16"/>
  <c r="AG60" i="16" s="1"/>
  <c r="AJ60" i="16"/>
  <c r="AL60" i="16" s="1"/>
  <c r="AM60" i="16"/>
  <c r="AN60" i="16"/>
  <c r="AC49" i="16"/>
  <c r="AB49" i="16" s="1"/>
  <c r="X49" i="16" s="1"/>
  <c r="AC50" i="16"/>
  <c r="AB50" i="16" s="1"/>
  <c r="X50" i="16" s="1"/>
  <c r="AC51" i="16"/>
  <c r="AB51" i="16" s="1"/>
  <c r="X51" i="16" s="1"/>
  <c r="AC52" i="16"/>
  <c r="AB52" i="16" s="1"/>
  <c r="AC53" i="16"/>
  <c r="AB53" i="16" s="1"/>
  <c r="X53" i="16" s="1"/>
  <c r="AC54" i="16"/>
  <c r="AB54" i="16" s="1"/>
  <c r="X54" i="16" s="1"/>
  <c r="AC55" i="16"/>
  <c r="AB55" i="16" s="1"/>
  <c r="X55" i="16" s="1"/>
  <c r="AC56" i="16"/>
  <c r="AB56" i="16" s="1"/>
  <c r="AC57" i="16"/>
  <c r="AB57" i="16" s="1"/>
  <c r="X57" i="16" s="1"/>
  <c r="AC58" i="16"/>
  <c r="AB58" i="16" s="1"/>
  <c r="X58" i="16" s="1"/>
  <c r="AC59" i="16"/>
  <c r="AB59" i="16" s="1"/>
  <c r="X59" i="16" s="1"/>
  <c r="AC60" i="16"/>
  <c r="AB60" i="16" s="1"/>
  <c r="X60" i="16" s="1"/>
  <c r="Z49" i="16"/>
  <c r="AA49" i="16" s="1"/>
  <c r="Z50" i="16"/>
  <c r="AA50" i="16" s="1"/>
  <c r="Z51" i="16"/>
  <c r="AA51" i="16" s="1"/>
  <c r="Z53" i="16"/>
  <c r="AA53" i="16" s="1"/>
  <c r="Z54" i="16"/>
  <c r="AA54" i="16" s="1"/>
  <c r="Z55" i="16"/>
  <c r="AA55" i="16" s="1"/>
  <c r="Z57" i="16"/>
  <c r="AA57" i="16" s="1"/>
  <c r="Z58" i="16"/>
  <c r="AA58" i="16" s="1"/>
  <c r="Z59" i="16"/>
  <c r="AA59" i="16" s="1"/>
  <c r="Z60" i="16"/>
  <c r="AA60" i="16" s="1"/>
  <c r="W49" i="16"/>
  <c r="W50" i="16"/>
  <c r="W51" i="16"/>
  <c r="W53" i="16"/>
  <c r="W54" i="16"/>
  <c r="W55" i="16"/>
  <c r="W57" i="16"/>
  <c r="W58" i="16"/>
  <c r="W59" i="16"/>
  <c r="W60" i="16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2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AA120" i="17"/>
  <c r="K127" i="16" s="1"/>
  <c r="AB120" i="17"/>
  <c r="L127" i="16" s="1"/>
  <c r="AC120" i="17"/>
  <c r="M127" i="16" s="1"/>
  <c r="AD120" i="17"/>
  <c r="N127" i="16" s="1"/>
  <c r="AE120" i="17"/>
  <c r="AF120" i="17"/>
  <c r="P127" i="16" s="1"/>
  <c r="AG120" i="17"/>
  <c r="Q127" i="16" s="1"/>
  <c r="AH120" i="17"/>
  <c r="R127" i="16" s="1"/>
  <c r="AI120" i="17"/>
  <c r="S127" i="16" s="1"/>
  <c r="AK120" i="17"/>
  <c r="U127" i="16" s="1"/>
  <c r="AL120" i="17"/>
  <c r="AM120" i="17"/>
  <c r="AN120" i="17"/>
  <c r="AP120" i="17"/>
  <c r="AQ120" i="17"/>
  <c r="AR120" i="17"/>
  <c r="AS120" i="17"/>
  <c r="AT120" i="17"/>
  <c r="AU120" i="17"/>
  <c r="AV120" i="17"/>
  <c r="AW120" i="17"/>
  <c r="AX120" i="17"/>
  <c r="AY120" i="17"/>
  <c r="AZ120" i="17"/>
  <c r="BA120" i="17"/>
  <c r="BB120" i="17"/>
  <c r="C120" i="17"/>
  <c r="C123" i="17" s="1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J120" i="17"/>
  <c r="T127" i="16" s="1"/>
  <c r="T131" i="16" s="1"/>
  <c r="CM30" i="17"/>
  <c r="U141" i="16"/>
  <c r="U125" i="16" s="1"/>
  <c r="S141" i="16"/>
  <c r="S125" i="16" s="1"/>
  <c r="S126" i="16" s="1"/>
  <c r="R141" i="16"/>
  <c r="R125" i="16" s="1"/>
  <c r="Q141" i="16"/>
  <c r="Q125" i="16" s="1"/>
  <c r="P141" i="16"/>
  <c r="P125" i="16" s="1"/>
  <c r="P126" i="16" s="1"/>
  <c r="O141" i="16"/>
  <c r="O125" i="16" s="1"/>
  <c r="O126" i="16" s="1"/>
  <c r="N141" i="16"/>
  <c r="N125" i="16" s="1"/>
  <c r="N126" i="16" s="1"/>
  <c r="M141" i="16"/>
  <c r="M125" i="16" s="1"/>
  <c r="M126" i="16" s="1"/>
  <c r="K141" i="16"/>
  <c r="K125" i="16" s="1"/>
  <c r="J124" i="16"/>
  <c r="I124" i="16"/>
  <c r="K124" i="16"/>
  <c r="D5" i="16"/>
  <c r="E5" i="16" s="1"/>
  <c r="F5" i="16" s="1"/>
  <c r="G5" i="16" s="1"/>
  <c r="H5" i="16" s="1"/>
  <c r="I5" i="16" s="1"/>
  <c r="J5" i="16" s="1"/>
  <c r="K5" i="16" s="1"/>
  <c r="S131" i="16" l="1"/>
  <c r="BH150" i="15"/>
  <c r="AT150" i="15"/>
  <c r="BH251" i="15"/>
  <c r="AT251" i="15"/>
  <c r="BH198" i="15"/>
  <c r="AT198" i="15"/>
  <c r="BH203" i="15"/>
  <c r="AT203" i="15"/>
  <c r="AB109" i="16"/>
  <c r="X109" i="16" s="1"/>
  <c r="Y109" i="16" s="1"/>
  <c r="AB75" i="16"/>
  <c r="X75" i="16" s="1"/>
  <c r="Y75" i="16" s="1"/>
  <c r="AB83" i="16"/>
  <c r="X83" i="16" s="1"/>
  <c r="Y83" i="16" s="1"/>
  <c r="AB90" i="16"/>
  <c r="X90" i="16" s="1"/>
  <c r="Y90" i="16" s="1"/>
  <c r="AB89" i="16"/>
  <c r="X89" i="16" s="1"/>
  <c r="Y89" i="16" s="1"/>
  <c r="U126" i="16"/>
  <c r="U131" i="16" s="1"/>
  <c r="V125" i="16"/>
  <c r="AS38" i="8"/>
  <c r="BL21" i="9"/>
  <c r="O127" i="16"/>
  <c r="V127" i="16" s="1"/>
  <c r="C11" i="1"/>
  <c r="Q128" i="16"/>
  <c r="Q126" i="16"/>
  <c r="Q131" i="16" s="1"/>
  <c r="P131" i="16"/>
  <c r="R126" i="16"/>
  <c r="R131" i="16" s="1"/>
  <c r="R128" i="16"/>
  <c r="AR359" i="31"/>
  <c r="AQ54" i="31"/>
  <c r="AR424" i="31"/>
  <c r="AQ119" i="31"/>
  <c r="AQ110" i="31"/>
  <c r="AR415" i="31"/>
  <c r="AQ231" i="31"/>
  <c r="AR536" i="31"/>
  <c r="AR551" i="31"/>
  <c r="AQ246" i="31"/>
  <c r="AQ197" i="31"/>
  <c r="AR502" i="31"/>
  <c r="AI278" i="35"/>
  <c r="AI278" i="31"/>
  <c r="AV278" i="31" s="1"/>
  <c r="Q271" i="36" s="1"/>
  <c r="O131" i="36"/>
  <c r="P131" i="36"/>
  <c r="AI272" i="35"/>
  <c r="AI272" i="31"/>
  <c r="AV272" i="31" s="1"/>
  <c r="Q265" i="36" s="1"/>
  <c r="AI104" i="35"/>
  <c r="AI104" i="31"/>
  <c r="P29" i="36"/>
  <c r="O29" i="36"/>
  <c r="AI205" i="31"/>
  <c r="AL510" i="31"/>
  <c r="AK510" i="31"/>
  <c r="AM510" i="31"/>
  <c r="AJ510" i="31"/>
  <c r="AI510" i="31"/>
  <c r="AI282" i="35"/>
  <c r="AI282" i="31"/>
  <c r="AV282" i="31" s="1"/>
  <c r="Q275" i="36" s="1"/>
  <c r="AG152" i="31"/>
  <c r="AP152" i="31" s="1"/>
  <c r="AJ457" i="31"/>
  <c r="AH457" i="31"/>
  <c r="AM457" i="31"/>
  <c r="AL457" i="31"/>
  <c r="AK457" i="31"/>
  <c r="AI457" i="31"/>
  <c r="AG457" i="31"/>
  <c r="AI253" i="31"/>
  <c r="AL558" i="31"/>
  <c r="AM558" i="31"/>
  <c r="AJ558" i="31"/>
  <c r="AK558" i="31"/>
  <c r="AI558" i="31"/>
  <c r="P28" i="36"/>
  <c r="O28" i="36"/>
  <c r="H200" i="31"/>
  <c r="AI505" i="31"/>
  <c r="Q505" i="31"/>
  <c r="H505" i="31"/>
  <c r="AK505" i="31"/>
  <c r="AJ505" i="31"/>
  <c r="T505" i="31"/>
  <c r="AL505" i="31"/>
  <c r="AA505" i="31"/>
  <c r="U505" i="31"/>
  <c r="L505" i="31"/>
  <c r="R505" i="31"/>
  <c r="AG505" i="31"/>
  <c r="O505" i="31"/>
  <c r="AM505" i="31"/>
  <c r="AF505" i="31"/>
  <c r="P505" i="31"/>
  <c r="AE505" i="31"/>
  <c r="AB505" i="31"/>
  <c r="Z505" i="31"/>
  <c r="AD505" i="31"/>
  <c r="J505" i="31"/>
  <c r="N505" i="31"/>
  <c r="X505" i="31"/>
  <c r="K505" i="31"/>
  <c r="I505" i="31"/>
  <c r="AH505" i="31"/>
  <c r="W505" i="31"/>
  <c r="V505" i="31"/>
  <c r="Y505" i="31"/>
  <c r="AC505" i="31"/>
  <c r="M505" i="31"/>
  <c r="S505" i="31"/>
  <c r="AI164" i="35"/>
  <c r="AI164" i="31"/>
  <c r="AV164" i="31" s="1"/>
  <c r="Q157" i="36" s="1"/>
  <c r="AR604" i="31"/>
  <c r="G30" i="37"/>
  <c r="AR443" i="31"/>
  <c r="AR428" i="31"/>
  <c r="AR593" i="31"/>
  <c r="AR340" i="31"/>
  <c r="AR463" i="31"/>
  <c r="AR399" i="31"/>
  <c r="AR546" i="31"/>
  <c r="AU288" i="31"/>
  <c r="AU299" i="31"/>
  <c r="AU158" i="31"/>
  <c r="AI253" i="35"/>
  <c r="BL251" i="15"/>
  <c r="BK251" i="15"/>
  <c r="BK150" i="15"/>
  <c r="BL150" i="15"/>
  <c r="AG152" i="35"/>
  <c r="AI100" i="35"/>
  <c r="AL305" i="15"/>
  <c r="C29" i="37" s="1"/>
  <c r="BK198" i="15"/>
  <c r="BL198" i="15"/>
  <c r="H200" i="35"/>
  <c r="BL203" i="15"/>
  <c r="BK203" i="15"/>
  <c r="AI205" i="35"/>
  <c r="AU45" i="31"/>
  <c r="AU165" i="31"/>
  <c r="AU238" i="31"/>
  <c r="AU268" i="31"/>
  <c r="AU111" i="31"/>
  <c r="AU41" i="31"/>
  <c r="AU69" i="31"/>
  <c r="AU10" i="31"/>
  <c r="AU203" i="31"/>
  <c r="AU63" i="31"/>
  <c r="AU298" i="31"/>
  <c r="AU302" i="31"/>
  <c r="AU252" i="31"/>
  <c r="AU112" i="31"/>
  <c r="AU194" i="31"/>
  <c r="AU286" i="31"/>
  <c r="AU134" i="31"/>
  <c r="AU294" i="31"/>
  <c r="AU34" i="31"/>
  <c r="K305" i="15"/>
  <c r="C2" i="37" s="1"/>
  <c r="AO119" i="16"/>
  <c r="K126" i="16"/>
  <c r="K131" i="16" s="1"/>
  <c r="AO50" i="16"/>
  <c r="AO111" i="16"/>
  <c r="AO68" i="16"/>
  <c r="AO106" i="16"/>
  <c r="AO24" i="16"/>
  <c r="AO117" i="16"/>
  <c r="AO75" i="16"/>
  <c r="AO88" i="16"/>
  <c r="AO118" i="16"/>
  <c r="AO100" i="16"/>
  <c r="AO37" i="16"/>
  <c r="AO102" i="16"/>
  <c r="AO40" i="16"/>
  <c r="AO123" i="16"/>
  <c r="AO8" i="16"/>
  <c r="AO70" i="16"/>
  <c r="AO18" i="16"/>
  <c r="AO71" i="16"/>
  <c r="AO107" i="16"/>
  <c r="AO113" i="16"/>
  <c r="AO15" i="16"/>
  <c r="AO104" i="16"/>
  <c r="AO45" i="16"/>
  <c r="AO120" i="16"/>
  <c r="AO91" i="16"/>
  <c r="AO90" i="16"/>
  <c r="AO55" i="16"/>
  <c r="AO9" i="16"/>
  <c r="AO79" i="16"/>
  <c r="AO108" i="16"/>
  <c r="AO94" i="16"/>
  <c r="AO58" i="16"/>
  <c r="AO97" i="16"/>
  <c r="AQ60" i="16"/>
  <c r="AP60" i="16"/>
  <c r="AO46" i="16"/>
  <c r="AO44" i="16"/>
  <c r="AO33" i="16"/>
  <c r="AO67" i="16"/>
  <c r="AO76" i="16"/>
  <c r="AO112" i="16"/>
  <c r="AO101" i="16"/>
  <c r="AO98" i="16"/>
  <c r="AO92" i="16"/>
  <c r="AO89" i="16"/>
  <c r="AO49" i="16"/>
  <c r="AO114" i="16"/>
  <c r="AQ47" i="16"/>
  <c r="AR47" i="16" s="1"/>
  <c r="AP47" i="16"/>
  <c r="AO36" i="16"/>
  <c r="AO30" i="16"/>
  <c r="AO16" i="16"/>
  <c r="AP112" i="16"/>
  <c r="AO63" i="16"/>
  <c r="AO105" i="16"/>
  <c r="AO115" i="16"/>
  <c r="AP70" i="16"/>
  <c r="AO95" i="16"/>
  <c r="AO27" i="16"/>
  <c r="AO41" i="16"/>
  <c r="AO31" i="16"/>
  <c r="AO13" i="16"/>
  <c r="AO116" i="16"/>
  <c r="AO99" i="16"/>
  <c r="AO57" i="16"/>
  <c r="AO21" i="16"/>
  <c r="AO109" i="16"/>
  <c r="AO103" i="16"/>
  <c r="AO42" i="16"/>
  <c r="AO25" i="16"/>
  <c r="AP118" i="16"/>
  <c r="AO93" i="16"/>
  <c r="AO53" i="16"/>
  <c r="AO59" i="16"/>
  <c r="AO51" i="16"/>
  <c r="AO38" i="16"/>
  <c r="AO28" i="16"/>
  <c r="AO96" i="16"/>
  <c r="AO121" i="16"/>
  <c r="AP54" i="16"/>
  <c r="AO39" i="16"/>
  <c r="AO22" i="16"/>
  <c r="AO122" i="16"/>
  <c r="AO110" i="16"/>
  <c r="AQ50" i="16"/>
  <c r="AP50" i="16"/>
  <c r="AQ119" i="16"/>
  <c r="AP119" i="16"/>
  <c r="AQ123" i="16"/>
  <c r="AP123" i="16"/>
  <c r="AQ111" i="16"/>
  <c r="AP111" i="16"/>
  <c r="AQ71" i="16"/>
  <c r="AR71" i="16" s="1"/>
  <c r="AP71" i="16"/>
  <c r="AQ113" i="16"/>
  <c r="AR113" i="16" s="1"/>
  <c r="AP113" i="16"/>
  <c r="AQ8" i="16"/>
  <c r="AP8" i="16"/>
  <c r="AQ67" i="16"/>
  <c r="AP67" i="16"/>
  <c r="AQ117" i="16"/>
  <c r="AP117" i="16"/>
  <c r="AP53" i="16"/>
  <c r="AO29" i="16"/>
  <c r="AP9" i="16"/>
  <c r="AO60" i="16"/>
  <c r="AO47" i="16"/>
  <c r="AP115" i="16"/>
  <c r="AO17" i="16"/>
  <c r="AD63" i="16"/>
  <c r="AO66" i="16"/>
  <c r="AP114" i="16"/>
  <c r="AP51" i="16"/>
  <c r="AP116" i="16"/>
  <c r="AO23" i="16"/>
  <c r="AO20" i="16"/>
  <c r="AP76" i="16"/>
  <c r="AP75" i="16"/>
  <c r="AP120" i="16"/>
  <c r="AO54" i="16"/>
  <c r="AP121" i="16"/>
  <c r="AP109" i="16"/>
  <c r="AO14" i="16"/>
  <c r="AP122" i="16"/>
  <c r="AP110" i="16"/>
  <c r="AP59" i="16"/>
  <c r="AO32" i="16"/>
  <c r="AO26" i="16"/>
  <c r="AP57" i="16"/>
  <c r="AQ38" i="16"/>
  <c r="AR38" i="16" s="1"/>
  <c r="AP38" i="16"/>
  <c r="AQ95" i="16"/>
  <c r="AP95" i="16"/>
  <c r="AQ101" i="16"/>
  <c r="AP101" i="16"/>
  <c r="AQ106" i="16"/>
  <c r="AR106" i="16" s="1"/>
  <c r="AP106" i="16"/>
  <c r="AQ102" i="16"/>
  <c r="AP102" i="16"/>
  <c r="AQ42" i="16"/>
  <c r="AP42" i="16"/>
  <c r="AQ99" i="16"/>
  <c r="AR99" i="16" s="1"/>
  <c r="AP99" i="16"/>
  <c r="AQ45" i="16"/>
  <c r="AR45" i="16" s="1"/>
  <c r="AP45" i="16"/>
  <c r="AQ105" i="16"/>
  <c r="AP105" i="16"/>
  <c r="AQ39" i="16"/>
  <c r="AP39" i="16"/>
  <c r="AQ96" i="16"/>
  <c r="AR96" i="16" s="1"/>
  <c r="AP96" i="16"/>
  <c r="AQ90" i="16"/>
  <c r="AR90" i="16" s="1"/>
  <c r="AP90" i="16"/>
  <c r="AQ40" i="16"/>
  <c r="AP40" i="16"/>
  <c r="AQ79" i="16"/>
  <c r="AP79" i="16"/>
  <c r="AQ97" i="16"/>
  <c r="AP97" i="16"/>
  <c r="AQ41" i="16"/>
  <c r="AP41" i="16"/>
  <c r="AQ36" i="16"/>
  <c r="AP36" i="16"/>
  <c r="AQ37" i="16"/>
  <c r="AP37" i="16"/>
  <c r="AQ89" i="16"/>
  <c r="AR89" i="16" s="1"/>
  <c r="AP89" i="16"/>
  <c r="AQ68" i="16"/>
  <c r="AR68" i="16" s="1"/>
  <c r="AP68" i="16"/>
  <c r="AQ91" i="16"/>
  <c r="AR91" i="16" s="1"/>
  <c r="AP91" i="16"/>
  <c r="AQ98" i="16"/>
  <c r="AR98" i="16" s="1"/>
  <c r="AP98" i="16"/>
  <c r="AQ92" i="16"/>
  <c r="AP92" i="16"/>
  <c r="AQ107" i="16"/>
  <c r="AR107" i="16" s="1"/>
  <c r="AP107" i="16"/>
  <c r="AQ103" i="16"/>
  <c r="AP103" i="16"/>
  <c r="AQ93" i="16"/>
  <c r="AP93" i="16"/>
  <c r="AQ44" i="16"/>
  <c r="AR44" i="16" s="1"/>
  <c r="AP44" i="16"/>
  <c r="AD66" i="16"/>
  <c r="Y66" i="16"/>
  <c r="AQ108" i="16"/>
  <c r="AR108" i="16" s="1"/>
  <c r="AP108" i="16"/>
  <c r="AQ104" i="16"/>
  <c r="AR104" i="16" s="1"/>
  <c r="AP104" i="16"/>
  <c r="AQ100" i="16"/>
  <c r="AP100" i="16"/>
  <c r="AQ94" i="16"/>
  <c r="AR94" i="16" s="1"/>
  <c r="AP94" i="16"/>
  <c r="AQ88" i="16"/>
  <c r="AR88" i="16" s="1"/>
  <c r="AP88" i="16"/>
  <c r="AP83" i="16"/>
  <c r="AQ83" i="16"/>
  <c r="AR83" i="16" s="1"/>
  <c r="AP46" i="16"/>
  <c r="AQ46" i="16"/>
  <c r="AR46" i="16" s="1"/>
  <c r="AP58" i="16"/>
  <c r="AP55" i="16"/>
  <c r="AP74" i="16"/>
  <c r="AQ74" i="16"/>
  <c r="AR74" i="16" s="1"/>
  <c r="AO12" i="16"/>
  <c r="AD67" i="16"/>
  <c r="AO74" i="16"/>
  <c r="AD68" i="16"/>
  <c r="AP33" i="16"/>
  <c r="AP32" i="16"/>
  <c r="AP31" i="16"/>
  <c r="AP30" i="16"/>
  <c r="AP29" i="16"/>
  <c r="AP28" i="16"/>
  <c r="AP27" i="16"/>
  <c r="AP26" i="16"/>
  <c r="AP25" i="16"/>
  <c r="AP24" i="16"/>
  <c r="AP23" i="16"/>
  <c r="AP22" i="16"/>
  <c r="AP21" i="16"/>
  <c r="AP20" i="16"/>
  <c r="AP18" i="16"/>
  <c r="AP17" i="16"/>
  <c r="AP16" i="16"/>
  <c r="AP15" i="16"/>
  <c r="AP14" i="16"/>
  <c r="AP12" i="16"/>
  <c r="AQ12" i="16"/>
  <c r="AR12" i="16" s="1"/>
  <c r="AP63" i="16"/>
  <c r="AP66" i="16"/>
  <c r="AP13" i="16"/>
  <c r="AQ13" i="16"/>
  <c r="AR13" i="16" s="1"/>
  <c r="AP49" i="16"/>
  <c r="AO83" i="16"/>
  <c r="AQ38" i="8"/>
  <c r="BT15" i="15"/>
  <c r="BT22" i="15"/>
  <c r="BT10" i="15"/>
  <c r="BT21" i="15"/>
  <c r="BT20" i="15"/>
  <c r="BT17" i="15"/>
  <c r="BT91" i="15"/>
  <c r="BT31" i="15"/>
  <c r="BT16" i="15"/>
  <c r="BT30" i="15"/>
  <c r="BT29" i="15"/>
  <c r="BT13" i="15"/>
  <c r="BF42" i="8"/>
  <c r="BE42" i="8"/>
  <c r="BD42" i="8"/>
  <c r="L131" i="16"/>
  <c r="L128" i="16"/>
  <c r="BT146" i="15"/>
  <c r="BI10" i="8"/>
  <c r="BJ10" i="8" s="1"/>
  <c r="BH10" i="8"/>
  <c r="BG10" i="8"/>
  <c r="BI13" i="8"/>
  <c r="BJ13" i="8" s="1"/>
  <c r="BH13" i="8"/>
  <c r="BG13" i="8"/>
  <c r="BI14" i="8"/>
  <c r="BJ14" i="8" s="1"/>
  <c r="BH14" i="8"/>
  <c r="BG14" i="8"/>
  <c r="BI15" i="8"/>
  <c r="BJ15" i="8" s="1"/>
  <c r="BH15" i="8"/>
  <c r="BG15" i="8"/>
  <c r="BI20" i="8"/>
  <c r="BJ20" i="8" s="1"/>
  <c r="BH20" i="8"/>
  <c r="BG20" i="8"/>
  <c r="BI21" i="8"/>
  <c r="BJ21" i="8" s="1"/>
  <c r="BH21" i="8"/>
  <c r="BG21" i="8"/>
  <c r="BI22" i="8"/>
  <c r="BJ22" i="8" s="1"/>
  <c r="BH22" i="8"/>
  <c r="BG22" i="8"/>
  <c r="BI25" i="8"/>
  <c r="BJ25" i="8" s="1"/>
  <c r="BH25" i="8"/>
  <c r="BG25" i="8"/>
  <c r="BI27" i="8"/>
  <c r="BJ27" i="8" s="1"/>
  <c r="BH27" i="8"/>
  <c r="BG27" i="8"/>
  <c r="BI29" i="8"/>
  <c r="BJ29" i="8" s="1"/>
  <c r="BH29" i="8"/>
  <c r="BG29" i="8"/>
  <c r="BI32" i="8"/>
  <c r="BJ32" i="8" s="1"/>
  <c r="BH32" i="8"/>
  <c r="BG32" i="8"/>
  <c r="BI33" i="8"/>
  <c r="BJ33" i="8" s="1"/>
  <c r="BH33" i="8"/>
  <c r="BG33" i="8"/>
  <c r="BI34" i="8"/>
  <c r="BJ34" i="8" s="1"/>
  <c r="BH34" i="8"/>
  <c r="BG34" i="8"/>
  <c r="BI35" i="8"/>
  <c r="BJ35" i="8" s="1"/>
  <c r="BH35" i="8"/>
  <c r="BG35" i="8"/>
  <c r="BI48" i="8"/>
  <c r="BJ48" i="8" s="1"/>
  <c r="BH48" i="8"/>
  <c r="BG48" i="8"/>
  <c r="BI49" i="8"/>
  <c r="BJ49" i="8" s="1"/>
  <c r="BH49" i="8"/>
  <c r="BG49" i="8"/>
  <c r="BI50" i="8"/>
  <c r="BJ50" i="8" s="1"/>
  <c r="BH50" i="8"/>
  <c r="BG50" i="8"/>
  <c r="BI54" i="8"/>
  <c r="BJ54" i="8" s="1"/>
  <c r="BH54" i="8"/>
  <c r="BG54" i="8"/>
  <c r="BI56" i="8"/>
  <c r="BJ56" i="8" s="1"/>
  <c r="BH56" i="8"/>
  <c r="BG56" i="8"/>
  <c r="BI58" i="8"/>
  <c r="BJ58" i="8" s="1"/>
  <c r="BH58" i="8"/>
  <c r="BG58" i="8"/>
  <c r="BI74" i="8"/>
  <c r="BJ74" i="8" s="1"/>
  <c r="BH74" i="8"/>
  <c r="BG74" i="8"/>
  <c r="BI75" i="8"/>
  <c r="BJ75" i="8" s="1"/>
  <c r="BH75" i="8"/>
  <c r="BG75" i="8"/>
  <c r="BI77" i="8"/>
  <c r="BJ77" i="8" s="1"/>
  <c r="BH77" i="8"/>
  <c r="BG77" i="8"/>
  <c r="BI78" i="8"/>
  <c r="BJ78" i="8" s="1"/>
  <c r="BH78" i="8"/>
  <c r="BG78" i="8"/>
  <c r="BI80" i="8"/>
  <c r="BJ80" i="8" s="1"/>
  <c r="BH80" i="8"/>
  <c r="BG80" i="8"/>
  <c r="BI81" i="8"/>
  <c r="BJ81" i="8" s="1"/>
  <c r="BH81" i="8"/>
  <c r="BG81" i="8"/>
  <c r="BI85" i="8"/>
  <c r="BJ85" i="8" s="1"/>
  <c r="BH85" i="8"/>
  <c r="BG85" i="8"/>
  <c r="BI86" i="8"/>
  <c r="BJ86" i="8" s="1"/>
  <c r="BH86" i="8"/>
  <c r="BG86" i="8"/>
  <c r="L5" i="16"/>
  <c r="M5" i="16" s="1"/>
  <c r="N5" i="16" s="1"/>
  <c r="O5" i="16" s="1"/>
  <c r="P5" i="16" s="1"/>
  <c r="Q5" i="16" s="1"/>
  <c r="R5" i="16" s="1"/>
  <c r="S5" i="16" s="1"/>
  <c r="T5" i="16" s="1"/>
  <c r="U5" i="16" s="1"/>
  <c r="AD47" i="16"/>
  <c r="Y47" i="16"/>
  <c r="AD46" i="16"/>
  <c r="Y46" i="16"/>
  <c r="AD45" i="16"/>
  <c r="Y45" i="16"/>
  <c r="AD44" i="16"/>
  <c r="Y44" i="16"/>
  <c r="AD42" i="16"/>
  <c r="AD41" i="16"/>
  <c r="AD40" i="16"/>
  <c r="Y40" i="16"/>
  <c r="AD39" i="16"/>
  <c r="Y39" i="16"/>
  <c r="AD38" i="16"/>
  <c r="AD37" i="16"/>
  <c r="AD36" i="16"/>
  <c r="Y36" i="16"/>
  <c r="AB35" i="16"/>
  <c r="AD33" i="16"/>
  <c r="Y33" i="16"/>
  <c r="AD32" i="16"/>
  <c r="AD31" i="16"/>
  <c r="AD30" i="16"/>
  <c r="Y30" i="16"/>
  <c r="AD29" i="16"/>
  <c r="Y29" i="16"/>
  <c r="AD28" i="16"/>
  <c r="AD27" i="16"/>
  <c r="AD26" i="16"/>
  <c r="Y26" i="16"/>
  <c r="AD25" i="16"/>
  <c r="Y25" i="16"/>
  <c r="AD24" i="16"/>
  <c r="AD23" i="16"/>
  <c r="AD22" i="16"/>
  <c r="Y22" i="16"/>
  <c r="AD21" i="16"/>
  <c r="Y21" i="16"/>
  <c r="AD20" i="16"/>
  <c r="AD18" i="16"/>
  <c r="Y18" i="16"/>
  <c r="AD17" i="16"/>
  <c r="Y17" i="16"/>
  <c r="AD16" i="16"/>
  <c r="AD15" i="16"/>
  <c r="AD14" i="16"/>
  <c r="Y14" i="16"/>
  <c r="AD13" i="16"/>
  <c r="Y13" i="16"/>
  <c r="AD12" i="16"/>
  <c r="AD9" i="16"/>
  <c r="Y9" i="16"/>
  <c r="AD8" i="16"/>
  <c r="AD79" i="16"/>
  <c r="Y79" i="16"/>
  <c r="AD76" i="16"/>
  <c r="Y76" i="16"/>
  <c r="AD74" i="16"/>
  <c r="AD71" i="16"/>
  <c r="Y71" i="16"/>
  <c r="AD70" i="16"/>
  <c r="AD123" i="16"/>
  <c r="Y123" i="16"/>
  <c r="AD122" i="16"/>
  <c r="Y122" i="16"/>
  <c r="AD121" i="16"/>
  <c r="Y121" i="16"/>
  <c r="AD120" i="16"/>
  <c r="AD119" i="16"/>
  <c r="Y119" i="16"/>
  <c r="AD118" i="16"/>
  <c r="Y118" i="16"/>
  <c r="AD117" i="16"/>
  <c r="Y117" i="16"/>
  <c r="AD116" i="16"/>
  <c r="AD115" i="16"/>
  <c r="Y115" i="16"/>
  <c r="AD114" i="16"/>
  <c r="Y114" i="16"/>
  <c r="AD113" i="16"/>
  <c r="Y113" i="16"/>
  <c r="AD112" i="16"/>
  <c r="AD111" i="16"/>
  <c r="Y111" i="16"/>
  <c r="AD110" i="16"/>
  <c r="Y110" i="16"/>
  <c r="AD108" i="16"/>
  <c r="Y108" i="16"/>
  <c r="AD107" i="16"/>
  <c r="Y107" i="16"/>
  <c r="AD106" i="16"/>
  <c r="Y106" i="16"/>
  <c r="AD105" i="16"/>
  <c r="Y105" i="16"/>
  <c r="AD104" i="16"/>
  <c r="Y104" i="16"/>
  <c r="AD103" i="16"/>
  <c r="Y103" i="16"/>
  <c r="AD102" i="16"/>
  <c r="Y102" i="16"/>
  <c r="AD101" i="16"/>
  <c r="Y101" i="16"/>
  <c r="AD100" i="16"/>
  <c r="Y100" i="16"/>
  <c r="AD99" i="16"/>
  <c r="Y99" i="16"/>
  <c r="AD98" i="16"/>
  <c r="Y98" i="16"/>
  <c r="AD97" i="16"/>
  <c r="Y97" i="16"/>
  <c r="AD96" i="16"/>
  <c r="Y96" i="16"/>
  <c r="AD95" i="16"/>
  <c r="Y95" i="16"/>
  <c r="AD94" i="16"/>
  <c r="Y94" i="16"/>
  <c r="AD93" i="16"/>
  <c r="Y93" i="16"/>
  <c r="AD92" i="16"/>
  <c r="Y92" i="16"/>
  <c r="AD91" i="16"/>
  <c r="Y91" i="16"/>
  <c r="AD88" i="16"/>
  <c r="Y88" i="16"/>
  <c r="AB87" i="16"/>
  <c r="CL43" i="17"/>
  <c r="CM43" i="17"/>
  <c r="E11" i="1"/>
  <c r="Y38" i="16"/>
  <c r="Y42" i="16"/>
  <c r="Y32" i="16"/>
  <c r="Y28" i="16"/>
  <c r="Y24" i="16"/>
  <c r="Y20" i="16"/>
  <c r="Y16" i="16"/>
  <c r="Y12" i="16"/>
  <c r="Y8" i="16"/>
  <c r="Y31" i="16"/>
  <c r="Y27" i="16"/>
  <c r="Y23" i="16"/>
  <c r="Y15" i="16"/>
  <c r="Y74" i="16"/>
  <c r="Y70" i="16"/>
  <c r="Y120" i="16"/>
  <c r="Y116" i="16"/>
  <c r="Y112" i="16"/>
  <c r="Y57" i="16"/>
  <c r="AD57" i="16"/>
  <c r="Y51" i="16"/>
  <c r="AD51" i="16"/>
  <c r="Y50" i="16"/>
  <c r="AD50" i="16"/>
  <c r="Y55" i="16"/>
  <c r="AD55" i="16"/>
  <c r="Y49" i="16"/>
  <c r="AD49" i="16"/>
  <c r="Y59" i="16"/>
  <c r="AD59" i="16"/>
  <c r="Y63" i="16"/>
  <c r="Y68" i="16"/>
  <c r="Y53" i="16"/>
  <c r="AD53" i="16"/>
  <c r="Y58" i="16"/>
  <c r="AD58" i="16"/>
  <c r="Y54" i="16"/>
  <c r="AD54" i="16"/>
  <c r="Y60" i="16"/>
  <c r="AD60" i="16"/>
  <c r="Y41" i="16"/>
  <c r="Y37" i="16"/>
  <c r="D123" i="17"/>
  <c r="E123" i="17" s="1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C121" i="17"/>
  <c r="AD122" i="17"/>
  <c r="BO16" i="15"/>
  <c r="BP16" i="15" s="1"/>
  <c r="S128" i="16"/>
  <c r="U128" i="16"/>
  <c r="P128" i="16"/>
  <c r="O128" i="16"/>
  <c r="AK47" i="8"/>
  <c r="AN47" i="8" s="1"/>
  <c r="AK24" i="8"/>
  <c r="AN24" i="8" s="1"/>
  <c r="AD89" i="16" l="1"/>
  <c r="AD83" i="16"/>
  <c r="AD90" i="16"/>
  <c r="AD75" i="16"/>
  <c r="AD109" i="16"/>
  <c r="O131" i="16"/>
  <c r="AQ393" i="31"/>
  <c r="F81" i="36"/>
  <c r="I81" i="36" s="1"/>
  <c r="J81" i="36" s="1"/>
  <c r="AV104" i="31"/>
  <c r="AI307" i="31"/>
  <c r="P145" i="36"/>
  <c r="O145" i="36"/>
  <c r="AV253" i="31"/>
  <c r="Q246" i="36" s="1"/>
  <c r="AP253" i="31"/>
  <c r="AU253" i="31" s="1"/>
  <c r="AP200" i="31"/>
  <c r="H307" i="31"/>
  <c r="AV205" i="31"/>
  <c r="Q198" i="36" s="1"/>
  <c r="AP205" i="31"/>
  <c r="AU205" i="31" s="1"/>
  <c r="G2" i="37"/>
  <c r="AL307" i="15"/>
  <c r="AQ505" i="31"/>
  <c r="AQ200" i="31" s="1"/>
  <c r="F193" i="36"/>
  <c r="I193" i="36" s="1"/>
  <c r="J193" i="36" s="1"/>
  <c r="AQ510" i="31"/>
  <c r="AQ205" i="31" s="1"/>
  <c r="F198" i="36"/>
  <c r="I198" i="36" s="1"/>
  <c r="J198" i="36" s="1"/>
  <c r="AQ457" i="31"/>
  <c r="AQ152" i="31" s="1"/>
  <c r="F145" i="36"/>
  <c r="I145" i="36" s="1"/>
  <c r="J145" i="36" s="1"/>
  <c r="AU152" i="31"/>
  <c r="BM198" i="15"/>
  <c r="BN198" i="15"/>
  <c r="BM203" i="15"/>
  <c r="BN203" i="15"/>
  <c r="BM251" i="15"/>
  <c r="BN251" i="15"/>
  <c r="BN150" i="15"/>
  <c r="BM150" i="15"/>
  <c r="BG42" i="8"/>
  <c r="D12" i="1"/>
  <c r="AV42" i="8"/>
  <c r="BI42" i="8"/>
  <c r="BJ42" i="8" s="1"/>
  <c r="BH42" i="8"/>
  <c r="K128" i="16"/>
  <c r="BE24" i="8"/>
  <c r="BF24" i="8"/>
  <c r="BB24" i="8"/>
  <c r="BE47" i="8"/>
  <c r="BF47" i="8"/>
  <c r="BB47" i="8"/>
  <c r="M131" i="16"/>
  <c r="M128" i="16"/>
  <c r="N131" i="16"/>
  <c r="N128" i="16"/>
  <c r="AD123" i="17"/>
  <c r="AC124" i="17"/>
  <c r="BP144" i="15"/>
  <c r="AK306" i="15"/>
  <c r="AJ306" i="15"/>
  <c r="AI306" i="15"/>
  <c r="AH353" i="15"/>
  <c r="AH306" i="15" s="1"/>
  <c r="AG353" i="15"/>
  <c r="AG306" i="15" s="1"/>
  <c r="AE353" i="15"/>
  <c r="AE306" i="15" s="1"/>
  <c r="AD353" i="15"/>
  <c r="AD306" i="15" s="1"/>
  <c r="AC353" i="15"/>
  <c r="AC306" i="15" s="1"/>
  <c r="AB353" i="15"/>
  <c r="AB306" i="15" s="1"/>
  <c r="AA353" i="15"/>
  <c r="AA306" i="15" s="1"/>
  <c r="Z353" i="15"/>
  <c r="Z306" i="15" s="1"/>
  <c r="Y353" i="15"/>
  <c r="Y306" i="15" s="1"/>
  <c r="X353" i="15"/>
  <c r="X306" i="15" s="1"/>
  <c r="W353" i="15"/>
  <c r="W306" i="15" s="1"/>
  <c r="V353" i="15"/>
  <c r="V306" i="15" s="1"/>
  <c r="U353" i="15"/>
  <c r="U306" i="15" s="1"/>
  <c r="T353" i="15"/>
  <c r="T306" i="15" s="1"/>
  <c r="S353" i="15"/>
  <c r="S306" i="15" s="1"/>
  <c r="R353" i="15"/>
  <c r="R306" i="15" s="1"/>
  <c r="Q353" i="15"/>
  <c r="Q306" i="15" s="1"/>
  <c r="P353" i="15"/>
  <c r="P306" i="15" s="1"/>
  <c r="O353" i="15"/>
  <c r="O306" i="15" s="1"/>
  <c r="N306" i="15"/>
  <c r="L353" i="15"/>
  <c r="L306" i="15" s="1"/>
  <c r="K353" i="15"/>
  <c r="K306" i="15" s="1"/>
  <c r="AQ88" i="31" l="1"/>
  <c r="AR393" i="31"/>
  <c r="P198" i="36"/>
  <c r="O198" i="36"/>
  <c r="P193" i="36"/>
  <c r="O193" i="36"/>
  <c r="P246" i="36"/>
  <c r="O246" i="36"/>
  <c r="Q97" i="36"/>
  <c r="AV4" i="31"/>
  <c r="K2" i="37"/>
  <c r="G29" i="37"/>
  <c r="AR457" i="31"/>
  <c r="AR505" i="31"/>
  <c r="AR510" i="31"/>
  <c r="BK144" i="15"/>
  <c r="BL144" i="15"/>
  <c r="AU200" i="31"/>
  <c r="K307" i="15"/>
  <c r="BI47" i="8"/>
  <c r="BJ47" i="8" s="1"/>
  <c r="BH47" i="8"/>
  <c r="BG47" i="8"/>
  <c r="BI24" i="8"/>
  <c r="BJ24" i="8" s="1"/>
  <c r="BH24" i="8"/>
  <c r="BG24" i="8"/>
  <c r="AE123" i="17"/>
  <c r="AN82" i="16"/>
  <c r="AJ82" i="16"/>
  <c r="AL82" i="16" s="1"/>
  <c r="AQ82" i="16" s="1"/>
  <c r="AR82" i="16" s="1"/>
  <c r="AG82" i="16"/>
  <c r="AF64" i="16"/>
  <c r="AG64" i="16" s="1"/>
  <c r="AN69" i="16"/>
  <c r="AJ69" i="16"/>
  <c r="AL69" i="16" s="1"/>
  <c r="AQ69" i="16" s="1"/>
  <c r="AR69" i="16" s="1"/>
  <c r="AF69" i="16"/>
  <c r="AG69" i="16" s="1"/>
  <c r="AF43" i="16"/>
  <c r="AG43" i="16" s="1"/>
  <c r="AF48" i="16"/>
  <c r="AG48" i="16" s="1"/>
  <c r="AF61" i="16"/>
  <c r="AG61" i="16" s="1"/>
  <c r="AX7" i="8"/>
  <c r="AY7" i="8" s="1"/>
  <c r="BJ47" i="15"/>
  <c r="I340" i="15"/>
  <c r="I339" i="15"/>
  <c r="AF123" i="17" l="1"/>
  <c r="AG123" i="17" s="1"/>
  <c r="AH123" i="17" s="1"/>
  <c r="AI123" i="17" s="1"/>
  <c r="AJ123" i="17" s="1"/>
  <c r="AK123" i="17" s="1"/>
  <c r="AL123" i="17" s="1"/>
  <c r="AM123" i="17" s="1"/>
  <c r="AN123" i="17" s="1"/>
  <c r="F11" i="1"/>
  <c r="BM144" i="15"/>
  <c r="BL236" i="15"/>
  <c r="BK236" i="15"/>
  <c r="BJ236" i="15"/>
  <c r="BN236" i="15" s="1"/>
  <c r="AU146" i="31"/>
  <c r="BT47" i="15"/>
  <c r="BN47" i="15"/>
  <c r="K309" i="15"/>
  <c r="K312" i="15"/>
  <c r="BT144" i="15"/>
  <c r="BJ305" i="15" l="1"/>
  <c r="BM236" i="15"/>
  <c r="BT304" i="15"/>
  <c r="BT303" i="15"/>
  <c r="BT302" i="15"/>
  <c r="BT301" i="15"/>
  <c r="BT300" i="15"/>
  <c r="BT299" i="15"/>
  <c r="BT297" i="15"/>
  <c r="BT296" i="15"/>
  <c r="BT295" i="15"/>
  <c r="BT294" i="15"/>
  <c r="BT293" i="15"/>
  <c r="BT292" i="15"/>
  <c r="BT291" i="15"/>
  <c r="BT289" i="15"/>
  <c r="BT287" i="15"/>
  <c r="BT286" i="15"/>
  <c r="BT284" i="15"/>
  <c r="BT283" i="15"/>
  <c r="BT279" i="15"/>
  <c r="BT277" i="15"/>
  <c r="BT274" i="15"/>
  <c r="BT273" i="15"/>
  <c r="BT272" i="15"/>
  <c r="BT271" i="15"/>
  <c r="BT269" i="15"/>
  <c r="BT267" i="15"/>
  <c r="BT265" i="15"/>
  <c r="BT264" i="15"/>
  <c r="BT263" i="15"/>
  <c r="BT261" i="15"/>
  <c r="BT259" i="15"/>
  <c r="BT256" i="15"/>
  <c r="BT255" i="15"/>
  <c r="BT253" i="15"/>
  <c r="BT252" i="15"/>
  <c r="BT251" i="15"/>
  <c r="BT250" i="15"/>
  <c r="BT249" i="15"/>
  <c r="BT247" i="15"/>
  <c r="BT246" i="15"/>
  <c r="BT243" i="15"/>
  <c r="BT239" i="15"/>
  <c r="BT238" i="15"/>
  <c r="BT236" i="15"/>
  <c r="BT234" i="15"/>
  <c r="BT230" i="15"/>
  <c r="BT229" i="15"/>
  <c r="BT228" i="15"/>
  <c r="BT227" i="15"/>
  <c r="BT226" i="15"/>
  <c r="BT225" i="15"/>
  <c r="BT221" i="15"/>
  <c r="BT220" i="15"/>
  <c r="BT219" i="15"/>
  <c r="BT218" i="15"/>
  <c r="BT217" i="15"/>
  <c r="BT215" i="15"/>
  <c r="BT213" i="15"/>
  <c r="BT211" i="15"/>
  <c r="BT209" i="15"/>
  <c r="BT208" i="15"/>
  <c r="BT207" i="15"/>
  <c r="BT204" i="15"/>
  <c r="BT203" i="15"/>
  <c r="BT202" i="15"/>
  <c r="BT201" i="15"/>
  <c r="BT200" i="15"/>
  <c r="BT199" i="15"/>
  <c r="BT198" i="15"/>
  <c r="BT197" i="15"/>
  <c r="BT196" i="15"/>
  <c r="BT195" i="15"/>
  <c r="BT194" i="15"/>
  <c r="BT193" i="15"/>
  <c r="BT192" i="15"/>
  <c r="BT190" i="15"/>
  <c r="BT188" i="15"/>
  <c r="BT185" i="15"/>
  <c r="BT184" i="15"/>
  <c r="BT183" i="15"/>
  <c r="BT182" i="15"/>
  <c r="BT181" i="15"/>
  <c r="BT179" i="15"/>
  <c r="BT178" i="15"/>
  <c r="BT177" i="15"/>
  <c r="BT176" i="15"/>
  <c r="BT174" i="15"/>
  <c r="BT173" i="15"/>
  <c r="BT170" i="15"/>
  <c r="BT167" i="15"/>
  <c r="BT165" i="15"/>
  <c r="BT164" i="15"/>
  <c r="BT163" i="15"/>
  <c r="BT161" i="15"/>
  <c r="BT158" i="15"/>
  <c r="BT157" i="15"/>
  <c r="BT156" i="15"/>
  <c r="BT155" i="15"/>
  <c r="BT153" i="15"/>
  <c r="BT152" i="15"/>
  <c r="BT151" i="15"/>
  <c r="BT150" i="15"/>
  <c r="BT148" i="15"/>
  <c r="BT142" i="15"/>
  <c r="BT141" i="15"/>
  <c r="BT139" i="15"/>
  <c r="BT138" i="15"/>
  <c r="BT136" i="15"/>
  <c r="BT135" i="15"/>
  <c r="BT133" i="15"/>
  <c r="BT132" i="15"/>
  <c r="BT131" i="15"/>
  <c r="BT129" i="15"/>
  <c r="BT127" i="15"/>
  <c r="BT126" i="15"/>
  <c r="BT124" i="15"/>
  <c r="BT123" i="15"/>
  <c r="BT121" i="15"/>
  <c r="BT120" i="15"/>
  <c r="BT117" i="15"/>
  <c r="BT115" i="15"/>
  <c r="BT113" i="15"/>
  <c r="BT110" i="15"/>
  <c r="BT109" i="15"/>
  <c r="BT108" i="15"/>
  <c r="BT107" i="15"/>
  <c r="BT106" i="15"/>
  <c r="BT105" i="15"/>
  <c r="BT101" i="15"/>
  <c r="BT100" i="15"/>
  <c r="BT99" i="15"/>
  <c r="BT97" i="15"/>
  <c r="BT96" i="15"/>
  <c r="BT95" i="15"/>
  <c r="BT94" i="15"/>
  <c r="BT92" i="15"/>
  <c r="BT90" i="15"/>
  <c r="BT86" i="15"/>
  <c r="BT83" i="15"/>
  <c r="BT81" i="15"/>
  <c r="BT80" i="15"/>
  <c r="BT79" i="15"/>
  <c r="BT78" i="15"/>
  <c r="BT77" i="15"/>
  <c r="BT76" i="15"/>
  <c r="BT75" i="15"/>
  <c r="BT74" i="15"/>
  <c r="BT73" i="15"/>
  <c r="BT72" i="15"/>
  <c r="BT71" i="15"/>
  <c r="BT70" i="15"/>
  <c r="BT69" i="15"/>
  <c r="BT68" i="15"/>
  <c r="BT67" i="15"/>
  <c r="BT66" i="15"/>
  <c r="BO64" i="15"/>
  <c r="BP64" i="15" s="1"/>
  <c r="BT63" i="15"/>
  <c r="BT62" i="15"/>
  <c r="BT61" i="15"/>
  <c r="BT60" i="15"/>
  <c r="BT59" i="15"/>
  <c r="BT58" i="15"/>
  <c r="BT57" i="15"/>
  <c r="BT56" i="15"/>
  <c r="BT54" i="15"/>
  <c r="BT53" i="15"/>
  <c r="BT52" i="15"/>
  <c r="BT51" i="15"/>
  <c r="BT50" i="15"/>
  <c r="BT48" i="15"/>
  <c r="BT46" i="15"/>
  <c r="BT44" i="15"/>
  <c r="BT43" i="15"/>
  <c r="BT42" i="15"/>
  <c r="BT40" i="15"/>
  <c r="BT39" i="15"/>
  <c r="BT38" i="15"/>
  <c r="BT37" i="15"/>
  <c r="BT36" i="15"/>
  <c r="BT34" i="15"/>
  <c r="BT33" i="15"/>
  <c r="BT32" i="15"/>
  <c r="BO9" i="15"/>
  <c r="BT288" i="15" l="1"/>
  <c r="BO288" i="15"/>
  <c r="BP288" i="15" s="1"/>
  <c r="BT160" i="15"/>
  <c r="BO160" i="15"/>
  <c r="BP160" i="15" s="1"/>
  <c r="BT244" i="15"/>
  <c r="BT268" i="15"/>
  <c r="BT262" i="15"/>
  <c r="BO262" i="15"/>
  <c r="BT191" i="15"/>
  <c r="BO191" i="15"/>
  <c r="BP191" i="15" s="1"/>
  <c r="BT266" i="15"/>
  <c r="BO266" i="15"/>
  <c r="BT145" i="15"/>
  <c r="BO257" i="15"/>
  <c r="BP257" i="15" s="1"/>
  <c r="BT257" i="15"/>
  <c r="BP278" i="15"/>
  <c r="BT278" i="15"/>
  <c r="BO298" i="15"/>
  <c r="BT298" i="15"/>
  <c r="AK128" i="15"/>
  <c r="AK118" i="15"/>
  <c r="AC61" i="16"/>
  <c r="AC82" i="16"/>
  <c r="AC64" i="16"/>
  <c r="AB64" i="16" s="1"/>
  <c r="AC69" i="16"/>
  <c r="AC43" i="16"/>
  <c r="AC48" i="16"/>
  <c r="AK16" i="8"/>
  <c r="AN16" i="8" s="1"/>
  <c r="AK52" i="8"/>
  <c r="AN52" i="8" s="1"/>
  <c r="AK149" i="15"/>
  <c r="AK166" i="15"/>
  <c r="AK104" i="15"/>
  <c r="AK187" i="15"/>
  <c r="AK223" i="15"/>
  <c r="AK189" i="15"/>
  <c r="AK281" i="15"/>
  <c r="AK205" i="15"/>
  <c r="AK258" i="15"/>
  <c r="AK231" i="15"/>
  <c r="AK171" i="15"/>
  <c r="AK114" i="15"/>
  <c r="AK168" i="15"/>
  <c r="AK98" i="15"/>
  <c r="BB311" i="11"/>
  <c r="BA311" i="11"/>
  <c r="AZ311" i="11"/>
  <c r="AY311" i="11"/>
  <c r="AX311" i="11"/>
  <c r="AW311" i="11"/>
  <c r="AV311" i="11"/>
  <c r="AU311" i="11"/>
  <c r="AT311" i="11"/>
  <c r="AS311" i="11"/>
  <c r="AR311" i="11"/>
  <c r="AK102" i="15"/>
  <c r="AJ276" i="15"/>
  <c r="AK280" i="15"/>
  <c r="BO304" i="15"/>
  <c r="BO303" i="15"/>
  <c r="BO302" i="15"/>
  <c r="BO301" i="15"/>
  <c r="BO300" i="15"/>
  <c r="BO299" i="15"/>
  <c r="BP299" i="15" s="1"/>
  <c r="BO297" i="15"/>
  <c r="BP297" i="15" s="1"/>
  <c r="BO296" i="15"/>
  <c r="BP296" i="15" s="1"/>
  <c r="BO295" i="15"/>
  <c r="BP295" i="15" s="1"/>
  <c r="BO294" i="15"/>
  <c r="BP294" i="15" s="1"/>
  <c r="BO293" i="15"/>
  <c r="BP293" i="15" s="1"/>
  <c r="BO292" i="15"/>
  <c r="BO291" i="15"/>
  <c r="BP291" i="15" s="1"/>
  <c r="BO289" i="15"/>
  <c r="BO287" i="15"/>
  <c r="BP287" i="15" s="1"/>
  <c r="BO286" i="15"/>
  <c r="BP286" i="15" s="1"/>
  <c r="BO284" i="15"/>
  <c r="BO283" i="15"/>
  <c r="BO279" i="15"/>
  <c r="BO277" i="15"/>
  <c r="BO274" i="15"/>
  <c r="BP274" i="15" s="1"/>
  <c r="BO273" i="15"/>
  <c r="BO272" i="15"/>
  <c r="BP272" i="15" s="1"/>
  <c r="BO271" i="15"/>
  <c r="BO269" i="15"/>
  <c r="BP269" i="15" s="1"/>
  <c r="BO268" i="15"/>
  <c r="BP268" i="15" s="1"/>
  <c r="BO267" i="15"/>
  <c r="BO265" i="15"/>
  <c r="BO264" i="15"/>
  <c r="BP264" i="15" s="1"/>
  <c r="BO263" i="15"/>
  <c r="BP263" i="15" s="1"/>
  <c r="BO261" i="15"/>
  <c r="BP261" i="15" s="1"/>
  <c r="BO259" i="15"/>
  <c r="BP259" i="15" s="1"/>
  <c r="BO256" i="15"/>
  <c r="BO255" i="15"/>
  <c r="BP255" i="15" s="1"/>
  <c r="BO253" i="15"/>
  <c r="BP253" i="15" s="1"/>
  <c r="BO252" i="15"/>
  <c r="BP252" i="15" s="1"/>
  <c r="BO251" i="15"/>
  <c r="BP251" i="15" s="1"/>
  <c r="BO250" i="15"/>
  <c r="BO249" i="15"/>
  <c r="BP249" i="15" s="1"/>
  <c r="BO247" i="15"/>
  <c r="BP247" i="15" s="1"/>
  <c r="BO246" i="15"/>
  <c r="BP246" i="15" s="1"/>
  <c r="BO244" i="15"/>
  <c r="BP244" i="15" s="1"/>
  <c r="BO243" i="15"/>
  <c r="BP243" i="15" s="1"/>
  <c r="BO239" i="15"/>
  <c r="BP239" i="15" s="1"/>
  <c r="BO238" i="15"/>
  <c r="BO236" i="15"/>
  <c r="BO234" i="15"/>
  <c r="BP234" i="15" s="1"/>
  <c r="BO230" i="15"/>
  <c r="BP230" i="15" s="1"/>
  <c r="BO229" i="15"/>
  <c r="BP229" i="15" s="1"/>
  <c r="BO228" i="15"/>
  <c r="BP228" i="15" s="1"/>
  <c r="BO227" i="15"/>
  <c r="BP227" i="15" s="1"/>
  <c r="BO226" i="15"/>
  <c r="BP226" i="15" s="1"/>
  <c r="BO225" i="15"/>
  <c r="BP225" i="15" s="1"/>
  <c r="BO221" i="15"/>
  <c r="BP221" i="15" s="1"/>
  <c r="BO220" i="15"/>
  <c r="BP220" i="15" s="1"/>
  <c r="BO219" i="15"/>
  <c r="BP219" i="15" s="1"/>
  <c r="BO218" i="15"/>
  <c r="BO217" i="15"/>
  <c r="BP217" i="15" s="1"/>
  <c r="BO215" i="15"/>
  <c r="BP215" i="15" s="1"/>
  <c r="BO213" i="15"/>
  <c r="BP213" i="15" s="1"/>
  <c r="BO211" i="15"/>
  <c r="BP211" i="15" s="1"/>
  <c r="BO209" i="15"/>
  <c r="BP209" i="15" s="1"/>
  <c r="BO208" i="15"/>
  <c r="BP208" i="15" s="1"/>
  <c r="BO207" i="15"/>
  <c r="BP207" i="15" s="1"/>
  <c r="BO204" i="15"/>
  <c r="BP204" i="15" s="1"/>
  <c r="BO203" i="15"/>
  <c r="BP203" i="15" s="1"/>
  <c r="BO202" i="15"/>
  <c r="BP202" i="15" s="1"/>
  <c r="BO201" i="15"/>
  <c r="BP201" i="15" s="1"/>
  <c r="BO200" i="15"/>
  <c r="BO199" i="15"/>
  <c r="BP199" i="15" s="1"/>
  <c r="BO198" i="15"/>
  <c r="BP198" i="15" s="1"/>
  <c r="BO197" i="15"/>
  <c r="BP197" i="15" s="1"/>
  <c r="BO196" i="15"/>
  <c r="BP196" i="15" s="1"/>
  <c r="BO195" i="15"/>
  <c r="BP195" i="15" s="1"/>
  <c r="BO194" i="15"/>
  <c r="BP194" i="15" s="1"/>
  <c r="BO193" i="15"/>
  <c r="BP193" i="15" s="1"/>
  <c r="BO192" i="15"/>
  <c r="BP192" i="15" s="1"/>
  <c r="BO190" i="15"/>
  <c r="BP190" i="15" s="1"/>
  <c r="BO188" i="15"/>
  <c r="BP188" i="15" s="1"/>
  <c r="BO185" i="15"/>
  <c r="BO184" i="15"/>
  <c r="BP184" i="15" s="1"/>
  <c r="BO183" i="15"/>
  <c r="BP183" i="15" s="1"/>
  <c r="BO182" i="15"/>
  <c r="BP182" i="15" s="1"/>
  <c r="BO181" i="15"/>
  <c r="BO179" i="15"/>
  <c r="BP179" i="15" s="1"/>
  <c r="BO178" i="15"/>
  <c r="BP178" i="15" s="1"/>
  <c r="BO177" i="15"/>
  <c r="BP177" i="15" s="1"/>
  <c r="BO176" i="15"/>
  <c r="BP176" i="15" s="1"/>
  <c r="BO174" i="15"/>
  <c r="BP174" i="15" s="1"/>
  <c r="BO173" i="15"/>
  <c r="BO170" i="15"/>
  <c r="BP170" i="15" s="1"/>
  <c r="BO167" i="15"/>
  <c r="BP167" i="15" s="1"/>
  <c r="BO165" i="15"/>
  <c r="BO164" i="15"/>
  <c r="BP164" i="15" s="1"/>
  <c r="BO163" i="15"/>
  <c r="BO161" i="15"/>
  <c r="BP161" i="15" s="1"/>
  <c r="BO158" i="15"/>
  <c r="BP158" i="15" s="1"/>
  <c r="BO157" i="15"/>
  <c r="BP157" i="15" s="1"/>
  <c r="BO156" i="15"/>
  <c r="BP156" i="15" s="1"/>
  <c r="BO155" i="15"/>
  <c r="BP155" i="15" s="1"/>
  <c r="BO153" i="15"/>
  <c r="BP153" i="15" s="1"/>
  <c r="BO152" i="15"/>
  <c r="BP152" i="15" s="1"/>
  <c r="BO151" i="15"/>
  <c r="BP151" i="15" s="1"/>
  <c r="BO150" i="15"/>
  <c r="BP150" i="15" s="1"/>
  <c r="BO148" i="15"/>
  <c r="BP148" i="15" s="1"/>
  <c r="BO146" i="15"/>
  <c r="BP146" i="15" s="1"/>
  <c r="BO142" i="15"/>
  <c r="BP142" i="15" s="1"/>
  <c r="BO141" i="15"/>
  <c r="BP141" i="15" s="1"/>
  <c r="BO139" i="15"/>
  <c r="BP139" i="15" s="1"/>
  <c r="BO138" i="15"/>
  <c r="BP138" i="15" s="1"/>
  <c r="BO136" i="15"/>
  <c r="BP136" i="15" s="1"/>
  <c r="BO135" i="15"/>
  <c r="BP135" i="15" s="1"/>
  <c r="BO133" i="15"/>
  <c r="BP133" i="15" s="1"/>
  <c r="BO132" i="15"/>
  <c r="BP132" i="15" s="1"/>
  <c r="BO131" i="15"/>
  <c r="BP131" i="15" s="1"/>
  <c r="BO129" i="15"/>
  <c r="BP129" i="15" s="1"/>
  <c r="BO127" i="15"/>
  <c r="BP127" i="15" s="1"/>
  <c r="BO126" i="15"/>
  <c r="BP126" i="15" s="1"/>
  <c r="BO125" i="15"/>
  <c r="BP125" i="15" s="1"/>
  <c r="BO123" i="15"/>
  <c r="BO121" i="15"/>
  <c r="BP121" i="15" s="1"/>
  <c r="BO120" i="15"/>
  <c r="BP120" i="15" s="1"/>
  <c r="BO117" i="15"/>
  <c r="BP117" i="15" s="1"/>
  <c r="BO115" i="15"/>
  <c r="BP115" i="15" s="1"/>
  <c r="BO113" i="15"/>
  <c r="BP113" i="15" s="1"/>
  <c r="BO110" i="15"/>
  <c r="BO108" i="15"/>
  <c r="BP108" i="15" s="1"/>
  <c r="BO107" i="15"/>
  <c r="BP107" i="15" s="1"/>
  <c r="BO106" i="15"/>
  <c r="BP106" i="15" s="1"/>
  <c r="BO105" i="15"/>
  <c r="BP105" i="15" s="1"/>
  <c r="BO101" i="15"/>
  <c r="BP101" i="15" s="1"/>
  <c r="BO100" i="15"/>
  <c r="BP100" i="15" s="1"/>
  <c r="BO99" i="15"/>
  <c r="BP99" i="15" s="1"/>
  <c r="BO97" i="15"/>
  <c r="BP97" i="15" s="1"/>
  <c r="BO96" i="15"/>
  <c r="BP96" i="15" s="1"/>
  <c r="BO95" i="15"/>
  <c r="BP95" i="15" s="1"/>
  <c r="BO94" i="15"/>
  <c r="BP94" i="15" s="1"/>
  <c r="BO92" i="15"/>
  <c r="BP92" i="15" s="1"/>
  <c r="BO91" i="15"/>
  <c r="BP91" i="15" s="1"/>
  <c r="BO90" i="15"/>
  <c r="BP90" i="15" s="1"/>
  <c r="BO86" i="15"/>
  <c r="BP86" i="15" s="1"/>
  <c r="BO83" i="15"/>
  <c r="BP83" i="15" s="1"/>
  <c r="BO81" i="15"/>
  <c r="BP81" i="15" s="1"/>
  <c r="BO80" i="15"/>
  <c r="BP80" i="15" s="1"/>
  <c r="BO79" i="15"/>
  <c r="BP79" i="15" s="1"/>
  <c r="BO78" i="15"/>
  <c r="BP78" i="15" s="1"/>
  <c r="BO77" i="15"/>
  <c r="BP77" i="15" s="1"/>
  <c r="BO76" i="15"/>
  <c r="BP76" i="15" s="1"/>
  <c r="BO75" i="15"/>
  <c r="BP75" i="15" s="1"/>
  <c r="BO73" i="15"/>
  <c r="BP73" i="15" s="1"/>
  <c r="BO72" i="15"/>
  <c r="BP72" i="15" s="1"/>
  <c r="BO71" i="15"/>
  <c r="BP71" i="15" s="1"/>
  <c r="BO70" i="15"/>
  <c r="BP70" i="15" s="1"/>
  <c r="BO69" i="15"/>
  <c r="BP69" i="15" s="1"/>
  <c r="BO68" i="15"/>
  <c r="BP68" i="15" s="1"/>
  <c r="BO67" i="15"/>
  <c r="BP67" i="15" s="1"/>
  <c r="BO66" i="15"/>
  <c r="BP66" i="15" s="1"/>
  <c r="BO63" i="15"/>
  <c r="BP63" i="15" s="1"/>
  <c r="BO62" i="15"/>
  <c r="BP62" i="15" s="1"/>
  <c r="BO61" i="15"/>
  <c r="BP61" i="15" s="1"/>
  <c r="BO60" i="15"/>
  <c r="BP60" i="15" s="1"/>
  <c r="BO59" i="15"/>
  <c r="BP59" i="15" s="1"/>
  <c r="BO58" i="15"/>
  <c r="BP58" i="15" s="1"/>
  <c r="BO57" i="15"/>
  <c r="BP57" i="15" s="1"/>
  <c r="BO56" i="15"/>
  <c r="BP56" i="15" s="1"/>
  <c r="BO54" i="15"/>
  <c r="BP54" i="15" s="1"/>
  <c r="BO53" i="15"/>
  <c r="BP53" i="15" s="1"/>
  <c r="BO52" i="15"/>
  <c r="BP52" i="15" s="1"/>
  <c r="BO51" i="15"/>
  <c r="BP51" i="15" s="1"/>
  <c r="BO50" i="15"/>
  <c r="BP50" i="15" s="1"/>
  <c r="BO48" i="15"/>
  <c r="BP48" i="15" s="1"/>
  <c r="BO46" i="15"/>
  <c r="BP46" i="15" s="1"/>
  <c r="BO44" i="15"/>
  <c r="BP44" i="15" s="1"/>
  <c r="BO43" i="15"/>
  <c r="BP43" i="15" s="1"/>
  <c r="BO42" i="15"/>
  <c r="BP42" i="15" s="1"/>
  <c r="BO40" i="15"/>
  <c r="BP40" i="15" s="1"/>
  <c r="BO39" i="15"/>
  <c r="BP39" i="15" s="1"/>
  <c r="BO38" i="15"/>
  <c r="BP38" i="15" s="1"/>
  <c r="BO37" i="15"/>
  <c r="BP37" i="15" s="1"/>
  <c r="BO36" i="15"/>
  <c r="BP36" i="15" s="1"/>
  <c r="BO34" i="15"/>
  <c r="BP34" i="15" s="1"/>
  <c r="BO33" i="15"/>
  <c r="BP33" i="15" s="1"/>
  <c r="BO32" i="15"/>
  <c r="BP32" i="15" s="1"/>
  <c r="BO31" i="15"/>
  <c r="BO30" i="15"/>
  <c r="BP30" i="15" s="1"/>
  <c r="BO29" i="15"/>
  <c r="BP29" i="15" s="1"/>
  <c r="BO28" i="15"/>
  <c r="BO27" i="15"/>
  <c r="BP27" i="15" s="1"/>
  <c r="BO26" i="15"/>
  <c r="BO25" i="15"/>
  <c r="BP25" i="15" s="1"/>
  <c r="BO23" i="15"/>
  <c r="BO22" i="15"/>
  <c r="BP22" i="15" s="1"/>
  <c r="BO21" i="15"/>
  <c r="BO20" i="15"/>
  <c r="BO17" i="15"/>
  <c r="BP17" i="15" s="1"/>
  <c r="BO15" i="15"/>
  <c r="BP15" i="15" s="1"/>
  <c r="BO14" i="15"/>
  <c r="BO13" i="15"/>
  <c r="BO12" i="15"/>
  <c r="BP12" i="15" s="1"/>
  <c r="BO11" i="15"/>
  <c r="BP11" i="15" s="1"/>
  <c r="BO8" i="15"/>
  <c r="BP8" i="15" s="1"/>
  <c r="AK180" i="15"/>
  <c r="J334" i="15"/>
  <c r="AF331" i="15"/>
  <c r="AT331" i="15" s="1"/>
  <c r="AJ8" i="8"/>
  <c r="AN8" i="8" s="1"/>
  <c r="AJ162" i="15"/>
  <c r="AJ240" i="15"/>
  <c r="AJ62" i="8"/>
  <c r="AJ26" i="8"/>
  <c r="AJ44" i="8"/>
  <c r="AN44" i="8" s="1"/>
  <c r="AJ102" i="15"/>
  <c r="AT102" i="15" l="1"/>
  <c r="BH162" i="15"/>
  <c r="AT162" i="15"/>
  <c r="BH281" i="15"/>
  <c r="AT281" i="15"/>
  <c r="BH189" i="15"/>
  <c r="AT189" i="15"/>
  <c r="AV189" i="15" s="1"/>
  <c r="BH223" i="15"/>
  <c r="AT223" i="15"/>
  <c r="BH276" i="15"/>
  <c r="AT276" i="15"/>
  <c r="AK87" i="8"/>
  <c r="AK89" i="8" s="1"/>
  <c r="BH104" i="15"/>
  <c r="AT104" i="15"/>
  <c r="BH166" i="15"/>
  <c r="AT166" i="15"/>
  <c r="BH149" i="15"/>
  <c r="AT149" i="15"/>
  <c r="BH114" i="15"/>
  <c r="AT114" i="15"/>
  <c r="BH171" i="15"/>
  <c r="AT171" i="15"/>
  <c r="BH258" i="15"/>
  <c r="AT258" i="15"/>
  <c r="BH205" i="15"/>
  <c r="AT205" i="15"/>
  <c r="BH102" i="15"/>
  <c r="AH189" i="35"/>
  <c r="AH189" i="31"/>
  <c r="AH182" i="35"/>
  <c r="AH182" i="31"/>
  <c r="AH106" i="31"/>
  <c r="AP106" i="31" s="1"/>
  <c r="AM411" i="31"/>
  <c r="AK411" i="31"/>
  <c r="AL411" i="31"/>
  <c r="AJ411" i="31"/>
  <c r="AI411" i="31"/>
  <c r="AH411" i="31"/>
  <c r="AH168" i="31"/>
  <c r="AP168" i="31" s="1"/>
  <c r="AI473" i="31"/>
  <c r="AK473" i="31"/>
  <c r="AH473" i="31"/>
  <c r="AJ473" i="31"/>
  <c r="AL473" i="31"/>
  <c r="AM473" i="31"/>
  <c r="AH170" i="35"/>
  <c r="AH170" i="31"/>
  <c r="AH151" i="31"/>
  <c r="AP151" i="31" s="1"/>
  <c r="AJ456" i="31"/>
  <c r="AI456" i="31"/>
  <c r="AL456" i="31"/>
  <c r="AH456" i="31"/>
  <c r="AK456" i="31"/>
  <c r="AM456" i="31"/>
  <c r="AG104" i="31"/>
  <c r="AH409" i="31"/>
  <c r="AG409" i="31"/>
  <c r="AL409" i="31"/>
  <c r="AM409" i="31"/>
  <c r="AI409" i="31"/>
  <c r="AK409" i="31"/>
  <c r="AJ409" i="31"/>
  <c r="AH116" i="31"/>
  <c r="AP116" i="31" s="1"/>
  <c r="AJ421" i="31"/>
  <c r="AK421" i="31"/>
  <c r="AM421" i="31"/>
  <c r="AH421" i="31"/>
  <c r="AI421" i="31"/>
  <c r="AL421" i="31"/>
  <c r="AH130" i="35"/>
  <c r="AH130" i="31"/>
  <c r="AH233" i="35"/>
  <c r="AH233" i="31"/>
  <c r="AH282" i="35"/>
  <c r="AH282" i="31"/>
  <c r="AG278" i="31"/>
  <c r="AP278" i="31" s="1"/>
  <c r="AK583" i="31"/>
  <c r="AH583" i="31"/>
  <c r="AI583" i="31"/>
  <c r="AG583" i="31"/>
  <c r="AL583" i="31"/>
  <c r="AJ583" i="31"/>
  <c r="AM583" i="31"/>
  <c r="AH120" i="35"/>
  <c r="AH120" i="31"/>
  <c r="AH173" i="31"/>
  <c r="AP173" i="31" s="1"/>
  <c r="AH478" i="31"/>
  <c r="AI478" i="31"/>
  <c r="AJ478" i="31"/>
  <c r="AK478" i="31"/>
  <c r="AM478" i="31"/>
  <c r="AL478" i="31"/>
  <c r="AH260" i="31"/>
  <c r="AP260" i="31" s="1"/>
  <c r="AH565" i="31"/>
  <c r="AJ565" i="31"/>
  <c r="AK565" i="31"/>
  <c r="AM565" i="31"/>
  <c r="AL565" i="31"/>
  <c r="AI565" i="31"/>
  <c r="AM530" i="31"/>
  <c r="AK530" i="31"/>
  <c r="AH530" i="31"/>
  <c r="AL530" i="31"/>
  <c r="AJ530" i="31"/>
  <c r="AI530" i="31"/>
  <c r="AH104" i="35"/>
  <c r="AH104" i="31"/>
  <c r="AG242" i="35"/>
  <c r="AG242" i="31"/>
  <c r="AH207" i="31"/>
  <c r="AP207" i="31" s="1"/>
  <c r="AJ512" i="31"/>
  <c r="AI512" i="31"/>
  <c r="AL512" i="31"/>
  <c r="AK512" i="31"/>
  <c r="AM512" i="31"/>
  <c r="AH512" i="31"/>
  <c r="AL496" i="31"/>
  <c r="AJ496" i="31"/>
  <c r="AH496" i="31"/>
  <c r="AM496" i="31"/>
  <c r="AK496" i="31"/>
  <c r="AI496" i="31"/>
  <c r="AH284" i="31"/>
  <c r="AP284" i="31" s="1"/>
  <c r="AL589" i="31"/>
  <c r="AM589" i="31"/>
  <c r="AK589" i="31"/>
  <c r="AH589" i="31"/>
  <c r="AI589" i="31"/>
  <c r="AJ589" i="31"/>
  <c r="AH100" i="35"/>
  <c r="AH100" i="31"/>
  <c r="AG164" i="31"/>
  <c r="AP164" i="31" s="1"/>
  <c r="AH469" i="31"/>
  <c r="AM469" i="31"/>
  <c r="AJ469" i="31"/>
  <c r="AK469" i="31"/>
  <c r="AG469" i="31"/>
  <c r="AI469" i="31"/>
  <c r="AL469" i="31"/>
  <c r="AH283" i="31"/>
  <c r="BL223" i="15"/>
  <c r="BK223" i="15"/>
  <c r="AH225" i="35"/>
  <c r="AH168" i="35"/>
  <c r="BL166" i="15"/>
  <c r="BK166" i="15"/>
  <c r="BL149" i="15"/>
  <c r="BK149" i="15"/>
  <c r="AH151" i="35"/>
  <c r="BK282" i="15"/>
  <c r="BL282" i="15"/>
  <c r="AH284" i="35"/>
  <c r="AH106" i="35"/>
  <c r="BK104" i="15"/>
  <c r="BL104" i="15"/>
  <c r="AG104" i="35"/>
  <c r="BK102" i="15"/>
  <c r="BL102" i="15"/>
  <c r="BK114" i="15"/>
  <c r="BL114" i="15"/>
  <c r="AH116" i="35"/>
  <c r="AH191" i="35"/>
  <c r="BL189" i="15"/>
  <c r="BK189" i="15"/>
  <c r="AH173" i="35"/>
  <c r="BL171" i="15"/>
  <c r="BK171" i="15"/>
  <c r="BK276" i="15"/>
  <c r="BL276" i="15"/>
  <c r="AG278" i="35"/>
  <c r="BK258" i="15"/>
  <c r="AH260" i="35"/>
  <c r="BL258" i="15"/>
  <c r="AH207" i="35"/>
  <c r="BL205" i="15"/>
  <c r="BK205" i="15"/>
  <c r="BK162" i="15"/>
  <c r="BL162" i="15"/>
  <c r="AG164" i="35"/>
  <c r="BL281" i="15"/>
  <c r="AH283" i="35"/>
  <c r="BK281" i="15"/>
  <c r="AF353" i="15"/>
  <c r="AF306" i="15" s="1"/>
  <c r="AT306" i="15" s="1"/>
  <c r="AT353" i="15"/>
  <c r="BE44" i="8"/>
  <c r="BF44" i="8"/>
  <c r="BB44" i="8"/>
  <c r="BE8" i="8"/>
  <c r="BF8" i="8"/>
  <c r="BB8" i="8"/>
  <c r="BE52" i="8"/>
  <c r="BF52" i="8"/>
  <c r="BB52" i="8"/>
  <c r="BE16" i="8"/>
  <c r="BF16" i="8"/>
  <c r="BB16" i="8"/>
  <c r="AB48" i="16"/>
  <c r="AB82" i="16"/>
  <c r="X82" i="16" s="1"/>
  <c r="AB61" i="16"/>
  <c r="AB69" i="16"/>
  <c r="AB43" i="16"/>
  <c r="AO82" i="16"/>
  <c r="AP82" i="16"/>
  <c r="AO69" i="16"/>
  <c r="AP69" i="16"/>
  <c r="BO124" i="15"/>
  <c r="BO10" i="15"/>
  <c r="BP10" i="15" s="1"/>
  <c r="BU13" i="15"/>
  <c r="BV13" i="15" s="1"/>
  <c r="BU28" i="15"/>
  <c r="BV28" i="15" s="1"/>
  <c r="BU42" i="15"/>
  <c r="BV42" i="15" s="1"/>
  <c r="BU57" i="15"/>
  <c r="BV57" i="15" s="1"/>
  <c r="BU70" i="15"/>
  <c r="BV70" i="15" s="1"/>
  <c r="BU86" i="15"/>
  <c r="BV86" i="15" s="1"/>
  <c r="BU106" i="15"/>
  <c r="BV106" i="15" s="1"/>
  <c r="BU125" i="15"/>
  <c r="BV125" i="15" s="1"/>
  <c r="BU142" i="15"/>
  <c r="BV142" i="15" s="1"/>
  <c r="BU158" i="15"/>
  <c r="BV158" i="15" s="1"/>
  <c r="BU178" i="15"/>
  <c r="BV178" i="15" s="1"/>
  <c r="BU194" i="15"/>
  <c r="BV194" i="15" s="1"/>
  <c r="BU208" i="15"/>
  <c r="BV208" i="15" s="1"/>
  <c r="BU227" i="15"/>
  <c r="BV227" i="15" s="1"/>
  <c r="BU249" i="15"/>
  <c r="BV249" i="15" s="1"/>
  <c r="BU279" i="15"/>
  <c r="BV279" i="15" s="1"/>
  <c r="BU296" i="15"/>
  <c r="BV296" i="15" s="1"/>
  <c r="BU14" i="15"/>
  <c r="BV14" i="15" s="1"/>
  <c r="BU29" i="15"/>
  <c r="BV29" i="15" s="1"/>
  <c r="BU43" i="15"/>
  <c r="BV43" i="15" s="1"/>
  <c r="BU58" i="15"/>
  <c r="BV58" i="15" s="1"/>
  <c r="BU71" i="15"/>
  <c r="BV71" i="15" s="1"/>
  <c r="BU90" i="15"/>
  <c r="BV90" i="15" s="1"/>
  <c r="BU107" i="15"/>
  <c r="BV107" i="15" s="1"/>
  <c r="BU126" i="15"/>
  <c r="BV126" i="15" s="1"/>
  <c r="BU144" i="15"/>
  <c r="BV144" i="15" s="1"/>
  <c r="BU160" i="15"/>
  <c r="BV160" i="15" s="1"/>
  <c r="BU179" i="15"/>
  <c r="BV179" i="15" s="1"/>
  <c r="BU195" i="15"/>
  <c r="BV195" i="15" s="1"/>
  <c r="BU209" i="15"/>
  <c r="BV209" i="15" s="1"/>
  <c r="BU228" i="15"/>
  <c r="BV228" i="15" s="1"/>
  <c r="BU250" i="15"/>
  <c r="BV250" i="15" s="1"/>
  <c r="BU265" i="15"/>
  <c r="BV265" i="15" s="1"/>
  <c r="BU283" i="15"/>
  <c r="BV283" i="15" s="1"/>
  <c r="BU297" i="15"/>
  <c r="BV297" i="15" s="1"/>
  <c r="BU15" i="15"/>
  <c r="BV15" i="15" s="1"/>
  <c r="BU30" i="15"/>
  <c r="BV30" i="15" s="1"/>
  <c r="BU44" i="15"/>
  <c r="BV44" i="15" s="1"/>
  <c r="BU59" i="15"/>
  <c r="BV59" i="15" s="1"/>
  <c r="BU72" i="15"/>
  <c r="BV72" i="15" s="1"/>
  <c r="BU91" i="15"/>
  <c r="BV91" i="15" s="1"/>
  <c r="BU108" i="15"/>
  <c r="BV108" i="15" s="1"/>
  <c r="BU127" i="15"/>
  <c r="BV127" i="15" s="1"/>
  <c r="BU145" i="15"/>
  <c r="BV145" i="15" s="1"/>
  <c r="BU161" i="15"/>
  <c r="BV161" i="15" s="1"/>
  <c r="BU181" i="15"/>
  <c r="BV181" i="15" s="1"/>
  <c r="BU196" i="15"/>
  <c r="BV196" i="15" s="1"/>
  <c r="BU211" i="15"/>
  <c r="BV211" i="15" s="1"/>
  <c r="BU229" i="15"/>
  <c r="BV229" i="15" s="1"/>
  <c r="BU251" i="15"/>
  <c r="BV251" i="15" s="1"/>
  <c r="BU266" i="15"/>
  <c r="BV266" i="15" s="1"/>
  <c r="BU284" i="15"/>
  <c r="BV284" i="15" s="1"/>
  <c r="BU298" i="15"/>
  <c r="BV298" i="15" s="1"/>
  <c r="BU16" i="15"/>
  <c r="BV16" i="15" s="1"/>
  <c r="BU31" i="15"/>
  <c r="BV31" i="15" s="1"/>
  <c r="BU46" i="15"/>
  <c r="BV46" i="15" s="1"/>
  <c r="BU60" i="15"/>
  <c r="BV60" i="15" s="1"/>
  <c r="BU73" i="15"/>
  <c r="BV73" i="15" s="1"/>
  <c r="BU92" i="15"/>
  <c r="BV92" i="15" s="1"/>
  <c r="BU109" i="15"/>
  <c r="BV109" i="15" s="1"/>
  <c r="BU129" i="15"/>
  <c r="BV129" i="15" s="1"/>
  <c r="BU146" i="15"/>
  <c r="BV146" i="15" s="1"/>
  <c r="BU163" i="15"/>
  <c r="BV163" i="15" s="1"/>
  <c r="BU182" i="15"/>
  <c r="BV182" i="15" s="1"/>
  <c r="BU197" i="15"/>
  <c r="BV197" i="15" s="1"/>
  <c r="BU213" i="15"/>
  <c r="BV213" i="15" s="1"/>
  <c r="BU230" i="15"/>
  <c r="BV230" i="15" s="1"/>
  <c r="BU252" i="15"/>
  <c r="BV252" i="15" s="1"/>
  <c r="BU267" i="15"/>
  <c r="BV267" i="15" s="1"/>
  <c r="BU286" i="15"/>
  <c r="BV286" i="15" s="1"/>
  <c r="BU299" i="15"/>
  <c r="BV299" i="15" s="1"/>
  <c r="BU17" i="15"/>
  <c r="BV17" i="15" s="1"/>
  <c r="BU32" i="15"/>
  <c r="BV32" i="15" s="1"/>
  <c r="BU47" i="15"/>
  <c r="BV47" i="15" s="1"/>
  <c r="BU61" i="15"/>
  <c r="BV61" i="15" s="1"/>
  <c r="BU75" i="15"/>
  <c r="BV75" i="15" s="1"/>
  <c r="BU94" i="15"/>
  <c r="BV94" i="15" s="1"/>
  <c r="BU110" i="15"/>
  <c r="BV110" i="15" s="1"/>
  <c r="BU131" i="15"/>
  <c r="BV131" i="15" s="1"/>
  <c r="BU148" i="15"/>
  <c r="BV148" i="15" s="1"/>
  <c r="BU164" i="15"/>
  <c r="BV164" i="15" s="1"/>
  <c r="BU183" i="15"/>
  <c r="BV183" i="15" s="1"/>
  <c r="BU198" i="15"/>
  <c r="BV198" i="15" s="1"/>
  <c r="BU215" i="15"/>
  <c r="BV215" i="15" s="1"/>
  <c r="AU234" i="15"/>
  <c r="AR236" i="34" s="1"/>
  <c r="BU234" i="15"/>
  <c r="BV234" i="15" s="1"/>
  <c r="BU253" i="15"/>
  <c r="BV253" i="15" s="1"/>
  <c r="BU268" i="15"/>
  <c r="BV268" i="15" s="1"/>
  <c r="BU287" i="15"/>
  <c r="BV287" i="15" s="1"/>
  <c r="BU300" i="15"/>
  <c r="BV300" i="15" s="1"/>
  <c r="BU20" i="15"/>
  <c r="BV20" i="15" s="1"/>
  <c r="BU33" i="15"/>
  <c r="BV33" i="15" s="1"/>
  <c r="BU48" i="15"/>
  <c r="BV48" i="15" s="1"/>
  <c r="BU62" i="15"/>
  <c r="BV62" i="15" s="1"/>
  <c r="BU76" i="15"/>
  <c r="BV76" i="15" s="1"/>
  <c r="BU95" i="15"/>
  <c r="BV95" i="15" s="1"/>
  <c r="BU113" i="15"/>
  <c r="BV113" i="15" s="1"/>
  <c r="BU132" i="15"/>
  <c r="BV132" i="15" s="1"/>
  <c r="BU150" i="15"/>
  <c r="BV150" i="15" s="1"/>
  <c r="BU165" i="15"/>
  <c r="BV165" i="15" s="1"/>
  <c r="BU184" i="15"/>
  <c r="BV184" i="15" s="1"/>
  <c r="BU199" i="15"/>
  <c r="BV199" i="15" s="1"/>
  <c r="BU217" i="15"/>
  <c r="BV217" i="15" s="1"/>
  <c r="BU236" i="15"/>
  <c r="BV236" i="15" s="1"/>
  <c r="BU255" i="15"/>
  <c r="BV255" i="15" s="1"/>
  <c r="BU269" i="15"/>
  <c r="BV269" i="15" s="1"/>
  <c r="BU288" i="15"/>
  <c r="BV288" i="15" s="1"/>
  <c r="BU301" i="15"/>
  <c r="BV301" i="15" s="1"/>
  <c r="BU21" i="15"/>
  <c r="BV21" i="15" s="1"/>
  <c r="BU34" i="15"/>
  <c r="BV34" i="15" s="1"/>
  <c r="BU50" i="15"/>
  <c r="BV50" i="15" s="1"/>
  <c r="BU63" i="15"/>
  <c r="BV63" i="15" s="1"/>
  <c r="BU77" i="15"/>
  <c r="BV77" i="15" s="1"/>
  <c r="BU96" i="15"/>
  <c r="BV96" i="15" s="1"/>
  <c r="BU115" i="15"/>
  <c r="BV115" i="15" s="1"/>
  <c r="BU133" i="15"/>
  <c r="BV133" i="15" s="1"/>
  <c r="BU151" i="15"/>
  <c r="BV151" i="15" s="1"/>
  <c r="BU167" i="15"/>
  <c r="BV167" i="15" s="1"/>
  <c r="BU185" i="15"/>
  <c r="BV185" i="15" s="1"/>
  <c r="BU200" i="15"/>
  <c r="BV200" i="15" s="1"/>
  <c r="BU218" i="15"/>
  <c r="BV218" i="15" s="1"/>
  <c r="BU238" i="15"/>
  <c r="BV238" i="15" s="1"/>
  <c r="BU256" i="15"/>
  <c r="BV256" i="15" s="1"/>
  <c r="BU271" i="15"/>
  <c r="BV271" i="15" s="1"/>
  <c r="BU289" i="15"/>
  <c r="BV289" i="15" s="1"/>
  <c r="BU302" i="15"/>
  <c r="BV302" i="15" s="1"/>
  <c r="BU8" i="15"/>
  <c r="BV8" i="15" s="1"/>
  <c r="BU22" i="15"/>
  <c r="BV22" i="15" s="1"/>
  <c r="BU36" i="15"/>
  <c r="BV36" i="15" s="1"/>
  <c r="BU51" i="15"/>
  <c r="BV51" i="15" s="1"/>
  <c r="BU64" i="15"/>
  <c r="BV64" i="15" s="1"/>
  <c r="BU78" i="15"/>
  <c r="BV78" i="15" s="1"/>
  <c r="BU97" i="15"/>
  <c r="BV97" i="15" s="1"/>
  <c r="BU117" i="15"/>
  <c r="BV117" i="15" s="1"/>
  <c r="BU135" i="15"/>
  <c r="BV135" i="15" s="1"/>
  <c r="BU152" i="15"/>
  <c r="BV152" i="15" s="1"/>
  <c r="BU170" i="15"/>
  <c r="BV170" i="15" s="1"/>
  <c r="BU188" i="15"/>
  <c r="BV188" i="15" s="1"/>
  <c r="BU201" i="15"/>
  <c r="BV201" i="15" s="1"/>
  <c r="BU219" i="15"/>
  <c r="BV219" i="15" s="1"/>
  <c r="BU239" i="15"/>
  <c r="BV239" i="15" s="1"/>
  <c r="BU257" i="15"/>
  <c r="BV257" i="15" s="1"/>
  <c r="BU272" i="15"/>
  <c r="BV272" i="15" s="1"/>
  <c r="BU291" i="15"/>
  <c r="BV291" i="15" s="1"/>
  <c r="BU303" i="15"/>
  <c r="BV303" i="15" s="1"/>
  <c r="BU9" i="15"/>
  <c r="BV9" i="15" s="1"/>
  <c r="BU23" i="15"/>
  <c r="BV23" i="15" s="1"/>
  <c r="BU37" i="15"/>
  <c r="BV37" i="15" s="1"/>
  <c r="BU52" i="15"/>
  <c r="BV52" i="15" s="1"/>
  <c r="BU66" i="15"/>
  <c r="BV66" i="15" s="1"/>
  <c r="BU79" i="15"/>
  <c r="BV79" i="15" s="1"/>
  <c r="BU99" i="15"/>
  <c r="BV99" i="15" s="1"/>
  <c r="BU120" i="15"/>
  <c r="BV120" i="15" s="1"/>
  <c r="BU136" i="15"/>
  <c r="BV136" i="15" s="1"/>
  <c r="BU153" i="15"/>
  <c r="BV153" i="15" s="1"/>
  <c r="BU173" i="15"/>
  <c r="BV173" i="15" s="1"/>
  <c r="BU190" i="15"/>
  <c r="BV190" i="15" s="1"/>
  <c r="BU202" i="15"/>
  <c r="BV202" i="15" s="1"/>
  <c r="BU220" i="15"/>
  <c r="BV220" i="15" s="1"/>
  <c r="BU243" i="15"/>
  <c r="BV243" i="15" s="1"/>
  <c r="BU259" i="15"/>
  <c r="BV259" i="15" s="1"/>
  <c r="BU273" i="15"/>
  <c r="BV273" i="15" s="1"/>
  <c r="BU292" i="15"/>
  <c r="BV292" i="15" s="1"/>
  <c r="BU304" i="15"/>
  <c r="BV304" i="15" s="1"/>
  <c r="BU25" i="15"/>
  <c r="BV25" i="15" s="1"/>
  <c r="BU38" i="15"/>
  <c r="BV38" i="15" s="1"/>
  <c r="BU53" i="15"/>
  <c r="BV53" i="15" s="1"/>
  <c r="BU67" i="15"/>
  <c r="BV67" i="15" s="1"/>
  <c r="BU80" i="15"/>
  <c r="BV80" i="15" s="1"/>
  <c r="BU100" i="15"/>
  <c r="BV100" i="15" s="1"/>
  <c r="BU121" i="15"/>
  <c r="BV121" i="15" s="1"/>
  <c r="BU138" i="15"/>
  <c r="BV138" i="15" s="1"/>
  <c r="BU155" i="15"/>
  <c r="BV155" i="15" s="1"/>
  <c r="BU174" i="15"/>
  <c r="BV174" i="15" s="1"/>
  <c r="BU191" i="15"/>
  <c r="BV191" i="15" s="1"/>
  <c r="BU203" i="15"/>
  <c r="BV203" i="15" s="1"/>
  <c r="BU221" i="15"/>
  <c r="BV221" i="15" s="1"/>
  <c r="BU244" i="15"/>
  <c r="BV244" i="15" s="1"/>
  <c r="BU261" i="15"/>
  <c r="BV261" i="15" s="1"/>
  <c r="BU274" i="15"/>
  <c r="BV274" i="15" s="1"/>
  <c r="BU293" i="15"/>
  <c r="BV293" i="15" s="1"/>
  <c r="BU11" i="15"/>
  <c r="BV11" i="15" s="1"/>
  <c r="BU26" i="15"/>
  <c r="BV26" i="15" s="1"/>
  <c r="BU39" i="15"/>
  <c r="BV39" i="15" s="1"/>
  <c r="BU54" i="15"/>
  <c r="BV54" i="15" s="1"/>
  <c r="BU68" i="15"/>
  <c r="BV68" i="15" s="1"/>
  <c r="BU81" i="15"/>
  <c r="BV81" i="15" s="1"/>
  <c r="BU101" i="15"/>
  <c r="BV101" i="15" s="1"/>
  <c r="BU123" i="15"/>
  <c r="BV123" i="15" s="1"/>
  <c r="BU139" i="15"/>
  <c r="BV139" i="15" s="1"/>
  <c r="BU156" i="15"/>
  <c r="BV156" i="15" s="1"/>
  <c r="BU176" i="15"/>
  <c r="BV176" i="15" s="1"/>
  <c r="BU192" i="15"/>
  <c r="BV192" i="15" s="1"/>
  <c r="BU204" i="15"/>
  <c r="BV204" i="15" s="1"/>
  <c r="BU225" i="15"/>
  <c r="BV225" i="15" s="1"/>
  <c r="BU246" i="15"/>
  <c r="BV246" i="15" s="1"/>
  <c r="BU262" i="15"/>
  <c r="BV262" i="15" s="1"/>
  <c r="BU277" i="15"/>
  <c r="BV277" i="15" s="1"/>
  <c r="BU294" i="15"/>
  <c r="BV294" i="15" s="1"/>
  <c r="BU12" i="15"/>
  <c r="BV12" i="15" s="1"/>
  <c r="BU27" i="15"/>
  <c r="BV27" i="15" s="1"/>
  <c r="BU40" i="15"/>
  <c r="BV40" i="15" s="1"/>
  <c r="BU56" i="15"/>
  <c r="BV56" i="15" s="1"/>
  <c r="BU69" i="15"/>
  <c r="BV69" i="15" s="1"/>
  <c r="BU83" i="15"/>
  <c r="BV83" i="15" s="1"/>
  <c r="BU105" i="15"/>
  <c r="BV105" i="15" s="1"/>
  <c r="BU141" i="15"/>
  <c r="BV141" i="15" s="1"/>
  <c r="BU157" i="15"/>
  <c r="BV157" i="15" s="1"/>
  <c r="BU177" i="15"/>
  <c r="BV177" i="15" s="1"/>
  <c r="BU193" i="15"/>
  <c r="BV193" i="15" s="1"/>
  <c r="BU207" i="15"/>
  <c r="BV207" i="15" s="1"/>
  <c r="BU226" i="15"/>
  <c r="BV226" i="15" s="1"/>
  <c r="BU247" i="15"/>
  <c r="BV247" i="15" s="1"/>
  <c r="BU263" i="15"/>
  <c r="BV263" i="15" s="1"/>
  <c r="BU278" i="15"/>
  <c r="BV278" i="15" s="1"/>
  <c r="BU295" i="15"/>
  <c r="BV295" i="15" s="1"/>
  <c r="BU264" i="15"/>
  <c r="BV264" i="15" s="1"/>
  <c r="AK305" i="15"/>
  <c r="C28" i="37" s="1"/>
  <c r="Z69" i="16"/>
  <c r="AA69" i="16" s="1"/>
  <c r="W69" i="16"/>
  <c r="Z82" i="16"/>
  <c r="AA82" i="16" s="1"/>
  <c r="W82" i="16"/>
  <c r="AJ137" i="15"/>
  <c r="AJ45" i="15"/>
  <c r="AJ147" i="15"/>
  <c r="AJ143" i="15"/>
  <c r="AJ41" i="15"/>
  <c r="AJ49" i="15"/>
  <c r="AJ175" i="15"/>
  <c r="AJ119" i="15"/>
  <c r="AJ140" i="15"/>
  <c r="AJ116" i="15"/>
  <c r="AJ248" i="15"/>
  <c r="AJ212" i="15"/>
  <c r="AJ290" i="15"/>
  <c r="AJ186" i="15"/>
  <c r="AJ122" i="15"/>
  <c r="AJ103" i="15"/>
  <c r="BH41" i="15" l="1"/>
  <c r="AT41" i="15"/>
  <c r="BH122" i="15"/>
  <c r="AT122" i="15"/>
  <c r="BH147" i="15"/>
  <c r="AT147" i="15"/>
  <c r="BH45" i="15"/>
  <c r="AT45" i="15"/>
  <c r="BH119" i="15"/>
  <c r="AT119" i="15"/>
  <c r="BH290" i="15"/>
  <c r="AT290" i="15"/>
  <c r="BH137" i="15"/>
  <c r="AT137" i="15"/>
  <c r="BH248" i="15"/>
  <c r="AT248" i="15"/>
  <c r="BH175" i="15"/>
  <c r="AT175" i="15"/>
  <c r="BH212" i="15"/>
  <c r="AT212" i="15"/>
  <c r="BH140" i="15"/>
  <c r="AT140" i="15"/>
  <c r="BH116" i="15"/>
  <c r="AT116" i="15"/>
  <c r="BH103" i="15"/>
  <c r="AT103" i="15"/>
  <c r="AD82" i="16"/>
  <c r="F69" i="36"/>
  <c r="I69" i="36" s="1"/>
  <c r="J69" i="36" s="1"/>
  <c r="AQ381" i="31"/>
  <c r="AQ355" i="31"/>
  <c r="F43" i="36"/>
  <c r="I43" i="36" s="1"/>
  <c r="J43" i="36" s="1"/>
  <c r="AQ365" i="31"/>
  <c r="F53" i="36"/>
  <c r="I53" i="36" s="1"/>
  <c r="J53" i="36" s="1"/>
  <c r="F24" i="36"/>
  <c r="I24" i="36" s="1"/>
  <c r="J24" i="36" s="1"/>
  <c r="AQ336" i="31"/>
  <c r="AQ528" i="31"/>
  <c r="F216" i="36"/>
  <c r="I216" i="36" s="1"/>
  <c r="J216" i="36" s="1"/>
  <c r="AQ339" i="31"/>
  <c r="F27" i="36"/>
  <c r="I27" i="36" s="1"/>
  <c r="J27" i="36" s="1"/>
  <c r="AQ341" i="31"/>
  <c r="F29" i="36"/>
  <c r="I29" i="36" s="1"/>
  <c r="J29" i="36" s="1"/>
  <c r="AQ477" i="31"/>
  <c r="F165" i="36"/>
  <c r="I165" i="36" s="1"/>
  <c r="J165" i="36" s="1"/>
  <c r="AQ459" i="31"/>
  <c r="F147" i="36"/>
  <c r="I147" i="36" s="1"/>
  <c r="J147" i="36" s="1"/>
  <c r="AQ460" i="31"/>
  <c r="F148" i="36"/>
  <c r="I148" i="36" s="1"/>
  <c r="J148" i="36" s="1"/>
  <c r="AP104" i="31"/>
  <c r="P97" i="36" s="1"/>
  <c r="AG292" i="31"/>
  <c r="AP292" i="31" s="1"/>
  <c r="AG597" i="31"/>
  <c r="AI597" i="31"/>
  <c r="AJ597" i="31"/>
  <c r="AK597" i="31"/>
  <c r="AL597" i="31"/>
  <c r="AH597" i="31"/>
  <c r="AM597" i="31"/>
  <c r="AG142" i="31"/>
  <c r="AP142" i="31" s="1"/>
  <c r="AJ447" i="31"/>
  <c r="AM447" i="31"/>
  <c r="AL447" i="31"/>
  <c r="AG447" i="31"/>
  <c r="AI447" i="31"/>
  <c r="AK447" i="31"/>
  <c r="AH447" i="31"/>
  <c r="O271" i="36"/>
  <c r="P271" i="36"/>
  <c r="AG47" i="31"/>
  <c r="AP47" i="31" s="1"/>
  <c r="AG352" i="31"/>
  <c r="AH352" i="31"/>
  <c r="AK352" i="31"/>
  <c r="AI352" i="31"/>
  <c r="AM352" i="31"/>
  <c r="AL352" i="31"/>
  <c r="AJ352" i="31"/>
  <c r="AH307" i="31"/>
  <c r="AG121" i="31"/>
  <c r="AP121" i="31" s="1"/>
  <c r="AK426" i="31"/>
  <c r="AI426" i="31"/>
  <c r="AH426" i="31"/>
  <c r="AG426" i="31"/>
  <c r="AL426" i="31"/>
  <c r="AJ426" i="31"/>
  <c r="AM426" i="31"/>
  <c r="P166" i="36"/>
  <c r="O166" i="36"/>
  <c r="P99" i="36"/>
  <c r="O99" i="36"/>
  <c r="O200" i="36"/>
  <c r="P200" i="36"/>
  <c r="AG51" i="35"/>
  <c r="AG51" i="31"/>
  <c r="AG188" i="35"/>
  <c r="AG188" i="31"/>
  <c r="O277" i="36"/>
  <c r="P277" i="36"/>
  <c r="AG139" i="31"/>
  <c r="AP139" i="31" s="1"/>
  <c r="AL444" i="31"/>
  <c r="AH444" i="31"/>
  <c r="AM444" i="31"/>
  <c r="AG444" i="31"/>
  <c r="AK444" i="31"/>
  <c r="AJ444" i="31"/>
  <c r="AI444" i="31"/>
  <c r="AG214" i="31"/>
  <c r="AP214" i="31" s="1"/>
  <c r="AG519" i="31"/>
  <c r="AH519" i="31"/>
  <c r="AI519" i="31"/>
  <c r="AM519" i="31"/>
  <c r="AL519" i="31"/>
  <c r="AJ519" i="31"/>
  <c r="AK519" i="31"/>
  <c r="P157" i="36"/>
  <c r="O157" i="36"/>
  <c r="AG250" i="31"/>
  <c r="AP250" i="31" s="1"/>
  <c r="AL555" i="31"/>
  <c r="AK555" i="31"/>
  <c r="AG555" i="31"/>
  <c r="AJ555" i="31"/>
  <c r="AI555" i="31"/>
  <c r="AM555" i="31"/>
  <c r="AH555" i="31"/>
  <c r="P109" i="36"/>
  <c r="O109" i="36"/>
  <c r="AG43" i="31"/>
  <c r="AK348" i="31"/>
  <c r="AH348" i="31"/>
  <c r="AG348" i="31"/>
  <c r="AJ348" i="31"/>
  <c r="AM348" i="31"/>
  <c r="AL348" i="31"/>
  <c r="AI348" i="31"/>
  <c r="AK410" i="31"/>
  <c r="AL410" i="31"/>
  <c r="AG410" i="31"/>
  <c r="AH410" i="31"/>
  <c r="AJ410" i="31"/>
  <c r="AM410" i="31"/>
  <c r="AI410" i="31"/>
  <c r="AG145" i="35"/>
  <c r="AG145" i="31"/>
  <c r="O253" i="36"/>
  <c r="P253" i="36"/>
  <c r="P161" i="36"/>
  <c r="O161" i="36"/>
  <c r="P144" i="36"/>
  <c r="O144" i="36"/>
  <c r="AG118" i="31"/>
  <c r="AP118" i="31" s="1"/>
  <c r="AK423" i="31"/>
  <c r="AJ423" i="31"/>
  <c r="AL423" i="31"/>
  <c r="AH423" i="31"/>
  <c r="AM423" i="31"/>
  <c r="AG423" i="31"/>
  <c r="AI423" i="31"/>
  <c r="AG177" i="31"/>
  <c r="AP177" i="31" s="1"/>
  <c r="AI482" i="31"/>
  <c r="AL482" i="31"/>
  <c r="AJ482" i="31"/>
  <c r="AM482" i="31"/>
  <c r="AH482" i="31"/>
  <c r="AK482" i="31"/>
  <c r="AG482" i="31"/>
  <c r="AI429" i="31"/>
  <c r="AK429" i="31"/>
  <c r="AL429" i="31"/>
  <c r="AJ429" i="31"/>
  <c r="AH429" i="31"/>
  <c r="AG429" i="31"/>
  <c r="AM429" i="31"/>
  <c r="AG149" i="31"/>
  <c r="AP149" i="31" s="1"/>
  <c r="AK454" i="31"/>
  <c r="AI454" i="31"/>
  <c r="AM454" i="31"/>
  <c r="AL454" i="31"/>
  <c r="AG454" i="31"/>
  <c r="AH454" i="31"/>
  <c r="AJ454" i="31"/>
  <c r="AK307" i="15"/>
  <c r="AQ530" i="31"/>
  <c r="F218" i="36"/>
  <c r="I218" i="36" s="1"/>
  <c r="J218" i="36" s="1"/>
  <c r="AQ583" i="31"/>
  <c r="AQ278" i="31" s="1"/>
  <c r="F271" i="36"/>
  <c r="I271" i="36" s="1"/>
  <c r="J271" i="36" s="1"/>
  <c r="AQ496" i="31"/>
  <c r="F184" i="36"/>
  <c r="I184" i="36" s="1"/>
  <c r="J184" i="36" s="1"/>
  <c r="AQ456" i="31"/>
  <c r="AQ151" i="31" s="1"/>
  <c r="F144" i="36"/>
  <c r="I144" i="36" s="1"/>
  <c r="J144" i="36" s="1"/>
  <c r="AQ411" i="31"/>
  <c r="AQ106" i="31" s="1"/>
  <c r="F99" i="36"/>
  <c r="I99" i="36" s="1"/>
  <c r="J99" i="36" s="1"/>
  <c r="AQ565" i="31"/>
  <c r="AQ260" i="31" s="1"/>
  <c r="F253" i="36"/>
  <c r="I253" i="36" s="1"/>
  <c r="J253" i="36" s="1"/>
  <c r="AQ473" i="31"/>
  <c r="AQ168" i="31" s="1"/>
  <c r="F161" i="36"/>
  <c r="I161" i="36" s="1"/>
  <c r="J161" i="36" s="1"/>
  <c r="AQ478" i="31"/>
  <c r="AQ173" i="31" s="1"/>
  <c r="F166" i="36"/>
  <c r="I166" i="36" s="1"/>
  <c r="J166" i="36" s="1"/>
  <c r="AQ409" i="31"/>
  <c r="AQ104" i="31" s="1"/>
  <c r="F97" i="36"/>
  <c r="I97" i="36" s="1"/>
  <c r="J97" i="36" s="1"/>
  <c r="AQ469" i="31"/>
  <c r="AQ164" i="31" s="1"/>
  <c r="F157" i="36"/>
  <c r="I157" i="36" s="1"/>
  <c r="J157" i="36" s="1"/>
  <c r="AQ589" i="31"/>
  <c r="AQ284" i="31" s="1"/>
  <c r="F277" i="36"/>
  <c r="I277" i="36" s="1"/>
  <c r="J277" i="36" s="1"/>
  <c r="AQ588" i="31"/>
  <c r="F276" i="36"/>
  <c r="AU116" i="31"/>
  <c r="BL147" i="15"/>
  <c r="BK147" i="15"/>
  <c r="AG149" i="35"/>
  <c r="BL140" i="15"/>
  <c r="BK140" i="15"/>
  <c r="AG142" i="35"/>
  <c r="AG177" i="35"/>
  <c r="BL175" i="15"/>
  <c r="BK175" i="15"/>
  <c r="BL41" i="15"/>
  <c r="BK41" i="15"/>
  <c r="AG43" i="35"/>
  <c r="AG105" i="35"/>
  <c r="BL103" i="15"/>
  <c r="BK103" i="15"/>
  <c r="AG47" i="35"/>
  <c r="BL45" i="15"/>
  <c r="BK45" i="15"/>
  <c r="BL290" i="15"/>
  <c r="BK290" i="15"/>
  <c r="AG292" i="35"/>
  <c r="BL212" i="15"/>
  <c r="AG214" i="35"/>
  <c r="BK212" i="15"/>
  <c r="BL137" i="15"/>
  <c r="BK137" i="15"/>
  <c r="AG139" i="35"/>
  <c r="AG250" i="35"/>
  <c r="BL248" i="15"/>
  <c r="BK248" i="15"/>
  <c r="BK116" i="15"/>
  <c r="BL116" i="15"/>
  <c r="AG118" i="35"/>
  <c r="AG124" i="35"/>
  <c r="BK122" i="15"/>
  <c r="BL122" i="15"/>
  <c r="BL119" i="15"/>
  <c r="BK119" i="15"/>
  <c r="AG121" i="35"/>
  <c r="BM171" i="15"/>
  <c r="BN171" i="15"/>
  <c r="BN149" i="15"/>
  <c r="BM149" i="15"/>
  <c r="BM104" i="15"/>
  <c r="BN104" i="15"/>
  <c r="BM102" i="15"/>
  <c r="BN102" i="15"/>
  <c r="BM258" i="15"/>
  <c r="BN258" i="15"/>
  <c r="BN281" i="15"/>
  <c r="BM281" i="15"/>
  <c r="BN114" i="15"/>
  <c r="BM114" i="15"/>
  <c r="BN166" i="15"/>
  <c r="BM166" i="15"/>
  <c r="BN282" i="15"/>
  <c r="BM282" i="15"/>
  <c r="BM205" i="15"/>
  <c r="BN205" i="15"/>
  <c r="BM276" i="15"/>
  <c r="BN276" i="15"/>
  <c r="BN223" i="15"/>
  <c r="BM223" i="15"/>
  <c r="BT162" i="15"/>
  <c r="BN162" i="15"/>
  <c r="BM162" i="15"/>
  <c r="K9" i="1"/>
  <c r="BN189" i="15"/>
  <c r="BM189" i="15"/>
  <c r="F109" i="36"/>
  <c r="I109" i="36" s="1"/>
  <c r="J109" i="36" s="1"/>
  <c r="V9" i="1"/>
  <c r="BU124" i="15"/>
  <c r="BV124" i="15" s="1"/>
  <c r="BU10" i="15"/>
  <c r="BV10" i="15" s="1"/>
  <c r="BO162" i="15"/>
  <c r="BP162" i="15" s="1"/>
  <c r="Y82" i="16"/>
  <c r="BO223" i="15"/>
  <c r="BP223" i="15" s="1"/>
  <c r="BT223" i="15"/>
  <c r="BO281" i="15"/>
  <c r="BP281" i="15" s="1"/>
  <c r="BT281" i="15"/>
  <c r="BO205" i="15"/>
  <c r="BP205" i="15" s="1"/>
  <c r="BT205" i="15"/>
  <c r="BO189" i="15"/>
  <c r="BP189" i="15" s="1"/>
  <c r="BT189" i="15"/>
  <c r="BO102" i="15"/>
  <c r="BP102" i="15" s="1"/>
  <c r="BT102" i="15"/>
  <c r="BO166" i="15"/>
  <c r="BP166" i="15" s="1"/>
  <c r="BT166" i="15"/>
  <c r="BO258" i="15"/>
  <c r="BP258" i="15" s="1"/>
  <c r="BT258" i="15"/>
  <c r="BO276" i="15"/>
  <c r="BP276" i="15" s="1"/>
  <c r="BT276" i="15"/>
  <c r="BO282" i="15"/>
  <c r="BP282" i="15" s="1"/>
  <c r="BT282" i="15"/>
  <c r="BO171" i="15"/>
  <c r="BP171" i="15" s="1"/>
  <c r="BT171" i="15"/>
  <c r="BO149" i="15"/>
  <c r="BP149" i="15" s="1"/>
  <c r="BT149" i="15"/>
  <c r="BO104" i="15"/>
  <c r="BP104" i="15" s="1"/>
  <c r="BT104" i="15"/>
  <c r="BO114" i="15"/>
  <c r="BP114" i="15" s="1"/>
  <c r="BT114" i="15"/>
  <c r="BI16" i="8"/>
  <c r="BJ16" i="8" s="1"/>
  <c r="BH16" i="8"/>
  <c r="BG16" i="8"/>
  <c r="BI52" i="8"/>
  <c r="BJ52" i="8" s="1"/>
  <c r="BH52" i="8"/>
  <c r="BG52" i="8"/>
  <c r="BI8" i="8"/>
  <c r="BJ8" i="8" s="1"/>
  <c r="BH8" i="8"/>
  <c r="BG8" i="8"/>
  <c r="BI44" i="8"/>
  <c r="BJ44" i="8" s="1"/>
  <c r="BH44" i="8"/>
  <c r="BG44" i="8"/>
  <c r="X69" i="16"/>
  <c r="Y69" i="16" s="1"/>
  <c r="AN104" i="8"/>
  <c r="AN103" i="8"/>
  <c r="AN102" i="8"/>
  <c r="AN101" i="8"/>
  <c r="AN100" i="8"/>
  <c r="AN99" i="8"/>
  <c r="AN118" i="8" l="1"/>
  <c r="AR477" i="31"/>
  <c r="AQ172" i="31"/>
  <c r="AQ421" i="31"/>
  <c r="AQ116" i="31" s="1"/>
  <c r="AR339" i="31"/>
  <c r="AQ34" i="31"/>
  <c r="AQ323" i="31"/>
  <c r="F11" i="36"/>
  <c r="I11" i="36" s="1"/>
  <c r="J11" i="36" s="1"/>
  <c r="AR528" i="31"/>
  <c r="AQ223" i="31"/>
  <c r="AR530" i="31"/>
  <c r="AQ225" i="31"/>
  <c r="AQ31" i="31"/>
  <c r="AR336" i="31"/>
  <c r="AR460" i="31"/>
  <c r="AQ155" i="31"/>
  <c r="AQ412" i="31"/>
  <c r="F100" i="36"/>
  <c r="I100" i="36" s="1"/>
  <c r="J100" i="36" s="1"/>
  <c r="AQ371" i="31"/>
  <c r="F59" i="36"/>
  <c r="I59" i="36" s="1"/>
  <c r="J59" i="36" s="1"/>
  <c r="AR459" i="31"/>
  <c r="AQ154" i="31"/>
  <c r="AR365" i="31"/>
  <c r="AQ60" i="31"/>
  <c r="AR355" i="31"/>
  <c r="AQ50" i="31"/>
  <c r="AR496" i="31"/>
  <c r="AQ191" i="31"/>
  <c r="AQ76" i="31"/>
  <c r="AR381" i="31"/>
  <c r="AQ36" i="31"/>
  <c r="AR341" i="31"/>
  <c r="O97" i="36"/>
  <c r="AD69" i="16"/>
  <c r="O132" i="36"/>
  <c r="P132" i="36"/>
  <c r="P170" i="36"/>
  <c r="O170" i="36"/>
  <c r="P114" i="36"/>
  <c r="O114" i="36"/>
  <c r="P111" i="36"/>
  <c r="O111" i="36"/>
  <c r="P243" i="36"/>
  <c r="O243" i="36"/>
  <c r="P142" i="36"/>
  <c r="O142" i="36"/>
  <c r="P285" i="36"/>
  <c r="O285" i="36"/>
  <c r="O40" i="36"/>
  <c r="P40" i="36"/>
  <c r="P207" i="36"/>
  <c r="O207" i="36"/>
  <c r="AP43" i="31"/>
  <c r="P135" i="36"/>
  <c r="O135" i="36"/>
  <c r="G28" i="37"/>
  <c r="AR589" i="31"/>
  <c r="AR565" i="31"/>
  <c r="AR411" i="31"/>
  <c r="AR469" i="31"/>
  <c r="AR473" i="31"/>
  <c r="AQ423" i="31"/>
  <c r="AQ118" i="31" s="1"/>
  <c r="F111" i="36"/>
  <c r="I111" i="36" s="1"/>
  <c r="J111" i="36" s="1"/>
  <c r="AQ429" i="31"/>
  <c r="F117" i="36"/>
  <c r="I117" i="36" s="1"/>
  <c r="J117" i="36" s="1"/>
  <c r="AR409" i="31"/>
  <c r="AQ555" i="31"/>
  <c r="AQ250" i="31" s="1"/>
  <c r="F243" i="36"/>
  <c r="I243" i="36" s="1"/>
  <c r="J243" i="36" s="1"/>
  <c r="AR456" i="31"/>
  <c r="AQ444" i="31"/>
  <c r="AQ139" i="31" s="1"/>
  <c r="F132" i="36"/>
  <c r="I132" i="36" s="1"/>
  <c r="J132" i="36" s="1"/>
  <c r="AQ447" i="31"/>
  <c r="AQ142" i="31" s="1"/>
  <c r="F135" i="36"/>
  <c r="I135" i="36" s="1"/>
  <c r="J135" i="36" s="1"/>
  <c r="AQ410" i="31"/>
  <c r="AR410" i="31" s="1"/>
  <c r="F98" i="36"/>
  <c r="I98" i="36" s="1"/>
  <c r="J98" i="36" s="1"/>
  <c r="AR478" i="31"/>
  <c r="AQ597" i="31"/>
  <c r="AQ292" i="31" s="1"/>
  <c r="F285" i="36"/>
  <c r="I285" i="36" s="1"/>
  <c r="J285" i="36" s="1"/>
  <c r="AR583" i="31"/>
  <c r="AQ348" i="31"/>
  <c r="AQ43" i="31" s="1"/>
  <c r="F36" i="36"/>
  <c r="I36" i="36" s="1"/>
  <c r="J36" i="36" s="1"/>
  <c r="AQ482" i="31"/>
  <c r="AQ177" i="31" s="1"/>
  <c r="F170" i="36"/>
  <c r="I170" i="36" s="1"/>
  <c r="J170" i="36" s="1"/>
  <c r="AQ426" i="31"/>
  <c r="AQ121" i="31" s="1"/>
  <c r="F114" i="36"/>
  <c r="I114" i="36" s="1"/>
  <c r="J114" i="36" s="1"/>
  <c r="AQ352" i="31"/>
  <c r="AQ47" i="31" s="1"/>
  <c r="F40" i="36"/>
  <c r="I40" i="36" s="1"/>
  <c r="J40" i="36" s="1"/>
  <c r="AU142" i="31"/>
  <c r="AU149" i="31"/>
  <c r="AU225" i="31"/>
  <c r="AU173" i="31"/>
  <c r="AU104" i="31"/>
  <c r="AU106" i="31"/>
  <c r="AU207" i="31"/>
  <c r="AU284" i="31"/>
  <c r="AU151" i="31"/>
  <c r="AU278" i="31"/>
  <c r="AU168" i="31"/>
  <c r="AU260" i="31"/>
  <c r="AU191" i="31"/>
  <c r="AU164" i="31"/>
  <c r="BM248" i="15"/>
  <c r="BN248" i="15"/>
  <c r="BT103" i="15"/>
  <c r="BN103" i="15"/>
  <c r="BM103" i="15"/>
  <c r="BT147" i="15"/>
  <c r="BM147" i="15"/>
  <c r="BN147" i="15"/>
  <c r="BM122" i="15"/>
  <c r="BN122" i="15"/>
  <c r="BN212" i="15"/>
  <c r="BM212" i="15"/>
  <c r="BN140" i="15"/>
  <c r="BM140" i="15"/>
  <c r="BM175" i="15"/>
  <c r="BN175" i="15"/>
  <c r="BM116" i="15"/>
  <c r="BN116" i="15"/>
  <c r="BN137" i="15"/>
  <c r="BM137" i="15"/>
  <c r="BN119" i="15"/>
  <c r="BM119" i="15"/>
  <c r="BM41" i="15"/>
  <c r="BN41" i="15"/>
  <c r="BN45" i="15"/>
  <c r="BM45" i="15"/>
  <c r="BM290" i="15"/>
  <c r="BN290" i="15"/>
  <c r="BO103" i="15"/>
  <c r="BP103" i="15" s="1"/>
  <c r="BU281" i="15"/>
  <c r="BV281" i="15" s="1"/>
  <c r="BU102" i="15"/>
  <c r="BV102" i="15" s="1"/>
  <c r="BU276" i="15"/>
  <c r="BV276" i="15" s="1"/>
  <c r="BU162" i="15"/>
  <c r="BV162" i="15" s="1"/>
  <c r="BU223" i="15"/>
  <c r="BV223" i="15" s="1"/>
  <c r="BU149" i="15"/>
  <c r="BV149" i="15" s="1"/>
  <c r="BU104" i="15"/>
  <c r="BV104" i="15" s="1"/>
  <c r="BU114" i="15"/>
  <c r="BV114" i="15" s="1"/>
  <c r="BO147" i="15"/>
  <c r="BP147" i="15" s="1"/>
  <c r="BU166" i="15"/>
  <c r="BV166" i="15" s="1"/>
  <c r="BU282" i="15"/>
  <c r="BV282" i="15" s="1"/>
  <c r="BU189" i="15"/>
  <c r="BV189" i="15" s="1"/>
  <c r="BU171" i="15"/>
  <c r="BV171" i="15" s="1"/>
  <c r="BU205" i="15"/>
  <c r="BV205" i="15" s="1"/>
  <c r="BU258" i="15"/>
  <c r="BV258" i="15" s="1"/>
  <c r="BO122" i="15"/>
  <c r="BP122" i="15" s="1"/>
  <c r="BT122" i="15"/>
  <c r="BO116" i="15"/>
  <c r="BP116" i="15" s="1"/>
  <c r="BT116" i="15"/>
  <c r="BO260" i="15"/>
  <c r="BP260" i="15" s="1"/>
  <c r="BT260" i="15"/>
  <c r="BO212" i="15"/>
  <c r="BP212" i="15" s="1"/>
  <c r="BT212" i="15"/>
  <c r="BO248" i="15"/>
  <c r="BP248" i="15" s="1"/>
  <c r="BT248" i="15"/>
  <c r="BO137" i="15"/>
  <c r="BP137" i="15" s="1"/>
  <c r="BT137" i="15"/>
  <c r="BO119" i="15"/>
  <c r="BP119" i="15" s="1"/>
  <c r="BT119" i="15"/>
  <c r="BO140" i="15"/>
  <c r="BP140" i="15" s="1"/>
  <c r="BT140" i="15"/>
  <c r="BO45" i="15"/>
  <c r="BP45" i="15" s="1"/>
  <c r="BT45" i="15"/>
  <c r="BO290" i="15"/>
  <c r="BP290" i="15" s="1"/>
  <c r="BT290" i="15"/>
  <c r="BO175" i="15"/>
  <c r="BP175" i="15" s="1"/>
  <c r="BT175" i="15"/>
  <c r="BO41" i="15"/>
  <c r="BP41" i="15" s="1"/>
  <c r="BT41" i="15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AJ87" i="8"/>
  <c r="AJ89" i="8" l="1"/>
  <c r="AR421" i="31"/>
  <c r="AR323" i="31"/>
  <c r="AQ18" i="31"/>
  <c r="AQ66" i="31"/>
  <c r="AR371" i="31"/>
  <c r="AR429" i="31"/>
  <c r="AQ124" i="31"/>
  <c r="AQ107" i="31"/>
  <c r="AR412" i="31"/>
  <c r="P36" i="36"/>
  <c r="O36" i="36"/>
  <c r="AR444" i="31"/>
  <c r="AR348" i="31"/>
  <c r="AR423" i="31"/>
  <c r="AR352" i="31"/>
  <c r="AR555" i="31"/>
  <c r="AR482" i="31"/>
  <c r="AR447" i="31"/>
  <c r="AR597" i="31"/>
  <c r="AR426" i="31"/>
  <c r="AU105" i="31"/>
  <c r="AU292" i="31"/>
  <c r="AU177" i="31"/>
  <c r="AU43" i="31"/>
  <c r="AU250" i="31"/>
  <c r="AU139" i="31"/>
  <c r="AU47" i="31"/>
  <c r="AU124" i="31"/>
  <c r="AU118" i="31"/>
  <c r="AU214" i="31"/>
  <c r="AU121" i="31"/>
  <c r="AN88" i="8"/>
  <c r="V10" i="1" s="1"/>
  <c r="BU147" i="15"/>
  <c r="BV147" i="15" s="1"/>
  <c r="BU260" i="15"/>
  <c r="BV260" i="15" s="1"/>
  <c r="BU140" i="15"/>
  <c r="BV140" i="15" s="1"/>
  <c r="BU248" i="15"/>
  <c r="BV248" i="15" s="1"/>
  <c r="BU290" i="15"/>
  <c r="BV290" i="15" s="1"/>
  <c r="BU45" i="15"/>
  <c r="BV45" i="15" s="1"/>
  <c r="BU41" i="15"/>
  <c r="BV41" i="15" s="1"/>
  <c r="BU103" i="15"/>
  <c r="BV103" i="15" s="1"/>
  <c r="BU119" i="15"/>
  <c r="BV119" i="15" s="1"/>
  <c r="BU137" i="15"/>
  <c r="BV137" i="15" s="1"/>
  <c r="BU122" i="15"/>
  <c r="BV122" i="15" s="1"/>
  <c r="BU116" i="15"/>
  <c r="BV116" i="15" s="1"/>
  <c r="BU175" i="15"/>
  <c r="BV175" i="15" s="1"/>
  <c r="BU212" i="15"/>
  <c r="BV212" i="15" s="1"/>
  <c r="AX86" i="8"/>
  <c r="AY86" i="8" s="1"/>
  <c r="AX85" i="8"/>
  <c r="AY85" i="8" s="1"/>
  <c r="AX84" i="8"/>
  <c r="AY84" i="8" s="1"/>
  <c r="AX83" i="8"/>
  <c r="AY83" i="8" s="1"/>
  <c r="AX82" i="8"/>
  <c r="AY82" i="8" s="1"/>
  <c r="AX81" i="8"/>
  <c r="AY81" i="8" s="1"/>
  <c r="AX80" i="8"/>
  <c r="AY80" i="8" s="1"/>
  <c r="AX78" i="8"/>
  <c r="AY78" i="8" s="1"/>
  <c r="AX77" i="8"/>
  <c r="AY77" i="8" s="1"/>
  <c r="AX76" i="8"/>
  <c r="AY76" i="8" s="1"/>
  <c r="AX75" i="8"/>
  <c r="AY75" i="8" s="1"/>
  <c r="AX74" i="8"/>
  <c r="AY74" i="8" s="1"/>
  <c r="AX73" i="8"/>
  <c r="AY73" i="8" s="1"/>
  <c r="AX72" i="8"/>
  <c r="AY72" i="8" s="1"/>
  <c r="AX71" i="8"/>
  <c r="AY71" i="8" s="1"/>
  <c r="AX70" i="8"/>
  <c r="AY70" i="8" s="1"/>
  <c r="AX69" i="8"/>
  <c r="AY69" i="8" s="1"/>
  <c r="AX68" i="8"/>
  <c r="AY68" i="8" s="1"/>
  <c r="AX67" i="8"/>
  <c r="AY67" i="8" s="1"/>
  <c r="AX65" i="8"/>
  <c r="AY65" i="8" s="1"/>
  <c r="AX64" i="8"/>
  <c r="AY64" i="8" s="1"/>
  <c r="AX62" i="8"/>
  <c r="AY62" i="8" s="1"/>
  <c r="AX60" i="8"/>
  <c r="AY60" i="8" s="1"/>
  <c r="AX59" i="8"/>
  <c r="AY59" i="8" s="1"/>
  <c r="AX58" i="8"/>
  <c r="AY58" i="8" s="1"/>
  <c r="AX57" i="8"/>
  <c r="AY57" i="8" s="1"/>
  <c r="AX56" i="8"/>
  <c r="AY56" i="8" s="1"/>
  <c r="AX55" i="8"/>
  <c r="AY55" i="8" s="1"/>
  <c r="AX54" i="8"/>
  <c r="AY54" i="8" s="1"/>
  <c r="AX53" i="8"/>
  <c r="AY53" i="8" s="1"/>
  <c r="AX52" i="8"/>
  <c r="AY52" i="8" s="1"/>
  <c r="AX51" i="8"/>
  <c r="AY51" i="8" s="1"/>
  <c r="AX50" i="8"/>
  <c r="AY50" i="8" s="1"/>
  <c r="AX49" i="8"/>
  <c r="AY49" i="8" s="1"/>
  <c r="AX48" i="8"/>
  <c r="AY48" i="8" s="1"/>
  <c r="AX47" i="8"/>
  <c r="AY47" i="8" s="1"/>
  <c r="AX46" i="8"/>
  <c r="AY46" i="8" s="1"/>
  <c r="AX45" i="8"/>
  <c r="AY45" i="8" s="1"/>
  <c r="AX44" i="8"/>
  <c r="AY44" i="8" s="1"/>
  <c r="AX43" i="8"/>
  <c r="AY43" i="8" s="1"/>
  <c r="AX41" i="8"/>
  <c r="AY41" i="8" s="1"/>
  <c r="AX40" i="8"/>
  <c r="AY40" i="8" s="1"/>
  <c r="AX39" i="8"/>
  <c r="AY39" i="8" s="1"/>
  <c r="AX37" i="8"/>
  <c r="AY37" i="8" s="1"/>
  <c r="AX35" i="8"/>
  <c r="AY35" i="8" s="1"/>
  <c r="AX34" i="8"/>
  <c r="AY34" i="8" s="1"/>
  <c r="AX33" i="8"/>
  <c r="AY33" i="8" s="1"/>
  <c r="AX32" i="8"/>
  <c r="AY32" i="8" s="1"/>
  <c r="AX31" i="8"/>
  <c r="AY31" i="8" s="1"/>
  <c r="AX30" i="8"/>
  <c r="AY30" i="8" s="1"/>
  <c r="AY29" i="8"/>
  <c r="AX28" i="8"/>
  <c r="AY28" i="8" s="1"/>
  <c r="AX27" i="8"/>
  <c r="AY27" i="8" s="1"/>
  <c r="AX26" i="8"/>
  <c r="AY26" i="8" s="1"/>
  <c r="AX25" i="8"/>
  <c r="AY25" i="8" s="1"/>
  <c r="AX24" i="8"/>
  <c r="AY24" i="8" s="1"/>
  <c r="AX23" i="8"/>
  <c r="AY23" i="8" s="1"/>
  <c r="AX22" i="8"/>
  <c r="AY22" i="8" s="1"/>
  <c r="AX21" i="8"/>
  <c r="AY21" i="8" s="1"/>
  <c r="AX20" i="8"/>
  <c r="AY20" i="8" s="1"/>
  <c r="AX19" i="8"/>
  <c r="AY19" i="8" s="1"/>
  <c r="AX18" i="8"/>
  <c r="AY18" i="8" s="1"/>
  <c r="AX17" i="8"/>
  <c r="AY17" i="8" s="1"/>
  <c r="AX16" i="8"/>
  <c r="AY16" i="8" s="1"/>
  <c r="AX15" i="8"/>
  <c r="AY15" i="8" s="1"/>
  <c r="AX14" i="8"/>
  <c r="AY14" i="8" s="1"/>
  <c r="AX13" i="8"/>
  <c r="AY13" i="8" s="1"/>
  <c r="AX12" i="8"/>
  <c r="AY12" i="8" s="1"/>
  <c r="AX11" i="8"/>
  <c r="AY11" i="8" s="1"/>
  <c r="AX10" i="8"/>
  <c r="AY10" i="8" s="1"/>
  <c r="AX9" i="8"/>
  <c r="AY9" i="8" s="1"/>
  <c r="AX8" i="8"/>
  <c r="AY8" i="8" s="1"/>
  <c r="BA53" i="8" l="1"/>
  <c r="BA46" i="8"/>
  <c r="BA45" i="8"/>
  <c r="BA39" i="8"/>
  <c r="BA31" i="8"/>
  <c r="BA30" i="8"/>
  <c r="BA28" i="8"/>
  <c r="BA19" i="8"/>
  <c r="BA18" i="8"/>
  <c r="BA73" i="8"/>
  <c r="BA72" i="8"/>
  <c r="BA71" i="8"/>
  <c r="BA70" i="8"/>
  <c r="BA69" i="8"/>
  <c r="BA67" i="8"/>
  <c r="BA57" i="8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AX100" i="4"/>
  <c r="I100" i="4"/>
  <c r="AX85" i="4"/>
  <c r="I85" i="4"/>
  <c r="AX86" i="4"/>
  <c r="AJ98" i="15"/>
  <c r="AG100" i="35" l="1"/>
  <c r="AG100" i="31"/>
  <c r="AG307" i="31" s="1"/>
  <c r="BE55" i="8"/>
  <c r="BF55" i="8"/>
  <c r="BD55" i="8"/>
  <c r="BE57" i="8"/>
  <c r="BF57" i="8"/>
  <c r="BD57" i="8"/>
  <c r="BE64" i="8"/>
  <c r="BF64" i="8"/>
  <c r="BD64" i="8"/>
  <c r="BE67" i="8"/>
  <c r="BF67" i="8"/>
  <c r="BD67" i="8"/>
  <c r="BE69" i="8"/>
  <c r="BF69" i="8"/>
  <c r="BD69" i="8"/>
  <c r="BE70" i="8"/>
  <c r="BF70" i="8"/>
  <c r="BD70" i="8"/>
  <c r="BE71" i="8"/>
  <c r="BF71" i="8"/>
  <c r="BD71" i="8"/>
  <c r="BE72" i="8"/>
  <c r="BF72" i="8"/>
  <c r="BD72" i="8"/>
  <c r="BE73" i="8"/>
  <c r="BF73" i="8"/>
  <c r="BD73" i="8"/>
  <c r="BE76" i="8"/>
  <c r="BF76" i="8"/>
  <c r="BD76" i="8"/>
  <c r="BE18" i="8"/>
  <c r="BF18" i="8"/>
  <c r="BD18" i="8"/>
  <c r="BE19" i="8"/>
  <c r="BF19" i="8"/>
  <c r="BD19" i="8"/>
  <c r="BE28" i="8"/>
  <c r="BF28" i="8"/>
  <c r="BD28" i="8"/>
  <c r="BE30" i="8"/>
  <c r="BF30" i="8"/>
  <c r="BD30" i="8"/>
  <c r="BE31" i="8"/>
  <c r="BF31" i="8"/>
  <c r="BD31" i="8"/>
  <c r="BE39" i="8"/>
  <c r="BF39" i="8"/>
  <c r="BD39" i="8"/>
  <c r="BE40" i="8"/>
  <c r="BF40" i="8"/>
  <c r="BD40" i="8"/>
  <c r="BE45" i="8"/>
  <c r="BF45" i="8"/>
  <c r="BD45" i="8"/>
  <c r="BE46" i="8"/>
  <c r="BF46" i="8"/>
  <c r="BD46" i="8"/>
  <c r="BE53" i="8"/>
  <c r="BF53" i="8"/>
  <c r="BD53" i="8"/>
  <c r="BA60" i="8"/>
  <c r="BA82" i="8"/>
  <c r="BA84" i="8"/>
  <c r="BA17" i="8"/>
  <c r="BA41" i="8"/>
  <c r="AY7" i="10"/>
  <c r="BE41" i="8" l="1"/>
  <c r="BF41" i="8"/>
  <c r="BD41" i="8"/>
  <c r="BE17" i="8"/>
  <c r="BF17" i="8"/>
  <c r="BD17" i="8"/>
  <c r="BE84" i="8"/>
  <c r="BF84" i="8"/>
  <c r="BD84" i="8"/>
  <c r="BE82" i="8"/>
  <c r="BF82" i="8"/>
  <c r="BD82" i="8"/>
  <c r="BE68" i="8"/>
  <c r="BF68" i="8"/>
  <c r="BD68" i="8"/>
  <c r="BE60" i="8"/>
  <c r="BF60" i="8"/>
  <c r="BD60" i="8"/>
  <c r="BI53" i="8"/>
  <c r="BH53" i="8"/>
  <c r="BG53" i="8"/>
  <c r="BI46" i="8"/>
  <c r="BJ46" i="8" s="1"/>
  <c r="BH46" i="8"/>
  <c r="BG46" i="8"/>
  <c r="BI45" i="8"/>
  <c r="BH45" i="8"/>
  <c r="BG45" i="8"/>
  <c r="BI40" i="8"/>
  <c r="BJ40" i="8" s="1"/>
  <c r="BH40" i="8"/>
  <c r="BG40" i="8"/>
  <c r="BI39" i="8"/>
  <c r="BJ39" i="8" s="1"/>
  <c r="BH39" i="8"/>
  <c r="BG39" i="8"/>
  <c r="BI31" i="8"/>
  <c r="BH31" i="8"/>
  <c r="BG31" i="8"/>
  <c r="BI30" i="8"/>
  <c r="BH30" i="8"/>
  <c r="BG30" i="8"/>
  <c r="BI28" i="8"/>
  <c r="BJ28" i="8" s="1"/>
  <c r="BH28" i="8"/>
  <c r="BG28" i="8"/>
  <c r="BI19" i="8"/>
  <c r="BH19" i="8"/>
  <c r="BG19" i="8"/>
  <c r="BI18" i="8"/>
  <c r="BH18" i="8"/>
  <c r="BG18" i="8"/>
  <c r="BI76" i="8"/>
  <c r="BJ76" i="8" s="1"/>
  <c r="BH76" i="8"/>
  <c r="BG76" i="8"/>
  <c r="BI73" i="8"/>
  <c r="BJ73" i="8" s="1"/>
  <c r="BH73" i="8"/>
  <c r="BG73" i="8"/>
  <c r="BI72" i="8"/>
  <c r="BH72" i="8"/>
  <c r="BG72" i="8"/>
  <c r="BI71" i="8"/>
  <c r="BH71" i="8"/>
  <c r="BG71" i="8"/>
  <c r="BI70" i="8"/>
  <c r="BH70" i="8"/>
  <c r="BG70" i="8"/>
  <c r="BI69" i="8"/>
  <c r="BJ69" i="8" s="1"/>
  <c r="BH69" i="8"/>
  <c r="BG69" i="8"/>
  <c r="BI67" i="8"/>
  <c r="BH67" i="8"/>
  <c r="BG67" i="8"/>
  <c r="BI64" i="8"/>
  <c r="BJ64" i="8" s="1"/>
  <c r="BH64" i="8"/>
  <c r="BG64" i="8"/>
  <c r="BI57" i="8"/>
  <c r="BJ57" i="8" s="1"/>
  <c r="BH57" i="8"/>
  <c r="BG57" i="8"/>
  <c r="BI55" i="8"/>
  <c r="BJ55" i="8" s="1"/>
  <c r="BH55" i="8"/>
  <c r="BG55" i="8"/>
  <c r="I326" i="15"/>
  <c r="AJ305" i="15"/>
  <c r="C27" i="37" s="1"/>
  <c r="AB305" i="15"/>
  <c r="C19" i="37" s="1"/>
  <c r="Z305" i="15"/>
  <c r="C17" i="37" s="1"/>
  <c r="Y305" i="15"/>
  <c r="C16" i="37" s="1"/>
  <c r="X305" i="15"/>
  <c r="C15" i="37" s="1"/>
  <c r="W305" i="15"/>
  <c r="C14" i="37" s="1"/>
  <c r="V305" i="15"/>
  <c r="C13" i="37" s="1"/>
  <c r="U305" i="15"/>
  <c r="C12" i="37" s="1"/>
  <c r="T305" i="15"/>
  <c r="C11" i="37" s="1"/>
  <c r="S305" i="15"/>
  <c r="C10" i="37" s="1"/>
  <c r="R305" i="15"/>
  <c r="C9" i="37" s="1"/>
  <c r="Q305" i="15"/>
  <c r="C8" i="37" s="1"/>
  <c r="P305" i="15"/>
  <c r="C7" i="37" s="1"/>
  <c r="O305" i="15"/>
  <c r="C6" i="37" s="1"/>
  <c r="AX303" i="15"/>
  <c r="AY303" i="15" s="1"/>
  <c r="AX299" i="15"/>
  <c r="AY299" i="15" s="1"/>
  <c r="AU298" i="15"/>
  <c r="AR300" i="34" s="1"/>
  <c r="AX297" i="15"/>
  <c r="AY297" i="15" s="1"/>
  <c r="AX295" i="15"/>
  <c r="AY295" i="15" s="1"/>
  <c r="AX294" i="15"/>
  <c r="AY294" i="15" s="1"/>
  <c r="AX293" i="15"/>
  <c r="AY293" i="15" s="1"/>
  <c r="AX286" i="15"/>
  <c r="AY286" i="15" s="1"/>
  <c r="AI285" i="15"/>
  <c r="AF285" i="15"/>
  <c r="AX282" i="15"/>
  <c r="AY282" i="15" s="1"/>
  <c r="AX281" i="15"/>
  <c r="AY281" i="15" s="1"/>
  <c r="AI280" i="15"/>
  <c r="AD280" i="15"/>
  <c r="AU279" i="15"/>
  <c r="AR281" i="34" s="1"/>
  <c r="AX278" i="15"/>
  <c r="AY278" i="15" s="1"/>
  <c r="AE275" i="15"/>
  <c r="AX274" i="15"/>
  <c r="AY274" i="15" s="1"/>
  <c r="AX273" i="15"/>
  <c r="AY273" i="15" s="1"/>
  <c r="AU272" i="15"/>
  <c r="AR274" i="34" s="1"/>
  <c r="AG270" i="15"/>
  <c r="AE270" i="15"/>
  <c r="AX268" i="15"/>
  <c r="AY268" i="15" s="1"/>
  <c r="AX267" i="15"/>
  <c r="AY267" i="15" s="1"/>
  <c r="AU266" i="15"/>
  <c r="AR268" i="34" s="1"/>
  <c r="AU264" i="15"/>
  <c r="AR266" i="34" s="1"/>
  <c r="AU263" i="15"/>
  <c r="AR265" i="34" s="1"/>
  <c r="AX262" i="15"/>
  <c r="AY262" i="15" s="1"/>
  <c r="AU260" i="15"/>
  <c r="AR262" i="34" s="1"/>
  <c r="AX259" i="15"/>
  <c r="AY259" i="15" s="1"/>
  <c r="AX255" i="15"/>
  <c r="AY255" i="15" s="1"/>
  <c r="AI254" i="15"/>
  <c r="AE254" i="15"/>
  <c r="AU252" i="15"/>
  <c r="AR254" i="34" s="1"/>
  <c r="AX251" i="15"/>
  <c r="AY251" i="15" s="1"/>
  <c r="AX248" i="15"/>
  <c r="AY248" i="15" s="1"/>
  <c r="K242" i="36"/>
  <c r="AX246" i="15"/>
  <c r="AY246" i="15" s="1"/>
  <c r="AC245" i="15"/>
  <c r="AX244" i="15"/>
  <c r="AY244" i="15" s="1"/>
  <c r="AX243" i="15"/>
  <c r="AY243" i="15" s="1"/>
  <c r="AH242" i="15"/>
  <c r="AG241" i="15"/>
  <c r="AH240" i="15"/>
  <c r="AU239" i="15"/>
  <c r="AR241" i="34" s="1"/>
  <c r="AX238" i="15"/>
  <c r="AY238" i="15" s="1"/>
  <c r="AG237" i="15"/>
  <c r="AH235" i="15"/>
  <c r="AH233" i="15"/>
  <c r="AG232" i="15"/>
  <c r="AE231" i="15"/>
  <c r="K226" i="36"/>
  <c r="AX230" i="15"/>
  <c r="AY230" i="15" s="1"/>
  <c r="AU229" i="15"/>
  <c r="AR231" i="34" s="1"/>
  <c r="K224" i="36"/>
  <c r="AX228" i="15"/>
  <c r="AY228" i="15" s="1"/>
  <c r="AH224" i="15"/>
  <c r="AX223" i="15"/>
  <c r="AY223" i="15" s="1"/>
  <c r="AH222" i="15"/>
  <c r="AU221" i="15"/>
  <c r="AR223" i="34" s="1"/>
  <c r="AX220" i="15"/>
  <c r="AY220" i="15" s="1"/>
  <c r="AU219" i="15"/>
  <c r="AR221" i="34" s="1"/>
  <c r="AU218" i="15"/>
  <c r="AR220" i="34" s="1"/>
  <c r="AX217" i="15"/>
  <c r="AY217" i="15" s="1"/>
  <c r="AF216" i="15"/>
  <c r="AH214" i="15"/>
  <c r="AE214" i="15"/>
  <c r="AU213" i="15"/>
  <c r="AR215" i="34" s="1"/>
  <c r="AU211" i="15"/>
  <c r="AR213" i="34" s="1"/>
  <c r="AI210" i="15"/>
  <c r="AF210" i="15"/>
  <c r="AX208" i="15"/>
  <c r="AY208" i="15" s="1"/>
  <c r="AU207" i="15"/>
  <c r="AR209" i="34" s="1"/>
  <c r="AH206" i="15"/>
  <c r="AX205" i="15"/>
  <c r="AY205" i="15" s="1"/>
  <c r="AX203" i="15"/>
  <c r="AY203" i="15" s="1"/>
  <c r="AX198" i="15"/>
  <c r="AY198" i="15" s="1"/>
  <c r="AX196" i="15"/>
  <c r="AY196" i="15" s="1"/>
  <c r="K188" i="36"/>
  <c r="AU192" i="15"/>
  <c r="AR194" i="34" s="1"/>
  <c r="AD187" i="15"/>
  <c r="AI186" i="15"/>
  <c r="AX185" i="15"/>
  <c r="AY185" i="15" s="1"/>
  <c r="AX183" i="15"/>
  <c r="AY183" i="15" s="1"/>
  <c r="AU182" i="15"/>
  <c r="AR184" i="34" s="1"/>
  <c r="AF180" i="15"/>
  <c r="AX179" i="15"/>
  <c r="AY179" i="15" s="1"/>
  <c r="AU178" i="15"/>
  <c r="AR180" i="34" s="1"/>
  <c r="AX173" i="15"/>
  <c r="AY173" i="15" s="1"/>
  <c r="AD172" i="15"/>
  <c r="AU170" i="15"/>
  <c r="AR172" i="34" s="1"/>
  <c r="AI169" i="15"/>
  <c r="AI168" i="15"/>
  <c r="AF168" i="15"/>
  <c r="AU167" i="15"/>
  <c r="AR169" i="34" s="1"/>
  <c r="AX166" i="15"/>
  <c r="AY166" i="15" s="1"/>
  <c r="AX165" i="15"/>
  <c r="AY165" i="15" s="1"/>
  <c r="AU161" i="15"/>
  <c r="AR163" i="34" s="1"/>
  <c r="AX160" i="15"/>
  <c r="AY160" i="15" s="1"/>
  <c r="BH159" i="15"/>
  <c r="AU158" i="15"/>
  <c r="AR160" i="34" s="1"/>
  <c r="AU155" i="15"/>
  <c r="AR157" i="34" s="1"/>
  <c r="AI154" i="15"/>
  <c r="AX153" i="15"/>
  <c r="AY153" i="15" s="1"/>
  <c r="AX151" i="15"/>
  <c r="AY151" i="15" s="1"/>
  <c r="AX149" i="15"/>
  <c r="AY149" i="15" s="1"/>
  <c r="AX148" i="15"/>
  <c r="AY148" i="15" s="1"/>
  <c r="AX145" i="15"/>
  <c r="AY145" i="15" s="1"/>
  <c r="AX144" i="15"/>
  <c r="AY144" i="15" s="1"/>
  <c r="AH143" i="15"/>
  <c r="AU142" i="15"/>
  <c r="AR144" i="34" s="1"/>
  <c r="AU141" i="15"/>
  <c r="AR143" i="34" s="1"/>
  <c r="AU140" i="15"/>
  <c r="AR142" i="34" s="1"/>
  <c r="AU139" i="15"/>
  <c r="AR141" i="34" s="1"/>
  <c r="AU138" i="15"/>
  <c r="AR140" i="34" s="1"/>
  <c r="AX137" i="15"/>
  <c r="AY137" i="15" s="1"/>
  <c r="AU136" i="15"/>
  <c r="AR138" i="34" s="1"/>
  <c r="AX135" i="15"/>
  <c r="AY135" i="15" s="1"/>
  <c r="AI134" i="15"/>
  <c r="AH134" i="15"/>
  <c r="AD134" i="15"/>
  <c r="AX133" i="15"/>
  <c r="AY133" i="15" s="1"/>
  <c r="AX132" i="15"/>
  <c r="AY132" i="15" s="1"/>
  <c r="AI130" i="15"/>
  <c r="AX129" i="15"/>
  <c r="AY129" i="15" s="1"/>
  <c r="AI128" i="15"/>
  <c r="AE128" i="15"/>
  <c r="AX127" i="15"/>
  <c r="AY127" i="15" s="1"/>
  <c r="AX126" i="15"/>
  <c r="AY126" i="15" s="1"/>
  <c r="AU125" i="15"/>
  <c r="AR127" i="34" s="1"/>
  <c r="AX124" i="15"/>
  <c r="AY124" i="15" s="1"/>
  <c r="AX123" i="15"/>
  <c r="AY123" i="15" s="1"/>
  <c r="AU122" i="15"/>
  <c r="AR124" i="34" s="1"/>
  <c r="AH118" i="15"/>
  <c r="AF118" i="15"/>
  <c r="AD118" i="15"/>
  <c r="AX117" i="15"/>
  <c r="AY117" i="15" s="1"/>
  <c r="AU116" i="15"/>
  <c r="AR118" i="34" s="1"/>
  <c r="AX114" i="15"/>
  <c r="AY114" i="15" s="1"/>
  <c r="AX113" i="15"/>
  <c r="AY113" i="15" s="1"/>
  <c r="AH112" i="15"/>
  <c r="AF112" i="15"/>
  <c r="AI111" i="15"/>
  <c r="AF111" i="15"/>
  <c r="AU110" i="15"/>
  <c r="AR112" i="34" s="1"/>
  <c r="AU107" i="15"/>
  <c r="AR109" i="34" s="1"/>
  <c r="AX104" i="15"/>
  <c r="AY104" i="15" s="1"/>
  <c r="AU99" i="15"/>
  <c r="AR101" i="34" s="1"/>
  <c r="AI98" i="15"/>
  <c r="AG98" i="15"/>
  <c r="AF98" i="15"/>
  <c r="AE98" i="15"/>
  <c r="AD98" i="15"/>
  <c r="AX97" i="15"/>
  <c r="AY97" i="15" s="1"/>
  <c r="AU96" i="15"/>
  <c r="AR98" i="34" s="1"/>
  <c r="AU94" i="15"/>
  <c r="AR96" i="34" s="1"/>
  <c r="K89" i="36"/>
  <c r="AE93" i="15"/>
  <c r="AX91" i="15"/>
  <c r="AY91" i="15" s="1"/>
  <c r="AX90" i="15"/>
  <c r="AY90" i="15" s="1"/>
  <c r="AC89" i="15"/>
  <c r="AA89" i="15"/>
  <c r="AH88" i="15"/>
  <c r="AG87" i="15"/>
  <c r="AG85" i="15"/>
  <c r="AF84" i="15"/>
  <c r="AX83" i="15"/>
  <c r="AY83" i="15" s="1"/>
  <c r="AH82" i="15"/>
  <c r="AX81" i="15"/>
  <c r="AY81" i="15" s="1"/>
  <c r="AU80" i="15"/>
  <c r="AR82" i="34" s="1"/>
  <c r="AX76" i="15"/>
  <c r="AY76" i="15" s="1"/>
  <c r="AX75" i="15"/>
  <c r="AY75" i="15" s="1"/>
  <c r="BO74" i="15"/>
  <c r="BP74" i="15" s="1"/>
  <c r="AU72" i="15"/>
  <c r="AR74" i="34" s="1"/>
  <c r="AF65" i="15"/>
  <c r="AX64" i="15"/>
  <c r="AY64" i="15" s="1"/>
  <c r="AX60" i="15"/>
  <c r="AY60" i="15" s="1"/>
  <c r="AU58" i="15"/>
  <c r="AR60" i="34" s="1"/>
  <c r="AX56" i="15"/>
  <c r="AY56" i="15" s="1"/>
  <c r="AG55" i="15"/>
  <c r="AU54" i="15"/>
  <c r="AR56" i="34" s="1"/>
  <c r="AD49" i="15"/>
  <c r="AX47" i="15"/>
  <c r="AY47" i="15" s="1"/>
  <c r="AX46" i="15"/>
  <c r="AY46" i="15" s="1"/>
  <c r="AX45" i="15"/>
  <c r="AY45" i="15" s="1"/>
  <c r="AX43" i="15"/>
  <c r="AY43" i="15" s="1"/>
  <c r="AX42" i="15"/>
  <c r="AY42" i="15" s="1"/>
  <c r="AX39" i="15"/>
  <c r="AY39" i="15" s="1"/>
  <c r="AX38" i="15"/>
  <c r="AY38" i="15" s="1"/>
  <c r="AX37" i="15"/>
  <c r="AY37" i="15" s="1"/>
  <c r="AU36" i="15"/>
  <c r="AR38" i="34" s="1"/>
  <c r="AE35" i="15"/>
  <c r="AD35" i="15"/>
  <c r="AX32" i="15"/>
  <c r="AY32" i="15" s="1"/>
  <c r="AX31" i="15"/>
  <c r="AY31" i="15" s="1"/>
  <c r="AX30" i="15"/>
  <c r="AY30" i="15" s="1"/>
  <c r="AX25" i="15"/>
  <c r="AY25" i="15" s="1"/>
  <c r="AF24" i="15"/>
  <c r="K19" i="36"/>
  <c r="AX22" i="15"/>
  <c r="AY22" i="15" s="1"/>
  <c r="AX21" i="15"/>
  <c r="AY21" i="15" s="1"/>
  <c r="AF19" i="15"/>
  <c r="K14" i="36"/>
  <c r="AH18" i="15"/>
  <c r="AG18" i="15"/>
  <c r="AU17" i="15"/>
  <c r="AR19" i="34" s="1"/>
  <c r="AX16" i="15"/>
  <c r="AY16" i="15" s="1"/>
  <c r="AX15" i="15"/>
  <c r="AY15" i="15" s="1"/>
  <c r="AX14" i="15"/>
  <c r="AY14" i="15" s="1"/>
  <c r="AX13" i="15"/>
  <c r="AY13" i="15" s="1"/>
  <c r="AX12" i="15"/>
  <c r="AY12" i="15" s="1"/>
  <c r="AZ12" i="15"/>
  <c r="AZ11" i="15"/>
  <c r="AZ10" i="15"/>
  <c r="AX10" i="15"/>
  <c r="AY10" i="15" s="1"/>
  <c r="AX9" i="15"/>
  <c r="AY9" i="15" s="1"/>
  <c r="AX8" i="15"/>
  <c r="AY8" i="15" s="1"/>
  <c r="AY8" i="10"/>
  <c r="AY304" i="10"/>
  <c r="AY303" i="10"/>
  <c r="AY302" i="10"/>
  <c r="AY301" i="10"/>
  <c r="AY300" i="10"/>
  <c r="AY299" i="10"/>
  <c r="AY298" i="10"/>
  <c r="AY297" i="10"/>
  <c r="AY296" i="10"/>
  <c r="AY295" i="10"/>
  <c r="AY294" i="10"/>
  <c r="AY293" i="10"/>
  <c r="AY292" i="10"/>
  <c r="AY291" i="10"/>
  <c r="AY290" i="10"/>
  <c r="AY289" i="10"/>
  <c r="AY288" i="10"/>
  <c r="AY287" i="10"/>
  <c r="AY286" i="10"/>
  <c r="AY285" i="10"/>
  <c r="AY284" i="10"/>
  <c r="AY283" i="10"/>
  <c r="AY282" i="10"/>
  <c r="AY281" i="10"/>
  <c r="AY280" i="10"/>
  <c r="AY279" i="10"/>
  <c r="AY278" i="10"/>
  <c r="AY277" i="10"/>
  <c r="AY276" i="10"/>
  <c r="AY275" i="10"/>
  <c r="AY274" i="10"/>
  <c r="AY273" i="10"/>
  <c r="AY272" i="10"/>
  <c r="AY271" i="10"/>
  <c r="AY270" i="10"/>
  <c r="AY269" i="10"/>
  <c r="AY268" i="10"/>
  <c r="AY267" i="10"/>
  <c r="AY266" i="10"/>
  <c r="AY265" i="10"/>
  <c r="AY264" i="10"/>
  <c r="AY263" i="10"/>
  <c r="AY262" i="10"/>
  <c r="AY261" i="10"/>
  <c r="AY260" i="10"/>
  <c r="AY259" i="10"/>
  <c r="AY258" i="10"/>
  <c r="AY257" i="10"/>
  <c r="AY256" i="10"/>
  <c r="AY255" i="10"/>
  <c r="AY254" i="10"/>
  <c r="AY253" i="10"/>
  <c r="AY252" i="10"/>
  <c r="AY251" i="10"/>
  <c r="AY250" i="10"/>
  <c r="AY249" i="10"/>
  <c r="AY248" i="10"/>
  <c r="AY247" i="10"/>
  <c r="AY246" i="10"/>
  <c r="AY245" i="10"/>
  <c r="AY244" i="10"/>
  <c r="AY243" i="10"/>
  <c r="AY242" i="10"/>
  <c r="AY241" i="10"/>
  <c r="AY240" i="10"/>
  <c r="AY239" i="10"/>
  <c r="AY238" i="10"/>
  <c r="AY237" i="10"/>
  <c r="AY236" i="10"/>
  <c r="AY235" i="10"/>
  <c r="AY234" i="10"/>
  <c r="AY233" i="10"/>
  <c r="AY232" i="10"/>
  <c r="AY231" i="10"/>
  <c r="AY230" i="10"/>
  <c r="AY229" i="10"/>
  <c r="AY228" i="10"/>
  <c r="AY227" i="10"/>
  <c r="AY226" i="10"/>
  <c r="AY225" i="10"/>
  <c r="AY224" i="10"/>
  <c r="AY223" i="10"/>
  <c r="AY222" i="10"/>
  <c r="AY221" i="10"/>
  <c r="AY220" i="10"/>
  <c r="AY219" i="10"/>
  <c r="AY218" i="10"/>
  <c r="AY217" i="10"/>
  <c r="AY216" i="10"/>
  <c r="AY215" i="10"/>
  <c r="AY214" i="10"/>
  <c r="AY213" i="10"/>
  <c r="AY212" i="10"/>
  <c r="AY211" i="10"/>
  <c r="AY210" i="10"/>
  <c r="AY209" i="10"/>
  <c r="AY208" i="10"/>
  <c r="AY207" i="10"/>
  <c r="AY206" i="10"/>
  <c r="AY205" i="10"/>
  <c r="AY204" i="10"/>
  <c r="AY203" i="10"/>
  <c r="AY202" i="10"/>
  <c r="AY201" i="10"/>
  <c r="AY200" i="10"/>
  <c r="AY199" i="10"/>
  <c r="AY198" i="10"/>
  <c r="AY197" i="10"/>
  <c r="AY196" i="10"/>
  <c r="AY195" i="10"/>
  <c r="AY194" i="10"/>
  <c r="AY193" i="10"/>
  <c r="AY192" i="10"/>
  <c r="AY191" i="10"/>
  <c r="AY190" i="10"/>
  <c r="AY189" i="10"/>
  <c r="AY188" i="10"/>
  <c r="AY187" i="10"/>
  <c r="AY186" i="10"/>
  <c r="AY185" i="10"/>
  <c r="AY184" i="10"/>
  <c r="AY183" i="10"/>
  <c r="AY182" i="10"/>
  <c r="AY181" i="10"/>
  <c r="AY180" i="10"/>
  <c r="AY179" i="10"/>
  <c r="AY178" i="10"/>
  <c r="AY177" i="10"/>
  <c r="AY176" i="10"/>
  <c r="AY175" i="10"/>
  <c r="AY174" i="10"/>
  <c r="AY173" i="10"/>
  <c r="AY172" i="10"/>
  <c r="AY171" i="10"/>
  <c r="AY170" i="10"/>
  <c r="AY169" i="10"/>
  <c r="AY168" i="10"/>
  <c r="AY167" i="10"/>
  <c r="AY166" i="10"/>
  <c r="AY165" i="10"/>
  <c r="AY164" i="10"/>
  <c r="AY163" i="10"/>
  <c r="AY162" i="10"/>
  <c r="AY161" i="10"/>
  <c r="AY160" i="10"/>
  <c r="AY159" i="10"/>
  <c r="AY158" i="10"/>
  <c r="AY157" i="10"/>
  <c r="AY156" i="10"/>
  <c r="AY155" i="10"/>
  <c r="AY154" i="10"/>
  <c r="AY153" i="10"/>
  <c r="AY152" i="10"/>
  <c r="AY151" i="10"/>
  <c r="AY150" i="10"/>
  <c r="AY149" i="10"/>
  <c r="AY148" i="10"/>
  <c r="AY147" i="10"/>
  <c r="AY146" i="10"/>
  <c r="AY145" i="10"/>
  <c r="AY144" i="10"/>
  <c r="AY143" i="10"/>
  <c r="AY142" i="10"/>
  <c r="AY141" i="10"/>
  <c r="AY140" i="10"/>
  <c r="AY139" i="10"/>
  <c r="AY138" i="10"/>
  <c r="AY137" i="10"/>
  <c r="AY136" i="10"/>
  <c r="AY135" i="10"/>
  <c r="AY134" i="10"/>
  <c r="AY133" i="10"/>
  <c r="AY132" i="10"/>
  <c r="AY131" i="10"/>
  <c r="AY130" i="10"/>
  <c r="AY129" i="10"/>
  <c r="AY128" i="10"/>
  <c r="AY127" i="10"/>
  <c r="AY126" i="10"/>
  <c r="AY125" i="10"/>
  <c r="AY124" i="10"/>
  <c r="AY123" i="10"/>
  <c r="AY122" i="10"/>
  <c r="AY121" i="10"/>
  <c r="AY120" i="10"/>
  <c r="AY119" i="10"/>
  <c r="AY118" i="10"/>
  <c r="AY117" i="10"/>
  <c r="AY116" i="10"/>
  <c r="AY115" i="10"/>
  <c r="AY114" i="10"/>
  <c r="AY113" i="10"/>
  <c r="AY112" i="10"/>
  <c r="AY111" i="10"/>
  <c r="AY110" i="10"/>
  <c r="AY109" i="10"/>
  <c r="AY108" i="10"/>
  <c r="AY107" i="10"/>
  <c r="AY106" i="10"/>
  <c r="AY105" i="10"/>
  <c r="AY104" i="10"/>
  <c r="AY103" i="10"/>
  <c r="AY102" i="10"/>
  <c r="AY101" i="10"/>
  <c r="AY100" i="10"/>
  <c r="AY99" i="10"/>
  <c r="AY98" i="10"/>
  <c r="AY97" i="10"/>
  <c r="AY96" i="10"/>
  <c r="AY95" i="10"/>
  <c r="AY94" i="10"/>
  <c r="AY93" i="10"/>
  <c r="AY92" i="10"/>
  <c r="AY91" i="10"/>
  <c r="AY90" i="10"/>
  <c r="AY89" i="10"/>
  <c r="AY88" i="10"/>
  <c r="AY87" i="10"/>
  <c r="AY86" i="10"/>
  <c r="AY85" i="10"/>
  <c r="AY84" i="10"/>
  <c r="AY83" i="10"/>
  <c r="AY82" i="10"/>
  <c r="AY81" i="10"/>
  <c r="AY80" i="10"/>
  <c r="AY79" i="10"/>
  <c r="AY78" i="10"/>
  <c r="AY77" i="10"/>
  <c r="AY76" i="10"/>
  <c r="AY75" i="10"/>
  <c r="AY74" i="10"/>
  <c r="AY73" i="10"/>
  <c r="AY72" i="10"/>
  <c r="AY71" i="10"/>
  <c r="AY70" i="10"/>
  <c r="AY69" i="10"/>
  <c r="AY68" i="10"/>
  <c r="AY67" i="10"/>
  <c r="AY66" i="10"/>
  <c r="AY65" i="10"/>
  <c r="AY64" i="10"/>
  <c r="AY63" i="10"/>
  <c r="AY62" i="10"/>
  <c r="AY61" i="10"/>
  <c r="AY60" i="10"/>
  <c r="AY59" i="10"/>
  <c r="AY58" i="10"/>
  <c r="AY57" i="10"/>
  <c r="AY56" i="10"/>
  <c r="AY55" i="10"/>
  <c r="AY54" i="10"/>
  <c r="AY53" i="10"/>
  <c r="AY52" i="10"/>
  <c r="AY51" i="10"/>
  <c r="AY50" i="10"/>
  <c r="AY49" i="10"/>
  <c r="AY48" i="10"/>
  <c r="AY47" i="10"/>
  <c r="AY46" i="10"/>
  <c r="AY45" i="10"/>
  <c r="AY44" i="10"/>
  <c r="AY43" i="10"/>
  <c r="AY42" i="10"/>
  <c r="AY41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X7" i="10"/>
  <c r="AI11" i="8"/>
  <c r="AN11" i="8" s="1"/>
  <c r="AT128" i="15" l="1"/>
  <c r="AT18" i="15"/>
  <c r="AT35" i="15"/>
  <c r="AT134" i="15"/>
  <c r="AT210" i="15"/>
  <c r="AT214" i="15"/>
  <c r="BH231" i="15"/>
  <c r="AT231" i="15"/>
  <c r="BH245" i="15"/>
  <c r="AT245" i="15"/>
  <c r="BH49" i="15"/>
  <c r="AT49" i="15"/>
  <c r="BH93" i="15"/>
  <c r="AT93" i="15"/>
  <c r="BH143" i="15"/>
  <c r="AT143" i="15"/>
  <c r="BH180" i="15"/>
  <c r="AT180" i="15"/>
  <c r="BH206" i="15"/>
  <c r="AT206" i="15"/>
  <c r="BH232" i="15"/>
  <c r="AT232" i="15"/>
  <c r="BH280" i="15"/>
  <c r="AT280" i="15"/>
  <c r="BH233" i="15"/>
  <c r="AT233" i="15"/>
  <c r="BH55" i="15"/>
  <c r="AT55" i="15"/>
  <c r="BH82" i="15"/>
  <c r="AT82" i="15"/>
  <c r="AT111" i="15"/>
  <c r="BH235" i="15"/>
  <c r="AT235" i="15"/>
  <c r="BH222" i="15"/>
  <c r="AT222" i="15"/>
  <c r="BH237" i="15"/>
  <c r="AT237" i="15"/>
  <c r="BH19" i="15"/>
  <c r="AT19" i="15"/>
  <c r="BH84" i="15"/>
  <c r="AT84" i="15"/>
  <c r="AT112" i="15"/>
  <c r="AT168" i="15"/>
  <c r="BH186" i="15"/>
  <c r="AT186" i="15"/>
  <c r="AT270" i="15"/>
  <c r="AT285" i="15"/>
  <c r="BH85" i="15"/>
  <c r="AT85" i="15"/>
  <c r="AT98" i="15"/>
  <c r="BH187" i="15"/>
  <c r="AT187" i="15"/>
  <c r="BH224" i="15"/>
  <c r="AT224" i="15"/>
  <c r="AT254" i="15"/>
  <c r="BH87" i="15"/>
  <c r="AT87" i="15"/>
  <c r="BH169" i="15"/>
  <c r="AT169" i="15"/>
  <c r="BH240" i="15"/>
  <c r="AT240" i="15"/>
  <c r="BH65" i="15"/>
  <c r="AT65" i="15"/>
  <c r="BH88" i="15"/>
  <c r="AT88" i="15"/>
  <c r="BH154" i="15"/>
  <c r="AT154" i="15"/>
  <c r="BH241" i="15"/>
  <c r="AT241" i="15"/>
  <c r="BH24" i="15"/>
  <c r="AT24" i="15"/>
  <c r="AT89" i="15"/>
  <c r="BH172" i="15"/>
  <c r="AT172" i="15"/>
  <c r="BH242" i="15"/>
  <c r="AT242" i="15"/>
  <c r="BH216" i="15"/>
  <c r="AT216" i="15"/>
  <c r="BH275" i="15"/>
  <c r="AT275" i="15"/>
  <c r="AT118" i="15"/>
  <c r="BH130" i="15"/>
  <c r="AT130" i="15"/>
  <c r="BH111" i="15"/>
  <c r="BH18" i="15"/>
  <c r="BH35" i="15"/>
  <c r="BH134" i="15"/>
  <c r="BH98" i="15"/>
  <c r="BH210" i="15"/>
  <c r="BH254" i="15"/>
  <c r="BH128" i="15"/>
  <c r="BH214" i="15"/>
  <c r="BH112" i="15"/>
  <c r="BH168" i="15"/>
  <c r="BH270" i="15"/>
  <c r="BH285" i="15"/>
  <c r="BH89" i="15"/>
  <c r="BH118" i="15"/>
  <c r="AE90" i="31"/>
  <c r="AP90" i="31" s="1"/>
  <c r="AG395" i="31"/>
  <c r="AI395" i="31"/>
  <c r="AJ395" i="31"/>
  <c r="AE395" i="31"/>
  <c r="AH395" i="31"/>
  <c r="AL395" i="31"/>
  <c r="AM395" i="31"/>
  <c r="AF395" i="31"/>
  <c r="AK395" i="31"/>
  <c r="AB100" i="35"/>
  <c r="AB100" i="31"/>
  <c r="AA136" i="31"/>
  <c r="AE441" i="31"/>
  <c r="AG441" i="31"/>
  <c r="AM441" i="31"/>
  <c r="AI441" i="31"/>
  <c r="AK441" i="31"/>
  <c r="AA441" i="31"/>
  <c r="AF441" i="31"/>
  <c r="AL441" i="31"/>
  <c r="AD441" i="31"/>
  <c r="AC441" i="31"/>
  <c r="AJ441" i="31"/>
  <c r="AH441" i="31"/>
  <c r="AB441" i="31"/>
  <c r="AE216" i="35"/>
  <c r="AE216" i="31"/>
  <c r="X91" i="31"/>
  <c r="AG396" i="31"/>
  <c r="Z396" i="31"/>
  <c r="AD396" i="31"/>
  <c r="AL396" i="31"/>
  <c r="AJ396" i="31"/>
  <c r="AA396" i="31"/>
  <c r="AE396" i="31"/>
  <c r="AH396" i="31"/>
  <c r="AI396" i="31"/>
  <c r="AC396" i="31"/>
  <c r="AK396" i="31"/>
  <c r="AM396" i="31"/>
  <c r="X396" i="31"/>
  <c r="AB396" i="31"/>
  <c r="AF396" i="31"/>
  <c r="Y396" i="31"/>
  <c r="AE136" i="35"/>
  <c r="AE136" i="31"/>
  <c r="AC182" i="31"/>
  <c r="AP182" i="31" s="1"/>
  <c r="AI487" i="31"/>
  <c r="AE487" i="31"/>
  <c r="AK487" i="31"/>
  <c r="AF487" i="31"/>
  <c r="AC487" i="31"/>
  <c r="AD487" i="31"/>
  <c r="AH487" i="31"/>
  <c r="AJ487" i="31"/>
  <c r="AG487" i="31"/>
  <c r="AL487" i="31"/>
  <c r="AM487" i="31"/>
  <c r="AC218" i="31"/>
  <c r="AP218" i="31" s="1"/>
  <c r="AJ523" i="31"/>
  <c r="AK523" i="31"/>
  <c r="AE523" i="31"/>
  <c r="AG523" i="31"/>
  <c r="AM523" i="31"/>
  <c r="AC523" i="31"/>
  <c r="AL523" i="31"/>
  <c r="AI523" i="31"/>
  <c r="AD523" i="31"/>
  <c r="AH523" i="31"/>
  <c r="AF523" i="31"/>
  <c r="AE20" i="35"/>
  <c r="AE20" i="31"/>
  <c r="Z91" i="35"/>
  <c r="Z91" i="31"/>
  <c r="AF136" i="35"/>
  <c r="AF136" i="31"/>
  <c r="AF100" i="35"/>
  <c r="AF100" i="31"/>
  <c r="AH326" i="31"/>
  <c r="AI326" i="31"/>
  <c r="AJ326" i="31"/>
  <c r="AG326" i="31"/>
  <c r="AK326" i="31"/>
  <c r="AF326" i="31"/>
  <c r="AL326" i="31"/>
  <c r="AE326" i="31"/>
  <c r="AC326" i="31"/>
  <c r="AD326" i="31"/>
  <c r="AM326" i="31"/>
  <c r="AB233" i="31"/>
  <c r="AP233" i="31" s="1"/>
  <c r="AH538" i="31"/>
  <c r="AC538" i="31"/>
  <c r="AI538" i="31"/>
  <c r="AJ538" i="31"/>
  <c r="AG538" i="31"/>
  <c r="AD538" i="31"/>
  <c r="AM538" i="31"/>
  <c r="AK538" i="31"/>
  <c r="AB538" i="31"/>
  <c r="AE538" i="31"/>
  <c r="AF538" i="31"/>
  <c r="AL538" i="31"/>
  <c r="AB272" i="31"/>
  <c r="AC577" i="31"/>
  <c r="AM577" i="31"/>
  <c r="AB577" i="31"/>
  <c r="AD577" i="31"/>
  <c r="AI577" i="31"/>
  <c r="AF577" i="31"/>
  <c r="AE577" i="31"/>
  <c r="AK577" i="31"/>
  <c r="AH577" i="31"/>
  <c r="AJ577" i="31"/>
  <c r="AG577" i="31"/>
  <c r="AL577" i="31"/>
  <c r="AF282" i="35"/>
  <c r="AF282" i="31"/>
  <c r="AB95" i="31"/>
  <c r="AP95" i="31" s="1"/>
  <c r="AB400" i="31"/>
  <c r="AH400" i="31"/>
  <c r="AJ400" i="31"/>
  <c r="AG400" i="31"/>
  <c r="AF400" i="31"/>
  <c r="AE400" i="31"/>
  <c r="AK400" i="31"/>
  <c r="AM400" i="31"/>
  <c r="AL400" i="31"/>
  <c r="AD400" i="31"/>
  <c r="AC400" i="31"/>
  <c r="AI400" i="31"/>
  <c r="AA120" i="31"/>
  <c r="AL425" i="31"/>
  <c r="AB425" i="31"/>
  <c r="AH425" i="31"/>
  <c r="AE425" i="31"/>
  <c r="AC425" i="31"/>
  <c r="AG425" i="31"/>
  <c r="AJ425" i="31"/>
  <c r="AM425" i="31"/>
  <c r="AA425" i="31"/>
  <c r="AI425" i="31"/>
  <c r="AF425" i="31"/>
  <c r="AK425" i="31"/>
  <c r="AD425" i="31"/>
  <c r="AF130" i="35"/>
  <c r="AF130" i="31"/>
  <c r="AF170" i="35"/>
  <c r="AF170" i="31"/>
  <c r="AD234" i="31"/>
  <c r="AP234" i="31" s="1"/>
  <c r="AG539" i="31"/>
  <c r="AM539" i="31"/>
  <c r="AE539" i="31"/>
  <c r="AJ539" i="31"/>
  <c r="AK539" i="31"/>
  <c r="AD539" i="31"/>
  <c r="AF539" i="31"/>
  <c r="AI539" i="31"/>
  <c r="AH539" i="31"/>
  <c r="AL539" i="31"/>
  <c r="AD272" i="35"/>
  <c r="AD272" i="31"/>
  <c r="AD57" i="31"/>
  <c r="AP57" i="31" s="1"/>
  <c r="AI362" i="31"/>
  <c r="AH362" i="31"/>
  <c r="AF362" i="31"/>
  <c r="AD362" i="31"/>
  <c r="AK362" i="31"/>
  <c r="AL362" i="31"/>
  <c r="AG362" i="31"/>
  <c r="AM362" i="31"/>
  <c r="AJ362" i="31"/>
  <c r="AE362" i="31"/>
  <c r="AE244" i="31"/>
  <c r="AP244" i="31" s="1"/>
  <c r="AL549" i="31"/>
  <c r="AK549" i="31"/>
  <c r="AI549" i="31"/>
  <c r="AE549" i="31"/>
  <c r="AG549" i="31"/>
  <c r="AJ549" i="31"/>
  <c r="AH549" i="31"/>
  <c r="AM549" i="31"/>
  <c r="AF549" i="31"/>
  <c r="AA282" i="31"/>
  <c r="AC587" i="31"/>
  <c r="AD587" i="31"/>
  <c r="AI587" i="31"/>
  <c r="AB587" i="31"/>
  <c r="AJ587" i="31"/>
  <c r="AG587" i="31"/>
  <c r="AF587" i="31"/>
  <c r="AH587" i="31"/>
  <c r="AK587" i="31"/>
  <c r="AM587" i="31"/>
  <c r="AE587" i="31"/>
  <c r="AL587" i="31"/>
  <c r="AA587" i="31"/>
  <c r="AB130" i="31"/>
  <c r="AK435" i="31"/>
  <c r="AM435" i="31"/>
  <c r="AJ435" i="31"/>
  <c r="AD435" i="31"/>
  <c r="AH435" i="31"/>
  <c r="AG435" i="31"/>
  <c r="AB435" i="31"/>
  <c r="AE435" i="31"/>
  <c r="AF435" i="31"/>
  <c r="AL435" i="31"/>
  <c r="AC435" i="31"/>
  <c r="AI435" i="31"/>
  <c r="AC170" i="31"/>
  <c r="AD475" i="31"/>
  <c r="AM475" i="31"/>
  <c r="AC475" i="31"/>
  <c r="AL475" i="31"/>
  <c r="AH475" i="31"/>
  <c r="AF475" i="31"/>
  <c r="AI475" i="31"/>
  <c r="AG475" i="31"/>
  <c r="AK475" i="31"/>
  <c r="AE475" i="31"/>
  <c r="AJ475" i="31"/>
  <c r="AE208" i="31"/>
  <c r="AP208" i="31" s="1"/>
  <c r="AJ513" i="31"/>
  <c r="AE513" i="31"/>
  <c r="AG513" i="31"/>
  <c r="AK513" i="31"/>
  <c r="AL513" i="31"/>
  <c r="AI513" i="31"/>
  <c r="AH513" i="31"/>
  <c r="AM513" i="31"/>
  <c r="AF513" i="31"/>
  <c r="AC120" i="35"/>
  <c r="AC120" i="31"/>
  <c r="AI310" i="15"/>
  <c r="E26" i="37" s="1"/>
  <c r="AF171" i="31"/>
  <c r="AP171" i="31" s="1"/>
  <c r="AG476" i="31"/>
  <c r="AI476" i="31"/>
  <c r="AH476" i="31"/>
  <c r="AL476" i="31"/>
  <c r="AK476" i="31"/>
  <c r="AJ476" i="31"/>
  <c r="AF476" i="31"/>
  <c r="AM476" i="31"/>
  <c r="AE235" i="31"/>
  <c r="AP235" i="31" s="1"/>
  <c r="AK540" i="31"/>
  <c r="AE540" i="31"/>
  <c r="AL540" i="31"/>
  <c r="AM540" i="31"/>
  <c r="AI540" i="31"/>
  <c r="AH540" i="31"/>
  <c r="AF540" i="31"/>
  <c r="AG540" i="31"/>
  <c r="AJ540" i="31"/>
  <c r="AD20" i="31"/>
  <c r="AE325" i="31"/>
  <c r="AF325" i="31"/>
  <c r="AH325" i="31"/>
  <c r="AD325" i="31"/>
  <c r="AG325" i="31"/>
  <c r="AJ325" i="31"/>
  <c r="AI325" i="31"/>
  <c r="AM325" i="31"/>
  <c r="AL325" i="31"/>
  <c r="AK325" i="31"/>
  <c r="AA37" i="31"/>
  <c r="AB342" i="31"/>
  <c r="AD342" i="31"/>
  <c r="AG342" i="31"/>
  <c r="AH342" i="31"/>
  <c r="AA342" i="31"/>
  <c r="AI342" i="31"/>
  <c r="AM342" i="31"/>
  <c r="AJ342" i="31"/>
  <c r="AK342" i="31"/>
  <c r="AL342" i="31"/>
  <c r="AC342" i="31"/>
  <c r="AE342" i="31"/>
  <c r="AF342" i="31"/>
  <c r="AE84" i="31"/>
  <c r="AP84" i="31" s="1"/>
  <c r="AI389" i="31"/>
  <c r="AF389" i="31"/>
  <c r="AG389" i="31"/>
  <c r="AJ389" i="31"/>
  <c r="AE389" i="31"/>
  <c r="AM389" i="31"/>
  <c r="AL389" i="31"/>
  <c r="AH389" i="31"/>
  <c r="AK389" i="31"/>
  <c r="AE120" i="35"/>
  <c r="AE120" i="31"/>
  <c r="AF132" i="31"/>
  <c r="AP132" i="31" s="1"/>
  <c r="AH437" i="31"/>
  <c r="AF437" i="31"/>
  <c r="AM437" i="31"/>
  <c r="AG437" i="31"/>
  <c r="AK437" i="31"/>
  <c r="AI437" i="31"/>
  <c r="AJ437" i="31"/>
  <c r="AL437" i="31"/>
  <c r="AC113" i="31"/>
  <c r="AM418" i="31"/>
  <c r="AH418" i="31"/>
  <c r="AK418" i="31"/>
  <c r="AI418" i="31"/>
  <c r="AC418" i="31"/>
  <c r="AD418" i="31"/>
  <c r="AL418" i="31"/>
  <c r="AG418" i="31"/>
  <c r="AJ418" i="31"/>
  <c r="AF418" i="31"/>
  <c r="AE418" i="31"/>
  <c r="AC86" i="31"/>
  <c r="AP86" i="31" s="1"/>
  <c r="AI391" i="31"/>
  <c r="AL391" i="31"/>
  <c r="AF391" i="31"/>
  <c r="AE391" i="31"/>
  <c r="AD391" i="31"/>
  <c r="AG391" i="31"/>
  <c r="AK391" i="31"/>
  <c r="AC391" i="31"/>
  <c r="AM391" i="31"/>
  <c r="AJ391" i="31"/>
  <c r="AH391" i="31"/>
  <c r="AF113" i="35"/>
  <c r="AF113" i="31"/>
  <c r="AE161" i="31"/>
  <c r="AP161" i="31" s="1"/>
  <c r="AI466" i="31"/>
  <c r="AL466" i="31"/>
  <c r="AH466" i="31"/>
  <c r="AJ466" i="31"/>
  <c r="AE466" i="31"/>
  <c r="AM466" i="31"/>
  <c r="AK466" i="31"/>
  <c r="AG466" i="31"/>
  <c r="AF466" i="31"/>
  <c r="AE226" i="31"/>
  <c r="AP226" i="31" s="1"/>
  <c r="AL531" i="31"/>
  <c r="AJ531" i="31"/>
  <c r="AH531" i="31"/>
  <c r="AF531" i="31"/>
  <c r="AM531" i="31"/>
  <c r="AK531" i="31"/>
  <c r="AE531" i="31"/>
  <c r="AG531" i="31"/>
  <c r="AI531" i="31"/>
  <c r="AF287" i="35"/>
  <c r="AF287" i="31"/>
  <c r="AC100" i="35"/>
  <c r="AC100" i="31"/>
  <c r="AF188" i="31"/>
  <c r="AP188" i="31" s="1"/>
  <c r="AG493" i="31"/>
  <c r="AK493" i="31"/>
  <c r="AH493" i="31"/>
  <c r="AF493" i="31"/>
  <c r="AJ493" i="31"/>
  <c r="AI493" i="31"/>
  <c r="AM493" i="31"/>
  <c r="AL493" i="31"/>
  <c r="AC212" i="31"/>
  <c r="AE517" i="31"/>
  <c r="AD517" i="31"/>
  <c r="AK517" i="31"/>
  <c r="AC517" i="31"/>
  <c r="AF517" i="31"/>
  <c r="AG517" i="31"/>
  <c r="AM517" i="31"/>
  <c r="AI517" i="31"/>
  <c r="AH517" i="31"/>
  <c r="AL517" i="31"/>
  <c r="AJ517" i="31"/>
  <c r="AE224" i="31"/>
  <c r="AP224" i="31" s="1"/>
  <c r="AI529" i="31"/>
  <c r="AM529" i="31"/>
  <c r="AL529" i="31"/>
  <c r="AE529" i="31"/>
  <c r="AJ529" i="31"/>
  <c r="AH529" i="31"/>
  <c r="AK529" i="31"/>
  <c r="AF529" i="31"/>
  <c r="AG529" i="31"/>
  <c r="AE237" i="31"/>
  <c r="AP237" i="31" s="1"/>
  <c r="AG542" i="31"/>
  <c r="AE542" i="31"/>
  <c r="AM542" i="31"/>
  <c r="AJ542" i="31"/>
  <c r="AH542" i="31"/>
  <c r="AL542" i="31"/>
  <c r="AI542" i="31"/>
  <c r="AK542" i="31"/>
  <c r="AF542" i="31"/>
  <c r="Z247" i="31"/>
  <c r="AP247" i="31" s="1"/>
  <c r="AB552" i="31"/>
  <c r="AC552" i="31"/>
  <c r="AJ552" i="31"/>
  <c r="AA552" i="31"/>
  <c r="AG552" i="31"/>
  <c r="AM552" i="31"/>
  <c r="AL552" i="31"/>
  <c r="AE552" i="31"/>
  <c r="AH552" i="31"/>
  <c r="AK552" i="31"/>
  <c r="AI552" i="31"/>
  <c r="Z552" i="31"/>
  <c r="AD552" i="31"/>
  <c r="AF552" i="31"/>
  <c r="AC26" i="31"/>
  <c r="AG331" i="31"/>
  <c r="AF331" i="31"/>
  <c r="AI331" i="31"/>
  <c r="AD331" i="31"/>
  <c r="AK331" i="31"/>
  <c r="AC331" i="31"/>
  <c r="AE331" i="31"/>
  <c r="AL331" i="31"/>
  <c r="AH331" i="31"/>
  <c r="AM331" i="31"/>
  <c r="AJ331" i="31"/>
  <c r="AC67" i="31"/>
  <c r="AP67" i="31" s="1"/>
  <c r="AJ372" i="31"/>
  <c r="AL372" i="31"/>
  <c r="AK372" i="31"/>
  <c r="AI372" i="31"/>
  <c r="AE372" i="31"/>
  <c r="AC372" i="31"/>
  <c r="AD372" i="31"/>
  <c r="AG372" i="31"/>
  <c r="AM372" i="31"/>
  <c r="AH372" i="31"/>
  <c r="AF372" i="31"/>
  <c r="AD87" i="31"/>
  <c r="AP87" i="31" s="1"/>
  <c r="AI392" i="31"/>
  <c r="AH392" i="31"/>
  <c r="AM392" i="31"/>
  <c r="AK392" i="31"/>
  <c r="AE392" i="31"/>
  <c r="AG392" i="31"/>
  <c r="AJ392" i="31"/>
  <c r="AD392" i="31"/>
  <c r="AF392" i="31"/>
  <c r="AL392" i="31"/>
  <c r="AC114" i="31"/>
  <c r="AE419" i="31"/>
  <c r="AC419" i="31"/>
  <c r="AL419" i="31"/>
  <c r="AI419" i="31"/>
  <c r="AK419" i="31"/>
  <c r="AG419" i="31"/>
  <c r="AJ419" i="31"/>
  <c r="AF419" i="31"/>
  <c r="AM419" i="31"/>
  <c r="AD419" i="31"/>
  <c r="AH419" i="31"/>
  <c r="AB277" i="31"/>
  <c r="AP277" i="31" s="1"/>
  <c r="AE582" i="31"/>
  <c r="AJ582" i="31"/>
  <c r="AK582" i="31"/>
  <c r="AC582" i="31"/>
  <c r="AG582" i="31"/>
  <c r="AB582" i="31"/>
  <c r="AF582" i="31"/>
  <c r="AH582" i="31"/>
  <c r="AM582" i="31"/>
  <c r="AI582" i="31"/>
  <c r="AL582" i="31"/>
  <c r="AD582" i="31"/>
  <c r="AA51" i="31"/>
  <c r="AP51" i="31" s="1"/>
  <c r="AE356" i="31"/>
  <c r="AL356" i="31"/>
  <c r="AA356" i="31"/>
  <c r="AD356" i="31"/>
  <c r="AB356" i="31"/>
  <c r="AI356" i="31"/>
  <c r="AM356" i="31"/>
  <c r="AF356" i="31"/>
  <c r="AC356" i="31"/>
  <c r="AG356" i="31"/>
  <c r="AJ356" i="31"/>
  <c r="AK356" i="31"/>
  <c r="AH356" i="31"/>
  <c r="AE242" i="31"/>
  <c r="AP242" i="31" s="1"/>
  <c r="AG547" i="31"/>
  <c r="AK547" i="31"/>
  <c r="AM547" i="31"/>
  <c r="AL547" i="31"/>
  <c r="AF547" i="31"/>
  <c r="AJ547" i="31"/>
  <c r="AI547" i="31"/>
  <c r="AE547" i="31"/>
  <c r="AH547" i="31"/>
  <c r="AE310" i="15"/>
  <c r="E22" i="37" s="1"/>
  <c r="AD100" i="35"/>
  <c r="AD100" i="31"/>
  <c r="AD243" i="31"/>
  <c r="AP243" i="31" s="1"/>
  <c r="AG548" i="31"/>
  <c r="AD548" i="31"/>
  <c r="AE548" i="31"/>
  <c r="AJ548" i="31"/>
  <c r="AI548" i="31"/>
  <c r="AM548" i="31"/>
  <c r="AL548" i="31"/>
  <c r="AK548" i="31"/>
  <c r="AH548" i="31"/>
  <c r="AF548" i="31"/>
  <c r="AB37" i="35"/>
  <c r="AB37" i="31"/>
  <c r="AA174" i="31"/>
  <c r="AP174" i="31" s="1"/>
  <c r="AK479" i="31"/>
  <c r="AH479" i="31"/>
  <c r="AC479" i="31"/>
  <c r="AD479" i="31"/>
  <c r="AM479" i="31"/>
  <c r="AL479" i="31"/>
  <c r="AE479" i="31"/>
  <c r="AF479" i="31"/>
  <c r="AJ479" i="31"/>
  <c r="AI479" i="31"/>
  <c r="AA479" i="31"/>
  <c r="AB479" i="31"/>
  <c r="AG479" i="31"/>
  <c r="AA189" i="31"/>
  <c r="AP189" i="31" s="1"/>
  <c r="AE494" i="31"/>
  <c r="AA494" i="31"/>
  <c r="AB494" i="31"/>
  <c r="AC494" i="31"/>
  <c r="AI494" i="31"/>
  <c r="AD494" i="31"/>
  <c r="AF494" i="31"/>
  <c r="AK494" i="31"/>
  <c r="AG494" i="31"/>
  <c r="AL494" i="31"/>
  <c r="AJ494" i="31"/>
  <c r="AM494" i="31"/>
  <c r="AH494" i="31"/>
  <c r="AF212" i="35"/>
  <c r="AF212" i="31"/>
  <c r="AD239" i="31"/>
  <c r="AP239" i="31" s="1"/>
  <c r="AG544" i="31"/>
  <c r="AM544" i="31"/>
  <c r="AL544" i="31"/>
  <c r="AJ544" i="31"/>
  <c r="AH544" i="31"/>
  <c r="AF544" i="31"/>
  <c r="AE544" i="31"/>
  <c r="AI544" i="31"/>
  <c r="AK544" i="31"/>
  <c r="AD544" i="31"/>
  <c r="AC287" i="31"/>
  <c r="AJ592" i="31"/>
  <c r="AF592" i="31"/>
  <c r="AL592" i="31"/>
  <c r="AM592" i="31"/>
  <c r="AD592" i="31"/>
  <c r="AG592" i="31"/>
  <c r="AI592" i="31"/>
  <c r="AE592" i="31"/>
  <c r="AC592" i="31"/>
  <c r="AH592" i="31"/>
  <c r="AK592" i="31"/>
  <c r="AD89" i="31"/>
  <c r="AP89" i="31" s="1"/>
  <c r="AG394" i="31"/>
  <c r="AD394" i="31"/>
  <c r="AF394" i="31"/>
  <c r="AH394" i="31"/>
  <c r="AE394" i="31"/>
  <c r="AK394" i="31"/>
  <c r="AJ394" i="31"/>
  <c r="AL394" i="31"/>
  <c r="AM394" i="31"/>
  <c r="AI394" i="31"/>
  <c r="AA100" i="31"/>
  <c r="AI405" i="31"/>
  <c r="AC405" i="31"/>
  <c r="AL405" i="31"/>
  <c r="AF405" i="31"/>
  <c r="AM405" i="31"/>
  <c r="AD405" i="31"/>
  <c r="AA405" i="31"/>
  <c r="AH405" i="31"/>
  <c r="AG405" i="31"/>
  <c r="AJ405" i="31"/>
  <c r="AK405" i="31"/>
  <c r="AE405" i="31"/>
  <c r="AB405" i="31"/>
  <c r="AE114" i="35"/>
  <c r="AE114" i="31"/>
  <c r="AE145" i="31"/>
  <c r="AP145" i="31" s="1"/>
  <c r="AM450" i="31"/>
  <c r="AE450" i="31"/>
  <c r="AH450" i="31"/>
  <c r="AI450" i="31"/>
  <c r="AK450" i="31"/>
  <c r="AJ450" i="31"/>
  <c r="AG450" i="31"/>
  <c r="AF450" i="31"/>
  <c r="AL450" i="31"/>
  <c r="AB216" i="31"/>
  <c r="AJ521" i="31"/>
  <c r="AC521" i="31"/>
  <c r="AB521" i="31"/>
  <c r="AD521" i="31"/>
  <c r="AI521" i="31"/>
  <c r="AH521" i="31"/>
  <c r="AE521" i="31"/>
  <c r="AF521" i="31"/>
  <c r="AK521" i="31"/>
  <c r="AL521" i="31"/>
  <c r="AG521" i="31"/>
  <c r="AM521" i="31"/>
  <c r="G16" i="37"/>
  <c r="G15" i="37"/>
  <c r="G17" i="37"/>
  <c r="G6" i="37"/>
  <c r="G19" i="37"/>
  <c r="G7" i="37"/>
  <c r="G8" i="37"/>
  <c r="G9" i="37"/>
  <c r="G10" i="37"/>
  <c r="G11" i="37"/>
  <c r="G12" i="37"/>
  <c r="G13" i="37"/>
  <c r="G14" i="37"/>
  <c r="AZ8" i="15"/>
  <c r="AJ307" i="15"/>
  <c r="AJ312" i="15" s="1"/>
  <c r="AJ311" i="15" s="1"/>
  <c r="BL65" i="15"/>
  <c r="BK65" i="15"/>
  <c r="AC67" i="35"/>
  <c r="BL154" i="15"/>
  <c r="BK154" i="15"/>
  <c r="BK168" i="15"/>
  <c r="BL168" i="15"/>
  <c r="AC170" i="35"/>
  <c r="AD239" i="35"/>
  <c r="BL237" i="15"/>
  <c r="BK237" i="15"/>
  <c r="AE244" i="35"/>
  <c r="BL242" i="15"/>
  <c r="BK242" i="15"/>
  <c r="BL285" i="15"/>
  <c r="BK285" i="15"/>
  <c r="AC287" i="35"/>
  <c r="BL88" i="15"/>
  <c r="BK88" i="15"/>
  <c r="AE90" i="35"/>
  <c r="AF132" i="35"/>
  <c r="BL130" i="15"/>
  <c r="BK130" i="15"/>
  <c r="AE226" i="35"/>
  <c r="BL224" i="15"/>
  <c r="BK224" i="15"/>
  <c r="BL214" i="15"/>
  <c r="BK214" i="15"/>
  <c r="AB216" i="35"/>
  <c r="BK270" i="15"/>
  <c r="AB272" i="35"/>
  <c r="BL270" i="15"/>
  <c r="AE84" i="35"/>
  <c r="BL82" i="15"/>
  <c r="BK82" i="15"/>
  <c r="AE208" i="35"/>
  <c r="BL206" i="15"/>
  <c r="BK206" i="15"/>
  <c r="AB233" i="35"/>
  <c r="BL231" i="15"/>
  <c r="BK231" i="15"/>
  <c r="BL89" i="15"/>
  <c r="BK89" i="15"/>
  <c r="X91" i="35"/>
  <c r="BL232" i="15"/>
  <c r="AD234" i="35"/>
  <c r="BK232" i="15"/>
  <c r="BL275" i="15"/>
  <c r="BK275" i="15"/>
  <c r="AB277" i="35"/>
  <c r="BK84" i="15"/>
  <c r="AC86" i="35"/>
  <c r="BL84" i="15"/>
  <c r="BL143" i="15"/>
  <c r="BK143" i="15"/>
  <c r="AE145" i="35"/>
  <c r="BL233" i="15"/>
  <c r="BK233" i="15"/>
  <c r="AE235" i="35"/>
  <c r="AA282" i="35"/>
  <c r="BL280" i="15"/>
  <c r="BK280" i="15"/>
  <c r="BL35" i="15"/>
  <c r="BK35" i="15"/>
  <c r="AA37" i="35"/>
  <c r="AF171" i="35"/>
  <c r="BL169" i="15"/>
  <c r="BK169" i="15"/>
  <c r="BK18" i="15"/>
  <c r="AD20" i="35"/>
  <c r="BL18" i="15"/>
  <c r="F13" i="36"/>
  <c r="BK24" i="15"/>
  <c r="BL24" i="15"/>
  <c r="AC26" i="35"/>
  <c r="BL55" i="15"/>
  <c r="BK55" i="15"/>
  <c r="AD57" i="35"/>
  <c r="BL111" i="15"/>
  <c r="BK111" i="15"/>
  <c r="AC113" i="35"/>
  <c r="BL245" i="15"/>
  <c r="BK245" i="15"/>
  <c r="Z247" i="35"/>
  <c r="AD87" i="35"/>
  <c r="BL85" i="15"/>
  <c r="BK85" i="15"/>
  <c r="AB130" i="35"/>
  <c r="BK128" i="15"/>
  <c r="BL128" i="15"/>
  <c r="AE161" i="35"/>
  <c r="BL159" i="15"/>
  <c r="BK159" i="15"/>
  <c r="AA174" i="35"/>
  <c r="BL172" i="15"/>
  <c r="BK172" i="15"/>
  <c r="BK240" i="15"/>
  <c r="BL240" i="15"/>
  <c r="AE242" i="35"/>
  <c r="AC21" i="35"/>
  <c r="BL19" i="15"/>
  <c r="BK19" i="15"/>
  <c r="BK180" i="15"/>
  <c r="BL180" i="15"/>
  <c r="AC182" i="35"/>
  <c r="BK186" i="15"/>
  <c r="BL186" i="15"/>
  <c r="AF188" i="35"/>
  <c r="BK210" i="15"/>
  <c r="BL210" i="15"/>
  <c r="AC212" i="35"/>
  <c r="BK216" i="15"/>
  <c r="AC218" i="35"/>
  <c r="BL216" i="15"/>
  <c r="BK222" i="15"/>
  <c r="AE224" i="35"/>
  <c r="BL222" i="15"/>
  <c r="AE237" i="35"/>
  <c r="BL235" i="15"/>
  <c r="BK235" i="15"/>
  <c r="AA51" i="35"/>
  <c r="BL49" i="15"/>
  <c r="BK49" i="15"/>
  <c r="BL98" i="15"/>
  <c r="AA100" i="35"/>
  <c r="BK98" i="15"/>
  <c r="BL112" i="15"/>
  <c r="BK112" i="15"/>
  <c r="AC114" i="35"/>
  <c r="AA136" i="35"/>
  <c r="BK134" i="15"/>
  <c r="BL134" i="15"/>
  <c r="AD243" i="35"/>
  <c r="BL241" i="15"/>
  <c r="BK241" i="15"/>
  <c r="BL254" i="15"/>
  <c r="BK254" i="15"/>
  <c r="BL87" i="15"/>
  <c r="BK87" i="15"/>
  <c r="AD89" i="35"/>
  <c r="BL93" i="15"/>
  <c r="BK93" i="15"/>
  <c r="AB95" i="35"/>
  <c r="AA120" i="35"/>
  <c r="BL118" i="15"/>
  <c r="BK118" i="15"/>
  <c r="BL187" i="15"/>
  <c r="AA189" i="35"/>
  <c r="BK187" i="15"/>
  <c r="AZ14" i="15"/>
  <c r="AV14" i="15" s="1"/>
  <c r="AW14" i="15" s="1"/>
  <c r="AZ42" i="15"/>
  <c r="AZ47" i="15"/>
  <c r="AZ87" i="15"/>
  <c r="AZ110" i="15"/>
  <c r="AZ246" i="15"/>
  <c r="AZ249" i="15"/>
  <c r="AZ252" i="15"/>
  <c r="AZ261" i="15"/>
  <c r="AZ269" i="15"/>
  <c r="AZ274" i="15"/>
  <c r="AZ287" i="15"/>
  <c r="AZ17" i="15"/>
  <c r="AV17" i="15" s="1"/>
  <c r="AZ19" i="15"/>
  <c r="AZ22" i="15"/>
  <c r="AZ27" i="15"/>
  <c r="AZ30" i="15"/>
  <c r="AZ40" i="15"/>
  <c r="AV40" i="15" s="1"/>
  <c r="AZ45" i="15"/>
  <c r="AZ54" i="15"/>
  <c r="AZ57" i="15"/>
  <c r="AV57" i="15" s="1"/>
  <c r="AW57" i="15" s="1"/>
  <c r="AZ60" i="15"/>
  <c r="AZ66" i="15"/>
  <c r="AZ69" i="15"/>
  <c r="AZ79" i="15"/>
  <c r="AV79" i="15" s="1"/>
  <c r="AZ95" i="15"/>
  <c r="AZ99" i="15"/>
  <c r="AZ103" i="15"/>
  <c r="AZ115" i="15"/>
  <c r="AZ133" i="15"/>
  <c r="AZ140" i="15"/>
  <c r="AZ152" i="15"/>
  <c r="AZ158" i="15"/>
  <c r="AV158" i="15" s="1"/>
  <c r="AZ164" i="15"/>
  <c r="AZ169" i="15"/>
  <c r="AZ172" i="15"/>
  <c r="AZ175" i="15"/>
  <c r="AZ184" i="15"/>
  <c r="AZ196" i="15"/>
  <c r="AZ203" i="15"/>
  <c r="AZ206" i="15"/>
  <c r="AZ209" i="15"/>
  <c r="AZ214" i="15"/>
  <c r="AZ217" i="15"/>
  <c r="AZ239" i="15"/>
  <c r="AZ258" i="15"/>
  <c r="AZ264" i="15"/>
  <c r="AZ277" i="15"/>
  <c r="AZ282" i="15"/>
  <c r="AV282" i="15" s="1"/>
  <c r="AW282" i="15" s="1"/>
  <c r="AZ296" i="15"/>
  <c r="AZ24" i="15"/>
  <c r="AZ35" i="15"/>
  <c r="AZ72" i="15"/>
  <c r="AZ125" i="15"/>
  <c r="AZ178" i="15"/>
  <c r="AZ186" i="15"/>
  <c r="AZ199" i="15"/>
  <c r="AZ225" i="15"/>
  <c r="AZ33" i="15"/>
  <c r="AV33" i="15" s="1"/>
  <c r="AZ51" i="15"/>
  <c r="AZ73" i="15"/>
  <c r="AZ82" i="15"/>
  <c r="AZ90" i="15"/>
  <c r="AZ93" i="15"/>
  <c r="AZ128" i="15"/>
  <c r="AZ234" i="15"/>
  <c r="AZ253" i="15"/>
  <c r="AZ267" i="15"/>
  <c r="AZ285" i="15"/>
  <c r="AZ15" i="15"/>
  <c r="AZ25" i="15"/>
  <c r="AZ36" i="15"/>
  <c r="AZ61" i="15"/>
  <c r="AZ70" i="15"/>
  <c r="AV70" i="15" s="1"/>
  <c r="AZ76" i="15"/>
  <c r="AV76" i="15" s="1"/>
  <c r="AW76" i="15" s="1"/>
  <c r="AZ85" i="15"/>
  <c r="AZ88" i="15"/>
  <c r="AZ100" i="15"/>
  <c r="AV100" i="15" s="1"/>
  <c r="AW100" i="15" s="1"/>
  <c r="AZ107" i="15"/>
  <c r="AZ113" i="15"/>
  <c r="AZ126" i="15"/>
  <c r="AZ138" i="15"/>
  <c r="AZ176" i="15"/>
  <c r="AZ179" i="15"/>
  <c r="AZ187" i="15"/>
  <c r="AZ197" i="15"/>
  <c r="AZ204" i="15"/>
  <c r="AZ215" i="15"/>
  <c r="AZ223" i="15"/>
  <c r="AZ229" i="15"/>
  <c r="AZ242" i="15"/>
  <c r="AZ247" i="15"/>
  <c r="AZ262" i="15"/>
  <c r="AZ275" i="15"/>
  <c r="AZ280" i="15"/>
  <c r="AZ294" i="15"/>
  <c r="AZ32" i="15"/>
  <c r="AV32" i="15" s="1"/>
  <c r="AW32" i="15" s="1"/>
  <c r="AZ211" i="15"/>
  <c r="AZ241" i="15"/>
  <c r="AZ121" i="15"/>
  <c r="AZ131" i="15"/>
  <c r="AV131" i="15" s="1"/>
  <c r="AZ135" i="15"/>
  <c r="AZ146" i="15"/>
  <c r="AZ167" i="15"/>
  <c r="AV167" i="15" s="1"/>
  <c r="AW167" i="15" s="1"/>
  <c r="AZ193" i="15"/>
  <c r="AZ200" i="15"/>
  <c r="AZ212" i="15"/>
  <c r="AZ255" i="15"/>
  <c r="AZ288" i="15"/>
  <c r="AV288" i="15" s="1"/>
  <c r="AZ13" i="15"/>
  <c r="AZ23" i="15"/>
  <c r="AZ28" i="15"/>
  <c r="AZ34" i="15"/>
  <c r="AZ43" i="15"/>
  <c r="AZ52" i="15"/>
  <c r="AZ55" i="15"/>
  <c r="AZ58" i="15"/>
  <c r="AZ64" i="15"/>
  <c r="AZ67" i="15"/>
  <c r="AZ80" i="15"/>
  <c r="AV80" i="15" s="1"/>
  <c r="AZ96" i="15"/>
  <c r="AV96" i="15" s="1"/>
  <c r="AZ104" i="15"/>
  <c r="AZ111" i="15"/>
  <c r="AZ116" i="15"/>
  <c r="AZ118" i="15"/>
  <c r="AZ141" i="15"/>
  <c r="AZ147" i="15"/>
  <c r="AZ150" i="15"/>
  <c r="AZ153" i="15"/>
  <c r="AV153" i="15" s="1"/>
  <c r="AZ156" i="15"/>
  <c r="AZ159" i="15"/>
  <c r="AZ162" i="15"/>
  <c r="AZ165" i="15"/>
  <c r="AV165" i="15" s="1"/>
  <c r="AZ170" i="15"/>
  <c r="AZ182" i="15"/>
  <c r="AZ191" i="15"/>
  <c r="AV191" i="15" s="1"/>
  <c r="AZ194" i="15"/>
  <c r="AV194" i="15" s="1"/>
  <c r="AZ201" i="15"/>
  <c r="AZ207" i="15"/>
  <c r="AZ218" i="15"/>
  <c r="AZ259" i="15"/>
  <c r="AZ265" i="15"/>
  <c r="AZ270" i="15"/>
  <c r="AZ278" i="15"/>
  <c r="AV278" i="15" s="1"/>
  <c r="AW278" i="15" s="1"/>
  <c r="AZ283" i="15"/>
  <c r="AZ289" i="15"/>
  <c r="AZ292" i="15"/>
  <c r="AZ297" i="15"/>
  <c r="AZ300" i="15"/>
  <c r="AZ75" i="15"/>
  <c r="AZ84" i="15"/>
  <c r="AZ106" i="15"/>
  <c r="AZ130" i="15"/>
  <c r="AZ145" i="15"/>
  <c r="AZ222" i="15"/>
  <c r="AZ233" i="15"/>
  <c r="AZ20" i="15"/>
  <c r="AZ48" i="15"/>
  <c r="AZ143" i="15"/>
  <c r="AZ149" i="15"/>
  <c r="AZ155" i="15"/>
  <c r="AV155" i="15" s="1"/>
  <c r="AZ161" i="15"/>
  <c r="AZ190" i="15"/>
  <c r="AZ220" i="15"/>
  <c r="AZ226" i="15"/>
  <c r="AZ231" i="15"/>
  <c r="AZ237" i="15"/>
  <c r="AZ250" i="15"/>
  <c r="AV250" i="15" s="1"/>
  <c r="AZ272" i="15"/>
  <c r="AZ291" i="15"/>
  <c r="AZ299" i="15"/>
  <c r="AZ18" i="15"/>
  <c r="AZ31" i="15"/>
  <c r="AV31" i="15" s="1"/>
  <c r="AW31" i="15" s="1"/>
  <c r="AZ46" i="15"/>
  <c r="AZ49" i="15"/>
  <c r="AZ71" i="15"/>
  <c r="AZ74" i="15"/>
  <c r="AZ77" i="15"/>
  <c r="AV77" i="15" s="1"/>
  <c r="AZ83" i="15"/>
  <c r="AZ86" i="15"/>
  <c r="AZ91" i="15"/>
  <c r="AV91" i="15" s="1"/>
  <c r="AZ101" i="15"/>
  <c r="AZ108" i="15"/>
  <c r="AZ122" i="15"/>
  <c r="AZ129" i="15"/>
  <c r="AZ132" i="15"/>
  <c r="AZ136" i="15"/>
  <c r="AZ144" i="15"/>
  <c r="AZ177" i="15"/>
  <c r="AZ210" i="15"/>
  <c r="AZ213" i="15"/>
  <c r="AZ221" i="15"/>
  <c r="AZ232" i="15"/>
  <c r="AZ235" i="15"/>
  <c r="AZ245" i="15"/>
  <c r="AZ251" i="15"/>
  <c r="AZ273" i="15"/>
  <c r="AZ26" i="15"/>
  <c r="AZ53" i="15"/>
  <c r="AZ59" i="15"/>
  <c r="AZ94" i="15"/>
  <c r="AZ105" i="15"/>
  <c r="AZ119" i="15"/>
  <c r="AZ127" i="15"/>
  <c r="AZ157" i="15"/>
  <c r="AV157" i="15" s="1"/>
  <c r="AW157" i="15" s="1"/>
  <c r="AZ168" i="15"/>
  <c r="AZ171" i="15"/>
  <c r="AZ180" i="15"/>
  <c r="AZ195" i="15"/>
  <c r="AZ198" i="15"/>
  <c r="AZ202" i="15"/>
  <c r="AZ205" i="15"/>
  <c r="AZ216" i="15"/>
  <c r="AZ224" i="15"/>
  <c r="AZ230" i="15"/>
  <c r="AZ238" i="15"/>
  <c r="AZ243" i="15"/>
  <c r="AZ248" i="15"/>
  <c r="AZ254" i="15"/>
  <c r="AZ263" i="15"/>
  <c r="AZ284" i="15"/>
  <c r="AZ295" i="15"/>
  <c r="AZ112" i="15"/>
  <c r="AZ120" i="15"/>
  <c r="AZ137" i="15"/>
  <c r="AZ16" i="15"/>
  <c r="AZ21" i="15"/>
  <c r="AZ29" i="15"/>
  <c r="AZ44" i="15"/>
  <c r="AZ98" i="15"/>
  <c r="AZ139" i="15"/>
  <c r="AZ39" i="15"/>
  <c r="AZ56" i="15"/>
  <c r="AZ65" i="15"/>
  <c r="AZ68" i="15"/>
  <c r="AZ78" i="15"/>
  <c r="AZ81" i="15"/>
  <c r="AZ89" i="15"/>
  <c r="AZ92" i="15"/>
  <c r="AZ97" i="15"/>
  <c r="BB97" i="15" s="1"/>
  <c r="G92" i="36" s="1"/>
  <c r="M92" i="36" s="1"/>
  <c r="R92" i="36" s="1"/>
  <c r="AZ102" i="15"/>
  <c r="AZ117" i="15"/>
  <c r="AZ142" i="15"/>
  <c r="AZ148" i="15"/>
  <c r="AZ151" i="15"/>
  <c r="AZ154" i="15"/>
  <c r="AZ160" i="15"/>
  <c r="AZ163" i="15"/>
  <c r="AZ166" i="15"/>
  <c r="AZ174" i="15"/>
  <c r="AZ183" i="15"/>
  <c r="AZ192" i="15"/>
  <c r="AZ208" i="15"/>
  <c r="AZ219" i="15"/>
  <c r="AZ228" i="15"/>
  <c r="AZ236" i="15"/>
  <c r="AZ257" i="15"/>
  <c r="AZ266" i="15"/>
  <c r="AZ271" i="15"/>
  <c r="AZ279" i="15"/>
  <c r="AZ293" i="15"/>
  <c r="AZ298" i="15"/>
  <c r="AZ281" i="15"/>
  <c r="BZ247" i="15"/>
  <c r="BY247" i="15"/>
  <c r="BZ94" i="15"/>
  <c r="BY94" i="15"/>
  <c r="BZ229" i="15"/>
  <c r="BY229" i="15"/>
  <c r="BZ231" i="15"/>
  <c r="BY231" i="15"/>
  <c r="BZ193" i="15"/>
  <c r="BY193" i="15"/>
  <c r="BY24" i="15"/>
  <c r="BZ24" i="15"/>
  <c r="BY19" i="15"/>
  <c r="BZ19" i="15"/>
  <c r="AZ134" i="15"/>
  <c r="AZ124" i="15"/>
  <c r="AZ9" i="15"/>
  <c r="AZ173" i="15"/>
  <c r="AZ185" i="15"/>
  <c r="AZ240" i="15"/>
  <c r="AZ181" i="15"/>
  <c r="AZ304" i="15"/>
  <c r="AZ41" i="15"/>
  <c r="AZ62" i="15"/>
  <c r="AZ227" i="15"/>
  <c r="AZ256" i="15"/>
  <c r="AZ37" i="15"/>
  <c r="AZ114" i="15"/>
  <c r="AZ268" i="15"/>
  <c r="AZ286" i="15"/>
  <c r="AZ303" i="15"/>
  <c r="AZ63" i="15"/>
  <c r="AZ276" i="15"/>
  <c r="AZ188" i="15"/>
  <c r="AZ50" i="15"/>
  <c r="AZ290" i="15"/>
  <c r="AZ301" i="15"/>
  <c r="AZ123" i="15"/>
  <c r="AZ38" i="15"/>
  <c r="AZ244" i="15"/>
  <c r="AZ302" i="15"/>
  <c r="BE11" i="8"/>
  <c r="BF11" i="8"/>
  <c r="BB11" i="8"/>
  <c r="BI60" i="8"/>
  <c r="BJ60" i="8" s="1"/>
  <c r="BH60" i="8"/>
  <c r="BG60" i="8"/>
  <c r="BG68" i="8"/>
  <c r="BI82" i="8"/>
  <c r="BH82" i="8"/>
  <c r="BG82" i="8"/>
  <c r="BI84" i="8"/>
  <c r="BH84" i="8"/>
  <c r="BG84" i="8"/>
  <c r="BI17" i="8"/>
  <c r="BH17" i="8"/>
  <c r="BG17" i="8"/>
  <c r="BI41" i="8"/>
  <c r="BJ41" i="8" s="1"/>
  <c r="BH41" i="8"/>
  <c r="BG41" i="8"/>
  <c r="AV11" i="15"/>
  <c r="AW11" i="15" s="1"/>
  <c r="P307" i="15"/>
  <c r="P315" i="15" s="1"/>
  <c r="Q307" i="15"/>
  <c r="Q315" i="15" s="1"/>
  <c r="T307" i="15"/>
  <c r="U307" i="15"/>
  <c r="V307" i="15"/>
  <c r="M307" i="15"/>
  <c r="M315" i="15" s="1"/>
  <c r="Y307" i="15"/>
  <c r="N307" i="15"/>
  <c r="N315" i="15" s="1"/>
  <c r="Z307" i="15"/>
  <c r="R307" i="15"/>
  <c r="R315" i="15" s="1"/>
  <c r="S307" i="15"/>
  <c r="S315" i="15" s="1"/>
  <c r="W307" i="15"/>
  <c r="L307" i="15"/>
  <c r="L315" i="15" s="1"/>
  <c r="X307" i="15"/>
  <c r="O307" i="15"/>
  <c r="O315" i="15" s="1"/>
  <c r="AB307" i="15"/>
  <c r="BU74" i="15"/>
  <c r="BV74" i="15" s="1"/>
  <c r="AU41" i="15"/>
  <c r="AR43" i="34" s="1"/>
  <c r="AU238" i="15"/>
  <c r="AR240" i="34" s="1"/>
  <c r="AU43" i="15"/>
  <c r="AR45" i="34" s="1"/>
  <c r="AX193" i="15"/>
  <c r="AY193" i="15" s="1"/>
  <c r="AX182" i="15"/>
  <c r="AY182" i="15" s="1"/>
  <c r="AX272" i="15"/>
  <c r="AY272" i="15" s="1"/>
  <c r="AX219" i="15"/>
  <c r="AY219" i="15" s="1"/>
  <c r="AX239" i="15"/>
  <c r="AY239" i="15" s="1"/>
  <c r="AU50" i="15"/>
  <c r="AR52" i="34" s="1"/>
  <c r="AX94" i="15"/>
  <c r="AY94" i="15" s="1"/>
  <c r="AV10" i="15"/>
  <c r="AU271" i="15"/>
  <c r="AR273" i="34" s="1"/>
  <c r="AU290" i="15"/>
  <c r="AR292" i="34" s="1"/>
  <c r="AV12" i="15"/>
  <c r="AV260" i="15"/>
  <c r="AU267" i="15"/>
  <c r="AR269" i="34" s="1"/>
  <c r="AX99" i="15"/>
  <c r="AY99" i="15" s="1"/>
  <c r="AX116" i="15"/>
  <c r="AY116" i="15" s="1"/>
  <c r="AX138" i="15"/>
  <c r="AY138" i="15" s="1"/>
  <c r="AA305" i="15"/>
  <c r="C18" i="37" s="1"/>
  <c r="AU74" i="15"/>
  <c r="AR76" i="34" s="1"/>
  <c r="AX266" i="15"/>
  <c r="AY266" i="15" s="1"/>
  <c r="AX271" i="15"/>
  <c r="AY271" i="15" s="1"/>
  <c r="AX58" i="15"/>
  <c r="AY58" i="15" s="1"/>
  <c r="AX80" i="15"/>
  <c r="AY80" i="15" s="1"/>
  <c r="AU123" i="15"/>
  <c r="AR125" i="34" s="1"/>
  <c r="AU291" i="15"/>
  <c r="AR293" i="34" s="1"/>
  <c r="AX141" i="15"/>
  <c r="AY141" i="15" s="1"/>
  <c r="AX192" i="15"/>
  <c r="AY192" i="15" s="1"/>
  <c r="AU255" i="15"/>
  <c r="AR257" i="34" s="1"/>
  <c r="AX54" i="15"/>
  <c r="AY54" i="15" s="1"/>
  <c r="AX139" i="15"/>
  <c r="AY139" i="15" s="1"/>
  <c r="AX229" i="15"/>
  <c r="AY229" i="15" s="1"/>
  <c r="AU31" i="15"/>
  <c r="AR33" i="34" s="1"/>
  <c r="AU268" i="15"/>
  <c r="AR270" i="34" s="1"/>
  <c r="AX287" i="15"/>
  <c r="AY287" i="15" s="1"/>
  <c r="AU286" i="15"/>
  <c r="AR288" i="34" s="1"/>
  <c r="AU23" i="15"/>
  <c r="AR25" i="34" s="1"/>
  <c r="AX264" i="15"/>
  <c r="AY264" i="15" s="1"/>
  <c r="AU42" i="15"/>
  <c r="AR44" i="34" s="1"/>
  <c r="AU64" i="15"/>
  <c r="AR66" i="34" s="1"/>
  <c r="AU165" i="15"/>
  <c r="AR167" i="34" s="1"/>
  <c r="AX171" i="15"/>
  <c r="AY171" i="15" s="1"/>
  <c r="AU226" i="15"/>
  <c r="AR228" i="34" s="1"/>
  <c r="AX226" i="15"/>
  <c r="AY226" i="15" s="1"/>
  <c r="AU108" i="15"/>
  <c r="AR110" i="34" s="1"/>
  <c r="AX131" i="15"/>
  <c r="AY131" i="15" s="1"/>
  <c r="AU131" i="15"/>
  <c r="AR133" i="34" s="1"/>
  <c r="AX161" i="15"/>
  <c r="AY161" i="15" s="1"/>
  <c r="AU171" i="15"/>
  <c r="AR173" i="34" s="1"/>
  <c r="AX258" i="15"/>
  <c r="AY258" i="15" s="1"/>
  <c r="AU258" i="15"/>
  <c r="AR260" i="34" s="1"/>
  <c r="AU127" i="15"/>
  <c r="AR129" i="34" s="1"/>
  <c r="AU163" i="15"/>
  <c r="AR165" i="34" s="1"/>
  <c r="AU208" i="15"/>
  <c r="AR210" i="34" s="1"/>
  <c r="AU15" i="15"/>
  <c r="AR17" i="34" s="1"/>
  <c r="AU20" i="15"/>
  <c r="AR22" i="34" s="1"/>
  <c r="AX20" i="15"/>
  <c r="AY20" i="15" s="1"/>
  <c r="AU303" i="15"/>
  <c r="AR305" i="34" s="1"/>
  <c r="AX108" i="15"/>
  <c r="AY108" i="15" s="1"/>
  <c r="AX125" i="15"/>
  <c r="AY125" i="15" s="1"/>
  <c r="AX140" i="15"/>
  <c r="AY140" i="15" s="1"/>
  <c r="AX163" i="15"/>
  <c r="AY163" i="15" s="1"/>
  <c r="AU179" i="15"/>
  <c r="AR181" i="34" s="1"/>
  <c r="AU191" i="15"/>
  <c r="AR193" i="34" s="1"/>
  <c r="AX191" i="15"/>
  <c r="AY191" i="15" s="1"/>
  <c r="AU282" i="15"/>
  <c r="AR284" i="34" s="1"/>
  <c r="AX57" i="15"/>
  <c r="AY57" i="15" s="1"/>
  <c r="AU57" i="15"/>
  <c r="AR59" i="34" s="1"/>
  <c r="AU132" i="15"/>
  <c r="AR134" i="34" s="1"/>
  <c r="AU196" i="15"/>
  <c r="AR198" i="34" s="1"/>
  <c r="AU198" i="15"/>
  <c r="AR200" i="34" s="1"/>
  <c r="AU281" i="15"/>
  <c r="AR283" i="34" s="1"/>
  <c r="AX92" i="15"/>
  <c r="AY92" i="15" s="1"/>
  <c r="AU92" i="15"/>
  <c r="AR94" i="34" s="1"/>
  <c r="AZ7" i="15"/>
  <c r="AU10" i="15"/>
  <c r="AR12" i="34" s="1"/>
  <c r="AU104" i="15"/>
  <c r="AR106" i="34" s="1"/>
  <c r="AU119" i="15"/>
  <c r="AR121" i="34" s="1"/>
  <c r="AX119" i="15"/>
  <c r="AY119" i="15" s="1"/>
  <c r="AU129" i="15"/>
  <c r="AR131" i="34" s="1"/>
  <c r="AX263" i="15"/>
  <c r="AY263" i="15" s="1"/>
  <c r="AX110" i="15"/>
  <c r="AY110" i="15" s="1"/>
  <c r="AU137" i="15"/>
  <c r="AR139" i="34" s="1"/>
  <c r="AU160" i="15"/>
  <c r="AR162" i="34" s="1"/>
  <c r="I305" i="15"/>
  <c r="AX204" i="15"/>
  <c r="AY204" i="15" s="1"/>
  <c r="AX256" i="15"/>
  <c r="AY256" i="15" s="1"/>
  <c r="AU256" i="15"/>
  <c r="AR258" i="34" s="1"/>
  <c r="AU32" i="15"/>
  <c r="AR34" i="34" s="1"/>
  <c r="AU81" i="15"/>
  <c r="AR83" i="34" s="1"/>
  <c r="AX86" i="15"/>
  <c r="AY86" i="15" s="1"/>
  <c r="AX158" i="15"/>
  <c r="AY158" i="15" s="1"/>
  <c r="AU204" i="15"/>
  <c r="AR206" i="34" s="1"/>
  <c r="AU302" i="15"/>
  <c r="AR304" i="34" s="1"/>
  <c r="AX302" i="15"/>
  <c r="AY302" i="15" s="1"/>
  <c r="AU25" i="15"/>
  <c r="AR27" i="34" s="1"/>
  <c r="AX225" i="15"/>
  <c r="AY225" i="15" s="1"/>
  <c r="AU225" i="15"/>
  <c r="AR227" i="34" s="1"/>
  <c r="AX249" i="15"/>
  <c r="AY249" i="15" s="1"/>
  <c r="AU249" i="15"/>
  <c r="AR251" i="34" s="1"/>
  <c r="AU120" i="15"/>
  <c r="AR122" i="34" s="1"/>
  <c r="AX120" i="15"/>
  <c r="AY120" i="15" s="1"/>
  <c r="AX218" i="15"/>
  <c r="AY218" i="15" s="1"/>
  <c r="AX300" i="15"/>
  <c r="AY300" i="15" s="1"/>
  <c r="AU300" i="15"/>
  <c r="AR302" i="34" s="1"/>
  <c r="AX59" i="15"/>
  <c r="AY59" i="15" s="1"/>
  <c r="AU46" i="15"/>
  <c r="AR48" i="34" s="1"/>
  <c r="AU173" i="15"/>
  <c r="AR175" i="34" s="1"/>
  <c r="AU262" i="15"/>
  <c r="AR264" i="34" s="1"/>
  <c r="AX279" i="15"/>
  <c r="AY279" i="15" s="1"/>
  <c r="AU296" i="15"/>
  <c r="AR298" i="34" s="1"/>
  <c r="AX296" i="15"/>
  <c r="AY296" i="15" s="1"/>
  <c r="AU117" i="15"/>
  <c r="AR119" i="34" s="1"/>
  <c r="AU148" i="15"/>
  <c r="AR150" i="34" s="1"/>
  <c r="AU200" i="15"/>
  <c r="AR202" i="34" s="1"/>
  <c r="AU215" i="15"/>
  <c r="AR217" i="34" s="1"/>
  <c r="AX215" i="15"/>
  <c r="AY215" i="15" s="1"/>
  <c r="AU9" i="15"/>
  <c r="AR11" i="34" s="1"/>
  <c r="AU39" i="15"/>
  <c r="AR41" i="34" s="1"/>
  <c r="AX136" i="15"/>
  <c r="AY136" i="15" s="1"/>
  <c r="AX142" i="15"/>
  <c r="AY142" i="15" s="1"/>
  <c r="AU162" i="15"/>
  <c r="AR164" i="34" s="1"/>
  <c r="AX162" i="15"/>
  <c r="AY162" i="15" s="1"/>
  <c r="AU14" i="15"/>
  <c r="AR16" i="34" s="1"/>
  <c r="AU126" i="15"/>
  <c r="AR128" i="34" s="1"/>
  <c r="AX207" i="15"/>
  <c r="AY207" i="15" s="1"/>
  <c r="AU278" i="15"/>
  <c r="AR280" i="34" s="1"/>
  <c r="AU295" i="15"/>
  <c r="AR297" i="34" s="1"/>
  <c r="AX100" i="15"/>
  <c r="AY100" i="15" s="1"/>
  <c r="AU100" i="15"/>
  <c r="AR102" i="34" s="1"/>
  <c r="AX71" i="15"/>
  <c r="AY71" i="15" s="1"/>
  <c r="AX283" i="15"/>
  <c r="AY283" i="15" s="1"/>
  <c r="AU283" i="15"/>
  <c r="AR285" i="34" s="1"/>
  <c r="AU293" i="15"/>
  <c r="AR295" i="34" s="1"/>
  <c r="AU71" i="15"/>
  <c r="AR73" i="34" s="1"/>
  <c r="AX155" i="15"/>
  <c r="AY155" i="15" s="1"/>
  <c r="AX200" i="15"/>
  <c r="AY200" i="15" s="1"/>
  <c r="AX265" i="15"/>
  <c r="AY265" i="15" s="1"/>
  <c r="AU265" i="15"/>
  <c r="AR267" i="34" s="1"/>
  <c r="AU95" i="15"/>
  <c r="AR97" i="34" s="1"/>
  <c r="AU22" i="15"/>
  <c r="AR24" i="34" s="1"/>
  <c r="AU38" i="15"/>
  <c r="AR40" i="34" s="1"/>
  <c r="AU63" i="15"/>
  <c r="AR65" i="34" s="1"/>
  <c r="AX63" i="15"/>
  <c r="AY63" i="15" s="1"/>
  <c r="AX174" i="15"/>
  <c r="AY174" i="15" s="1"/>
  <c r="AU193" i="15"/>
  <c r="AR195" i="34" s="1"/>
  <c r="AX211" i="15"/>
  <c r="AY211" i="15" s="1"/>
  <c r="AC305" i="15"/>
  <c r="C20" i="37" s="1"/>
  <c r="AU246" i="15"/>
  <c r="AR248" i="34" s="1"/>
  <c r="AU248" i="15"/>
  <c r="AR250" i="34" s="1"/>
  <c r="AU287" i="15"/>
  <c r="AR289" i="34" s="1"/>
  <c r="AU294" i="15"/>
  <c r="AR296" i="34" s="1"/>
  <c r="AU13" i="15"/>
  <c r="AR15" i="34" s="1"/>
  <c r="AH305" i="15"/>
  <c r="C25" i="37" s="1"/>
  <c r="AU151" i="15"/>
  <c r="AR153" i="34" s="1"/>
  <c r="AU230" i="15"/>
  <c r="AR232" i="34" s="1"/>
  <c r="AU299" i="15"/>
  <c r="AR301" i="34" s="1"/>
  <c r="AX51" i="15"/>
  <c r="AY51" i="15" s="1"/>
  <c r="AU11" i="15"/>
  <c r="AR13" i="34" s="1"/>
  <c r="AX11" i="15"/>
  <c r="AY11" i="15" s="1"/>
  <c r="AX41" i="15"/>
  <c r="AY41" i="15" s="1"/>
  <c r="AX146" i="15"/>
  <c r="AY146" i="15" s="1"/>
  <c r="AU146" i="15"/>
  <c r="AR148" i="34" s="1"/>
  <c r="AU181" i="15"/>
  <c r="AR183" i="34" s="1"/>
  <c r="AX181" i="15"/>
  <c r="AY181" i="15" s="1"/>
  <c r="AX23" i="15"/>
  <c r="AY23" i="15" s="1"/>
  <c r="AX48" i="15"/>
  <c r="AY48" i="15" s="1"/>
  <c r="AU48" i="15"/>
  <c r="AR50" i="34" s="1"/>
  <c r="AU56" i="15"/>
  <c r="AR58" i="34" s="1"/>
  <c r="AU83" i="15"/>
  <c r="AR85" i="34" s="1"/>
  <c r="AU51" i="15"/>
  <c r="AR53" i="34" s="1"/>
  <c r="AX28" i="15"/>
  <c r="AY28" i="15" s="1"/>
  <c r="AX102" i="15"/>
  <c r="AY102" i="15" s="1"/>
  <c r="AU102" i="15"/>
  <c r="AR104" i="34" s="1"/>
  <c r="AX40" i="15"/>
  <c r="AY40" i="15" s="1"/>
  <c r="AU40" i="15"/>
  <c r="AR42" i="34" s="1"/>
  <c r="AX209" i="15"/>
  <c r="AY209" i="15" s="1"/>
  <c r="AU209" i="15"/>
  <c r="AR211" i="34" s="1"/>
  <c r="AU28" i="15"/>
  <c r="AR30" i="34" s="1"/>
  <c r="AX66" i="15"/>
  <c r="AY66" i="15" s="1"/>
  <c r="AU66" i="15"/>
  <c r="AR68" i="34" s="1"/>
  <c r="AU147" i="15"/>
  <c r="AR149" i="34" s="1"/>
  <c r="AX147" i="15"/>
  <c r="AY147" i="15" s="1"/>
  <c r="AU70" i="15"/>
  <c r="AR72" i="34" s="1"/>
  <c r="AX70" i="15"/>
  <c r="AY70" i="15" s="1"/>
  <c r="AX26" i="15"/>
  <c r="AY26" i="15" s="1"/>
  <c r="AU26" i="15"/>
  <c r="AR28" i="34" s="1"/>
  <c r="AU253" i="15"/>
  <c r="AR255" i="34" s="1"/>
  <c r="AX253" i="15"/>
  <c r="AY253" i="15" s="1"/>
  <c r="AX33" i="15"/>
  <c r="AY33" i="15" s="1"/>
  <c r="AU67" i="15"/>
  <c r="AR69" i="34" s="1"/>
  <c r="AX67" i="15"/>
  <c r="AY67" i="15" s="1"/>
  <c r="AU97" i="15"/>
  <c r="AR99" i="34" s="1"/>
  <c r="AU33" i="15"/>
  <c r="AR35" i="34" s="1"/>
  <c r="AX69" i="15"/>
  <c r="AY69" i="15" s="1"/>
  <c r="AU69" i="15"/>
  <c r="AR71" i="34" s="1"/>
  <c r="AD305" i="15"/>
  <c r="C21" i="37" s="1"/>
  <c r="J305" i="15"/>
  <c r="AX61" i="15"/>
  <c r="AY61" i="15" s="1"/>
  <c r="AX152" i="15"/>
  <c r="AY152" i="15" s="1"/>
  <c r="AX34" i="15"/>
  <c r="AY34" i="15" s="1"/>
  <c r="AU34" i="15"/>
  <c r="AR36" i="34" s="1"/>
  <c r="AU53" i="15"/>
  <c r="AR55" i="34" s="1"/>
  <c r="AX53" i="15"/>
  <c r="AY53" i="15" s="1"/>
  <c r="AX36" i="15"/>
  <c r="AY36" i="15" s="1"/>
  <c r="AX178" i="15"/>
  <c r="AY178" i="15" s="1"/>
  <c r="AG305" i="15"/>
  <c r="C24" i="37" s="1"/>
  <c r="AU62" i="15"/>
  <c r="AR64" i="34" s="1"/>
  <c r="AX103" i="15"/>
  <c r="AY103" i="15" s="1"/>
  <c r="AU103" i="15"/>
  <c r="AR105" i="34" s="1"/>
  <c r="AU188" i="15"/>
  <c r="AR190" i="34" s="1"/>
  <c r="AX188" i="15"/>
  <c r="AY188" i="15" s="1"/>
  <c r="AX62" i="15"/>
  <c r="AY62" i="15" s="1"/>
  <c r="AE305" i="15"/>
  <c r="C22" i="37" s="1"/>
  <c r="AU8" i="15"/>
  <c r="AR10" i="34" s="1"/>
  <c r="AX17" i="15"/>
  <c r="AY17" i="15" s="1"/>
  <c r="AU21" i="15"/>
  <c r="AR23" i="34" s="1"/>
  <c r="AX27" i="15"/>
  <c r="AY27" i="15" s="1"/>
  <c r="AU27" i="15"/>
  <c r="AR29" i="34" s="1"/>
  <c r="AU61" i="15"/>
  <c r="AR63" i="34" s="1"/>
  <c r="AU152" i="15"/>
  <c r="AR154" i="34" s="1"/>
  <c r="AX177" i="15"/>
  <c r="AY177" i="15" s="1"/>
  <c r="AU177" i="15"/>
  <c r="AR179" i="34" s="1"/>
  <c r="AX199" i="15"/>
  <c r="AY199" i="15" s="1"/>
  <c r="AU199" i="15"/>
  <c r="AR201" i="34" s="1"/>
  <c r="AU247" i="15"/>
  <c r="AR249" i="34" s="1"/>
  <c r="AX250" i="15"/>
  <c r="AY250" i="15" s="1"/>
  <c r="AU250" i="15"/>
  <c r="AR252" i="34" s="1"/>
  <c r="AX289" i="15"/>
  <c r="AY289" i="15" s="1"/>
  <c r="AX29" i="15"/>
  <c r="AY29" i="15" s="1"/>
  <c r="AU29" i="15"/>
  <c r="AR31" i="34" s="1"/>
  <c r="AX73" i="15"/>
  <c r="AY73" i="15" s="1"/>
  <c r="AU73" i="15"/>
  <c r="AR75" i="34" s="1"/>
  <c r="AX170" i="15"/>
  <c r="AY170" i="15" s="1"/>
  <c r="AX236" i="15"/>
  <c r="AY236" i="15" s="1"/>
  <c r="AU236" i="15"/>
  <c r="AR238" i="34" s="1"/>
  <c r="AU289" i="15"/>
  <c r="AR291" i="34" s="1"/>
  <c r="AX292" i="15"/>
  <c r="AY292" i="15" s="1"/>
  <c r="AU292" i="15"/>
  <c r="AR294" i="34" s="1"/>
  <c r="AU91" i="15"/>
  <c r="AR93" i="34" s="1"/>
  <c r="AX95" i="15"/>
  <c r="AY95" i="15" s="1"/>
  <c r="AX101" i="15"/>
  <c r="AY101" i="15" s="1"/>
  <c r="AU101" i="15"/>
  <c r="AR103" i="34" s="1"/>
  <c r="AX156" i="15"/>
  <c r="AY156" i="15" s="1"/>
  <c r="AU156" i="15"/>
  <c r="AR158" i="34" s="1"/>
  <c r="AU164" i="15"/>
  <c r="AR166" i="34" s="1"/>
  <c r="AX164" i="15"/>
  <c r="AY164" i="15" s="1"/>
  <c r="AX247" i="15"/>
  <c r="AY247" i="15" s="1"/>
  <c r="AX106" i="15"/>
  <c r="AY106" i="15" s="1"/>
  <c r="AU106" i="15"/>
  <c r="AR108" i="34" s="1"/>
  <c r="AX150" i="15"/>
  <c r="AY150" i="15" s="1"/>
  <c r="AU150" i="15"/>
  <c r="AR152" i="34" s="1"/>
  <c r="AX176" i="15"/>
  <c r="AY176" i="15" s="1"/>
  <c r="AU176" i="15"/>
  <c r="AR178" i="34" s="1"/>
  <c r="AF305" i="15"/>
  <c r="C23" i="37" s="1"/>
  <c r="AX78" i="15"/>
  <c r="AY78" i="15" s="1"/>
  <c r="AU78" i="15"/>
  <c r="AR80" i="34" s="1"/>
  <c r="AX202" i="15"/>
  <c r="AY202" i="15" s="1"/>
  <c r="AU202" i="15"/>
  <c r="AR204" i="34" s="1"/>
  <c r="AX257" i="15"/>
  <c r="AY257" i="15" s="1"/>
  <c r="AU257" i="15"/>
  <c r="AR259" i="34" s="1"/>
  <c r="AX269" i="15"/>
  <c r="AY269" i="15" s="1"/>
  <c r="AU269" i="15"/>
  <c r="AR271" i="34" s="1"/>
  <c r="AX288" i="15"/>
  <c r="AY288" i="15" s="1"/>
  <c r="AU288" i="15"/>
  <c r="AR290" i="34" s="1"/>
  <c r="AX301" i="15"/>
  <c r="AY301" i="15" s="1"/>
  <c r="AU301" i="15"/>
  <c r="AR303" i="34" s="1"/>
  <c r="AU304" i="15"/>
  <c r="AR306" i="34" s="1"/>
  <c r="AX304" i="15"/>
  <c r="AY304" i="15" s="1"/>
  <c r="AX44" i="15"/>
  <c r="AY44" i="15" s="1"/>
  <c r="AU197" i="15"/>
  <c r="AR199" i="34" s="1"/>
  <c r="AX197" i="15"/>
  <c r="AY197" i="15" s="1"/>
  <c r="AX276" i="15"/>
  <c r="AY276" i="15" s="1"/>
  <c r="AU52" i="15"/>
  <c r="AR54" i="34" s="1"/>
  <c r="AX52" i="15"/>
  <c r="AY52" i="15" s="1"/>
  <c r="AX105" i="15"/>
  <c r="AY105" i="15" s="1"/>
  <c r="AU105" i="15"/>
  <c r="AR107" i="34" s="1"/>
  <c r="AX175" i="15"/>
  <c r="AY175" i="15" s="1"/>
  <c r="AU175" i="15"/>
  <c r="AR177" i="34" s="1"/>
  <c r="AU190" i="15"/>
  <c r="AR192" i="34" s="1"/>
  <c r="AX190" i="15"/>
  <c r="AY190" i="15" s="1"/>
  <c r="AU37" i="15"/>
  <c r="AR39" i="34" s="1"/>
  <c r="AU44" i="15"/>
  <c r="AR46" i="34" s="1"/>
  <c r="AX96" i="15"/>
  <c r="AY96" i="15" s="1"/>
  <c r="AX121" i="15"/>
  <c r="AY121" i="15" s="1"/>
  <c r="AU121" i="15"/>
  <c r="AR123" i="34" s="1"/>
  <c r="AX201" i="15"/>
  <c r="AY201" i="15" s="1"/>
  <c r="AU201" i="15"/>
  <c r="AR203" i="34" s="1"/>
  <c r="AX213" i="15"/>
  <c r="AY213" i="15" s="1"/>
  <c r="AU276" i="15"/>
  <c r="AR278" i="34" s="1"/>
  <c r="AX50" i="15"/>
  <c r="AY50" i="15" s="1"/>
  <c r="AU75" i="15"/>
  <c r="AR77" i="34" s="1"/>
  <c r="AU79" i="15"/>
  <c r="AR81" i="34" s="1"/>
  <c r="AX79" i="15"/>
  <c r="AY79" i="15" s="1"/>
  <c r="AX107" i="15"/>
  <c r="AY107" i="15" s="1"/>
  <c r="AU185" i="15"/>
  <c r="AR187" i="34" s="1"/>
  <c r="AU217" i="15"/>
  <c r="AR219" i="34" s="1"/>
  <c r="AU228" i="15"/>
  <c r="AR230" i="34" s="1"/>
  <c r="AX298" i="15"/>
  <c r="AY298" i="15" s="1"/>
  <c r="AU227" i="15"/>
  <c r="AR229" i="34" s="1"/>
  <c r="AX227" i="15"/>
  <c r="AY227" i="15" s="1"/>
  <c r="AU174" i="15"/>
  <c r="AR176" i="34" s="1"/>
  <c r="AU12" i="15"/>
  <c r="AR14" i="34" s="1"/>
  <c r="AU16" i="15"/>
  <c r="AR18" i="34" s="1"/>
  <c r="AU59" i="15"/>
  <c r="AR61" i="34" s="1"/>
  <c r="AU60" i="15"/>
  <c r="AR62" i="34" s="1"/>
  <c r="AX77" i="15"/>
  <c r="AY77" i="15" s="1"/>
  <c r="AU77" i="15"/>
  <c r="AR79" i="34" s="1"/>
  <c r="AU90" i="15"/>
  <c r="AR92" i="34" s="1"/>
  <c r="AU153" i="15"/>
  <c r="AR155" i="34" s="1"/>
  <c r="AX277" i="15"/>
  <c r="AY277" i="15" s="1"/>
  <c r="AU277" i="15"/>
  <c r="AR279" i="34" s="1"/>
  <c r="AU261" i="15"/>
  <c r="AR263" i="34" s="1"/>
  <c r="AX261" i="15"/>
  <c r="AY261" i="15" s="1"/>
  <c r="AX68" i="15"/>
  <c r="AY68" i="15" s="1"/>
  <c r="AU68" i="15"/>
  <c r="AR70" i="34" s="1"/>
  <c r="AU157" i="15"/>
  <c r="AR159" i="34" s="1"/>
  <c r="AX157" i="15"/>
  <c r="AY157" i="15" s="1"/>
  <c r="AU203" i="15"/>
  <c r="AR205" i="34" s="1"/>
  <c r="AU45" i="15"/>
  <c r="AR47" i="34" s="1"/>
  <c r="AU47" i="15"/>
  <c r="AR49" i="34" s="1"/>
  <c r="AX72" i="15"/>
  <c r="AY72" i="15" s="1"/>
  <c r="AI305" i="15"/>
  <c r="C26" i="37" s="1"/>
  <c r="AU149" i="15"/>
  <c r="AR151" i="34" s="1"/>
  <c r="AX167" i="15"/>
  <c r="AY167" i="15" s="1"/>
  <c r="AU244" i="15"/>
  <c r="AR246" i="34" s="1"/>
  <c r="AU115" i="15"/>
  <c r="AR117" i="34" s="1"/>
  <c r="AU184" i="15"/>
  <c r="AR186" i="34" s="1"/>
  <c r="AX184" i="15"/>
  <c r="AY184" i="15" s="1"/>
  <c r="AU76" i="15"/>
  <c r="AR78" i="34" s="1"/>
  <c r="AU124" i="15"/>
  <c r="AR126" i="34" s="1"/>
  <c r="AU145" i="15"/>
  <c r="AR147" i="34" s="1"/>
  <c r="AU166" i="15"/>
  <c r="AR168" i="34" s="1"/>
  <c r="AU274" i="15"/>
  <c r="AR276" i="34" s="1"/>
  <c r="AU297" i="15"/>
  <c r="AR299" i="34" s="1"/>
  <c r="AU30" i="15"/>
  <c r="AR32" i="34" s="1"/>
  <c r="AU86" i="15"/>
  <c r="AR88" i="34" s="1"/>
  <c r="AU113" i="15"/>
  <c r="AR115" i="34" s="1"/>
  <c r="AU114" i="15"/>
  <c r="AR116" i="34" s="1"/>
  <c r="AX115" i="15"/>
  <c r="AY115" i="15" s="1"/>
  <c r="AX122" i="15"/>
  <c r="AY122" i="15" s="1"/>
  <c r="AU133" i="15"/>
  <c r="AR135" i="34" s="1"/>
  <c r="AU144" i="15"/>
  <c r="AR146" i="34" s="1"/>
  <c r="AU189" i="15"/>
  <c r="AR191" i="34" s="1"/>
  <c r="AX189" i="15"/>
  <c r="AY189" i="15" s="1"/>
  <c r="AU195" i="15"/>
  <c r="AR197" i="34" s="1"/>
  <c r="AX195" i="15"/>
  <c r="AY195" i="15" s="1"/>
  <c r="AX221" i="15"/>
  <c r="AY221" i="15" s="1"/>
  <c r="AX234" i="15"/>
  <c r="AY234" i="15" s="1"/>
  <c r="AU259" i="15"/>
  <c r="AR261" i="34" s="1"/>
  <c r="AX284" i="15"/>
  <c r="AY284" i="15" s="1"/>
  <c r="AU284" i="15"/>
  <c r="AR286" i="34" s="1"/>
  <c r="AX212" i="15"/>
  <c r="AY212" i="15" s="1"/>
  <c r="AU220" i="15"/>
  <c r="AR222" i="34" s="1"/>
  <c r="AU135" i="15"/>
  <c r="AR137" i="34" s="1"/>
  <c r="AU183" i="15"/>
  <c r="AR185" i="34" s="1"/>
  <c r="AU205" i="15"/>
  <c r="AR207" i="34" s="1"/>
  <c r="AU212" i="15"/>
  <c r="AR214" i="34" s="1"/>
  <c r="AU223" i="15"/>
  <c r="AR225" i="34" s="1"/>
  <c r="AU243" i="15"/>
  <c r="AR245" i="34" s="1"/>
  <c r="AX260" i="15"/>
  <c r="AY260" i="15" s="1"/>
  <c r="AX291" i="15"/>
  <c r="AY291" i="15" s="1"/>
  <c r="AX194" i="15"/>
  <c r="AY194" i="15" s="1"/>
  <c r="AU194" i="15"/>
  <c r="AR196" i="34" s="1"/>
  <c r="AU251" i="15"/>
  <c r="AR253" i="34" s="1"/>
  <c r="AU273" i="15"/>
  <c r="AR275" i="34" s="1"/>
  <c r="AX290" i="15"/>
  <c r="AY290" i="15" s="1"/>
  <c r="AX252" i="15"/>
  <c r="AY252" i="15" s="1"/>
  <c r="AH186" i="10"/>
  <c r="AH280" i="10"/>
  <c r="AT305" i="15" l="1"/>
  <c r="AT307" i="15" s="1"/>
  <c r="AP216" i="31"/>
  <c r="O209" i="36" s="1"/>
  <c r="F189" i="36"/>
  <c r="I189" i="36" s="1"/>
  <c r="J189" i="36" s="1"/>
  <c r="AQ501" i="31"/>
  <c r="AQ484" i="31"/>
  <c r="F172" i="36"/>
  <c r="I172" i="36" s="1"/>
  <c r="J172" i="36" s="1"/>
  <c r="F265" i="36"/>
  <c r="I265" i="36" s="1"/>
  <c r="J265" i="36" s="1"/>
  <c r="AQ448" i="31"/>
  <c r="F136" i="36"/>
  <c r="I136" i="36" s="1"/>
  <c r="J136" i="36" s="1"/>
  <c r="AQ585" i="31"/>
  <c r="F273" i="36"/>
  <c r="I273" i="36" s="1"/>
  <c r="J273" i="36" s="1"/>
  <c r="F212" i="36"/>
  <c r="I212" i="36" s="1"/>
  <c r="J212" i="36" s="1"/>
  <c r="AQ524" i="31"/>
  <c r="F200" i="36"/>
  <c r="I200" i="36" s="1"/>
  <c r="J200" i="36" s="1"/>
  <c r="AQ512" i="31"/>
  <c r="AQ559" i="31"/>
  <c r="F247" i="36"/>
  <c r="I247" i="36" s="1"/>
  <c r="J247" i="36" s="1"/>
  <c r="AQ379" i="31"/>
  <c r="F67" i="36"/>
  <c r="I67" i="36" s="1"/>
  <c r="J67" i="36" s="1"/>
  <c r="AQ364" i="31"/>
  <c r="F52" i="36"/>
  <c r="I52" i="36" s="1"/>
  <c r="J52" i="36" s="1"/>
  <c r="AQ535" i="31"/>
  <c r="F223" i="36"/>
  <c r="I223" i="36" s="1"/>
  <c r="J223" i="36" s="1"/>
  <c r="AQ506" i="31"/>
  <c r="F194" i="36"/>
  <c r="I194" i="36" s="1"/>
  <c r="J194" i="36" s="1"/>
  <c r="AQ576" i="31"/>
  <c r="F264" i="36"/>
  <c r="I264" i="36" s="1"/>
  <c r="J264" i="36" s="1"/>
  <c r="AQ558" i="31"/>
  <c r="F246" i="36"/>
  <c r="I246" i="36" s="1"/>
  <c r="J246" i="36" s="1"/>
  <c r="AQ600" i="31"/>
  <c r="F288" i="36"/>
  <c r="I288" i="36" s="1"/>
  <c r="J288" i="36" s="1"/>
  <c r="AQ595" i="31"/>
  <c r="F283" i="36"/>
  <c r="I283" i="36" s="1"/>
  <c r="J283" i="36" s="1"/>
  <c r="AQ519" i="31"/>
  <c r="F207" i="36"/>
  <c r="I207" i="36" s="1"/>
  <c r="J207" i="36" s="1"/>
  <c r="F14" i="36"/>
  <c r="I14" i="36" s="1"/>
  <c r="J14" i="36" s="1"/>
  <c r="AQ579" i="31"/>
  <c r="F267" i="36"/>
  <c r="I267" i="36" s="1"/>
  <c r="J267" i="36" s="1"/>
  <c r="AQ481" i="31"/>
  <c r="F169" i="36"/>
  <c r="I169" i="36" s="1"/>
  <c r="J169" i="36" s="1"/>
  <c r="AQ522" i="31"/>
  <c r="F210" i="36"/>
  <c r="I210" i="36" s="1"/>
  <c r="J210" i="36" s="1"/>
  <c r="F146" i="36"/>
  <c r="I146" i="36" s="1"/>
  <c r="J146" i="36" s="1"/>
  <c r="AQ458" i="31"/>
  <c r="AQ503" i="31"/>
  <c r="F191" i="36"/>
  <c r="I191" i="36" s="1"/>
  <c r="J191" i="36" s="1"/>
  <c r="AQ361" i="31"/>
  <c r="F49" i="36"/>
  <c r="I49" i="36" s="1"/>
  <c r="J49" i="36" s="1"/>
  <c r="AQ570" i="31"/>
  <c r="F258" i="36"/>
  <c r="I258" i="36" s="1"/>
  <c r="J258" i="36" s="1"/>
  <c r="AQ433" i="31"/>
  <c r="F121" i="36"/>
  <c r="I121" i="36" s="1"/>
  <c r="J121" i="36" s="1"/>
  <c r="AQ564" i="31"/>
  <c r="F252" i="36"/>
  <c r="I252" i="36" s="1"/>
  <c r="J252" i="36" s="1"/>
  <c r="AQ449" i="31"/>
  <c r="F137" i="36"/>
  <c r="I137" i="36" s="1"/>
  <c r="J137" i="36" s="1"/>
  <c r="AQ483" i="31"/>
  <c r="F171" i="36"/>
  <c r="I171" i="36" s="1"/>
  <c r="J171" i="36" s="1"/>
  <c r="AQ454" i="31"/>
  <c r="F142" i="36"/>
  <c r="I142" i="36" s="1"/>
  <c r="J142" i="36" s="1"/>
  <c r="F150" i="36"/>
  <c r="I150" i="36" s="1"/>
  <c r="J150" i="36" s="1"/>
  <c r="AQ462" i="31"/>
  <c r="AQ455" i="31"/>
  <c r="F143" i="36"/>
  <c r="I143" i="36" s="1"/>
  <c r="J143" i="36" s="1"/>
  <c r="AP130" i="31"/>
  <c r="P123" i="36" s="1"/>
  <c r="AP170" i="31"/>
  <c r="O163" i="36" s="1"/>
  <c r="AP114" i="31"/>
  <c r="O107" i="36" s="1"/>
  <c r="AP282" i="31"/>
  <c r="O275" i="36" s="1"/>
  <c r="AF307" i="31"/>
  <c r="AF4" i="31" s="1"/>
  <c r="BZ305" i="15"/>
  <c r="BY305" i="15"/>
  <c r="AP37" i="31"/>
  <c r="AA307" i="31"/>
  <c r="AP20" i="31"/>
  <c r="AD307" i="31"/>
  <c r="AD4" i="31" s="1"/>
  <c r="O60" i="36"/>
  <c r="P60" i="36"/>
  <c r="AB307" i="31"/>
  <c r="P236" i="36"/>
  <c r="O236" i="36"/>
  <c r="O181" i="36"/>
  <c r="P181" i="36"/>
  <c r="P88" i="36"/>
  <c r="O88" i="36"/>
  <c r="AP100" i="31"/>
  <c r="P82" i="36"/>
  <c r="O82" i="36"/>
  <c r="P217" i="36"/>
  <c r="O217" i="36"/>
  <c r="P237" i="36"/>
  <c r="O237" i="36"/>
  <c r="O50" i="36"/>
  <c r="P50" i="36"/>
  <c r="P270" i="36"/>
  <c r="O270" i="36"/>
  <c r="P201" i="36"/>
  <c r="O201" i="36"/>
  <c r="AP26" i="31"/>
  <c r="AC307" i="31"/>
  <c r="Z307" i="31"/>
  <c r="AP91" i="31"/>
  <c r="X307" i="31"/>
  <c r="AP287" i="31"/>
  <c r="P232" i="36"/>
  <c r="O232" i="36"/>
  <c r="P230" i="36"/>
  <c r="O230" i="36"/>
  <c r="AP212" i="31"/>
  <c r="P154" i="36"/>
  <c r="O154" i="36"/>
  <c r="AE307" i="31"/>
  <c r="AE4" i="31" s="1"/>
  <c r="O138" i="36"/>
  <c r="P138" i="36"/>
  <c r="O235" i="36"/>
  <c r="P235" i="36"/>
  <c r="P219" i="36"/>
  <c r="O219" i="36"/>
  <c r="O175" i="36"/>
  <c r="P175" i="36"/>
  <c r="P79" i="36"/>
  <c r="O79" i="36"/>
  <c r="P77" i="36"/>
  <c r="O77" i="36"/>
  <c r="P164" i="36"/>
  <c r="O164" i="36"/>
  <c r="AP136" i="31"/>
  <c r="P80" i="36"/>
  <c r="O80" i="36"/>
  <c r="P167" i="36"/>
  <c r="O167" i="36"/>
  <c r="O240" i="36"/>
  <c r="P240" i="36"/>
  <c r="P227" i="36"/>
  <c r="O227" i="36"/>
  <c r="O211" i="36"/>
  <c r="P211" i="36"/>
  <c r="P125" i="36"/>
  <c r="O125" i="36"/>
  <c r="AP272" i="31"/>
  <c r="P44" i="36"/>
  <c r="O44" i="36"/>
  <c r="AP113" i="31"/>
  <c r="O226" i="36"/>
  <c r="P226" i="36"/>
  <c r="O83" i="36"/>
  <c r="P83" i="36"/>
  <c r="AP120" i="31"/>
  <c r="P182" i="36"/>
  <c r="O182" i="36"/>
  <c r="P228" i="36"/>
  <c r="O228" i="36"/>
  <c r="H30" i="37"/>
  <c r="H15" i="37"/>
  <c r="H14" i="37"/>
  <c r="H16" i="37"/>
  <c r="H13" i="37"/>
  <c r="H28" i="37"/>
  <c r="H12" i="37"/>
  <c r="H11" i="37"/>
  <c r="H2" i="37"/>
  <c r="H29" i="37"/>
  <c r="H10" i="37"/>
  <c r="H31" i="37"/>
  <c r="H9" i="37"/>
  <c r="H5" i="37"/>
  <c r="H3" i="37"/>
  <c r="H8" i="37"/>
  <c r="H7" i="37"/>
  <c r="H4" i="37"/>
  <c r="H19" i="37"/>
  <c r="H33" i="37"/>
  <c r="H32" i="37"/>
  <c r="H6" i="37"/>
  <c r="H17" i="37"/>
  <c r="K9" i="37"/>
  <c r="K8" i="37"/>
  <c r="K7" i="37"/>
  <c r="K11" i="37"/>
  <c r="K17" i="37"/>
  <c r="K15" i="37"/>
  <c r="K13" i="37"/>
  <c r="K12" i="37"/>
  <c r="K19" i="37"/>
  <c r="K6" i="37"/>
  <c r="K14" i="37"/>
  <c r="K16" i="37"/>
  <c r="F5" i="37"/>
  <c r="F6" i="37"/>
  <c r="F3" i="37"/>
  <c r="F4" i="37"/>
  <c r="F2" i="37"/>
  <c r="I13" i="36"/>
  <c r="J13" i="36" s="1"/>
  <c r="AJ315" i="15"/>
  <c r="D32" i="37"/>
  <c r="D6" i="37"/>
  <c r="F19" i="37"/>
  <c r="D31" i="37"/>
  <c r="G26" i="37"/>
  <c r="H26" i="37" s="1"/>
  <c r="D26" i="37"/>
  <c r="D11" i="37"/>
  <c r="F21" i="37"/>
  <c r="F11" i="37"/>
  <c r="F7" i="37"/>
  <c r="F24" i="37"/>
  <c r="G25" i="37"/>
  <c r="H25" i="37" s="1"/>
  <c r="D25" i="37"/>
  <c r="D28" i="37"/>
  <c r="F30" i="37"/>
  <c r="F16" i="37"/>
  <c r="F31" i="37"/>
  <c r="G22" i="37"/>
  <c r="H22" i="37" s="1"/>
  <c r="D22" i="37"/>
  <c r="G27" i="37"/>
  <c r="H27" i="37" s="1"/>
  <c r="D27" i="37"/>
  <c r="D10" i="37"/>
  <c r="F12" i="37"/>
  <c r="F20" i="37"/>
  <c r="F26" i="37"/>
  <c r="D30" i="37"/>
  <c r="D29" i="37"/>
  <c r="F13" i="37"/>
  <c r="D4" i="37"/>
  <c r="G18" i="37"/>
  <c r="H18" i="37" s="1"/>
  <c r="D18" i="37"/>
  <c r="D9" i="37"/>
  <c r="F23" i="37"/>
  <c r="F28" i="37"/>
  <c r="D3" i="37"/>
  <c r="F29" i="37"/>
  <c r="F32" i="37"/>
  <c r="F8" i="37"/>
  <c r="F33" i="37"/>
  <c r="D17" i="37"/>
  <c r="G21" i="37"/>
  <c r="H21" i="37" s="1"/>
  <c r="D21" i="37"/>
  <c r="D14" i="37"/>
  <c r="D8" i="37"/>
  <c r="D2" i="37"/>
  <c r="G20" i="37"/>
  <c r="H20" i="37" s="1"/>
  <c r="D20" i="37"/>
  <c r="F15" i="37"/>
  <c r="D15" i="37"/>
  <c r="G23" i="37"/>
  <c r="D23" i="37"/>
  <c r="G24" i="37"/>
  <c r="H24" i="37" s="1"/>
  <c r="D24" i="37"/>
  <c r="D13" i="37"/>
  <c r="D7" i="37"/>
  <c r="F22" i="37"/>
  <c r="F17" i="37"/>
  <c r="F18" i="37"/>
  <c r="F27" i="37"/>
  <c r="F10" i="37"/>
  <c r="F9" i="37"/>
  <c r="F25" i="37"/>
  <c r="D16" i="37"/>
  <c r="D12" i="37"/>
  <c r="D19" i="37"/>
  <c r="D33" i="37"/>
  <c r="D5" i="37"/>
  <c r="F14" i="37"/>
  <c r="AQ493" i="31"/>
  <c r="AQ188" i="31" s="1"/>
  <c r="F181" i="36"/>
  <c r="I181" i="36" s="1"/>
  <c r="J181" i="36" s="1"/>
  <c r="AQ450" i="31"/>
  <c r="AQ145" i="31" s="1"/>
  <c r="F138" i="36"/>
  <c r="I138" i="36" s="1"/>
  <c r="J138" i="36" s="1"/>
  <c r="AQ391" i="31"/>
  <c r="AQ86" i="31" s="1"/>
  <c r="F79" i="36"/>
  <c r="I79" i="36" s="1"/>
  <c r="J79" i="36" s="1"/>
  <c r="AQ582" i="31"/>
  <c r="AQ277" i="31" s="1"/>
  <c r="F270" i="36"/>
  <c r="I270" i="36" s="1"/>
  <c r="J270" i="36" s="1"/>
  <c r="AQ437" i="31"/>
  <c r="AQ132" i="31" s="1"/>
  <c r="F125" i="36"/>
  <c r="I125" i="36" s="1"/>
  <c r="J125" i="36" s="1"/>
  <c r="AQ418" i="31"/>
  <c r="AQ113" i="31" s="1"/>
  <c r="F106" i="36"/>
  <c r="I106" i="36" s="1"/>
  <c r="J106" i="36" s="1"/>
  <c r="AQ331" i="31"/>
  <c r="AQ26" i="31" s="1"/>
  <c r="F19" i="36"/>
  <c r="AQ396" i="31"/>
  <c r="AQ91" i="31" s="1"/>
  <c r="F84" i="36"/>
  <c r="I84" i="36" s="1"/>
  <c r="J84" i="36" s="1"/>
  <c r="AQ394" i="31"/>
  <c r="AQ89" i="31" s="1"/>
  <c r="F82" i="36"/>
  <c r="I82" i="36" s="1"/>
  <c r="J82" i="36" s="1"/>
  <c r="AQ395" i="31"/>
  <c r="AQ90" i="31" s="1"/>
  <c r="F83" i="36"/>
  <c r="I83" i="36" s="1"/>
  <c r="J83" i="36" s="1"/>
  <c r="AQ461" i="31"/>
  <c r="AR461" i="31" s="1"/>
  <c r="F149" i="36"/>
  <c r="I149" i="36" s="1"/>
  <c r="J149" i="36" s="1"/>
  <c r="AQ494" i="31"/>
  <c r="AQ189" i="31" s="1"/>
  <c r="F182" i="36"/>
  <c r="I182" i="36" s="1"/>
  <c r="J182" i="36" s="1"/>
  <c r="AQ531" i="31"/>
  <c r="AQ226" i="31" s="1"/>
  <c r="F219" i="36"/>
  <c r="I219" i="36" s="1"/>
  <c r="J219" i="36" s="1"/>
  <c r="AQ392" i="31"/>
  <c r="AQ87" i="31" s="1"/>
  <c r="F80" i="36"/>
  <c r="I80" i="36" s="1"/>
  <c r="J80" i="36" s="1"/>
  <c r="AQ419" i="31"/>
  <c r="F107" i="36"/>
  <c r="I107" i="36" s="1"/>
  <c r="J107" i="36" s="1"/>
  <c r="AQ587" i="31"/>
  <c r="AQ282" i="31" s="1"/>
  <c r="F275" i="36"/>
  <c r="I275" i="36" s="1"/>
  <c r="J275" i="36" s="1"/>
  <c r="AQ521" i="31"/>
  <c r="AQ216" i="31" s="1"/>
  <c r="F209" i="36"/>
  <c r="I209" i="36" s="1"/>
  <c r="J209" i="36" s="1"/>
  <c r="AQ342" i="31"/>
  <c r="AQ37" i="31" s="1"/>
  <c r="F30" i="36"/>
  <c r="I30" i="36" s="1"/>
  <c r="J30" i="36" s="1"/>
  <c r="AQ513" i="31"/>
  <c r="AQ208" i="31" s="1"/>
  <c r="F201" i="36"/>
  <c r="I201" i="36" s="1"/>
  <c r="J201" i="36" s="1"/>
  <c r="AQ372" i="31"/>
  <c r="AQ67" i="31" s="1"/>
  <c r="F60" i="36"/>
  <c r="I60" i="36" s="1"/>
  <c r="J60" i="36" s="1"/>
  <c r="AQ538" i="31"/>
  <c r="AQ233" i="31" s="1"/>
  <c r="F226" i="36"/>
  <c r="I226" i="36" s="1"/>
  <c r="J226" i="36" s="1"/>
  <c r="AQ435" i="31"/>
  <c r="AQ130" i="31" s="1"/>
  <c r="F123" i="36"/>
  <c r="I123" i="36" s="1"/>
  <c r="J123" i="36" s="1"/>
  <c r="AQ547" i="31"/>
  <c r="AQ242" i="31" s="1"/>
  <c r="F235" i="36"/>
  <c r="I235" i="36" s="1"/>
  <c r="J235" i="36" s="1"/>
  <c r="AQ476" i="31"/>
  <c r="AQ171" i="31" s="1"/>
  <c r="F164" i="36"/>
  <c r="I164" i="36" s="1"/>
  <c r="J164" i="36" s="1"/>
  <c r="AQ523" i="31"/>
  <c r="AQ218" i="31" s="1"/>
  <c r="F211" i="36"/>
  <c r="I211" i="36" s="1"/>
  <c r="J211" i="36" s="1"/>
  <c r="AQ400" i="31"/>
  <c r="AQ95" i="31" s="1"/>
  <c r="F88" i="36"/>
  <c r="I88" i="36" s="1"/>
  <c r="J88" i="36" s="1"/>
  <c r="AQ542" i="31"/>
  <c r="AQ237" i="31" s="1"/>
  <c r="F230" i="36"/>
  <c r="I230" i="36" s="1"/>
  <c r="J230" i="36" s="1"/>
  <c r="AQ425" i="31"/>
  <c r="AQ120" i="31" s="1"/>
  <c r="F113" i="36"/>
  <c r="I113" i="36" s="1"/>
  <c r="J113" i="36" s="1"/>
  <c r="AQ487" i="31"/>
  <c r="AQ182" i="31" s="1"/>
  <c r="F175" i="36"/>
  <c r="I175" i="36" s="1"/>
  <c r="J175" i="36" s="1"/>
  <c r="AQ479" i="31"/>
  <c r="AQ174" i="31" s="1"/>
  <c r="F167" i="36"/>
  <c r="I167" i="36" s="1"/>
  <c r="J167" i="36" s="1"/>
  <c r="AQ539" i="31"/>
  <c r="AQ234" i="31" s="1"/>
  <c r="F227" i="36"/>
  <c r="I227" i="36" s="1"/>
  <c r="J227" i="36" s="1"/>
  <c r="AQ405" i="31"/>
  <c r="AQ100" i="31" s="1"/>
  <c r="F93" i="36"/>
  <c r="I93" i="36" s="1"/>
  <c r="J93" i="36" s="1"/>
  <c r="AQ561" i="31"/>
  <c r="AR561" i="31" s="1"/>
  <c r="F249" i="36"/>
  <c r="I249" i="36" s="1"/>
  <c r="J249" i="36" s="1"/>
  <c r="AQ466" i="31"/>
  <c r="AQ161" i="31" s="1"/>
  <c r="F154" i="36"/>
  <c r="I154" i="36" s="1"/>
  <c r="J154" i="36" s="1"/>
  <c r="AQ389" i="31"/>
  <c r="AQ84" i="31" s="1"/>
  <c r="F77" i="36"/>
  <c r="I77" i="36" s="1"/>
  <c r="J77" i="36" s="1"/>
  <c r="AQ552" i="31"/>
  <c r="AQ247" i="31" s="1"/>
  <c r="F240" i="36"/>
  <c r="I240" i="36" s="1"/>
  <c r="J240" i="36" s="1"/>
  <c r="AQ548" i="31"/>
  <c r="AQ243" i="31" s="1"/>
  <c r="F236" i="36"/>
  <c r="I236" i="36" s="1"/>
  <c r="J236" i="36" s="1"/>
  <c r="AQ592" i="31"/>
  <c r="AQ287" i="31" s="1"/>
  <c r="F280" i="36"/>
  <c r="I280" i="36" s="1"/>
  <c r="J280" i="36" s="1"/>
  <c r="AQ475" i="31"/>
  <c r="AQ170" i="31" s="1"/>
  <c r="F163" i="36"/>
  <c r="I163" i="36" s="1"/>
  <c r="J163" i="36" s="1"/>
  <c r="AQ540" i="31"/>
  <c r="AQ235" i="31" s="1"/>
  <c r="F228" i="36"/>
  <c r="I228" i="36" s="1"/>
  <c r="J228" i="36" s="1"/>
  <c r="AQ362" i="31"/>
  <c r="AQ57" i="31" s="1"/>
  <c r="F50" i="36"/>
  <c r="I50" i="36" s="1"/>
  <c r="J50" i="36" s="1"/>
  <c r="AQ441" i="31"/>
  <c r="AQ136" i="31" s="1"/>
  <c r="F129" i="36"/>
  <c r="I129" i="36" s="1"/>
  <c r="J129" i="36" s="1"/>
  <c r="AQ529" i="31"/>
  <c r="AQ224" i="31" s="1"/>
  <c r="F217" i="36"/>
  <c r="I217" i="36" s="1"/>
  <c r="J217" i="36" s="1"/>
  <c r="AQ544" i="31"/>
  <c r="AQ239" i="31" s="1"/>
  <c r="F232" i="36"/>
  <c r="I232" i="36" s="1"/>
  <c r="J232" i="36" s="1"/>
  <c r="AQ517" i="31"/>
  <c r="AQ212" i="31" s="1"/>
  <c r="F205" i="36"/>
  <c r="I205" i="36" s="1"/>
  <c r="J205" i="36" s="1"/>
  <c r="AQ356" i="31"/>
  <c r="AQ51" i="31" s="1"/>
  <c r="F44" i="36"/>
  <c r="I44" i="36" s="1"/>
  <c r="J44" i="36" s="1"/>
  <c r="AL4" i="31"/>
  <c r="AG4" i="31"/>
  <c r="AJ4" i="31"/>
  <c r="AH4" i="31"/>
  <c r="AI4" i="31"/>
  <c r="AK4" i="31"/>
  <c r="AU87" i="31"/>
  <c r="AU182" i="31"/>
  <c r="AU161" i="31"/>
  <c r="AU171" i="31"/>
  <c r="AU235" i="31"/>
  <c r="AU84" i="31"/>
  <c r="BM19" i="15"/>
  <c r="AQ326" i="31"/>
  <c r="AR326" i="31" s="1"/>
  <c r="BN19" i="15"/>
  <c r="AQ325" i="31"/>
  <c r="AQ20" i="31" s="1"/>
  <c r="BM18" i="15"/>
  <c r="BN18" i="15"/>
  <c r="BT270" i="15"/>
  <c r="AQ577" i="31"/>
  <c r="AQ272" i="31" s="1"/>
  <c r="BB143" i="15"/>
  <c r="G138" i="36" s="1"/>
  <c r="M138" i="36" s="1"/>
  <c r="R138" i="36" s="1"/>
  <c r="BB55" i="15"/>
  <c r="G50" i="36" s="1"/>
  <c r="M50" i="36" s="1"/>
  <c r="R50" i="36" s="1"/>
  <c r="BB254" i="15"/>
  <c r="G249" i="36" s="1"/>
  <c r="M249" i="36" s="1"/>
  <c r="R249" i="36" s="1"/>
  <c r="BB87" i="15"/>
  <c r="G82" i="36" s="1"/>
  <c r="M82" i="36" s="1"/>
  <c r="R82" i="36" s="1"/>
  <c r="BB24" i="15"/>
  <c r="G19" i="36" s="1"/>
  <c r="M19" i="36" s="1"/>
  <c r="R19" i="36" s="1"/>
  <c r="BB128" i="15"/>
  <c r="G123" i="36" s="1"/>
  <c r="M123" i="36" s="1"/>
  <c r="R123" i="36" s="1"/>
  <c r="AV291" i="15"/>
  <c r="AW291" i="15" s="1"/>
  <c r="BB45" i="15"/>
  <c r="G40" i="36" s="1"/>
  <c r="M40" i="36" s="1"/>
  <c r="R40" i="36" s="1"/>
  <c r="AV283" i="15"/>
  <c r="BB283" i="15" s="1"/>
  <c r="G278" i="36" s="1"/>
  <c r="AV208" i="15"/>
  <c r="AW208" i="15" s="1"/>
  <c r="AV50" i="15"/>
  <c r="AW50" i="15" s="1"/>
  <c r="AV37" i="15"/>
  <c r="AW37" i="15" s="1"/>
  <c r="BB183" i="15"/>
  <c r="G178" i="36" s="1"/>
  <c r="M178" i="36" s="1"/>
  <c r="R178" i="36" s="1"/>
  <c r="BB202" i="15"/>
  <c r="G197" i="36" s="1"/>
  <c r="M197" i="36" s="1"/>
  <c r="R197" i="36" s="1"/>
  <c r="AV119" i="15"/>
  <c r="BB119" i="15" s="1"/>
  <c r="G114" i="36" s="1"/>
  <c r="M114" i="36" s="1"/>
  <c r="R114" i="36" s="1"/>
  <c r="AV136" i="15"/>
  <c r="AW136" i="15" s="1"/>
  <c r="BB299" i="15"/>
  <c r="G294" i="36" s="1"/>
  <c r="M294" i="36" s="1"/>
  <c r="R294" i="36" s="1"/>
  <c r="AV212" i="15"/>
  <c r="AW212" i="15" s="1"/>
  <c r="AV247" i="15"/>
  <c r="AW247" i="15" s="1"/>
  <c r="AV179" i="15"/>
  <c r="AW179" i="15" s="1"/>
  <c r="AV267" i="15"/>
  <c r="AW267" i="15" s="1"/>
  <c r="AV103" i="15"/>
  <c r="AW103" i="15" s="1"/>
  <c r="BB103" i="15"/>
  <c r="G98" i="36" s="1"/>
  <c r="M98" i="36" s="1"/>
  <c r="R98" i="36" s="1"/>
  <c r="AV256" i="15"/>
  <c r="AW256" i="15" s="1"/>
  <c r="AV161" i="15"/>
  <c r="AW161" i="15" s="1"/>
  <c r="AV276" i="15"/>
  <c r="BB276" i="15" s="1"/>
  <c r="AV166" i="15"/>
  <c r="BB166" i="15" s="1"/>
  <c r="BB137" i="15"/>
  <c r="G132" i="36" s="1"/>
  <c r="M132" i="36" s="1"/>
  <c r="R132" i="36" s="1"/>
  <c r="AV42" i="15"/>
  <c r="BB42" i="15" s="1"/>
  <c r="G37" i="36" s="1"/>
  <c r="AV244" i="15"/>
  <c r="AW244" i="15" s="1"/>
  <c r="AV63" i="15"/>
  <c r="AW63" i="15" s="1"/>
  <c r="AV124" i="15"/>
  <c r="AW124" i="15" s="1"/>
  <c r="BB124" i="15"/>
  <c r="G119" i="36" s="1"/>
  <c r="M119" i="36" s="1"/>
  <c r="R119" i="36" s="1"/>
  <c r="AV236" i="15"/>
  <c r="BB236" i="15" s="1"/>
  <c r="G231" i="36" s="1"/>
  <c r="M231" i="36" s="1"/>
  <c r="R231" i="36" s="1"/>
  <c r="AV39" i="15"/>
  <c r="BB39" i="15" s="1"/>
  <c r="G34" i="36" s="1"/>
  <c r="AV120" i="15"/>
  <c r="AW120" i="15" s="1"/>
  <c r="AV238" i="15"/>
  <c r="AW238" i="15" s="1"/>
  <c r="AV221" i="15"/>
  <c r="AW221" i="15" s="1"/>
  <c r="AV122" i="15"/>
  <c r="AW122" i="15" s="1"/>
  <c r="BB250" i="15"/>
  <c r="G245" i="36" s="1"/>
  <c r="M245" i="36" s="1"/>
  <c r="R245" i="36" s="1"/>
  <c r="BB278" i="15"/>
  <c r="BB191" i="15"/>
  <c r="G186" i="36" s="1"/>
  <c r="M186" i="36" s="1"/>
  <c r="R186" i="36" s="1"/>
  <c r="BB80" i="15"/>
  <c r="G75" i="36" s="1"/>
  <c r="M75" i="36" s="1"/>
  <c r="R75" i="36" s="1"/>
  <c r="AV28" i="15"/>
  <c r="BB28" i="15" s="1"/>
  <c r="G23" i="36" s="1"/>
  <c r="BB167" i="15"/>
  <c r="G162" i="36" s="1"/>
  <c r="M162" i="36" s="1"/>
  <c r="R162" i="36" s="1"/>
  <c r="BB32" i="15"/>
  <c r="AV223" i="15"/>
  <c r="AW223" i="15" s="1"/>
  <c r="AV199" i="15"/>
  <c r="AW199" i="15" s="1"/>
  <c r="BB282" i="15"/>
  <c r="BB158" i="15"/>
  <c r="G153" i="36" s="1"/>
  <c r="M153" i="36" s="1"/>
  <c r="R153" i="36" s="1"/>
  <c r="BB79" i="15"/>
  <c r="AV30" i="15"/>
  <c r="AW30" i="15" s="1"/>
  <c r="BB14" i="15"/>
  <c r="G9" i="36" s="1"/>
  <c r="AV188" i="15"/>
  <c r="BB188" i="15" s="1"/>
  <c r="G183" i="36" s="1"/>
  <c r="M183" i="36" s="1"/>
  <c r="R183" i="36" s="1"/>
  <c r="AV174" i="15"/>
  <c r="AW174" i="15" s="1"/>
  <c r="BB77" i="15"/>
  <c r="G72" i="36" s="1"/>
  <c r="M72" i="36" s="1"/>
  <c r="R72" i="36" s="1"/>
  <c r="AV45" i="15"/>
  <c r="AW45" i="15" s="1"/>
  <c r="AV227" i="15"/>
  <c r="BB227" i="15" s="1"/>
  <c r="G222" i="36" s="1"/>
  <c r="M222" i="36" s="1"/>
  <c r="R222" i="36" s="1"/>
  <c r="BB153" i="15"/>
  <c r="G148" i="36" s="1"/>
  <c r="M148" i="36" s="1"/>
  <c r="R148" i="36" s="1"/>
  <c r="BB70" i="15"/>
  <c r="G65" i="36" s="1"/>
  <c r="M65" i="36" s="1"/>
  <c r="R65" i="36" s="1"/>
  <c r="BB225" i="15"/>
  <c r="G220" i="36" s="1"/>
  <c r="M220" i="36" s="1"/>
  <c r="R220" i="36" s="1"/>
  <c r="AV164" i="15"/>
  <c r="BB164" i="15" s="1"/>
  <c r="G159" i="36" s="1"/>
  <c r="M159" i="36" s="1"/>
  <c r="R159" i="36" s="1"/>
  <c r="BB40" i="15"/>
  <c r="G35" i="36" s="1"/>
  <c r="M35" i="36" s="1"/>
  <c r="R35" i="36" s="1"/>
  <c r="AV99" i="15"/>
  <c r="AW99" i="15" s="1"/>
  <c r="BB260" i="15"/>
  <c r="AV38" i="15"/>
  <c r="AW38" i="15" s="1"/>
  <c r="AV303" i="15"/>
  <c r="BB303" i="15" s="1"/>
  <c r="G298" i="36" s="1"/>
  <c r="M298" i="36" s="1"/>
  <c r="R298" i="36" s="1"/>
  <c r="AV41" i="15"/>
  <c r="AW41" i="15" s="1"/>
  <c r="BB41" i="15"/>
  <c r="G36" i="36" s="1"/>
  <c r="M36" i="36" s="1"/>
  <c r="R36" i="36" s="1"/>
  <c r="AV139" i="15"/>
  <c r="BB139" i="15" s="1"/>
  <c r="G134" i="36" s="1"/>
  <c r="M134" i="36" s="1"/>
  <c r="R134" i="36" s="1"/>
  <c r="AV171" i="15"/>
  <c r="AW171" i="15" s="1"/>
  <c r="AV213" i="15"/>
  <c r="BB213" i="15" s="1"/>
  <c r="AV23" i="15"/>
  <c r="BB23" i="15" s="1"/>
  <c r="G18" i="36" s="1"/>
  <c r="AV146" i="15"/>
  <c r="AW146" i="15" s="1"/>
  <c r="AV215" i="15"/>
  <c r="AW215" i="15" s="1"/>
  <c r="BB113" i="15"/>
  <c r="G108" i="36" s="1"/>
  <c r="M108" i="36" s="1"/>
  <c r="R108" i="36" s="1"/>
  <c r="AV36" i="15"/>
  <c r="AW36" i="15" s="1"/>
  <c r="BB36" i="15"/>
  <c r="G31" i="36" s="1"/>
  <c r="M31" i="36" s="1"/>
  <c r="R31" i="36" s="1"/>
  <c r="AV277" i="15"/>
  <c r="BB277" i="15" s="1"/>
  <c r="G272" i="36" s="1"/>
  <c r="AV27" i="15"/>
  <c r="AW27" i="15" s="1"/>
  <c r="BB11" i="15"/>
  <c r="G6" i="36" s="1"/>
  <c r="AV201" i="15"/>
  <c r="BB201" i="15" s="1"/>
  <c r="G196" i="36" s="1"/>
  <c r="AV56" i="15"/>
  <c r="BB56" i="15" s="1"/>
  <c r="BB94" i="15"/>
  <c r="G89" i="36" s="1"/>
  <c r="M89" i="36" s="1"/>
  <c r="R89" i="36" s="1"/>
  <c r="BB194" i="15"/>
  <c r="AV193" i="15"/>
  <c r="BB193" i="15" s="1"/>
  <c r="G188" i="36" s="1"/>
  <c r="AV95" i="15"/>
  <c r="BB95" i="15" s="1"/>
  <c r="G90" i="36" s="1"/>
  <c r="M90" i="36" s="1"/>
  <c r="R90" i="36" s="1"/>
  <c r="AV123" i="15"/>
  <c r="AW123" i="15" s="1"/>
  <c r="BB123" i="15"/>
  <c r="G118" i="36" s="1"/>
  <c r="M118" i="36" s="1"/>
  <c r="R118" i="36" s="1"/>
  <c r="AV286" i="15"/>
  <c r="AW286" i="15" s="1"/>
  <c r="AV304" i="15"/>
  <c r="BB304" i="15" s="1"/>
  <c r="G299" i="36" s="1"/>
  <c r="M299" i="36" s="1"/>
  <c r="R299" i="36" s="1"/>
  <c r="AV298" i="15"/>
  <c r="BB298" i="15" s="1"/>
  <c r="G293" i="36" s="1"/>
  <c r="M293" i="36" s="1"/>
  <c r="R293" i="36" s="1"/>
  <c r="AV219" i="15"/>
  <c r="AW219" i="15" s="1"/>
  <c r="AV295" i="15"/>
  <c r="AW295" i="15" s="1"/>
  <c r="AV26" i="15"/>
  <c r="AW26" i="15" s="1"/>
  <c r="AV46" i="15"/>
  <c r="BB46" i="15" s="1"/>
  <c r="G41" i="36" s="1"/>
  <c r="AV265" i="15"/>
  <c r="AW265" i="15" s="1"/>
  <c r="AV141" i="15"/>
  <c r="AW141" i="15" s="1"/>
  <c r="AV64" i="15"/>
  <c r="BB64" i="15" s="1"/>
  <c r="AV13" i="15"/>
  <c r="BB13" i="15" s="1"/>
  <c r="G8" i="36" s="1"/>
  <c r="AV135" i="15"/>
  <c r="AW135" i="15" s="1"/>
  <c r="AV204" i="15"/>
  <c r="AW204" i="15" s="1"/>
  <c r="AV90" i="15"/>
  <c r="AW90" i="15" s="1"/>
  <c r="AV178" i="15"/>
  <c r="BB178" i="15" s="1"/>
  <c r="BB140" i="15"/>
  <c r="G135" i="36" s="1"/>
  <c r="M135" i="36" s="1"/>
  <c r="R135" i="36" s="1"/>
  <c r="AV66" i="15"/>
  <c r="AW66" i="15" s="1"/>
  <c r="AV22" i="15"/>
  <c r="AW22" i="15" s="1"/>
  <c r="AV266" i="15"/>
  <c r="AW266" i="15" s="1"/>
  <c r="BB198" i="15"/>
  <c r="G193" i="36" s="1"/>
  <c r="M193" i="36" s="1"/>
  <c r="R193" i="36" s="1"/>
  <c r="BB145" i="15"/>
  <c r="G140" i="36" s="1"/>
  <c r="M140" i="36" s="1"/>
  <c r="R140" i="36" s="1"/>
  <c r="AV104" i="15"/>
  <c r="AW104" i="15" s="1"/>
  <c r="AV43" i="15"/>
  <c r="AW43" i="15" s="1"/>
  <c r="BB33" i="15"/>
  <c r="AV274" i="15"/>
  <c r="AW274" i="15" s="1"/>
  <c r="BB274" i="15"/>
  <c r="G269" i="36" s="1"/>
  <c r="M269" i="36" s="1"/>
  <c r="R269" i="36" s="1"/>
  <c r="AV243" i="15"/>
  <c r="BB243" i="15" s="1"/>
  <c r="G238" i="36" s="1"/>
  <c r="M238" i="36" s="1"/>
  <c r="R238" i="36" s="1"/>
  <c r="AV129" i="15"/>
  <c r="AW129" i="15" s="1"/>
  <c r="BB96" i="15"/>
  <c r="G91" i="36" s="1"/>
  <c r="M91" i="36" s="1"/>
  <c r="R91" i="36" s="1"/>
  <c r="AV268" i="15"/>
  <c r="AW268" i="15" s="1"/>
  <c r="AV181" i="15"/>
  <c r="AW181" i="15" s="1"/>
  <c r="AV284" i="15"/>
  <c r="BB284" i="15" s="1"/>
  <c r="G279" i="36" s="1"/>
  <c r="M279" i="36" s="1"/>
  <c r="R279" i="36" s="1"/>
  <c r="BB157" i="15"/>
  <c r="G152" i="36" s="1"/>
  <c r="M152" i="36" s="1"/>
  <c r="R152" i="36" s="1"/>
  <c r="AV273" i="15"/>
  <c r="BB91" i="15"/>
  <c r="G86" i="36" s="1"/>
  <c r="M86" i="36" s="1"/>
  <c r="R86" i="36" s="1"/>
  <c r="BB31" i="15"/>
  <c r="G26" i="36" s="1"/>
  <c r="AV226" i="15"/>
  <c r="AW226" i="15" s="1"/>
  <c r="BB226" i="15"/>
  <c r="G221" i="36" s="1"/>
  <c r="M221" i="36" s="1"/>
  <c r="R221" i="36" s="1"/>
  <c r="AV20" i="15"/>
  <c r="AW20" i="15" s="1"/>
  <c r="AV300" i="15"/>
  <c r="BB300" i="15" s="1"/>
  <c r="G295" i="36" s="1"/>
  <c r="M295" i="36" s="1"/>
  <c r="R295" i="36" s="1"/>
  <c r="AV259" i="15"/>
  <c r="AW259" i="15" s="1"/>
  <c r="BB165" i="15"/>
  <c r="G160" i="36" s="1"/>
  <c r="M160" i="36" s="1"/>
  <c r="R160" i="36" s="1"/>
  <c r="BB288" i="15"/>
  <c r="BB131" i="15"/>
  <c r="G126" i="36" s="1"/>
  <c r="M126" i="36" s="1"/>
  <c r="R126" i="36" s="1"/>
  <c r="BB100" i="15"/>
  <c r="G95" i="36" s="1"/>
  <c r="M95" i="36" s="1"/>
  <c r="R95" i="36" s="1"/>
  <c r="AV258" i="15"/>
  <c r="AW258" i="15" s="1"/>
  <c r="AV133" i="15"/>
  <c r="BB133" i="15" s="1"/>
  <c r="G128" i="36" s="1"/>
  <c r="BB10" i="15"/>
  <c r="AV173" i="15"/>
  <c r="AW173" i="15" s="1"/>
  <c r="AV132" i="15"/>
  <c r="AW132" i="15" s="1"/>
  <c r="BB132" i="15"/>
  <c r="G127" i="36" s="1"/>
  <c r="M127" i="36" s="1"/>
  <c r="R127" i="36" s="1"/>
  <c r="AV289" i="15"/>
  <c r="AW289" i="15" s="1"/>
  <c r="BB76" i="15"/>
  <c r="G71" i="36" s="1"/>
  <c r="M71" i="36" s="1"/>
  <c r="R71" i="36" s="1"/>
  <c r="AV47" i="15"/>
  <c r="BB47" i="15" s="1"/>
  <c r="AV302" i="15"/>
  <c r="AW302" i="15" s="1"/>
  <c r="BB155" i="15"/>
  <c r="AV293" i="15"/>
  <c r="BB293" i="15" s="1"/>
  <c r="AV114" i="15"/>
  <c r="AW114" i="15" s="1"/>
  <c r="AV279" i="15"/>
  <c r="BB279" i="15" s="1"/>
  <c r="G274" i="36" s="1"/>
  <c r="M274" i="36" s="1"/>
  <c r="R274" i="36" s="1"/>
  <c r="AV148" i="15"/>
  <c r="AW148" i="15" s="1"/>
  <c r="AV29" i="15"/>
  <c r="BB29" i="15" s="1"/>
  <c r="G24" i="36" s="1"/>
  <c r="M24" i="36" s="1"/>
  <c r="R24" i="36" s="1"/>
  <c r="AV263" i="15"/>
  <c r="AW263" i="15" s="1"/>
  <c r="AV205" i="15"/>
  <c r="BB205" i="15" s="1"/>
  <c r="BB127" i="15"/>
  <c r="G122" i="36" s="1"/>
  <c r="M122" i="36" s="1"/>
  <c r="R122" i="36" s="1"/>
  <c r="AV251" i="15"/>
  <c r="AW251" i="15" s="1"/>
  <c r="BB144" i="15"/>
  <c r="G139" i="36" s="1"/>
  <c r="M139" i="36" s="1"/>
  <c r="R139" i="36" s="1"/>
  <c r="AV86" i="15"/>
  <c r="AW86" i="15" s="1"/>
  <c r="AV218" i="15"/>
  <c r="BB218" i="15" s="1"/>
  <c r="G213" i="36" s="1"/>
  <c r="M213" i="36" s="1"/>
  <c r="R213" i="36" s="1"/>
  <c r="AV162" i="15"/>
  <c r="AW162" i="15" s="1"/>
  <c r="AV116" i="15"/>
  <c r="AW116" i="15" s="1"/>
  <c r="AV121" i="15"/>
  <c r="AW121" i="15" s="1"/>
  <c r="AV262" i="15"/>
  <c r="AW262" i="15" s="1"/>
  <c r="AV73" i="15"/>
  <c r="BB73" i="15" s="1"/>
  <c r="AV239" i="15"/>
  <c r="AW239" i="15" s="1"/>
  <c r="AV175" i="15"/>
  <c r="AW175" i="15" s="1"/>
  <c r="BB57" i="15"/>
  <c r="BB17" i="15"/>
  <c r="G12" i="36" s="1"/>
  <c r="M12" i="36" s="1"/>
  <c r="R12" i="36" s="1"/>
  <c r="AV110" i="15"/>
  <c r="AW110" i="15" s="1"/>
  <c r="BB12" i="15"/>
  <c r="G7" i="36" s="1"/>
  <c r="AV152" i="15"/>
  <c r="AW152" i="15" s="1"/>
  <c r="AV138" i="15"/>
  <c r="AW138" i="15" s="1"/>
  <c r="AV144" i="15"/>
  <c r="AW144" i="15" s="1"/>
  <c r="AV297" i="15"/>
  <c r="AW297" i="15" s="1"/>
  <c r="AV272" i="15"/>
  <c r="AW272" i="15" s="1"/>
  <c r="BM87" i="15"/>
  <c r="BN87" i="15"/>
  <c r="BM55" i="15"/>
  <c r="BN55" i="15"/>
  <c r="BM118" i="15"/>
  <c r="BN118" i="15"/>
  <c r="BM154" i="15"/>
  <c r="BN154" i="15"/>
  <c r="BM134" i="15"/>
  <c r="BN134" i="15"/>
  <c r="BM172" i="15"/>
  <c r="BN172" i="15"/>
  <c r="BM24" i="15"/>
  <c r="BN24" i="15"/>
  <c r="AV145" i="15"/>
  <c r="AW145" i="15" s="1"/>
  <c r="BM224" i="15"/>
  <c r="BN224" i="15"/>
  <c r="BM237" i="15"/>
  <c r="BN237" i="15"/>
  <c r="BN98" i="15"/>
  <c r="BM98" i="15"/>
  <c r="BM112" i="15"/>
  <c r="BN112" i="15"/>
  <c r="BM49" i="15"/>
  <c r="BN49" i="15"/>
  <c r="BT169" i="15"/>
  <c r="BM169" i="15"/>
  <c r="BN169" i="15"/>
  <c r="BN214" i="15"/>
  <c r="BM214" i="15"/>
  <c r="BN35" i="15"/>
  <c r="BM35" i="15"/>
  <c r="BM143" i="15"/>
  <c r="BN143" i="15"/>
  <c r="BT82" i="15"/>
  <c r="BM82" i="15"/>
  <c r="BN82" i="15"/>
  <c r="BN65" i="15"/>
  <c r="BM65" i="15"/>
  <c r="BM275" i="15"/>
  <c r="BN275" i="15"/>
  <c r="AV252" i="15"/>
  <c r="AW252" i="15" s="1"/>
  <c r="BN128" i="15"/>
  <c r="BM128" i="15"/>
  <c r="BM241" i="15"/>
  <c r="BN241" i="15"/>
  <c r="BN240" i="15"/>
  <c r="BM240" i="15"/>
  <c r="BN111" i="15"/>
  <c r="BM111" i="15"/>
  <c r="BN285" i="15"/>
  <c r="BM285" i="15"/>
  <c r="BN216" i="15"/>
  <c r="BM216" i="15"/>
  <c r="BM270" i="15"/>
  <c r="BN270" i="15"/>
  <c r="BT186" i="15"/>
  <c r="BN186" i="15"/>
  <c r="BM186" i="15"/>
  <c r="BM206" i="15"/>
  <c r="BN206" i="15"/>
  <c r="BM245" i="15"/>
  <c r="BN245" i="15"/>
  <c r="BM231" i="15"/>
  <c r="BN231" i="15"/>
  <c r="BN130" i="15"/>
  <c r="BM130" i="15"/>
  <c r="BN93" i="15"/>
  <c r="BM93" i="15"/>
  <c r="BM89" i="15"/>
  <c r="BN89" i="15"/>
  <c r="BM233" i="15"/>
  <c r="BN233" i="15"/>
  <c r="BM235" i="15"/>
  <c r="BN235" i="15"/>
  <c r="BM88" i="15"/>
  <c r="BN88" i="15"/>
  <c r="BN180" i="15"/>
  <c r="BM180" i="15"/>
  <c r="BM187" i="15"/>
  <c r="BN187" i="15"/>
  <c r="BM159" i="15"/>
  <c r="BN159" i="15"/>
  <c r="BM84" i="15"/>
  <c r="BN84" i="15"/>
  <c r="BM242" i="15"/>
  <c r="BN242" i="15"/>
  <c r="BN168" i="15"/>
  <c r="BM168" i="15"/>
  <c r="AV94" i="15"/>
  <c r="AW94" i="15" s="1"/>
  <c r="BT222" i="15"/>
  <c r="BM222" i="15"/>
  <c r="BN222" i="15"/>
  <c r="BN232" i="15"/>
  <c r="BM232" i="15"/>
  <c r="BM85" i="15"/>
  <c r="BN85" i="15"/>
  <c r="BM210" i="15"/>
  <c r="BN210" i="15"/>
  <c r="BM254" i="15"/>
  <c r="BN254" i="15"/>
  <c r="BM280" i="15"/>
  <c r="BN280" i="15"/>
  <c r="AV229" i="15"/>
  <c r="AW229" i="15" s="1"/>
  <c r="AV21" i="15"/>
  <c r="BB21" i="15" s="1"/>
  <c r="G16" i="36" s="1"/>
  <c r="AV106" i="15"/>
  <c r="AW106" i="15" s="1"/>
  <c r="AV230" i="15"/>
  <c r="AW230" i="15" s="1"/>
  <c r="AV150" i="15"/>
  <c r="AW150" i="15" s="1"/>
  <c r="AV176" i="15"/>
  <c r="AV117" i="15"/>
  <c r="AW117" i="15" s="1"/>
  <c r="AV211" i="15"/>
  <c r="AV170" i="15"/>
  <c r="AV160" i="15"/>
  <c r="BB160" i="15" s="1"/>
  <c r="G155" i="36" s="1"/>
  <c r="M155" i="36" s="1"/>
  <c r="R155" i="36" s="1"/>
  <c r="AV163" i="15"/>
  <c r="AW163" i="15" s="1"/>
  <c r="AV220" i="15"/>
  <c r="BB220" i="15" s="1"/>
  <c r="G215" i="36" s="1"/>
  <c r="M215" i="36" s="1"/>
  <c r="R215" i="36" s="1"/>
  <c r="AV200" i="15"/>
  <c r="AW200" i="15" s="1"/>
  <c r="AV195" i="15"/>
  <c r="AW195" i="15" s="1"/>
  <c r="AV149" i="15"/>
  <c r="AW149" i="15" s="1"/>
  <c r="AV269" i="15"/>
  <c r="AW269" i="15" s="1"/>
  <c r="AV60" i="15"/>
  <c r="AW60" i="15" s="1"/>
  <c r="AV294" i="15"/>
  <c r="BB294" i="15" s="1"/>
  <c r="G289" i="36" s="1"/>
  <c r="AV92" i="15"/>
  <c r="AW92" i="15" s="1"/>
  <c r="AV209" i="15"/>
  <c r="AW209" i="15" s="1"/>
  <c r="AV147" i="15"/>
  <c r="AW147" i="15" s="1"/>
  <c r="AV68" i="15"/>
  <c r="BB68" i="15" s="1"/>
  <c r="G63" i="36" s="1"/>
  <c r="AV177" i="15"/>
  <c r="BB177" i="15" s="1"/>
  <c r="AV296" i="15"/>
  <c r="AW296" i="15" s="1"/>
  <c r="AV142" i="15"/>
  <c r="AW142" i="15" s="1"/>
  <c r="AV97" i="15"/>
  <c r="AW97" i="15" s="1"/>
  <c r="AV281" i="15"/>
  <c r="AV234" i="15"/>
  <c r="AW234" i="15" s="1"/>
  <c r="AV225" i="15"/>
  <c r="AW225" i="15" s="1"/>
  <c r="AV59" i="15"/>
  <c r="BB59" i="15" s="1"/>
  <c r="BT180" i="15"/>
  <c r="AV182" i="15"/>
  <c r="AW182" i="15" s="1"/>
  <c r="AV137" i="15"/>
  <c r="AW137" i="15" s="1"/>
  <c r="AV196" i="15"/>
  <c r="BB196" i="15" s="1"/>
  <c r="AV127" i="15"/>
  <c r="AW127" i="15" s="1"/>
  <c r="AV255" i="15"/>
  <c r="AW255" i="15" s="1"/>
  <c r="AV83" i="15"/>
  <c r="AW83" i="15" s="1"/>
  <c r="AV271" i="15"/>
  <c r="AW271" i="15" s="1"/>
  <c r="AV292" i="15"/>
  <c r="AW292" i="15" s="1"/>
  <c r="AV207" i="15"/>
  <c r="BB207" i="15" s="1"/>
  <c r="AV78" i="15"/>
  <c r="AW78" i="15" s="1"/>
  <c r="AV9" i="15"/>
  <c r="AW9" i="15" s="1"/>
  <c r="J306" i="15"/>
  <c r="AW155" i="15"/>
  <c r="AW191" i="15"/>
  <c r="CA229" i="15"/>
  <c r="CC229" i="15" s="1"/>
  <c r="CB24" i="15"/>
  <c r="CD24" i="15" s="1"/>
  <c r="CB229" i="15"/>
  <c r="CD229" i="15" s="1"/>
  <c r="CA24" i="15"/>
  <c r="CC24" i="15" s="1"/>
  <c r="CA94" i="15"/>
  <c r="CC94" i="15" s="1"/>
  <c r="CA193" i="15"/>
  <c r="CC193" i="15" s="1"/>
  <c r="CB94" i="15"/>
  <c r="CD94" i="15" s="1"/>
  <c r="CB193" i="15"/>
  <c r="CD193" i="15" s="1"/>
  <c r="CA247" i="15"/>
  <c r="CC247" i="15" s="1"/>
  <c r="CB19" i="15"/>
  <c r="CA19" i="15"/>
  <c r="CA231" i="15"/>
  <c r="CC231" i="15" s="1"/>
  <c r="CB247" i="15"/>
  <c r="CD247" i="15" s="1"/>
  <c r="CB231" i="15"/>
  <c r="CD231" i="15" s="1"/>
  <c r="T315" i="15"/>
  <c r="T312" i="15"/>
  <c r="Z315" i="15"/>
  <c r="Z312" i="15"/>
  <c r="V315" i="15"/>
  <c r="V312" i="15"/>
  <c r="W315" i="15"/>
  <c r="W312" i="15"/>
  <c r="U315" i="15"/>
  <c r="U312" i="15"/>
  <c r="AB315" i="15"/>
  <c r="AB312" i="15"/>
  <c r="Y315" i="15"/>
  <c r="Y312" i="15"/>
  <c r="X315" i="15"/>
  <c r="X312" i="15"/>
  <c r="K315" i="15"/>
  <c r="BO180" i="15"/>
  <c r="BP180" i="15" s="1"/>
  <c r="BO169" i="15"/>
  <c r="BP169" i="15" s="1"/>
  <c r="BO88" i="15"/>
  <c r="BP88" i="15" s="1"/>
  <c r="BT88" i="15"/>
  <c r="BO112" i="15"/>
  <c r="BP112" i="15" s="1"/>
  <c r="BT112" i="15"/>
  <c r="BO241" i="15"/>
  <c r="BP241" i="15" s="1"/>
  <c r="BT241" i="15"/>
  <c r="BO134" i="15"/>
  <c r="BP134" i="15" s="1"/>
  <c r="BT134" i="15"/>
  <c r="BO154" i="15"/>
  <c r="BT154" i="15"/>
  <c r="BO130" i="15"/>
  <c r="BP130" i="15" s="1"/>
  <c r="BT130" i="15"/>
  <c r="BO98" i="15"/>
  <c r="BP98" i="15" s="1"/>
  <c r="BT98" i="15"/>
  <c r="BO280" i="15"/>
  <c r="BP280" i="15" s="1"/>
  <c r="BT280" i="15"/>
  <c r="BO85" i="15"/>
  <c r="BP85" i="15" s="1"/>
  <c r="BT85" i="15"/>
  <c r="BO235" i="15"/>
  <c r="BP235" i="15" s="1"/>
  <c r="BT235" i="15"/>
  <c r="BO93" i="15"/>
  <c r="BP93" i="15" s="1"/>
  <c r="BT93" i="15"/>
  <c r="BO240" i="15"/>
  <c r="BP240" i="15" s="1"/>
  <c r="BT240" i="15"/>
  <c r="BO232" i="15"/>
  <c r="BP232" i="15" s="1"/>
  <c r="BT232" i="15"/>
  <c r="BO216" i="15"/>
  <c r="BP216" i="15" s="1"/>
  <c r="BT216" i="15"/>
  <c r="BO111" i="15"/>
  <c r="BP111" i="15" s="1"/>
  <c r="BT111" i="15"/>
  <c r="BO187" i="15"/>
  <c r="BP187" i="15" s="1"/>
  <c r="BT187" i="15"/>
  <c r="BO118" i="15"/>
  <c r="BP118" i="15" s="1"/>
  <c r="BT118" i="15"/>
  <c r="BO254" i="15"/>
  <c r="BT254" i="15"/>
  <c r="BO35" i="15"/>
  <c r="BP35" i="15" s="1"/>
  <c r="BT35" i="15"/>
  <c r="BO214" i="15"/>
  <c r="BP214" i="15" s="1"/>
  <c r="BT214" i="15"/>
  <c r="BO210" i="15"/>
  <c r="BP210" i="15" s="1"/>
  <c r="BT210" i="15"/>
  <c r="BO128" i="15"/>
  <c r="BP128" i="15" s="1"/>
  <c r="BT128" i="15"/>
  <c r="BO89" i="15"/>
  <c r="BP89" i="15" s="1"/>
  <c r="BT89" i="15"/>
  <c r="BO231" i="15"/>
  <c r="BP231" i="15" s="1"/>
  <c r="BT231" i="15"/>
  <c r="BO49" i="15"/>
  <c r="BP49" i="15" s="1"/>
  <c r="BT49" i="15"/>
  <c r="BO275" i="15"/>
  <c r="BP275" i="15" s="1"/>
  <c r="BT275" i="15"/>
  <c r="BO206" i="15"/>
  <c r="BP206" i="15" s="1"/>
  <c r="BT206" i="15"/>
  <c r="BO242" i="15"/>
  <c r="BP242" i="15" s="1"/>
  <c r="BT242" i="15"/>
  <c r="BO84" i="15"/>
  <c r="BP84" i="15" s="1"/>
  <c r="BT84" i="15"/>
  <c r="BO55" i="15"/>
  <c r="BP55" i="15" s="1"/>
  <c r="BT55" i="15"/>
  <c r="BT19" i="15"/>
  <c r="BO143" i="15"/>
  <c r="BP143" i="15" s="1"/>
  <c r="BT143" i="15"/>
  <c r="BO24" i="15"/>
  <c r="BP24" i="15" s="1"/>
  <c r="BT24" i="15"/>
  <c r="BO224" i="15"/>
  <c r="BP224" i="15" s="1"/>
  <c r="BT224" i="15"/>
  <c r="BO245" i="15"/>
  <c r="BP245" i="15" s="1"/>
  <c r="BT245" i="15"/>
  <c r="BO159" i="15"/>
  <c r="BP159" i="15" s="1"/>
  <c r="BT159" i="15"/>
  <c r="BO87" i="15"/>
  <c r="BP87" i="15" s="1"/>
  <c r="BT87" i="15"/>
  <c r="BO237" i="15"/>
  <c r="BP237" i="15" s="1"/>
  <c r="BT237" i="15"/>
  <c r="BO233" i="15"/>
  <c r="BP233" i="15" s="1"/>
  <c r="BT233" i="15"/>
  <c r="BO172" i="15"/>
  <c r="BP172" i="15" s="1"/>
  <c r="BT172" i="15"/>
  <c r="BO65" i="15"/>
  <c r="BP65" i="15" s="1"/>
  <c r="BT65" i="15"/>
  <c r="BO18" i="15"/>
  <c r="BP18" i="15" s="1"/>
  <c r="BT18" i="15"/>
  <c r="BO285" i="15"/>
  <c r="BP285" i="15" s="1"/>
  <c r="BT285" i="15"/>
  <c r="BO168" i="15"/>
  <c r="BP168" i="15" s="1"/>
  <c r="BT168" i="15"/>
  <c r="BI11" i="8"/>
  <c r="BJ11" i="8" s="1"/>
  <c r="BH11" i="8"/>
  <c r="BG11" i="8"/>
  <c r="AV25" i="15"/>
  <c r="AW25" i="15" s="1"/>
  <c r="BO186" i="15"/>
  <c r="BP186" i="15" s="1"/>
  <c r="BO82" i="15"/>
  <c r="BP82" i="15" s="1"/>
  <c r="BO222" i="15"/>
  <c r="BP222" i="15" s="1"/>
  <c r="BO270" i="15"/>
  <c r="BP270" i="15" s="1"/>
  <c r="AV264" i="15"/>
  <c r="AW264" i="15" s="1"/>
  <c r="AV58" i="15"/>
  <c r="BB58" i="15" s="1"/>
  <c r="AV108" i="15"/>
  <c r="AW108" i="15" s="1"/>
  <c r="AV102" i="15"/>
  <c r="AW102" i="15" s="1"/>
  <c r="AV105" i="15"/>
  <c r="BB105" i="15" s="1"/>
  <c r="AV198" i="15"/>
  <c r="AW198" i="15" s="1"/>
  <c r="AV54" i="15"/>
  <c r="BB54" i="15" s="1"/>
  <c r="AV53" i="15"/>
  <c r="AW53" i="15" s="1"/>
  <c r="AV140" i="15"/>
  <c r="AW140" i="15" s="1"/>
  <c r="AV203" i="15"/>
  <c r="BB203" i="15" s="1"/>
  <c r="G198" i="36" s="1"/>
  <c r="M198" i="36" s="1"/>
  <c r="R198" i="36" s="1"/>
  <c r="AV52" i="15"/>
  <c r="BB52" i="15" s="1"/>
  <c r="AV44" i="15"/>
  <c r="AW44" i="15" s="1"/>
  <c r="AV71" i="15"/>
  <c r="AW71" i="15" s="1"/>
  <c r="AV287" i="15"/>
  <c r="BB287" i="15" s="1"/>
  <c r="AW158" i="15"/>
  <c r="AV72" i="15"/>
  <c r="AW72" i="15" s="1"/>
  <c r="AV15" i="15"/>
  <c r="BB15" i="15" s="1"/>
  <c r="AH307" i="15"/>
  <c r="AH312" i="15" s="1"/>
  <c r="AH311" i="15" s="1"/>
  <c r="AA307" i="15"/>
  <c r="AF307" i="15"/>
  <c r="AI307" i="15"/>
  <c r="AI312" i="15" s="1"/>
  <c r="AI311" i="15" s="1"/>
  <c r="AE307" i="15"/>
  <c r="AC307" i="15"/>
  <c r="AD307" i="15"/>
  <c r="AG307" i="15"/>
  <c r="AG312" i="15" s="1"/>
  <c r="AG311" i="15" s="1"/>
  <c r="BK305" i="15"/>
  <c r="BL305" i="15"/>
  <c r="AU254" i="15"/>
  <c r="AR256" i="34" s="1"/>
  <c r="AV112" i="15"/>
  <c r="BB112" i="15" s="1"/>
  <c r="AX49" i="15"/>
  <c r="AY49" i="15" s="1"/>
  <c r="AU275" i="15"/>
  <c r="AR277" i="34" s="1"/>
  <c r="AV84" i="15"/>
  <c r="BB84" i="15" s="1"/>
  <c r="G79" i="36" s="1"/>
  <c r="M79" i="36" s="1"/>
  <c r="R79" i="36" s="1"/>
  <c r="AU130" i="15"/>
  <c r="AR132" i="34" s="1"/>
  <c r="AU187" i="15"/>
  <c r="AR189" i="34" s="1"/>
  <c r="AX159" i="15"/>
  <c r="AY159" i="15" s="1"/>
  <c r="AU237" i="15"/>
  <c r="AR239" i="34" s="1"/>
  <c r="AU154" i="15"/>
  <c r="AR156" i="34" s="1"/>
  <c r="AX232" i="15"/>
  <c r="AY232" i="15" s="1"/>
  <c r="AU235" i="15"/>
  <c r="AR237" i="34" s="1"/>
  <c r="AX87" i="15"/>
  <c r="AY87" i="15" s="1"/>
  <c r="AX143" i="15"/>
  <c r="AY143" i="15" s="1"/>
  <c r="AX88" i="15"/>
  <c r="AY88" i="15" s="1"/>
  <c r="AU65" i="15"/>
  <c r="AR67" i="34" s="1"/>
  <c r="AU206" i="15"/>
  <c r="AR208" i="34" s="1"/>
  <c r="AX210" i="15"/>
  <c r="AY210" i="15" s="1"/>
  <c r="AX93" i="15"/>
  <c r="AY93" i="15" s="1"/>
  <c r="AU233" i="15"/>
  <c r="AR235" i="34" s="1"/>
  <c r="AU128" i="15"/>
  <c r="AR130" i="34" s="1"/>
  <c r="AU88" i="15"/>
  <c r="AR90" i="34" s="1"/>
  <c r="AV197" i="15"/>
  <c r="BB197" i="15" s="1"/>
  <c r="G192" i="36" s="1"/>
  <c r="M192" i="36" s="1"/>
  <c r="R192" i="36" s="1"/>
  <c r="AU159" i="15"/>
  <c r="AR161" i="34" s="1"/>
  <c r="AX130" i="15"/>
  <c r="AY130" i="15" s="1"/>
  <c r="AX235" i="15"/>
  <c r="AY235" i="15" s="1"/>
  <c r="AV184" i="15"/>
  <c r="AW184" i="15" s="1"/>
  <c r="AV206" i="15"/>
  <c r="AW206" i="15" s="1"/>
  <c r="AX206" i="15"/>
  <c r="AY206" i="15" s="1"/>
  <c r="AV159" i="15"/>
  <c r="AW159" i="15" s="1"/>
  <c r="AV88" i="15"/>
  <c r="BB88" i="15" s="1"/>
  <c r="G83" i="36" s="1"/>
  <c r="M83" i="36" s="1"/>
  <c r="R83" i="36" s="1"/>
  <c r="AV241" i="15"/>
  <c r="BB241" i="15" s="1"/>
  <c r="AV187" i="15"/>
  <c r="BB187" i="15" s="1"/>
  <c r="AU93" i="15"/>
  <c r="AR95" i="34" s="1"/>
  <c r="AV130" i="15"/>
  <c r="AW130" i="15" s="1"/>
  <c r="AV24" i="15"/>
  <c r="AW24" i="15" s="1"/>
  <c r="AX128" i="15"/>
  <c r="AY128" i="15" s="1"/>
  <c r="AU24" i="15"/>
  <c r="AR26" i="34" s="1"/>
  <c r="AX24" i="15"/>
  <c r="AY24" i="15" s="1"/>
  <c r="AV126" i="15"/>
  <c r="AW126" i="15" s="1"/>
  <c r="AV85" i="15"/>
  <c r="BB85" i="15" s="1"/>
  <c r="AV115" i="15"/>
  <c r="BB115" i="15" s="1"/>
  <c r="G110" i="36" s="1"/>
  <c r="M110" i="36" s="1"/>
  <c r="R110" i="36" s="1"/>
  <c r="AV118" i="15"/>
  <c r="AW118" i="15" s="1"/>
  <c r="AV49" i="15"/>
  <c r="BB49" i="15" s="1"/>
  <c r="G44" i="36" s="1"/>
  <c r="M44" i="36" s="1"/>
  <c r="R44" i="36" s="1"/>
  <c r="AW12" i="15"/>
  <c r="AX65" i="15"/>
  <c r="AY65" i="15" s="1"/>
  <c r="AV125" i="15"/>
  <c r="BB125" i="15" s="1"/>
  <c r="AV75" i="15"/>
  <c r="AW75" i="15" s="1"/>
  <c r="AX275" i="15"/>
  <c r="AY275" i="15" s="1"/>
  <c r="AX154" i="15"/>
  <c r="AY154" i="15" s="1"/>
  <c r="AX254" i="15"/>
  <c r="AY254" i="15" s="1"/>
  <c r="AU118" i="15"/>
  <c r="AR120" i="34" s="1"/>
  <c r="AX118" i="15"/>
  <c r="AY118" i="15" s="1"/>
  <c r="AU87" i="15"/>
  <c r="AR89" i="34" s="1"/>
  <c r="AX187" i="15"/>
  <c r="AY187" i="15" s="1"/>
  <c r="AV235" i="15"/>
  <c r="AV61" i="15"/>
  <c r="BB61" i="15" s="1"/>
  <c r="G56" i="36" s="1"/>
  <c r="AX74" i="15"/>
  <c r="AY74" i="15" s="1"/>
  <c r="AV261" i="15"/>
  <c r="BB261" i="15" s="1"/>
  <c r="G256" i="36" s="1"/>
  <c r="M256" i="36" s="1"/>
  <c r="R256" i="36" s="1"/>
  <c r="AU49" i="15"/>
  <c r="AR51" i="34" s="1"/>
  <c r="AV93" i="15"/>
  <c r="AV8" i="15"/>
  <c r="AV113" i="15"/>
  <c r="AW113" i="15" s="1"/>
  <c r="AV81" i="15"/>
  <c r="AV67" i="15"/>
  <c r="AW67" i="15" s="1"/>
  <c r="AV48" i="15"/>
  <c r="AX242" i="15"/>
  <c r="AY242" i="15" s="1"/>
  <c r="AV242" i="15"/>
  <c r="AW242" i="15" s="1"/>
  <c r="AU242" i="15"/>
  <c r="AR244" i="34" s="1"/>
  <c r="AV156" i="15"/>
  <c r="BB156" i="15" s="1"/>
  <c r="G151" i="36" s="1"/>
  <c r="M151" i="36" s="1"/>
  <c r="R151" i="36" s="1"/>
  <c r="AW96" i="15"/>
  <c r="AV246" i="15"/>
  <c r="AX112" i="15"/>
  <c r="AY112" i="15" s="1"/>
  <c r="AV185" i="15"/>
  <c r="AV224" i="15"/>
  <c r="BB224" i="15" s="1"/>
  <c r="AV51" i="15"/>
  <c r="BB51" i="15" s="1"/>
  <c r="G46" i="36" s="1"/>
  <c r="M46" i="36" s="1"/>
  <c r="R46" i="36" s="1"/>
  <c r="AU186" i="15"/>
  <c r="AR188" i="34" s="1"/>
  <c r="AV34" i="15"/>
  <c r="BB34" i="15" s="1"/>
  <c r="AV16" i="15"/>
  <c r="BB16" i="15" s="1"/>
  <c r="AV249" i="15"/>
  <c r="BB249" i="15" s="1"/>
  <c r="G244" i="36" s="1"/>
  <c r="M244" i="36" s="1"/>
  <c r="R244" i="36" s="1"/>
  <c r="AV280" i="15"/>
  <c r="AV240" i="15"/>
  <c r="BB240" i="15" s="1"/>
  <c r="G235" i="36" s="1"/>
  <c r="M235" i="36" s="1"/>
  <c r="R235" i="36" s="1"/>
  <c r="AU240" i="15"/>
  <c r="AR242" i="34" s="1"/>
  <c r="AW131" i="15"/>
  <c r="AU84" i="15"/>
  <c r="AR86" i="34" s="1"/>
  <c r="AV248" i="15"/>
  <c r="BB248" i="15" s="1"/>
  <c r="AW33" i="15"/>
  <c r="AV192" i="15"/>
  <c r="AW192" i="15" s="1"/>
  <c r="AV253" i="15"/>
  <c r="AW253" i="15" s="1"/>
  <c r="AV107" i="15"/>
  <c r="AV228" i="15"/>
  <c r="BB228" i="15" s="1"/>
  <c r="AX240" i="15"/>
  <c r="AY240" i="15" s="1"/>
  <c r="AV69" i="15"/>
  <c r="AW69" i="15" s="1"/>
  <c r="AW10" i="15"/>
  <c r="AV183" i="15"/>
  <c r="AW183" i="15" s="1"/>
  <c r="AV101" i="15"/>
  <c r="AW101" i="15" s="1"/>
  <c r="AV299" i="15"/>
  <c r="AW299" i="15" s="1"/>
  <c r="AV290" i="15"/>
  <c r="AW165" i="15"/>
  <c r="AV301" i="15"/>
  <c r="AW301" i="15" s="1"/>
  <c r="AV217" i="15"/>
  <c r="AX134" i="15"/>
  <c r="AY134" i="15" s="1"/>
  <c r="AX84" i="15"/>
  <c r="AY84" i="15" s="1"/>
  <c r="AW80" i="15"/>
  <c r="AV55" i="15"/>
  <c r="AW55" i="15" s="1"/>
  <c r="AV202" i="15"/>
  <c r="AU112" i="15"/>
  <c r="AR114" i="34" s="1"/>
  <c r="AV151" i="15"/>
  <c r="BB151" i="15" s="1"/>
  <c r="AX237" i="15"/>
  <c r="AY237" i="15" s="1"/>
  <c r="AU232" i="15"/>
  <c r="AR234" i="34" s="1"/>
  <c r="AV190" i="15"/>
  <c r="AV257" i="15"/>
  <c r="AU143" i="15"/>
  <c r="AR145" i="34" s="1"/>
  <c r="AV74" i="15"/>
  <c r="BB74" i="15" s="1"/>
  <c r="AV186" i="15"/>
  <c r="AW186" i="15" s="1"/>
  <c r="AV143" i="15"/>
  <c r="AW143" i="15" s="1"/>
  <c r="AV232" i="15"/>
  <c r="BB232" i="15" s="1"/>
  <c r="AV62" i="15"/>
  <c r="BB62" i="15" s="1"/>
  <c r="AV128" i="15"/>
  <c r="AW128" i="15" s="1"/>
  <c r="AV254" i="15"/>
  <c r="AV275" i="15"/>
  <c r="BB275" i="15" s="1"/>
  <c r="G270" i="36" s="1"/>
  <c r="M270" i="36" s="1"/>
  <c r="R270" i="36" s="1"/>
  <c r="AV134" i="15"/>
  <c r="AW134" i="15" s="1"/>
  <c r="AU85" i="15"/>
  <c r="AR87" i="34" s="1"/>
  <c r="AU134" i="15"/>
  <c r="AR136" i="34" s="1"/>
  <c r="AX85" i="15"/>
  <c r="AY85" i="15" s="1"/>
  <c r="AX233" i="15"/>
  <c r="AY233" i="15" s="1"/>
  <c r="AV245" i="15"/>
  <c r="AV65" i="15"/>
  <c r="BB65" i="15" s="1"/>
  <c r="G60" i="36" s="1"/>
  <c r="M60" i="36" s="1"/>
  <c r="R60" i="36" s="1"/>
  <c r="AV154" i="15"/>
  <c r="BB154" i="15" s="1"/>
  <c r="G149" i="36" s="1"/>
  <c r="M149" i="36" s="1"/>
  <c r="R149" i="36" s="1"/>
  <c r="AV233" i="15"/>
  <c r="BB233" i="15" s="1"/>
  <c r="AV210" i="15"/>
  <c r="AV87" i="15"/>
  <c r="AU245" i="15"/>
  <c r="AR247" i="34" s="1"/>
  <c r="AX245" i="15"/>
  <c r="AY245" i="15" s="1"/>
  <c r="AX186" i="15"/>
  <c r="AY186" i="15" s="1"/>
  <c r="AU210" i="15"/>
  <c r="AR212" i="34" s="1"/>
  <c r="AV237" i="15"/>
  <c r="BB237" i="15" s="1"/>
  <c r="AX169" i="15"/>
  <c r="AY169" i="15" s="1"/>
  <c r="AV169" i="15"/>
  <c r="AU169" i="15"/>
  <c r="AR171" i="34" s="1"/>
  <c r="AU224" i="15"/>
  <c r="AR226" i="34" s="1"/>
  <c r="AX224" i="15"/>
  <c r="AY224" i="15" s="1"/>
  <c r="AX280" i="15"/>
  <c r="AY280" i="15" s="1"/>
  <c r="AU280" i="15"/>
  <c r="AR282" i="34" s="1"/>
  <c r="AU216" i="15"/>
  <c r="AR218" i="34" s="1"/>
  <c r="AV216" i="15"/>
  <c r="AX216" i="15"/>
  <c r="AY216" i="15" s="1"/>
  <c r="AX241" i="15"/>
  <c r="AY241" i="15" s="1"/>
  <c r="AU241" i="15"/>
  <c r="AR243" i="34" s="1"/>
  <c r="AX55" i="15"/>
  <c r="AY55" i="15" s="1"/>
  <c r="AU55" i="15"/>
  <c r="AR57" i="34" s="1"/>
  <c r="AW91" i="15"/>
  <c r="AW250" i="15"/>
  <c r="AW77" i="15"/>
  <c r="AW153" i="15"/>
  <c r="AV270" i="15"/>
  <c r="BB270" i="15" s="1"/>
  <c r="AU270" i="15"/>
  <c r="AR272" i="34" s="1"/>
  <c r="AX270" i="15"/>
  <c r="AY270" i="15" s="1"/>
  <c r="AV231" i="15"/>
  <c r="BB231" i="15" s="1"/>
  <c r="G226" i="36" s="1"/>
  <c r="M226" i="36" s="1"/>
  <c r="R226" i="36" s="1"/>
  <c r="AU231" i="15"/>
  <c r="AR233" i="34" s="1"/>
  <c r="AX231" i="15"/>
  <c r="AY231" i="15" s="1"/>
  <c r="AW40" i="15"/>
  <c r="AZ305" i="15"/>
  <c r="AU168" i="15"/>
  <c r="AR170" i="34" s="1"/>
  <c r="AX168" i="15"/>
  <c r="AY168" i="15" s="1"/>
  <c r="AV168" i="15"/>
  <c r="BB168" i="15" s="1"/>
  <c r="AW288" i="15"/>
  <c r="AW17" i="15"/>
  <c r="AU82" i="15"/>
  <c r="AR84" i="34" s="1"/>
  <c r="AV82" i="15"/>
  <c r="AX82" i="15"/>
  <c r="AY82" i="15" s="1"/>
  <c r="AU172" i="15"/>
  <c r="AR174" i="34" s="1"/>
  <c r="AV172" i="15"/>
  <c r="BB172" i="15" s="1"/>
  <c r="AX172" i="15"/>
  <c r="AY172" i="15" s="1"/>
  <c r="AW260" i="15"/>
  <c r="AU19" i="15"/>
  <c r="AR21" i="34" s="1"/>
  <c r="AX19" i="15"/>
  <c r="AY19" i="15" s="1"/>
  <c r="AV19" i="15"/>
  <c r="AV98" i="15"/>
  <c r="AU98" i="15"/>
  <c r="AR100" i="34" s="1"/>
  <c r="AX98" i="15"/>
  <c r="AY98" i="15" s="1"/>
  <c r="AU35" i="15"/>
  <c r="AR37" i="34" s="1"/>
  <c r="AV35" i="15"/>
  <c r="AX35" i="15"/>
  <c r="AY35" i="15" s="1"/>
  <c r="AW79" i="15"/>
  <c r="AX222" i="15"/>
  <c r="AY222" i="15" s="1"/>
  <c r="AV222" i="15"/>
  <c r="BB222" i="15" s="1"/>
  <c r="AU222" i="15"/>
  <c r="AR224" i="34" s="1"/>
  <c r="AW70" i="15"/>
  <c r="AW194" i="15"/>
  <c r="AU18" i="15"/>
  <c r="AR20" i="34" s="1"/>
  <c r="AX18" i="15"/>
  <c r="AY18" i="15" s="1"/>
  <c r="AV18" i="15"/>
  <c r="BB18" i="15" s="1"/>
  <c r="G13" i="36" s="1"/>
  <c r="M13" i="36" s="1"/>
  <c r="R13" i="36" s="1"/>
  <c r="AV214" i="15"/>
  <c r="BB214" i="15" s="1"/>
  <c r="G209" i="36" s="1"/>
  <c r="M209" i="36" s="1"/>
  <c r="R209" i="36" s="1"/>
  <c r="AU214" i="15"/>
  <c r="AR216" i="34" s="1"/>
  <c r="AX214" i="15"/>
  <c r="AY214" i="15" s="1"/>
  <c r="AV180" i="15"/>
  <c r="AU180" i="15"/>
  <c r="AR182" i="34" s="1"/>
  <c r="AX180" i="15"/>
  <c r="AY180" i="15" s="1"/>
  <c r="AV285" i="15"/>
  <c r="BB285" i="15" s="1"/>
  <c r="AU285" i="15"/>
  <c r="AR287" i="34" s="1"/>
  <c r="AX285" i="15"/>
  <c r="AY285" i="15" s="1"/>
  <c r="AV89" i="15"/>
  <c r="AU89" i="15"/>
  <c r="AR91" i="34" s="1"/>
  <c r="AX89" i="15"/>
  <c r="AY89" i="15" s="1"/>
  <c r="AX111" i="15"/>
  <c r="AY111" i="15" s="1"/>
  <c r="AV111" i="15"/>
  <c r="BB111" i="15" s="1"/>
  <c r="G106" i="36" s="1"/>
  <c r="M106" i="36" s="1"/>
  <c r="R106" i="36" s="1"/>
  <c r="AU111" i="15"/>
  <c r="AR113" i="34" s="1"/>
  <c r="AU304" i="10"/>
  <c r="AV304" i="10" s="1"/>
  <c r="AU303" i="10"/>
  <c r="AV303" i="10" s="1"/>
  <c r="AU302" i="10"/>
  <c r="AV302" i="10" s="1"/>
  <c r="AU301" i="10"/>
  <c r="AV301" i="10" s="1"/>
  <c r="AU300" i="10"/>
  <c r="AV300" i="10" s="1"/>
  <c r="AU299" i="10"/>
  <c r="AV299" i="10" s="1"/>
  <c r="AU298" i="10"/>
  <c r="AV298" i="10" s="1"/>
  <c r="AU297" i="10"/>
  <c r="AV297" i="10" s="1"/>
  <c r="AU296" i="10"/>
  <c r="AV296" i="10" s="1"/>
  <c r="AU295" i="10"/>
  <c r="AV295" i="10" s="1"/>
  <c r="AU294" i="10"/>
  <c r="AV294" i="10" s="1"/>
  <c r="AU293" i="10"/>
  <c r="AV293" i="10" s="1"/>
  <c r="AU292" i="10"/>
  <c r="AV292" i="10" s="1"/>
  <c r="AU291" i="10"/>
  <c r="AV291" i="10" s="1"/>
  <c r="AU290" i="10"/>
  <c r="AV290" i="10" s="1"/>
  <c r="AU289" i="10"/>
  <c r="AV289" i="10" s="1"/>
  <c r="AU288" i="10"/>
  <c r="AV288" i="10" s="1"/>
  <c r="AU287" i="10"/>
  <c r="AV287" i="10" s="1"/>
  <c r="AU286" i="10"/>
  <c r="AV286" i="10" s="1"/>
  <c r="AU285" i="10"/>
  <c r="AV285" i="10" s="1"/>
  <c r="AU284" i="10"/>
  <c r="AV284" i="10" s="1"/>
  <c r="AU283" i="10"/>
  <c r="AV283" i="10" s="1"/>
  <c r="AU282" i="10"/>
  <c r="AV282" i="10" s="1"/>
  <c r="AU281" i="10"/>
  <c r="AV281" i="10" s="1"/>
  <c r="AU280" i="10"/>
  <c r="AV280" i="10" s="1"/>
  <c r="AU279" i="10"/>
  <c r="AV279" i="10" s="1"/>
  <c r="AU278" i="10"/>
  <c r="AV278" i="10" s="1"/>
  <c r="AU277" i="10"/>
  <c r="AV277" i="10" s="1"/>
  <c r="AU276" i="10"/>
  <c r="AV276" i="10" s="1"/>
  <c r="AU275" i="10"/>
  <c r="AV275" i="10" s="1"/>
  <c r="AU274" i="10"/>
  <c r="AV274" i="10" s="1"/>
  <c r="AU273" i="10"/>
  <c r="AV273" i="10" s="1"/>
  <c r="AU272" i="10"/>
  <c r="AV272" i="10" s="1"/>
  <c r="AU271" i="10"/>
  <c r="AV271" i="10" s="1"/>
  <c r="AU270" i="10"/>
  <c r="AV270" i="10" s="1"/>
  <c r="AU269" i="10"/>
  <c r="AV269" i="10" s="1"/>
  <c r="AU268" i="10"/>
  <c r="AV268" i="10" s="1"/>
  <c r="AU267" i="10"/>
  <c r="AV267" i="10" s="1"/>
  <c r="AU266" i="10"/>
  <c r="AV266" i="10" s="1"/>
  <c r="AU265" i="10"/>
  <c r="AV265" i="10" s="1"/>
  <c r="AU264" i="10"/>
  <c r="AV264" i="10" s="1"/>
  <c r="AU263" i="10"/>
  <c r="AV263" i="10" s="1"/>
  <c r="AU262" i="10"/>
  <c r="AV262" i="10" s="1"/>
  <c r="AU261" i="10"/>
  <c r="AV261" i="10" s="1"/>
  <c r="AU260" i="10"/>
  <c r="AV260" i="10" s="1"/>
  <c r="AU259" i="10"/>
  <c r="AV259" i="10" s="1"/>
  <c r="AU258" i="10"/>
  <c r="AV258" i="10" s="1"/>
  <c r="AU257" i="10"/>
  <c r="AV257" i="10" s="1"/>
  <c r="AU256" i="10"/>
  <c r="AV256" i="10" s="1"/>
  <c r="AU255" i="10"/>
  <c r="AV255" i="10" s="1"/>
  <c r="AU254" i="10"/>
  <c r="AV254" i="10" s="1"/>
  <c r="AU253" i="10"/>
  <c r="AV253" i="10" s="1"/>
  <c r="AU252" i="10"/>
  <c r="AV252" i="10" s="1"/>
  <c r="AU251" i="10"/>
  <c r="AV251" i="10" s="1"/>
  <c r="AU250" i="10"/>
  <c r="AV250" i="10" s="1"/>
  <c r="AU249" i="10"/>
  <c r="AV249" i="10" s="1"/>
  <c r="AU248" i="10"/>
  <c r="AV248" i="10" s="1"/>
  <c r="AU247" i="10"/>
  <c r="AV247" i="10" s="1"/>
  <c r="AU246" i="10"/>
  <c r="AV246" i="10" s="1"/>
  <c r="AU245" i="10"/>
  <c r="AV245" i="10" s="1"/>
  <c r="AU244" i="10"/>
  <c r="AV244" i="10" s="1"/>
  <c r="AU243" i="10"/>
  <c r="AV243" i="10" s="1"/>
  <c r="AU242" i="10"/>
  <c r="AV242" i="10" s="1"/>
  <c r="AU241" i="10"/>
  <c r="AV241" i="10" s="1"/>
  <c r="AU240" i="10"/>
  <c r="AV240" i="10" s="1"/>
  <c r="AU239" i="10"/>
  <c r="AV239" i="10" s="1"/>
  <c r="AU238" i="10"/>
  <c r="AV238" i="10" s="1"/>
  <c r="AU237" i="10"/>
  <c r="AV237" i="10" s="1"/>
  <c r="AU236" i="10"/>
  <c r="AV236" i="10" s="1"/>
  <c r="AU235" i="10"/>
  <c r="AV235" i="10" s="1"/>
  <c r="AU234" i="10"/>
  <c r="AV234" i="10" s="1"/>
  <c r="AU233" i="10"/>
  <c r="AV233" i="10" s="1"/>
  <c r="AU232" i="10"/>
  <c r="AV232" i="10" s="1"/>
  <c r="AU231" i="10"/>
  <c r="AV231" i="10" s="1"/>
  <c r="AU230" i="10"/>
  <c r="AV230" i="10" s="1"/>
  <c r="AU229" i="10"/>
  <c r="AV229" i="10" s="1"/>
  <c r="AU228" i="10"/>
  <c r="AV228" i="10" s="1"/>
  <c r="AU227" i="10"/>
  <c r="AV227" i="10" s="1"/>
  <c r="AU226" i="10"/>
  <c r="AV226" i="10" s="1"/>
  <c r="AU225" i="10"/>
  <c r="AV225" i="10" s="1"/>
  <c r="AU224" i="10"/>
  <c r="AV224" i="10" s="1"/>
  <c r="AU223" i="10"/>
  <c r="AV223" i="10" s="1"/>
  <c r="AU222" i="10"/>
  <c r="AV222" i="10" s="1"/>
  <c r="AU221" i="10"/>
  <c r="AV221" i="10" s="1"/>
  <c r="AU220" i="10"/>
  <c r="AV220" i="10" s="1"/>
  <c r="AU219" i="10"/>
  <c r="AV219" i="10" s="1"/>
  <c r="AU218" i="10"/>
  <c r="AV218" i="10" s="1"/>
  <c r="AU217" i="10"/>
  <c r="AV217" i="10" s="1"/>
  <c r="AU216" i="10"/>
  <c r="AV216" i="10" s="1"/>
  <c r="AU215" i="10"/>
  <c r="AV215" i="10" s="1"/>
  <c r="AU214" i="10"/>
  <c r="AV214" i="10" s="1"/>
  <c r="AU213" i="10"/>
  <c r="AV213" i="10" s="1"/>
  <c r="AU212" i="10"/>
  <c r="AV212" i="10" s="1"/>
  <c r="AU211" i="10"/>
  <c r="AV211" i="10" s="1"/>
  <c r="AU210" i="10"/>
  <c r="AV210" i="10" s="1"/>
  <c r="AU209" i="10"/>
  <c r="AV209" i="10" s="1"/>
  <c r="AU208" i="10"/>
  <c r="AV208" i="10" s="1"/>
  <c r="AU207" i="10"/>
  <c r="AV207" i="10" s="1"/>
  <c r="AU206" i="10"/>
  <c r="AV206" i="10" s="1"/>
  <c r="AU205" i="10"/>
  <c r="AV205" i="10" s="1"/>
  <c r="AU204" i="10"/>
  <c r="AV204" i="10" s="1"/>
  <c r="AU203" i="10"/>
  <c r="AV203" i="10" s="1"/>
  <c r="AU202" i="10"/>
  <c r="AV202" i="10" s="1"/>
  <c r="AU201" i="10"/>
  <c r="AV201" i="10" s="1"/>
  <c r="AU200" i="10"/>
  <c r="AV200" i="10" s="1"/>
  <c r="AU199" i="10"/>
  <c r="AV199" i="10" s="1"/>
  <c r="AU198" i="10"/>
  <c r="AV198" i="10" s="1"/>
  <c r="AU197" i="10"/>
  <c r="AV197" i="10" s="1"/>
  <c r="AU196" i="10"/>
  <c r="AV196" i="10" s="1"/>
  <c r="AU195" i="10"/>
  <c r="AV195" i="10" s="1"/>
  <c r="AU194" i="10"/>
  <c r="AV194" i="10" s="1"/>
  <c r="AU193" i="10"/>
  <c r="AV193" i="10" s="1"/>
  <c r="AU192" i="10"/>
  <c r="AV192" i="10" s="1"/>
  <c r="AU191" i="10"/>
  <c r="AV191" i="10" s="1"/>
  <c r="AU190" i="10"/>
  <c r="AV190" i="10" s="1"/>
  <c r="AU189" i="10"/>
  <c r="AV189" i="10" s="1"/>
  <c r="AU188" i="10"/>
  <c r="AV188" i="10" s="1"/>
  <c r="AU187" i="10"/>
  <c r="AV187" i="10" s="1"/>
  <c r="AU186" i="10"/>
  <c r="AV186" i="10" s="1"/>
  <c r="AU185" i="10"/>
  <c r="AV185" i="10" s="1"/>
  <c r="AU184" i="10"/>
  <c r="AV184" i="10" s="1"/>
  <c r="AU183" i="10"/>
  <c r="AV183" i="10" s="1"/>
  <c r="AU182" i="10"/>
  <c r="AV182" i="10" s="1"/>
  <c r="AU181" i="10"/>
  <c r="AV181" i="10" s="1"/>
  <c r="AU180" i="10"/>
  <c r="AV180" i="10" s="1"/>
  <c r="AU179" i="10"/>
  <c r="AV179" i="10" s="1"/>
  <c r="AU178" i="10"/>
  <c r="AV178" i="10" s="1"/>
  <c r="AU177" i="10"/>
  <c r="AV177" i="10" s="1"/>
  <c r="AU176" i="10"/>
  <c r="AV176" i="10" s="1"/>
  <c r="AU175" i="10"/>
  <c r="AV175" i="10" s="1"/>
  <c r="AU174" i="10"/>
  <c r="AV174" i="10" s="1"/>
  <c r="AU173" i="10"/>
  <c r="AV173" i="10" s="1"/>
  <c r="AU172" i="10"/>
  <c r="AV172" i="10" s="1"/>
  <c r="AU171" i="10"/>
  <c r="AV171" i="10" s="1"/>
  <c r="AU170" i="10"/>
  <c r="AV170" i="10" s="1"/>
  <c r="AU169" i="10"/>
  <c r="AV169" i="10" s="1"/>
  <c r="AU168" i="10"/>
  <c r="AV168" i="10" s="1"/>
  <c r="AU167" i="10"/>
  <c r="AV167" i="10" s="1"/>
  <c r="AU166" i="10"/>
  <c r="AV166" i="10" s="1"/>
  <c r="AU165" i="10"/>
  <c r="AV165" i="10" s="1"/>
  <c r="AU164" i="10"/>
  <c r="AV164" i="10" s="1"/>
  <c r="AU163" i="10"/>
  <c r="AV163" i="10" s="1"/>
  <c r="AU162" i="10"/>
  <c r="AV162" i="10" s="1"/>
  <c r="AU161" i="10"/>
  <c r="AV161" i="10" s="1"/>
  <c r="AU160" i="10"/>
  <c r="AV160" i="10" s="1"/>
  <c r="AU159" i="10"/>
  <c r="AV159" i="10" s="1"/>
  <c r="AU158" i="10"/>
  <c r="AV158" i="10" s="1"/>
  <c r="AU157" i="10"/>
  <c r="AV157" i="10" s="1"/>
  <c r="AU156" i="10"/>
  <c r="AV156" i="10" s="1"/>
  <c r="AU155" i="10"/>
  <c r="AV155" i="10" s="1"/>
  <c r="AU154" i="10"/>
  <c r="AV154" i="10" s="1"/>
  <c r="AU153" i="10"/>
  <c r="AV153" i="10" s="1"/>
  <c r="AU152" i="10"/>
  <c r="AV152" i="10" s="1"/>
  <c r="AU151" i="10"/>
  <c r="AV151" i="10" s="1"/>
  <c r="AU150" i="10"/>
  <c r="AV150" i="10" s="1"/>
  <c r="AU149" i="10"/>
  <c r="AV149" i="10" s="1"/>
  <c r="AU148" i="10"/>
  <c r="AV148" i="10" s="1"/>
  <c r="AU147" i="10"/>
  <c r="AV147" i="10" s="1"/>
  <c r="AU146" i="10"/>
  <c r="AV146" i="10" s="1"/>
  <c r="AU145" i="10"/>
  <c r="AV145" i="10" s="1"/>
  <c r="AU144" i="10"/>
  <c r="AV144" i="10" s="1"/>
  <c r="AU143" i="10"/>
  <c r="AV143" i="10" s="1"/>
  <c r="AU142" i="10"/>
  <c r="AV142" i="10" s="1"/>
  <c r="AU141" i="10"/>
  <c r="AV141" i="10" s="1"/>
  <c r="AU140" i="10"/>
  <c r="AV140" i="10" s="1"/>
  <c r="AU139" i="10"/>
  <c r="AV139" i="10" s="1"/>
  <c r="AU138" i="10"/>
  <c r="AU137" i="10"/>
  <c r="AU136" i="10"/>
  <c r="AV136" i="10" s="1"/>
  <c r="AU135" i="10"/>
  <c r="AV135" i="10" s="1"/>
  <c r="AU134" i="10"/>
  <c r="AV134" i="10" s="1"/>
  <c r="AU133" i="10"/>
  <c r="AV133" i="10" s="1"/>
  <c r="AU132" i="10"/>
  <c r="AV132" i="10" s="1"/>
  <c r="AU131" i="10"/>
  <c r="AV131" i="10" s="1"/>
  <c r="AU130" i="10"/>
  <c r="AV130" i="10" s="1"/>
  <c r="AU129" i="10"/>
  <c r="AV129" i="10" s="1"/>
  <c r="AU128" i="10"/>
  <c r="AV128" i="10" s="1"/>
  <c r="AU127" i="10"/>
  <c r="AV127" i="10" s="1"/>
  <c r="AU126" i="10"/>
  <c r="AV126" i="10" s="1"/>
  <c r="AU125" i="10"/>
  <c r="AV125" i="10" s="1"/>
  <c r="AU124" i="10"/>
  <c r="AV124" i="10" s="1"/>
  <c r="AU123" i="10"/>
  <c r="AV123" i="10" s="1"/>
  <c r="AU122" i="10"/>
  <c r="AV122" i="10" s="1"/>
  <c r="AU121" i="10"/>
  <c r="AV121" i="10" s="1"/>
  <c r="AU120" i="10"/>
  <c r="AV120" i="10" s="1"/>
  <c r="AU119" i="10"/>
  <c r="AV119" i="10" s="1"/>
  <c r="AU118" i="10"/>
  <c r="AV118" i="10" s="1"/>
  <c r="AU117" i="10"/>
  <c r="AV117" i="10" s="1"/>
  <c r="AU116" i="10"/>
  <c r="AV116" i="10" s="1"/>
  <c r="AU115" i="10"/>
  <c r="AV115" i="10" s="1"/>
  <c r="AU114" i="10"/>
  <c r="AV114" i="10" s="1"/>
  <c r="AU113" i="10"/>
  <c r="AV113" i="10" s="1"/>
  <c r="AU112" i="10"/>
  <c r="AV112" i="10" s="1"/>
  <c r="AU111" i="10"/>
  <c r="AV111" i="10" s="1"/>
  <c r="AU110" i="10"/>
  <c r="AV110" i="10" s="1"/>
  <c r="AU109" i="10"/>
  <c r="AV109" i="10" s="1"/>
  <c r="AU108" i="10"/>
  <c r="AV108" i="10" s="1"/>
  <c r="AU107" i="10"/>
  <c r="AV107" i="10" s="1"/>
  <c r="AU106" i="10"/>
  <c r="AV106" i="10" s="1"/>
  <c r="AU105" i="10"/>
  <c r="AV105" i="10" s="1"/>
  <c r="AU104" i="10"/>
  <c r="AV104" i="10" s="1"/>
  <c r="AU103" i="10"/>
  <c r="AV103" i="10" s="1"/>
  <c r="AU102" i="10"/>
  <c r="AV102" i="10" s="1"/>
  <c r="AU101" i="10"/>
  <c r="AV101" i="10" s="1"/>
  <c r="AU100" i="10"/>
  <c r="AV100" i="10" s="1"/>
  <c r="AU99" i="10"/>
  <c r="AV99" i="10" s="1"/>
  <c r="AU98" i="10"/>
  <c r="AV98" i="10" s="1"/>
  <c r="AU97" i="10"/>
  <c r="AV97" i="10" s="1"/>
  <c r="AU96" i="10"/>
  <c r="AV96" i="10" s="1"/>
  <c r="AU95" i="10"/>
  <c r="AV95" i="10" s="1"/>
  <c r="AU94" i="10"/>
  <c r="AV94" i="10" s="1"/>
  <c r="AU93" i="10"/>
  <c r="AV93" i="10" s="1"/>
  <c r="AU92" i="10"/>
  <c r="AV92" i="10" s="1"/>
  <c r="AU91" i="10"/>
  <c r="AV91" i="10" s="1"/>
  <c r="AU90" i="10"/>
  <c r="AV90" i="10" s="1"/>
  <c r="AU89" i="10"/>
  <c r="AV89" i="10" s="1"/>
  <c r="AU88" i="10"/>
  <c r="AV88" i="10" s="1"/>
  <c r="AU87" i="10"/>
  <c r="AV87" i="10" s="1"/>
  <c r="AU86" i="10"/>
  <c r="AV86" i="10" s="1"/>
  <c r="AU85" i="10"/>
  <c r="AV85" i="10" s="1"/>
  <c r="AU84" i="10"/>
  <c r="AV84" i="10" s="1"/>
  <c r="AU83" i="10"/>
  <c r="AV83" i="10" s="1"/>
  <c r="AU82" i="10"/>
  <c r="AV82" i="10" s="1"/>
  <c r="AU81" i="10"/>
  <c r="AV81" i="10" s="1"/>
  <c r="AU80" i="10"/>
  <c r="AV80" i="10" s="1"/>
  <c r="AU79" i="10"/>
  <c r="AV79" i="10" s="1"/>
  <c r="AU78" i="10"/>
  <c r="AV78" i="10" s="1"/>
  <c r="AU77" i="10"/>
  <c r="AV77" i="10" s="1"/>
  <c r="AU76" i="10"/>
  <c r="AV76" i="10" s="1"/>
  <c r="AU75" i="10"/>
  <c r="AV75" i="10" s="1"/>
  <c r="AU74" i="10"/>
  <c r="AV74" i="10" s="1"/>
  <c r="AU73" i="10"/>
  <c r="AV73" i="10" s="1"/>
  <c r="AU72" i="10"/>
  <c r="AV72" i="10" s="1"/>
  <c r="AU71" i="10"/>
  <c r="AV71" i="10" s="1"/>
  <c r="AU70" i="10"/>
  <c r="AV70" i="10" s="1"/>
  <c r="AU69" i="10"/>
  <c r="AV69" i="10" s="1"/>
  <c r="AU68" i="10"/>
  <c r="AV68" i="10" s="1"/>
  <c r="AU67" i="10"/>
  <c r="AV67" i="10" s="1"/>
  <c r="AU66" i="10"/>
  <c r="AV66" i="10" s="1"/>
  <c r="AU65" i="10"/>
  <c r="AV65" i="10" s="1"/>
  <c r="AU64" i="10"/>
  <c r="AV64" i="10" s="1"/>
  <c r="AU63" i="10"/>
  <c r="AV63" i="10" s="1"/>
  <c r="AU62" i="10"/>
  <c r="AV62" i="10" s="1"/>
  <c r="AU61" i="10"/>
  <c r="AV61" i="10" s="1"/>
  <c r="AU60" i="10"/>
  <c r="AV60" i="10" s="1"/>
  <c r="AU59" i="10"/>
  <c r="AV59" i="10" s="1"/>
  <c r="AU58" i="10"/>
  <c r="AV58" i="10" s="1"/>
  <c r="AU57" i="10"/>
  <c r="AV57" i="10" s="1"/>
  <c r="AU56" i="10"/>
  <c r="AV56" i="10" s="1"/>
  <c r="AU55" i="10"/>
  <c r="AV55" i="10" s="1"/>
  <c r="AU54" i="10"/>
  <c r="AV54" i="10" s="1"/>
  <c r="AU53" i="10"/>
  <c r="AV53" i="10" s="1"/>
  <c r="AU52" i="10"/>
  <c r="AV52" i="10" s="1"/>
  <c r="AU51" i="10"/>
  <c r="AV51" i="10" s="1"/>
  <c r="AU50" i="10"/>
  <c r="AV50" i="10" s="1"/>
  <c r="AU49" i="10"/>
  <c r="AV49" i="10" s="1"/>
  <c r="AU48" i="10"/>
  <c r="AV48" i="10" s="1"/>
  <c r="AU47" i="10"/>
  <c r="AV47" i="10" s="1"/>
  <c r="AU46" i="10"/>
  <c r="AV46" i="10" s="1"/>
  <c r="AU45" i="10"/>
  <c r="AV45" i="10" s="1"/>
  <c r="AU44" i="10"/>
  <c r="AV44" i="10" s="1"/>
  <c r="AU43" i="10"/>
  <c r="AV43" i="10" s="1"/>
  <c r="AU42" i="10"/>
  <c r="AV42" i="10" s="1"/>
  <c r="AU41" i="10"/>
  <c r="AV41" i="10" s="1"/>
  <c r="AU40" i="10"/>
  <c r="AV40" i="10" s="1"/>
  <c r="AU39" i="10"/>
  <c r="AV39" i="10" s="1"/>
  <c r="AU38" i="10"/>
  <c r="AV38" i="10" s="1"/>
  <c r="AU37" i="10"/>
  <c r="AV37" i="10" s="1"/>
  <c r="AU36" i="10"/>
  <c r="AV36" i="10" s="1"/>
  <c r="AU35" i="10"/>
  <c r="AV35" i="10" s="1"/>
  <c r="AU34" i="10"/>
  <c r="AV34" i="10" s="1"/>
  <c r="AU33" i="10"/>
  <c r="AV33" i="10" s="1"/>
  <c r="AU32" i="10"/>
  <c r="AV32" i="10" s="1"/>
  <c r="AU31" i="10"/>
  <c r="AV31" i="10" s="1"/>
  <c r="AU30" i="10"/>
  <c r="AV30" i="10" s="1"/>
  <c r="AU29" i="10"/>
  <c r="AV29" i="10" s="1"/>
  <c r="AU28" i="10"/>
  <c r="AV28" i="10" s="1"/>
  <c r="AU27" i="10"/>
  <c r="AV27" i="10" s="1"/>
  <c r="AU26" i="10"/>
  <c r="AV26" i="10" s="1"/>
  <c r="AU25" i="10"/>
  <c r="AV25" i="10" s="1"/>
  <c r="AU24" i="10"/>
  <c r="AV24" i="10" s="1"/>
  <c r="AU23" i="10"/>
  <c r="AV23" i="10" s="1"/>
  <c r="AU22" i="10"/>
  <c r="AV22" i="10" s="1"/>
  <c r="AU21" i="10"/>
  <c r="AV21" i="10" s="1"/>
  <c r="AU20" i="10"/>
  <c r="AV20" i="10" s="1"/>
  <c r="AU19" i="10"/>
  <c r="AV19" i="10" s="1"/>
  <c r="AU18" i="10"/>
  <c r="AV18" i="10" s="1"/>
  <c r="AU17" i="10"/>
  <c r="AV17" i="10" s="1"/>
  <c r="AU16" i="10"/>
  <c r="AV16" i="10" s="1"/>
  <c r="AU15" i="10"/>
  <c r="AV15" i="10" s="1"/>
  <c r="AU14" i="10"/>
  <c r="AV14" i="10" s="1"/>
  <c r="AU13" i="10"/>
  <c r="AV13" i="10" s="1"/>
  <c r="AU12" i="10"/>
  <c r="AV12" i="10" s="1"/>
  <c r="AU11" i="10"/>
  <c r="AV11" i="10" s="1"/>
  <c r="AU10" i="10"/>
  <c r="AV10" i="10" s="1"/>
  <c r="AU9" i="10"/>
  <c r="AV9" i="10" s="1"/>
  <c r="AU8" i="10"/>
  <c r="AV8" i="10" s="1"/>
  <c r="AU7" i="10"/>
  <c r="AV7" i="10" s="1"/>
  <c r="AV138" i="10"/>
  <c r="AV137" i="10"/>
  <c r="AR8" i="10"/>
  <c r="BB48" i="15" l="1"/>
  <c r="G43" i="36" s="1"/>
  <c r="M43" i="36" s="1"/>
  <c r="R43" i="36" s="1"/>
  <c r="BB273" i="15"/>
  <c r="G268" i="36" s="1"/>
  <c r="M268" i="36" s="1"/>
  <c r="R268" i="36" s="1"/>
  <c r="BB63" i="15"/>
  <c r="G58" i="36" s="1"/>
  <c r="M58" i="36" s="1"/>
  <c r="R58" i="36" s="1"/>
  <c r="BB83" i="15"/>
  <c r="G78" i="36" s="1"/>
  <c r="M78" i="36" s="1"/>
  <c r="R78" i="36" s="1"/>
  <c r="P209" i="36"/>
  <c r="BB138" i="15"/>
  <c r="G133" i="36" s="1"/>
  <c r="M133" i="36" s="1"/>
  <c r="R133" i="36" s="1"/>
  <c r="AR579" i="31"/>
  <c r="AQ274" i="31"/>
  <c r="AR364" i="31"/>
  <c r="AQ59" i="31"/>
  <c r="G28" i="36"/>
  <c r="M28" i="36" s="1"/>
  <c r="R28" i="36" s="1"/>
  <c r="G5" i="36"/>
  <c r="M5" i="36" s="1"/>
  <c r="R5" i="36" s="1"/>
  <c r="G202" i="36"/>
  <c r="M202" i="36" s="1"/>
  <c r="R202" i="36" s="1"/>
  <c r="G29" i="36"/>
  <c r="M29" i="36" s="1"/>
  <c r="R29" i="36" s="1"/>
  <c r="G208" i="36"/>
  <c r="M208" i="36" s="1"/>
  <c r="R208" i="36" s="1"/>
  <c r="G146" i="36"/>
  <c r="M146" i="36" s="1"/>
  <c r="R146" i="36" s="1"/>
  <c r="AQ157" i="31"/>
  <c r="AR462" i="31"/>
  <c r="AR576" i="31"/>
  <c r="AQ271" i="31"/>
  <c r="AQ265" i="31"/>
  <c r="AR570" i="31"/>
  <c r="AQ219" i="31"/>
  <c r="AR524" i="31"/>
  <c r="G288" i="36"/>
  <c r="M288" i="36" s="1"/>
  <c r="R288" i="36" s="1"/>
  <c r="AQ201" i="31"/>
  <c r="AR506" i="31"/>
  <c r="G150" i="36"/>
  <c r="M150" i="36" s="1"/>
  <c r="R150" i="36" s="1"/>
  <c r="AQ149" i="31"/>
  <c r="AR454" i="31"/>
  <c r="AR361" i="31"/>
  <c r="AQ56" i="31"/>
  <c r="G271" i="36"/>
  <c r="M271" i="36" s="1"/>
  <c r="R271" i="36" s="1"/>
  <c r="AQ214" i="31"/>
  <c r="AR519" i="31"/>
  <c r="AQ230" i="31"/>
  <c r="AR535" i="31"/>
  <c r="AQ280" i="31"/>
  <c r="AR585" i="31"/>
  <c r="G243" i="36"/>
  <c r="M243" i="36" s="1"/>
  <c r="R243" i="36" s="1"/>
  <c r="G10" i="36"/>
  <c r="M10" i="36" s="1"/>
  <c r="R10" i="36" s="1"/>
  <c r="AR483" i="31"/>
  <c r="AQ178" i="31"/>
  <c r="AQ198" i="31"/>
  <c r="AR503" i="31"/>
  <c r="G191" i="36"/>
  <c r="M191" i="36" s="1"/>
  <c r="R191" i="36" s="1"/>
  <c r="AR458" i="31"/>
  <c r="AQ153" i="31"/>
  <c r="AR595" i="31"/>
  <c r="AQ290" i="31"/>
  <c r="AQ143" i="31"/>
  <c r="AR448" i="31"/>
  <c r="G52" i="36"/>
  <c r="M52" i="36" s="1"/>
  <c r="R52" i="36" s="1"/>
  <c r="AQ144" i="31"/>
  <c r="AR449" i="31"/>
  <c r="G200" i="36"/>
  <c r="M200" i="36" s="1"/>
  <c r="R200" i="36" s="1"/>
  <c r="AR600" i="31"/>
  <c r="AQ295" i="31"/>
  <c r="AQ74" i="31"/>
  <c r="AR379" i="31"/>
  <c r="G57" i="36"/>
  <c r="M57" i="36" s="1"/>
  <c r="R57" i="36" s="1"/>
  <c r="AQ259" i="31"/>
  <c r="AR564" i="31"/>
  <c r="AR522" i="31"/>
  <c r="AQ217" i="31"/>
  <c r="AQ179" i="31"/>
  <c r="AR484" i="31"/>
  <c r="G227" i="36"/>
  <c r="M227" i="36" s="1"/>
  <c r="R227" i="36" s="1"/>
  <c r="G68" i="36"/>
  <c r="M68" i="36" s="1"/>
  <c r="R68" i="36" s="1"/>
  <c r="AQ253" i="31"/>
  <c r="AR558" i="31"/>
  <c r="AQ254" i="31"/>
  <c r="AR559" i="31"/>
  <c r="AR501" i="31"/>
  <c r="AQ196" i="31"/>
  <c r="AQ150" i="31"/>
  <c r="AR455" i="31"/>
  <c r="AQ128" i="31"/>
  <c r="AR433" i="31"/>
  <c r="AQ176" i="31"/>
  <c r="AR481" i="31"/>
  <c r="AQ207" i="31"/>
  <c r="AR512" i="31"/>
  <c r="AU170" i="31"/>
  <c r="P275" i="36"/>
  <c r="O123" i="36"/>
  <c r="P107" i="36"/>
  <c r="P163" i="36"/>
  <c r="CC19" i="15"/>
  <c r="CC305" i="15" s="1"/>
  <c r="CA305" i="15"/>
  <c r="CD19" i="15"/>
  <c r="CD305" i="15" s="1"/>
  <c r="CB305" i="15"/>
  <c r="P280" i="36"/>
  <c r="O280" i="36"/>
  <c r="P84" i="36"/>
  <c r="O84" i="36"/>
  <c r="O106" i="36"/>
  <c r="P106" i="36"/>
  <c r="P129" i="36"/>
  <c r="O129" i="36"/>
  <c r="P205" i="36"/>
  <c r="O205" i="36"/>
  <c r="P13" i="36"/>
  <c r="O13" i="36"/>
  <c r="P113" i="36"/>
  <c r="O113" i="36"/>
  <c r="O93" i="36"/>
  <c r="P93" i="36"/>
  <c r="P19" i="36"/>
  <c r="O19" i="36"/>
  <c r="P265" i="36"/>
  <c r="O265" i="36"/>
  <c r="P30" i="36"/>
  <c r="O30" i="36"/>
  <c r="H23" i="37"/>
  <c r="K24" i="37"/>
  <c r="K23" i="37"/>
  <c r="K26" i="37"/>
  <c r="K22" i="37"/>
  <c r="K18" i="37"/>
  <c r="K27" i="37"/>
  <c r="K20" i="37"/>
  <c r="K21" i="37"/>
  <c r="K25" i="37"/>
  <c r="AR419" i="31"/>
  <c r="AQ114" i="31"/>
  <c r="AR450" i="31"/>
  <c r="I19" i="36"/>
  <c r="J19" i="36" s="1"/>
  <c r="AR331" i="31"/>
  <c r="M196" i="36"/>
  <c r="R196" i="36" s="1"/>
  <c r="C196" i="36"/>
  <c r="M6" i="36"/>
  <c r="R6" i="36" s="1"/>
  <c r="C6" i="36"/>
  <c r="M23" i="36"/>
  <c r="R23" i="36" s="1"/>
  <c r="C23" i="36"/>
  <c r="AR582" i="31"/>
  <c r="M63" i="36"/>
  <c r="R63" i="36" s="1"/>
  <c r="C63" i="36"/>
  <c r="M272" i="36"/>
  <c r="R272" i="36" s="1"/>
  <c r="C272" i="36"/>
  <c r="M56" i="36"/>
  <c r="R56" i="36" s="1"/>
  <c r="C56" i="36"/>
  <c r="M289" i="36"/>
  <c r="R289" i="36" s="1"/>
  <c r="C289" i="36"/>
  <c r="M278" i="36"/>
  <c r="R278" i="36" s="1"/>
  <c r="C278" i="36"/>
  <c r="M26" i="36"/>
  <c r="R26" i="36" s="1"/>
  <c r="C26" i="36"/>
  <c r="M9" i="36"/>
  <c r="R9" i="36" s="1"/>
  <c r="C9" i="36"/>
  <c r="M128" i="36"/>
  <c r="R128" i="36" s="1"/>
  <c r="C128" i="36"/>
  <c r="M8" i="36"/>
  <c r="R8" i="36" s="1"/>
  <c r="C8" i="36"/>
  <c r="M37" i="36"/>
  <c r="R37" i="36" s="1"/>
  <c r="C37" i="36"/>
  <c r="M16" i="36"/>
  <c r="R16" i="36" s="1"/>
  <c r="C16" i="36"/>
  <c r="M188" i="36"/>
  <c r="R188" i="36" s="1"/>
  <c r="C188" i="36"/>
  <c r="M18" i="36"/>
  <c r="R18" i="36" s="1"/>
  <c r="C18" i="36"/>
  <c r="M7" i="36"/>
  <c r="R7" i="36" s="1"/>
  <c r="C7" i="36"/>
  <c r="M41" i="36"/>
  <c r="R41" i="36" s="1"/>
  <c r="C41" i="36"/>
  <c r="M34" i="36"/>
  <c r="R34" i="36" s="1"/>
  <c r="C34" i="36"/>
  <c r="AR405" i="31"/>
  <c r="AR493" i="31"/>
  <c r="AR396" i="31"/>
  <c r="AR548" i="31"/>
  <c r="AR539" i="31"/>
  <c r="AR394" i="31"/>
  <c r="AR466" i="31"/>
  <c r="AR425" i="31"/>
  <c r="AR435" i="31"/>
  <c r="AR517" i="31"/>
  <c r="AR587" i="31"/>
  <c r="AR395" i="31"/>
  <c r="AR400" i="31"/>
  <c r="AR372" i="31"/>
  <c r="AR513" i="31"/>
  <c r="AR441" i="31"/>
  <c r="AR531" i="31"/>
  <c r="AR418" i="31"/>
  <c r="AR391" i="31"/>
  <c r="AR523" i="31"/>
  <c r="AR475" i="31"/>
  <c r="AR538" i="31"/>
  <c r="AR552" i="31"/>
  <c r="AR529" i="31"/>
  <c r="AR547" i="31"/>
  <c r="AR389" i="31"/>
  <c r="AR362" i="31"/>
  <c r="AR479" i="31"/>
  <c r="AR342" i="31"/>
  <c r="AR356" i="31"/>
  <c r="AR540" i="31"/>
  <c r="AR487" i="31"/>
  <c r="AR521" i="31"/>
  <c r="AR544" i="31"/>
  <c r="AR592" i="31"/>
  <c r="AR542" i="31"/>
  <c r="AR392" i="31"/>
  <c r="AR494" i="31"/>
  <c r="AR476" i="31"/>
  <c r="AR437" i="31"/>
  <c r="AR325" i="31"/>
  <c r="AR577" i="31"/>
  <c r="AU237" i="31"/>
  <c r="AU226" i="31"/>
  <c r="AU189" i="31"/>
  <c r="AW283" i="15"/>
  <c r="AU51" i="31"/>
  <c r="BB104" i="15"/>
  <c r="G99" i="36" s="1"/>
  <c r="M99" i="36" s="1"/>
  <c r="R99" i="36" s="1"/>
  <c r="BB297" i="15"/>
  <c r="G292" i="36" s="1"/>
  <c r="M292" i="36" s="1"/>
  <c r="R292" i="36" s="1"/>
  <c r="AU67" i="31"/>
  <c r="BB37" i="15"/>
  <c r="G32" i="36" s="1"/>
  <c r="M32" i="36" s="1"/>
  <c r="R32" i="36" s="1"/>
  <c r="BB286" i="15"/>
  <c r="G281" i="36" s="1"/>
  <c r="M281" i="36" s="1"/>
  <c r="R281" i="36" s="1"/>
  <c r="BB253" i="15"/>
  <c r="G248" i="36" s="1"/>
  <c r="M248" i="36" s="1"/>
  <c r="R248" i="36" s="1"/>
  <c r="BB149" i="15"/>
  <c r="G144" i="36" s="1"/>
  <c r="M144" i="36" s="1"/>
  <c r="R144" i="36" s="1"/>
  <c r="BB209" i="15"/>
  <c r="G204" i="36" s="1"/>
  <c r="M204" i="36" s="1"/>
  <c r="R204" i="36" s="1"/>
  <c r="BB234" i="15"/>
  <c r="G229" i="36" s="1"/>
  <c r="M229" i="36" s="1"/>
  <c r="R229" i="36" s="1"/>
  <c r="AW236" i="15"/>
  <c r="AU247" i="31"/>
  <c r="BB258" i="15"/>
  <c r="BB38" i="15"/>
  <c r="G33" i="36" s="1"/>
  <c r="M33" i="36" s="1"/>
  <c r="R33" i="36" s="1"/>
  <c r="BB69" i="15"/>
  <c r="G64" i="36" s="1"/>
  <c r="M64" i="36" s="1"/>
  <c r="R64" i="36" s="1"/>
  <c r="BB53" i="15"/>
  <c r="G48" i="36" s="1"/>
  <c r="M48" i="36" s="1"/>
  <c r="R48" i="36" s="1"/>
  <c r="BB152" i="15"/>
  <c r="G147" i="36" s="1"/>
  <c r="M147" i="36" s="1"/>
  <c r="R147" i="36" s="1"/>
  <c r="BB78" i="15"/>
  <c r="G73" i="36" s="1"/>
  <c r="M73" i="36" s="1"/>
  <c r="R73" i="36" s="1"/>
  <c r="BB272" i="15"/>
  <c r="BB266" i="15"/>
  <c r="G261" i="36" s="1"/>
  <c r="M261" i="36" s="1"/>
  <c r="R261" i="36" s="1"/>
  <c r="BB126" i="15"/>
  <c r="G121" i="36" s="1"/>
  <c r="M121" i="36" s="1"/>
  <c r="R121" i="36" s="1"/>
  <c r="BB229" i="15"/>
  <c r="BB60" i="15"/>
  <c r="G55" i="36" s="1"/>
  <c r="M55" i="36" s="1"/>
  <c r="R55" i="36" s="1"/>
  <c r="BB102" i="15"/>
  <c r="G97" i="36" s="1"/>
  <c r="M97" i="36" s="1"/>
  <c r="R97" i="36" s="1"/>
  <c r="BB134" i="15"/>
  <c r="G129" i="36" s="1"/>
  <c r="M129" i="36" s="1"/>
  <c r="R129" i="36" s="1"/>
  <c r="BB25" i="15"/>
  <c r="G20" i="36" s="1"/>
  <c r="M20" i="36" s="1"/>
  <c r="R20" i="36" s="1"/>
  <c r="BB252" i="15"/>
  <c r="G247" i="36" s="1"/>
  <c r="M247" i="36" s="1"/>
  <c r="R247" i="36" s="1"/>
  <c r="BB182" i="15"/>
  <c r="G177" i="36" s="1"/>
  <c r="M177" i="36" s="1"/>
  <c r="R177" i="36" s="1"/>
  <c r="BB30" i="15"/>
  <c r="G25" i="36" s="1"/>
  <c r="M25" i="36" s="1"/>
  <c r="R25" i="36" s="1"/>
  <c r="AU282" i="31"/>
  <c r="AU216" i="31"/>
  <c r="AU243" i="31"/>
  <c r="AU272" i="31"/>
  <c r="AU287" i="31"/>
  <c r="AU277" i="31"/>
  <c r="AU145" i="31"/>
  <c r="AU244" i="31"/>
  <c r="AU174" i="31"/>
  <c r="AU233" i="31"/>
  <c r="AU86" i="31"/>
  <c r="AU26" i="31"/>
  <c r="AU21" i="31"/>
  <c r="AU212" i="31"/>
  <c r="AW119" i="15"/>
  <c r="AU188" i="31"/>
  <c r="AU95" i="31"/>
  <c r="AU218" i="31"/>
  <c r="AU242" i="31"/>
  <c r="AU89" i="31"/>
  <c r="AU208" i="31"/>
  <c r="AU20" i="31"/>
  <c r="AU224" i="31"/>
  <c r="AU234" i="31"/>
  <c r="AU132" i="31"/>
  <c r="AU120" i="31"/>
  <c r="AU37" i="31"/>
  <c r="AU57" i="31"/>
  <c r="AU130" i="31"/>
  <c r="AU156" i="31"/>
  <c r="AU239" i="31"/>
  <c r="AU256" i="31"/>
  <c r="AU90" i="31"/>
  <c r="AU136" i="31"/>
  <c r="AU100" i="31"/>
  <c r="AU113" i="31"/>
  <c r="AU114" i="31"/>
  <c r="AU91" i="31"/>
  <c r="AW164" i="15"/>
  <c r="AW284" i="15"/>
  <c r="AW42" i="15"/>
  <c r="AW303" i="15"/>
  <c r="BB117" i="15"/>
  <c r="G112" i="36" s="1"/>
  <c r="M112" i="36" s="1"/>
  <c r="R112" i="36" s="1"/>
  <c r="AW133" i="15"/>
  <c r="AW193" i="15"/>
  <c r="AW300" i="15"/>
  <c r="AW279" i="15"/>
  <c r="AW139" i="15"/>
  <c r="AW95" i="15"/>
  <c r="AW213" i="15"/>
  <c r="AW166" i="15"/>
  <c r="BB247" i="15"/>
  <c r="G242" i="36" s="1"/>
  <c r="AW276" i="15"/>
  <c r="AW21" i="15"/>
  <c r="BB50" i="15"/>
  <c r="G45" i="36" s="1"/>
  <c r="M45" i="36" s="1"/>
  <c r="R45" i="36" s="1"/>
  <c r="AW218" i="15"/>
  <c r="AW227" i="15"/>
  <c r="AW28" i="15"/>
  <c r="AW273" i="15"/>
  <c r="AW293" i="15"/>
  <c r="BB221" i="15"/>
  <c r="BB267" i="15"/>
  <c r="G262" i="36" s="1"/>
  <c r="M262" i="36" s="1"/>
  <c r="R262" i="36" s="1"/>
  <c r="BB223" i="15"/>
  <c r="G218" i="36" s="1"/>
  <c r="M218" i="36" s="1"/>
  <c r="R218" i="36" s="1"/>
  <c r="BB114" i="15"/>
  <c r="G109" i="36" s="1"/>
  <c r="M109" i="36" s="1"/>
  <c r="R109" i="36" s="1"/>
  <c r="BB20" i="15"/>
  <c r="G15" i="36" s="1"/>
  <c r="M15" i="36" s="1"/>
  <c r="R15" i="36" s="1"/>
  <c r="AW23" i="15"/>
  <c r="AW178" i="15"/>
  <c r="AW298" i="15"/>
  <c r="BB90" i="15"/>
  <c r="G85" i="36" s="1"/>
  <c r="M85" i="36" s="1"/>
  <c r="R85" i="36" s="1"/>
  <c r="AW304" i="15"/>
  <c r="AW39" i="15"/>
  <c r="BB200" i="15"/>
  <c r="G195" i="36" s="1"/>
  <c r="M195" i="36" s="1"/>
  <c r="R195" i="36" s="1"/>
  <c r="AW64" i="15"/>
  <c r="AW188" i="15"/>
  <c r="BB179" i="15"/>
  <c r="G174" i="36" s="1"/>
  <c r="M174" i="36" s="1"/>
  <c r="R174" i="36" s="1"/>
  <c r="BB175" i="15"/>
  <c r="G170" i="36" s="1"/>
  <c r="M170" i="36" s="1"/>
  <c r="R170" i="36" s="1"/>
  <c r="BB171" i="15"/>
  <c r="AW205" i="15"/>
  <c r="BB239" i="15"/>
  <c r="G234" i="36" s="1"/>
  <c r="M234" i="36" s="1"/>
  <c r="R234" i="36" s="1"/>
  <c r="BB263" i="15"/>
  <c r="G255" i="36" s="1"/>
  <c r="M255" i="36" s="1"/>
  <c r="R255" i="36" s="1"/>
  <c r="AW46" i="15"/>
  <c r="BB219" i="15"/>
  <c r="G214" i="36" s="1"/>
  <c r="M214" i="36" s="1"/>
  <c r="R214" i="36" s="1"/>
  <c r="AW201" i="15"/>
  <c r="AW277" i="15"/>
  <c r="AW160" i="15"/>
  <c r="BB255" i="15"/>
  <c r="G250" i="36" s="1"/>
  <c r="BB66" i="15"/>
  <c r="G265" i="36" s="1"/>
  <c r="M265" i="36" s="1"/>
  <c r="R265" i="36" s="1"/>
  <c r="AW243" i="15"/>
  <c r="BB121" i="15"/>
  <c r="G116" i="36" s="1"/>
  <c r="M116" i="36" s="1"/>
  <c r="R116" i="36" s="1"/>
  <c r="BB302" i="15"/>
  <c r="G297" i="36" s="1"/>
  <c r="M297" i="36" s="1"/>
  <c r="R297" i="36" s="1"/>
  <c r="BB181" i="15"/>
  <c r="G176" i="36" s="1"/>
  <c r="M176" i="36" s="1"/>
  <c r="R176" i="36" s="1"/>
  <c r="BB22" i="15"/>
  <c r="G17" i="36" s="1"/>
  <c r="M17" i="36" s="1"/>
  <c r="R17" i="36" s="1"/>
  <c r="BB161" i="15"/>
  <c r="G156" i="36" s="1"/>
  <c r="M156" i="36" s="1"/>
  <c r="R156" i="36" s="1"/>
  <c r="BB291" i="15"/>
  <c r="G286" i="36" s="1"/>
  <c r="BB116" i="15"/>
  <c r="BB86" i="15"/>
  <c r="G74" i="36" s="1"/>
  <c r="M74" i="36" s="1"/>
  <c r="R74" i="36" s="1"/>
  <c r="BB173" i="15"/>
  <c r="G168" i="36" s="1"/>
  <c r="M168" i="36" s="1"/>
  <c r="R168" i="36" s="1"/>
  <c r="BB141" i="15"/>
  <c r="G136" i="36" s="1"/>
  <c r="M136" i="36" s="1"/>
  <c r="R136" i="36" s="1"/>
  <c r="BB295" i="15"/>
  <c r="G290" i="36" s="1"/>
  <c r="M290" i="36" s="1"/>
  <c r="R290" i="36" s="1"/>
  <c r="BB174" i="15"/>
  <c r="G54" i="36" s="1"/>
  <c r="M54" i="36" s="1"/>
  <c r="R54" i="36" s="1"/>
  <c r="BB301" i="15"/>
  <c r="G296" i="36" s="1"/>
  <c r="M296" i="36" s="1"/>
  <c r="R296" i="36" s="1"/>
  <c r="BB212" i="15"/>
  <c r="BB262" i="15"/>
  <c r="G257" i="36" s="1"/>
  <c r="M257" i="36" s="1"/>
  <c r="R257" i="36" s="1"/>
  <c r="BB148" i="15"/>
  <c r="G280" i="36" s="1"/>
  <c r="M280" i="36" s="1"/>
  <c r="R280" i="36" s="1"/>
  <c r="BB43" i="15"/>
  <c r="G38" i="36" s="1"/>
  <c r="BB135" i="15"/>
  <c r="G130" i="36" s="1"/>
  <c r="M130" i="36" s="1"/>
  <c r="R130" i="36" s="1"/>
  <c r="BB75" i="15"/>
  <c r="BB146" i="15"/>
  <c r="G141" i="36" s="1"/>
  <c r="M141" i="36" s="1"/>
  <c r="R141" i="36" s="1"/>
  <c r="BB199" i="15"/>
  <c r="G194" i="36" s="1"/>
  <c r="M194" i="36" s="1"/>
  <c r="R194" i="36" s="1"/>
  <c r="AW56" i="15"/>
  <c r="BB186" i="15"/>
  <c r="G181" i="36" s="1"/>
  <c r="M181" i="36" s="1"/>
  <c r="R181" i="36" s="1"/>
  <c r="AW29" i="15"/>
  <c r="BB251" i="15"/>
  <c r="BB259" i="15"/>
  <c r="G236" i="36" s="1"/>
  <c r="M236" i="36" s="1"/>
  <c r="R236" i="36" s="1"/>
  <c r="BB216" i="15"/>
  <c r="G211" i="36" s="1"/>
  <c r="M211" i="36" s="1"/>
  <c r="R211" i="36" s="1"/>
  <c r="BB268" i="15"/>
  <c r="G263" i="36" s="1"/>
  <c r="M263" i="36" s="1"/>
  <c r="R263" i="36" s="1"/>
  <c r="BB26" i="15"/>
  <c r="G21" i="36" s="1"/>
  <c r="BB99" i="15"/>
  <c r="G94" i="36" s="1"/>
  <c r="M94" i="36" s="1"/>
  <c r="R94" i="36" s="1"/>
  <c r="BB122" i="15"/>
  <c r="G117" i="36" s="1"/>
  <c r="M117" i="36" s="1"/>
  <c r="R117" i="36" s="1"/>
  <c r="BB120" i="15"/>
  <c r="G115" i="36" s="1"/>
  <c r="M115" i="36" s="1"/>
  <c r="R115" i="36" s="1"/>
  <c r="BB130" i="15"/>
  <c r="G125" i="36" s="1"/>
  <c r="M125" i="36" s="1"/>
  <c r="R125" i="36" s="1"/>
  <c r="BB242" i="15"/>
  <c r="BB256" i="15"/>
  <c r="G251" i="36" s="1"/>
  <c r="M251" i="36" s="1"/>
  <c r="R251" i="36" s="1"/>
  <c r="BB271" i="15"/>
  <c r="G266" i="36" s="1"/>
  <c r="BB208" i="15"/>
  <c r="G203" i="36" s="1"/>
  <c r="M203" i="36" s="1"/>
  <c r="R203" i="36" s="1"/>
  <c r="BB281" i="15"/>
  <c r="G276" i="36" s="1"/>
  <c r="M276" i="36" s="1"/>
  <c r="R276" i="36" s="1"/>
  <c r="BB110" i="15"/>
  <c r="G105" i="36" s="1"/>
  <c r="M105" i="36" s="1"/>
  <c r="R105" i="36" s="1"/>
  <c r="BB162" i="15"/>
  <c r="G53" i="36" s="1"/>
  <c r="M53" i="36" s="1"/>
  <c r="R53" i="36" s="1"/>
  <c r="BB184" i="15"/>
  <c r="G179" i="36" s="1"/>
  <c r="M179" i="36" s="1"/>
  <c r="R179" i="36" s="1"/>
  <c r="BB44" i="15"/>
  <c r="G39" i="36" s="1"/>
  <c r="M39" i="36" s="1"/>
  <c r="R39" i="36" s="1"/>
  <c r="BB264" i="15"/>
  <c r="G259" i="36" s="1"/>
  <c r="M259" i="36" s="1"/>
  <c r="R259" i="36" s="1"/>
  <c r="BB204" i="15"/>
  <c r="BB230" i="15"/>
  <c r="G225" i="36" s="1"/>
  <c r="M225" i="36" s="1"/>
  <c r="R225" i="36" s="1"/>
  <c r="BB106" i="15"/>
  <c r="G101" i="36" s="1"/>
  <c r="M101" i="36" s="1"/>
  <c r="R101" i="36" s="1"/>
  <c r="BB107" i="15"/>
  <c r="G102" i="36" s="1"/>
  <c r="M102" i="36" s="1"/>
  <c r="R102" i="36" s="1"/>
  <c r="BB290" i="15"/>
  <c r="G285" i="36" s="1"/>
  <c r="M285" i="36" s="1"/>
  <c r="R285" i="36" s="1"/>
  <c r="BB176" i="15"/>
  <c r="G171" i="36" s="1"/>
  <c r="M171" i="36" s="1"/>
  <c r="R171" i="36" s="1"/>
  <c r="BB81" i="15"/>
  <c r="G76" i="36" s="1"/>
  <c r="M76" i="36" s="1"/>
  <c r="R76" i="36" s="1"/>
  <c r="BB108" i="15"/>
  <c r="BB163" i="15"/>
  <c r="G158" i="36" s="1"/>
  <c r="BB244" i="15"/>
  <c r="BB159" i="15"/>
  <c r="G49" i="36" s="1"/>
  <c r="M49" i="36" s="1"/>
  <c r="R49" i="36" s="1"/>
  <c r="BB136" i="15"/>
  <c r="G131" i="36" s="1"/>
  <c r="M131" i="36" s="1"/>
  <c r="R131" i="36" s="1"/>
  <c r="BB289" i="15"/>
  <c r="G284" i="36" s="1"/>
  <c r="M284" i="36" s="1"/>
  <c r="R284" i="36" s="1"/>
  <c r="BB246" i="15"/>
  <c r="G241" i="36" s="1"/>
  <c r="M241" i="36" s="1"/>
  <c r="R241" i="36" s="1"/>
  <c r="BB9" i="15"/>
  <c r="G4" i="36" s="1"/>
  <c r="M4" i="36" s="1"/>
  <c r="R4" i="36" s="1"/>
  <c r="BB280" i="15"/>
  <c r="BB180" i="15"/>
  <c r="G175" i="36" s="1"/>
  <c r="M175" i="36" s="1"/>
  <c r="R175" i="36" s="1"/>
  <c r="BB235" i="15"/>
  <c r="G230" i="36" s="1"/>
  <c r="M230" i="36" s="1"/>
  <c r="R230" i="36" s="1"/>
  <c r="BB142" i="15"/>
  <c r="G137" i="36" s="1"/>
  <c r="M137" i="36" s="1"/>
  <c r="R137" i="36" s="1"/>
  <c r="BB195" i="15"/>
  <c r="G190" i="36" s="1"/>
  <c r="M190" i="36" s="1"/>
  <c r="R190" i="36" s="1"/>
  <c r="BB211" i="15"/>
  <c r="G206" i="36" s="1"/>
  <c r="M206" i="36" s="1"/>
  <c r="R206" i="36" s="1"/>
  <c r="BB8" i="15"/>
  <c r="AW13" i="15"/>
  <c r="BB72" i="15"/>
  <c r="G67" i="36" s="1"/>
  <c r="M67" i="36" s="1"/>
  <c r="R67" i="36" s="1"/>
  <c r="BB192" i="15"/>
  <c r="G187" i="36" s="1"/>
  <c r="M187" i="36" s="1"/>
  <c r="R187" i="36" s="1"/>
  <c r="BB19" i="15"/>
  <c r="G14" i="36" s="1"/>
  <c r="M14" i="36" s="1"/>
  <c r="R14" i="36" s="1"/>
  <c r="BB118" i="15"/>
  <c r="G113" i="36" s="1"/>
  <c r="M113" i="36" s="1"/>
  <c r="R113" i="36" s="1"/>
  <c r="BB170" i="15"/>
  <c r="BB101" i="15"/>
  <c r="G96" i="36" s="1"/>
  <c r="M96" i="36" s="1"/>
  <c r="R96" i="36" s="1"/>
  <c r="BB98" i="15"/>
  <c r="G93" i="36" s="1"/>
  <c r="M93" i="36" s="1"/>
  <c r="R93" i="36" s="1"/>
  <c r="BB269" i="15"/>
  <c r="BB67" i="15"/>
  <c r="G62" i="36" s="1"/>
  <c r="BB206" i="15"/>
  <c r="G201" i="36" s="1"/>
  <c r="M201" i="36" s="1"/>
  <c r="R201" i="36" s="1"/>
  <c r="BB238" i="15"/>
  <c r="G233" i="36" s="1"/>
  <c r="BB217" i="15"/>
  <c r="G212" i="36" s="1"/>
  <c r="M212" i="36" s="1"/>
  <c r="R212" i="36" s="1"/>
  <c r="BB292" i="15"/>
  <c r="G287" i="36" s="1"/>
  <c r="M287" i="36" s="1"/>
  <c r="R287" i="36" s="1"/>
  <c r="BB245" i="15"/>
  <c r="BB93" i="15"/>
  <c r="G88" i="36" s="1"/>
  <c r="M88" i="36" s="1"/>
  <c r="R88" i="36" s="1"/>
  <c r="BB185" i="15"/>
  <c r="G180" i="36" s="1"/>
  <c r="M180" i="36" s="1"/>
  <c r="R180" i="36" s="1"/>
  <c r="AW73" i="15"/>
  <c r="AW177" i="15"/>
  <c r="BB82" i="15"/>
  <c r="G77" i="36" s="1"/>
  <c r="M77" i="36" s="1"/>
  <c r="R77" i="36" s="1"/>
  <c r="BB129" i="15"/>
  <c r="G124" i="36" s="1"/>
  <c r="M124" i="36" s="1"/>
  <c r="R124" i="36" s="1"/>
  <c r="BB265" i="15"/>
  <c r="G260" i="36" s="1"/>
  <c r="BB210" i="15"/>
  <c r="G205" i="36" s="1"/>
  <c r="M205" i="36" s="1"/>
  <c r="R205" i="36" s="1"/>
  <c r="BB89" i="15"/>
  <c r="G84" i="36" s="1"/>
  <c r="M84" i="36" s="1"/>
  <c r="R84" i="36" s="1"/>
  <c r="BB296" i="15"/>
  <c r="G291" i="36" s="1"/>
  <c r="BB257" i="15"/>
  <c r="G80" i="36" s="1"/>
  <c r="M80" i="36" s="1"/>
  <c r="R80" i="36" s="1"/>
  <c r="BB27" i="15"/>
  <c r="G22" i="36" s="1"/>
  <c r="BB215" i="15"/>
  <c r="BB147" i="15"/>
  <c r="G142" i="36" s="1"/>
  <c r="M142" i="36" s="1"/>
  <c r="R142" i="36" s="1"/>
  <c r="BB92" i="15"/>
  <c r="G87" i="36" s="1"/>
  <c r="M87" i="36" s="1"/>
  <c r="R87" i="36" s="1"/>
  <c r="BB150" i="15"/>
  <c r="G145" i="36" s="1"/>
  <c r="M145" i="36" s="1"/>
  <c r="R145" i="36" s="1"/>
  <c r="BB71" i="15"/>
  <c r="G66" i="36" s="1"/>
  <c r="M66" i="36" s="1"/>
  <c r="R66" i="36" s="1"/>
  <c r="BB189" i="15"/>
  <c r="BB169" i="15"/>
  <c r="G164" i="36" s="1"/>
  <c r="M164" i="36" s="1"/>
  <c r="R164" i="36" s="1"/>
  <c r="BB35" i="15"/>
  <c r="G30" i="36" s="1"/>
  <c r="M30" i="36" s="1"/>
  <c r="R30" i="36" s="1"/>
  <c r="BB190" i="15"/>
  <c r="AW294" i="15"/>
  <c r="AW281" i="15"/>
  <c r="AW170" i="15"/>
  <c r="AW211" i="15"/>
  <c r="AW68" i="15"/>
  <c r="AW59" i="15"/>
  <c r="AW196" i="15"/>
  <c r="AW176" i="15"/>
  <c r="AW220" i="15"/>
  <c r="AW207" i="15"/>
  <c r="AW105" i="15"/>
  <c r="AW224" i="15"/>
  <c r="AW62" i="15"/>
  <c r="AW261" i="15"/>
  <c r="AW58" i="15"/>
  <c r="AW249" i="15"/>
  <c r="AW151" i="15"/>
  <c r="AW197" i="15"/>
  <c r="AW287" i="15"/>
  <c r="AW257" i="15"/>
  <c r="CE24" i="15"/>
  <c r="CF24" i="15" s="1"/>
  <c r="CE247" i="15"/>
  <c r="CF247" i="15" s="1"/>
  <c r="CE231" i="15"/>
  <c r="CF231" i="15" s="1"/>
  <c r="CE193" i="15"/>
  <c r="CF193" i="15" s="1"/>
  <c r="CE94" i="15"/>
  <c r="CF94" i="15" s="1"/>
  <c r="CE229" i="15"/>
  <c r="CF229" i="15" s="1"/>
  <c r="AI315" i="15"/>
  <c r="AH315" i="15"/>
  <c r="AF315" i="15"/>
  <c r="AF312" i="15"/>
  <c r="AG315" i="15"/>
  <c r="AD315" i="15"/>
  <c r="AD312" i="15"/>
  <c r="AE315" i="15"/>
  <c r="AE312" i="15"/>
  <c r="AA315" i="15"/>
  <c r="AA312" i="15"/>
  <c r="AC315" i="15"/>
  <c r="AC312" i="15"/>
  <c r="AW81" i="15"/>
  <c r="AW203" i="15"/>
  <c r="AW54" i="15"/>
  <c r="AW217" i="15"/>
  <c r="AW52" i="15"/>
  <c r="AW280" i="15"/>
  <c r="AW248" i="15"/>
  <c r="BU172" i="15"/>
  <c r="BV172" i="15" s="1"/>
  <c r="BU169" i="15"/>
  <c r="BV169" i="15" s="1"/>
  <c r="BU180" i="15"/>
  <c r="BV180" i="15" s="1"/>
  <c r="BU112" i="15"/>
  <c r="BV112" i="15" s="1"/>
  <c r="BU143" i="15"/>
  <c r="BV143" i="15" s="1"/>
  <c r="BU241" i="15"/>
  <c r="BV241" i="15" s="1"/>
  <c r="BU186" i="15"/>
  <c r="BV186" i="15" s="1"/>
  <c r="BU224" i="15"/>
  <c r="BV224" i="15" s="1"/>
  <c r="BU216" i="15"/>
  <c r="BV216" i="15" s="1"/>
  <c r="BU275" i="15"/>
  <c r="BV275" i="15" s="1"/>
  <c r="BU35" i="15"/>
  <c r="BV35" i="15" s="1"/>
  <c r="BU49" i="15"/>
  <c r="BV49" i="15" s="1"/>
  <c r="BU233" i="15"/>
  <c r="BV233" i="15" s="1"/>
  <c r="BU210" i="15"/>
  <c r="BV210" i="15" s="1"/>
  <c r="BU19" i="15"/>
  <c r="BV19" i="15" s="1"/>
  <c r="BU285" i="15"/>
  <c r="BV285" i="15" s="1"/>
  <c r="BU87" i="15"/>
  <c r="BV87" i="15" s="1"/>
  <c r="BU82" i="15"/>
  <c r="BV82" i="15" s="1"/>
  <c r="BU222" i="15"/>
  <c r="BV222" i="15" s="1"/>
  <c r="BU232" i="15"/>
  <c r="BV232" i="15" s="1"/>
  <c r="BU270" i="15"/>
  <c r="BV270" i="15" s="1"/>
  <c r="BU88" i="15"/>
  <c r="BV88" i="15" s="1"/>
  <c r="BU168" i="15"/>
  <c r="BV168" i="15" s="1"/>
  <c r="BU280" i="15"/>
  <c r="BV280" i="15" s="1"/>
  <c r="BU98" i="15"/>
  <c r="BV98" i="15" s="1"/>
  <c r="BL306" i="15"/>
  <c r="BO306" i="15"/>
  <c r="L9" i="1" s="1"/>
  <c r="M9" i="1" s="1"/>
  <c r="BU237" i="15"/>
  <c r="BV237" i="15" s="1"/>
  <c r="BU214" i="15"/>
  <c r="BV214" i="15" s="1"/>
  <c r="BU245" i="15"/>
  <c r="BV245" i="15" s="1"/>
  <c r="BU128" i="15"/>
  <c r="BV128" i="15" s="1"/>
  <c r="BU187" i="15"/>
  <c r="BV187" i="15" s="1"/>
  <c r="BU242" i="15"/>
  <c r="BV242" i="15" s="1"/>
  <c r="BU111" i="15"/>
  <c r="BV111" i="15" s="1"/>
  <c r="BU235" i="15"/>
  <c r="BV235" i="15" s="1"/>
  <c r="BU55" i="15"/>
  <c r="BV55" i="15" s="1"/>
  <c r="BU240" i="15"/>
  <c r="BV240" i="15" s="1"/>
  <c r="BU134" i="15"/>
  <c r="BV134" i="15" s="1"/>
  <c r="BU85" i="15"/>
  <c r="BV85" i="15" s="1"/>
  <c r="BU118" i="15"/>
  <c r="BV118" i="15" s="1"/>
  <c r="BU18" i="15"/>
  <c r="BV18" i="15" s="1"/>
  <c r="BU89" i="15"/>
  <c r="BV89" i="15" s="1"/>
  <c r="BU206" i="15"/>
  <c r="BV206" i="15" s="1"/>
  <c r="BU159" i="15"/>
  <c r="BV159" i="15" s="1"/>
  <c r="BU231" i="15"/>
  <c r="BV231" i="15" s="1"/>
  <c r="BU84" i="15"/>
  <c r="BV84" i="15" s="1"/>
  <c r="BU154" i="15"/>
  <c r="BV154" i="15" s="1"/>
  <c r="BU93" i="15"/>
  <c r="BV93" i="15" s="1"/>
  <c r="BU130" i="15"/>
  <c r="BV130" i="15" s="1"/>
  <c r="BU24" i="15"/>
  <c r="BV24" i="15" s="1"/>
  <c r="BU65" i="15"/>
  <c r="BV65" i="15" s="1"/>
  <c r="BU254" i="15"/>
  <c r="BV254" i="15" s="1"/>
  <c r="AW125" i="15"/>
  <c r="AW189" i="15"/>
  <c r="AW48" i="15"/>
  <c r="AW15" i="15"/>
  <c r="AW246" i="15"/>
  <c r="AW47" i="15"/>
  <c r="AW85" i="15"/>
  <c r="AW185" i="15"/>
  <c r="AW16" i="15"/>
  <c r="AW34" i="15"/>
  <c r="AW241" i="15"/>
  <c r="AW88" i="15"/>
  <c r="AW61" i="15"/>
  <c r="AW112" i="15"/>
  <c r="AW190" i="15"/>
  <c r="AW202" i="15"/>
  <c r="AE309" i="15"/>
  <c r="AW8" i="15"/>
  <c r="AW84" i="15"/>
  <c r="AW235" i="15"/>
  <c r="AW187" i="15"/>
  <c r="AW237" i="15"/>
  <c r="AW290" i="15"/>
  <c r="AW115" i="15"/>
  <c r="AW49" i="15"/>
  <c r="AW156" i="15"/>
  <c r="AW93" i="15"/>
  <c r="AW107" i="15"/>
  <c r="AW51" i="15"/>
  <c r="AW275" i="15"/>
  <c r="AW87" i="15"/>
  <c r="AW232" i="15"/>
  <c r="AW254" i="15"/>
  <c r="AW74" i="15"/>
  <c r="AW65" i="15"/>
  <c r="AW154" i="15"/>
  <c r="AW245" i="15"/>
  <c r="AW240" i="15"/>
  <c r="AW228" i="15"/>
  <c r="AW233" i="15"/>
  <c r="AW216" i="15"/>
  <c r="AW169" i="15"/>
  <c r="AW210" i="15"/>
  <c r="AW172" i="15"/>
  <c r="AW111" i="15"/>
  <c r="AW168" i="15"/>
  <c r="AW270" i="15"/>
  <c r="AW89" i="15"/>
  <c r="AW19" i="15"/>
  <c r="AW18" i="15"/>
  <c r="AW214" i="15"/>
  <c r="AW98" i="15"/>
  <c r="AW82" i="15"/>
  <c r="AW231" i="15"/>
  <c r="AW35" i="15"/>
  <c r="AW180" i="15"/>
  <c r="AW285" i="15"/>
  <c r="AW222" i="15"/>
  <c r="AX295" i="10"/>
  <c r="AX8" i="10"/>
  <c r="AX9" i="10"/>
  <c r="AX10" i="10"/>
  <c r="AX11" i="10"/>
  <c r="AX12" i="10"/>
  <c r="AX13" i="10"/>
  <c r="AX14" i="10"/>
  <c r="AX15" i="10"/>
  <c r="AX16" i="10"/>
  <c r="AX17" i="10"/>
  <c r="AX20" i="10"/>
  <c r="AX21" i="10"/>
  <c r="AX22" i="10"/>
  <c r="AX23" i="10"/>
  <c r="AX25" i="10"/>
  <c r="AX26" i="10"/>
  <c r="AX27" i="10"/>
  <c r="AX28" i="10"/>
  <c r="AX29" i="10"/>
  <c r="AX30" i="10"/>
  <c r="AX31" i="10"/>
  <c r="AX32" i="10"/>
  <c r="AX33" i="10"/>
  <c r="AX34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50" i="10"/>
  <c r="AX51" i="10"/>
  <c r="AX52" i="10"/>
  <c r="AX53" i="10"/>
  <c r="AX54" i="10"/>
  <c r="AX56" i="10"/>
  <c r="AX57" i="10"/>
  <c r="AX58" i="10"/>
  <c r="AX59" i="10"/>
  <c r="AX60" i="10"/>
  <c r="AX61" i="10"/>
  <c r="AX62" i="10"/>
  <c r="AX63" i="10"/>
  <c r="AX64" i="10"/>
  <c r="AX66" i="10"/>
  <c r="AX67" i="10"/>
  <c r="AX68" i="10"/>
  <c r="AX69" i="10"/>
  <c r="AX70" i="10"/>
  <c r="AX71" i="10"/>
  <c r="AX72" i="10"/>
  <c r="AX73" i="10"/>
  <c r="AX75" i="10"/>
  <c r="AX76" i="10"/>
  <c r="AX77" i="10"/>
  <c r="AX78" i="10"/>
  <c r="AX79" i="10"/>
  <c r="AX80" i="10"/>
  <c r="AX81" i="10"/>
  <c r="AX83" i="10"/>
  <c r="AX86" i="10"/>
  <c r="AX90" i="10"/>
  <c r="AX91" i="10"/>
  <c r="AX92" i="10"/>
  <c r="AX94" i="10"/>
  <c r="AX95" i="10"/>
  <c r="AX96" i="10"/>
  <c r="AX97" i="10"/>
  <c r="AX99" i="10"/>
  <c r="AX100" i="10"/>
  <c r="AX101" i="10"/>
  <c r="AX102" i="10"/>
  <c r="AX103" i="10"/>
  <c r="AX104" i="10"/>
  <c r="AX105" i="10"/>
  <c r="AX106" i="10"/>
  <c r="AX107" i="10"/>
  <c r="AX108" i="10"/>
  <c r="AX109" i="10"/>
  <c r="AX110" i="10"/>
  <c r="AX113" i="10"/>
  <c r="AX114" i="10"/>
  <c r="AX115" i="10"/>
  <c r="AX116" i="10"/>
  <c r="AX117" i="10"/>
  <c r="AX119" i="10"/>
  <c r="AX120" i="10"/>
  <c r="AX121" i="10"/>
  <c r="AX122" i="10"/>
  <c r="AX123" i="10"/>
  <c r="AX124" i="10"/>
  <c r="AX125" i="10"/>
  <c r="AX126" i="10"/>
  <c r="AX127" i="10"/>
  <c r="AX129" i="10"/>
  <c r="AX131" i="10"/>
  <c r="AX132" i="10"/>
  <c r="AX133" i="10"/>
  <c r="AX135" i="10"/>
  <c r="AX136" i="10"/>
  <c r="AX137" i="10"/>
  <c r="AX138" i="10"/>
  <c r="AX139" i="10"/>
  <c r="AX140" i="10"/>
  <c r="AX141" i="10"/>
  <c r="AX142" i="10"/>
  <c r="AX144" i="10"/>
  <c r="AX145" i="10"/>
  <c r="AX146" i="10"/>
  <c r="AX147" i="10"/>
  <c r="AX148" i="10"/>
  <c r="AX149" i="10"/>
  <c r="AX150" i="10"/>
  <c r="AX151" i="10"/>
  <c r="AX152" i="10"/>
  <c r="AX153" i="10"/>
  <c r="AX155" i="10"/>
  <c r="AX156" i="10"/>
  <c r="AX157" i="10"/>
  <c r="AX158" i="10"/>
  <c r="AX160" i="10"/>
  <c r="AX161" i="10"/>
  <c r="AX162" i="10"/>
  <c r="AX163" i="10"/>
  <c r="AX164" i="10"/>
  <c r="AX165" i="10"/>
  <c r="AX166" i="10"/>
  <c r="AX167" i="10"/>
  <c r="AX170" i="10"/>
  <c r="AX171" i="10"/>
  <c r="AX173" i="10"/>
  <c r="AX174" i="10"/>
  <c r="AX175" i="10"/>
  <c r="AX176" i="10"/>
  <c r="AX177" i="10"/>
  <c r="AX178" i="10"/>
  <c r="AX179" i="10"/>
  <c r="AX181" i="10"/>
  <c r="AX182" i="10"/>
  <c r="AX183" i="10"/>
  <c r="AX184" i="10"/>
  <c r="AX185" i="10"/>
  <c r="AX186" i="10"/>
  <c r="AX188" i="10"/>
  <c r="AX189" i="10"/>
  <c r="AX190" i="10"/>
  <c r="AX191" i="10"/>
  <c r="AX192" i="10"/>
  <c r="AX193" i="10"/>
  <c r="AX194" i="10"/>
  <c r="AX195" i="10"/>
  <c r="AX196" i="10"/>
  <c r="AX197" i="10"/>
  <c r="AX198" i="10"/>
  <c r="AX199" i="10"/>
  <c r="AX200" i="10"/>
  <c r="AX201" i="10"/>
  <c r="AX202" i="10"/>
  <c r="AX203" i="10"/>
  <c r="AX204" i="10"/>
  <c r="AX205" i="10"/>
  <c r="AX207" i="10"/>
  <c r="AX208" i="10"/>
  <c r="AX209" i="10"/>
  <c r="AX211" i="10"/>
  <c r="AX212" i="10"/>
  <c r="AX213" i="10"/>
  <c r="AX215" i="10"/>
  <c r="AX217" i="10"/>
  <c r="AX218" i="10"/>
  <c r="AX219" i="10"/>
  <c r="AX220" i="10"/>
  <c r="AX221" i="10"/>
  <c r="AX223" i="10"/>
  <c r="AX225" i="10"/>
  <c r="AX226" i="10"/>
  <c r="AX227" i="10"/>
  <c r="AX228" i="10"/>
  <c r="AX229" i="10"/>
  <c r="AX230" i="10"/>
  <c r="AX234" i="10"/>
  <c r="AX236" i="10"/>
  <c r="AX238" i="10"/>
  <c r="AX239" i="10"/>
  <c r="AX243" i="10"/>
  <c r="AX244" i="10"/>
  <c r="AX246" i="10"/>
  <c r="AX247" i="10"/>
  <c r="AX248" i="10"/>
  <c r="AX249" i="10"/>
  <c r="AX250" i="10"/>
  <c r="AX251" i="10"/>
  <c r="AX252" i="10"/>
  <c r="AX253" i="10"/>
  <c r="AX255" i="10"/>
  <c r="AX256" i="10"/>
  <c r="AX257" i="10"/>
  <c r="AX258" i="10"/>
  <c r="AX259" i="10"/>
  <c r="AX260" i="10"/>
  <c r="AX261" i="10"/>
  <c r="AX262" i="10"/>
  <c r="AX263" i="10"/>
  <c r="AX264" i="10"/>
  <c r="AX265" i="10"/>
  <c r="AX266" i="10"/>
  <c r="AX267" i="10"/>
  <c r="AX268" i="10"/>
  <c r="AX269" i="10"/>
  <c r="AX271" i="10"/>
  <c r="AX272" i="10"/>
  <c r="AX273" i="10"/>
  <c r="AX274" i="10"/>
  <c r="AX276" i="10"/>
  <c r="AX277" i="10"/>
  <c r="AX278" i="10"/>
  <c r="AX279" i="10"/>
  <c r="AX281" i="10"/>
  <c r="AX282" i="10"/>
  <c r="AX283" i="10"/>
  <c r="AX284" i="10"/>
  <c r="AX286" i="10"/>
  <c r="AX287" i="10"/>
  <c r="AX288" i="10"/>
  <c r="AX289" i="10"/>
  <c r="AX290" i="10"/>
  <c r="AX291" i="10"/>
  <c r="AX292" i="10"/>
  <c r="AX293" i="10"/>
  <c r="AX294" i="10"/>
  <c r="AX296" i="10"/>
  <c r="AX297" i="10"/>
  <c r="AX298" i="10"/>
  <c r="AX299" i="10"/>
  <c r="AX300" i="10"/>
  <c r="AX301" i="10"/>
  <c r="AX302" i="10"/>
  <c r="AX303" i="10"/>
  <c r="AX304" i="10"/>
  <c r="G166" i="36" l="1"/>
  <c r="M166" i="36" s="1"/>
  <c r="R166" i="36" s="1"/>
  <c r="G199" i="36"/>
  <c r="M199" i="36" s="1"/>
  <c r="R199" i="36" s="1"/>
  <c r="G239" i="36"/>
  <c r="M239" i="36" s="1"/>
  <c r="R239" i="36" s="1"/>
  <c r="G232" i="36"/>
  <c r="M232" i="36" s="1"/>
  <c r="R232" i="36" s="1"/>
  <c r="G228" i="36"/>
  <c r="M228" i="36" s="1"/>
  <c r="R228" i="36" s="1"/>
  <c r="G207" i="36"/>
  <c r="M207" i="36" s="1"/>
  <c r="R207" i="36" s="1"/>
  <c r="G264" i="36"/>
  <c r="M264" i="36" s="1"/>
  <c r="R264" i="36" s="1"/>
  <c r="G246" i="36"/>
  <c r="M246" i="36" s="1"/>
  <c r="R246" i="36" s="1"/>
  <c r="G224" i="36"/>
  <c r="M224" i="36" s="1"/>
  <c r="R224" i="36" s="1"/>
  <c r="G210" i="36"/>
  <c r="M210" i="36" s="1"/>
  <c r="R210" i="36" s="1"/>
  <c r="G120" i="36"/>
  <c r="M120" i="36" s="1"/>
  <c r="R120" i="36" s="1"/>
  <c r="G182" i="36"/>
  <c r="M182" i="36" s="1"/>
  <c r="R182" i="36" s="1"/>
  <c r="G163" i="36"/>
  <c r="M163" i="36" s="1"/>
  <c r="R163" i="36" s="1"/>
  <c r="G252" i="36"/>
  <c r="M252" i="36" s="1"/>
  <c r="R252" i="36" s="1"/>
  <c r="G70" i="36"/>
  <c r="M70" i="36" s="1"/>
  <c r="R70" i="36" s="1"/>
  <c r="G111" i="36"/>
  <c r="M111" i="36" s="1"/>
  <c r="R111" i="36" s="1"/>
  <c r="G273" i="36"/>
  <c r="M273" i="36" s="1"/>
  <c r="R273" i="36" s="1"/>
  <c r="G51" i="36"/>
  <c r="M51" i="36" s="1"/>
  <c r="R51" i="36" s="1"/>
  <c r="G161" i="36"/>
  <c r="M161" i="36" s="1"/>
  <c r="R161" i="36" s="1"/>
  <c r="G216" i="36"/>
  <c r="M216" i="36" s="1"/>
  <c r="R216" i="36" s="1"/>
  <c r="G154" i="36"/>
  <c r="M154" i="36" s="1"/>
  <c r="R154" i="36" s="1"/>
  <c r="G42" i="36"/>
  <c r="M42" i="36" s="1"/>
  <c r="R42" i="36" s="1"/>
  <c r="G277" i="36"/>
  <c r="M277" i="36" s="1"/>
  <c r="R277" i="36" s="1"/>
  <c r="G81" i="36"/>
  <c r="M81" i="36" s="1"/>
  <c r="R81" i="36" s="1"/>
  <c r="G172" i="36"/>
  <c r="M172" i="36" s="1"/>
  <c r="R172" i="36" s="1"/>
  <c r="G189" i="36"/>
  <c r="M189" i="36" s="1"/>
  <c r="R189" i="36" s="1"/>
  <c r="G59" i="36"/>
  <c r="M59" i="36" s="1"/>
  <c r="R59" i="36" s="1"/>
  <c r="G185" i="36"/>
  <c r="M185" i="36" s="1"/>
  <c r="R185" i="36" s="1"/>
  <c r="G157" i="36"/>
  <c r="M157" i="36" s="1"/>
  <c r="R157" i="36" s="1"/>
  <c r="G143" i="36"/>
  <c r="M143" i="36" s="1"/>
  <c r="R143" i="36" s="1"/>
  <c r="G258" i="36"/>
  <c r="M258" i="36" s="1"/>
  <c r="R258" i="36" s="1"/>
  <c r="G253" i="36"/>
  <c r="M253" i="36" s="1"/>
  <c r="R253" i="36" s="1"/>
  <c r="G69" i="36"/>
  <c r="M69" i="36" s="1"/>
  <c r="R69" i="36" s="1"/>
  <c r="G240" i="36"/>
  <c r="M240" i="36" s="1"/>
  <c r="R240" i="36" s="1"/>
  <c r="G103" i="36"/>
  <c r="M103" i="36" s="1"/>
  <c r="R103" i="36" s="1"/>
  <c r="G173" i="36"/>
  <c r="M173" i="36" s="1"/>
  <c r="R173" i="36" s="1"/>
  <c r="G107" i="36"/>
  <c r="M107" i="36" s="1"/>
  <c r="R107" i="36" s="1"/>
  <c r="G217" i="36"/>
  <c r="M217" i="36" s="1"/>
  <c r="R217" i="36" s="1"/>
  <c r="G184" i="36"/>
  <c r="M184" i="36" s="1"/>
  <c r="R184" i="36" s="1"/>
  <c r="G254" i="36"/>
  <c r="M254" i="36" s="1"/>
  <c r="R254" i="36" s="1"/>
  <c r="G27" i="36"/>
  <c r="M27" i="36" s="1"/>
  <c r="R27" i="36" s="1"/>
  <c r="G283" i="36"/>
  <c r="M283" i="36" s="1"/>
  <c r="R283" i="36" s="1"/>
  <c r="G100" i="36"/>
  <c r="M100" i="36" s="1"/>
  <c r="R100" i="36" s="1"/>
  <c r="G167" i="36"/>
  <c r="M167" i="36" s="1"/>
  <c r="R167" i="36" s="1"/>
  <c r="G219" i="36"/>
  <c r="M219" i="36" s="1"/>
  <c r="R219" i="36" s="1"/>
  <c r="G169" i="36"/>
  <c r="M169" i="36" s="1"/>
  <c r="R169" i="36" s="1"/>
  <c r="G165" i="36"/>
  <c r="M165" i="36" s="1"/>
  <c r="R165" i="36" s="1"/>
  <c r="G275" i="36"/>
  <c r="M275" i="36" s="1"/>
  <c r="R275" i="36" s="1"/>
  <c r="G61" i="36"/>
  <c r="M61" i="36" s="1"/>
  <c r="R61" i="36" s="1"/>
  <c r="G282" i="36"/>
  <c r="M282" i="36" s="1"/>
  <c r="R282" i="36" s="1"/>
  <c r="G47" i="36"/>
  <c r="M47" i="36" s="1"/>
  <c r="R47" i="36" s="1"/>
  <c r="G11" i="36"/>
  <c r="M11" i="36" s="1"/>
  <c r="R11" i="36" s="1"/>
  <c r="G267" i="36"/>
  <c r="M267" i="36" s="1"/>
  <c r="R267" i="36" s="1"/>
  <c r="G223" i="36"/>
  <c r="M223" i="36" s="1"/>
  <c r="R223" i="36" s="1"/>
  <c r="CE19" i="15"/>
  <c r="CF19" i="15" s="1"/>
  <c r="M291" i="36"/>
  <c r="R291" i="36" s="1"/>
  <c r="C291" i="36"/>
  <c r="M266" i="36"/>
  <c r="R266" i="36" s="1"/>
  <c r="C266" i="36"/>
  <c r="M242" i="36"/>
  <c r="R242" i="36" s="1"/>
  <c r="C242" i="36"/>
  <c r="M250" i="36"/>
  <c r="R250" i="36" s="1"/>
  <c r="C250" i="36"/>
  <c r="M22" i="36"/>
  <c r="R22" i="36" s="1"/>
  <c r="C22" i="36"/>
  <c r="M286" i="36"/>
  <c r="R286" i="36" s="1"/>
  <c r="C286" i="36"/>
  <c r="M21" i="36"/>
  <c r="R21" i="36" s="1"/>
  <c r="C21" i="36"/>
  <c r="M38" i="36"/>
  <c r="R38" i="36" s="1"/>
  <c r="C38" i="36"/>
  <c r="M158" i="36"/>
  <c r="R158" i="36" s="1"/>
  <c r="C158" i="36"/>
  <c r="M62" i="36"/>
  <c r="R62" i="36" s="1"/>
  <c r="C62" i="36"/>
  <c r="M233" i="36"/>
  <c r="R233" i="36" s="1"/>
  <c r="C233" i="36"/>
  <c r="M260" i="36"/>
  <c r="R260" i="36" s="1"/>
  <c r="C260" i="36"/>
  <c r="L12" i="1"/>
  <c r="AI305" i="10"/>
  <c r="CE305" i="15" l="1"/>
  <c r="AJ311" i="10"/>
  <c r="AP8" i="10" l="1"/>
  <c r="AR304" i="10"/>
  <c r="AR303" i="10"/>
  <c r="AR302" i="10"/>
  <c r="AR301" i="10"/>
  <c r="AR300" i="10"/>
  <c r="AP300" i="10" s="1"/>
  <c r="AR299" i="10"/>
  <c r="AP299" i="10" s="1"/>
  <c r="AR298" i="10"/>
  <c r="AP298" i="10" s="1"/>
  <c r="AR297" i="10"/>
  <c r="AP297" i="10" s="1"/>
  <c r="AR296" i="10"/>
  <c r="AP296" i="10" s="1"/>
  <c r="AR295" i="10"/>
  <c r="AP295" i="10" s="1"/>
  <c r="AR294" i="10"/>
  <c r="AR293" i="10"/>
  <c r="AP293" i="10" s="1"/>
  <c r="AR292" i="10"/>
  <c r="AP292" i="10" s="1"/>
  <c r="AR291" i="10"/>
  <c r="AR290" i="10"/>
  <c r="AR289" i="10"/>
  <c r="AR288" i="10"/>
  <c r="AR287" i="10"/>
  <c r="AP287" i="10" s="1"/>
  <c r="AR286" i="10"/>
  <c r="AP286" i="10" s="1"/>
  <c r="AR285" i="10"/>
  <c r="AR284" i="10"/>
  <c r="AR283" i="10"/>
  <c r="AP283" i="10" s="1"/>
  <c r="AR282" i="10"/>
  <c r="AP282" i="10" s="1"/>
  <c r="AR281" i="10"/>
  <c r="AP281" i="10" s="1"/>
  <c r="AR280" i="10"/>
  <c r="AP280" i="10" s="1"/>
  <c r="AR279" i="10"/>
  <c r="AR278" i="10"/>
  <c r="AP278" i="10" s="1"/>
  <c r="AR277" i="10"/>
  <c r="AP277" i="10" s="1"/>
  <c r="AR276" i="10"/>
  <c r="AR275" i="10"/>
  <c r="AP275" i="10" s="1"/>
  <c r="AR274" i="10"/>
  <c r="AP274" i="10" s="1"/>
  <c r="AR273" i="10"/>
  <c r="AR272" i="10"/>
  <c r="AR271" i="10"/>
  <c r="AR270" i="10"/>
  <c r="AP270" i="10" s="1"/>
  <c r="AR269" i="10"/>
  <c r="AP269" i="10" s="1"/>
  <c r="AR268" i="10"/>
  <c r="AP268" i="10" s="1"/>
  <c r="AR267" i="10"/>
  <c r="AP267" i="10" s="1"/>
  <c r="AR266" i="10"/>
  <c r="AP266" i="10" s="1"/>
  <c r="AR265" i="10"/>
  <c r="AR264" i="10"/>
  <c r="AR263" i="10"/>
  <c r="AR262" i="10"/>
  <c r="AR261" i="10"/>
  <c r="AP261" i="10" s="1"/>
  <c r="AR260" i="10"/>
  <c r="AP260" i="10" s="1"/>
  <c r="AR259" i="10"/>
  <c r="AP259" i="10" s="1"/>
  <c r="AR258" i="10"/>
  <c r="AR257" i="10"/>
  <c r="AP257" i="10" s="1"/>
  <c r="AR256" i="10"/>
  <c r="AR255" i="10"/>
  <c r="AR254" i="10"/>
  <c r="AP254" i="10" s="1"/>
  <c r="AR253" i="10"/>
  <c r="AP253" i="10" s="1"/>
  <c r="AR252" i="10"/>
  <c r="AR251" i="10"/>
  <c r="AP251" i="10" s="1"/>
  <c r="AR250" i="10"/>
  <c r="AR249" i="10"/>
  <c r="AR248" i="10"/>
  <c r="AP248" i="10" s="1"/>
  <c r="AR247" i="10"/>
  <c r="AR246" i="10"/>
  <c r="AR245" i="10"/>
  <c r="AP245" i="10" s="1"/>
  <c r="AR244" i="10"/>
  <c r="AP244" i="10" s="1"/>
  <c r="AR243" i="10"/>
  <c r="AR242" i="10"/>
  <c r="AP242" i="10" s="1"/>
  <c r="AR241" i="10"/>
  <c r="AP241" i="10" s="1"/>
  <c r="AR240" i="10"/>
  <c r="AR239" i="10"/>
  <c r="AP239" i="10" s="1"/>
  <c r="AR238" i="10"/>
  <c r="AR237" i="10"/>
  <c r="AR236" i="10"/>
  <c r="AP236" i="10" s="1"/>
  <c r="AR235" i="10"/>
  <c r="AP235" i="10" s="1"/>
  <c r="AR234" i="10"/>
  <c r="AR233" i="10"/>
  <c r="AP233" i="10" s="1"/>
  <c r="AR232" i="10"/>
  <c r="AP232" i="10" s="1"/>
  <c r="AR231" i="10"/>
  <c r="AR230" i="10"/>
  <c r="AP230" i="10" s="1"/>
  <c r="AR229" i="10"/>
  <c r="AP229" i="10" s="1"/>
  <c r="AR228" i="10"/>
  <c r="AP228" i="10" s="1"/>
  <c r="AR227" i="10"/>
  <c r="AP227" i="10" s="1"/>
  <c r="AR226" i="10"/>
  <c r="AR225" i="10"/>
  <c r="AR224" i="10"/>
  <c r="AP224" i="10" s="1"/>
  <c r="AR223" i="10"/>
  <c r="AP223" i="10" s="1"/>
  <c r="AR222" i="10"/>
  <c r="AR221" i="10"/>
  <c r="AP221" i="10" s="1"/>
  <c r="AR220" i="10"/>
  <c r="AP220" i="10" s="1"/>
  <c r="AR219" i="10"/>
  <c r="AR218" i="10"/>
  <c r="AP218" i="10" s="1"/>
  <c r="AR217" i="10"/>
  <c r="AP217" i="10" s="1"/>
  <c r="AR216" i="10"/>
  <c r="AP216" i="10" s="1"/>
  <c r="AR215" i="10"/>
  <c r="AP215" i="10" s="1"/>
  <c r="AR214" i="10"/>
  <c r="AR213" i="10"/>
  <c r="AR212" i="10"/>
  <c r="AP212" i="10" s="1"/>
  <c r="AR211" i="10"/>
  <c r="AR210" i="10"/>
  <c r="AR209" i="10"/>
  <c r="AP209" i="10" s="1"/>
  <c r="AR208" i="10"/>
  <c r="AP208" i="10" s="1"/>
  <c r="AR207" i="10"/>
  <c r="AR206" i="10"/>
  <c r="AP206" i="10" s="1"/>
  <c r="AR205" i="10"/>
  <c r="AP205" i="10" s="1"/>
  <c r="AR204" i="10"/>
  <c r="AP204" i="10" s="1"/>
  <c r="AR203" i="10"/>
  <c r="AP203" i="10" s="1"/>
  <c r="AR202" i="10"/>
  <c r="AR201" i="10"/>
  <c r="AR200" i="10"/>
  <c r="AP200" i="10" s="1"/>
  <c r="AR199" i="10"/>
  <c r="AP199" i="10" s="1"/>
  <c r="AR198" i="10"/>
  <c r="AP198" i="10" s="1"/>
  <c r="AR197" i="10"/>
  <c r="AP197" i="10" s="1"/>
  <c r="AR196" i="10"/>
  <c r="AR195" i="10"/>
  <c r="AR194" i="10"/>
  <c r="AP194" i="10" s="1"/>
  <c r="AR193" i="10"/>
  <c r="AP193" i="10" s="1"/>
  <c r="AR192" i="10"/>
  <c r="AR191" i="10"/>
  <c r="AP191" i="10" s="1"/>
  <c r="AR190" i="10"/>
  <c r="AP190" i="10" s="1"/>
  <c r="AR189" i="10"/>
  <c r="AP189" i="10" s="1"/>
  <c r="AR188" i="10"/>
  <c r="AR187" i="10"/>
  <c r="AP187" i="10" s="1"/>
  <c r="AR186" i="10"/>
  <c r="AR185" i="10"/>
  <c r="AR184" i="10"/>
  <c r="AP184" i="10" s="1"/>
  <c r="AR183" i="10"/>
  <c r="AP183" i="10" s="1"/>
  <c r="AR182" i="10"/>
  <c r="AP182" i="10" s="1"/>
  <c r="AR181" i="10"/>
  <c r="AR180" i="10"/>
  <c r="AR179" i="10"/>
  <c r="AP179" i="10" s="1"/>
  <c r="AR178" i="10"/>
  <c r="AR177" i="10"/>
  <c r="AR176" i="10"/>
  <c r="AP176" i="10" s="1"/>
  <c r="AR175" i="10"/>
  <c r="AP175" i="10" s="1"/>
  <c r="AR174" i="10"/>
  <c r="AR173" i="10"/>
  <c r="AR172" i="10"/>
  <c r="AP172" i="10" s="1"/>
  <c r="AR171" i="10"/>
  <c r="AP171" i="10" s="1"/>
  <c r="AR170" i="10"/>
  <c r="AP170" i="10" s="1"/>
  <c r="AR169" i="10"/>
  <c r="AP169" i="10" s="1"/>
  <c r="AR168" i="10"/>
  <c r="AR167" i="10"/>
  <c r="AP167" i="10" s="1"/>
  <c r="AR166" i="10"/>
  <c r="AP166" i="10" s="1"/>
  <c r="AR165" i="10"/>
  <c r="AP165" i="10" s="1"/>
  <c r="AR164" i="10"/>
  <c r="AP164" i="10" s="1"/>
  <c r="AR163" i="10"/>
  <c r="AP163" i="10" s="1"/>
  <c r="AR162" i="10"/>
  <c r="AP162" i="10" s="1"/>
  <c r="AR161" i="10"/>
  <c r="AR160" i="10"/>
  <c r="AP160" i="10" s="1"/>
  <c r="AR159" i="10"/>
  <c r="AR158" i="10"/>
  <c r="AP158" i="10" s="1"/>
  <c r="AR157" i="10"/>
  <c r="AP157" i="10" s="1"/>
  <c r="AR156" i="10"/>
  <c r="AP156" i="10" s="1"/>
  <c r="AR155" i="10"/>
  <c r="AR154" i="10"/>
  <c r="AR153" i="10"/>
  <c r="AR152" i="10"/>
  <c r="AR151" i="10"/>
  <c r="AP151" i="10" s="1"/>
  <c r="AR150" i="10"/>
  <c r="AR149" i="10"/>
  <c r="AP149" i="10" s="1"/>
  <c r="AR148" i="10"/>
  <c r="AP148" i="10" s="1"/>
  <c r="AR147" i="10"/>
  <c r="AR146" i="10"/>
  <c r="AP146" i="10" s="1"/>
  <c r="AR145" i="10"/>
  <c r="AP145" i="10" s="1"/>
  <c r="AR144" i="10"/>
  <c r="AP144" i="10" s="1"/>
  <c r="AR143" i="10"/>
  <c r="AR142" i="10"/>
  <c r="AR141" i="10"/>
  <c r="AP141" i="10" s="1"/>
  <c r="AR140" i="10"/>
  <c r="AP140" i="10" s="1"/>
  <c r="AR139" i="10"/>
  <c r="AP139" i="10" s="1"/>
  <c r="AR138" i="10"/>
  <c r="AR137" i="10"/>
  <c r="AP137" i="10" s="1"/>
  <c r="AR136" i="10"/>
  <c r="AP136" i="10" s="1"/>
  <c r="AR135" i="10"/>
  <c r="AR134" i="10"/>
  <c r="AR133" i="10"/>
  <c r="AP133" i="10" s="1"/>
  <c r="AR132" i="10"/>
  <c r="AP132" i="10" s="1"/>
  <c r="AR131" i="10"/>
  <c r="AP131" i="10" s="1"/>
  <c r="AR130" i="10"/>
  <c r="AR129" i="10"/>
  <c r="AR128" i="10"/>
  <c r="AR127" i="10"/>
  <c r="AP127" i="10" s="1"/>
  <c r="AR126" i="10"/>
  <c r="AR125" i="10"/>
  <c r="AP125" i="10" s="1"/>
  <c r="AR124" i="10"/>
  <c r="AP124" i="10" s="1"/>
  <c r="AR123" i="10"/>
  <c r="AR122" i="10"/>
  <c r="AP122" i="10" s="1"/>
  <c r="AR121" i="10"/>
  <c r="AP121" i="10" s="1"/>
  <c r="AR120" i="10"/>
  <c r="AR119" i="10"/>
  <c r="AP119" i="10" s="1"/>
  <c r="AR118" i="10"/>
  <c r="AP118" i="10" s="1"/>
  <c r="AR117" i="10"/>
  <c r="AR116" i="10"/>
  <c r="AP116" i="10" s="1"/>
  <c r="AR115" i="10"/>
  <c r="AP115" i="10" s="1"/>
  <c r="AR114" i="10"/>
  <c r="AR113" i="10"/>
  <c r="AP113" i="10" s="1"/>
  <c r="AR112" i="10"/>
  <c r="AP112" i="10" s="1"/>
  <c r="AR111" i="10"/>
  <c r="AP111" i="10" s="1"/>
  <c r="AR110" i="10"/>
  <c r="AP110" i="10" s="1"/>
  <c r="AR109" i="10"/>
  <c r="AP109" i="10" s="1"/>
  <c r="AR108" i="10"/>
  <c r="AP108" i="10" s="1"/>
  <c r="AR107" i="10"/>
  <c r="AP107" i="10" s="1"/>
  <c r="AR106" i="10"/>
  <c r="AR105" i="10"/>
  <c r="AP105" i="10" s="1"/>
  <c r="AR104" i="10"/>
  <c r="AP104" i="10" s="1"/>
  <c r="AR103" i="10"/>
  <c r="AP103" i="10" s="1"/>
  <c r="AR102" i="10"/>
  <c r="AR101" i="10"/>
  <c r="AR100" i="10"/>
  <c r="AP100" i="10" s="1"/>
  <c r="AR99" i="10"/>
  <c r="AP99" i="10" s="1"/>
  <c r="AR98" i="10"/>
  <c r="AP98" i="10" s="1"/>
  <c r="AR97" i="10"/>
  <c r="AR96" i="10"/>
  <c r="AP96" i="10" s="1"/>
  <c r="AR95" i="10"/>
  <c r="AP95" i="10" s="1"/>
  <c r="AR94" i="10"/>
  <c r="AP94" i="10" s="1"/>
  <c r="AR93" i="10"/>
  <c r="AP93" i="10" s="1"/>
  <c r="AR92" i="10"/>
  <c r="AP92" i="10" s="1"/>
  <c r="AR91" i="10"/>
  <c r="AP91" i="10" s="1"/>
  <c r="AR90" i="10"/>
  <c r="AR89" i="10"/>
  <c r="AR88" i="10"/>
  <c r="AP88" i="10" s="1"/>
  <c r="AR87" i="10"/>
  <c r="AR86" i="10"/>
  <c r="AP86" i="10" s="1"/>
  <c r="AR85" i="10"/>
  <c r="AP85" i="10" s="1"/>
  <c r="AR84" i="10"/>
  <c r="AP84" i="10" s="1"/>
  <c r="AR83" i="10"/>
  <c r="AP83" i="10" s="1"/>
  <c r="AR82" i="10"/>
  <c r="AR81" i="10"/>
  <c r="AP81" i="10" s="1"/>
  <c r="AR80" i="10"/>
  <c r="AR79" i="10"/>
  <c r="AP79" i="10" s="1"/>
  <c r="AR78" i="10"/>
  <c r="AP78" i="10" s="1"/>
  <c r="AR77" i="10"/>
  <c r="AP77" i="10" s="1"/>
  <c r="AR76" i="10"/>
  <c r="AP76" i="10" s="1"/>
  <c r="AR75" i="10"/>
  <c r="AR74" i="10"/>
  <c r="AP74" i="10" s="1"/>
  <c r="AR73" i="10"/>
  <c r="AP73" i="10" s="1"/>
  <c r="AR72" i="10"/>
  <c r="AP72" i="10" s="1"/>
  <c r="AR71" i="10"/>
  <c r="AP71" i="10" s="1"/>
  <c r="AR70" i="10"/>
  <c r="AP70" i="10" s="1"/>
  <c r="AR69" i="10"/>
  <c r="AP69" i="10" s="1"/>
  <c r="AR68" i="10"/>
  <c r="AR67" i="10"/>
  <c r="AP67" i="10" s="1"/>
  <c r="AR66" i="10"/>
  <c r="AR65" i="10"/>
  <c r="AP65" i="10" s="1"/>
  <c r="AR64" i="10"/>
  <c r="AP64" i="10" s="1"/>
  <c r="AR63" i="10"/>
  <c r="AP63" i="10" s="1"/>
  <c r="AR62" i="10"/>
  <c r="AP62" i="10" s="1"/>
  <c r="AR61" i="10"/>
  <c r="AP61" i="10" s="1"/>
  <c r="AR60" i="10"/>
  <c r="AP60" i="10" s="1"/>
  <c r="AR59" i="10"/>
  <c r="AP59" i="10" s="1"/>
  <c r="AR58" i="10"/>
  <c r="AR57" i="10"/>
  <c r="AP57" i="10" s="1"/>
  <c r="AR56" i="10"/>
  <c r="AP56" i="10" s="1"/>
  <c r="AR55" i="10"/>
  <c r="AP55" i="10" s="1"/>
  <c r="AR54" i="10"/>
  <c r="AR53" i="10"/>
  <c r="AP53" i="10" s="1"/>
  <c r="AR52" i="10"/>
  <c r="AP52" i="10" s="1"/>
  <c r="AR51" i="10"/>
  <c r="AR50" i="10"/>
  <c r="AP50" i="10" s="1"/>
  <c r="AR49" i="10"/>
  <c r="AP49" i="10" s="1"/>
  <c r="AR48" i="10"/>
  <c r="AP48" i="10" s="1"/>
  <c r="AR47" i="10"/>
  <c r="AR46" i="10"/>
  <c r="AP46" i="10" s="1"/>
  <c r="AR45" i="10"/>
  <c r="AR44" i="10"/>
  <c r="AR43" i="10"/>
  <c r="AP43" i="10" s="1"/>
  <c r="AR42" i="10"/>
  <c r="AR41" i="10"/>
  <c r="AR40" i="10"/>
  <c r="AP40" i="10" s="1"/>
  <c r="AR39" i="10"/>
  <c r="AR38" i="10"/>
  <c r="AP38" i="10" s="1"/>
  <c r="AR37" i="10"/>
  <c r="AR36" i="10"/>
  <c r="AR35" i="10"/>
  <c r="AP35" i="10" s="1"/>
  <c r="AR34" i="10"/>
  <c r="AP34" i="10" s="1"/>
  <c r="AR33" i="10"/>
  <c r="AR32" i="10"/>
  <c r="AP32" i="10" s="1"/>
  <c r="AR31" i="10"/>
  <c r="AP31" i="10" s="1"/>
  <c r="AR30" i="10"/>
  <c r="AR29" i="10"/>
  <c r="AP29" i="10" s="1"/>
  <c r="AR28" i="10"/>
  <c r="AP28" i="10" s="1"/>
  <c r="AR27" i="10"/>
  <c r="AR26" i="10"/>
  <c r="AP26" i="10" s="1"/>
  <c r="AR25" i="10"/>
  <c r="AP25" i="10" s="1"/>
  <c r="AR24" i="10"/>
  <c r="AP24" i="10" s="1"/>
  <c r="AR23" i="10"/>
  <c r="AP23" i="10" s="1"/>
  <c r="AR22" i="10"/>
  <c r="AP22" i="10" s="1"/>
  <c r="AR21" i="10"/>
  <c r="AR20" i="10"/>
  <c r="AR19" i="10"/>
  <c r="AP19" i="10" s="1"/>
  <c r="AR18" i="10"/>
  <c r="AP18" i="10" s="1"/>
  <c r="AR17" i="10"/>
  <c r="AP17" i="10" s="1"/>
  <c r="AR16" i="10"/>
  <c r="AR15" i="10"/>
  <c r="AP15" i="10" s="1"/>
  <c r="AR14" i="10"/>
  <c r="AR13" i="10"/>
  <c r="AP13" i="10" s="1"/>
  <c r="AR12" i="10"/>
  <c r="AR11" i="10"/>
  <c r="AP11" i="10" s="1"/>
  <c r="AR10" i="10"/>
  <c r="AR9" i="10"/>
  <c r="AR7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4" i="10"/>
  <c r="AJ283" i="10"/>
  <c r="AJ282" i="10"/>
  <c r="AJ281" i="10"/>
  <c r="AJ279" i="10"/>
  <c r="AJ278" i="10"/>
  <c r="AJ277" i="10"/>
  <c r="AJ276" i="10"/>
  <c r="AJ274" i="10"/>
  <c r="AJ273" i="10"/>
  <c r="AJ272" i="10"/>
  <c r="AJ271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3" i="10"/>
  <c r="AJ252" i="10"/>
  <c r="AJ251" i="10"/>
  <c r="AJ250" i="10"/>
  <c r="AJ249" i="10"/>
  <c r="AJ248" i="10"/>
  <c r="AJ247" i="10"/>
  <c r="AJ246" i="10"/>
  <c r="AJ244" i="10"/>
  <c r="AJ243" i="10"/>
  <c r="AJ239" i="10"/>
  <c r="AJ238" i="10"/>
  <c r="AJ236" i="10"/>
  <c r="AJ234" i="10"/>
  <c r="AJ230" i="10"/>
  <c r="AJ229" i="10"/>
  <c r="AJ228" i="10"/>
  <c r="AJ227" i="10"/>
  <c r="AJ226" i="10"/>
  <c r="AJ225" i="10"/>
  <c r="AJ223" i="10"/>
  <c r="AJ221" i="10"/>
  <c r="AJ220" i="10"/>
  <c r="AJ219" i="10"/>
  <c r="AJ218" i="10"/>
  <c r="AJ217" i="10"/>
  <c r="AJ215" i="10"/>
  <c r="AJ213" i="10"/>
  <c r="AJ212" i="10"/>
  <c r="AJ211" i="10"/>
  <c r="AJ209" i="10"/>
  <c r="AJ208" i="10"/>
  <c r="AJ207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6" i="10"/>
  <c r="AJ185" i="10"/>
  <c r="AJ184" i="10"/>
  <c r="AJ183" i="10"/>
  <c r="AJ182" i="10"/>
  <c r="AJ181" i="10"/>
  <c r="AJ179" i="10"/>
  <c r="AJ178" i="10"/>
  <c r="AJ177" i="10"/>
  <c r="AJ176" i="10"/>
  <c r="AJ175" i="10"/>
  <c r="AJ174" i="10"/>
  <c r="AJ173" i="10"/>
  <c r="AJ171" i="10"/>
  <c r="AJ170" i="10"/>
  <c r="AJ167" i="10"/>
  <c r="AJ166" i="10"/>
  <c r="AJ165" i="10"/>
  <c r="AJ164" i="10"/>
  <c r="AJ163" i="10"/>
  <c r="AJ162" i="10"/>
  <c r="AJ161" i="10"/>
  <c r="AJ160" i="10"/>
  <c r="AJ158" i="10"/>
  <c r="AJ157" i="10"/>
  <c r="AJ156" i="10"/>
  <c r="AJ155" i="10"/>
  <c r="AJ153" i="10"/>
  <c r="AJ152" i="10"/>
  <c r="AJ151" i="10"/>
  <c r="AJ150" i="10"/>
  <c r="AJ149" i="10"/>
  <c r="AJ148" i="10"/>
  <c r="AJ147" i="10"/>
  <c r="AJ146" i="10"/>
  <c r="AJ145" i="10"/>
  <c r="AJ144" i="10"/>
  <c r="AJ142" i="10"/>
  <c r="AJ141" i="10"/>
  <c r="AJ140" i="10"/>
  <c r="AJ139" i="10"/>
  <c r="AJ138" i="10"/>
  <c r="AJ137" i="10"/>
  <c r="AJ136" i="10"/>
  <c r="AJ135" i="10"/>
  <c r="AJ133" i="10"/>
  <c r="AJ132" i="10"/>
  <c r="AJ131" i="10"/>
  <c r="AJ129" i="10"/>
  <c r="AJ127" i="10"/>
  <c r="AJ126" i="10"/>
  <c r="AJ125" i="10"/>
  <c r="AJ124" i="10"/>
  <c r="AJ123" i="10"/>
  <c r="AJ122" i="10"/>
  <c r="AJ121" i="10"/>
  <c r="AJ120" i="10"/>
  <c r="AJ119" i="10"/>
  <c r="AJ117" i="10"/>
  <c r="AJ116" i="10"/>
  <c r="AJ115" i="10"/>
  <c r="AJ114" i="10"/>
  <c r="AJ113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7" i="10"/>
  <c r="AJ96" i="10"/>
  <c r="AJ95" i="10"/>
  <c r="AJ94" i="10"/>
  <c r="AJ92" i="10"/>
  <c r="AJ91" i="10"/>
  <c r="AJ90" i="10"/>
  <c r="AJ86" i="10"/>
  <c r="AJ83" i="10"/>
  <c r="AJ81" i="10"/>
  <c r="AJ80" i="10"/>
  <c r="AJ79" i="10"/>
  <c r="AJ78" i="10"/>
  <c r="AJ77" i="10"/>
  <c r="AJ76" i="10"/>
  <c r="AJ75" i="10"/>
  <c r="AJ73" i="10"/>
  <c r="AJ72" i="10"/>
  <c r="AJ71" i="10"/>
  <c r="AJ70" i="10"/>
  <c r="AJ69" i="10"/>
  <c r="AJ68" i="10"/>
  <c r="AJ67" i="10"/>
  <c r="AJ66" i="10"/>
  <c r="AJ64" i="10"/>
  <c r="AJ63" i="10"/>
  <c r="AJ62" i="10"/>
  <c r="AJ61" i="10"/>
  <c r="AJ60" i="10"/>
  <c r="AJ59" i="10"/>
  <c r="AJ58" i="10"/>
  <c r="AJ57" i="10"/>
  <c r="AJ56" i="10"/>
  <c r="AJ54" i="10"/>
  <c r="AJ53" i="10"/>
  <c r="AJ52" i="10"/>
  <c r="AJ51" i="10"/>
  <c r="AJ50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4" i="10"/>
  <c r="AJ33" i="10"/>
  <c r="AJ32" i="10"/>
  <c r="AJ31" i="10"/>
  <c r="AJ30" i="10"/>
  <c r="AJ29" i="10"/>
  <c r="AJ28" i="10"/>
  <c r="AJ27" i="10"/>
  <c r="AJ26" i="10"/>
  <c r="AJ25" i="10"/>
  <c r="AJ23" i="10"/>
  <c r="AJ22" i="10"/>
  <c r="AJ21" i="10"/>
  <c r="AJ20" i="10"/>
  <c r="AJ17" i="10"/>
  <c r="AJ16" i="10"/>
  <c r="AJ15" i="10"/>
  <c r="AJ14" i="10"/>
  <c r="AJ13" i="10"/>
  <c r="AJ12" i="10"/>
  <c r="AJ11" i="10"/>
  <c r="AJ10" i="10"/>
  <c r="AJ9" i="10"/>
  <c r="AJ8" i="10"/>
  <c r="AJ7" i="10"/>
  <c r="AP89" i="10" l="1"/>
  <c r="AL198" i="10"/>
  <c r="AS198" i="10" s="1"/>
  <c r="AL78" i="10"/>
  <c r="AS78" i="10" s="1"/>
  <c r="AL183" i="10"/>
  <c r="AS183" i="10" s="1"/>
  <c r="AL208" i="10"/>
  <c r="AS208" i="10" s="1"/>
  <c r="AL61" i="10"/>
  <c r="AS61" i="10" s="1"/>
  <c r="AL133" i="10"/>
  <c r="AS133" i="10" s="1"/>
  <c r="AL157" i="10"/>
  <c r="AS157" i="10" s="1"/>
  <c r="AL205" i="10"/>
  <c r="AS205" i="10" s="1"/>
  <c r="AL229" i="10"/>
  <c r="AS229" i="10" s="1"/>
  <c r="AL253" i="10"/>
  <c r="AS253" i="10" s="1"/>
  <c r="AL277" i="10"/>
  <c r="AS277" i="10" s="1"/>
  <c r="AL184" i="10"/>
  <c r="AS184" i="10" s="1"/>
  <c r="AL171" i="10"/>
  <c r="AS171" i="10" s="1"/>
  <c r="AL259" i="10"/>
  <c r="AS259" i="10" s="1"/>
  <c r="AL109" i="10"/>
  <c r="AS109" i="10" s="1"/>
  <c r="AL251" i="10"/>
  <c r="AS251" i="10" s="1"/>
  <c r="AL64" i="10"/>
  <c r="AS64" i="10" s="1"/>
  <c r="AL244" i="10"/>
  <c r="AS244" i="10" s="1"/>
  <c r="AL132" i="10"/>
  <c r="AS132" i="10" s="1"/>
  <c r="AL156" i="10"/>
  <c r="AS156" i="10" s="1"/>
  <c r="AP211" i="10"/>
  <c r="AL211" i="10" s="1"/>
  <c r="AS211" i="10" s="1"/>
  <c r="AL13" i="10"/>
  <c r="AS13" i="10" s="1"/>
  <c r="AL125" i="10"/>
  <c r="AS125" i="10" s="1"/>
  <c r="AL52" i="10"/>
  <c r="AS52" i="10" s="1"/>
  <c r="AL170" i="10"/>
  <c r="AS170" i="10" s="1"/>
  <c r="AL100" i="10"/>
  <c r="AS100" i="10" s="1"/>
  <c r="AL158" i="10"/>
  <c r="AS158" i="10" s="1"/>
  <c r="AL278" i="10"/>
  <c r="AS278" i="10" s="1"/>
  <c r="AL86" i="10"/>
  <c r="AS86" i="10" s="1"/>
  <c r="AL146" i="10"/>
  <c r="AS146" i="10" s="1"/>
  <c r="AL175" i="10"/>
  <c r="AS175" i="10" s="1"/>
  <c r="AL293" i="10"/>
  <c r="AS293" i="10" s="1"/>
  <c r="AL108" i="10"/>
  <c r="AS108" i="10" s="1"/>
  <c r="AL182" i="10"/>
  <c r="AS182" i="10" s="1"/>
  <c r="AL266" i="10"/>
  <c r="AS266" i="10" s="1"/>
  <c r="AP101" i="10"/>
  <c r="AL101" i="10" s="1"/>
  <c r="AS101" i="10" s="1"/>
  <c r="AP271" i="10"/>
  <c r="AL271" i="10" s="1"/>
  <c r="AS271" i="10" s="1"/>
  <c r="AL76" i="10"/>
  <c r="AS76" i="10" s="1"/>
  <c r="AL50" i="10"/>
  <c r="AS50" i="10" s="1"/>
  <c r="AL124" i="10"/>
  <c r="AS124" i="10" s="1"/>
  <c r="AL113" i="10"/>
  <c r="AS113" i="10" s="1"/>
  <c r="AL199" i="10"/>
  <c r="AS199" i="10" s="1"/>
  <c r="AL148" i="10"/>
  <c r="AS148" i="10" s="1"/>
  <c r="AP161" i="10"/>
  <c r="AL161" i="10" s="1"/>
  <c r="AS161" i="10" s="1"/>
  <c r="AL223" i="10"/>
  <c r="AS223" i="10" s="1"/>
  <c r="AL110" i="10"/>
  <c r="AS110" i="10" s="1"/>
  <c r="AL40" i="10"/>
  <c r="AS40" i="10" s="1"/>
  <c r="AL228" i="10"/>
  <c r="AS228" i="10" s="1"/>
  <c r="AL28" i="10"/>
  <c r="AS28" i="10" s="1"/>
  <c r="AL149" i="10"/>
  <c r="AS149" i="10" s="1"/>
  <c r="AL163" i="10"/>
  <c r="AS163" i="10" s="1"/>
  <c r="AL220" i="10"/>
  <c r="AS220" i="10" s="1"/>
  <c r="AL268" i="10"/>
  <c r="AS268" i="10" s="1"/>
  <c r="AL283" i="10"/>
  <c r="AS283" i="10" s="1"/>
  <c r="AP247" i="10"/>
  <c r="AL247" i="10" s="1"/>
  <c r="AS247" i="10" s="1"/>
  <c r="AL62" i="10"/>
  <c r="AS62" i="10" s="1"/>
  <c r="AL38" i="10"/>
  <c r="AS38" i="10" s="1"/>
  <c r="AL26" i="10"/>
  <c r="AS26" i="10" s="1"/>
  <c r="AL122" i="10"/>
  <c r="AS122" i="10" s="1"/>
  <c r="AL137" i="10"/>
  <c r="AS137" i="10" s="1"/>
  <c r="AL274" i="10"/>
  <c r="AS274" i="10" s="1"/>
  <c r="AP289" i="10"/>
  <c r="AL289" i="10" s="1"/>
  <c r="AS289" i="10" s="1"/>
  <c r="AP33" i="10"/>
  <c r="AL33" i="10" s="1"/>
  <c r="AS33" i="10" s="1"/>
  <c r="AP45" i="10"/>
  <c r="AL45" i="10" s="1"/>
  <c r="AS45" i="10" s="1"/>
  <c r="AP153" i="10"/>
  <c r="AL153" i="10" s="1"/>
  <c r="AS153" i="10" s="1"/>
  <c r="AP177" i="10"/>
  <c r="AL177" i="10" s="1"/>
  <c r="AS177" i="10" s="1"/>
  <c r="AP201" i="10"/>
  <c r="AL201" i="10" s="1"/>
  <c r="AS201" i="10" s="1"/>
  <c r="AP202" i="10"/>
  <c r="AL202" i="10" s="1"/>
  <c r="AS202" i="10" s="1"/>
  <c r="AP130" i="10"/>
  <c r="AP117" i="10"/>
  <c r="AL117" i="10" s="1"/>
  <c r="AS117" i="10" s="1"/>
  <c r="AP129" i="10"/>
  <c r="AL129" i="10" s="1"/>
  <c r="AS129" i="10" s="1"/>
  <c r="AP213" i="10"/>
  <c r="AL213" i="10" s="1"/>
  <c r="AS213" i="10" s="1"/>
  <c r="AP178" i="10"/>
  <c r="AL178" i="10" s="1"/>
  <c r="AS178" i="10" s="1"/>
  <c r="AP154" i="10"/>
  <c r="AP225" i="10"/>
  <c r="AL225" i="10" s="1"/>
  <c r="AS225" i="10" s="1"/>
  <c r="AP237" i="10"/>
  <c r="AP214" i="10"/>
  <c r="AL15" i="10"/>
  <c r="AS15" i="10" s="1"/>
  <c r="AL160" i="10"/>
  <c r="AS160" i="10" s="1"/>
  <c r="AP168" i="10"/>
  <c r="AP180" i="10"/>
  <c r="AP192" i="10"/>
  <c r="AL192" i="10" s="1"/>
  <c r="AS192" i="10" s="1"/>
  <c r="AP252" i="10"/>
  <c r="AL252" i="10" s="1"/>
  <c r="AS252" i="10" s="1"/>
  <c r="AP273" i="10"/>
  <c r="AL273" i="10" s="1"/>
  <c r="AS273" i="10" s="1"/>
  <c r="AP159" i="10"/>
  <c r="AP219" i="10"/>
  <c r="AL219" i="10" s="1"/>
  <c r="AS219" i="10" s="1"/>
  <c r="AL99" i="10"/>
  <c r="AS99" i="10" s="1"/>
  <c r="AP120" i="10"/>
  <c r="AL120" i="10" s="1"/>
  <c r="AS120" i="10" s="1"/>
  <c r="AP142" i="10"/>
  <c r="AL142" i="10" s="1"/>
  <c r="AS142" i="10" s="1"/>
  <c r="AL267" i="10"/>
  <c r="AS267" i="10" s="1"/>
  <c r="AP147" i="10"/>
  <c r="AL147" i="10" s="1"/>
  <c r="AS147" i="10" s="1"/>
  <c r="AP207" i="10"/>
  <c r="AL207" i="10" s="1"/>
  <c r="AS207" i="10" s="1"/>
  <c r="AL282" i="10"/>
  <c r="AS282" i="10" s="1"/>
  <c r="AP21" i="10"/>
  <c r="AL21" i="10" s="1"/>
  <c r="AS21" i="10" s="1"/>
  <c r="AP195" i="10"/>
  <c r="AL195" i="10" s="1"/>
  <c r="AS195" i="10" s="1"/>
  <c r="AP42" i="10"/>
  <c r="AL42" i="10" s="1"/>
  <c r="AS42" i="10" s="1"/>
  <c r="AP66" i="10"/>
  <c r="AL66" i="10" s="1"/>
  <c r="AS66" i="10" s="1"/>
  <c r="AP126" i="10"/>
  <c r="AL126" i="10" s="1"/>
  <c r="AS126" i="10" s="1"/>
  <c r="AP186" i="10"/>
  <c r="AL186" i="10" s="1"/>
  <c r="AS186" i="10" s="1"/>
  <c r="AP210" i="10"/>
  <c r="AP246" i="10"/>
  <c r="AL246" i="10" s="1"/>
  <c r="AS246" i="10" s="1"/>
  <c r="AP285" i="10"/>
  <c r="AP87" i="10"/>
  <c r="AP123" i="10"/>
  <c r="AL123" i="10" s="1"/>
  <c r="AS123" i="10" s="1"/>
  <c r="AP231" i="10"/>
  <c r="AP255" i="10"/>
  <c r="AL255" i="10" s="1"/>
  <c r="AS255" i="10" s="1"/>
  <c r="AP279" i="10"/>
  <c r="AL279" i="10" s="1"/>
  <c r="AS279" i="10" s="1"/>
  <c r="AL230" i="10"/>
  <c r="AS230" i="10" s="1"/>
  <c r="AP30" i="10"/>
  <c r="AL30" i="10" s="1"/>
  <c r="AS30" i="10" s="1"/>
  <c r="AP54" i="10"/>
  <c r="AL54" i="10" s="1"/>
  <c r="AS54" i="10" s="1"/>
  <c r="AP102" i="10"/>
  <c r="AL102" i="10" s="1"/>
  <c r="AS102" i="10" s="1"/>
  <c r="AP138" i="10"/>
  <c r="AL138" i="10" s="1"/>
  <c r="AS138" i="10" s="1"/>
  <c r="AP150" i="10"/>
  <c r="AL150" i="10" s="1"/>
  <c r="AS150" i="10" s="1"/>
  <c r="AP174" i="10"/>
  <c r="AL174" i="10" s="1"/>
  <c r="AS174" i="10" s="1"/>
  <c r="AP222" i="10"/>
  <c r="AP234" i="10"/>
  <c r="AL234" i="10" s="1"/>
  <c r="AS234" i="10" s="1"/>
  <c r="AP258" i="10"/>
  <c r="AL258" i="10" s="1"/>
  <c r="AS258" i="10" s="1"/>
  <c r="AP294" i="10"/>
  <c r="AL294" i="10" s="1"/>
  <c r="AS294" i="10" s="1"/>
  <c r="AL218" i="10"/>
  <c r="AS218" i="10" s="1"/>
  <c r="AP10" i="10"/>
  <c r="AL10" i="10" s="1"/>
  <c r="AS10" i="10" s="1"/>
  <c r="AP58" i="10"/>
  <c r="AL58" i="10" s="1"/>
  <c r="AS58" i="10" s="1"/>
  <c r="AP82" i="10"/>
  <c r="AP264" i="10"/>
  <c r="AL264" i="10" s="1"/>
  <c r="AS264" i="10" s="1"/>
  <c r="AL136" i="10"/>
  <c r="AS136" i="10" s="1"/>
  <c r="AL292" i="10"/>
  <c r="AS292" i="10" s="1"/>
  <c r="AP27" i="10"/>
  <c r="AL27" i="10" s="1"/>
  <c r="AS27" i="10" s="1"/>
  <c r="AP75" i="10"/>
  <c r="AL75" i="10" s="1"/>
  <c r="AS75" i="10" s="1"/>
  <c r="AP135" i="10"/>
  <c r="AL135" i="10" s="1"/>
  <c r="AS135" i="10" s="1"/>
  <c r="AP243" i="10"/>
  <c r="AL243" i="10" s="1"/>
  <c r="AS243" i="10" s="1"/>
  <c r="AL63" i="10"/>
  <c r="AS63" i="10" s="1"/>
  <c r="AL194" i="10"/>
  <c r="AS194" i="10" s="1"/>
  <c r="AP7" i="10"/>
  <c r="AL7" i="10" s="1"/>
  <c r="AS7" i="10" s="1"/>
  <c r="AP20" i="10"/>
  <c r="AL20" i="10" s="1"/>
  <c r="AS20" i="10" s="1"/>
  <c r="AP44" i="10"/>
  <c r="AL44" i="10" s="1"/>
  <c r="AS44" i="10" s="1"/>
  <c r="AP68" i="10"/>
  <c r="AL68" i="10" s="1"/>
  <c r="AS68" i="10" s="1"/>
  <c r="AP80" i="10"/>
  <c r="AL80" i="10" s="1"/>
  <c r="AS80" i="10" s="1"/>
  <c r="AP128" i="10"/>
  <c r="AP152" i="10"/>
  <c r="AL152" i="10" s="1"/>
  <c r="AS152" i="10" s="1"/>
  <c r="AP272" i="10"/>
  <c r="AL272" i="10" s="1"/>
  <c r="AS272" i="10" s="1"/>
  <c r="AP284" i="10"/>
  <c r="AL284" i="10" s="1"/>
  <c r="AS284" i="10" s="1"/>
  <c r="AP12" i="10"/>
  <c r="AL12" i="10" s="1"/>
  <c r="AS12" i="10" s="1"/>
  <c r="AP36" i="10"/>
  <c r="AL36" i="10" s="1"/>
  <c r="AS36" i="10" s="1"/>
  <c r="AP291" i="10"/>
  <c r="AL291" i="10" s="1"/>
  <c r="AS291" i="10" s="1"/>
  <c r="AL17" i="10"/>
  <c r="AS17" i="10" s="1"/>
  <c r="AL29" i="10"/>
  <c r="AS29" i="10" s="1"/>
  <c r="AL53" i="10"/>
  <c r="AS53" i="10" s="1"/>
  <c r="AL77" i="10"/>
  <c r="AS77" i="10" s="1"/>
  <c r="AL197" i="10"/>
  <c r="AS197" i="10" s="1"/>
  <c r="AL209" i="10"/>
  <c r="AS209" i="10" s="1"/>
  <c r="AL221" i="10"/>
  <c r="AS221" i="10" s="1"/>
  <c r="AL257" i="10"/>
  <c r="AS257" i="10" s="1"/>
  <c r="AL269" i="10"/>
  <c r="AS269" i="10" s="1"/>
  <c r="AL281" i="10"/>
  <c r="AS281" i="10" s="1"/>
  <c r="AP14" i="10"/>
  <c r="AL14" i="10" s="1"/>
  <c r="AS14" i="10" s="1"/>
  <c r="AP196" i="10"/>
  <c r="AL196" i="10" s="1"/>
  <c r="AS196" i="10" s="1"/>
  <c r="AL43" i="10"/>
  <c r="AS43" i="10" s="1"/>
  <c r="AL67" i="10"/>
  <c r="AS67" i="10" s="1"/>
  <c r="AL79" i="10"/>
  <c r="AS79" i="10" s="1"/>
  <c r="AL91" i="10"/>
  <c r="AS91" i="10" s="1"/>
  <c r="AL103" i="10"/>
  <c r="AS103" i="10" s="1"/>
  <c r="AL115" i="10"/>
  <c r="AS115" i="10" s="1"/>
  <c r="AL127" i="10"/>
  <c r="AS127" i="10" s="1"/>
  <c r="AL139" i="10"/>
  <c r="AS139" i="10" s="1"/>
  <c r="AL151" i="10"/>
  <c r="AS151" i="10" s="1"/>
  <c r="AL295" i="10"/>
  <c r="AS295" i="10" s="1"/>
  <c r="AP16" i="10"/>
  <c r="AL16" i="10" s="1"/>
  <c r="AS16" i="10" s="1"/>
  <c r="AL31" i="10"/>
  <c r="AS31" i="10" s="1"/>
  <c r="AL8" i="10"/>
  <c r="AS8" i="10" s="1"/>
  <c r="AL32" i="10"/>
  <c r="AS32" i="10" s="1"/>
  <c r="AL56" i="10"/>
  <c r="AS56" i="10" s="1"/>
  <c r="AL92" i="10"/>
  <c r="AS92" i="10" s="1"/>
  <c r="AL104" i="10"/>
  <c r="AS104" i="10" s="1"/>
  <c r="AL116" i="10"/>
  <c r="AS116" i="10" s="1"/>
  <c r="AL140" i="10"/>
  <c r="AS140" i="10" s="1"/>
  <c r="AL164" i="10"/>
  <c r="AS164" i="10" s="1"/>
  <c r="AL176" i="10"/>
  <c r="AS176" i="10" s="1"/>
  <c r="AL200" i="10"/>
  <c r="AS200" i="10" s="1"/>
  <c r="AL212" i="10"/>
  <c r="AS212" i="10" s="1"/>
  <c r="AL236" i="10"/>
  <c r="AS236" i="10" s="1"/>
  <c r="AL248" i="10"/>
  <c r="AS248" i="10" s="1"/>
  <c r="AL296" i="10"/>
  <c r="AS296" i="10" s="1"/>
  <c r="AP262" i="10"/>
  <c r="AL262" i="10" s="1"/>
  <c r="AS262" i="10" s="1"/>
  <c r="AP226" i="10"/>
  <c r="AL226" i="10" s="1"/>
  <c r="AS226" i="10" s="1"/>
  <c r="AP238" i="10"/>
  <c r="AL238" i="10" s="1"/>
  <c r="AS238" i="10" s="1"/>
  <c r="AP250" i="10"/>
  <c r="AL250" i="10" s="1"/>
  <c r="AS250" i="10" s="1"/>
  <c r="AP263" i="10"/>
  <c r="AL263" i="10" s="1"/>
  <c r="AS263" i="10" s="1"/>
  <c r="AL73" i="10"/>
  <c r="AS73" i="10" s="1"/>
  <c r="AL121" i="10"/>
  <c r="AS121" i="10" s="1"/>
  <c r="AL145" i="10"/>
  <c r="AS145" i="10" s="1"/>
  <c r="AL193" i="10"/>
  <c r="AS193" i="10" s="1"/>
  <c r="AL217" i="10"/>
  <c r="AS217" i="10" s="1"/>
  <c r="AP47" i="10"/>
  <c r="AL47" i="10" s="1"/>
  <c r="AS47" i="10" s="1"/>
  <c r="AP143" i="10"/>
  <c r="AP155" i="10"/>
  <c r="AL155" i="10" s="1"/>
  <c r="AS155" i="10" s="1"/>
  <c r="AP265" i="10"/>
  <c r="AL265" i="10" s="1"/>
  <c r="AS265" i="10" s="1"/>
  <c r="AL260" i="10"/>
  <c r="AS260" i="10" s="1"/>
  <c r="AL162" i="10"/>
  <c r="AS162" i="10" s="1"/>
  <c r="AL204" i="10"/>
  <c r="AS204" i="10" s="1"/>
  <c r="AL25" i="10"/>
  <c r="AS25" i="10" s="1"/>
  <c r="AL60" i="10"/>
  <c r="AS60" i="10" s="1"/>
  <c r="AL69" i="10"/>
  <c r="AS69" i="10" s="1"/>
  <c r="AL105" i="10"/>
  <c r="AS105" i="10" s="1"/>
  <c r="AL165" i="10"/>
  <c r="AS165" i="10" s="1"/>
  <c r="AL22" i="10"/>
  <c r="AS22" i="10" s="1"/>
  <c r="AL34" i="10"/>
  <c r="AS34" i="10" s="1"/>
  <c r="AL46" i="10"/>
  <c r="AS46" i="10" s="1"/>
  <c r="AL70" i="10"/>
  <c r="AS70" i="10" s="1"/>
  <c r="AL94" i="10"/>
  <c r="AS94" i="10" s="1"/>
  <c r="AL166" i="10"/>
  <c r="AS166" i="10" s="1"/>
  <c r="AL190" i="10"/>
  <c r="AS190" i="10" s="1"/>
  <c r="AL286" i="10"/>
  <c r="AS286" i="10" s="1"/>
  <c r="AL298" i="10"/>
  <c r="AS298" i="10" s="1"/>
  <c r="AL81" i="10"/>
  <c r="AS81" i="10" s="1"/>
  <c r="AL189" i="10"/>
  <c r="AS189" i="10" s="1"/>
  <c r="AL261" i="10"/>
  <c r="AS261" i="10" s="1"/>
  <c r="AL297" i="10"/>
  <c r="AS297" i="10" s="1"/>
  <c r="AL11" i="10"/>
  <c r="AS11" i="10" s="1"/>
  <c r="AL23" i="10"/>
  <c r="AS23" i="10" s="1"/>
  <c r="AL59" i="10"/>
  <c r="AS59" i="10" s="1"/>
  <c r="AL71" i="10"/>
  <c r="AS71" i="10" s="1"/>
  <c r="AL83" i="10"/>
  <c r="AS83" i="10" s="1"/>
  <c r="AL95" i="10"/>
  <c r="AS95" i="10" s="1"/>
  <c r="AL107" i="10"/>
  <c r="AS107" i="10" s="1"/>
  <c r="AL119" i="10"/>
  <c r="AS119" i="10" s="1"/>
  <c r="AL131" i="10"/>
  <c r="AS131" i="10" s="1"/>
  <c r="AL167" i="10"/>
  <c r="AS167" i="10" s="1"/>
  <c r="AL179" i="10"/>
  <c r="AS179" i="10" s="1"/>
  <c r="AL191" i="10"/>
  <c r="AS191" i="10" s="1"/>
  <c r="AL203" i="10"/>
  <c r="AS203" i="10" s="1"/>
  <c r="AL215" i="10"/>
  <c r="AS215" i="10" s="1"/>
  <c r="AL227" i="10"/>
  <c r="AS227" i="10" s="1"/>
  <c r="AL239" i="10"/>
  <c r="AS239" i="10" s="1"/>
  <c r="AL287" i="10"/>
  <c r="AS287" i="10" s="1"/>
  <c r="AL299" i="10"/>
  <c r="AS299" i="10" s="1"/>
  <c r="AL57" i="10"/>
  <c r="AS57" i="10" s="1"/>
  <c r="AL141" i="10"/>
  <c r="AS141" i="10" s="1"/>
  <c r="AL48" i="10"/>
  <c r="AS48" i="10" s="1"/>
  <c r="AL72" i="10"/>
  <c r="AS72" i="10" s="1"/>
  <c r="AL96" i="10"/>
  <c r="AS96" i="10" s="1"/>
  <c r="AL144" i="10"/>
  <c r="AS144" i="10" s="1"/>
  <c r="AL300" i="10"/>
  <c r="AS300" i="10" s="1"/>
  <c r="BF5" i="4"/>
  <c r="BD5" i="4" s="1"/>
  <c r="BE17" i="4"/>
  <c r="BF28" i="4"/>
  <c r="BD28" i="4" s="1"/>
  <c r="AU16" i="8" l="1"/>
  <c r="AU15" i="8"/>
  <c r="AU14" i="8"/>
  <c r="AU13" i="8"/>
  <c r="AU12" i="8"/>
  <c r="AU11" i="8"/>
  <c r="AU10" i="8"/>
  <c r="AU9" i="8"/>
  <c r="AU8" i="8"/>
  <c r="AU7" i="8"/>
  <c r="AU86" i="8"/>
  <c r="AU85" i="8"/>
  <c r="AU84" i="8"/>
  <c r="AU83" i="8"/>
  <c r="AU82" i="8"/>
  <c r="AU81" i="8"/>
  <c r="AU80" i="8"/>
  <c r="AU78" i="8"/>
  <c r="AU77" i="8"/>
  <c r="AU76" i="8"/>
  <c r="AU75" i="8"/>
  <c r="AU74" i="8"/>
  <c r="AU73" i="8"/>
  <c r="AU72" i="8"/>
  <c r="AU71" i="8"/>
  <c r="AU70" i="8"/>
  <c r="AU69" i="8"/>
  <c r="AU68" i="8"/>
  <c r="AU67" i="8"/>
  <c r="AU65" i="8"/>
  <c r="AU64" i="8"/>
  <c r="AU62" i="8"/>
  <c r="AU60" i="8"/>
  <c r="AU59" i="8"/>
  <c r="AU58" i="8"/>
  <c r="AU57" i="8"/>
  <c r="AU56" i="8"/>
  <c r="AU55" i="8"/>
  <c r="AU54" i="8"/>
  <c r="AU53" i="8"/>
  <c r="AU52" i="8"/>
  <c r="AU51" i="8"/>
  <c r="AU50" i="8"/>
  <c r="AU49" i="8"/>
  <c r="AU48" i="8"/>
  <c r="AU47" i="8"/>
  <c r="AU46" i="8"/>
  <c r="AU45" i="8"/>
  <c r="AU44" i="8"/>
  <c r="AU43" i="8"/>
  <c r="AU41" i="8"/>
  <c r="AU40" i="8"/>
  <c r="AU39" i="8"/>
  <c r="AU37" i="8"/>
  <c r="AU36" i="8"/>
  <c r="AU35" i="8"/>
  <c r="AU34" i="8"/>
  <c r="AU33" i="8"/>
  <c r="AU32" i="8"/>
  <c r="AU31" i="8"/>
  <c r="AU30" i="8"/>
  <c r="AU29" i="8"/>
  <c r="AU28" i="8"/>
  <c r="AU27" i="8"/>
  <c r="AU26" i="8"/>
  <c r="AU25" i="8"/>
  <c r="AU24" i="8"/>
  <c r="AU23" i="8"/>
  <c r="AU22" i="8"/>
  <c r="AU21" i="8"/>
  <c r="AU20" i="8"/>
  <c r="AU19" i="8"/>
  <c r="AU18" i="8"/>
  <c r="AU17" i="8"/>
  <c r="AT52" i="8" l="1"/>
  <c r="AT48" i="8"/>
  <c r="AT60" i="8"/>
  <c r="AP60" i="8" s="1"/>
  <c r="AT24" i="8"/>
  <c r="AP24" i="8" s="1"/>
  <c r="AT86" i="8"/>
  <c r="AT36" i="8"/>
  <c r="AP36" i="8" s="1"/>
  <c r="AT62" i="8"/>
  <c r="AT7" i="8"/>
  <c r="AT37" i="8"/>
  <c r="AT64" i="8"/>
  <c r="AP64" i="8" s="1"/>
  <c r="AT8" i="8"/>
  <c r="AT39" i="8"/>
  <c r="AT53" i="8"/>
  <c r="AP53" i="8" s="1"/>
  <c r="AT77" i="8"/>
  <c r="AT29" i="8"/>
  <c r="AV29" i="8" s="1"/>
  <c r="AT65" i="8"/>
  <c r="AT78" i="8"/>
  <c r="AT43" i="8"/>
  <c r="AT80" i="8"/>
  <c r="AT14" i="8"/>
  <c r="AT34" i="8"/>
  <c r="AP34" i="8" s="1"/>
  <c r="AT72" i="8"/>
  <c r="AP72" i="8" s="1"/>
  <c r="AT35" i="8"/>
  <c r="AV35" i="8" s="1"/>
  <c r="AT73" i="8"/>
  <c r="AP73" i="8" s="1"/>
  <c r="AT25" i="8"/>
  <c r="AP25" i="8" s="1"/>
  <c r="AT50" i="8"/>
  <c r="AP50" i="8" s="1"/>
  <c r="AT74" i="8"/>
  <c r="AP74" i="8" s="1"/>
  <c r="AT26" i="8"/>
  <c r="AT51" i="8"/>
  <c r="AT75" i="8"/>
  <c r="AP75" i="8" s="1"/>
  <c r="AT27" i="8"/>
  <c r="AP27" i="8" s="1"/>
  <c r="AT76" i="8"/>
  <c r="AV76" i="8" s="1"/>
  <c r="AT28" i="8"/>
  <c r="AP28" i="8" s="1"/>
  <c r="AT10" i="8"/>
  <c r="AT41" i="8"/>
  <c r="AT30" i="8"/>
  <c r="AP30" i="8" s="1"/>
  <c r="AT12" i="8"/>
  <c r="AT15" i="8"/>
  <c r="AP15" i="8" s="1"/>
  <c r="AT23" i="8"/>
  <c r="AT85" i="8"/>
  <c r="AT49" i="8"/>
  <c r="AT9" i="8"/>
  <c r="AT40" i="8"/>
  <c r="AP40" i="8" s="1"/>
  <c r="AT17" i="8"/>
  <c r="AP17" i="8" s="1"/>
  <c r="AT54" i="8"/>
  <c r="AP54" i="8" s="1"/>
  <c r="AT11" i="8"/>
  <c r="AT18" i="8"/>
  <c r="AT55" i="8"/>
  <c r="AP55" i="8" s="1"/>
  <c r="AT67" i="8"/>
  <c r="AP67" i="8" s="1"/>
  <c r="AT19" i="8"/>
  <c r="AT31" i="8"/>
  <c r="AP31" i="8" s="1"/>
  <c r="AT44" i="8"/>
  <c r="AT56" i="8"/>
  <c r="AV56" i="8" s="1"/>
  <c r="AT68" i="8"/>
  <c r="AP68" i="8" s="1"/>
  <c r="AT81" i="8"/>
  <c r="AT13" i="8"/>
  <c r="AP13" i="8" s="1"/>
  <c r="AT20" i="8"/>
  <c r="AV20" i="8" s="1"/>
  <c r="AT32" i="8"/>
  <c r="AT45" i="8"/>
  <c r="AP45" i="8" s="1"/>
  <c r="AT57" i="8"/>
  <c r="AP57" i="8" s="1"/>
  <c r="AT69" i="8"/>
  <c r="AP69" i="8" s="1"/>
  <c r="AT82" i="8"/>
  <c r="AP82" i="8" s="1"/>
  <c r="AT21" i="8"/>
  <c r="AP21" i="8" s="1"/>
  <c r="AT33" i="8"/>
  <c r="AP33" i="8" s="1"/>
  <c r="AT46" i="8"/>
  <c r="AP46" i="8" s="1"/>
  <c r="AT58" i="8"/>
  <c r="AT70" i="8"/>
  <c r="AP70" i="8" s="1"/>
  <c r="AT83" i="8"/>
  <c r="AT22" i="8"/>
  <c r="AP22" i="8" s="1"/>
  <c r="AT47" i="8"/>
  <c r="AT59" i="8"/>
  <c r="AT71" i="8"/>
  <c r="AP71" i="8" s="1"/>
  <c r="AT84" i="8"/>
  <c r="AP84" i="8" s="1"/>
  <c r="AT16" i="8"/>
  <c r="Q87" i="8"/>
  <c r="Q89" i="8" s="1"/>
  <c r="P87" i="8"/>
  <c r="P89" i="8" s="1"/>
  <c r="O87" i="8"/>
  <c r="O89" i="8" s="1"/>
  <c r="N87" i="8"/>
  <c r="N89" i="8" s="1"/>
  <c r="N91" i="8" s="1"/>
  <c r="M87" i="8"/>
  <c r="M89" i="8" s="1"/>
  <c r="M91" i="8" s="1"/>
  <c r="AV36" i="8" l="1"/>
  <c r="AP52" i="8"/>
  <c r="AV52" i="8" s="1"/>
  <c r="AV60" i="8"/>
  <c r="AV34" i="8"/>
  <c r="AV73" i="8"/>
  <c r="AV72" i="8"/>
  <c r="AV54" i="8"/>
  <c r="AV22" i="8"/>
  <c r="AV17" i="8"/>
  <c r="AV53" i="8"/>
  <c r="AV82" i="8"/>
  <c r="AV75" i="8"/>
  <c r="AV67" i="8"/>
  <c r="AV69" i="8"/>
  <c r="AV13" i="8"/>
  <c r="AV55" i="8"/>
  <c r="AV28" i="8"/>
  <c r="AV15" i="8"/>
  <c r="AV57" i="8"/>
  <c r="AV45" i="8"/>
  <c r="AV68" i="8"/>
  <c r="AV30" i="8"/>
  <c r="AV25" i="8"/>
  <c r="AV70" i="8"/>
  <c r="AV50" i="8"/>
  <c r="AP48" i="8"/>
  <c r="AV48" i="8"/>
  <c r="AV27" i="8"/>
  <c r="AV46" i="8"/>
  <c r="AV31" i="8"/>
  <c r="AV64" i="8"/>
  <c r="AV84" i="8"/>
  <c r="AV33" i="8"/>
  <c r="AV74" i="8"/>
  <c r="AV71" i="8"/>
  <c r="AV21" i="8"/>
  <c r="AV24" i="8"/>
  <c r="AV40" i="8"/>
  <c r="AP41" i="8"/>
  <c r="AV41" i="8" s="1"/>
  <c r="AP39" i="8"/>
  <c r="AV39" i="8"/>
  <c r="AT87" i="8"/>
  <c r="AP85" i="8"/>
  <c r="AV85" i="8" s="1"/>
  <c r="AP16" i="8"/>
  <c r="AV16" i="8" s="1"/>
  <c r="AP44" i="8"/>
  <c r="AV44" i="8" s="1"/>
  <c r="AP76" i="8"/>
  <c r="AP14" i="8"/>
  <c r="AV14" i="8" s="1"/>
  <c r="AP56" i="8"/>
  <c r="AP18" i="8"/>
  <c r="AP19" i="8"/>
  <c r="AP29" i="8"/>
  <c r="AP8" i="8"/>
  <c r="AV8" i="8" s="1"/>
  <c r="AP32" i="8"/>
  <c r="AV32" i="8" s="1"/>
  <c r="AP77" i="8"/>
  <c r="AV77" i="8" s="1"/>
  <c r="AP86" i="8"/>
  <c r="AV86" i="8" s="1"/>
  <c r="AP58" i="8"/>
  <c r="AV58" i="8" s="1"/>
  <c r="AP20" i="8"/>
  <c r="AP11" i="8"/>
  <c r="AV11" i="8" s="1"/>
  <c r="AP49" i="8"/>
  <c r="AV49" i="8" s="1"/>
  <c r="AP80" i="8"/>
  <c r="AV80" i="8" s="1"/>
  <c r="AP81" i="8"/>
  <c r="AV81" i="8" s="1"/>
  <c r="AP35" i="8"/>
  <c r="AP78" i="8"/>
  <c r="AV78" i="8" s="1"/>
  <c r="AP47" i="8"/>
  <c r="AV47" i="8" s="1"/>
  <c r="AP10" i="8"/>
  <c r="AV10" i="8" s="1"/>
  <c r="BI19" i="4"/>
  <c r="BI5" i="4"/>
  <c r="BF79" i="4"/>
  <c r="BD79" i="4" s="1"/>
  <c r="BF78" i="4"/>
  <c r="BD78" i="4" s="1"/>
  <c r="BF77" i="4"/>
  <c r="BD77" i="4" s="1"/>
  <c r="BF76" i="4"/>
  <c r="BD76" i="4" s="1"/>
  <c r="BF75" i="4"/>
  <c r="BD75" i="4" s="1"/>
  <c r="BF74" i="4"/>
  <c r="BD74" i="4" s="1"/>
  <c r="BF73" i="4"/>
  <c r="BD73" i="4" s="1"/>
  <c r="BF72" i="4"/>
  <c r="BD72" i="4" s="1"/>
  <c r="BF71" i="4"/>
  <c r="BD71" i="4" s="1"/>
  <c r="BF70" i="4"/>
  <c r="BD70" i="4" s="1"/>
  <c r="BF69" i="4"/>
  <c r="BD69" i="4" s="1"/>
  <c r="BF68" i="4"/>
  <c r="BD68" i="4" s="1"/>
  <c r="BF67" i="4"/>
  <c r="BD67" i="4" s="1"/>
  <c r="BF66" i="4"/>
  <c r="BD66" i="4" s="1"/>
  <c r="BF65" i="4"/>
  <c r="BD65" i="4" s="1"/>
  <c r="BF64" i="4"/>
  <c r="BD64" i="4" s="1"/>
  <c r="BF63" i="4"/>
  <c r="BD63" i="4" s="1"/>
  <c r="BF62" i="4"/>
  <c r="BD62" i="4" s="1"/>
  <c r="BF61" i="4"/>
  <c r="BD61" i="4" s="1"/>
  <c r="BF60" i="4"/>
  <c r="BD60" i="4" s="1"/>
  <c r="BF59" i="4"/>
  <c r="BD59" i="4" s="1"/>
  <c r="BF58" i="4"/>
  <c r="BD58" i="4" s="1"/>
  <c r="BF57" i="4"/>
  <c r="BD57" i="4" s="1"/>
  <c r="BF56" i="4"/>
  <c r="BD56" i="4" s="1"/>
  <c r="BF55" i="4"/>
  <c r="BD55" i="4" s="1"/>
  <c r="BF54" i="4"/>
  <c r="BD54" i="4" s="1"/>
  <c r="BF53" i="4"/>
  <c r="BD53" i="4" s="1"/>
  <c r="BF52" i="4"/>
  <c r="BD52" i="4" s="1"/>
  <c r="BF51" i="4"/>
  <c r="BD51" i="4" s="1"/>
  <c r="BF50" i="4"/>
  <c r="BD50" i="4" s="1"/>
  <c r="BF49" i="4"/>
  <c r="BD49" i="4" s="1"/>
  <c r="BF48" i="4"/>
  <c r="BD48" i="4" s="1"/>
  <c r="BF47" i="4"/>
  <c r="BD47" i="4" s="1"/>
  <c r="BF46" i="4"/>
  <c r="BD46" i="4" s="1"/>
  <c r="BF45" i="4"/>
  <c r="BD45" i="4" s="1"/>
  <c r="BF44" i="4"/>
  <c r="BD44" i="4" s="1"/>
  <c r="BF43" i="4"/>
  <c r="BD43" i="4" s="1"/>
  <c r="BF42" i="4"/>
  <c r="BD42" i="4" s="1"/>
  <c r="BF41" i="4"/>
  <c r="BD41" i="4" s="1"/>
  <c r="BF40" i="4"/>
  <c r="BD40" i="4" s="1"/>
  <c r="BF39" i="4"/>
  <c r="BD39" i="4" s="1"/>
  <c r="BF38" i="4"/>
  <c r="BD38" i="4" s="1"/>
  <c r="BF37" i="4"/>
  <c r="BD37" i="4" s="1"/>
  <c r="BF36" i="4"/>
  <c r="BD36" i="4" s="1"/>
  <c r="BF35" i="4"/>
  <c r="BD35" i="4" s="1"/>
  <c r="BE35" i="4" s="1"/>
  <c r="BF34" i="4"/>
  <c r="BD34" i="4" s="1"/>
  <c r="BF33" i="4"/>
  <c r="BD33" i="4" s="1"/>
  <c r="BF32" i="4"/>
  <c r="BD32" i="4" s="1"/>
  <c r="BF31" i="4"/>
  <c r="BD31" i="4" s="1"/>
  <c r="BF30" i="4"/>
  <c r="BD30" i="4" s="1"/>
  <c r="BF29" i="4"/>
  <c r="BD29" i="4" s="1"/>
  <c r="BF27" i="4"/>
  <c r="BD27" i="4" s="1"/>
  <c r="BF26" i="4"/>
  <c r="BD26" i="4" s="1"/>
  <c r="BF25" i="4"/>
  <c r="BD25" i="4" s="1"/>
  <c r="BF24" i="4"/>
  <c r="BD24" i="4" s="1"/>
  <c r="BF23" i="4"/>
  <c r="BD23" i="4" s="1"/>
  <c r="BF22" i="4"/>
  <c r="BD22" i="4" s="1"/>
  <c r="BE22" i="4" s="1"/>
  <c r="BF21" i="4"/>
  <c r="BD21" i="4" s="1"/>
  <c r="BF20" i="4"/>
  <c r="BD20" i="4" s="1"/>
  <c r="BF19" i="4"/>
  <c r="BD19" i="4" s="1"/>
  <c r="BF18" i="4"/>
  <c r="BD18" i="4" s="1"/>
  <c r="BF17" i="4"/>
  <c r="BD17" i="4" s="1"/>
  <c r="BF16" i="4"/>
  <c r="BD16" i="4" s="1"/>
  <c r="BF15" i="4"/>
  <c r="BD15" i="4" s="1"/>
  <c r="BF14" i="4"/>
  <c r="BD14" i="4" s="1"/>
  <c r="BE14" i="4" s="1"/>
  <c r="BF13" i="4"/>
  <c r="BD13" i="4" s="1"/>
  <c r="BF12" i="4"/>
  <c r="BD12" i="4" s="1"/>
  <c r="BF11" i="4"/>
  <c r="BD11" i="4" s="1"/>
  <c r="BF10" i="4"/>
  <c r="BD10" i="4" s="1"/>
  <c r="BF9" i="4"/>
  <c r="BD9" i="4" s="1"/>
  <c r="BF8" i="4"/>
  <c r="BD8" i="4" s="1"/>
  <c r="BF7" i="4"/>
  <c r="BD7" i="4" s="1"/>
  <c r="BF6" i="4"/>
  <c r="BD6" i="4" s="1"/>
  <c r="AZ6" i="4" s="1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59" i="4"/>
  <c r="BI57" i="4"/>
  <c r="BI56" i="4"/>
  <c r="BI55" i="4"/>
  <c r="BI53" i="4"/>
  <c r="BI52" i="4"/>
  <c r="BI51" i="4"/>
  <c r="BI50" i="4"/>
  <c r="BI49" i="4"/>
  <c r="BI46" i="4"/>
  <c r="BI45" i="4"/>
  <c r="BI44" i="4"/>
  <c r="BI43" i="4"/>
  <c r="BI42" i="4"/>
  <c r="BI41" i="4"/>
  <c r="BI40" i="4"/>
  <c r="BI38" i="4"/>
  <c r="BI37" i="4"/>
  <c r="BI35" i="4"/>
  <c r="BI34" i="4"/>
  <c r="BI33" i="4"/>
  <c r="BI32" i="4"/>
  <c r="BI29" i="4"/>
  <c r="BI28" i="4"/>
  <c r="BI27" i="4"/>
  <c r="BI26" i="4"/>
  <c r="BI25" i="4"/>
  <c r="BI24" i="4"/>
  <c r="BI23" i="4"/>
  <c r="BI22" i="4"/>
  <c r="BI21" i="4"/>
  <c r="BI20" i="4"/>
  <c r="BI18" i="4"/>
  <c r="BI17" i="4"/>
  <c r="BI14" i="4"/>
  <c r="BI13" i="4"/>
  <c r="BI12" i="4"/>
  <c r="BI11" i="4"/>
  <c r="BI10" i="4"/>
  <c r="BI9" i="4"/>
  <c r="BI6" i="4"/>
  <c r="AT80" i="4"/>
  <c r="BE28" i="4"/>
  <c r="BE5" i="4"/>
  <c r="J80" i="4"/>
  <c r="AQ311" i="11"/>
  <c r="AP311" i="11"/>
  <c r="AO311" i="11"/>
  <c r="AN311" i="11"/>
  <c r="BK112" i="9"/>
  <c r="BK55" i="9"/>
  <c r="BK53" i="9"/>
  <c r="BK52" i="9"/>
  <c r="BK51" i="9"/>
  <c r="BK50" i="9"/>
  <c r="BK49" i="9"/>
  <c r="BK48" i="9"/>
  <c r="BK47" i="9"/>
  <c r="BK46" i="9"/>
  <c r="BK45" i="9"/>
  <c r="BK44" i="9"/>
  <c r="BK42" i="9"/>
  <c r="BK41" i="9"/>
  <c r="BK40" i="9"/>
  <c r="BK38" i="9"/>
  <c r="BK37" i="9"/>
  <c r="BK36" i="9"/>
  <c r="BK35" i="9"/>
  <c r="BK34" i="9"/>
  <c r="BK33" i="9"/>
  <c r="BK32" i="9"/>
  <c r="BK31" i="9"/>
  <c r="BK30" i="9"/>
  <c r="BK29" i="9"/>
  <c r="BK28" i="9"/>
  <c r="BK27" i="9"/>
  <c r="BK26" i="9"/>
  <c r="BK25" i="9"/>
  <c r="BK24" i="9"/>
  <c r="BK23" i="9"/>
  <c r="BK22" i="9"/>
  <c r="BK21" i="9"/>
  <c r="BK20" i="9"/>
  <c r="BK19" i="9"/>
  <c r="BK18" i="9"/>
  <c r="BK17" i="9"/>
  <c r="BK16" i="9"/>
  <c r="BK15" i="9"/>
  <c r="BK14" i="9"/>
  <c r="BK13" i="9"/>
  <c r="BK12" i="9"/>
  <c r="BK11" i="9"/>
  <c r="BK10" i="9"/>
  <c r="BK9" i="9"/>
  <c r="BK8" i="9"/>
  <c r="BK7" i="9"/>
  <c r="BK119" i="9"/>
  <c r="BK118" i="9"/>
  <c r="BK6" i="9"/>
  <c r="BK5" i="9"/>
  <c r="BK4" i="9"/>
  <c r="BK3" i="9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H254" i="10"/>
  <c r="AH168" i="10"/>
  <c r="AI12" i="8"/>
  <c r="AN12" i="8" s="1"/>
  <c r="AI83" i="8"/>
  <c r="AI7" i="8"/>
  <c r="BE12" i="8" l="1"/>
  <c r="BF12" i="8"/>
  <c r="BB12" i="8"/>
  <c r="AV19" i="8"/>
  <c r="AV18" i="8"/>
  <c r="BE13" i="4"/>
  <c r="BE73" i="4"/>
  <c r="BE25" i="4"/>
  <c r="BE50" i="4"/>
  <c r="BE51" i="4"/>
  <c r="BE9" i="4"/>
  <c r="BE21" i="4"/>
  <c r="BE34" i="4"/>
  <c r="BE46" i="4"/>
  <c r="BE70" i="4"/>
  <c r="BE38" i="4"/>
  <c r="BE23" i="4"/>
  <c r="BE52" i="4"/>
  <c r="BE40" i="4"/>
  <c r="BE12" i="4"/>
  <c r="BE24" i="4"/>
  <c r="BE37" i="4"/>
  <c r="BE49" i="4"/>
  <c r="BE68" i="4"/>
  <c r="AZ71" i="4"/>
  <c r="BG71" i="4" s="1"/>
  <c r="BJ71" i="4" s="1"/>
  <c r="BE20" i="4"/>
  <c r="BE33" i="4"/>
  <c r="BE45" i="4"/>
  <c r="BE69" i="4"/>
  <c r="BE59" i="4"/>
  <c r="BE61" i="4"/>
  <c r="BE26" i="4"/>
  <c r="BE27" i="4"/>
  <c r="BE64" i="4"/>
  <c r="BE76" i="4"/>
  <c r="BE71" i="4"/>
  <c r="BE72" i="4"/>
  <c r="BE75" i="4"/>
  <c r="BE29" i="4"/>
  <c r="BE41" i="4"/>
  <c r="BE53" i="4"/>
  <c r="BE65" i="4"/>
  <c r="BE77" i="4"/>
  <c r="BE62" i="4"/>
  <c r="BE42" i="4"/>
  <c r="BE66" i="4"/>
  <c r="BE78" i="4"/>
  <c r="BE74" i="4"/>
  <c r="BE63" i="4"/>
  <c r="BE10" i="4"/>
  <c r="BE6" i="4"/>
  <c r="BE18" i="4"/>
  <c r="BE43" i="4"/>
  <c r="BE55" i="4"/>
  <c r="BE67" i="4"/>
  <c r="BE79" i="4"/>
  <c r="BE11" i="4"/>
  <c r="BE19" i="4"/>
  <c r="BE32" i="4"/>
  <c r="BE44" i="4"/>
  <c r="BE56" i="4"/>
  <c r="BE57" i="4"/>
  <c r="AZ28" i="4"/>
  <c r="BG28" i="4" s="1"/>
  <c r="BJ28" i="4" s="1"/>
  <c r="AZ26" i="4"/>
  <c r="BG26" i="4" s="1"/>
  <c r="BJ26" i="4" s="1"/>
  <c r="AZ27" i="4"/>
  <c r="BG27" i="4" s="1"/>
  <c r="BJ27" i="4" s="1"/>
  <c r="AZ11" i="4"/>
  <c r="BG11" i="4" s="1"/>
  <c r="AZ22" i="4"/>
  <c r="BG22" i="4" s="1"/>
  <c r="BJ22" i="4" s="1"/>
  <c r="AZ37" i="4"/>
  <c r="BG37" i="4" s="1"/>
  <c r="BJ37" i="4" s="1"/>
  <c r="AZ52" i="4"/>
  <c r="BG52" i="4" s="1"/>
  <c r="AZ23" i="4"/>
  <c r="BG23" i="4" s="1"/>
  <c r="AZ38" i="4"/>
  <c r="BG38" i="4" s="1"/>
  <c r="AZ24" i="4"/>
  <c r="BG24" i="4" s="1"/>
  <c r="BJ24" i="4" s="1"/>
  <c r="AZ40" i="4"/>
  <c r="BG40" i="4" s="1"/>
  <c r="AZ25" i="4"/>
  <c r="BG25" i="4" s="1"/>
  <c r="AZ59" i="4"/>
  <c r="BG59" i="4" s="1"/>
  <c r="BJ59" i="4" s="1"/>
  <c r="AZ73" i="4"/>
  <c r="BG73" i="4" s="1"/>
  <c r="BJ73" i="4" s="1"/>
  <c r="AZ74" i="4"/>
  <c r="BG74" i="4" s="1"/>
  <c r="BJ74" i="4" s="1"/>
  <c r="AZ20" i="4"/>
  <c r="BG20" i="4" s="1"/>
  <c r="BJ20" i="4" s="1"/>
  <c r="AZ34" i="4"/>
  <c r="BG34" i="4" s="1"/>
  <c r="BJ34" i="4" s="1"/>
  <c r="AZ50" i="4"/>
  <c r="BG50" i="4" s="1"/>
  <c r="BJ50" i="4" s="1"/>
  <c r="AZ21" i="4"/>
  <c r="BG21" i="4" s="1"/>
  <c r="BJ21" i="4" s="1"/>
  <c r="AZ35" i="4"/>
  <c r="BG35" i="4" s="1"/>
  <c r="BJ35" i="4" s="1"/>
  <c r="AZ51" i="4"/>
  <c r="BG51" i="4" s="1"/>
  <c r="AZ12" i="4"/>
  <c r="BG12" i="4" s="1"/>
  <c r="BJ12" i="4" s="1"/>
  <c r="AZ13" i="4"/>
  <c r="BG13" i="4" s="1"/>
  <c r="BJ13" i="4" s="1"/>
  <c r="AZ72" i="4"/>
  <c r="BG72" i="4" s="1"/>
  <c r="BJ72" i="4" s="1"/>
  <c r="AZ14" i="4"/>
  <c r="BG14" i="4" s="1"/>
  <c r="BJ14" i="4" s="1"/>
  <c r="AZ61" i="4"/>
  <c r="BG61" i="4" s="1"/>
  <c r="BJ61" i="4" s="1"/>
  <c r="AZ18" i="4"/>
  <c r="BG18" i="4" s="1"/>
  <c r="BJ18" i="4" s="1"/>
  <c r="AZ32" i="4"/>
  <c r="BG32" i="4" s="1"/>
  <c r="BJ32" i="4" s="1"/>
  <c r="AZ46" i="4"/>
  <c r="BG46" i="4" s="1"/>
  <c r="BJ46" i="4" s="1"/>
  <c r="AZ63" i="4"/>
  <c r="BG63" i="4" s="1"/>
  <c r="BJ63" i="4" s="1"/>
  <c r="AZ75" i="4"/>
  <c r="BG75" i="4" s="1"/>
  <c r="BJ75" i="4" s="1"/>
  <c r="AZ62" i="4"/>
  <c r="BG62" i="4" s="1"/>
  <c r="BJ62" i="4" s="1"/>
  <c r="AZ19" i="4"/>
  <c r="BG19" i="4" s="1"/>
  <c r="AZ33" i="4"/>
  <c r="BG33" i="4" s="1"/>
  <c r="BJ33" i="4" s="1"/>
  <c r="AZ49" i="4"/>
  <c r="BG49" i="4" s="1"/>
  <c r="BJ49" i="4" s="1"/>
  <c r="AZ64" i="4"/>
  <c r="BG64" i="4" s="1"/>
  <c r="BJ64" i="4" s="1"/>
  <c r="AZ76" i="4"/>
  <c r="BG76" i="4" s="1"/>
  <c r="BJ76" i="4" s="1"/>
  <c r="AZ78" i="4"/>
  <c r="BG78" i="4" s="1"/>
  <c r="BJ78" i="4" s="1"/>
  <c r="AZ79" i="4"/>
  <c r="BG79" i="4" s="1"/>
  <c r="BJ79" i="4" s="1"/>
  <c r="AZ41" i="4"/>
  <c r="BG41" i="4" s="1"/>
  <c r="BJ41" i="4" s="1"/>
  <c r="AZ42" i="4"/>
  <c r="BG42" i="4" s="1"/>
  <c r="BJ42" i="4" s="1"/>
  <c r="AZ57" i="4"/>
  <c r="BG57" i="4" s="1"/>
  <c r="BJ57" i="4" s="1"/>
  <c r="AZ66" i="4"/>
  <c r="BG66" i="4" s="1"/>
  <c r="BJ66" i="4" s="1"/>
  <c r="AZ67" i="4"/>
  <c r="BG67" i="4" s="1"/>
  <c r="BJ67" i="4" s="1"/>
  <c r="AZ9" i="4"/>
  <c r="BG9" i="4" s="1"/>
  <c r="BJ9" i="4" s="1"/>
  <c r="AZ68" i="4"/>
  <c r="BG68" i="4" s="1"/>
  <c r="BJ68" i="4" s="1"/>
  <c r="AZ10" i="4"/>
  <c r="BG10" i="4" s="1"/>
  <c r="BJ10" i="4" s="1"/>
  <c r="AZ56" i="4"/>
  <c r="BG56" i="4" s="1"/>
  <c r="BJ56" i="4" s="1"/>
  <c r="AZ70" i="4"/>
  <c r="BG70" i="4" s="1"/>
  <c r="BJ70" i="4" s="1"/>
  <c r="AZ43" i="4"/>
  <c r="BG43" i="4" s="1"/>
  <c r="BJ43" i="4" s="1"/>
  <c r="AZ65" i="4"/>
  <c r="BG65" i="4" s="1"/>
  <c r="BJ65" i="4" s="1"/>
  <c r="AZ53" i="4"/>
  <c r="BG53" i="4" s="1"/>
  <c r="BJ53" i="4" s="1"/>
  <c r="AZ69" i="4"/>
  <c r="BG69" i="4" s="1"/>
  <c r="AZ44" i="4"/>
  <c r="BG44" i="4" s="1"/>
  <c r="BJ44" i="4" s="1"/>
  <c r="AZ77" i="4"/>
  <c r="BG77" i="4" s="1"/>
  <c r="BJ77" i="4" s="1"/>
  <c r="BG6" i="4"/>
  <c r="BJ6" i="4" s="1"/>
  <c r="AZ55" i="4"/>
  <c r="BG55" i="4" s="1"/>
  <c r="AZ17" i="4"/>
  <c r="AZ29" i="4"/>
  <c r="BG29" i="4" s="1"/>
  <c r="BJ29" i="4" s="1"/>
  <c r="AZ45" i="4"/>
  <c r="BG45" i="4" s="1"/>
  <c r="BJ45" i="4" s="1"/>
  <c r="AI23" i="8"/>
  <c r="BI12" i="8" l="1"/>
  <c r="BJ12" i="8" s="1"/>
  <c r="BH12" i="8"/>
  <c r="BG12" i="8"/>
  <c r="AP12" i="8"/>
  <c r="BG17" i="4"/>
  <c r="BJ17" i="4" s="1"/>
  <c r="BJ11" i="4"/>
  <c r="BJ38" i="4"/>
  <c r="BJ52" i="4"/>
  <c r="BJ40" i="4"/>
  <c r="BJ25" i="4"/>
  <c r="AS54" i="4"/>
  <c r="AX54" i="4" s="1"/>
  <c r="AH285" i="10"/>
  <c r="AH128" i="10"/>
  <c r="AH169" i="10"/>
  <c r="AX169" i="10" s="1"/>
  <c r="AH134" i="10"/>
  <c r="AH111" i="10"/>
  <c r="AH210" i="10"/>
  <c r="AI9" i="8"/>
  <c r="AN9" i="8" s="1"/>
  <c r="BE9" i="8" l="1"/>
  <c r="BF9" i="8"/>
  <c r="BB9" i="8"/>
  <c r="AV12" i="8"/>
  <c r="AJ169" i="10"/>
  <c r="AL169" i="10" s="1"/>
  <c r="AS169" i="10" s="1"/>
  <c r="AI87" i="8"/>
  <c r="AI89" i="8" s="1"/>
  <c r="BE54" i="4"/>
  <c r="BI54" i="4"/>
  <c r="AH130" i="10"/>
  <c r="AX130" i="10" s="1"/>
  <c r="AH98" i="10"/>
  <c r="AB245" i="10"/>
  <c r="AX245" i="10" s="1"/>
  <c r="BI9" i="8" l="1"/>
  <c r="BJ9" i="8" s="1"/>
  <c r="BH9" i="8"/>
  <c r="BG9" i="8"/>
  <c r="AJ245" i="10"/>
  <c r="AL245" i="10" s="1"/>
  <c r="AS245" i="10" s="1"/>
  <c r="AJ130" i="10"/>
  <c r="AL130" i="10" s="1"/>
  <c r="AS130" i="10" s="1"/>
  <c r="AP9" i="8"/>
  <c r="AZ54" i="4"/>
  <c r="BG54" i="4" s="1"/>
  <c r="BJ54" i="4" s="1"/>
  <c r="BM112" i="9"/>
  <c r="BM55" i="9"/>
  <c r="BM53" i="9"/>
  <c r="BM52" i="9"/>
  <c r="BM51" i="9"/>
  <c r="BM50" i="9"/>
  <c r="BM49" i="9"/>
  <c r="BM48" i="9"/>
  <c r="BM47" i="9"/>
  <c r="BM46" i="9"/>
  <c r="BM45" i="9"/>
  <c r="BM44" i="9"/>
  <c r="BM42" i="9"/>
  <c r="BM41" i="9"/>
  <c r="BM40" i="9"/>
  <c r="BM38" i="9"/>
  <c r="BM37" i="9"/>
  <c r="BM36" i="9"/>
  <c r="BM35" i="9"/>
  <c r="BM34" i="9"/>
  <c r="BM33" i="9"/>
  <c r="BM32" i="9"/>
  <c r="BM31" i="9"/>
  <c r="BM30" i="9"/>
  <c r="BM29" i="9"/>
  <c r="BM28" i="9"/>
  <c r="BM27" i="9"/>
  <c r="BM26" i="9"/>
  <c r="BM25" i="9"/>
  <c r="BM24" i="9"/>
  <c r="BM23" i="9"/>
  <c r="BM22" i="9"/>
  <c r="BM21" i="9"/>
  <c r="BM20" i="9"/>
  <c r="BM19" i="9"/>
  <c r="BM18" i="9"/>
  <c r="BM17" i="9"/>
  <c r="BM16" i="9"/>
  <c r="BM15" i="9"/>
  <c r="BM14" i="9"/>
  <c r="BM13" i="9"/>
  <c r="BM12" i="9"/>
  <c r="BM11" i="9"/>
  <c r="BM10" i="9"/>
  <c r="BM9" i="9"/>
  <c r="BM8" i="9"/>
  <c r="BM7" i="9"/>
  <c r="BM119" i="9"/>
  <c r="BM118" i="9"/>
  <c r="BM6" i="9"/>
  <c r="BM5" i="9"/>
  <c r="BM4" i="9"/>
  <c r="BM3" i="9"/>
  <c r="BM2" i="9"/>
  <c r="AO5" i="3"/>
  <c r="AZ5" i="4" s="1"/>
  <c r="BG5" i="4" s="1"/>
  <c r="BK2" i="9"/>
  <c r="E8" i="1" l="1"/>
  <c r="AS80" i="4"/>
  <c r="AS82" i="4" s="1"/>
  <c r="AH154" i="10"/>
  <c r="AX154" i="10" s="1"/>
  <c r="BF248" i="11"/>
  <c r="AV9" i="8" l="1"/>
  <c r="AH305" i="10"/>
  <c r="AJ154" i="10"/>
  <c r="AL154" i="10" s="1"/>
  <c r="AS154" i="10" s="1"/>
  <c r="BJ5" i="4"/>
  <c r="AH311" i="11" l="1"/>
  <c r="AG311" i="11"/>
  <c r="AM315" i="15"/>
  <c r="AC301" i="11"/>
  <c r="R312" i="15"/>
  <c r="Q312" i="15"/>
  <c r="P312" i="15"/>
  <c r="O312" i="15"/>
  <c r="M312" i="15"/>
  <c r="L312" i="15"/>
  <c r="BH299" i="11"/>
  <c r="BH298" i="11"/>
  <c r="BH297" i="11"/>
  <c r="BH296" i="11"/>
  <c r="BH291" i="11"/>
  <c r="BH289" i="11"/>
  <c r="BH286" i="11"/>
  <c r="BH285" i="11"/>
  <c r="BH283" i="11"/>
  <c r="BH281" i="11"/>
  <c r="BH278" i="11"/>
  <c r="F276" i="11"/>
  <c r="BH272" i="11"/>
  <c r="BH271" i="11"/>
  <c r="BH266" i="11"/>
  <c r="BH263" i="11"/>
  <c r="BH260" i="11"/>
  <c r="BH251" i="11"/>
  <c r="BH250" i="11"/>
  <c r="BH244" i="11"/>
  <c r="BH239" i="11"/>
  <c r="BH235" i="11"/>
  <c r="BH233" i="11"/>
  <c r="BH222" i="11"/>
  <c r="BH203" i="11"/>
  <c r="BH183" i="11"/>
  <c r="K180" i="11"/>
  <c r="BH176" i="11"/>
  <c r="K168" i="11"/>
  <c r="K160" i="11"/>
  <c r="BH158" i="11"/>
  <c r="BH130" i="11"/>
  <c r="BH129" i="11"/>
  <c r="BH128" i="11"/>
  <c r="BH127" i="11"/>
  <c r="BH119" i="11"/>
  <c r="BH118" i="11"/>
  <c r="BH115" i="11"/>
  <c r="BH114" i="11"/>
  <c r="BH109" i="11"/>
  <c r="BH108" i="11"/>
  <c r="BH101" i="11"/>
  <c r="BH92" i="11"/>
  <c r="BH90" i="11"/>
  <c r="BH85" i="11"/>
  <c r="BH73" i="11"/>
  <c r="BH67" i="11"/>
  <c r="BH66" i="11"/>
  <c r="BH63" i="11"/>
  <c r="BH62" i="11"/>
  <c r="BH61" i="11"/>
  <c r="BH58" i="11"/>
  <c r="BH57" i="11"/>
  <c r="BH56" i="11"/>
  <c r="BH46" i="11"/>
  <c r="BH45" i="11"/>
  <c r="BH41" i="11"/>
  <c r="BH39" i="11"/>
  <c r="BH38" i="11"/>
  <c r="BH37" i="11"/>
  <c r="BH36" i="11"/>
  <c r="BH35" i="11"/>
  <c r="BH34" i="11"/>
  <c r="BH33" i="11"/>
  <c r="BH32" i="11"/>
  <c r="BH28" i="11"/>
  <c r="BH26" i="11"/>
  <c r="BH25" i="11"/>
  <c r="BH24" i="11"/>
  <c r="BH23" i="11"/>
  <c r="BH22" i="11"/>
  <c r="BH21" i="11"/>
  <c r="BH18" i="11"/>
  <c r="BH17" i="11"/>
  <c r="BH16" i="11"/>
  <c r="AJ4" i="11"/>
  <c r="AJ319" i="10"/>
  <c r="AJ318" i="10"/>
  <c r="AJ317" i="10"/>
  <c r="AJ316" i="10"/>
  <c r="H316" i="10"/>
  <c r="AJ315" i="10"/>
  <c r="AJ314" i="10"/>
  <c r="AJ310" i="10"/>
  <c r="AJ312" i="10"/>
  <c r="AJ313" i="10"/>
  <c r="AA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AN304" i="10"/>
  <c r="AO304" i="10" s="1"/>
  <c r="I304" i="10"/>
  <c r="I303" i="10"/>
  <c r="AP303" i="10" s="1"/>
  <c r="AL303" i="10" s="1"/>
  <c r="AS303" i="10" s="1"/>
  <c r="I302" i="10"/>
  <c r="AP302" i="10" s="1"/>
  <c r="AL302" i="10" s="1"/>
  <c r="AS302" i="10" s="1"/>
  <c r="AN301" i="10"/>
  <c r="AO301" i="10" s="1"/>
  <c r="I301" i="10"/>
  <c r="AP301" i="10" s="1"/>
  <c r="AL301" i="10" s="1"/>
  <c r="AS301" i="10" s="1"/>
  <c r="AM300" i="10"/>
  <c r="AN298" i="10"/>
  <c r="AO298" i="10" s="1"/>
  <c r="AN296" i="10"/>
  <c r="AO296" i="10" s="1"/>
  <c r="I296" i="10"/>
  <c r="AN295" i="10"/>
  <c r="AO295" i="10" s="1"/>
  <c r="I294" i="10"/>
  <c r="AN293" i="10"/>
  <c r="AO293" i="10" s="1"/>
  <c r="I291" i="10"/>
  <c r="I290" i="10"/>
  <c r="AP290" i="10" s="1"/>
  <c r="AL290" i="10" s="1"/>
  <c r="AS290" i="10" s="1"/>
  <c r="I288" i="10"/>
  <c r="AP288" i="10" s="1"/>
  <c r="AL288" i="10" s="1"/>
  <c r="AS288" i="10" s="1"/>
  <c r="AN287" i="10"/>
  <c r="AO287" i="10" s="1"/>
  <c r="I286" i="10"/>
  <c r="AE285" i="10"/>
  <c r="AX285" i="10" s="1"/>
  <c r="AM284" i="10"/>
  <c r="AN283" i="10"/>
  <c r="AO283" i="10" s="1"/>
  <c r="I283" i="10"/>
  <c r="AM282" i="10"/>
  <c r="AC280" i="10"/>
  <c r="AX280" i="10" s="1"/>
  <c r="AM279" i="10"/>
  <c r="AN278" i="10"/>
  <c r="AO278" i="10" s="1"/>
  <c r="AN277" i="10"/>
  <c r="AO277" i="10" s="1"/>
  <c r="I277" i="10"/>
  <c r="I276" i="10"/>
  <c r="AP276" i="10" s="1"/>
  <c r="AL276" i="10" s="1"/>
  <c r="AS276" i="10" s="1"/>
  <c r="AD275" i="10"/>
  <c r="AX275" i="10" s="1"/>
  <c r="AM274" i="10"/>
  <c r="AN273" i="10"/>
  <c r="AO273" i="10" s="1"/>
  <c r="I271" i="10"/>
  <c r="AF270" i="10"/>
  <c r="AD270" i="10"/>
  <c r="AX270" i="10" s="1"/>
  <c r="AM269" i="10"/>
  <c r="AN268" i="10"/>
  <c r="AO268" i="10" s="1"/>
  <c r="I268" i="10"/>
  <c r="AK267" i="10"/>
  <c r="AM266" i="10"/>
  <c r="I265" i="10"/>
  <c r="AK264" i="10"/>
  <c r="AN263" i="10"/>
  <c r="AO263" i="10" s="1"/>
  <c r="AM261" i="10"/>
  <c r="AN260" i="10"/>
  <c r="AO260" i="10" s="1"/>
  <c r="AK259" i="10"/>
  <c r="AN258" i="10"/>
  <c r="AO258" i="10" s="1"/>
  <c r="AN257" i="10"/>
  <c r="AO257" i="10" s="1"/>
  <c r="I256" i="10"/>
  <c r="AP256" i="10" s="1"/>
  <c r="AL256" i="10" s="1"/>
  <c r="AS256" i="10" s="1"/>
  <c r="AN255" i="10"/>
  <c r="AO255" i="10" s="1"/>
  <c r="I255" i="10"/>
  <c r="AD254" i="10"/>
  <c r="AX254" i="10" s="1"/>
  <c r="AN253" i="10"/>
  <c r="AO253" i="10" s="1"/>
  <c r="AK251" i="10"/>
  <c r="I249" i="10"/>
  <c r="AP249" i="10" s="1"/>
  <c r="AL249" i="10" s="1"/>
  <c r="AS249" i="10" s="1"/>
  <c r="AM248" i="10"/>
  <c r="AK247" i="10"/>
  <c r="H247" i="10"/>
  <c r="AK245" i="10"/>
  <c r="I244" i="10"/>
  <c r="AM243" i="10"/>
  <c r="AG242" i="10"/>
  <c r="AX242" i="10" s="1"/>
  <c r="AF241" i="10"/>
  <c r="AX241" i="10" s="1"/>
  <c r="AG240" i="10"/>
  <c r="AX240" i="10" s="1"/>
  <c r="I240" i="10"/>
  <c r="AP240" i="10" s="1"/>
  <c r="AN238" i="10"/>
  <c r="AO238" i="10" s="1"/>
  <c r="I238" i="10"/>
  <c r="AF237" i="10"/>
  <c r="AX237" i="10" s="1"/>
  <c r="AM236" i="10"/>
  <c r="AG235" i="10"/>
  <c r="AX235" i="10" s="1"/>
  <c r="AK234" i="10"/>
  <c r="AG233" i="10"/>
  <c r="AX233" i="10" s="1"/>
  <c r="AF232" i="10"/>
  <c r="AX232" i="10" s="1"/>
  <c r="AD231" i="10"/>
  <c r="AX231" i="10" s="1"/>
  <c r="H231" i="10"/>
  <c r="AK230" i="10"/>
  <c r="H229" i="10"/>
  <c r="AM228" i="10"/>
  <c r="AN227" i="10"/>
  <c r="AO227" i="10" s="1"/>
  <c r="I227" i="10"/>
  <c r="AK226" i="10"/>
  <c r="AG224" i="10"/>
  <c r="AX224" i="10" s="1"/>
  <c r="AM223" i="10"/>
  <c r="AG222" i="10"/>
  <c r="AX222" i="10" s="1"/>
  <c r="AN221" i="10"/>
  <c r="AO221" i="10" s="1"/>
  <c r="AK220" i="10"/>
  <c r="AN219" i="10"/>
  <c r="AO219" i="10" s="1"/>
  <c r="AK217" i="10"/>
  <c r="AE216" i="10"/>
  <c r="AX216" i="10" s="1"/>
  <c r="AM215" i="10"/>
  <c r="AG214" i="10"/>
  <c r="AD214" i="10"/>
  <c r="AN213" i="10"/>
  <c r="AO213" i="10" s="1"/>
  <c r="AN212" i="10"/>
  <c r="AO212" i="10" s="1"/>
  <c r="AK211" i="10"/>
  <c r="AE210" i="10"/>
  <c r="AX210" i="10" s="1"/>
  <c r="AM209" i="10"/>
  <c r="I208" i="10"/>
  <c r="AN207" i="10"/>
  <c r="AO207" i="10" s="1"/>
  <c r="AG206" i="10"/>
  <c r="AX206" i="10" s="1"/>
  <c r="AM205" i="10"/>
  <c r="AN204" i="10"/>
  <c r="AO204" i="10" s="1"/>
  <c r="AN203" i="10"/>
  <c r="AO203" i="10" s="1"/>
  <c r="AK202" i="10"/>
  <c r="AM200" i="10"/>
  <c r="AN199" i="10"/>
  <c r="AO199" i="10" s="1"/>
  <c r="AM197" i="10"/>
  <c r="AM196" i="10"/>
  <c r="AN195" i="10"/>
  <c r="AO195" i="10" s="1"/>
  <c r="AM193" i="10"/>
  <c r="H193" i="10"/>
  <c r="AN191" i="10"/>
  <c r="AO191" i="10" s="1"/>
  <c r="AN190" i="10"/>
  <c r="AO190" i="10" s="1"/>
  <c r="AN188" i="10"/>
  <c r="AO188" i="10" s="1"/>
  <c r="I188" i="10"/>
  <c r="AP188" i="10" s="1"/>
  <c r="AL188" i="10" s="1"/>
  <c r="AS188" i="10" s="1"/>
  <c r="AC187" i="10"/>
  <c r="AX187" i="10" s="1"/>
  <c r="AM186" i="10"/>
  <c r="I185" i="10"/>
  <c r="AP185" i="10" s="1"/>
  <c r="AL185" i="10" s="1"/>
  <c r="AS185" i="10" s="1"/>
  <c r="AM183" i="10"/>
  <c r="AK182" i="10"/>
  <c r="I181" i="10"/>
  <c r="AP181" i="10" s="1"/>
  <c r="AL181" i="10" s="1"/>
  <c r="AS181" i="10" s="1"/>
  <c r="AE180" i="10"/>
  <c r="AX180" i="10" s="1"/>
  <c r="AK178" i="10"/>
  <c r="AK176" i="10"/>
  <c r="AK175" i="10"/>
  <c r="AM174" i="10"/>
  <c r="AN173" i="10"/>
  <c r="AO173" i="10" s="1"/>
  <c r="I173" i="10"/>
  <c r="AP173" i="10" s="1"/>
  <c r="AL173" i="10" s="1"/>
  <c r="AS173" i="10" s="1"/>
  <c r="AC172" i="10"/>
  <c r="AX172" i="10" s="1"/>
  <c r="AN171" i="10"/>
  <c r="AO171" i="10" s="1"/>
  <c r="AK170" i="10"/>
  <c r="AK169" i="10"/>
  <c r="AE168" i="10"/>
  <c r="AX168" i="10" s="1"/>
  <c r="AK167" i="10"/>
  <c r="AN166" i="10"/>
  <c r="AO166" i="10" s="1"/>
  <c r="AM164" i="10"/>
  <c r="AN163" i="10"/>
  <c r="AO163" i="10" s="1"/>
  <c r="I163" i="10"/>
  <c r="AM162" i="10"/>
  <c r="AN161" i="10"/>
  <c r="AO161" i="10" s="1"/>
  <c r="AG159" i="10"/>
  <c r="AX159" i="10" s="1"/>
  <c r="AK158" i="10"/>
  <c r="AM156" i="10"/>
  <c r="AK154" i="10"/>
  <c r="AM153" i="10"/>
  <c r="AM151" i="10"/>
  <c r="AK148" i="10"/>
  <c r="AM146" i="10"/>
  <c r="AM145" i="10"/>
  <c r="AK144" i="10"/>
  <c r="AG143" i="10"/>
  <c r="AX143" i="10" s="1"/>
  <c r="AM140" i="10"/>
  <c r="AM139" i="10"/>
  <c r="AM137" i="10"/>
  <c r="AM135" i="10"/>
  <c r="AG134" i="10"/>
  <c r="AC134" i="10"/>
  <c r="AX134" i="10" s="1"/>
  <c r="I134" i="10"/>
  <c r="AP134" i="10" s="1"/>
  <c r="I133" i="10"/>
  <c r="AN132" i="10"/>
  <c r="AO132" i="10" s="1"/>
  <c r="I132" i="10"/>
  <c r="AN131" i="10"/>
  <c r="AO131" i="10" s="1"/>
  <c r="AM130" i="10"/>
  <c r="AK129" i="10"/>
  <c r="AD128" i="10"/>
  <c r="AX128" i="10" s="1"/>
  <c r="AM127" i="10"/>
  <c r="AK126" i="10"/>
  <c r="I124" i="10"/>
  <c r="BD119" i="11" s="1"/>
  <c r="AN123" i="10"/>
  <c r="AO123" i="10" s="1"/>
  <c r="I123" i="10"/>
  <c r="AN122" i="10"/>
  <c r="AO122" i="10" s="1"/>
  <c r="AM121" i="10"/>
  <c r="AG118" i="10"/>
  <c r="AE118" i="10"/>
  <c r="AC118" i="10"/>
  <c r="AK116" i="10"/>
  <c r="I114" i="10"/>
  <c r="AP114" i="10" s="1"/>
  <c r="AL114" i="10" s="1"/>
  <c r="AS114" i="10" s="1"/>
  <c r="I113" i="10"/>
  <c r="AG112" i="10"/>
  <c r="AE112" i="10"/>
  <c r="AE111" i="10"/>
  <c r="AX111" i="10" s="1"/>
  <c r="AN108" i="10"/>
  <c r="AO108" i="10" s="1"/>
  <c r="AM107" i="10"/>
  <c r="I106" i="10"/>
  <c r="AP106" i="10" s="1"/>
  <c r="AL106" i="10" s="1"/>
  <c r="AS106" i="10" s="1"/>
  <c r="AM104" i="10"/>
  <c r="AM103" i="10"/>
  <c r="AM100" i="10"/>
  <c r="AN99" i="10"/>
  <c r="AO99" i="10" s="1"/>
  <c r="AF98" i="10"/>
  <c r="AE98" i="10"/>
  <c r="AD98" i="10"/>
  <c r="AC98" i="10"/>
  <c r="AN97" i="10"/>
  <c r="AO97" i="10" s="1"/>
  <c r="I97" i="10"/>
  <c r="AP97" i="10" s="1"/>
  <c r="AL97" i="10" s="1"/>
  <c r="AS97" i="10" s="1"/>
  <c r="I95" i="10"/>
  <c r="H94" i="10"/>
  <c r="AD93" i="10"/>
  <c r="AX93" i="10" s="1"/>
  <c r="I90" i="10"/>
  <c r="AP90" i="10" s="1"/>
  <c r="AL90" i="10" s="1"/>
  <c r="AS90" i="10" s="1"/>
  <c r="AB89" i="10"/>
  <c r="AB305" i="10" s="1"/>
  <c r="Z89" i="10"/>
  <c r="AG88" i="10"/>
  <c r="AX88" i="10" s="1"/>
  <c r="AF87" i="10"/>
  <c r="AX87" i="10" s="1"/>
  <c r="AN86" i="10"/>
  <c r="AO86" i="10" s="1"/>
  <c r="AF85" i="10"/>
  <c r="AX85" i="10" s="1"/>
  <c r="AE84" i="10"/>
  <c r="AX84" i="10" s="1"/>
  <c r="AN83" i="10"/>
  <c r="AO83" i="10" s="1"/>
  <c r="AG82" i="10"/>
  <c r="AX82" i="10" s="1"/>
  <c r="AK80" i="10"/>
  <c r="AN78" i="10"/>
  <c r="AO78" i="10" s="1"/>
  <c r="I78" i="10"/>
  <c r="AK77" i="10"/>
  <c r="AN75" i="10"/>
  <c r="AO75" i="10" s="1"/>
  <c r="AE74" i="10"/>
  <c r="AX74" i="10" s="1"/>
  <c r="AM73" i="10"/>
  <c r="AN72" i="10"/>
  <c r="AO72" i="10" s="1"/>
  <c r="I71" i="10"/>
  <c r="I68" i="10"/>
  <c r="I67" i="10"/>
  <c r="I66" i="10"/>
  <c r="AE65" i="10"/>
  <c r="AX65" i="10" s="1"/>
  <c r="I63" i="10"/>
  <c r="I62" i="10"/>
  <c r="AK59" i="10"/>
  <c r="AN58" i="10"/>
  <c r="AO58" i="10" s="1"/>
  <c r="AK57" i="10"/>
  <c r="AN56" i="10"/>
  <c r="AO56" i="10" s="1"/>
  <c r="AF55" i="10"/>
  <c r="AX55" i="10" s="1"/>
  <c r="AN54" i="10"/>
  <c r="AO54" i="10" s="1"/>
  <c r="AN51" i="10"/>
  <c r="AO51" i="10" s="1"/>
  <c r="I51" i="10"/>
  <c r="AP51" i="10" s="1"/>
  <c r="AL51" i="10" s="1"/>
  <c r="AS51" i="10" s="1"/>
  <c r="I50" i="10"/>
  <c r="AC49" i="10"/>
  <c r="AX49" i="10" s="1"/>
  <c r="AN48" i="10"/>
  <c r="AO48" i="10" s="1"/>
  <c r="AM47" i="10"/>
  <c r="AN46" i="10"/>
  <c r="AO46" i="10" s="1"/>
  <c r="I46" i="10"/>
  <c r="AK45" i="10"/>
  <c r="AN44" i="10"/>
  <c r="AO44" i="10" s="1"/>
  <c r="I43" i="10"/>
  <c r="AN42" i="10"/>
  <c r="AO42" i="10" s="1"/>
  <c r="I42" i="10"/>
  <c r="AN41" i="10"/>
  <c r="AO41" i="10" s="1"/>
  <c r="I41" i="10"/>
  <c r="AP41" i="10" s="1"/>
  <c r="AL41" i="10" s="1"/>
  <c r="AS41" i="10" s="1"/>
  <c r="AN40" i="10"/>
  <c r="AO40" i="10" s="1"/>
  <c r="AN39" i="10"/>
  <c r="AO39" i="10" s="1"/>
  <c r="I39" i="10"/>
  <c r="I38" i="10"/>
  <c r="AN37" i="10"/>
  <c r="AO37" i="10" s="1"/>
  <c r="I37" i="10"/>
  <c r="AP37" i="10" s="1"/>
  <c r="AL37" i="10" s="1"/>
  <c r="AS37" i="10" s="1"/>
  <c r="AN36" i="10"/>
  <c r="AO36" i="10" s="1"/>
  <c r="AD35" i="10"/>
  <c r="AC35" i="10"/>
  <c r="AN34" i="10"/>
  <c r="AO34" i="10" s="1"/>
  <c r="AM32" i="10"/>
  <c r="AN31" i="10"/>
  <c r="AO31" i="10" s="1"/>
  <c r="I31" i="10"/>
  <c r="I30" i="10"/>
  <c r="I29" i="10"/>
  <c r="AN28" i="10"/>
  <c r="AO28" i="10" s="1"/>
  <c r="I28" i="10"/>
  <c r="AN27" i="10"/>
  <c r="AO27" i="10" s="1"/>
  <c r="I27" i="10"/>
  <c r="I26" i="10"/>
  <c r="AE24" i="10"/>
  <c r="AX24" i="10" s="1"/>
  <c r="H24" i="10"/>
  <c r="AN23" i="10"/>
  <c r="AO23" i="10" s="1"/>
  <c r="I23" i="10"/>
  <c r="I21" i="10"/>
  <c r="AE19" i="10"/>
  <c r="AX19" i="10" s="1"/>
  <c r="H19" i="10"/>
  <c r="AG18" i="10"/>
  <c r="AF18" i="10"/>
  <c r="AN15" i="10"/>
  <c r="AO15" i="10" s="1"/>
  <c r="I14" i="10"/>
  <c r="I13" i="10"/>
  <c r="AN12" i="10"/>
  <c r="AO12" i="10" s="1"/>
  <c r="I12" i="10"/>
  <c r="AN11" i="10"/>
  <c r="AO11" i="10" s="1"/>
  <c r="I11" i="10"/>
  <c r="AK10" i="10"/>
  <c r="AN9" i="10"/>
  <c r="AO9" i="10" s="1"/>
  <c r="I9" i="10"/>
  <c r="AP9" i="10" s="1"/>
  <c r="AL9" i="10" s="1"/>
  <c r="AS9" i="10" s="1"/>
  <c r="I8" i="10"/>
  <c r="AK7" i="10"/>
  <c r="C5" i="10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P304" i="10" l="1"/>
  <c r="AL304" i="10" s="1"/>
  <c r="AS304" i="10" s="1"/>
  <c r="BD299" i="11"/>
  <c r="AX35" i="10"/>
  <c r="AX98" i="10"/>
  <c r="AX112" i="10"/>
  <c r="AP308" i="15"/>
  <c r="AP312" i="15" s="1"/>
  <c r="AP311" i="15" s="1"/>
  <c r="I33" i="37"/>
  <c r="K33" i="37" s="1"/>
  <c r="AO308" i="15"/>
  <c r="I32" i="37"/>
  <c r="K283" i="31"/>
  <c r="BC276" i="11"/>
  <c r="BE276" i="11"/>
  <c r="BG276" i="11"/>
  <c r="BE160" i="11"/>
  <c r="K305" i="11"/>
  <c r="BG160" i="11"/>
  <c r="BC160" i="11"/>
  <c r="BE168" i="11"/>
  <c r="BC168" i="11"/>
  <c r="BG168" i="11"/>
  <c r="AJ301" i="11"/>
  <c r="AJ305" i="11"/>
  <c r="BE4" i="11"/>
  <c r="BC4" i="11"/>
  <c r="BG4" i="11"/>
  <c r="BC180" i="11"/>
  <c r="BD180" i="11" s="1"/>
  <c r="BE180" i="11"/>
  <c r="BG180" i="11"/>
  <c r="AD311" i="11"/>
  <c r="I29" i="37" s="1"/>
  <c r="AL314" i="15"/>
  <c r="AL315" i="15" s="1"/>
  <c r="AC311" i="11"/>
  <c r="I28" i="37" s="1"/>
  <c r="AK314" i="15"/>
  <c r="AK315" i="15" s="1"/>
  <c r="AJ307" i="11"/>
  <c r="K307" i="11"/>
  <c r="AE311" i="11"/>
  <c r="I30" i="37" s="1"/>
  <c r="AH309" i="15"/>
  <c r="AA309" i="15"/>
  <c r="P309" i="15"/>
  <c r="AC309" i="15"/>
  <c r="T309" i="15"/>
  <c r="V309" i="15"/>
  <c r="L309" i="15"/>
  <c r="O309" i="15"/>
  <c r="Q309" i="15"/>
  <c r="AD309" i="15"/>
  <c r="AG309" i="15"/>
  <c r="U309" i="15"/>
  <c r="AI309" i="15"/>
  <c r="W309" i="15"/>
  <c r="X309" i="15"/>
  <c r="Y309" i="15"/>
  <c r="Z309" i="15"/>
  <c r="M309" i="15"/>
  <c r="AB309" i="15"/>
  <c r="R309" i="15"/>
  <c r="AF309" i="15"/>
  <c r="C303" i="11"/>
  <c r="D303" i="11" s="1"/>
  <c r="E303" i="11" s="1"/>
  <c r="F303" i="11" s="1"/>
  <c r="G303" i="11" s="1"/>
  <c r="H303" i="11" s="1"/>
  <c r="I303" i="11" s="1"/>
  <c r="J303" i="11" s="1"/>
  <c r="K303" i="11" s="1"/>
  <c r="AX18" i="10"/>
  <c r="AX89" i="10"/>
  <c r="AX214" i="10"/>
  <c r="AX118" i="10"/>
  <c r="AJ180" i="10"/>
  <c r="AL180" i="10" s="1"/>
  <c r="AS180" i="10" s="1"/>
  <c r="AJ231" i="10"/>
  <c r="AL231" i="10" s="1"/>
  <c r="AS231" i="10" s="1"/>
  <c r="AJ210" i="10"/>
  <c r="AL210" i="10" s="1"/>
  <c r="AS210" i="10" s="1"/>
  <c r="AJ222" i="10"/>
  <c r="AL222" i="10" s="1"/>
  <c r="AS222" i="10" s="1"/>
  <c r="AJ233" i="10"/>
  <c r="AL233" i="10" s="1"/>
  <c r="AS233" i="10" s="1"/>
  <c r="AJ280" i="10"/>
  <c r="AL280" i="10" s="1"/>
  <c r="AS280" i="10" s="1"/>
  <c r="AJ168" i="10"/>
  <c r="AL168" i="10" s="1"/>
  <c r="AS168" i="10" s="1"/>
  <c r="AJ24" i="10"/>
  <c r="AL24" i="10" s="1"/>
  <c r="AS24" i="10" s="1"/>
  <c r="AJ35" i="10"/>
  <c r="AL35" i="10" s="1"/>
  <c r="AS35" i="10" s="1"/>
  <c r="AJ85" i="10"/>
  <c r="AL85" i="10" s="1"/>
  <c r="AS85" i="10" s="1"/>
  <c r="AJ98" i="10"/>
  <c r="AL98" i="10" s="1"/>
  <c r="AS98" i="10" s="1"/>
  <c r="AJ112" i="10"/>
  <c r="AL112" i="10" s="1"/>
  <c r="AS112" i="10" s="1"/>
  <c r="AJ55" i="10"/>
  <c r="AL55" i="10" s="1"/>
  <c r="AS55" i="10" s="1"/>
  <c r="AJ270" i="10"/>
  <c r="AL270" i="10" s="1"/>
  <c r="AS270" i="10" s="1"/>
  <c r="AJ242" i="10"/>
  <c r="AL242" i="10" s="1"/>
  <c r="AS242" i="10" s="1"/>
  <c r="AJ232" i="10"/>
  <c r="AL232" i="10" s="1"/>
  <c r="AS232" i="10" s="1"/>
  <c r="AJ159" i="10"/>
  <c r="AL159" i="10" s="1"/>
  <c r="AS159" i="10" s="1"/>
  <c r="AJ118" i="10"/>
  <c r="AL118" i="10" s="1"/>
  <c r="AS118" i="10" s="1"/>
  <c r="AJ143" i="10"/>
  <c r="AL143" i="10" s="1"/>
  <c r="AS143" i="10" s="1"/>
  <c r="AJ285" i="10"/>
  <c r="AL285" i="10" s="1"/>
  <c r="AS285" i="10" s="1"/>
  <c r="AJ111" i="10"/>
  <c r="AL111" i="10" s="1"/>
  <c r="AS111" i="10" s="1"/>
  <c r="AJ87" i="10"/>
  <c r="AL87" i="10" s="1"/>
  <c r="AS87" i="10" s="1"/>
  <c r="AJ88" i="10"/>
  <c r="AL88" i="10" s="1"/>
  <c r="AS88" i="10" s="1"/>
  <c r="AJ128" i="10"/>
  <c r="AL128" i="10" s="1"/>
  <c r="AS128" i="10" s="1"/>
  <c r="AJ172" i="10"/>
  <c r="AL172" i="10" s="1"/>
  <c r="AS172" i="10" s="1"/>
  <c r="AJ18" i="10"/>
  <c r="AL18" i="10" s="1"/>
  <c r="AS18" i="10" s="1"/>
  <c r="AJ89" i="10"/>
  <c r="AL89" i="10" s="1"/>
  <c r="AS89" i="10" s="1"/>
  <c r="AJ187" i="10"/>
  <c r="AL187" i="10" s="1"/>
  <c r="AS187" i="10" s="1"/>
  <c r="AJ214" i="10"/>
  <c r="AL214" i="10" s="1"/>
  <c r="AS214" i="10" s="1"/>
  <c r="AJ237" i="10"/>
  <c r="AL237" i="10" s="1"/>
  <c r="AS237" i="10" s="1"/>
  <c r="BD34" i="11"/>
  <c r="AP39" i="10"/>
  <c r="AL39" i="10" s="1"/>
  <c r="AS39" i="10" s="1"/>
  <c r="AJ275" i="10"/>
  <c r="AL275" i="10" s="1"/>
  <c r="AS275" i="10" s="1"/>
  <c r="AJ84" i="10"/>
  <c r="AL84" i="10" s="1"/>
  <c r="AS84" i="10" s="1"/>
  <c r="AJ134" i="10"/>
  <c r="AL134" i="10" s="1"/>
  <c r="AS134" i="10" s="1"/>
  <c r="AJ235" i="10"/>
  <c r="AL235" i="10" s="1"/>
  <c r="AS235" i="10" s="1"/>
  <c r="AJ74" i="10"/>
  <c r="AL74" i="10" s="1"/>
  <c r="AS74" i="10" s="1"/>
  <c r="AJ19" i="10"/>
  <c r="AL19" i="10" s="1"/>
  <c r="AS19" i="10" s="1"/>
  <c r="AJ93" i="10"/>
  <c r="AL93" i="10" s="1"/>
  <c r="AS93" i="10" s="1"/>
  <c r="AJ216" i="10"/>
  <c r="AL216" i="10" s="1"/>
  <c r="AS216" i="10" s="1"/>
  <c r="AJ49" i="10"/>
  <c r="AL49" i="10" s="1"/>
  <c r="AS49" i="10" s="1"/>
  <c r="AJ65" i="10"/>
  <c r="AL65" i="10" s="1"/>
  <c r="AS65" i="10" s="1"/>
  <c r="AJ240" i="10"/>
  <c r="AL240" i="10" s="1"/>
  <c r="AS240" i="10" s="1"/>
  <c r="AJ254" i="10"/>
  <c r="AL254" i="10" s="1"/>
  <c r="AS254" i="10" s="1"/>
  <c r="AJ224" i="10"/>
  <c r="AL224" i="10" s="1"/>
  <c r="AS224" i="10" s="1"/>
  <c r="AJ206" i="10"/>
  <c r="AL206" i="10" s="1"/>
  <c r="AS206" i="10" s="1"/>
  <c r="AJ82" i="10"/>
  <c r="AL82" i="10" s="1"/>
  <c r="AS82" i="10" s="1"/>
  <c r="AJ241" i="10"/>
  <c r="AL241" i="10" s="1"/>
  <c r="AS241" i="10" s="1"/>
  <c r="BD30" i="11"/>
  <c r="BH30" i="11"/>
  <c r="BD70" i="11"/>
  <c r="BH70" i="11"/>
  <c r="BD157" i="11"/>
  <c r="BH157" i="11"/>
  <c r="BD189" i="11"/>
  <c r="BH189" i="11"/>
  <c r="BD229" i="11"/>
  <c r="BH229" i="11"/>
  <c r="BD253" i="11"/>
  <c r="BH253" i="11"/>
  <c r="BD277" i="11"/>
  <c r="BH277" i="11"/>
  <c r="BD31" i="11"/>
  <c r="BH31" i="11"/>
  <c r="BD87" i="11"/>
  <c r="BH87" i="11"/>
  <c r="BD95" i="11"/>
  <c r="BH95" i="11"/>
  <c r="BD103" i="11"/>
  <c r="BH103" i="11"/>
  <c r="BD111" i="11"/>
  <c r="BH111" i="11"/>
  <c r="BD166" i="11"/>
  <c r="BH166" i="11"/>
  <c r="BD174" i="11"/>
  <c r="BH174" i="11"/>
  <c r="BD182" i="11"/>
  <c r="BH182" i="11"/>
  <c r="BD190" i="11"/>
  <c r="BH190" i="11"/>
  <c r="BD198" i="11"/>
  <c r="BH198" i="11"/>
  <c r="BD206" i="11"/>
  <c r="BH206" i="11"/>
  <c r="BD214" i="11"/>
  <c r="BH214" i="11"/>
  <c r="BD230" i="11"/>
  <c r="BH230" i="11"/>
  <c r="BD238" i="11"/>
  <c r="BH238" i="11"/>
  <c r="BD246" i="11"/>
  <c r="BH246" i="11"/>
  <c r="BD254" i="11"/>
  <c r="BH254" i="11"/>
  <c r="BD262" i="11"/>
  <c r="BH262" i="11"/>
  <c r="BD270" i="11"/>
  <c r="BH270" i="11"/>
  <c r="BD294" i="11"/>
  <c r="BH294" i="11"/>
  <c r="BD40" i="11"/>
  <c r="BH40" i="11"/>
  <c r="BD48" i="11"/>
  <c r="BH48" i="11"/>
  <c r="BD64" i="11"/>
  <c r="BH64" i="11"/>
  <c r="BD72" i="11"/>
  <c r="BH72" i="11"/>
  <c r="BD80" i="11"/>
  <c r="BH80" i="11"/>
  <c r="BD88" i="11"/>
  <c r="BH88" i="11"/>
  <c r="BD96" i="11"/>
  <c r="BH96" i="11"/>
  <c r="BD104" i="11"/>
  <c r="BH104" i="11"/>
  <c r="BD112" i="11"/>
  <c r="BH112" i="11"/>
  <c r="BD135" i="11"/>
  <c r="BH135" i="11"/>
  <c r="BD143" i="11"/>
  <c r="BH143" i="11"/>
  <c r="BD151" i="11"/>
  <c r="BH151" i="11"/>
  <c r="BD159" i="11"/>
  <c r="BH159" i="11"/>
  <c r="BD167" i="11"/>
  <c r="BH167" i="11"/>
  <c r="BD175" i="11"/>
  <c r="BH175" i="11"/>
  <c r="BD191" i="11"/>
  <c r="BH191" i="11"/>
  <c r="BD199" i="11"/>
  <c r="BH199" i="11"/>
  <c r="BD207" i="11"/>
  <c r="BH207" i="11"/>
  <c r="BD215" i="11"/>
  <c r="BH215" i="11"/>
  <c r="BD223" i="11"/>
  <c r="BH223" i="11"/>
  <c r="BD231" i="11"/>
  <c r="BH231" i="11"/>
  <c r="BD247" i="11"/>
  <c r="BH247" i="11"/>
  <c r="BD255" i="11"/>
  <c r="BH255" i="11"/>
  <c r="BD279" i="11"/>
  <c r="BH279" i="11"/>
  <c r="BD287" i="11"/>
  <c r="BH287" i="11"/>
  <c r="BD295" i="11"/>
  <c r="BH295" i="11"/>
  <c r="BD54" i="11"/>
  <c r="BH54" i="11"/>
  <c r="BD86" i="11"/>
  <c r="BH86" i="11"/>
  <c r="BD110" i="11"/>
  <c r="BH110" i="11"/>
  <c r="BD141" i="11"/>
  <c r="BH141" i="11"/>
  <c r="BD173" i="11"/>
  <c r="BH173" i="11"/>
  <c r="BD213" i="11"/>
  <c r="BH213" i="11"/>
  <c r="BD237" i="11"/>
  <c r="BH237" i="11"/>
  <c r="BD55" i="11"/>
  <c r="BH55" i="11"/>
  <c r="BD49" i="11"/>
  <c r="BH49" i="11"/>
  <c r="BD232" i="11"/>
  <c r="BH232" i="11"/>
  <c r="BD10" i="11"/>
  <c r="BD42" i="11"/>
  <c r="BH42" i="11"/>
  <c r="BD50" i="11"/>
  <c r="BH50" i="11"/>
  <c r="BD74" i="11"/>
  <c r="BH74" i="11"/>
  <c r="BD82" i="11"/>
  <c r="BH82" i="11"/>
  <c r="BD98" i="11"/>
  <c r="BH98" i="11"/>
  <c r="BD106" i="11"/>
  <c r="BH106" i="11"/>
  <c r="BD122" i="11"/>
  <c r="BH122" i="11"/>
  <c r="BD137" i="11"/>
  <c r="BH137" i="11"/>
  <c r="BD145" i="11"/>
  <c r="BH145" i="11"/>
  <c r="BD153" i="11"/>
  <c r="BH153" i="11"/>
  <c r="BD161" i="11"/>
  <c r="BH161" i="11"/>
  <c r="BD169" i="11"/>
  <c r="BH169" i="11"/>
  <c r="BD177" i="11"/>
  <c r="BH177" i="11"/>
  <c r="BD185" i="11"/>
  <c r="BH185" i="11"/>
  <c r="BD193" i="11"/>
  <c r="BH193" i="11"/>
  <c r="BD201" i="11"/>
  <c r="BH201" i="11"/>
  <c r="BD209" i="11"/>
  <c r="BH209" i="11"/>
  <c r="BD217" i="11"/>
  <c r="BH217" i="11"/>
  <c r="BD225" i="11"/>
  <c r="BH225" i="11"/>
  <c r="BD241" i="11"/>
  <c r="BH241" i="11"/>
  <c r="BD249" i="11"/>
  <c r="BH249" i="11"/>
  <c r="BD257" i="11"/>
  <c r="BH257" i="11"/>
  <c r="BD265" i="11"/>
  <c r="BH265" i="11"/>
  <c r="BD273" i="11"/>
  <c r="BH273" i="11"/>
  <c r="BD78" i="11"/>
  <c r="BH78" i="11"/>
  <c r="BD126" i="11"/>
  <c r="BH126" i="11"/>
  <c r="BD181" i="11"/>
  <c r="BH181" i="11"/>
  <c r="BD15" i="11"/>
  <c r="BH15" i="11"/>
  <c r="BD47" i="11"/>
  <c r="BH47" i="11"/>
  <c r="BD79" i="11"/>
  <c r="BH79" i="11"/>
  <c r="BD150" i="11"/>
  <c r="BH150" i="11"/>
  <c r="BD97" i="11"/>
  <c r="BH97" i="11"/>
  <c r="BD113" i="11"/>
  <c r="BH113" i="11"/>
  <c r="BD136" i="11"/>
  <c r="BH136" i="11"/>
  <c r="BF160" i="11"/>
  <c r="BD184" i="11"/>
  <c r="BH184" i="11"/>
  <c r="BD216" i="11"/>
  <c r="BH216" i="11"/>
  <c r="BD280" i="11"/>
  <c r="BH280" i="11"/>
  <c r="BD11" i="11"/>
  <c r="BD19" i="11"/>
  <c r="BH19" i="11"/>
  <c r="BD27" i="11"/>
  <c r="BH27" i="11"/>
  <c r="BD43" i="11"/>
  <c r="BH43" i="11"/>
  <c r="BD51" i="11"/>
  <c r="BH51" i="11"/>
  <c r="BD59" i="11"/>
  <c r="BH59" i="11"/>
  <c r="BD75" i="11"/>
  <c r="BH75" i="11"/>
  <c r="BD83" i="11"/>
  <c r="BH83" i="11"/>
  <c r="BD91" i="11"/>
  <c r="BH91" i="11"/>
  <c r="BD99" i="11"/>
  <c r="BH99" i="11"/>
  <c r="BD107" i="11"/>
  <c r="BH107" i="11"/>
  <c r="BD123" i="11"/>
  <c r="BH123" i="11"/>
  <c r="BD130" i="11"/>
  <c r="BD138" i="11"/>
  <c r="BH138" i="11"/>
  <c r="BD146" i="11"/>
  <c r="BH146" i="11"/>
  <c r="BD154" i="11"/>
  <c r="BH154" i="11"/>
  <c r="BD162" i="11"/>
  <c r="BH162" i="11"/>
  <c r="BD170" i="11"/>
  <c r="BH170" i="11"/>
  <c r="BD178" i="11"/>
  <c r="BH178" i="11"/>
  <c r="BD186" i="11"/>
  <c r="BH186" i="11"/>
  <c r="BD194" i="11"/>
  <c r="BH194" i="11"/>
  <c r="BD202" i="11"/>
  <c r="BH202" i="11"/>
  <c r="BD210" i="11"/>
  <c r="BH210" i="11"/>
  <c r="BD218" i="11"/>
  <c r="BH218" i="11"/>
  <c r="BD226" i="11"/>
  <c r="BH226" i="11"/>
  <c r="BD234" i="11"/>
  <c r="BH234" i="11"/>
  <c r="BD242" i="11"/>
  <c r="BH242" i="11"/>
  <c r="BD258" i="11"/>
  <c r="BH258" i="11"/>
  <c r="BD274" i="11"/>
  <c r="BH274" i="11"/>
  <c r="BD282" i="11"/>
  <c r="BH282" i="11"/>
  <c r="BD290" i="11"/>
  <c r="BH290" i="11"/>
  <c r="BD102" i="11"/>
  <c r="BH102" i="11"/>
  <c r="BD149" i="11"/>
  <c r="BH149" i="11"/>
  <c r="BD197" i="11"/>
  <c r="BH197" i="11"/>
  <c r="BD221" i="11"/>
  <c r="BH221" i="11"/>
  <c r="BD261" i="11"/>
  <c r="BH261" i="11"/>
  <c r="BD293" i="11"/>
  <c r="BH293" i="11"/>
  <c r="BD142" i="11"/>
  <c r="BH142" i="11"/>
  <c r="BD89" i="11"/>
  <c r="BH89" i="11"/>
  <c r="BD152" i="11"/>
  <c r="BH152" i="11"/>
  <c r="BF168" i="11"/>
  <c r="BD200" i="11"/>
  <c r="BH200" i="11"/>
  <c r="BD12" i="11"/>
  <c r="BD20" i="11"/>
  <c r="BH20" i="11"/>
  <c r="BD44" i="11"/>
  <c r="BH44" i="11"/>
  <c r="BD52" i="11"/>
  <c r="BH52" i="11"/>
  <c r="BD60" i="11"/>
  <c r="BH60" i="11"/>
  <c r="BD68" i="11"/>
  <c r="BH68" i="11"/>
  <c r="BD76" i="11"/>
  <c r="BH76" i="11"/>
  <c r="BD84" i="11"/>
  <c r="BH84" i="11"/>
  <c r="BD100" i="11"/>
  <c r="BH100" i="11"/>
  <c r="BD116" i="11"/>
  <c r="BH116" i="11"/>
  <c r="BD124" i="11"/>
  <c r="BH124" i="11"/>
  <c r="BD131" i="11"/>
  <c r="BH131" i="11"/>
  <c r="BD139" i="11"/>
  <c r="BH139" i="11"/>
  <c r="BD147" i="11"/>
  <c r="BH147" i="11"/>
  <c r="BD155" i="11"/>
  <c r="BH155" i="11"/>
  <c r="BD163" i="11"/>
  <c r="BH163" i="11"/>
  <c r="BD171" i="11"/>
  <c r="BH171" i="11"/>
  <c r="BD179" i="11"/>
  <c r="BH179" i="11"/>
  <c r="BD187" i="11"/>
  <c r="BH187" i="11"/>
  <c r="BD195" i="11"/>
  <c r="BH195" i="11"/>
  <c r="BD211" i="11"/>
  <c r="BH211" i="11"/>
  <c r="BD219" i="11"/>
  <c r="BH219" i="11"/>
  <c r="BD227" i="11"/>
  <c r="BH227" i="11"/>
  <c r="BD243" i="11"/>
  <c r="BH243" i="11"/>
  <c r="BD259" i="11"/>
  <c r="BH259" i="11"/>
  <c r="BD267" i="11"/>
  <c r="BH267" i="11"/>
  <c r="BD275" i="11"/>
  <c r="BH275" i="11"/>
  <c r="BD14" i="11"/>
  <c r="BH14" i="11"/>
  <c r="BD94" i="11"/>
  <c r="BH94" i="11"/>
  <c r="BD133" i="11"/>
  <c r="BH133" i="11"/>
  <c r="BD165" i="11"/>
  <c r="BH165" i="11"/>
  <c r="BD205" i="11"/>
  <c r="BH205" i="11"/>
  <c r="BD245" i="11"/>
  <c r="BH245" i="11"/>
  <c r="BD269" i="11"/>
  <c r="BH269" i="11"/>
  <c r="BD71" i="11"/>
  <c r="BH71" i="11"/>
  <c r="BD134" i="11"/>
  <c r="BH134" i="11"/>
  <c r="BD65" i="11"/>
  <c r="BH65" i="11"/>
  <c r="BD81" i="11"/>
  <c r="BH81" i="11"/>
  <c r="BD105" i="11"/>
  <c r="BH105" i="11"/>
  <c r="BD121" i="11"/>
  <c r="BH121" i="11"/>
  <c r="BD144" i="11"/>
  <c r="BH144" i="11"/>
  <c r="BD192" i="11"/>
  <c r="BH192" i="11"/>
  <c r="BD208" i="11"/>
  <c r="BH208" i="11"/>
  <c r="BD224" i="11"/>
  <c r="BH224" i="11"/>
  <c r="BD240" i="11"/>
  <c r="BH240" i="11"/>
  <c r="BD248" i="11"/>
  <c r="BH248" i="11"/>
  <c r="BD256" i="11"/>
  <c r="BH256" i="11"/>
  <c r="BD264" i="11"/>
  <c r="BH264" i="11"/>
  <c r="BD288" i="11"/>
  <c r="BH288" i="11"/>
  <c r="BD5" i="11"/>
  <c r="BH5" i="11"/>
  <c r="BD13" i="11"/>
  <c r="BD29" i="11"/>
  <c r="BH29" i="11"/>
  <c r="BD53" i="11"/>
  <c r="BH53" i="11"/>
  <c r="BD69" i="11"/>
  <c r="BH69" i="11"/>
  <c r="BD77" i="11"/>
  <c r="BH77" i="11"/>
  <c r="BD93" i="11"/>
  <c r="BH93" i="11"/>
  <c r="BD117" i="11"/>
  <c r="BH117" i="11"/>
  <c r="BD125" i="11"/>
  <c r="BH125" i="11"/>
  <c r="BD132" i="11"/>
  <c r="BH132" i="11"/>
  <c r="BD140" i="11"/>
  <c r="BH140" i="11"/>
  <c r="BD148" i="11"/>
  <c r="BH148" i="11"/>
  <c r="BD156" i="11"/>
  <c r="BH156" i="11"/>
  <c r="BD164" i="11"/>
  <c r="BH164" i="11"/>
  <c r="BD172" i="11"/>
  <c r="BH172" i="11"/>
  <c r="BF180" i="11"/>
  <c r="BD188" i="11"/>
  <c r="BH188" i="11"/>
  <c r="BD196" i="11"/>
  <c r="BH196" i="11"/>
  <c r="BD204" i="11"/>
  <c r="BH204" i="11"/>
  <c r="BD212" i="11"/>
  <c r="BH212" i="11"/>
  <c r="BD220" i="11"/>
  <c r="BH220" i="11"/>
  <c r="BD228" i="11"/>
  <c r="BH228" i="11"/>
  <c r="BD236" i="11"/>
  <c r="BH236" i="11"/>
  <c r="BD252" i="11"/>
  <c r="BH252" i="11"/>
  <c r="BD268" i="11"/>
  <c r="BH268" i="11"/>
  <c r="BF276" i="11"/>
  <c r="BD284" i="11"/>
  <c r="BH284" i="11"/>
  <c r="BD292" i="11"/>
  <c r="BH292" i="11"/>
  <c r="BD120" i="11"/>
  <c r="BH120" i="11"/>
  <c r="H305" i="10"/>
  <c r="BD3" i="11"/>
  <c r="BD26" i="11"/>
  <c r="BD114" i="11"/>
  <c r="BD18" i="11"/>
  <c r="BD90" i="11"/>
  <c r="BD127" i="11"/>
  <c r="BD291" i="11"/>
  <c r="BD38" i="11"/>
  <c r="BD118" i="11"/>
  <c r="AM28" i="10"/>
  <c r="AM41" i="10"/>
  <c r="AM66" i="10"/>
  <c r="AM227" i="10"/>
  <c r="AM50" i="10"/>
  <c r="AM40" i="10"/>
  <c r="AM44" i="10"/>
  <c r="AM256" i="10"/>
  <c r="AK277" i="10"/>
  <c r="AM283" i="10"/>
  <c r="AM288" i="10"/>
  <c r="AM13" i="10"/>
  <c r="AM26" i="10"/>
  <c r="AN94" i="10"/>
  <c r="AO94" i="10" s="1"/>
  <c r="AM276" i="10"/>
  <c r="AM12" i="10"/>
  <c r="AM29" i="10"/>
  <c r="AM67" i="10"/>
  <c r="BD278" i="11"/>
  <c r="AM114" i="10"/>
  <c r="AM185" i="10"/>
  <c r="BD176" i="11"/>
  <c r="AM303" i="10"/>
  <c r="AM46" i="10"/>
  <c r="AM62" i="10"/>
  <c r="AM33" i="10"/>
  <c r="AN193" i="10"/>
  <c r="AO193" i="10" s="1"/>
  <c r="AM304" i="10"/>
  <c r="AM38" i="10"/>
  <c r="AM188" i="10"/>
  <c r="AM290" i="10"/>
  <c r="BD281" i="11"/>
  <c r="BD129" i="11"/>
  <c r="AM72" i="10"/>
  <c r="AM301" i="10"/>
  <c r="AN186" i="10"/>
  <c r="AO186" i="10" s="1"/>
  <c r="BF246" i="11"/>
  <c r="BD33" i="11"/>
  <c r="AK302" i="10"/>
  <c r="AK137" i="10"/>
  <c r="BD62" i="11"/>
  <c r="AN137" i="10"/>
  <c r="AO137" i="10" s="1"/>
  <c r="BF132" i="11"/>
  <c r="AN229" i="10"/>
  <c r="AO229" i="10" s="1"/>
  <c r="AM244" i="10"/>
  <c r="AM249" i="10"/>
  <c r="AM45" i="10"/>
  <c r="AM34" i="10"/>
  <c r="AK103" i="10"/>
  <c r="BD283" i="11"/>
  <c r="AK54" i="10"/>
  <c r="BF98" i="11"/>
  <c r="AK90" i="10"/>
  <c r="BF81" i="11"/>
  <c r="AM9" i="10"/>
  <c r="AK26" i="10"/>
  <c r="AK67" i="10"/>
  <c r="AM291" i="10"/>
  <c r="AM264" i="10"/>
  <c r="AN264" i="10"/>
  <c r="AO264" i="10" s="1"/>
  <c r="BF259" i="11"/>
  <c r="AM27" i="10"/>
  <c r="BF53" i="11"/>
  <c r="AN282" i="10"/>
  <c r="AO282" i="10" s="1"/>
  <c r="BF104" i="11"/>
  <c r="BF197" i="11"/>
  <c r="AN217" i="10"/>
  <c r="AO217" i="10" s="1"/>
  <c r="BF15" i="11"/>
  <c r="AN261" i="10"/>
  <c r="AO261" i="10" s="1"/>
  <c r="AN100" i="10"/>
  <c r="AO100" i="10" s="1"/>
  <c r="AN130" i="10"/>
  <c r="AO130" i="10" s="1"/>
  <c r="BF256" i="11"/>
  <c r="BF225" i="11"/>
  <c r="AK279" i="10"/>
  <c r="BF189" i="11"/>
  <c r="BF20" i="11"/>
  <c r="AK48" i="10"/>
  <c r="AN116" i="10"/>
  <c r="AO116" i="10" s="1"/>
  <c r="AM123" i="10"/>
  <c r="BF140" i="11"/>
  <c r="AK161" i="10"/>
  <c r="BF184" i="11"/>
  <c r="BF200" i="11"/>
  <c r="BF261" i="11"/>
  <c r="BF274" i="11"/>
  <c r="AM293" i="10"/>
  <c r="BD85" i="11"/>
  <c r="AK42" i="10"/>
  <c r="AM90" i="10"/>
  <c r="AK303" i="10"/>
  <c r="BF76" i="11"/>
  <c r="BF116" i="11"/>
  <c r="BF157" i="11"/>
  <c r="AM217" i="10"/>
  <c r="AM226" i="10"/>
  <c r="BF277" i="11"/>
  <c r="BF105" i="11"/>
  <c r="BF193" i="11"/>
  <c r="BD22" i="11"/>
  <c r="BF287" i="11"/>
  <c r="AN32" i="10"/>
  <c r="AO32" i="10" s="1"/>
  <c r="BF42" i="11"/>
  <c r="AN126" i="10"/>
  <c r="AO126" i="10" s="1"/>
  <c r="AM79" i="10"/>
  <c r="BF121" i="11"/>
  <c r="AN279" i="10"/>
  <c r="AO279" i="10" s="1"/>
  <c r="AK293" i="10"/>
  <c r="BD235" i="11"/>
  <c r="AM48" i="10"/>
  <c r="AN79" i="10"/>
  <c r="AO79" i="10" s="1"/>
  <c r="BF151" i="11"/>
  <c r="AM161" i="10"/>
  <c r="AK228" i="10"/>
  <c r="BF254" i="11"/>
  <c r="BF258" i="11"/>
  <c r="AM302" i="10"/>
  <c r="AK95" i="10"/>
  <c r="BF124" i="11"/>
  <c r="AN153" i="10"/>
  <c r="AO153" i="10" s="1"/>
  <c r="AN183" i="10"/>
  <c r="AO183" i="10" s="1"/>
  <c r="AK130" i="10"/>
  <c r="AN226" i="10"/>
  <c r="AO226" i="10" s="1"/>
  <c r="AK258" i="10"/>
  <c r="AN300" i="10"/>
  <c r="AO300" i="10" s="1"/>
  <c r="BF55" i="11"/>
  <c r="AM122" i="10"/>
  <c r="BF273" i="11"/>
  <c r="AK304" i="10"/>
  <c r="BD183" i="11"/>
  <c r="AM126" i="10"/>
  <c r="AM56" i="10"/>
  <c r="BF95" i="11"/>
  <c r="BF125" i="11"/>
  <c r="BF169" i="11"/>
  <c r="AM199" i="10"/>
  <c r="BF27" i="11"/>
  <c r="BF134" i="11"/>
  <c r="AN245" i="10"/>
  <c r="AO245" i="10" s="1"/>
  <c r="BF43" i="11"/>
  <c r="BF111" i="11"/>
  <c r="BF171" i="11"/>
  <c r="AK186" i="10"/>
  <c r="BF190" i="11"/>
  <c r="AM220" i="10"/>
  <c r="BF262" i="11"/>
  <c r="AK27" i="10"/>
  <c r="AN121" i="10"/>
  <c r="AO121" i="10" s="1"/>
  <c r="BF242" i="11"/>
  <c r="AK261" i="10"/>
  <c r="BF267" i="11"/>
  <c r="AK39" i="10"/>
  <c r="AN248" i="10"/>
  <c r="AO248" i="10" s="1"/>
  <c r="AK269" i="10"/>
  <c r="AN230" i="10"/>
  <c r="AO230" i="10" s="1"/>
  <c r="AM258" i="10"/>
  <c r="AK56" i="10"/>
  <c r="BF149" i="11"/>
  <c r="BF31" i="11"/>
  <c r="AK79" i="10"/>
  <c r="AN209" i="10"/>
  <c r="AO209" i="10" s="1"/>
  <c r="AK223" i="10"/>
  <c r="AM116" i="10"/>
  <c r="BF159" i="11"/>
  <c r="AN223" i="10"/>
  <c r="AO223" i="10" s="1"/>
  <c r="AM58" i="10"/>
  <c r="AM63" i="10"/>
  <c r="BF156" i="11"/>
  <c r="BF196" i="11"/>
  <c r="AN220" i="10"/>
  <c r="AO220" i="10" s="1"/>
  <c r="AN247" i="10"/>
  <c r="AO247" i="10" s="1"/>
  <c r="AM268" i="10"/>
  <c r="AK151" i="10"/>
  <c r="AM184" i="10"/>
  <c r="AN184" i="10"/>
  <c r="AO184" i="10" s="1"/>
  <c r="AM296" i="10"/>
  <c r="AK12" i="10"/>
  <c r="AK229" i="10"/>
  <c r="AM229" i="10"/>
  <c r="AK296" i="10"/>
  <c r="AK16" i="10"/>
  <c r="AN16" i="10"/>
  <c r="AO16" i="10" s="1"/>
  <c r="AM16" i="10"/>
  <c r="AK91" i="10"/>
  <c r="AN91" i="10"/>
  <c r="AO91" i="10" s="1"/>
  <c r="AM91" i="10"/>
  <c r="AK271" i="10"/>
  <c r="AN271" i="10"/>
  <c r="AO271" i="10" s="1"/>
  <c r="AM166" i="10"/>
  <c r="AN53" i="10"/>
  <c r="AO53" i="10" s="1"/>
  <c r="AM53" i="10"/>
  <c r="AK53" i="10"/>
  <c r="AM141" i="10"/>
  <c r="AN141" i="10"/>
  <c r="AO141" i="10" s="1"/>
  <c r="AN170" i="10"/>
  <c r="AO170" i="10" s="1"/>
  <c r="AM170" i="10"/>
  <c r="AK184" i="10"/>
  <c r="AK199" i="10"/>
  <c r="AN102" i="10"/>
  <c r="AO102" i="10" s="1"/>
  <c r="AM102" i="10"/>
  <c r="AK102" i="10"/>
  <c r="AM120" i="10"/>
  <c r="BD115" i="11"/>
  <c r="BF146" i="11"/>
  <c r="AN151" i="10"/>
  <c r="AO151" i="10" s="1"/>
  <c r="AK141" i="10"/>
  <c r="AN246" i="10"/>
  <c r="AO246" i="10" s="1"/>
  <c r="AM246" i="10"/>
  <c r="AM22" i="10"/>
  <c r="AK287" i="10"/>
  <c r="BF194" i="11"/>
  <c r="AK257" i="10"/>
  <c r="AK273" i="10"/>
  <c r="AM287" i="10"/>
  <c r="BD285" i="11"/>
  <c r="AK13" i="10"/>
  <c r="AK43" i="10"/>
  <c r="AK62" i="10"/>
  <c r="BF102" i="11"/>
  <c r="AK115" i="10"/>
  <c r="AN115" i="10"/>
  <c r="AO115" i="10" s="1"/>
  <c r="AM115" i="10"/>
  <c r="AK164" i="10"/>
  <c r="AN178" i="10"/>
  <c r="AO178" i="10" s="1"/>
  <c r="AK33" i="10"/>
  <c r="AK213" i="10"/>
  <c r="AM277" i="10"/>
  <c r="BF11" i="11"/>
  <c r="AN20" i="10"/>
  <c r="AO20" i="10" s="1"/>
  <c r="AM20" i="10"/>
  <c r="AK20" i="10"/>
  <c r="AN43" i="10"/>
  <c r="AO43" i="10" s="1"/>
  <c r="AN62" i="10"/>
  <c r="AO62" i="10" s="1"/>
  <c r="AN104" i="10"/>
  <c r="AO104" i="10" s="1"/>
  <c r="AK108" i="10"/>
  <c r="AM119" i="10"/>
  <c r="AK140" i="10"/>
  <c r="AK149" i="10"/>
  <c r="AM149" i="10"/>
  <c r="AN149" i="10"/>
  <c r="AO149" i="10" s="1"/>
  <c r="AN164" i="10"/>
  <c r="AO164" i="10" s="1"/>
  <c r="AN175" i="10"/>
  <c r="AO175" i="10" s="1"/>
  <c r="AM213" i="10"/>
  <c r="AM234" i="10"/>
  <c r="AM251" i="10"/>
  <c r="AM267" i="10"/>
  <c r="BF268" i="11"/>
  <c r="AK282" i="10"/>
  <c r="BF282" i="11"/>
  <c r="AM298" i="10"/>
  <c r="AK301" i="10"/>
  <c r="AN303" i="10"/>
  <c r="AO303" i="10" s="1"/>
  <c r="AM181" i="10"/>
  <c r="BF48" i="11"/>
  <c r="AN96" i="10"/>
  <c r="AO96" i="10" s="1"/>
  <c r="AM96" i="10"/>
  <c r="BF161" i="11"/>
  <c r="AM178" i="10"/>
  <c r="AK196" i="10"/>
  <c r="AK290" i="10"/>
  <c r="AE305" i="10"/>
  <c r="AK96" i="10"/>
  <c r="AN107" i="10"/>
  <c r="AO107" i="10" s="1"/>
  <c r="AM182" i="10"/>
  <c r="AN182" i="10"/>
  <c r="AO182" i="10" s="1"/>
  <c r="AK68" i="10"/>
  <c r="AN196" i="10"/>
  <c r="AO196" i="10" s="1"/>
  <c r="AM257" i="10"/>
  <c r="AM273" i="10"/>
  <c r="AM43" i="10"/>
  <c r="AK46" i="10"/>
  <c r="AM175" i="10"/>
  <c r="AK298" i="10"/>
  <c r="AM59" i="10"/>
  <c r="AN69" i="10"/>
  <c r="AO69" i="10" s="1"/>
  <c r="AK69" i="10"/>
  <c r="AK94" i="10"/>
  <c r="AM94" i="10"/>
  <c r="AM108" i="10"/>
  <c r="AK119" i="10"/>
  <c r="AK122" i="10"/>
  <c r="AN234" i="10"/>
  <c r="AO234" i="10" s="1"/>
  <c r="AM238" i="10"/>
  <c r="AK248" i="10"/>
  <c r="AN251" i="10"/>
  <c r="AO251" i="10" s="1"/>
  <c r="AK274" i="10"/>
  <c r="AN274" i="10"/>
  <c r="AO274" i="10" s="1"/>
  <c r="AM295" i="10"/>
  <c r="AN13" i="10"/>
  <c r="AO13" i="10" s="1"/>
  <c r="AN14" i="10"/>
  <c r="AO14" i="10" s="1"/>
  <c r="AK14" i="10"/>
  <c r="AM21" i="10"/>
  <c r="AK34" i="10"/>
  <c r="AN59" i="10"/>
  <c r="AO59" i="10" s="1"/>
  <c r="BF99" i="11"/>
  <c r="AM133" i="10"/>
  <c r="BF170" i="11"/>
  <c r="BF208" i="11"/>
  <c r="AN225" i="10"/>
  <c r="AO225" i="10" s="1"/>
  <c r="AM225" i="10"/>
  <c r="AK225" i="10"/>
  <c r="AM245" i="10"/>
  <c r="BD250" i="11"/>
  <c r="AM255" i="10"/>
  <c r="AN267" i="10"/>
  <c r="AO267" i="10" s="1"/>
  <c r="AK160" i="10"/>
  <c r="AN160" i="10"/>
  <c r="AO160" i="10" s="1"/>
  <c r="AM160" i="10"/>
  <c r="AK105" i="10"/>
  <c r="AM105" i="10"/>
  <c r="AN105" i="10"/>
  <c r="AO105" i="10" s="1"/>
  <c r="AN165" i="10"/>
  <c r="AO165" i="10" s="1"/>
  <c r="AM165" i="10"/>
  <c r="AK165" i="10"/>
  <c r="BD266" i="11"/>
  <c r="AM271" i="10"/>
  <c r="BF241" i="11"/>
  <c r="BD286" i="11"/>
  <c r="BD297" i="11"/>
  <c r="BF51" i="11"/>
  <c r="AK86" i="10"/>
  <c r="BF103" i="11"/>
  <c r="BF177" i="11"/>
  <c r="AK191" i="10"/>
  <c r="AK219" i="10"/>
  <c r="BF252" i="11"/>
  <c r="AK260" i="10"/>
  <c r="AK288" i="10"/>
  <c r="AK50" i="10"/>
  <c r="AK244" i="10"/>
  <c r="AM77" i="10"/>
  <c r="AK83" i="10"/>
  <c r="AK31" i="10"/>
  <c r="AN50" i="10"/>
  <c r="AO50" i="10" s="1"/>
  <c r="AK73" i="10"/>
  <c r="AN77" i="10"/>
  <c r="AO77" i="10" s="1"/>
  <c r="AM80" i="10"/>
  <c r="AM83" i="10"/>
  <c r="AM86" i="10"/>
  <c r="BF117" i="11"/>
  <c r="AN129" i="10"/>
  <c r="AO129" i="10" s="1"/>
  <c r="AK135" i="10"/>
  <c r="BF147" i="11"/>
  <c r="AK171" i="10"/>
  <c r="AK188" i="10"/>
  <c r="AM191" i="10"/>
  <c r="AM219" i="10"/>
  <c r="AN244" i="10"/>
  <c r="AO244" i="10" s="1"/>
  <c r="AM260" i="10"/>
  <c r="AN294" i="10"/>
  <c r="AO294" i="10" s="1"/>
  <c r="BD298" i="11"/>
  <c r="AM42" i="10"/>
  <c r="AN47" i="10"/>
  <c r="AO47" i="10" s="1"/>
  <c r="BF52" i="11"/>
  <c r="AM61" i="10"/>
  <c r="BF91" i="11"/>
  <c r="AM106" i="10"/>
  <c r="AK121" i="10"/>
  <c r="AN139" i="10"/>
  <c r="AO139" i="10" s="1"/>
  <c r="BF155" i="11"/>
  <c r="AM171" i="10"/>
  <c r="AK183" i="10"/>
  <c r="AK205" i="10"/>
  <c r="AK212" i="10"/>
  <c r="BF220" i="11"/>
  <c r="AM230" i="10"/>
  <c r="AM247" i="10"/>
  <c r="AN266" i="10"/>
  <c r="AO266" i="10" s="1"/>
  <c r="AM278" i="10"/>
  <c r="AN288" i="10"/>
  <c r="AO288" i="10" s="1"/>
  <c r="AK255" i="10"/>
  <c r="AM23" i="10"/>
  <c r="BF4" i="11"/>
  <c r="AN80" i="10"/>
  <c r="AO80" i="10" s="1"/>
  <c r="AM97" i="10"/>
  <c r="AK174" i="10"/>
  <c r="AK209" i="10"/>
  <c r="AM212" i="10"/>
  <c r="AN8" i="10"/>
  <c r="AO8" i="10" s="1"/>
  <c r="AM8" i="10"/>
  <c r="AN29" i="10"/>
  <c r="AO29" i="10" s="1"/>
  <c r="AK29" i="10"/>
  <c r="AM147" i="10"/>
  <c r="AK147" i="10"/>
  <c r="AN147" i="10"/>
  <c r="AO147" i="10" s="1"/>
  <c r="BD158" i="11"/>
  <c r="AM163" i="10"/>
  <c r="AN192" i="10"/>
  <c r="AO192" i="10" s="1"/>
  <c r="AM192" i="10"/>
  <c r="BF187" i="11"/>
  <c r="AK192" i="10"/>
  <c r="AM138" i="10"/>
  <c r="AN138" i="10"/>
  <c r="AO138" i="10" s="1"/>
  <c r="AK138" i="10"/>
  <c r="AK190" i="10"/>
  <c r="AN38" i="10"/>
  <c r="AO38" i="10" s="1"/>
  <c r="AK38" i="10"/>
  <c r="AN117" i="10"/>
  <c r="AO117" i="10" s="1"/>
  <c r="AM117" i="10"/>
  <c r="AK117" i="10"/>
  <c r="AM144" i="10"/>
  <c r="AN144" i="10"/>
  <c r="AO144" i="10" s="1"/>
  <c r="AK163" i="10"/>
  <c r="AM190" i="10"/>
  <c r="AK8" i="10"/>
  <c r="AK11" i="10"/>
  <c r="AN120" i="10"/>
  <c r="AO120" i="10" s="1"/>
  <c r="AK155" i="10"/>
  <c r="AN22" i="10"/>
  <c r="AO22" i="10" s="1"/>
  <c r="AK22" i="10"/>
  <c r="AM78" i="10"/>
  <c r="AK78" i="10"/>
  <c r="BF47" i="11"/>
  <c r="AN52" i="10"/>
  <c r="AO52" i="10" s="1"/>
  <c r="AK120" i="10"/>
  <c r="AN136" i="10"/>
  <c r="AO136" i="10" s="1"/>
  <c r="AK136" i="10"/>
  <c r="AM136" i="10"/>
  <c r="AM155" i="10"/>
  <c r="AK71" i="10"/>
  <c r="AN71" i="10"/>
  <c r="AO71" i="10" s="1"/>
  <c r="AM11" i="10"/>
  <c r="AN30" i="10"/>
  <c r="AO30" i="10" s="1"/>
  <c r="AM30" i="10"/>
  <c r="AK30" i="10"/>
  <c r="AK133" i="10"/>
  <c r="AN133" i="10"/>
  <c r="AO133" i="10" s="1"/>
  <c r="AN177" i="10"/>
  <c r="AO177" i="10" s="1"/>
  <c r="AK177" i="10"/>
  <c r="AM177" i="10"/>
  <c r="AK52" i="10"/>
  <c r="AN61" i="10"/>
  <c r="AO61" i="10" s="1"/>
  <c r="AN76" i="10"/>
  <c r="AO76" i="10" s="1"/>
  <c r="AM76" i="10"/>
  <c r="AK76" i="10"/>
  <c r="AM125" i="10"/>
  <c r="BF120" i="11"/>
  <c r="AN125" i="10"/>
  <c r="AO125" i="10" s="1"/>
  <c r="AK125" i="10"/>
  <c r="AN155" i="10"/>
  <c r="AO155" i="10" s="1"/>
  <c r="AN250" i="10"/>
  <c r="AO250" i="10" s="1"/>
  <c r="AM250" i="10"/>
  <c r="AK250" i="10"/>
  <c r="AN25" i="10"/>
  <c r="AO25" i="10" s="1"/>
  <c r="AM25" i="10"/>
  <c r="AK25" i="10"/>
  <c r="AM52" i="10"/>
  <c r="AK61" i="10"/>
  <c r="AN67" i="10"/>
  <c r="AO67" i="10" s="1"/>
  <c r="BF68" i="11"/>
  <c r="AN73" i="10"/>
  <c r="AO73" i="10" s="1"/>
  <c r="AM129" i="10"/>
  <c r="AK131" i="10"/>
  <c r="AK152" i="10"/>
  <c r="AN152" i="10"/>
  <c r="AO152" i="10" s="1"/>
  <c r="AM152" i="10"/>
  <c r="AM167" i="10"/>
  <c r="BF162" i="11"/>
  <c r="AN167" i="10"/>
  <c r="AO167" i="10" s="1"/>
  <c r="AN208" i="10"/>
  <c r="AO208" i="10" s="1"/>
  <c r="AK208" i="10"/>
  <c r="AK37" i="10"/>
  <c r="AM71" i="10"/>
  <c r="BF142" i="11"/>
  <c r="AN265" i="10"/>
  <c r="AO265" i="10" s="1"/>
  <c r="AK265" i="10"/>
  <c r="AN7" i="10"/>
  <c r="AN33" i="10"/>
  <c r="AO33" i="10" s="1"/>
  <c r="AN17" i="10"/>
  <c r="AO17" i="10" s="1"/>
  <c r="AM17" i="10"/>
  <c r="BF12" i="11"/>
  <c r="I305" i="10"/>
  <c r="AM15" i="10"/>
  <c r="AK15" i="10"/>
  <c r="AK17" i="10"/>
  <c r="AM31" i="10"/>
  <c r="AM37" i="10"/>
  <c r="AM131" i="10"/>
  <c r="AK236" i="10"/>
  <c r="AN256" i="10"/>
  <c r="AO256" i="10" s="1"/>
  <c r="AN63" i="10"/>
  <c r="AO63" i="10" s="1"/>
  <c r="AK63" i="10"/>
  <c r="AM92" i="10"/>
  <c r="AN92" i="10"/>
  <c r="AO92" i="10" s="1"/>
  <c r="AK92" i="10"/>
  <c r="AK110" i="10"/>
  <c r="AN110" i="10"/>
  <c r="AO110" i="10" s="1"/>
  <c r="AN124" i="10"/>
  <c r="AO124" i="10" s="1"/>
  <c r="AK124" i="10"/>
  <c r="AM124" i="10"/>
  <c r="AK142" i="10"/>
  <c r="AN142" i="10"/>
  <c r="AO142" i="10" s="1"/>
  <c r="AN26" i="10"/>
  <c r="AO26" i="10" s="1"/>
  <c r="AK41" i="10"/>
  <c r="BF40" i="11"/>
  <c r="AN45" i="10"/>
  <c r="AO45" i="10" s="1"/>
  <c r="AN90" i="10"/>
  <c r="AO90" i="10" s="1"/>
  <c r="AM110" i="10"/>
  <c r="AN127" i="10"/>
  <c r="AO127" i="10" s="1"/>
  <c r="AK127" i="10"/>
  <c r="AM142" i="10"/>
  <c r="AM150" i="10"/>
  <c r="AK150" i="10"/>
  <c r="BF145" i="11"/>
  <c r="AN150" i="10"/>
  <c r="AO150" i="10" s="1"/>
  <c r="AK153" i="10"/>
  <c r="AM208" i="10"/>
  <c r="AN236" i="10"/>
  <c r="AO236" i="10" s="1"/>
  <c r="AK256" i="10"/>
  <c r="AM64" i="10"/>
  <c r="BF59" i="11"/>
  <c r="AN70" i="10"/>
  <c r="AO70" i="10" s="1"/>
  <c r="AN113" i="10"/>
  <c r="AO113" i="10" s="1"/>
  <c r="AK113" i="10"/>
  <c r="BD58" i="11"/>
  <c r="BF148" i="11"/>
  <c r="AN218" i="10"/>
  <c r="AO218" i="10" s="1"/>
  <c r="AM218" i="10"/>
  <c r="AN157" i="10"/>
  <c r="AO157" i="10" s="1"/>
  <c r="AK157" i="10"/>
  <c r="AK194" i="10"/>
  <c r="AM194" i="10"/>
  <c r="AK221" i="10"/>
  <c r="AN252" i="10"/>
  <c r="AO252" i="10" s="1"/>
  <c r="AM252" i="10"/>
  <c r="AK252" i="10"/>
  <c r="BF247" i="11"/>
  <c r="AK284" i="10"/>
  <c r="AM14" i="10"/>
  <c r="AF305" i="10"/>
  <c r="AK23" i="10"/>
  <c r="AK60" i="10"/>
  <c r="AN60" i="10"/>
  <c r="AO60" i="10" s="1"/>
  <c r="AM60" i="10"/>
  <c r="AN64" i="10"/>
  <c r="AO64" i="10" s="1"/>
  <c r="AN68" i="10"/>
  <c r="AO68" i="10" s="1"/>
  <c r="AN95" i="10"/>
  <c r="AO95" i="10" s="1"/>
  <c r="AM95" i="10"/>
  <c r="AK99" i="10"/>
  <c r="AK104" i="10"/>
  <c r="AN106" i="10"/>
  <c r="AO106" i="10" s="1"/>
  <c r="AK106" i="10"/>
  <c r="AM157" i="10"/>
  <c r="AK197" i="10"/>
  <c r="AN197" i="10"/>
  <c r="AO197" i="10" s="1"/>
  <c r="AM221" i="10"/>
  <c r="BD46" i="11"/>
  <c r="AM51" i="10"/>
  <c r="AN148" i="10"/>
  <c r="AO148" i="10" s="1"/>
  <c r="AM148" i="10"/>
  <c r="AN10" i="10"/>
  <c r="AO10" i="10" s="1"/>
  <c r="AM10" i="10"/>
  <c r="AK64" i="10"/>
  <c r="AK70" i="10"/>
  <c r="AN101" i="10"/>
  <c r="AO101" i="10" s="1"/>
  <c r="AM101" i="10"/>
  <c r="BF10" i="11"/>
  <c r="AN66" i="10"/>
  <c r="AO66" i="10" s="1"/>
  <c r="AK66" i="10"/>
  <c r="AM70" i="10"/>
  <c r="AK101" i="10"/>
  <c r="AM113" i="10"/>
  <c r="AK218" i="10"/>
  <c r="AN276" i="10"/>
  <c r="AO276" i="10" s="1"/>
  <c r="AK276" i="10"/>
  <c r="AN286" i="10"/>
  <c r="AO286" i="10" s="1"/>
  <c r="AM286" i="10"/>
  <c r="AK286" i="10"/>
  <c r="BF5" i="11"/>
  <c r="AG305" i="10"/>
  <c r="AN21" i="10"/>
  <c r="AO21" i="10" s="1"/>
  <c r="AK21" i="10"/>
  <c r="AK58" i="10"/>
  <c r="AM81" i="10"/>
  <c r="AN81" i="10"/>
  <c r="AO81" i="10" s="1"/>
  <c r="AK81" i="10"/>
  <c r="AM99" i="10"/>
  <c r="BF131" i="11"/>
  <c r="AK146" i="10"/>
  <c r="BF141" i="11"/>
  <c r="AN146" i="10"/>
  <c r="AO146" i="10" s="1"/>
  <c r="AN194" i="10"/>
  <c r="AO194" i="10" s="1"/>
  <c r="AK200" i="10"/>
  <c r="AN200" i="10"/>
  <c r="AO200" i="10" s="1"/>
  <c r="AN284" i="10"/>
  <c r="AO284" i="10" s="1"/>
  <c r="Z305" i="10"/>
  <c r="BF110" i="11"/>
  <c r="BF112" i="11"/>
  <c r="AM154" i="10"/>
  <c r="AM169" i="10"/>
  <c r="AN179" i="10"/>
  <c r="AO179" i="10" s="1"/>
  <c r="AM179" i="10"/>
  <c r="AK181" i="10"/>
  <c r="AK185" i="10"/>
  <c r="AN185" i="10"/>
  <c r="AO185" i="10" s="1"/>
  <c r="AM201" i="10"/>
  <c r="AK201" i="10"/>
  <c r="BF231" i="11"/>
  <c r="BF234" i="11"/>
  <c r="AN239" i="10"/>
  <c r="AO239" i="10" s="1"/>
  <c r="AM239" i="10"/>
  <c r="BD23" i="11"/>
  <c r="BD67" i="11"/>
  <c r="BD128" i="11"/>
  <c r="AK156" i="10"/>
  <c r="AM158" i="10"/>
  <c r="AN169" i="10"/>
  <c r="AO169" i="10" s="1"/>
  <c r="AK173" i="10"/>
  <c r="AK179" i="10"/>
  <c r="AK193" i="10"/>
  <c r="AN201" i="10"/>
  <c r="AO201" i="10" s="1"/>
  <c r="AN215" i="10"/>
  <c r="AO215" i="10" s="1"/>
  <c r="AK215" i="10"/>
  <c r="BF214" i="11"/>
  <c r="AK239" i="10"/>
  <c r="AN262" i="10"/>
  <c r="AO262" i="10" s="1"/>
  <c r="AM262" i="10"/>
  <c r="AK262" i="10"/>
  <c r="BD7" i="11"/>
  <c r="BF195" i="11"/>
  <c r="AK36" i="10"/>
  <c r="AK40" i="10"/>
  <c r="AK44" i="10"/>
  <c r="AK51" i="10"/>
  <c r="AK32" i="10"/>
  <c r="AC305" i="10"/>
  <c r="AM36" i="10"/>
  <c r="AK47" i="10"/>
  <c r="AM54" i="10"/>
  <c r="AM57" i="10"/>
  <c r="AM69" i="10"/>
  <c r="AK72" i="10"/>
  <c r="AK75" i="10"/>
  <c r="BF71" i="11"/>
  <c r="AN103" i="10"/>
  <c r="AO103" i="10" s="1"/>
  <c r="AK107" i="10"/>
  <c r="AN114" i="10"/>
  <c r="AO114" i="10" s="1"/>
  <c r="AK114" i="10"/>
  <c r="AN135" i="10"/>
  <c r="AO135" i="10" s="1"/>
  <c r="AK139" i="10"/>
  <c r="BF137" i="11"/>
  <c r="AN154" i="10"/>
  <c r="AO154" i="10" s="1"/>
  <c r="AM173" i="10"/>
  <c r="AN181" i="10"/>
  <c r="AO181" i="10" s="1"/>
  <c r="AN189" i="10"/>
  <c r="AO189" i="10" s="1"/>
  <c r="AK189" i="10"/>
  <c r="AM189" i="10"/>
  <c r="AM204" i="10"/>
  <c r="AK204" i="10"/>
  <c r="BD109" i="11"/>
  <c r="AK9" i="10"/>
  <c r="AK28" i="10"/>
  <c r="AD305" i="10"/>
  <c r="AM75" i="10"/>
  <c r="AK97" i="10"/>
  <c r="AN109" i="10"/>
  <c r="AO109" i="10" s="1"/>
  <c r="AK109" i="10"/>
  <c r="AN119" i="10"/>
  <c r="AO119" i="10" s="1"/>
  <c r="AK132" i="10"/>
  <c r="AN156" i="10"/>
  <c r="AO156" i="10" s="1"/>
  <c r="AN158" i="10"/>
  <c r="AO158" i="10" s="1"/>
  <c r="BD8" i="11"/>
  <c r="AM198" i="10"/>
  <c r="AK198" i="10"/>
  <c r="AN198" i="10"/>
  <c r="AO198" i="10" s="1"/>
  <c r="BF279" i="11"/>
  <c r="AN57" i="10"/>
  <c r="AO57" i="10" s="1"/>
  <c r="AM68" i="10"/>
  <c r="AK100" i="10"/>
  <c r="AM109" i="10"/>
  <c r="AK123" i="10"/>
  <c r="AM132" i="10"/>
  <c r="AN145" i="10"/>
  <c r="AO145" i="10" s="1"/>
  <c r="AK145" i="10"/>
  <c r="AK166" i="10"/>
  <c r="BF164" i="11"/>
  <c r="BF188" i="11"/>
  <c r="AN202" i="10"/>
  <c r="AO202" i="10" s="1"/>
  <c r="AM202" i="10"/>
  <c r="AM263" i="10"/>
  <c r="AK263" i="10"/>
  <c r="AM265" i="10"/>
  <c r="BD63" i="11"/>
  <c r="AN289" i="10"/>
  <c r="AO289" i="10" s="1"/>
  <c r="AM289" i="10"/>
  <c r="AK289" i="10"/>
  <c r="AN292" i="10"/>
  <c r="AO292" i="10" s="1"/>
  <c r="AM292" i="10"/>
  <c r="AK292" i="10"/>
  <c r="AN299" i="10"/>
  <c r="AO299" i="10" s="1"/>
  <c r="AM299" i="10"/>
  <c r="AK299" i="10"/>
  <c r="BD32" i="11"/>
  <c r="AN162" i="10"/>
  <c r="AO162" i="10" s="1"/>
  <c r="AK162" i="10"/>
  <c r="AN176" i="10"/>
  <c r="AO176" i="10" s="1"/>
  <c r="AM176" i="10"/>
  <c r="AM195" i="10"/>
  <c r="AK195" i="10"/>
  <c r="BF294" i="11"/>
  <c r="AM253" i="10"/>
  <c r="AK253" i="10"/>
  <c r="AM297" i="10"/>
  <c r="AN297" i="10"/>
  <c r="AO297" i="10" s="1"/>
  <c r="AK297" i="10"/>
  <c r="AN140" i="10"/>
  <c r="AO140" i="10" s="1"/>
  <c r="BF165" i="11"/>
  <c r="AN174" i="10"/>
  <c r="AO174" i="10" s="1"/>
  <c r="AK203" i="10"/>
  <c r="AM203" i="10"/>
  <c r="AN205" i="10"/>
  <c r="AO205" i="10" s="1"/>
  <c r="AK246" i="10"/>
  <c r="AK266" i="10"/>
  <c r="AN290" i="10"/>
  <c r="AO290" i="10" s="1"/>
  <c r="AK295" i="10"/>
  <c r="BD6" i="11"/>
  <c r="BD28" i="11"/>
  <c r="BD39" i="11"/>
  <c r="BD66" i="11"/>
  <c r="BD222" i="11"/>
  <c r="AN243" i="10"/>
  <c r="AO243" i="10" s="1"/>
  <c r="BD251" i="11"/>
  <c r="BD289" i="11"/>
  <c r="AN228" i="10"/>
  <c r="AO228" i="10" s="1"/>
  <c r="BF224" i="11"/>
  <c r="AK243" i="10"/>
  <c r="AK300" i="10"/>
  <c r="AN302" i="10"/>
  <c r="AO302" i="10" s="1"/>
  <c r="BD9" i="11"/>
  <c r="BD24" i="11"/>
  <c r="BD35" i="11"/>
  <c r="BD61" i="11"/>
  <c r="BD101" i="11"/>
  <c r="AN272" i="10"/>
  <c r="AO272" i="10" s="1"/>
  <c r="AM272" i="10"/>
  <c r="AK272" i="10"/>
  <c r="BD56" i="11"/>
  <c r="BD263" i="11"/>
  <c r="BF191" i="11"/>
  <c r="AN211" i="10"/>
  <c r="AO211" i="10" s="1"/>
  <c r="AM211" i="10"/>
  <c r="AN249" i="10"/>
  <c r="AO249" i="10" s="1"/>
  <c r="AK249" i="10"/>
  <c r="AN259" i="10"/>
  <c r="AO259" i="10" s="1"/>
  <c r="AM259" i="10"/>
  <c r="BF264" i="11"/>
  <c r="AN269" i="10"/>
  <c r="AO269" i="10" s="1"/>
  <c r="AN281" i="10"/>
  <c r="AO281" i="10" s="1"/>
  <c r="AM281" i="10"/>
  <c r="AK281" i="10"/>
  <c r="AM294" i="10"/>
  <c r="AK294" i="10"/>
  <c r="BD57" i="11"/>
  <c r="BD203" i="11"/>
  <c r="BD37" i="11"/>
  <c r="BF290" i="11"/>
  <c r="BD25" i="11"/>
  <c r="BD73" i="11"/>
  <c r="BD92" i="11"/>
  <c r="BD233" i="11"/>
  <c r="AK207" i="10"/>
  <c r="AK227" i="10"/>
  <c r="AK238" i="10"/>
  <c r="AK268" i="10"/>
  <c r="AK283" i="10"/>
  <c r="BD244" i="11"/>
  <c r="BD260" i="11"/>
  <c r="N312" i="15"/>
  <c r="AM207" i="10"/>
  <c r="AK278" i="10"/>
  <c r="AN291" i="10"/>
  <c r="AO291" i="10" s="1"/>
  <c r="AK291" i="10"/>
  <c r="BD16" i="11"/>
  <c r="BD21" i="11"/>
  <c r="BD45" i="11"/>
  <c r="BD239" i="11"/>
  <c r="BD271" i="11"/>
  <c r="BD296" i="11"/>
  <c r="BD17" i="11"/>
  <c r="BD36" i="11"/>
  <c r="BD41" i="11"/>
  <c r="BD108" i="11"/>
  <c r="BD272" i="11"/>
  <c r="AJ309" i="11" l="1"/>
  <c r="AP309" i="15"/>
  <c r="K29" i="37"/>
  <c r="K28" i="37"/>
  <c r="K32" i="37"/>
  <c r="K30" i="37"/>
  <c r="H180" i="36"/>
  <c r="I180" i="36" s="1"/>
  <c r="J180" i="36" s="1"/>
  <c r="AP492" i="31"/>
  <c r="AR492" i="31" s="1"/>
  <c r="H4" i="36"/>
  <c r="I4" i="36" s="1"/>
  <c r="J4" i="36" s="1"/>
  <c r="BH4" i="11"/>
  <c r="BC301" i="11"/>
  <c r="AT314" i="15" s="1"/>
  <c r="AP316" i="31"/>
  <c r="AR316" i="31" s="1"/>
  <c r="AS314" i="15"/>
  <c r="AS315" i="15" s="1"/>
  <c r="AJ311" i="11"/>
  <c r="H168" i="36"/>
  <c r="I168" i="36" s="1"/>
  <c r="J168" i="36" s="1"/>
  <c r="AP480" i="31"/>
  <c r="AR480" i="31" s="1"/>
  <c r="H160" i="36"/>
  <c r="I160" i="36" s="1"/>
  <c r="J160" i="36" s="1"/>
  <c r="AP472" i="31"/>
  <c r="AR472" i="31" s="1"/>
  <c r="H276" i="36"/>
  <c r="I276" i="36" s="1"/>
  <c r="J276" i="36" s="1"/>
  <c r="AP588" i="31"/>
  <c r="AP283" i="31"/>
  <c r="K307" i="31"/>
  <c r="L303" i="11"/>
  <c r="M303" i="11" s="1"/>
  <c r="N303" i="11" s="1"/>
  <c r="O303" i="11" s="1"/>
  <c r="P303" i="11" s="1"/>
  <c r="Q303" i="11" s="1"/>
  <c r="R303" i="11" s="1"/>
  <c r="S303" i="11" s="1"/>
  <c r="T303" i="11" s="1"/>
  <c r="U303" i="11" s="1"/>
  <c r="V303" i="11" s="1"/>
  <c r="W303" i="11" s="1"/>
  <c r="X303" i="11" s="1"/>
  <c r="Y303" i="11" s="1"/>
  <c r="Z303" i="11" s="1"/>
  <c r="AA303" i="11" s="1"/>
  <c r="AB303" i="11" s="1"/>
  <c r="AC303" i="11" s="1"/>
  <c r="AD303" i="11" s="1"/>
  <c r="AE303" i="11" s="1"/>
  <c r="AF303" i="11" s="1"/>
  <c r="AG303" i="11" s="1"/>
  <c r="AH303" i="11" s="1"/>
  <c r="AI303" i="11" s="1"/>
  <c r="AJ303" i="11" s="1"/>
  <c r="AK303" i="11" s="1"/>
  <c r="AL303" i="11" s="1"/>
  <c r="AM303" i="11" s="1"/>
  <c r="AN303" i="11" s="1"/>
  <c r="AO303" i="11" s="1"/>
  <c r="AP303" i="11" s="1"/>
  <c r="AQ303" i="11" s="1"/>
  <c r="AR303" i="11" s="1"/>
  <c r="AS303" i="11" s="1"/>
  <c r="AT303" i="11" s="1"/>
  <c r="AU303" i="11" s="1"/>
  <c r="AV303" i="11" s="1"/>
  <c r="AW303" i="11" s="1"/>
  <c r="AX303" i="11" s="1"/>
  <c r="AY303" i="11" s="1"/>
  <c r="AZ303" i="11" s="1"/>
  <c r="BA303" i="11" s="1"/>
  <c r="BB303" i="11" s="1"/>
  <c r="AL308" i="15"/>
  <c r="AL312" i="15" s="1"/>
  <c r="AL311" i="15" s="1"/>
  <c r="AM308" i="15"/>
  <c r="AM312" i="15" s="1"/>
  <c r="AM311" i="15" s="1"/>
  <c r="C9" i="1"/>
  <c r="E9" i="1" s="1"/>
  <c r="AK308" i="15"/>
  <c r="AK312" i="15" s="1"/>
  <c r="AK311" i="15" s="1"/>
  <c r="K311" i="11"/>
  <c r="I10" i="37" s="1"/>
  <c r="K10" i="37" s="1"/>
  <c r="K309" i="11"/>
  <c r="AJ309" i="15"/>
  <c r="N309" i="15"/>
  <c r="AK214" i="10"/>
  <c r="AM242" i="10"/>
  <c r="AN242" i="10"/>
  <c r="AO242" i="10" s="1"/>
  <c r="BF237" i="11"/>
  <c r="AK168" i="10"/>
  <c r="AK242" i="10"/>
  <c r="AN206" i="10"/>
  <c r="AO206" i="10" s="1"/>
  <c r="AM206" i="10"/>
  <c r="AK206" i="10"/>
  <c r="AK111" i="10"/>
  <c r="AN111" i="10"/>
  <c r="AO111" i="10" s="1"/>
  <c r="BF30" i="11"/>
  <c r="AN82" i="10"/>
  <c r="AO82" i="10" s="1"/>
  <c r="BF77" i="11"/>
  <c r="AM49" i="10"/>
  <c r="AM275" i="10"/>
  <c r="AN275" i="10"/>
  <c r="AO275" i="10" s="1"/>
  <c r="AM180" i="10"/>
  <c r="AK24" i="10"/>
  <c r="AM93" i="10"/>
  <c r="AN19" i="10"/>
  <c r="AO19" i="10" s="1"/>
  <c r="AK172" i="10"/>
  <c r="BF270" i="11"/>
  <c r="AM172" i="10"/>
  <c r="AM285" i="10"/>
  <c r="AM39" i="10"/>
  <c r="AN55" i="10"/>
  <c r="AO55" i="10" s="1"/>
  <c r="BF219" i="11"/>
  <c r="AN224" i="10"/>
  <c r="AO224" i="10" s="1"/>
  <c r="BF226" i="11"/>
  <c r="AM168" i="10"/>
  <c r="AK231" i="10"/>
  <c r="AM231" i="10"/>
  <c r="AK19" i="10"/>
  <c r="BF14" i="11"/>
  <c r="AM270" i="10"/>
  <c r="AM19" i="10"/>
  <c r="AN172" i="10"/>
  <c r="AO172" i="10" s="1"/>
  <c r="AK55" i="10"/>
  <c r="AM55" i="10"/>
  <c r="BF50" i="11"/>
  <c r="BF201" i="11"/>
  <c r="AM210" i="10"/>
  <c r="BF34" i="11"/>
  <c r="AN285" i="10"/>
  <c r="AO285" i="10" s="1"/>
  <c r="BF230" i="11"/>
  <c r="AK93" i="10"/>
  <c r="BF280" i="11"/>
  <c r="AK285" i="10"/>
  <c r="AK235" i="10"/>
  <c r="AK275" i="10"/>
  <c r="AM222" i="10"/>
  <c r="AM235" i="10"/>
  <c r="AN93" i="10"/>
  <c r="AO93" i="10" s="1"/>
  <c r="BF88" i="11"/>
  <c r="AN231" i="10"/>
  <c r="AO231" i="10" s="1"/>
  <c r="AK224" i="10"/>
  <c r="AN18" i="10"/>
  <c r="AO18" i="10" s="1"/>
  <c r="AM224" i="10"/>
  <c r="AM111" i="10"/>
  <c r="AK143" i="10"/>
  <c r="AK280" i="10"/>
  <c r="AK216" i="10"/>
  <c r="AM65" i="10"/>
  <c r="AN235" i="10"/>
  <c r="AO235" i="10" s="1"/>
  <c r="AM216" i="10"/>
  <c r="BF211" i="11"/>
  <c r="AN241" i="10"/>
  <c r="AO241" i="10" s="1"/>
  <c r="AN216" i="10"/>
  <c r="AO216" i="10" s="1"/>
  <c r="AN88" i="10"/>
  <c r="AO88" i="10" s="1"/>
  <c r="AN98" i="10"/>
  <c r="AO98" i="10" s="1"/>
  <c r="AN210" i="10"/>
  <c r="AO210" i="10" s="1"/>
  <c r="BF106" i="11"/>
  <c r="AM241" i="10"/>
  <c r="BF236" i="11"/>
  <c r="BF44" i="11"/>
  <c r="AK88" i="10"/>
  <c r="BF60" i="11"/>
  <c r="AN240" i="10"/>
  <c r="AO240" i="10" s="1"/>
  <c r="AN168" i="10"/>
  <c r="AO168" i="10" s="1"/>
  <c r="AK232" i="10"/>
  <c r="AM84" i="10"/>
  <c r="AN65" i="10"/>
  <c r="AO65" i="10" s="1"/>
  <c r="BF107" i="11"/>
  <c r="AN280" i="10"/>
  <c r="AO280" i="10" s="1"/>
  <c r="AM88" i="10"/>
  <c r="BF83" i="11"/>
  <c r="BF113" i="11"/>
  <c r="AM82" i="10"/>
  <c r="BF275" i="11"/>
  <c r="AM280" i="10"/>
  <c r="AN87" i="10"/>
  <c r="AO87" i="10" s="1"/>
  <c r="AM134" i="10"/>
  <c r="AN74" i="10"/>
  <c r="AO74" i="10" s="1"/>
  <c r="AK240" i="10"/>
  <c r="AK237" i="10"/>
  <c r="AK222" i="10"/>
  <c r="AK187" i="10"/>
  <c r="AK134" i="10"/>
  <c r="AK241" i="10"/>
  <c r="AK65" i="10"/>
  <c r="BF163" i="11"/>
  <c r="AN134" i="10"/>
  <c r="AO134" i="10" s="1"/>
  <c r="AN85" i="10"/>
  <c r="AO85" i="10" s="1"/>
  <c r="BF123" i="11"/>
  <c r="BF217" i="11"/>
  <c r="AN222" i="10"/>
  <c r="AO222" i="10" s="1"/>
  <c r="AN187" i="10"/>
  <c r="AO187" i="10" s="1"/>
  <c r="BF205" i="11"/>
  <c r="AK210" i="10"/>
  <c r="AK49" i="10"/>
  <c r="AK118" i="10"/>
  <c r="AK233" i="10"/>
  <c r="BF249" i="11"/>
  <c r="BF182" i="11"/>
  <c r="AK128" i="10"/>
  <c r="AN49" i="10"/>
  <c r="AO49" i="10" s="1"/>
  <c r="BF129" i="11"/>
  <c r="AM118" i="10"/>
  <c r="BF235" i="11"/>
  <c r="AM240" i="10"/>
  <c r="AM128" i="10"/>
  <c r="AN118" i="10"/>
  <c r="AO118" i="10" s="1"/>
  <c r="AM187" i="10"/>
  <c r="AN128" i="10"/>
  <c r="AO128" i="10" s="1"/>
  <c r="AK82" i="10"/>
  <c r="AM159" i="10"/>
  <c r="BF179" i="11"/>
  <c r="BF192" i="11"/>
  <c r="BF152" i="11"/>
  <c r="BF21" i="11"/>
  <c r="BF86" i="11"/>
  <c r="BF41" i="11"/>
  <c r="BF72" i="11"/>
  <c r="BF207" i="11"/>
  <c r="BF78" i="11"/>
  <c r="BF244" i="11"/>
  <c r="BF292" i="11"/>
  <c r="BF90" i="11"/>
  <c r="BF218" i="11"/>
  <c r="BF239" i="11"/>
  <c r="BF128" i="11"/>
  <c r="BF251" i="11"/>
  <c r="BF115" i="11"/>
  <c r="BF109" i="11"/>
  <c r="BF136" i="11"/>
  <c r="BF293" i="11"/>
  <c r="BF212" i="11"/>
  <c r="BF204" i="11"/>
  <c r="BF250" i="11"/>
  <c r="BF61" i="11"/>
  <c r="BF39" i="11"/>
  <c r="BF66" i="11"/>
  <c r="BF26" i="11"/>
  <c r="BF257" i="11"/>
  <c r="BF22" i="11"/>
  <c r="BF114" i="11"/>
  <c r="BF9" i="11"/>
  <c r="BF284" i="11"/>
  <c r="BF176" i="11"/>
  <c r="BF87" i="11"/>
  <c r="BF139" i="11"/>
  <c r="BF221" i="11"/>
  <c r="BF70" i="11"/>
  <c r="BF240" i="11"/>
  <c r="BF63" i="11"/>
  <c r="BF245" i="11"/>
  <c r="BF119" i="11"/>
  <c r="BF172" i="11"/>
  <c r="BF6" i="11"/>
  <c r="BF45" i="11"/>
  <c r="BF283" i="11"/>
  <c r="BF285" i="11"/>
  <c r="BF49" i="11"/>
  <c r="BF297" i="11"/>
  <c r="BF29" i="11"/>
  <c r="BF73" i="11"/>
  <c r="BF289" i="11"/>
  <c r="BF238" i="11"/>
  <c r="BF85" i="11"/>
  <c r="BF2" i="11"/>
  <c r="BF7" i="11"/>
  <c r="BF286" i="11"/>
  <c r="BF263" i="11"/>
  <c r="BF64" i="11"/>
  <c r="BF271" i="11"/>
  <c r="BF281" i="11"/>
  <c r="BF143" i="11"/>
  <c r="BF18" i="11"/>
  <c r="BF272" i="11"/>
  <c r="BF183" i="11"/>
  <c r="BF288" i="11"/>
  <c r="BF46" i="11"/>
  <c r="BF130" i="11"/>
  <c r="BF74" i="11"/>
  <c r="BF94" i="11"/>
  <c r="BF25" i="11"/>
  <c r="BF144" i="11"/>
  <c r="BF291" i="11"/>
  <c r="BF222" i="11"/>
  <c r="BF229" i="11"/>
  <c r="BF37" i="11"/>
  <c r="BF54" i="11"/>
  <c r="BF202" i="11"/>
  <c r="BF127" i="11"/>
  <c r="BF210" i="11"/>
  <c r="BF278" i="11"/>
  <c r="BF296" i="11"/>
  <c r="BF215" i="11"/>
  <c r="BF295" i="11"/>
  <c r="BF203" i="11"/>
  <c r="BF32" i="11"/>
  <c r="BF3" i="11"/>
  <c r="BF255" i="11"/>
  <c r="BF97" i="11"/>
  <c r="BF266" i="11"/>
  <c r="BF199" i="11"/>
  <c r="BF38" i="11"/>
  <c r="BF67" i="11"/>
  <c r="BF108" i="11"/>
  <c r="BF269" i="11"/>
  <c r="BF233" i="11"/>
  <c r="BF92" i="11"/>
  <c r="BF58" i="11"/>
  <c r="BF186" i="11"/>
  <c r="BF167" i="11"/>
  <c r="BF185" i="11"/>
  <c r="BF150" i="11"/>
  <c r="BF57" i="11"/>
  <c r="BF122" i="11"/>
  <c r="BF260" i="11"/>
  <c r="BF298" i="11"/>
  <c r="BF62" i="11"/>
  <c r="BF24" i="11"/>
  <c r="BF174" i="11"/>
  <c r="BF135" i="11"/>
  <c r="BF206" i="11"/>
  <c r="BF126" i="11"/>
  <c r="BF28" i="11"/>
  <c r="BF118" i="11"/>
  <c r="BF158" i="11"/>
  <c r="BF75" i="11"/>
  <c r="BF198" i="11"/>
  <c r="BF36" i="11"/>
  <c r="BF8" i="11"/>
  <c r="BF101" i="11"/>
  <c r="BF33" i="11"/>
  <c r="BF16" i="11"/>
  <c r="BF253" i="11"/>
  <c r="BF223" i="11"/>
  <c r="BF56" i="11"/>
  <c r="BF17" i="11"/>
  <c r="BF178" i="11"/>
  <c r="BF213" i="11"/>
  <c r="BF216" i="11"/>
  <c r="BF96" i="11"/>
  <c r="BF65" i="11"/>
  <c r="BF133" i="11"/>
  <c r="BF89" i="11"/>
  <c r="BF100" i="11"/>
  <c r="BF35" i="11"/>
  <c r="BF173" i="11"/>
  <c r="BF153" i="11"/>
  <c r="BF166" i="11"/>
  <c r="BF23" i="11"/>
  <c r="BF243" i="11"/>
  <c r="BF181" i="11"/>
  <c r="BH180" i="11"/>
  <c r="BH168" i="11"/>
  <c r="AN214" i="10"/>
  <c r="AO214" i="10" s="1"/>
  <c r="AK98" i="10"/>
  <c r="AM214" i="10"/>
  <c r="AM98" i="10"/>
  <c r="BD276" i="11"/>
  <c r="BH276" i="11"/>
  <c r="BD160" i="11"/>
  <c r="BH160" i="11"/>
  <c r="BD4" i="11"/>
  <c r="AK159" i="10"/>
  <c r="BD168" i="11"/>
  <c r="AN159" i="10"/>
  <c r="AO159" i="10" s="1"/>
  <c r="AK87" i="10"/>
  <c r="AM232" i="10"/>
  <c r="AN232" i="10"/>
  <c r="AO232" i="10" s="1"/>
  <c r="AK180" i="10"/>
  <c r="AN143" i="10"/>
  <c r="AO143" i="10" s="1"/>
  <c r="AM143" i="10"/>
  <c r="AM87" i="10"/>
  <c r="AK85" i="10"/>
  <c r="AN180" i="10"/>
  <c r="AO180" i="10" s="1"/>
  <c r="AM24" i="10"/>
  <c r="AN24" i="10"/>
  <c r="AO24" i="10" s="1"/>
  <c r="AM254" i="10"/>
  <c r="AM85" i="10"/>
  <c r="AN233" i="10"/>
  <c r="AO233" i="10" s="1"/>
  <c r="AM233" i="10"/>
  <c r="AK18" i="10"/>
  <c r="AM237" i="10"/>
  <c r="AN237" i="10"/>
  <c r="AO237" i="10" s="1"/>
  <c r="AN84" i="10"/>
  <c r="AO84" i="10" s="1"/>
  <c r="AK254" i="10"/>
  <c r="AK84" i="10"/>
  <c r="AN254" i="10"/>
  <c r="AO254" i="10" s="1"/>
  <c r="AJ305" i="10"/>
  <c r="AM18" i="10"/>
  <c r="AP305" i="10"/>
  <c r="AK74" i="10"/>
  <c r="AM74" i="10"/>
  <c r="AN270" i="10"/>
  <c r="AO270" i="10" s="1"/>
  <c r="AK270" i="10"/>
  <c r="AK112" i="10"/>
  <c r="AM112" i="10"/>
  <c r="AN112" i="10"/>
  <c r="AO112" i="10" s="1"/>
  <c r="AN89" i="10"/>
  <c r="AO89" i="10" s="1"/>
  <c r="AM89" i="10"/>
  <c r="AK89" i="10"/>
  <c r="AM7" i="10"/>
  <c r="AO7" i="10"/>
  <c r="AN35" i="10"/>
  <c r="AO35" i="10" s="1"/>
  <c r="AM35" i="10"/>
  <c r="AK35" i="10"/>
  <c r="J27" i="37" l="1"/>
  <c r="AS312" i="15"/>
  <c r="AS311" i="15" s="1"/>
  <c r="AR308" i="15"/>
  <c r="L2" i="37"/>
  <c r="L17" i="37"/>
  <c r="L4" i="37"/>
  <c r="L28" i="37"/>
  <c r="J14" i="37"/>
  <c r="J16" i="37"/>
  <c r="J25" i="37"/>
  <c r="L6" i="37"/>
  <c r="J23" i="37"/>
  <c r="L33" i="37"/>
  <c r="J7" i="37"/>
  <c r="L11" i="37"/>
  <c r="L29" i="37"/>
  <c r="L16" i="37"/>
  <c r="L8" i="37"/>
  <c r="L13" i="37"/>
  <c r="L12" i="37"/>
  <c r="J8" i="37"/>
  <c r="J20" i="37"/>
  <c r="L31" i="37"/>
  <c r="L20" i="37"/>
  <c r="J10" i="37"/>
  <c r="J21" i="37"/>
  <c r="L30" i="37"/>
  <c r="L21" i="37"/>
  <c r="L25" i="37"/>
  <c r="J15" i="37"/>
  <c r="J6" i="37"/>
  <c r="J22" i="37"/>
  <c r="L18" i="37"/>
  <c r="L7" i="37"/>
  <c r="J33" i="37"/>
  <c r="J5" i="37"/>
  <c r="J18" i="37"/>
  <c r="J30" i="37"/>
  <c r="L27" i="37"/>
  <c r="L24" i="37"/>
  <c r="J4" i="37"/>
  <c r="J9" i="37"/>
  <c r="J26" i="37"/>
  <c r="L32" i="37"/>
  <c r="L3" i="37"/>
  <c r="L23" i="37"/>
  <c r="J2" i="37"/>
  <c r="J13" i="37"/>
  <c r="J19" i="37"/>
  <c r="J32" i="37"/>
  <c r="L14" i="37"/>
  <c r="L9" i="37"/>
  <c r="J3" i="37"/>
  <c r="J28" i="37"/>
  <c r="J31" i="37"/>
  <c r="L15" i="37"/>
  <c r="L10" i="37"/>
  <c r="L26" i="37"/>
  <c r="J11" i="37"/>
  <c r="J12" i="37"/>
  <c r="L19" i="37"/>
  <c r="L5" i="37"/>
  <c r="L22" i="37"/>
  <c r="J17" i="37"/>
  <c r="J24" i="37"/>
  <c r="J29" i="37"/>
  <c r="BC303" i="11"/>
  <c r="AS309" i="15"/>
  <c r="P276" i="36"/>
  <c r="O276" i="36"/>
  <c r="AU283" i="31"/>
  <c r="AP307" i="31"/>
  <c r="AC588" i="31"/>
  <c r="U588" i="31"/>
  <c r="AI588" i="31"/>
  <c r="AD588" i="31"/>
  <c r="O588" i="31"/>
  <c r="AE588" i="31"/>
  <c r="S588" i="31"/>
  <c r="AH588" i="31"/>
  <c r="W588" i="31"/>
  <c r="AA588" i="31"/>
  <c r="AL588" i="31"/>
  <c r="K588" i="31"/>
  <c r="N588" i="31"/>
  <c r="AJ588" i="31"/>
  <c r="Q588" i="31"/>
  <c r="J588" i="31"/>
  <c r="AM588" i="31"/>
  <c r="Z588" i="31"/>
  <c r="AK588" i="31"/>
  <c r="L588" i="31"/>
  <c r="R588" i="31"/>
  <c r="Y588" i="31"/>
  <c r="T588" i="31"/>
  <c r="X588" i="31"/>
  <c r="AF588" i="31"/>
  <c r="P588" i="31"/>
  <c r="AB588" i="31"/>
  <c r="M588" i="31"/>
  <c r="V588" i="31"/>
  <c r="AG588" i="31"/>
  <c r="AQ283" i="31"/>
  <c r="AR588" i="31"/>
  <c r="AL309" i="15"/>
  <c r="AM309" i="15"/>
  <c r="AK309" i="15"/>
  <c r="S308" i="15"/>
  <c r="K313" i="11"/>
  <c r="L313" i="11" s="1"/>
  <c r="M313" i="11" s="1"/>
  <c r="N313" i="11" s="1"/>
  <c r="O313" i="11" s="1"/>
  <c r="P313" i="11" s="1"/>
  <c r="Q313" i="11" s="1"/>
  <c r="R313" i="11" s="1"/>
  <c r="S313" i="11" s="1"/>
  <c r="T313" i="11" s="1"/>
  <c r="U313" i="11" s="1"/>
  <c r="V313" i="11" s="1"/>
  <c r="W313" i="11" s="1"/>
  <c r="X313" i="11" s="1"/>
  <c r="Y313" i="11" s="1"/>
  <c r="Z313" i="11" s="1"/>
  <c r="AA313" i="11" s="1"/>
  <c r="AB313" i="11" s="1"/>
  <c r="AC313" i="11" s="1"/>
  <c r="BF84" i="11"/>
  <c r="BF69" i="11"/>
  <c r="BF265" i="11"/>
  <c r="BF82" i="11"/>
  <c r="BF13" i="11"/>
  <c r="BF93" i="11"/>
  <c r="BF209" i="11"/>
  <c r="BF19" i="11"/>
  <c r="BF175" i="11"/>
  <c r="BF154" i="11"/>
  <c r="BF227" i="11"/>
  <c r="BF79" i="11"/>
  <c r="BF228" i="11"/>
  <c r="BF232" i="11"/>
  <c r="BF138" i="11"/>
  <c r="BF80" i="11"/>
  <c r="AQ305" i="10"/>
  <c r="AK305" i="10"/>
  <c r="AN305" i="10"/>
  <c r="AL305" i="10"/>
  <c r="AM305" i="10" s="1"/>
  <c r="AT308" i="15" l="1"/>
  <c r="AT309" i="15" s="1"/>
  <c r="AR309" i="15"/>
  <c r="AR312" i="15"/>
  <c r="AR311" i="15" s="1"/>
  <c r="S309" i="15"/>
  <c r="AD313" i="11"/>
  <c r="AE313" i="11" s="1"/>
  <c r="AF313" i="11" s="1"/>
  <c r="AG313" i="11" s="1"/>
  <c r="AH313" i="11" s="1"/>
  <c r="AI313" i="11" s="1"/>
  <c r="AJ313" i="11" s="1"/>
  <c r="AK313" i="11" s="1"/>
  <c r="AL313" i="11" s="1"/>
  <c r="AM313" i="11" s="1"/>
  <c r="AN313" i="11" s="1"/>
  <c r="AO313" i="11" s="1"/>
  <c r="AP313" i="11" s="1"/>
  <c r="AQ313" i="11" s="1"/>
  <c r="AR313" i="11" s="1"/>
  <c r="AS313" i="11" s="1"/>
  <c r="AT313" i="11" s="1"/>
  <c r="AU313" i="11" s="1"/>
  <c r="AV313" i="11" s="1"/>
  <c r="AW313" i="11" s="1"/>
  <c r="AX313" i="11" s="1"/>
  <c r="AY313" i="11" s="1"/>
  <c r="AZ313" i="11" s="1"/>
  <c r="BA313" i="11" s="1"/>
  <c r="BB313" i="11" s="1"/>
  <c r="S312" i="15"/>
  <c r="AQ115" i="9"/>
  <c r="AP115" i="9"/>
  <c r="AO115" i="9"/>
  <c r="AN115" i="9"/>
  <c r="AM115" i="9"/>
  <c r="AL115" i="9"/>
  <c r="AK115" i="9"/>
  <c r="AJ115" i="9"/>
  <c r="AI115" i="9"/>
  <c r="AH115" i="9"/>
  <c r="AG115" i="9"/>
  <c r="AF115" i="9"/>
  <c r="AE115" i="9"/>
  <c r="C10" i="1" s="1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C115" i="9"/>
  <c r="S178" i="20" s="1"/>
  <c r="C113" i="9"/>
  <c r="O177" i="20" s="1"/>
  <c r="BI119" i="9"/>
  <c r="BI118" i="9"/>
  <c r="AC87" i="8"/>
  <c r="AC89" i="8" s="1"/>
  <c r="AB87" i="8"/>
  <c r="AB89" i="8" s="1"/>
  <c r="AA87" i="8"/>
  <c r="AA89" i="8" s="1"/>
  <c r="Z87" i="8"/>
  <c r="Z89" i="8" s="1"/>
  <c r="Y87" i="8"/>
  <c r="Y89" i="8" s="1"/>
  <c r="X87" i="8"/>
  <c r="X89" i="8" s="1"/>
  <c r="W87" i="8"/>
  <c r="W89" i="8" s="1"/>
  <c r="V87" i="8"/>
  <c r="V89" i="8" s="1"/>
  <c r="U87" i="8"/>
  <c r="U89" i="8" s="1"/>
  <c r="T87" i="8"/>
  <c r="T89" i="8" s="1"/>
  <c r="S87" i="8"/>
  <c r="S89" i="8" s="1"/>
  <c r="R87" i="8"/>
  <c r="R89" i="8" s="1"/>
  <c r="L87" i="8"/>
  <c r="L89" i="8" s="1"/>
  <c r="L91" i="8" s="1"/>
  <c r="K87" i="8"/>
  <c r="K89" i="8" s="1"/>
  <c r="K91" i="8" s="1"/>
  <c r="J87" i="8"/>
  <c r="I87" i="8"/>
  <c r="AO85" i="8"/>
  <c r="AF83" i="8"/>
  <c r="AN83" i="8" s="1"/>
  <c r="AO82" i="8"/>
  <c r="AQ81" i="8"/>
  <c r="AR80" i="8"/>
  <c r="AO78" i="8"/>
  <c r="AQ77" i="8"/>
  <c r="AR76" i="8"/>
  <c r="AQ75" i="8"/>
  <c r="AR73" i="8"/>
  <c r="AO72" i="8"/>
  <c r="AR70" i="8"/>
  <c r="AS70" i="8" s="1"/>
  <c r="AQ69" i="8"/>
  <c r="AR68" i="8"/>
  <c r="AS68" i="8" s="1"/>
  <c r="AO64" i="8"/>
  <c r="AD62" i="8"/>
  <c r="AN62" i="8" s="1"/>
  <c r="AO60" i="8"/>
  <c r="AF59" i="8"/>
  <c r="AN59" i="8" s="1"/>
  <c r="AO58" i="8"/>
  <c r="AR56" i="8"/>
  <c r="AO55" i="8"/>
  <c r="AR54" i="8"/>
  <c r="AS54" i="8" s="1"/>
  <c r="AR53" i="8"/>
  <c r="AO52" i="8"/>
  <c r="BB51" i="8"/>
  <c r="AR50" i="8"/>
  <c r="AR49" i="8"/>
  <c r="AR47" i="8"/>
  <c r="AO46" i="8"/>
  <c r="AH43" i="8"/>
  <c r="AF43" i="8"/>
  <c r="AO40" i="8"/>
  <c r="AH37" i="8"/>
  <c r="AN37" i="8" s="1"/>
  <c r="AR36" i="8"/>
  <c r="AR35" i="8"/>
  <c r="AR33" i="8"/>
  <c r="AR32" i="8"/>
  <c r="AS32" i="8" s="1"/>
  <c r="AR30" i="8"/>
  <c r="AS30" i="8" s="1"/>
  <c r="AQ29" i="8"/>
  <c r="AR27" i="8"/>
  <c r="AG26" i="8"/>
  <c r="AN26" i="8" s="1"/>
  <c r="AO25" i="8"/>
  <c r="AQ24" i="8"/>
  <c r="AE23" i="8"/>
  <c r="AN23" i="8" s="1"/>
  <c r="AR22" i="8"/>
  <c r="AO21" i="8"/>
  <c r="AQ20" i="8"/>
  <c r="AR19" i="8"/>
  <c r="AS19" i="8" s="1"/>
  <c r="AO18" i="8"/>
  <c r="AR17" i="8"/>
  <c r="AS17" i="8" s="1"/>
  <c r="AR16" i="8"/>
  <c r="AO15" i="8"/>
  <c r="AQ14" i="8"/>
  <c r="AR13" i="8"/>
  <c r="AO12" i="8"/>
  <c r="AR10" i="8"/>
  <c r="AO9" i="8"/>
  <c r="AQ8" i="8"/>
  <c r="AE7" i="8"/>
  <c r="AN7" i="8" s="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S33" i="8" l="1"/>
  <c r="BL16" i="9"/>
  <c r="AS35" i="8"/>
  <c r="BL18" i="9"/>
  <c r="AS36" i="8"/>
  <c r="BL20" i="9"/>
  <c r="AS10" i="8"/>
  <c r="BL5" i="9"/>
  <c r="AS56" i="8"/>
  <c r="BL44" i="9"/>
  <c r="AS76" i="8"/>
  <c r="BL48" i="9"/>
  <c r="AN43" i="8"/>
  <c r="AS73" i="8"/>
  <c r="BL45" i="9"/>
  <c r="AS22" i="8"/>
  <c r="BL10" i="9"/>
  <c r="AS80" i="8"/>
  <c r="BL51" i="9"/>
  <c r="AS27" i="8"/>
  <c r="BL14" i="9"/>
  <c r="AS53" i="8"/>
  <c r="BL34" i="9"/>
  <c r="AS13" i="8"/>
  <c r="BL6" i="9"/>
  <c r="AS47" i="8"/>
  <c r="BL29" i="9"/>
  <c r="AS16" i="8"/>
  <c r="BL4" i="9"/>
  <c r="AS49" i="8"/>
  <c r="BL30" i="9"/>
  <c r="AS50" i="8"/>
  <c r="BL31" i="9"/>
  <c r="AX177" i="20"/>
  <c r="AY174" i="20" s="1"/>
  <c r="O178" i="20"/>
  <c r="F9" i="1"/>
  <c r="U90" i="8"/>
  <c r="U91" i="8" s="1"/>
  <c r="Y178" i="20"/>
  <c r="Q90" i="8"/>
  <c r="Q91" i="8" s="1"/>
  <c r="U178" i="20"/>
  <c r="R90" i="8"/>
  <c r="R91" i="8" s="1"/>
  <c r="V178" i="20"/>
  <c r="S90" i="8"/>
  <c r="S91" i="8" s="1"/>
  <c r="W178" i="20"/>
  <c r="T90" i="8"/>
  <c r="T91" i="8" s="1"/>
  <c r="X178" i="20"/>
  <c r="P90" i="8"/>
  <c r="P91" i="8" s="1"/>
  <c r="T178" i="20"/>
  <c r="AQ178" i="20"/>
  <c r="AM90" i="8"/>
  <c r="AM91" i="8" s="1"/>
  <c r="AL90" i="8"/>
  <c r="AL91" i="8" s="1"/>
  <c r="AP178" i="20"/>
  <c r="AE90" i="8"/>
  <c r="AI178" i="20"/>
  <c r="AG90" i="8"/>
  <c r="AK178" i="20"/>
  <c r="AH90" i="8"/>
  <c r="AL178" i="20"/>
  <c r="AC90" i="8"/>
  <c r="AC91" i="8" s="1"/>
  <c r="AG178" i="20"/>
  <c r="AD90" i="8"/>
  <c r="AH178" i="20"/>
  <c r="AF90" i="8"/>
  <c r="AJ178" i="20"/>
  <c r="AI90" i="8"/>
  <c r="AI91" i="8" s="1"/>
  <c r="AM178" i="20"/>
  <c r="X90" i="8"/>
  <c r="X91" i="8" s="1"/>
  <c r="AB178" i="20"/>
  <c r="AJ90" i="8"/>
  <c r="AJ91" i="8" s="1"/>
  <c r="AN178" i="20"/>
  <c r="Y90" i="8"/>
  <c r="Y91" i="8" s="1"/>
  <c r="AC178" i="20"/>
  <c r="Z90" i="8"/>
  <c r="Z91" i="8" s="1"/>
  <c r="AD178" i="20"/>
  <c r="AA90" i="8"/>
  <c r="AA91" i="8" s="1"/>
  <c r="AE178" i="20"/>
  <c r="AK90" i="8"/>
  <c r="AK91" i="8" s="1"/>
  <c r="AO178" i="20"/>
  <c r="AB90" i="8"/>
  <c r="AB91" i="8" s="1"/>
  <c r="AF178" i="20"/>
  <c r="W90" i="8"/>
  <c r="W91" i="8" s="1"/>
  <c r="AA178" i="20"/>
  <c r="V90" i="8"/>
  <c r="V91" i="8" s="1"/>
  <c r="AV7" i="8"/>
  <c r="BE7" i="8"/>
  <c r="BF7" i="8"/>
  <c r="BB7" i="8"/>
  <c r="BE23" i="8"/>
  <c r="BF23" i="8"/>
  <c r="BB23" i="8"/>
  <c r="BE26" i="8"/>
  <c r="BF26" i="8"/>
  <c r="BB26" i="8"/>
  <c r="BE37" i="8"/>
  <c r="BF37" i="8"/>
  <c r="BB37" i="8"/>
  <c r="BE43" i="8"/>
  <c r="BF43" i="8"/>
  <c r="BB43" i="8"/>
  <c r="BE59" i="8"/>
  <c r="BF59" i="8"/>
  <c r="BB59" i="8"/>
  <c r="BE62" i="8"/>
  <c r="BF62" i="8"/>
  <c r="BB62" i="8"/>
  <c r="BE83" i="8"/>
  <c r="BF83" i="8"/>
  <c r="BB83" i="8"/>
  <c r="C116" i="9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O90" i="8"/>
  <c r="O91" i="8" s="1"/>
  <c r="C12" i="1"/>
  <c r="E10" i="1"/>
  <c r="AP26" i="8"/>
  <c r="AP59" i="8"/>
  <c r="BJ15" i="9"/>
  <c r="BN15" i="9"/>
  <c r="BJ21" i="9"/>
  <c r="BN21" i="9"/>
  <c r="BN40" i="9"/>
  <c r="BJ51" i="9"/>
  <c r="BN51" i="9"/>
  <c r="BJ8" i="9"/>
  <c r="BN8" i="9"/>
  <c r="BJ12" i="9"/>
  <c r="BN12" i="9"/>
  <c r="BJ22" i="9"/>
  <c r="BN22" i="9"/>
  <c r="BJ30" i="9"/>
  <c r="BN30" i="9"/>
  <c r="BJ36" i="9"/>
  <c r="BN36" i="9"/>
  <c r="BN41" i="9"/>
  <c r="BJ52" i="9"/>
  <c r="BN52" i="9"/>
  <c r="BJ2" i="9"/>
  <c r="BN2" i="9"/>
  <c r="BJ13" i="9"/>
  <c r="BN13" i="9"/>
  <c r="BJ23" i="9"/>
  <c r="BN23" i="9"/>
  <c r="BJ31" i="9"/>
  <c r="BN31" i="9"/>
  <c r="BJ45" i="9"/>
  <c r="BN45" i="9"/>
  <c r="BJ10" i="9"/>
  <c r="BN10" i="9"/>
  <c r="BJ28" i="9"/>
  <c r="BN28" i="9"/>
  <c r="BJ7" i="9"/>
  <c r="BN7" i="9"/>
  <c r="BJ29" i="9"/>
  <c r="BN29" i="9"/>
  <c r="BJ24" i="9"/>
  <c r="BN24" i="9"/>
  <c r="BN42" i="9"/>
  <c r="BJ5" i="9"/>
  <c r="BN5" i="9"/>
  <c r="BJ14" i="9"/>
  <c r="BN14" i="9"/>
  <c r="BN17" i="9"/>
  <c r="BJ25" i="9"/>
  <c r="BN25" i="9"/>
  <c r="BJ47" i="9"/>
  <c r="BN47" i="9"/>
  <c r="BJ55" i="9"/>
  <c r="BN55" i="9"/>
  <c r="BJ119" i="9"/>
  <c r="BN119" i="9"/>
  <c r="BJ11" i="9"/>
  <c r="BN11" i="9"/>
  <c r="BJ35" i="9"/>
  <c r="BN35" i="9"/>
  <c r="BJ3" i="9"/>
  <c r="BN3" i="9"/>
  <c r="BJ16" i="9"/>
  <c r="BN16" i="9"/>
  <c r="BJ32" i="9"/>
  <c r="BN32" i="9"/>
  <c r="BJ46" i="9"/>
  <c r="BN46" i="9"/>
  <c r="BJ53" i="9"/>
  <c r="BN53" i="9"/>
  <c r="BJ6" i="9"/>
  <c r="BN6" i="9"/>
  <c r="BJ18" i="9"/>
  <c r="BN18" i="9"/>
  <c r="BJ26" i="9"/>
  <c r="BN26" i="9"/>
  <c r="BJ33" i="9"/>
  <c r="BN33" i="9"/>
  <c r="BJ37" i="9"/>
  <c r="BN37" i="9"/>
  <c r="BJ48" i="9"/>
  <c r="BN48" i="9"/>
  <c r="BJ20" i="9"/>
  <c r="BN20" i="9"/>
  <c r="BJ50" i="9"/>
  <c r="BN50" i="9"/>
  <c r="BJ118" i="9"/>
  <c r="BN118" i="9"/>
  <c r="BJ9" i="9"/>
  <c r="BN9" i="9"/>
  <c r="BJ19" i="9"/>
  <c r="BN19" i="9"/>
  <c r="BJ27" i="9"/>
  <c r="BN27" i="9"/>
  <c r="BJ34" i="9"/>
  <c r="BN34" i="9"/>
  <c r="BN38" i="9"/>
  <c r="BJ44" i="9"/>
  <c r="BN44" i="9"/>
  <c r="BJ49" i="9"/>
  <c r="BN49" i="9"/>
  <c r="BJ112" i="9"/>
  <c r="BN112" i="9"/>
  <c r="AD87" i="8"/>
  <c r="AD89" i="8" s="1"/>
  <c r="AQ72" i="8"/>
  <c r="AO56" i="8"/>
  <c r="AO34" i="8"/>
  <c r="AQ58" i="8"/>
  <c r="AR34" i="8"/>
  <c r="AO76" i="8"/>
  <c r="AQ82" i="8"/>
  <c r="AR58" i="8"/>
  <c r="AS58" i="8" s="1"/>
  <c r="AR82" i="8"/>
  <c r="AS82" i="8" s="1"/>
  <c r="AQ30" i="8"/>
  <c r="AR72" i="8"/>
  <c r="AS72" i="8" s="1"/>
  <c r="AR60" i="8"/>
  <c r="AO69" i="8"/>
  <c r="AR69" i="8"/>
  <c r="AS69" i="8" s="1"/>
  <c r="AR29" i="8"/>
  <c r="AS29" i="8" s="1"/>
  <c r="AR18" i="8"/>
  <c r="AS18" i="8" s="1"/>
  <c r="AQ16" i="8"/>
  <c r="AQ50" i="8"/>
  <c r="AR64" i="8"/>
  <c r="AR78" i="8"/>
  <c r="AQ64" i="8"/>
  <c r="AR55" i="8"/>
  <c r="AS55" i="8" s="1"/>
  <c r="AR75" i="8"/>
  <c r="AE87" i="8"/>
  <c r="AE89" i="8" s="1"/>
  <c r="AQ27" i="8"/>
  <c r="AQ35" i="8"/>
  <c r="AQ40" i="8"/>
  <c r="AO80" i="8"/>
  <c r="AQ78" i="8"/>
  <c r="AR14" i="8"/>
  <c r="AS14" i="8" s="1"/>
  <c r="AQ33" i="8"/>
  <c r="AQ52" i="8"/>
  <c r="AR15" i="8"/>
  <c r="AO19" i="8"/>
  <c r="AQ9" i="8"/>
  <c r="AR12" i="8"/>
  <c r="AS12" i="8" s="1"/>
  <c r="AQ18" i="8"/>
  <c r="AQ21" i="8"/>
  <c r="AO27" i="8"/>
  <c r="AO33" i="8"/>
  <c r="AO50" i="8"/>
  <c r="AR52" i="8"/>
  <c r="AS52" i="8" s="1"/>
  <c r="AQ55" i="8"/>
  <c r="AR9" i="8"/>
  <c r="AS9" i="8" s="1"/>
  <c r="AR21" i="8"/>
  <c r="AO24" i="8"/>
  <c r="AO47" i="8"/>
  <c r="AO70" i="8"/>
  <c r="AO73" i="8"/>
  <c r="AO13" i="8"/>
  <c r="AR24" i="8"/>
  <c r="AR28" i="8"/>
  <c r="AS28" i="8" s="1"/>
  <c r="AO44" i="8"/>
  <c r="AO53" i="8"/>
  <c r="AO84" i="8"/>
  <c r="AQ47" i="8"/>
  <c r="AQ10" i="8"/>
  <c r="AQ13" i="8"/>
  <c r="AQ44" i="8"/>
  <c r="AQ53" i="8"/>
  <c r="AQ84" i="8"/>
  <c r="AQ19" i="8"/>
  <c r="AQ22" i="8"/>
  <c r="AR44" i="8"/>
  <c r="AR84" i="8"/>
  <c r="AS84" i="8" s="1"/>
  <c r="AO32" i="8"/>
  <c r="AR40" i="8"/>
  <c r="AO75" i="8"/>
  <c r="AO29" i="8"/>
  <c r="AQ32" i="8"/>
  <c r="AR8" i="8"/>
  <c r="AR20" i="8"/>
  <c r="AQ34" i="8"/>
  <c r="AQ60" i="8"/>
  <c r="AQ12" i="8"/>
  <c r="AQ15" i="8"/>
  <c r="AQ39" i="8"/>
  <c r="AR39" i="8"/>
  <c r="AS39" i="8" s="1"/>
  <c r="AQ57" i="8"/>
  <c r="AO57" i="8"/>
  <c r="AR57" i="8"/>
  <c r="AS57" i="8" s="1"/>
  <c r="AR41" i="8"/>
  <c r="AO41" i="8"/>
  <c r="AQ41" i="8"/>
  <c r="AR45" i="8"/>
  <c r="AQ45" i="8"/>
  <c r="AO45" i="8"/>
  <c r="AQ31" i="8"/>
  <c r="AO31" i="8"/>
  <c r="AO39" i="8"/>
  <c r="AQ49" i="8"/>
  <c r="AR25" i="8"/>
  <c r="AS25" i="8" s="1"/>
  <c r="AQ25" i="8"/>
  <c r="AR31" i="8"/>
  <c r="AS31" i="8" s="1"/>
  <c r="AQ36" i="8"/>
  <c r="AO36" i="8"/>
  <c r="AR85" i="8"/>
  <c r="AQ85" i="8"/>
  <c r="AQ11" i="8"/>
  <c r="AO11" i="8"/>
  <c r="AR11" i="8"/>
  <c r="AS11" i="8" s="1"/>
  <c r="AQ17" i="8"/>
  <c r="AO17" i="8"/>
  <c r="AF87" i="8"/>
  <c r="AF89" i="8" s="1"/>
  <c r="AO68" i="8"/>
  <c r="AQ68" i="8"/>
  <c r="AO49" i="8"/>
  <c r="AR81" i="8"/>
  <c r="AO81" i="8"/>
  <c r="AR71" i="8"/>
  <c r="AS71" i="8" s="1"/>
  <c r="AO71" i="8"/>
  <c r="AQ71" i="8"/>
  <c r="AQ86" i="8"/>
  <c r="AO86" i="8"/>
  <c r="AO8" i="8"/>
  <c r="AQ46" i="8"/>
  <c r="AR48" i="8"/>
  <c r="AQ48" i="8"/>
  <c r="AR86" i="8"/>
  <c r="AS86" i="8" s="1"/>
  <c r="AO14" i="8"/>
  <c r="AO20" i="8"/>
  <c r="AG87" i="8"/>
  <c r="AG89" i="8" s="1"/>
  <c r="AO48" i="8"/>
  <c r="AR67" i="8"/>
  <c r="AQ67" i="8"/>
  <c r="AR74" i="8"/>
  <c r="AS74" i="8" s="1"/>
  <c r="AO74" i="8"/>
  <c r="AO10" i="8"/>
  <c r="AO16" i="8"/>
  <c r="AO22" i="8"/>
  <c r="AQ28" i="8"/>
  <c r="AO28" i="8"/>
  <c r="AO30" i="8"/>
  <c r="AO35" i="8"/>
  <c r="AR46" i="8"/>
  <c r="AQ54" i="8"/>
  <c r="AO54" i="8"/>
  <c r="AO67" i="8"/>
  <c r="AQ74" i="8"/>
  <c r="AQ56" i="8"/>
  <c r="AR77" i="8"/>
  <c r="AO77" i="8"/>
  <c r="AH87" i="8"/>
  <c r="AH89" i="8" s="1"/>
  <c r="AQ70" i="8"/>
  <c r="AQ73" i="8"/>
  <c r="AQ76" i="8"/>
  <c r="AQ80" i="8"/>
  <c r="AS20" i="8" l="1"/>
  <c r="BL9" i="9"/>
  <c r="AS60" i="8"/>
  <c r="BL38" i="9"/>
  <c r="AS78" i="8"/>
  <c r="BL50" i="9"/>
  <c r="AS81" i="8"/>
  <c r="BL52" i="9"/>
  <c r="AS8" i="8"/>
  <c r="BL3" i="9"/>
  <c r="AS64" i="8"/>
  <c r="BL40" i="9"/>
  <c r="AS75" i="8"/>
  <c r="BL46" i="9"/>
  <c r="AS21" i="8"/>
  <c r="BL15" i="9"/>
  <c r="AS40" i="8"/>
  <c r="BL23" i="9"/>
  <c r="AS34" i="8"/>
  <c r="BL17" i="9"/>
  <c r="AS41" i="8"/>
  <c r="BL24" i="9"/>
  <c r="AS48" i="8"/>
  <c r="BL35" i="9"/>
  <c r="AS15" i="8"/>
  <c r="BL7" i="9"/>
  <c r="AS67" i="8"/>
  <c r="BL43" i="9"/>
  <c r="AS44" i="8"/>
  <c r="BL26" i="9"/>
  <c r="AS77" i="8"/>
  <c r="BL49" i="9"/>
  <c r="AS46" i="8"/>
  <c r="BL28" i="9"/>
  <c r="AS24" i="8"/>
  <c r="BL12" i="9"/>
  <c r="AS85" i="8"/>
  <c r="BL53" i="9"/>
  <c r="AS45" i="8"/>
  <c r="BL27" i="9"/>
  <c r="AE91" i="8"/>
  <c r="AF91" i="8"/>
  <c r="AD91" i="8"/>
  <c r="AG91" i="8"/>
  <c r="AH91" i="8"/>
  <c r="Z178" i="20"/>
  <c r="AN90" i="8"/>
  <c r="BE51" i="8"/>
  <c r="BF51" i="8"/>
  <c r="BD51" i="8"/>
  <c r="BI51" i="8" s="1"/>
  <c r="BJ51" i="8" s="1"/>
  <c r="BI83" i="8"/>
  <c r="BJ83" i="8" s="1"/>
  <c r="BH83" i="8"/>
  <c r="BG83" i="8"/>
  <c r="BI65" i="8"/>
  <c r="BJ65" i="8" s="1"/>
  <c r="BH65" i="8"/>
  <c r="BG65" i="8"/>
  <c r="BI62" i="8"/>
  <c r="BJ62" i="8" s="1"/>
  <c r="BH62" i="8"/>
  <c r="BG62" i="8"/>
  <c r="BI59" i="8"/>
  <c r="BJ59" i="8" s="1"/>
  <c r="BH59" i="8"/>
  <c r="BG59" i="8"/>
  <c r="BI43" i="8"/>
  <c r="BJ43" i="8" s="1"/>
  <c r="BH43" i="8"/>
  <c r="BG43" i="8"/>
  <c r="BI37" i="8"/>
  <c r="BJ37" i="8" s="1"/>
  <c r="BH37" i="8"/>
  <c r="BG37" i="8"/>
  <c r="BI26" i="8"/>
  <c r="BJ26" i="8" s="1"/>
  <c r="BH26" i="8"/>
  <c r="BG26" i="8"/>
  <c r="BI23" i="8"/>
  <c r="BJ23" i="8" s="1"/>
  <c r="BH23" i="8"/>
  <c r="BG23" i="8"/>
  <c r="BI7" i="8"/>
  <c r="BJ7" i="8" s="1"/>
  <c r="BG7" i="8"/>
  <c r="BH7" i="8"/>
  <c r="BH87" i="8" s="1"/>
  <c r="AN87" i="8"/>
  <c r="AR65" i="8"/>
  <c r="AP62" i="8"/>
  <c r="AQ62" i="8" s="1"/>
  <c r="AP43" i="8"/>
  <c r="AQ43" i="8" s="1"/>
  <c r="AP83" i="8"/>
  <c r="AQ83" i="8" s="1"/>
  <c r="AR51" i="8"/>
  <c r="AR43" i="8"/>
  <c r="AS43" i="8" s="1"/>
  <c r="AP23" i="8"/>
  <c r="AQ23" i="8" s="1"/>
  <c r="AR83" i="8"/>
  <c r="AS83" i="8" s="1"/>
  <c r="AO83" i="8"/>
  <c r="AP37" i="8"/>
  <c r="AP7" i="8"/>
  <c r="AQ7" i="8" s="1"/>
  <c r="AP51" i="8"/>
  <c r="AO37" i="8"/>
  <c r="AR37" i="8"/>
  <c r="BL19" i="9" s="1"/>
  <c r="AP65" i="8"/>
  <c r="AO65" i="8"/>
  <c r="AO43" i="8"/>
  <c r="BL112" i="9"/>
  <c r="BL55" i="9"/>
  <c r="BL118" i="9"/>
  <c r="BL119" i="9"/>
  <c r="AO23" i="8"/>
  <c r="BJ4" i="9"/>
  <c r="BN4" i="9"/>
  <c r="AR23" i="8"/>
  <c r="AO51" i="8"/>
  <c r="AA116" i="9"/>
  <c r="AB116" i="9" s="1"/>
  <c r="AC116" i="9" s="1"/>
  <c r="AD116" i="9" s="1"/>
  <c r="AO62" i="8"/>
  <c r="AR62" i="8"/>
  <c r="AS62" i="8" s="1"/>
  <c r="AQ26" i="8"/>
  <c r="AO26" i="8"/>
  <c r="AR26" i="8"/>
  <c r="AR59" i="8"/>
  <c r="AQ59" i="8"/>
  <c r="AO59" i="8"/>
  <c r="AR7" i="8"/>
  <c r="AS7" i="8" s="1"/>
  <c r="BL2" i="9" s="1"/>
  <c r="AO7" i="8"/>
  <c r="AS65" i="8" l="1"/>
  <c r="BL41" i="9"/>
  <c r="AS51" i="8"/>
  <c r="BL32" i="9"/>
  <c r="AS23" i="8"/>
  <c r="BL11" i="9"/>
  <c r="AS59" i="8"/>
  <c r="BL36" i="9"/>
  <c r="AS26" i="8"/>
  <c r="BL13" i="9"/>
  <c r="AX178" i="20"/>
  <c r="AY178" i="20" s="1"/>
  <c r="AS37" i="8"/>
  <c r="BG51" i="8"/>
  <c r="BH51" i="8"/>
  <c r="AE116" i="9"/>
  <c r="AN91" i="8"/>
  <c r="AO91" i="8" s="1"/>
  <c r="AN89" i="8"/>
  <c r="AV51" i="8"/>
  <c r="BE87" i="8"/>
  <c r="BF87" i="8"/>
  <c r="AO87" i="8"/>
  <c r="AQ51" i="8"/>
  <c r="AQ37" i="8"/>
  <c r="AQ65" i="8"/>
  <c r="AR87" i="8"/>
  <c r="AP87" i="8"/>
  <c r="AF116" i="9" l="1"/>
  <c r="AG116" i="9" s="1"/>
  <c r="AH116" i="9" s="1"/>
  <c r="AI116" i="9" s="1"/>
  <c r="AJ116" i="9" s="1"/>
  <c r="AK116" i="9" s="1"/>
  <c r="AL116" i="9" s="1"/>
  <c r="AM116" i="9" s="1"/>
  <c r="AN116" i="9" s="1"/>
  <c r="AO116" i="9" s="1"/>
  <c r="AP116" i="9" s="1"/>
  <c r="F10" i="1"/>
  <c r="I10" i="1" s="1"/>
  <c r="BD87" i="8"/>
  <c r="K10" i="1" s="1"/>
  <c r="M10" i="1" s="1"/>
  <c r="AV23" i="8"/>
  <c r="AV62" i="8"/>
  <c r="AV83" i="8"/>
  <c r="AV59" i="8"/>
  <c r="AV26" i="8"/>
  <c r="AV43" i="8"/>
  <c r="AV65" i="8"/>
  <c r="AV37" i="8"/>
  <c r="AX98" i="4"/>
  <c r="I98" i="4"/>
  <c r="BB76" i="4"/>
  <c r="BC76" i="4" s="1"/>
  <c r="AQ107" i="4"/>
  <c r="AP107" i="4"/>
  <c r="AO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AX106" i="4"/>
  <c r="AX105" i="4"/>
  <c r="AN104" i="4"/>
  <c r="AX104" i="4" s="1"/>
  <c r="AX103" i="4"/>
  <c r="AX99" i="4"/>
  <c r="I99" i="4"/>
  <c r="AX97" i="4"/>
  <c r="AX94" i="4"/>
  <c r="AX93" i="4"/>
  <c r="AX92" i="4"/>
  <c r="AX91" i="4"/>
  <c r="H91" i="4"/>
  <c r="AX90" i="4"/>
  <c r="AX89" i="4"/>
  <c r="AX88" i="4"/>
  <c r="AX87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G80" i="4"/>
  <c r="I79" i="4"/>
  <c r="BB78" i="4"/>
  <c r="BC78" i="4" s="1"/>
  <c r="I78" i="4"/>
  <c r="BB77" i="4"/>
  <c r="BC77" i="4" s="1"/>
  <c r="I77" i="4"/>
  <c r="I76" i="4"/>
  <c r="BB75" i="4"/>
  <c r="BC75" i="4" s="1"/>
  <c r="I75" i="4"/>
  <c r="I73" i="4"/>
  <c r="BB72" i="4"/>
  <c r="BC72" i="4" s="1"/>
  <c r="I72" i="4"/>
  <c r="I71" i="4"/>
  <c r="BB70" i="4"/>
  <c r="BC70" i="4" s="1"/>
  <c r="I70" i="4"/>
  <c r="I69" i="4"/>
  <c r="I68" i="4"/>
  <c r="BB67" i="4"/>
  <c r="BC67" i="4" s="1"/>
  <c r="I67" i="4"/>
  <c r="I66" i="4"/>
  <c r="BB65" i="4"/>
  <c r="BC65" i="4" s="1"/>
  <c r="I65" i="4"/>
  <c r="I64" i="4"/>
  <c r="BB63" i="4"/>
  <c r="BC63" i="4" s="1"/>
  <c r="I63" i="4"/>
  <c r="BB62" i="4"/>
  <c r="BC62" i="4" s="1"/>
  <c r="I62" i="4"/>
  <c r="I61" i="4"/>
  <c r="AP60" i="4"/>
  <c r="AX60" i="4" s="1"/>
  <c r="H60" i="4"/>
  <c r="I60" i="4" s="1"/>
  <c r="I59" i="4"/>
  <c r="AN58" i="4"/>
  <c r="AX58" i="4" s="1"/>
  <c r="I58" i="4"/>
  <c r="BB57" i="4"/>
  <c r="BC57" i="4" s="1"/>
  <c r="I57" i="4"/>
  <c r="BB56" i="4"/>
  <c r="BC56" i="4" s="1"/>
  <c r="I56" i="4"/>
  <c r="I55" i="4"/>
  <c r="BB54" i="4"/>
  <c r="BC54" i="4" s="1"/>
  <c r="I54" i="4"/>
  <c r="I53" i="4"/>
  <c r="BB52" i="4"/>
  <c r="BC52" i="4" s="1"/>
  <c r="I52" i="4"/>
  <c r="I51" i="4"/>
  <c r="BB50" i="4"/>
  <c r="BC50" i="4" s="1"/>
  <c r="I50" i="4"/>
  <c r="BB49" i="4"/>
  <c r="BC49" i="4" s="1"/>
  <c r="I49" i="4"/>
  <c r="AQ48" i="4"/>
  <c r="AX48" i="4" s="1"/>
  <c r="I48" i="4"/>
  <c r="AO47" i="4"/>
  <c r="AX47" i="4" s="1"/>
  <c r="H47" i="4"/>
  <c r="I47" i="4" s="1"/>
  <c r="I46" i="4"/>
  <c r="I45" i="4"/>
  <c r="BB44" i="4"/>
  <c r="BC44" i="4" s="1"/>
  <c r="I44" i="4"/>
  <c r="I43" i="4"/>
  <c r="I42" i="4"/>
  <c r="BB40" i="4"/>
  <c r="BC40" i="4" s="1"/>
  <c r="I40" i="4"/>
  <c r="AO39" i="4"/>
  <c r="AX39" i="4" s="1"/>
  <c r="I39" i="4"/>
  <c r="H38" i="4"/>
  <c r="I38" i="4" s="1"/>
  <c r="BB37" i="4"/>
  <c r="BC37" i="4" s="1"/>
  <c r="I37" i="4"/>
  <c r="AP36" i="4"/>
  <c r="AX36" i="4" s="1"/>
  <c r="I36" i="4"/>
  <c r="BB35" i="4"/>
  <c r="BC35" i="4" s="1"/>
  <c r="I35" i="4"/>
  <c r="I34" i="4"/>
  <c r="BB33" i="4"/>
  <c r="BC33" i="4" s="1"/>
  <c r="I33" i="4"/>
  <c r="BB32" i="4"/>
  <c r="BC32" i="4" s="1"/>
  <c r="I32" i="4"/>
  <c r="AO31" i="4"/>
  <c r="AX31" i="4" s="1"/>
  <c r="I31" i="4"/>
  <c r="AQ30" i="4"/>
  <c r="AX30" i="4" s="1"/>
  <c r="I30" i="4"/>
  <c r="BB29" i="4"/>
  <c r="BC29" i="4" s="1"/>
  <c r="I29" i="4"/>
  <c r="H28" i="4"/>
  <c r="BB27" i="4"/>
  <c r="BC27" i="4" s="1"/>
  <c r="I27" i="4"/>
  <c r="BB26" i="4"/>
  <c r="BC26" i="4" s="1"/>
  <c r="I26" i="4"/>
  <c r="I25" i="4"/>
  <c r="H24" i="4"/>
  <c r="I24" i="4" s="1"/>
  <c r="I23" i="4"/>
  <c r="I22" i="4"/>
  <c r="BB21" i="4"/>
  <c r="BC21" i="4" s="1"/>
  <c r="I21" i="4"/>
  <c r="I20" i="4"/>
  <c r="I19" i="4"/>
  <c r="BB18" i="4"/>
  <c r="BC18" i="4" s="1"/>
  <c r="I18" i="4"/>
  <c r="BB17" i="4"/>
  <c r="BC17" i="4" s="1"/>
  <c r="I17" i="4"/>
  <c r="AP16" i="4"/>
  <c r="AX16" i="4" s="1"/>
  <c r="I16" i="4"/>
  <c r="AP15" i="4"/>
  <c r="AX15" i="4" s="1"/>
  <c r="H15" i="4"/>
  <c r="I15" i="4" s="1"/>
  <c r="I14" i="4"/>
  <c r="BB13" i="4"/>
  <c r="BC13" i="4" s="1"/>
  <c r="I13" i="4"/>
  <c r="BB12" i="4"/>
  <c r="BC12" i="4" s="1"/>
  <c r="I12" i="4"/>
  <c r="BB11" i="4"/>
  <c r="BC11" i="4" s="1"/>
  <c r="I11" i="4"/>
  <c r="I10" i="4"/>
  <c r="BB9" i="4"/>
  <c r="BC9" i="4" s="1"/>
  <c r="I9" i="4"/>
  <c r="AP8" i="4"/>
  <c r="AX8" i="4" s="1"/>
  <c r="I8" i="4"/>
  <c r="AR7" i="4"/>
  <c r="AR80" i="4" s="1"/>
  <c r="AQ7" i="4"/>
  <c r="AN7" i="4"/>
  <c r="I7" i="4"/>
  <c r="BB6" i="4"/>
  <c r="BC6" i="4" s="1"/>
  <c r="I6" i="4"/>
  <c r="BB5" i="4"/>
  <c r="BC5" i="4" s="1"/>
  <c r="I5" i="4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I80" i="3"/>
  <c r="AN79" i="3"/>
  <c r="AN78" i="3"/>
  <c r="AN77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H80" i="3"/>
  <c r="AG80" i="3"/>
  <c r="AF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B81" i="3" s="1"/>
  <c r="AN76" i="3"/>
  <c r="AE31" i="3"/>
  <c r="B2" i="3"/>
  <c r="C2" i="3" s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M2" i="3" s="1"/>
  <c r="AN2" i="3" s="1"/>
  <c r="AO31" i="3" l="1"/>
  <c r="AM31" i="3"/>
  <c r="AN31" i="3" s="1"/>
  <c r="AX7" i="4"/>
  <c r="BE7" i="4" s="1"/>
  <c r="H10" i="1"/>
  <c r="D17" i="1"/>
  <c r="D26" i="1" s="1"/>
  <c r="AW90" i="8"/>
  <c r="AW92" i="8"/>
  <c r="AW91" i="8"/>
  <c r="H17" i="1"/>
  <c r="H26" i="1" s="1"/>
  <c r="G17" i="1"/>
  <c r="G26" i="1" s="1"/>
  <c r="F17" i="1"/>
  <c r="F26" i="1" s="1"/>
  <c r="E17" i="1"/>
  <c r="E26" i="1" s="1"/>
  <c r="M12" i="1"/>
  <c r="K12" i="1"/>
  <c r="P10" i="1"/>
  <c r="BG87" i="8"/>
  <c r="O10" i="1" s="1"/>
  <c r="BI87" i="8"/>
  <c r="S10" i="1" s="1"/>
  <c r="I17" i="1"/>
  <c r="I26" i="1" s="1"/>
  <c r="AN5" i="3"/>
  <c r="AX101" i="4"/>
  <c r="BI30" i="4"/>
  <c r="BE30" i="4"/>
  <c r="BI60" i="4"/>
  <c r="BI8" i="4"/>
  <c r="BE8" i="4"/>
  <c r="BI15" i="4"/>
  <c r="BI16" i="4"/>
  <c r="BE16" i="4"/>
  <c r="BE36" i="4"/>
  <c r="BI36" i="4"/>
  <c r="BI31" i="4"/>
  <c r="BE31" i="4"/>
  <c r="BI47" i="4"/>
  <c r="BE48" i="4"/>
  <c r="BI48" i="4"/>
  <c r="BI7" i="4"/>
  <c r="BI58" i="4"/>
  <c r="BI39" i="4"/>
  <c r="BD80" i="4"/>
  <c r="BD82" i="4" s="1"/>
  <c r="C81" i="3"/>
  <c r="D81" i="3" s="1"/>
  <c r="E81" i="3" s="1"/>
  <c r="F81" i="3" s="1"/>
  <c r="G81" i="3" s="1"/>
  <c r="H81" i="3" s="1"/>
  <c r="I81" i="3" s="1"/>
  <c r="J81" i="3" s="1"/>
  <c r="K81" i="3" s="1"/>
  <c r="L81" i="3" s="1"/>
  <c r="M81" i="3" s="1"/>
  <c r="N81" i="3" s="1"/>
  <c r="O81" i="3" s="1"/>
  <c r="P81" i="3" s="1"/>
  <c r="Q81" i="3" s="1"/>
  <c r="R81" i="3" s="1"/>
  <c r="S81" i="3" s="1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Y41" i="4"/>
  <c r="BA73" i="4"/>
  <c r="AY71" i="4"/>
  <c r="AY24" i="4"/>
  <c r="AY51" i="4"/>
  <c r="M108" i="4"/>
  <c r="BB28" i="4"/>
  <c r="BC28" i="4" s="1"/>
  <c r="BB41" i="4"/>
  <c r="BC41" i="4" s="1"/>
  <c r="AP41" i="3" s="1"/>
  <c r="AY66" i="4"/>
  <c r="AY43" i="4"/>
  <c r="BA20" i="4"/>
  <c r="AY38" i="4"/>
  <c r="BA69" i="4"/>
  <c r="AY34" i="4"/>
  <c r="AY46" i="4"/>
  <c r="BA62" i="4"/>
  <c r="AY25" i="4"/>
  <c r="AP57" i="3"/>
  <c r="L108" i="4"/>
  <c r="BA14" i="4"/>
  <c r="BA28" i="4"/>
  <c r="AP76" i="3"/>
  <c r="X108" i="4"/>
  <c r="Z108" i="4"/>
  <c r="AL108" i="4"/>
  <c r="AJ108" i="4"/>
  <c r="Y108" i="4"/>
  <c r="AK108" i="4"/>
  <c r="N108" i="4"/>
  <c r="BB14" i="4"/>
  <c r="BC14" i="4" s="1"/>
  <c r="AP14" i="3" s="1"/>
  <c r="AY53" i="4"/>
  <c r="BA64" i="4"/>
  <c r="AY76" i="4"/>
  <c r="AP54" i="3"/>
  <c r="AY14" i="4"/>
  <c r="BA67" i="4"/>
  <c r="BA76" i="4"/>
  <c r="AP33" i="3"/>
  <c r="BA44" i="4"/>
  <c r="AN107" i="4"/>
  <c r="AO80" i="4"/>
  <c r="AO108" i="4" s="1"/>
  <c r="AP27" i="3"/>
  <c r="BA61" i="4"/>
  <c r="AP72" i="3"/>
  <c r="W108" i="4"/>
  <c r="AI108" i="4"/>
  <c r="AX107" i="4"/>
  <c r="AY20" i="4"/>
  <c r="BA25" i="4"/>
  <c r="BA53" i="4"/>
  <c r="AY56" i="4"/>
  <c r="AP65" i="3"/>
  <c r="BA23" i="4"/>
  <c r="BA51" i="4"/>
  <c r="BA56" i="4"/>
  <c r="AY61" i="4"/>
  <c r="BB79" i="4"/>
  <c r="BC79" i="4" s="1"/>
  <c r="AP79" i="3" s="1"/>
  <c r="BB51" i="4"/>
  <c r="BC51" i="4" s="1"/>
  <c r="AP51" i="3" s="1"/>
  <c r="AY18" i="4"/>
  <c r="AP56" i="3"/>
  <c r="BB61" i="4"/>
  <c r="BC61" i="4" s="1"/>
  <c r="AP61" i="3" s="1"/>
  <c r="AY64" i="4"/>
  <c r="BB66" i="4"/>
  <c r="BC66" i="4" s="1"/>
  <c r="AP66" i="3" s="1"/>
  <c r="BB73" i="4"/>
  <c r="BC73" i="4" s="1"/>
  <c r="AP73" i="3" s="1"/>
  <c r="BA18" i="4"/>
  <c r="BA32" i="4"/>
  <c r="BA43" i="4"/>
  <c r="BA54" i="4"/>
  <c r="BA66" i="4"/>
  <c r="AY69" i="4"/>
  <c r="AD108" i="4"/>
  <c r="AP18" i="3"/>
  <c r="BB64" i="4"/>
  <c r="BC64" i="4" s="1"/>
  <c r="AP64" i="3" s="1"/>
  <c r="AE108" i="4"/>
  <c r="AP13" i="3"/>
  <c r="AP21" i="3"/>
  <c r="AP29" i="3"/>
  <c r="AP32" i="3"/>
  <c r="BA41" i="4"/>
  <c r="BA49" i="4"/>
  <c r="BB69" i="4"/>
  <c r="BC69" i="4" s="1"/>
  <c r="AP69" i="3" s="1"/>
  <c r="AY72" i="4"/>
  <c r="AP67" i="3"/>
  <c r="BB53" i="4"/>
  <c r="BC53" i="4" s="1"/>
  <c r="AP53" i="3" s="1"/>
  <c r="BA70" i="4"/>
  <c r="BB20" i="4"/>
  <c r="BC20" i="4" s="1"/>
  <c r="AP20" i="3" s="1"/>
  <c r="BA34" i="4"/>
  <c r="AY73" i="4"/>
  <c r="BB23" i="4"/>
  <c r="BC23" i="4" s="1"/>
  <c r="AP23" i="3" s="1"/>
  <c r="BB34" i="4"/>
  <c r="BC34" i="4" s="1"/>
  <c r="AP34" i="3" s="1"/>
  <c r="AY54" i="4"/>
  <c r="BA59" i="4"/>
  <c r="BA9" i="4"/>
  <c r="BA29" i="4"/>
  <c r="BA38" i="4"/>
  <c r="BB43" i="4"/>
  <c r="BC43" i="4" s="1"/>
  <c r="AP43" i="3" s="1"/>
  <c r="BB24" i="4"/>
  <c r="BC24" i="4" s="1"/>
  <c r="AP24" i="3" s="1"/>
  <c r="BB46" i="4"/>
  <c r="BC46" i="4" s="1"/>
  <c r="AP46" i="3" s="1"/>
  <c r="AY67" i="4"/>
  <c r="BA72" i="4"/>
  <c r="U108" i="4"/>
  <c r="AG108" i="4"/>
  <c r="AY28" i="4"/>
  <c r="AY23" i="4"/>
  <c r="BB25" i="4"/>
  <c r="BC25" i="4" s="1"/>
  <c r="AP25" i="3" s="1"/>
  <c r="AY29" i="4"/>
  <c r="AY32" i="4"/>
  <c r="AP6" i="3"/>
  <c r="BB38" i="4"/>
  <c r="BC38" i="4" s="1"/>
  <c r="AP38" i="3" s="1"/>
  <c r="AY9" i="4"/>
  <c r="BA46" i="4"/>
  <c r="BB59" i="4"/>
  <c r="BC59" i="4" s="1"/>
  <c r="AP59" i="3" s="1"/>
  <c r="BA24" i="4"/>
  <c r="BA57" i="4"/>
  <c r="V108" i="4"/>
  <c r="AH108" i="4"/>
  <c r="BA35" i="4"/>
  <c r="AY35" i="4"/>
  <c r="P108" i="4"/>
  <c r="AP9" i="3"/>
  <c r="BB42" i="4"/>
  <c r="BC42" i="4" s="1"/>
  <c r="AP42" i="3" s="1"/>
  <c r="BA42" i="4"/>
  <c r="AY42" i="4"/>
  <c r="AP62" i="3"/>
  <c r="AB108" i="4"/>
  <c r="AC108" i="4"/>
  <c r="BB74" i="4"/>
  <c r="BC74" i="4" s="1"/>
  <c r="AY74" i="4"/>
  <c r="S108" i="4"/>
  <c r="BA12" i="4"/>
  <c r="AY12" i="4"/>
  <c r="BA74" i="4"/>
  <c r="AP80" i="4"/>
  <c r="AY19" i="4"/>
  <c r="BA19" i="4"/>
  <c r="BB19" i="4"/>
  <c r="BC19" i="4" s="1"/>
  <c r="AP19" i="3" s="1"/>
  <c r="AY37" i="4"/>
  <c r="H80" i="4"/>
  <c r="BA77" i="4"/>
  <c r="AY77" i="4"/>
  <c r="BB22" i="4"/>
  <c r="BC22" i="4" s="1"/>
  <c r="AP22" i="3" s="1"/>
  <c r="BA22" i="4"/>
  <c r="AY22" i="4"/>
  <c r="AY78" i="4"/>
  <c r="AP35" i="3"/>
  <c r="R108" i="4"/>
  <c r="AY40" i="4"/>
  <c r="AP44" i="3"/>
  <c r="AP49" i="3"/>
  <c r="AF108" i="4"/>
  <c r="AY65" i="4"/>
  <c r="BA65" i="4"/>
  <c r="BA11" i="4"/>
  <c r="I28" i="4"/>
  <c r="BA37" i="4"/>
  <c r="AY52" i="4"/>
  <c r="BA52" i="4"/>
  <c r="AP70" i="3"/>
  <c r="AY5" i="4"/>
  <c r="AP52" i="3"/>
  <c r="BB55" i="4"/>
  <c r="BC55" i="4" s="1"/>
  <c r="AP55" i="3" s="1"/>
  <c r="BA55" i="4"/>
  <c r="AY55" i="4"/>
  <c r="AP77" i="3"/>
  <c r="AY26" i="4"/>
  <c r="BA78" i="4"/>
  <c r="Q108" i="4"/>
  <c r="BA26" i="4"/>
  <c r="AP26" i="3"/>
  <c r="T108" i="4"/>
  <c r="AP12" i="3"/>
  <c r="BB45" i="4"/>
  <c r="BC45" i="4" s="1"/>
  <c r="BA45" i="4"/>
  <c r="AY45" i="4"/>
  <c r="BB68" i="4"/>
  <c r="BC68" i="4" s="1"/>
  <c r="AY68" i="4"/>
  <c r="BA68" i="4"/>
  <c r="BA6" i="4"/>
  <c r="AY6" i="4"/>
  <c r="AY11" i="4"/>
  <c r="BA21" i="4"/>
  <c r="AY21" i="4"/>
  <c r="AP11" i="3"/>
  <c r="BB71" i="4"/>
  <c r="BC71" i="4" s="1"/>
  <c r="BA71" i="4"/>
  <c r="AY33" i="4"/>
  <c r="AP78" i="3"/>
  <c r="BA33" i="4"/>
  <c r="BA50" i="4"/>
  <c r="BA10" i="4"/>
  <c r="BA17" i="4"/>
  <c r="AY17" i="4"/>
  <c r="AQ80" i="4"/>
  <c r="AP17" i="3"/>
  <c r="BA27" i="4"/>
  <c r="AY44" i="4"/>
  <c r="AP50" i="3"/>
  <c r="AY57" i="4"/>
  <c r="AP63" i="3"/>
  <c r="AY70" i="4"/>
  <c r="AY79" i="4"/>
  <c r="BA40" i="4"/>
  <c r="AY50" i="4"/>
  <c r="AY63" i="4"/>
  <c r="AY10" i="4"/>
  <c r="BA13" i="4"/>
  <c r="AY27" i="4"/>
  <c r="BA75" i="4"/>
  <c r="BB10" i="4"/>
  <c r="BC10" i="4" s="1"/>
  <c r="AP10" i="3" s="1"/>
  <c r="AY59" i="4"/>
  <c r="AP75" i="3"/>
  <c r="BA79" i="4"/>
  <c r="AN80" i="4"/>
  <c r="AP37" i="3"/>
  <c r="AP40" i="3"/>
  <c r="AP5" i="3"/>
  <c r="AY13" i="4"/>
  <c r="BA63" i="4"/>
  <c r="AY75" i="4"/>
  <c r="I41" i="4"/>
  <c r="AY49" i="4"/>
  <c r="AY62" i="4"/>
  <c r="O108" i="4"/>
  <c r="AA108" i="4"/>
  <c r="AM108" i="4"/>
  <c r="AE80" i="3"/>
  <c r="AP28" i="3" l="1"/>
  <c r="AP68" i="3"/>
  <c r="AP74" i="3"/>
  <c r="AP71" i="3"/>
  <c r="AP45" i="3"/>
  <c r="AX80" i="4"/>
  <c r="AX82" i="4" s="1"/>
  <c r="R10" i="1"/>
  <c r="T10" i="1" s="1"/>
  <c r="BI90" i="8"/>
  <c r="BI94" i="8" s="1"/>
  <c r="AN80" i="3"/>
  <c r="AM80" i="3"/>
  <c r="G8" i="1" s="1"/>
  <c r="BE58" i="4"/>
  <c r="BB47" i="4"/>
  <c r="BC47" i="4" s="1"/>
  <c r="BE47" i="4"/>
  <c r="BB60" i="4"/>
  <c r="BC60" i="4" s="1"/>
  <c r="BE60" i="4"/>
  <c r="AY39" i="4"/>
  <c r="BE39" i="4"/>
  <c r="AY15" i="4"/>
  <c r="BE15" i="4"/>
  <c r="AY47" i="4"/>
  <c r="AY60" i="4"/>
  <c r="AY58" i="4"/>
  <c r="BB58" i="4"/>
  <c r="BC58" i="4" s="1"/>
  <c r="AZ36" i="4"/>
  <c r="AZ58" i="4"/>
  <c r="AZ16" i="4"/>
  <c r="BG16" i="4" s="1"/>
  <c r="BJ16" i="4" s="1"/>
  <c r="AZ39" i="4"/>
  <c r="BB39" i="4"/>
  <c r="BC39" i="4" s="1"/>
  <c r="AP39" i="3" s="1"/>
  <c r="AZ8" i="4"/>
  <c r="AZ48" i="4"/>
  <c r="AZ15" i="4"/>
  <c r="AZ7" i="4"/>
  <c r="BG7" i="4" s="1"/>
  <c r="BB36" i="4"/>
  <c r="BC36" i="4" s="1"/>
  <c r="AZ47" i="4"/>
  <c r="AZ60" i="4"/>
  <c r="BB16" i="4"/>
  <c r="BC16" i="4" s="1"/>
  <c r="AP16" i="3" s="1"/>
  <c r="AZ31" i="4"/>
  <c r="BG31" i="4" s="1"/>
  <c r="BJ31" i="4" s="1"/>
  <c r="AZ30" i="4"/>
  <c r="BB48" i="4"/>
  <c r="BC48" i="4" s="1"/>
  <c r="AP48" i="3" s="1"/>
  <c r="BB15" i="4"/>
  <c r="BC15" i="4" s="1"/>
  <c r="AY36" i="4"/>
  <c r="AY7" i="4"/>
  <c r="BB7" i="4"/>
  <c r="BC7" i="4" s="1"/>
  <c r="AP7" i="3" s="1"/>
  <c r="AY16" i="4"/>
  <c r="AY48" i="4"/>
  <c r="E12" i="1"/>
  <c r="AN108" i="4"/>
  <c r="AE81" i="3"/>
  <c r="AF81" i="3" s="1"/>
  <c r="AG81" i="3" s="1"/>
  <c r="AH81" i="3" s="1"/>
  <c r="I80" i="4"/>
  <c r="BB31" i="4"/>
  <c r="BC31" i="4" s="1"/>
  <c r="AP31" i="3" s="1"/>
  <c r="AY31" i="4"/>
  <c r="AY30" i="4"/>
  <c r="BB30" i="4"/>
  <c r="BC30" i="4" s="1"/>
  <c r="AY8" i="4"/>
  <c r="BB8" i="4"/>
  <c r="BA5" i="4"/>
  <c r="AP30" i="3" l="1"/>
  <c r="AP60" i="3"/>
  <c r="AP36" i="3"/>
  <c r="Y10" i="1"/>
  <c r="AP47" i="3"/>
  <c r="AI81" i="3"/>
  <c r="AJ81" i="3" s="1"/>
  <c r="AK81" i="3" s="1"/>
  <c r="AL81" i="3" s="1"/>
  <c r="F8" i="1" s="1"/>
  <c r="AP15" i="3"/>
  <c r="AP58" i="3"/>
  <c r="BJ7" i="4"/>
  <c r="BA16" i="4"/>
  <c r="BA48" i="4"/>
  <c r="BG48" i="4"/>
  <c r="BJ48" i="4" s="1"/>
  <c r="BA60" i="4"/>
  <c r="BG60" i="4"/>
  <c r="BJ60" i="4" s="1"/>
  <c r="BA58" i="4"/>
  <c r="BG58" i="4"/>
  <c r="BJ58" i="4" s="1"/>
  <c r="BA47" i="4"/>
  <c r="BG47" i="4"/>
  <c r="BJ47" i="4" s="1"/>
  <c r="BA8" i="4"/>
  <c r="BG8" i="4"/>
  <c r="BA30" i="4"/>
  <c r="BG30" i="4"/>
  <c r="BJ30" i="4" s="1"/>
  <c r="BA39" i="4"/>
  <c r="BG39" i="4"/>
  <c r="BJ39" i="4" s="1"/>
  <c r="BA36" i="4"/>
  <c r="BG36" i="4"/>
  <c r="BJ36" i="4" s="1"/>
  <c r="BA15" i="4"/>
  <c r="BG15" i="4"/>
  <c r="BA31" i="4"/>
  <c r="BA7" i="4"/>
  <c r="AY80" i="4"/>
  <c r="AZ80" i="4"/>
  <c r="BA80" i="4" s="1"/>
  <c r="BE80" i="4"/>
  <c r="BE82" i="4" s="1"/>
  <c r="AX108" i="4"/>
  <c r="BC8" i="4"/>
  <c r="AP8" i="3" s="1"/>
  <c r="BB80" i="4"/>
  <c r="BC80" i="4" s="1"/>
  <c r="I8" i="1" l="1"/>
  <c r="F12" i="1"/>
  <c r="H8" i="1"/>
  <c r="BJ8" i="4"/>
  <c r="D15" i="1"/>
  <c r="D24" i="1" s="1"/>
  <c r="G15" i="1"/>
  <c r="I15" i="1"/>
  <c r="I24" i="1" s="1"/>
  <c r="E15" i="1"/>
  <c r="F15" i="1"/>
  <c r="F24" i="1" s="1"/>
  <c r="H15" i="1"/>
  <c r="H24" i="1" s="1"/>
  <c r="E24" i="1" l="1"/>
  <c r="G24" i="1"/>
  <c r="AO120" i="17" l="1"/>
  <c r="AO123" i="17" s="1"/>
  <c r="AP123" i="17" s="1"/>
  <c r="AQ123" i="17" s="1"/>
  <c r="AR123" i="17" s="1"/>
  <c r="AS123" i="17" s="1"/>
  <c r="AT123" i="17" s="1"/>
  <c r="AU123" i="17" s="1"/>
  <c r="AV123" i="17" s="1"/>
  <c r="AW123" i="17" s="1"/>
  <c r="AX123" i="17" s="1"/>
  <c r="AY123" i="17" s="1"/>
  <c r="AZ123" i="17" s="1"/>
  <c r="BA123" i="17" s="1"/>
  <c r="BB123" i="17" s="1"/>
  <c r="CG91" i="17"/>
  <c r="CG120" i="17" s="1"/>
  <c r="AO125" i="17"/>
  <c r="V11" i="1"/>
  <c r="CM91" i="17" l="1"/>
  <c r="V12" i="1"/>
  <c r="F2" i="36" l="1"/>
  <c r="I2" i="36" s="1"/>
  <c r="J2" i="36" s="1"/>
  <c r="AQ549" i="31"/>
  <c r="F237" i="36"/>
  <c r="I237" i="36" s="1"/>
  <c r="J237" i="36" s="1"/>
  <c r="AQ314" i="31"/>
  <c r="AQ9" i="31" s="1"/>
  <c r="AO312" i="15"/>
  <c r="AO309" i="15"/>
  <c r="BM7" i="15"/>
  <c r="BM305" i="15" s="1"/>
  <c r="O9" i="1" s="1"/>
  <c r="BN7" i="15"/>
  <c r="BO7" i="15"/>
  <c r="BP7" i="15" s="1"/>
  <c r="AO315" i="15"/>
  <c r="AU7" i="15"/>
  <c r="AR9" i="34" s="1"/>
  <c r="BT7" i="15"/>
  <c r="AX7" i="15"/>
  <c r="AV7" i="15"/>
  <c r="AQ244" i="31" l="1"/>
  <c r="AQ307" i="31" s="1"/>
  <c r="AR549" i="31"/>
  <c r="AR314" i="31"/>
  <c r="BB7" i="15"/>
  <c r="BO305" i="15"/>
  <c r="BO308" i="15" s="1"/>
  <c r="AV305" i="15"/>
  <c r="AW7" i="15"/>
  <c r="BL308" i="15"/>
  <c r="AT315" i="15"/>
  <c r="BL309" i="15"/>
  <c r="AU305" i="15"/>
  <c r="G9" i="1"/>
  <c r="BN305" i="15"/>
  <c r="P9" i="1" s="1"/>
  <c r="BU7" i="15"/>
  <c r="BV7" i="15" s="1"/>
  <c r="AX305" i="15"/>
  <c r="AY7" i="15"/>
  <c r="G2" i="36" l="1"/>
  <c r="M2" i="36" s="1"/>
  <c r="R2" i="36" s="1"/>
  <c r="G237" i="36"/>
  <c r="M237" i="36" s="1"/>
  <c r="R237" i="36" s="1"/>
  <c r="I16" i="1"/>
  <c r="I25" i="1" s="1"/>
  <c r="F16" i="1"/>
  <c r="D16" i="1"/>
  <c r="D25" i="1" s="1"/>
  <c r="H16" i="1"/>
  <c r="G16" i="1"/>
  <c r="S9" i="1"/>
  <c r="S12" i="1" s="1"/>
  <c r="P12" i="1"/>
  <c r="R9" i="1"/>
  <c r="AU309" i="15"/>
  <c r="BO311" i="15"/>
  <c r="BO312" i="15" s="1"/>
  <c r="H9" i="1"/>
  <c r="I9" i="1"/>
  <c r="E16" i="1" l="1"/>
  <c r="E25" i="1" s="1"/>
  <c r="F25" i="1"/>
  <c r="G25" i="1"/>
  <c r="H25" i="1"/>
  <c r="R12" i="1"/>
  <c r="T9" i="1"/>
  <c r="T12" i="1" s="1"/>
  <c r="Y9" i="1"/>
  <c r="Y12" i="1" s="1"/>
  <c r="L13" i="1"/>
  <c r="AO311" i="15" l="1"/>
  <c r="V77" i="16" l="1"/>
  <c r="AJ77" i="16"/>
  <c r="AL77" i="16" s="1"/>
  <c r="AM77" i="16"/>
  <c r="AN77" i="16"/>
  <c r="V73" i="16"/>
  <c r="AN73" i="16"/>
  <c r="AM73" i="16"/>
  <c r="AJ73" i="16"/>
  <c r="AL73" i="16" s="1"/>
  <c r="V19" i="16"/>
  <c r="AJ19" i="16"/>
  <c r="AL19" i="16" s="1"/>
  <c r="AM19" i="16"/>
  <c r="AN19" i="16"/>
  <c r="V48" i="16"/>
  <c r="AM48" i="16"/>
  <c r="AN48" i="16"/>
  <c r="AJ48" i="16"/>
  <c r="AL48" i="16" s="1"/>
  <c r="AJ10" i="16"/>
  <c r="AL10" i="16" s="1"/>
  <c r="AM10" i="16"/>
  <c r="AN10" i="16"/>
  <c r="V56" i="16"/>
  <c r="AM56" i="16"/>
  <c r="AN56" i="16"/>
  <c r="AJ56" i="16"/>
  <c r="AL56" i="16" s="1"/>
  <c r="V80" i="16"/>
  <c r="AM80" i="16"/>
  <c r="AN80" i="16"/>
  <c r="AJ80" i="16"/>
  <c r="AL80" i="16" s="1"/>
  <c r="V72" i="16"/>
  <c r="AM72" i="16"/>
  <c r="AN72" i="16"/>
  <c r="AJ72" i="16"/>
  <c r="AL72" i="16" s="1"/>
  <c r="V34" i="16"/>
  <c r="AJ34" i="16"/>
  <c r="AL34" i="16" s="1"/>
  <c r="AM34" i="16"/>
  <c r="AN34" i="16"/>
  <c r="V11" i="16"/>
  <c r="AJ11" i="16"/>
  <c r="AL11" i="16" s="1"/>
  <c r="AM11" i="16"/>
  <c r="AN11" i="16"/>
  <c r="V81" i="16"/>
  <c r="AN81" i="16"/>
  <c r="AJ81" i="16"/>
  <c r="AL81" i="16" s="1"/>
  <c r="AM81" i="16"/>
  <c r="V52" i="16"/>
  <c r="AM52" i="16"/>
  <c r="AN52" i="16"/>
  <c r="AJ52" i="16"/>
  <c r="AL52" i="16" s="1"/>
  <c r="V35" i="16"/>
  <c r="AJ35" i="16"/>
  <c r="AL35" i="16" s="1"/>
  <c r="AM35" i="16"/>
  <c r="AN35" i="16"/>
  <c r="AJ7" i="16"/>
  <c r="AL7" i="16" s="1"/>
  <c r="V7" i="16"/>
  <c r="AM7" i="16"/>
  <c r="AN7" i="16"/>
  <c r="V62" i="16"/>
  <c r="AJ62" i="16"/>
  <c r="AL62" i="16" s="1"/>
  <c r="AM62" i="16"/>
  <c r="AN62" i="16"/>
  <c r="V87" i="16"/>
  <c r="AN87" i="16"/>
  <c r="AJ87" i="16"/>
  <c r="AL87" i="16" s="1"/>
  <c r="AM87" i="16"/>
  <c r="V64" i="16"/>
  <c r="AM64" i="16"/>
  <c r="AN64" i="16"/>
  <c r="AJ64" i="16"/>
  <c r="AL64" i="16" s="1"/>
  <c r="V78" i="16"/>
  <c r="AJ78" i="16"/>
  <c r="AL78" i="16" s="1"/>
  <c r="AM78" i="16"/>
  <c r="AN78" i="16"/>
  <c r="V85" i="16"/>
  <c r="AJ85" i="16"/>
  <c r="AL85" i="16" s="1"/>
  <c r="AM85" i="16"/>
  <c r="AN85" i="16"/>
  <c r="AM61" i="16"/>
  <c r="AN61" i="16"/>
  <c r="AJ61" i="16"/>
  <c r="AL61" i="16" s="1"/>
  <c r="V61" i="16"/>
  <c r="V65" i="16"/>
  <c r="AN65" i="16"/>
  <c r="AM65" i="16"/>
  <c r="AJ65" i="16"/>
  <c r="AL65" i="16" s="1"/>
  <c r="V86" i="16"/>
  <c r="AJ86" i="16"/>
  <c r="AL86" i="16" s="1"/>
  <c r="AM86" i="16"/>
  <c r="AN86" i="16"/>
  <c r="V43" i="16"/>
  <c r="AJ43" i="16"/>
  <c r="AL43" i="16" s="1"/>
  <c r="AN43" i="16"/>
  <c r="AM43" i="16"/>
  <c r="V84" i="16"/>
  <c r="AJ84" i="16"/>
  <c r="AL84" i="16" s="1"/>
  <c r="AM84" i="16"/>
  <c r="AN84" i="16"/>
  <c r="AD84" i="16" l="1"/>
  <c r="AD78" i="16"/>
  <c r="AD85" i="16"/>
  <c r="AD11" i="16"/>
  <c r="AD56" i="16"/>
  <c r="AD65" i="16"/>
  <c r="AD81" i="16"/>
  <c r="AD61" i="16"/>
  <c r="AD80" i="16"/>
  <c r="AD35" i="16"/>
  <c r="AQ52" i="16"/>
  <c r="AR52" i="16" s="1"/>
  <c r="AD52" i="16"/>
  <c r="Z84" i="16"/>
  <c r="AA84" i="16" s="1"/>
  <c r="W84" i="16"/>
  <c r="X84" i="16"/>
  <c r="Y84" i="16" s="1"/>
  <c r="AO84" i="16"/>
  <c r="AP84" i="16"/>
  <c r="AQ84" i="16"/>
  <c r="AR84" i="16" s="1"/>
  <c r="W86" i="16"/>
  <c r="Z86" i="16"/>
  <c r="AA86" i="16" s="1"/>
  <c r="X86" i="16"/>
  <c r="Y86" i="16" s="1"/>
  <c r="AP86" i="16"/>
  <c r="AO86" i="16"/>
  <c r="W78" i="16"/>
  <c r="Z78" i="16"/>
  <c r="AA78" i="16" s="1"/>
  <c r="X78" i="16"/>
  <c r="Y78" i="16" s="1"/>
  <c r="AO78" i="16"/>
  <c r="AQ78" i="16"/>
  <c r="AR78" i="16" s="1"/>
  <c r="AP78" i="16"/>
  <c r="W87" i="16"/>
  <c r="Z87" i="16"/>
  <c r="AA87" i="16" s="1"/>
  <c r="AO87" i="16"/>
  <c r="AP87" i="16"/>
  <c r="X87" i="16"/>
  <c r="Y87" i="16" s="1"/>
  <c r="W7" i="16"/>
  <c r="Z7" i="16"/>
  <c r="AA7" i="16" s="1"/>
  <c r="X7" i="16"/>
  <c r="Y7" i="16" s="1"/>
  <c r="AO7" i="16"/>
  <c r="V124" i="16"/>
  <c r="V126" i="16" s="1"/>
  <c r="AQ72" i="16"/>
  <c r="AR72" i="16" s="1"/>
  <c r="AD72" i="16"/>
  <c r="AQ73" i="16"/>
  <c r="AR73" i="16" s="1"/>
  <c r="AD73" i="16"/>
  <c r="AM124" i="16"/>
  <c r="AQ64" i="16"/>
  <c r="AR64" i="16" s="1"/>
  <c r="AD64" i="16"/>
  <c r="AP7" i="16"/>
  <c r="AD7" i="16"/>
  <c r="AL124" i="16"/>
  <c r="K11" i="1" s="1"/>
  <c r="M11" i="1" s="1"/>
  <c r="Z52" i="16"/>
  <c r="AA52" i="16" s="1"/>
  <c r="W52" i="16"/>
  <c r="X52" i="16"/>
  <c r="Y52" i="16" s="1"/>
  <c r="AO52" i="16"/>
  <c r="AP52" i="16"/>
  <c r="Z11" i="16"/>
  <c r="AA11" i="16" s="1"/>
  <c r="W11" i="16"/>
  <c r="AO11" i="16"/>
  <c r="AQ11" i="16"/>
  <c r="AR11" i="16" s="1"/>
  <c r="AP11" i="16"/>
  <c r="X11" i="16"/>
  <c r="Y11" i="16" s="1"/>
  <c r="W72" i="16"/>
  <c r="Z72" i="16"/>
  <c r="AA72" i="16" s="1"/>
  <c r="AO72" i="16"/>
  <c r="AP72" i="16"/>
  <c r="X72" i="16"/>
  <c r="Y72" i="16" s="1"/>
  <c r="W56" i="16"/>
  <c r="Z56" i="16"/>
  <c r="AA56" i="16" s="1"/>
  <c r="AO56" i="16"/>
  <c r="X56" i="16"/>
  <c r="Y56" i="16" s="1"/>
  <c r="AQ56" i="16"/>
  <c r="AR56" i="16" s="1"/>
  <c r="AP56" i="16"/>
  <c r="AO48" i="16"/>
  <c r="W48" i="16"/>
  <c r="Z48" i="16"/>
  <c r="AA48" i="16" s="1"/>
  <c r="AP48" i="16"/>
  <c r="X48" i="16"/>
  <c r="Y48" i="16" s="1"/>
  <c r="W73" i="16"/>
  <c r="Z73" i="16"/>
  <c r="AA73" i="16" s="1"/>
  <c r="AO73" i="16"/>
  <c r="AP73" i="16"/>
  <c r="X73" i="16"/>
  <c r="Y73" i="16" s="1"/>
  <c r="AQ87" i="16"/>
  <c r="AR87" i="16" s="1"/>
  <c r="AD87" i="16"/>
  <c r="AQ48" i="16"/>
  <c r="AR48" i="16" s="1"/>
  <c r="AD48" i="16"/>
  <c r="AQ86" i="16"/>
  <c r="AR86" i="16" s="1"/>
  <c r="AD86" i="16"/>
  <c r="AQ62" i="16"/>
  <c r="AR62" i="16" s="1"/>
  <c r="AD62" i="16"/>
  <c r="AQ34" i="16"/>
  <c r="AR34" i="16" s="1"/>
  <c r="AD34" i="16"/>
  <c r="AQ10" i="16"/>
  <c r="AR10" i="16" s="1"/>
  <c r="AD10" i="16"/>
  <c r="AQ19" i="16"/>
  <c r="AR19" i="16" s="1"/>
  <c r="AQ77" i="16"/>
  <c r="AR77" i="16" s="1"/>
  <c r="AD77" i="16"/>
  <c r="AQ43" i="16"/>
  <c r="AR43" i="16" s="1"/>
  <c r="AD43" i="16"/>
  <c r="Z43" i="16"/>
  <c r="AA43" i="16" s="1"/>
  <c r="W43" i="16"/>
  <c r="AP43" i="16"/>
  <c r="AO43" i="16"/>
  <c r="X43" i="16"/>
  <c r="Y43" i="16" s="1"/>
  <c r="W65" i="16"/>
  <c r="Z65" i="16"/>
  <c r="AA65" i="16" s="1"/>
  <c r="AO65" i="16"/>
  <c r="AP65" i="16"/>
  <c r="X65" i="16"/>
  <c r="Y65" i="16" s="1"/>
  <c r="AQ65" i="16"/>
  <c r="AR65" i="16" s="1"/>
  <c r="W85" i="16"/>
  <c r="Z85" i="16"/>
  <c r="AA85" i="16" s="1"/>
  <c r="AQ85" i="16"/>
  <c r="AR85" i="16" s="1"/>
  <c r="X85" i="16"/>
  <c r="Y85" i="16" s="1"/>
  <c r="AP85" i="16"/>
  <c r="AO85" i="16"/>
  <c r="X64" i="16"/>
  <c r="Y64" i="16" s="1"/>
  <c r="Z64" i="16"/>
  <c r="AA64" i="16" s="1"/>
  <c r="AP64" i="16"/>
  <c r="AO64" i="16"/>
  <c r="W64" i="16"/>
  <c r="W62" i="16"/>
  <c r="Z62" i="16"/>
  <c r="AA62" i="16" s="1"/>
  <c r="AO62" i="16"/>
  <c r="AP62" i="16"/>
  <c r="X62" i="16"/>
  <c r="Y62" i="16" s="1"/>
  <c r="AQ61" i="16"/>
  <c r="AR61" i="16" s="1"/>
  <c r="AO61" i="16"/>
  <c r="W61" i="16"/>
  <c r="AP61" i="16"/>
  <c r="Z61" i="16"/>
  <c r="AA61" i="16" s="1"/>
  <c r="X61" i="16"/>
  <c r="Y61" i="16" s="1"/>
  <c r="AN124" i="16"/>
  <c r="Z35" i="16"/>
  <c r="AA35" i="16" s="1"/>
  <c r="W35" i="16"/>
  <c r="AP35" i="16"/>
  <c r="AQ35" i="16"/>
  <c r="AR35" i="16" s="1"/>
  <c r="AO35" i="16"/>
  <c r="X35" i="16"/>
  <c r="Y35" i="16" s="1"/>
  <c r="W81" i="16"/>
  <c r="Z81" i="16"/>
  <c r="AA81" i="16" s="1"/>
  <c r="AO81" i="16"/>
  <c r="AQ81" i="16"/>
  <c r="AR81" i="16" s="1"/>
  <c r="AP81" i="16"/>
  <c r="X81" i="16"/>
  <c r="Y81" i="16" s="1"/>
  <c r="W34" i="16"/>
  <c r="Z34" i="16"/>
  <c r="AA34" i="16" s="1"/>
  <c r="X34" i="16"/>
  <c r="Y34" i="16" s="1"/>
  <c r="AP34" i="16"/>
  <c r="AO34" i="16"/>
  <c r="W80" i="16"/>
  <c r="Z80" i="16"/>
  <c r="AA80" i="16" s="1"/>
  <c r="AO80" i="16"/>
  <c r="AQ80" i="16"/>
  <c r="AR80" i="16" s="1"/>
  <c r="AP80" i="16"/>
  <c r="X80" i="16"/>
  <c r="Y80" i="16" s="1"/>
  <c r="W10" i="16"/>
  <c r="Z10" i="16"/>
  <c r="AA10" i="16" s="1"/>
  <c r="AP10" i="16"/>
  <c r="X10" i="16"/>
  <c r="Y10" i="16" s="1"/>
  <c r="AO10" i="16"/>
  <c r="Z19" i="16"/>
  <c r="AA19" i="16" s="1"/>
  <c r="W19" i="16"/>
  <c r="AP19" i="16"/>
  <c r="X19" i="16"/>
  <c r="AO19" i="16"/>
  <c r="Z77" i="16"/>
  <c r="AA77" i="16" s="1"/>
  <c r="W77" i="16"/>
  <c r="X77" i="16"/>
  <c r="Y77" i="16" s="1"/>
  <c r="AO77" i="16"/>
  <c r="AP77" i="16"/>
  <c r="Y19" i="16" l="1"/>
  <c r="AD19" i="16"/>
  <c r="D18" i="1" s="1"/>
  <c r="H18" i="1"/>
  <c r="I18" i="1"/>
  <c r="AO124" i="16"/>
  <c r="O11" i="1" s="1"/>
  <c r="O12" i="1" s="1"/>
  <c r="G11" i="1"/>
  <c r="W124" i="16"/>
  <c r="V128" i="16"/>
  <c r="AQ7" i="16"/>
  <c r="AP124" i="16"/>
  <c r="P11" i="1" s="1"/>
  <c r="E18" i="1" l="1"/>
  <c r="E27" i="1" s="1"/>
  <c r="E28" i="1" s="1"/>
  <c r="G18" i="1"/>
  <c r="G27" i="1" s="1"/>
  <c r="G28" i="1" s="1"/>
  <c r="F18" i="1"/>
  <c r="F27" i="1" s="1"/>
  <c r="F28" i="1" s="1"/>
  <c r="H27" i="1"/>
  <c r="H28" i="1" s="1"/>
  <c r="H19" i="1"/>
  <c r="I27" i="1"/>
  <c r="I28" i="1" s="1"/>
  <c r="I19" i="1"/>
  <c r="AR7" i="16"/>
  <c r="AQ124" i="16"/>
  <c r="D27" i="1"/>
  <c r="D28" i="1" s="1"/>
  <c r="D19" i="1"/>
  <c r="I11" i="1"/>
  <c r="I12" i="1" s="1"/>
  <c r="H11" i="1"/>
  <c r="G12" i="1"/>
  <c r="H12" i="1" s="1"/>
  <c r="R11" i="1"/>
  <c r="E19" i="1" l="1"/>
  <c r="F19" i="1"/>
  <c r="G19" i="1"/>
  <c r="S11" i="1"/>
  <c r="T11" i="1" s="1"/>
  <c r="AQ127" i="16"/>
  <c r="Y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Jorshua Garcia</author>
  </authors>
  <commentList>
    <comment ref="G9" authorId="0" shapeId="0" xr:uid="{1965A1D2-7319-438B-B029-E57CEC71BE96}">
      <text>
        <r>
          <rPr>
            <b/>
            <sz val="9"/>
            <color indexed="81"/>
            <rFont val="Tahoma"/>
            <family val="2"/>
          </rPr>
          <t>Se restan los pagos efectuados de F&amp;F desde que inició el proyecto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tc={4FAC1C33-7BD6-4177-A915-777E4554DCD7}</author>
    <author>tc={48A330FB-76C2-4D04-8D6E-5CD5049F0CA0}</author>
    <author>tc={B69B260B-D2A2-4549-AEB0-D43BEAFB87EE}</author>
    <author>tc={16EBE388-24DE-4C95-9EB4-69CCBB055A85}</author>
    <author>tc={D2534FFC-FD3D-4023-87F2-CDF0C0CCF926}</author>
    <author>tc={4C9C643D-91A6-46EF-A13B-106A266C4969}</author>
    <author>tc={D955C930-763C-48CF-9B65-063B49C26A7A}</author>
    <author>Javier Morales</author>
    <author>tc={6C0DFAEA-5120-4B09-9D43-443614A062A0}</author>
    <author>Franck Catú</author>
    <author>Mirna Acajabon</author>
  </authors>
  <commentList>
    <comment ref="G125" authorId="0" shapeId="0" xr:uid="{4FAC1C33-7BD6-4177-A915-777E4554DCD7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firma de la promesa 29-11-2024 para control del momento en que inicio su plan de pagos se modifica la fecha a: 23/04/2025 ver plan de pagos actualizado.</t>
      </text>
    </comment>
    <comment ref="G168" authorId="1" shapeId="0" xr:uid="{48A330FB-76C2-4D04-8D6E-5CD5049F0C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cobrada en agosto, la promesa inicia pagos hasta octubre 2023.</t>
      </text>
    </comment>
    <comment ref="G171" authorId="2" shapeId="0" xr:uid="{B69B260B-D2A2-4549-AEB0-D43BEAFB87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en junio, inicio de cobro en agosto 2023.</t>
      </text>
    </comment>
    <comment ref="G176" authorId="3" shapeId="0" xr:uid="{16EBE388-24DE-4C95-9EB4-69CCBB055A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cobrada en abril, pagos iniciados en junio 2023.</t>
      </text>
    </comment>
    <comment ref="G196" authorId="4" shapeId="0" xr:uid="{D2534FFC-FD3D-4023-87F2-CDF0C0CCF9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en abril, pago inicial en junio 2023.</t>
      </text>
    </comment>
    <comment ref="F198" authorId="5" shapeId="0" xr:uid="{4C9C643D-91A6-46EF-A13B-106A266C496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sumo GTQ 28,000.00 pagados en el apartamento desistido 1901 por instrucciones de Junta Directiva.</t>
      </text>
    </comment>
    <comment ref="G203" authorId="6" shapeId="0" xr:uid="{D955C930-763C-48CF-9B65-063B49C26A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pagada en junio, inicio con pagos a partir de septiembre 2024.</t>
      </text>
    </comment>
    <comment ref="AR227" authorId="7" shapeId="0" xr:uid="{53F315A1-53A1-495D-97E6-D468CAB98A9C}">
      <text>
        <r>
          <rPr>
            <b/>
            <sz val="9"/>
            <color indexed="81"/>
            <rFont val="Tahoma"/>
            <family val="2"/>
          </rPr>
          <t>Javier Morales:</t>
        </r>
        <r>
          <rPr>
            <sz val="9"/>
            <color indexed="81"/>
            <rFont val="Tahoma"/>
            <family val="2"/>
          </rPr>
          <t xml:space="preserve">
CLIENTE DEPOSITO PERO CQ FUE RECHAZADO</t>
        </r>
      </text>
    </comment>
    <comment ref="AR244" authorId="7" shapeId="0" xr:uid="{EE622159-ACD3-4D99-8FC4-FC69CAED0AF8}">
      <text>
        <r>
          <rPr>
            <b/>
            <sz val="9"/>
            <color indexed="81"/>
            <rFont val="Tahoma"/>
            <family val="2"/>
          </rPr>
          <t>Javier Morales:</t>
        </r>
        <r>
          <rPr>
            <sz val="9"/>
            <color indexed="81"/>
            <rFont val="Tahoma"/>
            <family val="2"/>
          </rPr>
          <t xml:space="preserve">
CLIENTE DEPOSITO PERO CQ FUE RECHAZADO</t>
        </r>
      </text>
    </comment>
    <comment ref="AR268" authorId="7" shapeId="0" xr:uid="{BFE8885A-74E1-4710-A75E-86CB473B0CB8}">
      <text>
        <r>
          <rPr>
            <b/>
            <sz val="9"/>
            <color indexed="81"/>
            <rFont val="Tahoma"/>
            <family val="2"/>
          </rPr>
          <t>Javier Morales:</t>
        </r>
        <r>
          <rPr>
            <sz val="9"/>
            <color indexed="81"/>
            <rFont val="Tahoma"/>
            <family val="2"/>
          </rPr>
          <t xml:space="preserve">
CLIENTE DEPOSITO PERO CQ FUE RECHAZADO</t>
        </r>
      </text>
    </comment>
    <comment ref="G276" authorId="8" shapeId="0" xr:uid="{6C0DFAEA-5120-4B09-9D43-443614A062A0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fecha de la reserva 22/08/2024 no es real. La firma de la promesa 26-11-2024 el pago de la reserva fue en octubre 2024.</t>
      </text>
    </comment>
    <comment ref="AN276" authorId="9" shapeId="0" xr:uid="{BD4AB790-5068-4815-ABF0-D1131CC29B3C}">
      <text>
        <r>
          <rPr>
            <b/>
            <sz val="9"/>
            <color indexed="81"/>
            <rFont val="Tahoma"/>
            <family val="2"/>
          </rPr>
          <t>Franck Catú: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Pago de $1,200
</t>
        </r>
        <r>
          <rPr>
            <sz val="9"/>
            <color indexed="81"/>
            <rFont val="Tahoma"/>
            <family val="2"/>
          </rPr>
          <t>TC. 7.66325
Cuenta BAM USD</t>
        </r>
      </text>
    </comment>
    <comment ref="AL288" authorId="10" shapeId="0" xr:uid="{F9F74495-EFC7-43F9-BA71-9C67E605B230}">
      <text>
        <r>
          <rPr>
            <sz val="11"/>
            <color theme="1"/>
            <rFont val="Aptos Narrow"/>
            <family val="2"/>
            <scheme val="minor"/>
          </rPr>
          <t>Mirna Acajabon:
Diferencial cambiario considerado para cuadrar con la tipo de cambio ofrecido al cliente por GTQ 3,402.95 de (+)</t>
        </r>
      </text>
    </comment>
    <comment ref="F343" authorId="10" shapeId="0" xr:uid="{CC27E104-3E97-4F33-A47E-38A7E4E83D05}">
      <text>
        <r>
          <rPr>
            <sz val="11"/>
            <color theme="1"/>
            <rFont val="Aptos Narrow"/>
            <family val="2"/>
            <scheme val="minor"/>
          </rPr>
          <t>Mirna Acajabon:
Se notificará desestimiento.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tc={DE77BEB9-64E6-424E-9ADE-756DCCD4832A}</author>
    <author>tc={74E0E0AD-2B6D-4C6F-9B7F-846B85242B6E}</author>
  </authors>
  <commentList>
    <comment ref="F200" authorId="0" shapeId="0" xr:uid="{DE77BEB9-64E6-424E-9ADE-756DCCD4832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sumo GTQ 28,000.00 pagados en el apartamento desistido 1901 por instrucciones de Junta Directiva.</t>
      </text>
    </comment>
    <comment ref="F505" authorId="1" shapeId="0" xr:uid="{74E0E0AD-2B6D-4C6F-9B7F-846B85242B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sumo GTQ 28,000.00 pagados en el apartamento desistido 1901 por instrucciones de Junta Directiva.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Jorshua Garcia</author>
  </authors>
  <commentList>
    <comment ref="A187" authorId="0" shapeId="0" xr:uid="{E932E91C-A24E-4BC8-A004-55B4CAD6EF95}">
      <text>
        <r>
          <rPr>
            <b/>
            <sz val="9"/>
            <color indexed="81"/>
            <rFont val="Tahoma"/>
            <family val="2"/>
          </rPr>
          <t>DESISTIDO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tc={8E334CB9-4BE8-4ED3-A1F9-183C3185A277}</author>
    <author>tc={D67227AF-738B-4DC4-B4B2-BCD7ED5522CA}</author>
    <author>tc={A0B33B82-4350-4783-B2FD-64A8A7C9EB28}</author>
    <author>tc={56B14DBA-BA88-44D9-A3C2-6631828D33A6}</author>
    <author>tc={3F255091-A1D8-4779-AE4B-647E3D53CC15}</author>
    <author>tc={90E84790-A38A-46E5-898E-D53ED8F5816E}</author>
    <author>tc={98052587-1503-4917-9003-7BFCF48D9D6D}</author>
    <author>tc={B3D9CEBF-054D-42BB-86E2-DD225AB41071}</author>
  </authors>
  <commentList>
    <comment ref="H127" authorId="0" shapeId="0" xr:uid="{8E334CB9-4BE8-4ED3-A1F9-183C3185A277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firma de la promesa 29-11-2024 para control del momento en que inicio su plan de pagos se modifica la fecha a: 23/04/2025 ver plan de pagos actualizado.</t>
      </text>
    </comment>
    <comment ref="H170" authorId="1" shapeId="0" xr:uid="{D67227AF-738B-4DC4-B4B2-BCD7ED5522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cobrada en agosto, la promesa inicia pagos hasta octubre 2023.</t>
      </text>
    </comment>
    <comment ref="H173" authorId="2" shapeId="0" xr:uid="{A0B33B82-4350-4783-B2FD-64A8A7C9EB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en junio, inicio de cobro en agosto 2023.</t>
      </text>
    </comment>
    <comment ref="H178" authorId="3" shapeId="0" xr:uid="{56B14DBA-BA88-44D9-A3C2-6631828D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cobrada en abril, pagos iniciados en junio 2023.</t>
      </text>
    </comment>
    <comment ref="H198" authorId="4" shapeId="0" xr:uid="{3F255091-A1D8-4779-AE4B-647E3D53CC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en abril, pago inicial en junio 2023.</t>
      </text>
    </comment>
    <comment ref="G200" authorId="5" shapeId="0" xr:uid="{90E84790-A38A-46E5-898E-D53ED8F581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sumo GTQ 28,000.00 pagados en el apartamento desistido 1901 por instrucciones de Junta Directiva.</t>
      </text>
    </comment>
    <comment ref="H205" authorId="6" shapeId="0" xr:uid="{98052587-1503-4917-9003-7BFCF48D9D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Reserva pagada en junio, inicio con pagos a partir de septiembre 2024.</t>
      </text>
    </comment>
    <comment ref="H278" authorId="7" shapeId="0" xr:uid="{B3D9CEBF-054D-42BB-86E2-DD225AB41071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fecha de la reserva 22/08/2024 no es real. La firma de la promesa 26-11-2024 el pago de la reserva fue en octubre 2024.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tc={084081DD-EFC1-4D7E-BCB8-9A383A0E9126}</author>
  </authors>
  <commentList>
    <comment ref="F200" authorId="0" shapeId="0" xr:uid="{084081DD-EFC1-4D7E-BCB8-9A383A0E912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sumo GTQ 28,000.00 pagados en el apartamento desistido 1901 por instrucciones de Junta Directiva.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Mirna Acajabon</author>
    <author>Jorshua Garcia</author>
  </authors>
  <commentList>
    <comment ref="B24" authorId="0" shapeId="0" xr:uid="{8F2707F8-5819-42B8-B879-16FE9FA9C32F}">
      <text>
        <r>
          <rPr>
            <sz val="11"/>
            <color theme="1"/>
            <rFont val="Aptos Narrow"/>
            <family val="2"/>
            <scheme val="minor"/>
          </rPr>
          <t xml:space="preserve">Mirna Acajabon: En recibos figura No. 205
</t>
        </r>
      </text>
    </comment>
    <comment ref="F32" authorId="1" shapeId="0" xr:uid="{5B96DDFF-2C19-4A94-8A62-73FCF8D4916F}">
      <text>
        <r>
          <rPr>
            <b/>
            <sz val="9"/>
            <color indexed="81"/>
            <rFont val="Tahoma"/>
            <family val="2"/>
          </rPr>
          <t>No hay información en Comisiones del mes de Julio 2025 de este cliente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Franck Catú</author>
    <author>Mirna Acajabon</author>
    <author>Javier Morales</author>
    <author>tc={46EF5E96-260A-4753-A192-94917A6186D7}</author>
    <author>Jorshua Garcia</author>
  </authors>
  <commentList>
    <comment ref="L16" authorId="0" shapeId="0" xr:uid="{BE59A220-CDFE-42FD-97F9-BF3B92A1DC74}">
      <text>
        <r>
          <rPr>
            <b/>
            <sz val="9"/>
            <color indexed="81"/>
            <rFont val="Tahoma"/>
            <family val="2"/>
          </rPr>
          <t>Aparece como reservado ya que unicamente ha efectuado el pago de la reserva, al pasar al siguiente mes deberia cambiarse a Plan de pagos si efectua pago, de lo contrario permanecerá en reservado</t>
        </r>
      </text>
    </comment>
    <comment ref="F21" authorId="1" shapeId="0" xr:uid="{576D37BD-6E62-48B6-A833-835FCC59D378}">
      <text>
        <r>
          <rPr>
            <sz val="11"/>
            <color theme="1"/>
            <rFont val="Aptos Narrow"/>
            <family val="2"/>
            <scheme val="minor"/>
          </rPr>
          <t xml:space="preserve">Mirna Acajabon: En recibos figura No. 205
</t>
        </r>
      </text>
    </comment>
    <comment ref="J42" authorId="2" shapeId="0" xr:uid="{C39AAD82-B9E7-482E-88D9-01A748B6FF15}">
      <text>
        <r>
          <rPr>
            <b/>
            <sz val="9"/>
            <color indexed="81"/>
            <rFont val="Tahoma"/>
            <family val="2"/>
          </rPr>
          <t>Javier Morales:</t>
        </r>
        <r>
          <rPr>
            <sz val="9"/>
            <color indexed="81"/>
            <rFont val="Tahoma"/>
            <family val="2"/>
          </rPr>
          <t xml:space="preserve">
RESERVA JOSE MIGUEL MONT ORDOÑEZ APTO 403 TORRE B MODELO C</t>
        </r>
      </text>
    </comment>
    <comment ref="K107" authorId="0" shapeId="0" xr:uid="{97E4D5FD-E7DB-4431-9104-1C64529FDD0D}">
      <text>
        <r>
          <rPr>
            <b/>
            <sz val="9"/>
            <color indexed="81"/>
            <rFont val="Tahoma"/>
            <family val="2"/>
          </rPr>
          <t>Fecha según reserva en banco y de recibo pago (aprobado por Otto)</t>
        </r>
      </text>
    </comment>
    <comment ref="AT108" authorId="0" shapeId="0" xr:uid="{78D2C1E3-476E-485A-B623-E79DDA868536}">
      <text>
        <r>
          <rPr>
            <b/>
            <sz val="9"/>
            <color indexed="81"/>
            <rFont val="Tahoma"/>
            <family val="2"/>
          </rPr>
          <t xml:space="preserve">Pre-Reserva
</t>
        </r>
      </text>
    </comment>
    <comment ref="L113" authorId="0" shapeId="0" xr:uid="{F376F672-85B7-415F-9882-7E69F6D1E7C1}">
      <text>
        <r>
          <rPr>
            <b/>
            <sz val="9"/>
            <color indexed="81"/>
            <rFont val="Tahoma"/>
            <family val="2"/>
          </rPr>
          <t>Aparece como reservado ya que unicamente ha efectuado el pago de la reserva, al pasar al siguiente mes deberia cambiarse a Plan de pagos si efectua pago, de lo contrario permanecerá en reservado</t>
        </r>
      </text>
    </comment>
    <comment ref="AT118" authorId="3" shapeId="0" xr:uid="{46EF5E96-260A-4753-A192-94917A6186D7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con Link recibido en banco 1338.39, resto deben ajustarse a gasto</t>
      </text>
    </comment>
    <comment ref="J120" authorId="0" shapeId="0" xr:uid="{BF4B6FE7-DA9D-4EAA-BA32-8FE4CD51D7A0}">
      <text>
        <r>
          <rPr>
            <b/>
            <sz val="9"/>
            <color indexed="81"/>
            <rFont val="Tahoma"/>
            <family val="2"/>
          </rPr>
          <t>esos 2 casos fueron  aplicados el 17 noviembre ya que el asesor los elaboró el noviembre</t>
        </r>
      </text>
    </comment>
    <comment ref="J121" authorId="0" shapeId="0" xr:uid="{CBEC4305-AA4C-4363-82FF-1D3AB5C23E34}">
      <text>
        <r>
          <rPr>
            <b/>
            <sz val="9"/>
            <color indexed="81"/>
            <rFont val="Tahoma"/>
            <family val="2"/>
          </rPr>
          <t>esos 2 casos fueron  aplicados el 17 noviembre ya que el asesor los elaboró el noviembre</t>
        </r>
      </text>
    </comment>
    <comment ref="K122" authorId="0" shapeId="0" xr:uid="{51A0E257-1BF6-4465-BE5C-F0B8977B88AB}">
      <text>
        <r>
          <rPr>
            <b/>
            <sz val="9"/>
            <color indexed="81"/>
            <rFont val="Tahoma"/>
            <family val="2"/>
          </rPr>
          <t>CORREO ALEK DICE 06/11
COTIZACION DICE
07/11</t>
        </r>
      </text>
    </comment>
    <comment ref="J204" authorId="4" shapeId="0" xr:uid="{30C65DB7-F9D0-4DB9-B8DE-CBD1FEE7CCD7}">
      <text>
        <r>
          <rPr>
            <b/>
            <sz val="9"/>
            <color indexed="81"/>
            <rFont val="Tahoma"/>
            <family val="2"/>
          </rPr>
          <t>No hay información en Comisiones del mes de Julio 2025 de este cliente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tc={43D18394-20E1-49D3-A165-95095364B3FE}</author>
    <author>Franck Catú</author>
  </authors>
  <commentList>
    <comment ref="F19" authorId="0" shapeId="0" xr:uid="{43D18394-20E1-49D3-A165-95095364B3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Libre por Desistimiento Darwin Amilcar Rolando Corzantes
</t>
      </text>
    </comment>
    <comment ref="F68" authorId="1" shapeId="0" xr:uid="{DE8CE7C3-D963-4232-B05E-BBEB5E96A96B}">
      <text>
        <r>
          <rPr>
            <b/>
            <sz val="9"/>
            <color indexed="81"/>
            <rFont val="Tahoma"/>
            <family val="2"/>
          </rPr>
          <t>Asi aparece el nombre en la PCV y recibo de pago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1" authorId="1" shapeId="0" xr:uid="{A1B240C2-0695-4970-9847-25A7E0B0CD08}">
      <text>
        <r>
          <rPr>
            <b/>
            <sz val="9"/>
            <color indexed="81"/>
            <rFont val="Tahoma"/>
            <family val="2"/>
          </rPr>
          <t xml:space="preserve">Venta reportada:
</t>
        </r>
        <r>
          <rPr>
            <sz val="9"/>
            <color indexed="81"/>
            <rFont val="Tahoma"/>
            <family val="2"/>
          </rPr>
          <t>No se tiene dato de reserva del cliente en Odoo, hay recibo emitido #143 pero no tiene depósito en bancario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Mirna Acajabon</author>
  </authors>
  <commentList>
    <comment ref="A12" authorId="0" shapeId="0" xr:uid="{6E08CBA4-8050-4822-A73A-16CCD01AA0C9}">
      <text>
        <r>
          <rPr>
            <sz val="11"/>
            <color theme="1"/>
            <rFont val="Aptos Narrow"/>
            <family val="2"/>
            <scheme val="minor"/>
          </rPr>
          <t xml:space="preserve">Mirna Acajabon: En recibos figura No. 205
</t>
        </r>
      </text>
    </comment>
  </commentList>
</comments>
</file>

<file path=xl/sharedStrings.xml><?xml version="1.0" encoding="utf-8"?>
<sst xmlns="http://schemas.openxmlformats.org/spreadsheetml/2006/main" count="7369" uniqueCount="1449">
  <si>
    <t>Etiquetas de fila</t>
  </si>
  <si>
    <t>Suma de mar-25</t>
  </si>
  <si>
    <t>Suma de TOTAL COBROS Y RESERVAS</t>
  </si>
  <si>
    <t>Suma de Total de Cobro Ppto</t>
  </si>
  <si>
    <t>Suma de Variación ppto versus cobro real</t>
  </si>
  <si>
    <t>Cliente Atrasado</t>
  </si>
  <si>
    <t>Cliente al día</t>
  </si>
  <si>
    <t>Enganche Completado</t>
  </si>
  <si>
    <t>Cliente atrasado</t>
  </si>
  <si>
    <t>Superávit de Enganche</t>
  </si>
  <si>
    <t>Cliente disponible</t>
  </si>
  <si>
    <t>Disponible</t>
  </si>
  <si>
    <t>Pendiente plan de pagos</t>
  </si>
  <si>
    <t>Total general</t>
  </si>
  <si>
    <t>Superavit de enganche</t>
  </si>
  <si>
    <t>En cada tabla colocar el mes que corresponda para poder llevar bien la estadistica</t>
  </si>
  <si>
    <t>Cuenta de Apto</t>
  </si>
  <si>
    <t>Suma de feb-25</t>
  </si>
  <si>
    <t>Suma de Acumulado</t>
  </si>
  <si>
    <t>Suma de b</t>
  </si>
  <si>
    <t>#N/D</t>
  </si>
  <si>
    <t>(en blanco)</t>
  </si>
  <si>
    <t>DESARROLLOS INMOBILIARIOS</t>
  </si>
  <si>
    <t>RESUMEN DE COBROS POR PROYECTOS</t>
  </si>
  <si>
    <t>Al mes de :</t>
  </si>
  <si>
    <t>( + )</t>
  </si>
  <si>
    <t>( - )</t>
  </si>
  <si>
    <t>( + ) A</t>
  </si>
  <si>
    <t>( - ) B</t>
  </si>
  <si>
    <t>( = ) C</t>
  </si>
  <si>
    <t>( + ) D</t>
  </si>
  <si>
    <t>( - ) E</t>
  </si>
  <si>
    <t>( C ) - (D-E)</t>
  </si>
  <si>
    <t>Proyecto</t>
  </si>
  <si>
    <t>PPTO del mes</t>
  </si>
  <si>
    <t>Cobro del mes</t>
  </si>
  <si>
    <t>% de cobro del mes</t>
  </si>
  <si>
    <t>Ppto Acumulado</t>
  </si>
  <si>
    <t>Cobros Acumulados</t>
  </si>
  <si>
    <t>% de cobros acumulado</t>
  </si>
  <si>
    <t>Total cobros pendientes</t>
  </si>
  <si>
    <t>Efectivo acum. que se debió recibir</t>
  </si>
  <si>
    <t>Cobros por Efectuar (Casos Especiales / F&amp;F)</t>
  </si>
  <si>
    <t>Cobros Netos Acumulados</t>
  </si>
  <si>
    <t>Cobros realizados</t>
  </si>
  <si>
    <t>Cobros Adicionales</t>
  </si>
  <si>
    <t>Saldo Conciliado</t>
  </si>
  <si>
    <t>Cobros por Efectuar (Clientes en Mora)</t>
  </si>
  <si>
    <t>Diferencia</t>
  </si>
  <si>
    <t>Cobros (Desistimientos)</t>
  </si>
  <si>
    <t>Devoluciones (Desistimientos)</t>
  </si>
  <si>
    <t>(Faltante) / Sobrante en Flujo de Caja</t>
  </si>
  <si>
    <t>Casa Elisa</t>
  </si>
  <si>
    <t>Gran Jaguar</t>
  </si>
  <si>
    <t>Chinautla</t>
  </si>
  <si>
    <t>Bosque Las T.</t>
  </si>
  <si>
    <t>Total Apartamentos</t>
  </si>
  <si>
    <t>Enganche completado</t>
  </si>
  <si>
    <t>F&amp;F</t>
  </si>
  <si>
    <t>% de las cantidades</t>
  </si>
  <si>
    <t>Cliente Disponible</t>
  </si>
  <si>
    <t>Detalles para Cobro no realizado. - Apto: 315, Cuotas: 2, ESTATUS CLIENTE: Cliente Atrasado</t>
  </si>
  <si>
    <t>Apto</t>
  </si>
  <si>
    <t>Tipo</t>
  </si>
  <si>
    <t>NOTAS</t>
  </si>
  <si>
    <t>Vendedor</t>
  </si>
  <si>
    <t>Cliente</t>
  </si>
  <si>
    <t>Reservado</t>
  </si>
  <si>
    <t>Estatus</t>
  </si>
  <si>
    <t>Precio de Venta</t>
  </si>
  <si>
    <t>Enganche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</si>
  <si>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</si>
  <si>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</si>
  <si>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</si>
  <si>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</si>
  <si>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</si>
  <si>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</si>
  <si>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</si>
  <si>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</si>
  <si>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</si>
  <si>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</si>
  <si>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</si>
  <si>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</si>
  <si>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</si>
  <si>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</si>
  <si>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</si>
  <si>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</si>
  <si>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</si>
  <si>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</si>
  <si>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</si>
  <si>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</si>
  <si>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</si>
  <si>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</si>
  <si>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</si>
  <si>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</si>
  <si>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</si>
  <si>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</si>
  <si>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</si>
  <si>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</si>
  <si>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</si>
  <si>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</si>
  <si>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TOTAL COBROS Y RESERVAS</t>
  </si>
  <si>
    <t>% Cobro</t>
  </si>
  <si>
    <t>SALDO PENDIENTE ENGANCHE</t>
  </si>
  <si>
    <t>% Pendiente</t>
  </si>
  <si>
    <t>Monto a Financiar por Banco</t>
  </si>
  <si>
    <t>% a Financiar</t>
  </si>
  <si>
    <t>Proyección de Cobros (S/ Modelo Financiero)</t>
  </si>
  <si>
    <t>Status inmueble</t>
  </si>
  <si>
    <t>ESTATUS CLIENTE</t>
  </si>
  <si>
    <t>Cuotas Pactadas</t>
  </si>
  <si>
    <t>Cuota de Enganche</t>
  </si>
  <si>
    <t>Total cuotas pactadas</t>
  </si>
  <si>
    <t>Monto de Reserva Pactado</t>
  </si>
  <si>
    <t>Monto de Cuota Pactada</t>
  </si>
  <si>
    <t>Cuotas Pagadas</t>
  </si>
  <si>
    <t>Cantidad de cuotas que deben estar pagadas por el cliente</t>
  </si>
  <si>
    <t>Monto que debe estar cancelado a la fecha</t>
  </si>
  <si>
    <t>Monto pagado de cuotas a la fecha</t>
  </si>
  <si>
    <t>Enganche + Cuotas Extraordinarias Pagadas</t>
  </si>
  <si>
    <t>Cobro adicional a lo pactado</t>
  </si>
  <si>
    <t>Cobro no realizado según lo pactado</t>
  </si>
  <si>
    <t>Cuotas</t>
  </si>
  <si>
    <t>Caso Especial / F&amp;F</t>
  </si>
  <si>
    <t>Observaciones</t>
  </si>
  <si>
    <t>E1</t>
  </si>
  <si>
    <t>Sofia Paredes</t>
  </si>
  <si>
    <t>Lilian America Roldan Ochoa</t>
  </si>
  <si>
    <t>4.Plan de pagos</t>
  </si>
  <si>
    <t>Vendido</t>
  </si>
  <si>
    <t>Detalles para Cobro no realizado. - Apto.: 602, Cuotas: 2, ESTATUS CLIENTE: Cliente Atrasado</t>
  </si>
  <si>
    <t>Apto.</t>
  </si>
  <si>
    <t>Tipo.</t>
  </si>
  <si>
    <t>Fecha Reserva</t>
  </si>
  <si>
    <t>E10</t>
  </si>
  <si>
    <t>Anahí Cisneros</t>
  </si>
  <si>
    <t>Judith Fabiola Arevalo Valdez de Franco</t>
  </si>
  <si>
    <t>2. Reserva</t>
  </si>
  <si>
    <t>RESUMEN</t>
  </si>
  <si>
    <t>PROYECTO:</t>
  </si>
  <si>
    <t>GRAN JAGUAR</t>
  </si>
  <si>
    <t>Cobro no realizado.</t>
  </si>
  <si>
    <t>Total 1</t>
  </si>
  <si>
    <t>Detalles para Cobro no realizado. - Apto: 104, Cuotas: 19, ESTATUS CLIENTE: Cliente Atrasado</t>
  </si>
  <si>
    <t>Torre</t>
  </si>
  <si>
    <t>A</t>
  </si>
  <si>
    <t>B</t>
  </si>
  <si>
    <t>Abigail Garcia</t>
  </si>
  <si>
    <t>Astrid Marleny Pineda Gonzalez</t>
  </si>
  <si>
    <t>BENESTARE</t>
  </si>
  <si>
    <t>Total 0</t>
  </si>
  <si>
    <t>Total 2</t>
  </si>
  <si>
    <t>Total 3</t>
  </si>
  <si>
    <t>Total 4</t>
  </si>
  <si>
    <t>Total 5</t>
  </si>
  <si>
    <t>Total 7</t>
  </si>
  <si>
    <t>Total 8</t>
  </si>
  <si>
    <t>Total 12</t>
  </si>
  <si>
    <t>Total 14</t>
  </si>
  <si>
    <t>Total 20</t>
  </si>
  <si>
    <t>Bosque Las Tapias</t>
  </si>
  <si>
    <t>Status Cliente</t>
  </si>
  <si>
    <t>INVERSIONES INMOBILIARIAS SANTA ELISA, S.A.</t>
  </si>
  <si>
    <t>REPORTE DE RESERVAS</t>
  </si>
  <si>
    <t>PROMESA FIRMADO POR CLIENTE ( A )</t>
  </si>
  <si>
    <t>Cotizador</t>
  </si>
  <si>
    <t xml:space="preserve">Precio de Venta </t>
  </si>
  <si>
    <t>Diferencia Cotizador vs PV</t>
  </si>
  <si>
    <t>Variación modelo Finan. vs cobro real</t>
  </si>
  <si>
    <t>Cuotas Atrasadas</t>
  </si>
  <si>
    <t>Noemi M.</t>
  </si>
  <si>
    <t>Thelma Suyapa Aguilera Sanchez de Roca</t>
  </si>
  <si>
    <t>B1</t>
  </si>
  <si>
    <t>4.PLAN DE PAGOS</t>
  </si>
  <si>
    <t>Cristina Estefanía Villagrán Marroquin</t>
  </si>
  <si>
    <t>B3</t>
  </si>
  <si>
    <t>Paula H.</t>
  </si>
  <si>
    <t>Chelsy Amarilis Orellana De León</t>
  </si>
  <si>
    <t>A4</t>
  </si>
  <si>
    <t>Eder Daniel V.</t>
  </si>
  <si>
    <t xml:space="preserve">	Ada Marcela Moscoso Lopez / Mostello</t>
  </si>
  <si>
    <t>A2</t>
  </si>
  <si>
    <t>Ricardo O.</t>
  </si>
  <si>
    <t>Juan Pablo Matheu Morales</t>
  </si>
  <si>
    <t>C1</t>
  </si>
  <si>
    <t xml:space="preserve">	Hernan Benito Guerra Bardales</t>
  </si>
  <si>
    <t>C2</t>
  </si>
  <si>
    <t>2.RESERVADO</t>
  </si>
  <si>
    <t>Ángel Roberto Sic García/ANGEL EDUARDO SIC MORALES</t>
  </si>
  <si>
    <t>A5</t>
  </si>
  <si>
    <t>Francisco S.</t>
  </si>
  <si>
    <t>Ana Cristina Velásquez de Gómez</t>
  </si>
  <si>
    <t>A6</t>
  </si>
  <si>
    <t>Alfonso Javier Miranda Ramon</t>
  </si>
  <si>
    <t>B2</t>
  </si>
  <si>
    <t>Elfego Adonias Apen Son y Dany Alexis Gómez Ajuchán</t>
  </si>
  <si>
    <t>Efren Sanchez</t>
  </si>
  <si>
    <t>José Pablo Arana López</t>
  </si>
  <si>
    <t>A3</t>
  </si>
  <si>
    <t>Edwin Oswaldo Saenz Marroquin y Leslie Gabriela Senz</t>
  </si>
  <si>
    <t>A1</t>
  </si>
  <si>
    <t>1.DISPONIBLE</t>
  </si>
  <si>
    <t>Héctor Enrique Zacarias Illescas</t>
  </si>
  <si>
    <t>Eder Veliz</t>
  </si>
  <si>
    <t>Guilmar Renato Najarro Díaz</t>
  </si>
  <si>
    <t>2. RESERVADO</t>
  </si>
  <si>
    <t>Dep. Reserva</t>
  </si>
  <si>
    <t>Sin promesa firmada</t>
  </si>
  <si>
    <t>Sofia Maricela Ozaeta Góngora de Vásquez y Samuel Alejandro Vásquez Maldonado</t>
  </si>
  <si>
    <t>Luis Alfonso Ramirez Rivas</t>
  </si>
  <si>
    <t>Carol Analí Ovalle Valladares</t>
  </si>
  <si>
    <t>Antonio R</t>
  </si>
  <si>
    <t>Lucy Rivas y Jefferson Daniel Mejía Jocol</t>
  </si>
  <si>
    <t>Eder V.</t>
  </si>
  <si>
    <t>Narda Guisela Guerrero Reyna</t>
  </si>
  <si>
    <t>Rudy Antonio Hernández Ramos</t>
  </si>
  <si>
    <t>Héctor René Guzmán Morán</t>
  </si>
  <si>
    <t>Luis Fernando Cifuentes Echeverria</t>
  </si>
  <si>
    <t>José Carlos Sanchez Jimenez</t>
  </si>
  <si>
    <t>Nancy Andrea Ovalle Valladares</t>
  </si>
  <si>
    <t>Lester Eduardo Velasquez Dubon.</t>
  </si>
  <si>
    <t>Gerson Merari Tubac Tepaz</t>
  </si>
  <si>
    <t>Desireé Castro Rodríguez</t>
  </si>
  <si>
    <t>Lilian G.</t>
  </si>
  <si>
    <t>Luis Mariano Calderón Ponce/JOSE VICENTE CALDERON</t>
  </si>
  <si>
    <t>Nery Gamaliel Santos Moscoso</t>
  </si>
  <si>
    <t>Carlos Jeffry López Esquivel</t>
  </si>
  <si>
    <t>Enrique Virgilio Reyes</t>
  </si>
  <si>
    <t>Sindy Julissa Girón López</t>
  </si>
  <si>
    <t>Ingrid Karina De León López</t>
  </si>
  <si>
    <t>William Joselito de León Nimatuj</t>
  </si>
  <si>
    <t>Rudy Antonio Hernandez Ramos</t>
  </si>
  <si>
    <t>Maria del Carmen Corado Morales</t>
  </si>
  <si>
    <t>Lucy Abigail Mendoza Fuentes</t>
  </si>
  <si>
    <t>Werny Jose Ortiz Alegria</t>
  </si>
  <si>
    <t>Carlos Ovaldo Godinez y  Godinez</t>
  </si>
  <si>
    <t>Lauriano Figueroa Del Cid</t>
  </si>
  <si>
    <t>Irasema Dilian Magaña Muñoz</t>
  </si>
  <si>
    <t>Alex André Cruz Caal</t>
  </si>
  <si>
    <t>Kateryn Gabriela Quinon Reyes de Marroquin</t>
  </si>
  <si>
    <t>Rony Hanley Chalí Ramos</t>
  </si>
  <si>
    <t>Julio César Chávez Mancio</t>
  </si>
  <si>
    <t>Irving Elías López Salguero</t>
  </si>
  <si>
    <t>Carlos Benjamín Salazar Batres</t>
  </si>
  <si>
    <t>Mario Giovanni Paz Ponti</t>
  </si>
  <si>
    <t>Marlon Estuardo Cardona y Adriana Sofía Gutierrez</t>
  </si>
  <si>
    <t>Silvia Elizabeth Guevara Lucas</t>
  </si>
  <si>
    <t>Juan José Marroquín Rivera</t>
  </si>
  <si>
    <t>Nancy Maricela Velasquez Aguilar</t>
  </si>
  <si>
    <t>Raúl Arturo De León Juarez</t>
  </si>
  <si>
    <t>Rocio Celeste Archila Alfaro / Brian Javier Centeno Archila</t>
  </si>
  <si>
    <t>Pablo Javier Herrera Cabrera</t>
  </si>
  <si>
    <t>Ingrid Lorena Sajmolo Ruiz</t>
  </si>
  <si>
    <t>Wilson Ariel Salvador Tomas</t>
  </si>
  <si>
    <t>Walter Rolando Alvarado García y Ana Leticia Santos Calmo</t>
  </si>
  <si>
    <t>Mainor Alfredo Carias Culajay</t>
  </si>
  <si>
    <t>Misraim Antonio Osuna López</t>
  </si>
  <si>
    <t>Danilo Otoniel Gomez Guzman</t>
  </si>
  <si>
    <t>Rosybel Alheli Suchini</t>
  </si>
  <si>
    <t>Mario Domingo</t>
  </si>
  <si>
    <t>Xiomara Cristina Barrios Castellanos</t>
  </si>
  <si>
    <t>Byron Victoriano Mazariegos Mejía</t>
  </si>
  <si>
    <t>María Del Rocio Pinto Gómez de Liaño</t>
  </si>
  <si>
    <t>Isaias Gabriele Barrios Orozco</t>
  </si>
  <si>
    <t>Jose Julio Grave Cos</t>
  </si>
  <si>
    <t>Josue Othoniel Andrade de la Cruz</t>
  </si>
  <si>
    <t>Wendy Azucena Aguilar Chávez</t>
  </si>
  <si>
    <t>A7</t>
  </si>
  <si>
    <t>L1</t>
  </si>
  <si>
    <t>Helbert Emmanuel Blanco Argueta</t>
  </si>
  <si>
    <t>L2</t>
  </si>
  <si>
    <t>L3</t>
  </si>
  <si>
    <t>Jorge Antonio Sanchez Sipaque</t>
  </si>
  <si>
    <t>TOTAL COBROS DE CARTERA DE CLIENTES</t>
  </si>
  <si>
    <t>Desestimientos</t>
  </si>
  <si>
    <t>Elizabeth Ramírez Rodríguez</t>
  </si>
  <si>
    <t>Noemí Menendez</t>
  </si>
  <si>
    <t>Oscar Sincal</t>
  </si>
  <si>
    <t>Geovanni Chain</t>
  </si>
  <si>
    <t>Andrea Maria Calderon</t>
  </si>
  <si>
    <t xml:space="preserve">Wilby Miguel Batz </t>
  </si>
  <si>
    <t>Bruno Antonio Zeissig Pineda</t>
  </si>
  <si>
    <t>Ingrid Marisol Palacios Argueta / Jose Luis Enrique Rezzio Armas</t>
  </si>
  <si>
    <t>Marta Eugenia Gálvez Alburez de Marroquín</t>
  </si>
  <si>
    <t>Kimberly Mariel Lemus López</t>
  </si>
  <si>
    <t>Lourdes Lorena Reyes Fajardo y Glenda Marissela Cueva Serrano</t>
  </si>
  <si>
    <t>Cristian David Pérez Maldonado</t>
  </si>
  <si>
    <t>Andrea G.</t>
  </si>
  <si>
    <t>Eri Giovani Ibarra López</t>
  </si>
  <si>
    <t>Jose Adolfo Aguilar</t>
  </si>
  <si>
    <t>Wendy Azucena Aguilar Chavez</t>
  </si>
  <si>
    <t>Rosibel Suchini Morales</t>
  </si>
  <si>
    <t>TOTAL COBROS DE DESESTIMIENTOS</t>
  </si>
  <si>
    <t>Devolución de aportaciones</t>
  </si>
  <si>
    <t>Juan Luis Pinto Gomez De Liaño</t>
  </si>
  <si>
    <t>TOTAL DE DEVOLUCIONES DE APORTACIONES</t>
  </si>
  <si>
    <t>TOTAL DE COBRO GENERAL</t>
  </si>
  <si>
    <t>jun.22</t>
  </si>
  <si>
    <t>jul.22</t>
  </si>
  <si>
    <t>ago.22</t>
  </si>
  <si>
    <t>sep.22</t>
  </si>
  <si>
    <t>oct.22</t>
  </si>
  <si>
    <t>nov.22</t>
  </si>
  <si>
    <t>dic.22</t>
  </si>
  <si>
    <t>ene.23</t>
  </si>
  <si>
    <t>feb.23</t>
  </si>
  <si>
    <t>mar.23</t>
  </si>
  <si>
    <t>abr.23</t>
  </si>
  <si>
    <t>may.23</t>
  </si>
  <si>
    <t>jun.23</t>
  </si>
  <si>
    <t>jul.23</t>
  </si>
  <si>
    <t>ago.23</t>
  </si>
  <si>
    <t>sep.23</t>
  </si>
  <si>
    <t>oct.23</t>
  </si>
  <si>
    <t>nov.23</t>
  </si>
  <si>
    <t>dic.23</t>
  </si>
  <si>
    <t>ene.24</t>
  </si>
  <si>
    <t>feb.24</t>
  </si>
  <si>
    <t>mar.24</t>
  </si>
  <si>
    <t>abr.24</t>
  </si>
  <si>
    <t>may.24</t>
  </si>
  <si>
    <t>jun.24</t>
  </si>
  <si>
    <t>jul.24</t>
  </si>
  <si>
    <t>ago.24</t>
  </si>
  <si>
    <t>sept.24</t>
  </si>
  <si>
    <t>Oct.24</t>
  </si>
  <si>
    <t>Nov.24</t>
  </si>
  <si>
    <t>Dic.24</t>
  </si>
  <si>
    <t>TOTAL</t>
  </si>
  <si>
    <t>Variación</t>
  </si>
  <si>
    <t>Acumulado</t>
  </si>
  <si>
    <t>Notas</t>
  </si>
  <si>
    <t>TOTAL
ENGANCHES Y RESERVAS</t>
  </si>
  <si>
    <t>% 
PENDIENTE</t>
  </si>
  <si>
    <t>SALDO A FINANCIAR POR EL BANCO</t>
  </si>
  <si>
    <t>% 
A FINANCIAR</t>
  </si>
  <si>
    <t>Plan de pagos especiales</t>
  </si>
  <si>
    <t>Alfonso Videche Rodriguez</t>
  </si>
  <si>
    <t>Alfonso Videche Rrodriguez</t>
  </si>
  <si>
    <t>**Actualizar la columna AT meses sin pago</t>
  </si>
  <si>
    <t>SI(Y(BA127="Vendido",G127&gt;=0,BJ127&lt;=AS127,AS127&lt;AZ127),"Cliente al día",SI(Y(BA127="Vendido",G127&gt;=0,BJ127&lt;=AS127,AS127=AZ127),"Enganche Completado",SI(Y(BA127="Vendido",G127&gt;=0,BJ127&lt;AS127,AS127&gt;AZ127),"Superávit de Enganche",SI(Y(BA127="Apartamento Disponible",G127=0,AV127=0),"Disponible","Cliente Atrasado")))))</t>
  </si>
  <si>
    <t>INMOBILIARIA EL GRAN JAGUAR, S.A.</t>
  </si>
  <si>
    <t>BOULEVARD 5</t>
  </si>
  <si>
    <t>**</t>
  </si>
  <si>
    <t>VALORES QUE DEBE ESCRITURARSE</t>
  </si>
  <si>
    <t>% COBROS</t>
  </si>
  <si>
    <t>% 
PENDIENTE COBRO</t>
  </si>
  <si>
    <t>BASE 70%</t>
  </si>
  <si>
    <t>BASE 30%</t>
  </si>
  <si>
    <t>IVA</t>
  </si>
  <si>
    <t>TIMBRES</t>
  </si>
  <si>
    <t>VALOR FACTURA</t>
  </si>
  <si>
    <t>ACCIONES</t>
  </si>
  <si>
    <t>VALOR A ESCRITURARSE</t>
  </si>
  <si>
    <t>DIF.</t>
  </si>
  <si>
    <t>A7.1</t>
  </si>
  <si>
    <t>Jose Franco</t>
  </si>
  <si>
    <t>Karla Michelle Abril Valencia De Galicia</t>
  </si>
  <si>
    <t>B4.1</t>
  </si>
  <si>
    <t>Erwin Cardona</t>
  </si>
  <si>
    <t>Irma Leticia Villatoro Bucaro</t>
  </si>
  <si>
    <t>2.Reserva</t>
  </si>
  <si>
    <t>E1.1</t>
  </si>
  <si>
    <t>Ronaldo</t>
  </si>
  <si>
    <t>International Coffee Industry, S.A</t>
  </si>
  <si>
    <t>A4.1</t>
  </si>
  <si>
    <t>Antonio Rada</t>
  </si>
  <si>
    <t>Jonathan José Morales Salazar</t>
  </si>
  <si>
    <t>*Revisado, al finalizar del enganche pagará la cuota pendiente.</t>
  </si>
  <si>
    <t>B7.1</t>
  </si>
  <si>
    <t>Nery Adolfo Ortíz Alvarez</t>
  </si>
  <si>
    <t>B2.1</t>
  </si>
  <si>
    <t>Claudia Ruth Marianella Paiz Herrera de Alvarez</t>
  </si>
  <si>
    <t>B6.1</t>
  </si>
  <si>
    <t>1.Disponible</t>
  </si>
  <si>
    <t>B1.1</t>
  </si>
  <si>
    <t>E2.1</t>
  </si>
  <si>
    <t>Laura Elisa Ovalle Gonzalez</t>
  </si>
  <si>
    <t>A2.1</t>
  </si>
  <si>
    <t>Karla Suzel Ruiz Sanchinelli De Alonzo</t>
  </si>
  <si>
    <t>A6.1</t>
  </si>
  <si>
    <t>Jonathan José Morales Salazar / Ingrid Liseth Barillas López</t>
  </si>
  <si>
    <t>A3.1</t>
  </si>
  <si>
    <t>Brenda Búcaro</t>
  </si>
  <si>
    <t>Herbert Osiel Ramos Alfaro / Paula María Vásquez Cifuentes</t>
  </si>
  <si>
    <t>C3.1</t>
  </si>
  <si>
    <t>ENGANCHE CANCELADO</t>
  </si>
  <si>
    <t>Rodrigo Rodas Pazos</t>
  </si>
  <si>
    <t>CE</t>
  </si>
  <si>
    <t>C2.1</t>
  </si>
  <si>
    <t>Mauricio Arimany Monzon</t>
  </si>
  <si>
    <t>B7</t>
  </si>
  <si>
    <t>Bella Rosana Chaveque Gonzalez</t>
  </si>
  <si>
    <t>B6</t>
  </si>
  <si>
    <t>Paulette Leslie Wauthion Jimenez</t>
  </si>
  <si>
    <t>D7</t>
  </si>
  <si>
    <t>Javier Adolfo Hernandez Leon</t>
  </si>
  <si>
    <t>A9</t>
  </si>
  <si>
    <t>C9</t>
  </si>
  <si>
    <t>C8</t>
  </si>
  <si>
    <t>B4</t>
  </si>
  <si>
    <t>Igor Alejandro Salazar Zamora</t>
  </si>
  <si>
    <t>Pago único a realizarse en Julio 2025 por GTQ 185,104,00</t>
  </si>
  <si>
    <t>Laura Molina</t>
  </si>
  <si>
    <t>Carlos Alejandro de León Samayoa</t>
  </si>
  <si>
    <t>Julio Eduardo Farnes Bucaro</t>
  </si>
  <si>
    <t>A8</t>
  </si>
  <si>
    <t xml:space="preserve">Carlos Humberto Rivera Carrillo </t>
  </si>
  <si>
    <t>Jorge Daniel Baca Chiroy</t>
  </si>
  <si>
    <t>C4</t>
  </si>
  <si>
    <t>Lidia Elizabeth Pocasangre Rac</t>
  </si>
  <si>
    <t>Narvesters Gabriell Moreno Cedeño</t>
  </si>
  <si>
    <t>C3</t>
  </si>
  <si>
    <t>Jonathan Kiril Thomas Menkos</t>
  </si>
  <si>
    <t>José Ignacio Ramírez Soto</t>
  </si>
  <si>
    <t>Pedro Antonio Gomar Chávez</t>
  </si>
  <si>
    <t>27/11/205</t>
  </si>
  <si>
    <t>Ricardo Alberto Vásquez Monterroso</t>
  </si>
  <si>
    <t>Josue Alejandro Arias Perez</t>
  </si>
  <si>
    <t>Ricardo José Ruiz Álvarez</t>
  </si>
  <si>
    <t>Héctor Salvador Júarez Hernández/Angee Brizel Canelas Diaz</t>
  </si>
  <si>
    <t>Leonel Bernardo Molina Gramajo</t>
  </si>
  <si>
    <t>Fernando Javier Rosales Gramajo</t>
  </si>
  <si>
    <t>Diana Alvarez</t>
  </si>
  <si>
    <t>Miguel Angel Teletor Riz</t>
  </si>
  <si>
    <t>Freddy Alejandro Chinchilla Culajay</t>
  </si>
  <si>
    <t>Revisado</t>
  </si>
  <si>
    <t>Leslly Franzoli Cortez Avila</t>
  </si>
  <si>
    <t>Arcely Contreras</t>
  </si>
  <si>
    <t>Allan Omar Alvarado Vásquez</t>
  </si>
  <si>
    <t>Antonio Meneses Hernandez</t>
  </si>
  <si>
    <t>Jose Reynaldo Linares</t>
  </si>
  <si>
    <t>Aaron Fabrizio Tello Merida</t>
  </si>
  <si>
    <t>Santiago Taracena Puga</t>
  </si>
  <si>
    <t>Sara Veronica Ortíz De León</t>
  </si>
  <si>
    <t>Guillermo Vinicio Cotto Mux</t>
  </si>
  <si>
    <t>Denis Estuardo Mazariegos Fuentes</t>
  </si>
  <si>
    <t>Gerson Andre Villatoro Urizar</t>
  </si>
  <si>
    <t>Mario Saul Aragón Zepeda</t>
  </si>
  <si>
    <t>SIN DATOS</t>
  </si>
  <si>
    <t xml:space="preserve">Andrea Joanna Hidalgo Mendizábal </t>
  </si>
  <si>
    <t>Alberto Antonio Arrecis Rosales</t>
  </si>
  <si>
    <t>Maria Gabriela Chang Quan De Garcia</t>
  </si>
  <si>
    <t>Nuevo plan de pago, cliente al día.</t>
  </si>
  <si>
    <t>Rafael Leonidas Tabic Borja</t>
  </si>
  <si>
    <t>Josué Ernesto Herrera Aguilar</t>
  </si>
  <si>
    <t>Sonia Elizabeth Gómez Méndez de García</t>
  </si>
  <si>
    <t>Silvia Rose Mary Monzón Paniagua</t>
  </si>
  <si>
    <t>Cindy Carolina Toscano Merida</t>
  </si>
  <si>
    <t>INCREMENTO DE ENGANCHE</t>
  </si>
  <si>
    <t>Carolina Rivas Le Sage De Alonzo</t>
  </si>
  <si>
    <t>Kevin Mario Andrés Leal Morales / Flor de María Herrera Reyes de Gil</t>
  </si>
  <si>
    <t>Miguel Angel Flores Linares</t>
  </si>
  <si>
    <t xml:space="preserve">Antonio Vicente Tzep Tahay </t>
  </si>
  <si>
    <t>Andrea Elizabeth Ortiz Perez</t>
  </si>
  <si>
    <t>Rodriga Virginia Figueroa Perez</t>
  </si>
  <si>
    <t>E9</t>
  </si>
  <si>
    <t>Erick Guillermo Ruano Garcia</t>
  </si>
  <si>
    <t>Rudy Baldemar Villeda Vanegas / Marcia Corina Hernández Ruiz de Villeda</t>
  </si>
  <si>
    <t>David Eduardo Orellana Rivera</t>
  </si>
  <si>
    <t>Jaquelyn Andrea España Siliezar</t>
  </si>
  <si>
    <t>D9</t>
  </si>
  <si>
    <t>Nancy Eugenia Cisneros Sanchez De Davila</t>
  </si>
  <si>
    <t>D8</t>
  </si>
  <si>
    <t>Carlos Eduardo Miranda Y Nancy Patricia Medina</t>
  </si>
  <si>
    <t>A12</t>
  </si>
  <si>
    <t>Osmin Otoniel Oliva Córdova</t>
  </si>
  <si>
    <t>C6</t>
  </si>
  <si>
    <t>Evelyn Aida Samayoa San Jose</t>
  </si>
  <si>
    <t>C5</t>
  </si>
  <si>
    <t>Anabella Alburez Aja</t>
  </si>
  <si>
    <t>Revisado y cobrado,</t>
  </si>
  <si>
    <t>Francis Ayleen Funes Castellanos</t>
  </si>
  <si>
    <t>Hugo Leonel Roca Morales</t>
  </si>
  <si>
    <t>Oscar Antonio Gonzalez Hurtarte</t>
  </si>
  <si>
    <t>Maria Fernanda Cabrera Valdez</t>
  </si>
  <si>
    <t>E5</t>
  </si>
  <si>
    <t>Danya Maribel Callejas Hernandez De Herrera</t>
  </si>
  <si>
    <t>Ingrid Vanessa Granados Barneond</t>
  </si>
  <si>
    <t>José Javier Sarceño Alfaro Y María Rosana Rivera Gallardo</t>
  </si>
  <si>
    <t>Jorge Estuardo Díaz Durán Baldetti</t>
  </si>
  <si>
    <t>Karla Denisse Ariana Méndez Contreras</t>
  </si>
  <si>
    <t>Neftali Hemanuel de Leon Recinos</t>
  </si>
  <si>
    <t>Cedric Amilcar Rivera Fajardo</t>
  </si>
  <si>
    <t>Wendy Lorena Caal Garcia</t>
  </si>
  <si>
    <t>Mario José Márquez Rivera / Belteton Castellanos Iveth</t>
  </si>
  <si>
    <t>Juan Sebastian Gaitán Serrano</t>
  </si>
  <si>
    <t>Mirna Maria Rosas Guerra</t>
  </si>
  <si>
    <t>Mar Frandi Solly Gramajo Hernandez De Calderon</t>
  </si>
  <si>
    <t>Antony Williams Sajche Torres / Madelyn Kristina Sajche Torres</t>
  </si>
  <si>
    <t>*Plan de Pagos Especial*  próximo pago en julio 2025 por GTQ 19,000 y Octubre 2025 GTQ 15, 393,00 cancela enganche.</t>
  </si>
  <si>
    <t>Luis Augusto Franco Lopez</t>
  </si>
  <si>
    <t>Andrea Nathalia Molina Mendez De Velasqeuz</t>
  </si>
  <si>
    <t>Kenny Estuardo Garay Carias</t>
  </si>
  <si>
    <t>Firma reciente, cliente extranjero ahora se formalizará los pagos mensuales</t>
  </si>
  <si>
    <t>Yonatan Morgan Acajabon</t>
  </si>
  <si>
    <t>Sergio Oswaldo Velasquez Moreno</t>
  </si>
  <si>
    <t>Revisado, se envío correo a consulta a 180 para validar un recibo del mes de noviembre 2024,</t>
  </si>
  <si>
    <t>Thalia  Raquel Carredano</t>
  </si>
  <si>
    <t>Maria De Los Angeles España Cordon</t>
  </si>
  <si>
    <t>Edwin Estuardo Acevedo Salguero</t>
  </si>
  <si>
    <t xml:space="preserve">FALLECIMIENTO - </t>
  </si>
  <si>
    <t>Hans Christian Beeck Cazali</t>
  </si>
  <si>
    <t>* Caso especial por fallecimiento,</t>
  </si>
  <si>
    <t>Sergio Adolfo García Velásquez</t>
  </si>
  <si>
    <t>José Estuardo Ordoñez Cancinos</t>
  </si>
  <si>
    <t>Luis Francisco Villatoro Quiroa</t>
  </si>
  <si>
    <t>Wilson Humberto Félix Reyna</t>
  </si>
  <si>
    <t>Revisado y cobrado.</t>
  </si>
  <si>
    <t>Daniel Augusto Santos Aragon</t>
  </si>
  <si>
    <t>Dania Dulcidia Gutierrez Villeda</t>
  </si>
  <si>
    <t>Ingrid Lisbeth Dubón García De Diaz</t>
  </si>
  <si>
    <t>Edison Gabriel Ramirez Lopez</t>
  </si>
  <si>
    <t xml:space="preserve">Cristhian Paul Escobar Maldonado </t>
  </si>
  <si>
    <t>*Plan de Pagos Especial*  próximo pago en julio 2025 por GTQ 19,000 y Octubre 2025 GTQ 15,793,00 cancela enganche.</t>
  </si>
  <si>
    <t>Manuel Lizandro Ramírez Barrios</t>
  </si>
  <si>
    <t>REVISAR Y VERIFICAR, NO TIENE DATOS QUE SEA F&amp;F</t>
  </si>
  <si>
    <t>Carlos Yon (congelado estrategia comercial)</t>
  </si>
  <si>
    <t>Samuel David Chavez</t>
  </si>
  <si>
    <t>Nuevo plan de pagos a partir del 25-04-2025, cumplio con el pago de casi 2 cuotas 27-06-2025</t>
  </si>
  <si>
    <t>Edgar Augusto Sepúlveda Barrera</t>
  </si>
  <si>
    <t xml:space="preserve"> Luis Alejandro Pérez Ibañez</t>
  </si>
  <si>
    <t>Jose Carlos Samayoa San Jose</t>
  </si>
  <si>
    <t>Cynthia Marisel Coronado Monterroso</t>
  </si>
  <si>
    <t>Lisvet  Maricelasance Alvarez De Giron</t>
  </si>
  <si>
    <t>* Al día, recibo debe corregirse se envío correo a  180 para validar que asignen al apartamento que corresponde.</t>
  </si>
  <si>
    <t>Mario Rodriguez</t>
  </si>
  <si>
    <t>Julio Fernando Flores Interiano</t>
  </si>
  <si>
    <t>Junta Directiva</t>
  </si>
  <si>
    <t>(congelado estrategia comercial) / Mario Flores</t>
  </si>
  <si>
    <t>Pablo Jose Juarez Pereira</t>
  </si>
  <si>
    <t>Carmen Julia Soto Baechli De Hicks</t>
  </si>
  <si>
    <t>Mauricio Antonio Leon Tres</t>
  </si>
  <si>
    <t>Victor Hugo Caceres Morales</t>
  </si>
  <si>
    <t>B5</t>
  </si>
  <si>
    <t>Celia Julissa Flores Dávila De Gonzalez</t>
  </si>
  <si>
    <t>B8</t>
  </si>
  <si>
    <t>Rodolfo Morales Muñoz</t>
  </si>
  <si>
    <t>Eswin Raul Morales Lopez</t>
  </si>
  <si>
    <t>Gualberto Alonso Salazar Trejo</t>
  </si>
  <si>
    <t>Mildred Maritza Monterroso Montenegro De Santizo</t>
  </si>
  <si>
    <t>Sebastián Aristondo Barillas</t>
  </si>
  <si>
    <t>Rosa Gilda Tuchan Valle De Gonzalez</t>
  </si>
  <si>
    <t>PLAN ESPECIAL DE PAGOS</t>
  </si>
  <si>
    <t>Juan Pablo Gonzalez Tuchan</t>
  </si>
  <si>
    <t>Industrias Danico, S.A. /  Pedro Cordón}</t>
  </si>
  <si>
    <t>Enma Suselly Lopez Muy</t>
  </si>
  <si>
    <t>E2</t>
  </si>
  <si>
    <t>Leonora Elizabeth Cordon Arrivillaga</t>
  </si>
  <si>
    <t>Coasa, S.A.</t>
  </si>
  <si>
    <t xml:space="preserve"> Juan Antonio Escobedo Del Cid</t>
  </si>
  <si>
    <t>Astrid Pamela Chew Chávez De Letona</t>
  </si>
  <si>
    <t>Edvin Eduardo Sajquim Sajquim</t>
  </si>
  <si>
    <t>Maria Eugenia Ortiz Uck</t>
  </si>
  <si>
    <t>Monica Arimany Monzon</t>
  </si>
  <si>
    <t>Waldir Edenilson Contreras Pedroza</t>
  </si>
  <si>
    <t>Vivian Arely Carranza León De Acevedo</t>
  </si>
  <si>
    <t>Juan José Silva Pacheco</t>
  </si>
  <si>
    <t>Roberto Andres Hernandez Benavides</t>
  </si>
  <si>
    <t>Plan de pagos especiales, paga en agosto</t>
  </si>
  <si>
    <t>Stephanie Herrera</t>
  </si>
  <si>
    <t>*Plan de Pagos Especial*  próximo pago en agosto 2025 por GTQ 20,050,00 cancela enganche.</t>
  </si>
  <si>
    <t>Jorge Pablo Gonzalez Oordoñez</t>
  </si>
  <si>
    <t>E8</t>
  </si>
  <si>
    <t>Alba Lucila Martinez Tobar</t>
  </si>
  <si>
    <t>A10</t>
  </si>
  <si>
    <t>C10</t>
  </si>
  <si>
    <t>Mario Alberto Maldonado Recinos</t>
  </si>
  <si>
    <t>C7</t>
  </si>
  <si>
    <t>Iurix, S.A</t>
  </si>
  <si>
    <t>Wender Josue Bailon Campos</t>
  </si>
  <si>
    <t>Rebecca Gonzalez Ordoñez</t>
  </si>
  <si>
    <t>Marcela Alejandra Castro Marcía</t>
  </si>
  <si>
    <t>José Fernando Cordón Almengor</t>
  </si>
  <si>
    <t>Jessica María Ramirez Girard</t>
  </si>
  <si>
    <t>Astrid Maricel De León Ramírez</t>
  </si>
  <si>
    <t>Ana Lucrecia Rangel Aquino</t>
  </si>
  <si>
    <t xml:space="preserve"> Zonia Beariz Hernandez Herrera</t>
  </si>
  <si>
    <t>Evelin Yadira Orellana Ordoñez</t>
  </si>
  <si>
    <t>Eduar Reginaldo Colindres Estrada</t>
  </si>
  <si>
    <t xml:space="preserve"> Jorge Silva Sagastume</t>
  </si>
  <si>
    <t>Barbara Elizabeth Ixmucane Zapeta Albanés</t>
  </si>
  <si>
    <t>Diana Marisol Donis Cú</t>
  </si>
  <si>
    <t>Jorge Roberto Arimany Comas</t>
  </si>
  <si>
    <t xml:space="preserve">Augusto Alejandro Salazar Alecio Y Yosseline Yanira Moscoso Hidalgo </t>
  </si>
  <si>
    <t>Allan Donaldo Lapop Cárdenas</t>
  </si>
  <si>
    <t>Sebastian Gutierrez Ruiz</t>
  </si>
  <si>
    <t>Byron Nehemías Ortega Ruiz</t>
  </si>
  <si>
    <t>Jorge Antonio Reyes Ochoa</t>
  </si>
  <si>
    <t>Pedro Luis Artero Bran</t>
  </si>
  <si>
    <t>Sergio Enrique Bolaños López</t>
  </si>
  <si>
    <t>Nuevo plan de pago, su cuota mensual es de GTQ 1,513,00 * 2 =  GTQ 3,026,00 Revisado y cobrado</t>
  </si>
  <si>
    <t>Irene Alejandra Reyes Guzmán</t>
  </si>
  <si>
    <t>Nuevo plan de pago, Debe el mes de julio</t>
  </si>
  <si>
    <t>Corporacion Fb Sociedad Anonima</t>
  </si>
  <si>
    <t>Gloria Fernanda Moran Guevara</t>
  </si>
  <si>
    <t>Bernerd Alexandro Godínez López</t>
  </si>
  <si>
    <t>D10</t>
  </si>
  <si>
    <t>Maria Fernanda Contreras Lopez</t>
  </si>
  <si>
    <t>D11</t>
  </si>
  <si>
    <t>Luis Alberto Lopez Velasquez</t>
  </si>
  <si>
    <t xml:space="preserve"> Samuel Hiram Salazar Say</t>
  </si>
  <si>
    <t>Denisse Hortencia Alarcon Diaz</t>
  </si>
  <si>
    <t>Luis Pedro Escobedo De Cid</t>
  </si>
  <si>
    <t>Emerson Emanuel Menendez Rodas</t>
  </si>
  <si>
    <t>Denis Orlando Coto Zelaya</t>
  </si>
  <si>
    <t>Fausto Norberth Mendez Melgar</t>
  </si>
  <si>
    <t>Juan Carlos Lantzendorffer Haas</t>
  </si>
  <si>
    <t>Erika Ruth Castro Juarez</t>
  </si>
  <si>
    <t>Grupo Sak Y Sak, S.A.</t>
  </si>
  <si>
    <t>Marcas &amp; Secretos, S.A.</t>
  </si>
  <si>
    <t>A11</t>
  </si>
  <si>
    <t>Clara Hilda Maria Falla Bianchi De Cruz-Gomar</t>
  </si>
  <si>
    <t>Eddy Francisco Mac-Intosh López</t>
  </si>
  <si>
    <t>Francisco Javier Arriaza Reyes</t>
  </si>
  <si>
    <t>Jerson Leonel Chavez Martinez</t>
  </si>
  <si>
    <t>José Raúl Velasco Ferrigno</t>
  </si>
  <si>
    <t>D4</t>
  </si>
  <si>
    <t>Rogelio Alejandro Ochoa Hernandez</t>
  </si>
  <si>
    <t>D1</t>
  </si>
  <si>
    <t>Edwin Steven Quiroa Sitamul</t>
  </si>
  <si>
    <t>Allan Vinicio Velásquez León</t>
  </si>
  <si>
    <t>Josselin Alejandra Turcios Orantes</t>
  </si>
  <si>
    <t>Andrea Nicole Mansilla Fuentes</t>
  </si>
  <si>
    <t>David Arimany Monzón</t>
  </si>
  <si>
    <t>Jmx Inversiones Sociedad Anonima</t>
  </si>
  <si>
    <t>Gilda Elena Siekavizza Castillo / Jose Pablo Pineda Bran</t>
  </si>
  <si>
    <t>Manuel Armando Fletes Ordoñez</t>
  </si>
  <si>
    <t xml:space="preserve"> Jose Javier Hernandez Juarez</t>
  </si>
  <si>
    <t>Alan Gonzalez Choc</t>
  </si>
  <si>
    <t>Irene Noemy Santisteban Chiguil</t>
  </si>
  <si>
    <t>Hector Ricardo Echeverria  Mendez</t>
  </si>
  <si>
    <t>Raul Eliazar Lemus Garza</t>
  </si>
  <si>
    <t>Rodolfo Godoy Lemus</t>
  </si>
  <si>
    <t>Ricardo Fernando Linares Perez</t>
  </si>
  <si>
    <t>Shirley Hilene Recinos</t>
  </si>
  <si>
    <t>Jose Salvador Franco Rosales</t>
  </si>
  <si>
    <t xml:space="preserve"> Barbara Elizabeth Barrientos Valenzuela</t>
  </si>
  <si>
    <t>Fernando José Franco Jiménez</t>
  </si>
  <si>
    <t>Gerson Alexander Urias Marquez</t>
  </si>
  <si>
    <t xml:space="preserve"> Raúl Cabrera Galindo</t>
  </si>
  <si>
    <t>Luis Gabriel Garrido Blanco</t>
  </si>
  <si>
    <t>Arturo Alfredo Monzón López</t>
  </si>
  <si>
    <t>Sidney Alexander Osorio Montufar</t>
  </si>
  <si>
    <t>Juan Ernesto Vossberg Ordoñez / Sumilab</t>
  </si>
  <si>
    <t>Marcos David Boror Alpirez</t>
  </si>
  <si>
    <t>Jose Alejandro Abalony Rojas</t>
  </si>
  <si>
    <t>2,Reserva</t>
  </si>
  <si>
    <t>D12</t>
  </si>
  <si>
    <t>Fernando García Coronado</t>
  </si>
  <si>
    <t>D13</t>
  </si>
  <si>
    <t>Marlen Fabiola Izaguirre Navas</t>
  </si>
  <si>
    <t>Maria Mercedes Lizarralde Mc Allister</t>
  </si>
  <si>
    <t>Diego Eduardo Roman Hazard</t>
  </si>
  <si>
    <t>Victor Leonel Orozco Lopez</t>
  </si>
  <si>
    <t xml:space="preserve"> Jonatan Hans Donis Montenegro</t>
  </si>
  <si>
    <t>José Herrera Pérez</t>
  </si>
  <si>
    <t>GUILLERMO ALFREDO SAENZ DE TEJADA VILLEDA</t>
  </si>
  <si>
    <t>Selvin Ramiro Gamez Perez</t>
  </si>
  <si>
    <t>Nuevo plan de pago, cliente al día. Cuota mensual GTQ 5,000,00</t>
  </si>
  <si>
    <t>Julio Cesar Morales Díaz</t>
  </si>
  <si>
    <t>Javier Andrés Soto Coronado</t>
  </si>
  <si>
    <t>D3</t>
  </si>
  <si>
    <t>Corporacion G&amp;G Sociedad Anonima</t>
  </si>
  <si>
    <t>D2</t>
  </si>
  <si>
    <t>Edgar Benjamín Ramírez Masaya Y Leslie María Ivonne Pivaral Gudiel</t>
  </si>
  <si>
    <t>Emilia Aracely Larrazabal Melgar</t>
  </si>
  <si>
    <t>Berta Eugenia Morales López</t>
  </si>
  <si>
    <t>Daniel Alvarez Alvarez</t>
  </si>
  <si>
    <t>Gabriel Arimany Monzón</t>
  </si>
  <si>
    <t>María Carolina Arimany Comas</t>
  </si>
  <si>
    <t>José Paúl Centeno Valdés</t>
  </si>
  <si>
    <t>Luis Fernando Velasquez León</t>
  </si>
  <si>
    <t>Esta congelado</t>
  </si>
  <si>
    <t>Inmobiliaria Quince Sociedad Anonima</t>
  </si>
  <si>
    <t>* Enganche pagado</t>
  </si>
  <si>
    <t>Oliver Lenin Garcia Godoy</t>
  </si>
  <si>
    <t>Edgar Ronaldo Muy Pineda</t>
  </si>
  <si>
    <t>Edvin Carlos Cifuentes Salguero - Inmobiliaria Quince</t>
  </si>
  <si>
    <t>* Enganche pagado en Apartamento No. 1603 caso especial su plan de pagos indica 2 cuotas para pago de enganche</t>
  </si>
  <si>
    <t>Christian Josue Colindres Sandoval</t>
  </si>
  <si>
    <t>Luis Alexander Valencia Mendez</t>
  </si>
  <si>
    <t>ANALIZARLO*</t>
  </si>
  <si>
    <t>E6</t>
  </si>
  <si>
    <t>Ramiro José Muñoz Jordán - Emilia Larrazabal</t>
  </si>
  <si>
    <t>David Alejandro Donis Lopez</t>
  </si>
  <si>
    <t>D5</t>
  </si>
  <si>
    <t>Rolando Antonio Pineda Juarez</t>
  </si>
  <si>
    <t>Javier Andres Soto Coronado</t>
  </si>
  <si>
    <t>D6</t>
  </si>
  <si>
    <t>Maxi Alexander Mendez Moran</t>
  </si>
  <si>
    <t>Ronaldo Ogaldez</t>
  </si>
  <si>
    <t>Miguel Eduardo Yon Moll</t>
  </si>
  <si>
    <t>E4</t>
  </si>
  <si>
    <t>Carlos Antonio Aguilar Velasquez</t>
  </si>
  <si>
    <t>E7</t>
  </si>
  <si>
    <t>Luis Arimany Monzón</t>
  </si>
  <si>
    <t>Fredy Rene Velasquez Quevedo</t>
  </si>
  <si>
    <t>Anahi Cisneros</t>
  </si>
  <si>
    <t>Rivabella S.A.</t>
  </si>
  <si>
    <t>Juan Pablo Monterroso Arroyo</t>
  </si>
  <si>
    <t>Sergio Rafael Marroquín Sáenz</t>
  </si>
  <si>
    <t>Business View Sociedad Anonima</t>
  </si>
  <si>
    <t>C11</t>
  </si>
  <si>
    <t>Yuly Marisol Rodríguez Ordoñez De Arimany</t>
  </si>
  <si>
    <t>E3</t>
  </si>
  <si>
    <t>Monica Cecilia Rodriguez Villalta</t>
  </si>
  <si>
    <t>En Julio 2025 su cuota será de GTQ 22,300,00 en Agosto GTQ 2,800,00 y en Septiembre GTQ 8,133,51 y completa su enganche.</t>
  </si>
  <si>
    <t>FLUJO INGRESADO (DESISTIMIENTOS)</t>
  </si>
  <si>
    <t>Cuotas no canceladas F&amp;F</t>
  </si>
  <si>
    <t>TOTAL FUJO RECIBIDO MENSUALMENTE</t>
  </si>
  <si>
    <t>FLUJO ESTIMADO SEGÚN PPTO (SIN F&amp;F)</t>
  </si>
  <si>
    <t>Dif. Reservas / C</t>
  </si>
  <si>
    <t>Cuotas de clientes en mora</t>
  </si>
  <si>
    <t>DIFERENCIAS POR MES</t>
  </si>
  <si>
    <t>FLUJO PROVENIENTE F&amp;F</t>
  </si>
  <si>
    <t>PORCENTAJE DE COBRO MENSUAL</t>
  </si>
  <si>
    <t>FLUJO ESTIMADO SEGÚN PPTO (CON F&amp;F)</t>
  </si>
  <si>
    <t>Total de cartera acumulada</t>
  </si>
  <si>
    <t>Desistimiento</t>
  </si>
  <si>
    <t>Total de cartera cobrada a la fecha</t>
  </si>
  <si>
    <t>APTO</t>
  </si>
  <si>
    <t>MODELO</t>
  </si>
  <si>
    <t>VENDEDOR</t>
  </si>
  <si>
    <t>CLIENTE</t>
  </si>
  <si>
    <t>FECHA</t>
  </si>
  <si>
    <t>TIPO DE PLAN</t>
  </si>
  <si>
    <t>P. VENTA</t>
  </si>
  <si>
    <t>ENGANCHE</t>
  </si>
  <si>
    <t>Pendiente de cobro</t>
  </si>
  <si>
    <t>Evelyn Andrea Sagastume Dubon</t>
  </si>
  <si>
    <t>Pablo Josue Alvarez Sanchez</t>
  </si>
  <si>
    <t>Marcela Alejandra Castillo Melgar</t>
  </si>
  <si>
    <t>Cristian Arturo Sanchez Lopez</t>
  </si>
  <si>
    <t>Hilda Maria Perez Escobedo</t>
  </si>
  <si>
    <t>Carmen Gabriela Contreras Alfaro</t>
  </si>
  <si>
    <t>Jose Mauricio Duarte Carranza</t>
  </si>
  <si>
    <t>Fernando Antonio Reyes De León</t>
  </si>
  <si>
    <t>Monica Elizabeth Estrada Cordon De Franco</t>
  </si>
  <si>
    <t>Luis Fernando Gutierrez Perez</t>
  </si>
  <si>
    <t>Billy Hasse Orellana Serrano / Madelyn Kristina Sajche Torres y Antony Williams Sajche Torres</t>
  </si>
  <si>
    <t>RESERVADO</t>
  </si>
  <si>
    <t>Alejandra Madelleine Rosales Garcia</t>
  </si>
  <si>
    <t>Rubidia Ines Gonzalez Anzueto</t>
  </si>
  <si>
    <t>RESC. ABRIL 2025</t>
  </si>
  <si>
    <t>Luis Josue Cordon Miranda</t>
  </si>
  <si>
    <t>Luis Fernando Santos Castillo</t>
  </si>
  <si>
    <t>Franklin Rene Santisteban Rriola</t>
  </si>
  <si>
    <t>2. Reserva / Prom. F.</t>
  </si>
  <si>
    <t>DESISTIDO</t>
  </si>
  <si>
    <t>Leslie Carolina Gil Morales</t>
  </si>
  <si>
    <t>RESC. MAYO 2025</t>
  </si>
  <si>
    <t>ATRASADO</t>
  </si>
  <si>
    <t>Rolando Edwin Villatoro Hernandez</t>
  </si>
  <si>
    <t>Héctor Felipe Alfaro Mancilla</t>
  </si>
  <si>
    <t>Marta Haydee Hurtarte Ruano De Sánchez</t>
  </si>
  <si>
    <t>RESC. JUNIO 2025</t>
  </si>
  <si>
    <t>Marco Vinicio Vasque</t>
  </si>
  <si>
    <t>Paulo Roberto Lopez Velasquez</t>
  </si>
  <si>
    <t>*DESISTIDO 09-06-2025*</t>
  </si>
  <si>
    <t>Diego Jose Ortiz Cordero</t>
  </si>
  <si>
    <t>Marvin Osiel Fuentes Fuentes</t>
  </si>
  <si>
    <t>Jose Juan Barrientos Juarez</t>
  </si>
  <si>
    <t>Herman Antonio Ovalle Escamilla</t>
  </si>
  <si>
    <t>TOTAL FLUJO INGRESADO (DESISTIMIENTOS)</t>
  </si>
  <si>
    <t>DESISTIMIENTOS UBICADOS Y NO RASTREADOS POR 180 GRADOS</t>
  </si>
  <si>
    <t>FECHA DEP.</t>
  </si>
  <si>
    <t>REC. NO.</t>
  </si>
  <si>
    <t>Rubidia Inés González</t>
  </si>
  <si>
    <t>Luis Cordón</t>
  </si>
  <si>
    <t>Billy Orellana Serrano</t>
  </si>
  <si>
    <t>Alejandra Calderón</t>
  </si>
  <si>
    <t>Raúl Gomez</t>
  </si>
  <si>
    <t>Franklin Santiesteban</t>
  </si>
  <si>
    <t>24, 52 y 84</t>
  </si>
  <si>
    <t>Alexander Franco</t>
  </si>
  <si>
    <t>Sucely Pineda</t>
  </si>
  <si>
    <t>Pablo Gustavo Galdámez Grajeda</t>
  </si>
  <si>
    <t>S/Firma por reserva</t>
  </si>
  <si>
    <t>Sin firma de reserva</t>
  </si>
  <si>
    <t>S/D</t>
  </si>
  <si>
    <t>Lilian García</t>
  </si>
  <si>
    <t>Edvin Eduardo Sajquim</t>
  </si>
  <si>
    <t>EL GRAN JAGUAR, S.A. / BOULEVARD 5</t>
  </si>
  <si>
    <t>BANCO AGROMERCANTIL</t>
  </si>
  <si>
    <t>Cuenta Monetaria No.   30-4027741-0</t>
  </si>
  <si>
    <t>Quetzales</t>
  </si>
  <si>
    <t>Tipo Doc.</t>
  </si>
  <si>
    <t>No. Doc.</t>
  </si>
  <si>
    <t>No. RC</t>
  </si>
  <si>
    <t>Fecha</t>
  </si>
  <si>
    <t>Descripcion</t>
  </si>
  <si>
    <t>Obs.</t>
  </si>
  <si>
    <t>Creditos</t>
  </si>
  <si>
    <t>TOTALES</t>
  </si>
  <si>
    <t>TRANSF</t>
  </si>
  <si>
    <t>40   Deposito Cheque Ajeno</t>
  </si>
  <si>
    <t>13740686</t>
  </si>
  <si>
    <t>302 ACH Recibido Batch MARIA FERNANDA CABRE</t>
  </si>
  <si>
    <t>13594402</t>
  </si>
  <si>
    <t>1279 ACH Recibido IFT ROLDAN OCHOA LILIAN AMERICA</t>
  </si>
  <si>
    <t>Abono Apt Zona 5</t>
  </si>
  <si>
    <t>1279 ACH Recibido IFT MOLINA GRAMAJO LEONEL BERNARDO</t>
  </si>
  <si>
    <t>boulevard leo molin</t>
  </si>
  <si>
    <t>16/09/2025</t>
  </si>
  <si>
    <t>302 ACH Recibido Batch DIANA MICHELLE GALIC</t>
  </si>
  <si>
    <t>13995573</t>
  </si>
  <si>
    <t>40   Deposito Cheque Propio</t>
  </si>
  <si>
    <t>13995575</t>
  </si>
  <si>
    <t>BOSQUE LAS TAPIAS Z.18</t>
  </si>
  <si>
    <t>26/10/2025</t>
  </si>
  <si>
    <t>1279 ACH Recibido IFT OVALLE ESCAMILLA HERMAN ANTONIO</t>
  </si>
  <si>
    <t>abono a enganche</t>
  </si>
  <si>
    <t>27/10/2025</t>
  </si>
  <si>
    <t>1279 ACH Recibido IFT Carlos Antonio Aguilar Velasquez</t>
  </si>
  <si>
    <t>ReservaAparto1708</t>
  </si>
  <si>
    <t>Cuenta Monetaria No.   30-4027226-1</t>
  </si>
  <si>
    <t>28/10/2025</t>
  </si>
  <si>
    <t>13825249</t>
  </si>
  <si>
    <t>13825250</t>
  </si>
  <si>
    <t>30/10/2025</t>
  </si>
  <si>
    <t>14449513</t>
  </si>
  <si>
    <t>Transf</t>
  </si>
  <si>
    <t>19/09/2025</t>
  </si>
  <si>
    <t>1279 ACH Recibido IFT DILAN GUILLERMO HERNANDEZ LOPEZ</t>
  </si>
  <si>
    <t>Transferencia a ot</t>
  </si>
  <si>
    <t>CHINAUTLA / BENESTARE</t>
  </si>
  <si>
    <t>1279 ACH Recibido IFT FAVIO.JAVIER.EST</t>
  </si>
  <si>
    <t>PAGO.ENGANCHE</t>
  </si>
  <si>
    <t>BANCO BANRURAL</t>
  </si>
  <si>
    <t>Cuenta Monetaria No.  03044511066586</t>
  </si>
  <si>
    <t>N/CREDITO TRANSFERENCIA ELECTRONICA TIF</t>
  </si>
  <si>
    <t>N/CREDITO POR TRANSFERENCIA BANCA-VIRTUA</t>
  </si>
  <si>
    <t>N/CREDITO TRANSFERENCIA ACH</t>
  </si>
  <si>
    <t>N/CREDITO DEPOSITO COMPLETO CAJA RURAL</t>
  </si>
  <si>
    <t>DEPOSITO COMPLETO</t>
  </si>
  <si>
    <t>apartamento 505</t>
  </si>
  <si>
    <t>ALERTAS DE COBRANZA</t>
  </si>
  <si>
    <t>DELTAS</t>
  </si>
  <si>
    <t>CIERRE</t>
  </si>
  <si>
    <t>MES</t>
  </si>
  <si>
    <t>Nota</t>
  </si>
  <si>
    <t>(-) POR COBRAR
(+) A FAVOR DEL CLIENTE</t>
  </si>
  <si>
    <t>VALOR RESERVA</t>
  </si>
  <si>
    <t>VALOR PAGOS</t>
  </si>
  <si>
    <t>Status</t>
  </si>
  <si>
    <t>NOTA</t>
  </si>
  <si>
    <t>CUOTA EXTRAORD.</t>
  </si>
  <si>
    <t>****</t>
  </si>
  <si>
    <t>CLIENTE NO DEBE CUOTAS, FECHAS DE PAGO NO COINCIDEN CON PLAN DE PAGOS</t>
  </si>
  <si>
    <t>FECHA RESERVA NO COINCIDE CON PLAN DE PAGOS</t>
  </si>
  <si>
    <t>COBRANZA VENCIDA</t>
  </si>
  <si>
    <t>TOTAL COBRANZA (PROYECCION)</t>
  </si>
  <si>
    <t>(-) COBRADO</t>
  </si>
  <si>
    <t>(-) Por cobrar al ciente 
(+)  A favor del cliente</t>
  </si>
  <si>
    <t>fecha n/a</t>
  </si>
  <si>
    <t>Efectivo recibido</t>
  </si>
  <si>
    <t>%Efectivo recibido</t>
  </si>
  <si>
    <t>%F&amp;F</t>
  </si>
  <si>
    <t>Cliente normal</t>
  </si>
  <si>
    <t>%Cliente normal</t>
  </si>
  <si>
    <t>Meta sin F&amp;F</t>
  </si>
  <si>
    <t>Meta%</t>
  </si>
  <si>
    <t>Desviación</t>
  </si>
  <si>
    <t>Desviación%</t>
  </si>
  <si>
    <t>Apartamento</t>
  </si>
  <si>
    <t>Unidad</t>
  </si>
  <si>
    <t>Tipo venta</t>
  </si>
  <si>
    <t>Reservas y Enganches pagadas</t>
  </si>
  <si>
    <t>Estatus cliente</t>
  </si>
  <si>
    <t>Total de engances</t>
  </si>
  <si>
    <t>Enganche por completar / a favor</t>
  </si>
  <si>
    <t>Estatus de pago</t>
  </si>
  <si>
    <t>Precio de venta</t>
  </si>
  <si>
    <t>Fecha venta</t>
  </si>
  <si>
    <t>Ventas por realizar</t>
  </si>
  <si>
    <t>Cuotas pendientes OCT 2025</t>
  </si>
  <si>
    <t>Cobro vencido por cliente</t>
  </si>
  <si>
    <t>Abonos extraordinarios</t>
  </si>
  <si>
    <t>Abonos extraordinarios DEL MES</t>
  </si>
  <si>
    <t>Ventas realizadas</t>
  </si>
  <si>
    <t>Cartera Vencida SEPT 2025</t>
  </si>
  <si>
    <t>Cartera sept vencida recuperada en Oct25</t>
  </si>
  <si>
    <t>%Cartera recuperada de Sept25</t>
  </si>
  <si>
    <t>Abonos extraordinarios sept 2025</t>
  </si>
  <si>
    <t>No asignado</t>
  </si>
  <si>
    <t>Juan Antonio Escobedo Del Cid</t>
  </si>
  <si>
    <t>Zonia Beariz Hernandez Herrera</t>
  </si>
  <si>
    <t>Barbara Elizabeth Barrientos Valenzuela</t>
  </si>
  <si>
    <t>Raúl Cabrera Galindo</t>
  </si>
  <si>
    <t>a</t>
  </si>
  <si>
    <t>b</t>
  </si>
  <si>
    <t>c</t>
  </si>
  <si>
    <t>Cant.
Cuotas</t>
  </si>
  <si>
    <t xml:space="preserve"> Valor
Cuotas</t>
  </si>
  <si>
    <t>Estimación a recibir</t>
  </si>
  <si>
    <t>Estimación a recibir Mayo 2025</t>
  </si>
  <si>
    <t>Estimación flujo acumulado</t>
  </si>
  <si>
    <t>Total de Cuotas F&amp;F y Casos Especiales</t>
  </si>
  <si>
    <t>F&amp;F (Que NO pagan Cuotas)</t>
  </si>
  <si>
    <t>F&amp;F (Que SÍ pagan Cuotas)</t>
  </si>
  <si>
    <t>Flujo Neto (sin F&amp;F y Casos Esp)</t>
  </si>
  <si>
    <t>Acumulado sin F&amp;F</t>
  </si>
  <si>
    <t>OB1</t>
  </si>
  <si>
    <t>CHINAUTLA</t>
  </si>
  <si>
    <t>REPORTE DE RESERVAS Y COBROS AL 31 DE JULIO 2025</t>
  </si>
  <si>
    <t>x</t>
  </si>
  <si>
    <t>B-101</t>
  </si>
  <si>
    <t>Luis Esteban</t>
  </si>
  <si>
    <t>Wendy Azucena Barrientos Salazar</t>
  </si>
  <si>
    <t>B-102</t>
  </si>
  <si>
    <t>Orfa Sarai Santos Morales</t>
  </si>
  <si>
    <t>B-103</t>
  </si>
  <si>
    <t>C</t>
  </si>
  <si>
    <t>Pedro Sarti</t>
  </si>
  <si>
    <t>María Angela Rodríguez</t>
  </si>
  <si>
    <t>TB</t>
  </si>
  <si>
    <t>José Gutierrez</t>
  </si>
  <si>
    <t>CARLOS ALFONSO CASTRO MARTINEZ</t>
  </si>
  <si>
    <t>B-105</t>
  </si>
  <si>
    <t>B-106</t>
  </si>
  <si>
    <t>Karina Fuentes</t>
  </si>
  <si>
    <t>Loida Sarai Morales Garcia</t>
  </si>
  <si>
    <t>B-107</t>
  </si>
  <si>
    <t>Juan Carlos Carrillo Hernandez</t>
  </si>
  <si>
    <t>B-108</t>
  </si>
  <si>
    <t>B-109</t>
  </si>
  <si>
    <t>Heidi Lisseth Morataya Flores</t>
  </si>
  <si>
    <t>B-110</t>
  </si>
  <si>
    <t>Helen Lorena Monroy Jauregui</t>
  </si>
  <si>
    <t>B-201</t>
  </si>
  <si>
    <t>Andrea Celeste Aparicio Juarez</t>
  </si>
  <si>
    <t>B-202</t>
  </si>
  <si>
    <t>Carlos Humberto Joel Alvizures Carmona / Katherine Areli Turcios Alvarez</t>
  </si>
  <si>
    <t>B-203</t>
  </si>
  <si>
    <t>Byron Juventino López Mayen</t>
  </si>
  <si>
    <t>B-204</t>
  </si>
  <si>
    <t>Jesica Paola Noj Ramirez</t>
  </si>
  <si>
    <t>B-205</t>
  </si>
  <si>
    <t>Gerber Eliezer Perez Alonzo</t>
  </si>
  <si>
    <t>B-206</t>
  </si>
  <si>
    <t>Cristina Elizabeth Musin Hernandez</t>
  </si>
  <si>
    <t>B-207</t>
  </si>
  <si>
    <t>Saulo Josue Escobar Pérez</t>
  </si>
  <si>
    <t>B-208</t>
  </si>
  <si>
    <t>Monica Aide Espital Balan</t>
  </si>
  <si>
    <t>Se volvío a vender</t>
  </si>
  <si>
    <t>B-210</t>
  </si>
  <si>
    <t>Joyce Sharon Cruz Arguello</t>
  </si>
  <si>
    <t>Edgar Giovanni Palomo Robles</t>
  </si>
  <si>
    <t>B-301</t>
  </si>
  <si>
    <t>Erick Alejandro Martinez Morales</t>
  </si>
  <si>
    <t>B-303</t>
  </si>
  <si>
    <t>Victor Manuel Mijangos Castillo</t>
  </si>
  <si>
    <t>Xiomara Edith García Solís De Morales</t>
  </si>
  <si>
    <t xml:space="preserve">Angel Renato Muñoz de León </t>
  </si>
  <si>
    <t>2.Reservado</t>
  </si>
  <si>
    <t>B-306</t>
  </si>
  <si>
    <t>Saul Esteban Mayen Santos</t>
  </si>
  <si>
    <t>Mayra Judith Barrera Zavala</t>
  </si>
  <si>
    <t>La promesa indica un pago único por GTQ 43,242,00</t>
  </si>
  <si>
    <t>Andrea Yohana Cabrera Velasquez</t>
  </si>
  <si>
    <t>Pablo Marroquín</t>
  </si>
  <si>
    <t>Luis Javier Aguilar España</t>
  </si>
  <si>
    <t>Rosita Elvira Clara Pineda</t>
  </si>
  <si>
    <t xml:space="preserve">Andrea Nohemi Rivas Sanchez </t>
  </si>
  <si>
    <t>B-310</t>
  </si>
  <si>
    <t>Eddy Daniel Roque Arellanos</t>
  </si>
  <si>
    <t>B-311</t>
  </si>
  <si>
    <t>Pedro David Pérez Barrios</t>
  </si>
  <si>
    <t>Suarlim Eli Barrientos Pazos</t>
  </si>
  <si>
    <t>B-401</t>
  </si>
  <si>
    <t>Lourdes Ofelia Baires</t>
  </si>
  <si>
    <t>B-402</t>
  </si>
  <si>
    <t>Rudy Ronaldo Peña Larios</t>
  </si>
  <si>
    <t>B-403</t>
  </si>
  <si>
    <t>Hector Samuel Tum Lancerio Y Ingrid Fabiola Gonzalez Godinez</t>
  </si>
  <si>
    <t>B-404</t>
  </si>
  <si>
    <t>Luis Fernando Tique Santos</t>
  </si>
  <si>
    <t>Sara Esmeralda López Hernández</t>
  </si>
  <si>
    <t>B-406</t>
  </si>
  <si>
    <t>POR ASIGNAR</t>
  </si>
  <si>
    <t>Marvin Leonel Alexander Larias Guzman</t>
  </si>
  <si>
    <t>B-408</t>
  </si>
  <si>
    <t>Alan Emanuel Tunches Huertas</t>
  </si>
  <si>
    <t>Kevin Fernando de la Cruz Toc</t>
  </si>
  <si>
    <t>B-410</t>
  </si>
  <si>
    <t>Oscar Daniel Larias Guzman</t>
  </si>
  <si>
    <t>Astrid Angelica Herrera Gil / Kevin Alejandro López Toc</t>
  </si>
  <si>
    <t>Andrea Gonzalez</t>
  </si>
  <si>
    <t>Nercy Jannyn Pérez Alonzo</t>
  </si>
  <si>
    <t>B-413</t>
  </si>
  <si>
    <t>Carla Yanira Castillo</t>
  </si>
  <si>
    <t>Ronald Alberto Pineda Monroy</t>
  </si>
  <si>
    <t>Hillary Kerstel Ixmucane Xona Guzmán / Francisca Guzmán López de Xoná</t>
  </si>
  <si>
    <t>B-503</t>
  </si>
  <si>
    <t>Oscar Oswaldo Ramos Gil</t>
  </si>
  <si>
    <t>Helen Mishel Rodas López de Morales  Michael Alexander Morales Rodríguez</t>
  </si>
  <si>
    <t>Diego Estuardo Salguero Salvatierra</t>
  </si>
  <si>
    <t>B-507</t>
  </si>
  <si>
    <t>David Enrique Aldana Mazariegos</t>
  </si>
  <si>
    <t>Edwin Alexander Amado Toc / Jennifer Alexa Castañeda Alvarez</t>
  </si>
  <si>
    <t>Sebastian Angel Milian Guas</t>
  </si>
  <si>
    <t>Jorge Mario Santizo Lacayo</t>
  </si>
  <si>
    <t>Mario Andres Perez Lopez</t>
  </si>
  <si>
    <t>B-602</t>
  </si>
  <si>
    <t>Santos Sebastian Pastor Velasquez</t>
  </si>
  <si>
    <t>B-603</t>
  </si>
  <si>
    <t>David Obdulio Perez Monzon</t>
  </si>
  <si>
    <t>Juan Eduardo Lopez Suran</t>
  </si>
  <si>
    <t>B-606</t>
  </si>
  <si>
    <t>Andrea Isabel Tezen Cabrera</t>
  </si>
  <si>
    <t>Ilse Mariela Rosales Diaz</t>
  </si>
  <si>
    <t>B-607</t>
  </si>
  <si>
    <t>Luis Fernando Moreno Pozuelos</t>
  </si>
  <si>
    <t>B-610</t>
  </si>
  <si>
    <t>Jaquelyn Michel Chumil Castillo</t>
  </si>
  <si>
    <t>B-612</t>
  </si>
  <si>
    <t>Walter Adolfo Max Toc Crux</t>
  </si>
  <si>
    <t>B-613</t>
  </si>
  <si>
    <t>Erik Estuardo Carrera Cruz</t>
  </si>
  <si>
    <t>FLUJO ESTIMADO SEGÚN PPTO</t>
  </si>
  <si>
    <t>Promesas / Ventas Efectuadas</t>
  </si>
  <si>
    <t>TORRE</t>
  </si>
  <si>
    <t>VENDOR</t>
  </si>
  <si>
    <t>TIPO</t>
  </si>
  <si>
    <t>Belia Ester Velasquez Castillo</t>
  </si>
  <si>
    <t>Indira Marisela Lopez Gomez</t>
  </si>
  <si>
    <t>María Reneé Yela Ochoa</t>
  </si>
  <si>
    <t>Keneth David Palomo Lopez</t>
  </si>
  <si>
    <t>Reina Elizabet Sandoval Perez</t>
  </si>
  <si>
    <t>Carlos Humberto Joel Alvizures Carmona</t>
  </si>
  <si>
    <t>Maria Cecilia Reyna Barrera</t>
  </si>
  <si>
    <t>Brayan Eduardo Sosa Canto</t>
  </si>
  <si>
    <t>Baudilio Santos Galicia</t>
  </si>
  <si>
    <t>Christhofer Steven Guevara</t>
  </si>
  <si>
    <t>Gerson Augusto Estrada Oliva</t>
  </si>
  <si>
    <t>Pedro Alejandro Tezen Cabrera</t>
  </si>
  <si>
    <t>Amanda Aracely Castillo Guzman</t>
  </si>
  <si>
    <t>RESCINCIDO JUNIO 2025</t>
  </si>
  <si>
    <t>Laura Sofia Caballeros González</t>
  </si>
  <si>
    <t>Soluciones A Su Alcance</t>
  </si>
  <si>
    <t>Domingo Ajpop Chij</t>
  </si>
  <si>
    <t>Abigail García</t>
  </si>
  <si>
    <t xml:space="preserve"> Jacqueline Stefany Luna Lopez</t>
  </si>
  <si>
    <t>Alejandro Eleazar Orozco Sique</t>
  </si>
  <si>
    <t>Carlos Enrique Sandoval Escobar</t>
  </si>
  <si>
    <t>Junior Alexes ammanuel Coronado Barrios</t>
  </si>
  <si>
    <t>Berenice Gomez y Gary Yoc</t>
  </si>
  <si>
    <t>Jefte Alexander Gomez Rodas</t>
  </si>
  <si>
    <t>No ingreso el deposito</t>
  </si>
  <si>
    <t>Alejandra Calderon</t>
  </si>
  <si>
    <t xml:space="preserve">Helen Ixen </t>
  </si>
  <si>
    <t>Anibal Poitan</t>
  </si>
  <si>
    <t>Ana Cristina Velasquez</t>
  </si>
  <si>
    <t xml:space="preserve">Harvey Daniel Martinez Palencia </t>
  </si>
  <si>
    <t xml:space="preserve">Hansel Adriel Juarez Chian </t>
  </si>
  <si>
    <t>EL GRAN JAGUAR, S.A.</t>
  </si>
  <si>
    <t>REPORTE DE RESERVAS Y COBROS AL 31 DE MARZO DE 2025</t>
  </si>
  <si>
    <t>Proyección de pagos clientes</t>
  </si>
  <si>
    <t>COMENTARIOS</t>
  </si>
  <si>
    <t>Jorge Estuardo Diaz Duran Baldetti</t>
  </si>
  <si>
    <t>Billy Hasse Orellana Serrano</t>
  </si>
  <si>
    <t>A LA REVISIÓN DE COBROS DE MARZO ESTE DEPÓSITO NO HA SIDO INGRESADO A CONTABILIDAD</t>
  </si>
  <si>
    <t>Wilson Humberto Felix Reyna</t>
  </si>
  <si>
    <t>Christian Escobar</t>
  </si>
  <si>
    <t>Iindustrias Danico, S.A.</t>
  </si>
  <si>
    <t xml:space="preserve"> Monica Arimany Monzon</t>
  </si>
  <si>
    <t xml:space="preserve"> Iurix,S.A</t>
  </si>
  <si>
    <t>Allan Donaldo Lapop Cárdemas</t>
  </si>
  <si>
    <t xml:space="preserve"> Luis Pedro Escobedo Del Cid</t>
  </si>
  <si>
    <t>Caso esp</t>
  </si>
  <si>
    <t>Jose Raul Velasco Ferregno</t>
  </si>
  <si>
    <t xml:space="preserve"> David Arimany Monzón</t>
  </si>
  <si>
    <t>Raul Eliazzar Lemus Garza</t>
  </si>
  <si>
    <t>duda</t>
  </si>
  <si>
    <t>Edvin Carlos Cifuentes Salguero</t>
  </si>
  <si>
    <t>Grupo Sak Y Saksociedad Anonima</t>
  </si>
  <si>
    <t xml:space="preserve"> Ramiro José Muñoz Jordán</t>
  </si>
  <si>
    <t xml:space="preserve"> Yuly Marisol Rodríguez Ordoñez De Arimany</t>
  </si>
  <si>
    <t>International Coffe Industry, S.A</t>
  </si>
  <si>
    <t>BRENDA BUCARO</t>
  </si>
  <si>
    <t>A partir de 
Ago-25</t>
  </si>
  <si>
    <t>*</t>
  </si>
  <si>
    <t>101-B</t>
  </si>
  <si>
    <t>102-B</t>
  </si>
  <si>
    <t>110-B</t>
  </si>
  <si>
    <t>105-B</t>
  </si>
  <si>
    <t>107-B</t>
  </si>
  <si>
    <t>108-B</t>
  </si>
  <si>
    <t>Esvin Luciano Quino Suret</t>
  </si>
  <si>
    <t>109-B</t>
  </si>
  <si>
    <t>103-B</t>
  </si>
  <si>
    <t>María Angela Rodríguez Folgar</t>
  </si>
  <si>
    <t>112-B</t>
  </si>
  <si>
    <t>LINDA ROS MONTERROSO CIFUENTES</t>
  </si>
  <si>
    <t>113-B</t>
  </si>
  <si>
    <t>Ruth María Isabel Rodríguez Coronado</t>
  </si>
  <si>
    <t>201-B</t>
  </si>
  <si>
    <t>203-B</t>
  </si>
  <si>
    <t>204-B</t>
  </si>
  <si>
    <t>205-B</t>
  </si>
  <si>
    <t>207-B</t>
  </si>
  <si>
    <t>208-B</t>
  </si>
  <si>
    <t>210-B</t>
  </si>
  <si>
    <t>202-B</t>
  </si>
  <si>
    <t>211-B</t>
  </si>
  <si>
    <t>Flor del Rocio Guarcas Samayoa</t>
  </si>
  <si>
    <t>212-B</t>
  </si>
  <si>
    <t>Pablo Marroquin</t>
  </si>
  <si>
    <t>DYLAN ALEXANDER RAMOS CAMPOS</t>
  </si>
  <si>
    <t>213-B</t>
  </si>
  <si>
    <t>Blanca Iris Garcia Figueroa de Jocol / Ricardo Ernesto Jocol Molina</t>
  </si>
  <si>
    <t>301-B</t>
  </si>
  <si>
    <t>303-B</t>
  </si>
  <si>
    <t>302-B</t>
  </si>
  <si>
    <t>Melany Ninneth Flores &amp; Erick Daniel Ramirez</t>
  </si>
  <si>
    <t>304-B</t>
  </si>
  <si>
    <t>306-B</t>
  </si>
  <si>
    <t>305-B</t>
  </si>
  <si>
    <t>Efren Sánchez</t>
  </si>
  <si>
    <t>Dulce Rocio Medrano Barrera</t>
  </si>
  <si>
    <t>Sara Fernanda Enriquez Lemus</t>
  </si>
  <si>
    <t>309-B</t>
  </si>
  <si>
    <t>305-A</t>
  </si>
  <si>
    <t>310-B</t>
  </si>
  <si>
    <t>309-A</t>
  </si>
  <si>
    <t>Efren Sanchéz</t>
  </si>
  <si>
    <t>401-B</t>
  </si>
  <si>
    <t>404-B</t>
  </si>
  <si>
    <t>ESTEFAN GUADALUPE JUÁREZ GIRÓN DE PEREZ</t>
  </si>
  <si>
    <t>405-A</t>
  </si>
  <si>
    <t>408-B</t>
  </si>
  <si>
    <t>407-B</t>
  </si>
  <si>
    <t>Mauricio Ricardo Mármol Vásquez</t>
  </si>
  <si>
    <t>402-B</t>
  </si>
  <si>
    <t>413-B</t>
  </si>
  <si>
    <t>412-B</t>
  </si>
  <si>
    <t>Edgar Manfredo Hernández Cabrera</t>
  </si>
  <si>
    <t>503-C</t>
  </si>
  <si>
    <t>502-B</t>
  </si>
  <si>
    <t>JURGEN ALEXANDER HERNANDEZ CAMPOSECO</t>
  </si>
  <si>
    <t>503-A</t>
  </si>
  <si>
    <t xml:space="preserve">Michael Alexander Morales Rodríguez / Helen Mishel Rodas López de Morales  </t>
  </si>
  <si>
    <t>504-A</t>
  </si>
  <si>
    <t>505-B</t>
  </si>
  <si>
    <t>YENIFER ESTEFANIA SANTOS GONZÁLEZ / JUAN EDUARDO FLORES BARRERA</t>
  </si>
  <si>
    <t>504-B</t>
  </si>
  <si>
    <t>ISRAEL ARMANDO MARROQUIN PEREZ</t>
  </si>
  <si>
    <t>507-B</t>
  </si>
  <si>
    <t>507-A</t>
  </si>
  <si>
    <t>508-A</t>
  </si>
  <si>
    <t>410-B</t>
  </si>
  <si>
    <t>510-B</t>
  </si>
  <si>
    <t>Angel Gabriel Coc Gomez</t>
  </si>
  <si>
    <t>511-B</t>
  </si>
  <si>
    <t>JOSMIN JOAQUIN BARAHONA MORA</t>
  </si>
  <si>
    <t>602-B</t>
  </si>
  <si>
    <t>603-B</t>
  </si>
  <si>
    <t>604-A</t>
  </si>
  <si>
    <t>Paula Hernández</t>
  </si>
  <si>
    <t>Rony Ramirez</t>
  </si>
  <si>
    <t>Yoselin Siomara Yocute Yocute</t>
  </si>
  <si>
    <t>606-A</t>
  </si>
  <si>
    <t>607-B</t>
  </si>
  <si>
    <t>610-B</t>
  </si>
  <si>
    <t>609-B</t>
  </si>
  <si>
    <t>Emily Daniela Hernandez Vasquez</t>
  </si>
  <si>
    <t>608-B</t>
  </si>
  <si>
    <t xml:space="preserve">Belter Anibal Collado Lopez </t>
  </si>
  <si>
    <t>612-B</t>
  </si>
  <si>
    <t>611-B</t>
  </si>
  <si>
    <t>MARLENY ARACELY JOCOL GARCIA / LUIS ALBERTO GRAJEDA LÓPEZ</t>
  </si>
  <si>
    <t>104-B</t>
  </si>
  <si>
    <t>Rogerio Dagoberto Escobar Fajardo / Carmen Odila Escobar de León</t>
  </si>
  <si>
    <t>106-B</t>
  </si>
  <si>
    <t>206-B</t>
  </si>
  <si>
    <t>209-B</t>
  </si>
  <si>
    <t>Douglas Alexander Crúz Cobar</t>
  </si>
  <si>
    <t>Angel Renato Muñoz de León  / Cesar Renato Muñoz de León</t>
  </si>
  <si>
    <t>308-B</t>
  </si>
  <si>
    <t>311-B</t>
  </si>
  <si>
    <t>312-B</t>
  </si>
  <si>
    <t>Julian Guillermo Ramirez Garcia-Sulma Korina Hernandez Aguilar</t>
  </si>
  <si>
    <t>409-B</t>
  </si>
  <si>
    <t>411-B</t>
  </si>
  <si>
    <t>501-A</t>
  </si>
  <si>
    <t>501-B</t>
  </si>
  <si>
    <t>508-B</t>
  </si>
  <si>
    <t>601-B</t>
  </si>
  <si>
    <t>604-B</t>
  </si>
  <si>
    <t>Caterin Fidelina Calderón</t>
  </si>
  <si>
    <t>606-B</t>
  </si>
  <si>
    <t>613-B</t>
  </si>
  <si>
    <t>306-A</t>
  </si>
  <si>
    <t>Andrea Noemi Rivas Sanchez</t>
  </si>
  <si>
    <t>313-B</t>
  </si>
  <si>
    <t>Suarlim Eli Barrientos Pazos / Angel Eli Barrientos Castro</t>
  </si>
  <si>
    <t>406-B</t>
  </si>
  <si>
    <t>502-C</t>
  </si>
  <si>
    <t>Christian Isaias Patzan Mancilla / Nancy Johanna Mancilla R</t>
  </si>
  <si>
    <t>509-B</t>
  </si>
  <si>
    <t>Cindy Gabriela Mejicanos De León</t>
  </si>
  <si>
    <t>512-B</t>
  </si>
  <si>
    <t>Byron Méndez Cal</t>
  </si>
  <si>
    <t>513-B</t>
  </si>
  <si>
    <t>Karen Ivonne Poggio</t>
  </si>
  <si>
    <t>201-C</t>
  </si>
  <si>
    <t>Angie Soleyne Camacho Suarez</t>
  </si>
  <si>
    <t>302-C</t>
  </si>
  <si>
    <t>Edgar Mariano Pineda Osorio</t>
  </si>
  <si>
    <t>401-C</t>
  </si>
  <si>
    <t>Hellen del Rosario López Chon</t>
  </si>
  <si>
    <t>111-B</t>
  </si>
  <si>
    <t>Wendy Judith Cortez Cuque</t>
  </si>
  <si>
    <t>601-C</t>
  </si>
  <si>
    <t>EDNA GIZZEL GUZMAN PEREZ / JOSUE HABRAAM QUIM GUITZ</t>
  </si>
  <si>
    <t>301-C</t>
  </si>
  <si>
    <t>Rony Francisco Rojas Lopez</t>
  </si>
  <si>
    <t>103-C</t>
  </si>
  <si>
    <t>Jazmin Edith Urbina Lopez</t>
  </si>
  <si>
    <t>504-C</t>
  </si>
  <si>
    <t>Luis Humberto Recinos Hernández</t>
  </si>
  <si>
    <t>101-C</t>
  </si>
  <si>
    <t>Allan Danilo Tejada Alay</t>
  </si>
  <si>
    <t>409-C</t>
  </si>
  <si>
    <t>Reina Marivel Muñoz Samayoa</t>
  </si>
  <si>
    <t>501-C</t>
  </si>
  <si>
    <t>Gerson Ranferi Porras Galindo</t>
  </si>
  <si>
    <t>510-C</t>
  </si>
  <si>
    <t>Erik Francisco Estrada Catalán</t>
  </si>
  <si>
    <t>602-C</t>
  </si>
  <si>
    <t>Ailyn Mishell Pereira Méndez / Gilberto Gabriel Marroquin Morales</t>
  </si>
  <si>
    <t>603-C</t>
  </si>
  <si>
    <t>JOSUE HABRAAM QUIM GUITZ</t>
  </si>
  <si>
    <t>610-C</t>
  </si>
  <si>
    <t/>
  </si>
  <si>
    <t>Julio Humberto Soto Higueros</t>
  </si>
  <si>
    <t>Abner Manolo Barrios Herrera</t>
  </si>
  <si>
    <t>509-C</t>
  </si>
  <si>
    <t>Otylio Alexander Garcia Orantes</t>
  </si>
  <si>
    <t>608-C</t>
  </si>
  <si>
    <t>Yully Aydaly Soto Higueros</t>
  </si>
  <si>
    <t>609-C</t>
  </si>
  <si>
    <t>Natalie Elizabeth Pacheco Menendez</t>
  </si>
  <si>
    <t>506-B</t>
  </si>
  <si>
    <t>Hugo Alexander Méndez Caal</t>
  </si>
  <si>
    <t>404-C</t>
  </si>
  <si>
    <t>SANDRA LIZETH SUNUC VELÁSQUEZ</t>
  </si>
  <si>
    <t>508-C</t>
  </si>
  <si>
    <t>Carlos Daniel Morales Palma</t>
  </si>
  <si>
    <t>104-C</t>
  </si>
  <si>
    <t xml:space="preserve">Oscar Josue Robledo Sagastume </t>
  </si>
  <si>
    <t>310-C</t>
  </si>
  <si>
    <t>Steven Adolfo Paredes Cabrera/Milca Sarai Barrieos Ixcoy</t>
  </si>
  <si>
    <t>108-TC-MC</t>
  </si>
  <si>
    <t>JULIO JOSÉ GUZMAN TOBÍAS / NO TIENE NOMBRE LA COTIZACION</t>
  </si>
  <si>
    <t>202-C</t>
  </si>
  <si>
    <t>CINDY ABIGAIL ORDOÑEZ CHACON</t>
  </si>
  <si>
    <t>209-C</t>
  </si>
  <si>
    <t>GERBER JONATHAN ORTIZ AJAU</t>
  </si>
  <si>
    <t>3. Vendido Sin Res.</t>
  </si>
  <si>
    <t>303-C</t>
  </si>
  <si>
    <t>DIEGO GABRIEL MOLINA ROMERO</t>
  </si>
  <si>
    <t>304-TC-MB</t>
  </si>
  <si>
    <t>Alex Ricardo Pérez Rodenas</t>
  </si>
  <si>
    <t>403-TC-MC</t>
  </si>
  <si>
    <t>ELSA MIREYA QUINTEROS GARCIA/OSWALDO ROBERT KARL HERNANDEZ</t>
  </si>
  <si>
    <t>407-TC-MB</t>
  </si>
  <si>
    <t>RONAL YOVANNI DONIS MARTINEZ</t>
  </si>
  <si>
    <t>408-TC-MC</t>
  </si>
  <si>
    <t>Daniel Veliz</t>
  </si>
  <si>
    <t>YOHANA ELIZABETH ARRIVILLAGA FAJARDO</t>
  </si>
  <si>
    <t>607-C</t>
  </si>
  <si>
    <t>MANUEL EDGARDO VENTURA SAGASTUME</t>
  </si>
  <si>
    <t>507-TC-MB</t>
  </si>
  <si>
    <t>JUAN DANIEL QUIÑONEZ MARQUEZ</t>
  </si>
  <si>
    <t>607-A</t>
  </si>
  <si>
    <t>Rigoberto Gabriel Lopez</t>
  </si>
  <si>
    <t>***</t>
  </si>
  <si>
    <t>208-C</t>
  </si>
  <si>
    <t>Junior Abraham Boror Ramos/Jéssica Marlene Ramos Ajanel</t>
  </si>
  <si>
    <t>107-C</t>
  </si>
  <si>
    <t>Amelita Natali Aguilar Lopez</t>
  </si>
  <si>
    <t>Debora Marie Castillo Ventura</t>
  </si>
  <si>
    <t>209-TA MB</t>
  </si>
  <si>
    <t>Byron Amilcar Argueta Orrego &amp; Sheila Roxana Ajcuc Hernandez</t>
  </si>
  <si>
    <t>603-TB-MC</t>
  </si>
  <si>
    <t>Heidy Adriana Morales Regalado</t>
  </si>
  <si>
    <t>21/41/2025</t>
  </si>
  <si>
    <t>608-TA-MC</t>
  </si>
  <si>
    <t>José Armando Retana Interiano</t>
  </si>
  <si>
    <t>309-TC-MC</t>
  </si>
  <si>
    <t>Julio Cesar Jeronimo Cajero</t>
  </si>
  <si>
    <t>201-TA-MB</t>
  </si>
  <si>
    <t>Silvia Dinora Pérez Ruano</t>
  </si>
  <si>
    <t>302-TC MC</t>
  </si>
  <si>
    <t>Rosa Alejandra Rodriguez Montufar</t>
  </si>
  <si>
    <t>509-TA-MB</t>
  </si>
  <si>
    <t>Cintia Noemy Diaz DIaz</t>
  </si>
  <si>
    <t>102-TC-MC</t>
  </si>
  <si>
    <t>Katherine Andrea Enriquez Estrada/Luis Carlos Rodriguez Arias</t>
  </si>
  <si>
    <t>Brandon Azael Espinoza Carillas</t>
  </si>
  <si>
    <t>307-TC-MB</t>
  </si>
  <si>
    <t>Wendy Guadalupe Bran Cedillo</t>
  </si>
  <si>
    <t>Miguel Estuardo Arevalo Toc</t>
  </si>
  <si>
    <t>Victoria Nohemí García Macal</t>
  </si>
  <si>
    <t>Oscar Ernesto Morales Calel</t>
  </si>
  <si>
    <t>Del Carmen Jaqueline Samantha Canel Cumatz</t>
  </si>
  <si>
    <t>Lynsy Asaneth Alarcon Reyes de Cordon</t>
  </si>
  <si>
    <t>Perla Rocio Domingo Barrios</t>
  </si>
  <si>
    <t>Telma Estela Barrios Vicente</t>
  </si>
  <si>
    <t>Mario René Ruiz Poncio</t>
  </si>
  <si>
    <t>Ericka Alejandra Sagastume Girón de Herrera</t>
  </si>
  <si>
    <t>Marvin de Jesus Sosa Ramirez / Kimberly Beatriz Sipaque Orantes</t>
  </si>
  <si>
    <t>Luis Fernando Díaz Mijangos/Carolin Magali Rodríguez Zacarias</t>
  </si>
  <si>
    <t>Jackelin Naomy Alvarado Pelico</t>
  </si>
  <si>
    <t>Francisca Veronica Rosales Morales</t>
  </si>
  <si>
    <t>Valery Anthonella Schulz Rosales</t>
  </si>
  <si>
    <t>Faviola Antonia Monroy Lima / Edwin Alfredo Rivera</t>
  </si>
  <si>
    <t>Karen Arabella Kuri López &amp; Rodrigo Daniel Castillo Morales</t>
  </si>
  <si>
    <t>Jazmín Esmeralda Estrada Men</t>
  </si>
  <si>
    <t>Amy Andrea Vasquez Hernandez</t>
  </si>
  <si>
    <t>Lesly Marisol De Leon Villanueva</t>
  </si>
  <si>
    <t>Norma Estela Guzman Yoque</t>
  </si>
  <si>
    <t>Mario Alexander Gutierrez Pacheco</t>
  </si>
  <si>
    <t>Pablo Marroqin</t>
  </si>
  <si>
    <t>Linda Esmeralda Molina Najarro / Diego Mauricio Hernández Alveño</t>
  </si>
  <si>
    <t>Oscar Alexander Velasquez Tiu</t>
  </si>
  <si>
    <t>Oscar Misael De Jesus Santos Borrayo</t>
  </si>
  <si>
    <t>Jorge Pablo Pérez De León</t>
  </si>
  <si>
    <t>Daniel Alberto Vargas Del Cid</t>
  </si>
  <si>
    <t>203-C</t>
  </si>
  <si>
    <t>FRANCISCO ALBERTO GARCIA PALENCIA</t>
  </si>
  <si>
    <t>José Luis García Macal</t>
  </si>
  <si>
    <t>2,Reservado</t>
  </si>
  <si>
    <t>RESCINDIDO JULIO 2025</t>
  </si>
  <si>
    <t>RESCINDIDO AGOSTO 2025</t>
  </si>
  <si>
    <t>IRENE MAGALY GARCIA CORONADO</t>
  </si>
  <si>
    <t>Wendy Yohana Pacheco Morales / Nuevo Steven Adolfo Paredes Cabrera/Milca Sarai Barrieos Ixcoy</t>
  </si>
  <si>
    <t>Roger Jose Castañeda Pineda &amp; Sthephanie Dessire Chacon Mejia</t>
  </si>
  <si>
    <t>403-B</t>
  </si>
  <si>
    <t>HANS ANTONI STRAUBE IZZEPI</t>
  </si>
  <si>
    <t>Luvia Waleska Revolorio Morales</t>
  </si>
  <si>
    <t>605-B</t>
  </si>
  <si>
    <t xml:space="preserve">Héctor Emmanuel Olivares López  </t>
  </si>
  <si>
    <t>308-TC-MC</t>
  </si>
  <si>
    <t>Kevin Adilson Suret Suret</t>
  </si>
  <si>
    <t>NOTA:</t>
  </si>
  <si>
    <t>Identificar fondos retenidos</t>
  </si>
  <si>
    <t>INVERSIONES DE CASTILLA, S.A.</t>
  </si>
  <si>
    <t>BOSQUES LAS TAPIAS</t>
  </si>
  <si>
    <t>Tipo / Modelo</t>
  </si>
  <si>
    <t>A PLUS</t>
  </si>
  <si>
    <t>Favio Javier Estrada Quiñonez y Candida Eva Daniela Ramirez Lopez</t>
  </si>
  <si>
    <t>4. Plan de Pagos</t>
  </si>
  <si>
    <t>C PLUS</t>
  </si>
  <si>
    <t>BRANDON OSWALDO PONCE PÉREZ Y KATERINE ANDREA LUCIA MARTÍNEZ MEJÍA</t>
  </si>
  <si>
    <t>B PLUS</t>
  </si>
  <si>
    <t>NATANAEL DE JESUS GAITAN GOMEZ</t>
  </si>
  <si>
    <t>SARAI DEL ROSARIO MURALLES NAVAS DE GARCIA / LUIS ENRIQUE GARCIA TEBELAN</t>
  </si>
  <si>
    <t xml:space="preserve">A </t>
  </si>
  <si>
    <t xml:space="preserve">C </t>
  </si>
  <si>
    <t>Paula Hernandez</t>
  </si>
  <si>
    <t>MARIO RENATO GUALIN REYES</t>
  </si>
  <si>
    <t xml:space="preserve">B </t>
  </si>
  <si>
    <t>Claudia Maria Gatica Ramirez</t>
  </si>
  <si>
    <t>Luis Armando Chávez Camo</t>
  </si>
  <si>
    <t>CARLOS EDUARDO CELADA</t>
  </si>
  <si>
    <t>Pedro Pablo Sarti</t>
  </si>
  <si>
    <t xml:space="preserve">Lina Judith Conde Gomez de León </t>
  </si>
  <si>
    <t>MARIA CRISTINA ESTRADA DONIS/DANIELA MARIBEL CORONADO ESTRADA</t>
  </si>
  <si>
    <t>Efrén Sanchez</t>
  </si>
  <si>
    <t>Kenneth David Cetino y Angie Nohelia Recinos Villacorta</t>
  </si>
  <si>
    <t>Byron Omar Yapur Ponce</t>
  </si>
  <si>
    <t>ALBERT FRANCESCOLI DE JESUS ORTIZ PINEDA/ANA GABRIELA MORALES CHAJON</t>
  </si>
  <si>
    <t>Zoila Josabeth Lantan López  y Jose Andres Pich Cuxulic</t>
  </si>
  <si>
    <t>Lester Canahui / Brena Aguilar</t>
  </si>
  <si>
    <t>Claudia Anaí Franco Díaz</t>
  </si>
  <si>
    <t>JULIO ERNESTO GARCIA ARCHILA / BLANCA ESTELA GONZALEZ CEDILLO</t>
  </si>
  <si>
    <t>Jeennifer Paola Martinez Cruz de Fajardo</t>
  </si>
  <si>
    <t>LILIAN JEANETTE PAZ GARCÍA</t>
  </si>
  <si>
    <t>JOSUE ROBERTO FAJARDO CHIGUIL Y EMILLY JAZMIN VASQUEZ MORALES</t>
  </si>
  <si>
    <t>Jefersón Michael Sandoval Orozco y Helen Susana Cano Ruballo</t>
  </si>
  <si>
    <t>Manolo de Jesús Milian Martínez</t>
  </si>
  <si>
    <t>DEREK JAFETTE PINEDA SAMAYOA/ KATHERINE GUISELE SAZO ROCHE</t>
  </si>
  <si>
    <t>Pedro Alberto Garcia Guzman</t>
  </si>
  <si>
    <t>MARVIN ESTUARDO PINEDA RODRIGUEZ</t>
  </si>
  <si>
    <t>BRIAN ALEXIS VELASQUEZ RODRIGUEZ</t>
  </si>
  <si>
    <t>Christopher Geovanny Umaña Luna</t>
  </si>
  <si>
    <t>LESBIA FERNANDA FLORES GARCIA-BRYAN ALEXANDER SURET VALENZUELA</t>
  </si>
  <si>
    <t>Yury Julio Roberto de Jesus Urrutia Valdez/María de los Angeles de León Manrique</t>
  </si>
  <si>
    <t>Carlos Humberto Hernandez Barillas</t>
  </si>
  <si>
    <t>LEVI BENJAMIN GUTIERREZ SATEY</t>
  </si>
  <si>
    <t>Diego Herrera y Angela Gabriela Lara</t>
  </si>
  <si>
    <t>Edwin Gonzálo Aguilón Velásquez</t>
  </si>
  <si>
    <t>Irma sofia Caneo Tocay</t>
  </si>
  <si>
    <t>Luciana Concepcion Cruz Alvarado</t>
  </si>
  <si>
    <t>Julisa Elizabeth Gonzalez Bac, Derek Alexander Jiménez Najarro y Fredy Leonel Gonzalez</t>
  </si>
  <si>
    <t>MASIELLE DASAYETH MONROY HERNÁNDEZ y LENIN ALEJANDRO HIDALGO COLINDRES</t>
  </si>
  <si>
    <t>LUIS ANTONIO GÓMEZ LUCERO Y FEBE ABIGAIL ARANA FRANCO</t>
  </si>
  <si>
    <t>ANDREINA MARIBEL CORNEL MORAGA</t>
  </si>
  <si>
    <t>Alvaro Victor Hernández Mus</t>
  </si>
  <si>
    <t>No hay Promesa de Compra Venta en Odoo</t>
  </si>
  <si>
    <t>Julio Cesar Calderon Mus</t>
  </si>
  <si>
    <t>William Alexander Fuentes Alvarado</t>
  </si>
  <si>
    <t>Marlon Omar Valdes Pérez-Chelsea María José García Gómez</t>
  </si>
  <si>
    <t>JENNIFER IVETTE GONZALEZ MEDRANO Y AGUSTIN ARMANDO CALVILLO CALDERON</t>
  </si>
  <si>
    <t>Ingrid Lissette Colíndres López</t>
  </si>
  <si>
    <t>Dilan Guillermo Hernandez López</t>
  </si>
  <si>
    <t>ANDREA ELIZABETH RODAS CABRERA / ROBERTO ISAAC MORALES REYES</t>
  </si>
  <si>
    <t>Alison Samara Vasquez Ortiz</t>
  </si>
  <si>
    <t>Ludis Gonzalez Lopez</t>
  </si>
  <si>
    <t>Juliana Daniela Ortiz</t>
  </si>
  <si>
    <t>DULCE MARÍA RUIZ ALVARADO</t>
  </si>
  <si>
    <t>Zeus Anahel López Ojeda</t>
  </si>
  <si>
    <t>Oscar Roberto Alejandro Valle Mayorga / Joselyne Jazmin Sicaja Chicas</t>
  </si>
  <si>
    <t>09/15/20205</t>
  </si>
  <si>
    <t>Daniel Rafael Bonilla Pérez y Yohany Danissa Leonardo Bocanegra</t>
  </si>
  <si>
    <t>Lesly Cristina Molina González</t>
  </si>
  <si>
    <t>Doneli Abraham Molineros Mijangos</t>
  </si>
  <si>
    <t>Dulce Maria Molineros Mijangos</t>
  </si>
  <si>
    <t>LUISA MAYARI RAMIREZ BRAN</t>
  </si>
  <si>
    <t>LUIS FERNANDO PIANO MENDEZ</t>
  </si>
  <si>
    <t>JUAN PABLO ÁLVAREZ PÉREZ</t>
  </si>
  <si>
    <t>Gloria Cante</t>
  </si>
  <si>
    <t>Iwin Estuardo Acevedo Salgue</t>
  </si>
  <si>
    <t>Erick Gómez</t>
  </si>
  <si>
    <t>DESISTIDO MAYO 2025</t>
  </si>
  <si>
    <t xml:space="preserve"> Guideon Juda Fernandez Cruz</t>
  </si>
  <si>
    <t>Melany Analexy Higueros Gamarro</t>
  </si>
  <si>
    <t>A la fecha</t>
  </si>
  <si>
    <t>Apartamentos vendidos</t>
  </si>
  <si>
    <t>Apartamentos disponibles</t>
  </si>
  <si>
    <t>PRECIO VTA</t>
  </si>
  <si>
    <t>TOTAL ENG.</t>
  </si>
  <si>
    <t>P.I.</t>
  </si>
  <si>
    <t>P. PLAZO</t>
  </si>
  <si>
    <t>CUOTA MES</t>
  </si>
  <si>
    <t>Estimación a recibir Abril 2025</t>
  </si>
  <si>
    <t>PPTO ACUM</t>
  </si>
  <si>
    <t>3.Plan de pagos especial</t>
  </si>
  <si>
    <t>Cuota</t>
  </si>
  <si>
    <t>REVISAR</t>
  </si>
  <si>
    <t>NO TIENE PLAN DE PAGOS</t>
  </si>
  <si>
    <t>Ya fue revisado</t>
  </si>
  <si>
    <t>REASIGNADO EN EL MES DE JUNIO DE LA TORRE B-408</t>
  </si>
  <si>
    <t>PERTENECE A LA TORRE A  // YA FUE ACTUALIZADO EL PLAN DE PAGOS.</t>
  </si>
  <si>
    <t xml:space="preserve">VENTA NUEVA DE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</si>
</sst>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&quot;Q&quot;#,##0.00;[Red]\-&quot;Q&quot;#,##0.00"/>
    <numFmt numFmtId="166" formatCode="_-&quot;Q&quot;* #,##0.00_-;\-&quot;Q&quot;* #,##0.00_-;_-&quot;Q&quot;* &quot;-&quot;??_-;_-@_-"/>
    <numFmt numFmtId="167" formatCode="_ * #,##0.00_ ;_ * \-#,##0.00_ ;_ * &quot;-&quot;??_ ;_ @_ "/>
    <numFmt numFmtId="168" formatCode="_-* #,##0_-;\-* #,##0_-;_-* &quot;-&quot;??_-;_-@_-"/>
    <numFmt numFmtId="169" formatCode="dd/mm/yyyy;@"/>
    <numFmt numFmtId="170" formatCode="0.000000%"/>
    <numFmt numFmtId="171" formatCode="#,##0.00_ ;[Red]\-#,##0.00\ "/>
    <numFmt numFmtId="172" formatCode="[$Q-100A]#,##0.00_);\([$Q-100A]#,##0.00\)"/>
    <numFmt numFmtId="173" formatCode="#,##0.00;[Red]\-#,##0.00;&quot;&quot;"/>
    <numFmt numFmtId="174" formatCode="#,##0;[Red]\-#,##0;&quot;&quot;"/>
    <numFmt numFmtId="175" formatCode="0.0%"/>
  </numFmts>
  <fonts count="1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indexed="23"/>
      <name val="Calibri"/>
      <family val="2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indexed="9"/>
      <name val="Calisto MT"/>
      <family val="1"/>
    </font>
    <font>
      <b/>
      <sz val="12"/>
      <color indexed="9"/>
      <name val="Calisto MT"/>
      <family val="1"/>
    </font>
    <font>
      <sz val="9"/>
      <name val="Times New Roman"/>
      <family val="1"/>
    </font>
    <font>
      <b/>
      <u/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10"/>
      <color theme="1"/>
      <name val="Calibri"/>
      <family val="2"/>
    </font>
    <font>
      <b/>
      <sz val="22"/>
      <color theme="1"/>
      <name val="Calibri"/>
      <family val="2"/>
    </font>
    <font>
      <sz val="11"/>
      <name val="Aptos Narrow"/>
      <family val="2"/>
      <scheme val="minor"/>
    </font>
    <font>
      <b/>
      <sz val="18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name val="Calisto MT"/>
      <family val="1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2"/>
      <name val="Calisto MT"/>
      <family val="1"/>
    </font>
    <font>
      <b/>
      <u/>
      <sz val="1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9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Calisto MT"/>
      <family val="1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8"/>
      <name val="Calisto MT"/>
      <family val="1"/>
    </font>
    <font>
      <sz val="11"/>
      <color rgb="FFFF0000"/>
      <name val="Aptos Narrow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b/>
      <sz val="10"/>
      <color rgb="FFFF0000"/>
      <name val="Calisto MT"/>
      <family val="1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sz val="11"/>
      <color indexed="8"/>
      <name val="Aptos Narrow"/>
      <family val="2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Calibri"/>
      <family val="2"/>
    </font>
    <font>
      <u/>
      <sz val="10"/>
      <color theme="10"/>
      <name val="Calibri"/>
      <family val="2"/>
    </font>
    <font>
      <u/>
      <sz val="9"/>
      <color theme="1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u/>
      <sz val="11"/>
      <color theme="1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8"/>
      <color rgb="FFFF0000"/>
      <name val="Calibri"/>
      <family val="2"/>
    </font>
    <font>
      <b/>
      <sz val="10"/>
      <color rgb="FFC00000"/>
      <name val="Aptos Narrow"/>
      <family val="2"/>
      <scheme val="minor"/>
    </font>
    <font>
      <sz val="9"/>
      <color indexed="81"/>
      <name val="Tahoma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theme="3" tint="0.3999755851924192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name val="Arial"/>
      <family val="2"/>
    </font>
    <font>
      <sz val="9"/>
      <color rgb="FFC00000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23"/>
      <name val="Arial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12"/>
      <name val="Aptos Narrow"/>
      <family val="2"/>
      <scheme val="minor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sz val="11"/>
      <color theme="1"/>
      <name val="Arial"/>
      <family val="2"/>
    </font>
    <font>
      <b/>
      <sz val="10"/>
      <color rgb="FF0070C0"/>
      <name val="Aptos Narrow"/>
      <family val="2"/>
      <scheme val="minor"/>
    </font>
    <font>
      <sz val="8"/>
      <color rgb="FF444B5A"/>
      <name val="Arial"/>
      <family val="2"/>
    </font>
    <font>
      <b/>
      <sz val="10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95" fillId="0" borderId="0"/>
    <xf numFmtId="167" fontId="2" fillId="0" borderId="0" applyFont="0" applyFill="0" applyBorder="0" applyAlignment="0" applyProtection="0"/>
    <xf numFmtId="167" fontId="4" fillId="0" borderId="0" applyFont="0" applyFill="0" applyBorder="0" applyAlignment="0" applyProtection="0"/>
  </cellStyleXfs>
  <cellXfs count="918">
    <xf numFmtId="0" fontId="0" fillId="0" borderId="0" xfId="0"/>
    <xf numFmtId="0" fontId="4" fillId="0" borderId="0" xfId="0" applyFont="1"/>
    <xf numFmtId="0" fontId="5" fillId="0" borderId="0" xfId="0" applyFont="1"/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/>
    <xf numFmtId="0" fontId="9" fillId="0" borderId="0" xfId="0" applyFon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left"/>
    </xf>
    <xf numFmtId="166" fontId="0" fillId="0" borderId="0" xfId="1" applyNumberFormat="1" applyFont="1"/>
    <xf numFmtId="0" fontId="3" fillId="0" borderId="0" xfId="0" applyFont="1"/>
    <xf numFmtId="0" fontId="8" fillId="0" borderId="0" xfId="0" applyFont="1" applyAlignment="1">
      <alignment horizontal="center" vertical="center"/>
    </xf>
    <xf numFmtId="43" fontId="10" fillId="2" borderId="2" xfId="1" applyFont="1" applyFill="1" applyBorder="1" applyAlignment="1">
      <alignment horizontal="center" vertical="center" wrapText="1"/>
    </xf>
    <xf numFmtId="166" fontId="10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8" fillId="0" borderId="0" xfId="1" applyFont="1" applyAlignment="1">
      <alignment horizontal="center"/>
    </xf>
    <xf numFmtId="43" fontId="12" fillId="0" borderId="2" xfId="1" applyFont="1" applyFill="1" applyBorder="1"/>
    <xf numFmtId="43" fontId="12" fillId="0" borderId="2" xfId="1" applyFont="1" applyBorder="1"/>
    <xf numFmtId="43" fontId="12" fillId="0" borderId="4" xfId="1" applyFont="1" applyBorder="1"/>
    <xf numFmtId="43" fontId="12" fillId="5" borderId="4" xfId="1" applyFont="1" applyFill="1" applyBorder="1"/>
    <xf numFmtId="43" fontId="0" fillId="0" borderId="2" xfId="0" applyNumberFormat="1" applyBorder="1"/>
    <xf numFmtId="0" fontId="0" fillId="0" borderId="2" xfId="0" applyBorder="1"/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14" fontId="12" fillId="0" borderId="2" xfId="0" applyNumberFormat="1" applyFont="1" applyBorder="1" applyAlignment="1">
      <alignment horizontal="center"/>
    </xf>
    <xf numFmtId="43" fontId="12" fillId="0" borderId="2" xfId="1" applyFont="1" applyBorder="1" applyAlignment="1">
      <alignment horizontal="left"/>
    </xf>
    <xf numFmtId="166" fontId="12" fillId="4" borderId="2" xfId="0" applyNumberFormat="1" applyFont="1" applyFill="1" applyBorder="1"/>
    <xf numFmtId="166" fontId="12" fillId="0" borderId="2" xfId="0" applyNumberFormat="1" applyFont="1" applyBorder="1"/>
    <xf numFmtId="43" fontId="12" fillId="0" borderId="4" xfId="1" applyFont="1" applyFill="1" applyBorder="1"/>
    <xf numFmtId="43" fontId="8" fillId="0" borderId="0" xfId="1" applyFont="1" applyFill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166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6" fontId="3" fillId="0" borderId="5" xfId="1" applyNumberFormat="1" applyFont="1" applyBorder="1"/>
    <xf numFmtId="166" fontId="3" fillId="0" borderId="2" xfId="1" applyNumberFormat="1" applyFont="1" applyBorder="1"/>
    <xf numFmtId="9" fontId="3" fillId="0" borderId="0" xfId="2" applyFont="1" applyBorder="1"/>
    <xf numFmtId="166" fontId="3" fillId="0" borderId="0" xfId="1" applyNumberFormat="1" applyFont="1" applyBorder="1"/>
    <xf numFmtId="0" fontId="2" fillId="0" borderId="2" xfId="0" applyFont="1" applyBorder="1" applyAlignment="1">
      <alignment horizontal="left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left"/>
    </xf>
    <xf numFmtId="166" fontId="0" fillId="0" borderId="2" xfId="1" applyNumberFormat="1" applyFont="1" applyBorder="1"/>
    <xf numFmtId="0" fontId="0" fillId="0" borderId="2" xfId="0" applyBorder="1" applyAlignment="1">
      <alignment horizontal="left"/>
    </xf>
    <xf numFmtId="43" fontId="0" fillId="0" borderId="0" xfId="1" applyFont="1" applyBorder="1"/>
    <xf numFmtId="9" fontId="0" fillId="0" borderId="0" xfId="2" applyFont="1" applyBorder="1"/>
    <xf numFmtId="43" fontId="0" fillId="0" borderId="0" xfId="0" applyNumberFormat="1"/>
    <xf numFmtId="43" fontId="3" fillId="0" borderId="5" xfId="1" applyFont="1" applyBorder="1" applyAlignment="1">
      <alignment horizontal="left"/>
    </xf>
    <xf numFmtId="43" fontId="3" fillId="0" borderId="5" xfId="0" applyNumberFormat="1" applyFont="1" applyBorder="1"/>
    <xf numFmtId="43" fontId="3" fillId="0" borderId="0" xfId="0" applyNumberFormat="1" applyFont="1"/>
    <xf numFmtId="16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2" xfId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3" fontId="14" fillId="0" borderId="2" xfId="0" applyNumberFormat="1" applyFont="1" applyBorder="1"/>
    <xf numFmtId="43" fontId="14" fillId="0" borderId="4" xfId="0" applyNumberFormat="1" applyFont="1" applyBorder="1"/>
    <xf numFmtId="43" fontId="3" fillId="0" borderId="6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166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3" fontId="3" fillId="0" borderId="7" xfId="1" applyFont="1" applyBorder="1" applyAlignment="1">
      <alignment horizontal="left"/>
    </xf>
    <xf numFmtId="166" fontId="3" fillId="0" borderId="7" xfId="1" applyNumberFormat="1" applyFont="1" applyBorder="1"/>
    <xf numFmtId="166" fontId="3" fillId="0" borderId="7" xfId="0" applyNumberFormat="1" applyFont="1" applyBorder="1"/>
    <xf numFmtId="166" fontId="3" fillId="0" borderId="8" xfId="0" applyNumberFormat="1" applyFont="1" applyBorder="1"/>
    <xf numFmtId="166" fontId="3" fillId="0" borderId="0" xfId="0" applyNumberFormat="1" applyFont="1"/>
    <xf numFmtId="43" fontId="3" fillId="0" borderId="0" xfId="1" applyFont="1" applyBorder="1"/>
    <xf numFmtId="43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 applyBorder="1" applyAlignment="1">
      <alignment horizontal="center"/>
    </xf>
    <xf numFmtId="166" fontId="0" fillId="0" borderId="0" xfId="0" applyNumberFormat="1"/>
    <xf numFmtId="0" fontId="13" fillId="0" borderId="2" xfId="0" applyFont="1" applyBorder="1"/>
    <xf numFmtId="0" fontId="15" fillId="0" borderId="0" xfId="0" applyFont="1"/>
    <xf numFmtId="0" fontId="16" fillId="0" borderId="0" xfId="0" applyFont="1"/>
    <xf numFmtId="0" fontId="0" fillId="0" borderId="0" xfId="0" pivotButton="1"/>
    <xf numFmtId="43" fontId="4" fillId="0" borderId="0" xfId="1" applyFont="1"/>
    <xf numFmtId="0" fontId="4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1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43" fontId="17" fillId="0" borderId="0" xfId="1" applyFont="1"/>
    <xf numFmtId="0" fontId="19" fillId="0" borderId="0" xfId="0" applyFont="1"/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3" fontId="17" fillId="0" borderId="0" xfId="1" applyFont="1" applyFill="1"/>
    <xf numFmtId="43" fontId="17" fillId="5" borderId="0" xfId="1" applyFont="1" applyFill="1"/>
    <xf numFmtId="10" fontId="17" fillId="0" borderId="0" xfId="2" applyNumberFormat="1" applyFont="1"/>
    <xf numFmtId="43" fontId="17" fillId="0" borderId="0" xfId="0" applyNumberFormat="1" applyFont="1"/>
    <xf numFmtId="9" fontId="17" fillId="0" borderId="0" xfId="2" applyFont="1"/>
    <xf numFmtId="43" fontId="22" fillId="0" borderId="9" xfId="1" applyFont="1" applyBorder="1"/>
    <xf numFmtId="9" fontId="4" fillId="0" borderId="0" xfId="2" applyFont="1" applyAlignment="1">
      <alignment horizontal="center"/>
    </xf>
    <xf numFmtId="43" fontId="23" fillId="0" borderId="0" xfId="1" applyFont="1" applyAlignment="1">
      <alignment horizontal="center" vertical="center" wrapText="1"/>
    </xf>
    <xf numFmtId="43" fontId="19" fillId="0" borderId="0" xfId="1" applyFont="1"/>
    <xf numFmtId="0" fontId="21" fillId="0" borderId="0" xfId="0" applyFont="1" applyAlignment="1">
      <alignment horizontal="left"/>
    </xf>
    <xf numFmtId="0" fontId="24" fillId="0" borderId="0" xfId="0" applyFont="1"/>
    <xf numFmtId="168" fontId="17" fillId="0" borderId="0" xfId="1" applyNumberFormat="1" applyFont="1"/>
    <xf numFmtId="0" fontId="25" fillId="0" borderId="0" xfId="0" applyFont="1"/>
    <xf numFmtId="0" fontId="26" fillId="0" borderId="0" xfId="0" applyFont="1"/>
    <xf numFmtId="0" fontId="27" fillId="0" borderId="0" xfId="0" pivotButton="1" applyFont="1"/>
    <xf numFmtId="0" fontId="27" fillId="0" borderId="0" xfId="0" applyFont="1"/>
    <xf numFmtId="0" fontId="4" fillId="0" borderId="0" xfId="0" applyFont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9" fontId="15" fillId="0" borderId="7" xfId="2" applyFont="1" applyBorder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/>
    <xf numFmtId="43" fontId="5" fillId="0" borderId="0" xfId="1" applyFont="1"/>
    <xf numFmtId="0" fontId="21" fillId="0" borderId="0" xfId="0" applyFont="1"/>
    <xf numFmtId="43" fontId="28" fillId="0" borderId="2" xfId="1" applyFont="1" applyFill="1" applyBorder="1"/>
    <xf numFmtId="43" fontId="28" fillId="0" borderId="4" xfId="1" applyFont="1" applyFill="1" applyBorder="1"/>
    <xf numFmtId="43" fontId="28" fillId="0" borderId="2" xfId="1" applyFont="1" applyFill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0" fillId="0" borderId="5" xfId="0" applyFont="1" applyBorder="1"/>
    <xf numFmtId="166" fontId="30" fillId="0" borderId="5" xfId="0" applyNumberFormat="1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166" fontId="30" fillId="0" borderId="5" xfId="1" applyNumberFormat="1" applyFont="1" applyBorder="1"/>
    <xf numFmtId="0" fontId="30" fillId="0" borderId="6" xfId="0" applyFont="1" applyBorder="1" applyAlignment="1">
      <alignment horizontal="left"/>
    </xf>
    <xf numFmtId="9" fontId="30" fillId="0" borderId="2" xfId="2" applyFont="1" applyBorder="1"/>
    <xf numFmtId="0" fontId="20" fillId="2" borderId="2" xfId="0" applyFont="1" applyFill="1" applyBorder="1" applyAlignment="1">
      <alignment horizontal="center" vertical="center" wrapText="1"/>
    </xf>
    <xf numFmtId="17" fontId="20" fillId="2" borderId="2" xfId="0" applyNumberFormat="1" applyFont="1" applyFill="1" applyBorder="1" applyAlignment="1">
      <alignment horizontal="center" vertical="center" wrapText="1"/>
    </xf>
    <xf numFmtId="165" fontId="28" fillId="0" borderId="4" xfId="0" applyNumberFormat="1" applyFont="1" applyBorder="1"/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0" fontId="28" fillId="0" borderId="2" xfId="0" applyFont="1" applyBorder="1"/>
    <xf numFmtId="14" fontId="28" fillId="0" borderId="2" xfId="0" applyNumberFormat="1" applyFont="1" applyBorder="1" applyAlignment="1">
      <alignment horizontal="center"/>
    </xf>
    <xf numFmtId="166" fontId="28" fillId="0" borderId="2" xfId="0" applyNumberFormat="1" applyFont="1" applyBorder="1"/>
    <xf numFmtId="0" fontId="28" fillId="0" borderId="3" xfId="0" applyFont="1" applyBorder="1" applyAlignment="1">
      <alignment horizontal="center"/>
    </xf>
    <xf numFmtId="0" fontId="28" fillId="0" borderId="3" xfId="0" applyFont="1" applyBorder="1" applyAlignment="1">
      <alignment horizontal="left"/>
    </xf>
    <xf numFmtId="0" fontId="28" fillId="0" borderId="3" xfId="0" applyFont="1" applyBorder="1"/>
    <xf numFmtId="14" fontId="28" fillId="0" borderId="3" xfId="0" applyNumberFormat="1" applyFont="1" applyBorder="1" applyAlignment="1">
      <alignment horizontal="center"/>
    </xf>
    <xf numFmtId="43" fontId="28" fillId="0" borderId="3" xfId="1" applyFont="1" applyFill="1" applyBorder="1" applyAlignment="1">
      <alignment horizontal="left"/>
    </xf>
    <xf numFmtId="166" fontId="28" fillId="0" borderId="3" xfId="0" applyNumberFormat="1" applyFont="1" applyBorder="1"/>
    <xf numFmtId="166" fontId="28" fillId="0" borderId="2" xfId="0" applyNumberFormat="1" applyFont="1" applyBorder="1" applyAlignment="1">
      <alignment horizontal="center"/>
    </xf>
    <xf numFmtId="165" fontId="28" fillId="0" borderId="2" xfId="0" applyNumberFormat="1" applyFont="1" applyBorder="1"/>
    <xf numFmtId="0" fontId="31" fillId="2" borderId="2" xfId="0" applyFont="1" applyFill="1" applyBorder="1" applyAlignment="1">
      <alignment horizontal="center" vertical="center" wrapText="1"/>
    </xf>
    <xf numFmtId="9" fontId="17" fillId="0" borderId="2" xfId="2" applyFont="1" applyFill="1" applyBorder="1"/>
    <xf numFmtId="43" fontId="17" fillId="0" borderId="2" xfId="0" applyNumberFormat="1" applyFont="1" applyBorder="1"/>
    <xf numFmtId="10" fontId="17" fillId="0" borderId="2" xfId="2" applyNumberFormat="1" applyFont="1" applyFill="1" applyBorder="1"/>
    <xf numFmtId="0" fontId="32" fillId="0" borderId="2" xfId="0" applyFont="1" applyBorder="1"/>
    <xf numFmtId="9" fontId="32" fillId="0" borderId="2" xfId="2" applyFont="1" applyFill="1" applyBorder="1"/>
    <xf numFmtId="43" fontId="32" fillId="0" borderId="2" xfId="0" applyNumberFormat="1" applyFont="1" applyBorder="1"/>
    <xf numFmtId="10" fontId="32" fillId="0" borderId="2" xfId="2" applyNumberFormat="1" applyFont="1" applyFill="1" applyBorder="1"/>
    <xf numFmtId="9" fontId="32" fillId="0" borderId="3" xfId="2" applyFont="1" applyFill="1" applyBorder="1"/>
    <xf numFmtId="43" fontId="32" fillId="0" borderId="3" xfId="0" applyNumberFormat="1" applyFont="1" applyBorder="1"/>
    <xf numFmtId="10" fontId="32" fillId="0" borderId="3" xfId="2" applyNumberFormat="1" applyFont="1" applyFill="1" applyBorder="1"/>
    <xf numFmtId="0" fontId="32" fillId="0" borderId="0" xfId="0" applyFont="1"/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14" fontId="28" fillId="0" borderId="1" xfId="0" applyNumberFormat="1" applyFont="1" applyBorder="1" applyAlignment="1">
      <alignment horizontal="center"/>
    </xf>
    <xf numFmtId="43" fontId="28" fillId="0" borderId="1" xfId="1" applyFont="1" applyFill="1" applyBorder="1"/>
    <xf numFmtId="0" fontId="28" fillId="0" borderId="0" xfId="0" applyFont="1" applyAlignment="1">
      <alignment horizontal="center"/>
    </xf>
    <xf numFmtId="0" fontId="28" fillId="0" borderId="0" xfId="0" applyFont="1"/>
    <xf numFmtId="14" fontId="28" fillId="0" borderId="0" xfId="0" applyNumberFormat="1" applyFont="1" applyAlignment="1">
      <alignment horizontal="center"/>
    </xf>
    <xf numFmtId="43" fontId="28" fillId="0" borderId="0" xfId="1" applyFont="1" applyFill="1"/>
    <xf numFmtId="0" fontId="28" fillId="0" borderId="0" xfId="0" applyFont="1" applyAlignment="1">
      <alignment horizontal="left"/>
    </xf>
    <xf numFmtId="43" fontId="22" fillId="0" borderId="10" xfId="1" applyFont="1" applyBorder="1"/>
    <xf numFmtId="9" fontId="22" fillId="0" borderId="10" xfId="2" applyFont="1" applyBorder="1"/>
    <xf numFmtId="43" fontId="22" fillId="0" borderId="0" xfId="1" applyFont="1" applyBorder="1"/>
    <xf numFmtId="0" fontId="28" fillId="6" borderId="0" xfId="0" applyFont="1" applyFill="1" applyAlignment="1">
      <alignment horizontal="center"/>
    </xf>
    <xf numFmtId="43" fontId="32" fillId="0" borderId="2" xfId="1" applyFont="1" applyBorder="1"/>
    <xf numFmtId="168" fontId="32" fillId="0" borderId="2" xfId="1" applyNumberFormat="1" applyFont="1" applyBorder="1"/>
    <xf numFmtId="168" fontId="32" fillId="0" borderId="3" xfId="1" applyNumberFormat="1" applyFont="1" applyBorder="1"/>
    <xf numFmtId="4" fontId="17" fillId="0" borderId="0" xfId="0" applyNumberFormat="1" applyFont="1"/>
    <xf numFmtId="0" fontId="20" fillId="7" borderId="2" xfId="0" applyFont="1" applyFill="1" applyBorder="1" applyAlignment="1">
      <alignment horizontal="center" vertical="center" wrapText="1"/>
    </xf>
    <xf numFmtId="17" fontId="20" fillId="7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168" fontId="20" fillId="7" borderId="2" xfId="1" applyNumberFormat="1" applyFont="1" applyFill="1" applyBorder="1" applyAlignment="1">
      <alignment horizontal="center" vertical="center" wrapText="1"/>
    </xf>
    <xf numFmtId="168" fontId="31" fillId="7" borderId="2" xfId="1" applyNumberFormat="1" applyFont="1" applyFill="1" applyBorder="1" applyAlignment="1">
      <alignment horizontal="center" vertical="center" wrapText="1"/>
    </xf>
    <xf numFmtId="14" fontId="28" fillId="8" borderId="2" xfId="0" applyNumberFormat="1" applyFont="1" applyFill="1" applyBorder="1" applyAlignment="1">
      <alignment horizontal="center"/>
    </xf>
    <xf numFmtId="0" fontId="22" fillId="0" borderId="0" xfId="0" applyFont="1"/>
    <xf numFmtId="43" fontId="22" fillId="0" borderId="0" xfId="1" applyFont="1"/>
    <xf numFmtId="9" fontId="22" fillId="0" borderId="0" xfId="2" applyFont="1"/>
    <xf numFmtId="168" fontId="22" fillId="0" borderId="0" xfId="1" applyNumberFormat="1" applyFont="1"/>
    <xf numFmtId="166" fontId="3" fillId="0" borderId="9" xfId="1" applyNumberFormat="1" applyFont="1" applyBorder="1"/>
    <xf numFmtId="9" fontId="22" fillId="0" borderId="9" xfId="2" applyFont="1" applyBorder="1"/>
    <xf numFmtId="0" fontId="32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43" fontId="22" fillId="0" borderId="0" xfId="1" applyFont="1" applyAlignment="1">
      <alignment horizontal="center"/>
    </xf>
    <xf numFmtId="0" fontId="22" fillId="0" borderId="0" xfId="0" applyFont="1" applyAlignment="1">
      <alignment horizontal="center"/>
    </xf>
    <xf numFmtId="0" fontId="33" fillId="0" borderId="0" xfId="0" applyFont="1"/>
    <xf numFmtId="0" fontId="17" fillId="0" borderId="0" xfId="1" applyNumberFormat="1" applyFont="1" applyAlignment="1">
      <alignment horizontal="center"/>
    </xf>
    <xf numFmtId="0" fontId="32" fillId="4" borderId="0" xfId="0" applyFont="1" applyFill="1" applyAlignment="1">
      <alignment horizontal="center"/>
    </xf>
    <xf numFmtId="169" fontId="17" fillId="0" borderId="0" xfId="0" applyNumberFormat="1" applyFont="1"/>
    <xf numFmtId="43" fontId="34" fillId="0" borderId="2" xfId="1" applyFont="1" applyFill="1" applyBorder="1"/>
    <xf numFmtId="43" fontId="28" fillId="0" borderId="2" xfId="1" applyFont="1" applyBorder="1"/>
    <xf numFmtId="44" fontId="17" fillId="0" borderId="0" xfId="0" applyNumberFormat="1" applyFont="1"/>
    <xf numFmtId="0" fontId="17" fillId="0" borderId="2" xfId="0" applyFont="1" applyBorder="1"/>
    <xf numFmtId="43" fontId="5" fillId="4" borderId="0" xfId="0" applyNumberFormat="1" applyFont="1" applyFill="1"/>
    <xf numFmtId="43" fontId="35" fillId="0" borderId="2" xfId="1" applyFont="1" applyFill="1" applyBorder="1"/>
    <xf numFmtId="43" fontId="35" fillId="3" borderId="2" xfId="1" applyFont="1" applyFill="1" applyBorder="1"/>
    <xf numFmtId="43" fontId="36" fillId="3" borderId="2" xfId="1" applyFont="1" applyFill="1" applyBorder="1"/>
    <xf numFmtId="43" fontId="35" fillId="0" borderId="2" xfId="1" applyFont="1" applyBorder="1"/>
    <xf numFmtId="16" fontId="28" fillId="0" borderId="2" xfId="0" applyNumberFormat="1" applyFont="1" applyBorder="1" applyAlignment="1">
      <alignment horizontal="center"/>
    </xf>
    <xf numFmtId="0" fontId="37" fillId="0" borderId="0" xfId="0" applyFont="1"/>
    <xf numFmtId="43" fontId="38" fillId="0" borderId="2" xfId="0" applyNumberFormat="1" applyFont="1" applyBorder="1"/>
    <xf numFmtId="0" fontId="38" fillId="0" borderId="2" xfId="0" applyFont="1" applyBorder="1"/>
    <xf numFmtId="168" fontId="38" fillId="0" borderId="2" xfId="1" applyNumberFormat="1" applyFont="1" applyBorder="1"/>
    <xf numFmtId="43" fontId="38" fillId="0" borderId="2" xfId="1" applyFont="1" applyBorder="1"/>
    <xf numFmtId="0" fontId="37" fillId="0" borderId="2" xfId="0" applyFont="1" applyBorder="1"/>
    <xf numFmtId="168" fontId="39" fillId="7" borderId="2" xfId="1" applyNumberFormat="1" applyFont="1" applyFill="1" applyBorder="1" applyAlignment="1">
      <alignment horizontal="center" vertical="center" wrapText="1"/>
    </xf>
    <xf numFmtId="168" fontId="17" fillId="0" borderId="0" xfId="0" applyNumberFormat="1" applyFont="1"/>
    <xf numFmtId="43" fontId="40" fillId="0" borderId="0" xfId="0" applyNumberFormat="1" applyFont="1"/>
    <xf numFmtId="0" fontId="7" fillId="3" borderId="0" xfId="0" applyFont="1" applyFill="1" applyAlignment="1">
      <alignment horizontal="center"/>
    </xf>
    <xf numFmtId="168" fontId="32" fillId="0" borderId="2" xfId="0" applyNumberFormat="1" applyFont="1" applyBorder="1"/>
    <xf numFmtId="168" fontId="22" fillId="0" borderId="0" xfId="0" applyNumberFormat="1" applyFont="1"/>
    <xf numFmtId="9" fontId="22" fillId="0" borderId="0" xfId="2" applyFont="1" applyBorder="1"/>
    <xf numFmtId="168" fontId="43" fillId="7" borderId="2" xfId="1" applyNumberFormat="1" applyFont="1" applyFill="1" applyBorder="1" applyAlignment="1">
      <alignment horizontal="center" vertical="center" wrapText="1"/>
    </xf>
    <xf numFmtId="168" fontId="22" fillId="0" borderId="9" xfId="0" applyNumberFormat="1" applyFont="1" applyBorder="1"/>
    <xf numFmtId="168" fontId="22" fillId="0" borderId="10" xfId="1" applyNumberFormat="1" applyFont="1" applyBorder="1"/>
    <xf numFmtId="168" fontId="17" fillId="0" borderId="10" xfId="1" applyNumberFormat="1" applyFont="1" applyBorder="1"/>
    <xf numFmtId="168" fontId="17" fillId="0" borderId="10" xfId="2" applyNumberFormat="1" applyFont="1" applyBorder="1"/>
    <xf numFmtId="43" fontId="17" fillId="4" borderId="0" xfId="0" applyNumberFormat="1" applyFont="1" applyFill="1"/>
    <xf numFmtId="0" fontId="46" fillId="0" borderId="0" xfId="0" applyFont="1"/>
    <xf numFmtId="0" fontId="46" fillId="0" borderId="0" xfId="0" applyFont="1" applyAlignment="1">
      <alignment horizontal="center"/>
    </xf>
    <xf numFmtId="43" fontId="36" fillId="0" borderId="2" xfId="1" applyFont="1" applyFill="1" applyBorder="1"/>
    <xf numFmtId="168" fontId="44" fillId="11" borderId="2" xfId="0" applyNumberFormat="1" applyFont="1" applyFill="1" applyBorder="1"/>
    <xf numFmtId="0" fontId="47" fillId="0" borderId="0" xfId="0" applyFont="1"/>
    <xf numFmtId="0" fontId="35" fillId="0" borderId="2" xfId="0" applyFont="1" applyBorder="1" applyAlignment="1">
      <alignment horizontal="center"/>
    </xf>
    <xf numFmtId="43" fontId="35" fillId="0" borderId="4" xfId="1" applyFont="1" applyFill="1" applyBorder="1"/>
    <xf numFmtId="0" fontId="7" fillId="4" borderId="0" xfId="0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43" fontId="5" fillId="3" borderId="0" xfId="0" applyNumberFormat="1" applyFont="1" applyFill="1"/>
    <xf numFmtId="168" fontId="3" fillId="0" borderId="11" xfId="1" applyNumberFormat="1" applyFont="1" applyBorder="1"/>
    <xf numFmtId="168" fontId="3" fillId="0" borderId="10" xfId="1" applyNumberFormat="1" applyFont="1" applyBorder="1"/>
    <xf numFmtId="168" fontId="3" fillId="0" borderId="0" xfId="1" applyNumberFormat="1" applyFont="1" applyBorder="1"/>
    <xf numFmtId="43" fontId="5" fillId="4" borderId="0" xfId="1" applyFont="1" applyFill="1"/>
    <xf numFmtId="168" fontId="27" fillId="0" borderId="0" xfId="0" applyNumberFormat="1" applyFont="1"/>
    <xf numFmtId="0" fontId="49" fillId="0" borderId="0" xfId="0" applyFont="1"/>
    <xf numFmtId="0" fontId="15" fillId="5" borderId="9" xfId="0" applyFont="1" applyFill="1" applyBorder="1" applyAlignment="1">
      <alignment horizontal="center" vertical="center" wrapText="1"/>
    </xf>
    <xf numFmtId="0" fontId="50" fillId="5" borderId="0" xfId="3" applyFont="1" applyFill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27" fillId="0" borderId="0" xfId="0" pivotButton="1" applyFont="1" applyAlignment="1">
      <alignment horizontal="center"/>
    </xf>
    <xf numFmtId="0" fontId="27" fillId="0" borderId="0" xfId="0" applyFont="1" applyAlignment="1">
      <alignment horizontal="center"/>
    </xf>
    <xf numFmtId="0" fontId="34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9" fontId="15" fillId="0" borderId="0" xfId="2" applyFont="1" applyBorder="1" applyAlignment="1">
      <alignment horizontal="center"/>
    </xf>
    <xf numFmtId="168" fontId="15" fillId="0" borderId="0" xfId="0" applyNumberFormat="1" applyFont="1" applyAlignment="1">
      <alignment horizontal="center" vertical="center" wrapText="1"/>
    </xf>
    <xf numFmtId="168" fontId="4" fillId="0" borderId="0" xfId="0" applyNumberFormat="1" applyFont="1"/>
    <xf numFmtId="9" fontId="32" fillId="0" borderId="0" xfId="2" applyFont="1" applyFill="1" applyBorder="1"/>
    <xf numFmtId="43" fontId="32" fillId="0" borderId="0" xfId="0" applyNumberFormat="1" applyFont="1"/>
    <xf numFmtId="10" fontId="32" fillId="0" borderId="0" xfId="2" applyNumberFormat="1" applyFont="1" applyFill="1" applyBorder="1"/>
    <xf numFmtId="0" fontId="29" fillId="0" borderId="0" xfId="0" applyFont="1"/>
    <xf numFmtId="165" fontId="4" fillId="0" borderId="0" xfId="0" applyNumberFormat="1" applyFont="1"/>
    <xf numFmtId="168" fontId="32" fillId="0" borderId="0" xfId="1" applyNumberFormat="1" applyFont="1" applyFill="1" applyBorder="1"/>
    <xf numFmtId="43" fontId="32" fillId="0" borderId="0" xfId="1" applyFont="1" applyFill="1" applyBorder="1"/>
    <xf numFmtId="43" fontId="28" fillId="0" borderId="0" xfId="1" applyFont="1" applyFill="1" applyBorder="1"/>
    <xf numFmtId="166" fontId="3" fillId="0" borderId="15" xfId="1" applyNumberFormat="1" applyFont="1" applyBorder="1"/>
    <xf numFmtId="168" fontId="38" fillId="0" borderId="2" xfId="0" applyNumberFormat="1" applyFont="1" applyBorder="1"/>
    <xf numFmtId="168" fontId="38" fillId="11" borderId="2" xfId="0" applyNumberFormat="1" applyFont="1" applyFill="1" applyBorder="1"/>
    <xf numFmtId="0" fontId="51" fillId="0" borderId="0" xfId="3" applyFont="1" applyAlignment="1">
      <alignment horizontal="center"/>
    </xf>
    <xf numFmtId="168" fontId="15" fillId="0" borderId="0" xfId="0" applyNumberFormat="1" applyFont="1" applyAlignment="1">
      <alignment horizontal="center"/>
    </xf>
    <xf numFmtId="9" fontId="15" fillId="0" borderId="0" xfId="2" applyFont="1" applyAlignment="1">
      <alignment horizontal="center"/>
    </xf>
    <xf numFmtId="168" fontId="32" fillId="0" borderId="0" xfId="0" applyNumberFormat="1" applyFont="1"/>
    <xf numFmtId="43" fontId="28" fillId="0" borderId="0" xfId="1" applyFont="1"/>
    <xf numFmtId="9" fontId="32" fillId="0" borderId="0" xfId="2" applyFont="1"/>
    <xf numFmtId="10" fontId="32" fillId="0" borderId="0" xfId="2" applyNumberFormat="1" applyFont="1"/>
    <xf numFmtId="168" fontId="32" fillId="0" borderId="0" xfId="1" applyNumberFormat="1" applyFont="1"/>
    <xf numFmtId="43" fontId="32" fillId="0" borderId="0" xfId="1" applyFont="1"/>
    <xf numFmtId="0" fontId="34" fillId="0" borderId="2" xfId="0" applyFont="1" applyBorder="1"/>
    <xf numFmtId="14" fontId="34" fillId="0" borderId="2" xfId="0" applyNumberFormat="1" applyFont="1" applyBorder="1" applyAlignment="1">
      <alignment horizontal="center"/>
    </xf>
    <xf numFmtId="9" fontId="38" fillId="0" borderId="2" xfId="2" applyFont="1" applyFill="1" applyBorder="1"/>
    <xf numFmtId="10" fontId="38" fillId="0" borderId="2" xfId="2" applyNumberFormat="1" applyFont="1" applyFill="1" applyBorder="1"/>
    <xf numFmtId="43" fontId="38" fillId="0" borderId="2" xfId="1" applyFont="1" applyFill="1" applyBorder="1"/>
    <xf numFmtId="0" fontId="34" fillId="3" borderId="2" xfId="0" applyFont="1" applyFill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35" fillId="3" borderId="2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14" fontId="28" fillId="3" borderId="2" xfId="0" applyNumberFormat="1" applyFont="1" applyFill="1" applyBorder="1" applyAlignment="1">
      <alignment horizontal="center"/>
    </xf>
    <xf numFmtId="43" fontId="28" fillId="3" borderId="2" xfId="1" applyFont="1" applyFill="1" applyBorder="1"/>
    <xf numFmtId="170" fontId="17" fillId="0" borderId="0" xfId="2" applyNumberFormat="1" applyFont="1"/>
    <xf numFmtId="0" fontId="28" fillId="4" borderId="2" xfId="0" applyFont="1" applyFill="1" applyBorder="1"/>
    <xf numFmtId="0" fontId="36" fillId="4" borderId="2" xfId="0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35" fillId="0" borderId="2" xfId="0" applyFont="1" applyBorder="1"/>
    <xf numFmtId="14" fontId="28" fillId="7" borderId="2" xfId="0" applyNumberFormat="1" applyFont="1" applyFill="1" applyBorder="1" applyAlignment="1">
      <alignment horizontal="center"/>
    </xf>
    <xf numFmtId="14" fontId="0" fillId="0" borderId="0" xfId="0" applyNumberFormat="1"/>
    <xf numFmtId="0" fontId="52" fillId="0" borderId="0" xfId="0" applyFont="1"/>
    <xf numFmtId="0" fontId="53" fillId="0" borderId="0" xfId="0" applyFont="1"/>
    <xf numFmtId="17" fontId="30" fillId="0" borderId="0" xfId="0" applyNumberFormat="1" applyFont="1" applyAlignment="1">
      <alignment horizontal="center"/>
    </xf>
    <xf numFmtId="14" fontId="30" fillId="0" borderId="0" xfId="0" applyNumberFormat="1" applyFont="1" applyAlignment="1">
      <alignment horizontal="center"/>
    </xf>
    <xf numFmtId="0" fontId="30" fillId="0" borderId="0" xfId="0" applyFont="1"/>
    <xf numFmtId="0" fontId="15" fillId="0" borderId="9" xfId="0" applyFont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 wrapText="1"/>
    </xf>
    <xf numFmtId="168" fontId="4" fillId="0" borderId="0" xfId="1" applyNumberFormat="1" applyFont="1"/>
    <xf numFmtId="168" fontId="4" fillId="12" borderId="0" xfId="1" applyNumberFormat="1" applyFont="1" applyFill="1"/>
    <xf numFmtId="168" fontId="15" fillId="0" borderId="0" xfId="1" applyNumberFormat="1" applyFont="1"/>
    <xf numFmtId="168" fontId="4" fillId="4" borderId="0" xfId="1" applyNumberFormat="1" applyFont="1" applyFill="1"/>
    <xf numFmtId="168" fontId="15" fillId="0" borderId="7" xfId="1" applyNumberFormat="1" applyFont="1" applyBorder="1"/>
    <xf numFmtId="10" fontId="15" fillId="0" borderId="7" xfId="2" applyNumberFormat="1" applyFont="1" applyBorder="1" applyAlignment="1">
      <alignment horizontal="center"/>
    </xf>
    <xf numFmtId="168" fontId="15" fillId="12" borderId="7" xfId="1" applyNumberFormat="1" applyFont="1" applyFill="1" applyBorder="1"/>
    <xf numFmtId="0" fontId="30" fillId="0" borderId="11" xfId="0" applyFont="1" applyBorder="1"/>
    <xf numFmtId="43" fontId="30" fillId="0" borderId="11" xfId="1" applyFont="1" applyBorder="1"/>
    <xf numFmtId="9" fontId="30" fillId="0" borderId="11" xfId="2" applyFont="1" applyBorder="1" applyAlignment="1">
      <alignment horizontal="center"/>
    </xf>
    <xf numFmtId="10" fontId="30" fillId="0" borderId="11" xfId="2" applyNumberFormat="1" applyFont="1" applyBorder="1" applyAlignment="1">
      <alignment horizontal="center"/>
    </xf>
    <xf numFmtId="168" fontId="30" fillId="0" borderId="11" xfId="2" applyNumberFormat="1" applyFont="1" applyBorder="1" applyAlignment="1">
      <alignment horizontal="center"/>
    </xf>
    <xf numFmtId="43" fontId="54" fillId="0" borderId="0" xfId="0" applyNumberFormat="1" applyFont="1"/>
    <xf numFmtId="0" fontId="54" fillId="0" borderId="0" xfId="0" applyFont="1"/>
    <xf numFmtId="0" fontId="55" fillId="0" borderId="0" xfId="0" applyFont="1"/>
    <xf numFmtId="0" fontId="55" fillId="0" borderId="0" xfId="0" applyFont="1" applyAlignment="1">
      <alignment horizontal="center" vertical="top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17" fillId="0" borderId="0" xfId="1" applyFont="1" applyAlignment="1">
      <alignment vertical="center"/>
    </xf>
    <xf numFmtId="43" fontId="17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10" fontId="17" fillId="0" borderId="0" xfId="2" applyNumberFormat="1" applyFont="1" applyAlignment="1">
      <alignment vertical="center"/>
    </xf>
    <xf numFmtId="168" fontId="17" fillId="0" borderId="0" xfId="1" applyNumberFormat="1" applyFont="1" applyAlignment="1">
      <alignment vertical="center"/>
    </xf>
    <xf numFmtId="43" fontId="17" fillId="0" borderId="0" xfId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43" fontId="22" fillId="0" borderId="0" xfId="1" applyFont="1" applyAlignment="1">
      <alignment vertical="center"/>
    </xf>
    <xf numFmtId="0" fontId="60" fillId="0" borderId="0" xfId="0" applyFont="1"/>
    <xf numFmtId="0" fontId="59" fillId="0" borderId="0" xfId="0" applyFont="1"/>
    <xf numFmtId="168" fontId="59" fillId="0" borderId="0" xfId="0" applyNumberFormat="1" applyFont="1"/>
    <xf numFmtId="0" fontId="61" fillId="0" borderId="0" xfId="0" applyFont="1" applyAlignment="1">
      <alignment horizontal="center"/>
    </xf>
    <xf numFmtId="0" fontId="61" fillId="0" borderId="0" xfId="0" applyFont="1"/>
    <xf numFmtId="0" fontId="62" fillId="0" borderId="0" xfId="0" applyFont="1"/>
    <xf numFmtId="0" fontId="62" fillId="0" borderId="1" xfId="0" applyFont="1" applyBorder="1" applyAlignment="1">
      <alignment horizontal="center"/>
    </xf>
    <xf numFmtId="43" fontId="62" fillId="0" borderId="1" xfId="1" applyFont="1" applyFill="1" applyBorder="1"/>
    <xf numFmtId="43" fontId="62" fillId="0" borderId="2" xfId="1" applyFont="1" applyFill="1" applyBorder="1"/>
    <xf numFmtId="43" fontId="63" fillId="0" borderId="2" xfId="1" applyFont="1" applyFill="1" applyBorder="1"/>
    <xf numFmtId="43" fontId="63" fillId="3" borderId="2" xfId="1" applyFont="1" applyFill="1" applyBorder="1"/>
    <xf numFmtId="0" fontId="62" fillId="0" borderId="2" xfId="0" applyFont="1" applyBorder="1" applyAlignment="1">
      <alignment horizontal="center"/>
    </xf>
    <xf numFmtId="0" fontId="62" fillId="0" borderId="2" xfId="0" applyFont="1" applyBorder="1"/>
    <xf numFmtId="14" fontId="62" fillId="0" borderId="2" xfId="0" applyNumberFormat="1" applyFont="1" applyBorder="1" applyAlignment="1">
      <alignment horizontal="center"/>
    </xf>
    <xf numFmtId="43" fontId="63" fillId="3" borderId="2" xfId="1" applyFont="1" applyFill="1" applyBorder="1" applyAlignment="1">
      <alignment wrapText="1"/>
    </xf>
    <xf numFmtId="43" fontId="62" fillId="0" borderId="2" xfId="1" applyFont="1" applyBorder="1"/>
    <xf numFmtId="43" fontId="63" fillId="0" borderId="2" xfId="1" applyFont="1" applyBorder="1"/>
    <xf numFmtId="0" fontId="65" fillId="0" borderId="2" xfId="0" applyFont="1" applyBorder="1" applyAlignment="1">
      <alignment horizontal="center"/>
    </xf>
    <xf numFmtId="0" fontId="66" fillId="0" borderId="2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16" fontId="62" fillId="0" borderId="2" xfId="0" applyNumberFormat="1" applyFont="1" applyBorder="1" applyAlignment="1">
      <alignment horizontal="center"/>
    </xf>
    <xf numFmtId="0" fontId="65" fillId="0" borderId="2" xfId="0" applyFont="1" applyBorder="1"/>
    <xf numFmtId="43" fontId="65" fillId="0" borderId="2" xfId="1" applyFont="1" applyFill="1" applyBorder="1"/>
    <xf numFmtId="43" fontId="67" fillId="0" borderId="2" xfId="1" applyFont="1" applyFill="1" applyBorder="1"/>
    <xf numFmtId="43" fontId="67" fillId="3" borderId="2" xfId="1" applyFont="1" applyFill="1" applyBorder="1"/>
    <xf numFmtId="0" fontId="62" fillId="3" borderId="2" xfId="0" applyFont="1" applyFill="1" applyBorder="1" applyAlignment="1">
      <alignment horizontal="center"/>
    </xf>
    <xf numFmtId="0" fontId="62" fillId="4" borderId="2" xfId="0" applyFont="1" applyFill="1" applyBorder="1" applyAlignment="1">
      <alignment horizontal="center"/>
    </xf>
    <xf numFmtId="43" fontId="64" fillId="0" borderId="2" xfId="0" applyNumberFormat="1" applyFont="1" applyBorder="1"/>
    <xf numFmtId="9" fontId="62" fillId="0" borderId="2" xfId="2" applyFont="1" applyFill="1" applyBorder="1"/>
    <xf numFmtId="43" fontId="62" fillId="0" borderId="2" xfId="0" applyNumberFormat="1" applyFont="1" applyBorder="1"/>
    <xf numFmtId="10" fontId="62" fillId="0" borderId="2" xfId="2" applyNumberFormat="1" applyFont="1" applyFill="1" applyBorder="1"/>
    <xf numFmtId="43" fontId="64" fillId="0" borderId="2" xfId="1" applyFont="1" applyFill="1" applyBorder="1"/>
    <xf numFmtId="0" fontId="64" fillId="0" borderId="2" xfId="0" applyFont="1" applyBorder="1"/>
    <xf numFmtId="168" fontId="62" fillId="0" borderId="2" xfId="1" applyNumberFormat="1" applyFont="1" applyBorder="1"/>
    <xf numFmtId="168" fontId="64" fillId="0" borderId="2" xfId="0" applyNumberFormat="1" applyFont="1" applyBorder="1"/>
    <xf numFmtId="168" fontId="64" fillId="11" borderId="2" xfId="0" applyNumberFormat="1" applyFont="1" applyFill="1" applyBorder="1"/>
    <xf numFmtId="168" fontId="62" fillId="0" borderId="2" xfId="0" applyNumberFormat="1" applyFont="1" applyBorder="1"/>
    <xf numFmtId="9" fontId="62" fillId="0" borderId="3" xfId="2" applyFont="1" applyFill="1" applyBorder="1"/>
    <xf numFmtId="43" fontId="62" fillId="0" borderId="3" xfId="0" applyNumberFormat="1" applyFont="1" applyBorder="1"/>
    <xf numFmtId="10" fontId="62" fillId="0" borderId="3" xfId="2" applyNumberFormat="1" applyFont="1" applyFill="1" applyBorder="1"/>
    <xf numFmtId="43" fontId="64" fillId="0" borderId="2" xfId="1" applyFont="1" applyBorder="1"/>
    <xf numFmtId="9" fontId="65" fillId="0" borderId="2" xfId="2" applyFont="1" applyFill="1" applyBorder="1"/>
    <xf numFmtId="43" fontId="65" fillId="0" borderId="2" xfId="0" applyNumberFormat="1" applyFont="1" applyBorder="1"/>
    <xf numFmtId="10" fontId="65" fillId="0" borderId="2" xfId="2" applyNumberFormat="1" applyFont="1" applyFill="1" applyBorder="1"/>
    <xf numFmtId="168" fontId="65" fillId="0" borderId="2" xfId="1" applyNumberFormat="1" applyFont="1" applyBorder="1"/>
    <xf numFmtId="43" fontId="65" fillId="0" borderId="2" xfId="1" applyFont="1" applyBorder="1"/>
    <xf numFmtId="168" fontId="65" fillId="11" borderId="2" xfId="0" applyNumberFormat="1" applyFont="1" applyFill="1" applyBorder="1"/>
    <xf numFmtId="168" fontId="65" fillId="0" borderId="2" xfId="0" applyNumberFormat="1" applyFont="1" applyBorder="1"/>
    <xf numFmtId="9" fontId="62" fillId="0" borderId="2" xfId="2" applyFont="1" applyBorder="1"/>
    <xf numFmtId="10" fontId="62" fillId="0" borderId="2" xfId="2" applyNumberFormat="1" applyFont="1" applyBorder="1"/>
    <xf numFmtId="168" fontId="62" fillId="3" borderId="2" xfId="1" applyNumberFormat="1" applyFont="1" applyFill="1" applyBorder="1"/>
    <xf numFmtId="168" fontId="66" fillId="11" borderId="2" xfId="0" applyNumberFormat="1" applyFont="1" applyFill="1" applyBorder="1"/>
    <xf numFmtId="166" fontId="69" fillId="0" borderId="9" xfId="1" applyNumberFormat="1" applyFont="1" applyBorder="1"/>
    <xf numFmtId="168" fontId="69" fillId="0" borderId="11" xfId="1" applyNumberFormat="1" applyFont="1" applyBorder="1"/>
    <xf numFmtId="9" fontId="57" fillId="0" borderId="9" xfId="2" applyFont="1" applyBorder="1"/>
    <xf numFmtId="9" fontId="57" fillId="0" borderId="0" xfId="2" applyFont="1"/>
    <xf numFmtId="43" fontId="61" fillId="0" borderId="0" xfId="0" applyNumberFormat="1" applyFont="1"/>
    <xf numFmtId="43" fontId="57" fillId="0" borderId="0" xfId="1" applyFont="1" applyBorder="1"/>
    <xf numFmtId="168" fontId="61" fillId="0" borderId="0" xfId="1" applyNumberFormat="1" applyFont="1"/>
    <xf numFmtId="168" fontId="57" fillId="0" borderId="9" xfId="0" applyNumberFormat="1" applyFont="1" applyBorder="1"/>
    <xf numFmtId="168" fontId="61" fillId="0" borderId="0" xfId="0" applyNumberFormat="1" applyFont="1"/>
    <xf numFmtId="168" fontId="57" fillId="0" borderId="0" xfId="0" applyNumberFormat="1" applyFont="1"/>
    <xf numFmtId="166" fontId="69" fillId="0" borderId="0" xfId="1" applyNumberFormat="1" applyFont="1" applyBorder="1"/>
    <xf numFmtId="168" fontId="69" fillId="0" borderId="10" xfId="1" applyNumberFormat="1" applyFont="1" applyBorder="1"/>
    <xf numFmtId="9" fontId="57" fillId="0" borderId="0" xfId="2" applyFont="1" applyBorder="1"/>
    <xf numFmtId="168" fontId="57" fillId="0" borderId="10" xfId="1" applyNumberFormat="1" applyFont="1" applyBorder="1"/>
    <xf numFmtId="0" fontId="57" fillId="0" borderId="0" xfId="0" applyFont="1"/>
    <xf numFmtId="168" fontId="69" fillId="0" borderId="0" xfId="1" applyNumberFormat="1" applyFont="1" applyBorder="1"/>
    <xf numFmtId="43" fontId="57" fillId="0" borderId="0" xfId="1" applyFont="1"/>
    <xf numFmtId="168" fontId="61" fillId="0" borderId="10" xfId="1" applyNumberFormat="1" applyFont="1" applyBorder="1"/>
    <xf numFmtId="168" fontId="61" fillId="0" borderId="10" xfId="2" applyNumberFormat="1" applyFont="1" applyBorder="1"/>
    <xf numFmtId="168" fontId="57" fillId="0" borderId="0" xfId="1" applyNumberFormat="1" applyFont="1"/>
    <xf numFmtId="43" fontId="61" fillId="0" borderId="0" xfId="1" applyFont="1"/>
    <xf numFmtId="10" fontId="61" fillId="0" borderId="0" xfId="2" applyNumberFormat="1" applyFont="1"/>
    <xf numFmtId="4" fontId="61" fillId="0" borderId="0" xfId="0" applyNumberFormat="1" applyFont="1"/>
    <xf numFmtId="44" fontId="61" fillId="0" borderId="0" xfId="0" applyNumberFormat="1" applyFont="1"/>
    <xf numFmtId="170" fontId="61" fillId="0" borderId="0" xfId="2" applyNumberFormat="1" applyFont="1"/>
    <xf numFmtId="43" fontId="70" fillId="0" borderId="0" xfId="0" applyNumberFormat="1" applyFont="1"/>
    <xf numFmtId="0" fontId="71" fillId="0" borderId="0" xfId="0" applyFont="1"/>
    <xf numFmtId="0" fontId="57" fillId="0" borderId="0" xfId="0" applyFont="1" applyAlignment="1">
      <alignment horizontal="center"/>
    </xf>
    <xf numFmtId="43" fontId="57" fillId="0" borderId="0" xfId="1" applyFont="1" applyAlignment="1">
      <alignment horizontal="center"/>
    </xf>
    <xf numFmtId="14" fontId="61" fillId="0" borderId="0" xfId="0" applyNumberFormat="1" applyFont="1" applyAlignment="1">
      <alignment horizontal="center"/>
    </xf>
    <xf numFmtId="43" fontId="61" fillId="0" borderId="0" xfId="1" applyFont="1" applyFill="1"/>
    <xf numFmtId="43" fontId="61" fillId="0" borderId="0" xfId="1" applyFont="1" applyFill="1" applyBorder="1"/>
    <xf numFmtId="9" fontId="61" fillId="0" borderId="0" xfId="2" applyFont="1" applyFill="1" applyBorder="1"/>
    <xf numFmtId="10" fontId="61" fillId="0" borderId="0" xfId="2" applyNumberFormat="1" applyFont="1" applyFill="1" applyBorder="1"/>
    <xf numFmtId="43" fontId="70" fillId="0" borderId="0" xfId="1" applyFont="1" applyFill="1" applyBorder="1"/>
    <xf numFmtId="0" fontId="70" fillId="0" borderId="0" xfId="0" applyFont="1"/>
    <xf numFmtId="168" fontId="61" fillId="0" borderId="0" xfId="1" applyNumberFormat="1" applyFont="1" applyFill="1" applyBorder="1"/>
    <xf numFmtId="168" fontId="70" fillId="0" borderId="0" xfId="0" applyNumberFormat="1" applyFont="1"/>
    <xf numFmtId="9" fontId="61" fillId="0" borderId="0" xfId="2" applyFont="1"/>
    <xf numFmtId="43" fontId="70" fillId="0" borderId="0" xfId="1" applyFont="1"/>
    <xf numFmtId="166" fontId="69" fillId="0" borderId="15" xfId="1" applyNumberFormat="1" applyFont="1" applyBorder="1"/>
    <xf numFmtId="0" fontId="58" fillId="0" borderId="0" xfId="0" applyFont="1"/>
    <xf numFmtId="169" fontId="61" fillId="0" borderId="0" xfId="0" applyNumberFormat="1" applyFont="1"/>
    <xf numFmtId="0" fontId="61" fillId="0" borderId="0" xfId="1" applyNumberFormat="1" applyFont="1" applyAlignment="1">
      <alignment horizontal="center"/>
    </xf>
    <xf numFmtId="43" fontId="72" fillId="0" borderId="0" xfId="1" applyFont="1" applyAlignment="1">
      <alignment horizontal="center" vertical="center" wrapText="1"/>
    </xf>
    <xf numFmtId="0" fontId="60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0" fontId="56" fillId="0" borderId="0" xfId="0" applyFont="1" applyAlignment="1">
      <alignment vertical="center"/>
    </xf>
    <xf numFmtId="0" fontId="57" fillId="7" borderId="2" xfId="0" applyFont="1" applyFill="1" applyBorder="1" applyAlignment="1">
      <alignment horizontal="center" vertical="top" wrapText="1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43" fontId="57" fillId="0" borderId="9" xfId="1" applyFont="1" applyBorder="1" applyAlignment="1">
      <alignment vertical="center"/>
    </xf>
    <xf numFmtId="171" fontId="57" fillId="0" borderId="10" xfId="1" applyNumberFormat="1" applyFont="1" applyBorder="1" applyAlignment="1">
      <alignment vertical="center"/>
    </xf>
    <xf numFmtId="9" fontId="61" fillId="0" borderId="0" xfId="2" applyFont="1" applyAlignment="1">
      <alignment horizontal="center" vertical="center"/>
    </xf>
    <xf numFmtId="43" fontId="57" fillId="0" borderId="10" xfId="1" applyFont="1" applyBorder="1" applyAlignment="1">
      <alignment vertical="center"/>
    </xf>
    <xf numFmtId="43" fontId="61" fillId="0" borderId="0" xfId="0" applyNumberFormat="1" applyFont="1" applyAlignment="1">
      <alignment vertical="center"/>
    </xf>
    <xf numFmtId="43" fontId="57" fillId="0" borderId="0" xfId="1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43" fontId="61" fillId="0" borderId="0" xfId="1" applyFont="1" applyAlignment="1">
      <alignment vertical="center"/>
    </xf>
    <xf numFmtId="168" fontId="61" fillId="4" borderId="0" xfId="0" applyNumberFormat="1" applyFont="1" applyFill="1" applyAlignment="1">
      <alignment vertical="center"/>
    </xf>
    <xf numFmtId="168" fontId="61" fillId="0" borderId="0" xfId="0" applyNumberFormat="1" applyFont="1" applyAlignment="1">
      <alignment vertical="center"/>
    </xf>
    <xf numFmtId="0" fontId="61" fillId="0" borderId="0" xfId="0" applyFont="1" applyAlignment="1">
      <alignment horizontal="right" vertical="center"/>
    </xf>
    <xf numFmtId="168" fontId="61" fillId="0" borderId="10" xfId="1" applyNumberFormat="1" applyFont="1" applyBorder="1" applyAlignment="1">
      <alignment vertical="center"/>
    </xf>
    <xf numFmtId="9" fontId="57" fillId="0" borderId="0" xfId="2" applyFont="1" applyBorder="1" applyAlignment="1">
      <alignment vertical="center"/>
    </xf>
    <xf numFmtId="168" fontId="57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right" vertical="center"/>
    </xf>
    <xf numFmtId="168" fontId="57" fillId="0" borderId="0" xfId="1" applyNumberFormat="1" applyFont="1" applyBorder="1" applyAlignment="1">
      <alignment vertical="center"/>
    </xf>
    <xf numFmtId="9" fontId="61" fillId="0" borderId="0" xfId="2" applyFont="1" applyAlignment="1">
      <alignment vertical="center"/>
    </xf>
    <xf numFmtId="168" fontId="61" fillId="0" borderId="0" xfId="1" applyNumberFormat="1" applyFont="1" applyAlignment="1">
      <alignment vertical="center"/>
    </xf>
    <xf numFmtId="168" fontId="61" fillId="0" borderId="12" xfId="1" applyNumberFormat="1" applyFont="1" applyBorder="1" applyAlignment="1">
      <alignment vertical="center"/>
    </xf>
    <xf numFmtId="168" fontId="61" fillId="4" borderId="13" xfId="1" applyNumberFormat="1" applyFont="1" applyFill="1" applyBorder="1" applyAlignment="1">
      <alignment vertical="center"/>
    </xf>
    <xf numFmtId="168" fontId="58" fillId="0" borderId="0" xfId="1" applyNumberFormat="1" applyFont="1" applyAlignment="1">
      <alignment vertical="center"/>
    </xf>
    <xf numFmtId="0" fontId="75" fillId="0" borderId="0" xfId="0" applyFont="1" applyAlignment="1">
      <alignment vertical="center"/>
    </xf>
    <xf numFmtId="10" fontId="61" fillId="0" borderId="0" xfId="2" applyNumberFormat="1" applyFont="1" applyAlignment="1">
      <alignment vertical="center"/>
    </xf>
    <xf numFmtId="43" fontId="61" fillId="0" borderId="0" xfId="1" applyFont="1" applyAlignment="1">
      <alignment horizontal="center" vertical="center"/>
    </xf>
    <xf numFmtId="168" fontId="76" fillId="0" borderId="0" xfId="1" applyNumberFormat="1" applyFont="1" applyAlignment="1">
      <alignment vertical="center"/>
    </xf>
    <xf numFmtId="0" fontId="76" fillId="0" borderId="0" xfId="0" applyFont="1" applyAlignment="1">
      <alignment vertical="center"/>
    </xf>
    <xf numFmtId="43" fontId="61" fillId="0" borderId="0" xfId="2" applyNumberFormat="1" applyFont="1" applyAlignment="1">
      <alignment vertical="center"/>
    </xf>
    <xf numFmtId="9" fontId="76" fillId="0" borderId="0" xfId="1" applyNumberFormat="1" applyFont="1" applyAlignment="1">
      <alignment vertical="center"/>
    </xf>
    <xf numFmtId="43" fontId="77" fillId="0" borderId="0" xfId="1" applyFont="1" applyAlignment="1">
      <alignment vertical="center"/>
    </xf>
    <xf numFmtId="43" fontId="57" fillId="0" borderId="0" xfId="1" applyFont="1" applyAlignment="1">
      <alignment vertical="center"/>
    </xf>
    <xf numFmtId="10" fontId="57" fillId="0" borderId="0" xfId="2" applyNumberFormat="1" applyFont="1" applyAlignment="1">
      <alignment vertical="center"/>
    </xf>
    <xf numFmtId="43" fontId="57" fillId="0" borderId="0" xfId="1" applyFont="1" applyAlignment="1">
      <alignment horizontal="center" vertical="center"/>
    </xf>
    <xf numFmtId="43" fontId="57" fillId="0" borderId="0" xfId="0" applyNumberFormat="1" applyFont="1" applyAlignment="1">
      <alignment vertical="center"/>
    </xf>
    <xf numFmtId="168" fontId="57" fillId="0" borderId="0" xfId="1" applyNumberFormat="1" applyFont="1" applyAlignment="1">
      <alignment vertical="center"/>
    </xf>
    <xf numFmtId="168" fontId="75" fillId="0" borderId="0" xfId="1" applyNumberFormat="1" applyFont="1" applyAlignment="1">
      <alignment vertical="center"/>
    </xf>
    <xf numFmtId="0" fontId="78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168" fontId="70" fillId="0" borderId="0" xfId="0" applyNumberFormat="1" applyFont="1" applyAlignment="1">
      <alignment vertical="center"/>
    </xf>
    <xf numFmtId="0" fontId="79" fillId="0" borderId="2" xfId="0" applyFont="1" applyBorder="1" applyAlignment="1">
      <alignment vertical="center"/>
    </xf>
    <xf numFmtId="0" fontId="79" fillId="0" borderId="0" xfId="0" applyFont="1" applyAlignment="1">
      <alignment vertical="center"/>
    </xf>
    <xf numFmtId="168" fontId="79" fillId="0" borderId="0" xfId="0" applyNumberFormat="1" applyFont="1" applyAlignment="1">
      <alignment vertical="center"/>
    </xf>
    <xf numFmtId="43" fontId="61" fillId="0" borderId="0" xfId="1" applyFont="1" applyFill="1" applyAlignment="1">
      <alignment vertical="center"/>
    </xf>
    <xf numFmtId="14" fontId="61" fillId="0" borderId="0" xfId="0" applyNumberFormat="1" applyFont="1" applyAlignment="1">
      <alignment horizontal="center" vertical="center"/>
    </xf>
    <xf numFmtId="43" fontId="57" fillId="0" borderId="0" xfId="1" applyFont="1" applyFill="1" applyAlignment="1">
      <alignment vertical="center"/>
    </xf>
    <xf numFmtId="0" fontId="61" fillId="9" borderId="0" xfId="0" applyFont="1" applyFill="1" applyAlignment="1">
      <alignment horizontal="center" vertical="center"/>
    </xf>
    <xf numFmtId="0" fontId="61" fillId="9" borderId="0" xfId="0" applyFont="1" applyFill="1" applyAlignment="1">
      <alignment vertical="center"/>
    </xf>
    <xf numFmtId="0" fontId="78" fillId="0" borderId="0" xfId="0" applyFont="1" applyAlignment="1">
      <alignment horizontal="center" vertical="center"/>
    </xf>
    <xf numFmtId="14" fontId="78" fillId="0" borderId="0" xfId="0" applyNumberFormat="1" applyFont="1" applyAlignment="1">
      <alignment horizontal="center" vertical="center"/>
    </xf>
    <xf numFmtId="43" fontId="78" fillId="0" borderId="0" xfId="1" applyFont="1" applyFill="1" applyAlignment="1">
      <alignment vertical="center"/>
    </xf>
    <xf numFmtId="14" fontId="77" fillId="0" borderId="0" xfId="0" applyNumberFormat="1" applyFont="1" applyAlignment="1">
      <alignment horizontal="center" vertical="center"/>
    </xf>
    <xf numFmtId="14" fontId="61" fillId="9" borderId="0" xfId="0" applyNumberFormat="1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14" fontId="70" fillId="0" borderId="0" xfId="0" applyNumberFormat="1" applyFont="1" applyAlignment="1">
      <alignment horizontal="center" vertical="center"/>
    </xf>
    <xf numFmtId="43" fontId="70" fillId="0" borderId="0" xfId="1" applyFont="1" applyFill="1" applyAlignment="1">
      <alignment vertical="center"/>
    </xf>
    <xf numFmtId="43" fontId="79" fillId="0" borderId="0" xfId="1" applyFont="1" applyFill="1" applyAlignment="1">
      <alignment vertical="center"/>
    </xf>
    <xf numFmtId="0" fontId="79" fillId="0" borderId="0" xfId="0" applyFont="1" applyAlignment="1">
      <alignment horizontal="center" vertical="center"/>
    </xf>
    <xf numFmtId="14" fontId="79" fillId="0" borderId="0" xfId="0" applyNumberFormat="1" applyFont="1" applyAlignment="1">
      <alignment horizontal="center" vertical="center"/>
    </xf>
    <xf numFmtId="168" fontId="57" fillId="0" borderId="0" xfId="1" applyNumberFormat="1" applyFont="1" applyAlignment="1">
      <alignment horizontal="center" vertical="center"/>
    </xf>
    <xf numFmtId="43" fontId="61" fillId="5" borderId="0" xfId="1" applyFont="1" applyFill="1" applyAlignment="1">
      <alignment vertical="center"/>
    </xf>
    <xf numFmtId="43" fontId="77" fillId="0" borderId="0" xfId="1" applyFont="1" applyFill="1" applyAlignment="1">
      <alignment vertical="center"/>
    </xf>
    <xf numFmtId="0" fontId="77" fillId="0" borderId="0" xfId="0" applyFont="1" applyAlignment="1">
      <alignment vertical="center"/>
    </xf>
    <xf numFmtId="43" fontId="79" fillId="0" borderId="0" xfId="1" applyFont="1" applyAlignment="1">
      <alignment vertical="center"/>
    </xf>
    <xf numFmtId="0" fontId="57" fillId="0" borderId="0" xfId="0" applyFont="1" applyAlignment="1">
      <alignment horizontal="left" vertical="center"/>
    </xf>
    <xf numFmtId="14" fontId="57" fillId="0" borderId="0" xfId="0" applyNumberFormat="1" applyFont="1" applyAlignment="1">
      <alignment horizontal="center" vertical="center"/>
    </xf>
    <xf numFmtId="43" fontId="57" fillId="0" borderId="9" xfId="1" applyFont="1" applyFill="1" applyBorder="1" applyAlignment="1">
      <alignment vertical="center"/>
    </xf>
    <xf numFmtId="0" fontId="58" fillId="0" borderId="0" xfId="0" applyFont="1" applyAlignment="1">
      <alignment vertical="center"/>
    </xf>
    <xf numFmtId="14" fontId="61" fillId="0" borderId="0" xfId="0" applyNumberFormat="1" applyFont="1" applyAlignment="1">
      <alignment vertical="center"/>
    </xf>
    <xf numFmtId="0" fontId="61" fillId="0" borderId="0" xfId="1" applyNumberFormat="1" applyFont="1" applyAlignment="1">
      <alignment horizontal="center" vertical="center"/>
    </xf>
    <xf numFmtId="0" fontId="61" fillId="0" borderId="0" xfId="1" applyNumberFormat="1" applyFont="1" applyFill="1" applyAlignment="1">
      <alignment horizontal="center" vertical="center"/>
    </xf>
    <xf numFmtId="17" fontId="57" fillId="7" borderId="1" xfId="0" applyNumberFormat="1" applyFont="1" applyFill="1" applyBorder="1" applyAlignment="1">
      <alignment horizontal="center" vertical="top" wrapText="1"/>
    </xf>
    <xf numFmtId="0" fontId="57" fillId="7" borderId="1" xfId="0" applyFont="1" applyFill="1" applyBorder="1" applyAlignment="1">
      <alignment horizontal="center" vertical="top" wrapText="1"/>
    </xf>
    <xf numFmtId="168" fontId="57" fillId="7" borderId="1" xfId="1" applyNumberFormat="1" applyFont="1" applyFill="1" applyBorder="1" applyAlignment="1">
      <alignment horizontal="center" vertical="top" wrapText="1"/>
    </xf>
    <xf numFmtId="168" fontId="58" fillId="7" borderId="1" xfId="1" applyNumberFormat="1" applyFont="1" applyFill="1" applyBorder="1" applyAlignment="1">
      <alignment horizontal="center" vertical="top" wrapText="1"/>
    </xf>
    <xf numFmtId="168" fontId="57" fillId="0" borderId="10" xfId="0" applyNumberFormat="1" applyFont="1" applyBorder="1" applyAlignment="1">
      <alignment vertical="center"/>
    </xf>
    <xf numFmtId="43" fontId="57" fillId="0" borderId="17" xfId="1" applyFont="1" applyFill="1" applyBorder="1" applyAlignment="1">
      <alignment vertical="center"/>
    </xf>
    <xf numFmtId="43" fontId="61" fillId="0" borderId="17" xfId="1" applyFont="1" applyFill="1" applyBorder="1" applyAlignment="1">
      <alignment vertical="center"/>
    </xf>
    <xf numFmtId="43" fontId="78" fillId="0" borderId="17" xfId="1" applyFont="1" applyFill="1" applyBorder="1" applyAlignment="1">
      <alignment vertical="center"/>
    </xf>
    <xf numFmtId="43" fontId="80" fillId="3" borderId="17" xfId="1" applyFont="1" applyFill="1" applyBorder="1" applyAlignment="1">
      <alignment vertical="center"/>
    </xf>
    <xf numFmtId="43" fontId="70" fillId="0" borderId="17" xfId="0" applyNumberFormat="1" applyFont="1" applyBorder="1" applyAlignment="1">
      <alignment vertical="center"/>
    </xf>
    <xf numFmtId="171" fontId="70" fillId="0" borderId="17" xfId="0" applyNumberFormat="1" applyFont="1" applyBorder="1" applyAlignment="1">
      <alignment vertical="center"/>
    </xf>
    <xf numFmtId="9" fontId="61" fillId="0" borderId="17" xfId="2" applyFont="1" applyFill="1" applyBorder="1" applyAlignment="1">
      <alignment horizontal="center" vertical="center"/>
    </xf>
    <xf numFmtId="43" fontId="61" fillId="0" borderId="17" xfId="0" applyNumberFormat="1" applyFont="1" applyBorder="1" applyAlignment="1">
      <alignment vertical="center"/>
    </xf>
    <xf numFmtId="10" fontId="61" fillId="0" borderId="17" xfId="2" applyNumberFormat="1" applyFont="1" applyFill="1" applyBorder="1" applyAlignment="1">
      <alignment horizontal="center" vertical="center"/>
    </xf>
    <xf numFmtId="0" fontId="69" fillId="0" borderId="17" xfId="0" applyFont="1" applyBorder="1" applyAlignment="1">
      <alignment vertical="center"/>
    </xf>
    <xf numFmtId="0" fontId="70" fillId="0" borderId="17" xfId="0" applyFont="1" applyBorder="1" applyAlignment="1">
      <alignment vertical="center"/>
    </xf>
    <xf numFmtId="43" fontId="61" fillId="0" borderId="17" xfId="1" applyFont="1" applyBorder="1" applyAlignment="1">
      <alignment vertical="center"/>
    </xf>
    <xf numFmtId="168" fontId="70" fillId="0" borderId="17" xfId="0" applyNumberFormat="1" applyFont="1" applyBorder="1" applyAlignment="1">
      <alignment vertical="center"/>
    </xf>
    <xf numFmtId="0" fontId="61" fillId="0" borderId="17" xfId="0" applyFont="1" applyBorder="1" applyAlignment="1">
      <alignment vertical="center"/>
    </xf>
    <xf numFmtId="171" fontId="78" fillId="0" borderId="17" xfId="0" applyNumberFormat="1" applyFont="1" applyBorder="1" applyAlignment="1">
      <alignment vertical="center"/>
    </xf>
    <xf numFmtId="9" fontId="78" fillId="0" borderId="17" xfId="2" applyFont="1" applyFill="1" applyBorder="1" applyAlignment="1">
      <alignment horizontal="center" vertical="center"/>
    </xf>
    <xf numFmtId="43" fontId="78" fillId="0" borderId="17" xfId="0" applyNumberFormat="1" applyFont="1" applyBorder="1" applyAlignment="1">
      <alignment vertical="center"/>
    </xf>
    <xf numFmtId="10" fontId="78" fillId="0" borderId="17" xfId="2" applyNumberFormat="1" applyFont="1" applyFill="1" applyBorder="1" applyAlignment="1">
      <alignment horizontal="center" vertical="center"/>
    </xf>
    <xf numFmtId="43" fontId="78" fillId="0" borderId="17" xfId="1" applyFont="1" applyBorder="1" applyAlignment="1">
      <alignment vertical="center"/>
    </xf>
    <xf numFmtId="0" fontId="78" fillId="0" borderId="17" xfId="0" applyFont="1" applyBorder="1" applyAlignment="1">
      <alignment vertical="center"/>
    </xf>
    <xf numFmtId="43" fontId="79" fillId="0" borderId="17" xfId="1" applyFont="1" applyFill="1" applyBorder="1" applyAlignment="1">
      <alignment vertical="center"/>
    </xf>
    <xf numFmtId="43" fontId="57" fillId="3" borderId="17" xfId="1" applyFont="1" applyFill="1" applyBorder="1" applyAlignment="1">
      <alignment vertical="center"/>
    </xf>
    <xf numFmtId="168" fontId="77" fillId="11" borderId="17" xfId="0" applyNumberFormat="1" applyFont="1" applyFill="1" applyBorder="1" applyAlignment="1">
      <alignment vertical="center"/>
    </xf>
    <xf numFmtId="43" fontId="80" fillId="0" borderId="17" xfId="1" applyFont="1" applyFill="1" applyBorder="1" applyAlignment="1">
      <alignment vertical="center"/>
    </xf>
    <xf numFmtId="171" fontId="61" fillId="0" borderId="17" xfId="0" applyNumberFormat="1" applyFont="1" applyBorder="1" applyAlignment="1">
      <alignment vertical="center"/>
    </xf>
    <xf numFmtId="43" fontId="61" fillId="4" borderId="17" xfId="1" applyFont="1" applyFill="1" applyBorder="1" applyAlignment="1">
      <alignment vertical="center"/>
    </xf>
    <xf numFmtId="43" fontId="70" fillId="0" borderId="17" xfId="1" applyFont="1" applyFill="1" applyBorder="1" applyAlignment="1">
      <alignment vertical="center"/>
    </xf>
    <xf numFmtId="9" fontId="70" fillId="0" borderId="17" xfId="2" applyFont="1" applyFill="1" applyBorder="1" applyAlignment="1">
      <alignment horizontal="center" vertical="center"/>
    </xf>
    <xf numFmtId="10" fontId="70" fillId="0" borderId="17" xfId="2" applyNumberFormat="1" applyFont="1" applyFill="1" applyBorder="1" applyAlignment="1">
      <alignment horizontal="center" vertical="center"/>
    </xf>
    <xf numFmtId="43" fontId="70" fillId="0" borderId="17" xfId="1" applyFont="1" applyBorder="1" applyAlignment="1">
      <alignment vertical="center"/>
    </xf>
    <xf numFmtId="171" fontId="79" fillId="0" borderId="17" xfId="0" applyNumberFormat="1" applyFont="1" applyBorder="1" applyAlignment="1">
      <alignment vertical="center"/>
    </xf>
    <xf numFmtId="9" fontId="79" fillId="0" borderId="17" xfId="2" applyFont="1" applyFill="1" applyBorder="1" applyAlignment="1">
      <alignment horizontal="center" vertical="center"/>
    </xf>
    <xf numFmtId="43" fontId="79" fillId="0" borderId="17" xfId="0" applyNumberFormat="1" applyFont="1" applyBorder="1" applyAlignment="1">
      <alignment vertical="center"/>
    </xf>
    <xf numFmtId="10" fontId="79" fillId="0" borderId="17" xfId="2" applyNumberFormat="1" applyFont="1" applyFill="1" applyBorder="1" applyAlignment="1">
      <alignment horizontal="center" vertical="center"/>
    </xf>
    <xf numFmtId="0" fontId="79" fillId="0" borderId="17" xfId="0" applyFont="1" applyBorder="1" applyAlignment="1">
      <alignment vertical="center"/>
    </xf>
    <xf numFmtId="10" fontId="58" fillId="0" borderId="0" xfId="2" applyNumberFormat="1" applyFont="1" applyBorder="1" applyAlignment="1">
      <alignment horizontal="center" vertical="center"/>
    </xf>
    <xf numFmtId="9" fontId="57" fillId="0" borderId="0" xfId="2" applyFont="1" applyAlignment="1">
      <alignment horizontal="center" vertical="center"/>
    </xf>
    <xf numFmtId="9" fontId="58" fillId="0" borderId="0" xfId="2" applyFont="1" applyAlignment="1">
      <alignment horizontal="center" vertical="center"/>
    </xf>
    <xf numFmtId="43" fontId="61" fillId="14" borderId="0" xfId="1" applyFont="1" applyFill="1" applyAlignment="1">
      <alignment vertical="center"/>
    </xf>
    <xf numFmtId="0" fontId="81" fillId="0" borderId="0" xfId="0" applyFont="1"/>
    <xf numFmtId="0" fontId="57" fillId="14" borderId="0" xfId="0" applyFont="1" applyFill="1" applyAlignment="1">
      <alignment horizontal="right" vertical="center"/>
    </xf>
    <xf numFmtId="0" fontId="61" fillId="14" borderId="0" xfId="0" applyFont="1" applyFill="1" applyAlignment="1">
      <alignment horizontal="center" vertical="center"/>
    </xf>
    <xf numFmtId="43" fontId="57" fillId="14" borderId="0" xfId="1" applyFont="1" applyFill="1" applyBorder="1" applyAlignment="1">
      <alignment vertical="center"/>
    </xf>
    <xf numFmtId="168" fontId="57" fillId="14" borderId="0" xfId="1" applyNumberFormat="1" applyFont="1" applyFill="1" applyBorder="1" applyAlignment="1">
      <alignment vertical="center"/>
    </xf>
    <xf numFmtId="9" fontId="57" fillId="0" borderId="10" xfId="2" applyFont="1" applyBorder="1" applyAlignment="1">
      <alignment horizontal="center" vertical="center"/>
    </xf>
    <xf numFmtId="0" fontId="61" fillId="0" borderId="17" xfId="1" applyNumberFormat="1" applyFont="1" applyBorder="1" applyAlignment="1">
      <alignment horizontal="center" vertical="center"/>
    </xf>
    <xf numFmtId="0" fontId="61" fillId="3" borderId="17" xfId="1" applyNumberFormat="1" applyFont="1" applyFill="1" applyBorder="1" applyAlignment="1">
      <alignment horizontal="center" vertical="center"/>
    </xf>
    <xf numFmtId="0" fontId="78" fillId="0" borderId="17" xfId="1" applyNumberFormat="1" applyFont="1" applyBorder="1" applyAlignment="1">
      <alignment horizontal="center" vertical="center"/>
    </xf>
    <xf numFmtId="0" fontId="61" fillId="0" borderId="17" xfId="1" applyNumberFormat="1" applyFont="1" applyFill="1" applyBorder="1" applyAlignment="1">
      <alignment horizontal="center" vertical="center"/>
    </xf>
    <xf numFmtId="0" fontId="70" fillId="0" borderId="17" xfId="1" applyNumberFormat="1" applyFont="1" applyBorder="1" applyAlignment="1">
      <alignment horizontal="center" vertical="center"/>
    </xf>
    <xf numFmtId="0" fontId="61" fillId="14" borderId="0" xfId="0" applyFont="1" applyFill="1" applyAlignment="1">
      <alignment horizontal="left" vertical="center"/>
    </xf>
    <xf numFmtId="14" fontId="61" fillId="14" borderId="0" xfId="0" applyNumberFormat="1" applyFont="1" applyFill="1" applyAlignment="1">
      <alignment horizontal="center" vertical="center"/>
    </xf>
    <xf numFmtId="9" fontId="57" fillId="0" borderId="17" xfId="2" applyFont="1" applyFill="1" applyBorder="1" applyAlignment="1">
      <alignment horizontal="center" vertical="center"/>
    </xf>
    <xf numFmtId="9" fontId="80" fillId="0" borderId="17" xfId="2" applyFont="1" applyFill="1" applyBorder="1" applyAlignment="1">
      <alignment horizontal="center" vertical="center"/>
    </xf>
    <xf numFmtId="9" fontId="69" fillId="0" borderId="17" xfId="2" applyFont="1" applyFill="1" applyBorder="1" applyAlignment="1">
      <alignment horizontal="center" vertical="center"/>
    </xf>
    <xf numFmtId="9" fontId="82" fillId="0" borderId="17" xfId="2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14" fontId="62" fillId="0" borderId="0" xfId="0" applyNumberFormat="1" applyFont="1" applyAlignment="1">
      <alignment horizontal="center" vertical="center"/>
    </xf>
    <xf numFmtId="43" fontId="62" fillId="0" borderId="2" xfId="1" applyFont="1" applyFill="1" applyBorder="1" applyAlignment="1">
      <alignment vertical="center"/>
    </xf>
    <xf numFmtId="43" fontId="62" fillId="0" borderId="2" xfId="1" applyFont="1" applyBorder="1" applyAlignment="1">
      <alignment vertical="center"/>
    </xf>
    <xf numFmtId="43" fontId="63" fillId="3" borderId="2" xfId="1" applyFont="1" applyFill="1" applyBorder="1" applyAlignment="1">
      <alignment vertical="center"/>
    </xf>
    <xf numFmtId="43" fontId="64" fillId="0" borderId="2" xfId="0" applyNumberFormat="1" applyFont="1" applyBorder="1" applyAlignment="1">
      <alignment vertical="center"/>
    </xf>
    <xf numFmtId="9" fontId="62" fillId="0" borderId="2" xfId="2" applyFont="1" applyFill="1" applyBorder="1" applyAlignment="1">
      <alignment vertical="center"/>
    </xf>
    <xf numFmtId="43" fontId="62" fillId="0" borderId="2" xfId="0" applyNumberFormat="1" applyFont="1" applyBorder="1" applyAlignment="1">
      <alignment vertical="center"/>
    </xf>
    <xf numFmtId="10" fontId="62" fillId="0" borderId="2" xfId="2" applyNumberFormat="1" applyFont="1" applyFill="1" applyBorder="1" applyAlignment="1">
      <alignment vertical="center"/>
    </xf>
    <xf numFmtId="0" fontId="64" fillId="0" borderId="2" xfId="0" applyFont="1" applyBorder="1" applyAlignment="1">
      <alignment vertical="center"/>
    </xf>
    <xf numFmtId="168" fontId="62" fillId="0" borderId="2" xfId="1" applyNumberFormat="1" applyFont="1" applyBorder="1" applyAlignment="1">
      <alignment vertical="center"/>
    </xf>
    <xf numFmtId="168" fontId="64" fillId="0" borderId="2" xfId="0" applyNumberFormat="1" applyFont="1" applyBorder="1" applyAlignment="1">
      <alignment vertical="center"/>
    </xf>
    <xf numFmtId="168" fontId="64" fillId="11" borderId="2" xfId="0" applyNumberFormat="1" applyFont="1" applyFill="1" applyBorder="1" applyAlignment="1">
      <alignment vertical="center"/>
    </xf>
    <xf numFmtId="168" fontId="62" fillId="0" borderId="2" xfId="0" applyNumberFormat="1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14" fontId="64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43" fontId="62" fillId="0" borderId="0" xfId="1" applyFont="1" applyFill="1" applyAlignment="1">
      <alignment vertical="center"/>
    </xf>
    <xf numFmtId="168" fontId="62" fillId="0" borderId="2" xfId="1" applyNumberFormat="1" applyFont="1" applyFill="1" applyBorder="1" applyAlignment="1">
      <alignment vertical="center"/>
    </xf>
    <xf numFmtId="43" fontId="65" fillId="0" borderId="0" xfId="1" applyFont="1" applyFill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14" fontId="65" fillId="0" borderId="0" xfId="0" applyNumberFormat="1" applyFont="1" applyAlignment="1">
      <alignment horizontal="center" vertical="center"/>
    </xf>
    <xf numFmtId="43" fontId="65" fillId="0" borderId="2" xfId="1" applyFont="1" applyFill="1" applyBorder="1" applyAlignment="1">
      <alignment vertical="center"/>
    </xf>
    <xf numFmtId="43" fontId="65" fillId="0" borderId="2" xfId="1" applyFont="1" applyBorder="1" applyAlignment="1">
      <alignment vertical="center"/>
    </xf>
    <xf numFmtId="43" fontId="65" fillId="0" borderId="2" xfId="0" applyNumberFormat="1" applyFont="1" applyBorder="1" applyAlignment="1">
      <alignment vertical="center"/>
    </xf>
    <xf numFmtId="9" fontId="65" fillId="0" borderId="2" xfId="2" applyFont="1" applyFill="1" applyBorder="1" applyAlignment="1">
      <alignment vertical="center"/>
    </xf>
    <xf numFmtId="10" fontId="65" fillId="0" borderId="2" xfId="2" applyNumberFormat="1" applyFont="1" applyFill="1" applyBorder="1" applyAlignment="1">
      <alignment vertical="center"/>
    </xf>
    <xf numFmtId="0" fontId="65" fillId="0" borderId="2" xfId="0" applyFont="1" applyBorder="1" applyAlignment="1">
      <alignment vertical="center"/>
    </xf>
    <xf numFmtId="168" fontId="65" fillId="0" borderId="2" xfId="1" applyNumberFormat="1" applyFont="1" applyBorder="1" applyAlignment="1">
      <alignment vertical="center"/>
    </xf>
    <xf numFmtId="168" fontId="65" fillId="11" borderId="2" xfId="0" applyNumberFormat="1" applyFont="1" applyFill="1" applyBorder="1" applyAlignment="1">
      <alignment vertical="center"/>
    </xf>
    <xf numFmtId="168" fontId="65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3" fontId="22" fillId="0" borderId="9" xfId="1" applyFont="1" applyBorder="1" applyAlignment="1">
      <alignment vertical="center"/>
    </xf>
    <xf numFmtId="168" fontId="22" fillId="0" borderId="11" xfId="1" applyNumberFormat="1" applyFont="1" applyBorder="1" applyAlignment="1">
      <alignment vertical="center"/>
    </xf>
    <xf numFmtId="9" fontId="22" fillId="0" borderId="10" xfId="2" applyFont="1" applyBorder="1" applyAlignment="1">
      <alignment vertical="center"/>
    </xf>
    <xf numFmtId="168" fontId="22" fillId="0" borderId="9" xfId="0" applyNumberFormat="1" applyFont="1" applyBorder="1" applyAlignment="1">
      <alignment vertical="center"/>
    </xf>
    <xf numFmtId="168" fontId="17" fillId="4" borderId="0" xfId="0" applyNumberFormat="1" applyFont="1" applyFill="1" applyAlignment="1">
      <alignment vertical="center"/>
    </xf>
    <xf numFmtId="168" fontId="22" fillId="0" borderId="0" xfId="0" applyNumberFormat="1" applyFont="1" applyAlignment="1">
      <alignment vertical="center"/>
    </xf>
    <xf numFmtId="168" fontId="17" fillId="0" borderId="10" xfId="1" applyNumberFormat="1" applyFont="1" applyBorder="1" applyAlignment="1">
      <alignment vertical="center"/>
    </xf>
    <xf numFmtId="168" fontId="2" fillId="0" borderId="10" xfId="1" applyNumberFormat="1" applyFont="1" applyBorder="1" applyAlignment="1">
      <alignment vertical="center"/>
    </xf>
    <xf numFmtId="168" fontId="22" fillId="0" borderId="10" xfId="1" applyNumberFormat="1" applyFont="1" applyBorder="1" applyAlignment="1">
      <alignment vertical="center"/>
    </xf>
    <xf numFmtId="168" fontId="22" fillId="0" borderId="0" xfId="1" applyNumberFormat="1" applyFont="1" applyAlignment="1">
      <alignment vertical="center"/>
    </xf>
    <xf numFmtId="168" fontId="17" fillId="0" borderId="14" xfId="1" applyNumberFormat="1" applyFont="1" applyBorder="1" applyAlignment="1">
      <alignment vertical="center"/>
    </xf>
    <xf numFmtId="43" fontId="17" fillId="0" borderId="14" xfId="1" applyFont="1" applyBorder="1" applyAlignment="1">
      <alignment vertical="center"/>
    </xf>
    <xf numFmtId="9" fontId="42" fillId="0" borderId="0" xfId="1" applyNumberFormat="1" applyFont="1" applyAlignment="1">
      <alignment vertical="center"/>
    </xf>
    <xf numFmtId="10" fontId="22" fillId="0" borderId="0" xfId="2" applyNumberFormat="1" applyFont="1" applyAlignment="1">
      <alignment vertical="center"/>
    </xf>
    <xf numFmtId="0" fontId="24" fillId="0" borderId="0" xfId="0" applyFont="1" applyAlignment="1">
      <alignment vertical="center"/>
    </xf>
    <xf numFmtId="43" fontId="37" fillId="0" borderId="0" xfId="0" applyNumberFormat="1" applyFont="1" applyAlignment="1">
      <alignment vertical="center"/>
    </xf>
    <xf numFmtId="43" fontId="37" fillId="0" borderId="0" xfId="1" applyFont="1" applyFill="1" applyAlignment="1">
      <alignment vertical="center"/>
    </xf>
    <xf numFmtId="0" fontId="37" fillId="0" borderId="0" xfId="0" applyFont="1" applyAlignment="1">
      <alignment vertical="center"/>
    </xf>
    <xf numFmtId="9" fontId="37" fillId="0" borderId="0" xfId="2" applyFont="1" applyFill="1" applyBorder="1" applyAlignment="1">
      <alignment vertical="center"/>
    </xf>
    <xf numFmtId="10" fontId="37" fillId="0" borderId="0" xfId="2" applyNumberFormat="1" applyFont="1" applyFill="1" applyBorder="1" applyAlignment="1">
      <alignment vertical="center"/>
    </xf>
    <xf numFmtId="168" fontId="37" fillId="0" borderId="0" xfId="1" applyNumberFormat="1" applyFont="1" applyFill="1" applyBorder="1" applyAlignment="1">
      <alignment vertical="center"/>
    </xf>
    <xf numFmtId="43" fontId="37" fillId="0" borderId="0" xfId="1" applyFont="1" applyFill="1" applyBorder="1" applyAlignment="1">
      <alignment vertical="center"/>
    </xf>
    <xf numFmtId="168" fontId="37" fillId="0" borderId="0" xfId="0" applyNumberFormat="1" applyFont="1" applyAlignment="1">
      <alignment vertical="center"/>
    </xf>
    <xf numFmtId="0" fontId="37" fillId="0" borderId="16" xfId="0" applyFont="1" applyBorder="1" applyAlignment="1">
      <alignment vertical="center"/>
    </xf>
    <xf numFmtId="43" fontId="22" fillId="0" borderId="0" xfId="1" applyFont="1" applyFill="1" applyAlignment="1">
      <alignment vertical="center"/>
    </xf>
    <xf numFmtId="43" fontId="22" fillId="0" borderId="9" xfId="1" applyFont="1" applyFill="1" applyBorder="1" applyAlignment="1">
      <alignment vertical="center"/>
    </xf>
    <xf numFmtId="17" fontId="57" fillId="7" borderId="2" xfId="0" applyNumberFormat="1" applyFont="1" applyFill="1" applyBorder="1" applyAlignment="1">
      <alignment horizontal="center" vertical="top" wrapText="1"/>
    </xf>
    <xf numFmtId="168" fontId="57" fillId="7" borderId="2" xfId="1" applyNumberFormat="1" applyFont="1" applyFill="1" applyBorder="1" applyAlignment="1">
      <alignment horizontal="center" vertical="top" wrapText="1"/>
    </xf>
    <xf numFmtId="168" fontId="58" fillId="7" borderId="2" xfId="1" applyNumberFormat="1" applyFont="1" applyFill="1" applyBorder="1" applyAlignment="1">
      <alignment horizontal="center" vertical="top" wrapText="1"/>
    </xf>
    <xf numFmtId="0" fontId="17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63" fillId="7" borderId="2" xfId="0" applyFont="1" applyFill="1" applyBorder="1" applyAlignment="1">
      <alignment horizontal="center" vertical="top" wrapText="1"/>
    </xf>
    <xf numFmtId="17" fontId="63" fillId="7" borderId="2" xfId="0" applyNumberFormat="1" applyFont="1" applyFill="1" applyBorder="1" applyAlignment="1">
      <alignment horizontal="center" vertical="top" wrapText="1"/>
    </xf>
    <xf numFmtId="168" fontId="63" fillId="7" borderId="2" xfId="1" applyNumberFormat="1" applyFont="1" applyFill="1" applyBorder="1" applyAlignment="1">
      <alignment horizontal="center" vertical="top" wrapText="1"/>
    </xf>
    <xf numFmtId="168" fontId="68" fillId="7" borderId="2" xfId="1" applyNumberFormat="1" applyFont="1" applyFill="1" applyBorder="1" applyAlignment="1">
      <alignment horizontal="center" vertical="top" wrapText="1"/>
    </xf>
    <xf numFmtId="9" fontId="57" fillId="0" borderId="0" xfId="2" applyFont="1" applyAlignment="1">
      <alignment vertical="center"/>
    </xf>
    <xf numFmtId="9" fontId="61" fillId="0" borderId="0" xfId="1" applyNumberFormat="1" applyFont="1" applyAlignment="1">
      <alignment vertical="center"/>
    </xf>
    <xf numFmtId="168" fontId="26" fillId="0" borderId="0" xfId="0" applyNumberFormat="1" applyFont="1"/>
    <xf numFmtId="9" fontId="57" fillId="0" borderId="0" xfId="1" applyNumberFormat="1" applyFont="1" applyAlignment="1">
      <alignment horizontal="right" vertical="center"/>
    </xf>
    <xf numFmtId="0" fontId="63" fillId="0" borderId="0" xfId="0" applyFont="1" applyAlignment="1">
      <alignment horizontal="center"/>
    </xf>
    <xf numFmtId="0" fontId="61" fillId="0" borderId="0" xfId="0" applyFont="1" applyAlignment="1">
      <alignment horizontal="right"/>
    </xf>
    <xf numFmtId="0" fontId="57" fillId="0" borderId="0" xfId="0" applyFont="1" applyAlignment="1">
      <alignment horizontal="right"/>
    </xf>
    <xf numFmtId="43" fontId="63" fillId="16" borderId="2" xfId="1" applyFont="1" applyFill="1" applyBorder="1" applyAlignment="1">
      <alignment vertical="center"/>
    </xf>
    <xf numFmtId="0" fontId="60" fillId="15" borderId="0" xfId="0" applyFont="1" applyFill="1" applyAlignment="1">
      <alignment horizontal="center" vertical="center"/>
    </xf>
    <xf numFmtId="0" fontId="60" fillId="4" borderId="0" xfId="0" applyFont="1" applyFill="1" applyAlignment="1">
      <alignment horizontal="center" vertical="center"/>
    </xf>
    <xf numFmtId="0" fontId="61" fillId="15" borderId="17" xfId="1" applyNumberFormat="1" applyFont="1" applyFill="1" applyBorder="1" applyAlignment="1">
      <alignment horizontal="center" vertical="center"/>
    </xf>
    <xf numFmtId="43" fontId="61" fillId="17" borderId="17" xfId="1" applyFont="1" applyFill="1" applyBorder="1" applyAlignment="1">
      <alignment vertical="center"/>
    </xf>
    <xf numFmtId="43" fontId="77" fillId="17" borderId="17" xfId="1" applyFont="1" applyFill="1" applyBorder="1" applyAlignment="1">
      <alignment vertical="center"/>
    </xf>
    <xf numFmtId="0" fontId="64" fillId="0" borderId="0" xfId="0" applyFont="1"/>
    <xf numFmtId="0" fontId="62" fillId="4" borderId="0" xfId="0" applyFont="1" applyFill="1" applyAlignment="1">
      <alignment horizontal="center" vertical="center"/>
    </xf>
    <xf numFmtId="43" fontId="62" fillId="0" borderId="0" xfId="1" applyFont="1" applyFill="1" applyBorder="1" applyAlignment="1">
      <alignment vertical="center"/>
    </xf>
    <xf numFmtId="43" fontId="64" fillId="0" borderId="0" xfId="0" applyNumberFormat="1" applyFont="1" applyAlignment="1">
      <alignment vertical="center"/>
    </xf>
    <xf numFmtId="171" fontId="64" fillId="0" borderId="0" xfId="0" applyNumberFormat="1" applyFont="1" applyAlignment="1">
      <alignment vertical="center"/>
    </xf>
    <xf numFmtId="9" fontId="63" fillId="0" borderId="0" xfId="2" applyFont="1" applyFill="1" applyBorder="1" applyAlignment="1">
      <alignment horizontal="center" vertical="center"/>
    </xf>
    <xf numFmtId="43" fontId="62" fillId="0" borderId="0" xfId="0" applyNumberFormat="1" applyFont="1" applyAlignment="1">
      <alignment vertical="center"/>
    </xf>
    <xf numFmtId="10" fontId="62" fillId="0" borderId="0" xfId="2" applyNumberFormat="1" applyFont="1" applyFill="1" applyBorder="1" applyAlignment="1">
      <alignment horizontal="center" vertical="center"/>
    </xf>
    <xf numFmtId="0" fontId="77" fillId="0" borderId="17" xfId="0" applyFont="1" applyBorder="1" applyAlignment="1">
      <alignment vertical="center"/>
    </xf>
    <xf numFmtId="168" fontId="70" fillId="17" borderId="17" xfId="0" applyNumberFormat="1" applyFont="1" applyFill="1" applyBorder="1" applyAlignment="1">
      <alignment vertical="center"/>
    </xf>
    <xf numFmtId="168" fontId="61" fillId="17" borderId="17" xfId="0" applyNumberFormat="1" applyFont="1" applyFill="1" applyBorder="1" applyAlignment="1">
      <alignment vertical="center"/>
    </xf>
    <xf numFmtId="168" fontId="79" fillId="17" borderId="17" xfId="0" applyNumberFormat="1" applyFont="1" applyFill="1" applyBorder="1" applyAlignment="1">
      <alignment vertical="center"/>
    </xf>
    <xf numFmtId="168" fontId="57" fillId="17" borderId="0" xfId="0" applyNumberFormat="1" applyFont="1" applyFill="1" applyAlignment="1">
      <alignment vertical="center"/>
    </xf>
    <xf numFmtId="168" fontId="57" fillId="17" borderId="10" xfId="1" applyNumberFormat="1" applyFont="1" applyFill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43" fontId="42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0" fontId="63" fillId="0" borderId="0" xfId="0" applyFont="1" applyAlignment="1">
      <alignment horizontal="center" vertical="top"/>
    </xf>
    <xf numFmtId="17" fontId="63" fillId="0" borderId="0" xfId="0" applyNumberFormat="1" applyFont="1" applyAlignment="1">
      <alignment horizontal="center" vertical="top"/>
    </xf>
    <xf numFmtId="43" fontId="61" fillId="18" borderId="17" xfId="1" applyFont="1" applyFill="1" applyBorder="1" applyAlignment="1">
      <alignment horizontal="center" vertical="center"/>
    </xf>
    <xf numFmtId="168" fontId="77" fillId="17" borderId="17" xfId="0" applyNumberFormat="1" applyFont="1" applyFill="1" applyBorder="1" applyAlignment="1">
      <alignment vertical="center"/>
    </xf>
    <xf numFmtId="168" fontId="77" fillId="7" borderId="17" xfId="0" applyNumberFormat="1" applyFont="1" applyFill="1" applyBorder="1" applyAlignment="1">
      <alignment vertical="center"/>
    </xf>
    <xf numFmtId="43" fontId="61" fillId="4" borderId="17" xfId="1" applyFont="1" applyFill="1" applyBorder="1" applyAlignment="1">
      <alignment horizontal="center" vertical="center"/>
    </xf>
    <xf numFmtId="0" fontId="93" fillId="0" borderId="0" xfId="0" applyFont="1" applyAlignment="1">
      <alignment vertical="center"/>
    </xf>
    <xf numFmtId="14" fontId="22" fillId="0" borderId="0" xfId="0" applyNumberFormat="1" applyFont="1" applyAlignment="1">
      <alignment vertical="center"/>
    </xf>
    <xf numFmtId="0" fontId="75" fillId="19" borderId="1" xfId="0" applyFont="1" applyFill="1" applyBorder="1" applyAlignment="1">
      <alignment horizontal="center" vertical="top" wrapText="1"/>
    </xf>
    <xf numFmtId="173" fontId="57" fillId="20" borderId="9" xfId="0" applyNumberFormat="1" applyFont="1" applyFill="1" applyBorder="1" applyAlignment="1">
      <alignment vertical="center"/>
    </xf>
    <xf numFmtId="173" fontId="62" fillId="20" borderId="17" xfId="1" applyNumberFormat="1" applyFont="1" applyFill="1" applyBorder="1" applyAlignment="1">
      <alignment horizontal="right" vertical="center"/>
    </xf>
    <xf numFmtId="0" fontId="62" fillId="20" borderId="17" xfId="0" applyFont="1" applyFill="1" applyBorder="1" applyAlignment="1">
      <alignment vertical="center"/>
    </xf>
    <xf numFmtId="0" fontId="63" fillId="0" borderId="0" xfId="0" applyFont="1" applyAlignment="1">
      <alignment horizontal="right" vertical="top"/>
    </xf>
    <xf numFmtId="0" fontId="17" fillId="0" borderId="0" xfId="1" applyNumberFormat="1" applyFont="1" applyAlignment="1">
      <alignment vertical="center"/>
    </xf>
    <xf numFmtId="0" fontId="61" fillId="0" borderId="0" xfId="1" applyNumberFormat="1" applyFont="1" applyFill="1" applyAlignment="1">
      <alignment vertical="center"/>
    </xf>
    <xf numFmtId="43" fontId="61" fillId="7" borderId="17" xfId="1" applyFont="1" applyFill="1" applyBorder="1" applyAlignment="1">
      <alignment vertical="center"/>
    </xf>
    <xf numFmtId="0" fontId="33" fillId="0" borderId="0" xfId="1" applyNumberFormat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43" fontId="70" fillId="4" borderId="17" xfId="1" applyFont="1" applyFill="1" applyBorder="1" applyAlignment="1">
      <alignment vertical="center"/>
    </xf>
    <xf numFmtId="0" fontId="75" fillId="22" borderId="2" xfId="0" applyFont="1" applyFill="1" applyBorder="1" applyAlignment="1">
      <alignment horizontal="center" vertical="top" wrapText="1"/>
    </xf>
    <xf numFmtId="17" fontId="75" fillId="22" borderId="1" xfId="0" applyNumberFormat="1" applyFont="1" applyFill="1" applyBorder="1" applyAlignment="1">
      <alignment horizontal="center" vertical="top" wrapText="1"/>
    </xf>
    <xf numFmtId="0" fontId="75" fillId="23" borderId="1" xfId="0" applyFont="1" applyFill="1" applyBorder="1" applyAlignment="1">
      <alignment horizontal="center" vertical="top" wrapText="1"/>
    </xf>
    <xf numFmtId="0" fontId="75" fillId="24" borderId="1" xfId="0" applyFont="1" applyFill="1" applyBorder="1" applyAlignment="1">
      <alignment horizontal="center" vertical="top" wrapText="1"/>
    </xf>
    <xf numFmtId="0" fontId="63" fillId="0" borderId="0" xfId="0" applyFont="1" applyAlignment="1">
      <alignment vertical="top"/>
    </xf>
    <xf numFmtId="0" fontId="62" fillId="0" borderId="0" xfId="0" applyFont="1" applyAlignment="1">
      <alignment horizontal="center" vertical="top"/>
    </xf>
    <xf numFmtId="168" fontId="62" fillId="0" borderId="0" xfId="1" applyNumberFormat="1" applyFont="1"/>
    <xf numFmtId="43" fontId="62" fillId="0" borderId="0" xfId="1" applyFont="1" applyAlignment="1">
      <alignment vertical="center"/>
    </xf>
    <xf numFmtId="174" fontId="64" fillId="0" borderId="2" xfId="0" applyNumberFormat="1" applyFont="1" applyBorder="1" applyAlignment="1">
      <alignment horizontal="center" vertical="center"/>
    </xf>
    <xf numFmtId="174" fontId="70" fillId="0" borderId="17" xfId="0" applyNumberFormat="1" applyFont="1" applyBorder="1" applyAlignment="1">
      <alignment horizontal="center" vertical="center"/>
    </xf>
    <xf numFmtId="43" fontId="61" fillId="0" borderId="17" xfId="0" applyNumberFormat="1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168" fontId="61" fillId="0" borderId="17" xfId="0" applyNumberFormat="1" applyFont="1" applyBorder="1" applyAlignment="1">
      <alignment horizontal="center" vertical="center"/>
    </xf>
    <xf numFmtId="168" fontId="70" fillId="0" borderId="17" xfId="0" applyNumberFormat="1" applyFont="1" applyBorder="1" applyAlignment="1">
      <alignment horizontal="center" vertical="center"/>
    </xf>
    <xf numFmtId="168" fontId="79" fillId="0" borderId="17" xfId="0" applyNumberFormat="1" applyFont="1" applyBorder="1" applyAlignment="1">
      <alignment horizontal="center" vertical="center"/>
    </xf>
    <xf numFmtId="168" fontId="61" fillId="0" borderId="0" xfId="0" applyNumberFormat="1" applyFont="1" applyAlignment="1">
      <alignment horizontal="center" vertical="center"/>
    </xf>
    <xf numFmtId="174" fontId="61" fillId="0" borderId="0" xfId="1" applyNumberFormat="1" applyFont="1" applyFill="1" applyAlignment="1">
      <alignment vertical="center"/>
    </xf>
    <xf numFmtId="0" fontId="58" fillId="0" borderId="17" xfId="0" applyFont="1" applyBorder="1" applyAlignment="1">
      <alignment horizontal="center" vertical="center"/>
    </xf>
    <xf numFmtId="0" fontId="58" fillId="0" borderId="17" xfId="0" applyFont="1" applyBorder="1" applyAlignment="1">
      <alignment vertical="center"/>
    </xf>
    <xf numFmtId="174" fontId="62" fillId="0" borderId="0" xfId="1" applyNumberFormat="1" applyFont="1" applyFill="1" applyAlignment="1">
      <alignment vertical="center"/>
    </xf>
    <xf numFmtId="0" fontId="62" fillId="9" borderId="0" xfId="0" applyFont="1" applyFill="1" applyAlignment="1">
      <alignment horizontal="center" vertical="center"/>
    </xf>
    <xf numFmtId="0" fontId="62" fillId="9" borderId="0" xfId="0" applyFont="1" applyFill="1" applyAlignment="1">
      <alignment vertical="center"/>
    </xf>
    <xf numFmtId="0" fontId="65" fillId="7" borderId="0" xfId="0" applyFont="1" applyFill="1" applyAlignment="1">
      <alignment horizontal="center" vertical="center"/>
    </xf>
    <xf numFmtId="0" fontId="62" fillId="15" borderId="0" xfId="0" applyFont="1" applyFill="1" applyAlignment="1">
      <alignment horizontal="center" vertical="center"/>
    </xf>
    <xf numFmtId="0" fontId="62" fillId="7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14" fontId="66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Alignment="1">
      <alignment vertical="center"/>
    </xf>
    <xf numFmtId="173" fontId="62" fillId="14" borderId="17" xfId="1" applyNumberFormat="1" applyFont="1" applyFill="1" applyBorder="1" applyAlignment="1">
      <alignment horizontal="right" vertical="center"/>
    </xf>
    <xf numFmtId="173" fontId="62" fillId="0" borderId="0" xfId="1" applyNumberFormat="1" applyFont="1" applyFill="1" applyBorder="1" applyAlignment="1">
      <alignment horizontal="right" vertical="center"/>
    </xf>
    <xf numFmtId="0" fontId="97" fillId="2" borderId="0" xfId="0" applyFont="1" applyFill="1" applyAlignment="1">
      <alignment horizontal="center" vertical="top" wrapText="1"/>
    </xf>
    <xf numFmtId="17" fontId="98" fillId="0" borderId="0" xfId="0" applyNumberFormat="1" applyFont="1" applyAlignment="1">
      <alignment horizontal="center" vertical="top"/>
    </xf>
    <xf numFmtId="0" fontId="98" fillId="0" borderId="20" xfId="0" applyFont="1" applyBorder="1" applyAlignment="1">
      <alignment horizontal="center" vertical="top"/>
    </xf>
    <xf numFmtId="0" fontId="98" fillId="0" borderId="0" xfId="0" applyFont="1" applyAlignment="1">
      <alignment horizontal="center" vertical="top"/>
    </xf>
    <xf numFmtId="0" fontId="98" fillId="0" borderId="2" xfId="0" applyFont="1" applyBorder="1" applyAlignment="1">
      <alignment horizontal="center" vertical="top" wrapText="1"/>
    </xf>
    <xf numFmtId="0" fontId="99" fillId="0" borderId="0" xfId="0" applyFont="1" applyAlignment="1">
      <alignment horizontal="center"/>
    </xf>
    <xf numFmtId="43" fontId="100" fillId="0" borderId="0" xfId="0" applyNumberFormat="1" applyFont="1"/>
    <xf numFmtId="43" fontId="100" fillId="0" borderId="21" xfId="0" applyNumberFormat="1" applyFont="1" applyBorder="1"/>
    <xf numFmtId="0" fontId="100" fillId="0" borderId="0" xfId="0" applyFont="1"/>
    <xf numFmtId="0" fontId="100" fillId="0" borderId="0" xfId="0" applyFont="1" applyAlignment="1">
      <alignment horizontal="center"/>
    </xf>
    <xf numFmtId="43" fontId="100" fillId="0" borderId="0" xfId="1" applyFont="1"/>
    <xf numFmtId="0" fontId="99" fillId="13" borderId="0" xfId="0" applyFont="1" applyFill="1" applyAlignment="1">
      <alignment horizontal="center"/>
    </xf>
    <xf numFmtId="43" fontId="100" fillId="13" borderId="0" xfId="0" applyNumberFormat="1" applyFont="1" applyFill="1"/>
    <xf numFmtId="43" fontId="100" fillId="13" borderId="21" xfId="0" applyNumberFormat="1" applyFont="1" applyFill="1" applyBorder="1"/>
    <xf numFmtId="0" fontId="100" fillId="13" borderId="0" xfId="0" applyFont="1" applyFill="1"/>
    <xf numFmtId="0" fontId="100" fillId="13" borderId="0" xfId="0" applyFont="1" applyFill="1" applyAlignment="1">
      <alignment horizontal="center"/>
    </xf>
    <xf numFmtId="43" fontId="100" fillId="13" borderId="0" xfId="1" applyFont="1" applyFill="1"/>
    <xf numFmtId="0" fontId="99" fillId="4" borderId="0" xfId="0" applyFont="1" applyFill="1" applyAlignment="1">
      <alignment horizontal="center"/>
    </xf>
    <xf numFmtId="0" fontId="99" fillId="8" borderId="0" xfId="0" applyFont="1" applyFill="1" applyAlignment="1">
      <alignment horizontal="center"/>
    </xf>
    <xf numFmtId="43" fontId="100" fillId="10" borderId="0" xfId="0" applyNumberFormat="1" applyFont="1" applyFill="1"/>
    <xf numFmtId="0" fontId="99" fillId="3" borderId="0" xfId="0" applyFont="1" applyFill="1" applyAlignment="1">
      <alignment horizontal="center"/>
    </xf>
    <xf numFmtId="43" fontId="100" fillId="3" borderId="0" xfId="0" applyNumberFormat="1" applyFont="1" applyFill="1"/>
    <xf numFmtId="43" fontId="100" fillId="13" borderId="22" xfId="0" applyNumberFormat="1" applyFont="1" applyFill="1" applyBorder="1"/>
    <xf numFmtId="43" fontId="98" fillId="0" borderId="0" xfId="0" applyNumberFormat="1" applyFont="1"/>
    <xf numFmtId="43" fontId="100" fillId="17" borderId="0" xfId="0" applyNumberFormat="1" applyFont="1" applyFill="1"/>
    <xf numFmtId="0" fontId="98" fillId="0" borderId="0" xfId="0" applyFont="1"/>
    <xf numFmtId="43" fontId="101" fillId="4" borderId="0" xfId="0" applyNumberFormat="1" applyFont="1" applyFill="1"/>
    <xf numFmtId="43" fontId="98" fillId="0" borderId="17" xfId="0" applyNumberFormat="1" applyFont="1" applyBorder="1"/>
    <xf numFmtId="43" fontId="100" fillId="0" borderId="17" xfId="0" applyNumberFormat="1" applyFont="1" applyBorder="1"/>
    <xf numFmtId="43" fontId="100" fillId="17" borderId="17" xfId="0" applyNumberFormat="1" applyFont="1" applyFill="1" applyBorder="1"/>
    <xf numFmtId="43" fontId="100" fillId="4" borderId="17" xfId="0" applyNumberFormat="1" applyFont="1" applyFill="1" applyBorder="1"/>
    <xf numFmtId="43" fontId="98" fillId="13" borderId="17" xfId="0" applyNumberFormat="1" applyFont="1" applyFill="1" applyBorder="1"/>
    <xf numFmtId="0" fontId="102" fillId="0" borderId="0" xfId="0" applyFont="1" applyAlignment="1">
      <alignment vertical="center"/>
    </xf>
    <xf numFmtId="43" fontId="62" fillId="0" borderId="0" xfId="0" applyNumberFormat="1" applyFont="1" applyAlignment="1">
      <alignment horizontal="center" vertical="center"/>
    </xf>
    <xf numFmtId="43" fontId="62" fillId="0" borderId="0" xfId="1" applyFont="1" applyAlignment="1">
      <alignment horizontal="center" vertical="center" wrapText="1"/>
    </xf>
    <xf numFmtId="0" fontId="63" fillId="20" borderId="0" xfId="0" applyFont="1" applyFill="1" applyAlignment="1">
      <alignment horizontal="right" vertical="center"/>
    </xf>
    <xf numFmtId="173" fontId="63" fillId="20" borderId="17" xfId="0" applyNumberFormat="1" applyFont="1" applyFill="1" applyBorder="1" applyAlignment="1">
      <alignment vertical="center"/>
    </xf>
    <xf numFmtId="14" fontId="94" fillId="21" borderId="0" xfId="0" applyNumberFormat="1" applyFont="1" applyFill="1" applyAlignment="1">
      <alignment vertical="center"/>
    </xf>
    <xf numFmtId="173" fontId="62" fillId="18" borderId="17" xfId="1" applyNumberFormat="1" applyFont="1" applyFill="1" applyBorder="1" applyAlignment="1">
      <alignment horizontal="right" vertical="center"/>
    </xf>
    <xf numFmtId="0" fontId="103" fillId="23" borderId="1" xfId="0" applyFont="1" applyFill="1" applyBorder="1" applyAlignment="1">
      <alignment horizontal="center" vertical="top" wrapText="1"/>
    </xf>
    <xf numFmtId="0" fontId="57" fillId="0" borderId="2" xfId="1" applyNumberFormat="1" applyFont="1" applyBorder="1" applyAlignment="1">
      <alignment vertical="center"/>
    </xf>
    <xf numFmtId="0" fontId="57" fillId="0" borderId="2" xfId="0" applyFont="1" applyBorder="1" applyAlignment="1">
      <alignment horizontal="center" vertical="center"/>
    </xf>
    <xf numFmtId="173" fontId="62" fillId="27" borderId="17" xfId="1" applyNumberFormat="1" applyFont="1" applyFill="1" applyBorder="1" applyAlignment="1">
      <alignment horizontal="right" vertical="center"/>
    </xf>
    <xf numFmtId="173" fontId="63" fillId="26" borderId="17" xfId="1" applyNumberFormat="1" applyFont="1" applyFill="1" applyBorder="1" applyAlignment="1">
      <alignment horizontal="right" vertical="center"/>
    </xf>
    <xf numFmtId="17" fontId="57" fillId="7" borderId="0" xfId="0" applyNumberFormat="1" applyFont="1" applyFill="1" applyAlignment="1">
      <alignment horizontal="center" vertical="top" wrapText="1"/>
    </xf>
    <xf numFmtId="0" fontId="26" fillId="0" borderId="0" xfId="0" applyFont="1" applyAlignment="1">
      <alignment horizontal="left" vertical="center"/>
    </xf>
    <xf numFmtId="171" fontId="26" fillId="0" borderId="0" xfId="0" applyNumberFormat="1" applyFont="1" applyAlignment="1">
      <alignment horizontal="right" vertical="center"/>
    </xf>
    <xf numFmtId="171" fontId="26" fillId="0" borderId="0" xfId="0" applyNumberFormat="1" applyFont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171" fontId="26" fillId="14" borderId="0" xfId="0" applyNumberFormat="1" applyFont="1" applyFill="1" applyAlignment="1">
      <alignment horizontal="right" vertical="center"/>
    </xf>
    <xf numFmtId="0" fontId="26" fillId="4" borderId="0" xfId="0" applyFont="1" applyFill="1" applyAlignment="1">
      <alignment horizontal="left" vertical="center"/>
    </xf>
    <xf numFmtId="0" fontId="25" fillId="0" borderId="2" xfId="0" applyFont="1" applyBorder="1" applyAlignment="1">
      <alignment horizontal="left" vertical="top" wrapText="1"/>
    </xf>
    <xf numFmtId="17" fontId="25" fillId="14" borderId="2" xfId="0" applyNumberFormat="1" applyFont="1" applyFill="1" applyBorder="1" applyAlignment="1">
      <alignment horizontal="center" vertical="top" wrapText="1"/>
    </xf>
    <xf numFmtId="43" fontId="57" fillId="0" borderId="0" xfId="1" applyFont="1" applyBorder="1" applyAlignment="1">
      <alignment horizontal="center" vertical="center"/>
    </xf>
    <xf numFmtId="175" fontId="57" fillId="0" borderId="0" xfId="2" applyNumberFormat="1" applyFont="1" applyBorder="1" applyAlignment="1">
      <alignment horizontal="center" vertical="center"/>
    </xf>
    <xf numFmtId="0" fontId="104" fillId="28" borderId="2" xfId="0" applyFont="1" applyFill="1" applyBorder="1" applyAlignment="1">
      <alignment horizontal="left" vertical="top" wrapText="1"/>
    </xf>
    <xf numFmtId="0" fontId="94" fillId="24" borderId="1" xfId="0" applyFont="1" applyFill="1" applyBorder="1" applyAlignment="1">
      <alignment horizontal="center" vertical="top" wrapText="1"/>
    </xf>
    <xf numFmtId="173" fontId="17" fillId="0" borderId="0" xfId="0" applyNumberFormat="1" applyFont="1" applyAlignment="1">
      <alignment vertical="center"/>
    </xf>
    <xf numFmtId="17" fontId="25" fillId="25" borderId="2" xfId="0" applyNumberFormat="1" applyFont="1" applyFill="1" applyBorder="1" applyAlignment="1">
      <alignment horizontal="center" vertical="top" wrapText="1"/>
    </xf>
    <xf numFmtId="171" fontId="26" fillId="25" borderId="0" xfId="0" applyNumberFormat="1" applyFont="1" applyFill="1" applyAlignment="1">
      <alignment horizontal="right" vertical="center"/>
    </xf>
    <xf numFmtId="175" fontId="26" fillId="0" borderId="0" xfId="2" applyNumberFormat="1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43" fontId="1" fillId="0" borderId="0" xfId="0" applyNumberFormat="1" applyFont="1"/>
    <xf numFmtId="168" fontId="1" fillId="0" borderId="0" xfId="0" applyNumberFormat="1" applyFont="1"/>
    <xf numFmtId="9" fontId="1" fillId="0" borderId="2" xfId="2" applyFont="1" applyFill="1" applyBorder="1"/>
    <xf numFmtId="43" fontId="1" fillId="0" borderId="2" xfId="0" applyNumberFormat="1" applyFont="1" applyBorder="1"/>
    <xf numFmtId="43" fontId="1" fillId="0" borderId="2" xfId="1" applyFont="1" applyFill="1" applyBorder="1"/>
    <xf numFmtId="0" fontId="1" fillId="0" borderId="2" xfId="0" applyFont="1" applyBorder="1"/>
    <xf numFmtId="168" fontId="1" fillId="0" borderId="2" xfId="0" applyNumberFormat="1" applyFont="1" applyBorder="1"/>
    <xf numFmtId="168" fontId="1" fillId="11" borderId="2" xfId="0" applyNumberFormat="1" applyFont="1" applyFill="1" applyBorder="1"/>
    <xf numFmtId="43" fontId="1" fillId="0" borderId="2" xfId="1" applyFont="1" applyBorder="1"/>
    <xf numFmtId="43" fontId="1" fillId="0" borderId="0" xfId="1" applyFont="1" applyFill="1" applyBorder="1"/>
    <xf numFmtId="43" fontId="1" fillId="0" borderId="0" xfId="1" applyFont="1"/>
    <xf numFmtId="43" fontId="1" fillId="0" borderId="0" xfId="1" applyFont="1" applyBorder="1"/>
    <xf numFmtId="9" fontId="22" fillId="0" borderId="0" xfId="2" applyFont="1" applyAlignment="1">
      <alignment vertical="center"/>
    </xf>
    <xf numFmtId="0" fontId="105" fillId="0" borderId="0" xfId="0" applyFont="1"/>
    <xf numFmtId="0" fontId="91" fillId="14" borderId="19" xfId="0" applyFont="1" applyFill="1" applyBorder="1" applyAlignment="1">
      <alignment horizontal="center" vertical="center"/>
    </xf>
    <xf numFmtId="169" fontId="91" fillId="14" borderId="19" xfId="0" applyNumberFormat="1" applyFont="1" applyFill="1" applyBorder="1" applyAlignment="1">
      <alignment horizontal="center" vertical="center"/>
    </xf>
    <xf numFmtId="0" fontId="91" fillId="14" borderId="19" xfId="0" applyFont="1" applyFill="1" applyBorder="1" applyAlignment="1">
      <alignment vertical="center"/>
    </xf>
    <xf numFmtId="17" fontId="91" fillId="14" borderId="19" xfId="0" applyNumberFormat="1" applyFont="1" applyFill="1" applyBorder="1" applyAlignment="1">
      <alignment vertical="center"/>
    </xf>
    <xf numFmtId="43" fontId="91" fillId="14" borderId="19" xfId="1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17" fontId="57" fillId="7" borderId="32" xfId="0" applyNumberFormat="1" applyFont="1" applyFill="1" applyBorder="1" applyAlignment="1">
      <alignment horizontal="center" vertical="top" wrapText="1"/>
    </xf>
    <xf numFmtId="17" fontId="57" fillId="7" borderId="11" xfId="0" applyNumberFormat="1" applyFont="1" applyFill="1" applyBorder="1" applyAlignment="1">
      <alignment horizontal="center" vertical="top" wrapText="1"/>
    </xf>
    <xf numFmtId="43" fontId="57" fillId="0" borderId="11" xfId="1" applyFont="1" applyBorder="1" applyAlignment="1">
      <alignment horizontal="center" vertical="center"/>
    </xf>
    <xf numFmtId="175" fontId="57" fillId="0" borderId="11" xfId="2" applyNumberFormat="1" applyFont="1" applyBorder="1" applyAlignment="1">
      <alignment horizontal="center" vertical="center"/>
    </xf>
    <xf numFmtId="17" fontId="57" fillId="7" borderId="33" xfId="0" applyNumberFormat="1" applyFont="1" applyFill="1" applyBorder="1" applyAlignment="1">
      <alignment horizontal="center" vertical="top" wrapText="1"/>
    </xf>
    <xf numFmtId="43" fontId="57" fillId="0" borderId="33" xfId="1" applyFont="1" applyBorder="1" applyAlignment="1">
      <alignment horizontal="center" vertical="center"/>
    </xf>
    <xf numFmtId="175" fontId="57" fillId="0" borderId="33" xfId="2" applyNumberFormat="1" applyFont="1" applyBorder="1" applyAlignment="1">
      <alignment horizontal="center" vertical="center"/>
    </xf>
    <xf numFmtId="0" fontId="3" fillId="27" borderId="0" xfId="0" applyFont="1" applyFill="1" applyAlignment="1">
      <alignment horizontal="center"/>
    </xf>
    <xf numFmtId="43" fontId="57" fillId="27" borderId="0" xfId="1" applyFont="1" applyFill="1" applyBorder="1" applyAlignment="1">
      <alignment horizontal="center" vertical="center"/>
    </xf>
    <xf numFmtId="43" fontId="57" fillId="27" borderId="11" xfId="1" applyFont="1" applyFill="1" applyBorder="1" applyAlignment="1">
      <alignment horizontal="center" vertical="center"/>
    </xf>
    <xf numFmtId="43" fontId="57" fillId="27" borderId="33" xfId="1" applyFont="1" applyFill="1" applyBorder="1" applyAlignment="1">
      <alignment horizontal="center" vertical="center"/>
    </xf>
    <xf numFmtId="0" fontId="3" fillId="27" borderId="0" xfId="0" applyFont="1" applyFill="1" applyAlignment="1">
      <alignment horizontal="center" wrapText="1"/>
    </xf>
    <xf numFmtId="43" fontId="0" fillId="0" borderId="0" xfId="0" applyNumberFormat="1" applyAlignment="1">
      <alignment horizontal="center"/>
    </xf>
    <xf numFmtId="0" fontId="105" fillId="14" borderId="0" xfId="0" applyFont="1" applyFill="1"/>
    <xf numFmtId="0" fontId="87" fillId="14" borderId="2" xfId="0" applyFont="1" applyFill="1" applyBorder="1" applyAlignment="1">
      <alignment horizontal="center" vertical="center"/>
    </xf>
    <xf numFmtId="172" fontId="88" fillId="14" borderId="2" xfId="4" applyNumberFormat="1" applyFont="1" applyFill="1" applyBorder="1" applyAlignment="1">
      <alignment horizontal="center" vertical="center"/>
    </xf>
    <xf numFmtId="0" fontId="89" fillId="14" borderId="18" xfId="0" applyFont="1" applyFill="1" applyBorder="1" applyAlignment="1">
      <alignment horizontal="center" vertical="center"/>
    </xf>
    <xf numFmtId="0" fontId="89" fillId="14" borderId="19" xfId="0" applyFont="1" applyFill="1" applyBorder="1" applyAlignment="1">
      <alignment horizontal="center" vertical="center"/>
    </xf>
    <xf numFmtId="169" fontId="89" fillId="14" borderId="19" xfId="0" applyNumberFormat="1" applyFont="1" applyFill="1" applyBorder="1" applyAlignment="1">
      <alignment horizontal="center" vertical="center"/>
    </xf>
    <xf numFmtId="0" fontId="89" fillId="14" borderId="19" xfId="0" applyFont="1" applyFill="1" applyBorder="1" applyAlignment="1">
      <alignment vertical="center"/>
    </xf>
    <xf numFmtId="0" fontId="89" fillId="14" borderId="19" xfId="0" applyFont="1" applyFill="1" applyBorder="1" applyAlignment="1">
      <alignment horizontal="left" vertical="center"/>
    </xf>
    <xf numFmtId="43" fontId="90" fillId="14" borderId="19" xfId="1" applyFont="1" applyFill="1" applyBorder="1" applyAlignment="1">
      <alignment vertical="center"/>
    </xf>
    <xf numFmtId="43" fontId="88" fillId="14" borderId="19" xfId="1" applyFont="1" applyFill="1" applyBorder="1" applyAlignment="1">
      <alignment vertical="center"/>
    </xf>
    <xf numFmtId="0" fontId="89" fillId="14" borderId="0" xfId="0" applyFont="1" applyFill="1" applyAlignment="1">
      <alignment horizontal="center" vertical="center"/>
    </xf>
    <xf numFmtId="169" fontId="89" fillId="14" borderId="0" xfId="0" applyNumberFormat="1" applyFont="1" applyFill="1" applyAlignment="1">
      <alignment horizontal="center" vertical="center"/>
    </xf>
    <xf numFmtId="0" fontId="89" fillId="14" borderId="0" xfId="0" applyFont="1" applyFill="1" applyAlignment="1">
      <alignment vertical="center"/>
    </xf>
    <xf numFmtId="17" fontId="89" fillId="14" borderId="0" xfId="0" applyNumberFormat="1" applyFont="1" applyFill="1" applyAlignment="1">
      <alignment vertical="center"/>
    </xf>
    <xf numFmtId="43" fontId="90" fillId="14" borderId="0" xfId="1" applyFont="1" applyFill="1" applyBorder="1" applyAlignment="1">
      <alignment vertical="center"/>
    </xf>
    <xf numFmtId="0" fontId="85" fillId="14" borderId="2" xfId="0" applyFont="1" applyFill="1" applyBorder="1" applyAlignment="1">
      <alignment horizontal="center" vertical="center"/>
    </xf>
    <xf numFmtId="0" fontId="85" fillId="14" borderId="2" xfId="0" applyFont="1" applyFill="1" applyBorder="1" applyAlignment="1">
      <alignment horizontal="center"/>
    </xf>
    <xf numFmtId="172" fontId="85" fillId="14" borderId="2" xfId="4" applyNumberFormat="1" applyFont="1" applyFill="1" applyBorder="1" applyAlignment="1">
      <alignment horizontal="center" vertical="center"/>
    </xf>
    <xf numFmtId="0" fontId="91" fillId="14" borderId="30" xfId="0" applyFont="1" applyFill="1" applyBorder="1" applyAlignment="1">
      <alignment horizontal="center" vertical="center"/>
    </xf>
    <xf numFmtId="0" fontId="91" fillId="14" borderId="31" xfId="0" applyFont="1" applyFill="1" applyBorder="1" applyAlignment="1">
      <alignment horizontal="center" vertical="center"/>
    </xf>
    <xf numFmtId="169" fontId="91" fillId="14" borderId="31" xfId="0" applyNumberFormat="1" applyFont="1" applyFill="1" applyBorder="1" applyAlignment="1">
      <alignment horizontal="center" vertical="center"/>
    </xf>
    <xf numFmtId="0" fontId="91" fillId="14" borderId="31" xfId="0" applyFont="1" applyFill="1" applyBorder="1" applyAlignment="1">
      <alignment vertical="center"/>
    </xf>
    <xf numFmtId="43" fontId="91" fillId="14" borderId="31" xfId="1" applyFont="1" applyFill="1" applyBorder="1" applyAlignment="1">
      <alignment vertical="center"/>
    </xf>
    <xf numFmtId="43" fontId="88" fillId="14" borderId="29" xfId="1" applyFont="1" applyFill="1" applyBorder="1" applyAlignment="1">
      <alignment vertical="center"/>
    </xf>
    <xf numFmtId="43" fontId="88" fillId="14" borderId="2" xfId="1" applyFont="1" applyFill="1" applyBorder="1" applyAlignment="1">
      <alignment vertical="center"/>
    </xf>
    <xf numFmtId="17" fontId="89" fillId="14" borderId="19" xfId="0" applyNumberFormat="1" applyFont="1" applyFill="1" applyBorder="1" applyAlignment="1">
      <alignment vertical="center"/>
    </xf>
    <xf numFmtId="0" fontId="91" fillId="14" borderId="18" xfId="0" applyFont="1" applyFill="1" applyBorder="1" applyAlignment="1">
      <alignment horizontal="center" vertical="center"/>
    </xf>
    <xf numFmtId="10" fontId="57" fillId="0" borderId="0" xfId="2" applyNumberFormat="1" applyFont="1" applyBorder="1" applyAlignment="1">
      <alignment horizontal="center" vertical="center"/>
    </xf>
    <xf numFmtId="10" fontId="57" fillId="0" borderId="11" xfId="2" applyNumberFormat="1" applyFont="1" applyBorder="1" applyAlignment="1">
      <alignment horizontal="center" vertical="center"/>
    </xf>
    <xf numFmtId="10" fontId="57" fillId="0" borderId="33" xfId="2" applyNumberFormat="1" applyFont="1" applyBorder="1" applyAlignment="1">
      <alignment horizontal="center" vertical="center"/>
    </xf>
    <xf numFmtId="0" fontId="64" fillId="0" borderId="2" xfId="0" applyFont="1" applyBorder="1" applyAlignment="1">
      <alignment horizontal="center"/>
    </xf>
    <xf numFmtId="0" fontId="67" fillId="0" borderId="2" xfId="0" applyFont="1" applyBorder="1" applyAlignment="1">
      <alignment horizontal="center"/>
    </xf>
    <xf numFmtId="0" fontId="63" fillId="18" borderId="0" xfId="0" applyFont="1" applyFill="1" applyAlignment="1">
      <alignment horizontal="center"/>
    </xf>
    <xf numFmtId="0" fontId="63" fillId="18" borderId="0" xfId="0" applyFont="1" applyFill="1" applyAlignment="1">
      <alignment horizontal="center" vertical="top" wrapText="1"/>
    </xf>
    <xf numFmtId="0" fontId="68" fillId="0" borderId="2" xfId="0" applyFont="1" applyBorder="1" applyAlignment="1">
      <alignment horizontal="center"/>
    </xf>
    <xf numFmtId="0" fontId="62" fillId="18" borderId="2" xfId="0" applyFont="1" applyFill="1" applyBorder="1" applyAlignment="1">
      <alignment horizontal="center"/>
    </xf>
    <xf numFmtId="43" fontId="5" fillId="25" borderId="0" xfId="0" applyNumberFormat="1" applyFont="1" applyFill="1"/>
    <xf numFmtId="0" fontId="62" fillId="0" borderId="1" xfId="0" applyFont="1" applyBorder="1"/>
    <xf numFmtId="14" fontId="62" fillId="0" borderId="1" xfId="0" applyNumberFormat="1" applyFont="1" applyBorder="1" applyAlignment="1">
      <alignment horizontal="center"/>
    </xf>
    <xf numFmtId="14" fontId="65" fillId="0" borderId="2" xfId="0" applyNumberFormat="1" applyFont="1" applyBorder="1" applyAlignment="1">
      <alignment horizontal="center"/>
    </xf>
    <xf numFmtId="168" fontId="106" fillId="0" borderId="0" xfId="1" applyNumberFormat="1" applyFont="1" applyAlignment="1">
      <alignment vertical="center"/>
    </xf>
    <xf numFmtId="0" fontId="106" fillId="0" borderId="0" xfId="0" applyFont="1" applyAlignment="1">
      <alignment horizontal="right" vertical="center"/>
    </xf>
    <xf numFmtId="0" fontId="106" fillId="0" borderId="0" xfId="0" applyFont="1" applyAlignment="1">
      <alignment horizontal="center" vertical="center"/>
    </xf>
    <xf numFmtId="43" fontId="106" fillId="0" borderId="0" xfId="1" applyFont="1" applyAlignment="1">
      <alignment vertical="center"/>
    </xf>
    <xf numFmtId="10" fontId="106" fillId="0" borderId="0" xfId="2" applyNumberFormat="1" applyFont="1" applyAlignment="1">
      <alignment vertical="center"/>
    </xf>
    <xf numFmtId="0" fontId="63" fillId="0" borderId="17" xfId="0" applyFont="1" applyBorder="1" applyAlignment="1">
      <alignment horizontal="center" vertical="center" wrapText="1"/>
    </xf>
    <xf numFmtId="0" fontId="63" fillId="7" borderId="17" xfId="0" applyFont="1" applyFill="1" applyBorder="1" applyAlignment="1">
      <alignment horizontal="center" vertical="center" wrapText="1"/>
    </xf>
    <xf numFmtId="0" fontId="63" fillId="14" borderId="17" xfId="0" applyFont="1" applyFill="1" applyBorder="1" applyAlignment="1">
      <alignment horizontal="center" vertical="center" wrapText="1"/>
    </xf>
    <xf numFmtId="168" fontId="63" fillId="0" borderId="17" xfId="1" applyNumberFormat="1" applyFont="1" applyFill="1" applyBorder="1" applyAlignment="1">
      <alignment vertical="center"/>
    </xf>
    <xf numFmtId="168" fontId="63" fillId="14" borderId="17" xfId="1" applyNumberFormat="1" applyFont="1" applyFill="1" applyBorder="1" applyAlignment="1">
      <alignment vertical="center"/>
    </xf>
    <xf numFmtId="168" fontId="63" fillId="7" borderId="17" xfId="1" applyNumberFormat="1" applyFont="1" applyFill="1" applyBorder="1" applyAlignment="1">
      <alignment vertical="center"/>
    </xf>
    <xf numFmtId="168" fontId="62" fillId="0" borderId="0" xfId="0" applyNumberFormat="1" applyFont="1" applyAlignment="1">
      <alignment vertical="center"/>
    </xf>
    <xf numFmtId="168" fontId="63" fillId="14" borderId="3" xfId="0" applyNumberFormat="1" applyFont="1" applyFill="1" applyBorder="1" applyAlignment="1">
      <alignment vertical="center"/>
    </xf>
    <xf numFmtId="168" fontId="63" fillId="7" borderId="3" xfId="0" applyNumberFormat="1" applyFont="1" applyFill="1" applyBorder="1" applyAlignment="1">
      <alignment vertical="center"/>
    </xf>
    <xf numFmtId="0" fontId="7" fillId="14" borderId="0" xfId="0" applyFont="1" applyFill="1" applyAlignment="1">
      <alignment horizontal="center"/>
    </xf>
    <xf numFmtId="43" fontId="5" fillId="14" borderId="0" xfId="0" applyNumberFormat="1" applyFont="1" applyFill="1"/>
    <xf numFmtId="43" fontId="66" fillId="0" borderId="2" xfId="1" applyFont="1" applyFill="1" applyBorder="1"/>
    <xf numFmtId="43" fontId="63" fillId="7" borderId="2" xfId="1" applyFont="1" applyFill="1" applyBorder="1"/>
    <xf numFmtId="0" fontId="63" fillId="18" borderId="33" xfId="0" applyFont="1" applyFill="1" applyBorder="1" applyAlignment="1">
      <alignment horizontal="center"/>
    </xf>
    <xf numFmtId="43" fontId="64" fillId="0" borderId="0" xfId="1" applyFont="1" applyFill="1" applyAlignment="1">
      <alignment vertical="center"/>
    </xf>
    <xf numFmtId="14" fontId="61" fillId="17" borderId="0" xfId="0" applyNumberFormat="1" applyFont="1" applyFill="1" applyAlignment="1">
      <alignment horizontal="center" vertical="center"/>
    </xf>
    <xf numFmtId="43" fontId="61" fillId="0" borderId="10" xfId="2" applyNumberFormat="1" applyFont="1" applyBorder="1" applyAlignment="1">
      <alignment vertical="center"/>
    </xf>
    <xf numFmtId="43" fontId="57" fillId="0" borderId="10" xfId="2" applyNumberFormat="1" applyFont="1" applyBorder="1" applyAlignment="1">
      <alignment vertical="center"/>
    </xf>
    <xf numFmtId="0" fontId="61" fillId="29" borderId="0" xfId="0" applyFont="1" applyFill="1" applyAlignment="1">
      <alignment horizontal="center" vertical="center"/>
    </xf>
    <xf numFmtId="0" fontId="61" fillId="29" borderId="0" xfId="0" applyFont="1" applyFill="1" applyAlignment="1">
      <alignment vertical="center"/>
    </xf>
    <xf numFmtId="14" fontId="61" fillId="29" borderId="0" xfId="0" applyNumberFormat="1" applyFont="1" applyFill="1" applyAlignment="1">
      <alignment horizontal="center" vertical="center"/>
    </xf>
    <xf numFmtId="43" fontId="61" fillId="29" borderId="0" xfId="1" applyFont="1" applyFill="1" applyAlignment="1">
      <alignment vertical="center"/>
    </xf>
    <xf numFmtId="0" fontId="63" fillId="29" borderId="0" xfId="0" applyFont="1" applyFill="1" applyAlignment="1">
      <alignment horizontal="center"/>
    </xf>
    <xf numFmtId="43" fontId="62" fillId="29" borderId="2" xfId="1" applyFont="1" applyFill="1" applyBorder="1"/>
    <xf numFmtId="14" fontId="68" fillId="0" borderId="2" xfId="0" applyNumberFormat="1" applyFont="1" applyBorder="1" applyAlignment="1">
      <alignment horizontal="center"/>
    </xf>
    <xf numFmtId="0" fontId="63" fillId="7" borderId="0" xfId="0" applyFont="1" applyFill="1" applyAlignment="1">
      <alignment horizontal="center"/>
    </xf>
    <xf numFmtId="0" fontId="62" fillId="7" borderId="2" xfId="0" applyFont="1" applyFill="1" applyBorder="1"/>
    <xf numFmtId="14" fontId="62" fillId="7" borderId="2" xfId="0" applyNumberFormat="1" applyFont="1" applyFill="1" applyBorder="1" applyAlignment="1">
      <alignment horizontal="center"/>
    </xf>
    <xf numFmtId="0" fontId="62" fillId="7" borderId="2" xfId="0" applyFont="1" applyFill="1" applyBorder="1" applyAlignment="1">
      <alignment horizontal="center"/>
    </xf>
    <xf numFmtId="43" fontId="62" fillId="7" borderId="2" xfId="1" applyFont="1" applyFill="1" applyBorder="1"/>
    <xf numFmtId="0" fontId="17" fillId="7" borderId="0" xfId="0" applyFont="1" applyFill="1"/>
    <xf numFmtId="0" fontId="66" fillId="7" borderId="2" xfId="0" applyFont="1" applyFill="1" applyBorder="1"/>
    <xf numFmtId="14" fontId="66" fillId="7" borderId="2" xfId="0" applyNumberFormat="1" applyFont="1" applyFill="1" applyBorder="1" applyAlignment="1">
      <alignment horizontal="center"/>
    </xf>
    <xf numFmtId="14" fontId="64" fillId="7" borderId="0" xfId="0" applyNumberFormat="1" applyFont="1" applyFill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0" fontId="61" fillId="6" borderId="0" xfId="0" applyFont="1" applyFill="1" applyAlignment="1">
      <alignment vertical="center"/>
    </xf>
    <xf numFmtId="14" fontId="61" fillId="6" borderId="0" xfId="0" applyNumberFormat="1" applyFont="1" applyFill="1" applyAlignment="1">
      <alignment horizontal="center" vertical="center"/>
    </xf>
    <xf numFmtId="43" fontId="61" fillId="6" borderId="0" xfId="1" applyFont="1" applyFill="1" applyAlignment="1">
      <alignment vertical="center"/>
    </xf>
    <xf numFmtId="43" fontId="80" fillId="29" borderId="17" xfId="1" applyFont="1" applyFill="1" applyBorder="1" applyAlignment="1">
      <alignment vertical="center"/>
    </xf>
    <xf numFmtId="0" fontId="107" fillId="0" borderId="0" xfId="0" applyFont="1"/>
    <xf numFmtId="14" fontId="2" fillId="0" borderId="0" xfId="0" applyNumberFormat="1" applyFont="1" applyAlignment="1">
      <alignment horizontal="center" vertical="center"/>
    </xf>
    <xf numFmtId="43" fontId="63" fillId="30" borderId="2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08" fillId="0" borderId="0" xfId="0" applyFont="1" applyAlignment="1">
      <alignment vertical="center"/>
    </xf>
    <xf numFmtId="43" fontId="109" fillId="0" borderId="0" xfId="0" applyNumberFormat="1" applyFont="1" applyAlignment="1">
      <alignment vertical="center"/>
    </xf>
    <xf numFmtId="0" fontId="61" fillId="15" borderId="0" xfId="0" applyFont="1" applyFill="1" applyAlignment="1">
      <alignment horizontal="center" vertical="center"/>
    </xf>
    <xf numFmtId="166" fontId="3" fillId="0" borderId="1" xfId="1" applyNumberFormat="1" applyFont="1" applyBorder="1" applyAlignment="1">
      <alignment horizontal="center"/>
    </xf>
    <xf numFmtId="0" fontId="63" fillId="0" borderId="17" xfId="0" applyFont="1" applyBorder="1" applyAlignment="1">
      <alignment horizontal="center" vertical="center"/>
    </xf>
    <xf numFmtId="0" fontId="84" fillId="14" borderId="23" xfId="0" applyFont="1" applyFill="1" applyBorder="1" applyAlignment="1">
      <alignment horizontal="center" vertical="center"/>
    </xf>
    <xf numFmtId="0" fontId="84" fillId="14" borderId="14" xfId="0" applyFont="1" applyFill="1" applyBorder="1" applyAlignment="1">
      <alignment horizontal="center" vertical="center"/>
    </xf>
    <xf numFmtId="0" fontId="84" fillId="14" borderId="24" xfId="0" applyFont="1" applyFill="1" applyBorder="1" applyAlignment="1">
      <alignment horizontal="center" vertical="center"/>
    </xf>
    <xf numFmtId="0" fontId="85" fillId="14" borderId="25" xfId="0" applyFont="1" applyFill="1" applyBorder="1" applyAlignment="1">
      <alignment horizontal="center" vertical="center"/>
    </xf>
    <xf numFmtId="0" fontId="85" fillId="14" borderId="0" xfId="0" applyFont="1" applyFill="1" applyAlignment="1">
      <alignment horizontal="center" vertical="center"/>
    </xf>
    <xf numFmtId="0" fontId="85" fillId="14" borderId="26" xfId="0" applyFont="1" applyFill="1" applyBorder="1" applyAlignment="1">
      <alignment horizontal="center" vertical="center"/>
    </xf>
    <xf numFmtId="17" fontId="86" fillId="14" borderId="27" xfId="0" applyNumberFormat="1" applyFont="1" applyFill="1" applyBorder="1" applyAlignment="1">
      <alignment horizontal="center" vertical="center"/>
    </xf>
    <xf numFmtId="17" fontId="86" fillId="14" borderId="10" xfId="0" applyNumberFormat="1" applyFont="1" applyFill="1" applyBorder="1" applyAlignment="1">
      <alignment horizontal="center" vertical="center"/>
    </xf>
    <xf numFmtId="0" fontId="86" fillId="14" borderId="10" xfId="0" applyFont="1" applyFill="1" applyBorder="1" applyAlignment="1">
      <alignment horizontal="center" vertical="center"/>
    </xf>
    <xf numFmtId="0" fontId="86" fillId="14" borderId="28" xfId="0" applyFont="1" applyFill="1" applyBorder="1" applyAlignment="1">
      <alignment horizontal="center" vertical="center"/>
    </xf>
  </cellXfs>
  <cellStyles count="11">
    <cellStyle name="Comma" xfId="1" builtinId="3"/>
    <cellStyle name="Currency" xfId="4" builtinId="4"/>
    <cellStyle name="Hyperlink" xfId="3" builtinId="8"/>
    <cellStyle name="Millares 10" xfId="10" xr:uid="{8E18C0F6-FC79-4F34-8988-5ABF7DE2DED3}"/>
    <cellStyle name="Millares 2" xfId="5" xr:uid="{A6545C31-FD21-4DBA-8DDD-D4412C0D6732}"/>
    <cellStyle name="Millares 3" xfId="9" xr:uid="{DE824227-AC3D-4AF1-8946-CF10638F7CAF}"/>
    <cellStyle name="Moneda 2" xfId="6" xr:uid="{192A0534-EDDB-4411-B87E-5484A5BD7BCA}"/>
    <cellStyle name="Normal" xfId="0" builtinId="0"/>
    <cellStyle name="Normal 2 2" xfId="8" xr:uid="{D86BBD90-6F7D-445C-9757-20786A72E0D8}"/>
    <cellStyle name="Normal 24" xfId="7" xr:uid="{9B7B5F10-8DAC-47B8-A18D-66BDDCE758AE}"/>
    <cellStyle name="Percent" xfId="2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theme="1" tint="4.9989318521683403E-2"/>
      </font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/>
    </dxf>
    <dxf>
      <alignment horizontal="center"/>
    </dxf>
    <dxf>
      <alignment horizontal="center"/>
    </dxf>
    <dxf>
      <numFmt numFmtId="168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numFmt numFmtId="168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9" formatCode="dd/mm/yyyy"/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8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9" formatCode="dd/mm/yyyy"/>
    </dxf>
    <dxf>
      <numFmt numFmtId="19" formatCode="dd/mm/yyyy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1" defaultTableStyle="TableStyleMedium2" defaultPivotStyle="PivotStyleLight16">
    <tableStyle name="Invisible" pivot="0" table="0" count="0" xr9:uid="{BB4F2952-339E-4F90-AFA7-6C11BAB8DD1E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4D411D9C-8FD0-49C5-AE1A-4800DF1E6A4B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Leonel Molina" id="{E324A88B-733D-4D59-9ACC-186E94EA6A43}" userId="S::leonel.molina@grupoorion.com.gt::d081fb18-57fa-4fa3-9faa-37e6506e6e5c" providerId="AD"/>
  <person displayName="Mirna Acajabon" id="{4AFF146B-9538-407C-8F96-AE93D5A62E1B}" userId="S::mirna.acajabon@grupoorion.com.gt::b9d40b3f-3518-4c7b-8c7a-88bdfaf7e29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2R" refreshedDate="45750.967994907405" createdVersion="8" refreshedVersion="8" minRefreshableVersion="3" recordCount="78" xr:uid="{4904CD86-183A-43BA-85BC-A0D9FA07340B}">
  <cacheSource type="worksheet">
    <worksheetSource ref="E4:F4" sheet="BENES"/>
  </cacheSource>
  <cacheFields count="44">
    <cacheField name="Apto" numFmtId="0">
      <sharedItems containsSemiMixedTypes="0" containsString="0" containsNumber="1" containsInteger="1" minValue="101" maxValue="613" count="78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</sharedItems>
    </cacheField>
    <cacheField name="Torre" numFmtId="0">
      <sharedItems/>
    </cacheField>
    <cacheField name="Tipo" numFmtId="0">
      <sharedItems/>
    </cacheField>
    <cacheField name="Vendedor" numFmtId="0">
      <sharedItems containsBlank="1"/>
    </cacheField>
    <cacheField name="Cliente" numFmtId="0">
      <sharedItems containsBlank="1"/>
    </cacheField>
    <cacheField name="Reservado" numFmtId="14">
      <sharedItems containsNonDate="0" containsDate="1" containsString="0" containsBlank="1" minDate="2023-10-02T00:00:00" maxDate="2025-04-01T00:00:00"/>
    </cacheField>
    <cacheField name="Estatus" numFmtId="0">
      <sharedItems/>
    </cacheField>
    <cacheField name="Precio de Venta" numFmtId="43">
      <sharedItems containsSemiMixedTypes="0" containsString="0" containsNumber="1" containsInteger="1" minValue="369600" maxValue="507200"/>
    </cacheField>
    <cacheField name="Enganche" numFmtId="43">
      <sharedItems containsSemiMixedTypes="0" containsString="0" containsNumber="1" containsInteger="1" minValue="18500" maxValue="100000"/>
    </cacheField>
    <cacheField name="mar-23" numFmtId="43">
      <sharedItems containsNonDate="0" containsString="0" containsBlank="1"/>
    </cacheField>
    <cacheField name="abr-23" numFmtId="43">
      <sharedItems containsNonDate="0" containsString="0" containsBlank="1"/>
    </cacheField>
    <cacheField name="may-23" numFmtId="43">
      <sharedItems containsNonDate="0" containsString="0" containsBlank="1"/>
    </cacheField>
    <cacheField name="jun-23" numFmtId="43">
      <sharedItems containsNonDate="0" containsString="0" containsBlank="1"/>
    </cacheField>
    <cacheField name="jul-23" numFmtId="43">
      <sharedItems containsNonDate="0" containsString="0" containsBlank="1"/>
    </cacheField>
    <cacheField name="ago-23" numFmtId="43">
      <sharedItems containsString="0" containsBlank="1" containsNumber="1" containsInteger="1" minValue="0" maxValue="0"/>
    </cacheField>
    <cacheField name="sep-23" numFmtId="43">
      <sharedItems containsString="0" containsBlank="1" containsNumber="1" containsInteger="1" minValue="0" maxValue="0"/>
    </cacheField>
    <cacheField name="oct-23" numFmtId="43">
      <sharedItems containsString="0" containsBlank="1" containsNumber="1" minValue="0" maxValue="3323.33"/>
    </cacheField>
    <cacheField name="nov-23" numFmtId="43">
      <sharedItems containsString="0" containsBlank="1" containsNumber="1" minValue="0" maxValue="2434.7399999999998"/>
    </cacheField>
    <cacheField name="dic-23" numFmtId="43">
      <sharedItems containsString="0" containsBlank="1" containsNumber="1" minValue="0" maxValue="2434.7399999999998"/>
    </cacheField>
    <cacheField name="ene-24" numFmtId="43">
      <sharedItems containsString="0" containsBlank="1" containsNumber="1" minValue="0" maxValue="4647.62"/>
    </cacheField>
    <cacheField name="feb-24" numFmtId="43">
      <sharedItems containsString="0" containsBlank="1" containsNumber="1" minValue="0" maxValue="2434.7399999999998"/>
    </cacheField>
    <cacheField name="mar-24" numFmtId="43">
      <sharedItems containsString="0" containsBlank="1" containsNumber="1" minValue="0" maxValue="3228.57"/>
    </cacheField>
    <cacheField name="abr-24" numFmtId="43">
      <sharedItems containsString="0" containsBlank="1" containsNumber="1" minValue="0" maxValue="4646.66"/>
    </cacheField>
    <cacheField name="may-24" numFmtId="43">
      <sharedItems containsString="0" containsBlank="1" containsNumber="1" minValue="0" maxValue="2500"/>
    </cacheField>
    <cacheField name="jun-24" numFmtId="43">
      <sharedItems containsString="0" containsBlank="1" containsNumber="1" minValue="0" maxValue="2434.7399999999998"/>
    </cacheField>
    <cacheField name="jul-24" numFmtId="43">
      <sharedItems containsString="0" containsBlank="1" containsNumber="1" minValue="0" maxValue="4647.62"/>
    </cacheField>
    <cacheField name="ago-24" numFmtId="43">
      <sharedItems containsString="0" containsBlank="1" containsNumber="1" minValue="0" maxValue="4666.66"/>
    </cacheField>
    <cacheField name="sep-24" numFmtId="43">
      <sharedItems containsString="0" containsBlank="1" containsNumber="1" minValue="0" maxValue="5000"/>
    </cacheField>
    <cacheField name="oct-24" numFmtId="43">
      <sharedItems containsString="0" containsBlank="1" containsNumber="1" minValue="0" maxValue="4647.62"/>
    </cacheField>
    <cacheField name="nov-24" numFmtId="43">
      <sharedItems containsString="0" containsBlank="1" containsNumber="1" minValue="0" maxValue="2647.06"/>
    </cacheField>
    <cacheField name="dic-24" numFmtId="43">
      <sharedItems containsString="0" containsBlank="1" containsNumber="1" minValue="0" maxValue="5921.05"/>
    </cacheField>
    <cacheField name="ene-25" numFmtId="43">
      <sharedItems containsString="0" containsBlank="1" containsNumber="1" minValue="0" maxValue="3406.36"/>
    </cacheField>
    <cacheField name="feb-25" numFmtId="43">
      <sharedItems containsString="0" containsBlank="1" containsNumber="1" minValue="0" maxValue="3600"/>
    </cacheField>
    <cacheField name="mar-25" numFmtId="43">
      <sharedItems containsString="0" containsBlank="1" containsNumber="1" minValue="500" maxValue="4457.1400000000003"/>
    </cacheField>
    <cacheField name="TOTAL COBROS Y RESERVAS" numFmtId="43">
      <sharedItems containsSemiMixedTypes="0" containsString="0" containsNumber="1" minValue="0" maxValue="41815.57999999998"/>
    </cacheField>
    <cacheField name="% Cobro" numFmtId="9">
      <sharedItems containsSemiMixedTypes="0" containsString="0" containsNumber="1" minValue="0" maxValue="0.8449298848252168"/>
    </cacheField>
    <cacheField name="SALDO PENDIENTE ENGANCHE" numFmtId="43">
      <sharedItems containsSemiMixedTypes="0" containsString="0" containsNumber="1" minValue="7155" maxValue="94100"/>
    </cacheField>
    <cacheField name="% Pendiente" numFmtId="9">
      <sharedItems containsSemiMixedTypes="0" containsString="0" containsNumber="1" minValue="0.1550701151747832" maxValue="1"/>
    </cacheField>
    <cacheField name="VALOR A FINANCIAR BANCO" numFmtId="43">
      <sharedItems containsSemiMixedTypes="0" containsString="0" containsNumber="1" minValue="353355" maxValue="507200"/>
    </cacheField>
    <cacheField name="% a Financiar" numFmtId="10">
      <sharedItems containsSemiMixedTypes="0" containsString="0" containsNumber="1" minValue="0.91550701151747838" maxValue="1"/>
    </cacheField>
    <cacheField name="Total de Cobro Ppto" numFmtId="43">
      <sharedItems containsSemiMixedTypes="0" containsString="0" containsNumber="1" minValue="0" maxValue="44620.57999999998"/>
    </cacheField>
    <cacheField name="Variación ppto versus cobro real" numFmtId="43">
      <sharedItems containsSemiMixedTypes="0" containsString="0" containsNumber="1" minValue="-2368.4200000000019" maxValue="28953.839999999997"/>
    </cacheField>
    <cacheField name="ESTATUS CLIENTE" numFmtId="0">
      <sharedItems count="5">
        <s v="Superavit de enganche"/>
        <s v="Cliente atrasado"/>
        <s v="Cliente disponible"/>
        <s v="Cliente al día"/>
        <s v="Pendiente plan de pagos"/>
      </sharedItems>
    </cacheField>
    <cacheField name="Cuotas" numFmtId="168">
      <sharedItems containsSemiMixedTypes="0" containsString="0" containsNumber="1" minValue="-2" maxValue="12.047639999999994" count="56">
        <n v="-2"/>
        <n v="3"/>
        <n v="0"/>
        <n v="1"/>
        <n v="4"/>
        <n v="-1"/>
        <n v="10"/>
        <n v="11"/>
        <n v="5"/>
        <n v="2"/>
        <n v="12"/>
        <n v="8"/>
        <n v="7"/>
        <n v="-0.98107458333333508" u="1"/>
        <n v="2.9679112970711317" u="1"/>
        <n v="2.03125" u="1"/>
        <n v="1.3690357429718885" u="1"/>
        <n v="3.6678359832635978" u="1"/>
        <n v="-6.8971428571364532E-3" u="1"/>
        <n v="4.2401020920502086" u="1"/>
        <n v="1.1335623358254197" u="1"/>
        <n v="2.5051600000000009" u="1"/>
        <n v="10.087750000000003" u="1"/>
        <n v="10.592137500000003" u="1"/>
        <n v="0.9985354166666689" u="1"/>
        <n v="5.0030594142259401" u="1"/>
        <n v="1.0349584337349411" u="1"/>
        <n v="1.985295" u="1"/>
        <n v="0.99264750000000068" u="1"/>
        <n v="-1.9736833333333357" u="1"/>
        <n v="1.0174841558441559" u="1"/>
        <n v="1.1035259648413822" u="1"/>
        <n v="1.0310899581589974" u="1"/>
        <n v="1.0093338755918397" u="1"/>
        <n v="0.97739246861924645" u="1"/>
        <n v="-0.72187499999999993" u="1"/>
        <n v="0.15857740585774205" u="1"/>
        <n v="2.0740711111111119" u="1"/>
        <n v="2.2845188284518829" u="1"/>
        <n v="0.98619246861924803" u="1"/>
        <n v="0.252" u="1"/>
        <n v="1.0402719665271967" u="1"/>
        <n v="4.9632375000000017" u="1"/>
        <n v="4.0176399999999965" u="1"/>
        <n v="0.97635135135135132" u="1"/>
        <n v="12.047639999999994" u="1"/>
        <n v="7.7613823293172706" u="1"/>
        <n v="-1.9645833333308922E-3" u="1"/>
        <n v="7.2054811715481151" u="1"/>
        <n v="0.98684166666666628" u="1"/>
        <n v="0.9672864864864863" u="1"/>
        <n v="7.0352133891213366" u="1"/>
        <n v="0.984375" u="1"/>
        <n v="4.3124999999895395E-4" u="1"/>
        <n v="9" u="1"/>
        <n v="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shua Garcia" refreshedDate="45875.775749537039" createdVersion="8" refreshedVersion="8" minRefreshableVersion="3" recordCount="298" xr:uid="{E7A8314F-A5E8-475E-A8C7-B9151152BCCE}">
  <cacheSource type="worksheet">
    <worksheetSource ref="B6:AX304" sheet="BOULEVARD 5 orig."/>
  </cacheSource>
  <cacheFields count="49">
    <cacheField name="Apto" numFmtId="0">
      <sharedItems containsSemiMixedTypes="0" containsString="0" containsNumber="1" containsInteger="1" minValue="101" maxValue="1905"/>
    </cacheField>
    <cacheField name="Vendedor" numFmtId="0">
      <sharedItems containsBlank="1"/>
    </cacheField>
    <cacheField name="Cliente" numFmtId="0">
      <sharedItems containsBlank="1"/>
    </cacheField>
    <cacheField name="Reservado" numFmtId="14">
      <sharedItems containsNonDate="0" containsDate="1" containsString="0" containsBlank="1" minDate="2023-03-10T00:00:00" maxDate="2025-04-06T00:00:00"/>
    </cacheField>
    <cacheField name="Tipo" numFmtId="0">
      <sharedItems/>
    </cacheField>
    <cacheField name="Estatus" numFmtId="0">
      <sharedItems/>
    </cacheField>
    <cacheField name="Precio de Venta" numFmtId="43">
      <sharedItems containsSemiMixedTypes="0" containsString="0" containsNumber="1" minValue="611949.49679780402" maxValue="1543626.9723517401"/>
    </cacheField>
    <cacheField name="Enganche" numFmtId="43">
      <sharedItems containsSemiMixedTypes="0" containsString="0" containsNumber="1" minValue="61249.5" maxValue="890081.34"/>
    </cacheField>
    <cacheField name="mar-23" numFmtId="43">
      <sharedItems containsSemiMixedTypes="0" containsString="0" containsNumber="1" containsInteger="1" minValue="0" maxValue="15000"/>
    </cacheField>
    <cacheField name="abr-23" numFmtId="43">
      <sharedItems containsSemiMixedTypes="0" containsString="0" containsNumber="1" containsInteger="1" minValue="0" maxValue="12000"/>
    </cacheField>
    <cacheField name="may-23" numFmtId="43">
      <sharedItems containsSemiMixedTypes="0" containsString="0" containsNumber="1" containsInteger="1" minValue="0" maxValue="12000"/>
    </cacheField>
    <cacheField name="jun-23" numFmtId="43">
      <sharedItems containsSemiMixedTypes="0" containsString="0" containsNumber="1" minValue="0" maxValue="89008.13"/>
    </cacheField>
    <cacheField name="jul-23" numFmtId="43">
      <sharedItems containsSemiMixedTypes="0" containsString="0" containsNumber="1" containsInteger="1" minValue="0" maxValue="29447"/>
    </cacheField>
    <cacheField name="ago-23" numFmtId="43">
      <sharedItems containsSemiMixedTypes="0" containsString="0" containsNumber="1" containsInteger="1" minValue="0" maxValue="244000"/>
    </cacheField>
    <cacheField name="sep-23" numFmtId="43">
      <sharedItems containsSemiMixedTypes="0" containsString="0" containsNumber="1" minValue="0" maxValue="576342"/>
    </cacheField>
    <cacheField name="oct-23" numFmtId="43">
      <sharedItems containsSemiMixedTypes="0" containsString="0" containsNumber="1" containsInteger="1" minValue="0" maxValue="29447"/>
    </cacheField>
    <cacheField name="nov-23" numFmtId="43">
      <sharedItems containsSemiMixedTypes="0" containsString="0" containsNumber="1" containsInteger="1" minValue="0" maxValue="29447"/>
    </cacheField>
    <cacheField name="dic-23" numFmtId="43">
      <sharedItems containsSemiMixedTypes="0" containsString="0" containsNumber="1" containsInteger="1" minValue="0" maxValue="29447"/>
    </cacheField>
    <cacheField name="ene-24" numFmtId="43">
      <sharedItems containsSemiMixedTypes="0" containsString="0" containsNumber="1" containsInteger="1" minValue="0" maxValue="29447"/>
    </cacheField>
    <cacheField name="feb-24" numFmtId="43">
      <sharedItems containsSemiMixedTypes="0" containsString="0" containsNumber="1" containsInteger="1" minValue="0" maxValue="29447"/>
    </cacheField>
    <cacheField name="mar-24" numFmtId="43">
      <sharedItems containsSemiMixedTypes="0" containsString="0" containsNumber="1" containsInteger="1" minValue="0" maxValue="29447"/>
    </cacheField>
    <cacheField name="abr-24" numFmtId="43">
      <sharedItems containsSemiMixedTypes="0" containsString="0" containsNumber="1" containsInteger="1" minValue="0" maxValue="32022"/>
    </cacheField>
    <cacheField name="may-24" numFmtId="43">
      <sharedItems containsSemiMixedTypes="0" containsString="0" containsNumber="1" containsInteger="1" minValue="0" maxValue="18000"/>
    </cacheField>
    <cacheField name="jun-24" numFmtId="43">
      <sharedItems containsSemiMixedTypes="0" containsString="0" containsNumber="1" containsInteger="1" minValue="0" maxValue="58894"/>
    </cacheField>
    <cacheField name="jul-24" numFmtId="43">
      <sharedItems containsSemiMixedTypes="0" containsString="0" containsNumber="1" containsInteger="1" minValue="0" maxValue="29447"/>
    </cacheField>
    <cacheField name="ago-24" numFmtId="43">
      <sharedItems containsSemiMixedTypes="0" containsString="0" containsNumber="1" minValue="0" maxValue="79113.05"/>
    </cacheField>
    <cacheField name="sep-24" numFmtId="43">
      <sharedItems containsSemiMixedTypes="0" containsString="0" containsNumber="1" minValue="0" maxValue="84146.71"/>
    </cacheField>
    <cacheField name="oct-24" numFmtId="43">
      <sharedItems containsSemiMixedTypes="0" containsString="0" containsNumber="1" minValue="0" maxValue="854446.02"/>
    </cacheField>
    <cacheField name="nov-24" numFmtId="43">
      <sharedItems containsSemiMixedTypes="0" containsString="0" containsNumber="1" minValue="0" maxValue="129140"/>
    </cacheField>
    <cacheField name="dic-24" numFmtId="43">
      <sharedItems containsSemiMixedTypes="0" containsString="0" containsNumber="1" minValue="0" maxValue="470000"/>
    </cacheField>
    <cacheField name="ene-25" numFmtId="43">
      <sharedItems containsSemiMixedTypes="0" containsString="0" containsNumber="1" minValue="0" maxValue="40000"/>
    </cacheField>
    <cacheField name="feb-25" numFmtId="43">
      <sharedItems containsSemiMixedTypes="0" containsString="0" containsNumber="1" minValue="0" maxValue="40000"/>
    </cacheField>
    <cacheField name="mar-25" numFmtId="43">
      <sharedItems containsSemiMixedTypes="0" containsString="0" containsNumber="1" minValue="0" maxValue="50000"/>
    </cacheField>
    <cacheField name="abr-25" numFmtId="43">
      <sharedItems containsSemiMixedTypes="0" containsString="0" containsNumber="1" containsInteger="1" minValue="0" maxValue="8000"/>
    </cacheField>
    <cacheField name="TOTAL COBROS Y RESERVAS" numFmtId="43">
      <sharedItems containsSemiMixedTypes="0" containsString="0" containsNumber="1" minValue="0" maxValue="864446.02"/>
    </cacheField>
    <cacheField name="% Cobro" numFmtId="9">
      <sharedItems containsSemiMixedTypes="0" containsString="0" containsNumber="1" minValue="0" maxValue="5.2960249274164859"/>
    </cacheField>
    <cacheField name="SALDO PENDIENTE ENGANCHE" numFmtId="43">
      <sharedItems containsSemiMixedTypes="0" containsString="0" containsNumber="1" minValue="-235580.20999999996" maxValue="670311.39"/>
    </cacheField>
    <cacheField name="% Pendiente" numFmtId="9">
      <sharedItems containsSemiMixedTypes="0" containsString="0" containsNumber="1" minValue="-1" maxValue="4.2960249274164859"/>
    </cacheField>
    <cacheField name="Monto a Financiar por Banco" numFmtId="43">
      <sharedItems containsSemiMixedTypes="0" containsString="0" containsNumber="1" minValue="0" maxValue="1543626.9723517401"/>
    </cacheField>
    <cacheField name="% a Financiar" numFmtId="10">
      <sharedItems containsSemiMixedTypes="0" containsString="0" containsNumber="1" minValue="0" maxValue="1"/>
    </cacheField>
    <cacheField name="Proyección de Cobros (S/ Modelo Financiero)" numFmtId="43">
      <sharedItems containsSemiMixedTypes="0" containsString="0" containsNumber="1" minValue="0" maxValue="890081.34"/>
    </cacheField>
    <cacheField name="Proyección de pagos clientes" numFmtId="43">
      <sharedItems containsNonDate="0" containsString="0" containsBlank="1"/>
    </cacheField>
    <cacheField name="Status inmueble" numFmtId="0">
      <sharedItems/>
    </cacheField>
    <cacheField name="ESTATUS CLIENTE" numFmtId="0">
      <sharedItems count="9">
        <s v="Cliente Atrasado"/>
        <s v="Disponible"/>
        <s v="Superávit de Enganche"/>
        <s v="Enganche Completado"/>
        <s v="Superavit de enganche" u="1"/>
        <s v="Cliente Disponible" u="1"/>
        <s v="Pago Especial" u="1"/>
        <s v="Cliente al día" u="1"/>
        <s v="Pendiente plan de pagos" u="1"/>
      </sharedItems>
    </cacheField>
    <cacheField name="Cuotas Pactadas" numFmtId="168">
      <sharedItems containsString="0" containsBlank="1" containsNumber="1" containsInteger="1" minValue="1" maxValue="35"/>
    </cacheField>
    <cacheField name="Cuota de Enganche" numFmtId="168">
      <sharedItems containsSemiMixedTypes="0" containsString="0" containsNumber="1" containsInteger="1" minValue="0" maxValue="1"/>
    </cacheField>
    <cacheField name="Total cuotas pactadas" numFmtId="168">
      <sharedItems containsSemiMixedTypes="0" containsString="0" containsNumber="1" containsInteger="1" minValue="0" maxValue="36"/>
    </cacheField>
    <cacheField name="Monto de Cuota Pactada" numFmtId="43">
      <sharedItems containsBlank="1" containsMixedTypes="1" containsNumber="1" minValue="1000" maxValue="864446.02"/>
    </cacheField>
    <cacheField name="Cuotas Pagadas" numFmtId="0">
      <sharedItems containsSemiMixedTypes="0" containsString="0" containsNumber="1" containsInteger="1" minValue="0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shua Garcia" refreshedDate="45875.775749884262" createdVersion="8" refreshedVersion="8" minRefreshableVersion="3" recordCount="298" xr:uid="{FB336904-2A99-4EF3-87D2-6BCF1EB618AE}">
  <cacheSource type="worksheet">
    <worksheetSource ref="A1:BF299" sheet="BOULEVARD PPTO"/>
  </cacheSource>
  <cacheFields count="58">
    <cacheField name="Apto" numFmtId="0">
      <sharedItems containsSemiMixedTypes="0" containsString="0" containsNumber="1" containsInteger="1" minValue="101" maxValue="1905"/>
    </cacheField>
    <cacheField name="Estatus" numFmtId="0">
      <sharedItems/>
    </cacheField>
    <cacheField name="mar-23" numFmtId="43">
      <sharedItems containsString="0" containsBlank="1" containsNumber="1" containsInteger="1" minValue="6000" maxValue="15000"/>
    </cacheField>
    <cacheField name="abr-23" numFmtId="43">
      <sharedItems containsString="0" containsBlank="1" containsNumber="1" containsInteger="1" minValue="1000" maxValue="12000"/>
    </cacheField>
    <cacheField name="may-23" numFmtId="43">
      <sharedItems containsString="0" containsBlank="1" containsNumber="1" containsInteger="1" minValue="1000" maxValue="6000"/>
    </cacheField>
    <cacheField name="jun-23" numFmtId="43">
      <sharedItems containsString="0" containsBlank="1" containsNumber="1" minValue="1000" maxValue="95008.13"/>
    </cacheField>
    <cacheField name="jul-23" numFmtId="43">
      <sharedItems containsString="0" containsBlank="1" containsNumber="1" minValue="1000" maxValue="69127.17"/>
    </cacheField>
    <cacheField name="ago-23" numFmtId="43">
      <sharedItems containsString="0" containsBlank="1" containsNumber="1" containsInteger="1" minValue="1000" maxValue="100000"/>
    </cacheField>
    <cacheField name="sep-23" numFmtId="43">
      <sharedItems containsString="0" containsBlank="1" containsNumber="1" containsInteger="1" minValue="1000" maxValue="29447"/>
    </cacheField>
    <cacheField name="oct-23" numFmtId="43">
      <sharedItems containsString="0" containsBlank="1" containsNumber="1" containsInteger="1" minValue="1000" maxValue="29447"/>
    </cacheField>
    <cacheField name="nov-23" numFmtId="43">
      <sharedItems containsString="0" containsBlank="1" containsNumber="1" minValue="1000" maxValue="29447"/>
    </cacheField>
    <cacheField name="dic-23" numFmtId="43">
      <sharedItems containsString="0" containsBlank="1" containsNumber="1" minValue="1000" maxValue="40000"/>
    </cacheField>
    <cacheField name="ene-24" numFmtId="43">
      <sharedItems containsString="0" containsBlank="1" containsNumber="1" minValue="1000" maxValue="29447"/>
    </cacheField>
    <cacheField name="feb-24" numFmtId="43">
      <sharedItems containsString="0" containsBlank="1" containsNumber="1" minValue="1000" maxValue="29447"/>
    </cacheField>
    <cacheField name="mar-24" numFmtId="43">
      <sharedItems containsString="0" containsBlank="1" containsNumber="1" minValue="1000" maxValue="29447"/>
    </cacheField>
    <cacheField name="abr-24" numFmtId="43">
      <sharedItems containsString="0" containsBlank="1" containsNumber="1" minValue="1000" maxValue="29447"/>
    </cacheField>
    <cacheField name="may-24" numFmtId="43">
      <sharedItems containsString="0" containsBlank="1" containsNumber="1" minValue="1000" maxValue="29447"/>
    </cacheField>
    <cacheField name="jun-24" numFmtId="43">
      <sharedItems containsString="0" containsBlank="1" containsNumber="1" minValue="1000" maxValue="29447"/>
    </cacheField>
    <cacheField name="jul-24" numFmtId="43">
      <sharedItems containsString="0" containsBlank="1" containsNumber="1" minValue="1000" maxValue="29447"/>
    </cacheField>
    <cacheField name="ago-24" numFmtId="43">
      <sharedItems containsString="0" containsBlank="1" containsNumber="1" minValue="1000" maxValue="854446.02"/>
    </cacheField>
    <cacheField name="sep-24" numFmtId="43">
      <sharedItems containsString="0" containsBlank="1" containsNumber="1" minValue="1000" maxValue="84167.1"/>
    </cacheField>
    <cacheField name="oct-24" numFmtId="43">
      <sharedItems containsString="0" containsBlank="1" containsNumber="1" minValue="1000" maxValue="29447"/>
    </cacheField>
    <cacheField name="nov-24" numFmtId="43">
      <sharedItems containsString="0" containsBlank="1" containsNumber="1" minValue="1000" maxValue="129140"/>
    </cacheField>
    <cacheField name="dic-24" numFmtId="43">
      <sharedItems containsString="0" containsBlank="1" containsNumber="1" minValue="1000" maxValue="470006.24"/>
    </cacheField>
    <cacheField name="ene-25" numFmtId="43">
      <sharedItems containsString="0" containsBlank="1" containsNumber="1" minValue="1000" maxValue="275000"/>
    </cacheField>
    <cacheField name="feb-25" numFmtId="43">
      <sharedItems containsString="0" containsBlank="1" containsNumber="1" minValue="1000" maxValue="300000"/>
    </cacheField>
    <cacheField name="mar-25" numFmtId="43">
      <sharedItems containsString="0" containsBlank="1" containsNumber="1" minValue="1000" maxValue="300000"/>
    </cacheField>
    <cacheField name="abr-25" numFmtId="43">
      <sharedItems containsString="0" containsBlank="1" containsNumber="1" minValue="1000" maxValue="29447"/>
    </cacheField>
    <cacheField name="may-25" numFmtId="0">
      <sharedItems containsString="0" containsBlank="1" containsNumber="1" minValue="1000" maxValue="65592.83"/>
    </cacheField>
    <cacheField name="jun-25" numFmtId="43">
      <sharedItems containsString="0" containsBlank="1" containsNumber="1" minValue="1000" maxValue="69050.44"/>
    </cacheField>
    <cacheField name="jul-25" numFmtId="43">
      <sharedItems containsString="0" containsBlank="1" containsNumber="1" minValue="1000" maxValue="541277.04"/>
    </cacheField>
    <cacheField name="ago-25" numFmtId="43">
      <sharedItems containsString="0" containsBlank="1" containsNumber="1" minValue="1000" maxValue="37500"/>
    </cacheField>
    <cacheField name="sep-25" numFmtId="43">
      <sharedItems containsString="0" containsBlank="1" containsNumber="1" minValue="1000" maxValue="55800"/>
    </cacheField>
    <cacheField name="oct-25" numFmtId="43">
      <sharedItems containsString="0" containsBlank="1" containsNumber="1" minValue="1000" maxValue="70000"/>
    </cacheField>
    <cacheField name="nov-25" numFmtId="43">
      <sharedItems containsString="0" containsBlank="1" containsNumber="1" minValue="1000" maxValue="32400"/>
    </cacheField>
    <cacheField name="dic-25" numFmtId="43">
      <sharedItems containsString="0" containsBlank="1" containsNumber="1" minValue="1000" maxValue="32590"/>
    </cacheField>
    <cacheField name="ene-26" numFmtId="43">
      <sharedItems containsString="0" containsBlank="1" containsNumber="1" minValue="1000" maxValue="33396.720000000001"/>
    </cacheField>
    <cacheField name="feb-26" numFmtId="43">
      <sharedItems containsString="0" containsBlank="1" containsNumber="1" minValue="651" maxValue="32400"/>
    </cacheField>
    <cacheField name="mar-26" numFmtId="43">
      <sharedItems containsString="0" containsBlank="1" containsNumber="1" minValue="3500" maxValue="32400"/>
    </cacheField>
    <cacheField name="abr-26" numFmtId="43">
      <sharedItems containsString="0" containsBlank="1" containsNumber="1" minValue="3500" maxValue="32400"/>
    </cacheField>
    <cacheField name="may-26" numFmtId="43">
      <sharedItems containsString="0" containsBlank="1" containsNumber="1" minValue="4200" maxValue="32400"/>
    </cacheField>
    <cacheField name="jun-26" numFmtId="43">
      <sharedItems containsString="0" containsBlank="1" containsNumber="1" minValue="4200" maxValue="217277.04"/>
    </cacheField>
    <cacheField name="jul-26" numFmtId="0">
      <sharedItems containsString="0" containsBlank="1" containsNumber="1" containsInteger="1" minValue="5050" maxValue="5050"/>
    </cacheField>
    <cacheField name="ago-26" numFmtId="43">
      <sharedItems containsNonDate="0" containsString="0" containsBlank="1"/>
    </cacheField>
    <cacheField name="sep-26" numFmtId="43">
      <sharedItems containsNonDate="0" containsString="0" containsBlank="1"/>
    </cacheField>
    <cacheField name="oct-26" numFmtId="43">
      <sharedItems containsNonDate="0" containsString="0" containsBlank="1"/>
    </cacheField>
    <cacheField name="nov-26" numFmtId="43">
      <sharedItems containsNonDate="0" containsString="0" containsBlank="1"/>
    </cacheField>
    <cacheField name="dic-26" numFmtId="43">
      <sharedItems containsNonDate="0" containsString="0" containsBlank="1"/>
    </cacheField>
    <cacheField name="ene-27" numFmtId="43">
      <sharedItems containsNonDate="0" containsString="0" containsBlank="1"/>
    </cacheField>
    <cacheField name="feb-27" numFmtId="43">
      <sharedItems containsNonDate="0" containsString="0" containsBlank="1"/>
    </cacheField>
    <cacheField name="mar-27" numFmtId="43">
      <sharedItems containsNonDate="0" containsString="0" containsBlank="1"/>
    </cacheField>
    <cacheField name="abr-27" numFmtId="43">
      <sharedItems containsNonDate="0" containsString="0" containsBlank="1"/>
    </cacheField>
    <cacheField name="may-27" numFmtId="43">
      <sharedItems containsNonDate="0" containsString="0" containsBlank="1"/>
    </cacheField>
    <cacheField name="jun-27" numFmtId="43">
      <sharedItems containsNonDate="0" containsString="0" containsBlank="1"/>
    </cacheField>
    <cacheField name="TOTAL" numFmtId="43">
      <sharedItems containsSemiMixedTypes="0" containsString="0" containsNumber="1" minValue="0" maxValue="1181561.5"/>
    </cacheField>
    <cacheField name="a" numFmtId="43">
      <sharedItems containsSemiMixedTypes="0" containsString="0" containsNumber="1" minValue="-154362.69723517401" maxValue="1063400"/>
    </cacheField>
    <cacheField name="b" numFmtId="43">
      <sharedItems containsSemiMixedTypes="0" containsString="0" containsNumber="1" minValue="0" maxValue="1175000"/>
    </cacheField>
    <cacheField name="c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shua Garcia" refreshedDate="45875.775750000001" createdVersion="8" refreshedVersion="8" minRefreshableVersion="3" recordCount="73" xr:uid="{3D7D85B7-F305-4D20-8A09-89355CAC1358}">
  <cacheSource type="worksheet">
    <worksheetSource ref="A1:BL112" sheet="BENESTARE PPTO"/>
  </cacheSource>
  <cacheFields count="53">
    <cacheField name="Apto" numFmtId="0">
      <sharedItems containsString="0" containsBlank="1" containsNumber="1" containsInteger="1" minValue="101" maxValue="613"/>
    </cacheField>
    <cacheField name="Torre" numFmtId="0">
      <sharedItems containsBlank="1"/>
    </cacheField>
    <cacheField name="mar-23" numFmtId="43">
      <sharedItems containsString="0" containsBlank="1" containsNumber="1" containsInteger="1" minValue="1000" maxValue="1000"/>
    </cacheField>
    <cacheField name="abr-23" numFmtId="43">
      <sharedItems containsString="0" containsBlank="1" containsNumber="1" minValue="1095.24" maxValue="1095.24"/>
    </cacheField>
    <cacheField name="may-23" numFmtId="43">
      <sharedItems containsString="0" containsBlank="1" containsNumber="1" minValue="1095.24" maxValue="1095.24"/>
    </cacheField>
    <cacheField name="jun-23" numFmtId="43">
      <sharedItems containsString="0" containsBlank="1" containsNumber="1" minValue="1095.24" maxValue="1095.24"/>
    </cacheField>
    <cacheField name="jul-23" numFmtId="43">
      <sharedItems containsString="0" containsBlank="1" containsNumber="1" minValue="1095.24" maxValue="1095.24"/>
    </cacheField>
    <cacheField name="ago-23" numFmtId="43">
      <sharedItems containsString="0" containsBlank="1" containsNumber="1" minValue="1095.24" maxValue="1095.24"/>
    </cacheField>
    <cacheField name="sep-23" numFmtId="43">
      <sharedItems containsString="0" containsBlank="1" containsNumber="1" minValue="1095.24" maxValue="1095.24"/>
    </cacheField>
    <cacheField name="oct-23" numFmtId="43">
      <sharedItems containsString="0" containsBlank="1" containsNumber="1" minValue="500" maxValue="1095.24"/>
    </cacheField>
    <cacheField name="nov-23" numFmtId="43">
      <sharedItems containsString="0" containsBlank="1" containsNumber="1" minValue="300" maxValue="3230"/>
    </cacheField>
    <cacheField name="dic-23" numFmtId="43">
      <sharedItems containsString="0" containsBlank="1" containsNumber="1" minValue="500" maxValue="2436.84"/>
    </cacheField>
    <cacheField name="ene-24" numFmtId="43">
      <sharedItems containsString="0" containsBlank="1" containsNumber="1" minValue="1095.24" maxValue="2436.84"/>
    </cacheField>
    <cacheField name="feb-24" numFmtId="0">
      <sharedItems containsString="0" containsBlank="1" containsNumber="1" minValue="500" maxValue="2436.84"/>
    </cacheField>
    <cacheField name="mar-24" numFmtId="0">
      <sharedItems containsString="0" containsBlank="1" containsNumber="1" minValue="1000" maxValue="2436.84"/>
    </cacheField>
    <cacheField name="abr-24" numFmtId="0">
      <sharedItems containsString="0" containsBlank="1" containsNumber="1" minValue="1000" maxValue="2436.84"/>
    </cacheField>
    <cacheField name="may-24" numFmtId="0">
      <sharedItems containsString="0" containsBlank="1" containsNumber="1" minValue="1022.73" maxValue="2436.84"/>
    </cacheField>
    <cacheField name="jun-24" numFmtId="0">
      <sharedItems containsString="0" containsBlank="1" containsNumber="1" minValue="1022.73" maxValue="2436.84"/>
    </cacheField>
    <cacheField name="jul-24" numFmtId="0">
      <sharedItems containsString="0" containsBlank="1" containsNumber="1" minValue="1022.73" maxValue="2436.84"/>
    </cacheField>
    <cacheField name="ago-24" numFmtId="0">
      <sharedItems containsString="0" containsBlank="1" containsNumber="1" minValue="500" maxValue="2436.84"/>
    </cacheField>
    <cacheField name="sep-24" numFmtId="0">
      <sharedItems containsString="0" containsBlank="1" containsNumber="1" minValue="1022.73" maxValue="2436.84"/>
    </cacheField>
    <cacheField name="oct-24" numFmtId="0">
      <sharedItems containsString="0" containsBlank="1" containsNumber="1" minValue="1022.73" maxValue="2436.84"/>
    </cacheField>
    <cacheField name="nov-24" numFmtId="0">
      <sharedItems containsString="0" containsBlank="1" containsNumber="1" minValue="500" maxValue="2436.84"/>
    </cacheField>
    <cacheField name="dic-24" numFmtId="0">
      <sharedItems containsString="0" containsBlank="1" containsNumber="1" minValue="1022.73" maxValue="2436.84"/>
    </cacheField>
    <cacheField name="ene-25" numFmtId="0">
      <sharedItems containsString="0" containsBlank="1" containsNumber="1" minValue="1022.73" maxValue="2436.84"/>
    </cacheField>
    <cacheField name="feb-25" numFmtId="43">
      <sharedItems containsString="0" containsBlank="1" containsNumber="1" minValue="1022.73" maxValue="2436.84"/>
    </cacheField>
    <cacheField name="mar-25" numFmtId="43">
      <sharedItems containsString="0" containsBlank="1" containsNumber="1" minValue="1022.73" maxValue="2436.84"/>
    </cacheField>
    <cacheField name="abr-25" numFmtId="43">
      <sharedItems containsString="0" containsBlank="1" containsNumber="1" minValue="1022.73" maxValue="5000"/>
    </cacheField>
    <cacheField name="may-25" numFmtId="43">
      <sharedItems containsString="0" containsBlank="1" containsNumber="1" minValue="1022.73" maxValue="43242"/>
    </cacheField>
    <cacheField name="jun-25" numFmtId="43">
      <sharedItems containsString="0" containsBlank="1" containsNumber="1" minValue="500" maxValue="2436.84"/>
    </cacheField>
    <cacheField name="jul-25" numFmtId="43">
      <sharedItems containsString="0" containsBlank="1" containsNumber="1" minValue="894.74" maxValue="2436.84"/>
    </cacheField>
    <cacheField name="ago-25" numFmtId="43">
      <sharedItems containsString="0" containsBlank="1" containsNumber="1" minValue="894.74" maxValue="22400"/>
    </cacheField>
    <cacheField name="sep-25" numFmtId="43">
      <sharedItems containsString="0" containsBlank="1" containsNumber="1" minValue="894.74" maxValue="2436.84"/>
    </cacheField>
    <cacheField name="oct-25" numFmtId="43">
      <sharedItems containsString="0" containsBlank="1" containsNumber="1" minValue="894.74" maxValue="2333.33"/>
    </cacheField>
    <cacheField name="nov-25" numFmtId="43">
      <sharedItems containsString="0" containsBlank="1" containsNumber="1" minValue="894.74" maxValue="2228.5700000000002"/>
    </cacheField>
    <cacheField name="dic-25" numFmtId="43">
      <sharedItems containsString="0" containsBlank="1" containsNumber="1" minValue="894.74" maxValue="2228.5700000000002"/>
    </cacheField>
    <cacheField name="ene-26" numFmtId="43">
      <sharedItems containsString="0" containsBlank="1" containsNumber="1" minValue="894.74" maxValue="1875"/>
    </cacheField>
    <cacheField name="feb-26" numFmtId="43">
      <sharedItems containsString="0" containsBlank="1" containsNumber="1" minValue="894.74" maxValue="1866.67"/>
    </cacheField>
    <cacheField name="mar-26" numFmtId="43">
      <sharedItems containsString="0" containsBlank="1" containsNumber="1" minValue="894.74" maxValue="1866.67"/>
    </cacheField>
    <cacheField name="abr-26" numFmtId="43">
      <sharedItems containsString="0" containsBlank="1" containsNumber="1" minValue="894.74" maxValue="1866.67"/>
    </cacheField>
    <cacheField name="may-26" numFmtId="43">
      <sharedItems containsString="0" containsBlank="1" containsNumber="1" minValue="894.74" maxValue="1866.67"/>
    </cacheField>
    <cacheField name="jun-26" numFmtId="43">
      <sharedItems containsString="0" containsBlank="1" containsNumber="1" minValue="894.74" maxValue="1493.38"/>
    </cacheField>
    <cacheField name="jul-26" numFmtId="43">
      <sharedItems containsString="0" containsBlank="1" containsNumber="1" minValue="894.74" maxValue="1493.38"/>
    </cacheField>
    <cacheField name="ago-26" numFmtId="43">
      <sharedItems containsString="0" containsBlank="1" containsNumber="1" minValue="894.74" maxValue="1493.38"/>
    </cacheField>
    <cacheField name="sep-26" numFmtId="43">
      <sharedItems containsString="0" containsBlank="1" containsNumber="1" minValue="894.74" maxValue="1462.5"/>
    </cacheField>
    <cacheField name="oct-26" numFmtId="43">
      <sharedItems containsString="0" containsBlank="1" containsNumber="1" minValue="894.74" maxValue="1462.5"/>
    </cacheField>
    <cacheField name="nov-26" numFmtId="43">
      <sharedItems containsString="0" containsBlank="1" containsNumber="1" minValue="894.74" maxValue="1400"/>
    </cacheField>
    <cacheField name="dic-26" numFmtId="43">
      <sharedItems containsString="0" containsBlank="1" containsNumber="1" minValue="894.74" maxValue="1400"/>
    </cacheField>
    <cacheField name="ene-27" numFmtId="43">
      <sharedItems containsString="0" containsBlank="1" containsNumber="1" minValue="1272.22" maxValue="1400"/>
    </cacheField>
    <cacheField name="TOTAL" numFmtId="43">
      <sharedItems containsString="0" containsBlank="1" containsNumber="1" minValue="0" maxValue="54110.479999999981"/>
    </cacheField>
    <cacheField name="a" numFmtId="43">
      <sharedItems containsString="0" containsBlank="1" containsNumber="1" minValue="-50720" maxValue="30210.479999999981"/>
    </cacheField>
    <cacheField name="Acumulado" numFmtId="43">
      <sharedItems containsString="0" containsBlank="1" containsNumber="1" minValue="0" maxValue="42185.839999999982"/>
    </cacheField>
    <cacheField name="Estatus" numFmtId="0">
      <sharedItems containsBlank="1" containsMixedTypes="1" containsNumber="1" minValue="-2368.4200000000019" maxValue="956042" count="147">
        <n v="459835.32"/>
        <n v="463755.6"/>
        <n v="458927.83"/>
        <n v="494900"/>
        <n v="346215"/>
        <n v="448214.94"/>
        <e v="#N/A"/>
        <n v="461012"/>
        <n v="452581.8"/>
        <n v="463588.23"/>
        <n v="460317.64"/>
        <n v="349636.4"/>
        <n v="450159"/>
        <n v="471726.68"/>
        <n v="474706"/>
        <n v="474100"/>
        <n v="463438.44"/>
        <n v="461200"/>
        <n v="486200"/>
        <n v="956042"/>
        <n v="486950"/>
        <n v="505700"/>
        <n v="459100"/>
        <n v="507200"/>
        <n v="452400.06"/>
        <n v="473200"/>
        <n v="462530"/>
        <n v="365237.5"/>
        <n v="394300"/>
        <n v="470200"/>
        <n v="460275"/>
        <n v="487200"/>
        <n v="505237.5"/>
        <n v="476200"/>
        <n v="362637.5"/>
        <n v="475500"/>
        <n v="460412.5"/>
        <n v="461526.16000000003"/>
        <n v="474700"/>
        <n v="477700"/>
        <n v="460805.27"/>
        <n v="356468.38"/>
        <n v="459973.25"/>
        <m/>
        <n v="0"/>
        <n v="472229.41" u="1"/>
        <n v="477000" u="1"/>
        <n v="459972.8" u="1"/>
        <n v="441042.88" u="1"/>
        <n v="459621.06" u="1"/>
        <n v="476700" u="1"/>
        <n v="0.96474366757379104" u="1"/>
        <n v="0.97080929453631981" u="1"/>
        <n v="0.98508373456144027" u="1"/>
        <n v="1" u="1"/>
        <n v="0.99535259648413821" u="1"/>
        <n v="0.92792851161817047" u="1"/>
        <n v="0.90460098778268783" u="1"/>
        <n v="0.99685995394599125" u="1"/>
        <n v="0.90566769044251361" u="1"/>
        <n v="0.96508002930709647" u="1"/>
        <n v="0.96725559974879627" u="1"/>
        <n v="0.9874956667364454" u="1"/>
        <n v="0.91348204458726645" u="1"/>
        <n v="0.97188308176100624" u="1"/>
        <n v="0.9691536529202428" u="1"/>
        <n v="0.96463317981997077" u="1"/>
        <n v="0.91770927995840912" u="1"/>
        <n v="0.91439381693271371" u="1"/>
        <n v="0.97079966457023059" u="1"/>
        <n v="0.99790663596399409" u="1"/>
        <n v="0.99685534591194969" u="1"/>
        <n v="0.97518138364779883" u="1"/>
        <n v="0.96859953945991206" u="1"/>
        <n v="0.99619579000760838" u="1"/>
        <n v="0.99408517350157732" u="1"/>
        <n v="0.96163522012578617" u="1"/>
        <n v="0.96498951781970654" u="1"/>
        <n v="0.9188389371590221" u="1"/>
        <n v="0.99057986183797364" u="1"/>
        <n v="0.99203354297693924" u="1"/>
        <n v="0.96966457023060793" u="1"/>
        <n v="0.99622641509433962" u="1"/>
        <n v="0.97139941385806994" u="1"/>
        <n v="0.89974842767295593" u="1"/>
        <n v="0.96829140461215935" u="1"/>
        <n v="0.98854806363826664" u="1"/>
        <n v="0.97039983253087714" u="1"/>
        <n v="0.91398156256276353" u="1"/>
        <n v="0.98413825757575757" u="1"/>
        <n v="0.97313020724303956" u="1"/>
        <n v="0.92694549106246238" u="1"/>
        <n v="0.96711216244504916" u="1"/>
        <n v="0.96689155844155839" u="1"/>
        <n v="0.9661949685534591" u="1"/>
        <n v="0.96507996650617545" u="1"/>
        <n v="0.96507902449235927" u="1"/>
        <n v="0.97631027253668767" u="1"/>
        <n v="0.99267322587397944" u="1"/>
        <n v="0.99434791710278414" u="1"/>
        <n v="0.93266394858405299" u="1"/>
        <n v="0.99704258675078861" u="1"/>
        <n v="0.99112776025236593" u="1"/>
        <n v="0.99057176656151424" u="1"/>
        <n v="0.96725465773498009" u="1"/>
        <n v="0.99518526271718655" u="1"/>
        <n v="-1023.7300000000014" u="1"/>
        <n v="3733.3200000000015" u="1"/>
        <n v="3750" u="1"/>
        <n v="2964.260000000002" u="1"/>
        <n v="6261.52" u="1"/>
        <n v="-12.069999999988795" u="1"/>
        <n v="28953.839999999997" u="1"/>
        <n v="2805" u="1"/>
        <n v="2614.0800000000017" u="1"/>
        <n v="12105.300000000001" u="1"/>
        <n v="1041.9500000000025" u="1"/>
        <n v="7473.32" u="1"/>
        <n v="2240.9100000000035" u="1"/>
        <n v="2647.0599999999995" u="1"/>
        <n v="1323.5300000000007" u="1"/>
        <n v="-2368.4200000000019" u="1"/>
        <n v="1703.1800000000003" u="1"/>
        <n v="2374.5" u="1"/>
        <n v="-1500" u="1"/>
        <n v="1642.8700000000026" u="1"/>
        <n v="1723.08" u="1"/>
        <n v="1459.9799999999996" u="1"/>
        <n v="-825" u="1"/>
        <n v="189.50000000000182" u="1"/>
        <n v="4666.6600000000035" u="1"/>
        <n v="3900" u="1"/>
        <n v="1178.5000000000018" u="1"/>
        <n v="1800" u="1"/>
        <n v="1462.5" u="1"/>
        <n v="6617.6500000000005" u="1"/>
        <n v="4382.8799999999974" u="1"/>
        <n v="1062.5" u="1"/>
        <n v="13142.879999999997" u="1"/>
        <n v="16805.079999999998" u="1"/>
        <n v="-2.0499999999974534" u="1"/>
        <n v="8610.5500000000011" u="1"/>
        <n v="1184.2099999999991" u="1"/>
        <n v="894.73999999999978" u="1"/>
        <n v="9341.1999999999989" u="1"/>
        <n v="1125" u="1"/>
        <n v="0.4499999999989086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shua Garcia" refreshedDate="45875.775750231478" createdVersion="8" refreshedVersion="8" minRefreshableVersion="3" recordCount="75" xr:uid="{AB752C6D-9272-4A40-A7BE-31CECE72C447}">
  <cacheSource type="worksheet">
    <worksheetSource ref="B4:BH79" sheet="SANTA ELISA"/>
  </cacheSource>
  <cacheFields count="59">
    <cacheField name="Apto" numFmtId="0">
      <sharedItems containsMixedTypes="1" containsNumber="1" containsInteger="1" minValue="101" maxValue="1003"/>
    </cacheField>
    <cacheField name="Vendedor" numFmtId="0">
      <sharedItems containsBlank="1"/>
    </cacheField>
    <cacheField name="Cliente" numFmtId="0">
      <sharedItems containsBlank="1"/>
    </cacheField>
    <cacheField name="Reservado" numFmtId="0">
      <sharedItems containsNonDate="0" containsDate="1" containsString="0" containsBlank="1" minDate="2022-06-27T00:00:00" maxDate="2025-04-17T00:00:00"/>
    </cacheField>
    <cacheField name="Tipo" numFmtId="0">
      <sharedItems containsBlank="1"/>
    </cacheField>
    <cacheField name="Cotizador" numFmtId="43">
      <sharedItems containsSemiMixedTypes="0" containsString="0" containsNumber="1" minValue="255060" maxValue="1265000"/>
    </cacheField>
    <cacheField name="Precio de Venta " numFmtId="0">
      <sharedItems containsSemiMixedTypes="0" containsString="0" containsNumber="1" minValue="255060" maxValue="1300000"/>
    </cacheField>
    <cacheField name="Diferencia Cotizador vs PV" numFmtId="166">
      <sharedItems containsSemiMixedTypes="0" containsString="0" containsNumber="1" minValue="-802000" maxValue="31370.900000000023"/>
    </cacheField>
    <cacheField name="Enganche" numFmtId="166">
      <sharedItems containsSemiMixedTypes="0" containsString="0" containsNumber="1" minValue="25506" maxValue="900000"/>
    </cacheField>
    <cacheField name="Estatus" numFmtId="0">
      <sharedItems/>
    </cacheField>
    <cacheField name="jun-22" numFmtId="43">
      <sharedItems containsSemiMixedTypes="0" containsString="0" containsNumber="1" containsInteger="1" minValue="0" maxValue="5000"/>
    </cacheField>
    <cacheField name="jul-22" numFmtId="43">
      <sharedItems containsSemiMixedTypes="0" containsString="0" containsNumber="1" minValue="0" maxValue="6947.93"/>
    </cacheField>
    <cacheField name="ago-22" numFmtId="43">
      <sharedItems containsSemiMixedTypes="0" containsString="0" containsNumber="1" minValue="0" maxValue="5000"/>
    </cacheField>
    <cacheField name="sep-22" numFmtId="43">
      <sharedItems containsSemiMixedTypes="0" containsString="0" containsNumber="1" minValue="0" maxValue="187725"/>
    </cacheField>
    <cacheField name="oct-22" numFmtId="43">
      <sharedItems containsSemiMixedTypes="0" containsString="0" containsNumber="1" minValue="0" maxValue="338100"/>
    </cacheField>
    <cacheField name="nov-22" numFmtId="43">
      <sharedItems containsSemiMixedTypes="0" containsString="0" containsNumber="1" minValue="0" maxValue="5000"/>
    </cacheField>
    <cacheField name="dic-22" numFmtId="43">
      <sharedItems containsSemiMixedTypes="0" containsString="0" containsNumber="1" minValue="0" maxValue="678182.1"/>
    </cacheField>
    <cacheField name="ene-23" numFmtId="43">
      <sharedItems containsSemiMixedTypes="0" containsString="0" containsNumber="1" minValue="0" maxValue="5450"/>
    </cacheField>
    <cacheField name="feb-23" numFmtId="43">
      <sharedItems containsSemiMixedTypes="0" containsString="0" containsNumber="1" minValue="0" maxValue="70500"/>
    </cacheField>
    <cacheField name="mar-23" numFmtId="43">
      <sharedItems containsString="0" containsBlank="1" containsNumber="1" minValue="0" maxValue="78900"/>
    </cacheField>
    <cacheField name="abr-23" numFmtId="43">
      <sharedItems containsString="0" containsBlank="1" containsNumber="1" minValue="0" maxValue="10000"/>
    </cacheField>
    <cacheField name="may-23" numFmtId="43">
      <sharedItems containsString="0" containsBlank="1" containsNumber="1" minValue="0" maxValue="20000"/>
    </cacheField>
    <cacheField name="jun-23" numFmtId="43">
      <sharedItems containsString="0" containsBlank="1" containsNumber="1" minValue="0" maxValue="10000"/>
    </cacheField>
    <cacheField name="jul-23" numFmtId="43">
      <sharedItems containsString="0" containsBlank="1" containsNumber="1" minValue="0" maxValue="13200"/>
    </cacheField>
    <cacheField name="ago-23" numFmtId="43">
      <sharedItems containsString="0" containsBlank="1" containsNumber="1" minValue="0" maxValue="20000"/>
    </cacheField>
    <cacheField name="sep-23" numFmtId="43">
      <sharedItems containsString="0" containsBlank="1" containsNumber="1" minValue="0" maxValue="12500"/>
    </cacheField>
    <cacheField name="oct-23" numFmtId="43">
      <sharedItems containsString="0" containsBlank="1" containsNumber="1" minValue="0" maxValue="40000"/>
    </cacheField>
    <cacheField name="nov-23" numFmtId="43">
      <sharedItems containsString="0" containsBlank="1" containsNumber="1" minValue="0" maxValue="8741"/>
    </cacheField>
    <cacheField name="dic-23" numFmtId="43">
      <sharedItems containsString="0" containsBlank="1" containsNumber="1" minValue="0" maxValue="17600"/>
    </cacheField>
    <cacheField name="ene-24" numFmtId="43">
      <sharedItems containsString="0" containsBlank="1" containsNumber="1" minValue="0" maxValue="8741"/>
    </cacheField>
    <cacheField name="feb-24" numFmtId="43">
      <sharedItems containsString="0" containsBlank="1" containsNumber="1" minValue="0" maxValue="46600"/>
    </cacheField>
    <cacheField name="mar-24" numFmtId="43">
      <sharedItems containsSemiMixedTypes="0" containsString="0" containsNumber="1" minValue="0" maxValue="8741"/>
    </cacheField>
    <cacheField name="abr-24" numFmtId="43">
      <sharedItems containsSemiMixedTypes="0" containsString="0" containsNumber="1" minValue="0" maxValue="30000"/>
    </cacheField>
    <cacheField name="may-24" numFmtId="43">
      <sharedItems containsSemiMixedTypes="0" containsString="0" containsNumber="1" minValue="0" maxValue="896715.83"/>
    </cacheField>
    <cacheField name="jun-24" numFmtId="43">
      <sharedItems containsSemiMixedTypes="0" containsString="0" containsNumber="1" minValue="0" maxValue="111875"/>
    </cacheField>
    <cacheField name="jul-24" numFmtId="43">
      <sharedItems containsSemiMixedTypes="0" containsString="0" containsNumber="1" minValue="0" maxValue="728264"/>
    </cacheField>
    <cacheField name="ago-24" numFmtId="43">
      <sharedItems containsSemiMixedTypes="0" containsString="0" containsNumber="1" minValue="0" maxValue="111875"/>
    </cacheField>
    <cacheField name="sep-24" numFmtId="43">
      <sharedItems containsString="0" containsBlank="1" containsNumber="1" minValue="0" maxValue="105275"/>
    </cacheField>
    <cacheField name="oct-24" numFmtId="0">
      <sharedItems containsString="0" containsBlank="1" containsNumber="1" minValue="0" maxValue="111875"/>
    </cacheField>
    <cacheField name="nov-24" numFmtId="43">
      <sharedItems containsSemiMixedTypes="0" containsString="0" containsNumber="1" minValue="0" maxValue="89900"/>
    </cacheField>
    <cacheField name="dic-24" numFmtId="43">
      <sharedItems containsString="0" containsBlank="1" containsNumber="1" minValue="0" maxValue="149580"/>
    </cacheField>
    <cacheField name="ene-25" numFmtId="43">
      <sharedItems containsString="0" containsBlank="1" containsNumber="1" minValue="0" maxValue="741479.55"/>
    </cacheField>
    <cacheField name="feb-25" numFmtId="43">
      <sharedItems containsString="0" containsBlank="1" containsNumber="1" minValue="0" maxValue="324384.34999999998"/>
    </cacheField>
    <cacheField name="mar-25" numFmtId="43">
      <sharedItems containsString="0" containsBlank="1" containsNumber="1" minValue="0" maxValue="377824.7"/>
    </cacheField>
    <cacheField name="abr-25" numFmtId="0">
      <sharedItems containsString="0" containsBlank="1" containsNumber="1" minValue="0" maxValue="100000"/>
    </cacheField>
    <cacheField name="may-25" numFmtId="0">
      <sharedItems containsString="0" containsBlank="1" containsNumber="1" minValue="40" maxValue="195000"/>
    </cacheField>
    <cacheField name="jun-25" numFmtId="0">
      <sharedItems containsNonDate="0" containsString="0" containsBlank="1"/>
    </cacheField>
    <cacheField name="jul-25" numFmtId="0">
      <sharedItems containsNonDate="0" containsString="0" containsBlank="1"/>
    </cacheField>
    <cacheField name="TOTAL COBROS Y RESERVAS" numFmtId="43">
      <sharedItems containsSemiMixedTypes="0" containsString="0" containsNumber="1" minValue="0" maxValue="896715.83"/>
    </cacheField>
    <cacheField name="% Cobro" numFmtId="9">
      <sharedItems containsSemiMixedTypes="0" containsString="0" containsNumber="1" minValue="0" maxValue="8.6149735779969205"/>
    </cacheField>
    <cacheField name="SALDO PENDIENTE ENGANCHE" numFmtId="43">
      <sharedItems containsSemiMixedTypes="0" containsString="0" containsNumber="1" minValue="-645000" maxValue="377824.7"/>
    </cacheField>
    <cacheField name="% Pendiente" numFmtId="9">
      <sharedItems containsSemiMixedTypes="0" containsString="0" containsNumber="1" minValue="-1" maxValue="7.6149735779969214"/>
    </cacheField>
    <cacheField name="Monto a Financiar por Banco" numFmtId="43">
      <sharedItems containsSemiMixedTypes="0" containsString="0" containsNumber="1" minValue="-5000" maxValue="1201700"/>
    </cacheField>
    <cacheField name="% a Financiar" numFmtId="9">
      <sharedItems containsSemiMixedTypes="0" containsString="0" containsNumber="1" minValue="-7.3942620526471457E-3" maxValue="1"/>
    </cacheField>
    <cacheField name="Proyección de Cobros (S/ Modelo Financiero)" numFmtId="43">
      <sharedItems containsSemiMixedTypes="0" containsString="0" containsNumber="1" minValue="0" maxValue="900000"/>
    </cacheField>
    <cacheField name="Variación modelo Finan. vs cobro real" numFmtId="43">
      <sharedItems containsSemiMixedTypes="0" containsString="0" containsNumber="1" minValue="-377824.7" maxValue="645000"/>
    </cacheField>
    <cacheField name="Status inmueble" numFmtId="0">
      <sharedItems/>
    </cacheField>
    <cacheField name="ESTATUS CLIENTE" numFmtId="0">
      <sharedItems count="8">
        <s v="Enganche Completado"/>
        <s v="Superávit de Enganche"/>
        <s v="Cliente Atrasado"/>
        <s v="Disponible"/>
        <s v="Superavit de enganche" u="1"/>
        <s v="Cliente disponible" u="1"/>
        <s v="Pendiente plan de pagos" u="1"/>
        <s v="Pendiente de estatus" u="1"/>
      </sharedItems>
    </cacheField>
    <cacheField name="Cuotas Pacta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shua Garcia" refreshedDate="45875.775750462963" createdVersion="8" refreshedVersion="8" minRefreshableVersion="3" recordCount="75" xr:uid="{FEDCA010-DF84-45EA-8B4C-248E273BC938}">
  <cacheSource type="worksheet">
    <worksheetSource ref="A4:AP79" sheet="SANTA ELISA PPTO"/>
  </cacheSource>
  <cacheFields count="42">
    <cacheField name="Apto" numFmtId="0">
      <sharedItems containsMixedTypes="1" containsNumber="1" containsInteger="1" minValue="101" maxValue="1003"/>
    </cacheField>
    <cacheField name="jun.22" numFmtId="43">
      <sharedItems containsString="0" containsBlank="1" containsNumber="1" containsInteger="1" minValue="5000" maxValue="5000"/>
    </cacheField>
    <cacheField name="jul.22" numFmtId="43">
      <sharedItems containsString="0" containsBlank="1" containsNumber="1" minValue="1000" maxValue="5000"/>
    </cacheField>
    <cacheField name="ago.22" numFmtId="43">
      <sharedItems containsString="0" containsBlank="1" containsNumber="1" minValue="1000" maxValue="5000"/>
    </cacheField>
    <cacheField name="sep.22" numFmtId="43">
      <sharedItems containsString="0" containsBlank="1" containsNumber="1" minValue="1000" maxValue="5000"/>
    </cacheField>
    <cacheField name="oct.22" numFmtId="43">
      <sharedItems containsString="0" containsBlank="1" containsNumber="1" minValue="1000" maxValue="338100"/>
    </cacheField>
    <cacheField name="nov.22" numFmtId="43">
      <sharedItems containsString="0" containsBlank="1" containsNumber="1" minValue="1947.83" maxValue="678182.1"/>
    </cacheField>
    <cacheField name="dic.22" numFmtId="43">
      <sharedItems containsString="0" containsBlank="1" containsNumber="1" minValue="1947.83" maxValue="6000"/>
    </cacheField>
    <cacheField name="ene.23" numFmtId="43">
      <sharedItems containsString="0" containsBlank="1" containsNumber="1" minValue="1947.83" maxValue="6000"/>
    </cacheField>
    <cacheField name="feb.23" numFmtId="43">
      <sharedItems containsString="0" containsBlank="1" containsNumber="1" minValue="1947.83" maxValue="70500"/>
    </cacheField>
    <cacheField name="mar.23" numFmtId="43">
      <sharedItems containsString="0" containsBlank="1" containsNumber="1" minValue="1947.83" maxValue="6000"/>
    </cacheField>
    <cacheField name="abr.23" numFmtId="43">
      <sharedItems containsString="0" containsBlank="1" containsNumber="1" minValue="1947.83" maxValue="6000"/>
    </cacheField>
    <cacheField name="may.23" numFmtId="43">
      <sharedItems containsString="0" containsBlank="1" containsNumber="1" minValue="1947.83" maxValue="6000"/>
    </cacheField>
    <cacheField name="jun.23" numFmtId="43">
      <sharedItems containsString="0" containsBlank="1" containsNumber="1" minValue="1000" maxValue="6000"/>
    </cacheField>
    <cacheField name="jul.23" numFmtId="43">
      <sharedItems containsString="0" containsBlank="1" containsNumber="1" minValue="1000" maxValue="6000"/>
    </cacheField>
    <cacheField name="ago.23" numFmtId="43">
      <sharedItems containsString="0" containsBlank="1" containsNumber="1" minValue="1947.83" maxValue="6000"/>
    </cacheField>
    <cacheField name="sep.23" numFmtId="43">
      <sharedItems containsString="0" containsBlank="1" containsNumber="1" minValue="1947.83" maxValue="8741"/>
    </cacheField>
    <cacheField name="oct.23" numFmtId="43">
      <sharedItems containsString="0" containsBlank="1" containsNumber="1" minValue="1947.83" maxValue="8741"/>
    </cacheField>
    <cacheField name="nov.23" numFmtId="43">
      <sharedItems containsString="0" containsBlank="1" containsNumber="1" minValue="1947.83" maxValue="8741"/>
    </cacheField>
    <cacheField name="dic.23" numFmtId="43">
      <sharedItems containsString="0" containsBlank="1" containsNumber="1" minValue="1947.83" maxValue="8741"/>
    </cacheField>
    <cacheField name="ene.24" numFmtId="43">
      <sharedItems containsString="0" containsBlank="1" containsNumber="1" minValue="1947.83" maxValue="8741"/>
    </cacheField>
    <cacheField name="feb.24" numFmtId="43">
      <sharedItems containsString="0" containsBlank="1" containsNumber="1" minValue="1947.83" maxValue="8741"/>
    </cacheField>
    <cacheField name="mar.24" numFmtId="43">
      <sharedItems containsString="0" containsBlank="1" containsNumber="1" minValue="1947.83" maxValue="8741"/>
    </cacheField>
    <cacheField name="abr.24" numFmtId="43">
      <sharedItems containsString="0" containsBlank="1" containsNumber="1" minValue="1947.83" maxValue="111875"/>
    </cacheField>
    <cacheField name="may.24" numFmtId="43">
      <sharedItems containsString="0" containsBlank="1" containsNumber="1" minValue="1947.74" maxValue="896715.83"/>
    </cacheField>
    <cacheField name="jun.24" numFmtId="43">
      <sharedItems containsString="0" containsBlank="1" containsNumber="1" minValue="1947.74" maxValue="338100"/>
    </cacheField>
    <cacheField name="jul.24" numFmtId="43">
      <sharedItems containsString="0" containsBlank="1" containsNumber="1" minValue="1947.83" maxValue="728264"/>
    </cacheField>
    <cacheField name="ago.24" numFmtId="43">
      <sharedItems containsString="0" containsBlank="1" containsNumber="1" minValue="1947.74" maxValue="111875"/>
    </cacheField>
    <cacheField name="sept.24" numFmtId="43">
      <sharedItems containsString="0" containsBlank="1" containsNumber="1" containsInteger="1" minValue="2694" maxValue="111875"/>
    </cacheField>
    <cacheField name="Oct.24" numFmtId="43">
      <sharedItems containsString="0" containsBlank="1" containsNumber="1" minValue="3041" maxValue="111875"/>
    </cacheField>
    <cacheField name="Nov.24" numFmtId="43">
      <sharedItems containsString="0" containsBlank="1" containsNumber="1" containsInteger="1" minValue="3049" maxValue="745000"/>
    </cacheField>
    <cacheField name="Dic.24" numFmtId="43">
      <sharedItems containsString="0" containsBlank="1" containsNumber="1" minValue="5000" maxValue="50100"/>
    </cacheField>
    <cacheField name="ene-25" numFmtId="43">
      <sharedItems containsString="0" containsBlank="1" containsNumber="1" minValue="5000" maxValue="42500"/>
    </cacheField>
    <cacheField name="feb-25" numFmtId="43">
      <sharedItems containsString="0" containsBlank="1" containsNumber="1" containsInteger="1" minValue="5000" maxValue="245000"/>
    </cacheField>
    <cacheField name="mar-25" numFmtId="43">
      <sharedItems containsString="0" containsBlank="1" containsNumber="1" containsInteger="1" minValue="645000" maxValue="645000"/>
    </cacheField>
    <cacheField name="abr-25" numFmtId="43">
      <sharedItems containsNonDate="0" containsString="0" containsBlank="1"/>
    </cacheField>
    <cacheField name="may-25" numFmtId="43">
      <sharedItems containsNonDate="0" containsString="0" containsBlank="1"/>
    </cacheField>
    <cacheField name="jun-25" numFmtId="43">
      <sharedItems containsNonDate="0" containsString="0" containsBlank="1"/>
    </cacheField>
    <cacheField name="TOTAL" numFmtId="43">
      <sharedItems containsSemiMixedTypes="0" containsString="0" containsNumber="1" minValue="0" maxValue="900000"/>
    </cacheField>
    <cacheField name="Variación" numFmtId="43">
      <sharedItems containsSemiMixedTypes="0" containsString="0" containsNumber="1" containsInteger="1" minValue="-92000" maxValue="0"/>
    </cacheField>
    <cacheField name="Acumulado" numFmtId="43">
      <sharedItems containsSemiMixedTypes="0" containsString="0" containsNumber="1" minValue="0" maxValue="900000"/>
    </cacheField>
    <cacheField name="Estatus" numFmtId="0">
      <sharedItems containsSemiMixedTypes="0" containsString="0" containsNumber="1" minValue="-293267.37" maxValue="1201700" count="179">
        <n v="725400"/>
        <n v="652330.22"/>
        <n v="1201700"/>
        <n v="1045100"/>
        <n v="575700"/>
        <n v="645000"/>
        <n v="705400"/>
        <n v="689591.49"/>
        <n v="445693.08999999997"/>
        <n v="435029.72"/>
        <n v="923800"/>
        <n v="468690.28"/>
        <n v="650000"/>
        <n v="309477.87"/>
        <n v="717500"/>
        <n v="546878.67999999993"/>
        <n v="456605.45"/>
        <n v="915700"/>
        <n v="590900"/>
        <n v="615000"/>
        <n v="483000"/>
        <n v="422900"/>
        <n v="942821"/>
        <n v="589500"/>
        <n v="175000"/>
        <n v="899300"/>
        <n v="488991.83"/>
        <n v="492984.65"/>
        <n v="335086.45"/>
        <n v="497324.27"/>
        <n v="930000"/>
        <n v="403500"/>
        <n v="764500"/>
        <n v="869929.1"/>
        <n v="445000"/>
        <n v="333187.37"/>
        <n v="468282.11"/>
        <n v="671165.65"/>
        <n v="0"/>
        <n v="809100"/>
        <n v="591706.96"/>
        <n v="-5000"/>
        <n v="333014.03000000003"/>
        <n v="248000"/>
        <n v="628200"/>
        <n v="451104.27"/>
        <n v="543500"/>
        <n v="111875"/>
        <n v="471723.22"/>
        <n v="333353.52"/>
        <n v="308362.91000000003"/>
        <n v="710550"/>
        <n v="954300.00000000012"/>
        <n v="446232.63"/>
        <n v="642400"/>
        <n v="602175.30000000005"/>
        <n v="600000"/>
        <n v="400000"/>
        <n v="337443.77"/>
        <n v="748900"/>
        <n v="544782.29"/>
        <n v="3520.4499999999534"/>
        <n v="456537.04000000004"/>
        <n v="910400"/>
        <n v="690000"/>
        <n v="448197.81"/>
        <n v="473183.24"/>
        <n v="1097500"/>
        <n v="252560"/>
        <n v="316460"/>
        <n v="460000"/>
        <n v="0.9" u="1"/>
        <n v="0.80138847665847668" u="1"/>
        <n v="0.94996047430830044" u="1"/>
        <n v="0.94991819669151067" u="1"/>
        <n v="0.89995310301703924" u="1"/>
        <n v="0.99230769230769234" u="1"/>
        <n v="0.87583809287310654" u="1"/>
        <n v="0.82094224999999998" u="1"/>
        <n v="0.60009841120236973" u="1"/>
        <n v="0.59333022367703214" u="1"/>
        <n v="0.97365092748735249" u="1"/>
        <n v="0.60892591918929462" u="1"/>
        <n v="1" u="1"/>
        <n v="0.54038391828182297" u="1"/>
        <n v="0.88036809815950923" u="1"/>
        <n v="0.56909264219545741" u="1"/>
        <n v="0.69710755725190843" u="1"/>
        <n v="0.66416751145038166" u="1"/>
        <n v="0.96511382799325462" u="1"/>
        <n v="0.72950617283950614" u="1"/>
        <n v="0.90441176470588236" u="1"/>
        <n v="0.88170865279299016" u="1"/>
        <n v="0.60079556755220909" u="1"/>
        <n v="0.97758185562221467" u="1"/>
        <n v="0.26717557251908397" u="1"/>
        <n v="0.94782883642495785" u="1"/>
        <n v="0.71910563235294123" u="1"/>
        <n v="0.89993546914932465" u="1"/>
        <n v="0.61258948811700187" u="1"/>
        <n v="0.72285504360465114" u="1"/>
        <n v="0.93977364591754242" u="1"/>
        <n v="0.60676691729323307" u="1"/>
        <n v="0.9438271604938272" u="1"/>
        <n v="0.916872997470489" u="1"/>
        <n v="0.64492753623188404" u="1"/>
        <n v="0.66905094377510044" u="1"/>
        <n v="0.67089127507163326" u="1"/>
        <n v="0.66937013155910585" u="1"/>
        <n v="0.95188235294117651" u="1"/>
        <n v="0.59792538399353268" u="1"/>
        <n v="-7.3942620526471457E-3" u="1"/>
        <n v="0.66870287148594387" u="1"/>
        <n v="0.49799196787148592" u="1"/>
        <n v="0.67835228571428574" u="1"/>
        <n v="0.81729323308270674" u="1"/>
        <n v="0.12430555555555556" u="1"/>
        <n v="0.67609244396032786" u="1"/>
        <n v="0.66938457831325304" u="1"/>
        <n v="0.61920263052208846" u="1"/>
        <n v="0.94991415137170176" u="1"/>
        <n v="0.57326905190133604" u="1"/>
        <n v="0.85210240084891897" u="1"/>
        <n v="0.58372944939899185" u="1"/>
        <n v="0.70588235294117652" u="1"/>
        <n v="0.80321285140562249" u="1"/>
        <n v="0.67759793172690763" u="1"/>
        <n v="0.94989852866565194" u="1"/>
        <n v="0.50714219619817169" u="1"/>
        <n v="4.5720129870129265E-3" u="1"/>
        <n v="0.60556710439050276" u="1"/>
        <n v="0.89996045867931984" u="1"/>
        <n v="0.8999956024096385" u="1"/>
        <n v="0.60018168442415021" u="1"/>
        <n v="0.84423076923076923" u="1"/>
        <n v="0.99019838469379751" u="1"/>
        <n v="0.99216202658640584" u="1"/>
        <n v="-500" u="1"/>
        <n v="20500" u="1"/>
        <n v="-100" u="1"/>
        <n v="-59880" u="1"/>
        <n v="42500" u="1"/>
        <n v="-262509.71999999997" u="1"/>
        <n v="-147000" u="1"/>
        <n v="69000" u="1"/>
        <n v="-68394.549999999988" u="1"/>
        <n v="-110500" u="1"/>
        <n v="14400" u="1"/>
        <n v="35500" u="1"/>
        <n v="29000" u="1"/>
        <n v="-10020" u="1"/>
        <n v="-210610" u="1"/>
        <n v="-65500" u="1"/>
        <n v="-123008.16999999998" u="1"/>
        <n v="-35.349999999998545" u="1"/>
        <n v="-157213.54999999999" u="1"/>
        <n v="-11200" u="1"/>
        <n v="5300" u="1"/>
        <n v="-31370.899999999994" u="1"/>
        <n v="-176000" u="1"/>
        <n v="-115012.63" u="1"/>
        <n v="-159917.89000000001" u="1"/>
        <n v="-250834.35" u="1"/>
        <n v="-45500" u="1"/>
        <n v="-12000" u="1"/>
        <n v="3085.8000000000029" u="1"/>
        <n v="-147395.73000000001" u="1"/>
        <n v="-33000" u="1"/>
        <n v="-149276.78" u="1"/>
        <n v="-68199.999999999971" u="1"/>
        <n v="23706.05" u="1"/>
        <n v="-293267.37" u="1"/>
        <n v="-36100" u="1"/>
        <n v="-48199.999999999978" u="1"/>
        <n v="-110756.23000000001" u="1"/>
        <n v="-116" u="1"/>
        <n v="-2.1899999999877764" u="1"/>
        <n v="60500" u="1"/>
        <n v="-25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k Catú" refreshedDate="45909.415433333335" createdVersion="8" refreshedVersion="8" minRefreshableVersion="3" recordCount="95" xr:uid="{F80F0D8F-32CB-4512-B2C5-69EF4638D402}">
  <cacheSource type="worksheet">
    <worksheetSource ref="F7:BV92" sheet="BENESTARE "/>
  </cacheSource>
  <cacheFields count="68">
    <cacheField name="Apto" numFmtId="0">
      <sharedItems containsBlank="1" containsMixedTypes="1" containsNumber="1" containsInteger="1" minValue="101" maxValue="613" count="68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201"/>
        <n v="202"/>
        <n v="203"/>
        <n v="204"/>
        <n v="205"/>
        <n v="207"/>
        <n v="209"/>
        <n v="210"/>
        <n v="211"/>
        <n v="212"/>
        <n v="213"/>
        <n v="301"/>
        <n v="302"/>
        <n v="303"/>
        <n v="304"/>
        <n v="305"/>
        <n v="306"/>
        <n v="308"/>
        <n v="309"/>
        <n v="401"/>
        <n v="402"/>
        <n v="403"/>
        <n v="405"/>
        <n v="407"/>
        <n v="409"/>
        <n v="410"/>
        <n v="412"/>
        <n v="502"/>
        <n v="503"/>
        <n v="504"/>
        <n v="505"/>
        <m/>
        <n v="507"/>
        <n v="508"/>
        <n v="510"/>
        <n v="511"/>
        <n v="601"/>
        <n v="602"/>
        <n v="603"/>
        <n v="604"/>
        <n v="605"/>
        <n v="606"/>
        <n v="607"/>
        <n v="608"/>
        <n v="609"/>
        <n v="610"/>
        <n v="611"/>
        <n v="206"/>
        <n v="311"/>
        <n v="312"/>
        <n v="411"/>
        <n v="501"/>
        <n v="613"/>
        <n v="313"/>
        <s v="POR ASIGNAR"/>
      </sharedItems>
    </cacheField>
    <cacheField name="Torre" numFmtId="0">
      <sharedItems containsBlank="1"/>
    </cacheField>
    <cacheField name="Tipo" numFmtId="0">
      <sharedItems containsBlank="1"/>
    </cacheField>
    <cacheField name="Vendedor" numFmtId="0">
      <sharedItems containsBlank="1"/>
    </cacheField>
    <cacheField name="Cliente" numFmtId="0">
      <sharedItems containsBlank="1"/>
    </cacheField>
    <cacheField name="Reservado" numFmtId="14">
      <sharedItems containsNonDate="0" containsDate="1" containsString="0" containsBlank="1" minDate="2023-10-02T00:00:00" maxDate="2025-08-22T00:00:00"/>
    </cacheField>
    <cacheField name="Estatus" numFmtId="0">
      <sharedItems containsBlank="1"/>
    </cacheField>
    <cacheField name="Precio de Venta" numFmtId="43">
      <sharedItems containsString="0" containsBlank="1" containsNumber="1" containsInteger="1" minValue="0" maxValue="964442"/>
    </cacheField>
    <cacheField name="Enganche" numFmtId="43">
      <sharedItems containsString="0" containsBlank="1" containsNumber="1" containsInteger="1" minValue="0" maxValue="100000"/>
    </cacheField>
    <cacheField name="mar-23" numFmtId="43">
      <sharedItems containsString="0" containsBlank="1" containsNumber="1" containsInteger="1" minValue="0" maxValue="0"/>
    </cacheField>
    <cacheField name="abr-23" numFmtId="43">
      <sharedItems containsString="0" containsBlank="1" containsNumber="1" containsInteger="1" minValue="0" maxValue="0"/>
    </cacheField>
    <cacheField name="may-23" numFmtId="43">
      <sharedItems containsString="0" containsBlank="1" containsNumber="1" containsInteger="1" minValue="0" maxValue="0"/>
    </cacheField>
    <cacheField name="jun-23" numFmtId="43">
      <sharedItems containsString="0" containsBlank="1" containsNumber="1" containsInteger="1" minValue="0" maxValue="0"/>
    </cacheField>
    <cacheField name="jul-23" numFmtId="43">
      <sharedItems containsString="0" containsBlank="1" containsNumber="1" containsInteger="1" minValue="0" maxValue="0"/>
    </cacheField>
    <cacheField name="ago-23" numFmtId="43">
      <sharedItems containsString="0" containsBlank="1" containsNumber="1" containsInteger="1" minValue="0" maxValue="0"/>
    </cacheField>
    <cacheField name="sep-23" numFmtId="43">
      <sharedItems containsString="0" containsBlank="1" containsNumber="1" containsInteger="1" minValue="0" maxValue="0"/>
    </cacheField>
    <cacheField name="oct-23" numFmtId="43">
      <sharedItems containsString="0" containsBlank="1" containsNumber="1" containsInteger="1" minValue="0" maxValue="1000"/>
    </cacheField>
    <cacheField name="nov-23" numFmtId="43">
      <sharedItems containsString="0" containsBlank="1" containsNumber="1" minValue="0" maxValue="2434.7399999999998"/>
    </cacheField>
    <cacheField name="dic-23" numFmtId="43">
      <sharedItems containsString="0" containsBlank="1" containsNumber="1" minValue="0" maxValue="2434.7399999999998"/>
    </cacheField>
    <cacheField name="ene-24" numFmtId="43">
      <sharedItems containsString="0" containsBlank="1" containsNumber="1" minValue="0" maxValue="4647.62"/>
    </cacheField>
    <cacheField name="feb-24" numFmtId="43">
      <sharedItems containsString="0" containsBlank="1" containsNumber="1" minValue="0" maxValue="2434.7399999999998"/>
    </cacheField>
    <cacheField name="mar-24" numFmtId="43">
      <sharedItems containsString="0" containsBlank="1" containsNumber="1" minValue="0" maxValue="3228.57"/>
    </cacheField>
    <cacheField name="abr-24" numFmtId="43">
      <sharedItems containsString="0" containsBlank="1" containsNumber="1" minValue="0" maxValue="2700"/>
    </cacheField>
    <cacheField name="may-24" numFmtId="43">
      <sharedItems containsString="0" containsBlank="1" containsNumber="1" minValue="0" maxValue="2500"/>
    </cacheField>
    <cacheField name="jun-24" numFmtId="43">
      <sharedItems containsString="0" containsBlank="1" containsNumber="1" minValue="0" maxValue="2434.7399999999998"/>
    </cacheField>
    <cacheField name="jul-24" numFmtId="43">
      <sharedItems containsString="0" containsBlank="1" containsNumber="1" minValue="0" maxValue="4647.62"/>
    </cacheField>
    <cacheField name="ago-24" numFmtId="43">
      <sharedItems containsString="0" containsBlank="1" containsNumber="1" minValue="0" maxValue="4666.66"/>
    </cacheField>
    <cacheField name="sep-24" numFmtId="43">
      <sharedItems containsString="0" containsBlank="1" containsNumber="1" minValue="0" maxValue="5000"/>
    </cacheField>
    <cacheField name="oct-24" numFmtId="43">
      <sharedItems containsString="0" containsBlank="1" containsNumber="1" minValue="0" maxValue="4647.62"/>
    </cacheField>
    <cacheField name="nov-24" numFmtId="43">
      <sharedItems containsString="0" containsBlank="1" containsNumber="1" minValue="0" maxValue="2647.06"/>
    </cacheField>
    <cacheField name="dic-24" numFmtId="43">
      <sharedItems containsString="0" containsBlank="1" containsNumber="1" minValue="0" maxValue="5921.05"/>
    </cacheField>
    <cacheField name="ene-25" numFmtId="43">
      <sharedItems containsString="0" containsBlank="1" containsNumber="1" minValue="0" maxValue="3406.36"/>
    </cacheField>
    <cacheField name="feb-25" numFmtId="43">
      <sharedItems containsString="0" containsBlank="1" containsNumber="1" minValue="0" maxValue="3600"/>
    </cacheField>
    <cacheField name="mar-25" numFmtId="0">
      <sharedItems containsString="0" containsBlank="1" containsNumber="1" minValue="0" maxValue="4457.1400000000003"/>
    </cacheField>
    <cacheField name="abr-25" numFmtId="43">
      <sharedItems containsString="0" containsBlank="1" containsNumber="1" minValue="0" maxValue="10000"/>
    </cacheField>
    <cacheField name="may-25" numFmtId="43">
      <sharedItems containsString="0" containsBlank="1" containsNumber="1" minValue="0" maxValue="8000"/>
    </cacheField>
    <cacheField name="jun-25" numFmtId="43">
      <sharedItems containsString="0" containsBlank="1" containsNumber="1" minValue="0" maxValue="6147.5"/>
    </cacheField>
    <cacheField name="jul-25" numFmtId="43">
      <sharedItems containsString="0" containsBlank="1" containsNumber="1" minValue="0" maxValue="8400"/>
    </cacheField>
    <cacheField name="ago-25" numFmtId="43">
      <sharedItems containsString="0" containsBlank="1" containsNumber="1" minValue="750" maxValue="12927"/>
    </cacheField>
    <cacheField name="sep-25" numFmtId="43">
      <sharedItems containsNonDate="0" containsString="0" containsBlank="1"/>
    </cacheField>
    <cacheField name="oct-25" numFmtId="43">
      <sharedItems containsNonDate="0" containsString="0" containsBlank="1"/>
    </cacheField>
    <cacheField name="nov-25" numFmtId="43">
      <sharedItems containsNonDate="0" containsString="0" containsBlank="1"/>
    </cacheField>
    <cacheField name="dic-25" numFmtId="43">
      <sharedItems containsNonDate="0" containsString="0" containsBlank="1"/>
    </cacheField>
    <cacheField name="TOTAL COBROS Y RESERVAS" numFmtId="43">
      <sharedItems containsSemiMixedTypes="0" containsString="0" containsNumber="1" minValue="0" maxValue="49800.000000000007"/>
    </cacheField>
    <cacheField name="% Cobro" numFmtId="9">
      <sharedItems containsSemiMixedTypes="0" containsString="0" containsNumber="1" minValue="0" maxValue="1.0000000000000002"/>
    </cacheField>
    <cacheField name="SALDO PENDIENTE ENGANCHE" numFmtId="43">
      <sharedItems containsSemiMixedTypes="0" containsString="0" containsNumber="1" minValue="-85100" maxValue="12927"/>
    </cacheField>
    <cacheField name="% Pendiente" numFmtId="9">
      <sharedItems containsMixedTypes="1" containsNumber="1" minValue="-1" maxValue="0"/>
    </cacheField>
    <cacheField name="Monto a Financiar por Banco" numFmtId="43">
      <sharedItems containsSemiMixedTypes="0" containsString="0" containsNumber="1" minValue="-12927" maxValue="956042"/>
    </cacheField>
    <cacheField name="% a Financiar" numFmtId="10">
      <sharedItems containsMixedTypes="1" containsNumber="1" minValue="0.89996100857811279" maxValue="1"/>
    </cacheField>
    <cacheField name="Proyección de Cobros (S/ Modelo Financiero)" numFmtId="43">
      <sharedItems containsSemiMixedTypes="0" containsString="0" containsNumber="1" containsInteger="1" minValue="0" maxValue="100000"/>
    </cacheField>
    <cacheField name="Status inmueble" numFmtId="0">
      <sharedItems/>
    </cacheField>
    <cacheField name="ESTATUS CLIENTE" numFmtId="0">
      <sharedItems containsBlank="1" count="7">
        <s v="Cliente al día"/>
        <s v="Cliente Atrasado"/>
        <s v="Superávit de Enganche"/>
        <s v="Disponible"/>
        <s v="Enganche Completado"/>
        <e v="#NUM!" u="1"/>
        <m u="1"/>
      </sharedItems>
    </cacheField>
    <cacheField name="Cuotas Pactadas" numFmtId="168">
      <sharedItems containsString="0" containsBlank="1" containsNumber="1" containsInteger="1" minValue="1" maxValue="22"/>
    </cacheField>
    <cacheField name="Cuota de Enganche" numFmtId="168">
      <sharedItems containsString="0" containsBlank="1" containsNumber="1" containsInteger="1" minValue="0" maxValue="1"/>
    </cacheField>
    <cacheField name="Total cuotas pactadas" numFmtId="168">
      <sharedItems containsSemiMixedTypes="0" containsString="0" containsNumber="1" containsInteger="1" minValue="0" maxValue="23"/>
    </cacheField>
    <cacheField name="Monto de Reserva Pactado" numFmtId="43">
      <sharedItems containsString="0" containsBlank="1" containsNumber="1" containsInteger="1" minValue="300" maxValue="5000"/>
    </cacheField>
    <cacheField name="Monto de Cuota Pactada" numFmtId="43">
      <sharedItems containsString="0" containsBlank="1" containsNumber="1" minValue="894.74" maxValue="43242"/>
    </cacheField>
    <cacheField name="Cuotas Pagadas" numFmtId="0">
      <sharedItems containsSemiMixedTypes="0" containsString="0" containsNumber="1" containsInteger="1" minValue="0" maxValue="20"/>
    </cacheField>
    <cacheField name="Cantidad de cuotas que deben estar pagadas por el cliente" numFmtId="168">
      <sharedItems containsSemiMixedTypes="0" containsString="0" containsNumber="1" containsInteger="1" minValue="0" maxValue="22"/>
    </cacheField>
    <cacheField name="Monto que debe estar cancelado a la fecha" numFmtId="168">
      <sharedItems containsString="0" containsBlank="1" containsNumber="1" minValue="0" maxValue="56794.28"/>
    </cacheField>
    <cacheField name="Monto pagado de cuotas a la fecha" numFmtId="168">
      <sharedItems containsString="0" containsBlank="1" containsNumber="1" minValue="0" maxValue="46685.059999999976"/>
    </cacheField>
    <cacheField name="Enganche + Cuotas Extraordinarias Pagadas" numFmtId="168">
      <sharedItems containsString="0" containsBlank="1" containsNumber="1" minValue="0" maxValue="35700"/>
    </cacheField>
    <cacheField name="Diferencia" numFmtId="168">
      <sharedItems containsString="0" containsBlank="1" containsNumber="1" minValue="0" maxValue="12927"/>
    </cacheField>
    <cacheField name="Cobro adicional a lo pactado" numFmtId="168">
      <sharedItems containsString="0" containsBlank="1" containsNumber="1" minValue="0" maxValue="12427"/>
    </cacheField>
    <cacheField name="Cobro no realizado según lo pactado" numFmtId="168">
      <sharedItems containsString="0" containsBlank="1" containsNumber="1" minValue="0" maxValue="44800"/>
    </cacheField>
    <cacheField name="Cuotas" numFmtId="168">
      <sharedItems containsBlank="1" containsMixedTypes="1" containsNumber="1" containsInteger="1" minValue="0" maxValue="20" count="19">
        <n v="0"/>
        <n v="3"/>
        <n v="20"/>
        <n v="1"/>
        <n v="5"/>
        <e v="#DIV/0!"/>
        <n v="8"/>
        <n v="12"/>
        <n v="14"/>
        <n v="2"/>
        <n v="4"/>
        <m/>
        <n v="7"/>
        <n v="19" u="1"/>
        <n v="13" u="1"/>
        <n v="6" u="1"/>
        <n v="16" u="1"/>
        <n v="18" u="1"/>
        <n v="15" u="1"/>
      </sharedItems>
    </cacheField>
    <cacheField name="Caso Especial / F&amp;F" numFmtId="0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k Catú" refreshedDate="45909.415501504627" createdVersion="8" refreshedVersion="8" minRefreshableVersion="3" recordCount="117" xr:uid="{1C884C07-1BB8-425D-8FC0-A8A4D0DDF477}">
  <cacheSource type="worksheet">
    <worksheetSource ref="B6:AT123" sheet="BL-TAPIAS"/>
  </cacheSource>
  <cacheFields count="44">
    <cacheField name="Apto" numFmtId="0">
      <sharedItems containsSemiMixedTypes="0" containsString="0" containsNumber="1" containsInteger="1" minValue="101" maxValue="1309" count="117">
        <n v="101"/>
        <n v="102"/>
        <n v="103"/>
        <n v="104"/>
        <n v="105"/>
        <n v="106"/>
        <n v="107"/>
        <n v="108"/>
        <n v="109"/>
        <n v="201"/>
        <n v="202"/>
        <n v="203"/>
        <n v="204"/>
        <n v="205"/>
        <n v="206"/>
        <n v="207"/>
        <n v="208"/>
        <n v="209"/>
        <n v="301"/>
        <n v="302"/>
        <n v="303"/>
        <n v="304"/>
        <n v="305"/>
        <n v="306"/>
        <n v="307"/>
        <n v="308"/>
        <n v="309"/>
        <n v="401"/>
        <n v="402"/>
        <n v="403"/>
        <n v="404"/>
        <n v="405"/>
        <n v="406"/>
        <n v="407"/>
        <n v="408"/>
        <n v="409"/>
        <n v="501"/>
        <n v="502"/>
        <n v="503"/>
        <n v="504"/>
        <n v="505"/>
        <n v="506"/>
        <n v="507"/>
        <n v="508"/>
        <n v="509"/>
        <n v="601"/>
        <n v="602"/>
        <n v="603"/>
        <n v="604"/>
        <n v="605"/>
        <n v="606"/>
        <n v="607"/>
        <n v="608"/>
        <n v="609"/>
        <n v="701"/>
        <n v="702"/>
        <n v="703"/>
        <n v="704"/>
        <n v="705"/>
        <n v="706"/>
        <n v="707"/>
        <n v="708"/>
        <n v="709"/>
        <n v="801"/>
        <n v="802"/>
        <n v="803"/>
        <n v="804"/>
        <n v="805"/>
        <n v="806"/>
        <n v="807"/>
        <n v="808"/>
        <n v="809"/>
        <n v="901"/>
        <n v="902"/>
        <n v="903"/>
        <n v="904"/>
        <n v="905"/>
        <n v="906"/>
        <n v="907"/>
        <n v="908"/>
        <n v="909"/>
        <n v="1001"/>
        <n v="1002"/>
        <n v="1003"/>
        <n v="1004"/>
        <n v="1005"/>
        <n v="1006"/>
        <n v="1007"/>
        <n v="1008"/>
        <n v="1009"/>
        <n v="1101"/>
        <n v="1102"/>
        <n v="1103"/>
        <n v="1104"/>
        <n v="1105"/>
        <n v="1106"/>
        <n v="1107"/>
        <n v="1108"/>
        <n v="1109"/>
        <n v="1201"/>
        <n v="1202"/>
        <n v="1203"/>
        <n v="1204"/>
        <n v="1205"/>
        <n v="1206"/>
        <n v="1207"/>
        <n v="1208"/>
        <n v="1209"/>
        <n v="1301"/>
        <n v="1302"/>
        <n v="1303"/>
        <n v="1304"/>
        <n v="1305"/>
        <n v="1306"/>
        <n v="1307"/>
        <n v="1308"/>
        <n v="1309"/>
      </sharedItems>
    </cacheField>
    <cacheField name="Tipo / Modelo" numFmtId="0">
      <sharedItems/>
    </cacheField>
    <cacheField name="Torre" numFmtId="0">
      <sharedItems/>
    </cacheField>
    <cacheField name="Vendedor" numFmtId="0">
      <sharedItems containsBlank="1"/>
    </cacheField>
    <cacheField name="Cliente" numFmtId="0">
      <sharedItems containsBlank="1"/>
    </cacheField>
    <cacheField name="Fecha Reserva" numFmtId="0">
      <sharedItems containsDate="1" containsBlank="1" containsMixedTypes="1" minDate="2025-04-25T00:00:00" maxDate="2025-08-12T00:00:00"/>
    </cacheField>
    <cacheField name="Estatus" numFmtId="0">
      <sharedItems/>
    </cacheField>
    <cacheField name="Precio de Venta" numFmtId="43">
      <sharedItems containsSemiMixedTypes="0" containsString="0" containsNumber="1" containsInteger="1" minValue="603340" maxValue="995700"/>
    </cacheField>
    <cacheField name="Enganche" numFmtId="43">
      <sharedItems containsSemiMixedTypes="0" containsString="0" containsNumber="1" minValue="43308" maxValue="69699"/>
    </cacheField>
    <cacheField name="mar-25" numFmtId="43">
      <sharedItems containsNonDate="0" containsString="0" containsBlank="1"/>
    </cacheField>
    <cacheField name="abr-25" numFmtId="43">
      <sharedItems containsString="0" containsBlank="1" containsNumber="1" containsInteger="1" minValue="0" maxValue="5000"/>
    </cacheField>
    <cacheField name="may-25" numFmtId="43">
      <sharedItems containsString="0" containsBlank="1" containsNumber="1" minValue="0" maxValue="3000"/>
    </cacheField>
    <cacheField name="jun-25" numFmtId="43">
      <sharedItems containsString="0" containsBlank="1" containsNumber="1" minValue="0" maxValue="3000"/>
    </cacheField>
    <cacheField name="jul-25" numFmtId="43">
      <sharedItems containsString="0" containsBlank="1" containsNumber="1" minValue="0" maxValue="4095.28"/>
    </cacheField>
    <cacheField name="ago-25" numFmtId="43">
      <sharedItems containsString="0" containsBlank="1" containsNumber="1" minValue="0" maxValue="31000"/>
    </cacheField>
    <cacheField name="sep-25" numFmtId="43">
      <sharedItems containsString="0" containsBlank="1" containsNumber="1" containsInteger="1" minValue="0" maxValue="0"/>
    </cacheField>
    <cacheField name="oct-25" numFmtId="43">
      <sharedItems containsString="0" containsBlank="1" containsNumber="1" containsInteger="1" minValue="0" maxValue="0"/>
    </cacheField>
    <cacheField name="nov-25" numFmtId="43">
      <sharedItems containsString="0" containsBlank="1" containsNumber="1" containsInteger="1" minValue="0" maxValue="0"/>
    </cacheField>
    <cacheField name="dic-25" numFmtId="43">
      <sharedItems containsString="0" containsBlank="1" containsNumber="1" containsInteger="1" minValue="0" maxValue="0"/>
    </cacheField>
    <cacheField name="TOTAL COBROS Y RESERVAS" numFmtId="43">
      <sharedItems containsSemiMixedTypes="0" containsString="0" containsNumber="1" minValue="0" maxValue="34000"/>
    </cacheField>
    <cacheField name="% Cobro" numFmtId="9">
      <sharedItems containsSemiMixedTypes="0" containsString="0" containsNumber="1" minValue="0" maxValue="0.78089113458888371"/>
    </cacheField>
    <cacheField name="SALDO PENDIENTE ENGANCHE" numFmtId="43">
      <sharedItems containsSemiMixedTypes="0" containsString="0" containsNumber="1" minValue="-64713" maxValue="3000"/>
    </cacheField>
    <cacheField name="% Pendiente" numFmtId="9">
      <sharedItems containsSemiMixedTypes="0" containsString="0" containsNumber="1" minValue="-0.9773458384305197" maxValue="6.6342326404245894E-2"/>
    </cacheField>
    <cacheField name="Monto a Financiar por Banco" numFmtId="43">
      <sharedItems containsSemiMixedTypes="0" containsString="0" containsNumber="1" minValue="588000" maxValue="995700"/>
    </cacheField>
    <cacheField name="% a Financiar" numFmtId="10">
      <sharedItems containsSemiMixedTypes="0" containsString="0" containsNumber="1" minValue="0.94533762057877813" maxValue="1"/>
    </cacheField>
    <cacheField name="Proyección de Cobros (S/ Modelo Financiero)" numFmtId="43">
      <sharedItems containsSemiMixedTypes="0" containsString="0" containsNumber="1" minValue="0" maxValue="69699"/>
    </cacheField>
    <cacheField name="Status inmueble" numFmtId="0">
      <sharedItems/>
    </cacheField>
    <cacheField name="Status Cliente" numFmtId="0">
      <sharedItems count="3">
        <s v="Cliente al día"/>
        <s v="Disponible"/>
        <s v="Cliente Atrasado"/>
      </sharedItems>
    </cacheField>
    <cacheField name="Cuotas Pactadas" numFmtId="168">
      <sharedItems containsString="0" containsBlank="1" containsNumber="1" containsInteger="1" minValue="26" maxValue="28"/>
    </cacheField>
    <cacheField name="Cuota de Enganche" numFmtId="168">
      <sharedItems containsSemiMixedTypes="0" containsString="0" containsNumber="1" containsInteger="1" minValue="0" maxValue="1"/>
    </cacheField>
    <cacheField name="Total cuotas pactadas" numFmtId="168">
      <sharedItems containsSemiMixedTypes="0" containsString="0" containsNumber="1" containsInteger="1" minValue="0" maxValue="29"/>
    </cacheField>
    <cacheField name="Monto de Reserva Pactado" numFmtId="43">
      <sharedItems containsString="0" containsBlank="1" containsNumber="1" containsInteger="1" minValue="1500" maxValue="5000"/>
    </cacheField>
    <cacheField name="Monto de Cuota Pactada" numFmtId="43">
      <sharedItems containsString="0" containsBlank="1" containsNumber="1" minValue="1500" maxValue="2147.0700000000002"/>
    </cacheField>
    <cacheField name="Cuotas Pagadas" numFmtId="0">
      <sharedItems containsSemiMixedTypes="0" containsString="0" containsNumber="1" containsInteger="1" minValue="0" maxValue="4"/>
    </cacheField>
    <cacheField name="Cantidad de cuotas que deben estar pagadas por el cliente" numFmtId="168">
      <sharedItems containsMixedTypes="1" containsNumber="1" containsInteger="1" minValue="0" maxValue="3"/>
    </cacheField>
    <cacheField name="Monto que debe estar cancelado a la fecha" numFmtId="168">
      <sharedItems containsSemiMixedTypes="0" containsString="0" containsNumber="1" minValue="0" maxValue="13588.28"/>
    </cacheField>
    <cacheField name="Monto pagado de cuotas a la fecha" numFmtId="168">
      <sharedItems containsSemiMixedTypes="0" containsString="0" containsNumber="1" minValue="0" maxValue="6428.7899999999991"/>
    </cacheField>
    <cacheField name="Enganche + Cuotas Extraordinarias Pagadas" numFmtId="168">
      <sharedItems containsSemiMixedTypes="0" containsString="0" containsNumber="1" minValue="0" maxValue="34000"/>
    </cacheField>
    <cacheField name="Diferencia" numFmtId="168">
      <sharedItems containsSemiMixedTypes="0" containsString="0" containsNumber="1" minValue="0" maxValue="5192.3099999999995"/>
    </cacheField>
    <cacheField name="Cobro adicional a lo pactado" numFmtId="168">
      <sharedItems containsSemiMixedTypes="0" containsString="0" containsNumber="1" minValue="0" maxValue="31000"/>
    </cacheField>
    <cacheField name="Cobro no realizado según lo pactado" numFmtId="168">
      <sharedItems containsSemiMixedTypes="0" containsString="0" containsNumber="1" minValue="0" maxValue="3111.12"/>
    </cacheField>
    <cacheField name="Cuotas" numFmtId="168">
      <sharedItems containsMixedTypes="1" containsNumber="1" containsInteger="1" minValue="0" maxValue="2" count="3">
        <n v="0"/>
        <e v="#DIV/0!"/>
        <n v="2"/>
      </sharedItems>
    </cacheField>
    <cacheField name="Caso Especial / F&amp;F" numFmtId="0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k Catú" refreshedDate="45909.415548379628" createdVersion="8" refreshedVersion="8" minRefreshableVersion="3" recordCount="298" xr:uid="{C806D803-BACC-445F-A8B5-277A65382263}">
  <cacheSource type="worksheet">
    <worksheetSource ref="B6:BR304" sheet="BOULEVARD 5"/>
  </cacheSource>
  <cacheFields count="71">
    <cacheField name="Apto." numFmtId="0">
      <sharedItems containsSemiMixedTypes="0" containsString="0" containsNumber="1" containsInteger="1" minValue="101" maxValue="1905" count="298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701"/>
        <n v="1702"/>
        <n v="1703"/>
        <n v="1704"/>
        <n v="1705"/>
        <n v="1706"/>
        <n v="1707"/>
        <n v="1708"/>
        <n v="1801"/>
        <n v="1802"/>
        <n v="1803"/>
        <n v="1804"/>
        <n v="1805"/>
        <n v="1806"/>
        <n v="1807"/>
        <n v="1808"/>
        <n v="1901"/>
        <n v="1902"/>
        <n v="1903"/>
        <n v="1904"/>
        <n v="1905"/>
      </sharedItems>
    </cacheField>
    <cacheField name="Tipo." numFmtId="0">
      <sharedItems/>
    </cacheField>
    <cacheField name="Notas" numFmtId="0">
      <sharedItems containsBlank="1"/>
    </cacheField>
    <cacheField name="Vendedor" numFmtId="0">
      <sharedItems containsBlank="1"/>
    </cacheField>
    <cacheField name="Cliente" numFmtId="0">
      <sharedItems containsBlank="1"/>
    </cacheField>
    <cacheField name="Fecha Reserva" numFmtId="14">
      <sharedItems containsNonDate="0" containsDate="1" containsString="0" containsBlank="1" minDate="2023-03-10T00:00:00" maxDate="2025-08-12T00:00:00"/>
    </cacheField>
    <cacheField name="Estatus" numFmtId="0">
      <sharedItems containsBlank="1"/>
    </cacheField>
    <cacheField name="Precio de Venta" numFmtId="43">
      <sharedItems containsSemiMixedTypes="0" containsString="0" containsNumber="1" minValue="611949.49679780402" maxValue="1590362.1"/>
    </cacheField>
    <cacheField name="Enganche" numFmtId="43">
      <sharedItems containsSemiMixedTypes="0" containsString="0" containsNumber="1" minValue="61249.5" maxValue="890081.34"/>
    </cacheField>
    <cacheField name="mar-23" numFmtId="43">
      <sharedItems containsSemiMixedTypes="0" containsString="0" containsNumber="1" containsInteger="1" minValue="0" maxValue="43000"/>
    </cacheField>
    <cacheField name="abr-23" numFmtId="43">
      <sharedItems containsSemiMixedTypes="0" containsString="0" containsNumber="1" containsInteger="1" minValue="0" maxValue="12000"/>
    </cacheField>
    <cacheField name="may-23" numFmtId="43">
      <sharedItems containsSemiMixedTypes="0" containsString="0" containsNumber="1" containsInteger="1" minValue="0" maxValue="12000"/>
    </cacheField>
    <cacheField name="jun-23" numFmtId="43">
      <sharedItems containsSemiMixedTypes="0" containsString="0" containsNumber="1" minValue="0" maxValue="89008.13"/>
    </cacheField>
    <cacheField name="jul-23" numFmtId="43">
      <sharedItems containsSemiMixedTypes="0" containsString="0" containsNumber="1" containsInteger="1" minValue="0" maxValue="29447"/>
    </cacheField>
    <cacheField name="ago-23" numFmtId="43">
      <sharedItems containsSemiMixedTypes="0" containsString="0" containsNumber="1" containsInteger="1" minValue="0" maxValue="244000"/>
    </cacheField>
    <cacheField name="sep-23" numFmtId="43">
      <sharedItems containsSemiMixedTypes="0" containsString="0" containsNumber="1" minValue="0" maxValue="576342"/>
    </cacheField>
    <cacheField name="oct-23" numFmtId="43">
      <sharedItems containsSemiMixedTypes="0" containsString="0" containsNumber="1" containsInteger="1" minValue="0" maxValue="29447"/>
    </cacheField>
    <cacheField name="nov-23" numFmtId="43">
      <sharedItems containsSemiMixedTypes="0" containsString="0" containsNumber="1" containsInteger="1" minValue="0" maxValue="29447"/>
    </cacheField>
    <cacheField name="dic-23" numFmtId="43">
      <sharedItems containsSemiMixedTypes="0" containsString="0" containsNumber="1" containsInteger="1" minValue="0" maxValue="29447"/>
    </cacheField>
    <cacheField name="ene-24" numFmtId="43">
      <sharedItems containsSemiMixedTypes="0" containsString="0" containsNumber="1" containsInteger="1" minValue="0" maxValue="29447"/>
    </cacheField>
    <cacheField name="feb-24" numFmtId="43">
      <sharedItems containsSemiMixedTypes="0" containsString="0" containsNumber="1" containsInteger="1" minValue="0" maxValue="29447"/>
    </cacheField>
    <cacheField name="mar-24" numFmtId="43">
      <sharedItems containsSemiMixedTypes="0" containsString="0" containsNumber="1" containsInteger="1" minValue="0" maxValue="29447"/>
    </cacheField>
    <cacheField name="abr-24" numFmtId="43">
      <sharedItems containsSemiMixedTypes="0" containsString="0" containsNumber="1" containsInteger="1" minValue="0" maxValue="32022"/>
    </cacheField>
    <cacheField name="may-24" numFmtId="43">
      <sharedItems containsSemiMixedTypes="0" containsString="0" containsNumber="1" containsInteger="1" minValue="0" maxValue="18000"/>
    </cacheField>
    <cacheField name="jun-24" numFmtId="43">
      <sharedItems containsSemiMixedTypes="0" containsString="0" containsNumber="1" containsInteger="1" minValue="0" maxValue="58894"/>
    </cacheField>
    <cacheField name="jul-24" numFmtId="43">
      <sharedItems containsSemiMixedTypes="0" containsString="0" containsNumber="1" containsInteger="1" minValue="0" maxValue="29447"/>
    </cacheField>
    <cacheField name="ago-24" numFmtId="43">
      <sharedItems containsSemiMixedTypes="0" containsString="0" containsNumber="1" minValue="0" maxValue="79113.05"/>
    </cacheField>
    <cacheField name="sep-24" numFmtId="43">
      <sharedItems containsSemiMixedTypes="0" containsString="0" containsNumber="1" minValue="0" maxValue="84146.71"/>
    </cacheField>
    <cacheField name="oct-24" numFmtId="43">
      <sharedItems containsSemiMixedTypes="0" containsString="0" containsNumber="1" minValue="0" maxValue="854446.02"/>
    </cacheField>
    <cacheField name="nov-24" numFmtId="43">
      <sharedItems containsSemiMixedTypes="0" containsString="0" containsNumber="1" minValue="0" maxValue="129140"/>
    </cacheField>
    <cacheField name="dic-24" numFmtId="43">
      <sharedItems containsString="0" containsBlank="1" containsNumber="1" minValue="0" maxValue="470000"/>
    </cacheField>
    <cacheField name="ene-25" numFmtId="43">
      <sharedItems containsSemiMixedTypes="0" containsString="0" containsNumber="1" minValue="0" maxValue="40000"/>
    </cacheField>
    <cacheField name="feb-25" numFmtId="43">
      <sharedItems containsSemiMixedTypes="0" containsString="0" containsNumber="1" minValue="0" maxValue="40000"/>
    </cacheField>
    <cacheField name="mar-25" numFmtId="43">
      <sharedItems containsString="0" containsBlank="1" containsNumber="1" minValue="0" maxValue="50000"/>
    </cacheField>
    <cacheField name="abr-25" numFmtId="43">
      <sharedItems containsString="0" containsBlank="1" containsNumber="1" minValue="0" maxValue="50000"/>
    </cacheField>
    <cacheField name="may-25" numFmtId="43">
      <sharedItems containsString="0" containsBlank="1" containsNumber="1" minValue="0" maxValue="65592.83"/>
    </cacheField>
    <cacheField name="jun-25" numFmtId="43">
      <sharedItems containsString="0" containsBlank="1" containsNumber="1" minValue="0" maxValue="69050.44"/>
    </cacheField>
    <cacheField name="jul-25" numFmtId="43">
      <sharedItems containsString="0" containsBlank="1" containsNumber="1" minValue="0" maxValue="541277.04"/>
    </cacheField>
    <cacheField name="ago-25" numFmtId="43">
      <sharedItems containsString="0" containsBlank="1" containsNumber="1" minValue="0" maxValue="60000"/>
    </cacheField>
    <cacheField name="sep-25" numFmtId="43">
      <sharedItems containsNonDate="0" containsString="0" containsBlank="1"/>
    </cacheField>
    <cacheField name="oct-25" numFmtId="43">
      <sharedItems containsNonDate="0" containsString="0" containsBlank="1"/>
    </cacheField>
    <cacheField name="nov-25" numFmtId="43">
      <sharedItems containsNonDate="0" containsString="0" containsBlank="1"/>
    </cacheField>
    <cacheField name="dic-25" numFmtId="43">
      <sharedItems containsNonDate="0" containsString="0" containsBlank="1"/>
    </cacheField>
    <cacheField name="TOTAL_x000a_ENGANCHES Y RESERVAS" numFmtId="43">
      <sharedItems containsSemiMixedTypes="0" containsString="0" containsNumber="1" minValue="0" maxValue="864446.02"/>
    </cacheField>
    <cacheField name="MESES SIN PAGO_x000a_(del 2025)" numFmtId="0">
      <sharedItems/>
    </cacheField>
    <cacheField name="OBSERVACIONES POSTERIORES" numFmtId="0">
      <sharedItems containsBlank="1"/>
    </cacheField>
    <cacheField name="EN MORA AL 31 AGOSTO 2025" numFmtId="0">
      <sharedItems containsString="0" containsBlank="1" containsNumber="1" containsInteger="1" minValue="0" maxValue="18188"/>
    </cacheField>
    <cacheField name="% COBROS" numFmtId="9">
      <sharedItems containsSemiMixedTypes="0" containsString="0" containsNumber="1" minValue="0" maxValue="5.5056269113149847"/>
    </cacheField>
    <cacheField name="SALDO PENDIENTE ENGANCHE" numFmtId="171">
      <sharedItems containsSemiMixedTypes="0" containsString="0" containsNumber="1" minValue="-215370.7" maxValue="670311.39"/>
    </cacheField>
    <cacheField name="% _x000a_PENDIENTE" numFmtId="9">
      <sharedItems containsSemiMixedTypes="0" containsString="0" containsNumber="1" minValue="-1" maxValue="4.5056269113149847"/>
    </cacheField>
    <cacheField name="SALDO A FINANCIAR POR EL BANCO" numFmtId="43">
      <sharedItems containsSemiMixedTypes="0" containsString="0" containsNumber="1" minValue="0" maxValue="1543626.9723517401"/>
    </cacheField>
    <cacheField name="% _x000a_A FINANCIAR" numFmtId="10">
      <sharedItems containsSemiMixedTypes="0" containsString="0" containsNumber="1" minValue="0" maxValue="1"/>
    </cacheField>
    <cacheField name="Proyección de Cobros (S/ Modelo Financiero)" numFmtId="43">
      <sharedItems containsSemiMixedTypes="0" containsString="0" containsNumber="1" minValue="0" maxValue="890081.34"/>
    </cacheField>
    <cacheField name="Status inmueble" numFmtId="0">
      <sharedItems/>
    </cacheField>
    <cacheField name="ESTATUS CLIENTE" numFmtId="0">
      <sharedItems containsMixedTypes="1" containsNumber="1" minValue="0.56203438395415406" maxValue="14.678072448439979" count="20">
        <s v="Cliente al día"/>
        <s v="Disponible"/>
        <s v="Cliente Atrasado"/>
        <s v="Enganche Completado"/>
        <s v="Superávit de Enganche"/>
        <n v="12"/>
        <n v="1.7575263157894736"/>
        <n v="4.9999856444562507"/>
        <n v="7"/>
        <n v="9.9815000000000005"/>
        <n v="1.778578947368421"/>
        <n v="14.678072448439979"/>
        <n v="3.0000079922634884"/>
        <n v="0.56203438395415406"/>
        <n v="0.93266832917705733"/>
        <n v="11.994712491738268"/>
        <n v="12.787878787878787"/>
        <n v="13.1128"/>
        <n v="12.002490660024906"/>
        <n v="3.7150246884552081"/>
      </sharedItems>
    </cacheField>
    <cacheField name="Cuotas Pactadas" numFmtId="0">
      <sharedItems containsString="0" containsBlank="1" containsNumber="1" containsInteger="1" minValue="1" maxValue="35"/>
    </cacheField>
    <cacheField name="Cuota de Enganche" numFmtId="0">
      <sharedItems containsString="0" containsBlank="1" containsNumber="1" containsInteger="1" minValue="0" maxValue="1"/>
    </cacheField>
    <cacheField name="Total cuotas pactadas" numFmtId="0">
      <sharedItems containsString="0" containsBlank="1" containsNumber="1" containsInteger="1" minValue="0" maxValue="36"/>
    </cacheField>
    <cacheField name="Monto de Reserva Pactado" numFmtId="43">
      <sharedItems containsString="0" containsBlank="1" containsNumber="1" minValue="4000" maxValue="541277.03"/>
    </cacheField>
    <cacheField name="Monto de Cuota Pactada" numFmtId="43">
      <sharedItems containsString="0" containsBlank="1" containsNumber="1" minValue="0" maxValue="854446.02"/>
    </cacheField>
    <cacheField name="Cuotas Pagadas" numFmtId="0">
      <sharedItems containsSemiMixedTypes="0" containsString="0" containsNumber="1" containsInteger="1" minValue="0" maxValue="29"/>
    </cacheField>
    <cacheField name="Cantidad de cuotas que deben estar pagadas por el cliente" numFmtId="0">
      <sharedItems containsSemiMixedTypes="0" containsString="0" containsNumber="1" containsInteger="1" minValue="0" maxValue="29"/>
    </cacheField>
    <cacheField name="Monto que debe estar cancelado a la fecha" numFmtId="168">
      <sharedItems containsString="0" containsBlank="1" containsNumber="1" minValue="0" maxValue="11117798.26"/>
    </cacheField>
    <cacheField name="Monto pagado de cuotas a la fecha" numFmtId="168">
      <sharedItems containsSemiMixedTypes="0" containsString="0" containsNumber="1" minValue="0" maxValue="864446.02"/>
    </cacheField>
    <cacheField name="Enganche + Cuotas Extraordinarias Pagadas" numFmtId="168">
      <sharedItems containsSemiMixedTypes="0" containsString="0" containsNumber="1" minValue="0" maxValue="826342"/>
    </cacheField>
    <cacheField name="Diferencia" numFmtId="168">
      <sharedItems containsSemiMixedTypes="0" containsString="0" containsNumber="1" minValue="-8000" maxValue="29447"/>
    </cacheField>
    <cacheField name="Cobro adicional a lo pactado" numFmtId="168">
      <sharedItems containsSemiMixedTypes="0" containsString="0" containsNumber="1" minValue="0" maxValue="675313"/>
    </cacheField>
    <cacheField name="Cobro no realizado según lo pactado" numFmtId="168">
      <sharedItems containsSemiMixedTypes="0" containsString="0" containsNumber="1" minValue="0" maxValue="2492770"/>
    </cacheField>
    <cacheField name="Cuotas" numFmtId="0">
      <sharedItems containsBlank="1" containsMixedTypes="1" containsNumber="1" minValue="0" maxValue="27" count="54">
        <n v="0"/>
        <m/>
        <n v="1"/>
        <e v="#DIV/0!"/>
        <n v="2"/>
        <n v="11"/>
        <n v="3"/>
        <n v="15"/>
        <n v="4"/>
        <n v="21"/>
        <n v="27"/>
        <n v="23" u="1"/>
        <n v="26" u="1"/>
        <n v="6" u="1"/>
        <n v="7" u="1"/>
        <n v="9" u="1"/>
        <n v="10" u="1"/>
        <n v="14" u="1"/>
        <n v="13" u="1"/>
        <n v="8" u="1"/>
        <n v="5" u="1"/>
        <n v="18" u="1"/>
        <n v="0.45054945054945056" u="1"/>
        <n v="0.25798190045248842" u="1"/>
        <n v="1.0999099909990999" u="1"/>
        <n v="8.9111531190926279" u="1"/>
        <n v="0.21603294440631407" u="1"/>
        <n v="1.0342950462710943" u="1"/>
        <n v="3.0244839174267884E-2" u="1"/>
        <n v="1.9473684210526316" u="1"/>
        <n v="3.5119094103865676" u="1"/>
        <n v="5.8875602035616144" u="1"/>
        <n v="2.2483030435734617" u="1"/>
        <n v="1.1142749387139355" u="1"/>
        <n v="0.21428571428571427" u="1"/>
        <n v="2.3615060240963852" u="1"/>
        <n v="1.02676399026764" u="1"/>
        <n v="1.0122521719759931E-2" u="1"/>
        <n v="1.001853813559322" u="1"/>
        <n v="4.9333991119881598E-3" u="1"/>
        <n v="5.7767691355477616E-3" u="1"/>
        <n v="0.69565217391304346" u="1"/>
        <n v="1.0549450549450549E-2" u="1"/>
        <n v="6.9870000000000001" u="1"/>
        <n v="7.1749999999999998" u="1"/>
        <n v="1.0915913354937745E-2" u="1"/>
        <n v="5.8852574653185989" u="1"/>
        <n v="1.8748551564310545" u="1"/>
        <n v="6.8940000000000001" u="1"/>
        <n v="1.8923113096637667" u="1"/>
        <n v="7.5040783034257749E-3" u="1"/>
        <n v="1.9909297052154196" u="1"/>
        <n v="1.8338344155844162" u="1"/>
        <n v="1.2124999999999999" u="1"/>
      </sharedItems>
    </cacheField>
    <cacheField name="Caso Especial / F&amp;F" numFmtId="0">
      <sharedItems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s v="TB"/>
    <s v="B"/>
    <s v="Luis Esteban"/>
    <s v="Wendy Azucena Barrientos Salazar"/>
    <d v="2024-03-23T00:00:00"/>
    <s v="4.Plan de pagos"/>
    <n v="477700"/>
    <n v="24000"/>
    <m/>
    <m/>
    <m/>
    <m/>
    <m/>
    <n v="0"/>
    <n v="0"/>
    <n v="0"/>
    <n v="0"/>
    <n v="0"/>
    <n v="0"/>
    <n v="0"/>
    <n v="1500"/>
    <n v="1071.43"/>
    <n v="1071.43"/>
    <n v="925.33"/>
    <n v="1022.73"/>
    <n v="1022.73"/>
    <n v="1022.73"/>
    <n v="1022.73"/>
    <n v="2046.46"/>
    <m/>
    <n v="1022.73"/>
    <n v="1022.73"/>
    <n v="2045.46"/>
    <n v="14796.489999999998"/>
    <n v="0.61652041666666657"/>
    <n v="9203.510000000002"/>
    <n v="0.38347958333333343"/>
    <n v="462903.51"/>
    <n v="0.9690255599748796"/>
    <n v="12750.029999999997"/>
    <n v="-2046.4600000000009"/>
    <x v="0"/>
    <x v="0"/>
  </r>
  <r>
    <x v="1"/>
    <s v="TB"/>
    <s v="B"/>
    <s v="Luis Esteban"/>
    <s v="Orfa Sarai Santos Morales"/>
    <d v="2024-06-10T00:00:00"/>
    <s v="4.Plan de pagos"/>
    <n v="477700"/>
    <n v="23900"/>
    <m/>
    <m/>
    <m/>
    <m/>
    <m/>
    <n v="0"/>
    <n v="0"/>
    <n v="0"/>
    <n v="0"/>
    <n v="0"/>
    <n v="0"/>
    <n v="0"/>
    <n v="0"/>
    <n v="0"/>
    <n v="0"/>
    <n v="1500"/>
    <n v="1244.44"/>
    <n v="1244.44"/>
    <n v="1244.44"/>
    <n v="1244.44"/>
    <n v="0"/>
    <n v="1244.44"/>
    <n v="1244.44"/>
    <m/>
    <m/>
    <n v="8966.6400000000012"/>
    <n v="0.37517322175732221"/>
    <n v="14933.359999999999"/>
    <n v="0.62482677824267774"/>
    <n v="468733.36"/>
    <n v="0.98122955830018832"/>
    <n v="12699.960000000003"/>
    <n v="3733.3200000000015"/>
    <x v="1"/>
    <x v="1"/>
  </r>
  <r>
    <x v="2"/>
    <s v="TB"/>
    <s v="C"/>
    <s v="Pedro Sarti"/>
    <s v="María Angela Rodríguez"/>
    <d v="2025-01-04T00:00:00"/>
    <s v="2.Reservado"/>
    <n v="477700"/>
    <n v="2400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n v="1500"/>
    <m/>
    <n v="3737.5"/>
    <n v="5237.5"/>
    <n v="0.21822916666666667"/>
    <n v="18762.5"/>
    <n v="0.7817708333333333"/>
    <n v="472462.5"/>
    <n v="0.98903600586141927"/>
    <n v="5250"/>
    <n v="12.5"/>
    <x v="1"/>
    <x v="2"/>
  </r>
  <r>
    <x v="3"/>
    <s v="TB"/>
    <s v="C"/>
    <s v="Karina Fuentes"/>
    <s v="Brayan Eduardo Sosa Canto"/>
    <d v="2023-10-31T00:00:00"/>
    <s v="4.Plan de pagos"/>
    <n v="497900"/>
    <n v="49800"/>
    <m/>
    <m/>
    <m/>
    <m/>
    <m/>
    <n v="0"/>
    <n v="0"/>
    <n v="3323.33"/>
    <n v="2323.33"/>
    <n v="2323.33"/>
    <n v="2323.33"/>
    <n v="0"/>
    <n v="2323.33"/>
    <n v="4646.66"/>
    <n v="2323.33"/>
    <n v="0"/>
    <n v="4646.66"/>
    <n v="2323.33"/>
    <n v="0"/>
    <n v="2323.33"/>
    <n v="0"/>
    <n v="4646.66"/>
    <m/>
    <m/>
    <m/>
    <n v="33526.619999999995"/>
    <n v="0.67322530120481916"/>
    <n v="16273.380000000005"/>
    <n v="0.32677469879518084"/>
    <n v="464373.38"/>
    <n v="0.93266394858405299"/>
    <n v="36490.879999999997"/>
    <n v="2964.260000000002"/>
    <x v="1"/>
    <x v="3"/>
  </r>
  <r>
    <x v="4"/>
    <s v="TB"/>
    <s v="B"/>
    <s v="Abigail Garcia"/>
    <s v="Belia Ester Velasquez Castillo"/>
    <d v="2023-11-28T00:00:00"/>
    <s v="4.Plan de pagos"/>
    <n v="477700"/>
    <n v="23900"/>
    <m/>
    <m/>
    <m/>
    <m/>
    <m/>
    <n v="0"/>
    <n v="0"/>
    <n v="0"/>
    <n v="0"/>
    <n v="0"/>
    <n v="0"/>
    <n v="0"/>
    <n v="0"/>
    <n v="0"/>
    <n v="0"/>
    <n v="0"/>
    <n v="0"/>
    <n v="0"/>
    <n v="0"/>
    <m/>
    <n v="300"/>
    <n v="500"/>
    <m/>
    <m/>
    <n v="500"/>
    <n v="1300"/>
    <n v="5.4393305439330547E-2"/>
    <n v="22600"/>
    <n v="0.94560669456066948"/>
    <n v="476400"/>
    <n v="0.99727862675319234"/>
    <n v="7561.52"/>
    <n v="6261.52"/>
    <x v="1"/>
    <x v="4"/>
  </r>
  <r>
    <x v="5"/>
    <s v="TB"/>
    <s v="B"/>
    <s v="Karina Fuentes"/>
    <s v="Loida Sarai Morales Garcia"/>
    <d v="2024-03-03T00:00:00"/>
    <s v="4.Plan de pagos"/>
    <n v="477700"/>
    <n v="47800"/>
    <m/>
    <m/>
    <m/>
    <m/>
    <m/>
    <n v="0"/>
    <n v="0"/>
    <n v="0"/>
    <n v="0"/>
    <n v="0"/>
    <n v="0"/>
    <n v="0"/>
    <n v="3228.57"/>
    <n v="2228.5700000000002"/>
    <n v="2228.5700000000002"/>
    <n v="2228.5700000000002"/>
    <n v="2228.5700000000002"/>
    <n v="2228.5700000000002"/>
    <n v="2228.5700000000002"/>
    <n v="2228.5700000000002"/>
    <n v="0"/>
    <n v="2228.5700000000002"/>
    <n v="2228.5700000000002"/>
    <n v="2228.5700000000002"/>
    <n v="4457.1400000000003"/>
    <n v="29971.41"/>
    <n v="0.62701694560669452"/>
    <n v="17828.59"/>
    <n v="0.37298305439330542"/>
    <n v="447728.59"/>
    <n v="0.93725892819761358"/>
    <n v="27742.84"/>
    <n v="-2228.5699999999997"/>
    <x v="0"/>
    <x v="5"/>
  </r>
  <r>
    <x v="6"/>
    <s v="TB"/>
    <s v="A"/>
    <s v="Abigail Garcia"/>
    <s v="Juan Carlos Carrillo Hernandez"/>
    <d v="2023-10-02T00:00:00"/>
    <s v="4.Plan de pagos"/>
    <n v="384700"/>
    <n v="38500"/>
    <m/>
    <m/>
    <m/>
    <m/>
    <m/>
    <n v="0"/>
    <n v="0"/>
    <n v="1000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31345"/>
    <n v="0.81415584415584419"/>
    <n v="7155"/>
    <n v="0.18584415584415584"/>
    <n v="353355"/>
    <n v="0.91852092539641284"/>
    <n v="31332.930000000011"/>
    <n v="-12.069999999988795"/>
    <x v="0"/>
    <x v="2"/>
  </r>
  <r>
    <x v="7"/>
    <s v="TB"/>
    <s v="B"/>
    <s v="Karina Fuentes"/>
    <s v="Soluciones a su alcance"/>
    <d v="2024-12-23T00:00:00"/>
    <s v="4.Plan de pagos"/>
    <n v="477700"/>
    <n v="956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500"/>
    <m/>
    <m/>
    <m/>
    <m/>
    <n v="1500"/>
    <n v="1.5690376569037656E-2"/>
    <n v="94100"/>
    <n v="0.98430962343096229"/>
    <n v="476200"/>
    <n v="0.99685995394599125"/>
    <n v="30453.839999999997"/>
    <n v="28953.839999999997"/>
    <x v="1"/>
    <x v="4"/>
  </r>
  <r>
    <x v="8"/>
    <s v="TB"/>
    <s v="B"/>
    <s v="Alejandra Calderón"/>
    <s v="Heidi Lisseth Morataya Flores"/>
    <d v="2023-10-03T00:00:00"/>
    <s v="4.Plan de pagos"/>
    <n v="494900"/>
    <n v="49490"/>
    <m/>
    <m/>
    <m/>
    <m/>
    <m/>
    <n v="0"/>
    <n v="0"/>
    <n v="425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41815.57999999998"/>
    <n v="0.8449298848252168"/>
    <n v="7674.4200000000201"/>
    <n v="0.1550701151747832"/>
    <n v="453084.42000000004"/>
    <n v="0.91550701151747838"/>
    <n v="44620.57999999998"/>
    <n v="2805"/>
    <x v="1"/>
    <x v="3"/>
  </r>
  <r>
    <x v="9"/>
    <s v="TB"/>
    <s v="C"/>
    <s v="Abigail Garcia"/>
    <s v="Helen Lorena Monroy Jauregui"/>
    <d v="2024-02-26T00:00:00"/>
    <s v="4.Plan de pagos"/>
    <n v="477700"/>
    <n v="24000"/>
    <m/>
    <m/>
    <m/>
    <m/>
    <m/>
    <n v="0"/>
    <n v="0"/>
    <n v="0"/>
    <n v="0"/>
    <n v="0"/>
    <n v="0"/>
    <n v="500"/>
    <n v="0"/>
    <n v="1545.45"/>
    <n v="1045.45"/>
    <n v="1045.45"/>
    <n v="1045.45"/>
    <n v="1045.45"/>
    <n v="1045.45"/>
    <n v="1045"/>
    <n v="1045.45"/>
    <n v="1045.45"/>
    <n v="1045.45"/>
    <n v="522.72"/>
    <m/>
    <n v="11976.770000000002"/>
    <n v="0.49903208333333343"/>
    <n v="12023.229999999998"/>
    <n v="0.50096791666666662"/>
    <n v="465723.23"/>
    <n v="0.97492826041448599"/>
    <n v="14590.850000000004"/>
    <n v="2614.0800000000017"/>
    <x v="1"/>
    <x v="1"/>
  </r>
  <r>
    <x v="10"/>
    <s v="TB"/>
    <s v="C"/>
    <m/>
    <m/>
    <m/>
    <s v="1.Disponible"/>
    <n v="477000"/>
    <n v="24000"/>
    <m/>
    <m/>
    <m/>
    <m/>
    <m/>
    <m/>
    <m/>
    <m/>
    <m/>
    <m/>
    <m/>
    <m/>
    <m/>
    <m/>
    <m/>
    <m/>
    <m/>
    <m/>
    <m/>
    <m/>
    <m/>
    <m/>
    <m/>
    <m/>
    <m/>
    <n v="0"/>
    <n v="0"/>
    <n v="24000"/>
    <n v="1"/>
    <n v="477000"/>
    <n v="1"/>
    <n v="0"/>
    <n v="0"/>
    <x v="2"/>
    <x v="2"/>
  </r>
  <r>
    <x v="11"/>
    <s v="TB"/>
    <s v="B"/>
    <s v="Abigail Garcia"/>
    <s v="Edgar Giovanni Palomo Robles"/>
    <d v="2024-03-21T00:00:00"/>
    <s v="4.Plan de pagos"/>
    <n v="477700"/>
    <n v="24000"/>
    <m/>
    <m/>
    <m/>
    <m/>
    <m/>
    <n v="0"/>
    <n v="0"/>
    <n v="0"/>
    <n v="0"/>
    <n v="0"/>
    <n v="0"/>
    <n v="0"/>
    <n v="1000"/>
    <n v="0"/>
    <n v="0"/>
    <n v="0"/>
    <n v="0"/>
    <n v="0"/>
    <n v="0"/>
    <m/>
    <n v="0"/>
    <m/>
    <m/>
    <m/>
    <m/>
    <n v="1000"/>
    <n v="4.1666666666666664E-2"/>
    <n v="23000"/>
    <n v="0.95833333333333337"/>
    <n v="476700"/>
    <n v="0.99790663596399409"/>
    <n v="13105.300000000001"/>
    <n v="12105.300000000001"/>
    <x v="1"/>
    <x v="6"/>
  </r>
  <r>
    <x v="12"/>
    <s v="TB"/>
    <s v="B"/>
    <s v="Abigail Garcia"/>
    <s v="Keneth David Palomo Lopez"/>
    <d v="2024-03-21T00:00:00"/>
    <s v="4.Plan de pagos"/>
    <n v="477700"/>
    <n v="24000"/>
    <m/>
    <m/>
    <m/>
    <m/>
    <m/>
    <n v="0"/>
    <n v="0"/>
    <n v="0"/>
    <n v="0"/>
    <n v="0"/>
    <n v="0"/>
    <n v="0"/>
    <n v="1000"/>
    <n v="0"/>
    <n v="0"/>
    <n v="0"/>
    <n v="0"/>
    <n v="0"/>
    <n v="0"/>
    <m/>
    <n v="0"/>
    <m/>
    <m/>
    <m/>
    <m/>
    <n v="1000"/>
    <n v="4.1666666666666664E-2"/>
    <n v="23000"/>
    <n v="0.95833333333333337"/>
    <n v="476700"/>
    <n v="0.99790663596399409"/>
    <n v="13105.300000000001"/>
    <n v="12105.300000000001"/>
    <x v="1"/>
    <x v="7"/>
  </r>
  <r>
    <x v="13"/>
    <s v="TB"/>
    <s v="B"/>
    <s v="Luis Esteban"/>
    <s v="Andrea Celeste Aparicio Juarez"/>
    <d v="2024-04-07T00:00:00"/>
    <s v="4.Plan de pagos"/>
    <n v="477700"/>
    <n v="24000"/>
    <m/>
    <m/>
    <m/>
    <m/>
    <m/>
    <n v="0"/>
    <n v="0"/>
    <n v="0"/>
    <n v="0"/>
    <n v="0"/>
    <n v="0"/>
    <n v="0"/>
    <n v="0"/>
    <n v="1500"/>
    <n v="546"/>
    <n v="1046"/>
    <n v="1046"/>
    <n v="1046"/>
    <n v="1045"/>
    <n v="1045"/>
    <n v="1046"/>
    <n v="1046"/>
    <n v="1046"/>
    <n v="1046"/>
    <n v="1046"/>
    <n v="12504"/>
    <n v="0.52100000000000002"/>
    <n v="11496"/>
    <n v="0.47899999999999998"/>
    <n v="465196"/>
    <n v="0.9738245760937827"/>
    <n v="12499.950000000003"/>
    <n v="-4.0499999999974534"/>
    <x v="0"/>
    <x v="2"/>
  </r>
  <r>
    <x v="14"/>
    <s v="TB"/>
    <s v="B"/>
    <s v="Efren Sanchez"/>
    <s v="Carlos Humberto Joel Alvizures Carmona / Katherine Areli Turcios Alvarez"/>
    <d v="2024-10-04T00:00:00"/>
    <s v="4.Plan de pagos"/>
    <n v="477700"/>
    <n v="23900"/>
    <m/>
    <m/>
    <m/>
    <m/>
    <m/>
    <n v="0"/>
    <n v="0"/>
    <m/>
    <m/>
    <m/>
    <m/>
    <m/>
    <m/>
    <m/>
    <m/>
    <m/>
    <m/>
    <m/>
    <m/>
    <n v="1493.33"/>
    <n v="1493.33"/>
    <m/>
    <m/>
    <m/>
    <m/>
    <n v="2986.66"/>
    <n v="0.12496485355648534"/>
    <n v="20913.34"/>
    <n v="0.87503514644351466"/>
    <n v="474713.34"/>
    <n v="0.99374783336822281"/>
    <n v="10459.98"/>
    <n v="7473.32"/>
    <x v="1"/>
    <x v="8"/>
  </r>
  <r>
    <x v="15"/>
    <s v="TB"/>
    <s v="C"/>
    <s v="Karina Fuentes"/>
    <s v="BYRON JUVENTINO LÓPEZ MAYEN"/>
    <d v="2023-11-27T00:00:00"/>
    <s v="4.Plan de pagos"/>
    <n v="497900"/>
    <n v="49800"/>
    <m/>
    <m/>
    <m/>
    <m/>
    <m/>
    <n v="0"/>
    <n v="0"/>
    <n v="0"/>
    <n v="500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36354.559999999998"/>
    <n v="0.73001124497991965"/>
    <n v="13445.440000000002"/>
    <n v="0.26998875502008035"/>
    <n v="461545.44"/>
    <n v="0.92698421369752959"/>
    <n v="36354.559999999998"/>
    <n v="0"/>
    <x v="3"/>
    <x v="2"/>
  </r>
  <r>
    <x v="16"/>
    <s v="TB"/>
    <s v="C"/>
    <s v="Abigail Garcia"/>
    <s v="Jesica Paola Noj Ramirez"/>
    <d v="2024-07-06T00:00:00"/>
    <s v="4.Plan de pagos"/>
    <n v="477000"/>
    <n v="24000"/>
    <m/>
    <m/>
    <m/>
    <m/>
    <m/>
    <n v="0"/>
    <n v="0"/>
    <n v="0"/>
    <n v="0"/>
    <n v="0"/>
    <n v="0"/>
    <n v="0"/>
    <n v="0"/>
    <n v="0"/>
    <n v="0"/>
    <n v="0"/>
    <n v="1500"/>
    <n v="1323.53"/>
    <n v="0"/>
    <m/>
    <n v="2647.06"/>
    <n v="1323.53"/>
    <n v="1323.53"/>
    <m/>
    <n v="2647.06"/>
    <n v="10764.71"/>
    <n v="0.44852958333333331"/>
    <n v="13235.29"/>
    <n v="0.55147041666666674"/>
    <n v="466235.29"/>
    <n v="0.97743247379454923"/>
    <n v="12088.24"/>
    <n v="1323.5300000000007"/>
    <x v="1"/>
    <x v="3"/>
  </r>
  <r>
    <x v="17"/>
    <s v="TB"/>
    <s v="B"/>
    <s v="Abigail Garcia"/>
    <s v="Gerber Eliezer Perez Alonzo"/>
    <d v="2024-07-06T00:00:00"/>
    <s v="4.Plan de pagos"/>
    <n v="477700"/>
    <n v="24000"/>
    <m/>
    <m/>
    <m/>
    <m/>
    <m/>
    <n v="0"/>
    <n v="0"/>
    <n v="0"/>
    <n v="0"/>
    <n v="0"/>
    <n v="0"/>
    <n v="0"/>
    <n v="0"/>
    <n v="0"/>
    <n v="0"/>
    <n v="0"/>
    <n v="1500"/>
    <n v="1323.53"/>
    <n v="1323.53"/>
    <n v="1323.53"/>
    <n v="1323.53"/>
    <n v="1323.53"/>
    <n v="1323.53"/>
    <n v="1323.53"/>
    <n v="1323.53"/>
    <n v="12088.24"/>
    <n v="0.50367666666666666"/>
    <n v="11911.76"/>
    <n v="0.49632333333333334"/>
    <n v="465611.76"/>
    <n v="0.97469491312539247"/>
    <n v="12088.24"/>
    <n v="0"/>
    <x v="3"/>
    <x v="2"/>
  </r>
  <r>
    <x v="18"/>
    <s v="TB"/>
    <s v="B"/>
    <s v="Abigail Garcia"/>
    <s v="Cristina Elizabeth Musin Hernandez"/>
    <d v="2024-05-18T00:00:00"/>
    <s v="4.Plan de pagos"/>
    <n v="477700"/>
    <n v="24000"/>
    <m/>
    <m/>
    <m/>
    <m/>
    <m/>
    <n v="0"/>
    <n v="0"/>
    <n v="0"/>
    <n v="0"/>
    <n v="0"/>
    <n v="0"/>
    <n v="0"/>
    <n v="0"/>
    <n v="0"/>
    <n v="1500"/>
    <n v="1184.21"/>
    <n v="1184.21"/>
    <n v="1184.21"/>
    <n v="1184.21"/>
    <n v="1184.21"/>
    <n v="1184.21"/>
    <n v="5921.05"/>
    <m/>
    <m/>
    <m/>
    <n v="14526.310000000001"/>
    <n v="0.60526291666666676"/>
    <n v="9473.6899999999987"/>
    <n v="0.39473708333333329"/>
    <n v="463173.69"/>
    <n v="0.96959114507012767"/>
    <n v="12157.89"/>
    <n v="-2368.4200000000019"/>
    <x v="0"/>
    <x v="0"/>
  </r>
  <r>
    <x v="19"/>
    <s v="TB"/>
    <s v="A"/>
    <s v="Abigail Garcia"/>
    <s v="SAULO JOSUE ESCOBAR PÉREZ"/>
    <d v="2023-11-09T00:00:00"/>
    <s v="4.Plan de pagos"/>
    <n v="384700"/>
    <n v="38500"/>
    <m/>
    <m/>
    <m/>
    <m/>
    <m/>
    <n v="0"/>
    <n v="0"/>
    <n v="0"/>
    <n v="1000"/>
    <n v="1703.18"/>
    <n v="1703.18"/>
    <n v="1703.18"/>
    <n v="1703.18"/>
    <n v="1703.18"/>
    <n v="1703.18"/>
    <n v="1703.18"/>
    <n v="1703.18"/>
    <n v="1703.18"/>
    <n v="1703.18"/>
    <n v="1703.18"/>
    <n v="1703.18"/>
    <m/>
    <n v="3406.36"/>
    <n v="1703.18"/>
    <m/>
    <n v="26547.700000000004"/>
    <n v="0.68955064935064947"/>
    <n v="11952.299999999996"/>
    <n v="0.31044935064935053"/>
    <n v="358152.3"/>
    <n v="0.93099116194437226"/>
    <n v="28250.880000000005"/>
    <n v="1703.1800000000003"/>
    <x v="1"/>
    <x v="3"/>
  </r>
  <r>
    <x v="20"/>
    <s v="TB"/>
    <s v="B"/>
    <s v="Abigail Garcia"/>
    <s v="MONICA AIDE ESPITAL BALAN"/>
    <d v="2023-10-25T00:00:00"/>
    <s v="4.Plan de pagos"/>
    <n v="494900"/>
    <n v="49490"/>
    <m/>
    <m/>
    <m/>
    <m/>
    <m/>
    <n v="0"/>
    <n v="0"/>
    <n v="500"/>
    <n v="1500"/>
    <n v="0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37617.5"/>
    <n v="0.76010305112143872"/>
    <n v="11872.5"/>
    <n v="0.23989694887856133"/>
    <n v="457282.5"/>
    <n v="0.92398969488785609"/>
    <n v="37617.5"/>
    <n v="0"/>
    <x v="3"/>
    <x v="2"/>
  </r>
  <r>
    <x v="21"/>
    <s v="TB"/>
    <s v="B"/>
    <s v="Abigail Garcia"/>
    <s v="RUDY RONALDO PEÑA LARIOS"/>
    <d v="2025-02-28T00:00:00"/>
    <s v="4.Plan de pagos"/>
    <n v="477700"/>
    <n v="24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m/>
    <n v="1500"/>
    <n v="6.25E-2"/>
    <n v="22500"/>
    <n v="0.9375"/>
    <n v="476200"/>
    <n v="0.99685995394599125"/>
    <n v="0"/>
    <n v="-1500"/>
    <x v="4"/>
    <x v="2"/>
  </r>
  <r>
    <x v="22"/>
    <s v="TB"/>
    <s v="C"/>
    <s v="Antonio Rada"/>
    <s v="JOYCE SHARON CRUZ ARGUELLO"/>
    <d v="2024-10-14T00:00:00"/>
    <s v="4.Plan de pagos"/>
    <n v="477000"/>
    <n v="23900"/>
    <m/>
    <m/>
    <m/>
    <m/>
    <m/>
    <n v="0"/>
    <n v="0"/>
    <m/>
    <m/>
    <m/>
    <m/>
    <m/>
    <m/>
    <m/>
    <m/>
    <m/>
    <m/>
    <m/>
    <m/>
    <n v="500"/>
    <n v="1678.57"/>
    <n v="1678.57"/>
    <n v="1678.57"/>
    <n v="1678.57"/>
    <n v="1678.57"/>
    <n v="8892.8499999999985"/>
    <n v="0.37208577405857735"/>
    <n v="15007.150000000001"/>
    <n v="0.62791422594142265"/>
    <n v="468107.15"/>
    <n v="0.98135670859538793"/>
    <n v="8857.1500000000015"/>
    <n v="-35.69999999999709"/>
    <x v="0"/>
    <x v="2"/>
  </r>
  <r>
    <x v="23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24"/>
    <s v="TB"/>
    <s v="B"/>
    <m/>
    <m/>
    <m/>
    <s v="1.Disponible"/>
    <n v="507200"/>
    <n v="5072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50720"/>
    <n v="1"/>
    <n v="507200"/>
    <n v="1"/>
    <n v="0"/>
    <n v="0"/>
    <x v="2"/>
    <x v="2"/>
  </r>
  <r>
    <x v="25"/>
    <s v="TB"/>
    <s v="B"/>
    <s v="Abigail Garcia"/>
    <s v="Edgar Giovanni Palomo Robles"/>
    <d v="2024-03-21T00:00:00"/>
    <s v="4.Plan de pagos"/>
    <n v="477700"/>
    <n v="24000"/>
    <m/>
    <m/>
    <m/>
    <m/>
    <m/>
    <n v="0"/>
    <n v="0"/>
    <n v="0"/>
    <n v="0"/>
    <n v="0"/>
    <n v="0"/>
    <n v="0"/>
    <n v="1000"/>
    <n v="0"/>
    <n v="0"/>
    <n v="0"/>
    <n v="0"/>
    <n v="0"/>
    <n v="0"/>
    <m/>
    <n v="0"/>
    <m/>
    <m/>
    <m/>
    <m/>
    <n v="1000"/>
    <n v="4.1666666666666664E-2"/>
    <n v="23000"/>
    <n v="0.95833333333333337"/>
    <n v="476700"/>
    <n v="0.99790663596399409"/>
    <n v="13105.300000000001"/>
    <n v="12105.300000000001"/>
    <x v="1"/>
    <x v="6"/>
  </r>
  <r>
    <x v="26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27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28"/>
    <s v="TB"/>
    <s v="C"/>
    <m/>
    <m/>
    <m/>
    <s v="1.Disponible"/>
    <n v="507200"/>
    <n v="50720"/>
    <m/>
    <m/>
    <m/>
    <m/>
    <m/>
    <n v="0"/>
    <n v="0"/>
    <n v="0"/>
    <n v="0"/>
    <n v="0"/>
    <n v="0"/>
    <n v="0"/>
    <n v="0"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29"/>
    <s v="TB"/>
    <s v="C"/>
    <s v="Antonio Rada"/>
    <s v="XIOMARA EDITH GARCÍA SOLÍS De MORALES"/>
    <d v="2024-12-09T00:00:00"/>
    <s v="4.Plan de pagos"/>
    <n v="477000"/>
    <n v="23900"/>
    <m/>
    <m/>
    <m/>
    <m/>
    <m/>
    <n v="0"/>
    <n v="0"/>
    <m/>
    <m/>
    <m/>
    <m/>
    <m/>
    <m/>
    <m/>
    <m/>
    <m/>
    <m/>
    <m/>
    <m/>
    <m/>
    <n v="0"/>
    <n v="1500"/>
    <n v="1723.08"/>
    <n v="1723.08"/>
    <n v="1723.08"/>
    <n v="6669.24"/>
    <n v="0.27904769874476987"/>
    <n v="17230.760000000002"/>
    <n v="0.72095230125523024"/>
    <n v="470330.76"/>
    <n v="0.98601836477987426"/>
    <n v="6669.24"/>
    <n v="0"/>
    <x v="3"/>
    <x v="2"/>
  </r>
  <r>
    <x v="30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31"/>
    <s v="TB"/>
    <s v="B"/>
    <s v="Efren Sanchez"/>
    <s v="Saul Esteban Mayen Santos"/>
    <d v="2024-09-30T00:00:00"/>
    <s v="4.Plan de pagos"/>
    <n v="477700"/>
    <n v="23900"/>
    <m/>
    <m/>
    <m/>
    <m/>
    <m/>
    <n v="0"/>
    <n v="0"/>
    <m/>
    <m/>
    <m/>
    <m/>
    <m/>
    <m/>
    <m/>
    <m/>
    <m/>
    <m/>
    <m/>
    <n v="1500"/>
    <n v="1500"/>
    <n v="1500"/>
    <n v="1500"/>
    <m/>
    <n v="3000"/>
    <n v="1500"/>
    <n v="10500"/>
    <n v="0.43933054393305437"/>
    <n v="13400"/>
    <n v="0.56066945606694563"/>
    <n v="467200"/>
    <n v="0.97801967762193842"/>
    <n v="10459.98"/>
    <n v="-40.020000000000437"/>
    <x v="0"/>
    <x v="2"/>
  </r>
  <r>
    <x v="32"/>
    <s v="TB"/>
    <s v="A"/>
    <m/>
    <m/>
    <m/>
    <s v="1.Disponible"/>
    <n v="394300"/>
    <n v="3943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39430"/>
    <n v="1"/>
    <n v="394300"/>
    <n v="1"/>
    <n v="0"/>
    <n v="0"/>
    <x v="2"/>
    <x v="2"/>
  </r>
  <r>
    <x v="33"/>
    <s v="TB"/>
    <s v="B"/>
    <m/>
    <m/>
    <m/>
    <s v="1.Disponible"/>
    <n v="494800"/>
    <n v="49480"/>
    <m/>
    <m/>
    <m/>
    <m/>
    <m/>
    <n v="0"/>
    <n v="0"/>
    <n v="0"/>
    <n v="0"/>
    <n v="0"/>
    <n v="0"/>
    <n v="0"/>
    <n v="0"/>
    <m/>
    <m/>
    <m/>
    <m/>
    <m/>
    <m/>
    <m/>
    <n v="0"/>
    <m/>
    <m/>
    <m/>
    <m/>
    <n v="0"/>
    <n v="0"/>
    <n v="49480"/>
    <n v="1"/>
    <n v="494800"/>
    <n v="1"/>
    <n v="0"/>
    <n v="0"/>
    <x v="2"/>
    <x v="2"/>
  </r>
  <r>
    <x v="34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35"/>
    <s v="TB"/>
    <s v="C"/>
    <s v="Abigail Garcia"/>
    <s v="Eddy Daniel Roque Arellanos"/>
    <d v="2024-04-08T00:00:00"/>
    <s v="4.Plan de pagos"/>
    <n v="477000"/>
    <n v="24000"/>
    <m/>
    <m/>
    <m/>
    <m/>
    <m/>
    <n v="0"/>
    <n v="0"/>
    <n v="0"/>
    <n v="0"/>
    <n v="0"/>
    <n v="0"/>
    <n v="0"/>
    <n v="0"/>
    <n v="2700"/>
    <n v="1200"/>
    <n v="0"/>
    <n v="2400"/>
    <n v="0"/>
    <n v="1200"/>
    <n v="1200"/>
    <n v="1200"/>
    <n v="2400"/>
    <m/>
    <n v="2400"/>
    <n v="1200"/>
    <n v="15900"/>
    <n v="0.66249999999999998"/>
    <n v="8100"/>
    <n v="0.33750000000000002"/>
    <n v="461100"/>
    <n v="0.96666666666666667"/>
    <n v="13875"/>
    <n v="-2025"/>
    <x v="0"/>
    <x v="0"/>
  </r>
  <r>
    <x v="36"/>
    <s v="TB"/>
    <s v="C"/>
    <s v="Antonio Rada"/>
    <s v="PEDRO DAVID PÉREZ BARRIOS"/>
    <d v="2024-05-15T00:00:00"/>
    <s v="4.Plan de pagos"/>
    <n v="477000"/>
    <n v="23900"/>
    <m/>
    <m/>
    <m/>
    <m/>
    <m/>
    <n v="0"/>
    <n v="0"/>
    <n v="0"/>
    <n v="0"/>
    <n v="0"/>
    <n v="0"/>
    <n v="0"/>
    <n v="0"/>
    <n v="0"/>
    <n v="1500"/>
    <n v="2000"/>
    <n v="1200"/>
    <n v="1200"/>
    <n v="1200"/>
    <n v="1200"/>
    <n v="1200"/>
    <n v="1200"/>
    <n v="1200"/>
    <n v="1200"/>
    <m/>
    <n v="13100"/>
    <n v="0.54811715481171552"/>
    <n v="10800"/>
    <n v="0.45188284518828453"/>
    <n v="463900"/>
    <n v="0.9725366876310273"/>
    <n v="13289.500000000002"/>
    <n v="189.50000000000182"/>
    <x v="1"/>
    <x v="2"/>
  </r>
  <r>
    <x v="37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38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39"/>
    <s v="TB"/>
    <s v="B"/>
    <s v="Karina Fuentes"/>
    <s v="Lourdes Ofelia Baires"/>
    <d v="2023-12-02T00:00:00"/>
    <s v="4.Plan de pagos"/>
    <n v="494900"/>
    <n v="49500"/>
    <m/>
    <m/>
    <m/>
    <m/>
    <m/>
    <n v="0"/>
    <n v="0"/>
    <n v="0"/>
    <n v="0"/>
    <n v="500"/>
    <n v="2333.33"/>
    <n v="2333.33"/>
    <n v="2333.33"/>
    <n v="0"/>
    <n v="2333.33"/>
    <n v="2333.33"/>
    <n v="2333.33"/>
    <n v="4666.66"/>
    <n v="0"/>
    <n v="2333.33"/>
    <n v="2333.33"/>
    <n v="2333.33"/>
    <n v="2333.33"/>
    <n v="2333.33"/>
    <n v="2333.33"/>
    <n v="33166.62000000001"/>
    <n v="0.67003272727272745"/>
    <n v="16333.37999999999"/>
    <n v="0.32996727272727255"/>
    <n v="461733.38"/>
    <n v="0.93298318852293394"/>
    <n v="35499.950000000012"/>
    <n v="2333.3300000000017"/>
    <x v="1"/>
    <x v="3"/>
  </r>
  <r>
    <x v="40"/>
    <s v="TB"/>
    <s v="B"/>
    <s v="Efren Sanchez"/>
    <s v="RUDY RONALDO PEÑA LARIOS"/>
    <d v="2025-03-31T00:00:00"/>
    <s v="2.Reservado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n v="1500"/>
    <n v="1500"/>
    <n v="2.9574132492113565E-2"/>
    <n v="49220"/>
    <n v="0.9704258675078864"/>
    <n v="505700"/>
    <n v="0.99704258675078861"/>
    <n v="2993.33"/>
    <n v="1493.33"/>
    <x v="1"/>
    <x v="3"/>
  </r>
  <r>
    <x v="41"/>
    <s v="TB"/>
    <s v="C"/>
    <s v="Efren Sanchez"/>
    <s v="HECTOR SAMUEL TUM LANCERIO y INGRID FABIOLA GONZALEZ GODINEZ"/>
    <d v="2024-11-29T00:00:00"/>
    <s v="4.Plan de pagos"/>
    <n v="477000"/>
    <n v="23900"/>
    <m/>
    <m/>
    <m/>
    <m/>
    <m/>
    <n v="0"/>
    <n v="0"/>
    <n v="0"/>
    <n v="0"/>
    <n v="0"/>
    <n v="0"/>
    <n v="0"/>
    <n v="0"/>
    <n v="0"/>
    <n v="1500"/>
    <n v="0"/>
    <n v="0"/>
    <n v="0"/>
    <n v="0"/>
    <m/>
    <n v="500"/>
    <n v="1800"/>
    <m/>
    <m/>
    <m/>
    <n v="3800"/>
    <n v="0.15899581589958159"/>
    <n v="20100"/>
    <n v="0.84100418410041844"/>
    <n v="473200"/>
    <n v="0.99203354297693924"/>
    <n v="7700"/>
    <n v="3900"/>
    <x v="1"/>
    <x v="9"/>
  </r>
  <r>
    <x v="42"/>
    <s v="TB"/>
    <s v="C"/>
    <s v="Luis Esteban"/>
    <s v="Luis Fernando Tique Santos"/>
    <d v="2024-05-14T00:00:00"/>
    <s v="4.Plan de pagos"/>
    <n v="477000"/>
    <n v="23900"/>
    <m/>
    <m/>
    <m/>
    <m/>
    <m/>
    <n v="0"/>
    <n v="0"/>
    <n v="0"/>
    <n v="0"/>
    <n v="0"/>
    <n v="0"/>
    <n v="0"/>
    <n v="0"/>
    <n v="0"/>
    <n v="1500"/>
    <n v="1179"/>
    <n v="1179"/>
    <n v="1179"/>
    <n v="1179"/>
    <n v="1179"/>
    <n v="0"/>
    <n v="1179"/>
    <m/>
    <n v="3537"/>
    <m/>
    <n v="12111"/>
    <n v="0.5067364016736402"/>
    <n v="11789"/>
    <n v="0.49326359832635985"/>
    <n v="464889"/>
    <n v="0.97461006289308172"/>
    <n v="13289.500000000002"/>
    <n v="1178.5000000000018"/>
    <x v="1"/>
    <x v="3"/>
  </r>
  <r>
    <x v="43"/>
    <s v="TB"/>
    <s v="B"/>
    <s v="Efren Sanchez"/>
    <s v="AMANDA ARACELY CASTILLO GUZMAN"/>
    <d v="2024-11-30T00:00:00"/>
    <s v="4.Plan de pagos"/>
    <n v="477000"/>
    <n v="100000"/>
    <m/>
    <m/>
    <m/>
    <m/>
    <m/>
    <n v="0"/>
    <n v="0"/>
    <m/>
    <m/>
    <m/>
    <m/>
    <m/>
    <m/>
    <m/>
    <m/>
    <m/>
    <m/>
    <m/>
    <m/>
    <m/>
    <n v="500"/>
    <n v="1800"/>
    <m/>
    <n v="3600"/>
    <m/>
    <n v="5900"/>
    <n v="5.8999999999999997E-2"/>
    <n v="94100"/>
    <n v="0.94099999999999995"/>
    <n v="471100"/>
    <n v="0.9876310272536688"/>
    <n v="7700"/>
    <n v="1800"/>
    <x v="1"/>
    <x v="2"/>
  </r>
  <r>
    <x v="44"/>
    <s v="TB"/>
    <s v="B"/>
    <s v="Antonio Rada"/>
    <s v="MARVIN LEONEL ALEXANDER LARIAS GUZMAN"/>
    <d v="2024-08-07T00:00:00"/>
    <s v="4.Plan de pagos"/>
    <n v="477700"/>
    <n v="23900"/>
    <m/>
    <m/>
    <m/>
    <m/>
    <m/>
    <n v="0"/>
    <n v="0"/>
    <n v="0"/>
    <n v="0"/>
    <n v="0"/>
    <n v="0"/>
    <n v="0"/>
    <n v="0"/>
    <n v="0"/>
    <n v="0"/>
    <n v="0"/>
    <n v="0"/>
    <n v="500"/>
    <n v="1462.5"/>
    <n v="1462.5"/>
    <n v="1462.5"/>
    <n v="1462.5"/>
    <n v="1462.5"/>
    <n v="1462.5"/>
    <n v="1462.5"/>
    <n v="10737.5"/>
    <n v="0.44926778242677823"/>
    <n v="13162.5"/>
    <n v="0.55073221757322177"/>
    <n v="466962.5"/>
    <n v="0.97752250366338711"/>
    <n v="10737.5"/>
    <n v="0"/>
    <x v="3"/>
    <x v="2"/>
  </r>
  <r>
    <x v="45"/>
    <s v="TB"/>
    <s v="A"/>
    <m/>
    <m/>
    <m/>
    <s v="1.Disponible"/>
    <n v="394300"/>
    <n v="3943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39430"/>
    <n v="1"/>
    <n v="394300"/>
    <n v="1"/>
    <n v="0"/>
    <n v="0"/>
    <x v="2"/>
    <x v="2"/>
  </r>
  <r>
    <x v="46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47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48"/>
    <s v="TB"/>
    <s v="C"/>
    <s v="Antonio Rada"/>
    <s v="OSCAR DANIEL LARIAS GUZMAN"/>
    <d v="2024-08-07T00:00:00"/>
    <s v="4.Plan de pagos"/>
    <n v="477000"/>
    <n v="23900"/>
    <m/>
    <m/>
    <m/>
    <m/>
    <m/>
    <n v="0"/>
    <n v="0"/>
    <n v="0"/>
    <n v="0"/>
    <n v="0"/>
    <n v="0"/>
    <n v="0"/>
    <n v="0"/>
    <n v="0"/>
    <n v="0"/>
    <n v="0"/>
    <n v="0"/>
    <n v="500"/>
    <n v="1462.5"/>
    <n v="1462.5"/>
    <n v="1462.5"/>
    <n v="1462.5"/>
    <n v="1462.5"/>
    <n v="1462.5"/>
    <n v="1462.5"/>
    <n v="10737.5"/>
    <n v="0.44926778242677823"/>
    <n v="13162.5"/>
    <n v="0.55073221757322177"/>
    <n v="466262.5"/>
    <n v="0.9774895178197065"/>
    <n v="10737.5"/>
    <n v="0"/>
    <x v="3"/>
    <x v="2"/>
  </r>
  <r>
    <x v="49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50"/>
    <s v="TB"/>
    <s v="B"/>
    <s v="Andrea Gonzalez"/>
    <s v="NERCY JANNYN PÉREZ ALONZO"/>
    <d v="2024-07-31T00:00:00"/>
    <s v="4.Plan de pagos"/>
    <n v="477700"/>
    <n v="24000"/>
    <m/>
    <m/>
    <m/>
    <m/>
    <m/>
    <n v="0"/>
    <n v="0"/>
    <n v="0"/>
    <n v="0"/>
    <n v="0"/>
    <n v="0"/>
    <n v="0"/>
    <n v="0"/>
    <n v="0"/>
    <n v="0"/>
    <n v="0"/>
    <n v="1500"/>
    <n v="1323.53"/>
    <n v="1323.53"/>
    <n v="1323.53"/>
    <n v="0"/>
    <m/>
    <m/>
    <m/>
    <m/>
    <n v="5470.5899999999992"/>
    <n v="0.22794124999999996"/>
    <n v="18529.41"/>
    <n v="0.77205875000000002"/>
    <n v="472229.41"/>
    <n v="0.98854806363826664"/>
    <n v="12088.24"/>
    <n v="6617.6500000000005"/>
    <x v="1"/>
    <x v="8"/>
  </r>
  <r>
    <x v="51"/>
    <s v="TB"/>
    <s v="B"/>
    <s v="Abigail Garcia"/>
    <s v="Carla Yanira Castillo"/>
    <d v="2024-03-17T00:00:00"/>
    <s v="4.Plan de pagos"/>
    <n v="477700"/>
    <n v="24000"/>
    <m/>
    <m/>
    <m/>
    <m/>
    <m/>
    <n v="0"/>
    <n v="0"/>
    <n v="0"/>
    <n v="0"/>
    <n v="0"/>
    <n v="0"/>
    <n v="0"/>
    <n v="1000"/>
    <n v="0"/>
    <n v="1095"/>
    <n v="1095"/>
    <n v="1095"/>
    <n v="1095"/>
    <n v="1095"/>
    <m/>
    <n v="0"/>
    <n v="2190"/>
    <n v="1095"/>
    <m/>
    <n v="1095"/>
    <n v="10855"/>
    <n v="0.45229166666666665"/>
    <n v="13145"/>
    <n v="0.54770833333333335"/>
    <n v="466845"/>
    <n v="0.97727653338915632"/>
    <n v="14142.879999999997"/>
    <n v="3287.8799999999974"/>
    <x v="1"/>
    <x v="1"/>
  </r>
  <r>
    <x v="52"/>
    <s v="TB"/>
    <s v="B"/>
    <m/>
    <m/>
    <m/>
    <s v="1.Disponible"/>
    <n v="507200"/>
    <n v="5072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50720"/>
    <n v="1"/>
    <n v="507200"/>
    <n v="1"/>
    <n v="0"/>
    <n v="0"/>
    <x v="2"/>
    <x v="2"/>
  </r>
  <r>
    <x v="53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54"/>
    <s v="TB"/>
    <s v="C"/>
    <s v="Karina Fuentes"/>
    <s v="Oscar Oswaldo Ramos Gil"/>
    <d v="2023-12-10T00:00:00"/>
    <s v="4.Plan de pagos"/>
    <n v="497900"/>
    <n v="49800"/>
    <m/>
    <m/>
    <m/>
    <m/>
    <m/>
    <n v="0"/>
    <n v="0"/>
    <n v="0"/>
    <n v="0"/>
    <n v="1000"/>
    <n v="4647.62"/>
    <n v="2323.81"/>
    <n v="2323.81"/>
    <n v="2323.81"/>
    <n v="2323.81"/>
    <n v="0"/>
    <n v="4647.62"/>
    <n v="0"/>
    <n v="2323.81"/>
    <n v="4647.62"/>
    <n v="2323.81"/>
    <n v="2323.81"/>
    <n v="2323.81"/>
    <n v="2323.81"/>
    <m/>
    <n v="35857.15"/>
    <n v="0.72002309236947792"/>
    <n v="13942.849999999999"/>
    <n v="0.27997690763052208"/>
    <n v="462042.85"/>
    <n v="0.92798322956416945"/>
    <n v="35857.15"/>
    <n v="0"/>
    <x v="3"/>
    <x v="2"/>
  </r>
  <r>
    <x v="55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56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57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58"/>
    <s v="TB"/>
    <s v="A"/>
    <s v="Pedro Sarti"/>
    <s v="David Enrique Aldana Mazariegos"/>
    <d v="2025-02-05T00:00:00"/>
    <s v="4.Plan de pagos"/>
    <n v="369600"/>
    <n v="18500"/>
    <m/>
    <m/>
    <m/>
    <m/>
    <m/>
    <n v="0"/>
    <n v="0"/>
    <m/>
    <m/>
    <m/>
    <m/>
    <m/>
    <m/>
    <m/>
    <m/>
    <m/>
    <m/>
    <m/>
    <m/>
    <m/>
    <n v="0"/>
    <m/>
    <m/>
    <n v="2562.5"/>
    <n v="1100"/>
    <n v="3662.5"/>
    <n v="0.19797297297297298"/>
    <n v="14837.5"/>
    <n v="0.802027027027027"/>
    <n v="365937.5"/>
    <n v="0.9900906385281385"/>
    <n v="3625"/>
    <n v="-37.5"/>
    <x v="0"/>
    <x v="2"/>
  </r>
  <r>
    <x v="59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60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61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62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63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64"/>
    <s v="TB"/>
    <s v="B"/>
    <m/>
    <m/>
    <m/>
    <s v="1.Disponible"/>
    <n v="477000"/>
    <n v="2400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24000"/>
    <n v="1"/>
    <n v="477000"/>
    <n v="1"/>
    <n v="0"/>
    <n v="0"/>
    <x v="2"/>
    <x v="2"/>
  </r>
  <r>
    <x v="65"/>
    <s v="TB"/>
    <s v="B"/>
    <s v="Abigail Garcia"/>
    <s v="Jose Pablo Perez Castillo"/>
    <d v="2024-03-17T00:00:00"/>
    <s v="4.Plan de pagos"/>
    <n v="477700"/>
    <n v="24000"/>
    <m/>
    <m/>
    <m/>
    <m/>
    <m/>
    <n v="0"/>
    <n v="0"/>
    <n v="0"/>
    <n v="0"/>
    <n v="0"/>
    <n v="0"/>
    <n v="0"/>
    <n v="1000"/>
    <n v="0"/>
    <n v="0"/>
    <n v="0"/>
    <n v="0"/>
    <n v="0"/>
    <n v="0"/>
    <m/>
    <n v="0"/>
    <m/>
    <m/>
    <m/>
    <m/>
    <n v="1000"/>
    <n v="4.1666666666666664E-2"/>
    <n v="23000"/>
    <n v="0.95833333333333337"/>
    <n v="476700"/>
    <n v="0.99790663596399409"/>
    <n v="14142.879999999997"/>
    <n v="13142.879999999997"/>
    <x v="1"/>
    <x v="10"/>
  </r>
  <r>
    <x v="66"/>
    <s v="TB"/>
    <s v="B"/>
    <m/>
    <m/>
    <m/>
    <s v="1. Disponible"/>
    <n v="477700"/>
    <n v="239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23900"/>
    <n v="1"/>
    <n v="477700"/>
    <n v="1"/>
    <n v="0"/>
    <n v="0"/>
    <x v="2"/>
    <x v="2"/>
  </r>
  <r>
    <x v="67"/>
    <s v="TB"/>
    <s v="C"/>
    <s v="Abigail Garcia"/>
    <s v="David Obdulio Perez Monzon"/>
    <d v="2023-11-27T00:00:00"/>
    <s v="4.Plan de pagos"/>
    <n v="497900"/>
    <n v="49800"/>
    <m/>
    <m/>
    <m/>
    <m/>
    <m/>
    <n v="0"/>
    <n v="0"/>
    <n v="0"/>
    <n v="0"/>
    <n v="0"/>
    <n v="0"/>
    <n v="1000"/>
    <n v="2436.84"/>
    <n v="2437"/>
    <n v="2500"/>
    <n v="0"/>
    <n v="2500"/>
    <n v="0"/>
    <n v="5000"/>
    <n v="2500"/>
    <n v="0"/>
    <m/>
    <m/>
    <m/>
    <m/>
    <n v="18373.84"/>
    <n v="0.36895261044176708"/>
    <n v="31426.16"/>
    <n v="0.63104738955823292"/>
    <n v="479526.16"/>
    <n v="0.96309732878087961"/>
    <n v="35178.92"/>
    <n v="16805.079999999998"/>
    <x v="1"/>
    <x v="11"/>
  </r>
  <r>
    <x v="68"/>
    <s v="TB"/>
    <s v="C"/>
    <s v="Abigail Garcia"/>
    <s v="Pedro Alejandro Tezen Cabrera"/>
    <d v="2024-02-17T00:00:00"/>
    <s v="4.Plan de pagos"/>
    <n v="477700"/>
    <n v="24000"/>
    <m/>
    <m/>
    <m/>
    <m/>
    <m/>
    <n v="0"/>
    <n v="0"/>
    <n v="0"/>
    <n v="0"/>
    <n v="0"/>
    <n v="0"/>
    <n v="1000"/>
    <n v="0"/>
    <n v="1046"/>
    <n v="1046"/>
    <n v="1045"/>
    <n v="1040"/>
    <n v="1040"/>
    <n v="1045"/>
    <n v="1045.45"/>
    <n v="1045"/>
    <n v="1050"/>
    <n v="1050"/>
    <n v="1050"/>
    <n v="1045"/>
    <n v="13547.45"/>
    <n v="0.56447708333333335"/>
    <n v="10452.549999999999"/>
    <n v="0.43552291666666665"/>
    <n v="464152.55"/>
    <n v="0.97164025539041232"/>
    <n v="13545.400000000003"/>
    <n v="-2.0499999999974534"/>
    <x v="0"/>
    <x v="2"/>
  </r>
  <r>
    <x v="69"/>
    <s v="TB"/>
    <s v="B"/>
    <s v="Luis Esteban"/>
    <s v="CHRISTHOFER STEVEN GUEVARA"/>
    <d v="2024-05-30T00:00:00"/>
    <s v="4.Plan de pagos"/>
    <n v="477700"/>
    <n v="23900"/>
    <m/>
    <m/>
    <m/>
    <m/>
    <m/>
    <n v="0"/>
    <n v="0"/>
    <n v="0"/>
    <n v="0"/>
    <n v="0"/>
    <n v="0"/>
    <n v="0"/>
    <n v="0"/>
    <n v="0"/>
    <n v="1500"/>
    <n v="0"/>
    <n v="2000"/>
    <n v="0"/>
    <n v="0"/>
    <m/>
    <n v="0"/>
    <m/>
    <m/>
    <m/>
    <m/>
    <n v="3500"/>
    <n v="0.14644351464435146"/>
    <n v="20400"/>
    <n v="0.85355648535564854"/>
    <n v="474200"/>
    <n v="0.99267322587397944"/>
    <n v="12110.550000000001"/>
    <n v="8610.5500000000011"/>
    <x v="1"/>
    <x v="12"/>
  </r>
  <r>
    <x v="70"/>
    <s v="TB"/>
    <s v="B"/>
    <s v="Abigail Garcia"/>
    <s v="ANDREA ISABEL TEZEN CABRERA"/>
    <d v="2024-05-30T00:00:00"/>
    <s v="4.Plan de pagos"/>
    <n v="477700"/>
    <n v="24000"/>
    <m/>
    <m/>
    <m/>
    <m/>
    <m/>
    <n v="0"/>
    <n v="0"/>
    <n v="0"/>
    <n v="0"/>
    <n v="0"/>
    <n v="0"/>
    <n v="0"/>
    <n v="0"/>
    <n v="0"/>
    <n v="1500"/>
    <n v="0"/>
    <n v="1184.21"/>
    <n v="1184.21"/>
    <n v="1184.21"/>
    <n v="1184.21"/>
    <n v="1184.21"/>
    <n v="1184.21"/>
    <n v="1184.21"/>
    <n v="1184.21"/>
    <n v="1184.21"/>
    <n v="12157.89"/>
    <n v="0.50657874999999997"/>
    <n v="11842.11"/>
    <n v="0.49342125000000003"/>
    <n v="465542.11"/>
    <n v="0.97454911032028468"/>
    <n v="12157.89"/>
    <n v="0"/>
    <x v="3"/>
    <x v="2"/>
  </r>
  <r>
    <x v="71"/>
    <s v="TB"/>
    <s v="A"/>
    <s v="Abigail Garcia"/>
    <s v="Luis Fernando Moreno Pozuelos"/>
    <d v="2024-05-07T00:00:00"/>
    <s v="4.Plan de pagos"/>
    <n v="369600"/>
    <n v="18500"/>
    <m/>
    <m/>
    <m/>
    <m/>
    <m/>
    <n v="0"/>
    <n v="0"/>
    <n v="0"/>
    <n v="0"/>
    <n v="0"/>
    <n v="0"/>
    <n v="0"/>
    <n v="0"/>
    <n v="0"/>
    <n v="2394.7399999999998"/>
    <n v="894.74"/>
    <n v="0"/>
    <n v="1789.48"/>
    <n v="0"/>
    <m/>
    <n v="894.74"/>
    <n v="894.74"/>
    <n v="894.74"/>
    <n v="894.74"/>
    <n v="894.74"/>
    <n v="9552.659999999998"/>
    <n v="0.51635999999999993"/>
    <n v="8947.340000000002"/>
    <n v="0.48364000000000013"/>
    <n v="360047.34"/>
    <n v="0.97415405844155856"/>
    <n v="9552.659999999998"/>
    <n v="0"/>
    <x v="3"/>
    <x v="2"/>
  </r>
  <r>
    <x v="72"/>
    <s v="TB"/>
    <s v="B"/>
    <s v="Luis Esteban"/>
    <s v="Gerson Augusto Estrada Oliva"/>
    <d v="2024-07-04T00:00:00"/>
    <s v="4.Plan de pagos"/>
    <n v="477700"/>
    <n v="23900"/>
    <m/>
    <m/>
    <m/>
    <m/>
    <m/>
    <n v="0"/>
    <n v="0"/>
    <n v="0"/>
    <n v="0"/>
    <n v="0"/>
    <n v="0"/>
    <n v="0"/>
    <n v="0"/>
    <n v="0"/>
    <n v="0"/>
    <n v="0"/>
    <n v="1500"/>
    <n v="1200"/>
    <n v="0"/>
    <m/>
    <n v="0"/>
    <m/>
    <m/>
    <m/>
    <m/>
    <n v="2700"/>
    <n v="0.11297071129707113"/>
    <n v="21200"/>
    <n v="0.88702928870292885"/>
    <n v="475000"/>
    <n v="0.99434791710278414"/>
    <n v="12041.199999999999"/>
    <n v="9341.1999999999989"/>
    <x v="1"/>
    <x v="12"/>
  </r>
  <r>
    <x v="73"/>
    <s v="TB"/>
    <s v="B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74"/>
    <s v="TB"/>
    <s v="C"/>
    <s v="Abigail Garcia"/>
    <s v="Jaquelyn Michel Chumil Castillo"/>
    <d v="2024-04-28T00:00:00"/>
    <s v="4.Plan de pagos"/>
    <n v="477000"/>
    <n v="24000"/>
    <m/>
    <m/>
    <m/>
    <m/>
    <m/>
    <n v="0"/>
    <n v="0"/>
    <n v="0"/>
    <n v="0"/>
    <n v="0"/>
    <n v="0"/>
    <n v="0"/>
    <n v="0"/>
    <n v="1500"/>
    <n v="1125"/>
    <n v="1125"/>
    <n v="0"/>
    <n v="2250"/>
    <n v="0"/>
    <n v="1125"/>
    <n v="1125"/>
    <n v="2250"/>
    <m/>
    <n v="1125"/>
    <n v="2250"/>
    <n v="13875"/>
    <n v="0.578125"/>
    <n v="10125"/>
    <n v="0.421875"/>
    <n v="463125"/>
    <n v="0.97091194968553463"/>
    <n v="13875"/>
    <n v="0"/>
    <x v="3"/>
    <x v="2"/>
  </r>
  <r>
    <x v="75"/>
    <s v="TB"/>
    <s v="C"/>
    <m/>
    <m/>
    <m/>
    <s v="1.Disponible"/>
    <n v="507200"/>
    <n v="50720"/>
    <m/>
    <m/>
    <m/>
    <m/>
    <m/>
    <n v="0"/>
    <n v="0"/>
    <m/>
    <m/>
    <m/>
    <m/>
    <m/>
    <m/>
    <m/>
    <m/>
    <m/>
    <m/>
    <m/>
    <m/>
    <m/>
    <n v="0"/>
    <m/>
    <m/>
    <m/>
    <m/>
    <n v="0"/>
    <n v="0"/>
    <n v="50720"/>
    <n v="1"/>
    <n v="507200"/>
    <n v="1"/>
    <n v="0"/>
    <n v="0"/>
    <x v="2"/>
    <x v="2"/>
  </r>
  <r>
    <x v="76"/>
    <s v="TB"/>
    <s v="B"/>
    <s v="Abigail Garcia"/>
    <s v="Walter Adolfo Max Toc Crux"/>
    <d v="2024-02-27T00:00:00"/>
    <s v="4.Plan de pagos"/>
    <n v="477700"/>
    <n v="24000"/>
    <m/>
    <m/>
    <m/>
    <m/>
    <m/>
    <n v="0"/>
    <n v="0"/>
    <n v="0"/>
    <n v="0"/>
    <n v="0"/>
    <n v="0"/>
    <n v="1000"/>
    <n v="0"/>
    <n v="1045.45"/>
    <n v="1045.45"/>
    <n v="1045.45"/>
    <n v="1045.45"/>
    <n v="1045.45"/>
    <n v="1045"/>
    <n v="1045.45"/>
    <n v="1045.45"/>
    <n v="1045.45"/>
    <n v="1045.45"/>
    <n v="1045.45"/>
    <n v="1045.45"/>
    <n v="13544.950000000004"/>
    <n v="0.56437291666666689"/>
    <n v="10455.049999999996"/>
    <n v="0.43562708333333316"/>
    <n v="464155.05"/>
    <n v="0.97164548880050239"/>
    <n v="13545.400000000003"/>
    <n v="0.44999999999890861"/>
    <x v="1"/>
    <x v="2"/>
  </r>
  <r>
    <x v="77"/>
    <s v="TB"/>
    <s v="B"/>
    <s v="Abigail Garcia"/>
    <s v="Erik Estuardo Carrera Cruz"/>
    <d v="2024-02-18T00:00:00"/>
    <s v="4.Plan de pagos"/>
    <n v="477700"/>
    <n v="24000"/>
    <m/>
    <m/>
    <m/>
    <m/>
    <m/>
    <n v="0"/>
    <n v="0"/>
    <n v="0"/>
    <n v="0"/>
    <n v="0"/>
    <n v="0"/>
    <n v="1000"/>
    <n v="0"/>
    <n v="1045.45"/>
    <n v="1045.45"/>
    <n v="1045.45"/>
    <n v="1045.45"/>
    <n v="1045.45"/>
    <n v="1045.45"/>
    <n v="1045.45"/>
    <n v="1045.45"/>
    <n v="1045.45"/>
    <n v="1045.45"/>
    <n v="1045.45"/>
    <n v="1045.45"/>
    <n v="13545.400000000003"/>
    <n v="0.56439166666666685"/>
    <n v="10454.599999999997"/>
    <n v="0.43560833333333321"/>
    <n v="464154.6"/>
    <n v="0.9716445467866861"/>
    <n v="13545.400000000003"/>
    <n v="0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101"/>
    <s v="Jose Franco"/>
    <s v="Karla Michelle Abril Valencia De Galicia"/>
    <d v="2023-03-27T00:00:00"/>
    <s v="A7.1"/>
    <s v="4.Plan de pagos"/>
    <n v="644800"/>
    <n v="64500"/>
    <n v="6000"/>
    <n v="1670"/>
    <n v="1670"/>
    <n v="1670"/>
    <n v="170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0"/>
    <n v="46110"/>
    <n v="0.71488372093023256"/>
    <n v="-18390"/>
    <n v="-0.28511627906976744"/>
    <n v="598690"/>
    <n v="0.92848945409429284"/>
    <n v="64500"/>
    <m/>
    <s v="Vendido"/>
    <x v="0"/>
    <n v="35"/>
    <n v="1"/>
    <n v="36"/>
    <n v="1670"/>
    <n v="23"/>
  </r>
  <r>
    <n v="102"/>
    <m/>
    <m/>
    <m/>
    <s v="B4.1"/>
    <s v="1.Disponible"/>
    <n v="1228914.9782408699"/>
    <n v="122891.4978240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8914.9782408699"/>
    <n v="1"/>
    <n v="0"/>
    <m/>
    <s v="Apartamento Disponible"/>
    <x v="1"/>
    <m/>
    <n v="0"/>
    <n v="0"/>
    <m/>
    <n v="26"/>
  </r>
  <r>
    <n v="103"/>
    <s v="Ronaldo"/>
    <s v="International Coffee Industry, S.A"/>
    <d v="2024-01-09T00:00:00"/>
    <s v="E1.1"/>
    <s v="4.Plan de pagos"/>
    <n v="1533200"/>
    <n v="153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53320"/>
    <n v="-1"/>
    <n v="1533200"/>
    <n v="1"/>
    <n v="153320"/>
    <m/>
    <s v="Vendido"/>
    <x v="0"/>
    <m/>
    <n v="0"/>
    <n v="0"/>
    <m/>
    <n v="26"/>
  </r>
  <r>
    <n v="104"/>
    <s v="Antonio Rada"/>
    <s v="Jonathan José Morales Salazar"/>
    <d v="2023-08-02T00:00:00"/>
    <s v="A4.1"/>
    <s v="4.Plan de pagos"/>
    <n v="727800"/>
    <n v="145600"/>
    <n v="0"/>
    <n v="0"/>
    <n v="0"/>
    <n v="0"/>
    <n v="0"/>
    <n v="6000"/>
    <n v="94000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0"/>
    <n v="132832"/>
    <n v="0.91230769230769226"/>
    <n v="-12768"/>
    <n v="-8.7692307692307694E-2"/>
    <n v="594968"/>
    <n v="0.81748832096729873"/>
    <n v="145600"/>
    <m/>
    <s v="Vendido"/>
    <x v="0"/>
    <n v="25"/>
    <n v="1"/>
    <n v="26"/>
    <n v="1824"/>
    <n v="18"/>
  </r>
  <r>
    <n v="105"/>
    <m/>
    <m/>
    <m/>
    <s v="B7.1"/>
    <s v="1.Disponible"/>
    <n v="1184603.4211337201"/>
    <n v="118460.34211337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4603.4211337201"/>
    <n v="1"/>
    <n v="0"/>
    <m/>
    <s v="Apartamento Disponible"/>
    <x v="1"/>
    <m/>
    <n v="0"/>
    <n v="0"/>
    <m/>
    <n v="26"/>
  </r>
  <r>
    <n v="106"/>
    <m/>
    <m/>
    <m/>
    <s v="B2.1"/>
    <s v="1.Disponible"/>
    <n v="1382310.1310761899"/>
    <n v="138231.01310761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2310.1310761899"/>
    <n v="1"/>
    <n v="0"/>
    <m/>
    <s v="Apartamento Disponible"/>
    <x v="1"/>
    <m/>
    <n v="0"/>
    <n v="0"/>
    <m/>
    <n v="26"/>
  </r>
  <r>
    <n v="107"/>
    <m/>
    <m/>
    <m/>
    <s v="B6.1"/>
    <s v="1.Disponible"/>
    <n v="1131172.33512325"/>
    <n v="113117.23351232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31172.33512325"/>
    <n v="1"/>
    <n v="0"/>
    <m/>
    <s v="Apartamento Disponible"/>
    <x v="1"/>
    <m/>
    <n v="0"/>
    <n v="0"/>
    <m/>
    <n v="26"/>
  </r>
  <r>
    <n v="108"/>
    <m/>
    <m/>
    <m/>
    <s v="B1.1"/>
    <s v="1.Disponible"/>
    <n v="1315199.7517107399"/>
    <n v="131519.9751710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5199.7517107399"/>
    <n v="1"/>
    <n v="0"/>
    <m/>
    <s v="Apartamento Disponible"/>
    <x v="1"/>
    <m/>
    <n v="0"/>
    <n v="0"/>
    <m/>
    <n v="26"/>
  </r>
  <r>
    <n v="109"/>
    <s v="Antonio Rada"/>
    <s v="Laura Elisa Ovalle Gonzalez"/>
    <d v="2024-06-28T00:00:00"/>
    <s v="E2.1"/>
    <s v="4.Plan de pagos"/>
    <n v="1486576"/>
    <n v="148676"/>
    <n v="0"/>
    <n v="0"/>
    <n v="0"/>
    <n v="0"/>
    <n v="0"/>
    <n v="0"/>
    <n v="0"/>
    <n v="0"/>
    <n v="0"/>
    <n v="0"/>
    <n v="0"/>
    <n v="0"/>
    <n v="0"/>
    <n v="0"/>
    <n v="0"/>
    <n v="5000"/>
    <n v="5000"/>
    <n v="7704"/>
    <n v="7704"/>
    <n v="7704"/>
    <n v="7704"/>
    <n v="7704"/>
    <n v="7704"/>
    <n v="7704"/>
    <n v="7704"/>
    <n v="7704"/>
    <n v="79336"/>
    <n v="0.53361672361376411"/>
    <n v="-69340"/>
    <n v="-0.46638327638623583"/>
    <n v="1407240"/>
    <n v="0.94663172283152697"/>
    <n v="148676"/>
    <m/>
    <s v="Vendido"/>
    <x v="0"/>
    <n v="18"/>
    <n v="1"/>
    <n v="19"/>
    <n v="7704"/>
    <n v="9"/>
  </r>
  <r>
    <n v="110"/>
    <s v="Antonio Rada"/>
    <s v="Karla Suzel Ruiz Sanchinelli De Alonzo"/>
    <d v="2023-06-11T00:00:00"/>
    <s v="A2.1"/>
    <s v="4.Plan de pagos"/>
    <n v="680900"/>
    <n v="68100"/>
    <n v="0"/>
    <n v="0"/>
    <n v="0"/>
    <n v="6000"/>
    <n v="0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0"/>
    <n v="53760"/>
    <n v="0.7894273127753304"/>
    <n v="-14340"/>
    <n v="-0.2105726872246696"/>
    <n v="627140"/>
    <n v="0.92104567484212074"/>
    <n v="68100"/>
    <m/>
    <s v="Vendido"/>
    <x v="0"/>
    <n v="26"/>
    <n v="1"/>
    <n v="27"/>
    <n v="2388"/>
    <n v="20"/>
  </r>
  <r>
    <n v="111"/>
    <s v="Jose Franco"/>
    <s v="Jonathan José Morales Salazar / Ingrid Liseth Barillas López"/>
    <d v="2023-03-27T00:00:00"/>
    <s v="A6.1"/>
    <s v="4.Plan de pagos"/>
    <n v="696700"/>
    <n v="69700"/>
    <n v="6000"/>
    <n v="0"/>
    <n v="2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50680"/>
    <n v="0.72711621233859403"/>
    <n v="-19020"/>
    <n v="-0.27288378766140603"/>
    <n v="646020"/>
    <n v="0.92725706903975891"/>
    <n v="69700"/>
    <m/>
    <s v="Vendido"/>
    <x v="0"/>
    <n v="35"/>
    <n v="1"/>
    <n v="36"/>
    <n v="1820"/>
    <n v="23"/>
  </r>
  <r>
    <n v="112"/>
    <s v="Brenda Búcaro"/>
    <s v="Herbert Osiel Ramos Alfaro / Paula María Vásquez Cifuentes"/>
    <d v="2023-03-21T00:00:00"/>
    <s v="A3.1"/>
    <s v="4.Plan de pagos"/>
    <n v="698900"/>
    <n v="69900"/>
    <n v="6000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976"/>
    <n v="3502"/>
    <n v="0"/>
    <n v="1826"/>
    <n v="51650"/>
    <n v="0.73891273247496425"/>
    <n v="-18250"/>
    <n v="-0.26108726752503575"/>
    <n v="647250"/>
    <n v="0.92609815424238084"/>
    <n v="69900"/>
    <m/>
    <s v="Vendido"/>
    <x v="0"/>
    <n v="35"/>
    <n v="1"/>
    <n v="36"/>
    <n v="1826"/>
    <n v="22"/>
  </r>
  <r>
    <n v="113"/>
    <s v="Antonio Rada"/>
    <s v="Rodrigo Rodas Pazos"/>
    <d v="2024-11-20T00:00:00"/>
    <s v="C3.1"/>
    <s v="4.Plan de pagos"/>
    <n v="1286306.04"/>
    <n v="480006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470000"/>
    <n v="0"/>
    <n v="0"/>
    <n v="0"/>
    <n v="0"/>
    <n v="480000"/>
    <n v="0.99998741682500503"/>
    <n v="-6.0399999999790452"/>
    <n v="-1.2583174995004325E-5"/>
    <n v="806306.04"/>
    <n v="0.62683841552979103"/>
    <n v="480006.04"/>
    <m/>
    <s v="Vendido"/>
    <x v="0"/>
    <m/>
    <n v="0"/>
    <n v="0"/>
    <m/>
    <n v="24"/>
  </r>
  <r>
    <n v="114"/>
    <s v="Antonio Rada"/>
    <s v="Mauricio Arimany Monzon"/>
    <d v="2023-03-27T00:00:00"/>
    <s v="C2.1"/>
    <s v="4.Plan de pagos"/>
    <n v="993625.74667999998"/>
    <n v="99425.75"/>
    <n v="6000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5338"/>
    <n v="0"/>
    <n v="2669"/>
    <n v="2669"/>
    <n v="2669"/>
    <n v="0"/>
    <n v="0"/>
    <n v="0"/>
    <n v="64718"/>
    <n v="0.65091789601788275"/>
    <n v="-34707.75"/>
    <n v="-0.34908210398211731"/>
    <n v="928907.74667999998"/>
    <n v="0.93486682464072401"/>
    <n v="99425.75"/>
    <m/>
    <s v="Vendido"/>
    <x v="0"/>
    <n v="35"/>
    <n v="1"/>
    <n v="36"/>
    <n v="2669"/>
    <n v="20"/>
  </r>
  <r>
    <n v="201"/>
    <m/>
    <m/>
    <m/>
    <s v="B7"/>
    <s v="1.Disponible"/>
    <n v="1329931.2984007201"/>
    <n v="132993.12984007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9931.2984007201"/>
    <n v="1"/>
    <n v="0"/>
    <m/>
    <s v="Apartamento Disponible"/>
    <x v="1"/>
    <m/>
    <n v="0"/>
    <n v="0"/>
    <m/>
    <n v="26"/>
  </r>
  <r>
    <n v="202"/>
    <s v="Antonio Rada"/>
    <s v="Bella Rosana Chaveque Gonzalez"/>
    <d v="2025-03-20T00:00:00"/>
    <s v="B2"/>
    <s v="2. Reserva"/>
    <n v="1321630.18875795"/>
    <n v="13223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7.5625694858337575E-2"/>
    <n v="-122230.19"/>
    <n v="-0.92437430514166241"/>
    <n v="1311630.18875795"/>
    <n v="0.99243358688000471"/>
    <n v="132230.19"/>
    <m/>
    <s v="Vendido"/>
    <x v="0"/>
    <m/>
    <n v="0"/>
    <n v="0"/>
    <m/>
    <n v="25"/>
  </r>
  <r>
    <n v="203"/>
    <m/>
    <m/>
    <m/>
    <s v="B6"/>
    <s v="1.Disponible"/>
    <n v="1273928.0375713599"/>
    <n v="127392.80375713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3928.0375713599"/>
    <n v="1"/>
    <n v="0"/>
    <m/>
    <s v="Apartamento Disponible"/>
    <x v="1"/>
    <m/>
    <n v="0"/>
    <n v="0"/>
    <m/>
    <n v="26"/>
  </r>
  <r>
    <n v="204"/>
    <s v="Antonio Rada"/>
    <s v="Paulette Leslie Wauthion Jimenez"/>
    <d v="2024-10-31T00:00:00"/>
    <s v="B1"/>
    <s v="4.Plan de pagos"/>
    <n v="1015795"/>
    <n v="101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15000"/>
    <n v="7500"/>
    <n v="5000"/>
    <n v="10000"/>
    <n v="0"/>
    <n v="42500"/>
    <n v="0.41832767360598455"/>
    <n v="-59095"/>
    <n v="-0.58167232639401545"/>
    <n v="973295"/>
    <n v="0.95816084938398005"/>
    <n v="101595"/>
    <m/>
    <s v="Vendido"/>
    <x v="0"/>
    <m/>
    <n v="0"/>
    <n v="0"/>
    <m/>
    <n v="21"/>
  </r>
  <r>
    <n v="205"/>
    <s v="Sofia Paredes"/>
    <s v="Javier Adolfo Hernandez Leon"/>
    <d v="2025-02-18T00:00:00"/>
    <s v="D7"/>
    <s v="2. Reserva"/>
    <n v="1364055.8232212199"/>
    <n v="136455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903"/>
    <n v="7903"/>
    <n v="25806"/>
    <n v="0.18911615495769984"/>
    <n v="-110649.82"/>
    <n v="-0.81088384504230016"/>
    <n v="1338249.8232212199"/>
    <n v="0.98108141942529958"/>
    <n v="136455.82"/>
    <m/>
    <s v="Vendido"/>
    <x v="0"/>
    <m/>
    <n v="0"/>
    <n v="0"/>
    <m/>
    <n v="23"/>
  </r>
  <r>
    <n v="206"/>
    <m/>
    <m/>
    <m/>
    <s v="A9"/>
    <s v="1.Disponible"/>
    <n v="1021234.48252095"/>
    <n v="102123.44825209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234.48252095"/>
    <n v="1"/>
    <n v="0"/>
    <m/>
    <s v="Apartamento Disponible"/>
    <x v="1"/>
    <m/>
    <n v="0"/>
    <n v="0"/>
    <m/>
    <n v="26"/>
  </r>
  <r>
    <n v="207"/>
    <m/>
    <m/>
    <m/>
    <s v="C9"/>
    <s v="1.Disponible"/>
    <n v="1414228.48223781"/>
    <n v="141422.84822378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228.48223781"/>
    <n v="1"/>
    <n v="0"/>
    <m/>
    <s v="Apartamento Disponible"/>
    <x v="1"/>
    <m/>
    <n v="0"/>
    <n v="0"/>
    <m/>
    <n v="26"/>
  </r>
  <r>
    <n v="208"/>
    <m/>
    <m/>
    <m/>
    <s v="C8"/>
    <s v="1.Disponible"/>
    <n v="1414462.31631225"/>
    <n v="141446.23163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462.31631225"/>
    <n v="1"/>
    <n v="0"/>
    <m/>
    <s v="Apartamento Disponible"/>
    <x v="1"/>
    <m/>
    <n v="0"/>
    <n v="0"/>
    <m/>
    <n v="26"/>
  </r>
  <r>
    <n v="209"/>
    <m/>
    <m/>
    <m/>
    <s v="B4"/>
    <s v="1.Disponible"/>
    <n v="1282411.1311242401"/>
    <n v="128241.11311242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411.1311242401"/>
    <n v="1"/>
    <n v="0"/>
    <m/>
    <s v="Apartamento Disponible"/>
    <x v="1"/>
    <m/>
    <n v="0"/>
    <n v="0"/>
    <m/>
    <n v="26"/>
  </r>
  <r>
    <n v="210"/>
    <m/>
    <m/>
    <m/>
    <s v="B3"/>
    <s v="1.Disponible"/>
    <n v="1037521.78830839"/>
    <n v="103752.178830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7521.78830839"/>
    <n v="1"/>
    <n v="0"/>
    <m/>
    <s v="Apartamento Disponible"/>
    <x v="1"/>
    <m/>
    <n v="0"/>
    <n v="0"/>
    <m/>
    <n v="26"/>
  </r>
  <r>
    <n v="211"/>
    <m/>
    <m/>
    <m/>
    <s v="E1"/>
    <s v="1.Disponible"/>
    <n v="1543626.9723517401"/>
    <n v="154362.6972351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3626.9723517401"/>
    <n v="1"/>
    <n v="0"/>
    <m/>
    <s v="Apartamento Disponible"/>
    <x v="1"/>
    <m/>
    <n v="0"/>
    <n v="0"/>
    <m/>
    <n v="26"/>
  </r>
  <r>
    <n v="212"/>
    <s v="Antonio Rada"/>
    <s v="Julio Eduardo Farnes Bucaro"/>
    <d v="2023-11-14T00:00:00"/>
    <s v="A4"/>
    <s v="4.Plan de pagos"/>
    <n v="714937.5"/>
    <n v="71537.5"/>
    <n v="0"/>
    <n v="0"/>
    <n v="0"/>
    <n v="0"/>
    <n v="0"/>
    <n v="0"/>
    <n v="0"/>
    <n v="0"/>
    <n v="8000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0"/>
    <n v="54208"/>
    <n v="0.75775642145727762"/>
    <n v="-17329.5"/>
    <n v="-0.24224357854272235"/>
    <n v="660729.5"/>
    <n v="0.92417798758632752"/>
    <n v="71537.5"/>
    <m/>
    <s v="Vendido"/>
    <x v="0"/>
    <n v="22"/>
    <n v="1"/>
    <n v="23"/>
    <n v="2888"/>
    <n v="16"/>
  </r>
  <r>
    <n v="213"/>
    <s v="Sofia Paredes"/>
    <s v="Carlos Humberto Rivera Carrillo "/>
    <d v="2025-02-07T00:00:00"/>
    <s v="A8"/>
    <s v="2. Reserva"/>
    <n v="806418.74335333402"/>
    <n v="80718.74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  <n v="0.12388696850322489"/>
    <n v="-70718.740000000005"/>
    <n v="-0.87611303149677511"/>
    <n v="796418.74335333402"/>
    <n v="0.98759949457720075"/>
    <n v="80718.740000000005"/>
    <m/>
    <s v="Vendido"/>
    <x v="0"/>
    <m/>
    <n v="0"/>
    <n v="0"/>
    <m/>
    <n v="25"/>
  </r>
  <r>
    <n v="214"/>
    <s v="Antonio Rada"/>
    <s v="Jorge Daniel Baca Chiroy"/>
    <d v="2023-11-29T00:00:00"/>
    <s v="A1"/>
    <s v="4.Plan de pagos"/>
    <n v="720472.5"/>
    <n v="72072.5"/>
    <n v="0"/>
    <n v="0"/>
    <n v="0"/>
    <n v="0"/>
    <n v="0"/>
    <n v="0"/>
    <n v="0"/>
    <n v="0"/>
    <n v="5500"/>
    <n v="3025"/>
    <n v="3025"/>
    <n v="0"/>
    <n v="0"/>
    <n v="0"/>
    <n v="0"/>
    <n v="6050"/>
    <n v="0"/>
    <n v="0"/>
    <n v="15130"/>
    <n v="0"/>
    <n v="9078"/>
    <n v="0"/>
    <n v="0"/>
    <n v="9078"/>
    <n v="0"/>
    <n v="0"/>
    <n v="50886"/>
    <n v="0.70603905789309374"/>
    <n v="-21186.5"/>
    <n v="-0.29396094210690626"/>
    <n v="669586.5"/>
    <n v="0.92937135005152871"/>
    <n v="72072.5"/>
    <m/>
    <s v="Vendido"/>
    <x v="0"/>
    <n v="22"/>
    <n v="1"/>
    <n v="23"/>
    <n v="3026"/>
    <n v="0"/>
  </r>
  <r>
    <n v="215"/>
    <s v="Antonio Rada"/>
    <s v="Lidia Elizabeth Pocasangre Rac"/>
    <d v="2024-03-02T00:00:00"/>
    <s v="C4"/>
    <s v="4.Plan de pagos"/>
    <n v="965900"/>
    <n v="96600"/>
    <n v="0"/>
    <n v="0"/>
    <n v="0"/>
    <n v="0"/>
    <n v="0"/>
    <n v="0"/>
    <n v="0"/>
    <n v="0"/>
    <n v="0"/>
    <n v="0"/>
    <n v="0"/>
    <n v="0"/>
    <n v="8000"/>
    <n v="5000"/>
    <n v="5000"/>
    <n v="5000"/>
    <n v="5000"/>
    <n v="5000"/>
    <n v="5000"/>
    <n v="4500"/>
    <n v="5500"/>
    <n v="5000"/>
    <n v="5000"/>
    <n v="5000"/>
    <n v="5000"/>
    <n v="0"/>
    <n v="68000"/>
    <n v="0.70393374741200831"/>
    <n v="-28600"/>
    <n v="-0.29606625258799174"/>
    <n v="897900"/>
    <n v="0.92959933740552847"/>
    <n v="96600"/>
    <m/>
    <s v="Vendido"/>
    <x v="0"/>
    <n v="18"/>
    <n v="1"/>
    <n v="19"/>
    <n v="4922"/>
    <n v="0"/>
  </r>
  <r>
    <n v="216"/>
    <s v="Antonio Rada"/>
    <s v="Narvesters Gabriell Moreno Cedeño"/>
    <d v="2024-03-09T00:00:00"/>
    <s v="C1"/>
    <s v="4.Plan de pagos"/>
    <n v="980700"/>
    <n v="98100"/>
    <n v="0"/>
    <n v="0"/>
    <n v="0"/>
    <n v="0"/>
    <n v="0"/>
    <n v="0"/>
    <n v="0"/>
    <n v="0"/>
    <n v="0"/>
    <n v="0"/>
    <n v="0"/>
    <n v="0"/>
    <n v="8000"/>
    <n v="5006"/>
    <n v="5006"/>
    <n v="5006"/>
    <n v="10012"/>
    <n v="15018"/>
    <n v="20024"/>
    <n v="25030"/>
    <n v="30000"/>
    <n v="35000"/>
    <n v="40000"/>
    <n v="40000"/>
    <n v="40000"/>
    <n v="0"/>
    <n v="278102"/>
    <n v="2.8348827726809378"/>
    <n v="180002"/>
    <n v="1.8348827726809378"/>
    <n v="702598"/>
    <n v="0.7164250025491995"/>
    <n v="98100"/>
    <m/>
    <s v="Vendido"/>
    <x v="2"/>
    <n v="18"/>
    <n v="1"/>
    <n v="19"/>
    <n v="5006"/>
    <n v="3"/>
  </r>
  <r>
    <n v="301"/>
    <s v="Antonio Rada"/>
    <s v="Jonathan Kiril Thomas Menkos"/>
    <d v="2024-07-21T00:00:00"/>
    <s v="C3"/>
    <s v="4.Plan de pagos"/>
    <n v="1273000"/>
    <n v="127300"/>
    <n v="0"/>
    <n v="0"/>
    <n v="0"/>
    <n v="0"/>
    <n v="0"/>
    <n v="0"/>
    <n v="0"/>
    <n v="0"/>
    <n v="0"/>
    <n v="0"/>
    <n v="0"/>
    <n v="0"/>
    <n v="0"/>
    <n v="0"/>
    <n v="0"/>
    <n v="0"/>
    <n v="10000"/>
    <n v="13800"/>
    <n v="6900"/>
    <n v="0"/>
    <n v="6900"/>
    <n v="6900"/>
    <n v="6900"/>
    <n v="6900"/>
    <n v="6900"/>
    <n v="6900"/>
    <n v="72100"/>
    <n v="0.56637863315003922"/>
    <n v="-55200"/>
    <n v="-0.43362136684996072"/>
    <n v="1200900"/>
    <n v="0.94336213668499602"/>
    <n v="127300"/>
    <m/>
    <s v="Vendido"/>
    <x v="0"/>
    <n v="17"/>
    <n v="1"/>
    <n v="18"/>
    <n v="6900"/>
    <n v="7"/>
  </r>
  <r>
    <n v="302"/>
    <m/>
    <m/>
    <m/>
    <s v="C2"/>
    <s v="1.Disponible"/>
    <n v="1373424.4362473199"/>
    <n v="137342.443624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3424.4362473199"/>
    <n v="1"/>
    <n v="0"/>
    <m/>
    <s v="Apartamento Disponible"/>
    <x v="1"/>
    <m/>
    <n v="0"/>
    <n v="0"/>
    <m/>
    <n v="26"/>
  </r>
  <r>
    <n v="303"/>
    <s v="Antonio Rada"/>
    <s v="Clara Hilda Maria Falla Bianchi De Cruz-Gomar"/>
    <d v="2025-02-05T00:00:00"/>
    <s v="A6"/>
    <s v="4.Plan de pagos"/>
    <n v="934918.44645199704"/>
    <n v="93491.844645199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4316"/>
    <n v="0"/>
    <n v="9316"/>
    <n v="9.9645054981577205E-2"/>
    <n v="-84175.844645199715"/>
    <n v="-0.90035494501842284"/>
    <n v="925602.44645199704"/>
    <n v="0.99003549450184225"/>
    <n v="93491.844645199715"/>
    <m/>
    <s v="Vendido"/>
    <x v="0"/>
    <m/>
    <n v="0"/>
    <n v="0"/>
    <m/>
    <n v="24"/>
  </r>
  <r>
    <n v="304"/>
    <s v="Antonio Rada"/>
    <s v="Ricardo Alberto Vásquez Monterroso"/>
    <d v="2025-03-03T00:00:00"/>
    <s v="A3"/>
    <s v="2. Reserva"/>
    <n v="833815.20101665298"/>
    <n v="83415.1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0.119882227699508"/>
    <n v="-73415.199999999997"/>
    <n v="-0.88011777230049204"/>
    <n v="823815.20101665298"/>
    <n v="0.98800693488460367"/>
    <n v="83415.199999999997"/>
    <m/>
    <s v="Vendido"/>
    <x v="0"/>
    <m/>
    <n v="0"/>
    <n v="0"/>
    <m/>
    <n v="25"/>
  </r>
  <r>
    <n v="305"/>
    <s v="Antonio Rada"/>
    <s v="Josue Alejandro Arias Perez"/>
    <d v="2025-04-01T00:00:00"/>
    <s v="B7"/>
    <s v="2. Reserva"/>
    <n v="1112465.60916772"/>
    <n v="111246.5609167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11246.560916772"/>
    <n v="-1"/>
    <n v="1112465.60916772"/>
    <n v="1"/>
    <n v="111246.560916772"/>
    <m/>
    <s v="Vendido"/>
    <x v="0"/>
    <m/>
    <n v="0"/>
    <n v="0"/>
    <m/>
    <n v="26"/>
  </r>
  <r>
    <n v="306"/>
    <m/>
    <m/>
    <m/>
    <s v="B2"/>
    <s v="1.Disponible"/>
    <n v="1104047.5824877301"/>
    <n v="110404.75824877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4047.5824877301"/>
    <n v="1"/>
    <n v="0"/>
    <m/>
    <s v="Apartamento Disponible"/>
    <x v="1"/>
    <m/>
    <n v="0"/>
    <n v="0"/>
    <m/>
    <n v="26"/>
  </r>
  <r>
    <n v="307"/>
    <m/>
    <m/>
    <m/>
    <s v="B6"/>
    <s v="1.Disponible"/>
    <n v="1056462.34833836"/>
    <n v="105646.234833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6462.34833836"/>
    <n v="1"/>
    <n v="0"/>
    <m/>
    <s v="Apartamento Disponible"/>
    <x v="1"/>
    <m/>
    <n v="0"/>
    <n v="0"/>
    <m/>
    <n v="26"/>
  </r>
  <r>
    <n v="308"/>
    <s v="Antonio Rada"/>
    <s v="Ricardo Alberto Vásquez Monterroso"/>
    <d v="2025-03-03T00:00:00"/>
    <s v="B1"/>
    <s v="2. Reserva"/>
    <n v="1032728.18978229"/>
    <n v="103328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9.6779010645594396E-2"/>
    <n v="-93328.19"/>
    <n v="-0.90322098935440565"/>
    <n v="1022728.18978229"/>
    <n v="0.99031691000697086"/>
    <n v="103328.19"/>
    <m/>
    <s v="Vendido"/>
    <x v="0"/>
    <m/>
    <n v="0"/>
    <n v="0"/>
    <m/>
    <n v="25"/>
  </r>
  <r>
    <n v="309"/>
    <s v="Antonio Rada"/>
    <s v="Leonel Bernardo Molina Gramajo"/>
    <d v="2024-08-12T00:00:00"/>
    <s v="D7"/>
    <s v="4.Plan de pagos"/>
    <n v="1341690"/>
    <n v="13509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500"/>
    <n v="2500"/>
    <n v="2500"/>
    <n v="2500"/>
    <n v="0"/>
    <n v="2500"/>
    <n v="0"/>
    <n v="0"/>
    <n v="17500"/>
    <n v="0.12954326745132874"/>
    <n v="-117590"/>
    <n v="-0.87045673254867129"/>
    <n v="1324190"/>
    <n v="0.98695674857828564"/>
    <n v="135090"/>
    <m/>
    <s v="Vendido"/>
    <x v="0"/>
    <n v="16"/>
    <n v="1"/>
    <n v="17"/>
    <n v="2500"/>
    <n v="5"/>
  </r>
  <r>
    <n v="310"/>
    <m/>
    <m/>
    <m/>
    <s v="A9"/>
    <s v="1.Disponible"/>
    <n v="1021234.48252095"/>
    <n v="102123.44825209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234.48252095"/>
    <n v="1"/>
    <n v="0"/>
    <m/>
    <s v="Apartamento Disponible"/>
    <x v="1"/>
    <m/>
    <n v="0"/>
    <n v="0"/>
    <m/>
    <n v="26"/>
  </r>
  <r>
    <n v="311"/>
    <s v="Diana Alvarez"/>
    <s v="Miguel Angel Teletor Riz"/>
    <d v="2024-09-27T00:00:00"/>
    <s v="C9"/>
    <s v="4.Plan de pagos"/>
    <n v="1391040"/>
    <n v="139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29140"/>
    <n v="0"/>
    <n v="0"/>
    <n v="0"/>
    <n v="0"/>
    <n v="0"/>
    <n v="139140"/>
    <n v="1"/>
    <n v="0"/>
    <n v="0"/>
    <n v="1251900"/>
    <n v="0.89997412008281574"/>
    <n v="139140"/>
    <m/>
    <s v="Vendido"/>
    <x v="3"/>
    <n v="1"/>
    <n v="0"/>
    <n v="1"/>
    <n v="139140"/>
    <n v="0"/>
  </r>
  <r>
    <n v="312"/>
    <s v="Antonio Rada"/>
    <s v="Freddy Alejandro Chinchilla Culajay"/>
    <d v="2024-12-24T00:00:00"/>
    <s v="C8"/>
    <s v="4.Plan de pagos"/>
    <n v="1414462.31631225"/>
    <n v="14146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"/>
    <n v="0"/>
    <n v="7851"/>
    <n v="7851"/>
    <n v="0"/>
    <n v="23702"/>
    <n v="0.16754991717935913"/>
    <n v="-117760.32000000001"/>
    <n v="-0.83245008282064092"/>
    <n v="1390760.31631225"/>
    <n v="0.98324310253680336"/>
    <n v="141462.32"/>
    <m/>
    <s v="Vendido"/>
    <x v="0"/>
    <m/>
    <n v="0"/>
    <n v="0"/>
    <m/>
    <n v="23"/>
  </r>
  <r>
    <n v="313"/>
    <s v="Antonio Rada"/>
    <s v="Leslly Franzoli Cortez Avila"/>
    <d v="2024-05-07T00:00:00"/>
    <s v="B4"/>
    <s v="4.Plan de pagos"/>
    <n v="1087400"/>
    <n v="108800"/>
    <n v="0"/>
    <n v="0"/>
    <n v="0"/>
    <n v="0"/>
    <n v="0"/>
    <n v="0"/>
    <n v="0"/>
    <n v="0"/>
    <n v="0"/>
    <n v="0"/>
    <n v="0"/>
    <n v="0"/>
    <n v="0"/>
    <n v="0"/>
    <n v="8000"/>
    <n v="4253"/>
    <n v="24253"/>
    <n v="4253"/>
    <n v="4253"/>
    <n v="8506"/>
    <n v="0"/>
    <n v="4253"/>
    <n v="4253"/>
    <n v="4253"/>
    <n v="4253"/>
    <n v="4253"/>
    <n v="74783"/>
    <n v="0.68734375000000003"/>
    <n v="-34017"/>
    <n v="-0.31265625000000002"/>
    <n v="1012617"/>
    <n v="0.93122769909876768"/>
    <n v="108800"/>
    <m/>
    <s v="Vendido"/>
    <x v="0"/>
    <n v="16"/>
    <n v="1"/>
    <n v="17"/>
    <n v="4253"/>
    <n v="8"/>
  </r>
  <r>
    <n v="314"/>
    <m/>
    <m/>
    <m/>
    <s v="B3"/>
    <s v="1.Disponible"/>
    <n v="1037521.78830839"/>
    <n v="103752.178830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7521.78830839"/>
    <n v="1"/>
    <n v="0"/>
    <m/>
    <s v="Apartamento Disponible"/>
    <x v="1"/>
    <m/>
    <n v="0"/>
    <n v="0"/>
    <m/>
    <n v="26"/>
  </r>
  <r>
    <n v="315"/>
    <s v="Sofia Paredes"/>
    <s v="Lilian America Roldan Ochoa"/>
    <d v="2025-04-05T00:00:00"/>
    <s v="E1"/>
    <s v="2. Reserva"/>
    <n v="1543626.9723517401"/>
    <n v="154362.6972351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54362.69723517401"/>
    <n v="-1"/>
    <n v="1543626.9723517401"/>
    <n v="1"/>
    <n v="154362.69723517401"/>
    <m/>
    <s v="Vendido"/>
    <x v="0"/>
    <m/>
    <n v="0"/>
    <n v="0"/>
    <m/>
    <n v="26"/>
  </r>
  <r>
    <n v="316"/>
    <s v="Antonio Rada"/>
    <s v="Allan Omar Alvarado Vásquez"/>
    <d v="2023-10-29T00:00:00"/>
    <s v="A4"/>
    <s v="4.Plan de pagos"/>
    <n v="708396.44"/>
    <n v="70896.44"/>
    <n v="0"/>
    <n v="0"/>
    <n v="0"/>
    <n v="0"/>
    <n v="0"/>
    <n v="0"/>
    <n v="0"/>
    <n v="8000"/>
    <n v="2735"/>
    <n v="2735"/>
    <n v="2735"/>
    <n v="2735"/>
    <n v="2735"/>
    <n v="2735"/>
    <n v="5470"/>
    <n v="2735"/>
    <n v="0"/>
    <n v="2735"/>
    <n v="2735"/>
    <n v="2735"/>
    <n v="2735"/>
    <n v="2735"/>
    <n v="2735"/>
    <n v="2735"/>
    <n v="2735"/>
    <n v="0"/>
    <n v="54495"/>
    <n v="0.76865636694874939"/>
    <n v="-16401.440000000002"/>
    <n v="-0.23134363305125055"/>
    <n v="653901.43999999994"/>
    <n v="0.92307273593865036"/>
    <n v="70896.44"/>
    <m/>
    <s v="Vendido"/>
    <x v="0"/>
    <n v="23"/>
    <n v="1"/>
    <n v="24"/>
    <n v="2735"/>
    <n v="15"/>
  </r>
  <r>
    <n v="317"/>
    <s v="Antonio Rada"/>
    <s v="Antonio Meneses Hernandez"/>
    <d v="2023-11-28T00:00:00"/>
    <s v="A8"/>
    <s v="4.Plan de pagos"/>
    <n v="721087.5"/>
    <n v="72187.5"/>
    <n v="0"/>
    <n v="0"/>
    <n v="0"/>
    <n v="0"/>
    <n v="0"/>
    <n v="0"/>
    <n v="0"/>
    <n v="0"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0"/>
    <n v="53996"/>
    <n v="0.74799653679653677"/>
    <n v="-18191.5"/>
    <n v="-0.25200346320346323"/>
    <n v="667091.5"/>
    <n v="0.92511865758316436"/>
    <n v="72187.5"/>
    <m/>
    <s v="Vendido"/>
    <x v="0"/>
    <n v="22"/>
    <n v="1"/>
    <n v="23"/>
    <n v="3031"/>
    <n v="16"/>
  </r>
  <r>
    <n v="318"/>
    <s v="Antonio Rada"/>
    <s v="Jose Reynaldo Linares"/>
    <d v="2023-11-12T00:00:00"/>
    <s v="A1"/>
    <s v="4.Plan de pagos"/>
    <n v="720472.5"/>
    <n v="72072.5"/>
    <n v="0"/>
    <n v="0"/>
    <n v="0"/>
    <n v="0"/>
    <n v="0"/>
    <n v="0"/>
    <n v="0"/>
    <n v="0"/>
    <n v="5500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0"/>
    <n v="53916"/>
    <n v="0.74808005827465396"/>
    <n v="-18156.5"/>
    <n v="-0.25191994172534599"/>
    <n v="666556.5"/>
    <n v="0.92516577662575605"/>
    <n v="72072.5"/>
    <m/>
    <s v="Vendido"/>
    <x v="0"/>
    <n v="22"/>
    <n v="1"/>
    <n v="23"/>
    <n v="3026"/>
    <n v="16"/>
  </r>
  <r>
    <n v="319"/>
    <s v="Antonio Rada"/>
    <s v="Aaron Fabrizio Tello Merida"/>
    <d v="2024-02-18T00:00:00"/>
    <s v="C4"/>
    <s v="4.Plan de pagos"/>
    <n v="965900"/>
    <n v="96600"/>
    <n v="0"/>
    <n v="0"/>
    <n v="0"/>
    <n v="0"/>
    <n v="0"/>
    <n v="0"/>
    <n v="0"/>
    <n v="0"/>
    <n v="0"/>
    <n v="0"/>
    <n v="0"/>
    <n v="8000"/>
    <n v="7000"/>
    <n v="7000"/>
    <n v="7000"/>
    <n v="7000"/>
    <n v="14000"/>
    <n v="7000"/>
    <n v="7000"/>
    <n v="7000"/>
    <n v="7000"/>
    <n v="7000"/>
    <n v="17000"/>
    <n v="7000"/>
    <n v="7000"/>
    <n v="7000"/>
    <n v="123000"/>
    <n v="1.2732919254658386"/>
    <n v="26400"/>
    <n v="0.27329192546583853"/>
    <n v="842900"/>
    <n v="0.87265762501294131"/>
    <n v="96600"/>
    <m/>
    <s v="Vendido"/>
    <x v="2"/>
    <n v="19"/>
    <n v="1"/>
    <n v="20"/>
    <n v="4663"/>
    <n v="0"/>
  </r>
  <r>
    <n v="320"/>
    <s v="Antonio Rada"/>
    <s v="Santiago Taracena Puga"/>
    <d v="2023-08-12T00:00:00"/>
    <s v="C1"/>
    <s v="4.Plan de pagos"/>
    <n v="980700"/>
    <n v="98100"/>
    <n v="0"/>
    <n v="0"/>
    <n v="0"/>
    <n v="0"/>
    <n v="0"/>
    <n v="6000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0"/>
    <n v="75996"/>
    <n v="0.77467889908256882"/>
    <n v="-22104"/>
    <n v="-0.22532110091743118"/>
    <n v="904704"/>
    <n v="0.92250841235851944"/>
    <n v="98100"/>
    <m/>
    <s v="Vendido"/>
    <x v="0"/>
    <n v="25"/>
    <n v="1"/>
    <n v="26"/>
    <n v="3684"/>
    <n v="19"/>
  </r>
  <r>
    <n v="401"/>
    <s v="Antonio Rada"/>
    <s v="Sara Veronica Ortíz De León"/>
    <d v="2024-01-29T00:00:00"/>
    <s v="C3"/>
    <s v="4.Plan de pagos"/>
    <n v="1153800"/>
    <n v="115400"/>
    <n v="0"/>
    <n v="0"/>
    <n v="0"/>
    <n v="0"/>
    <n v="0"/>
    <n v="0"/>
    <n v="0"/>
    <n v="0"/>
    <n v="0"/>
    <n v="0"/>
    <n v="8000"/>
    <n v="5370"/>
    <n v="5370"/>
    <n v="10740"/>
    <n v="0"/>
    <n v="5370"/>
    <n v="5370"/>
    <n v="5370"/>
    <n v="5370"/>
    <n v="5370"/>
    <n v="5370"/>
    <n v="5370"/>
    <n v="5370"/>
    <n v="5370"/>
    <n v="5370"/>
    <n v="5370"/>
    <n v="88550"/>
    <n v="0.76733102253032925"/>
    <n v="-26850"/>
    <n v="-0.23266897746967072"/>
    <n v="1065250"/>
    <n v="0.92325359681053909"/>
    <n v="115400"/>
    <m/>
    <s v="Vendido"/>
    <x v="0"/>
    <n v="20"/>
    <n v="1"/>
    <n v="21"/>
    <n v="5370"/>
    <n v="13"/>
  </r>
  <r>
    <n v="402"/>
    <s v="Antonio Rada"/>
    <s v="Guillermo Vinicio Cotto Mux"/>
    <d v="2023-12-03T00:00:00"/>
    <s v="C2"/>
    <s v="4.Plan de pagos"/>
    <n v="1151071.45"/>
    <n v="115171.45"/>
    <n v="0"/>
    <n v="0"/>
    <n v="0"/>
    <n v="0"/>
    <n v="0"/>
    <n v="0"/>
    <n v="0"/>
    <n v="0"/>
    <n v="0"/>
    <n v="5500"/>
    <n v="5219"/>
    <n v="5225"/>
    <n v="5222"/>
    <n v="5222"/>
    <n v="5222"/>
    <n v="5222"/>
    <n v="5222"/>
    <n v="5222"/>
    <n v="5222"/>
    <n v="5222"/>
    <n v="5222"/>
    <n v="5222"/>
    <n v="5222"/>
    <n v="5222"/>
    <n v="5222"/>
    <n v="0"/>
    <n v="83830"/>
    <n v="0.7278713604803968"/>
    <n v="-31341.449999999997"/>
    <n v="-0.27212863951960314"/>
    <n v="1067241.45"/>
    <n v="0.92717220116961463"/>
    <n v="115171.45"/>
    <m/>
    <s v="Vendido"/>
    <x v="0"/>
    <n v="21"/>
    <n v="1"/>
    <n v="22"/>
    <n v="5222"/>
    <n v="13"/>
  </r>
  <r>
    <n v="403"/>
    <s v="Antonio Rada"/>
    <s v="Denis Estuardo Mazariegos Fuentes"/>
    <d v="2023-08-20T00:00:00"/>
    <s v="A6"/>
    <s v="4.Plan de pagos"/>
    <n v="699700"/>
    <n v="70000"/>
    <n v="0"/>
    <n v="0"/>
    <n v="0"/>
    <n v="0"/>
    <n v="0"/>
    <n v="600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0"/>
    <n v="54640"/>
    <n v="0.78057142857142858"/>
    <n v="-15360"/>
    <n v="-0.21942857142857142"/>
    <n v="645060"/>
    <n v="0.92190938973845937"/>
    <n v="70000"/>
    <m/>
    <s v="Vendido"/>
    <x v="0"/>
    <n v="25"/>
    <n v="1"/>
    <n v="26"/>
    <n v="2560"/>
    <n v="19"/>
  </r>
  <r>
    <n v="404"/>
    <s v="Brenda Búcaro"/>
    <s v="Gerson Andre Villatoro Urizar"/>
    <d v="2023-10-31T00:00:00"/>
    <s v="A3"/>
    <s v="4.Plan de pagos"/>
    <n v="721100"/>
    <n v="72200"/>
    <n v="0"/>
    <n v="0"/>
    <n v="0"/>
    <n v="0"/>
    <n v="0"/>
    <n v="0"/>
    <n v="0"/>
    <n v="8000"/>
    <n v="2791"/>
    <n v="2791"/>
    <n v="2791"/>
    <n v="2791"/>
    <n v="2791"/>
    <n v="5582"/>
    <n v="0"/>
    <n v="2791"/>
    <n v="2791"/>
    <n v="5582"/>
    <n v="0"/>
    <n v="2791"/>
    <n v="2791"/>
    <n v="0"/>
    <n v="2791"/>
    <n v="2791"/>
    <n v="2791"/>
    <n v="2791"/>
    <n v="55447"/>
    <n v="0.76796398891966755"/>
    <n v="-16753"/>
    <n v="-0.23203601108033242"/>
    <n v="665653"/>
    <n v="0.92310775204548601"/>
    <n v="72200"/>
    <m/>
    <s v="Vendido"/>
    <x v="0"/>
    <n v="23"/>
    <n v="1"/>
    <n v="24"/>
    <n v="2791"/>
    <n v="13"/>
  </r>
  <r>
    <n v="405"/>
    <s v="Antonio Rada"/>
    <s v="Leslie Carolina Gil Morales"/>
    <d v="2025-03-15T00:00:00"/>
    <s v="B7"/>
    <s v="2. Reserva"/>
    <n v="1112465.60916772"/>
    <n v="111265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8.9875029669994166E-2"/>
    <n v="-101265.61"/>
    <n v="-0.91012497033000583"/>
    <n v="1102465.60916772"/>
    <n v="0.99101095807583539"/>
    <n v="111265.61"/>
    <m/>
    <s v="Vendido"/>
    <x v="0"/>
    <m/>
    <n v="0"/>
    <n v="0"/>
    <m/>
    <n v="25"/>
  </r>
  <r>
    <n v="406"/>
    <m/>
    <m/>
    <m/>
    <s v="B2"/>
    <s v="1.Disponible"/>
    <n v="1104047.5824877301"/>
    <n v="110404.75824877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4047.5824877301"/>
    <n v="1"/>
    <n v="0"/>
    <m/>
    <s v="Apartamento Disponible"/>
    <x v="1"/>
    <m/>
    <n v="0"/>
    <n v="0"/>
    <m/>
    <n v="26"/>
  </r>
  <r>
    <n v="407"/>
    <m/>
    <m/>
    <m/>
    <s v="B6"/>
    <s v="1.Disponible"/>
    <n v="1056462.34833836"/>
    <n v="105646.234833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6462.34833836"/>
    <n v="1"/>
    <n v="0"/>
    <m/>
    <s v="Apartamento Disponible"/>
    <x v="1"/>
    <m/>
    <n v="0"/>
    <n v="0"/>
    <m/>
    <n v="26"/>
  </r>
  <r>
    <n v="408"/>
    <s v="Antonio Rada"/>
    <s v="Maria Gabriela Chang Quan De Garcia"/>
    <d v="2024-02-13T00:00:00"/>
    <s v="B1"/>
    <s v="4.Plan de pagos"/>
    <n v="883300"/>
    <n v="88400"/>
    <n v="0"/>
    <n v="0"/>
    <n v="0"/>
    <n v="0"/>
    <n v="0"/>
    <n v="0"/>
    <n v="0"/>
    <n v="0"/>
    <n v="0"/>
    <n v="0"/>
    <n v="0"/>
    <n v="8000"/>
    <n v="0"/>
    <n v="0"/>
    <n v="0"/>
    <n v="0"/>
    <n v="0"/>
    <n v="0"/>
    <n v="0"/>
    <n v="0"/>
    <n v="0"/>
    <n v="0"/>
    <n v="0"/>
    <n v="0"/>
    <n v="0"/>
    <n v="0"/>
    <n v="8000"/>
    <n v="9.0497737556561084E-2"/>
    <n v="-80400"/>
    <n v="-0.9095022624434389"/>
    <n v="875300"/>
    <n v="0.99094305445488506"/>
    <n v="88400"/>
    <m/>
    <s v="Vendido"/>
    <x v="0"/>
    <n v="19"/>
    <n v="1"/>
    <n v="20"/>
    <n v="4232"/>
    <n v="0"/>
  </r>
  <r>
    <n v="409"/>
    <s v="Antonio Rada"/>
    <s v="Rafael Leonidas Tabic Borja"/>
    <d v="2024-08-08T00:00:00"/>
    <s v="D7"/>
    <s v="4.Plan de pagos"/>
    <n v="1341690"/>
    <n v="13419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800"/>
    <n v="8000"/>
    <n v="8200"/>
    <n v="16000"/>
    <n v="0"/>
    <n v="8000"/>
    <n v="8000"/>
    <n v="0"/>
    <n v="66000"/>
    <n v="0.49183992845964675"/>
    <n v="-68190"/>
    <n v="-0.50816007154035325"/>
    <n v="1275690"/>
    <n v="0.95080830892381996"/>
    <n v="134190"/>
    <m/>
    <s v="Vendido"/>
    <x v="0"/>
    <n v="16"/>
    <n v="1"/>
    <n v="17"/>
    <n v="7800"/>
    <n v="1"/>
  </r>
  <r>
    <n v="410"/>
    <m/>
    <m/>
    <m/>
    <s v="A9"/>
    <s v="1.Disponible"/>
    <n v="1021234.48252095"/>
    <n v="102123.44825209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234.48252095"/>
    <n v="1"/>
    <n v="0"/>
    <m/>
    <s v="Apartamento Disponible"/>
    <x v="1"/>
    <m/>
    <n v="0"/>
    <n v="0"/>
    <m/>
    <n v="26"/>
  </r>
  <r>
    <n v="411"/>
    <m/>
    <m/>
    <m/>
    <s v="C9"/>
    <s v="1.Disponible"/>
    <n v="1414228.48223781"/>
    <n v="141422.84822378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228.48223781"/>
    <n v="1"/>
    <n v="0"/>
    <m/>
    <s v="Apartamento Disponible"/>
    <x v="1"/>
    <m/>
    <n v="0"/>
    <n v="0"/>
    <m/>
    <n v="26"/>
  </r>
  <r>
    <n v="412"/>
    <m/>
    <m/>
    <m/>
    <s v="C8"/>
    <s v="1.Disponible"/>
    <n v="1414462.31631225"/>
    <n v="141446.23163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462.31631225"/>
    <n v="1"/>
    <n v="0"/>
    <m/>
    <s v="Apartamento Disponible"/>
    <x v="1"/>
    <m/>
    <n v="0"/>
    <n v="0"/>
    <m/>
    <n v="26"/>
  </r>
  <r>
    <n v="413"/>
    <s v="Sofia Paredes"/>
    <s v="Cindy Carolina Toscano Merida"/>
    <d v="2025-01-31T00:00:00"/>
    <s v="B4"/>
    <s v="4.Plan de pagos"/>
    <n v="1063054.43589791"/>
    <n v="10635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022"/>
    <n v="6022"/>
    <n v="6022"/>
    <n v="28066"/>
    <n v="0.26389121731929738"/>
    <n v="-78288.429999999993"/>
    <n v="-0.73610878268070257"/>
    <n v="1034988.43589791"/>
    <n v="0.97359871794684338"/>
    <n v="106354.43"/>
    <m/>
    <s v="Vendido"/>
    <x v="0"/>
    <m/>
    <n v="0"/>
    <n v="0"/>
    <m/>
    <n v="22"/>
  </r>
  <r>
    <n v="414"/>
    <s v="Antonio Rada"/>
    <s v="Carolina Rivas Le Sage De Alonzo"/>
    <d v="2024-05-27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0"/>
    <n v="10000"/>
    <n v="4147"/>
    <n v="4147"/>
    <n v="4147"/>
    <n v="4147"/>
    <n v="4147"/>
    <n v="4147"/>
    <n v="4147"/>
    <n v="4147"/>
    <n v="4147"/>
    <n v="4147"/>
    <n v="0"/>
    <n v="51470"/>
    <n v="0.57961711711711716"/>
    <n v="-37330"/>
    <n v="-0.42038288288288289"/>
    <n v="835930"/>
    <n v="0.94199909848997065"/>
    <n v="88800"/>
    <m/>
    <s v="Vendido"/>
    <x v="0"/>
    <n v="16"/>
    <n v="1"/>
    <n v="17"/>
    <n v="4147"/>
    <n v="10"/>
  </r>
  <r>
    <n v="415"/>
    <m/>
    <m/>
    <m/>
    <s v="E1"/>
    <s v="1.Disponible"/>
    <n v="1543626.9723517401"/>
    <n v="154362.6972351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3626.9723517401"/>
    <n v="1"/>
    <n v="0"/>
    <m/>
    <s v="Apartamento Disponible"/>
    <x v="1"/>
    <m/>
    <n v="0"/>
    <n v="0"/>
    <m/>
    <n v="26"/>
  </r>
  <r>
    <n v="416"/>
    <s v="Sofia Paredes"/>
    <s v="Carlos Humberto Rivera Carrillo "/>
    <d v="2025-02-07T00:00:00"/>
    <s v="A4"/>
    <s v="2. Reserva"/>
    <n v="798331.19"/>
    <n v="79931.17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  <n v="0.12510762383340271"/>
    <n v="-69931.179999999993"/>
    <n v="-0.87489237616659732"/>
    <n v="788331.19"/>
    <n v="0.98747387033694622"/>
    <n v="79931.179999999993"/>
    <m/>
    <s v="Vendido"/>
    <x v="0"/>
    <m/>
    <n v="0"/>
    <n v="0"/>
    <m/>
    <n v="25"/>
  </r>
  <r>
    <n v="417"/>
    <s v="Antonio Rada"/>
    <s v="Miguel Angel Flores Linares"/>
    <d v="2023-11-19T00:00:00"/>
    <s v="A8"/>
    <s v="4.Plan de pagos"/>
    <n v="721087.5"/>
    <n v="72187.5"/>
    <n v="0"/>
    <n v="0"/>
    <n v="0"/>
    <n v="0"/>
    <n v="0"/>
    <n v="0"/>
    <n v="0"/>
    <n v="0"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0"/>
    <n v="53996"/>
    <n v="0.74799653679653677"/>
    <n v="-18191.5"/>
    <n v="-0.25200346320346323"/>
    <n v="667091.5"/>
    <n v="0.92511865758316436"/>
    <n v="72187.5"/>
    <m/>
    <s v="Vendido"/>
    <x v="0"/>
    <n v="22"/>
    <n v="1"/>
    <n v="23"/>
    <n v="3031"/>
    <n v="16"/>
  </r>
  <r>
    <n v="418"/>
    <s v="Antonio Rada"/>
    <s v="Alejandra Madelleine Rosales Garcia"/>
    <d v="2023-11-10T00:00:00"/>
    <s v="A1"/>
    <s v="4.Plan de pagos"/>
    <n v="720472.5"/>
    <n v="72072.5"/>
    <n v="0"/>
    <n v="0"/>
    <n v="0"/>
    <n v="0"/>
    <n v="0"/>
    <n v="0"/>
    <n v="0"/>
    <n v="0"/>
    <n v="5500"/>
    <n v="3026"/>
    <n v="6052"/>
    <n v="0"/>
    <n v="3026"/>
    <n v="3026"/>
    <n v="0"/>
    <n v="3026"/>
    <n v="6052"/>
    <n v="3026"/>
    <n v="0"/>
    <n v="0"/>
    <n v="0"/>
    <n v="6052"/>
    <n v="0"/>
    <n v="0"/>
    <n v="0"/>
    <n v="0"/>
    <n v="38786"/>
    <n v="0.53815255471920631"/>
    <n v="-33286.5"/>
    <n v="-0.46184744528079363"/>
    <n v="681686.5"/>
    <n v="0.94616588419405323"/>
    <n v="72072.5"/>
    <m/>
    <s v="Vendido"/>
    <x v="0"/>
    <n v="22"/>
    <n v="1"/>
    <n v="23"/>
    <n v="3026"/>
    <n v="5"/>
  </r>
  <r>
    <n v="419"/>
    <s v="Antonio Rada"/>
    <s v="Andrea Elizabeth Ortiz Perez"/>
    <d v="2023-11-01T00:00:00"/>
    <s v="C4"/>
    <s v="4.Plan de pagos"/>
    <n v="965900"/>
    <n v="96600"/>
    <n v="0"/>
    <n v="0"/>
    <n v="0"/>
    <n v="0"/>
    <n v="0"/>
    <n v="0"/>
    <n v="0"/>
    <n v="0"/>
    <n v="8000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0"/>
    <n v="72432"/>
    <n v="0.7498136645962733"/>
    <n v="-24168"/>
    <n v="-0.2501863354037267"/>
    <n v="893468"/>
    <n v="0.92501087069054766"/>
    <n v="96600"/>
    <m/>
    <s v="Vendido"/>
    <x v="0"/>
    <n v="22"/>
    <n v="1"/>
    <n v="23"/>
    <n v="4027"/>
    <n v="16"/>
  </r>
  <r>
    <n v="420"/>
    <s v="Antonio Rada"/>
    <s v="Rodriga Virginia Figueroa Perez"/>
    <d v="2024-07-17T00:00:00"/>
    <s v="C1"/>
    <s v="4.Plan de pagos"/>
    <n v="1166800"/>
    <n v="116700"/>
    <n v="0"/>
    <n v="0"/>
    <n v="0"/>
    <n v="0"/>
    <n v="0"/>
    <n v="0"/>
    <n v="0"/>
    <n v="0"/>
    <n v="0"/>
    <n v="0"/>
    <n v="0"/>
    <n v="0"/>
    <n v="0"/>
    <n v="0"/>
    <n v="0"/>
    <n v="0"/>
    <n v="10000"/>
    <n v="6276"/>
    <n v="6276"/>
    <n v="6276"/>
    <n v="6276"/>
    <n v="6276"/>
    <n v="6276"/>
    <n v="6276"/>
    <n v="6276"/>
    <n v="6276"/>
    <n v="66484"/>
    <n v="0.5697000856898029"/>
    <n v="-50216"/>
    <n v="-0.4302999143101971"/>
    <n v="1100316"/>
    <n v="0.94302022625985604"/>
    <n v="116700"/>
    <m/>
    <s v="Vendido"/>
    <x v="0"/>
    <n v="17"/>
    <n v="1"/>
    <n v="18"/>
    <n v="6276"/>
    <n v="9"/>
  </r>
  <r>
    <n v="501"/>
    <s v="Sofia Paredes"/>
    <s v="Erick Guillermo Ruano Garcia"/>
    <d v="2025-01-24T00:00:00"/>
    <s v="E9"/>
    <s v="4.Plan de pagos"/>
    <n v="1502549.44216114"/>
    <n v="150349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772"/>
    <n v="8772"/>
    <n v="0"/>
    <n v="27544"/>
    <n v="0.18319988421639616"/>
    <n v="-122805.44"/>
    <n v="-0.8168001157836039"/>
    <n v="1475005.44216114"/>
    <n v="0.98166849008284007"/>
    <n v="150349.44"/>
    <m/>
    <s v="Vendido"/>
    <x v="0"/>
    <m/>
    <n v="0"/>
    <n v="0"/>
    <m/>
    <n v="23"/>
  </r>
  <r>
    <n v="502"/>
    <m/>
    <m/>
    <m/>
    <s v="E10"/>
    <s v="1.Disponible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9194.3266091"/>
    <n v="1"/>
    <n v="0"/>
    <m/>
    <s v="Apartamento Disponible"/>
    <x v="1"/>
    <m/>
    <n v="0"/>
    <n v="0"/>
    <m/>
    <n v="26"/>
  </r>
  <r>
    <n v="503"/>
    <s v="Antonio Rada"/>
    <s v="Rubidia Ines Gonzalez Anzueto"/>
    <d v="2024-09-30T00:00:00"/>
    <s v="B4"/>
    <s v="4.Plan de pagos"/>
    <n v="1036610"/>
    <n v="103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0"/>
    <n v="6447"/>
    <n v="6447"/>
    <n v="6447"/>
    <n v="0"/>
    <n v="0"/>
    <n v="0"/>
    <n v="0"/>
    <n v="26341"/>
    <n v="0.25398707935589626"/>
    <n v="-77369"/>
    <n v="-0.74601292064410374"/>
    <n v="1010269"/>
    <n v="0.97458928623108021"/>
    <n v="103710"/>
    <m/>
    <s v="Vendido"/>
    <x v="0"/>
    <n v="15"/>
    <n v="1"/>
    <n v="16"/>
    <n v="6447"/>
    <n v="3"/>
  </r>
  <r>
    <n v="504"/>
    <s v="Antonio Rada"/>
    <s v="Luis Josue Cordon Miranda"/>
    <d v="2024-05-08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0"/>
    <n v="8000"/>
    <n v="4253"/>
    <n v="4253"/>
    <n v="4253"/>
    <n v="0"/>
    <n v="0"/>
    <n v="0"/>
    <n v="0"/>
    <n v="0"/>
    <n v="0"/>
    <n v="0"/>
    <n v="0"/>
    <n v="20759"/>
    <n v="0.23377252252252254"/>
    <n v="-68041"/>
    <n v="-0.76622747747747744"/>
    <n v="866641"/>
    <n v="0.97660694162722561"/>
    <n v="88800"/>
    <m/>
    <s v="Vendido"/>
    <x v="0"/>
    <n v="16"/>
    <n v="1"/>
    <n v="17"/>
    <n v="4253"/>
    <n v="3"/>
  </r>
  <r>
    <n v="505"/>
    <s v="Antonio Rada"/>
    <s v="Nancy Eugenia Cisneros Sanchez De Davila"/>
    <d v="2024-07-30T00:00:00"/>
    <s v="D9"/>
    <s v="4.Plan de pagos"/>
    <n v="1399667"/>
    <n v="139967"/>
    <n v="0"/>
    <n v="0"/>
    <n v="0"/>
    <n v="0"/>
    <n v="0"/>
    <n v="0"/>
    <n v="0"/>
    <n v="0"/>
    <n v="0"/>
    <n v="0"/>
    <n v="0"/>
    <n v="0"/>
    <n v="0"/>
    <n v="0"/>
    <n v="0"/>
    <n v="0"/>
    <n v="10000"/>
    <n v="7645"/>
    <n v="7645"/>
    <n v="7645"/>
    <n v="7645"/>
    <n v="7645"/>
    <n v="7645"/>
    <n v="7645"/>
    <n v="7645"/>
    <n v="0"/>
    <n v="71160"/>
    <n v="0.50840555273743093"/>
    <n v="-68807"/>
    <n v="-0.49159444726256901"/>
    <n v="1328507"/>
    <n v="0.94915933575629063"/>
    <n v="139967"/>
    <m/>
    <s v="Vendido"/>
    <x v="0"/>
    <n v="17"/>
    <n v="1"/>
    <n v="18"/>
    <n v="7645"/>
    <n v="8"/>
  </r>
  <r>
    <n v="506"/>
    <s v="Antonio Rada"/>
    <s v="Carlos Eduardo Miranda Y Nancy Patricia Medina"/>
    <d v="2024-05-10T00:00:00"/>
    <s v="D8"/>
    <s v="4.Plan de pagos"/>
    <n v="1379595"/>
    <n v="138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9140"/>
    <n v="9140"/>
    <n v="0"/>
    <n v="18280"/>
    <n v="9140"/>
    <n v="0"/>
    <n v="55700"/>
    <n v="0.40189040008658322"/>
    <n v="-82895"/>
    <n v="-0.59810959991341683"/>
    <n v="1323895"/>
    <n v="0.95962583221887587"/>
    <n v="138595"/>
    <m/>
    <s v="Vendido"/>
    <x v="0"/>
    <m/>
    <n v="0"/>
    <n v="0"/>
    <m/>
    <n v="21"/>
  </r>
  <r>
    <n v="507"/>
    <s v="Antonio Rada"/>
    <s v="Osmin Otoniel Oliva Córdova"/>
    <d v="2023-08-17T00:00:00"/>
    <s v="A12"/>
    <s v="4.Plan de pagos"/>
    <n v="722900"/>
    <n v="72300"/>
    <n v="0"/>
    <n v="0"/>
    <n v="0"/>
    <n v="0"/>
    <n v="0"/>
    <n v="6000"/>
    <n v="2652"/>
    <n v="2652"/>
    <n v="2652"/>
    <n v="10252"/>
    <n v="0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63988"/>
    <n v="0.88503457814661135"/>
    <n v="-8312"/>
    <n v="-0.11496542185338866"/>
    <n v="658912"/>
    <n v="0.91148429934984088"/>
    <n v="72300"/>
    <m/>
    <s v="Vendido"/>
    <x v="0"/>
    <n v="25"/>
    <n v="1"/>
    <n v="26"/>
    <n v="2652"/>
    <n v="18"/>
  </r>
  <r>
    <n v="508"/>
    <s v="Antonio Rada"/>
    <s v="Evelyn Aida Samayoa San Jose"/>
    <d v="2024-04-12T00:00:00"/>
    <s v="C6"/>
    <s v="4.Plan de pagos"/>
    <n v="1183693"/>
    <n v="118393"/>
    <n v="0"/>
    <n v="0"/>
    <n v="0"/>
    <n v="0"/>
    <n v="0"/>
    <n v="0"/>
    <n v="0"/>
    <n v="0"/>
    <n v="0"/>
    <n v="0"/>
    <n v="0"/>
    <n v="0"/>
    <n v="0"/>
    <n v="8000"/>
    <n v="6500"/>
    <n v="6500"/>
    <n v="6500"/>
    <n v="6500"/>
    <n v="13000"/>
    <n v="0"/>
    <n v="6500"/>
    <n v="13000"/>
    <n v="0"/>
    <n v="6500"/>
    <n v="6500"/>
    <n v="6500"/>
    <n v="86000"/>
    <n v="0.72639429696012436"/>
    <n v="-32393"/>
    <n v="-0.27360570303987569"/>
    <n v="1097693"/>
    <n v="0.92734602637677166"/>
    <n v="118393"/>
    <m/>
    <s v="Vendido"/>
    <x v="0"/>
    <n v="17"/>
    <n v="1"/>
    <n v="18"/>
    <n v="6494"/>
    <n v="0"/>
  </r>
  <r>
    <n v="509"/>
    <s v="Antonio Rada"/>
    <s v="Anabella Alburez Aja"/>
    <d v="2024-06-30T00:00:00"/>
    <s v="C5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0"/>
    <n v="10000"/>
    <n v="0"/>
    <n v="6009"/>
    <n v="6009"/>
    <n v="0"/>
    <n v="6009"/>
    <n v="12018"/>
    <n v="12018"/>
    <n v="0"/>
    <n v="6009"/>
    <n v="0"/>
    <n v="58072"/>
    <n v="0.49146295536194107"/>
    <n v="-60089.5"/>
    <n v="-0.50853704463805893"/>
    <n v="1123489.5"/>
    <n v="0.95085147916549417"/>
    <n v="118161.5"/>
    <m/>
    <s v="Vendido"/>
    <x v="0"/>
    <n v="18"/>
    <n v="1"/>
    <n v="19"/>
    <n v="6009"/>
    <n v="4"/>
  </r>
  <r>
    <n v="510"/>
    <s v="Antonio Rada"/>
    <s v="Francis Ayleen Funes Castellanos"/>
    <d v="2024-03-01T00:00:00"/>
    <s v="C6"/>
    <s v="4.Plan de pagos"/>
    <n v="1183693"/>
    <n v="118393"/>
    <n v="0"/>
    <n v="0"/>
    <n v="0"/>
    <n v="0"/>
    <n v="0"/>
    <n v="0"/>
    <n v="0"/>
    <n v="0"/>
    <n v="0"/>
    <n v="0"/>
    <n v="0"/>
    <n v="0"/>
    <n v="8000"/>
    <n v="6133"/>
    <n v="6133"/>
    <n v="6133"/>
    <n v="6133"/>
    <n v="6133"/>
    <n v="6133"/>
    <n v="6133"/>
    <n v="6133.33"/>
    <n v="6133.33"/>
    <n v="6133.33"/>
    <n v="6133.33"/>
    <n v="6133.33"/>
    <n v="0"/>
    <n v="81597.650000000009"/>
    <n v="0.68921008843428255"/>
    <n v="-36795.349999999991"/>
    <n v="-0.3107899115657175"/>
    <n v="1102095.3500000001"/>
    <n v="0.93106519173468127"/>
    <n v="118393"/>
    <m/>
    <s v="Vendido"/>
    <x v="0"/>
    <n v="18"/>
    <n v="1"/>
    <n v="19"/>
    <n v="6133"/>
    <n v="7"/>
  </r>
  <r>
    <n v="511"/>
    <s v="Antonio Rada"/>
    <s v="Hugo Leonel Roca Morales"/>
    <d v="2024-06-27T00:00:00"/>
    <s v="C5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0"/>
    <n v="5000"/>
    <n v="15000"/>
    <n v="6009"/>
    <n v="16009"/>
    <n v="6009"/>
    <n v="10000"/>
    <n v="0"/>
    <n v="25000"/>
    <n v="7500"/>
    <n v="10000"/>
    <n v="0"/>
    <n v="100527"/>
    <n v="0.85075934208688953"/>
    <n v="-17634.5"/>
    <n v="-0.14924065791311045"/>
    <n v="1081034.5"/>
    <n v="0.91492021363255316"/>
    <n v="118161.5"/>
    <m/>
    <s v="Vendido"/>
    <x v="0"/>
    <n v="18"/>
    <n v="1"/>
    <n v="19"/>
    <n v="6009"/>
    <n v="2"/>
  </r>
  <r>
    <n v="512"/>
    <s v="Antonio Rada"/>
    <s v="Oscar Antonio Gonzalez Hurtarte"/>
    <d v="2023-07-18T00:00:00"/>
    <s v="A8"/>
    <s v="4.Plan de pagos"/>
    <n v="703500"/>
    <n v="70400"/>
    <n v="0"/>
    <n v="0"/>
    <n v="0"/>
    <n v="0"/>
    <n v="6000"/>
    <n v="2477"/>
    <n v="2477"/>
    <n v="2477"/>
    <n v="2477"/>
    <n v="0"/>
    <n v="4954"/>
    <n v="2477"/>
    <n v="2477"/>
    <n v="2477"/>
    <n v="2477"/>
    <n v="2477"/>
    <n v="2477"/>
    <n v="2477"/>
    <n v="0"/>
    <n v="2477"/>
    <n v="2477"/>
    <n v="0"/>
    <n v="0"/>
    <n v="9908"/>
    <n v="0"/>
    <n v="0"/>
    <n v="53063"/>
    <n v="0.7537357954545455"/>
    <n v="-17337"/>
    <n v="-0.24626420454545456"/>
    <n v="650437"/>
    <n v="0.92457285003553658"/>
    <n v="70400"/>
    <m/>
    <s v="Vendido"/>
    <x v="0"/>
    <n v="26"/>
    <n v="1"/>
    <n v="27"/>
    <n v="2477"/>
    <n v="13"/>
  </r>
  <r>
    <n v="513"/>
    <s v="Antonio Rada"/>
    <s v="Maria Fernanda Cabrera Valdez"/>
    <d v="2023-07-16T00:00:00"/>
    <s v="A2"/>
    <s v="4.Plan de pagos"/>
    <n v="687500"/>
    <n v="68800"/>
    <n v="0"/>
    <n v="0"/>
    <n v="0"/>
    <n v="0"/>
    <n v="6000"/>
    <n v="0"/>
    <n v="7245"/>
    <n v="2415"/>
    <n v="0"/>
    <n v="0"/>
    <n v="4830"/>
    <n v="2415"/>
    <n v="0"/>
    <n v="7245"/>
    <n v="2415"/>
    <n v="0"/>
    <n v="4830"/>
    <n v="0"/>
    <n v="4830"/>
    <n v="2415"/>
    <n v="2415"/>
    <n v="2415"/>
    <n v="2415"/>
    <n v="2415"/>
    <n v="0"/>
    <n v="2415"/>
    <n v="56715"/>
    <n v="0.82434593023255809"/>
    <n v="-12085"/>
    <n v="-0.17565406976744186"/>
    <n v="630785"/>
    <n v="0.91750545454545451"/>
    <n v="68800"/>
    <m/>
    <s v="Vendido"/>
    <x v="0"/>
    <n v="26"/>
    <n v="1"/>
    <n v="27"/>
    <n v="2415"/>
    <n v="9"/>
  </r>
  <r>
    <n v="514"/>
    <s v="Antonio Rada"/>
    <s v="Danya Maribel Callejas Hernandez De Herrera"/>
    <d v="2025-03-25T00:00:00"/>
    <s v="E5"/>
    <s v="2. Reserva"/>
    <n v="1535078.4052580199"/>
    <n v="153507.84052580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6.5143252395106002E-2"/>
    <n v="-143507.84052580199"/>
    <n v="-0.93485674760489401"/>
    <n v="1525078.4052580199"/>
    <n v="0.99348567476048943"/>
    <n v="153507.84052580199"/>
    <m/>
    <s v="Vendido"/>
    <x v="0"/>
    <m/>
    <n v="0"/>
    <n v="0"/>
    <m/>
    <n v="25"/>
  </r>
  <r>
    <n v="515"/>
    <s v="Jose Franco"/>
    <s v="Ingrid Vanessa Granados Barneond"/>
    <d v="2023-03-27T00:00:00"/>
    <s v="A5"/>
    <s v="4.Plan de pagos"/>
    <n v="611949.49679780402"/>
    <n v="61249.5"/>
    <n v="7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0"/>
    <n v="45250"/>
    <n v="0.73878154107380467"/>
    <n v="-15999.5"/>
    <n v="-0.26121845892619533"/>
    <n v="566699.49679780402"/>
    <n v="0.92605598952726786"/>
    <n v="61249.5"/>
    <m/>
    <s v="Vendido"/>
    <x v="0"/>
    <n v="35"/>
    <n v="1"/>
    <n v="36"/>
    <n v="1570"/>
    <n v="24"/>
  </r>
  <r>
    <n v="516"/>
    <s v="Diana Alvarez"/>
    <s v="José Javier Sarceño Alfaro Y María Rosana Rivera Gallardo"/>
    <d v="2024-09-22T00:00:00"/>
    <s v="B4"/>
    <s v="4.Plan de pagos"/>
    <n v="1036610"/>
    <n v="103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247"/>
    <n v="6247"/>
    <n v="6247"/>
    <n v="6247"/>
    <n v="6247"/>
    <n v="6247"/>
    <n v="0"/>
    <n v="47482"/>
    <n v="0.45783434577186383"/>
    <n v="-56228"/>
    <n v="-0.54216565422813612"/>
    <n v="989128"/>
    <n v="0.95419492383828053"/>
    <n v="103710"/>
    <m/>
    <s v="Vendido"/>
    <x v="0"/>
    <n v="15"/>
    <n v="1"/>
    <n v="16"/>
    <n v="6247"/>
    <n v="6"/>
  </r>
  <r>
    <n v="517"/>
    <s v="Antonio Rada"/>
    <s v="Jorge Estuardo Diaz Duran Baldetti"/>
    <d v="2024-05-13T00:00:00"/>
    <s v="B3"/>
    <s v="4.Plan de pagos"/>
    <n v="871162.12"/>
    <n v="87162.12"/>
    <n v="0"/>
    <n v="0"/>
    <n v="0"/>
    <n v="0"/>
    <n v="0"/>
    <n v="0"/>
    <n v="0"/>
    <n v="0"/>
    <n v="0"/>
    <n v="0"/>
    <n v="0"/>
    <n v="0"/>
    <n v="0"/>
    <n v="0"/>
    <n v="8000"/>
    <n v="4040"/>
    <n v="4166"/>
    <n v="4166"/>
    <n v="4166"/>
    <n v="4166"/>
    <n v="8332"/>
    <n v="4166"/>
    <n v="0"/>
    <n v="4166"/>
    <n v="4166"/>
    <n v="4166"/>
    <n v="53700"/>
    <n v="0.6160933212730485"/>
    <n v="-33462.119999999995"/>
    <n v="-0.38390667872695156"/>
    <n v="817462.12"/>
    <n v="0.93835820134144488"/>
    <n v="87162.12"/>
    <m/>
    <s v="Vendido"/>
    <x v="0"/>
    <n v="16"/>
    <n v="1"/>
    <n v="17"/>
    <n v="4166"/>
    <n v="8"/>
  </r>
  <r>
    <n v="518"/>
    <s v="Diana Alvarez"/>
    <s v="Karla Denisse Ariana Méndez Contreras"/>
    <d v="2024-10-29T00:00:00"/>
    <s v="E9"/>
    <s v="4.Plan de pagos"/>
    <n v="1502549.44"/>
    <n v="150549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35000"/>
    <n v="0"/>
    <n v="35000"/>
    <n v="0"/>
    <n v="0"/>
    <n v="80000"/>
    <n v="0.53138689854973886"/>
    <n v="-70549.440000000002"/>
    <n v="-0.46861310145026114"/>
    <n v="1422549.44"/>
    <n v="0.94675715961798901"/>
    <n v="150549.44"/>
    <m/>
    <s v="Vendido"/>
    <x v="0"/>
    <m/>
    <n v="0"/>
    <n v="0"/>
    <m/>
    <n v="23"/>
  </r>
  <r>
    <n v="519"/>
    <m/>
    <m/>
    <m/>
    <s v="E10"/>
    <s v="1.Disponible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9194.3266091"/>
    <n v="1"/>
    <n v="0"/>
    <m/>
    <s v="Apartamento Disponible"/>
    <x v="1"/>
    <m/>
    <n v="0"/>
    <n v="0"/>
    <m/>
    <n v="26"/>
  </r>
  <r>
    <n v="601"/>
    <s v="Diana Alvarez"/>
    <s v="Cedric Amilcar Rivera Fajardo"/>
    <d v="2024-10-15T00:00:00"/>
    <s v="E9"/>
    <s v="4.Plan de pagos"/>
    <n v="1477912.8"/>
    <n v="147912.7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50000"/>
    <n v="10000"/>
    <n v="10000"/>
    <n v="10000"/>
    <n v="0"/>
    <n v="100000"/>
    <n v="0.67607401117415133"/>
    <n v="-47912.799999999988"/>
    <n v="-0.32392598882584867"/>
    <n v="1377912.8"/>
    <n v="0.93233700932829056"/>
    <n v="147912.79999999999"/>
    <m/>
    <s v="Vendido"/>
    <x v="0"/>
    <m/>
    <n v="0"/>
    <n v="0"/>
    <m/>
    <n v="20"/>
  </r>
  <r>
    <n v="602"/>
    <s v="Antonio Rada"/>
    <s v="Luis Fernando Santos Castillo"/>
    <d v="2024-11-14T00:00:00"/>
    <s v="E10"/>
    <s v="2. Reserva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5000"/>
    <n v="3.2696956253344275E-2"/>
    <n v="-147919.43266091001"/>
    <n v="-0.96730304374665577"/>
    <n v="1524194.3266091"/>
    <n v="0.99673030437466559"/>
    <n v="152919.43266091001"/>
    <m/>
    <s v="Vendido"/>
    <x v="0"/>
    <m/>
    <n v="0"/>
    <n v="0"/>
    <m/>
    <n v="25"/>
  </r>
  <r>
    <n v="603"/>
    <s v="Antonio Rada"/>
    <s v="Mario José Márquez Rivera / Belteton Castellanos Iveth"/>
    <d v="2024-04-02T00:00:00"/>
    <s v="B4"/>
    <s v="4.Plan de pagos"/>
    <n v="901400"/>
    <n v="90200"/>
    <n v="0"/>
    <n v="0"/>
    <n v="0"/>
    <n v="0"/>
    <n v="0"/>
    <n v="0"/>
    <n v="0"/>
    <n v="0"/>
    <n v="0"/>
    <n v="0"/>
    <n v="0"/>
    <n v="0"/>
    <n v="0"/>
    <n v="8000"/>
    <n v="4835"/>
    <n v="4835"/>
    <n v="4835"/>
    <n v="4835"/>
    <n v="4835"/>
    <n v="4835"/>
    <n v="4835"/>
    <n v="4835"/>
    <n v="4835"/>
    <n v="0"/>
    <n v="9670"/>
    <n v="0"/>
    <n v="61185"/>
    <n v="0.67832594235033261"/>
    <n v="-29015"/>
    <n v="-0.32167405764966739"/>
    <n v="840215"/>
    <n v="0.93212225427113382"/>
    <n v="90200"/>
    <m/>
    <s v="Vendido"/>
    <x v="0"/>
    <n v="17"/>
    <n v="1"/>
    <n v="18"/>
    <n v="4835"/>
    <n v="9"/>
  </r>
  <r>
    <n v="604"/>
    <s v="Antonio Rada"/>
    <s v="Juan Sebastian Gaitán Serrano"/>
    <d v="2024-04-29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4753"/>
    <n v="4753"/>
    <n v="4753"/>
    <n v="4753"/>
    <n v="4753"/>
    <n v="4753"/>
    <n v="4753"/>
    <n v="4753"/>
    <n v="4753"/>
    <n v="4753"/>
    <n v="4753"/>
    <n v="0"/>
    <n v="60283"/>
    <n v="0.6788626126126126"/>
    <n v="-28517"/>
    <n v="-0.3211373873873874"/>
    <n v="827117"/>
    <n v="0.93206783862970477"/>
    <n v="88800"/>
    <m/>
    <s v="Vendido"/>
    <x v="0"/>
    <n v="17"/>
    <n v="1"/>
    <n v="18"/>
    <n v="4753"/>
    <n v="11"/>
  </r>
  <r>
    <n v="605"/>
    <s v="Antonio Rada"/>
    <s v="Mirna Maria Rosas Guerra"/>
    <d v="2024-09-18T00:00:00"/>
    <s v="D9"/>
    <s v="4.Plan de pagos"/>
    <n v="1373505"/>
    <n v="13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494"/>
    <n v="8494"/>
    <n v="8494"/>
    <n v="8494"/>
    <n v="8494"/>
    <n v="8494"/>
    <n v="0"/>
    <n v="60964"/>
    <n v="0.44368108875222884"/>
    <n v="-76441"/>
    <n v="-0.55631891124777122"/>
    <n v="1312541"/>
    <n v="0.95561428607831789"/>
    <n v="137405"/>
    <m/>
    <s v="Vendido"/>
    <x v="0"/>
    <n v="15"/>
    <n v="1"/>
    <n v="16"/>
    <n v="8494"/>
    <n v="6"/>
  </r>
  <r>
    <n v="606"/>
    <s v="Antonio Rada"/>
    <s v="Mar Frandi Solly Gramajo Hernandez De Calderon"/>
    <d v="2024-08-29T00:00:00"/>
    <s v="D8"/>
    <s v="4.Plan de pagos"/>
    <n v="1379595"/>
    <n v="137995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000"/>
    <n v="8000"/>
    <n v="8000"/>
    <n v="8000"/>
    <n v="8000"/>
    <n v="8000"/>
    <n v="8000"/>
    <n v="0"/>
    <n v="66000"/>
    <n v="0.47827819848545239"/>
    <n v="-71995"/>
    <n v="-0.52172180151454761"/>
    <n v="1313595"/>
    <n v="0.9521598730062083"/>
    <n v="137995"/>
    <m/>
    <s v="Vendido"/>
    <x v="0"/>
    <n v="16"/>
    <n v="1"/>
    <n v="17"/>
    <n v="8000"/>
    <n v="7"/>
  </r>
  <r>
    <n v="607"/>
    <s v="Antonio Rada"/>
    <s v="Billy Hasse Orellana Serrano"/>
    <d v="2023-08-14T00:00:00"/>
    <s v="A12"/>
    <s v="4.Plan de pagos"/>
    <n v="722900"/>
    <n v="72300"/>
    <n v="0"/>
    <n v="0"/>
    <n v="0"/>
    <n v="0"/>
    <n v="0"/>
    <n v="6000"/>
    <n v="2652"/>
    <n v="2652"/>
    <n v="2652"/>
    <n v="2652"/>
    <n v="2652"/>
    <n v="2652"/>
    <n v="2652"/>
    <n v="2652"/>
    <n v="2652"/>
    <n v="0"/>
    <n v="5304"/>
    <n v="2652"/>
    <n v="0"/>
    <n v="2652"/>
    <n v="0"/>
    <n v="0"/>
    <n v="0"/>
    <n v="0"/>
    <n v="0"/>
    <n v="0"/>
    <n v="40476"/>
    <n v="0.55983402489626555"/>
    <n v="-31824"/>
    <n v="-0.44016597510373445"/>
    <n v="682424"/>
    <n v="0.94400885323004569"/>
    <n v="72300"/>
    <m/>
    <s v="Vendido"/>
    <x v="0"/>
    <n v="25"/>
    <n v="1"/>
    <n v="26"/>
    <n v="2652"/>
    <n v="11"/>
  </r>
  <r>
    <n v="608"/>
    <s v="Antonio Rada"/>
    <s v="Alfonso Videche Rodriguez"/>
    <d v="2024-02-02T00:00:00"/>
    <s v="C6"/>
    <s v="4.Plan de pagos"/>
    <n v="1183693"/>
    <n v="118393"/>
    <n v="0"/>
    <n v="0"/>
    <n v="0"/>
    <n v="0"/>
    <n v="0"/>
    <n v="0"/>
    <n v="0"/>
    <n v="0"/>
    <n v="0"/>
    <n v="0"/>
    <n v="0"/>
    <n v="12000"/>
    <n v="0"/>
    <n v="15000"/>
    <n v="0"/>
    <n v="0"/>
    <n v="0"/>
    <n v="19000"/>
    <n v="0"/>
    <n v="0"/>
    <n v="0"/>
    <n v="0"/>
    <n v="0"/>
    <n v="0"/>
    <n v="0"/>
    <n v="0"/>
    <n v="46000"/>
    <n v="0.38853648442053162"/>
    <n v="-72393"/>
    <n v="-0.61146351557946843"/>
    <n v="1137693"/>
    <n v="0.96113857224804067"/>
    <n v="118393"/>
    <m/>
    <s v="Vendido"/>
    <x v="0"/>
    <n v="6"/>
    <n v="1"/>
    <n v="7"/>
    <n v="19000"/>
    <n v="1"/>
  </r>
  <r>
    <n v="609"/>
    <s v="Antonio Rada"/>
    <s v="Luis Augusto Franco Lopez"/>
    <d v="2024-05-22T00:00:00"/>
    <s v="C5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10000"/>
    <n v="5693"/>
    <n v="5693"/>
    <n v="5693"/>
    <n v="11386"/>
    <n v="0"/>
    <n v="5693"/>
    <n v="5693"/>
    <n v="5693"/>
    <n v="5693"/>
    <n v="5693"/>
    <n v="5693"/>
    <n v="72623"/>
    <n v="0.61460797298612491"/>
    <n v="-45538.5"/>
    <n v="-0.38539202701387509"/>
    <n v="1108938.5"/>
    <n v="0.93853641981394964"/>
    <n v="118161.5"/>
    <m/>
    <s v="Vendido"/>
    <x v="0"/>
    <n v="16"/>
    <n v="1"/>
    <n v="17"/>
    <n v="5693"/>
    <n v="9"/>
  </r>
  <r>
    <n v="610"/>
    <s v="Antonio Rada"/>
    <s v="Andrea Nathalia Molina Mendez De Velasqeuz"/>
    <d v="2024-02-29T00:00:00"/>
    <s v="C6"/>
    <s v="4.Plan de pagos"/>
    <n v="1183693"/>
    <n v="118393"/>
    <n v="0"/>
    <n v="0"/>
    <n v="0"/>
    <n v="0"/>
    <n v="0"/>
    <n v="0"/>
    <n v="0"/>
    <n v="0"/>
    <n v="0"/>
    <n v="0"/>
    <n v="0"/>
    <n v="8000"/>
    <n v="5810"/>
    <n v="5810"/>
    <n v="5810"/>
    <n v="5810"/>
    <n v="5810"/>
    <n v="5810"/>
    <n v="5810"/>
    <n v="5810"/>
    <n v="5810"/>
    <n v="5810"/>
    <n v="5810"/>
    <n v="5810"/>
    <n v="5810"/>
    <n v="0"/>
    <n v="83530"/>
    <n v="0.70553157703580449"/>
    <n v="-34863"/>
    <n v="-0.29446842296419551"/>
    <n v="1100163"/>
    <n v="0.92943271608432254"/>
    <n v="118393"/>
    <m/>
    <s v="Vendido"/>
    <x v="0"/>
    <n v="19"/>
    <n v="1"/>
    <n v="20"/>
    <n v="5810"/>
    <n v="13"/>
  </r>
  <r>
    <n v="611"/>
    <s v="Antonio Rada"/>
    <s v="Kenny Estuardo Garay Carias"/>
    <d v="2025-02-27T00:00:00"/>
    <s v="C5"/>
    <s v="2. Reserva"/>
    <n v="1381446.6987563099"/>
    <n v="138144.66987563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0"/>
    <n v="20000"/>
    <n v="0.14477576310403881"/>
    <n v="-118144.66987563099"/>
    <n v="-0.85522423689596117"/>
    <n v="1361446.6987563099"/>
    <n v="0.98552242368959608"/>
    <n v="138144.66987563099"/>
    <m/>
    <s v="Vendido"/>
    <x v="0"/>
    <m/>
    <n v="0"/>
    <n v="0"/>
    <m/>
    <n v="24"/>
  </r>
  <r>
    <n v="612"/>
    <s v="Antonio Rada"/>
    <s v="Diego Jose Ortiz Cordero"/>
    <d v="2023-07-19T00:00:00"/>
    <s v="A8"/>
    <s v="4.Plan de pagos"/>
    <n v="703500"/>
    <n v="70400"/>
    <n v="0"/>
    <n v="0"/>
    <n v="0"/>
    <n v="0"/>
    <n v="6000"/>
    <n v="2477"/>
    <n v="2477"/>
    <n v="2477"/>
    <n v="2477"/>
    <n v="2477"/>
    <n v="2477"/>
    <n v="2477"/>
    <n v="2477"/>
    <n v="2477"/>
    <n v="2477"/>
    <n v="2477"/>
    <n v="2477"/>
    <n v="2477"/>
    <n v="0"/>
    <n v="2477"/>
    <n v="2477"/>
    <n v="2477"/>
    <n v="2477"/>
    <n v="0"/>
    <n v="0"/>
    <n v="0"/>
    <n v="48109"/>
    <n v="0.68336647727272726"/>
    <n v="-22291"/>
    <n v="-0.31663352272727274"/>
    <n v="655391"/>
    <n v="0.93161478322672353"/>
    <n v="70400"/>
    <m/>
    <s v="Vendido"/>
    <x v="0"/>
    <n v="26"/>
    <n v="1"/>
    <n v="27"/>
    <n v="2477"/>
    <n v="17"/>
  </r>
  <r>
    <n v="613"/>
    <s v="Antonio Rada"/>
    <s v="Sergio Oswaldo Velasquez Moreno"/>
    <d v="2023-07-19T00:00:00"/>
    <s v="A2"/>
    <s v="4.Plan de pagos"/>
    <n v="687500"/>
    <n v="68800"/>
    <n v="0"/>
    <n v="0"/>
    <n v="0"/>
    <n v="0"/>
    <n v="6000"/>
    <n v="2415"/>
    <n v="2415"/>
    <n v="2415"/>
    <n v="2415"/>
    <n v="2415"/>
    <n v="2415"/>
    <n v="2415"/>
    <n v="2425"/>
    <n v="2415"/>
    <n v="2415"/>
    <n v="2415"/>
    <n v="2415"/>
    <n v="2415"/>
    <n v="2415"/>
    <n v="2415"/>
    <n v="0"/>
    <n v="2415"/>
    <n v="2415"/>
    <n v="2415"/>
    <n v="2415"/>
    <n v="0"/>
    <n v="51895"/>
    <n v="0.75428779069767438"/>
    <n v="-16905"/>
    <n v="-0.24571220930232557"/>
    <n v="635605"/>
    <n v="0.92451636363636369"/>
    <n v="68800"/>
    <m/>
    <s v="Vendido"/>
    <x v="0"/>
    <n v="26"/>
    <n v="1"/>
    <n v="27"/>
    <n v="2415"/>
    <n v="18"/>
  </r>
  <r>
    <n v="614"/>
    <s v="Diana Alvarez"/>
    <s v="Marco Vinicio Vasque"/>
    <d v="2024-10-15T00:00:00"/>
    <s v="E5"/>
    <s v="4.Plan de pagos"/>
    <n v="1509908.4"/>
    <n v="15190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5000"/>
    <n v="0"/>
    <n v="0"/>
    <n v="0"/>
    <n v="0"/>
    <n v="0"/>
    <n v="10000"/>
    <n v="6.5829144405444337E-2"/>
    <n v="-141908.4"/>
    <n v="-0.9341708555945557"/>
    <n v="1499908.4"/>
    <n v="0.99337708168257099"/>
    <n v="151908.4"/>
    <m/>
    <s v="Vendido"/>
    <x v="0"/>
    <m/>
    <n v="0"/>
    <n v="0"/>
    <m/>
    <n v="24"/>
  </r>
  <r>
    <n v="615"/>
    <s v="Antonio Rada"/>
    <s v="Maria De Los Angeles España Cordon"/>
    <d v="2023-04-24T00:00:00"/>
    <s v="A5"/>
    <s v="4.Plan de pagos"/>
    <n v="611950.009005"/>
    <n v="61250.01"/>
    <n v="0"/>
    <n v="6500"/>
    <n v="0"/>
    <n v="0"/>
    <n v="0"/>
    <n v="0"/>
    <n v="0"/>
    <n v="0"/>
    <n v="0"/>
    <n v="0"/>
    <n v="1500"/>
    <n v="1500"/>
    <n v="3000"/>
    <n v="0"/>
    <n v="1500"/>
    <n v="0"/>
    <n v="0"/>
    <n v="0"/>
    <n v="0"/>
    <n v="0"/>
    <n v="0"/>
    <n v="0"/>
    <n v="0"/>
    <n v="0"/>
    <n v="0"/>
    <n v="0"/>
    <n v="14000"/>
    <n v="0.22857139125365039"/>
    <n v="-47250.01"/>
    <n v="-0.77142860874634955"/>
    <n v="597950.009005"/>
    <n v="0.97712231425118645"/>
    <n v="61250.01"/>
    <m/>
    <s v="Vendido"/>
    <x v="0"/>
    <n v="29"/>
    <n v="1"/>
    <n v="30"/>
    <n v="1000"/>
    <n v="0"/>
  </r>
  <r>
    <n v="616"/>
    <s v="Antonio Rada"/>
    <s v="Edwin Estuardo Acevedo Salguero"/>
    <d v="2024-03-08T00:00:00"/>
    <s v="B4"/>
    <s v="4.Plan de pagos"/>
    <n v="901400"/>
    <n v="90200"/>
    <n v="0"/>
    <n v="0"/>
    <n v="0"/>
    <n v="0"/>
    <n v="0"/>
    <n v="0"/>
    <n v="0"/>
    <n v="0"/>
    <n v="0"/>
    <n v="0"/>
    <n v="0"/>
    <n v="0"/>
    <n v="8000"/>
    <n v="10000"/>
    <n v="0"/>
    <n v="5000"/>
    <n v="5000"/>
    <n v="5000"/>
    <n v="5000"/>
    <n v="5000"/>
    <n v="0"/>
    <n v="10000"/>
    <n v="5000"/>
    <n v="0"/>
    <n v="10000"/>
    <n v="0"/>
    <n v="68000"/>
    <n v="0.75388026607538805"/>
    <n v="-22200"/>
    <n v="-0.24611973392461198"/>
    <n v="833400"/>
    <n v="0.92456179276680717"/>
    <n v="90200"/>
    <m/>
    <s v="Vendido"/>
    <x v="0"/>
    <n v="18"/>
    <n v="1"/>
    <n v="19"/>
    <n v="4567"/>
    <n v="0"/>
  </r>
  <r>
    <n v="617"/>
    <s v="Antonio Rada"/>
    <s v="Hans Christian Beeck Cazali"/>
    <d v="2024-05-07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0"/>
    <n v="12800"/>
    <n v="4000"/>
    <n v="4000"/>
    <n v="4000"/>
    <n v="4000"/>
    <n v="0"/>
    <n v="4000"/>
    <n v="8000"/>
    <n v="0"/>
    <n v="8000"/>
    <n v="4000"/>
    <n v="0"/>
    <n v="52800"/>
    <n v="0.59459459459459463"/>
    <n v="-36000"/>
    <n v="-0.40540540540540543"/>
    <n v="834600"/>
    <n v="0.94050033806626099"/>
    <n v="88800"/>
    <m/>
    <s v="Vendido"/>
    <x v="0"/>
    <n v="16"/>
    <n v="1"/>
    <n v="17"/>
    <n v="4000"/>
    <n v="6"/>
  </r>
  <r>
    <n v="618"/>
    <m/>
    <m/>
    <m/>
    <s v="E9"/>
    <s v="1.Disponible"/>
    <n v="1502549.44216114"/>
    <n v="150254.944216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2549.44216114"/>
    <n v="1"/>
    <n v="0"/>
    <m/>
    <s v="Apartamento Disponible"/>
    <x v="1"/>
    <m/>
    <n v="0"/>
    <n v="0"/>
    <m/>
    <n v="26"/>
  </r>
  <r>
    <n v="619"/>
    <s v="Sofia Paredes"/>
    <s v="José Estuardo Ordoñez Cancinos"/>
    <d v="2025-03-08T00:00:00"/>
    <s v="E10"/>
    <s v="2. Reserva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6.5393912506688551E-2"/>
    <n v="-142919.43266091001"/>
    <n v="-0.93460608749331142"/>
    <n v="1519194.3266091"/>
    <n v="0.99346060874933118"/>
    <n v="152919.43266091001"/>
    <m/>
    <s v="Vendido"/>
    <x v="0"/>
    <m/>
    <n v="0"/>
    <n v="0"/>
    <m/>
    <n v="25"/>
  </r>
  <r>
    <n v="701"/>
    <s v="Antonio Rada"/>
    <s v="Luis Francisco Villatoro Quiroa"/>
    <d v="2023-03-21T00:00:00"/>
    <s v="E9"/>
    <s v="4.Plan de pagos"/>
    <n v="1320300"/>
    <n v="132100"/>
    <n v="6000"/>
    <n v="3700"/>
    <n v="3506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96075"/>
    <n v="0.72728993186979563"/>
    <n v="-36025"/>
    <n v="-0.27271006813020437"/>
    <n v="1224225"/>
    <n v="0.92723244717109743"/>
    <n v="132100"/>
    <m/>
    <s v="Vendido"/>
    <x v="0"/>
    <n v="35"/>
    <n v="1"/>
    <n v="36"/>
    <n v="3603"/>
    <n v="23"/>
  </r>
  <r>
    <n v="702"/>
    <s v="Antonio Rada"/>
    <s v="Wilson Humberto Felix Reyna"/>
    <d v="2023-04-14T00:00:00"/>
    <s v="E10"/>
    <s v="4.Plan de pagos"/>
    <n v="1343800"/>
    <n v="134400"/>
    <n v="0"/>
    <n v="6000"/>
    <n v="4428"/>
    <n v="4428"/>
    <n v="4427"/>
    <n v="4429"/>
    <n v="4428"/>
    <n v="4428"/>
    <n v="4428"/>
    <n v="4428"/>
    <n v="4428"/>
    <n v="4428"/>
    <n v="4428"/>
    <n v="0"/>
    <n v="4428"/>
    <n v="4428"/>
    <n v="4428"/>
    <n v="4428"/>
    <n v="0"/>
    <n v="4428"/>
    <n v="4428"/>
    <n v="4428"/>
    <n v="0"/>
    <n v="4428"/>
    <n v="0"/>
    <n v="4428"/>
    <n v="94560"/>
    <n v="0.70357142857142863"/>
    <n v="-39840"/>
    <n v="-0.29642857142857143"/>
    <n v="1249240"/>
    <n v="0.92963238577169227"/>
    <n v="134400"/>
    <m/>
    <s v="Vendido"/>
    <x v="0"/>
    <n v="29"/>
    <n v="1"/>
    <n v="30"/>
    <n v="4428"/>
    <n v="18"/>
  </r>
  <r>
    <n v="703"/>
    <s v="Antonio Rada"/>
    <s v="Daniel Augusto Santos Aragon"/>
    <d v="2024-03-07T00:00:00"/>
    <s v="B4"/>
    <s v="4.Plan de pagos"/>
    <n v="901400"/>
    <n v="90200"/>
    <n v="0"/>
    <n v="0"/>
    <n v="0"/>
    <n v="0"/>
    <n v="0"/>
    <n v="0"/>
    <n v="0"/>
    <n v="0"/>
    <n v="0"/>
    <n v="0"/>
    <n v="0"/>
    <n v="0"/>
    <n v="8000"/>
    <n v="4567"/>
    <n v="4567"/>
    <n v="4567"/>
    <n v="4567"/>
    <n v="9134"/>
    <n v="4567"/>
    <n v="4567"/>
    <n v="4567"/>
    <n v="0"/>
    <n v="4567"/>
    <n v="4567"/>
    <n v="2000"/>
    <n v="2000"/>
    <n v="62237"/>
    <n v="0.68998891352549885"/>
    <n v="-27963"/>
    <n v="-0.3100110864745011"/>
    <n v="839163"/>
    <n v="0.93095518082982032"/>
    <n v="90200"/>
    <m/>
    <s v="Vendido"/>
    <x v="0"/>
    <n v="18"/>
    <n v="1"/>
    <n v="19"/>
    <n v="4567"/>
    <n v="9"/>
  </r>
  <r>
    <n v="704"/>
    <s v="Antonio Rada"/>
    <s v="Dania Dulcidia Gutierrez Villeda"/>
    <d v="2024-04-15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4753"/>
    <n v="4753"/>
    <n v="4753"/>
    <n v="4753"/>
    <n v="4753"/>
    <n v="9506"/>
    <n v="0"/>
    <n v="9506"/>
    <n v="0"/>
    <n v="9506"/>
    <n v="4753"/>
    <n v="0"/>
    <n v="65036"/>
    <n v="0.7323873873873874"/>
    <n v="-23764"/>
    <n v="-0.2676126126126126"/>
    <n v="822364"/>
    <n v="0.92671174216813157"/>
    <n v="88800"/>
    <m/>
    <s v="Vendido"/>
    <x v="0"/>
    <n v="17"/>
    <n v="1"/>
    <n v="18"/>
    <n v="4753"/>
    <n v="6"/>
  </r>
  <r>
    <n v="705"/>
    <s v="Antonio Rada"/>
    <s v="Ingrid Lisbeth Dubón García De Diaz"/>
    <d v="2025-02-11T00:00:00"/>
    <s v="D9"/>
    <s v="2. Reserva"/>
    <n v="1396401.17573617"/>
    <n v="13970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10000"/>
    <n v="7.1581356721539507E-2"/>
    <n v="-129701.18"/>
    <n v="-0.92841864327846046"/>
    <n v="1386401.17573617"/>
    <n v="0.99283873418773938"/>
    <n v="139701.18"/>
    <m/>
    <s v="Vendido"/>
    <x v="0"/>
    <m/>
    <n v="0"/>
    <n v="0"/>
    <m/>
    <n v="25"/>
  </r>
  <r>
    <n v="706"/>
    <s v="Antonio Rada"/>
    <s v="Edison Gabriel Ramirez Lopez"/>
    <d v="2025-03-12T00:00:00"/>
    <s v="D8"/>
    <s v="2. Reserva"/>
    <n v="1402592.6953594901"/>
    <n v="140292.7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7.127954626292031E-2"/>
    <n v="-130292.70000000001"/>
    <n v="-0.92872045373707968"/>
    <n v="1392592.6953594901"/>
    <n v="0.99287034644263783"/>
    <n v="140292.70000000001"/>
    <m/>
    <s v="Vendido"/>
    <x v="0"/>
    <m/>
    <n v="0"/>
    <n v="0"/>
    <m/>
    <n v="25"/>
  </r>
  <r>
    <n v="707"/>
    <s v="Antonio Rada"/>
    <s v="Christian Escobar"/>
    <d v="2025-04-04T00:00:00"/>
    <s v="A12"/>
    <s v="2. Reserva"/>
    <n v="789045"/>
    <n v="7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2300"/>
    <n v="-1"/>
    <n v="789045"/>
    <n v="1"/>
    <n v="72300"/>
    <m/>
    <s v="Vendido"/>
    <x v="0"/>
    <m/>
    <n v="0"/>
    <n v="0"/>
    <m/>
    <n v="26"/>
  </r>
  <r>
    <n v="708"/>
    <s v="Antonio Rada"/>
    <s v="Alfonso Videche Rrodriguez"/>
    <d v="2024-01-30T00:00:00"/>
    <s v="C6"/>
    <s v="4.Plan de pagos"/>
    <n v="1183693"/>
    <n v="118393"/>
    <n v="0"/>
    <n v="0"/>
    <n v="0"/>
    <n v="0"/>
    <n v="0"/>
    <n v="0"/>
    <n v="0"/>
    <n v="0"/>
    <n v="0"/>
    <n v="0"/>
    <n v="7600"/>
    <n v="4000"/>
    <n v="0"/>
    <n v="15000"/>
    <n v="0"/>
    <n v="0"/>
    <n v="0"/>
    <n v="19000"/>
    <n v="0"/>
    <n v="0"/>
    <n v="0"/>
    <n v="0"/>
    <n v="0"/>
    <n v="0"/>
    <n v="0"/>
    <n v="0"/>
    <n v="45600"/>
    <n v="0.38515790629513569"/>
    <n v="-72793"/>
    <n v="-0.61484209370486431"/>
    <n v="1138093"/>
    <n v="0.96147649770675336"/>
    <n v="118393"/>
    <m/>
    <s v="Vendido"/>
    <x v="0"/>
    <n v="6"/>
    <n v="1"/>
    <n v="7"/>
    <n v="19000"/>
    <n v="1"/>
  </r>
  <r>
    <n v="709"/>
    <m/>
    <m/>
    <m/>
    <s v="C5"/>
    <s v="1.Disponible"/>
    <n v="1381446.6987563099"/>
    <n v="138144.66987563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1446.6987563099"/>
    <n v="1"/>
    <n v="0"/>
    <m/>
    <s v="Apartamento Disponible"/>
    <x v="1"/>
    <m/>
    <n v="0"/>
    <n v="0"/>
    <m/>
    <n v="26"/>
  </r>
  <r>
    <n v="710"/>
    <m/>
    <m/>
    <m/>
    <s v="C6"/>
    <s v="1.Disponible"/>
    <n v="1185640.42442039"/>
    <n v="118564.042442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5640.42442039"/>
    <n v="1"/>
    <n v="0"/>
    <m/>
    <s v="Apartamento Disponible"/>
    <x v="1"/>
    <m/>
    <n v="0"/>
    <n v="0"/>
    <m/>
    <n v="26"/>
  </r>
  <r>
    <n v="711"/>
    <s v="Diana Alvarez"/>
    <s v="Samuel David Chavez"/>
    <d v="2024-11-30T00:00:00"/>
    <s v="C5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50000"/>
    <n v="0"/>
    <n v="60000"/>
    <n v="0.50777960672469458"/>
    <n v="-58161.5"/>
    <n v="-0.49222039327530542"/>
    <n v="1121561.5"/>
    <n v="0.94921974014894694"/>
    <n v="118161.5"/>
    <m/>
    <s v="Vendido"/>
    <x v="0"/>
    <m/>
    <n v="0"/>
    <n v="0"/>
    <m/>
    <n v="24"/>
  </r>
  <r>
    <n v="712"/>
    <s v="Antonio Rada"/>
    <s v="Edgar Augusto Sepúlveda Barrera"/>
    <d v="2023-06-08T00:00:00"/>
    <s v="A8"/>
    <s v="4.Plan de pagos"/>
    <n v="703500"/>
    <n v="70400"/>
    <n v="0"/>
    <n v="0"/>
    <n v="0"/>
    <n v="6000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58470"/>
    <n v="0.83053977272727275"/>
    <n v="-11930"/>
    <n v="-0.16946022727272728"/>
    <n v="645030"/>
    <n v="0.91688699360341153"/>
    <n v="70400"/>
    <m/>
    <s v="Vendido"/>
    <x v="0"/>
    <n v="27"/>
    <n v="1"/>
    <n v="28"/>
    <n v="2383"/>
    <n v="0"/>
  </r>
  <r>
    <n v="713"/>
    <s v="Antonio Rada"/>
    <s v=" Luis Alejandro Pérez Ibañez"/>
    <d v="2023-06-10T00:00:00"/>
    <s v="A2"/>
    <s v="4.Plan de pagos"/>
    <n v="687500"/>
    <n v="68800"/>
    <n v="0"/>
    <n v="0"/>
    <n v="0"/>
    <n v="6000"/>
    <n v="2326"/>
    <n v="2326"/>
    <n v="2326"/>
    <n v="2326"/>
    <n v="2326"/>
    <n v="2326"/>
    <n v="2326"/>
    <n v="1163"/>
    <n v="3488"/>
    <n v="0"/>
    <n v="2324"/>
    <n v="2324"/>
    <n v="2324"/>
    <n v="2324"/>
    <n v="2324"/>
    <n v="2324"/>
    <n v="0"/>
    <n v="3424"/>
    <n v="2324"/>
    <n v="0"/>
    <n v="2334"/>
    <n v="0"/>
    <n v="48959"/>
    <n v="0.71161337209302322"/>
    <n v="-19841"/>
    <n v="-0.28838662790697672"/>
    <n v="638541"/>
    <n v="0.92878690909090911"/>
    <n v="68800"/>
    <m/>
    <s v="Vendido"/>
    <x v="0"/>
    <n v="27"/>
    <n v="1"/>
    <n v="28"/>
    <n v="2324"/>
    <n v="7"/>
  </r>
  <r>
    <n v="714"/>
    <s v="Antonio Rada"/>
    <s v="Jose Carlos Samayoa San Jose"/>
    <d v="2024-04-11T00:00:00"/>
    <s v="E5"/>
    <s v="4.Plan de pagos"/>
    <n v="1438008"/>
    <n v="143808"/>
    <n v="0"/>
    <n v="0"/>
    <n v="0"/>
    <n v="0"/>
    <n v="0"/>
    <n v="0"/>
    <n v="0"/>
    <n v="0"/>
    <n v="0"/>
    <n v="0"/>
    <n v="0"/>
    <n v="0"/>
    <n v="0"/>
    <n v="8000"/>
    <n v="10000"/>
    <n v="10000"/>
    <n v="10000"/>
    <n v="10000"/>
    <n v="10000"/>
    <n v="10000"/>
    <n v="20000"/>
    <n v="0"/>
    <n v="10000"/>
    <n v="10000"/>
    <n v="25000"/>
    <n v="0"/>
    <n v="133000"/>
    <n v="0.92484423676012462"/>
    <n v="-10808"/>
    <n v="-7.5155763239875384E-2"/>
    <n v="1305008"/>
    <n v="0.90751094569710322"/>
    <n v="143808"/>
    <m/>
    <s v="Vendido"/>
    <x v="0"/>
    <n v="17"/>
    <n v="1"/>
    <n v="18"/>
    <n v="7989"/>
    <n v="0"/>
  </r>
  <r>
    <n v="715"/>
    <s v="Brenda Búcaro"/>
    <s v="Cynthia Marisel Coronado Monterroso"/>
    <d v="2023-03-10T00:00:00"/>
    <s v="A5"/>
    <s v="4.Plan de pagos"/>
    <n v="617600"/>
    <n v="62000"/>
    <n v="6000"/>
    <n v="1600"/>
    <n v="1600"/>
    <n v="1600"/>
    <n v="1600"/>
    <n v="0"/>
    <n v="1600"/>
    <n v="3200"/>
    <n v="1600"/>
    <n v="1600"/>
    <n v="1600"/>
    <n v="1600"/>
    <n v="1600"/>
    <n v="1600"/>
    <n v="1600"/>
    <n v="1600"/>
    <n v="1600"/>
    <n v="1600"/>
    <n v="1600"/>
    <n v="1600"/>
    <n v="1600"/>
    <n v="1600"/>
    <n v="0"/>
    <n v="3200"/>
    <n v="1600"/>
    <n v="0"/>
    <n v="44400"/>
    <n v="0.71612903225806457"/>
    <n v="-17600"/>
    <n v="-0.28387096774193549"/>
    <n v="573200"/>
    <n v="0.92810880829015541"/>
    <n v="62000"/>
    <m/>
    <s v="Vendido"/>
    <x v="0"/>
    <n v="35"/>
    <n v="1"/>
    <n v="36"/>
    <n v="1600"/>
    <n v="20"/>
  </r>
  <r>
    <n v="716"/>
    <s v="Antonio Rada"/>
    <s v="Lisvet  Maricelasance Alvarez De Giron"/>
    <d v="2024-01-15T00:00:00"/>
    <s v="B4"/>
    <s v="4.Plan de pagos"/>
    <n v="901400"/>
    <n v="90200"/>
    <n v="0"/>
    <n v="0"/>
    <n v="0"/>
    <n v="0"/>
    <n v="0"/>
    <n v="0"/>
    <n v="0"/>
    <n v="0"/>
    <n v="0"/>
    <n v="0"/>
    <n v="8000"/>
    <n v="4110"/>
    <n v="4110"/>
    <n v="4110"/>
    <n v="4110"/>
    <n v="4110"/>
    <n v="4100"/>
    <n v="4100"/>
    <n v="4100"/>
    <n v="4100"/>
    <n v="4100"/>
    <n v="0"/>
    <n v="4100"/>
    <n v="4100"/>
    <n v="8200"/>
    <n v="0"/>
    <n v="65450"/>
    <n v="0.72560975609756095"/>
    <n v="-24750"/>
    <n v="-0.27439024390243905"/>
    <n v="835950"/>
    <n v="0.92739072553805191"/>
    <n v="90200"/>
    <m/>
    <s v="Vendido"/>
    <x v="0"/>
    <n v="20"/>
    <n v="1"/>
    <n v="21"/>
    <n v="4110"/>
    <n v="5"/>
  </r>
  <r>
    <n v="717"/>
    <s v="Antonio Rada"/>
    <s v="Jorge Estuardo Díaz Durán Baldetti"/>
    <d v="2024-04-30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0"/>
    <n v="0"/>
    <n v="4040"/>
    <n v="4040"/>
    <n v="4040"/>
    <n v="4040"/>
    <n v="4040"/>
    <n v="4040"/>
    <n v="4040"/>
    <n v="4040"/>
    <n v="4040"/>
    <n v="0"/>
    <n v="44360"/>
    <n v="0.49954954954954955"/>
    <n v="-44440"/>
    <n v="-0.50045045045045045"/>
    <n v="843040"/>
    <n v="0.95001126887536624"/>
    <n v="88800"/>
    <m/>
    <s v="Vendido"/>
    <x v="0"/>
    <n v="17"/>
    <n v="1"/>
    <n v="18"/>
    <n v="4040"/>
    <n v="9"/>
  </r>
  <r>
    <n v="718"/>
    <m/>
    <m/>
    <m/>
    <s v="E9"/>
    <s v="1.Disponible"/>
    <n v="1502549.44216114"/>
    <n v="150254.944216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2549.44216114"/>
    <n v="1"/>
    <n v="0"/>
    <m/>
    <s v="Apartamento Disponible"/>
    <x v="1"/>
    <m/>
    <n v="0"/>
    <n v="0"/>
    <m/>
    <n v="26"/>
  </r>
  <r>
    <n v="719"/>
    <m/>
    <m/>
    <m/>
    <s v="E10"/>
    <s v="1.Disponible"/>
    <n v="1456375.54915152"/>
    <n v="145637.554915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6375.54915152"/>
    <n v="1"/>
    <n v="0"/>
    <m/>
    <s v="Apartamento Disponible"/>
    <x v="1"/>
    <m/>
    <n v="0"/>
    <n v="0"/>
    <m/>
    <n v="26"/>
  </r>
  <r>
    <n v="801"/>
    <s v="Antonio Rada"/>
    <s v="Pablo Jose Juarez Pereira"/>
    <d v="2023-07-25T00:00:00"/>
    <s v="C4"/>
    <s v="4.Plan de pagos"/>
    <n v="1152000"/>
    <n v="115200"/>
    <n v="0"/>
    <n v="0"/>
    <n v="0"/>
    <n v="0"/>
    <n v="6000"/>
    <n v="4200"/>
    <n v="4200"/>
    <n v="4200"/>
    <n v="4200"/>
    <n v="4200"/>
    <n v="4200"/>
    <n v="8400"/>
    <n v="0"/>
    <n v="4200"/>
    <n v="4200"/>
    <n v="0"/>
    <n v="4200"/>
    <n v="8400"/>
    <n v="0"/>
    <n v="8400"/>
    <n v="4200"/>
    <n v="0"/>
    <n v="4200"/>
    <n v="8400"/>
    <n v="8400"/>
    <n v="0"/>
    <n v="94200"/>
    <n v="0.81770833333333337"/>
    <n v="-21000"/>
    <n v="-0.18229166666666666"/>
    <n v="1057800"/>
    <n v="0.91822916666666665"/>
    <n v="115200"/>
    <m/>
    <s v="Vendido"/>
    <x v="0"/>
    <n v="26"/>
    <n v="1"/>
    <n v="27"/>
    <n v="4200"/>
    <n v="11"/>
  </r>
  <r>
    <n v="802"/>
    <s v="Brenda Búcaro"/>
    <s v="Carmen Julia Soto Baechli De Hicks"/>
    <d v="2023-06-10T00:00:00"/>
    <s v="C1"/>
    <s v="4.Plan de pagos"/>
    <n v="1166800"/>
    <n v="116700"/>
    <n v="0"/>
    <n v="0"/>
    <n v="0"/>
    <n v="6000"/>
    <n v="0"/>
    <n v="82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0"/>
    <n v="92100"/>
    <n v="0.78920308483290491"/>
    <n v="-24600"/>
    <n v="-0.21079691516709512"/>
    <n v="1074700"/>
    <n v="0.92106616386698659"/>
    <n v="116700"/>
    <m/>
    <s v="Vendido"/>
    <x v="0"/>
    <n v="27"/>
    <n v="1"/>
    <n v="28"/>
    <n v="4100"/>
    <n v="19"/>
  </r>
  <r>
    <n v="803"/>
    <s v="Brenda Búcaro"/>
    <s v="Mauricio Antonio Leon Tres"/>
    <d v="2023-03-22T00:00:00"/>
    <s v="A8"/>
    <s v="4.Plan de pagos"/>
    <n v="660700"/>
    <n v="66100"/>
    <n v="6000"/>
    <n v="1725"/>
    <n v="1725"/>
    <n v="1725"/>
    <n v="1700"/>
    <n v="1700"/>
    <n v="1700"/>
    <n v="1700"/>
    <n v="1700"/>
    <n v="1700"/>
    <n v="1700"/>
    <n v="1700"/>
    <n v="1700"/>
    <n v="1700"/>
    <n v="0"/>
    <n v="1700"/>
    <n v="3400"/>
    <n v="1700"/>
    <n v="1700"/>
    <n v="1700"/>
    <n v="1700"/>
    <n v="0"/>
    <n v="1700"/>
    <n v="1700"/>
    <n v="3400"/>
    <n v="0"/>
    <n v="46875"/>
    <n v="0.7091527987897126"/>
    <n v="-19225"/>
    <n v="-0.29084720121028745"/>
    <n v="613825"/>
    <n v="0.92905252005448768"/>
    <n v="66100"/>
    <m/>
    <s v="Vendido"/>
    <x v="0"/>
    <n v="35"/>
    <n v="1"/>
    <n v="36"/>
    <n v="1700"/>
    <n v="17"/>
  </r>
  <r>
    <n v="804"/>
    <s v="Brenda Búcaro"/>
    <s v="Victor Hugo Caceres Morales"/>
    <d v="2023-06-13T00:00:00"/>
    <s v="A1"/>
    <s v="4.Plan de pagos"/>
    <n v="702900"/>
    <n v="70300"/>
    <n v="0"/>
    <n v="0"/>
    <n v="0"/>
    <n v="6000"/>
    <n v="1500"/>
    <n v="1500"/>
    <n v="1500"/>
    <n v="1500"/>
    <n v="0"/>
    <n v="1500"/>
    <n v="1500"/>
    <n v="1500"/>
    <n v="1500"/>
    <n v="1500"/>
    <n v="3000"/>
    <n v="0"/>
    <n v="1500"/>
    <n v="3000"/>
    <n v="1500"/>
    <n v="1500"/>
    <n v="1500"/>
    <n v="1500"/>
    <n v="1500"/>
    <n v="1500"/>
    <n v="1500"/>
    <n v="0"/>
    <n v="37500"/>
    <n v="0.53342816500711232"/>
    <n v="-32800"/>
    <n v="-0.46657183499288762"/>
    <n v="665400"/>
    <n v="0.94664959453691844"/>
    <n v="70300"/>
    <m/>
    <s v="Vendido"/>
    <x v="0"/>
    <n v="27"/>
    <n v="1"/>
    <n v="28"/>
    <n v="1500"/>
    <n v="17"/>
  </r>
  <r>
    <n v="805"/>
    <s v="Antonio Rada"/>
    <s v="Celia Julissa Flores Dávila De Gonzalez"/>
    <d v="2024-05-08T00:00:00"/>
    <s v="B5"/>
    <s v="4.Plan de pagos"/>
    <n v="941800"/>
    <n v="94200"/>
    <n v="0"/>
    <n v="0"/>
    <n v="0"/>
    <n v="0"/>
    <n v="0"/>
    <n v="0"/>
    <n v="0"/>
    <n v="0"/>
    <n v="0"/>
    <n v="0"/>
    <n v="0"/>
    <n v="0"/>
    <n v="0"/>
    <n v="0"/>
    <n v="8000"/>
    <n v="4537"/>
    <n v="0"/>
    <n v="79113.05"/>
    <n v="0"/>
    <n v="0"/>
    <n v="0"/>
    <n v="0"/>
    <n v="0"/>
    <n v="0"/>
    <n v="0"/>
    <n v="0"/>
    <n v="91650.05"/>
    <n v="0.97293046709129516"/>
    <n v="-2549.9499999999971"/>
    <n v="-2.7069532908704851E-2"/>
    <n v="850149.95"/>
    <n v="0.90268629220641317"/>
    <n v="94200"/>
    <m/>
    <s v="Vendido"/>
    <x v="0"/>
    <n v="16"/>
    <n v="1"/>
    <n v="17"/>
    <n v="4537"/>
    <n v="1"/>
  </r>
  <r>
    <n v="806"/>
    <s v="Antonio Rada"/>
    <s v="Rodolfo Morales Muñoz"/>
    <d v="2024-09-12T00:00:00"/>
    <s v="B8"/>
    <s v="4.Plan de pagos"/>
    <n v="1084565"/>
    <n v="10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564"/>
    <n v="6564"/>
    <n v="6564"/>
    <n v="6564"/>
    <n v="6564"/>
    <n v="6564"/>
    <n v="0"/>
    <n v="49384"/>
    <n v="0.45529894435993179"/>
    <n v="-59081"/>
    <n v="-0.54470105564006821"/>
    <n v="1035181"/>
    <n v="0.95446653727531316"/>
    <n v="108465"/>
    <m/>
    <s v="Vendido"/>
    <x v="0"/>
    <n v="15"/>
    <n v="1"/>
    <n v="16"/>
    <n v="6564"/>
    <n v="6"/>
  </r>
  <r>
    <n v="807"/>
    <s v="Antonio Rada"/>
    <s v="Eswin Raul Morales Lopez"/>
    <d v="2023-11-30T00:00:00"/>
    <s v="B4"/>
    <s v="4.Plan de pagos"/>
    <n v="901400"/>
    <n v="90200"/>
    <n v="0"/>
    <n v="0"/>
    <n v="0"/>
    <n v="0"/>
    <n v="0"/>
    <n v="0"/>
    <n v="0"/>
    <n v="0"/>
    <n v="5500"/>
    <n v="0"/>
    <n v="5000"/>
    <n v="2500"/>
    <n v="0"/>
    <n v="5000"/>
    <n v="2500"/>
    <n v="0"/>
    <n v="14500"/>
    <n v="2500"/>
    <n v="2500"/>
    <n v="2500"/>
    <n v="2500"/>
    <n v="0"/>
    <n v="12000"/>
    <n v="0"/>
    <n v="2500"/>
    <n v="2500"/>
    <n v="62000"/>
    <n v="0.68736141906873616"/>
    <n v="-28200"/>
    <n v="-0.31263858093126384"/>
    <n v="839400"/>
    <n v="0.93121810516973602"/>
    <n v="90200"/>
    <m/>
    <s v="Vendido"/>
    <x v="0"/>
    <n v="22"/>
    <n v="1"/>
    <n v="23"/>
    <n v="2500"/>
    <n v="8"/>
  </r>
  <r>
    <n v="808"/>
    <s v="Antonio Rada"/>
    <s v="Gualberto Alonso Salazar Trejo"/>
    <d v="2024-03-05T00:00:00"/>
    <s v="B3"/>
    <s v="4.Plan de pagos"/>
    <n v="887400"/>
    <n v="88800"/>
    <n v="0"/>
    <n v="0"/>
    <n v="0"/>
    <n v="0"/>
    <n v="0"/>
    <n v="0"/>
    <n v="0"/>
    <n v="0"/>
    <n v="0"/>
    <n v="0"/>
    <n v="0"/>
    <n v="0"/>
    <n v="8000"/>
    <n v="4486"/>
    <n v="4486"/>
    <n v="4486"/>
    <n v="4486"/>
    <n v="4486"/>
    <n v="4486"/>
    <n v="4486"/>
    <n v="4486"/>
    <n v="4486"/>
    <n v="4485.5600000000004"/>
    <n v="4486"/>
    <n v="4486"/>
    <n v="4486"/>
    <n v="66317.56"/>
    <n v="0.74681936936936932"/>
    <n v="-22482.440000000002"/>
    <n v="-0.25318063063063068"/>
    <n v="821082.44"/>
    <n v="0.92526756817669586"/>
    <n v="88800"/>
    <m/>
    <s v="Vendido"/>
    <x v="0"/>
    <n v="18"/>
    <n v="1"/>
    <n v="19"/>
    <n v="4489"/>
    <n v="0"/>
  </r>
  <r>
    <n v="809"/>
    <s v="Antonio Rada"/>
    <s v="Mildred Maritza Monterroso Montenegro De Santizo"/>
    <d v="2024-03-02T00:00:00"/>
    <s v="E1"/>
    <s v="4.Plan de pagos"/>
    <n v="1390400"/>
    <n v="139100"/>
    <n v="0"/>
    <n v="0"/>
    <n v="0"/>
    <n v="0"/>
    <n v="0"/>
    <n v="0"/>
    <n v="0"/>
    <n v="0"/>
    <n v="0"/>
    <n v="0"/>
    <n v="0"/>
    <n v="0"/>
    <n v="8000"/>
    <n v="7283"/>
    <n v="7283"/>
    <n v="7283"/>
    <n v="7283"/>
    <n v="7283"/>
    <n v="7283"/>
    <n v="7283"/>
    <n v="7283"/>
    <n v="7283"/>
    <n v="7283"/>
    <n v="0"/>
    <n v="14566"/>
    <n v="0"/>
    <n v="95396"/>
    <n v="0.6858087706685837"/>
    <n v="-43704"/>
    <n v="-0.31419122933141624"/>
    <n v="1295004"/>
    <n v="0.93138952819332566"/>
    <n v="139100"/>
    <m/>
    <s v="Vendido"/>
    <x v="0"/>
    <n v="18"/>
    <n v="1"/>
    <n v="19"/>
    <n v="7283"/>
    <n v="10"/>
  </r>
  <r>
    <n v="810"/>
    <s v="Brenda Búcaro"/>
    <s v="Sebastián Aristondo Barillas"/>
    <d v="2023-06-22T00:00:00"/>
    <s v="A4"/>
    <s v="4.Plan de pagos"/>
    <n v="697500"/>
    <n v="70000"/>
    <n v="0"/>
    <n v="0"/>
    <n v="0"/>
    <n v="6000"/>
    <n v="1600"/>
    <n v="1600"/>
    <n v="1600"/>
    <n v="1600"/>
    <n v="1600"/>
    <n v="0"/>
    <n v="6000"/>
    <n v="0"/>
    <n v="0"/>
    <n v="3200"/>
    <n v="1600"/>
    <n v="0"/>
    <n v="6000"/>
    <n v="1600"/>
    <n v="1600"/>
    <n v="0"/>
    <n v="1600"/>
    <n v="0"/>
    <n v="0"/>
    <n v="3200"/>
    <n v="1600"/>
    <n v="0"/>
    <n v="40400"/>
    <n v="0.57714285714285718"/>
    <n v="-29600"/>
    <n v="-0.42285714285714288"/>
    <n v="657100"/>
    <n v="0.942078853046595"/>
    <n v="70000"/>
    <m/>
    <s v="Vendido"/>
    <x v="0"/>
    <n v="27"/>
    <n v="1"/>
    <n v="28"/>
    <n v="1600"/>
    <n v="10"/>
  </r>
  <r>
    <n v="811"/>
    <s v="Antonio Rada"/>
    <s v="Rosa Gilda Tuchan Valle De Gonzalez"/>
    <d v="2024-07-12T00:00:00"/>
    <s v="B7"/>
    <s v="4.Plan de pagos"/>
    <n v="864446.02"/>
    <n v="864446.02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854446.02"/>
    <n v="0"/>
    <n v="0"/>
    <n v="0"/>
    <n v="0"/>
    <n v="0"/>
    <n v="0"/>
    <n v="864446.02"/>
    <n v="1"/>
    <n v="0"/>
    <n v="0"/>
    <n v="0"/>
    <n v="0"/>
    <n v="864446.02"/>
    <m/>
    <s v="Vendido"/>
    <x v="3"/>
    <n v="1"/>
    <n v="0"/>
    <n v="1"/>
    <n v="864446.02"/>
    <n v="0"/>
  </r>
  <r>
    <n v="812"/>
    <s v="Antonio Rada"/>
    <s v="Juan Pablo Gonzalez Tuchan"/>
    <d v="2024-07-30T00:00:00"/>
    <s v="B2"/>
    <s v="4.Plan de pagos"/>
    <n v="941467.1"/>
    <n v="94167.1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84146.71"/>
    <n v="0"/>
    <n v="0"/>
    <n v="0"/>
    <n v="0"/>
    <n v="0"/>
    <n v="0"/>
    <n v="0"/>
    <n v="94146.71"/>
    <n v="0.99978347002296986"/>
    <n v="-20.389999999999418"/>
    <n v="-2.1652997703018801E-4"/>
    <n v="847320.39"/>
    <n v="0.9"/>
    <n v="94167.1"/>
    <m/>
    <s v="Vendido"/>
    <x v="0"/>
    <n v="1"/>
    <n v="0"/>
    <n v="1"/>
    <n v="94167.1"/>
    <n v="0"/>
  </r>
  <r>
    <n v="813"/>
    <s v="Antonio Rada"/>
    <s v="Iindustrias Danico, S.A."/>
    <d v="2024-05-14T00:00:00"/>
    <s v="B6"/>
    <s v="4.Plan de pagos"/>
    <n v="895332.85"/>
    <n v="89632.85"/>
    <n v="0"/>
    <n v="0"/>
    <n v="0"/>
    <n v="0"/>
    <n v="0"/>
    <n v="0"/>
    <n v="0"/>
    <n v="0"/>
    <n v="0"/>
    <n v="0"/>
    <n v="0"/>
    <n v="0"/>
    <n v="0"/>
    <n v="0"/>
    <n v="8000"/>
    <n v="0"/>
    <n v="0"/>
    <n v="12246"/>
    <n v="0"/>
    <n v="8164"/>
    <n v="0"/>
    <n v="0"/>
    <n v="8164"/>
    <n v="0"/>
    <n v="8164"/>
    <n v="0"/>
    <n v="44738"/>
    <n v="0.49912504176761086"/>
    <n v="-44894.850000000006"/>
    <n v="-0.50087495823238914"/>
    <n v="850594.85"/>
    <n v="0.95003199089589974"/>
    <n v="89632.85"/>
    <m/>
    <s v="Vendido"/>
    <x v="0"/>
    <m/>
    <n v="0"/>
    <n v="0"/>
    <m/>
    <n v="21"/>
  </r>
  <r>
    <n v="814"/>
    <s v="Antonio Rada"/>
    <s v="Enma Suselly Lopez Muy"/>
    <d v="2023-11-20T00:00:00"/>
    <s v="B1"/>
    <s v="4.Plan de pagos"/>
    <n v="883300"/>
    <n v="88400"/>
    <n v="0"/>
    <n v="0"/>
    <n v="0"/>
    <n v="0"/>
    <n v="0"/>
    <n v="0"/>
    <n v="0"/>
    <n v="0"/>
    <n v="5500"/>
    <n v="3765"/>
    <n v="3765"/>
    <n v="3765"/>
    <n v="3765"/>
    <n v="3765"/>
    <n v="3765"/>
    <n v="3765"/>
    <n v="3765"/>
    <n v="3765"/>
    <n v="3765"/>
    <n v="0"/>
    <n v="3765"/>
    <n v="3765"/>
    <n v="3765"/>
    <n v="3765"/>
    <n v="3765"/>
    <n v="3765"/>
    <n v="65740"/>
    <n v="0.74366515837104075"/>
    <n v="-22660"/>
    <n v="-0.25633484162895925"/>
    <n v="817560"/>
    <n v="0.92557454998301825"/>
    <n v="88400"/>
    <m/>
    <s v="Vendido"/>
    <x v="0"/>
    <n v="22"/>
    <n v="1"/>
    <n v="23"/>
    <n v="3768"/>
    <n v="0"/>
  </r>
  <r>
    <n v="815"/>
    <s v="Antonio Rada"/>
    <s v="Leonora Elizabeth Cordon Arrivillaga"/>
    <d v="2024-02-20T00:00:00"/>
    <s v="E2"/>
    <s v="4.Plan de pagos"/>
    <n v="1463600"/>
    <n v="146400"/>
    <n v="0"/>
    <n v="0"/>
    <n v="0"/>
    <n v="0"/>
    <n v="0"/>
    <n v="0"/>
    <n v="0"/>
    <n v="0"/>
    <n v="0"/>
    <n v="0"/>
    <n v="0"/>
    <n v="8000"/>
    <n v="7284"/>
    <n v="7284"/>
    <n v="7284"/>
    <n v="7284"/>
    <n v="7284"/>
    <n v="7284"/>
    <n v="7284"/>
    <n v="7284"/>
    <n v="7284"/>
    <n v="7284"/>
    <n v="7284"/>
    <n v="7284"/>
    <n v="7284"/>
    <n v="0"/>
    <n v="102692"/>
    <n v="0.70144808743169396"/>
    <n v="-43708"/>
    <n v="-0.29855191256830599"/>
    <n v="1360908"/>
    <n v="0.92983602077070238"/>
    <n v="146400"/>
    <m/>
    <s v="Vendido"/>
    <x v="0"/>
    <m/>
    <n v="0"/>
    <n v="0"/>
    <m/>
    <n v="12"/>
  </r>
  <r>
    <n v="816"/>
    <s v="Brenda Búcaro"/>
    <s v="Coasa, S.A."/>
    <d v="2023-03-31T00:00:00"/>
    <s v="A2"/>
    <s v="4.Plan de pagos"/>
    <n v="651600"/>
    <n v="65200"/>
    <n v="60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48500"/>
    <n v="0.74386503067484666"/>
    <n v="-16700"/>
    <n v="-0.25613496932515339"/>
    <n v="603100"/>
    <n v="0.92556783302639656"/>
    <n v="65200"/>
    <m/>
    <s v="Vendido"/>
    <x v="0"/>
    <n v="35"/>
    <n v="1"/>
    <n v="36"/>
    <n v="1700"/>
    <n v="25"/>
  </r>
  <r>
    <n v="817"/>
    <s v="Brenda Búcaro"/>
    <s v=" Juan Antonio Escobedo Del Cid"/>
    <d v="2023-04-11T00:00:00"/>
    <s v="A6"/>
    <s v="4.Plan de pagos"/>
    <n v="657132.30000000005"/>
    <n v="65732.3"/>
    <n v="0"/>
    <n v="6000"/>
    <n v="0"/>
    <n v="1500"/>
    <n v="3000"/>
    <n v="1500"/>
    <n v="1500"/>
    <n v="1500"/>
    <n v="0"/>
    <n v="4500"/>
    <n v="0"/>
    <n v="1500"/>
    <n v="1500"/>
    <n v="3000"/>
    <n v="1500"/>
    <n v="0"/>
    <n v="1500"/>
    <n v="1500"/>
    <n v="1500"/>
    <n v="0"/>
    <n v="1500"/>
    <n v="1500"/>
    <n v="1500"/>
    <n v="1500"/>
    <n v="1500"/>
    <n v="0"/>
    <n v="39000"/>
    <n v="0.59331561500206131"/>
    <n v="-26732.300000000003"/>
    <n v="-0.40668438499793863"/>
    <n v="618132.30000000005"/>
    <n v="0.94065122046199834"/>
    <n v="65732.3"/>
    <m/>
    <s v="Vendido"/>
    <x v="0"/>
    <n v="34"/>
    <n v="1"/>
    <n v="35"/>
    <n v="1500"/>
    <n v="15"/>
  </r>
  <r>
    <n v="818"/>
    <s v="Brenda Búcaro"/>
    <s v="Astrid Pamela Chew Chávez De Letona"/>
    <d v="2023-07-18T00:00:00"/>
    <s v="A3"/>
    <s v="4.Plan de pagos"/>
    <n v="703500"/>
    <n v="70400"/>
    <n v="0"/>
    <n v="0"/>
    <n v="0"/>
    <n v="0"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0"/>
    <n v="55540"/>
    <n v="0.78892045454545456"/>
    <n v="-14860"/>
    <n v="-0.21107954545454546"/>
    <n v="647960"/>
    <n v="0.92105188343994315"/>
    <n v="70400"/>
    <m/>
    <s v="Vendido"/>
    <x v="0"/>
    <n v="26"/>
    <n v="1"/>
    <n v="27"/>
    <n v="2477"/>
    <n v="20"/>
  </r>
  <r>
    <n v="819"/>
    <s v="Brenda Búcaro"/>
    <s v="Edvin Eduardo Sajquim Sajquim"/>
    <d v="2023-05-29T00:00:00"/>
    <s v="C3"/>
    <s v="4.Plan de pagos"/>
    <n v="967700"/>
    <n v="96800"/>
    <n v="0"/>
    <n v="0"/>
    <n v="6000"/>
    <n v="0"/>
    <n v="64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0"/>
    <n v="76400"/>
    <n v="0.78925619834710747"/>
    <n v="-20400"/>
    <n v="-0.21074380165289255"/>
    <n v="891300"/>
    <n v="0.92104991216286036"/>
    <n v="96800"/>
    <m/>
    <s v="Vendido"/>
    <x v="0"/>
    <n v="28"/>
    <n v="1"/>
    <n v="29"/>
    <n v="3200"/>
    <n v="20"/>
  </r>
  <r>
    <n v="820"/>
    <s v="Antonio Rada"/>
    <s v="Maria Eugenia Ortiz Uck"/>
    <d v="2024-01-13T00:00:00"/>
    <s v="C2"/>
    <s v="4.Plan de pagos"/>
    <n v="990132.5"/>
    <n v="99132.5"/>
    <n v="0"/>
    <n v="0"/>
    <n v="0"/>
    <n v="0"/>
    <n v="0"/>
    <n v="0"/>
    <n v="0"/>
    <n v="0"/>
    <n v="0"/>
    <n v="0"/>
    <n v="8000"/>
    <n v="4557"/>
    <n v="4557"/>
    <n v="4557"/>
    <n v="4557"/>
    <n v="4557"/>
    <n v="4557"/>
    <n v="4557"/>
    <n v="4557"/>
    <n v="4557"/>
    <n v="4557"/>
    <n v="4557"/>
    <n v="4557"/>
    <n v="4557"/>
    <n v="4557"/>
    <n v="0"/>
    <n v="71798"/>
    <n v="0.7242629813633269"/>
    <n v="-27334.5"/>
    <n v="-0.27573701863667316"/>
    <n v="918334.5"/>
    <n v="0.92748647277005858"/>
    <n v="99132.5"/>
    <m/>
    <s v="Vendido"/>
    <x v="0"/>
    <n v="20"/>
    <n v="1"/>
    <n v="21"/>
    <n v="4557"/>
    <n v="14"/>
  </r>
  <r>
    <n v="901"/>
    <s v="Antonio Rada"/>
    <s v=" Monica Arimany Monzon"/>
    <d v="2023-03-27T00:00:00"/>
    <s v="C4"/>
    <s v="4.Plan de pagos"/>
    <n v="1087062.8421799999"/>
    <n v="108762.84"/>
    <n v="6000"/>
    <n v="2936"/>
    <n v="2936"/>
    <n v="2936"/>
    <n v="2936"/>
    <n v="2936"/>
    <n v="2936"/>
    <n v="2936"/>
    <n v="2936"/>
    <n v="2936"/>
    <n v="2936"/>
    <n v="2936"/>
    <n v="2551"/>
    <n v="3321"/>
    <n v="2936"/>
    <n v="2936"/>
    <n v="2936"/>
    <n v="2936"/>
    <n v="2936"/>
    <n v="2936"/>
    <n v="2936"/>
    <n v="2936"/>
    <n v="2936"/>
    <n v="0"/>
    <n v="2936"/>
    <n v="0"/>
    <n v="73528"/>
    <n v="0.67603972091938758"/>
    <n v="-35234.839999999997"/>
    <n v="-0.32396027908061242"/>
    <n v="1013534.8421799999"/>
    <n v="0.93236085610971053"/>
    <n v="108762.84"/>
    <m/>
    <s v="Vendido"/>
    <x v="0"/>
    <n v="35"/>
    <n v="1"/>
    <n v="36"/>
    <n v="2936"/>
    <n v="21"/>
  </r>
  <r>
    <n v="902"/>
    <s v="Antonio Rada"/>
    <s v="Waldir Edenilson Contreras Pedroza"/>
    <d v="2024-01-15T00:00:00"/>
    <s v="C1"/>
    <s v="4.Plan de pagos"/>
    <n v="1195970"/>
    <n v="119670"/>
    <n v="0"/>
    <n v="0"/>
    <n v="0"/>
    <n v="0"/>
    <n v="0"/>
    <n v="0"/>
    <n v="0"/>
    <n v="0"/>
    <n v="0"/>
    <n v="0"/>
    <n v="8000"/>
    <n v="10000"/>
    <n v="10000"/>
    <n v="7000"/>
    <n v="10000"/>
    <n v="10000"/>
    <n v="10000"/>
    <n v="10000"/>
    <n v="5000"/>
    <n v="10000"/>
    <n v="5000"/>
    <n v="5000"/>
    <n v="5000"/>
    <n v="5000"/>
    <n v="5000"/>
    <n v="0"/>
    <n v="115000"/>
    <n v="0.96097601738113148"/>
    <n v="-4670"/>
    <n v="-3.9023982618868552E-2"/>
    <n v="1080970"/>
    <n v="0.90384374189988048"/>
    <n v="119670"/>
    <m/>
    <s v="Vendido"/>
    <x v="0"/>
    <n v="20"/>
    <n v="1"/>
    <n v="21"/>
    <n v="5584"/>
    <n v="0"/>
  </r>
  <r>
    <n v="903"/>
    <s v="Jose Franco"/>
    <s v="Vivian Arely Carranza León De Acevedo"/>
    <d v="2023-05-19T00:00:00"/>
    <s v="A8"/>
    <s v="4.Plan de pagos"/>
    <n v="703500"/>
    <n v="70400"/>
    <n v="0"/>
    <n v="0"/>
    <n v="6000"/>
    <n v="2300"/>
    <n v="2300"/>
    <n v="2300"/>
    <n v="2300"/>
    <n v="2300"/>
    <n v="2300"/>
    <n v="4600"/>
    <n v="0"/>
    <n v="4600"/>
    <n v="0"/>
    <n v="4600"/>
    <n v="0"/>
    <n v="0"/>
    <n v="4600"/>
    <n v="4600"/>
    <n v="0"/>
    <n v="0"/>
    <n v="4600"/>
    <n v="0"/>
    <n v="4600"/>
    <n v="2300"/>
    <n v="0"/>
    <n v="0"/>
    <n v="54300"/>
    <n v="0.77130681818181823"/>
    <n v="-16100"/>
    <n v="-0.22869318181818182"/>
    <n v="649200"/>
    <n v="0.92281449893390188"/>
    <n v="70400"/>
    <m/>
    <s v="Vendido"/>
    <x v="0"/>
    <n v="28"/>
    <n v="1"/>
    <n v="29"/>
    <n v="2300"/>
    <n v="7"/>
  </r>
  <r>
    <n v="904"/>
    <s v="Jose Franco"/>
    <s v="Juan José Silva Pacheco"/>
    <d v="2023-05-16T00:00:00"/>
    <s v="A1"/>
    <s v="4.Plan de pagos"/>
    <n v="696469.08"/>
    <n v="69669.08"/>
    <n v="0"/>
    <n v="0"/>
    <n v="6000"/>
    <n v="2296"/>
    <n v="2274"/>
    <n v="2274"/>
    <n v="2274"/>
    <n v="2274"/>
    <n v="2274"/>
    <n v="2294"/>
    <n v="2294"/>
    <n v="2274"/>
    <n v="2274"/>
    <n v="2274"/>
    <n v="2274"/>
    <n v="2274"/>
    <n v="2274"/>
    <n v="2274"/>
    <n v="2274"/>
    <n v="2274"/>
    <n v="2274"/>
    <n v="2274"/>
    <n v="2274"/>
    <n v="2274"/>
    <n v="2274"/>
    <n v="0"/>
    <n v="56090"/>
    <n v="0.80509172792291783"/>
    <n v="-13579.080000000002"/>
    <n v="-0.19490827207708214"/>
    <n v="640379.07999999996"/>
    <n v="0.91946519722024123"/>
    <n v="69669.08"/>
    <m/>
    <s v="Vendido"/>
    <x v="0"/>
    <n v="28"/>
    <n v="1"/>
    <n v="29"/>
    <n v="2274"/>
    <n v="19"/>
  </r>
  <r>
    <n v="905"/>
    <s v="Antonio Rada"/>
    <s v="Roberto Andres Hernandez Benavides"/>
    <d v="2024-06-30T00:00:00"/>
    <s v="B5"/>
    <s v="4.Plan de pagos"/>
    <n v="941800"/>
    <n v="94200"/>
    <n v="0"/>
    <n v="0"/>
    <n v="0"/>
    <n v="0"/>
    <n v="0"/>
    <n v="0"/>
    <n v="0"/>
    <n v="0"/>
    <n v="0"/>
    <n v="0"/>
    <n v="0"/>
    <n v="0"/>
    <n v="0"/>
    <n v="0"/>
    <n v="0"/>
    <n v="5000"/>
    <n v="5000"/>
    <n v="3776"/>
    <n v="3776"/>
    <n v="3776"/>
    <n v="3776"/>
    <n v="3775"/>
    <n v="3775"/>
    <n v="3775"/>
    <n v="3775"/>
    <n v="0"/>
    <n v="40204"/>
    <n v="0.4267940552016985"/>
    <n v="-53996"/>
    <n v="-0.57320594479830145"/>
    <n v="901596"/>
    <n v="0.95731153111063916"/>
    <n v="94200"/>
    <m/>
    <s v="Vendido"/>
    <x v="0"/>
    <n v="18"/>
    <n v="1"/>
    <n v="19"/>
    <n v="3776"/>
    <n v="4"/>
  </r>
  <r>
    <n v="906"/>
    <s v="Antonio Rada"/>
    <s v="Jose Juan Barrientos Juarez"/>
    <d v="2024-12-19T00:00:00"/>
    <s v="B8"/>
    <s v="4.Plan de pagos"/>
    <n v="1102644.5780410699"/>
    <n v="110344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"/>
    <n v="0"/>
    <n v="12040"/>
    <n v="6020"/>
    <n v="0"/>
    <n v="26060"/>
    <n v="0.23616927990482178"/>
    <n v="-84284.58"/>
    <n v="-0.76383072009517827"/>
    <n v="1076584.5780410699"/>
    <n v="0.97636591108415227"/>
    <n v="110344.58"/>
    <m/>
    <s v="Vendido"/>
    <x v="0"/>
    <m/>
    <n v="0"/>
    <n v="0"/>
    <m/>
    <n v="23"/>
  </r>
  <r>
    <n v="907"/>
    <s v="Brenda Búcaro"/>
    <s v="Stephanie Herrera"/>
    <d v="2023-08-31T00:00:00"/>
    <s v="B4"/>
    <s v="4.Plan de pagos"/>
    <n v="901400"/>
    <n v="90200"/>
    <n v="0"/>
    <n v="0"/>
    <n v="0"/>
    <n v="0"/>
    <n v="0"/>
    <n v="10000"/>
    <n v="0"/>
    <n v="0"/>
    <n v="0"/>
    <n v="0"/>
    <n v="0"/>
    <n v="20500"/>
    <n v="0"/>
    <n v="0"/>
    <n v="0"/>
    <n v="0"/>
    <n v="0"/>
    <n v="0"/>
    <n v="20500"/>
    <n v="0"/>
    <n v="0"/>
    <n v="0"/>
    <n v="0"/>
    <n v="20500"/>
    <n v="0"/>
    <n v="0"/>
    <n v="71500"/>
    <n v="0.79268292682926833"/>
    <n v="-18700"/>
    <n v="-0.2073170731707317"/>
    <n v="829900"/>
    <n v="0.92067894386509874"/>
    <n v="90200"/>
    <m/>
    <s v="Vendido"/>
    <x v="0"/>
    <n v="4"/>
    <n v="1"/>
    <n v="5"/>
    <n v="20050"/>
    <n v="0"/>
  </r>
  <r>
    <n v="908"/>
    <s v="Antonio Rada"/>
    <s v="Jorge Pablo Gonzalez Oordoñez"/>
    <d v="2024-01-25T00:00:00"/>
    <s v="B3"/>
    <s v="4.Plan de pagos"/>
    <n v="887400"/>
    <n v="88800"/>
    <n v="0"/>
    <n v="0"/>
    <n v="0"/>
    <n v="0"/>
    <n v="0"/>
    <n v="0"/>
    <n v="0"/>
    <n v="0"/>
    <n v="0"/>
    <n v="0"/>
    <n v="8000"/>
    <n v="4040"/>
    <n v="0"/>
    <n v="8080"/>
    <n v="4040"/>
    <n v="4040"/>
    <n v="0"/>
    <n v="8080"/>
    <n v="0"/>
    <n v="8080"/>
    <n v="0"/>
    <n v="4040"/>
    <n v="0"/>
    <n v="4040"/>
    <n v="8080"/>
    <n v="0"/>
    <n v="60520"/>
    <n v="0.68153153153153156"/>
    <n v="-28280"/>
    <n v="-0.31846846846846849"/>
    <n v="826880"/>
    <n v="0.93180076628352493"/>
    <n v="88800"/>
    <m/>
    <s v="Vendido"/>
    <x v="0"/>
    <n v="20"/>
    <n v="1"/>
    <n v="21"/>
    <n v="4040"/>
    <n v="5"/>
  </r>
  <r>
    <n v="909"/>
    <s v="Brenda Búcaro"/>
    <s v="Alba Lucila Martinez Tobar"/>
    <d v="2023-07-11T00:00:00"/>
    <s v="E8"/>
    <s v="4.Plan de pagos"/>
    <n v="1382700"/>
    <n v="138300"/>
    <n v="0"/>
    <n v="0"/>
    <n v="0"/>
    <n v="0"/>
    <n v="6000"/>
    <n v="0"/>
    <n v="10000"/>
    <n v="5000"/>
    <n v="0"/>
    <n v="10000"/>
    <n v="5000"/>
    <n v="5000"/>
    <n v="5000"/>
    <n v="5000"/>
    <n v="5000"/>
    <n v="5000"/>
    <n v="0"/>
    <n v="10000"/>
    <n v="0"/>
    <n v="10000"/>
    <n v="0"/>
    <n v="0"/>
    <n v="5000"/>
    <n v="10000"/>
    <n v="0"/>
    <n v="5000"/>
    <n v="101000"/>
    <n v="0.73029645697758494"/>
    <n v="-37300"/>
    <n v="-0.26970354302241506"/>
    <n v="1281700"/>
    <n v="0.92695450929341139"/>
    <n v="138300"/>
    <m/>
    <s v="Vendido"/>
    <x v="0"/>
    <n v="26"/>
    <n v="1"/>
    <n v="27"/>
    <n v="5000"/>
    <n v="9"/>
  </r>
  <r>
    <n v="910"/>
    <m/>
    <m/>
    <m/>
    <s v="A10"/>
    <s v="1.Disponible"/>
    <n v="982583.641688128"/>
    <n v="98258.364168812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2583.641688128"/>
    <n v="1"/>
    <n v="0"/>
    <m/>
    <s v="Apartamento Disponible"/>
    <x v="1"/>
    <m/>
    <n v="0"/>
    <n v="0"/>
    <m/>
    <n v="26"/>
  </r>
  <r>
    <n v="911"/>
    <s v="Brenda Búcaro"/>
    <s v="Mario Alberto Maldonado Recinos"/>
    <d v="2023-09-16T00:00:00"/>
    <s v="C10"/>
    <s v="4.Plan de pagos"/>
    <n v="1052367.5"/>
    <n v="105267.5"/>
    <n v="0"/>
    <n v="0"/>
    <n v="0"/>
    <n v="0"/>
    <n v="0"/>
    <n v="0"/>
    <n v="8000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4"/>
    <n v="4053"/>
    <n v="85008"/>
    <n v="0.80754268886408431"/>
    <n v="-20259.5"/>
    <n v="-0.19245731113591563"/>
    <n v="967359.5"/>
    <n v="0.91922213485308124"/>
    <n v="105267.5"/>
    <m/>
    <s v="Vendido"/>
    <x v="0"/>
    <m/>
    <n v="0"/>
    <n v="0"/>
    <m/>
    <n v="6"/>
  </r>
  <r>
    <n v="912"/>
    <s v="Ronaldo"/>
    <s v=" Iurix,S.A"/>
    <d v="2024-01-09T00:00:00"/>
    <s v="C7"/>
    <s v="4.Plan de pagos"/>
    <n v="973800"/>
    <n v="97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7380"/>
    <n v="-1"/>
    <n v="973800"/>
    <n v="1"/>
    <n v="97380"/>
    <m/>
    <s v="Vendido"/>
    <x v="0"/>
    <m/>
    <n v="0"/>
    <n v="0"/>
    <m/>
    <n v="26"/>
  </r>
  <r>
    <n v="913"/>
    <s v="Antonio Rada"/>
    <s v="Wender Josue Bailon Campos"/>
    <d v="2024-04-22T00:00:00"/>
    <s v="B6"/>
    <s v="4.Plan de pagos"/>
    <n v="903600"/>
    <n v="90400"/>
    <n v="0"/>
    <n v="0"/>
    <n v="0"/>
    <n v="0"/>
    <n v="0"/>
    <n v="0"/>
    <n v="0"/>
    <n v="0"/>
    <n v="0"/>
    <n v="0"/>
    <n v="0"/>
    <n v="0"/>
    <n v="0"/>
    <n v="8000"/>
    <n v="4845"/>
    <n v="4845"/>
    <n v="4845"/>
    <n v="4845"/>
    <n v="4845"/>
    <n v="4845"/>
    <n v="4845"/>
    <n v="4845"/>
    <n v="4845"/>
    <n v="4845"/>
    <n v="4845"/>
    <n v="4845"/>
    <n v="66140"/>
    <n v="0.73163716814159296"/>
    <n v="-24260"/>
    <n v="-0.26836283185840709"/>
    <n v="837460"/>
    <n v="0.92680389552899511"/>
    <n v="90400"/>
    <m/>
    <s v="Vendido"/>
    <x v="0"/>
    <n v="17"/>
    <n v="1"/>
    <n v="18"/>
    <n v="4847"/>
    <n v="0"/>
  </r>
  <r>
    <n v="914"/>
    <s v="Antonio Rada"/>
    <s v="Rebecca Gonzalez Ordoñez"/>
    <d v="2024-01-29T00:00:00"/>
    <s v="B1"/>
    <s v="4.Plan de pagos"/>
    <n v="883300"/>
    <n v="88400"/>
    <n v="0"/>
    <n v="0"/>
    <n v="0"/>
    <n v="0"/>
    <n v="6000"/>
    <n v="0"/>
    <n v="0"/>
    <n v="0"/>
    <n v="0"/>
    <n v="0"/>
    <n v="8000"/>
    <n v="4020"/>
    <n v="0"/>
    <n v="8040"/>
    <n v="4020"/>
    <n v="4020"/>
    <n v="0"/>
    <n v="8040"/>
    <n v="0"/>
    <n v="8040"/>
    <n v="0"/>
    <n v="4020"/>
    <n v="0"/>
    <n v="4040"/>
    <n v="8040"/>
    <n v="0"/>
    <n v="66280"/>
    <n v="0.7497737556561086"/>
    <n v="-22120"/>
    <n v="-0.2502262443438914"/>
    <n v="817020"/>
    <n v="0.92496320615872296"/>
    <n v="88400"/>
    <m/>
    <s v="Vendido"/>
    <x v="0"/>
    <n v="20"/>
    <n v="1"/>
    <n v="21"/>
    <n v="4020"/>
    <n v="4"/>
  </r>
  <r>
    <n v="915"/>
    <s v="Brenda Búcaro"/>
    <s v="Marcela Alejandra Castro Marcía"/>
    <d v="2023-08-28T00:00:00"/>
    <s v="E2"/>
    <s v="4.Plan de pagos"/>
    <n v="1309197.44"/>
    <n v="130997.44"/>
    <n v="0"/>
    <n v="0"/>
    <n v="0"/>
    <n v="0"/>
    <n v="0"/>
    <n v="6000"/>
    <n v="0"/>
    <n v="5208"/>
    <n v="5208"/>
    <n v="5208"/>
    <n v="5208"/>
    <n v="5208"/>
    <n v="5208"/>
    <n v="5208"/>
    <n v="0"/>
    <n v="10416"/>
    <n v="5208"/>
    <n v="5208"/>
    <n v="5208"/>
    <n v="0"/>
    <n v="5208"/>
    <n v="10416"/>
    <n v="0"/>
    <n v="5208"/>
    <n v="10416"/>
    <n v="0"/>
    <n v="99744"/>
    <n v="0.76141945980013048"/>
    <n v="-31253.440000000002"/>
    <n v="-0.23858054019986957"/>
    <n v="1209453.44"/>
    <n v="0.92381286660627748"/>
    <n v="130997.44"/>
    <m/>
    <s v="Vendido"/>
    <x v="0"/>
    <n v="24"/>
    <n v="1"/>
    <n v="25"/>
    <n v="5208"/>
    <n v="12"/>
  </r>
  <r>
    <n v="916"/>
    <s v="Brenda Búcaro"/>
    <s v="José Fernando Cordón Almengor"/>
    <d v="2023-05-03T00:00:00"/>
    <s v="A2"/>
    <s v="4.Plan de pagos"/>
    <n v="687500"/>
    <n v="68800"/>
    <n v="0"/>
    <n v="0"/>
    <n v="8250"/>
    <n v="0"/>
    <n v="2250"/>
    <n v="2250"/>
    <n v="2250"/>
    <n v="2250"/>
    <n v="2250"/>
    <n v="2250"/>
    <n v="2250"/>
    <n v="2250"/>
    <n v="2250"/>
    <n v="2250"/>
    <n v="2250"/>
    <n v="2250"/>
    <n v="0"/>
    <n v="4500"/>
    <n v="2250"/>
    <n v="2250"/>
    <n v="2250"/>
    <n v="2250"/>
    <n v="2250"/>
    <n v="0"/>
    <n v="4500"/>
    <n v="0"/>
    <n v="55500"/>
    <n v="0.8066860465116279"/>
    <n v="-13300"/>
    <n v="-0.1933139534883721"/>
    <n v="632000"/>
    <n v="0.91927272727272724"/>
    <n v="68800"/>
    <m/>
    <s v="Vendido"/>
    <x v="0"/>
    <n v="28"/>
    <n v="1"/>
    <n v="29"/>
    <n v="2250"/>
    <n v="17"/>
  </r>
  <r>
    <n v="917"/>
    <s v="Brenda Búcaro"/>
    <s v="Jessica María Ramirez Girard"/>
    <d v="2023-05-22T00:00:00"/>
    <s v="A6"/>
    <s v="4.Plan de pagos"/>
    <n v="699700"/>
    <n v="70000"/>
    <n v="0"/>
    <n v="0"/>
    <n v="600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0"/>
    <n v="55500"/>
    <n v="0.79285714285714282"/>
    <n v="-14500"/>
    <n v="-0.20714285714285716"/>
    <n v="644200"/>
    <n v="0.92068029155352293"/>
    <n v="70000"/>
    <m/>
    <s v="Vendido"/>
    <x v="0"/>
    <n v="28"/>
    <n v="1"/>
    <n v="29"/>
    <n v="2250"/>
    <n v="22"/>
  </r>
  <r>
    <n v="918"/>
    <s v="Antonio Rada"/>
    <s v="Astrid Maricel De León Ramírez"/>
    <d v="2023-06-21T00:00:00"/>
    <s v="A3"/>
    <s v="4.Plan de pagos"/>
    <n v="703500"/>
    <n v="70400"/>
    <n v="0"/>
    <n v="0"/>
    <n v="0"/>
    <n v="6000"/>
    <n v="0"/>
    <n v="2477"/>
    <n v="2477"/>
    <n v="2477"/>
    <n v="2477"/>
    <n v="4954"/>
    <n v="0"/>
    <n v="2477"/>
    <n v="2477"/>
    <n v="2477"/>
    <n v="4954"/>
    <n v="0"/>
    <n v="2477"/>
    <n v="2477"/>
    <n v="2477"/>
    <n v="2477"/>
    <n v="2477"/>
    <n v="2477"/>
    <n v="2477"/>
    <n v="2477"/>
    <n v="0"/>
    <n v="2477"/>
    <n v="55540"/>
    <n v="0.78892045454545456"/>
    <n v="-14860"/>
    <n v="-0.21107954545454546"/>
    <n v="647960"/>
    <n v="0.92105188343994315"/>
    <n v="70400"/>
    <m/>
    <s v="Vendido"/>
    <x v="0"/>
    <n v="26"/>
    <n v="1"/>
    <n v="27"/>
    <n v="2477"/>
    <n v="16"/>
  </r>
  <r>
    <n v="919"/>
    <s v="Brenda Búcaro"/>
    <s v="Ana Lucrecia Rangel Aquino"/>
    <d v="2023-03-31T00:00:00"/>
    <s v="C3"/>
    <s v="4.Plan de pagos"/>
    <n v="921600"/>
    <n v="92200"/>
    <n v="6000"/>
    <n v="2465"/>
    <n v="0"/>
    <n v="4930"/>
    <n v="2465"/>
    <n v="2465"/>
    <n v="2465"/>
    <n v="2465"/>
    <n v="0"/>
    <n v="2465"/>
    <n v="0"/>
    <n v="2465"/>
    <n v="4930"/>
    <n v="4930"/>
    <n v="2465"/>
    <n v="0"/>
    <n v="2465"/>
    <n v="4930"/>
    <n v="0"/>
    <n v="2465"/>
    <n v="0"/>
    <n v="0"/>
    <n v="0"/>
    <n v="14790"/>
    <n v="0"/>
    <n v="0"/>
    <n v="65160"/>
    <n v="0.70672451193058572"/>
    <n v="-27040"/>
    <n v="-0.29327548806941434"/>
    <n v="856440"/>
    <n v="0.92929687500000002"/>
    <n v="92200"/>
    <m/>
    <s v="Vendido"/>
    <x v="0"/>
    <n v="35"/>
    <n v="1"/>
    <n v="36"/>
    <n v="2465"/>
    <n v="10"/>
  </r>
  <r>
    <n v="920"/>
    <s v="Ronaldo"/>
    <s v="Iurix, S.A"/>
    <d v="2024-01-09T00:00:00"/>
    <s v="C2"/>
    <s v="4.Plan de pagos"/>
    <n v="929000"/>
    <n v="9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2900"/>
    <n v="-1"/>
    <n v="929000"/>
    <n v="1"/>
    <n v="92900"/>
    <m/>
    <s v="Vendido"/>
    <x v="0"/>
    <m/>
    <n v="0"/>
    <n v="0"/>
    <m/>
    <n v="26"/>
  </r>
  <r>
    <n v="1001"/>
    <s v="Antonio Rada"/>
    <s v=" Zonia Beariz Hernandez Herrera"/>
    <d v="2023-04-11T00:00:00"/>
    <s v="C4"/>
    <s v="4.Plan de pagos"/>
    <n v="1097100"/>
    <n v="109800"/>
    <n v="0"/>
    <n v="6000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0"/>
    <n v="88317"/>
    <n v="0.80434426229508194"/>
    <n v="-21483"/>
    <n v="-0.19565573770491804"/>
    <n v="1008783"/>
    <n v="0.91949958982772761"/>
    <n v="109800"/>
    <m/>
    <s v="Vendido"/>
    <x v="0"/>
    <n v="29"/>
    <n v="1"/>
    <n v="30"/>
    <n v="3579"/>
    <n v="23"/>
  </r>
  <r>
    <n v="1002"/>
    <s v="Antonio Rada"/>
    <s v="Evelin Yadira Orellana Ordoñez"/>
    <d v="2023-03-23T00:00:00"/>
    <s v="C1"/>
    <s v="4.Plan de pagos"/>
    <n v="1111200"/>
    <n v="216000"/>
    <n v="6000"/>
    <n v="0"/>
    <n v="12000"/>
    <n v="6000"/>
    <n v="6000"/>
    <n v="6000"/>
    <n v="6000"/>
    <n v="6000"/>
    <n v="6000"/>
    <n v="6000"/>
    <n v="6000"/>
    <n v="6000"/>
    <n v="0"/>
    <n v="0"/>
    <n v="18000"/>
    <n v="6000"/>
    <n v="0"/>
    <n v="6000"/>
    <n v="6000"/>
    <n v="6000"/>
    <n v="6000"/>
    <n v="6000"/>
    <n v="6000"/>
    <n v="6000"/>
    <n v="6000"/>
    <n v="0"/>
    <n v="144000"/>
    <n v="0.66666666666666663"/>
    <n v="-72000"/>
    <n v="-0.33333333333333331"/>
    <n v="967200"/>
    <n v="0.87041036717062636"/>
    <n v="216000"/>
    <m/>
    <s v="Vendido"/>
    <x v="0"/>
    <n v="35"/>
    <n v="1"/>
    <n v="36"/>
    <n v="6000"/>
    <n v="19"/>
  </r>
  <r>
    <n v="1003"/>
    <s v="Antonio Rada"/>
    <s v="Eduar Reginaldo Colindres Estrada"/>
    <d v="2023-04-26T00:00:00"/>
    <s v="A8"/>
    <s v="4.Plan de pagos"/>
    <n v="703500"/>
    <n v="70400"/>
    <n v="0"/>
    <n v="6000"/>
    <n v="0"/>
    <n v="2300"/>
    <n v="2300"/>
    <n v="2300"/>
    <n v="2300"/>
    <n v="2300"/>
    <n v="0"/>
    <n v="2300"/>
    <n v="4600"/>
    <n v="0"/>
    <n v="4600"/>
    <n v="2300"/>
    <n v="0"/>
    <n v="2300"/>
    <n v="2300"/>
    <n v="4600"/>
    <n v="0"/>
    <n v="4600"/>
    <n v="0"/>
    <n v="0"/>
    <n v="0"/>
    <n v="9600"/>
    <n v="0"/>
    <n v="0"/>
    <n v="54700"/>
    <n v="0.77698863636363635"/>
    <n v="-15700"/>
    <n v="-0.22301136363636365"/>
    <n v="648800"/>
    <n v="0.92224591329068939"/>
    <n v="70400"/>
    <m/>
    <s v="Vendido"/>
    <x v="0"/>
    <n v="28"/>
    <n v="1"/>
    <n v="29"/>
    <n v="2300"/>
    <n v="9"/>
  </r>
  <r>
    <n v="1004"/>
    <s v="Jose Franco"/>
    <s v=" Jorge Silva Sagastume"/>
    <d v="2023-05-16T00:00:00"/>
    <s v="A1"/>
    <s v="4.Plan de pagos"/>
    <n v="696469.08"/>
    <n v="69669.08"/>
    <n v="0"/>
    <n v="0"/>
    <n v="6000"/>
    <n v="2275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0"/>
    <n v="56029"/>
    <n v="0.804216160167466"/>
    <n v="-13640.080000000002"/>
    <n v="-0.19578383983253406"/>
    <n v="640440.07999999996"/>
    <n v="0.91955278186936884"/>
    <n v="69669.08"/>
    <m/>
    <s v="Vendido"/>
    <x v="0"/>
    <n v="28"/>
    <n v="1"/>
    <n v="29"/>
    <n v="2274"/>
    <n v="21"/>
  </r>
  <r>
    <n v="1005"/>
    <s v="Brenda Búcaro"/>
    <s v="Barbara Elizabeth Ixmucane Zapeta Albanés"/>
    <d v="2023-07-06T00:00:00"/>
    <s v="B5"/>
    <s v="4.Plan de pagos"/>
    <n v="941800"/>
    <n v="94200"/>
    <n v="0"/>
    <n v="0"/>
    <n v="0"/>
    <n v="0"/>
    <n v="6000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0"/>
    <n v="71340"/>
    <n v="0.75732484076433126"/>
    <n v="-22860"/>
    <n v="-0.24267515923566879"/>
    <n v="870460"/>
    <n v="0.92425143342535565"/>
    <n v="94200"/>
    <m/>
    <s v="Vendido"/>
    <x v="0"/>
    <n v="26"/>
    <n v="1"/>
    <n v="27"/>
    <n v="3267"/>
    <n v="20"/>
  </r>
  <r>
    <n v="1006"/>
    <s v="Antonio Rada"/>
    <s v="Diana Marisol Donis Cú"/>
    <d v="2024-02-21T00:00:00"/>
    <s v="B8"/>
    <s v="4.Plan de pagos"/>
    <n v="943100"/>
    <n v="94400"/>
    <n v="0"/>
    <n v="0"/>
    <n v="0"/>
    <n v="0"/>
    <n v="0"/>
    <n v="0"/>
    <n v="0"/>
    <n v="0"/>
    <n v="0"/>
    <n v="0"/>
    <n v="0"/>
    <n v="8000"/>
    <n v="0"/>
    <n v="9094"/>
    <n v="0"/>
    <n v="0"/>
    <n v="13641"/>
    <n v="0"/>
    <n v="0"/>
    <n v="0"/>
    <n v="0"/>
    <n v="18188"/>
    <n v="0"/>
    <n v="0"/>
    <n v="0"/>
    <n v="0"/>
    <n v="48923"/>
    <n v="0.51825211864406784"/>
    <n v="-45477"/>
    <n v="-0.48174788135593222"/>
    <n v="894177"/>
    <n v="0.9481253313540452"/>
    <n v="94400"/>
    <m/>
    <s v="Vendido"/>
    <x v="0"/>
    <n v="19"/>
    <n v="1"/>
    <n v="20"/>
    <n v="4547"/>
    <n v="0"/>
  </r>
  <r>
    <n v="1007"/>
    <s v="Brenda Búcaro"/>
    <s v="Marcela Alejandra Castro Marcía"/>
    <d v="2023-09-04T00:00:00"/>
    <s v="B4"/>
    <s v="4.Plan de pagos"/>
    <n v="901400"/>
    <n v="90200"/>
    <n v="0"/>
    <n v="0"/>
    <n v="0"/>
    <n v="0"/>
    <n v="0"/>
    <n v="0"/>
    <n v="6000"/>
    <n v="3368"/>
    <n v="3368"/>
    <n v="3368"/>
    <n v="3368"/>
    <n v="3368"/>
    <n v="3368"/>
    <n v="3368"/>
    <n v="0"/>
    <n v="6736"/>
    <n v="0"/>
    <n v="6736"/>
    <n v="3368"/>
    <n v="0"/>
    <n v="3368"/>
    <n v="6736"/>
    <n v="0"/>
    <n v="3368"/>
    <n v="3368"/>
    <n v="0"/>
    <n v="63256"/>
    <n v="0.70128603104212861"/>
    <n v="-26944"/>
    <n v="-0.29871396895787139"/>
    <n v="838144"/>
    <n v="0.92982471710672288"/>
    <n v="90200"/>
    <m/>
    <s v="Vendido"/>
    <x v="0"/>
    <n v="24"/>
    <n v="1"/>
    <n v="25"/>
    <n v="3368"/>
    <n v="11"/>
  </r>
  <r>
    <n v="1008"/>
    <s v="Antonio Rada"/>
    <s v="Jorge Roberto Arimany Comas"/>
    <d v="2024-04-19T00:00:00"/>
    <s v="B3"/>
    <s v="4.Plan de pagos"/>
    <n v="845100"/>
    <n v="84510"/>
    <n v="0"/>
    <n v="0"/>
    <n v="0"/>
    <n v="0"/>
    <n v="0"/>
    <n v="0"/>
    <n v="0"/>
    <n v="0"/>
    <n v="0"/>
    <n v="0"/>
    <n v="0"/>
    <n v="0"/>
    <n v="0"/>
    <n v="8000"/>
    <n v="0"/>
    <n v="0"/>
    <n v="0"/>
    <n v="0"/>
    <n v="0"/>
    <n v="0"/>
    <n v="0"/>
    <n v="0"/>
    <n v="0"/>
    <n v="0"/>
    <n v="0"/>
    <n v="0"/>
    <n v="8000"/>
    <n v="9.4663353449295939E-2"/>
    <n v="-76510"/>
    <n v="-0.90533664655070401"/>
    <n v="837100"/>
    <n v="0.99053366465507042"/>
    <n v="84510"/>
    <m/>
    <s v="Vendido"/>
    <x v="0"/>
    <m/>
    <n v="0"/>
    <n v="0"/>
    <m/>
    <n v="25"/>
  </r>
  <r>
    <n v="1009"/>
    <s v="Diana Alvarez"/>
    <s v="Augusto Alejandro Salazar Alecio Y Yosseline Yanira Moscoso Hidalgo "/>
    <d v="2024-11-06T00:00:00"/>
    <s v="E8"/>
    <s v="4.Plan de pagos"/>
    <n v="1515084.48"/>
    <n v="152084.48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000"/>
    <n v="8000"/>
    <n v="8000"/>
    <n v="8000"/>
    <n v="8000"/>
    <n v="50000"/>
    <n v="0.32876464449232423"/>
    <n v="-102084.48000000001"/>
    <n v="-0.67123535550767577"/>
    <n v="1465084.48"/>
    <n v="0.96699853990980089"/>
    <n v="152084.48000000001"/>
    <m/>
    <s v="Vendido"/>
    <x v="0"/>
    <m/>
    <n v="0"/>
    <n v="0"/>
    <m/>
    <n v="20"/>
  </r>
  <r>
    <n v="1010"/>
    <s v="Antonio Rada"/>
    <s v="Allan Donaldo Lapop Cárdemas"/>
    <d v="2023-08-27T00:00:00"/>
    <s v="A10"/>
    <s v="4.Plan de pagos"/>
    <n v="848900"/>
    <n v="84900"/>
    <n v="0"/>
    <n v="0"/>
    <n v="0"/>
    <n v="0"/>
    <n v="0"/>
    <n v="6000"/>
    <n v="3156"/>
    <n v="3156"/>
    <n v="3156"/>
    <n v="3156"/>
    <n v="3156"/>
    <n v="3156"/>
    <n v="3156"/>
    <n v="3156"/>
    <n v="3156"/>
    <n v="3500"/>
    <n v="5000"/>
    <n v="3156"/>
    <n v="4000"/>
    <n v="5000"/>
    <n v="3200"/>
    <n v="5240"/>
    <n v="4500"/>
    <n v="5000"/>
    <n v="5000"/>
    <n v="3200"/>
    <n v="81200"/>
    <n v="0.95641931684334514"/>
    <n v="-3700"/>
    <n v="-4.3580683156654886E-2"/>
    <n v="767700"/>
    <n v="0.90434680174343263"/>
    <n v="84900"/>
    <m/>
    <s v="Vendido"/>
    <x v="0"/>
    <n v="25"/>
    <n v="1"/>
    <n v="26"/>
    <n v="3156"/>
    <n v="10"/>
  </r>
  <r>
    <n v="1011"/>
    <s v="Brenda Búcaro"/>
    <s v="Sebastian Gutierrez Ruiz"/>
    <d v="2023-03-31T00:00:00"/>
    <s v="C10"/>
    <s v="4.Plan de pagos"/>
    <n v="1131525"/>
    <n v="113225"/>
    <n v="6000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0"/>
    <n v="3055"/>
    <n v="3055"/>
    <n v="3055"/>
    <n v="3055"/>
    <n v="3055"/>
    <n v="79320"/>
    <n v="0.7005519982336057"/>
    <n v="-33905"/>
    <n v="-0.29944800176639436"/>
    <n v="1052205"/>
    <n v="0.92989991383310133"/>
    <n v="113225"/>
    <m/>
    <s v="Vendido"/>
    <x v="0"/>
    <n v="35"/>
    <n v="1"/>
    <n v="36"/>
    <n v="3055"/>
    <n v="24"/>
  </r>
  <r>
    <n v="1012"/>
    <s v="Ronaldo"/>
    <s v="Iurix, S.A"/>
    <d v="2024-01-09T00:00:00"/>
    <s v="C7"/>
    <s v="4.Plan de pagos"/>
    <n v="973800"/>
    <n v="97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7380"/>
    <n v="-1"/>
    <n v="973800"/>
    <n v="1"/>
    <n v="97380"/>
    <m/>
    <s v="Vendido"/>
    <x v="0"/>
    <m/>
    <n v="0"/>
    <n v="0"/>
    <m/>
    <n v="26"/>
  </r>
  <r>
    <n v="1013"/>
    <s v="Brenda Búcaro"/>
    <s v="Byron Nehemías Ortega Ruiz"/>
    <d v="2023-09-12T00:00:00"/>
    <s v="B6"/>
    <s v="4.Plan de pagos"/>
    <n v="903600"/>
    <n v="90400"/>
    <n v="0"/>
    <n v="0"/>
    <n v="0"/>
    <n v="0"/>
    <n v="0"/>
    <n v="0"/>
    <n v="6000"/>
    <n v="3517"/>
    <n v="0"/>
    <n v="3517"/>
    <n v="0"/>
    <n v="3517"/>
    <n v="0"/>
    <n v="3517"/>
    <n v="7034"/>
    <n v="3517"/>
    <n v="7034"/>
    <n v="0"/>
    <n v="3517"/>
    <n v="3517"/>
    <n v="3517"/>
    <n v="3517"/>
    <n v="0"/>
    <n v="0"/>
    <n v="7034"/>
    <n v="0"/>
    <n v="58755"/>
    <n v="0.64994469026548674"/>
    <n v="-31645"/>
    <n v="-0.35005530973451326"/>
    <n v="844845"/>
    <n v="0.93497675962815407"/>
    <n v="90400"/>
    <m/>
    <s v="Vendido"/>
    <x v="0"/>
    <n v="24"/>
    <n v="1"/>
    <n v="25"/>
    <n v="3517"/>
    <n v="9"/>
  </r>
  <r>
    <n v="1014"/>
    <s v="Antonio Rada"/>
    <s v="Jorge Antonio Reyes Ochoa"/>
    <d v="2023-06-11T00:00:00"/>
    <s v="B1"/>
    <s v="4.Plan de pagos"/>
    <n v="883300"/>
    <n v="88400"/>
    <n v="0"/>
    <n v="0"/>
    <n v="0"/>
    <n v="6000"/>
    <n v="3052"/>
    <n v="3052"/>
    <n v="3052"/>
    <n v="3052"/>
    <n v="0"/>
    <n v="3052"/>
    <n v="3052"/>
    <n v="3052"/>
    <n v="0"/>
    <n v="6104"/>
    <n v="0"/>
    <n v="3052"/>
    <n v="6104"/>
    <n v="0"/>
    <n v="3052"/>
    <n v="6104"/>
    <n v="3052"/>
    <n v="0"/>
    <n v="3052"/>
    <n v="0"/>
    <n v="3052"/>
    <n v="6104"/>
    <n v="67040"/>
    <n v="0.75837104072398187"/>
    <n v="-21360"/>
    <n v="-0.2416289592760181"/>
    <n v="816260"/>
    <n v="0.92410279633193704"/>
    <n v="88400"/>
    <m/>
    <s v="Vendido"/>
    <x v="0"/>
    <n v="27"/>
    <n v="1"/>
    <n v="28"/>
    <n v="3049"/>
    <n v="0"/>
  </r>
  <r>
    <n v="1015"/>
    <s v="Antonio Rada"/>
    <s v="Pedro Luis Artero Bran"/>
    <d v="2023-04-19T00:00:00"/>
    <s v="E2"/>
    <s v="4.Plan de pagos"/>
    <n v="1333600"/>
    <n v="133360"/>
    <n v="0"/>
    <n v="6000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0"/>
    <n v="107039"/>
    <n v="0.80263197360527894"/>
    <n v="-26321"/>
    <n v="-0.19736802639472106"/>
    <n v="1226561"/>
    <n v="0.91973680263947211"/>
    <n v="133360"/>
    <m/>
    <s v="Vendido"/>
    <x v="0"/>
    <n v="29"/>
    <n v="1"/>
    <n v="30"/>
    <n v="4393"/>
    <n v="23"/>
  </r>
  <r>
    <n v="1016"/>
    <s v="Brenda Búcaro"/>
    <s v="Sergio Enrique Bolaños López"/>
    <d v="2023-04-16T00:00:00"/>
    <s v="A2"/>
    <s v="4.Plan de pagos"/>
    <n v="651600"/>
    <n v="65200"/>
    <n v="0"/>
    <n v="6000"/>
    <n v="0"/>
    <n v="0"/>
    <n v="2000"/>
    <n v="2000"/>
    <n v="0"/>
    <n v="0"/>
    <n v="0"/>
    <n v="0"/>
    <n v="6000"/>
    <n v="2000"/>
    <n v="0"/>
    <n v="4000"/>
    <n v="4000"/>
    <n v="0"/>
    <n v="2000"/>
    <n v="2000"/>
    <n v="0"/>
    <n v="2000"/>
    <n v="0"/>
    <n v="0"/>
    <n v="2000"/>
    <n v="2000"/>
    <n v="5000"/>
    <n v="0"/>
    <n v="41000"/>
    <n v="0.62883435582822089"/>
    <n v="-24200"/>
    <n v="-0.37116564417177916"/>
    <n v="610600"/>
    <n v="0.93707796193984039"/>
    <n v="65200"/>
    <m/>
    <s v="Vendido"/>
    <x v="0"/>
    <n v="29"/>
    <n v="1"/>
    <n v="30"/>
    <n v="2000"/>
    <n v="8"/>
  </r>
  <r>
    <n v="1017"/>
    <s v="Brenda Búcaro"/>
    <s v="Irene Alejandra Reyes Guzmán"/>
    <d v="2023-04-16T00:00:00"/>
    <s v="A6"/>
    <s v="4.Plan de pagos"/>
    <n v="663200"/>
    <n v="66400"/>
    <n v="0"/>
    <n v="6000"/>
    <n v="0"/>
    <n v="0"/>
    <n v="4000"/>
    <n v="0"/>
    <n v="0"/>
    <n v="0"/>
    <n v="2000"/>
    <n v="2000"/>
    <n v="2000"/>
    <n v="0"/>
    <n v="0"/>
    <n v="2000"/>
    <n v="2000"/>
    <n v="2000"/>
    <n v="6000"/>
    <n v="2000"/>
    <n v="0"/>
    <n v="2000"/>
    <n v="0"/>
    <n v="0"/>
    <n v="2000"/>
    <n v="2000"/>
    <n v="0"/>
    <n v="4000"/>
    <n v="40000"/>
    <n v="0.60240963855421692"/>
    <n v="-26400"/>
    <n v="-0.39759036144578314"/>
    <n v="623200"/>
    <n v="0.93968636911942094"/>
    <n v="66400"/>
    <m/>
    <s v="Vendido"/>
    <x v="0"/>
    <n v="29"/>
    <n v="1"/>
    <n v="30"/>
    <n v="2000"/>
    <n v="10"/>
  </r>
  <r>
    <n v="1018"/>
    <s v="Antonio Rada"/>
    <s v="Corporacion Fb Sociedad Anonima"/>
    <d v="2023-08-03T00:00:00"/>
    <s v="A3"/>
    <s v="4.Plan de pagos"/>
    <n v="690627.17"/>
    <n v="69127.17"/>
    <n v="0"/>
    <n v="0"/>
    <n v="0"/>
    <n v="0"/>
    <n v="0"/>
    <n v="6000"/>
    <n v="63127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127.17"/>
    <n v="1"/>
    <n v="0"/>
    <n v="0"/>
    <n v="621500"/>
    <n v="0.89990667468237595"/>
    <n v="69127.17"/>
    <m/>
    <s v="Vendido"/>
    <x v="3"/>
    <n v="1"/>
    <n v="0"/>
    <n v="1"/>
    <n v="69127.17"/>
    <n v="0"/>
  </r>
  <r>
    <n v="1019"/>
    <s v="Antonio Rada"/>
    <s v="Marta Haydee Hurtarte Ruano De Sánchez"/>
    <d v="2023-03-31T00:00:00"/>
    <s v="C3"/>
    <s v="4.Plan de pagos"/>
    <n v="913168.92461999995"/>
    <n v="154568.92000000001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3.8817635524657862E-2"/>
    <n v="-148568.92000000001"/>
    <n v="-0.96118236447534211"/>
    <n v="907168.92461999995"/>
    <n v="0.99342947417697469"/>
    <n v="154568.92000000001"/>
    <m/>
    <s v="Vendido"/>
    <x v="0"/>
    <n v="29"/>
    <n v="1"/>
    <n v="30"/>
    <n v="5121"/>
    <n v="0"/>
  </r>
  <r>
    <n v="1020"/>
    <s v="Antonio Rada"/>
    <s v="Rolando Edwin Villatoro Hernandez"/>
    <d v="2025-02-26T00:00:00"/>
    <s v="C2"/>
    <s v="2. Reserva"/>
    <n v="1259997.3799999999"/>
    <n v="12599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7000"/>
    <n v="0"/>
    <n v="10000"/>
    <n v="7.9366735988219445E-2"/>
    <n v="-115997.37"/>
    <n v="-0.92063326401178058"/>
    <n v="1249997.3799999999"/>
    <n v="0.99206347556056029"/>
    <n v="125997.37"/>
    <m/>
    <s v="Vendido"/>
    <x v="0"/>
    <m/>
    <n v="0"/>
    <n v="0"/>
    <m/>
    <n v="24"/>
  </r>
  <r>
    <n v="1101"/>
    <s v="Antonio Rada"/>
    <s v="Maria Fernanda Contreras Lopez"/>
    <d v="2024-03-23T00:00:00"/>
    <s v="D10"/>
    <s v="4.Plan de pagos"/>
    <n v="1176700"/>
    <n v="117700"/>
    <n v="0"/>
    <n v="0"/>
    <n v="0"/>
    <n v="0"/>
    <n v="0"/>
    <n v="0"/>
    <n v="0"/>
    <n v="0"/>
    <n v="0"/>
    <n v="0"/>
    <n v="0"/>
    <n v="0"/>
    <n v="8000"/>
    <n v="6094"/>
    <n v="6094"/>
    <n v="6094"/>
    <n v="6094"/>
    <n v="6094"/>
    <n v="6094"/>
    <n v="6094"/>
    <n v="6094"/>
    <n v="6094"/>
    <n v="6094"/>
    <n v="6094"/>
    <n v="6094"/>
    <n v="0"/>
    <n v="81128"/>
    <n v="0.68927782497875956"/>
    <n v="-36572"/>
    <n v="-0.31072217502124044"/>
    <n v="1095572"/>
    <n v="0.93105464434435281"/>
    <n v="117700"/>
    <m/>
    <s v="Vendido"/>
    <x v="0"/>
    <n v="18"/>
    <n v="1"/>
    <n v="19"/>
    <n v="6094"/>
    <n v="12"/>
  </r>
  <r>
    <n v="1102"/>
    <s v="Antonio Rada"/>
    <s v="Luis Alberto Lopez Velasquez"/>
    <d v="2023-03-31T00:00:00"/>
    <s v="D11"/>
    <s v="4.Plan de pagos"/>
    <n v="1152100"/>
    <n v="115300"/>
    <n v="6000"/>
    <n v="0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0"/>
    <n v="79945"/>
    <n v="0.69336513443191672"/>
    <n v="-35355"/>
    <n v="-0.30663486556808328"/>
    <n v="1072155"/>
    <n v="0.93060932210745595"/>
    <n v="115300"/>
    <m/>
    <s v="Vendido"/>
    <x v="0"/>
    <n v="34"/>
    <n v="1"/>
    <n v="35"/>
    <n v="3215"/>
    <n v="23"/>
  </r>
  <r>
    <n v="1103"/>
    <s v="Antonio Rada"/>
    <s v=" Samuel Hiram Salazar Say"/>
    <d v="2023-04-25T00:00:00"/>
    <s v="B4"/>
    <s v="4.Plan de pagos"/>
    <n v="901400"/>
    <n v="180300"/>
    <n v="0"/>
    <n v="6000"/>
    <n v="0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0"/>
    <n v="142950"/>
    <n v="0.79284525790349414"/>
    <n v="-37350"/>
    <n v="-0.20715474209650583"/>
    <n v="758450"/>
    <n v="0.84141335700022191"/>
    <n v="180300"/>
    <m/>
    <s v="Vendido"/>
    <x v="0"/>
    <n v="28"/>
    <n v="1"/>
    <n v="29"/>
    <n v="6225"/>
    <n v="22"/>
  </r>
  <r>
    <n v="1104"/>
    <s v="Antonio Rada"/>
    <s v="Denisse Hortencia Alarcon Diaz"/>
    <d v="2024-02-21T00:00:00"/>
    <s v="B3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67542"/>
    <n v="0.76060810810810808"/>
    <n v="-21258"/>
    <n v="-0.23939189189189189"/>
    <n v="819858"/>
    <n v="0.92388776200135225"/>
    <n v="88800"/>
    <m/>
    <s v="Vendido"/>
    <x v="0"/>
    <n v="19"/>
    <n v="1"/>
    <n v="20"/>
    <n v="4253"/>
    <n v="14"/>
  </r>
  <r>
    <n v="1105"/>
    <s v="Brenda Búcaro"/>
    <s v=" Luis Pedro Escobedo Del Cid"/>
    <d v="2023-03-27T00:00:00"/>
    <s v="A6"/>
    <s v="4.Plan de pagos"/>
    <n v="657892.69999999995"/>
    <n v="65892.7"/>
    <n v="15000"/>
    <n v="1000"/>
    <n v="1000"/>
    <n v="0"/>
    <n v="2000"/>
    <n v="2000"/>
    <n v="1000"/>
    <n v="1000"/>
    <n v="1000"/>
    <n v="1000"/>
    <n v="0"/>
    <n v="1000"/>
    <n v="0"/>
    <n v="2000"/>
    <n v="0"/>
    <n v="1000"/>
    <n v="1000"/>
    <n v="1000"/>
    <n v="1000"/>
    <n v="1000"/>
    <n v="1000"/>
    <n v="1000"/>
    <n v="1000"/>
    <n v="1000"/>
    <n v="1000"/>
    <n v="1500"/>
    <n v="39500"/>
    <n v="0.59945942418507669"/>
    <n v="-26392.699999999997"/>
    <n v="-0.40054057581492331"/>
    <n v="618392.69999999995"/>
    <n v="0.93995981411558449"/>
    <n v="65892.7"/>
    <m/>
    <s v="Vendido"/>
    <x v="0"/>
    <n v="35"/>
    <n v="1"/>
    <n v="36"/>
    <n v="1000"/>
    <n v="17"/>
  </r>
  <r>
    <n v="1106"/>
    <s v="Antonio Rada"/>
    <s v="Emerson Emanuel Menendez Rodas"/>
    <d v="2023-04-27T00:00:00"/>
    <s v="A4"/>
    <s v="4.Plan de pagos"/>
    <n v="661100"/>
    <n v="66200"/>
    <n v="0"/>
    <n v="12000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0"/>
    <n v="3738"/>
    <n v="1869"/>
    <n v="0"/>
    <n v="54987"/>
    <n v="0.83061933534743204"/>
    <n v="-11213"/>
    <n v="-0.16938066465256799"/>
    <n v="606113"/>
    <n v="0.91682498865527151"/>
    <n v="66200"/>
    <m/>
    <s v="Vendido"/>
    <x v="0"/>
    <n v="29"/>
    <n v="1"/>
    <n v="30"/>
    <n v="1869"/>
    <n v="21"/>
  </r>
  <r>
    <n v="1107"/>
    <s v="Ronaldo"/>
    <s v="International Coffee Industry, S.A"/>
    <d v="2024-01-09T00:00:00"/>
    <s v="A12"/>
    <s v="4.Plan de pagos"/>
    <n v="685200"/>
    <n v="68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68520"/>
    <n v="-1"/>
    <n v="685200"/>
    <n v="1"/>
    <n v="68520"/>
    <m/>
    <s v="Vendido"/>
    <x v="0"/>
    <m/>
    <n v="0"/>
    <n v="0"/>
    <m/>
    <n v="26"/>
  </r>
  <r>
    <n v="1108"/>
    <s v="Brenda Búcaro"/>
    <s v="Denis Orlando Coto Zelaya"/>
    <d v="2023-03-28T00:00:00"/>
    <s v="C6"/>
    <s v="4.Plan de pagos"/>
    <n v="1100438.98"/>
    <n v="110138.98"/>
    <n v="6000"/>
    <n v="0"/>
    <n v="0"/>
    <n v="0"/>
    <n v="0"/>
    <n v="0"/>
    <n v="0"/>
    <n v="0"/>
    <n v="0"/>
    <n v="0"/>
    <n v="0"/>
    <n v="0"/>
    <n v="0"/>
    <n v="0"/>
    <n v="15000"/>
    <n v="0"/>
    <n v="0"/>
    <n v="0"/>
    <n v="0"/>
    <n v="0"/>
    <n v="0"/>
    <n v="0"/>
    <n v="0"/>
    <n v="0"/>
    <n v="0"/>
    <n v="0"/>
    <n v="21000"/>
    <n v="0.19066819031736085"/>
    <n v="-89138.98"/>
    <n v="-0.80933180968263918"/>
    <n v="1079438.98"/>
    <n v="0.98091670653106089"/>
    <n v="110138.98"/>
    <m/>
    <s v="Vendido"/>
    <x v="0"/>
    <n v="35"/>
    <n v="1"/>
    <n v="36"/>
    <s v="Caso esp"/>
    <n v="0"/>
  </r>
  <r>
    <n v="1109"/>
    <s v="Antonio Rada"/>
    <s v="Fausto Norberth Mendez Melgar"/>
    <d v="2023-12-03T00:00:00"/>
    <s v="C5"/>
    <s v="4.Plan de pagos"/>
    <n v="1182285.73"/>
    <n v="118285.73"/>
    <n v="0"/>
    <n v="0"/>
    <n v="0"/>
    <n v="0"/>
    <n v="0"/>
    <n v="0"/>
    <n v="0"/>
    <n v="0"/>
    <n v="0"/>
    <n v="5500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0"/>
    <n v="86065"/>
    <n v="0.72760256034265502"/>
    <n v="-32220.729999999996"/>
    <n v="-0.27239743965734498"/>
    <n v="1096220.73"/>
    <n v="0.92720456839143273"/>
    <n v="118285.73"/>
    <m/>
    <s v="Vendido"/>
    <x v="0"/>
    <n v="21"/>
    <n v="1"/>
    <n v="22"/>
    <n v="5371"/>
    <n v="15"/>
  </r>
  <r>
    <n v="1110"/>
    <s v="Antonio Rada"/>
    <s v="Juan Carlos Lantzendorffer Haas"/>
    <d v="2023-06-05T00:00:00"/>
    <s v="C6"/>
    <s v="4.Plan de pagos"/>
    <n v="1166200"/>
    <n v="116700"/>
    <n v="0"/>
    <n v="0"/>
    <n v="0"/>
    <n v="6000"/>
    <n v="0"/>
    <n v="0"/>
    <n v="3954"/>
    <n v="3954"/>
    <n v="3954"/>
    <n v="3954"/>
    <n v="3954"/>
    <n v="3954"/>
    <n v="3954"/>
    <n v="0"/>
    <n v="3954"/>
    <n v="3954"/>
    <n v="3954"/>
    <n v="7908"/>
    <n v="0"/>
    <n v="3954"/>
    <n v="0"/>
    <n v="3954"/>
    <n v="0"/>
    <n v="15816"/>
    <n v="0"/>
    <n v="0"/>
    <n v="77172"/>
    <n v="0.66128534704370179"/>
    <n v="-39528"/>
    <n v="-0.33871465295629821"/>
    <n v="1089028"/>
    <n v="0.93382610186931914"/>
    <n v="116700"/>
    <m/>
    <s v="Vendido"/>
    <x v="0"/>
    <n v="28"/>
    <n v="1"/>
    <n v="29"/>
    <n v="3954"/>
    <n v="12"/>
  </r>
  <r>
    <n v="1111"/>
    <s v="Antonio Rada"/>
    <s v="Erika Ruth Castro Juarez"/>
    <d v="2024-02-07T00:00:00"/>
    <s v="C5"/>
    <s v="4.Plan de pagos"/>
    <n v="1193202.5"/>
    <n v="119402.5"/>
    <n v="0"/>
    <n v="0"/>
    <n v="0"/>
    <n v="0"/>
    <n v="0"/>
    <n v="0"/>
    <n v="0"/>
    <n v="0"/>
    <n v="0"/>
    <n v="0"/>
    <n v="0"/>
    <n v="8000"/>
    <n v="5859"/>
    <n v="5859"/>
    <n v="5859"/>
    <n v="5859"/>
    <n v="5859"/>
    <n v="5859"/>
    <n v="5859"/>
    <n v="5859"/>
    <n v="5859"/>
    <n v="5859"/>
    <n v="5859"/>
    <n v="5859"/>
    <n v="5859"/>
    <n v="5859"/>
    <n v="90026"/>
    <n v="0.75397081300642788"/>
    <n v="-29376.5"/>
    <n v="-0.24602918699357215"/>
    <n v="1103176.5"/>
    <n v="0.9245509458788429"/>
    <n v="119402.5"/>
    <m/>
    <s v="Vendido"/>
    <x v="0"/>
    <n v="19"/>
    <n v="1"/>
    <n v="20"/>
    <n v="5863"/>
    <n v="0"/>
  </r>
  <r>
    <n v="1112"/>
    <s v="Antonio Rada"/>
    <s v="Grupo Sak Y Sak, S.A."/>
    <d v="2023-06-06T00:00:00"/>
    <s v="A8"/>
    <s v="4.Plan de pagos"/>
    <n v="690627.17"/>
    <n v="690627.17"/>
    <n v="0"/>
    <n v="0"/>
    <n v="0"/>
    <n v="75062.720000000001"/>
    <n v="22799"/>
    <n v="22799"/>
    <n v="22799"/>
    <n v="22799"/>
    <n v="22799"/>
    <n v="22799"/>
    <n v="22799"/>
    <n v="22799"/>
    <n v="22799"/>
    <n v="0"/>
    <n v="0"/>
    <n v="45598"/>
    <n v="22799"/>
    <n v="22799"/>
    <n v="22799"/>
    <n v="22799"/>
    <n v="22799"/>
    <n v="22799"/>
    <n v="22799"/>
    <n v="22799"/>
    <n v="0"/>
    <n v="0"/>
    <n v="508243.72"/>
    <n v="0.73591619628865734"/>
    <n v="-182383.45000000007"/>
    <n v="-0.26408380371134266"/>
    <n v="182383.45000000007"/>
    <n v="0.26408380371134266"/>
    <n v="690627.17"/>
    <m/>
    <s v="Vendido"/>
    <x v="0"/>
    <n v="27"/>
    <n v="1"/>
    <n v="28"/>
    <n v="22799"/>
    <n v="17"/>
  </r>
  <r>
    <n v="1113"/>
    <s v="Jose Franco"/>
    <s v="Marcas &amp; Secretos, S.A."/>
    <d v="2023-04-05T00:00:00"/>
    <s v="A2"/>
    <s v="4.Plan de pagos"/>
    <n v="64563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0"/>
    <n v="52000"/>
    <n v="0.80446789090177762"/>
    <n v="-12639"/>
    <n v="-0.19553210909822244"/>
    <n v="593639"/>
    <n v="0.91945963611244053"/>
    <n v="64639"/>
    <m/>
    <s v="Vendido"/>
    <x v="0"/>
    <n v="29"/>
    <n v="1"/>
    <n v="30"/>
    <n v="2000"/>
    <n v="19"/>
  </r>
  <r>
    <n v="1114"/>
    <s v="Antonio Rada"/>
    <s v="Clara Hilda Maria Falla Bianchi De Cruz-Gomar"/>
    <d v="2024-05-28T00:00:00"/>
    <s v="A11"/>
    <s v="4.Plan de pagos"/>
    <n v="801793.67"/>
    <n v="77986.52"/>
    <n v="0"/>
    <n v="0"/>
    <n v="0"/>
    <n v="0"/>
    <n v="0"/>
    <n v="0"/>
    <n v="0"/>
    <n v="0"/>
    <n v="0"/>
    <n v="0"/>
    <n v="0"/>
    <n v="0"/>
    <n v="0"/>
    <n v="0"/>
    <n v="8000"/>
    <n v="0"/>
    <n v="7368"/>
    <n v="7368"/>
    <n v="0"/>
    <n v="3684"/>
    <n v="7368"/>
    <n v="0"/>
    <n v="7368"/>
    <n v="0"/>
    <n v="3684"/>
    <n v="0"/>
    <n v="44840"/>
    <n v="0.57497116168281392"/>
    <n v="-33146.520000000004"/>
    <n v="-0.42502883831718613"/>
    <n v="756953.67"/>
    <n v="0.94407538787379053"/>
    <n v="77986.52"/>
    <m/>
    <s v="Vendido"/>
    <x v="0"/>
    <n v="16"/>
    <n v="1"/>
    <n v="17"/>
    <n v="3684"/>
    <n v="2"/>
  </r>
  <r>
    <n v="1115"/>
    <m/>
    <m/>
    <m/>
    <s v="B4"/>
    <s v="1.Disponible"/>
    <n v="1142630.20477101"/>
    <n v="114263.02047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2630.20477101"/>
    <n v="1"/>
    <n v="0"/>
    <m/>
    <s v="Apartamento Disponible"/>
    <x v="1"/>
    <m/>
    <n v="0"/>
    <n v="0"/>
    <m/>
    <n v="26"/>
  </r>
  <r>
    <n v="1116"/>
    <s v="Antonio Rada"/>
    <s v="Francisco Javier Arriaza Reyes"/>
    <d v="2024-02-15T00:00:00"/>
    <s v="B3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0"/>
    <n v="0"/>
    <n v="0"/>
    <n v="0"/>
    <n v="0"/>
    <n v="0"/>
    <n v="10000"/>
    <n v="0"/>
    <n v="43518"/>
    <n v="0.49006756756756759"/>
    <n v="-45282"/>
    <n v="-0.50993243243243247"/>
    <n v="843882"/>
    <n v="0.95096010818120347"/>
    <n v="88800"/>
    <m/>
    <s v="Vendido"/>
    <x v="0"/>
    <n v="19"/>
    <n v="1"/>
    <n v="20"/>
    <n v="4253"/>
    <n v="6"/>
  </r>
  <r>
    <n v="1117"/>
    <s v="Antonio Rada"/>
    <s v="Jerson Leonel Chavez Martinez"/>
    <d v="2023-12-14T00:00:00"/>
    <s v="D10"/>
    <s v="4.Plan de pagos"/>
    <n v="1165934.22"/>
    <n v="116634.22"/>
    <n v="0"/>
    <n v="0"/>
    <n v="0"/>
    <n v="0"/>
    <n v="0"/>
    <n v="0"/>
    <n v="0"/>
    <n v="0"/>
    <n v="0"/>
    <n v="5500"/>
    <n v="5292"/>
    <n v="5292"/>
    <n v="5292"/>
    <n v="5292"/>
    <n v="5292"/>
    <n v="0"/>
    <n v="10584"/>
    <n v="5292"/>
    <n v="5292"/>
    <n v="5292"/>
    <n v="0"/>
    <n v="10584"/>
    <n v="5292"/>
    <n v="0"/>
    <n v="10584"/>
    <n v="0"/>
    <n v="84880"/>
    <n v="0.72774525349421459"/>
    <n v="-31754.22"/>
    <n v="-0.27225474650578535"/>
    <n v="1081054.22"/>
    <n v="0.92720000961975368"/>
    <n v="116634.22"/>
    <m/>
    <s v="Vendido"/>
    <x v="0"/>
    <n v="21"/>
    <n v="1"/>
    <n v="22"/>
    <n v="5292"/>
    <n v="9"/>
  </r>
  <r>
    <n v="1118"/>
    <s v="Antonio Rada"/>
    <s v="Jose Raul Velasco Ferregno"/>
    <d v="2024-06-20T00:00:00"/>
    <s v="D11"/>
    <s v="4.Plan de pagos"/>
    <n v="1181000"/>
    <n v="118100"/>
    <n v="0"/>
    <n v="0"/>
    <n v="0"/>
    <n v="0"/>
    <n v="0"/>
    <n v="0"/>
    <n v="0"/>
    <n v="0"/>
    <n v="0"/>
    <n v="0"/>
    <n v="0"/>
    <n v="0"/>
    <n v="0"/>
    <n v="0"/>
    <n v="0"/>
    <n v="10000"/>
    <n v="6006"/>
    <n v="6006"/>
    <n v="6006"/>
    <n v="6006"/>
    <n v="6006"/>
    <n v="6006"/>
    <n v="6006"/>
    <n v="6006"/>
    <n v="6006"/>
    <n v="0"/>
    <n v="64054"/>
    <n v="0.54237087214225232"/>
    <n v="-54046"/>
    <n v="-0.45762912785774768"/>
    <n v="1116946"/>
    <n v="0.94576291278577473"/>
    <n v="118100"/>
    <m/>
    <s v="Vendido"/>
    <x v="0"/>
    <n v="18"/>
    <n v="1"/>
    <n v="19"/>
    <n v="6006"/>
    <n v="9"/>
  </r>
  <r>
    <n v="1201"/>
    <s v="Antonio Rada"/>
    <s v="Rogelio Alejandro Ochoa Hernandez"/>
    <d v="2024-06-18T00:00:00"/>
    <s v="D4"/>
    <s v="4.Plan de pagos"/>
    <n v="1253700"/>
    <n v="125400"/>
    <n v="0"/>
    <n v="0"/>
    <n v="0"/>
    <n v="0"/>
    <n v="0"/>
    <n v="0"/>
    <n v="0"/>
    <n v="0"/>
    <n v="0"/>
    <n v="0"/>
    <n v="0"/>
    <n v="0"/>
    <n v="0"/>
    <n v="0"/>
    <n v="0"/>
    <n v="10000"/>
    <n v="6500"/>
    <n v="6500"/>
    <n v="6500"/>
    <n v="6500"/>
    <n v="0"/>
    <n v="6500"/>
    <n v="6500"/>
    <n v="6500"/>
    <n v="0"/>
    <n v="0"/>
    <n v="55500"/>
    <n v="0.44258373205741625"/>
    <n v="-69900"/>
    <n v="-0.5574162679425837"/>
    <n v="1198200"/>
    <n v="0.95573103613304622"/>
    <n v="125400"/>
    <m/>
    <s v="Vendido"/>
    <x v="0"/>
    <n v="18"/>
    <n v="1"/>
    <n v="19"/>
    <n v="6500"/>
    <n v="7"/>
  </r>
  <r>
    <n v="1202"/>
    <s v="Antonio Rada"/>
    <s v="Edwin Steven Quiroa Sitamul"/>
    <d v="2024-02-28T00:00:00"/>
    <s v="D1"/>
    <s v="4.Plan de pagos"/>
    <n v="1265500"/>
    <n v="126600"/>
    <n v="0"/>
    <n v="0"/>
    <n v="0"/>
    <n v="0"/>
    <n v="0"/>
    <n v="0"/>
    <n v="0"/>
    <n v="0"/>
    <n v="0"/>
    <n v="0"/>
    <n v="0"/>
    <n v="8000"/>
    <n v="6242"/>
    <n v="6242"/>
    <n v="6242"/>
    <n v="6242"/>
    <n v="6242"/>
    <n v="6242"/>
    <n v="6242"/>
    <n v="6242"/>
    <n v="6242"/>
    <n v="6242"/>
    <n v="6242"/>
    <n v="6242"/>
    <n v="6242"/>
    <n v="0"/>
    <n v="89146"/>
    <n v="0.70415481832543447"/>
    <n v="-37454"/>
    <n v="-0.29584518167456558"/>
    <n v="1176354"/>
    <n v="0.92955669695772425"/>
    <n v="126600"/>
    <m/>
    <s v="Vendido"/>
    <x v="0"/>
    <n v="19"/>
    <n v="1"/>
    <n v="20"/>
    <n v="6242"/>
    <n v="13"/>
  </r>
  <r>
    <n v="1203"/>
    <s v="Antonio Rada"/>
    <s v="Allan Vinicio Velásquez León"/>
    <d v="2023-08-27T00:00:00"/>
    <s v="B4"/>
    <s v="4.Plan de pagos"/>
    <n v="901400"/>
    <n v="90200"/>
    <n v="0"/>
    <n v="0"/>
    <n v="0"/>
    <n v="0"/>
    <n v="0"/>
    <n v="6000"/>
    <n v="3630"/>
    <n v="3630"/>
    <n v="0"/>
    <n v="7260"/>
    <n v="3630"/>
    <n v="0"/>
    <n v="3630"/>
    <n v="7260"/>
    <n v="0"/>
    <n v="7260"/>
    <n v="0"/>
    <n v="0"/>
    <n v="3630"/>
    <n v="3630"/>
    <n v="7260"/>
    <n v="0"/>
    <n v="0"/>
    <n v="10890"/>
    <n v="0"/>
    <n v="0"/>
    <n v="67710"/>
    <n v="0.75066518847006647"/>
    <n v="-22490"/>
    <n v="-0.24933481152993348"/>
    <n v="833690"/>
    <n v="0.9248835145329487"/>
    <n v="90200"/>
    <m/>
    <s v="Vendido"/>
    <x v="0"/>
    <n v="25"/>
    <n v="1"/>
    <n v="26"/>
    <n v="3368"/>
    <n v="0"/>
  </r>
  <r>
    <n v="1204"/>
    <s v="Antonio Rada"/>
    <s v="Josselin Alejandra Turcios Orantes"/>
    <d v="2024-02-14T00:00:00"/>
    <s v="B3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4253"/>
    <n v="4253"/>
    <n v="4253"/>
    <n v="4253"/>
    <n v="4253"/>
    <n v="4253"/>
    <n v="4253"/>
    <n v="0"/>
    <n v="63289"/>
    <n v="0.71271396396396391"/>
    <n v="-25511"/>
    <n v="-0.28728603603603603"/>
    <n v="824111"/>
    <n v="0.92868041469461349"/>
    <n v="88800"/>
    <m/>
    <s v="Vendido"/>
    <x v="0"/>
    <n v="19"/>
    <n v="1"/>
    <n v="20"/>
    <n v="4253"/>
    <n v="13"/>
  </r>
  <r>
    <n v="1205"/>
    <s v="Antonio Rada"/>
    <s v="Andrea Nicole Mansilla Fuentes"/>
    <d v="2023-03-25T00:00:00"/>
    <s v="A6"/>
    <s v="4.Plan de pagos"/>
    <n v="663200"/>
    <n v="66400"/>
    <n v="6000"/>
    <n v="1726"/>
    <n v="1726"/>
    <n v="1726"/>
    <n v="1726"/>
    <n v="1726"/>
    <n v="1726"/>
    <n v="1730"/>
    <n v="1730"/>
    <n v="0"/>
    <n v="3450"/>
    <n v="0"/>
    <n v="3500"/>
    <n v="2500"/>
    <n v="1800"/>
    <n v="1800"/>
    <n v="1800"/>
    <n v="1900"/>
    <n v="1800"/>
    <n v="0"/>
    <n v="1800"/>
    <n v="3600"/>
    <n v="0"/>
    <n v="1800"/>
    <n v="1800"/>
    <n v="0"/>
    <n v="47366"/>
    <n v="0.71334337349397592"/>
    <n v="-19034"/>
    <n v="-0.28665662650602408"/>
    <n v="615834"/>
    <n v="0.92857961399276234"/>
    <n v="66400"/>
    <m/>
    <s v="Vendido"/>
    <x v="0"/>
    <n v="35"/>
    <n v="1"/>
    <n v="36"/>
    <n v="1726"/>
    <n v="6"/>
  </r>
  <r>
    <n v="1206"/>
    <s v="Jose Franco"/>
    <s v="Juan José Silva Pacheco"/>
    <d v="2023-05-16T00:00:00"/>
    <s v="A4"/>
    <s v="4.Plan de pagos"/>
    <n v="691118.49"/>
    <n v="69118.490000000005"/>
    <n v="0"/>
    <n v="0"/>
    <n v="6000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0"/>
    <n v="55588"/>
    <n v="0.80424210656222372"/>
    <n v="-13530.490000000005"/>
    <n v="-0.19575789343777628"/>
    <n v="635530.49"/>
    <n v="0.91956806133200109"/>
    <n v="69118.490000000005"/>
    <m/>
    <s v="Vendido"/>
    <x v="0"/>
    <n v="28"/>
    <n v="1"/>
    <n v="29"/>
    <n v="2254"/>
    <n v="22"/>
  </r>
  <r>
    <n v="1207"/>
    <s v="Jose Franco"/>
    <s v=" David Arimany Monzón"/>
    <d v="2023-03-27T00:00:00"/>
    <s v="A12"/>
    <s v="4.Plan de pagos"/>
    <n v="678932"/>
    <n v="67932"/>
    <n v="6000"/>
    <n v="1500"/>
    <n v="1500"/>
    <n v="0"/>
    <n v="0"/>
    <n v="0"/>
    <n v="3000"/>
    <n v="1500"/>
    <n v="1500"/>
    <n v="0"/>
    <n v="6000"/>
    <n v="0"/>
    <n v="1500"/>
    <n v="3000"/>
    <n v="0"/>
    <n v="3000"/>
    <n v="0"/>
    <n v="1500"/>
    <n v="0"/>
    <n v="0"/>
    <n v="1500"/>
    <n v="0"/>
    <n v="0"/>
    <n v="0"/>
    <n v="0"/>
    <n v="0"/>
    <n v="31500"/>
    <n v="0.4636989931107578"/>
    <n v="-36432"/>
    <n v="-0.5363010068892422"/>
    <n v="647432"/>
    <n v="0.95360360094972696"/>
    <n v="67932"/>
    <m/>
    <s v="Vendido"/>
    <x v="0"/>
    <n v="35"/>
    <n v="1"/>
    <n v="36"/>
    <n v="1500"/>
    <n v="7"/>
  </r>
  <r>
    <n v="1208"/>
    <s v="Antonio Rada"/>
    <s v="Jmx Inversiones Sociedad Anonima"/>
    <d v="2023-04-15T00:00:00"/>
    <s v="C6"/>
    <s v="4.Plan de pagos"/>
    <n v="1110600"/>
    <n v="111100"/>
    <n v="0"/>
    <n v="6000"/>
    <n v="3624"/>
    <n v="3624"/>
    <n v="3624"/>
    <n v="3624"/>
    <n v="3624"/>
    <n v="3624"/>
    <n v="3624"/>
    <n v="3624"/>
    <n v="3624"/>
    <n v="3624"/>
    <n v="3624"/>
    <n v="3624"/>
    <n v="3624"/>
    <n v="0"/>
    <n v="7248"/>
    <n v="0"/>
    <n v="0"/>
    <n v="7248"/>
    <n v="7248"/>
    <n v="3624"/>
    <n v="3624"/>
    <n v="3624"/>
    <n v="3624"/>
    <n v="0"/>
    <n v="89352"/>
    <n v="0.80424842484248427"/>
    <n v="-21748"/>
    <n v="-0.19575157515751576"/>
    <n v="1021248"/>
    <n v="0.9195461912479741"/>
    <n v="111100"/>
    <m/>
    <s v="Vendido"/>
    <x v="0"/>
    <n v="29"/>
    <n v="1"/>
    <n v="30"/>
    <n v="3624"/>
    <n v="17"/>
  </r>
  <r>
    <n v="1209"/>
    <s v="Antonio Rada"/>
    <s v="Gilda Elena Siekavizza Castillo / Jose Pablo Pineda Bran"/>
    <d v="2023-03-28T00:00:00"/>
    <s v="C5"/>
    <s v="4.Plan de pagos"/>
    <n v="1108600"/>
    <n v="110900"/>
    <n v="6000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0"/>
    <n v="77928"/>
    <n v="0.70268710550045088"/>
    <n v="-32972"/>
    <n v="-0.29731289449954912"/>
    <n v="1030672"/>
    <n v="0.92970593541403568"/>
    <n v="110900"/>
    <m/>
    <s v="Vendido"/>
    <x v="0"/>
    <n v="35"/>
    <n v="1"/>
    <n v="36"/>
    <n v="2997"/>
    <n v="24"/>
  </r>
  <r>
    <n v="1210"/>
    <s v="Antonio Rada"/>
    <s v="Jmx Inversiones Sociedad Anonima"/>
    <d v="2023-04-15T00:00:00"/>
    <s v="C6"/>
    <s v="4.Plan de pagos"/>
    <n v="1110600"/>
    <n v="111100"/>
    <n v="0"/>
    <n v="6000"/>
    <n v="3624"/>
    <n v="3624"/>
    <n v="3624"/>
    <n v="3624"/>
    <n v="3624"/>
    <n v="3624"/>
    <n v="3624"/>
    <n v="3624"/>
    <n v="3624"/>
    <n v="3624"/>
    <n v="3624"/>
    <n v="3624"/>
    <n v="3624"/>
    <n v="0"/>
    <n v="7248"/>
    <n v="0"/>
    <n v="0"/>
    <n v="7248"/>
    <n v="7248"/>
    <n v="3624"/>
    <n v="3624"/>
    <n v="3624"/>
    <n v="3624"/>
    <n v="0"/>
    <n v="89352"/>
    <n v="0.80424842484248427"/>
    <n v="-21748"/>
    <n v="-0.19575157515751576"/>
    <n v="1021248"/>
    <n v="0.9195461912479741"/>
    <n v="111100"/>
    <m/>
    <s v="Vendido"/>
    <x v="0"/>
    <n v="29"/>
    <n v="1"/>
    <n v="30"/>
    <n v="3624"/>
    <n v="17"/>
  </r>
  <r>
    <n v="1211"/>
    <s v="Antonio Rada"/>
    <s v="Jorge Daniel Baca Chiroy"/>
    <d v="2023-11-28T00:00:00"/>
    <s v="C5"/>
    <s v="4.Plan de pagos"/>
    <n v="1193202.5"/>
    <n v="119402.5"/>
    <n v="0"/>
    <n v="0"/>
    <n v="0"/>
    <n v="0"/>
    <n v="0"/>
    <n v="0"/>
    <n v="0"/>
    <n v="0"/>
    <n v="5500"/>
    <n v="5174"/>
    <n v="5174"/>
    <n v="0"/>
    <n v="0"/>
    <n v="0"/>
    <n v="0"/>
    <n v="10348"/>
    <n v="0"/>
    <n v="0"/>
    <n v="10354"/>
    <n v="0"/>
    <n v="10354"/>
    <n v="0"/>
    <n v="0"/>
    <n v="36239"/>
    <n v="0"/>
    <n v="0"/>
    <n v="83143"/>
    <n v="0.69632545382215616"/>
    <n v="-36259.5"/>
    <n v="-0.30367454617784384"/>
    <n v="1110059.5"/>
    <n v="0.93031945541515371"/>
    <n v="119402.5"/>
    <m/>
    <s v="Vendido"/>
    <x v="0"/>
    <n v="22"/>
    <n v="1"/>
    <n v="23"/>
    <n v="5177"/>
    <n v="0"/>
  </r>
  <r>
    <n v="1212"/>
    <s v="Brenda Búcaro"/>
    <s v="Sergio Enrique Bolaños López"/>
    <d v="2023-04-16T00:00:00"/>
    <s v="A8"/>
    <s v="4.Plan de pagos"/>
    <n v="666800"/>
    <n v="66700"/>
    <n v="0"/>
    <n v="6000"/>
    <n v="0"/>
    <n v="0"/>
    <n v="2000"/>
    <n v="2000"/>
    <n v="0"/>
    <n v="4000"/>
    <n v="0"/>
    <n v="0"/>
    <n v="2000"/>
    <n v="2000"/>
    <n v="0"/>
    <n v="4000"/>
    <n v="4000"/>
    <n v="0"/>
    <n v="2000"/>
    <n v="2000"/>
    <n v="0"/>
    <n v="2000"/>
    <n v="0"/>
    <n v="0"/>
    <n v="2000"/>
    <n v="2000"/>
    <n v="5000"/>
    <n v="0"/>
    <n v="41000"/>
    <n v="0.61469265367316339"/>
    <n v="-25700"/>
    <n v="-0.38530734632683661"/>
    <n v="625800"/>
    <n v="0.93851229754049192"/>
    <n v="66700"/>
    <m/>
    <s v="Vendido"/>
    <x v="0"/>
    <n v="29"/>
    <n v="1"/>
    <n v="30"/>
    <n v="2000"/>
    <n v="9"/>
  </r>
  <r>
    <n v="1213"/>
    <s v="Jose Franco"/>
    <s v="Marcas &amp; Secretos, S.A."/>
    <d v="2023-04-05T00:00:00"/>
    <s v="A2"/>
    <s v="4.Plan de pagos"/>
    <n v="64563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0"/>
    <n v="52000"/>
    <n v="0.80446789090177762"/>
    <n v="-12639"/>
    <n v="-0.19553210909822244"/>
    <n v="593639"/>
    <n v="0.91945963611244053"/>
    <n v="64639"/>
    <m/>
    <s v="Vendido"/>
    <x v="0"/>
    <n v="29"/>
    <n v="1"/>
    <n v="30"/>
    <n v="2000"/>
    <n v="19"/>
  </r>
  <r>
    <n v="1214"/>
    <s v="Jose Franco"/>
    <s v="Manuel Armando Fletes Ordoñez"/>
    <d v="2023-06-05T00:00:00"/>
    <s v="A11"/>
    <s v="4.Plan de pagos"/>
    <n v="786200"/>
    <n v="78700"/>
    <n v="0"/>
    <n v="0"/>
    <n v="0"/>
    <n v="60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0"/>
    <n v="62700"/>
    <n v="0.7966963151207116"/>
    <n v="-16000"/>
    <n v="-0.20330368487928843"/>
    <n v="723500"/>
    <n v="0.92024930043245989"/>
    <n v="78700"/>
    <m/>
    <s v="Vendido"/>
    <x v="0"/>
    <n v="27"/>
    <n v="1"/>
    <n v="28"/>
    <n v="2693"/>
    <n v="0"/>
  </r>
  <r>
    <n v="1215"/>
    <s v="Antonio Rada"/>
    <s v=" Jose Javier Hernandez Juarez"/>
    <d v="2023-04-11T00:00:00"/>
    <s v="B4"/>
    <s v="4.Plan de pagos"/>
    <n v="858400"/>
    <n v="85900"/>
    <n v="0"/>
    <n v="6000"/>
    <n v="2755"/>
    <n v="2755"/>
    <n v="2755"/>
    <n v="2755"/>
    <n v="2755"/>
    <n v="2755"/>
    <n v="2755"/>
    <n v="2755"/>
    <n v="2755"/>
    <n v="2755"/>
    <n v="2755"/>
    <n v="2755"/>
    <n v="2755"/>
    <n v="2755"/>
    <n v="26755"/>
    <n v="3500"/>
    <n v="3500"/>
    <n v="3500"/>
    <n v="3500"/>
    <n v="3500"/>
    <n v="3500"/>
    <n v="3500"/>
    <n v="3500"/>
    <n v="3500"/>
    <n v="102825"/>
    <n v="1.1970314318975552"/>
    <n v="16925"/>
    <n v="0.19703143189755529"/>
    <n v="755575"/>
    <n v="0.88021318732525633"/>
    <n v="85900"/>
    <m/>
    <s v="Vendido"/>
    <x v="2"/>
    <n v="29"/>
    <n v="1"/>
    <n v="30"/>
    <n v="2755"/>
    <n v="14"/>
  </r>
  <r>
    <n v="1216"/>
    <m/>
    <m/>
    <m/>
    <s v="B3"/>
    <s v="1.Disponible"/>
    <n v="1126261.8195599201"/>
    <n v="112626.18195599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6261.8195599201"/>
    <n v="1"/>
    <n v="0"/>
    <m/>
    <s v="Apartamento Disponible"/>
    <x v="1"/>
    <m/>
    <n v="0"/>
    <n v="0"/>
    <m/>
    <n v="26"/>
  </r>
  <r>
    <n v="1217"/>
    <s v="Antonio Rada"/>
    <s v="Irene Noemy Santisteban Chiguil"/>
    <d v="2024-04-09T00:00:00"/>
    <s v="D4"/>
    <s v="4.Plan de pagos"/>
    <n v="1253700"/>
    <n v="125400"/>
    <n v="0"/>
    <n v="0"/>
    <n v="0"/>
    <n v="0"/>
    <n v="0"/>
    <n v="0"/>
    <n v="0"/>
    <n v="0"/>
    <n v="0"/>
    <n v="0"/>
    <n v="0"/>
    <n v="0"/>
    <n v="0"/>
    <n v="8000"/>
    <n v="6904"/>
    <n v="6904"/>
    <n v="6904"/>
    <n v="6904"/>
    <n v="6904"/>
    <n v="6904"/>
    <n v="6904"/>
    <n v="6904"/>
    <n v="6904"/>
    <n v="6904"/>
    <n v="6904"/>
    <n v="0"/>
    <n v="83944"/>
    <n v="0.66940988835725679"/>
    <n v="-41456"/>
    <n v="-0.33059011164274321"/>
    <n v="1169756"/>
    <n v="0.93304299274148517"/>
    <n v="125400"/>
    <m/>
    <s v="Vendido"/>
    <x v="0"/>
    <n v="17"/>
    <n v="1"/>
    <n v="18"/>
    <n v="6906"/>
    <n v="0"/>
  </r>
  <r>
    <n v="1218"/>
    <s v="Diana Alvarez"/>
    <s v="Hector Ricardo Echeverria  Mendez"/>
    <d v="2024-11-18T00:00:00"/>
    <s v="D1"/>
    <s v="2. Reserva"/>
    <n v="1350925.53"/>
    <n v="135092.54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34750"/>
    <n v="0"/>
    <n v="44750"/>
    <n v="0.33125438819535202"/>
    <n v="-90342.549999999988"/>
    <n v="-0.66874561180464798"/>
    <n v="1306175.53"/>
    <n v="0.96687456191608134"/>
    <n v="135092.54999999999"/>
    <m/>
    <s v="Vendido"/>
    <x v="0"/>
    <n v="18"/>
    <n v="1"/>
    <n v="19"/>
    <m/>
    <n v="24"/>
  </r>
  <r>
    <n v="1301"/>
    <s v="Antonio Rada"/>
    <s v="Raul Eliazzar Lemus Garza"/>
    <d v="2024-06-13T00:00:00"/>
    <s v="D4"/>
    <s v="4.Plan de pagos"/>
    <n v="1253700"/>
    <n v="125400"/>
    <n v="0"/>
    <n v="0"/>
    <n v="0"/>
    <n v="0"/>
    <n v="0"/>
    <n v="0"/>
    <n v="0"/>
    <n v="0"/>
    <n v="0"/>
    <n v="0"/>
    <n v="0"/>
    <n v="0"/>
    <n v="0"/>
    <n v="0"/>
    <n v="0"/>
    <n v="10000"/>
    <n v="6411"/>
    <n v="6411"/>
    <n v="6411"/>
    <n v="6411"/>
    <n v="6411"/>
    <n v="6411"/>
    <n v="6411"/>
    <n v="6411"/>
    <n v="6411"/>
    <n v="0"/>
    <n v="67699"/>
    <n v="0.53986443381180227"/>
    <n v="-57701"/>
    <n v="-0.46013556618819779"/>
    <n v="1186001"/>
    <n v="0.94600063811119084"/>
    <n v="125400"/>
    <m/>
    <s v="Vendido"/>
    <x v="0"/>
    <n v="18"/>
    <n v="1"/>
    <n v="19"/>
    <n v="6411"/>
    <n v="9"/>
  </r>
  <r>
    <n v="1302"/>
    <s v="Antonio Rada"/>
    <s v="Rodolfo Godoy Lemus"/>
    <d v="2024-11-13T00:00:00"/>
    <s v="D1"/>
    <s v="4.Plan de pagos"/>
    <n v="1350925.53"/>
    <n v="135125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6951"/>
    <n v="6950"/>
    <n v="0"/>
    <n v="23901"/>
    <n v="0.17687997227466934"/>
    <n v="-111224.53"/>
    <n v="-0.82312002772533066"/>
    <n v="1327024.53"/>
    <n v="0.9823076850135477"/>
    <n v="135125.53"/>
    <m/>
    <s v="Vendido"/>
    <x v="0"/>
    <n v="18"/>
    <n v="1"/>
    <n v="19"/>
    <m/>
    <n v="23"/>
  </r>
  <r>
    <n v="1303"/>
    <s v="Antonio Rada"/>
    <s v="Ricardo Fernando Linares Perez"/>
    <d v="2023-08-06T00:00:00"/>
    <s v="B4"/>
    <s v="4.Plan de pagos"/>
    <n v="901400"/>
    <n v="90200"/>
    <n v="0"/>
    <n v="0"/>
    <n v="0"/>
    <n v="0"/>
    <n v="0"/>
    <n v="6000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0"/>
    <n v="69992"/>
    <n v="0.77596452328159649"/>
    <n v="-20208"/>
    <n v="-0.22403547671840354"/>
    <n v="831408"/>
    <n v="0.92235189704903486"/>
    <n v="90200"/>
    <m/>
    <s v="Vendido"/>
    <x v="0"/>
    <n v="25"/>
    <n v="1"/>
    <n v="26"/>
    <n v="3368"/>
    <n v="19"/>
  </r>
  <r>
    <n v="1304"/>
    <s v="Antonio Rada"/>
    <s v="Shirley Hilene Recinos"/>
    <d v="2023-10-24T00:00:00"/>
    <s v="B3"/>
    <s v="4.Plan de pagos"/>
    <n v="879281.06"/>
    <n v="87981.06"/>
    <n v="0"/>
    <n v="0"/>
    <n v="0"/>
    <n v="0"/>
    <n v="0"/>
    <n v="0"/>
    <n v="0"/>
    <n v="4000"/>
    <n v="3651"/>
    <n v="3651"/>
    <n v="3651"/>
    <n v="3651"/>
    <n v="0"/>
    <n v="7302"/>
    <n v="0"/>
    <n v="3651"/>
    <n v="7302"/>
    <n v="3651"/>
    <n v="3651"/>
    <n v="3651"/>
    <n v="3651"/>
    <n v="3651"/>
    <n v="0"/>
    <n v="7302"/>
    <n v="3651"/>
    <n v="0"/>
    <n v="66067"/>
    <n v="0.75092298274196745"/>
    <n v="-21914.059999999998"/>
    <n v="-0.24907701725803255"/>
    <n v="813214.06"/>
    <n v="0.92486247798855126"/>
    <n v="87981.06"/>
    <m/>
    <s v="Vendido"/>
    <x v="0"/>
    <n v="23"/>
    <n v="1"/>
    <n v="24"/>
    <n v="3651"/>
    <n v="11"/>
  </r>
  <r>
    <n v="1305"/>
    <s v="Antonio Rada"/>
    <s v="Franklin Rene Santisteban Rriola"/>
    <d v="2023-03-23T00:00:00"/>
    <s v="A6"/>
    <s v="4.Plan de pagos"/>
    <n v="663200"/>
    <n v="66400"/>
    <n v="4400"/>
    <n v="1600"/>
    <n v="1723"/>
    <n v="0"/>
    <n v="3446"/>
    <n v="1723"/>
    <n v="1723"/>
    <n v="1723"/>
    <n v="1723"/>
    <n v="0"/>
    <n v="3446"/>
    <n v="1723"/>
    <n v="1723"/>
    <n v="0"/>
    <n v="1723"/>
    <n v="1723"/>
    <n v="0"/>
    <n v="0"/>
    <n v="0"/>
    <n v="0"/>
    <n v="3446"/>
    <n v="0"/>
    <n v="0"/>
    <n v="0"/>
    <n v="0"/>
    <n v="0"/>
    <n v="31845"/>
    <n v="0.47959337349397591"/>
    <n v="-34555"/>
    <n v="-0.52040662650602409"/>
    <n v="631355"/>
    <n v="0.95198281061519907"/>
    <n v="66400"/>
    <m/>
    <s v="Vendido"/>
    <x v="0"/>
    <m/>
    <n v="0"/>
    <n v="0"/>
    <m/>
    <n v="12"/>
  </r>
  <r>
    <n v="1306"/>
    <s v="Brenda Búcaro"/>
    <s v=" Barbara Elizabeth Barrientos Valenzuela"/>
    <d v="2023-05-08T00:00:00"/>
    <s v="A4"/>
    <s v="4.Plan de pagos"/>
    <n v="697500"/>
    <n v="69800"/>
    <n v="0"/>
    <n v="0"/>
    <n v="6000"/>
    <n v="2250"/>
    <n v="2250"/>
    <n v="2250"/>
    <n v="2250"/>
    <n v="0"/>
    <n v="2250"/>
    <n v="2250"/>
    <n v="2250"/>
    <n v="2250"/>
    <n v="2250"/>
    <n v="2250"/>
    <n v="4500"/>
    <n v="0"/>
    <n v="2250"/>
    <n v="2250"/>
    <n v="2250"/>
    <n v="2250"/>
    <n v="2250"/>
    <n v="2250"/>
    <n v="2250"/>
    <n v="4500"/>
    <n v="2250"/>
    <n v="0"/>
    <n v="55500"/>
    <n v="0.79512893982808019"/>
    <n v="-14300"/>
    <n v="-0.20487106017191978"/>
    <n v="642000"/>
    <n v="0.9204301075268817"/>
    <n v="69800"/>
    <m/>
    <s v="Vendido"/>
    <x v="0"/>
    <n v="28"/>
    <n v="1"/>
    <n v="29"/>
    <n v="2250"/>
    <n v="18"/>
  </r>
  <r>
    <n v="1307"/>
    <s v="Jose Franco"/>
    <s v="Fernando José Franco Jiménez"/>
    <d v="2023-03-31T00:00:00"/>
    <s v="A12"/>
    <s v="4.Plan de pagos"/>
    <n v="678932"/>
    <n v="67932"/>
    <n v="6000"/>
    <n v="0"/>
    <n v="0"/>
    <n v="0"/>
    <n v="0"/>
    <n v="0"/>
    <n v="0"/>
    <n v="0"/>
    <n v="2800"/>
    <n v="0"/>
    <n v="0"/>
    <n v="0"/>
    <n v="0"/>
    <n v="0"/>
    <n v="0"/>
    <n v="0"/>
    <n v="0"/>
    <n v="0"/>
    <n v="0"/>
    <n v="0"/>
    <n v="0"/>
    <n v="0"/>
    <n v="0"/>
    <n v="0"/>
    <n v="0"/>
    <n v="0"/>
    <n v="8800"/>
    <n v="0.12954130601189426"/>
    <n v="-59132"/>
    <n v="-0.87045869398810571"/>
    <n v="670132"/>
    <n v="0.9870384662970666"/>
    <n v="67932"/>
    <m/>
    <s v="Vendido"/>
    <x v="0"/>
    <m/>
    <n v="0"/>
    <n v="0"/>
    <m/>
    <n v="24"/>
  </r>
  <r>
    <n v="1308"/>
    <s v="Antonio Rada"/>
    <s v="Gerson Alexander Urias Marquez"/>
    <d v="2023-10-31T00:00:00"/>
    <s v="C6"/>
    <s v="4.Plan de pagos"/>
    <n v="1183693"/>
    <n v="118393"/>
    <n v="0"/>
    <n v="0"/>
    <n v="0"/>
    <n v="0"/>
    <n v="0"/>
    <n v="0"/>
    <n v="0"/>
    <n v="8000"/>
    <n v="4800"/>
    <n v="4800"/>
    <n v="4800"/>
    <n v="4800"/>
    <n v="4800"/>
    <n v="4800"/>
    <n v="4800"/>
    <n v="4800"/>
    <n v="4800"/>
    <n v="4800"/>
    <n v="4800"/>
    <n v="4800"/>
    <n v="4800"/>
    <n v="0"/>
    <n v="9600"/>
    <n v="4800"/>
    <n v="4800"/>
    <n v="0"/>
    <n v="89600"/>
    <n v="0.75680150008868763"/>
    <n v="-28793"/>
    <n v="-0.24319849991131232"/>
    <n v="1094093"/>
    <n v="0.92430469724835751"/>
    <n v="118393"/>
    <m/>
    <s v="Vendido"/>
    <x v="0"/>
    <n v="23"/>
    <n v="1"/>
    <n v="24"/>
    <n v="4800"/>
    <n v="15"/>
  </r>
  <r>
    <n v="1309"/>
    <m/>
    <m/>
    <m/>
    <s v="C5"/>
    <s v="1.Disponible"/>
    <n v="1422277.6356653599"/>
    <n v="142227.76356653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2277.6356653599"/>
    <n v="1"/>
    <n v="0"/>
    <m/>
    <s v="Apartamento Disponible"/>
    <x v="1"/>
    <m/>
    <n v="0"/>
    <n v="0"/>
    <m/>
    <n v="26"/>
  </r>
  <r>
    <n v="1310"/>
    <s v="Jose Franco"/>
    <s v=" Raúl Cabrera Galindo"/>
    <d v="2023-03-27T00:00:00"/>
    <s v="C6"/>
    <s v="4.Plan de pagos"/>
    <n v="1166200"/>
    <n v="111100"/>
    <n v="6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0"/>
    <n v="78000"/>
    <n v="0.70207020702070211"/>
    <n v="-33100"/>
    <n v="-0.29792979297929795"/>
    <n v="1088200"/>
    <n v="0.93311610358429087"/>
    <n v="111100"/>
    <m/>
    <s v="Vendido"/>
    <x v="0"/>
    <n v="35"/>
    <n v="1"/>
    <n v="36"/>
    <n v="3000"/>
    <n v="24"/>
  </r>
  <r>
    <n v="1311"/>
    <s v="Antonio Rada"/>
    <s v="Luis Gabriel Garrido Blanco"/>
    <d v="2023-10-03T00:00:00"/>
    <s v="C5"/>
    <s v="4.Plan de pagos"/>
    <n v="1022010"/>
    <n v="102201"/>
    <n v="0"/>
    <n v="0"/>
    <n v="0"/>
    <n v="0"/>
    <n v="0"/>
    <n v="0"/>
    <n v="0"/>
    <n v="8000"/>
    <n v="4096"/>
    <n v="4096"/>
    <n v="4096"/>
    <n v="4096"/>
    <n v="0"/>
    <n v="8192"/>
    <n v="4096"/>
    <n v="4096"/>
    <n v="0"/>
    <n v="8192"/>
    <n v="0"/>
    <n v="8192"/>
    <n v="4096"/>
    <n v="4096"/>
    <n v="0"/>
    <n v="8192"/>
    <n v="0"/>
    <n v="0"/>
    <n v="73536"/>
    <n v="0.71952329233569146"/>
    <n v="-28665"/>
    <n v="-0.28047670766430854"/>
    <n v="948474"/>
    <n v="0.92804767076643091"/>
    <n v="102201"/>
    <m/>
    <s v="Vendido"/>
    <x v="0"/>
    <n v="23"/>
    <n v="1"/>
    <n v="24"/>
    <n v="4096"/>
    <n v="8"/>
  </r>
  <r>
    <n v="1312"/>
    <s v="Brenda Búcaro"/>
    <s v="Arturo Alfredo Monzón López"/>
    <d v="2023-04-18T00:00:00"/>
    <s v="A8"/>
    <s v="4.Plan de pagos"/>
    <n v="703500"/>
    <n v="66700"/>
    <n v="0"/>
    <n v="6000"/>
    <n v="2000"/>
    <n v="2000"/>
    <n v="2000"/>
    <n v="2000"/>
    <n v="2000"/>
    <n v="2000"/>
    <n v="0"/>
    <n v="0"/>
    <n v="0"/>
    <n v="2000"/>
    <n v="0"/>
    <n v="2000"/>
    <n v="2000"/>
    <n v="4000"/>
    <n v="6000"/>
    <n v="2000"/>
    <n v="2000"/>
    <n v="2000"/>
    <n v="2000"/>
    <n v="2000"/>
    <n v="4000"/>
    <n v="2000"/>
    <n v="2000"/>
    <n v="0"/>
    <n v="52000"/>
    <n v="0.77961019490254868"/>
    <n v="-14700"/>
    <n v="-0.22038980509745126"/>
    <n v="651500"/>
    <n v="0.92608386638237383"/>
    <n v="66700"/>
    <m/>
    <s v="Vendido"/>
    <x v="0"/>
    <n v="29"/>
    <n v="1"/>
    <n v="30"/>
    <n v="2000"/>
    <n v="16"/>
  </r>
  <r>
    <n v="1313"/>
    <s v="Jose Franco"/>
    <s v="Marcas &amp; Secretos, S.A."/>
    <d v="2023-04-05T00:00:00"/>
    <s v="A2"/>
    <s v="4.Plan de pagos"/>
    <n v="64564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0"/>
    <n v="52000"/>
    <n v="0.80446789090177762"/>
    <n v="-12639"/>
    <n v="-0.19553210909822244"/>
    <n v="593649"/>
    <n v="0.91946088354508404"/>
    <n v="64639"/>
    <m/>
    <s v="Vendido"/>
    <x v="0"/>
    <n v="29"/>
    <n v="1"/>
    <n v="30"/>
    <n v="2000"/>
    <n v="19"/>
  </r>
  <r>
    <n v="1314"/>
    <s v="Brenda Búcaro"/>
    <s v="Sidney Alexander Osorio Montufar"/>
    <d v="2023-03-20T00:00:00"/>
    <s v="A11"/>
    <s v="4.Plan de pagos"/>
    <n v="715600"/>
    <n v="71600"/>
    <n v="60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0"/>
    <n v="37200"/>
    <n v="0.51955307262569828"/>
    <n v="-34400"/>
    <n v="-0.48044692737430167"/>
    <n v="678400"/>
    <n v="0.94801565120178866"/>
    <n v="71600"/>
    <m/>
    <s v="Vendido"/>
    <x v="0"/>
    <n v="35"/>
    <n v="1"/>
    <n v="36"/>
    <n v="1300"/>
    <n v="24"/>
  </r>
  <r>
    <n v="1315"/>
    <m/>
    <m/>
    <m/>
    <s v="B4"/>
    <s v="1.Disponible"/>
    <n v="1072218.69827634"/>
    <n v="107221.86982763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2218.69827634"/>
    <n v="1"/>
    <n v="0"/>
    <m/>
    <s v="Apartamento Disponible"/>
    <x v="1"/>
    <m/>
    <n v="0"/>
    <n v="0"/>
    <m/>
    <n v="26"/>
  </r>
  <r>
    <n v="1316"/>
    <s v="Antonio Rada"/>
    <s v="Juan Ernesto Vossberg Ordoñez / Sumilab"/>
    <d v="2023-11-02T00:00:00"/>
    <s v="B3"/>
    <s v="4.Plan de pagos"/>
    <n v="879281.06"/>
    <n v="87981.06"/>
    <n v="0"/>
    <n v="0"/>
    <n v="0"/>
    <n v="0"/>
    <n v="0"/>
    <n v="0"/>
    <n v="0"/>
    <n v="0"/>
    <n v="8000"/>
    <n v="3636"/>
    <n v="3636"/>
    <n v="3636"/>
    <n v="0"/>
    <n v="7272"/>
    <n v="0"/>
    <n v="0"/>
    <n v="0"/>
    <n v="7272"/>
    <n v="14544"/>
    <n v="7272"/>
    <n v="7272"/>
    <n v="0"/>
    <n v="0"/>
    <n v="0"/>
    <n v="3636"/>
    <n v="0"/>
    <n v="66176"/>
    <n v="0.7521618857513197"/>
    <n v="-21805.059999999998"/>
    <n v="-0.24783811424868032"/>
    <n v="813105.06"/>
    <n v="0.92473851307567112"/>
    <n v="87981.06"/>
    <m/>
    <s v="Vendido"/>
    <x v="0"/>
    <n v="22"/>
    <n v="1"/>
    <n v="23"/>
    <n v="3636"/>
    <n v="4"/>
  </r>
  <r>
    <n v="1317"/>
    <s v="Antonio Rada"/>
    <s v="Marcos David Boror Alpirez"/>
    <d v="2024-08-21T00:00:00"/>
    <s v="D4"/>
    <s v="4.Plan de pagos"/>
    <n v="1316385"/>
    <n v="131685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602"/>
    <n v="7602"/>
    <n v="7602"/>
    <n v="7614"/>
    <n v="7605"/>
    <n v="7605"/>
    <n v="7605"/>
    <n v="0"/>
    <n v="63235"/>
    <n v="0.48019895963853132"/>
    <n v="-68450"/>
    <n v="-0.51980104036146868"/>
    <n v="1253150"/>
    <n v="0.95196314148216521"/>
    <n v="131685"/>
    <m/>
    <s v="Vendido"/>
    <x v="0"/>
    <n v="16"/>
    <n v="1"/>
    <n v="17"/>
    <n v="7605"/>
    <n v="3"/>
  </r>
  <r>
    <n v="1318"/>
    <s v="Antonio Rada"/>
    <s v="Héctor Felipe Alfaro Mancilla"/>
    <d v="2024-11-20T00:00:00"/>
    <s v="D1"/>
    <s v="4.Plan de pagos"/>
    <n v="1350925.53"/>
    <n v="135125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5000"/>
    <n v="7360"/>
    <n v="7358"/>
    <n v="0"/>
    <n v="0"/>
    <n v="24718"/>
    <n v="0.18292620202858778"/>
    <n v="-110407.53"/>
    <n v="-0.81707379797141222"/>
    <n v="1326207.53"/>
    <n v="0.98170291444562452"/>
    <n v="135125.53"/>
    <m/>
    <s v="Vendido"/>
    <x v="0"/>
    <n v="18"/>
    <n v="1"/>
    <n v="19"/>
    <m/>
    <n v="22"/>
  </r>
  <r>
    <n v="1401"/>
    <s v="Brenda Búcaro"/>
    <s v="Fernando García Coronado"/>
    <d v="2023-08-20T00:00:00"/>
    <s v="D12"/>
    <s v="4.Plan de pagos"/>
    <n v="1172500"/>
    <n v="117300"/>
    <n v="0"/>
    <n v="0"/>
    <n v="0"/>
    <n v="0"/>
    <n v="0"/>
    <n v="6000"/>
    <n v="5000"/>
    <n v="5000"/>
    <n v="5000"/>
    <n v="5000"/>
    <n v="6000"/>
    <n v="5000"/>
    <n v="5000"/>
    <n v="5000"/>
    <n v="5000"/>
    <n v="5000"/>
    <n v="5000"/>
    <n v="0"/>
    <n v="7000"/>
    <n v="5000"/>
    <n v="10000"/>
    <n v="5000"/>
    <n v="5000"/>
    <n v="5000"/>
    <n v="0"/>
    <n v="5000"/>
    <n v="104000"/>
    <n v="0.88661551577152597"/>
    <n v="-13300"/>
    <n v="-0.113384484228474"/>
    <n v="1068500"/>
    <n v="0.91130063965884867"/>
    <n v="117300"/>
    <m/>
    <s v="Vendido"/>
    <x v="0"/>
    <n v="25"/>
    <n v="1"/>
    <n v="26"/>
    <n v="4252"/>
    <n v="0"/>
  </r>
  <r>
    <n v="1402"/>
    <s v="Antonio Rada"/>
    <s v="Marlen Fabiola Izaguirre Navas"/>
    <d v="2024-10-07T00:00:00"/>
    <s v="D13"/>
    <s v="4.Plan de pagos"/>
    <n v="1252020"/>
    <n v="125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230"/>
    <n v="8230"/>
    <n v="8230"/>
    <n v="8230"/>
    <n v="8230"/>
    <n v="0"/>
    <n v="51150"/>
    <n v="0.40853979968371112"/>
    <n v="-74052"/>
    <n v="-0.59146020031628888"/>
    <n v="1200870"/>
    <n v="0.95914602003162885"/>
    <n v="125202"/>
    <m/>
    <s v="Vendido"/>
    <x v="0"/>
    <n v="14"/>
    <n v="1"/>
    <n v="15"/>
    <n v="8230"/>
    <n v="5"/>
  </r>
  <r>
    <n v="1403"/>
    <s v="Antonio Rada"/>
    <s v="Maria Mercedes Lizarralde Mc Allister"/>
    <d v="2023-03-27T00:00:00"/>
    <s v="B6"/>
    <s v="4.Plan de pagos"/>
    <n v="852627.54461999994"/>
    <n v="85327.54"/>
    <n v="6000"/>
    <n v="2266"/>
    <n v="2266"/>
    <n v="2266"/>
    <n v="2266"/>
    <n v="2266"/>
    <n v="2266"/>
    <n v="2266"/>
    <n v="2266"/>
    <n v="2266"/>
    <n v="2266"/>
    <n v="2266"/>
    <n v="0"/>
    <n v="0"/>
    <n v="0"/>
    <n v="0"/>
    <n v="0"/>
    <n v="0"/>
    <n v="0"/>
    <n v="0"/>
    <n v="0"/>
    <n v="0"/>
    <n v="0"/>
    <n v="0"/>
    <n v="0"/>
    <n v="0"/>
    <n v="30926"/>
    <n v="0.36243866868774138"/>
    <n v="-54401.539999999994"/>
    <n v="-0.63756133131225856"/>
    <n v="821701.54461999994"/>
    <n v="0.96372859380964149"/>
    <n v="85327.54"/>
    <m/>
    <s v="Vendido"/>
    <x v="0"/>
    <n v="35"/>
    <n v="1"/>
    <n v="36"/>
    <n v="4600"/>
    <n v="0"/>
  </r>
  <r>
    <n v="1404"/>
    <s v="Jose Franco"/>
    <s v="Diego Eduardo Roman Hazard"/>
    <d v="2023-03-27T00:00:00"/>
    <s v="B1"/>
    <s v="4.Plan de pagos"/>
    <n v="849571"/>
    <n v="169971"/>
    <n v="60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0"/>
    <n v="9200"/>
    <n v="4600"/>
    <n v="4600"/>
    <n v="4600"/>
    <n v="4600"/>
    <n v="4600"/>
    <n v="4600"/>
    <n v="0"/>
    <n v="116400"/>
    <n v="0.6848227050496849"/>
    <n v="-53571"/>
    <n v="-0.31517729495031505"/>
    <n v="733171"/>
    <n v="0.8629896736117405"/>
    <n v="169971"/>
    <m/>
    <s v="Vendido"/>
    <x v="0"/>
    <n v="35"/>
    <n v="1"/>
    <n v="36"/>
    <n v="4600"/>
    <n v="22"/>
  </r>
  <r>
    <n v="1405"/>
    <s v="Antonio Rada"/>
    <s v="Victor Leonel Orozco Lopez"/>
    <d v="2023-04-18T00:00:00"/>
    <s v="E2"/>
    <s v="4.Plan de pagos"/>
    <n v="1301000"/>
    <n v="130100"/>
    <n v="0"/>
    <n v="6000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29962"/>
    <n v="0"/>
    <n v="130100"/>
    <n v="1"/>
    <n v="0"/>
    <n v="0"/>
    <n v="1170900"/>
    <n v="0.9"/>
    <n v="130100"/>
    <m/>
    <s v="Vendido"/>
    <x v="3"/>
    <n v="29"/>
    <n v="1"/>
    <n v="30"/>
    <n v="4279"/>
    <n v="22"/>
  </r>
  <r>
    <n v="1406"/>
    <s v="Jose Franco"/>
    <s v=" Jonatan Hans Donis Montenegro"/>
    <d v="2023-03-27T00:00:00"/>
    <s v="A2"/>
    <s v="4.Plan de pagos"/>
    <n v="651600"/>
    <n v="65200"/>
    <n v="600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0"/>
    <n v="46560"/>
    <n v="0.71411042944785275"/>
    <n v="-18640"/>
    <n v="-0.28588957055214725"/>
    <n v="605040"/>
    <n v="0.9285451197053407"/>
    <n v="65200"/>
    <m/>
    <s v="Vendido"/>
    <x v="0"/>
    <n v="35"/>
    <n v="1"/>
    <n v="36"/>
    <n v="1690"/>
    <n v="24"/>
  </r>
  <r>
    <n v="1407"/>
    <s v="Ronaldo"/>
    <s v="José Herrera Pérez"/>
    <d v="2024-02-14T00:00:00"/>
    <s v="B5"/>
    <s v="4.Plan de pagos"/>
    <n v="1074100"/>
    <n v="107410"/>
    <n v="0"/>
    <n v="0"/>
    <n v="0"/>
    <n v="0"/>
    <n v="0"/>
    <n v="0"/>
    <n v="0"/>
    <n v="0"/>
    <n v="0"/>
    <n v="0"/>
    <n v="0"/>
    <n v="6000"/>
    <n v="5337"/>
    <n v="32022"/>
    <n v="0"/>
    <n v="0"/>
    <n v="0"/>
    <n v="0"/>
    <n v="5337"/>
    <n v="0"/>
    <n v="10674"/>
    <n v="0"/>
    <n v="5337"/>
    <n v="5337"/>
    <n v="10674"/>
    <n v="0"/>
    <n v="80718"/>
    <n v="0.75149427427613813"/>
    <n v="-26692"/>
    <n v="-0.24850572572386184"/>
    <n v="993382"/>
    <n v="0.92485057257238623"/>
    <n v="107410"/>
    <m/>
    <s v="Vendido"/>
    <x v="0"/>
    <n v="18"/>
    <n v="1"/>
    <n v="19"/>
    <n v="4056"/>
    <n v="0"/>
  </r>
  <r>
    <n v="1408"/>
    <m/>
    <m/>
    <m/>
    <s v="B8"/>
    <s v="1.Disponible"/>
    <n v="1331589.48698949"/>
    <n v="133158.94869894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1589.48698949"/>
    <n v="1"/>
    <n v="0"/>
    <m/>
    <s v="Apartamento Disponible"/>
    <x v="1"/>
    <m/>
    <n v="0"/>
    <n v="0"/>
    <m/>
    <n v="26"/>
  </r>
  <r>
    <n v="1409"/>
    <s v="Ronaldo"/>
    <s v="International Coffee Industry, S.A"/>
    <d v="2024-01-09T00:00:00"/>
    <s v="B4"/>
    <s v="4.Plan de pagos"/>
    <n v="858400"/>
    <n v="85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85840"/>
    <n v="-1"/>
    <n v="858400"/>
    <n v="1"/>
    <n v="85840"/>
    <m/>
    <s v="Vendido"/>
    <x v="0"/>
    <m/>
    <n v="0"/>
    <n v="0"/>
    <m/>
    <n v="26"/>
  </r>
  <r>
    <n v="1410"/>
    <s v="Antonio Rada"/>
    <s v="Selvin Ramiro Gamez Perez"/>
    <d v="2024-02-05T00:00:00"/>
    <s v="B3"/>
    <s v="4.Plan de pagos"/>
    <n v="887400"/>
    <n v="88800"/>
    <n v="0"/>
    <n v="0"/>
    <n v="0"/>
    <n v="0"/>
    <n v="0"/>
    <n v="0"/>
    <n v="0"/>
    <n v="0"/>
    <n v="0"/>
    <n v="0"/>
    <n v="0"/>
    <n v="8000"/>
    <n v="0"/>
    <n v="0"/>
    <n v="5000"/>
    <n v="0"/>
    <n v="5000"/>
    <n v="5000"/>
    <n v="5000"/>
    <n v="0"/>
    <n v="5000"/>
    <n v="5000"/>
    <n v="5000"/>
    <n v="0"/>
    <n v="5000"/>
    <n v="0"/>
    <n v="48000"/>
    <n v="0.54054054054054057"/>
    <n v="-40800"/>
    <n v="-0.45945945945945948"/>
    <n v="839400"/>
    <n v="0.94590939824205544"/>
    <n v="88800"/>
    <m/>
    <s v="Vendido"/>
    <x v="0"/>
    <n v="19"/>
    <n v="1"/>
    <n v="20"/>
    <n v="4253"/>
    <n v="0"/>
  </r>
  <r>
    <n v="1411"/>
    <s v="Antonio Rada"/>
    <s v="Julio Cesar Morales Díaz"/>
    <d v="2023-06-19T00:00:00"/>
    <s v="E8"/>
    <s v="4.Plan de pagos"/>
    <n v="1382700"/>
    <n v="138300"/>
    <n v="0"/>
    <n v="0"/>
    <n v="0"/>
    <n v="6000"/>
    <n v="4900"/>
    <n v="4900"/>
    <n v="4900"/>
    <n v="0"/>
    <n v="9800"/>
    <n v="0"/>
    <n v="9800"/>
    <n v="0"/>
    <n v="4900"/>
    <n v="4900"/>
    <n v="9800"/>
    <n v="0"/>
    <n v="4900"/>
    <n v="9800"/>
    <n v="0"/>
    <n v="4900"/>
    <n v="4900"/>
    <n v="4900"/>
    <n v="4900"/>
    <n v="4900"/>
    <n v="4900"/>
    <n v="0"/>
    <n v="104000"/>
    <n v="0.75198843094721624"/>
    <n v="-34300"/>
    <n v="-0.24801156905278379"/>
    <n v="1278700"/>
    <n v="0.92478484125262173"/>
    <n v="138300"/>
    <m/>
    <s v="Vendido"/>
    <x v="0"/>
    <n v="27"/>
    <n v="1"/>
    <n v="28"/>
    <n v="4899"/>
    <n v="0"/>
  </r>
  <r>
    <n v="1412"/>
    <s v="Brenda Búcaro"/>
    <s v="Javier Andrés Soto Coronado"/>
    <d v="2023-04-28T00:00:00"/>
    <s v="A4"/>
    <s v="4.Plan de pagos"/>
    <n v="661100"/>
    <n v="66200"/>
    <n v="0"/>
    <n v="600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0"/>
    <n v="3500"/>
    <n v="1750"/>
    <n v="0"/>
    <n v="46250"/>
    <n v="0.69864048338368578"/>
    <n v="-19950"/>
    <n v="-0.30135951661631422"/>
    <n v="614850"/>
    <n v="0.93004084102253815"/>
    <n v="66200"/>
    <m/>
    <s v="Vendido"/>
    <x v="0"/>
    <n v="29"/>
    <n v="1"/>
    <n v="30"/>
    <n v="1750"/>
    <n v="21"/>
  </r>
  <r>
    <n v="1501"/>
    <s v="Antonio Rada"/>
    <s v="Paulo Roberto Lopez Velasquez"/>
    <d v="2025-04-02T00:00:00"/>
    <s v="D3"/>
    <s v="2. Reserva"/>
    <n v="1450747.8"/>
    <n v="12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5000"/>
    <n v="4.0584415584415584E-2"/>
    <n v="-118200"/>
    <n v="-0.95941558441558439"/>
    <n v="1445747.8"/>
    <n v="0.99655350158035738"/>
    <n v="123200"/>
    <m/>
    <s v="Vendido"/>
    <x v="0"/>
    <m/>
    <n v="0"/>
    <n v="0"/>
    <s v="duda"/>
    <n v="0"/>
  </r>
  <r>
    <n v="1502"/>
    <s v="Sofia Paredes"/>
    <s v="Edgar Benjamín Ramírez Masaya Y Leslie María Ivonne Pivaral Gudiel"/>
    <d v="2024-10-13T00:00:00"/>
    <s v="D2"/>
    <s v="4.Plan de pagos"/>
    <n v="1333525.2264579299"/>
    <n v="131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690"/>
    <n v="8690"/>
    <n v="8690"/>
    <n v="8690"/>
    <n v="8690"/>
    <n v="0"/>
    <n v="53450"/>
    <n v="0.4059699225277229"/>
    <n v="-78210"/>
    <n v="-0.5940300774722771"/>
    <n v="1280075.2264579299"/>
    <n v="0.95991826855651441"/>
    <n v="131660"/>
    <m/>
    <s v="Vendido"/>
    <x v="0"/>
    <n v="14"/>
    <n v="1"/>
    <n v="15"/>
    <m/>
    <n v="20"/>
  </r>
  <r>
    <n v="1503"/>
    <s v="Brenda Búcaro"/>
    <s v="Emilia Aracely Larrazabal Melgar"/>
    <d v="2023-03-31T00:00:00"/>
    <s v="B6"/>
    <s v="4.Plan de pagos"/>
    <n v="852627.54461999994"/>
    <n v="85227.54"/>
    <n v="6000"/>
    <n v="1000"/>
    <n v="1000"/>
    <n v="1000"/>
    <n v="1000"/>
    <n v="1000"/>
    <n v="1000"/>
    <n v="1000"/>
    <n v="1000"/>
    <n v="0"/>
    <n v="2000"/>
    <n v="1000"/>
    <n v="0"/>
    <n v="0"/>
    <n v="0"/>
    <n v="0"/>
    <n v="6000"/>
    <n v="0"/>
    <n v="0"/>
    <n v="0"/>
    <n v="0"/>
    <n v="0"/>
    <n v="0"/>
    <n v="0"/>
    <n v="0"/>
    <n v="0"/>
    <n v="23000"/>
    <n v="0.26986582036745399"/>
    <n v="-62227.539999999994"/>
    <n v="-0.73013417963254601"/>
    <n v="829627.54461999994"/>
    <n v="0.97302456372055079"/>
    <n v="85227.54"/>
    <m/>
    <s v="Vendido"/>
    <x v="0"/>
    <n v="35"/>
    <n v="1"/>
    <n v="36"/>
    <n v="1000"/>
    <n v="9"/>
  </r>
  <r>
    <n v="1504"/>
    <s v="Jose Franco"/>
    <s v="Berta Eugenia Morales López"/>
    <d v="2023-05-22T00:00:00"/>
    <s v="B1"/>
    <s v="4.Plan de pagos"/>
    <n v="883300"/>
    <n v="88800"/>
    <n v="0"/>
    <n v="0"/>
    <n v="6000"/>
    <n v="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0"/>
    <n v="27000"/>
    <n v="0.30405405405405406"/>
    <n v="-61800"/>
    <n v="-0.69594594594594594"/>
    <n v="856300"/>
    <n v="0.96943280878523719"/>
    <n v="88800"/>
    <m/>
    <s v="Vendido"/>
    <x v="0"/>
    <n v="27"/>
    <n v="1"/>
    <n v="28"/>
    <n v="1000"/>
    <n v="21"/>
  </r>
  <r>
    <n v="1505"/>
    <s v="Antonio Rada"/>
    <s v="Daniel Alvarez Alvarez"/>
    <d v="2024-07-18T00:00:00"/>
    <s v="D7"/>
    <s v="4.Plan de pagos"/>
    <n v="1277800"/>
    <n v="127800"/>
    <n v="0"/>
    <n v="0"/>
    <n v="0"/>
    <n v="0"/>
    <n v="0"/>
    <n v="0"/>
    <n v="0"/>
    <n v="0"/>
    <n v="0"/>
    <n v="0"/>
    <n v="0"/>
    <n v="0"/>
    <n v="0"/>
    <n v="0"/>
    <n v="0"/>
    <n v="0"/>
    <n v="10000"/>
    <n v="6929"/>
    <n v="6929"/>
    <n v="6929"/>
    <n v="6929"/>
    <n v="6929"/>
    <n v="6929"/>
    <n v="6929"/>
    <n v="6929"/>
    <n v="0"/>
    <n v="65432"/>
    <n v="0.51198748043818465"/>
    <n v="-62368"/>
    <n v="-0.48801251956181535"/>
    <n v="1212368"/>
    <n v="0.94879323837846297"/>
    <n v="127800"/>
    <m/>
    <s v="Vendido"/>
    <x v="0"/>
    <n v="17"/>
    <n v="1"/>
    <n v="18"/>
    <n v="6929"/>
    <n v="8"/>
  </r>
  <r>
    <n v="1506"/>
    <m/>
    <m/>
    <m/>
    <s v="A9"/>
    <s v="1.Disponible"/>
    <n v="996326.32441067905"/>
    <n v="99632.632441067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6326.32441067905"/>
    <n v="1"/>
    <n v="0"/>
    <m/>
    <s v="Apartamento Disponible"/>
    <x v="1"/>
    <m/>
    <n v="0"/>
    <n v="0"/>
    <m/>
    <n v="26"/>
  </r>
  <r>
    <n v="1507"/>
    <s v="Jose Franco"/>
    <s v="Gabriel Arimany Monzón"/>
    <d v="2023-03-28T00:00:00"/>
    <s v="C9"/>
    <s v="4.Plan de pagos"/>
    <n v="1141461.0333799999"/>
    <n v="114161"/>
    <n v="6000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82875"/>
    <n v="0.72594844123649938"/>
    <n v="-31286"/>
    <n v="-0.27405155876350068"/>
    <n v="1058586.0333799999"/>
    <n v="0.92739568187045562"/>
    <n v="114161"/>
    <m/>
    <s v="Vendido"/>
    <x v="0"/>
    <n v="35"/>
    <n v="1"/>
    <n v="36"/>
    <n v="3075"/>
    <n v="25"/>
  </r>
  <r>
    <n v="1508"/>
    <s v="Jose Franco"/>
    <s v="María Carolina Arimany Comas"/>
    <d v="2023-03-28T00:00:00"/>
    <s v="C8"/>
    <s v="4.Plan de pagos"/>
    <n v="1141560"/>
    <n v="11416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5.2557813594954449E-2"/>
    <n v="-108160"/>
    <n v="-0.94744218640504552"/>
    <n v="1135560"/>
    <n v="0.99474403447913384"/>
    <n v="114160"/>
    <m/>
    <s v="Vendido"/>
    <x v="0"/>
    <n v="35"/>
    <n v="1"/>
    <n v="36"/>
    <m/>
    <n v="25"/>
  </r>
  <r>
    <n v="1509"/>
    <m/>
    <m/>
    <m/>
    <s v="B4"/>
    <s v="1.Disponible"/>
    <n v="1082159.69644988"/>
    <n v="108215.96964498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2159.69644988"/>
    <n v="1"/>
    <n v="0"/>
    <m/>
    <s v="Apartamento Disponible"/>
    <x v="1"/>
    <m/>
    <n v="0"/>
    <n v="0"/>
    <m/>
    <n v="26"/>
  </r>
  <r>
    <n v="1510"/>
    <s v="Brenda Búcaro"/>
    <s v="José Paúl Centeno Valdés"/>
    <d v="2023-06-08T00:00:00"/>
    <s v="B3"/>
    <s v="4.Plan de pagos"/>
    <n v="887400"/>
    <n v="88800"/>
    <n v="0"/>
    <n v="0"/>
    <n v="0"/>
    <n v="6000"/>
    <n v="3064"/>
    <n v="3064"/>
    <n v="3064"/>
    <n v="3064"/>
    <n v="3064"/>
    <n v="0"/>
    <n v="6128"/>
    <n v="3064"/>
    <n v="0"/>
    <n v="6128"/>
    <n v="3064"/>
    <n v="3064"/>
    <n v="3064"/>
    <n v="3064"/>
    <n v="3064"/>
    <n v="3064"/>
    <n v="3064"/>
    <n v="3064"/>
    <n v="3064"/>
    <n v="3064"/>
    <n v="3064"/>
    <n v="0"/>
    <n v="70344"/>
    <n v="0.79216216216216218"/>
    <n v="-18456"/>
    <n v="-0.20783783783783782"/>
    <n v="817056"/>
    <n v="0.92073022312373221"/>
    <n v="88800"/>
    <m/>
    <s v="Vendido"/>
    <x v="0"/>
    <n v="27"/>
    <n v="1"/>
    <n v="28"/>
    <n v="3064"/>
    <n v="17"/>
  </r>
  <r>
    <n v="1511"/>
    <s v="Antonio Rada"/>
    <s v="Luis Fernando Velasquez León"/>
    <d v="2023-08-17T00:00:00"/>
    <s v="E8"/>
    <s v="4.Plan de pagos"/>
    <n v="1382700"/>
    <n v="138300"/>
    <n v="0"/>
    <n v="0"/>
    <n v="0"/>
    <n v="0"/>
    <n v="0"/>
    <n v="0"/>
    <n v="11292"/>
    <n v="0"/>
    <n v="5292"/>
    <n v="5292"/>
    <n v="5292"/>
    <n v="5292"/>
    <n v="0"/>
    <n v="5292"/>
    <n v="10584"/>
    <n v="0"/>
    <n v="5292"/>
    <n v="10584"/>
    <n v="0"/>
    <n v="5292"/>
    <n v="10584"/>
    <n v="0"/>
    <n v="10600"/>
    <n v="0"/>
    <n v="5300"/>
    <n v="0"/>
    <n v="95988"/>
    <n v="0.69405639913232109"/>
    <n v="-42312"/>
    <n v="-0.30594360086767897"/>
    <n v="1286712"/>
    <n v="0.93057930136689082"/>
    <n v="138300"/>
    <m/>
    <s v="Vendido"/>
    <x v="0"/>
    <n v="25"/>
    <n v="1"/>
    <n v="26"/>
    <n v="5292"/>
    <n v="7"/>
  </r>
  <r>
    <n v="1512"/>
    <m/>
    <m/>
    <m/>
    <s v="A10"/>
    <s v="1.Disponible"/>
    <n v="949356.17554408498"/>
    <n v="94935.617554408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356.17554408498"/>
    <n v="1"/>
    <n v="0"/>
    <m/>
    <s v="Apartamento Disponible"/>
    <x v="1"/>
    <m/>
    <n v="0"/>
    <n v="0"/>
    <m/>
    <n v="26"/>
  </r>
  <r>
    <n v="1601"/>
    <s v="Brenda Búcaro"/>
    <s v="Fernando García Coronado"/>
    <d v="2023-08-24T00:00:00"/>
    <s v="D3"/>
    <s v="4.Plan de pagos"/>
    <n v="1255283.8999999999"/>
    <n v="125583.9"/>
    <n v="0"/>
    <n v="0"/>
    <n v="0"/>
    <n v="0"/>
    <n v="0"/>
    <n v="6000"/>
    <n v="5000"/>
    <n v="5000"/>
    <n v="5000"/>
    <n v="5000"/>
    <n v="6000"/>
    <n v="5000"/>
    <n v="5000"/>
    <n v="5000"/>
    <n v="5000"/>
    <n v="5000"/>
    <n v="5000"/>
    <n v="0"/>
    <n v="7000"/>
    <n v="5000"/>
    <n v="10000"/>
    <n v="5000"/>
    <n v="5000"/>
    <n v="5000"/>
    <n v="0"/>
    <n v="5000"/>
    <n v="104000"/>
    <n v="0.82813163152283065"/>
    <n v="-21583.899999999994"/>
    <n v="-0.17186836847716941"/>
    <n v="1151283.8999999999"/>
    <n v="0.91715021597903068"/>
    <n v="125583.9"/>
    <m/>
    <s v="Vendido"/>
    <x v="0"/>
    <n v="25"/>
    <n v="1"/>
    <n v="26"/>
    <n v="4780"/>
    <n v="0"/>
  </r>
  <r>
    <n v="1602"/>
    <s v="Ronaldo"/>
    <s v="International Coffee Industry, S.A"/>
    <d v="2024-01-09T00:00:00"/>
    <s v="D2"/>
    <s v="4.Plan de pagos"/>
    <n v="1297200"/>
    <n v="129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9720"/>
    <n v="-1"/>
    <n v="1297200"/>
    <n v="1"/>
    <n v="129720"/>
    <m/>
    <s v="Vendido"/>
    <x v="0"/>
    <m/>
    <n v="0"/>
    <n v="0"/>
    <m/>
    <n v="26"/>
  </r>
  <r>
    <n v="1603"/>
    <s v="Antonio Rada"/>
    <s v="Inmobiliaria Quince Sociedad Anonima"/>
    <d v="2023-03-28T00:00:00"/>
    <s v="B6"/>
    <s v="4.Plan de pagos"/>
    <n v="863130.61"/>
    <n v="156030.60999999999"/>
    <n v="6000"/>
    <n v="0"/>
    <n v="0"/>
    <n v="0"/>
    <n v="0"/>
    <n v="244000"/>
    <n v="576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342"/>
    <n v="5.2960249274164859"/>
    <n v="670311.39"/>
    <n v="4.2960249274164859"/>
    <n v="36788.609999999986"/>
    <n v="4.2622297916186734E-2"/>
    <n v="156030.60999999999"/>
    <m/>
    <s v="Vendido"/>
    <x v="2"/>
    <n v="26"/>
    <n v="1"/>
    <n v="27"/>
    <n v="5001"/>
    <n v="0"/>
  </r>
  <r>
    <n v="1604"/>
    <s v="Antonio Rada"/>
    <s v="Oliver Lenin Garcia Godoy"/>
    <d v="2023-05-16T00:00:00"/>
    <s v="B1"/>
    <s v="4.Plan de pagos"/>
    <n v="894100"/>
    <n v="89500"/>
    <n v="0"/>
    <n v="0"/>
    <n v="6000"/>
    <n v="2982"/>
    <n v="2982"/>
    <n v="2982"/>
    <n v="2982"/>
    <n v="2982"/>
    <n v="2982"/>
    <n v="2982"/>
    <n v="2982"/>
    <n v="2982"/>
    <n v="2982"/>
    <n v="0"/>
    <n v="5964"/>
    <n v="0"/>
    <n v="2982"/>
    <n v="5964"/>
    <n v="2982"/>
    <n v="0"/>
    <n v="5964"/>
    <n v="2982"/>
    <n v="2982"/>
    <n v="2982"/>
    <n v="2982"/>
    <n v="0"/>
    <n v="71604"/>
    <n v="0.80004469273743017"/>
    <n v="-17896"/>
    <n v="-0.19995530726256983"/>
    <n v="822496"/>
    <n v="0.91991499832233536"/>
    <n v="89500"/>
    <m/>
    <s v="Vendido"/>
    <x v="0"/>
    <n v="28"/>
    <n v="1"/>
    <n v="29"/>
    <n v="2982"/>
    <n v="16"/>
  </r>
  <r>
    <n v="1605"/>
    <s v="Antonio Rada"/>
    <s v="Edgar Ronaldo Muy Pineda"/>
    <d v="2024-08-22T00:00:00"/>
    <s v="D7"/>
    <s v="4.Plan de pagos"/>
    <n v="1393455"/>
    <n v="139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9254.23"/>
    <n v="9256.48"/>
    <n v="0"/>
    <n v="0"/>
    <n v="0"/>
    <n v="28510.71"/>
    <n v="0.20459050626098813"/>
    <n v="-110844.29000000001"/>
    <n v="-0.79540949373901193"/>
    <n v="1364944.29"/>
    <n v="0.97953955456042718"/>
    <n v="139355"/>
    <m/>
    <s v="Vendido"/>
    <x v="0"/>
    <n v="16"/>
    <n v="1"/>
    <n v="17"/>
    <m/>
    <n v="23"/>
  </r>
  <r>
    <n v="1606"/>
    <m/>
    <m/>
    <m/>
    <s v="A9"/>
    <s v="1.Disponible"/>
    <n v="996326.32441067905"/>
    <n v="99632.632441067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6326.32441067905"/>
    <n v="1"/>
    <n v="0"/>
    <m/>
    <s v="Apartamento Disponible"/>
    <x v="1"/>
    <m/>
    <n v="0"/>
    <n v="0"/>
    <m/>
    <n v="26"/>
  </r>
  <r>
    <n v="1607"/>
    <s v="Brenda Búcaro"/>
    <s v="Edvin Carlos Cifuentes Salguero"/>
    <d v="2023-05-31T00:00:00"/>
    <s v="C9"/>
    <s v="4.Plan de pagos"/>
    <n v="1164200"/>
    <n v="116500"/>
    <n v="0"/>
    <n v="0"/>
    <n v="6000"/>
    <n v="0"/>
    <n v="3000"/>
    <n v="0"/>
    <n v="300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15000"/>
    <n v="0.12875536480686695"/>
    <n v="-101500"/>
    <n v="-0.871244635193133"/>
    <n v="1149200"/>
    <n v="0.98711561587356123"/>
    <n v="116500"/>
    <m/>
    <s v="Vendido"/>
    <x v="0"/>
    <n v="15"/>
    <n v="1"/>
    <n v="16"/>
    <m/>
    <n v="21"/>
  </r>
  <r>
    <n v="1608"/>
    <s v="Jose Franco"/>
    <s v="María Carolina Arimany Comas"/>
    <d v="2023-03-28T00:00:00"/>
    <s v="C8"/>
    <s v="4.Plan de pagos"/>
    <n v="1153648"/>
    <n v="115448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5.1971450349941099E-2"/>
    <n v="-109448"/>
    <n v="-0.94802854965005889"/>
    <n v="1147648"/>
    <n v="0.99479910683328021"/>
    <n v="115448"/>
    <m/>
    <s v="Vendido"/>
    <x v="0"/>
    <n v="35"/>
    <n v="1"/>
    <n v="36"/>
    <m/>
    <n v="25"/>
  </r>
  <r>
    <n v="1609"/>
    <s v="Antonio Rada"/>
    <s v="Christian Josue Colindres Sandoval"/>
    <d v="2023-03-25T00:00:00"/>
    <s v="B4"/>
    <s v="4.Plan de pagos"/>
    <n v="860950.58400499995"/>
    <n v="86150.58"/>
    <n v="6000"/>
    <n v="2290"/>
    <n v="2290"/>
    <n v="2290"/>
    <n v="2290"/>
    <n v="2290"/>
    <n v="2290"/>
    <n v="0"/>
    <n v="4580"/>
    <n v="2290"/>
    <n v="2290"/>
    <n v="2290"/>
    <n v="2290"/>
    <n v="0"/>
    <n v="2290"/>
    <n v="0"/>
    <n v="2290"/>
    <n v="2290"/>
    <n v="4580"/>
    <n v="4580"/>
    <n v="0"/>
    <n v="0"/>
    <n v="0"/>
    <n v="0"/>
    <n v="6870"/>
    <n v="0"/>
    <n v="56380"/>
    <n v="0.65443552440389841"/>
    <n v="-29770.58"/>
    <n v="-0.34556447559610165"/>
    <n v="804570.58400499995"/>
    <n v="0.93451424385156978"/>
    <n v="86150.58"/>
    <m/>
    <s v="Vendido"/>
    <x v="0"/>
    <n v="35"/>
    <n v="1"/>
    <n v="36"/>
    <n v="2290"/>
    <n v="13"/>
  </r>
  <r>
    <n v="1610"/>
    <s v="Antonio Rada"/>
    <s v="Grupo Sak Y Saksociedad Anonima"/>
    <d v="2023-05-31T00:00:00"/>
    <s v="B3"/>
    <s v="4.Plan de pagos"/>
    <n v="890081.34"/>
    <n v="890081.34"/>
    <n v="0"/>
    <n v="0"/>
    <n v="6000"/>
    <n v="89008.13"/>
    <n v="29447"/>
    <n v="29447"/>
    <n v="29447"/>
    <n v="29447"/>
    <n v="29447"/>
    <n v="29447"/>
    <n v="29447"/>
    <n v="29447"/>
    <n v="29447"/>
    <n v="0"/>
    <n v="0"/>
    <n v="58894"/>
    <n v="29447"/>
    <n v="29447"/>
    <n v="29447"/>
    <n v="29447"/>
    <n v="29447"/>
    <n v="29447"/>
    <n v="29447"/>
    <n v="29447"/>
    <n v="0"/>
    <n v="0"/>
    <n v="654501.13"/>
    <n v="0.73532732412972512"/>
    <n v="-235580.20999999996"/>
    <n v="-0.26467267587027493"/>
    <n v="235580.20999999996"/>
    <n v="0.26467267587027493"/>
    <n v="890081.34"/>
    <m/>
    <s v="Vendido"/>
    <x v="0"/>
    <n v="27"/>
    <n v="1"/>
    <n v="28"/>
    <n v="29447"/>
    <n v="17"/>
  </r>
  <r>
    <n v="1611"/>
    <s v="Brenda Búcaro"/>
    <s v="Marvin Osiel Fuentes Fuentes"/>
    <d v="2023-07-07T00:00:00"/>
    <s v="E8"/>
    <s v="4.Plan de pagos"/>
    <n v="1437500"/>
    <n v="143800"/>
    <n v="0"/>
    <n v="0"/>
    <n v="0"/>
    <n v="0"/>
    <n v="60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0"/>
    <n v="112000"/>
    <n v="0.77885952712100137"/>
    <n v="-31800"/>
    <n v="-0.2211404728789986"/>
    <n v="1325500"/>
    <n v="0.92208695652173911"/>
    <n v="143800"/>
    <m/>
    <s v="Vendido"/>
    <x v="0"/>
    <n v="26"/>
    <n v="1"/>
    <n v="27"/>
    <n v="5300"/>
    <n v="20"/>
  </r>
  <r>
    <n v="1612"/>
    <m/>
    <m/>
    <m/>
    <s v="A10"/>
    <s v="1.Disponible"/>
    <n v="982583.641688128"/>
    <n v="98258.364168812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2583.641688128"/>
    <n v="1"/>
    <n v="0"/>
    <m/>
    <s v="Apartamento Disponible"/>
    <x v="1"/>
    <m/>
    <n v="0"/>
    <n v="0"/>
    <m/>
    <n v="26"/>
  </r>
  <r>
    <n v="1701"/>
    <s v="Brenda Búcaro"/>
    <s v=" Ramiro José Muñoz Jordán"/>
    <d v="2023-03-29T00:00:00"/>
    <s v="E6"/>
    <s v="4.Plan de pagos"/>
    <n v="1389570"/>
    <n v="139070"/>
    <n v="6000"/>
    <n v="5000"/>
    <n v="5000"/>
    <n v="5000"/>
    <n v="10000"/>
    <n v="3000"/>
    <n v="0"/>
    <n v="0"/>
    <n v="0"/>
    <n v="5000"/>
    <n v="7600"/>
    <n v="4500"/>
    <n v="4000"/>
    <n v="0"/>
    <n v="3800"/>
    <n v="3800"/>
    <n v="4500"/>
    <n v="7800"/>
    <n v="0"/>
    <n v="4000"/>
    <n v="0"/>
    <n v="0"/>
    <n v="0"/>
    <n v="0"/>
    <n v="0"/>
    <n v="0"/>
    <n v="79000"/>
    <n v="0.56805925073703889"/>
    <n v="-60070"/>
    <n v="-0.43194074926296111"/>
    <n v="1310570"/>
    <n v="0.94314788027951091"/>
    <n v="139070"/>
    <m/>
    <s v="Vendido"/>
    <x v="0"/>
    <n v="35"/>
    <n v="1"/>
    <n v="36"/>
    <n v="3800"/>
    <n v="2"/>
  </r>
  <r>
    <n v="1702"/>
    <s v="Brenda Búcaro"/>
    <s v="David Alejandro Donis Lopez"/>
    <d v="2023-04-15T00:00:00"/>
    <s v="A3"/>
    <s v="4.Plan de pagos"/>
    <n v="666800"/>
    <n v="66700"/>
    <n v="0"/>
    <n v="6000"/>
    <n v="2100"/>
    <n v="0"/>
    <n v="4200"/>
    <n v="2100"/>
    <n v="2100"/>
    <n v="2100"/>
    <n v="0"/>
    <n v="4200"/>
    <n v="2100"/>
    <n v="2100"/>
    <n v="2100"/>
    <n v="2100"/>
    <n v="0"/>
    <n v="4200"/>
    <n v="0"/>
    <n v="2100"/>
    <n v="2100"/>
    <n v="2100"/>
    <n v="2100"/>
    <n v="4200"/>
    <n v="0"/>
    <n v="2100"/>
    <n v="4200"/>
    <n v="0"/>
    <n v="54300"/>
    <n v="0.81409295352323841"/>
    <n v="-12400"/>
    <n v="-0.18590704647676162"/>
    <n v="612500"/>
    <n v="0.91856628674265151"/>
    <n v="66700"/>
    <m/>
    <s v="Vendido"/>
    <x v="0"/>
    <n v="29"/>
    <n v="1"/>
    <n v="30"/>
    <n v="2100"/>
    <n v="13"/>
  </r>
  <r>
    <n v="1703"/>
    <m/>
    <m/>
    <m/>
    <s v="D5"/>
    <s v="1.Disponible"/>
    <n v="1411239.4727644799"/>
    <n v="141123.94727644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1239.4727644799"/>
    <n v="1"/>
    <n v="0"/>
    <m/>
    <s v="Apartamento Disponible"/>
    <x v="1"/>
    <m/>
    <n v="0"/>
    <n v="0"/>
    <m/>
    <n v="26"/>
  </r>
  <r>
    <n v="1704"/>
    <s v="Brenda Búcaro"/>
    <s v="Javier Andres Soto Coronado"/>
    <d v="2023-03-10T00:00:00"/>
    <s v="A5"/>
    <s v="4.Plan de pagos"/>
    <n v="617600"/>
    <n v="62000"/>
    <n v="60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0"/>
    <n v="3200"/>
    <n v="1600"/>
    <n v="0"/>
    <n v="44400"/>
    <n v="0.71612903225806457"/>
    <n v="-17600"/>
    <n v="-0.28387096774193549"/>
    <n v="573200"/>
    <n v="0.92810880829015541"/>
    <n v="62000"/>
    <m/>
    <s v="Vendido"/>
    <x v="0"/>
    <n v="35"/>
    <n v="1"/>
    <n v="36"/>
    <n v="1600"/>
    <n v="22"/>
  </r>
  <r>
    <n v="1705"/>
    <s v="Antonio Rada"/>
    <s v="Maxi Alexander Mendez Moran"/>
    <d v="2025-04-02T00:00:00"/>
    <s v="D6"/>
    <s v="2. Reserva"/>
    <n v="1446043.24"/>
    <n v="144604.323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44604.32399999999"/>
    <n v="-1"/>
    <n v="1446043.24"/>
    <n v="1"/>
    <n v="144604.32399999999"/>
    <m/>
    <s v="Vendido"/>
    <x v="0"/>
    <n v="13"/>
    <n v="1"/>
    <n v="14"/>
    <m/>
    <n v="26"/>
  </r>
  <r>
    <n v="1706"/>
    <s v="Jose Franco"/>
    <s v=" David Arimany Monzón"/>
    <d v="2023-03-24T00:00:00"/>
    <s v="B4"/>
    <s v="4.Plan de pagos"/>
    <n v="860951"/>
    <n v="87051"/>
    <n v="6000"/>
    <n v="2400"/>
    <n v="2400"/>
    <n v="2400"/>
    <n v="0"/>
    <n v="2400"/>
    <n v="4800"/>
    <n v="2400"/>
    <n v="2400"/>
    <n v="0"/>
    <n v="4800"/>
    <n v="0"/>
    <n v="2400"/>
    <n v="4800"/>
    <n v="0"/>
    <n v="4800"/>
    <n v="0"/>
    <n v="2400"/>
    <n v="0"/>
    <n v="0"/>
    <n v="2400"/>
    <n v="0"/>
    <n v="0"/>
    <n v="0"/>
    <n v="0"/>
    <n v="0"/>
    <n v="46800"/>
    <n v="0.53761588034600405"/>
    <n v="-40251"/>
    <n v="-0.46238411965399595"/>
    <n v="814151"/>
    <n v="0.94564150573029127"/>
    <n v="87051"/>
    <m/>
    <s v="Vendido"/>
    <x v="0"/>
    <n v="35"/>
    <n v="1"/>
    <n v="36"/>
    <n v="2400"/>
    <n v="9"/>
  </r>
  <r>
    <n v="1707"/>
    <m/>
    <s v="Miguel Eduardo Yon Moll"/>
    <d v="2025-03-05T00:00:00"/>
    <s v="B5"/>
    <s v="2. Reserva"/>
    <n v="908000"/>
    <n v="9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0000"/>
    <n v="0.11013215859030837"/>
    <n v="-80800"/>
    <n v="-0.88986784140969166"/>
    <n v="898000"/>
    <n v="0.98898678414096919"/>
    <n v="90800"/>
    <m/>
    <s v="Vendido"/>
    <x v="0"/>
    <m/>
    <n v="0"/>
    <n v="0"/>
    <m/>
    <n v="25"/>
  </r>
  <r>
    <n v="1708"/>
    <m/>
    <m/>
    <m/>
    <s v="E4"/>
    <s v="1.Disponible"/>
    <n v="1538042.1199845199"/>
    <n v="153804.211998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8042.1199845199"/>
    <n v="1"/>
    <n v="0"/>
    <m/>
    <s v="Apartamento Disponible"/>
    <x v="1"/>
    <m/>
    <n v="0"/>
    <n v="0"/>
    <m/>
    <n v="26"/>
  </r>
  <r>
    <n v="1801"/>
    <s v="Jose Franco"/>
    <s v="Luis Arimany Monzón"/>
    <d v="2023-03-27T00:00:00"/>
    <s v="E7"/>
    <s v="4.Plan de pagos"/>
    <n v="1391452"/>
    <n v="139152"/>
    <n v="6000"/>
    <n v="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0"/>
    <n v="9.7734851098079792E-2"/>
    <n v="-125552"/>
    <n v="-0.90226514890192022"/>
    <n v="1377852"/>
    <n v="0.99022603726179559"/>
    <n v="139152"/>
    <m/>
    <s v="Vendido"/>
    <x v="0"/>
    <n v="35"/>
    <n v="1"/>
    <n v="36"/>
    <n v="3800"/>
    <n v="0"/>
  </r>
  <r>
    <n v="1802"/>
    <s v="Antonio Rada"/>
    <s v="Fredy Rene Velasquez Quevedo"/>
    <d v="2023-05-18T00:00:00"/>
    <s v="A10"/>
    <s v="4.Plan de pagos"/>
    <n v="848900"/>
    <n v="84900"/>
    <n v="0"/>
    <n v="0"/>
    <n v="6000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0"/>
    <n v="67996"/>
    <n v="0.80089517078916372"/>
    <n v="-16904"/>
    <n v="-0.19910482921083628"/>
    <n v="780904"/>
    <n v="0.91990104841559661"/>
    <n v="84900"/>
    <m/>
    <s v="Vendido"/>
    <x v="0"/>
    <n v="28"/>
    <n v="1"/>
    <n v="29"/>
    <n v="2818"/>
    <n v="22"/>
  </r>
  <r>
    <n v="1803"/>
    <m/>
    <m/>
    <m/>
    <s v="D5"/>
    <s v="1.Disponible"/>
    <n v="1411239.4727644799"/>
    <n v="141123.94727644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1239.4727644799"/>
    <n v="1"/>
    <n v="0"/>
    <m/>
    <s v="Apartamento Disponible"/>
    <x v="1"/>
    <m/>
    <n v="0"/>
    <n v="0"/>
    <m/>
    <n v="26"/>
  </r>
  <r>
    <n v="1804"/>
    <s v="Brenda Búcaro"/>
    <s v="Juan Pablo Monterroso Arroyo"/>
    <d v="2023-03-10T00:00:00"/>
    <s v="A5"/>
    <s v="4.Plan de pagos"/>
    <n v="617600"/>
    <n v="62000"/>
    <n v="6000"/>
    <n v="1600"/>
    <n v="1600"/>
    <n v="1600"/>
    <n v="1600"/>
    <n v="1600"/>
    <n v="1600"/>
    <n v="1600"/>
    <n v="0"/>
    <n v="1600"/>
    <n v="1600"/>
    <n v="2860"/>
    <n v="1600"/>
    <n v="1600"/>
    <n v="1600"/>
    <n v="1600"/>
    <n v="1600"/>
    <n v="1600"/>
    <n v="0"/>
    <n v="1600"/>
    <n v="1600"/>
    <n v="1600"/>
    <n v="0"/>
    <n v="3200"/>
    <n v="1600"/>
    <n v="0"/>
    <n v="42460"/>
    <n v="0.68483870967741933"/>
    <n v="-19540"/>
    <n v="-0.31516129032258067"/>
    <n v="575140"/>
    <n v="0.93125000000000002"/>
    <n v="62000"/>
    <m/>
    <s v="Vendido"/>
    <x v="0"/>
    <n v="35"/>
    <n v="1"/>
    <n v="36"/>
    <n v="1600"/>
    <n v="19"/>
  </r>
  <r>
    <n v="1805"/>
    <m/>
    <m/>
    <m/>
    <s v="D6"/>
    <s v="1.Disponible"/>
    <n v="1416043.2379894699"/>
    <n v="141604.32379894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6043.2379894699"/>
    <n v="1"/>
    <n v="0"/>
    <m/>
    <s v="Apartamento Disponible"/>
    <x v="1"/>
    <m/>
    <n v="0"/>
    <n v="0"/>
    <m/>
    <n v="26"/>
  </r>
  <r>
    <n v="1806"/>
    <s v="Antonio Rada"/>
    <s v="Business View Sociedad Anonima"/>
    <d v="2023-03-29T00:00:00"/>
    <s v="B4"/>
    <s v="4.Plan de pagos"/>
    <n v="860950.58400499995"/>
    <n v="86150.58"/>
    <n v="6000"/>
    <n v="2290"/>
    <n v="2290"/>
    <n v="2290"/>
    <n v="2290"/>
    <n v="2290"/>
    <n v="2290"/>
    <n v="2290"/>
    <n v="2290"/>
    <n v="2290"/>
    <n v="2290"/>
    <n v="2290"/>
    <n v="2290"/>
    <n v="4580"/>
    <n v="0"/>
    <n v="2290"/>
    <n v="2290"/>
    <n v="2290"/>
    <n v="2290"/>
    <n v="2290"/>
    <n v="2290"/>
    <n v="2290"/>
    <n v="2290"/>
    <n v="4580"/>
    <n v="2290"/>
    <n v="2290"/>
    <n v="65540"/>
    <n v="0.76076098384944124"/>
    <n v="-20610.580000000002"/>
    <n v="-0.23923901615055873"/>
    <n v="795410.58400499995"/>
    <n v="0.92387484111443574"/>
    <n v="86150.58"/>
    <m/>
    <s v="Vendido"/>
    <x v="0"/>
    <n v="35"/>
    <n v="1"/>
    <n v="36"/>
    <n v="2290"/>
    <n v="22"/>
  </r>
  <r>
    <n v="1807"/>
    <s v="Jose Franco"/>
    <s v=" Yuly Marisol Rodríguez Ordoñez De Arimany"/>
    <d v="2023-03-27T00:00:00"/>
    <s v="C11"/>
    <s v="4.Plan de pagos"/>
    <n v="1131156"/>
    <n v="113156"/>
    <n v="6000"/>
    <n v="0"/>
    <n v="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00"/>
    <n v="0.10693202304782778"/>
    <n v="-101056"/>
    <n v="-0.89306797695217222"/>
    <n v="1119056"/>
    <n v="0.98930297854584159"/>
    <n v="113156"/>
    <m/>
    <s v="Vendido"/>
    <x v="0"/>
    <n v="35"/>
    <n v="1"/>
    <n v="36"/>
    <n v="3050"/>
    <n v="0"/>
  </r>
  <r>
    <n v="1808"/>
    <s v="Antonio Rada"/>
    <s v="Monica Cecilia Rodriguez Villalta"/>
    <d v="2023-09-30T00:00:00"/>
    <s v="E3"/>
    <s v="4.Plan de pagos"/>
    <n v="1417808.51"/>
    <n v="141808.51"/>
    <n v="0"/>
    <n v="0"/>
    <n v="0"/>
    <n v="0"/>
    <n v="0"/>
    <n v="0"/>
    <n v="8000"/>
    <n v="2800"/>
    <n v="2800"/>
    <n v="11150"/>
    <n v="2800"/>
    <n v="2800"/>
    <n v="2800"/>
    <n v="2800"/>
    <n v="2800"/>
    <n v="2800"/>
    <n v="22300"/>
    <n v="2800"/>
    <n v="2800"/>
    <n v="2800"/>
    <n v="2800"/>
    <n v="22300"/>
    <n v="2800"/>
    <n v="2800"/>
    <n v="2800"/>
    <n v="0"/>
    <n v="105750"/>
    <n v="0.74572393433934248"/>
    <n v="-36058.510000000009"/>
    <n v="-0.25427606566065752"/>
    <n v="1312058.51"/>
    <n v="0.92541305877759195"/>
    <n v="141808.51"/>
    <m/>
    <s v="Vendido"/>
    <x v="0"/>
    <n v="24"/>
    <n v="1"/>
    <n v="25"/>
    <n v="2800"/>
    <n v="15"/>
  </r>
  <r>
    <n v="1901"/>
    <s v="Brenda Búcaro"/>
    <s v="Luis Pedro Escobedo De Cid"/>
    <d v="2023-03-27T00:00:00"/>
    <s v="A11"/>
    <s v="4.Plan de pagos"/>
    <n v="738382"/>
    <n v="73882"/>
    <n v="15000"/>
    <n v="1000"/>
    <n v="1000"/>
    <n v="0"/>
    <n v="2000"/>
    <n v="0"/>
    <n v="1000"/>
    <n v="1000"/>
    <n v="1000"/>
    <n v="1000"/>
    <n v="2000"/>
    <n v="1000"/>
    <n v="0"/>
    <n v="2000"/>
    <n v="0"/>
    <n v="0"/>
    <n v="0"/>
    <n v="0"/>
    <n v="0"/>
    <n v="0"/>
    <n v="0"/>
    <n v="0"/>
    <n v="0"/>
    <n v="0"/>
    <n v="0"/>
    <n v="0"/>
    <n v="28000"/>
    <n v="0.37898270214666629"/>
    <n v="-45882"/>
    <n v="-0.62101729785333371"/>
    <n v="710382"/>
    <n v="0.96207924895243924"/>
    <n v="73882"/>
    <m/>
    <s v="Vendido"/>
    <x v="0"/>
    <m/>
    <n v="0"/>
    <n v="0"/>
    <m/>
    <n v="15"/>
  </r>
  <r>
    <n v="1902"/>
    <s v="Ronaldo"/>
    <s v="International Coffe Industry, S.A"/>
    <d v="2024-01-09T00:00:00"/>
    <s v="D5"/>
    <s v="4.Plan de pagos"/>
    <n v="1322000"/>
    <n v="13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32200"/>
    <n v="-1"/>
    <n v="1322000"/>
    <n v="1"/>
    <n v="132200"/>
    <m/>
    <s v="Vendido"/>
    <x v="0"/>
    <m/>
    <n v="0"/>
    <n v="0"/>
    <m/>
    <n v="26"/>
  </r>
  <r>
    <n v="1903"/>
    <s v="Ronaldo"/>
    <s v="International Coffe Industry, S.A"/>
    <d v="2024-01-09T00:00:00"/>
    <s v="D6"/>
    <s v="4.Plan de pagos"/>
    <n v="1326500"/>
    <n v="13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32650"/>
    <n v="-1"/>
    <n v="1326500"/>
    <n v="1"/>
    <n v="132650"/>
    <m/>
    <s v="Vendido"/>
    <x v="0"/>
    <m/>
    <n v="0"/>
    <n v="0"/>
    <m/>
    <n v="26"/>
  </r>
  <r>
    <n v="1904"/>
    <s v="Ronaldo"/>
    <s v="International Coffe Industry, S.A"/>
    <d v="2024-01-09T00:00:00"/>
    <s v="D5"/>
    <s v="4.Plan de pagos"/>
    <n v="1322000"/>
    <n v="13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32200"/>
    <n v="-1"/>
    <n v="1322000"/>
    <n v="1"/>
    <n v="132200"/>
    <m/>
    <s v="Vendido"/>
    <x v="0"/>
    <m/>
    <n v="0"/>
    <n v="0"/>
    <m/>
    <n v="26"/>
  </r>
  <r>
    <n v="1905"/>
    <s v="Ronaldo"/>
    <s v="International Coffe Industry, S.A"/>
    <d v="2024-01-09T00:00:00"/>
    <s v="D8"/>
    <s v="4.Plan de pagos"/>
    <n v="1365000"/>
    <n v="136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36500"/>
    <n v="-1"/>
    <n v="1365000"/>
    <n v="1"/>
    <n v="136500"/>
    <m/>
    <s v="Vendido"/>
    <x v="0"/>
    <m/>
    <n v="0"/>
    <n v="0"/>
    <m/>
    <n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101"/>
    <s v="4.Plan de pagos"/>
    <n v="600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720"/>
    <m/>
    <m/>
    <m/>
    <m/>
    <m/>
    <m/>
    <m/>
    <m/>
    <m/>
    <m/>
    <m/>
    <m/>
    <m/>
    <m/>
    <m/>
    <m/>
    <n v="64500"/>
    <n v="0"/>
    <n v="46080"/>
    <x v="0"/>
  </r>
  <r>
    <n v="102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22891.497824087"/>
    <n v="0"/>
    <x v="0"/>
  </r>
  <r>
    <n v="103"/>
    <s v="4.Plan de pagos"/>
    <m/>
    <m/>
    <m/>
    <m/>
    <m/>
    <n v="6000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61"/>
    <n v="5273"/>
    <m/>
    <m/>
    <m/>
    <m/>
    <m/>
    <m/>
    <m/>
    <m/>
    <m/>
    <m/>
    <m/>
    <m/>
    <m/>
    <m/>
    <m/>
    <m/>
    <m/>
    <m/>
    <n v="153320"/>
    <n v="0"/>
    <n v="105959"/>
    <x v="0"/>
  </r>
  <r>
    <n v="104"/>
    <s v="4.Plan de pagos"/>
    <m/>
    <m/>
    <m/>
    <m/>
    <m/>
    <n v="100000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m/>
    <m/>
    <m/>
    <m/>
    <m/>
    <m/>
    <m/>
    <m/>
    <m/>
    <m/>
    <m/>
    <m/>
    <m/>
    <m/>
    <m/>
    <m/>
    <m/>
    <m/>
    <m/>
    <m/>
    <m/>
    <n v="145600"/>
    <n v="0"/>
    <n v="134656"/>
    <x v="0"/>
  </r>
  <r>
    <n v="105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18460.34211337201"/>
    <n v="0"/>
    <x v="0"/>
  </r>
  <r>
    <n v="106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8231.01310761899"/>
    <n v="0"/>
    <x v="0"/>
  </r>
  <r>
    <n v="107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13117.23351232501"/>
    <n v="0"/>
    <x v="0"/>
  </r>
  <r>
    <n v="10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1519.97517107401"/>
    <n v="0"/>
    <x v="0"/>
  </r>
  <r>
    <n v="109"/>
    <s v="4.Plan de pagos"/>
    <m/>
    <m/>
    <m/>
    <m/>
    <m/>
    <m/>
    <m/>
    <m/>
    <m/>
    <m/>
    <m/>
    <m/>
    <m/>
    <m/>
    <m/>
    <n v="5000"/>
    <n v="5000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4"/>
    <n v="7708"/>
    <m/>
    <m/>
    <m/>
    <m/>
    <m/>
    <m/>
    <m/>
    <m/>
    <m/>
    <m/>
    <m/>
    <m/>
    <m/>
    <m/>
    <m/>
    <m/>
    <m/>
    <n v="148676"/>
    <n v="0"/>
    <n v="71632"/>
    <x v="0"/>
  </r>
  <r>
    <n v="110"/>
    <s v="4.Plan de pagos"/>
    <m/>
    <m/>
    <m/>
    <m/>
    <n v="6000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400"/>
    <m/>
    <m/>
    <m/>
    <m/>
    <m/>
    <m/>
    <m/>
    <m/>
    <m/>
    <m/>
    <m/>
    <m/>
    <m/>
    <m/>
    <m/>
    <m/>
    <m/>
    <m/>
    <m/>
    <m/>
    <m/>
    <n v="68100"/>
    <n v="0"/>
    <n v="53760"/>
    <x v="0"/>
  </r>
  <r>
    <n v="111"/>
    <s v="4.Plan de pagos"/>
    <n v="6000"/>
    <n v="100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2640"/>
    <m/>
    <m/>
    <m/>
    <m/>
    <m/>
    <m/>
    <m/>
    <m/>
    <m/>
    <m/>
    <m/>
    <m/>
    <m/>
    <m/>
    <m/>
    <m/>
    <n v="69700"/>
    <n v="0"/>
    <n v="48860"/>
    <x v="0"/>
  </r>
  <r>
    <n v="112"/>
    <s v="4.Plan de pagos"/>
    <n v="60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n v="2700"/>
    <m/>
    <m/>
    <m/>
    <m/>
    <m/>
    <m/>
    <m/>
    <m/>
    <m/>
    <m/>
    <m/>
    <m/>
    <m/>
    <m/>
    <m/>
    <m/>
    <n v="69900"/>
    <n v="0"/>
    <n v="49200"/>
    <x v="0"/>
  </r>
  <r>
    <n v="113"/>
    <s v="4.Plan de pagos"/>
    <m/>
    <m/>
    <m/>
    <m/>
    <m/>
    <m/>
    <m/>
    <m/>
    <m/>
    <m/>
    <m/>
    <m/>
    <m/>
    <m/>
    <m/>
    <m/>
    <m/>
    <m/>
    <m/>
    <m/>
    <n v="10000"/>
    <n v="470006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06.24"/>
    <n v="0.20000000001164153"/>
    <n v="480006.24"/>
    <x v="0"/>
  </r>
  <r>
    <n v="114"/>
    <s v="4.Plan de pagos"/>
    <n v="6000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79.75"/>
    <m/>
    <m/>
    <m/>
    <m/>
    <m/>
    <m/>
    <m/>
    <m/>
    <m/>
    <m/>
    <m/>
    <m/>
    <m/>
    <m/>
    <m/>
    <m/>
    <n v="99425.75"/>
    <n v="0"/>
    <n v="70056"/>
    <x v="0"/>
  </r>
  <r>
    <n v="201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2993.12984007201"/>
    <n v="0"/>
    <x v="0"/>
  </r>
  <r>
    <n v="202"/>
    <s v="2. Reserva"/>
    <m/>
    <m/>
    <m/>
    <m/>
    <m/>
    <m/>
    <m/>
    <m/>
    <m/>
    <m/>
    <m/>
    <m/>
    <m/>
    <m/>
    <m/>
    <m/>
    <m/>
    <m/>
    <m/>
    <m/>
    <m/>
    <m/>
    <m/>
    <m/>
    <n v="10000"/>
    <n v="8731"/>
    <n v="8731"/>
    <n v="8731"/>
    <n v="8731"/>
    <n v="8731"/>
    <n v="8731"/>
    <n v="8731"/>
    <n v="8731"/>
    <n v="8731"/>
    <n v="8731"/>
    <n v="8731"/>
    <n v="8731"/>
    <n v="8731"/>
    <n v="8727.19"/>
    <m/>
    <m/>
    <m/>
    <m/>
    <m/>
    <m/>
    <m/>
    <m/>
    <m/>
    <m/>
    <m/>
    <m/>
    <m/>
    <n v="132230.19"/>
    <n v="0"/>
    <n v="10000"/>
    <x v="0"/>
  </r>
  <r>
    <n v="203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27392.80375713599"/>
    <n v="0"/>
    <x v="0"/>
  </r>
  <r>
    <n v="204"/>
    <s v="4.Plan de pagos"/>
    <m/>
    <m/>
    <m/>
    <m/>
    <m/>
    <m/>
    <m/>
    <m/>
    <m/>
    <m/>
    <m/>
    <m/>
    <m/>
    <m/>
    <m/>
    <m/>
    <m/>
    <m/>
    <m/>
    <n v="10000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21"/>
    <n v="4817"/>
    <m/>
    <m/>
    <m/>
    <m/>
    <m/>
    <m/>
    <m/>
    <m/>
    <m/>
    <m/>
    <m/>
    <m/>
    <m/>
    <n v="101595"/>
    <n v="0"/>
    <n v="34105"/>
    <x v="0"/>
  </r>
  <r>
    <n v="205"/>
    <s v="2. Reserva"/>
    <m/>
    <m/>
    <m/>
    <m/>
    <m/>
    <m/>
    <m/>
    <m/>
    <m/>
    <m/>
    <m/>
    <m/>
    <m/>
    <m/>
    <m/>
    <m/>
    <m/>
    <m/>
    <m/>
    <m/>
    <m/>
    <m/>
    <n v="10000"/>
    <n v="7903"/>
    <n v="7903"/>
    <n v="7903"/>
    <n v="7903"/>
    <n v="7903"/>
    <n v="7903"/>
    <n v="7903"/>
    <n v="7903"/>
    <n v="7903"/>
    <n v="7903"/>
    <n v="7903"/>
    <n v="7903"/>
    <n v="7903"/>
    <n v="7903"/>
    <n v="7903"/>
    <n v="7910.82"/>
    <m/>
    <m/>
    <m/>
    <m/>
    <m/>
    <m/>
    <m/>
    <m/>
    <m/>
    <m/>
    <m/>
    <m/>
    <m/>
    <n v="136455.82"/>
    <n v="0"/>
    <n v="25806"/>
    <x v="0"/>
  </r>
  <r>
    <n v="206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02123.44825209501"/>
    <n v="0"/>
    <x v="0"/>
  </r>
  <r>
    <n v="207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422.84822378101"/>
    <n v="0"/>
    <x v="0"/>
  </r>
  <r>
    <n v="20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446.231631225"/>
    <n v="0"/>
    <x v="0"/>
  </r>
  <r>
    <n v="209"/>
    <s v="1.Disponible"/>
    <m/>
    <m/>
    <m/>
    <m/>
    <m/>
    <m/>
    <m/>
    <m/>
    <m/>
    <m/>
    <m/>
    <m/>
    <m/>
    <m/>
    <m/>
    <m/>
    <m/>
    <m/>
    <m/>
    <m/>
    <m/>
    <m/>
    <m/>
    <m/>
    <m/>
    <m/>
    <m/>
    <n v="15000"/>
    <n v="185104"/>
    <m/>
    <m/>
    <m/>
    <m/>
    <m/>
    <m/>
    <m/>
    <m/>
    <m/>
    <m/>
    <m/>
    <m/>
    <m/>
    <m/>
    <m/>
    <m/>
    <m/>
    <m/>
    <m/>
    <m/>
    <m/>
    <m/>
    <m/>
    <n v="200104"/>
    <n v="71862.88688757598"/>
    <n v="0"/>
    <x v="0"/>
  </r>
  <r>
    <n v="210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n v="15000"/>
    <n v="8731.66"/>
    <n v="8731.66"/>
    <n v="8731.66"/>
    <n v="8731.66"/>
    <n v="8731.66"/>
    <n v="8731.66"/>
    <n v="8731.66"/>
    <n v="8731.66"/>
    <n v="8731.66"/>
    <n v="8731.66"/>
    <n v="8731.66"/>
    <m/>
    <m/>
    <m/>
    <m/>
    <m/>
    <m/>
    <m/>
    <m/>
    <m/>
    <m/>
    <m/>
    <m/>
    <n v="111048.26000000002"/>
    <n v="7296.0811691610288"/>
    <n v="0"/>
    <x v="0"/>
  </r>
  <r>
    <n v="211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4362.69723517401"/>
    <n v="0"/>
    <x v="0"/>
  </r>
  <r>
    <n v="212"/>
    <s v="4.Plan de pagos"/>
    <m/>
    <m/>
    <m/>
    <m/>
    <m/>
    <m/>
    <m/>
    <m/>
    <n v="8000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9.5"/>
    <m/>
    <m/>
    <m/>
    <m/>
    <m/>
    <m/>
    <m/>
    <m/>
    <m/>
    <m/>
    <m/>
    <m/>
    <m/>
    <m/>
    <m/>
    <m/>
    <m/>
    <m/>
    <m/>
    <m/>
    <m/>
    <n v="71537.5"/>
    <n v="0"/>
    <n v="54208"/>
    <x v="0"/>
  </r>
  <r>
    <n v="213"/>
    <s v="2. Reserva"/>
    <m/>
    <m/>
    <m/>
    <m/>
    <m/>
    <m/>
    <m/>
    <m/>
    <m/>
    <m/>
    <m/>
    <m/>
    <m/>
    <m/>
    <m/>
    <m/>
    <m/>
    <m/>
    <m/>
    <m/>
    <m/>
    <m/>
    <m/>
    <n v="10000"/>
    <n v="4420"/>
    <n v="4420"/>
    <n v="4420"/>
    <n v="4420"/>
    <n v="4420"/>
    <n v="4420"/>
    <n v="4420"/>
    <n v="4420"/>
    <n v="4420"/>
    <n v="4420"/>
    <n v="4420"/>
    <n v="4420"/>
    <n v="4420"/>
    <n v="4420"/>
    <n v="4420"/>
    <n v="4418.74"/>
    <m/>
    <m/>
    <m/>
    <m/>
    <m/>
    <m/>
    <m/>
    <m/>
    <m/>
    <m/>
    <m/>
    <m/>
    <n v="80718.740000000005"/>
    <n v="0"/>
    <n v="14420"/>
    <x v="0"/>
  </r>
  <r>
    <n v="214"/>
    <s v="4.Plan de pagos"/>
    <m/>
    <m/>
    <m/>
    <m/>
    <m/>
    <m/>
    <m/>
    <m/>
    <n v="5500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.5"/>
    <m/>
    <m/>
    <m/>
    <m/>
    <m/>
    <m/>
    <m/>
    <m/>
    <m/>
    <m/>
    <m/>
    <m/>
    <m/>
    <m/>
    <m/>
    <m/>
    <m/>
    <m/>
    <m/>
    <m/>
    <m/>
    <n v="72072.5"/>
    <n v="0"/>
    <n v="53916"/>
    <x v="0"/>
  </r>
  <r>
    <n v="215"/>
    <s v="4.Plan de pagos"/>
    <m/>
    <m/>
    <m/>
    <m/>
    <m/>
    <m/>
    <m/>
    <m/>
    <m/>
    <m/>
    <m/>
    <m/>
    <n v="8000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2"/>
    <n v="4926"/>
    <m/>
    <m/>
    <m/>
    <m/>
    <m/>
    <m/>
    <m/>
    <m/>
    <m/>
    <m/>
    <m/>
    <m/>
    <m/>
    <m/>
    <m/>
    <m/>
    <m/>
    <m/>
    <m/>
    <m/>
    <m/>
    <n v="96600"/>
    <n v="0"/>
    <n v="67064"/>
    <x v="0"/>
  </r>
  <r>
    <n v="216"/>
    <s v="4.Plan de pagos"/>
    <m/>
    <m/>
    <m/>
    <m/>
    <m/>
    <m/>
    <m/>
    <m/>
    <m/>
    <m/>
    <m/>
    <m/>
    <n v="8000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5006"/>
    <n v="4998"/>
    <m/>
    <m/>
    <m/>
    <m/>
    <m/>
    <m/>
    <m/>
    <m/>
    <m/>
    <m/>
    <m/>
    <m/>
    <m/>
    <m/>
    <m/>
    <m/>
    <m/>
    <m/>
    <m/>
    <m/>
    <m/>
    <n v="98100"/>
    <n v="0"/>
    <n v="68072"/>
    <x v="0"/>
  </r>
  <r>
    <n v="301"/>
    <s v="4.Plan de pagos"/>
    <m/>
    <m/>
    <m/>
    <m/>
    <m/>
    <m/>
    <m/>
    <m/>
    <m/>
    <m/>
    <m/>
    <m/>
    <m/>
    <m/>
    <m/>
    <m/>
    <n v="100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n v="6900"/>
    <m/>
    <m/>
    <m/>
    <m/>
    <m/>
    <m/>
    <m/>
    <m/>
    <m/>
    <m/>
    <m/>
    <m/>
    <m/>
    <m/>
    <m/>
    <m/>
    <m/>
    <m/>
    <n v="127300"/>
    <n v="0"/>
    <n v="65200"/>
    <x v="0"/>
  </r>
  <r>
    <n v="302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7342.443624732"/>
    <n v="0"/>
    <x v="0"/>
  </r>
  <r>
    <n v="303"/>
    <s v="4.Plan de pagos"/>
    <m/>
    <m/>
    <m/>
    <m/>
    <m/>
    <m/>
    <m/>
    <m/>
    <m/>
    <m/>
    <m/>
    <m/>
    <m/>
    <m/>
    <m/>
    <m/>
    <m/>
    <m/>
    <m/>
    <m/>
    <m/>
    <m/>
    <m/>
    <n v="5000"/>
    <n v="4316"/>
    <n v="4316"/>
    <n v="4316"/>
    <n v="4316"/>
    <n v="4316"/>
    <n v="4316"/>
    <n v="4316"/>
    <n v="4316"/>
    <n v="4316"/>
    <n v="4316"/>
    <n v="4316"/>
    <n v="4316"/>
    <n v="4316"/>
    <n v="4316"/>
    <n v="28094.45"/>
    <m/>
    <m/>
    <m/>
    <m/>
    <m/>
    <m/>
    <m/>
    <m/>
    <m/>
    <m/>
    <m/>
    <m/>
    <m/>
    <n v="93518.45"/>
    <n v="26.60535480028193"/>
    <n v="9316"/>
    <x v="0"/>
  </r>
  <r>
    <n v="304"/>
    <s v="2. Reserva"/>
    <m/>
    <m/>
    <m/>
    <m/>
    <m/>
    <m/>
    <m/>
    <m/>
    <m/>
    <m/>
    <m/>
    <m/>
    <m/>
    <m/>
    <m/>
    <m/>
    <m/>
    <m/>
    <m/>
    <m/>
    <m/>
    <m/>
    <m/>
    <m/>
    <n v="10000"/>
    <n v="5244"/>
    <n v="5244"/>
    <n v="5244"/>
    <n v="5244"/>
    <n v="5244"/>
    <n v="5244"/>
    <n v="5244"/>
    <n v="5244"/>
    <n v="5244"/>
    <n v="5244"/>
    <n v="5244"/>
    <n v="5244"/>
    <n v="5244"/>
    <n v="5243.2"/>
    <m/>
    <m/>
    <m/>
    <m/>
    <m/>
    <m/>
    <m/>
    <m/>
    <m/>
    <m/>
    <m/>
    <m/>
    <m/>
    <n v="83415.199999999997"/>
    <n v="0"/>
    <n v="10000"/>
    <x v="0"/>
  </r>
  <r>
    <n v="305"/>
    <s v="2. Reserva / Prom. F."/>
    <m/>
    <m/>
    <m/>
    <m/>
    <m/>
    <m/>
    <m/>
    <m/>
    <m/>
    <m/>
    <m/>
    <m/>
    <m/>
    <m/>
    <m/>
    <m/>
    <m/>
    <m/>
    <m/>
    <m/>
    <m/>
    <m/>
    <m/>
    <m/>
    <m/>
    <n v="15000"/>
    <n v="3500"/>
    <n v="3500"/>
    <n v="15000"/>
    <n v="3500"/>
    <n v="3500"/>
    <n v="3500"/>
    <n v="3500"/>
    <n v="20000"/>
    <n v="3500"/>
    <n v="3500"/>
    <n v="3500"/>
    <n v="3500"/>
    <n v="26265.61"/>
    <m/>
    <m/>
    <m/>
    <m/>
    <m/>
    <m/>
    <m/>
    <m/>
    <m/>
    <m/>
    <m/>
    <m/>
    <m/>
    <n v="111265.61"/>
    <n v="19.049083228004747"/>
    <n v="0"/>
    <x v="0"/>
  </r>
  <r>
    <n v="306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10404.75824877301"/>
    <n v="0"/>
    <x v="0"/>
  </r>
  <r>
    <n v="307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05646.234833836"/>
    <n v="0"/>
    <x v="0"/>
  </r>
  <r>
    <n v="308"/>
    <s v="2. Reserva"/>
    <m/>
    <m/>
    <m/>
    <m/>
    <m/>
    <m/>
    <m/>
    <m/>
    <m/>
    <m/>
    <m/>
    <m/>
    <m/>
    <m/>
    <m/>
    <m/>
    <m/>
    <m/>
    <m/>
    <m/>
    <m/>
    <m/>
    <m/>
    <m/>
    <n v="10000"/>
    <n v="6666"/>
    <n v="6666"/>
    <n v="6666"/>
    <n v="6666"/>
    <n v="6666"/>
    <n v="6666"/>
    <n v="6666"/>
    <n v="6666"/>
    <n v="6666"/>
    <n v="6666"/>
    <n v="6666"/>
    <n v="6666"/>
    <n v="6666"/>
    <n v="6670.19"/>
    <m/>
    <m/>
    <m/>
    <m/>
    <m/>
    <m/>
    <m/>
    <m/>
    <m/>
    <m/>
    <m/>
    <m/>
    <m/>
    <n v="103328.19"/>
    <n v="0"/>
    <n v="10000"/>
    <x v="0"/>
  </r>
  <r>
    <n v="309"/>
    <s v="4.Plan de pagos"/>
    <m/>
    <m/>
    <m/>
    <m/>
    <m/>
    <m/>
    <m/>
    <m/>
    <m/>
    <m/>
    <m/>
    <m/>
    <m/>
    <m/>
    <m/>
    <m/>
    <m/>
    <n v="5000"/>
    <n v="2500"/>
    <n v="2500"/>
    <n v="2500"/>
    <n v="27500"/>
    <n v="2500"/>
    <n v="2500"/>
    <n v="2500"/>
    <n v="2500"/>
    <n v="2500"/>
    <n v="2500"/>
    <n v="2500"/>
    <n v="37500"/>
    <n v="2500"/>
    <n v="2500"/>
    <n v="2500"/>
    <n v="32590"/>
    <m/>
    <m/>
    <m/>
    <m/>
    <m/>
    <m/>
    <m/>
    <m/>
    <m/>
    <m/>
    <m/>
    <m/>
    <m/>
    <m/>
    <m/>
    <m/>
    <m/>
    <m/>
    <n v="135090"/>
    <n v="0"/>
    <n v="47500"/>
    <x v="0"/>
  </r>
  <r>
    <n v="310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02123.44825209501"/>
    <n v="0"/>
    <x v="0"/>
  </r>
  <r>
    <n v="311"/>
    <s v="4.Plan de pagos"/>
    <m/>
    <m/>
    <m/>
    <m/>
    <m/>
    <m/>
    <m/>
    <m/>
    <m/>
    <m/>
    <m/>
    <m/>
    <m/>
    <m/>
    <m/>
    <m/>
    <m/>
    <m/>
    <n v="10000"/>
    <m/>
    <n v="129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140"/>
    <n v="0"/>
    <n v="139140"/>
    <x v="0"/>
  </r>
  <r>
    <n v="312"/>
    <s v="4.Plan de pagos"/>
    <m/>
    <m/>
    <m/>
    <m/>
    <m/>
    <m/>
    <m/>
    <m/>
    <m/>
    <m/>
    <m/>
    <m/>
    <m/>
    <m/>
    <m/>
    <m/>
    <m/>
    <m/>
    <m/>
    <m/>
    <m/>
    <m/>
    <n v="8000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51"/>
    <n v="7846.32"/>
    <m/>
    <m/>
    <m/>
    <m/>
    <m/>
    <m/>
    <m/>
    <m/>
    <m/>
    <m/>
    <m/>
    <m/>
    <n v="141462.32"/>
    <n v="0"/>
    <n v="23702"/>
    <x v="0"/>
  </r>
  <r>
    <n v="313"/>
    <s v="4.Plan de pagos"/>
    <m/>
    <m/>
    <m/>
    <m/>
    <m/>
    <m/>
    <m/>
    <m/>
    <m/>
    <m/>
    <m/>
    <m/>
    <m/>
    <m/>
    <n v="2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46"/>
    <m/>
    <m/>
    <m/>
    <m/>
    <m/>
    <m/>
    <m/>
    <m/>
    <m/>
    <m/>
    <m/>
    <m/>
    <m/>
    <m/>
    <m/>
    <m/>
    <m/>
    <m/>
    <n v="108800"/>
    <n v="0"/>
    <n v="70530"/>
    <x v="0"/>
  </r>
  <r>
    <n v="314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03752.178830839"/>
    <n v="0"/>
    <x v="0"/>
  </r>
  <r>
    <n v="315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11110"/>
    <n v="11110"/>
    <n v="11110"/>
    <n v="11110"/>
    <n v="11110"/>
    <n v="11110"/>
    <n v="11110"/>
    <n v="11110"/>
    <n v="11110"/>
    <n v="11110"/>
    <n v="11110"/>
    <n v="11110"/>
    <n v="11106.98"/>
    <m/>
    <m/>
    <m/>
    <m/>
    <m/>
    <m/>
    <m/>
    <m/>
    <m/>
    <m/>
    <m/>
    <m/>
    <m/>
    <n v="154426.98000000001"/>
    <n v="64.282764825999038"/>
    <n v="0"/>
    <x v="0"/>
  </r>
  <r>
    <n v="316"/>
    <s v="4.Plan de pagos"/>
    <m/>
    <m/>
    <m/>
    <m/>
    <m/>
    <m/>
    <m/>
    <n v="8000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35"/>
    <n v="2726.44"/>
    <m/>
    <m/>
    <m/>
    <m/>
    <m/>
    <m/>
    <m/>
    <m/>
    <m/>
    <m/>
    <m/>
    <m/>
    <m/>
    <m/>
    <m/>
    <m/>
    <m/>
    <m/>
    <m/>
    <m/>
    <m/>
    <n v="70896.44"/>
    <n v="0"/>
    <n v="54495"/>
    <x v="0"/>
  </r>
  <r>
    <n v="317"/>
    <s v="4.Plan de pagos"/>
    <m/>
    <m/>
    <m/>
    <m/>
    <m/>
    <m/>
    <m/>
    <m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6.5"/>
    <m/>
    <m/>
    <m/>
    <m/>
    <m/>
    <m/>
    <m/>
    <m/>
    <m/>
    <m/>
    <m/>
    <m/>
    <m/>
    <m/>
    <m/>
    <m/>
    <m/>
    <m/>
    <m/>
    <m/>
    <m/>
    <n v="72187.5"/>
    <n v="0"/>
    <n v="53996"/>
    <x v="0"/>
  </r>
  <r>
    <n v="318"/>
    <s v="4.Plan de pagos"/>
    <m/>
    <m/>
    <m/>
    <m/>
    <m/>
    <m/>
    <m/>
    <m/>
    <n v="5500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.5"/>
    <m/>
    <m/>
    <m/>
    <m/>
    <m/>
    <m/>
    <m/>
    <m/>
    <m/>
    <m/>
    <m/>
    <m/>
    <m/>
    <m/>
    <m/>
    <m/>
    <m/>
    <m/>
    <m/>
    <m/>
    <m/>
    <n v="72072.5"/>
    <n v="0"/>
    <n v="53916"/>
    <x v="0"/>
  </r>
  <r>
    <n v="319"/>
    <s v="4.Plan de pagos"/>
    <m/>
    <m/>
    <m/>
    <m/>
    <m/>
    <m/>
    <m/>
    <m/>
    <m/>
    <m/>
    <m/>
    <n v="8000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3"/>
    <n v="4666"/>
    <m/>
    <m/>
    <m/>
    <m/>
    <m/>
    <m/>
    <m/>
    <m/>
    <m/>
    <m/>
    <m/>
    <m/>
    <m/>
    <m/>
    <m/>
    <m/>
    <m/>
    <m/>
    <m/>
    <m/>
    <m/>
    <n v="96600"/>
    <n v="0"/>
    <n v="68619"/>
    <x v="0"/>
  </r>
  <r>
    <n v="320"/>
    <s v="4.Plan de pagos"/>
    <m/>
    <m/>
    <m/>
    <m/>
    <m/>
    <n v="6000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m/>
    <m/>
    <m/>
    <m/>
    <m/>
    <m/>
    <m/>
    <m/>
    <m/>
    <m/>
    <m/>
    <m/>
    <m/>
    <m/>
    <m/>
    <m/>
    <m/>
    <m/>
    <m/>
    <m/>
    <m/>
    <n v="98100"/>
    <n v="0"/>
    <n v="75996"/>
    <x v="0"/>
  </r>
  <r>
    <n v="401"/>
    <s v="4.Plan de pagos"/>
    <m/>
    <m/>
    <m/>
    <m/>
    <m/>
    <m/>
    <m/>
    <m/>
    <m/>
    <m/>
    <n v="800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m/>
    <m/>
    <m/>
    <m/>
    <m/>
    <m/>
    <m/>
    <m/>
    <m/>
    <m/>
    <m/>
    <m/>
    <m/>
    <m/>
    <m/>
    <m/>
    <m/>
    <m/>
    <m/>
    <m/>
    <m/>
    <n v="115400"/>
    <n v="0"/>
    <n v="83180"/>
    <x v="0"/>
  </r>
  <r>
    <n v="402"/>
    <s v="4.Plan de pagos"/>
    <m/>
    <m/>
    <m/>
    <m/>
    <m/>
    <m/>
    <m/>
    <m/>
    <m/>
    <n v="5500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31.45"/>
    <m/>
    <m/>
    <m/>
    <m/>
    <m/>
    <m/>
    <m/>
    <m/>
    <m/>
    <m/>
    <m/>
    <m/>
    <m/>
    <m/>
    <m/>
    <m/>
    <m/>
    <m/>
    <m/>
    <m/>
    <m/>
    <n v="115171.45"/>
    <n v="0"/>
    <n v="83830"/>
    <x v="0"/>
  </r>
  <r>
    <n v="403"/>
    <s v="4.Plan de pagos"/>
    <m/>
    <m/>
    <m/>
    <m/>
    <m/>
    <n v="600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m/>
    <m/>
    <m/>
    <m/>
    <m/>
    <m/>
    <m/>
    <m/>
    <m/>
    <m/>
    <m/>
    <m/>
    <m/>
    <m/>
    <m/>
    <m/>
    <m/>
    <m/>
    <m/>
    <m/>
    <m/>
    <n v="70000"/>
    <n v="0"/>
    <n v="54640"/>
    <x v="0"/>
  </r>
  <r>
    <n v="404"/>
    <s v="4.Plan de pagos"/>
    <m/>
    <m/>
    <m/>
    <m/>
    <m/>
    <m/>
    <m/>
    <n v="8000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1"/>
    <n v="2798"/>
    <m/>
    <m/>
    <m/>
    <m/>
    <m/>
    <m/>
    <m/>
    <m/>
    <m/>
    <m/>
    <m/>
    <m/>
    <m/>
    <m/>
    <m/>
    <m/>
    <m/>
    <m/>
    <m/>
    <m/>
    <m/>
    <n v="72200"/>
    <n v="0"/>
    <n v="55447"/>
    <x v="0"/>
  </r>
  <r>
    <n v="405"/>
    <s v="2. Reserva"/>
    <m/>
    <m/>
    <m/>
    <m/>
    <m/>
    <m/>
    <m/>
    <m/>
    <m/>
    <m/>
    <m/>
    <m/>
    <m/>
    <m/>
    <m/>
    <m/>
    <m/>
    <m/>
    <m/>
    <m/>
    <m/>
    <m/>
    <m/>
    <m/>
    <n v="10000"/>
    <n v="5000"/>
    <n v="5000"/>
    <n v="10000"/>
    <n v="5000"/>
    <n v="5000"/>
    <n v="5000"/>
    <n v="5000"/>
    <n v="5000"/>
    <n v="10000"/>
    <n v="5000"/>
    <n v="5000"/>
    <n v="5000"/>
    <n v="5000"/>
    <n v="26265.61"/>
    <m/>
    <m/>
    <m/>
    <m/>
    <m/>
    <m/>
    <m/>
    <m/>
    <m/>
    <m/>
    <m/>
    <m/>
    <m/>
    <n v="111265.61"/>
    <n v="0"/>
    <n v="10000"/>
    <x v="0"/>
  </r>
  <r>
    <n v="406"/>
    <s v="2. Reserva"/>
    <m/>
    <m/>
    <m/>
    <m/>
    <m/>
    <m/>
    <m/>
    <m/>
    <m/>
    <m/>
    <m/>
    <m/>
    <m/>
    <m/>
    <m/>
    <m/>
    <m/>
    <m/>
    <m/>
    <m/>
    <m/>
    <m/>
    <m/>
    <m/>
    <m/>
    <m/>
    <n v="10000"/>
    <n v="8371"/>
    <n v="8371"/>
    <n v="8371"/>
    <n v="8371"/>
    <n v="8371"/>
    <n v="8371"/>
    <n v="8371"/>
    <n v="8371"/>
    <n v="8371"/>
    <n v="8371"/>
    <n v="8371"/>
    <n v="8371"/>
    <m/>
    <m/>
    <m/>
    <m/>
    <m/>
    <m/>
    <m/>
    <m/>
    <m/>
    <m/>
    <m/>
    <m/>
    <m/>
    <n v="110452"/>
    <n v="47.241751226989436"/>
    <n v="0"/>
    <x v="0"/>
  </r>
  <r>
    <n v="407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05646.234833836"/>
    <n v="0"/>
    <x v="0"/>
  </r>
  <r>
    <n v="408"/>
    <s v="4.Plan de pagos"/>
    <m/>
    <m/>
    <m/>
    <m/>
    <m/>
    <m/>
    <m/>
    <m/>
    <m/>
    <m/>
    <m/>
    <n v="8000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32"/>
    <n v="4200"/>
    <n v="4200"/>
    <n v="4200"/>
    <n v="4200"/>
    <n v="4200"/>
    <n v="4200"/>
    <n v="4200"/>
    <n v="4200"/>
    <n v="4200"/>
    <n v="4200"/>
    <n v="4200"/>
    <n v="4200"/>
    <m/>
    <m/>
    <m/>
    <m/>
    <m/>
    <m/>
    <m/>
    <m/>
    <m/>
    <m/>
    <m/>
    <m/>
    <n v="126112"/>
    <n v="37712"/>
    <n v="63016"/>
    <x v="0"/>
  </r>
  <r>
    <n v="409"/>
    <s v="4.Plan de pagos"/>
    <m/>
    <m/>
    <m/>
    <m/>
    <m/>
    <m/>
    <m/>
    <m/>
    <m/>
    <m/>
    <m/>
    <m/>
    <m/>
    <m/>
    <m/>
    <m/>
    <m/>
    <n v="10000"/>
    <n v="7762"/>
    <n v="7762"/>
    <n v="7762"/>
    <n v="7762"/>
    <n v="7762"/>
    <n v="7762"/>
    <n v="7762"/>
    <n v="7762"/>
    <n v="7762"/>
    <n v="7762"/>
    <n v="7762"/>
    <n v="7762"/>
    <n v="7762"/>
    <n v="7762"/>
    <n v="7762"/>
    <n v="7760"/>
    <m/>
    <m/>
    <m/>
    <m/>
    <m/>
    <m/>
    <m/>
    <m/>
    <m/>
    <m/>
    <m/>
    <m/>
    <m/>
    <m/>
    <m/>
    <m/>
    <m/>
    <m/>
    <n v="134190"/>
    <n v="0"/>
    <n v="64334"/>
    <x v="0"/>
  </r>
  <r>
    <n v="410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n v="15000"/>
    <n v="9504.0400000000009"/>
    <n v="9504.0400000000009"/>
    <n v="9504.0400000000009"/>
    <n v="9504.0400000000009"/>
    <n v="9504.0400000000009"/>
    <n v="9504.0400000000009"/>
    <n v="9504.0400000000009"/>
    <n v="9504.0400000000009"/>
    <n v="9504.0400000000009"/>
    <n v="9504.0400000000009"/>
    <n v="9504.0400000000009"/>
    <m/>
    <m/>
    <m/>
    <m/>
    <m/>
    <m/>
    <m/>
    <m/>
    <m/>
    <m/>
    <m/>
    <m/>
    <n v="119544.44000000003"/>
    <n v="17420.99174790502"/>
    <n v="0"/>
    <x v="0"/>
  </r>
  <r>
    <n v="411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422.84822378101"/>
    <n v="0"/>
    <x v="0"/>
  </r>
  <r>
    <n v="412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446.231631225"/>
    <n v="0"/>
    <x v="0"/>
  </r>
  <r>
    <n v="413"/>
    <s v="4.Plan de pagos"/>
    <m/>
    <m/>
    <m/>
    <m/>
    <m/>
    <m/>
    <m/>
    <m/>
    <m/>
    <m/>
    <m/>
    <m/>
    <m/>
    <m/>
    <m/>
    <m/>
    <m/>
    <m/>
    <m/>
    <m/>
    <m/>
    <m/>
    <n v="10000"/>
    <n v="6022"/>
    <n v="6022"/>
    <n v="6022"/>
    <n v="6022"/>
    <n v="6022"/>
    <n v="6022"/>
    <n v="6022"/>
    <n v="6022"/>
    <n v="6022"/>
    <n v="6022"/>
    <n v="6022"/>
    <n v="6022"/>
    <n v="6022"/>
    <n v="6022"/>
    <n v="6022"/>
    <n v="6024.43"/>
    <m/>
    <m/>
    <m/>
    <m/>
    <m/>
    <m/>
    <m/>
    <m/>
    <m/>
    <m/>
    <m/>
    <m/>
    <m/>
    <n v="106354.43"/>
    <n v="0"/>
    <n v="22044"/>
    <x v="0"/>
  </r>
  <r>
    <n v="414"/>
    <s v="4.Plan de pagos"/>
    <m/>
    <m/>
    <m/>
    <m/>
    <m/>
    <m/>
    <m/>
    <m/>
    <m/>
    <m/>
    <m/>
    <m/>
    <m/>
    <m/>
    <n v="10000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47"/>
    <n v="4154"/>
    <m/>
    <m/>
    <m/>
    <m/>
    <m/>
    <m/>
    <m/>
    <m/>
    <m/>
    <m/>
    <m/>
    <m/>
    <m/>
    <m/>
    <m/>
    <m/>
    <m/>
    <m/>
    <n v="88800"/>
    <n v="0"/>
    <n v="51470"/>
    <x v="0"/>
  </r>
  <r>
    <n v="415"/>
    <s v="4.Plan de pagos"/>
    <m/>
    <m/>
    <m/>
    <m/>
    <m/>
    <m/>
    <m/>
    <m/>
    <m/>
    <m/>
    <m/>
    <m/>
    <m/>
    <m/>
    <m/>
    <m/>
    <m/>
    <m/>
    <m/>
    <m/>
    <m/>
    <m/>
    <m/>
    <m/>
    <m/>
    <m/>
    <m/>
    <n v="15000"/>
    <n v="18044"/>
    <n v="18044"/>
    <n v="18044"/>
    <n v="18044"/>
    <n v="18044"/>
    <n v="18044"/>
    <n v="18044"/>
    <n v="18044"/>
    <n v="18044"/>
    <n v="18044"/>
    <n v="18044"/>
    <n v="18042.97"/>
    <m/>
    <m/>
    <m/>
    <m/>
    <m/>
    <m/>
    <m/>
    <m/>
    <m/>
    <m/>
    <m/>
    <m/>
    <n v="231526.97"/>
    <n v="77164.27276482599"/>
    <n v="0"/>
    <x v="0"/>
  </r>
  <r>
    <n v="416"/>
    <s v="2. Reserva"/>
    <m/>
    <m/>
    <m/>
    <m/>
    <m/>
    <m/>
    <m/>
    <m/>
    <m/>
    <m/>
    <m/>
    <m/>
    <m/>
    <m/>
    <m/>
    <m/>
    <m/>
    <m/>
    <m/>
    <m/>
    <m/>
    <m/>
    <m/>
    <n v="10000"/>
    <n v="4371"/>
    <n v="4371"/>
    <n v="4371"/>
    <n v="4371"/>
    <n v="4371"/>
    <n v="4371"/>
    <n v="4371"/>
    <n v="4371"/>
    <n v="4371"/>
    <n v="4371"/>
    <n v="4371"/>
    <n v="4371"/>
    <n v="4371"/>
    <n v="4371"/>
    <n v="4371"/>
    <n v="4366.18"/>
    <m/>
    <m/>
    <m/>
    <m/>
    <m/>
    <m/>
    <m/>
    <m/>
    <m/>
    <m/>
    <m/>
    <m/>
    <n v="79931.179999999993"/>
    <n v="0"/>
    <n v="14371"/>
    <x v="0"/>
  </r>
  <r>
    <n v="417"/>
    <s v="4.Plan de pagos"/>
    <m/>
    <m/>
    <m/>
    <m/>
    <m/>
    <m/>
    <m/>
    <m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6.5"/>
    <m/>
    <m/>
    <m/>
    <m/>
    <m/>
    <m/>
    <m/>
    <m/>
    <m/>
    <m/>
    <m/>
    <m/>
    <m/>
    <m/>
    <m/>
    <m/>
    <m/>
    <m/>
    <m/>
    <m/>
    <m/>
    <n v="72187.5"/>
    <n v="0"/>
    <n v="53996"/>
    <x v="0"/>
  </r>
  <r>
    <n v="418"/>
    <s v="2. Reserva"/>
    <m/>
    <m/>
    <m/>
    <m/>
    <m/>
    <m/>
    <m/>
    <m/>
    <m/>
    <m/>
    <m/>
    <m/>
    <m/>
    <m/>
    <m/>
    <m/>
    <m/>
    <m/>
    <m/>
    <m/>
    <m/>
    <m/>
    <m/>
    <m/>
    <m/>
    <m/>
    <n v="10000"/>
    <n v="5423"/>
    <n v="5423"/>
    <n v="5423"/>
    <n v="5423"/>
    <n v="5423"/>
    <n v="5423"/>
    <n v="5423"/>
    <n v="5423"/>
    <n v="5423"/>
    <n v="5423"/>
    <n v="5423"/>
    <n v="5423"/>
    <m/>
    <m/>
    <m/>
    <m/>
    <m/>
    <m/>
    <m/>
    <m/>
    <m/>
    <m/>
    <m/>
    <m/>
    <m/>
    <n v="75076"/>
    <n v="3003.5"/>
    <n v="0"/>
    <x v="0"/>
  </r>
  <r>
    <n v="419"/>
    <s v="4.Plan de pagos"/>
    <m/>
    <m/>
    <m/>
    <m/>
    <m/>
    <m/>
    <m/>
    <m/>
    <n v="8000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33"/>
    <m/>
    <m/>
    <m/>
    <m/>
    <m/>
    <m/>
    <m/>
    <m/>
    <m/>
    <m/>
    <m/>
    <m/>
    <m/>
    <m/>
    <m/>
    <m/>
    <m/>
    <m/>
    <m/>
    <m/>
    <m/>
    <n v="96600"/>
    <n v="0"/>
    <n v="72432"/>
    <x v="0"/>
  </r>
  <r>
    <n v="420"/>
    <s v="4.Plan de pagos"/>
    <m/>
    <m/>
    <m/>
    <m/>
    <m/>
    <m/>
    <m/>
    <m/>
    <m/>
    <m/>
    <m/>
    <m/>
    <m/>
    <m/>
    <m/>
    <m/>
    <n v="10000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76"/>
    <n v="6284"/>
    <m/>
    <m/>
    <m/>
    <m/>
    <m/>
    <m/>
    <m/>
    <m/>
    <m/>
    <m/>
    <m/>
    <m/>
    <m/>
    <m/>
    <m/>
    <m/>
    <m/>
    <m/>
    <n v="116700"/>
    <n v="0"/>
    <n v="60208"/>
    <x v="0"/>
  </r>
  <r>
    <n v="501"/>
    <s v="4.Plan de pagos"/>
    <m/>
    <m/>
    <m/>
    <m/>
    <m/>
    <m/>
    <m/>
    <m/>
    <m/>
    <m/>
    <m/>
    <m/>
    <m/>
    <m/>
    <m/>
    <m/>
    <m/>
    <m/>
    <m/>
    <m/>
    <m/>
    <m/>
    <n v="10000"/>
    <n v="8772"/>
    <n v="8772"/>
    <n v="8772"/>
    <n v="8772"/>
    <n v="8772"/>
    <n v="8772"/>
    <n v="8772"/>
    <n v="8772"/>
    <n v="8772"/>
    <n v="8772"/>
    <n v="8772"/>
    <n v="8772"/>
    <n v="8772"/>
    <n v="8772"/>
    <n v="8772"/>
    <n v="8769.44"/>
    <m/>
    <m/>
    <m/>
    <m/>
    <m/>
    <m/>
    <m/>
    <m/>
    <m/>
    <m/>
    <m/>
    <m/>
    <m/>
    <n v="150349.44"/>
    <n v="0"/>
    <n v="27544"/>
    <x v="0"/>
  </r>
  <r>
    <n v="502"/>
    <s v="2. Reserva"/>
    <m/>
    <m/>
    <m/>
    <m/>
    <m/>
    <m/>
    <m/>
    <m/>
    <m/>
    <m/>
    <m/>
    <m/>
    <m/>
    <m/>
    <m/>
    <m/>
    <m/>
    <m/>
    <m/>
    <m/>
    <m/>
    <m/>
    <m/>
    <m/>
    <m/>
    <m/>
    <m/>
    <n v="15000"/>
    <n v="18630"/>
    <n v="18630"/>
    <n v="18630"/>
    <n v="18630"/>
    <n v="18630"/>
    <n v="18630"/>
    <n v="18630"/>
    <n v="18630"/>
    <n v="18630"/>
    <n v="18630"/>
    <n v="18630"/>
    <n v="18630"/>
    <m/>
    <m/>
    <m/>
    <m/>
    <m/>
    <m/>
    <m/>
    <m/>
    <m/>
    <m/>
    <m/>
    <m/>
    <n v="238560"/>
    <n v="85640.56733908999"/>
    <n v="0"/>
    <x v="0"/>
  </r>
  <r>
    <n v="503"/>
    <s v="2. Reserva"/>
    <m/>
    <m/>
    <m/>
    <m/>
    <m/>
    <m/>
    <m/>
    <m/>
    <m/>
    <m/>
    <m/>
    <m/>
    <m/>
    <m/>
    <m/>
    <m/>
    <m/>
    <m/>
    <m/>
    <m/>
    <m/>
    <m/>
    <m/>
    <m/>
    <m/>
    <m/>
    <n v="10000"/>
    <n v="15000"/>
    <n v="18630"/>
    <n v="18630"/>
    <n v="18630"/>
    <n v="18630"/>
    <n v="18630"/>
    <n v="18630"/>
    <n v="18630"/>
    <n v="18630"/>
    <n v="18630"/>
    <n v="18630"/>
    <n v="18630"/>
    <n v="18632.099999999999"/>
    <m/>
    <m/>
    <m/>
    <m/>
    <m/>
    <m/>
    <m/>
    <m/>
    <m/>
    <m/>
    <m/>
    <m/>
    <n v="248562.1"/>
    <n v="144852.1"/>
    <n v="0"/>
    <x v="0"/>
  </r>
  <r>
    <n v="504"/>
    <s v="2. Reserva"/>
    <m/>
    <m/>
    <m/>
    <m/>
    <m/>
    <m/>
    <m/>
    <m/>
    <m/>
    <m/>
    <m/>
    <m/>
    <m/>
    <m/>
    <m/>
    <m/>
    <m/>
    <m/>
    <m/>
    <m/>
    <m/>
    <m/>
    <m/>
    <m/>
    <m/>
    <m/>
    <n v="10000"/>
    <n v="7894"/>
    <n v="7894"/>
    <n v="7894"/>
    <n v="7894"/>
    <n v="7894"/>
    <n v="7894"/>
    <n v="7894"/>
    <n v="7894"/>
    <n v="7894"/>
    <n v="7894"/>
    <n v="7894"/>
    <n v="7894"/>
    <m/>
    <m/>
    <m/>
    <m/>
    <m/>
    <m/>
    <m/>
    <m/>
    <m/>
    <m/>
    <m/>
    <m/>
    <m/>
    <n v="104728"/>
    <n v="15928"/>
    <n v="0"/>
    <x v="0"/>
  </r>
  <r>
    <n v="505"/>
    <s v="4.Plan de pagos"/>
    <m/>
    <m/>
    <m/>
    <m/>
    <m/>
    <m/>
    <m/>
    <m/>
    <m/>
    <m/>
    <m/>
    <m/>
    <m/>
    <m/>
    <m/>
    <m/>
    <n v="10000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5"/>
    <n v="7647"/>
    <m/>
    <m/>
    <m/>
    <m/>
    <m/>
    <m/>
    <m/>
    <m/>
    <m/>
    <m/>
    <m/>
    <m/>
    <m/>
    <m/>
    <m/>
    <m/>
    <m/>
    <m/>
    <n v="139967"/>
    <n v="0"/>
    <n v="71160"/>
    <x v="0"/>
  </r>
  <r>
    <n v="506"/>
    <s v="4.Plan de pagos"/>
    <m/>
    <m/>
    <m/>
    <m/>
    <m/>
    <m/>
    <m/>
    <m/>
    <m/>
    <m/>
    <m/>
    <m/>
    <m/>
    <m/>
    <m/>
    <m/>
    <m/>
    <m/>
    <m/>
    <n v="10000"/>
    <n v="9185"/>
    <n v="9185"/>
    <n v="9185"/>
    <n v="9185"/>
    <n v="9185"/>
    <n v="9185"/>
    <n v="9185"/>
    <n v="9185"/>
    <n v="9185"/>
    <n v="9185"/>
    <n v="9185"/>
    <n v="9185"/>
    <n v="9185"/>
    <n v="9190"/>
    <m/>
    <m/>
    <m/>
    <m/>
    <m/>
    <m/>
    <m/>
    <m/>
    <m/>
    <m/>
    <m/>
    <m/>
    <m/>
    <m/>
    <m/>
    <m/>
    <m/>
    <m/>
    <n v="138595"/>
    <n v="0"/>
    <n v="55925"/>
    <x v="0"/>
  </r>
  <r>
    <n v="507"/>
    <s v="4.Plan de pagos"/>
    <m/>
    <m/>
    <m/>
    <m/>
    <m/>
    <n v="6000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m/>
    <m/>
    <m/>
    <m/>
    <m/>
    <m/>
    <m/>
    <m/>
    <m/>
    <m/>
    <m/>
    <m/>
    <m/>
    <m/>
    <m/>
    <m/>
    <m/>
    <m/>
    <m/>
    <m/>
    <m/>
    <n v="72300"/>
    <n v="0"/>
    <n v="56388"/>
    <x v="0"/>
  </r>
  <r>
    <n v="508"/>
    <s v="4.Plan de pagos"/>
    <m/>
    <m/>
    <m/>
    <m/>
    <m/>
    <m/>
    <m/>
    <m/>
    <m/>
    <m/>
    <m/>
    <m/>
    <m/>
    <n v="8000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94"/>
    <n v="6489"/>
    <m/>
    <m/>
    <m/>
    <m/>
    <m/>
    <m/>
    <m/>
    <m/>
    <m/>
    <m/>
    <m/>
    <m/>
    <m/>
    <m/>
    <m/>
    <m/>
    <m/>
    <m/>
    <m/>
    <m/>
    <m/>
    <n v="118393"/>
    <n v="0"/>
    <n v="79434"/>
    <x v="0"/>
  </r>
  <r>
    <n v="509"/>
    <s v="4.Plan de pagos"/>
    <m/>
    <m/>
    <m/>
    <m/>
    <m/>
    <m/>
    <m/>
    <m/>
    <m/>
    <m/>
    <m/>
    <m/>
    <m/>
    <m/>
    <m/>
    <n v="10000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8.5"/>
    <m/>
    <m/>
    <m/>
    <m/>
    <m/>
    <m/>
    <m/>
    <m/>
    <m/>
    <m/>
    <m/>
    <m/>
    <m/>
    <m/>
    <m/>
    <m/>
    <m/>
    <m/>
    <n v="118161.5"/>
    <n v="0"/>
    <n v="64081"/>
    <x v="0"/>
  </r>
  <r>
    <n v="510"/>
    <s v="4.Plan de pagos"/>
    <m/>
    <m/>
    <m/>
    <m/>
    <m/>
    <m/>
    <m/>
    <m/>
    <m/>
    <m/>
    <m/>
    <m/>
    <n v="8000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3"/>
    <n v="6132"/>
    <m/>
    <m/>
    <m/>
    <m/>
    <m/>
    <m/>
    <m/>
    <m/>
    <m/>
    <m/>
    <m/>
    <m/>
    <m/>
    <m/>
    <m/>
    <m/>
    <m/>
    <m/>
    <m/>
    <m/>
    <m/>
    <n v="118393"/>
    <n v="0"/>
    <n v="81596"/>
    <x v="0"/>
  </r>
  <r>
    <n v="511"/>
    <s v="4.Plan de pagos"/>
    <m/>
    <m/>
    <m/>
    <m/>
    <m/>
    <m/>
    <m/>
    <m/>
    <m/>
    <m/>
    <m/>
    <m/>
    <m/>
    <m/>
    <m/>
    <n v="5000"/>
    <n v="5000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9"/>
    <n v="6008.5"/>
    <m/>
    <m/>
    <m/>
    <m/>
    <m/>
    <m/>
    <m/>
    <m/>
    <m/>
    <m/>
    <m/>
    <m/>
    <m/>
    <m/>
    <m/>
    <m/>
    <m/>
    <n v="118161.5"/>
    <n v="0"/>
    <n v="58072"/>
    <x v="0"/>
  </r>
  <r>
    <n v="512"/>
    <s v="4.Plan de pagos"/>
    <m/>
    <m/>
    <m/>
    <m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5"/>
    <m/>
    <m/>
    <m/>
    <m/>
    <m/>
    <m/>
    <m/>
    <m/>
    <m/>
    <m/>
    <m/>
    <m/>
    <m/>
    <m/>
    <m/>
    <m/>
    <m/>
    <m/>
    <m/>
    <m/>
    <m/>
    <n v="70400"/>
    <n v="0"/>
    <n v="55540"/>
    <x v="0"/>
  </r>
  <r>
    <n v="513"/>
    <s v="4.Plan de pagos"/>
    <m/>
    <m/>
    <m/>
    <m/>
    <n v="6000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25"/>
    <m/>
    <m/>
    <m/>
    <m/>
    <m/>
    <m/>
    <m/>
    <m/>
    <m/>
    <m/>
    <m/>
    <m/>
    <m/>
    <m/>
    <m/>
    <m/>
    <m/>
    <m/>
    <m/>
    <m/>
    <m/>
    <n v="68800"/>
    <n v="0"/>
    <n v="54300"/>
    <x v="0"/>
  </r>
  <r>
    <n v="514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3507.84052580199"/>
    <n v="0"/>
    <x v="0"/>
  </r>
  <r>
    <n v="515"/>
    <s v="4.Plan de pagos"/>
    <n v="600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869.5"/>
    <m/>
    <m/>
    <m/>
    <m/>
    <m/>
    <m/>
    <m/>
    <m/>
    <m/>
    <m/>
    <m/>
    <m/>
    <m/>
    <m/>
    <m/>
    <m/>
    <n v="61249.5"/>
    <n v="0"/>
    <n v="43680"/>
    <x v="0"/>
  </r>
  <r>
    <n v="516"/>
    <s v="4.Plan de pagos"/>
    <m/>
    <m/>
    <m/>
    <m/>
    <m/>
    <m/>
    <m/>
    <m/>
    <m/>
    <m/>
    <m/>
    <m/>
    <m/>
    <m/>
    <m/>
    <m/>
    <m/>
    <m/>
    <n v="10000"/>
    <n v="6247"/>
    <n v="6247"/>
    <n v="6247"/>
    <n v="6247"/>
    <n v="6247"/>
    <n v="6247"/>
    <n v="6247"/>
    <n v="6247"/>
    <n v="6247"/>
    <n v="6247"/>
    <n v="6247"/>
    <n v="6247"/>
    <n v="6247"/>
    <n v="6247"/>
    <n v="6252"/>
    <m/>
    <m/>
    <m/>
    <m/>
    <m/>
    <m/>
    <m/>
    <m/>
    <m/>
    <m/>
    <m/>
    <m/>
    <m/>
    <m/>
    <m/>
    <m/>
    <m/>
    <m/>
    <n v="103710"/>
    <n v="0"/>
    <n v="47482"/>
    <x v="0"/>
  </r>
  <r>
    <n v="517"/>
    <s v="4.Plan de pagos"/>
    <m/>
    <m/>
    <m/>
    <m/>
    <m/>
    <m/>
    <m/>
    <m/>
    <m/>
    <m/>
    <m/>
    <m/>
    <m/>
    <m/>
    <n v="8000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66"/>
    <n v="4174.12"/>
    <m/>
    <m/>
    <m/>
    <m/>
    <m/>
    <m/>
    <m/>
    <m/>
    <m/>
    <m/>
    <m/>
    <m/>
    <m/>
    <m/>
    <m/>
    <m/>
    <m/>
    <m/>
    <n v="87162.12"/>
    <n v="0"/>
    <n v="49660"/>
    <x v="0"/>
  </r>
  <r>
    <n v="518"/>
    <s v="4.Plan de pagos"/>
    <m/>
    <m/>
    <m/>
    <m/>
    <m/>
    <m/>
    <m/>
    <m/>
    <m/>
    <m/>
    <m/>
    <m/>
    <m/>
    <m/>
    <m/>
    <m/>
    <m/>
    <m/>
    <m/>
    <n v="10000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397"/>
    <n v="7403.44"/>
    <m/>
    <m/>
    <m/>
    <m/>
    <m/>
    <m/>
    <m/>
    <m/>
    <m/>
    <m/>
    <m/>
    <m/>
    <m/>
    <n v="150549.44"/>
    <n v="0"/>
    <n v="46985"/>
    <x v="0"/>
  </r>
  <r>
    <n v="519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2919.43266091001"/>
    <n v="0"/>
    <x v="0"/>
  </r>
  <r>
    <n v="601"/>
    <s v="4.Plan de pagos"/>
    <m/>
    <m/>
    <m/>
    <m/>
    <m/>
    <m/>
    <m/>
    <m/>
    <m/>
    <m/>
    <m/>
    <m/>
    <m/>
    <m/>
    <m/>
    <m/>
    <m/>
    <m/>
    <m/>
    <n v="10000"/>
    <n v="9851"/>
    <n v="9851"/>
    <n v="9851"/>
    <n v="9851"/>
    <n v="9851"/>
    <n v="9851"/>
    <n v="9851"/>
    <n v="9851"/>
    <n v="9851"/>
    <n v="9851"/>
    <n v="9851"/>
    <n v="9851"/>
    <n v="9851"/>
    <n v="9849.7999999999993"/>
    <m/>
    <m/>
    <m/>
    <m/>
    <m/>
    <m/>
    <m/>
    <m/>
    <m/>
    <m/>
    <m/>
    <m/>
    <m/>
    <m/>
    <m/>
    <m/>
    <m/>
    <m/>
    <n v="147912.79999999999"/>
    <n v="0"/>
    <n v="59255"/>
    <x v="0"/>
  </r>
  <r>
    <n v="602"/>
    <s v="2. Reserva"/>
    <m/>
    <m/>
    <m/>
    <m/>
    <m/>
    <m/>
    <m/>
    <m/>
    <m/>
    <m/>
    <m/>
    <m/>
    <m/>
    <m/>
    <m/>
    <m/>
    <m/>
    <m/>
    <m/>
    <m/>
    <m/>
    <m/>
    <m/>
    <m/>
    <m/>
    <m/>
    <m/>
    <n v="10000"/>
    <n v="11908"/>
    <n v="11908"/>
    <n v="11908"/>
    <n v="11908"/>
    <n v="11908"/>
    <n v="11908"/>
    <n v="11908"/>
    <n v="11908"/>
    <n v="11908"/>
    <n v="11908"/>
    <n v="11908"/>
    <n v="11906.33"/>
    <m/>
    <m/>
    <m/>
    <m/>
    <m/>
    <m/>
    <m/>
    <m/>
    <m/>
    <m/>
    <m/>
    <m/>
    <n v="152894.32999999999"/>
    <n v="-25.102660910022678"/>
    <n v="0"/>
    <x v="0"/>
  </r>
  <r>
    <n v="603"/>
    <s v="4.Plan de pagos"/>
    <m/>
    <m/>
    <m/>
    <m/>
    <m/>
    <m/>
    <m/>
    <m/>
    <m/>
    <m/>
    <m/>
    <m/>
    <m/>
    <n v="8000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35"/>
    <n v="4840"/>
    <m/>
    <m/>
    <m/>
    <m/>
    <m/>
    <m/>
    <m/>
    <m/>
    <m/>
    <m/>
    <m/>
    <m/>
    <m/>
    <m/>
    <m/>
    <m/>
    <m/>
    <m/>
    <m/>
    <m/>
    <m/>
    <n v="90200"/>
    <n v="0"/>
    <n v="61185"/>
    <x v="0"/>
  </r>
  <r>
    <n v="604"/>
    <s v="4.Plan de pagos"/>
    <m/>
    <m/>
    <m/>
    <m/>
    <m/>
    <m/>
    <m/>
    <m/>
    <m/>
    <m/>
    <m/>
    <m/>
    <m/>
    <n v="8000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2"/>
    <m/>
    <m/>
    <m/>
    <m/>
    <m/>
    <m/>
    <m/>
    <m/>
    <m/>
    <m/>
    <m/>
    <m/>
    <m/>
    <m/>
    <m/>
    <m/>
    <m/>
    <m/>
    <m/>
    <m/>
    <m/>
    <n v="88800"/>
    <n v="0"/>
    <n v="60283"/>
    <x v="0"/>
  </r>
  <r>
    <n v="605"/>
    <s v="4.Plan de pagos"/>
    <m/>
    <m/>
    <m/>
    <m/>
    <m/>
    <m/>
    <m/>
    <m/>
    <m/>
    <m/>
    <m/>
    <m/>
    <m/>
    <m/>
    <m/>
    <m/>
    <m/>
    <m/>
    <n v="10000"/>
    <n v="8494"/>
    <n v="8494"/>
    <n v="8494"/>
    <n v="8494"/>
    <n v="8494"/>
    <n v="8494"/>
    <n v="8494"/>
    <n v="8494"/>
    <n v="8494"/>
    <n v="8494"/>
    <n v="8494"/>
    <n v="8494"/>
    <n v="8494"/>
    <n v="8494"/>
    <n v="8489"/>
    <m/>
    <m/>
    <m/>
    <m/>
    <m/>
    <m/>
    <m/>
    <m/>
    <m/>
    <m/>
    <m/>
    <m/>
    <m/>
    <m/>
    <m/>
    <m/>
    <m/>
    <m/>
    <n v="137405"/>
    <n v="0"/>
    <n v="60964"/>
    <x v="0"/>
  </r>
  <r>
    <n v="606"/>
    <s v="4.Plan de pagos"/>
    <m/>
    <m/>
    <m/>
    <m/>
    <m/>
    <m/>
    <m/>
    <m/>
    <m/>
    <m/>
    <m/>
    <m/>
    <m/>
    <m/>
    <m/>
    <m/>
    <m/>
    <n v="10000"/>
    <n v="8000"/>
    <n v="8000"/>
    <n v="8000"/>
    <n v="8000"/>
    <n v="8000"/>
    <n v="8000"/>
    <n v="8000"/>
    <n v="8000"/>
    <n v="8000"/>
    <n v="8000"/>
    <n v="8000"/>
    <n v="8000"/>
    <n v="8000"/>
    <n v="8000"/>
    <n v="8000"/>
    <n v="7995"/>
    <m/>
    <m/>
    <m/>
    <m/>
    <m/>
    <m/>
    <m/>
    <m/>
    <m/>
    <m/>
    <m/>
    <m/>
    <m/>
    <m/>
    <m/>
    <m/>
    <m/>
    <m/>
    <n v="137995"/>
    <n v="0"/>
    <n v="66000"/>
    <x v="0"/>
  </r>
  <r>
    <n v="607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5167"/>
    <n v="5167"/>
    <n v="5167"/>
    <n v="5167"/>
    <n v="5167"/>
    <n v="5167"/>
    <n v="5167"/>
    <n v="5167"/>
    <n v="5167"/>
    <n v="5167"/>
    <n v="5167"/>
    <n v="5167"/>
    <n v="5167"/>
    <m/>
    <m/>
    <m/>
    <m/>
    <m/>
    <m/>
    <m/>
    <m/>
    <m/>
    <m/>
    <m/>
    <m/>
    <m/>
    <n v="77171"/>
    <n v="4871"/>
    <n v="0"/>
    <x v="0"/>
  </r>
  <r>
    <n v="608"/>
    <s v="4.Plan de pagos"/>
    <m/>
    <m/>
    <m/>
    <m/>
    <m/>
    <m/>
    <m/>
    <m/>
    <m/>
    <m/>
    <m/>
    <n v="8000"/>
    <n v="19000"/>
    <m/>
    <m/>
    <m/>
    <n v="19000"/>
    <m/>
    <m/>
    <m/>
    <m/>
    <n v="19000"/>
    <m/>
    <m/>
    <n v="19000"/>
    <m/>
    <m/>
    <m/>
    <n v="19000"/>
    <m/>
    <m/>
    <n v="15393"/>
    <m/>
    <m/>
    <m/>
    <m/>
    <m/>
    <m/>
    <m/>
    <m/>
    <m/>
    <m/>
    <m/>
    <m/>
    <m/>
    <m/>
    <m/>
    <m/>
    <m/>
    <m/>
    <m/>
    <m/>
    <n v="118393"/>
    <n v="0"/>
    <n v="84000"/>
    <x v="0"/>
  </r>
  <r>
    <n v="609"/>
    <s v="4.Plan de pagos"/>
    <m/>
    <m/>
    <m/>
    <m/>
    <m/>
    <m/>
    <m/>
    <m/>
    <m/>
    <m/>
    <m/>
    <m/>
    <m/>
    <m/>
    <n v="10000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93"/>
    <n v="5687.5"/>
    <m/>
    <m/>
    <m/>
    <m/>
    <m/>
    <m/>
    <m/>
    <m/>
    <m/>
    <m/>
    <m/>
    <m/>
    <m/>
    <m/>
    <m/>
    <m/>
    <m/>
    <m/>
    <n v="118161.5"/>
    <n v="0"/>
    <n v="66930"/>
    <x v="0"/>
  </r>
  <r>
    <n v="610"/>
    <s v="4.Plan de pagos"/>
    <m/>
    <m/>
    <m/>
    <m/>
    <m/>
    <m/>
    <m/>
    <m/>
    <m/>
    <m/>
    <m/>
    <n v="800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3"/>
    <m/>
    <m/>
    <m/>
    <m/>
    <m/>
    <m/>
    <m/>
    <m/>
    <m/>
    <m/>
    <m/>
    <m/>
    <m/>
    <m/>
    <m/>
    <m/>
    <m/>
    <m/>
    <m/>
    <m/>
    <m/>
    <n v="118393"/>
    <n v="0"/>
    <n v="83530"/>
    <x v="0"/>
  </r>
  <r>
    <n v="611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8144.66987563099"/>
    <n v="0"/>
    <x v="0"/>
  </r>
  <r>
    <n v="612"/>
    <s v="4.Plan de pagos"/>
    <m/>
    <m/>
    <m/>
    <m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786.38"/>
    <n v="2786.38"/>
    <n v="2786.38"/>
    <n v="2786.38"/>
    <n v="2786.38"/>
    <n v="2786.38"/>
    <n v="2786.38"/>
    <m/>
    <m/>
    <m/>
    <m/>
    <m/>
    <m/>
    <m/>
    <m/>
    <m/>
    <m/>
    <m/>
    <m/>
    <m/>
    <m/>
    <m/>
    <m/>
    <m/>
    <m/>
    <n v="79998.660000000018"/>
    <n v="9598.660000000018"/>
    <n v="55540"/>
    <x v="0"/>
  </r>
  <r>
    <n v="613"/>
    <s v="4.Plan de pagos"/>
    <m/>
    <m/>
    <m/>
    <m/>
    <n v="6000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15"/>
    <n v="2425"/>
    <m/>
    <m/>
    <m/>
    <m/>
    <m/>
    <m/>
    <m/>
    <m/>
    <m/>
    <m/>
    <m/>
    <m/>
    <m/>
    <m/>
    <m/>
    <m/>
    <m/>
    <m/>
    <m/>
    <m/>
    <m/>
    <n v="68800"/>
    <n v="0"/>
    <n v="54300"/>
    <x v="0"/>
  </r>
  <r>
    <n v="614"/>
    <s v="4.Plan de pagos"/>
    <m/>
    <m/>
    <m/>
    <m/>
    <m/>
    <m/>
    <m/>
    <m/>
    <m/>
    <m/>
    <m/>
    <m/>
    <m/>
    <m/>
    <m/>
    <m/>
    <m/>
    <m/>
    <m/>
    <n v="10000"/>
    <m/>
    <m/>
    <m/>
    <n v="10000"/>
    <m/>
    <m/>
    <m/>
    <m/>
    <n v="10000"/>
    <m/>
    <m/>
    <n v="70000"/>
    <m/>
    <n v="30000"/>
    <m/>
    <m/>
    <m/>
    <n v="21908.400000000001"/>
    <m/>
    <m/>
    <m/>
    <m/>
    <m/>
    <m/>
    <m/>
    <m/>
    <m/>
    <m/>
    <m/>
    <m/>
    <m/>
    <m/>
    <n v="151908.4"/>
    <n v="0"/>
    <n v="20000"/>
    <x v="0"/>
  </r>
  <r>
    <n v="615"/>
    <s v="4.Plan de pagos"/>
    <m/>
    <n v="65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9318.93"/>
    <n v="8431.08"/>
    <m/>
    <m/>
    <m/>
    <m/>
    <m/>
    <m/>
    <m/>
    <m/>
    <m/>
    <m/>
    <m/>
    <m/>
    <m/>
    <m/>
    <m/>
    <m/>
    <m/>
    <m/>
    <m/>
    <m/>
    <m/>
    <n v="61250.01"/>
    <n v="0"/>
    <n v="29500"/>
    <x v="0"/>
  </r>
  <r>
    <n v="616"/>
    <s v="4.Plan de pagos"/>
    <m/>
    <m/>
    <m/>
    <m/>
    <m/>
    <m/>
    <m/>
    <m/>
    <m/>
    <m/>
    <m/>
    <m/>
    <n v="8000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1"/>
    <m/>
    <m/>
    <m/>
    <m/>
    <m/>
    <m/>
    <m/>
    <m/>
    <m/>
    <m/>
    <m/>
    <m/>
    <m/>
    <m/>
    <m/>
    <m/>
    <m/>
    <m/>
    <m/>
    <m/>
    <m/>
    <n v="90200"/>
    <n v="0"/>
    <n v="62804"/>
    <x v="0"/>
  </r>
  <r>
    <n v="617"/>
    <s v="4.Plan de pagos"/>
    <m/>
    <m/>
    <m/>
    <m/>
    <m/>
    <m/>
    <m/>
    <m/>
    <m/>
    <m/>
    <m/>
    <m/>
    <m/>
    <m/>
    <n v="128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n v="4000"/>
    <m/>
    <m/>
    <m/>
    <m/>
    <m/>
    <m/>
    <m/>
    <m/>
    <m/>
    <m/>
    <m/>
    <m/>
    <m/>
    <m/>
    <m/>
    <m/>
    <m/>
    <m/>
    <n v="88800"/>
    <n v="0"/>
    <n v="52800"/>
    <x v="0"/>
  </r>
  <r>
    <n v="618"/>
    <s v="4.Plan de pagos"/>
    <m/>
    <m/>
    <m/>
    <m/>
    <m/>
    <m/>
    <m/>
    <m/>
    <m/>
    <m/>
    <m/>
    <m/>
    <m/>
    <m/>
    <m/>
    <m/>
    <m/>
    <m/>
    <m/>
    <m/>
    <m/>
    <m/>
    <m/>
    <m/>
    <m/>
    <n v="10000"/>
    <n v="6000"/>
    <n v="6000"/>
    <n v="20388"/>
    <n v="6000"/>
    <n v="6000"/>
    <n v="6000"/>
    <n v="6000"/>
    <n v="29980"/>
    <n v="6000"/>
    <n v="6000"/>
    <n v="6000"/>
    <n v="6000"/>
    <n v="29981.439999999999"/>
    <m/>
    <m/>
    <m/>
    <m/>
    <m/>
    <m/>
    <m/>
    <m/>
    <m/>
    <m/>
    <m/>
    <m/>
    <m/>
    <n v="150349.44"/>
    <n v="94.495783885999117"/>
    <n v="0"/>
    <x v="0"/>
  </r>
  <r>
    <n v="619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2919.43266091001"/>
    <n v="0"/>
    <x v="0"/>
  </r>
  <r>
    <n v="701"/>
    <s v="4.Plan de pagos"/>
    <n v="6000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598"/>
    <m/>
    <m/>
    <m/>
    <m/>
    <m/>
    <m/>
    <m/>
    <m/>
    <m/>
    <m/>
    <m/>
    <m/>
    <m/>
    <m/>
    <m/>
    <m/>
    <n v="132100"/>
    <n v="0"/>
    <n v="92472"/>
    <x v="0"/>
  </r>
  <r>
    <n v="702"/>
    <s v="4.Plan de pagos"/>
    <m/>
    <n v="6000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28"/>
    <n v="4416"/>
    <m/>
    <m/>
    <m/>
    <m/>
    <m/>
    <m/>
    <m/>
    <m/>
    <m/>
    <m/>
    <m/>
    <m/>
    <m/>
    <m/>
    <m/>
    <m/>
    <m/>
    <m/>
    <m/>
    <m/>
    <m/>
    <n v="134400"/>
    <n v="0"/>
    <n v="107844"/>
    <x v="0"/>
  </r>
  <r>
    <n v="703"/>
    <s v="4.Plan de pagos"/>
    <m/>
    <m/>
    <m/>
    <m/>
    <m/>
    <m/>
    <m/>
    <m/>
    <m/>
    <m/>
    <m/>
    <m/>
    <n v="8000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7"/>
    <n v="4561"/>
    <m/>
    <m/>
    <m/>
    <m/>
    <m/>
    <m/>
    <m/>
    <m/>
    <m/>
    <m/>
    <m/>
    <m/>
    <m/>
    <m/>
    <m/>
    <m/>
    <m/>
    <m/>
    <m/>
    <m/>
    <m/>
    <n v="90200"/>
    <n v="0"/>
    <n v="62804"/>
    <x v="0"/>
  </r>
  <r>
    <n v="704"/>
    <s v="4.Plan de pagos"/>
    <m/>
    <m/>
    <m/>
    <m/>
    <m/>
    <m/>
    <m/>
    <m/>
    <m/>
    <m/>
    <m/>
    <m/>
    <m/>
    <n v="8000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2"/>
    <m/>
    <m/>
    <m/>
    <m/>
    <m/>
    <m/>
    <m/>
    <m/>
    <m/>
    <m/>
    <m/>
    <m/>
    <m/>
    <m/>
    <m/>
    <m/>
    <m/>
    <m/>
    <m/>
    <m/>
    <m/>
    <n v="88800"/>
    <n v="0"/>
    <n v="60283"/>
    <x v="0"/>
  </r>
  <r>
    <n v="705"/>
    <s v="2. Reserva"/>
    <m/>
    <m/>
    <m/>
    <m/>
    <m/>
    <m/>
    <m/>
    <m/>
    <m/>
    <m/>
    <m/>
    <m/>
    <m/>
    <m/>
    <m/>
    <m/>
    <m/>
    <m/>
    <m/>
    <m/>
    <m/>
    <m/>
    <m/>
    <n v="10000"/>
    <n v="8647"/>
    <n v="8647"/>
    <n v="8647"/>
    <n v="8647"/>
    <n v="8647"/>
    <n v="8647"/>
    <n v="8647"/>
    <n v="8647"/>
    <n v="8647"/>
    <n v="8647"/>
    <n v="8647"/>
    <n v="8647"/>
    <n v="8647"/>
    <n v="8647"/>
    <n v="8643.18"/>
    <m/>
    <m/>
    <m/>
    <m/>
    <m/>
    <m/>
    <m/>
    <m/>
    <m/>
    <m/>
    <m/>
    <m/>
    <m/>
    <n v="139701.18"/>
    <n v="0"/>
    <n v="18647"/>
    <x v="0"/>
  </r>
  <r>
    <n v="706"/>
    <s v="2. Reserva"/>
    <m/>
    <m/>
    <m/>
    <m/>
    <m/>
    <m/>
    <m/>
    <m/>
    <m/>
    <m/>
    <m/>
    <m/>
    <m/>
    <m/>
    <m/>
    <m/>
    <m/>
    <m/>
    <m/>
    <m/>
    <m/>
    <m/>
    <m/>
    <m/>
    <n v="10000"/>
    <n v="9307"/>
    <n v="9307"/>
    <n v="9307"/>
    <n v="9307"/>
    <n v="9307"/>
    <n v="9307"/>
    <n v="9307"/>
    <n v="9307"/>
    <n v="9307"/>
    <n v="9307"/>
    <n v="9307"/>
    <n v="9307"/>
    <n v="9307"/>
    <n v="9301.7000000000007"/>
    <m/>
    <m/>
    <m/>
    <m/>
    <m/>
    <m/>
    <m/>
    <m/>
    <m/>
    <m/>
    <m/>
    <m/>
    <m/>
    <n v="140292.70000000001"/>
    <n v="0"/>
    <n v="10000"/>
    <x v="0"/>
  </r>
  <r>
    <n v="707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5303"/>
    <n v="5303"/>
    <n v="5303"/>
    <n v="5303"/>
    <n v="5303"/>
    <n v="5303"/>
    <n v="5303"/>
    <n v="5303"/>
    <n v="5303"/>
    <n v="5303"/>
    <n v="5303"/>
    <n v="5303"/>
    <n v="5303"/>
    <m/>
    <m/>
    <m/>
    <m/>
    <m/>
    <m/>
    <m/>
    <m/>
    <m/>
    <m/>
    <m/>
    <m/>
    <m/>
    <n v="78939"/>
    <n v="6639"/>
    <n v="0"/>
    <x v="0"/>
  </r>
  <r>
    <n v="708"/>
    <s v="4.Plan de pagos"/>
    <m/>
    <m/>
    <m/>
    <m/>
    <m/>
    <m/>
    <m/>
    <m/>
    <m/>
    <m/>
    <n v="7600"/>
    <m/>
    <n v="19000"/>
    <m/>
    <m/>
    <m/>
    <n v="19000"/>
    <m/>
    <m/>
    <m/>
    <m/>
    <n v="19000"/>
    <m/>
    <m/>
    <n v="19000"/>
    <m/>
    <m/>
    <m/>
    <n v="19000"/>
    <m/>
    <m/>
    <n v="15793"/>
    <m/>
    <m/>
    <m/>
    <m/>
    <m/>
    <m/>
    <m/>
    <m/>
    <m/>
    <m/>
    <m/>
    <m/>
    <m/>
    <m/>
    <m/>
    <m/>
    <m/>
    <m/>
    <m/>
    <m/>
    <n v="118393"/>
    <n v="0"/>
    <n v="83600"/>
    <x v="0"/>
  </r>
  <r>
    <n v="709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8144.66987563099"/>
    <n v="0"/>
    <x v="0"/>
  </r>
  <r>
    <n v="710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18564.042442039"/>
    <n v="0"/>
    <x v="0"/>
  </r>
  <r>
    <n v="711"/>
    <s v="4.Plan de pagos"/>
    <m/>
    <m/>
    <m/>
    <m/>
    <m/>
    <m/>
    <m/>
    <m/>
    <m/>
    <m/>
    <m/>
    <m/>
    <m/>
    <m/>
    <m/>
    <m/>
    <m/>
    <m/>
    <m/>
    <m/>
    <n v="10000"/>
    <n v="290000"/>
    <n v="275000"/>
    <n v="300000"/>
    <n v="300000"/>
    <n v="6561.5"/>
    <m/>
    <m/>
    <m/>
    <m/>
    <m/>
    <m/>
    <m/>
    <m/>
    <m/>
    <m/>
    <m/>
    <m/>
    <m/>
    <m/>
    <m/>
    <m/>
    <m/>
    <m/>
    <m/>
    <m/>
    <m/>
    <m/>
    <m/>
    <m/>
    <m/>
    <m/>
    <n v="1181561.5"/>
    <n v="1063400"/>
    <n v="1175000"/>
    <x v="0"/>
  </r>
  <r>
    <n v="712"/>
    <s v="4.Plan de pagos"/>
    <m/>
    <m/>
    <m/>
    <n v="6000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90"/>
    <m/>
    <m/>
    <m/>
    <m/>
    <m/>
    <m/>
    <m/>
    <m/>
    <m/>
    <m/>
    <m/>
    <m/>
    <m/>
    <m/>
    <m/>
    <m/>
    <m/>
    <m/>
    <m/>
    <m/>
    <m/>
    <n v="70400"/>
    <n v="0"/>
    <n v="56085"/>
    <x v="0"/>
  </r>
  <r>
    <n v="713"/>
    <s v="4.Plan de pagos"/>
    <m/>
    <m/>
    <m/>
    <n v="6000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6"/>
    <n v="2324"/>
    <m/>
    <m/>
    <m/>
    <m/>
    <m/>
    <m/>
    <m/>
    <m/>
    <m/>
    <m/>
    <m/>
    <m/>
    <m/>
    <m/>
    <m/>
    <m/>
    <m/>
    <m/>
    <m/>
    <m/>
    <m/>
    <n v="68800"/>
    <n v="0"/>
    <n v="54846"/>
    <x v="0"/>
  </r>
  <r>
    <n v="714"/>
    <s v="4.Plan de pagos"/>
    <m/>
    <m/>
    <m/>
    <m/>
    <m/>
    <m/>
    <m/>
    <m/>
    <m/>
    <m/>
    <m/>
    <m/>
    <m/>
    <n v="8000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9"/>
    <n v="7984"/>
    <m/>
    <m/>
    <m/>
    <m/>
    <m/>
    <m/>
    <m/>
    <m/>
    <m/>
    <m/>
    <m/>
    <m/>
    <m/>
    <m/>
    <m/>
    <m/>
    <m/>
    <m/>
    <m/>
    <m/>
    <m/>
    <n v="143808"/>
    <n v="0"/>
    <n v="95879"/>
    <x v="0"/>
  </r>
  <r>
    <n v="715"/>
    <s v="4.Plan de pagos"/>
    <n v="60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m/>
    <m/>
    <m/>
    <m/>
    <m/>
    <m/>
    <m/>
    <m/>
    <m/>
    <m/>
    <m/>
    <m/>
    <m/>
    <m/>
    <m/>
    <m/>
    <n v="62000"/>
    <n v="0"/>
    <n v="44400"/>
    <x v="0"/>
  </r>
  <r>
    <n v="716"/>
    <s v="4.Plan de pagos"/>
    <m/>
    <m/>
    <m/>
    <m/>
    <m/>
    <m/>
    <m/>
    <m/>
    <m/>
    <m/>
    <n v="800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n v="4110"/>
    <m/>
    <m/>
    <m/>
    <m/>
    <m/>
    <m/>
    <m/>
    <m/>
    <m/>
    <m/>
    <m/>
    <m/>
    <m/>
    <m/>
    <m/>
    <m/>
    <m/>
    <m/>
    <m/>
    <m/>
    <m/>
    <n v="90200"/>
    <n v="0"/>
    <n v="65540"/>
    <x v="0"/>
  </r>
  <r>
    <n v="717"/>
    <s v="4.Plan de pagos"/>
    <m/>
    <m/>
    <m/>
    <m/>
    <m/>
    <m/>
    <m/>
    <m/>
    <m/>
    <m/>
    <m/>
    <m/>
    <m/>
    <n v="800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m/>
    <m/>
    <m/>
    <m/>
    <m/>
    <m/>
    <m/>
    <m/>
    <m/>
    <m/>
    <m/>
    <m/>
    <m/>
    <m/>
    <m/>
    <m/>
    <m/>
    <m/>
    <n v="88800"/>
    <n v="0"/>
    <n v="52440"/>
    <x v="0"/>
  </r>
  <r>
    <n v="71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0254.944216114"/>
    <n v="0"/>
    <x v="0"/>
  </r>
  <r>
    <n v="719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5637.554915152"/>
    <n v="0"/>
    <x v="0"/>
  </r>
  <r>
    <n v="801"/>
    <s v="4.Plan de pagos"/>
    <m/>
    <m/>
    <m/>
    <m/>
    <n v="60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n v="4200"/>
    <m/>
    <m/>
    <m/>
    <m/>
    <m/>
    <m/>
    <m/>
    <m/>
    <m/>
    <m/>
    <m/>
    <m/>
    <m/>
    <m/>
    <m/>
    <m/>
    <m/>
    <m/>
    <m/>
    <m/>
    <m/>
    <n v="115200"/>
    <n v="0"/>
    <n v="90000"/>
    <x v="0"/>
  </r>
  <r>
    <n v="802"/>
    <s v="4.Plan de pagos"/>
    <m/>
    <m/>
    <m/>
    <n v="60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m/>
    <m/>
    <m/>
    <m/>
    <m/>
    <m/>
    <m/>
    <m/>
    <m/>
    <m/>
    <m/>
    <m/>
    <m/>
    <m/>
    <m/>
    <m/>
    <m/>
    <m/>
    <m/>
    <m/>
    <m/>
    <n v="116700"/>
    <n v="0"/>
    <n v="92100"/>
    <x v="0"/>
  </r>
  <r>
    <n v="803"/>
    <s v="4.Plan de pagos"/>
    <n v="60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2300"/>
    <m/>
    <m/>
    <m/>
    <m/>
    <m/>
    <m/>
    <m/>
    <m/>
    <m/>
    <m/>
    <m/>
    <m/>
    <m/>
    <m/>
    <m/>
    <m/>
    <n v="66100"/>
    <n v="0"/>
    <n v="46800"/>
    <x v="0"/>
  </r>
  <r>
    <n v="804"/>
    <s v="4.Plan de pagos"/>
    <m/>
    <m/>
    <m/>
    <n v="60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25300"/>
    <m/>
    <m/>
    <m/>
    <m/>
    <m/>
    <m/>
    <m/>
    <m/>
    <m/>
    <m/>
    <m/>
    <m/>
    <m/>
    <m/>
    <m/>
    <m/>
    <m/>
    <m/>
    <m/>
    <m/>
    <m/>
    <n v="70300"/>
    <n v="0"/>
    <n v="37500"/>
    <x v="0"/>
  </r>
  <r>
    <n v="805"/>
    <s v="4.Plan de pagos"/>
    <m/>
    <m/>
    <m/>
    <m/>
    <m/>
    <m/>
    <m/>
    <m/>
    <m/>
    <m/>
    <m/>
    <m/>
    <m/>
    <m/>
    <n v="8000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7"/>
    <n v="4534"/>
    <m/>
    <m/>
    <m/>
    <m/>
    <m/>
    <m/>
    <m/>
    <m/>
    <m/>
    <m/>
    <m/>
    <m/>
    <m/>
    <m/>
    <m/>
    <m/>
    <m/>
    <m/>
    <n v="94200"/>
    <n v="0"/>
    <n v="53370"/>
    <x v="0"/>
  </r>
  <r>
    <n v="806"/>
    <s v="4.Plan de pagos"/>
    <m/>
    <m/>
    <m/>
    <m/>
    <m/>
    <m/>
    <m/>
    <m/>
    <m/>
    <m/>
    <m/>
    <m/>
    <m/>
    <m/>
    <m/>
    <m/>
    <m/>
    <m/>
    <n v="10000"/>
    <n v="6564"/>
    <n v="6564"/>
    <n v="6564"/>
    <n v="6564"/>
    <n v="6564"/>
    <n v="6564"/>
    <n v="6564"/>
    <n v="6564"/>
    <n v="6564"/>
    <n v="6564"/>
    <n v="6564"/>
    <n v="6564"/>
    <n v="6564"/>
    <n v="6564"/>
    <n v="6569"/>
    <m/>
    <m/>
    <m/>
    <m/>
    <m/>
    <m/>
    <m/>
    <m/>
    <m/>
    <m/>
    <m/>
    <m/>
    <m/>
    <m/>
    <m/>
    <m/>
    <m/>
    <m/>
    <n v="108465"/>
    <n v="0"/>
    <n v="49384"/>
    <x v="0"/>
  </r>
  <r>
    <n v="807"/>
    <s v="4.Plan de pagos"/>
    <m/>
    <m/>
    <m/>
    <m/>
    <m/>
    <m/>
    <m/>
    <m/>
    <n v="5500"/>
    <n v="2500"/>
    <n v="2500"/>
    <n v="2500"/>
    <n v="2500"/>
    <n v="2500"/>
    <n v="2500"/>
    <n v="2500"/>
    <n v="12000"/>
    <n v="2500"/>
    <n v="2500"/>
    <n v="2500"/>
    <n v="2500"/>
    <n v="12000"/>
    <n v="2500"/>
    <n v="2500"/>
    <n v="2500"/>
    <n v="2500"/>
    <n v="2500"/>
    <n v="2500"/>
    <n v="12000"/>
    <n v="3200"/>
    <n v="3000"/>
    <m/>
    <m/>
    <m/>
    <m/>
    <m/>
    <m/>
    <m/>
    <m/>
    <m/>
    <m/>
    <m/>
    <m/>
    <m/>
    <m/>
    <m/>
    <m/>
    <m/>
    <m/>
    <m/>
    <m/>
    <m/>
    <n v="90200"/>
    <n v="0"/>
    <n v="64500"/>
    <x v="0"/>
  </r>
  <r>
    <n v="808"/>
    <s v="4.Plan de pagos"/>
    <m/>
    <m/>
    <m/>
    <m/>
    <m/>
    <m/>
    <m/>
    <m/>
    <m/>
    <m/>
    <m/>
    <m/>
    <n v="8000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9"/>
    <n v="4487"/>
    <m/>
    <m/>
    <m/>
    <m/>
    <m/>
    <m/>
    <m/>
    <m/>
    <m/>
    <m/>
    <m/>
    <m/>
    <m/>
    <m/>
    <m/>
    <m/>
    <m/>
    <m/>
    <m/>
    <m/>
    <m/>
    <n v="88800"/>
    <n v="0"/>
    <n v="61868"/>
    <x v="0"/>
  </r>
  <r>
    <n v="809"/>
    <s v="4.Plan de pagos"/>
    <m/>
    <m/>
    <m/>
    <m/>
    <m/>
    <m/>
    <m/>
    <m/>
    <m/>
    <m/>
    <m/>
    <m/>
    <n v="8000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3"/>
    <n v="7289"/>
    <m/>
    <m/>
    <m/>
    <m/>
    <m/>
    <m/>
    <m/>
    <m/>
    <m/>
    <m/>
    <m/>
    <m/>
    <m/>
    <m/>
    <m/>
    <m/>
    <m/>
    <m/>
    <m/>
    <m/>
    <m/>
    <n v="139100"/>
    <n v="0"/>
    <n v="95396"/>
    <x v="0"/>
  </r>
  <r>
    <n v="810"/>
    <s v="4.Plan de pagos"/>
    <m/>
    <m/>
    <m/>
    <n v="6000"/>
    <n v="1600"/>
    <n v="1600"/>
    <n v="1600"/>
    <n v="1600"/>
    <n v="1600"/>
    <n v="6000"/>
    <n v="1600"/>
    <n v="1600"/>
    <n v="1600"/>
    <n v="1600"/>
    <n v="1600"/>
    <n v="1600"/>
    <n v="6000"/>
    <n v="1600"/>
    <n v="1600"/>
    <n v="1600"/>
    <n v="1600"/>
    <n v="6000"/>
    <n v="1600"/>
    <n v="1600"/>
    <n v="1600"/>
    <n v="1600"/>
    <n v="1600"/>
    <n v="1600"/>
    <n v="6000"/>
    <n v="1600"/>
    <n v="4800"/>
    <m/>
    <m/>
    <m/>
    <m/>
    <m/>
    <m/>
    <m/>
    <m/>
    <m/>
    <m/>
    <m/>
    <m/>
    <m/>
    <m/>
    <m/>
    <m/>
    <m/>
    <m/>
    <m/>
    <m/>
    <m/>
    <n v="70000"/>
    <n v="0"/>
    <n v="52800"/>
    <x v="0"/>
  </r>
  <r>
    <n v="811"/>
    <s v="4.Plan de pagos"/>
    <m/>
    <m/>
    <m/>
    <m/>
    <m/>
    <m/>
    <m/>
    <m/>
    <m/>
    <m/>
    <m/>
    <m/>
    <m/>
    <m/>
    <m/>
    <m/>
    <n v="10000"/>
    <n v="854446.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4446.02"/>
    <n v="0"/>
    <n v="864446.02"/>
    <x v="0"/>
  </r>
  <r>
    <n v="812"/>
    <s v="4.Plan de pagos"/>
    <m/>
    <m/>
    <m/>
    <m/>
    <m/>
    <m/>
    <m/>
    <m/>
    <m/>
    <m/>
    <m/>
    <m/>
    <m/>
    <m/>
    <m/>
    <m/>
    <m/>
    <n v="10000"/>
    <n v="84167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167.1"/>
    <n v="0"/>
    <n v="94167.1"/>
    <x v="0"/>
  </r>
  <r>
    <n v="813"/>
    <s v="4.Plan de pagos"/>
    <m/>
    <m/>
    <m/>
    <m/>
    <m/>
    <m/>
    <m/>
    <m/>
    <m/>
    <m/>
    <m/>
    <m/>
    <m/>
    <m/>
    <n v="8000"/>
    <n v="4082"/>
    <n v="4082"/>
    <n v="4082"/>
    <n v="4082"/>
    <n v="4082"/>
    <m/>
    <m/>
    <n v="8164"/>
    <n v="8164"/>
    <n v="8164"/>
    <n v="8164"/>
    <n v="8164"/>
    <n v="8164"/>
    <n v="8164"/>
    <n v="4082"/>
    <m/>
    <m/>
    <m/>
    <m/>
    <m/>
    <m/>
    <m/>
    <m/>
    <m/>
    <m/>
    <m/>
    <m/>
    <m/>
    <m/>
    <m/>
    <m/>
    <m/>
    <m/>
    <m/>
    <m/>
    <m/>
    <m/>
    <n v="89640"/>
    <n v="7.1499999999941792"/>
    <n v="52902"/>
    <x v="0"/>
  </r>
  <r>
    <n v="814"/>
    <s v="4.Plan de pagos"/>
    <m/>
    <m/>
    <m/>
    <m/>
    <m/>
    <m/>
    <m/>
    <m/>
    <n v="5500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68"/>
    <n v="3772"/>
    <m/>
    <m/>
    <m/>
    <m/>
    <m/>
    <m/>
    <m/>
    <m/>
    <m/>
    <m/>
    <m/>
    <m/>
    <m/>
    <m/>
    <m/>
    <m/>
    <m/>
    <m/>
    <m/>
    <m/>
    <m/>
    <n v="88400"/>
    <n v="0"/>
    <n v="65788"/>
    <x v="0"/>
  </r>
  <r>
    <n v="815"/>
    <s v="4.Plan de pagos"/>
    <m/>
    <m/>
    <m/>
    <m/>
    <m/>
    <m/>
    <m/>
    <m/>
    <m/>
    <m/>
    <m/>
    <n v="8000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8"/>
    <m/>
    <m/>
    <m/>
    <m/>
    <m/>
    <m/>
    <m/>
    <m/>
    <m/>
    <m/>
    <m/>
    <m/>
    <m/>
    <m/>
    <m/>
    <m/>
    <m/>
    <m/>
    <m/>
    <m/>
    <m/>
    <n v="146400"/>
    <n v="0"/>
    <n v="102692"/>
    <x v="0"/>
  </r>
  <r>
    <n v="816"/>
    <s v="4.Plan de pagos"/>
    <n v="60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400"/>
    <m/>
    <m/>
    <m/>
    <m/>
    <m/>
    <m/>
    <m/>
    <m/>
    <m/>
    <m/>
    <m/>
    <m/>
    <m/>
    <m/>
    <m/>
    <m/>
    <n v="65200"/>
    <n v="0"/>
    <n v="46800"/>
    <x v="0"/>
  </r>
  <r>
    <n v="817"/>
    <s v="4.Plan de pagos"/>
    <m/>
    <n v="60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0232.299999999999"/>
    <m/>
    <m/>
    <m/>
    <m/>
    <m/>
    <m/>
    <m/>
    <m/>
    <m/>
    <m/>
    <m/>
    <m/>
    <m/>
    <m/>
    <m/>
    <m/>
    <n v="65732.3"/>
    <n v="0"/>
    <n v="40500"/>
    <x v="0"/>
  </r>
  <r>
    <n v="818"/>
    <s v="4.Plan de pagos"/>
    <m/>
    <m/>
    <m/>
    <m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5"/>
    <m/>
    <m/>
    <m/>
    <m/>
    <m/>
    <m/>
    <m/>
    <m/>
    <m/>
    <m/>
    <m/>
    <m/>
    <m/>
    <m/>
    <m/>
    <m/>
    <m/>
    <m/>
    <m/>
    <m/>
    <m/>
    <n v="70400"/>
    <n v="0"/>
    <n v="55540"/>
    <x v="0"/>
  </r>
  <r>
    <n v="819"/>
    <s v="4.Plan de pagos"/>
    <m/>
    <m/>
    <n v="60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4400"/>
    <m/>
    <m/>
    <m/>
    <m/>
    <m/>
    <m/>
    <m/>
    <m/>
    <m/>
    <m/>
    <m/>
    <m/>
    <m/>
    <m/>
    <m/>
    <m/>
    <m/>
    <m/>
    <m/>
    <m/>
    <m/>
    <n v="96800"/>
    <n v="0"/>
    <n v="76400"/>
    <x v="0"/>
  </r>
  <r>
    <n v="820"/>
    <s v="4.Plan de pagos"/>
    <m/>
    <m/>
    <m/>
    <m/>
    <m/>
    <m/>
    <m/>
    <m/>
    <m/>
    <m/>
    <n v="8000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49.5"/>
    <m/>
    <m/>
    <m/>
    <m/>
    <m/>
    <m/>
    <m/>
    <m/>
    <m/>
    <m/>
    <m/>
    <m/>
    <m/>
    <m/>
    <m/>
    <m/>
    <m/>
    <m/>
    <m/>
    <m/>
    <m/>
    <n v="99132.5"/>
    <n v="0"/>
    <n v="71798"/>
    <x v="0"/>
  </r>
  <r>
    <n v="901"/>
    <s v="4.Plan de pagos"/>
    <n v="6000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6"/>
    <n v="2938.84"/>
    <m/>
    <m/>
    <m/>
    <m/>
    <m/>
    <m/>
    <m/>
    <m/>
    <m/>
    <m/>
    <m/>
    <m/>
    <m/>
    <m/>
    <m/>
    <m/>
    <n v="108762.84"/>
    <n v="0"/>
    <n v="76464"/>
    <x v="0"/>
  </r>
  <r>
    <n v="902"/>
    <s v="4.Plan de pagos"/>
    <m/>
    <m/>
    <m/>
    <m/>
    <m/>
    <m/>
    <m/>
    <m/>
    <m/>
    <m/>
    <n v="8000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84"/>
    <n v="5574"/>
    <m/>
    <m/>
    <m/>
    <m/>
    <m/>
    <m/>
    <m/>
    <m/>
    <m/>
    <m/>
    <m/>
    <m/>
    <m/>
    <m/>
    <m/>
    <m/>
    <m/>
    <m/>
    <m/>
    <m/>
    <m/>
    <n v="119670"/>
    <n v="0"/>
    <n v="86176"/>
    <x v="0"/>
  </r>
  <r>
    <n v="903"/>
    <s v="4.Plan de pagos"/>
    <m/>
    <m/>
    <n v="60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m/>
    <m/>
    <m/>
    <m/>
    <m/>
    <m/>
    <m/>
    <m/>
    <m/>
    <m/>
    <m/>
    <m/>
    <m/>
    <m/>
    <m/>
    <m/>
    <m/>
    <m/>
    <m/>
    <m/>
    <m/>
    <n v="70400"/>
    <n v="0"/>
    <n v="56600"/>
    <x v="0"/>
  </r>
  <r>
    <n v="904"/>
    <s v="4.Plan de pagos"/>
    <m/>
    <m/>
    <n v="6000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1.08"/>
    <m/>
    <m/>
    <m/>
    <m/>
    <m/>
    <m/>
    <m/>
    <m/>
    <m/>
    <m/>
    <m/>
    <m/>
    <m/>
    <m/>
    <m/>
    <m/>
    <m/>
    <m/>
    <m/>
    <m/>
    <m/>
    <n v="69669.08"/>
    <n v="0"/>
    <n v="56028"/>
    <x v="0"/>
  </r>
  <r>
    <n v="905"/>
    <s v="4.Plan de pagos"/>
    <m/>
    <m/>
    <m/>
    <m/>
    <m/>
    <m/>
    <m/>
    <m/>
    <m/>
    <m/>
    <m/>
    <m/>
    <m/>
    <m/>
    <m/>
    <n v="5000"/>
    <n v="5000"/>
    <n v="3776"/>
    <n v="3776"/>
    <n v="3776"/>
    <n v="3776"/>
    <n v="3776"/>
    <n v="3776"/>
    <n v="3776"/>
    <n v="3776"/>
    <n v="3776"/>
    <n v="3776"/>
    <n v="3776"/>
    <n v="20000"/>
    <n v="3776"/>
    <n v="3776"/>
    <n v="3776"/>
    <n v="3776"/>
    <n v="3776"/>
    <n v="3784"/>
    <m/>
    <m/>
    <m/>
    <m/>
    <m/>
    <m/>
    <m/>
    <m/>
    <m/>
    <m/>
    <m/>
    <m/>
    <m/>
    <m/>
    <m/>
    <m/>
    <m/>
    <n v="94200"/>
    <n v="0"/>
    <n v="40208"/>
    <x v="0"/>
  </r>
  <r>
    <n v="906"/>
    <s v="4.Plan de pagos"/>
    <m/>
    <m/>
    <m/>
    <m/>
    <m/>
    <m/>
    <m/>
    <m/>
    <m/>
    <m/>
    <m/>
    <m/>
    <m/>
    <m/>
    <m/>
    <m/>
    <m/>
    <m/>
    <m/>
    <m/>
    <m/>
    <n v="800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0"/>
    <n v="6024.58"/>
    <m/>
    <m/>
    <m/>
    <m/>
    <m/>
    <m/>
    <m/>
    <m/>
    <m/>
    <m/>
    <m/>
    <m/>
    <m/>
    <n v="110344.58"/>
    <n v="0"/>
    <n v="26060"/>
    <x v="0"/>
  </r>
  <r>
    <n v="907"/>
    <s v="4.Plan de pagos"/>
    <m/>
    <m/>
    <m/>
    <m/>
    <m/>
    <m/>
    <n v="10000"/>
    <m/>
    <m/>
    <m/>
    <m/>
    <n v="20050"/>
    <m/>
    <m/>
    <m/>
    <m/>
    <m/>
    <n v="20050"/>
    <m/>
    <m/>
    <m/>
    <m/>
    <m/>
    <n v="20050"/>
    <m/>
    <m/>
    <m/>
    <m/>
    <m/>
    <n v="20050"/>
    <m/>
    <m/>
    <m/>
    <m/>
    <m/>
    <m/>
    <m/>
    <m/>
    <m/>
    <m/>
    <m/>
    <m/>
    <m/>
    <m/>
    <m/>
    <m/>
    <m/>
    <m/>
    <m/>
    <m/>
    <m/>
    <m/>
    <n v="90200"/>
    <n v="0"/>
    <n v="70150"/>
    <x v="0"/>
  </r>
  <r>
    <n v="908"/>
    <s v="4.Plan de pagos"/>
    <m/>
    <m/>
    <m/>
    <m/>
    <m/>
    <m/>
    <m/>
    <m/>
    <m/>
    <m/>
    <n v="800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n v="4040"/>
    <m/>
    <m/>
    <m/>
    <m/>
    <m/>
    <m/>
    <m/>
    <m/>
    <m/>
    <m/>
    <m/>
    <m/>
    <m/>
    <m/>
    <m/>
    <m/>
    <m/>
    <m/>
    <m/>
    <m/>
    <m/>
    <n v="88800"/>
    <n v="0"/>
    <n v="64560"/>
    <x v="0"/>
  </r>
  <r>
    <n v="909"/>
    <s v="4.Plan de pagos"/>
    <m/>
    <m/>
    <m/>
    <m/>
    <n v="6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7300"/>
    <m/>
    <m/>
    <m/>
    <m/>
    <m/>
    <m/>
    <m/>
    <m/>
    <m/>
    <m/>
    <m/>
    <m/>
    <m/>
    <m/>
    <m/>
    <m/>
    <m/>
    <m/>
    <m/>
    <m/>
    <m/>
    <n v="138300"/>
    <n v="0"/>
    <n v="106000"/>
    <x v="0"/>
  </r>
  <r>
    <n v="910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8258.364168812812"/>
    <n v="0"/>
    <x v="0"/>
  </r>
  <r>
    <n v="911"/>
    <s v="4.Plan de pagos"/>
    <m/>
    <m/>
    <m/>
    <m/>
    <m/>
    <m/>
    <n v="8000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48.5"/>
    <m/>
    <m/>
    <m/>
    <m/>
    <m/>
    <m/>
    <m/>
    <m/>
    <m/>
    <m/>
    <m/>
    <m/>
    <m/>
    <m/>
    <m/>
    <m/>
    <m/>
    <m/>
    <m/>
    <m/>
    <m/>
    <n v="105267.5"/>
    <n v="0"/>
    <n v="80954"/>
    <x v="0"/>
  </r>
  <r>
    <n v="912"/>
    <s v="4.Plan de pagos"/>
    <m/>
    <m/>
    <m/>
    <m/>
    <m/>
    <m/>
    <m/>
    <m/>
    <n v="12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67"/>
    <m/>
    <m/>
    <m/>
    <m/>
    <m/>
    <m/>
    <m/>
    <m/>
    <m/>
    <m/>
    <m/>
    <m/>
    <m/>
    <m/>
    <m/>
    <m/>
    <m/>
    <m/>
    <m/>
    <m/>
    <m/>
    <m/>
    <n v="97380"/>
    <n v="0"/>
    <n v="77066.410000000018"/>
    <x v="0"/>
  </r>
  <r>
    <n v="913"/>
    <s v="4.Plan de pagos"/>
    <m/>
    <m/>
    <m/>
    <m/>
    <m/>
    <m/>
    <m/>
    <m/>
    <m/>
    <m/>
    <m/>
    <m/>
    <m/>
    <n v="8000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7"/>
    <n v="4848"/>
    <m/>
    <m/>
    <m/>
    <m/>
    <m/>
    <m/>
    <m/>
    <m/>
    <m/>
    <m/>
    <m/>
    <m/>
    <m/>
    <m/>
    <m/>
    <m/>
    <m/>
    <m/>
    <m/>
    <m/>
    <m/>
    <n v="90400"/>
    <n v="0"/>
    <n v="61317"/>
    <x v="0"/>
  </r>
  <r>
    <n v="914"/>
    <s v="4.Plan de pagos"/>
    <m/>
    <m/>
    <m/>
    <m/>
    <m/>
    <m/>
    <m/>
    <m/>
    <m/>
    <m/>
    <n v="800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n v="4020"/>
    <m/>
    <m/>
    <m/>
    <m/>
    <m/>
    <m/>
    <m/>
    <m/>
    <m/>
    <m/>
    <m/>
    <m/>
    <m/>
    <m/>
    <m/>
    <m/>
    <m/>
    <m/>
    <m/>
    <m/>
    <m/>
    <n v="88400"/>
    <n v="0"/>
    <n v="64280"/>
    <x v="0"/>
  </r>
  <r>
    <n v="915"/>
    <s v="4.Plan de pagos"/>
    <m/>
    <m/>
    <m/>
    <m/>
    <m/>
    <m/>
    <n v="6000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08"/>
    <n v="5213.4399999999996"/>
    <m/>
    <m/>
    <m/>
    <m/>
    <m/>
    <m/>
    <m/>
    <m/>
    <m/>
    <m/>
    <m/>
    <m/>
    <m/>
    <m/>
    <m/>
    <m/>
    <m/>
    <m/>
    <m/>
    <m/>
    <m/>
    <n v="130997.44"/>
    <n v="0"/>
    <n v="99744"/>
    <x v="0"/>
  </r>
  <r>
    <n v="916"/>
    <s v="4.Plan de pagos"/>
    <m/>
    <m/>
    <n v="600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050"/>
    <m/>
    <m/>
    <m/>
    <m/>
    <m/>
    <m/>
    <m/>
    <m/>
    <m/>
    <m/>
    <m/>
    <m/>
    <m/>
    <m/>
    <m/>
    <m/>
    <m/>
    <m/>
    <m/>
    <m/>
    <m/>
    <n v="68800"/>
    <n v="0"/>
    <n v="55500"/>
    <x v="0"/>
  </r>
  <r>
    <n v="917"/>
    <s v="4.Plan de pagos"/>
    <m/>
    <m/>
    <n v="600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3250"/>
    <m/>
    <m/>
    <m/>
    <m/>
    <m/>
    <m/>
    <m/>
    <m/>
    <m/>
    <m/>
    <m/>
    <m/>
    <m/>
    <m/>
    <m/>
    <m/>
    <m/>
    <m/>
    <m/>
    <m/>
    <m/>
    <n v="70000"/>
    <n v="0"/>
    <n v="55500"/>
    <x v="0"/>
  </r>
  <r>
    <n v="918"/>
    <s v="4.Plan de pagos"/>
    <m/>
    <m/>
    <m/>
    <m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5"/>
    <m/>
    <m/>
    <m/>
    <m/>
    <m/>
    <m/>
    <m/>
    <m/>
    <m/>
    <m/>
    <m/>
    <m/>
    <m/>
    <m/>
    <m/>
    <m/>
    <m/>
    <m/>
    <m/>
    <m/>
    <m/>
    <n v="70400"/>
    <n v="0"/>
    <n v="55540"/>
    <x v="0"/>
  </r>
  <r>
    <n v="919"/>
    <s v="4.Plan de pagos"/>
    <n v="6000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465"/>
    <n v="2390"/>
    <m/>
    <m/>
    <m/>
    <m/>
    <m/>
    <m/>
    <m/>
    <m/>
    <m/>
    <m/>
    <m/>
    <m/>
    <m/>
    <m/>
    <m/>
    <m/>
    <n v="92200"/>
    <n v="0"/>
    <n v="65160"/>
    <x v="0"/>
  </r>
  <r>
    <n v="920"/>
    <s v="4.Plan de pagos"/>
    <m/>
    <m/>
    <m/>
    <m/>
    <m/>
    <m/>
    <m/>
    <m/>
    <n v="11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09"/>
    <n v="3859.11"/>
    <m/>
    <m/>
    <m/>
    <m/>
    <m/>
    <m/>
    <m/>
    <m/>
    <m/>
    <m/>
    <m/>
    <m/>
    <m/>
    <m/>
    <m/>
    <m/>
    <m/>
    <m/>
    <m/>
    <m/>
    <m/>
    <m/>
    <n v="92899.999999999956"/>
    <n v="0"/>
    <n v="73604.52999999997"/>
    <x v="0"/>
  </r>
  <r>
    <n v="1001"/>
    <s v="4.Plan de pagos"/>
    <m/>
    <n v="6000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88"/>
    <m/>
    <m/>
    <m/>
    <m/>
    <m/>
    <m/>
    <m/>
    <m/>
    <m/>
    <m/>
    <m/>
    <m/>
    <m/>
    <m/>
    <m/>
    <m/>
    <m/>
    <m/>
    <m/>
    <m/>
    <m/>
    <n v="109800"/>
    <n v="0"/>
    <n v="88317"/>
    <x v="0"/>
  </r>
  <r>
    <n v="1002"/>
    <s v="4.Plan de pagos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m/>
    <m/>
    <m/>
    <m/>
    <m/>
    <m/>
    <m/>
    <m/>
    <m/>
    <m/>
    <m/>
    <m/>
    <m/>
    <m/>
    <m/>
    <m/>
    <n v="216000"/>
    <n v="0"/>
    <n v="150000"/>
    <x v="0"/>
  </r>
  <r>
    <n v="1003"/>
    <s v="4.Plan de pagos"/>
    <m/>
    <m/>
    <n v="60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n v="2300"/>
    <m/>
    <m/>
    <m/>
    <m/>
    <m/>
    <m/>
    <m/>
    <m/>
    <m/>
    <m/>
    <m/>
    <m/>
    <m/>
    <m/>
    <m/>
    <m/>
    <m/>
    <m/>
    <m/>
    <m/>
    <m/>
    <n v="70400"/>
    <n v="0"/>
    <n v="56600"/>
    <x v="0"/>
  </r>
  <r>
    <n v="1004"/>
    <s v="4.Plan de pagos"/>
    <m/>
    <m/>
    <n v="6000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1.08"/>
    <m/>
    <m/>
    <m/>
    <m/>
    <m/>
    <m/>
    <m/>
    <m/>
    <m/>
    <m/>
    <m/>
    <m/>
    <m/>
    <m/>
    <m/>
    <m/>
    <m/>
    <m/>
    <m/>
    <m/>
    <m/>
    <n v="69669.08"/>
    <n v="0"/>
    <n v="56028"/>
    <x v="0"/>
  </r>
  <r>
    <n v="1005"/>
    <s v="4.Plan de pagos"/>
    <m/>
    <m/>
    <m/>
    <n v="6000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58"/>
    <m/>
    <m/>
    <m/>
    <m/>
    <m/>
    <m/>
    <m/>
    <m/>
    <m/>
    <m/>
    <m/>
    <m/>
    <m/>
    <m/>
    <m/>
    <m/>
    <m/>
    <m/>
    <m/>
    <m/>
    <m/>
    <n v="94200"/>
    <n v="0"/>
    <n v="74607"/>
    <x v="0"/>
  </r>
  <r>
    <n v="1006"/>
    <s v="4.Plan de pagos"/>
    <m/>
    <m/>
    <m/>
    <m/>
    <m/>
    <m/>
    <m/>
    <m/>
    <m/>
    <m/>
    <m/>
    <n v="8000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47"/>
    <n v="4554"/>
    <m/>
    <m/>
    <m/>
    <m/>
    <m/>
    <m/>
    <m/>
    <m/>
    <m/>
    <m/>
    <m/>
    <m/>
    <m/>
    <m/>
    <m/>
    <m/>
    <m/>
    <m/>
    <m/>
    <m/>
    <m/>
    <n v="94400"/>
    <n v="0"/>
    <n v="67111"/>
    <x v="0"/>
  </r>
  <r>
    <n v="1007"/>
    <s v="4.Plan de pagos"/>
    <m/>
    <m/>
    <m/>
    <m/>
    <m/>
    <m/>
    <n v="6000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08"/>
    <n v="3516"/>
    <m/>
    <m/>
    <m/>
    <m/>
    <m/>
    <m/>
    <m/>
    <m/>
    <m/>
    <m/>
    <m/>
    <m/>
    <m/>
    <m/>
    <m/>
    <m/>
    <m/>
    <m/>
    <m/>
    <m/>
    <m/>
    <n v="90200"/>
    <n v="0"/>
    <n v="69144"/>
    <x v="0"/>
  </r>
  <r>
    <n v="1008"/>
    <s v="4.Plan de pagos"/>
    <m/>
    <m/>
    <m/>
    <m/>
    <m/>
    <m/>
    <m/>
    <m/>
    <m/>
    <m/>
    <m/>
    <m/>
    <m/>
    <n v="8000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501"/>
    <n v="4494"/>
    <m/>
    <m/>
    <m/>
    <m/>
    <m/>
    <m/>
    <m/>
    <m/>
    <m/>
    <m/>
    <m/>
    <m/>
    <m/>
    <m/>
    <m/>
    <m/>
    <m/>
    <m/>
    <m/>
    <m/>
    <m/>
    <n v="84510"/>
    <n v="0"/>
    <n v="57511"/>
    <x v="0"/>
  </r>
  <r>
    <n v="1009"/>
    <s v="4.Plan de pagos"/>
    <m/>
    <m/>
    <m/>
    <m/>
    <m/>
    <m/>
    <m/>
    <m/>
    <m/>
    <m/>
    <m/>
    <m/>
    <m/>
    <m/>
    <m/>
    <m/>
    <m/>
    <m/>
    <m/>
    <m/>
    <n v="10000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94"/>
    <n v="7886.48"/>
    <m/>
    <m/>
    <m/>
    <m/>
    <m/>
    <m/>
    <m/>
    <m/>
    <m/>
    <m/>
    <m/>
    <m/>
    <m/>
    <n v="152084.48000000001"/>
    <n v="0"/>
    <n v="41576"/>
    <x v="0"/>
  </r>
  <r>
    <n v="1010"/>
    <s v="4.Plan de pagos"/>
    <m/>
    <m/>
    <m/>
    <m/>
    <m/>
    <n v="6000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n v="3156"/>
    <m/>
    <m/>
    <m/>
    <m/>
    <m/>
    <m/>
    <m/>
    <m/>
    <m/>
    <m/>
    <m/>
    <m/>
    <m/>
    <m/>
    <m/>
    <m/>
    <m/>
    <m/>
    <m/>
    <m/>
    <m/>
    <n v="84900"/>
    <n v="0"/>
    <n v="65964"/>
    <x v="0"/>
  </r>
  <r>
    <n v="1011"/>
    <s v="4.Plan de pagos"/>
    <n v="600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525"/>
    <m/>
    <m/>
    <m/>
    <m/>
    <m/>
    <m/>
    <m/>
    <m/>
    <m/>
    <m/>
    <m/>
    <m/>
    <m/>
    <m/>
    <m/>
    <m/>
    <n v="113225"/>
    <n v="0"/>
    <n v="79200"/>
    <x v="0"/>
  </r>
  <r>
    <n v="1012"/>
    <s v="4.Plan de pagos"/>
    <m/>
    <m/>
    <m/>
    <m/>
    <m/>
    <m/>
    <m/>
    <m/>
    <n v="12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73"/>
    <n v="4062.67"/>
    <m/>
    <m/>
    <m/>
    <m/>
    <m/>
    <m/>
    <m/>
    <m/>
    <m/>
    <m/>
    <m/>
    <m/>
    <m/>
    <m/>
    <m/>
    <m/>
    <m/>
    <m/>
    <m/>
    <m/>
    <m/>
    <m/>
    <n v="97380"/>
    <n v="0"/>
    <n v="77066.410000000018"/>
    <x v="0"/>
  </r>
  <r>
    <n v="1013"/>
    <s v="4.Plan de pagos"/>
    <m/>
    <m/>
    <m/>
    <m/>
    <m/>
    <m/>
    <n v="6000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17"/>
    <n v="3509"/>
    <m/>
    <m/>
    <m/>
    <m/>
    <m/>
    <m/>
    <m/>
    <m/>
    <m/>
    <m/>
    <m/>
    <m/>
    <m/>
    <m/>
    <m/>
    <m/>
    <m/>
    <m/>
    <m/>
    <m/>
    <m/>
    <n v="90400"/>
    <n v="0"/>
    <n v="69306"/>
    <x v="0"/>
  </r>
  <r>
    <n v="1014"/>
    <s v="4.Plan de pagos"/>
    <m/>
    <m/>
    <m/>
    <n v="6000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52"/>
    <n v="3048"/>
    <m/>
    <m/>
    <m/>
    <m/>
    <m/>
    <m/>
    <m/>
    <m/>
    <m/>
    <m/>
    <m/>
    <m/>
    <m/>
    <m/>
    <m/>
    <m/>
    <m/>
    <m/>
    <m/>
    <m/>
    <m/>
    <n v="88400"/>
    <n v="0"/>
    <n v="70092"/>
    <x v="0"/>
  </r>
  <r>
    <n v="1015"/>
    <s v="4.Plan de pagos"/>
    <m/>
    <n v="6000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56"/>
    <m/>
    <m/>
    <m/>
    <m/>
    <m/>
    <m/>
    <m/>
    <m/>
    <m/>
    <m/>
    <m/>
    <m/>
    <m/>
    <m/>
    <m/>
    <m/>
    <m/>
    <m/>
    <m/>
    <m/>
    <m/>
    <n v="133360"/>
    <n v="0"/>
    <n v="107039"/>
    <x v="0"/>
  </r>
  <r>
    <n v="1016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3200"/>
    <m/>
    <m/>
    <m/>
    <m/>
    <m/>
    <m/>
    <m/>
    <m/>
    <m/>
    <m/>
    <m/>
    <m/>
    <m/>
    <m/>
    <m/>
    <m/>
    <m/>
    <m/>
    <m/>
    <m/>
    <m/>
    <n v="65200"/>
    <n v="0"/>
    <n v="52000"/>
    <x v="0"/>
  </r>
  <r>
    <n v="1017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4400"/>
    <m/>
    <m/>
    <m/>
    <m/>
    <m/>
    <m/>
    <m/>
    <m/>
    <m/>
    <m/>
    <m/>
    <m/>
    <m/>
    <m/>
    <m/>
    <m/>
    <m/>
    <m/>
    <m/>
    <m/>
    <m/>
    <n v="66400"/>
    <n v="0"/>
    <n v="52000"/>
    <x v="0"/>
  </r>
  <r>
    <n v="1018"/>
    <s v="4.Plan de pagos"/>
    <m/>
    <m/>
    <m/>
    <m/>
    <n v="69127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127.17"/>
    <n v="0"/>
    <n v="69127.17"/>
    <x v="0"/>
  </r>
  <r>
    <n v="1019"/>
    <s v="4.Plan de pagos"/>
    <m/>
    <n v="6000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21"/>
    <n v="5180.92"/>
    <m/>
    <m/>
    <m/>
    <m/>
    <m/>
    <m/>
    <m/>
    <m/>
    <m/>
    <m/>
    <m/>
    <m/>
    <m/>
    <m/>
    <m/>
    <m/>
    <m/>
    <m/>
    <m/>
    <m/>
    <m/>
    <n v="154568.92000000001"/>
    <n v="0"/>
    <n v="123783"/>
    <x v="0"/>
  </r>
  <r>
    <n v="1020"/>
    <s v="4.Plan de pagos"/>
    <m/>
    <m/>
    <m/>
    <m/>
    <m/>
    <m/>
    <m/>
    <m/>
    <m/>
    <m/>
    <m/>
    <m/>
    <m/>
    <m/>
    <m/>
    <m/>
    <m/>
    <m/>
    <m/>
    <m/>
    <n v="10000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3"/>
    <n v="6829.37"/>
    <m/>
    <m/>
    <m/>
    <m/>
    <m/>
    <m/>
    <m/>
    <m/>
    <m/>
    <m/>
    <m/>
    <m/>
    <m/>
    <m/>
    <n v="125997.37"/>
    <n v="0"/>
    <n v="37292"/>
    <x v="0"/>
  </r>
  <r>
    <n v="1101"/>
    <s v="4.Plan de pagos"/>
    <m/>
    <m/>
    <m/>
    <m/>
    <m/>
    <m/>
    <m/>
    <m/>
    <m/>
    <m/>
    <m/>
    <m/>
    <n v="8000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102"/>
    <m/>
    <m/>
    <m/>
    <m/>
    <m/>
    <m/>
    <m/>
    <m/>
    <m/>
    <m/>
    <m/>
    <m/>
    <m/>
    <m/>
    <m/>
    <m/>
    <m/>
    <m/>
    <m/>
    <m/>
    <m/>
    <n v="117700"/>
    <n v="0"/>
    <n v="81128"/>
    <x v="0"/>
  </r>
  <r>
    <n v="1102"/>
    <s v="4.Plan de pagos"/>
    <m/>
    <n v="6000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05"/>
    <m/>
    <m/>
    <m/>
    <m/>
    <m/>
    <m/>
    <m/>
    <m/>
    <m/>
    <m/>
    <m/>
    <m/>
    <m/>
    <m/>
    <m/>
    <m/>
    <n v="115300"/>
    <n v="0"/>
    <n v="79945"/>
    <x v="0"/>
  </r>
  <r>
    <n v="1103"/>
    <s v="4.Plan de pagos"/>
    <m/>
    <m/>
    <n v="6000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m/>
    <m/>
    <m/>
    <m/>
    <m/>
    <m/>
    <m/>
    <m/>
    <m/>
    <m/>
    <m/>
    <m/>
    <m/>
    <m/>
    <m/>
    <m/>
    <m/>
    <m/>
    <m/>
    <m/>
    <m/>
    <n v="180300"/>
    <n v="0"/>
    <n v="142950"/>
    <x v="0"/>
  </r>
  <r>
    <n v="1104"/>
    <s v="4.Plan de pagos"/>
    <m/>
    <m/>
    <m/>
    <m/>
    <m/>
    <m/>
    <m/>
    <m/>
    <m/>
    <m/>
    <m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46"/>
    <m/>
    <m/>
    <m/>
    <m/>
    <m/>
    <m/>
    <m/>
    <m/>
    <m/>
    <m/>
    <m/>
    <m/>
    <m/>
    <m/>
    <m/>
    <m/>
    <m/>
    <m/>
    <m/>
    <m/>
    <m/>
    <n v="88800"/>
    <n v="0"/>
    <n v="63289"/>
    <x v="0"/>
  </r>
  <r>
    <n v="1105"/>
    <s v="4.Plan de pagos"/>
    <n v="15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6892.7"/>
    <m/>
    <m/>
    <m/>
    <m/>
    <m/>
    <m/>
    <m/>
    <m/>
    <m/>
    <m/>
    <m/>
    <m/>
    <m/>
    <m/>
    <m/>
    <m/>
    <n v="65892.7"/>
    <n v="0"/>
    <n v="39000"/>
    <x v="0"/>
  </r>
  <r>
    <n v="1106"/>
    <s v="4.Plan de pagos"/>
    <m/>
    <n v="12000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8"/>
    <m/>
    <m/>
    <m/>
    <m/>
    <m/>
    <m/>
    <m/>
    <m/>
    <m/>
    <m/>
    <m/>
    <m/>
    <m/>
    <m/>
    <m/>
    <m/>
    <m/>
    <m/>
    <m/>
    <m/>
    <m/>
    <n v="66200"/>
    <n v="0"/>
    <n v="54987"/>
    <x v="0"/>
  </r>
  <r>
    <n v="1107"/>
    <s v="4.Plan de pagos"/>
    <m/>
    <m/>
    <m/>
    <m/>
    <m/>
    <n v="6000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501"/>
    <n v="2496"/>
    <m/>
    <m/>
    <m/>
    <m/>
    <m/>
    <m/>
    <m/>
    <m/>
    <m/>
    <m/>
    <m/>
    <m/>
    <m/>
    <m/>
    <m/>
    <m/>
    <m/>
    <m/>
    <m/>
    <m/>
    <m/>
    <n v="68520"/>
    <n v="0"/>
    <n v="53519"/>
    <x v="0"/>
  </r>
  <r>
    <n v="1108"/>
    <s v="4.Plan de pagos"/>
    <n v="6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2138.98"/>
    <m/>
    <m/>
    <m/>
    <m/>
    <m/>
    <m/>
    <m/>
    <m/>
    <m/>
    <m/>
    <m/>
    <m/>
    <m/>
    <m/>
    <m/>
    <m/>
    <n v="110138.98"/>
    <n v="0"/>
    <n v="78000"/>
    <x v="0"/>
  </r>
  <r>
    <n v="1109"/>
    <s v="4.Plan de pagos"/>
    <m/>
    <m/>
    <m/>
    <m/>
    <m/>
    <m/>
    <m/>
    <m/>
    <m/>
    <n v="5500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65.73"/>
    <m/>
    <m/>
    <m/>
    <m/>
    <m/>
    <m/>
    <m/>
    <m/>
    <m/>
    <m/>
    <m/>
    <m/>
    <m/>
    <m/>
    <m/>
    <m/>
    <m/>
    <m/>
    <m/>
    <m/>
    <m/>
    <n v="118285.73"/>
    <n v="0"/>
    <n v="86065"/>
    <x v="0"/>
  </r>
  <r>
    <n v="1110"/>
    <s v="4.Plan de pagos"/>
    <m/>
    <m/>
    <m/>
    <m/>
    <m/>
    <n v="6000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54"/>
    <n v="3942"/>
    <m/>
    <m/>
    <m/>
    <m/>
    <m/>
    <m/>
    <m/>
    <m/>
    <m/>
    <m/>
    <m/>
    <m/>
    <m/>
    <m/>
    <m/>
    <m/>
    <m/>
    <m/>
    <n v="116700"/>
    <n v="0"/>
    <n v="81126"/>
    <x v="0"/>
  </r>
  <r>
    <n v="1111"/>
    <s v="4.Plan de pagos"/>
    <m/>
    <m/>
    <m/>
    <m/>
    <m/>
    <m/>
    <m/>
    <m/>
    <m/>
    <m/>
    <m/>
    <n v="8000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3"/>
    <n v="5868.5"/>
    <m/>
    <m/>
    <m/>
    <m/>
    <m/>
    <m/>
    <m/>
    <m/>
    <m/>
    <m/>
    <m/>
    <m/>
    <m/>
    <m/>
    <m/>
    <m/>
    <m/>
    <m/>
    <m/>
    <m/>
    <m/>
    <n v="119402.5"/>
    <n v="0"/>
    <n v="84219"/>
    <x v="0"/>
  </r>
  <r>
    <n v="1112"/>
    <s v="4.Plan de pagos"/>
    <m/>
    <m/>
    <m/>
    <n v="75062.720000000001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9"/>
    <n v="22790.45"/>
    <m/>
    <m/>
    <m/>
    <m/>
    <m/>
    <m/>
    <m/>
    <m/>
    <m/>
    <m/>
    <m/>
    <m/>
    <m/>
    <m/>
    <m/>
    <m/>
    <m/>
    <m/>
    <m/>
    <m/>
    <m/>
    <n v="690627.16999999993"/>
    <n v="0"/>
    <n v="553841.72"/>
    <x v="0"/>
  </r>
  <r>
    <n v="1113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639"/>
    <m/>
    <m/>
    <m/>
    <m/>
    <m/>
    <m/>
    <m/>
    <m/>
    <m/>
    <m/>
    <m/>
    <m/>
    <m/>
    <m/>
    <m/>
    <m/>
    <m/>
    <m/>
    <m/>
    <m/>
    <m/>
    <n v="64639"/>
    <n v="0"/>
    <n v="52000"/>
    <x v="0"/>
  </r>
  <r>
    <n v="1114"/>
    <s v="4.Plan de pagos"/>
    <m/>
    <m/>
    <m/>
    <m/>
    <m/>
    <m/>
    <m/>
    <m/>
    <m/>
    <m/>
    <m/>
    <m/>
    <n v="8000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74.52"/>
    <m/>
    <m/>
    <m/>
    <m/>
    <m/>
    <m/>
    <m/>
    <m/>
    <m/>
    <m/>
    <m/>
    <m/>
    <m/>
    <m/>
    <m/>
    <m/>
    <m/>
    <m/>
    <n v="85354.52"/>
    <n v="7368"/>
    <n v="52208"/>
    <x v="0"/>
  </r>
  <r>
    <n v="1115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8025"/>
    <n v="8025"/>
    <n v="8025"/>
    <n v="8025"/>
    <n v="8025"/>
    <n v="8025"/>
    <n v="8025"/>
    <n v="8025"/>
    <n v="8025"/>
    <n v="8025"/>
    <n v="8025"/>
    <n v="8025"/>
    <n v="8030.2"/>
    <m/>
    <m/>
    <m/>
    <m/>
    <m/>
    <m/>
    <m/>
    <m/>
    <m/>
    <m/>
    <m/>
    <m/>
    <m/>
    <n v="114330.2"/>
    <n v="67.179522898994037"/>
    <n v="0"/>
    <x v="0"/>
  </r>
  <r>
    <n v="1116"/>
    <s v="4.Plan de pagos"/>
    <m/>
    <m/>
    <m/>
    <m/>
    <m/>
    <m/>
    <m/>
    <m/>
    <m/>
    <m/>
    <m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46"/>
    <m/>
    <m/>
    <m/>
    <m/>
    <m/>
    <m/>
    <m/>
    <m/>
    <m/>
    <m/>
    <m/>
    <m/>
    <m/>
    <m/>
    <m/>
    <m/>
    <m/>
    <m/>
    <m/>
    <m/>
    <m/>
    <n v="88800"/>
    <n v="0"/>
    <n v="63289"/>
    <x v="0"/>
  </r>
  <r>
    <n v="1117"/>
    <s v="4.Plan de pagos"/>
    <m/>
    <m/>
    <m/>
    <m/>
    <m/>
    <m/>
    <m/>
    <m/>
    <m/>
    <n v="5500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4.22"/>
    <m/>
    <m/>
    <m/>
    <m/>
    <m/>
    <m/>
    <m/>
    <m/>
    <m/>
    <m/>
    <m/>
    <m/>
    <m/>
    <m/>
    <m/>
    <m/>
    <m/>
    <m/>
    <m/>
    <m/>
    <m/>
    <n v="116634.22"/>
    <n v="0"/>
    <n v="84880"/>
    <x v="0"/>
  </r>
  <r>
    <n v="1118"/>
    <s v="4.Plan de pagos"/>
    <m/>
    <m/>
    <m/>
    <m/>
    <m/>
    <m/>
    <m/>
    <m/>
    <m/>
    <m/>
    <m/>
    <m/>
    <m/>
    <m/>
    <m/>
    <n v="10000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6006"/>
    <n v="5998"/>
    <m/>
    <m/>
    <m/>
    <m/>
    <m/>
    <m/>
    <m/>
    <m/>
    <m/>
    <m/>
    <m/>
    <m/>
    <m/>
    <m/>
    <m/>
    <m/>
    <m/>
    <m/>
    <n v="118100"/>
    <n v="0"/>
    <n v="64054"/>
    <x v="0"/>
  </r>
  <r>
    <n v="1201"/>
    <s v="4.Plan de pagos"/>
    <m/>
    <m/>
    <m/>
    <m/>
    <m/>
    <m/>
    <m/>
    <m/>
    <m/>
    <m/>
    <m/>
    <m/>
    <m/>
    <m/>
    <m/>
    <n v="10000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3"/>
    <m/>
    <m/>
    <m/>
    <m/>
    <m/>
    <m/>
    <m/>
    <m/>
    <m/>
    <m/>
    <m/>
    <m/>
    <m/>
    <m/>
    <m/>
    <m/>
    <m/>
    <m/>
    <n v="125400"/>
    <n v="0"/>
    <n v="67699"/>
    <x v="0"/>
  </r>
  <r>
    <n v="1202"/>
    <s v="4.Plan de pagos"/>
    <m/>
    <m/>
    <m/>
    <m/>
    <m/>
    <m/>
    <m/>
    <m/>
    <m/>
    <m/>
    <m/>
    <n v="8000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4"/>
    <m/>
    <m/>
    <m/>
    <m/>
    <m/>
    <m/>
    <m/>
    <m/>
    <m/>
    <m/>
    <m/>
    <m/>
    <m/>
    <m/>
    <m/>
    <m/>
    <m/>
    <m/>
    <m/>
    <m/>
    <m/>
    <n v="126600"/>
    <n v="0"/>
    <n v="89146"/>
    <x v="0"/>
  </r>
  <r>
    <n v="1203"/>
    <s v="4.Plan de pagos"/>
    <m/>
    <m/>
    <m/>
    <m/>
    <m/>
    <n v="6000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m/>
    <m/>
    <m/>
    <m/>
    <m/>
    <m/>
    <m/>
    <m/>
    <m/>
    <m/>
    <m/>
    <m/>
    <m/>
    <m/>
    <m/>
    <m/>
    <m/>
    <m/>
    <m/>
    <m/>
    <m/>
    <n v="90200"/>
    <n v="0"/>
    <n v="69992"/>
    <x v="0"/>
  </r>
  <r>
    <n v="1204"/>
    <s v="4.Plan de pagos"/>
    <m/>
    <m/>
    <m/>
    <m/>
    <m/>
    <m/>
    <m/>
    <m/>
    <m/>
    <m/>
    <m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46"/>
    <m/>
    <m/>
    <m/>
    <m/>
    <m/>
    <m/>
    <m/>
    <m/>
    <m/>
    <m/>
    <m/>
    <m/>
    <m/>
    <m/>
    <m/>
    <m/>
    <m/>
    <m/>
    <m/>
    <m/>
    <m/>
    <n v="88800"/>
    <n v="0"/>
    <n v="63289"/>
    <x v="0"/>
  </r>
  <r>
    <n v="1205"/>
    <s v="4.Plan de pagos"/>
    <n v="6000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26"/>
    <n v="1716"/>
    <m/>
    <m/>
    <m/>
    <m/>
    <m/>
    <m/>
    <m/>
    <m/>
    <m/>
    <m/>
    <m/>
    <m/>
    <m/>
    <m/>
    <m/>
    <m/>
    <n v="66400"/>
    <n v="0"/>
    <n v="47424"/>
    <x v="0"/>
  </r>
  <r>
    <n v="1206"/>
    <s v="4.Plan de pagos"/>
    <m/>
    <m/>
    <n v="6000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60.4899999999998"/>
    <m/>
    <m/>
    <m/>
    <m/>
    <m/>
    <m/>
    <m/>
    <m/>
    <m/>
    <m/>
    <m/>
    <m/>
    <m/>
    <m/>
    <m/>
    <m/>
    <m/>
    <m/>
    <m/>
    <m/>
    <m/>
    <n v="69118.490000000005"/>
    <n v="0"/>
    <n v="55588"/>
    <x v="0"/>
  </r>
  <r>
    <n v="1207"/>
    <s v="4.Plan de pagos"/>
    <n v="60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0932"/>
    <m/>
    <m/>
    <m/>
    <m/>
    <m/>
    <m/>
    <m/>
    <m/>
    <m/>
    <m/>
    <m/>
    <m/>
    <m/>
    <m/>
    <m/>
    <m/>
    <n v="67932"/>
    <n v="0"/>
    <n v="42000"/>
    <x v="0"/>
  </r>
  <r>
    <n v="1208"/>
    <s v="4.Plan de pagos"/>
    <m/>
    <n v="6000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8"/>
    <m/>
    <m/>
    <m/>
    <m/>
    <m/>
    <m/>
    <m/>
    <m/>
    <m/>
    <m/>
    <m/>
    <m/>
    <m/>
    <m/>
    <m/>
    <m/>
    <m/>
    <m/>
    <m/>
    <m/>
    <m/>
    <n v="111100"/>
    <n v="0"/>
    <n v="89352"/>
    <x v="0"/>
  </r>
  <r>
    <n v="1209"/>
    <s v="4.Plan de pagos"/>
    <n v="6000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3002"/>
    <m/>
    <m/>
    <m/>
    <m/>
    <m/>
    <m/>
    <m/>
    <m/>
    <m/>
    <m/>
    <m/>
    <m/>
    <m/>
    <m/>
    <m/>
    <m/>
    <n v="110900"/>
    <n v="0"/>
    <n v="77928"/>
    <x v="0"/>
  </r>
  <r>
    <n v="1210"/>
    <s v="4.Plan de pagos"/>
    <m/>
    <n v="6000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4"/>
    <n v="3628"/>
    <m/>
    <m/>
    <m/>
    <m/>
    <m/>
    <m/>
    <m/>
    <m/>
    <m/>
    <m/>
    <m/>
    <m/>
    <m/>
    <m/>
    <m/>
    <m/>
    <m/>
    <m/>
    <m/>
    <m/>
    <m/>
    <n v="111100"/>
    <n v="0"/>
    <n v="89352"/>
    <x v="0"/>
  </r>
  <r>
    <n v="1211"/>
    <s v="4.Plan de pagos"/>
    <m/>
    <m/>
    <m/>
    <m/>
    <m/>
    <m/>
    <m/>
    <m/>
    <n v="5500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77"/>
    <n v="5185.5"/>
    <m/>
    <m/>
    <m/>
    <m/>
    <m/>
    <m/>
    <m/>
    <m/>
    <m/>
    <m/>
    <m/>
    <m/>
    <m/>
    <m/>
    <m/>
    <m/>
    <m/>
    <m/>
    <m/>
    <m/>
    <m/>
    <n v="119402.5"/>
    <n v="0"/>
    <n v="88332"/>
    <x v="0"/>
  </r>
  <r>
    <n v="1212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4700"/>
    <m/>
    <m/>
    <m/>
    <m/>
    <m/>
    <m/>
    <m/>
    <m/>
    <m/>
    <m/>
    <m/>
    <m/>
    <m/>
    <m/>
    <m/>
    <m/>
    <m/>
    <m/>
    <m/>
    <m/>
    <m/>
    <n v="66700"/>
    <n v="0"/>
    <n v="52000"/>
    <x v="0"/>
  </r>
  <r>
    <n v="1213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639"/>
    <m/>
    <m/>
    <m/>
    <m/>
    <m/>
    <m/>
    <m/>
    <m/>
    <m/>
    <m/>
    <m/>
    <m/>
    <m/>
    <m/>
    <m/>
    <m/>
    <m/>
    <m/>
    <m/>
    <m/>
    <m/>
    <n v="64639"/>
    <n v="0"/>
    <n v="52000"/>
    <x v="0"/>
  </r>
  <r>
    <n v="1214"/>
    <s v="4.Plan de pagos"/>
    <m/>
    <m/>
    <m/>
    <n v="6000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93"/>
    <n v="2682"/>
    <m/>
    <m/>
    <m/>
    <m/>
    <m/>
    <m/>
    <m/>
    <m/>
    <m/>
    <m/>
    <m/>
    <m/>
    <m/>
    <m/>
    <m/>
    <m/>
    <m/>
    <m/>
    <m/>
    <m/>
    <m/>
    <n v="78700"/>
    <n v="0"/>
    <n v="62553"/>
    <x v="0"/>
  </r>
  <r>
    <n v="1215"/>
    <s v="4.Plan de pagos"/>
    <m/>
    <n v="6000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55"/>
    <n v="2760"/>
    <m/>
    <m/>
    <m/>
    <m/>
    <m/>
    <m/>
    <m/>
    <m/>
    <m/>
    <m/>
    <m/>
    <m/>
    <m/>
    <m/>
    <m/>
    <m/>
    <m/>
    <m/>
    <m/>
    <m/>
    <m/>
    <n v="85900"/>
    <n v="0"/>
    <n v="69365"/>
    <x v="0"/>
  </r>
  <r>
    <n v="1216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n v="519578.08"/>
    <n v="32100"/>
    <n v="32100"/>
    <n v="32100"/>
    <n v="32100"/>
    <n v="32100"/>
    <n v="32100"/>
    <n v="32100"/>
    <n v="32100"/>
    <n v="32100"/>
    <n v="32100"/>
    <n v="208578.07"/>
    <m/>
    <m/>
    <m/>
    <m/>
    <m/>
    <m/>
    <m/>
    <m/>
    <m/>
    <m/>
    <m/>
    <m/>
    <n v="1049156.1500000001"/>
    <n v="936529.96804400813"/>
    <n v="0"/>
    <x v="0"/>
  </r>
  <r>
    <n v="1217"/>
    <s v="4.Plan de pagos"/>
    <m/>
    <m/>
    <m/>
    <m/>
    <m/>
    <m/>
    <m/>
    <m/>
    <m/>
    <m/>
    <m/>
    <m/>
    <m/>
    <n v="8000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6"/>
    <n v="6904"/>
    <m/>
    <m/>
    <m/>
    <m/>
    <m/>
    <m/>
    <m/>
    <m/>
    <m/>
    <m/>
    <m/>
    <m/>
    <m/>
    <m/>
    <m/>
    <m/>
    <m/>
    <m/>
    <m/>
    <m/>
    <m/>
    <n v="125400"/>
    <n v="0"/>
    <n v="83966"/>
    <x v="0"/>
  </r>
  <r>
    <n v="1218"/>
    <s v="2. Reserva"/>
    <m/>
    <m/>
    <m/>
    <m/>
    <m/>
    <m/>
    <m/>
    <m/>
    <m/>
    <m/>
    <m/>
    <m/>
    <m/>
    <m/>
    <m/>
    <m/>
    <m/>
    <m/>
    <m/>
    <m/>
    <n v="1000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50"/>
    <n v="6942.55"/>
    <m/>
    <m/>
    <m/>
    <m/>
    <m/>
    <m/>
    <m/>
    <m/>
    <m/>
    <m/>
    <m/>
    <m/>
    <m/>
    <n v="135092.54999999999"/>
    <n v="0"/>
    <n v="37800"/>
    <x v="0"/>
  </r>
  <r>
    <n v="1301"/>
    <s v="4.Plan de pagos"/>
    <m/>
    <m/>
    <m/>
    <m/>
    <m/>
    <m/>
    <m/>
    <m/>
    <m/>
    <m/>
    <m/>
    <m/>
    <m/>
    <m/>
    <m/>
    <n v="10000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1"/>
    <n v="6413"/>
    <m/>
    <m/>
    <m/>
    <m/>
    <m/>
    <m/>
    <m/>
    <m/>
    <m/>
    <m/>
    <m/>
    <m/>
    <m/>
    <m/>
    <m/>
    <m/>
    <m/>
    <m/>
    <n v="125400"/>
    <n v="0"/>
    <n v="67699"/>
    <x v="0"/>
  </r>
  <r>
    <n v="1302"/>
    <s v="4.Plan de pagos"/>
    <m/>
    <m/>
    <m/>
    <m/>
    <m/>
    <m/>
    <m/>
    <m/>
    <m/>
    <m/>
    <m/>
    <m/>
    <m/>
    <m/>
    <m/>
    <m/>
    <m/>
    <m/>
    <m/>
    <m/>
    <n v="10000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1"/>
    <n v="6958.53"/>
    <m/>
    <m/>
    <m/>
    <m/>
    <m/>
    <m/>
    <m/>
    <m/>
    <m/>
    <m/>
    <m/>
    <m/>
    <m/>
    <n v="135125.53"/>
    <n v="0"/>
    <n v="37804"/>
    <x v="0"/>
  </r>
  <r>
    <n v="1303"/>
    <s v="4.Plan de pagos"/>
    <m/>
    <m/>
    <m/>
    <m/>
    <m/>
    <n v="6000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m/>
    <m/>
    <m/>
    <m/>
    <m/>
    <m/>
    <m/>
    <m/>
    <m/>
    <m/>
    <m/>
    <m/>
    <m/>
    <m/>
    <m/>
    <m/>
    <m/>
    <m/>
    <m/>
    <m/>
    <m/>
    <n v="90200"/>
    <n v="0"/>
    <n v="69992"/>
    <x v="0"/>
  </r>
  <r>
    <n v="1304"/>
    <s v="4.Plan de pagos"/>
    <m/>
    <m/>
    <m/>
    <m/>
    <m/>
    <m/>
    <m/>
    <n v="4000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1"/>
    <n v="3659.06"/>
    <m/>
    <m/>
    <m/>
    <m/>
    <m/>
    <m/>
    <m/>
    <m/>
    <m/>
    <m/>
    <m/>
    <m/>
    <m/>
    <m/>
    <m/>
    <m/>
    <m/>
    <m/>
    <m/>
    <m/>
    <m/>
    <n v="87981.06"/>
    <n v="0"/>
    <n v="66067"/>
    <x v="0"/>
  </r>
  <r>
    <n v="1305"/>
    <s v="2. Reserva"/>
    <m/>
    <m/>
    <m/>
    <m/>
    <m/>
    <m/>
    <m/>
    <m/>
    <m/>
    <m/>
    <m/>
    <m/>
    <m/>
    <m/>
    <m/>
    <m/>
    <m/>
    <m/>
    <m/>
    <m/>
    <m/>
    <m/>
    <m/>
    <m/>
    <m/>
    <m/>
    <n v="10000"/>
    <n v="4700"/>
    <n v="4700"/>
    <n v="4700"/>
    <n v="4700"/>
    <n v="4700"/>
    <n v="4700"/>
    <n v="4700"/>
    <n v="4700"/>
    <n v="4700"/>
    <n v="4700"/>
    <n v="4700"/>
    <n v="4700"/>
    <m/>
    <m/>
    <m/>
    <m/>
    <m/>
    <m/>
    <m/>
    <m/>
    <m/>
    <m/>
    <m/>
    <m/>
    <m/>
    <n v="66400"/>
    <n v="0"/>
    <n v="0"/>
    <x v="0"/>
  </r>
  <r>
    <n v="1306"/>
    <s v="4.Plan de pagos"/>
    <m/>
    <m/>
    <n v="600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3050"/>
    <m/>
    <m/>
    <m/>
    <m/>
    <m/>
    <m/>
    <m/>
    <m/>
    <m/>
    <m/>
    <m/>
    <m/>
    <m/>
    <m/>
    <m/>
    <m/>
    <m/>
    <m/>
    <m/>
    <m/>
    <m/>
    <n v="69800"/>
    <n v="0"/>
    <n v="55500"/>
    <x v="0"/>
  </r>
  <r>
    <n v="1307"/>
    <s v="4.Plan de pagos"/>
    <m/>
    <m/>
    <m/>
    <m/>
    <m/>
    <m/>
    <m/>
    <n v="6000"/>
    <n v="2800"/>
    <n v="40000"/>
    <m/>
    <m/>
    <m/>
    <m/>
    <m/>
    <m/>
    <m/>
    <m/>
    <m/>
    <m/>
    <m/>
    <n v="19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932"/>
    <n v="0"/>
    <n v="67932"/>
    <x v="0"/>
  </r>
  <r>
    <n v="1308"/>
    <s v="4.Plan de pagos"/>
    <m/>
    <m/>
    <m/>
    <m/>
    <m/>
    <m/>
    <m/>
    <n v="80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800"/>
    <n v="4793"/>
    <m/>
    <m/>
    <m/>
    <m/>
    <m/>
    <m/>
    <m/>
    <m/>
    <m/>
    <m/>
    <m/>
    <m/>
    <m/>
    <m/>
    <m/>
    <m/>
    <m/>
    <m/>
    <m/>
    <m/>
    <m/>
    <n v="118393"/>
    <n v="0"/>
    <n v="89600"/>
    <x v="0"/>
  </r>
  <r>
    <n v="1309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2227.76356653598"/>
    <n v="0"/>
    <x v="0"/>
  </r>
  <r>
    <n v="1310"/>
    <s v="4.Plan de pagos"/>
    <n v="6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100"/>
    <m/>
    <m/>
    <m/>
    <m/>
    <m/>
    <m/>
    <m/>
    <m/>
    <m/>
    <m/>
    <m/>
    <m/>
    <m/>
    <m/>
    <m/>
    <m/>
    <n v="111100"/>
    <n v="0"/>
    <n v="78000"/>
    <x v="0"/>
  </r>
  <r>
    <n v="1311"/>
    <s v="4.Plan de pagos"/>
    <m/>
    <m/>
    <m/>
    <m/>
    <m/>
    <m/>
    <m/>
    <n v="8000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96"/>
    <n v="4089"/>
    <m/>
    <m/>
    <m/>
    <m/>
    <m/>
    <m/>
    <m/>
    <m/>
    <m/>
    <m/>
    <m/>
    <m/>
    <m/>
    <m/>
    <m/>
    <m/>
    <m/>
    <m/>
    <m/>
    <m/>
    <m/>
    <n v="102201"/>
    <n v="0"/>
    <n v="77632"/>
    <x v="0"/>
  </r>
  <r>
    <n v="1312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4700"/>
    <m/>
    <m/>
    <m/>
    <m/>
    <m/>
    <m/>
    <m/>
    <m/>
    <m/>
    <m/>
    <m/>
    <m/>
    <m/>
    <m/>
    <m/>
    <m/>
    <m/>
    <m/>
    <m/>
    <m/>
    <m/>
    <n v="66700"/>
    <n v="0"/>
    <n v="52000"/>
    <x v="0"/>
  </r>
  <r>
    <n v="1313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639"/>
    <m/>
    <m/>
    <m/>
    <m/>
    <m/>
    <m/>
    <m/>
    <m/>
    <m/>
    <m/>
    <m/>
    <m/>
    <m/>
    <m/>
    <m/>
    <m/>
    <m/>
    <m/>
    <m/>
    <m/>
    <m/>
    <n v="64639"/>
    <n v="0"/>
    <n v="52000"/>
    <x v="0"/>
  </r>
  <r>
    <n v="1314"/>
    <s v="4.Plan de pagos"/>
    <n v="60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21400"/>
    <m/>
    <m/>
    <m/>
    <m/>
    <m/>
    <m/>
    <m/>
    <m/>
    <m/>
    <m/>
    <m/>
    <m/>
    <m/>
    <m/>
    <m/>
    <m/>
    <n v="71600"/>
    <n v="0"/>
    <n v="37200"/>
    <x v="0"/>
  </r>
  <r>
    <n v="1315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n v="536136.99"/>
    <n v="32100"/>
    <n v="32100"/>
    <n v="32100"/>
    <n v="32100"/>
    <n v="32100"/>
    <n v="32100"/>
    <n v="32100"/>
    <n v="32100"/>
    <n v="32100"/>
    <n v="32100"/>
    <n v="215137"/>
    <m/>
    <m/>
    <m/>
    <m/>
    <m/>
    <m/>
    <m/>
    <m/>
    <m/>
    <m/>
    <m/>
    <m/>
    <n v="1072273.99"/>
    <n v="965052.12017236603"/>
    <n v="0"/>
    <x v="0"/>
  </r>
  <r>
    <n v="1316"/>
    <s v="4.Plan de pagos"/>
    <m/>
    <m/>
    <m/>
    <m/>
    <m/>
    <m/>
    <m/>
    <m/>
    <n v="8000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36"/>
    <n v="3625.06"/>
    <m/>
    <m/>
    <m/>
    <m/>
    <m/>
    <m/>
    <m/>
    <m/>
    <m/>
    <m/>
    <m/>
    <m/>
    <m/>
    <m/>
    <m/>
    <m/>
    <m/>
    <m/>
    <m/>
    <m/>
    <m/>
    <n v="87981.06"/>
    <n v="0"/>
    <n v="66176"/>
    <x v="0"/>
  </r>
  <r>
    <n v="1317"/>
    <s v="4.Plan de pagos"/>
    <m/>
    <m/>
    <m/>
    <m/>
    <m/>
    <m/>
    <m/>
    <m/>
    <m/>
    <m/>
    <m/>
    <m/>
    <m/>
    <m/>
    <m/>
    <m/>
    <m/>
    <n v="10000"/>
    <n v="7605"/>
    <n v="7605"/>
    <n v="7605"/>
    <n v="7605"/>
    <n v="7605"/>
    <n v="7605"/>
    <n v="7605"/>
    <n v="7605"/>
    <n v="7605"/>
    <n v="7605"/>
    <n v="7605"/>
    <n v="7605"/>
    <n v="7605"/>
    <n v="7605"/>
    <n v="7605"/>
    <n v="7610"/>
    <m/>
    <m/>
    <m/>
    <m/>
    <m/>
    <m/>
    <m/>
    <m/>
    <m/>
    <m/>
    <m/>
    <m/>
    <m/>
    <m/>
    <m/>
    <m/>
    <m/>
    <m/>
    <n v="131685"/>
    <n v="0"/>
    <n v="63235"/>
    <x v="0"/>
  </r>
  <r>
    <n v="131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5125.53"/>
    <n v="0"/>
    <x v="0"/>
  </r>
  <r>
    <n v="1401"/>
    <s v="4.Plan de pagos"/>
    <m/>
    <m/>
    <m/>
    <m/>
    <m/>
    <n v="6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6300"/>
    <m/>
    <m/>
    <m/>
    <m/>
    <m/>
    <m/>
    <m/>
    <m/>
    <m/>
    <m/>
    <m/>
    <m/>
    <m/>
    <m/>
    <m/>
    <m/>
    <m/>
    <m/>
    <m/>
    <m/>
    <m/>
    <m/>
    <m/>
    <m/>
    <n v="117300"/>
    <n v="0"/>
    <n v="101000"/>
    <x v="0"/>
  </r>
  <r>
    <n v="1402"/>
    <s v="4.Plan de pagos"/>
    <m/>
    <m/>
    <m/>
    <m/>
    <m/>
    <m/>
    <m/>
    <m/>
    <m/>
    <m/>
    <m/>
    <m/>
    <m/>
    <m/>
    <m/>
    <m/>
    <m/>
    <m/>
    <m/>
    <n v="10000"/>
    <n v="8230"/>
    <n v="8230"/>
    <n v="8230"/>
    <n v="8230"/>
    <n v="8230"/>
    <n v="8230"/>
    <n v="8230"/>
    <n v="8230"/>
    <n v="8230"/>
    <n v="8230"/>
    <n v="8230"/>
    <n v="8230"/>
    <n v="8230"/>
    <n v="8230"/>
    <m/>
    <m/>
    <m/>
    <m/>
    <m/>
    <m/>
    <m/>
    <m/>
    <m/>
    <m/>
    <m/>
    <m/>
    <m/>
    <m/>
    <m/>
    <m/>
    <m/>
    <m/>
    <n v="125220"/>
    <n v="18"/>
    <n v="51150"/>
    <x v="0"/>
  </r>
  <r>
    <n v="1403"/>
    <s v="4.Plan de pagos"/>
    <n v="6000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66"/>
    <n v="2283.54"/>
    <m/>
    <m/>
    <m/>
    <m/>
    <m/>
    <m/>
    <m/>
    <m/>
    <m/>
    <m/>
    <m/>
    <m/>
    <m/>
    <m/>
    <m/>
    <m/>
    <n v="85327.54"/>
    <n v="0"/>
    <n v="60384"/>
    <x v="0"/>
  </r>
  <r>
    <n v="1404"/>
    <s v="4.Plan de pagos"/>
    <n v="60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6071"/>
    <n v="6100"/>
    <m/>
    <m/>
    <m/>
    <m/>
    <m/>
    <m/>
    <m/>
    <m/>
    <m/>
    <m/>
    <m/>
    <m/>
    <m/>
    <m/>
    <m/>
    <m/>
    <n v="169971"/>
    <n v="0"/>
    <n v="116400"/>
    <x v="0"/>
  </r>
  <r>
    <n v="1405"/>
    <s v="4.Plan de pagos"/>
    <m/>
    <n v="6000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88"/>
    <m/>
    <m/>
    <m/>
    <m/>
    <m/>
    <m/>
    <m/>
    <m/>
    <m/>
    <m/>
    <m/>
    <m/>
    <m/>
    <m/>
    <m/>
    <m/>
    <m/>
    <m/>
    <m/>
    <m/>
    <m/>
    <n v="130100"/>
    <n v="0"/>
    <n v="104417"/>
    <x v="0"/>
  </r>
  <r>
    <n v="1406"/>
    <s v="4.Plan de pagos"/>
    <n v="600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740"/>
    <m/>
    <m/>
    <m/>
    <m/>
    <m/>
    <m/>
    <m/>
    <m/>
    <m/>
    <m/>
    <m/>
    <m/>
    <m/>
    <m/>
    <m/>
    <m/>
    <n v="65200"/>
    <n v="0"/>
    <n v="46560"/>
    <x v="0"/>
  </r>
  <r>
    <n v="1407"/>
    <s v="4.Plan de pagos"/>
    <m/>
    <m/>
    <m/>
    <m/>
    <m/>
    <n v="6000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56"/>
    <n v="4066"/>
    <m/>
    <m/>
    <m/>
    <m/>
    <m/>
    <m/>
    <m/>
    <m/>
    <m/>
    <m/>
    <m/>
    <m/>
    <m/>
    <m/>
    <m/>
    <m/>
    <m/>
    <m/>
    <m/>
    <m/>
    <m/>
    <n v="107410"/>
    <n v="0"/>
    <n v="83064"/>
    <x v="0"/>
  </r>
  <r>
    <n v="140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33158.94869894901"/>
    <n v="0"/>
    <x v="0"/>
  </r>
  <r>
    <n v="1409"/>
    <s v="4.Plan de pagos"/>
    <m/>
    <m/>
    <m/>
    <m/>
    <m/>
    <n v="6000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94"/>
    <n v="3184"/>
    <m/>
    <m/>
    <m/>
    <m/>
    <m/>
    <m/>
    <m/>
    <m/>
    <m/>
    <m/>
    <m/>
    <m/>
    <m/>
    <m/>
    <m/>
    <m/>
    <m/>
    <m/>
    <m/>
    <m/>
    <m/>
    <n v="85840"/>
    <n v="0"/>
    <n v="66686"/>
    <x v="0"/>
  </r>
  <r>
    <n v="1410"/>
    <s v="4.Plan de pagos"/>
    <m/>
    <m/>
    <m/>
    <m/>
    <m/>
    <m/>
    <m/>
    <m/>
    <m/>
    <m/>
    <m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46"/>
    <m/>
    <m/>
    <m/>
    <m/>
    <m/>
    <m/>
    <m/>
    <m/>
    <m/>
    <m/>
    <m/>
    <m/>
    <m/>
    <m/>
    <m/>
    <m/>
    <m/>
    <m/>
    <m/>
    <m/>
    <m/>
    <n v="88800"/>
    <n v="0"/>
    <n v="63289"/>
    <x v="0"/>
  </r>
  <r>
    <n v="1411"/>
    <s v="4.Plan de pagos"/>
    <m/>
    <m/>
    <m/>
    <n v="60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n v="4900"/>
    <m/>
    <m/>
    <m/>
    <m/>
    <m/>
    <m/>
    <m/>
    <m/>
    <m/>
    <m/>
    <m/>
    <m/>
    <m/>
    <m/>
    <m/>
    <m/>
    <m/>
    <m/>
    <m/>
    <m/>
    <m/>
    <n v="138300"/>
    <n v="0"/>
    <n v="108900"/>
    <x v="0"/>
  </r>
  <r>
    <n v="1412"/>
    <s v="4.Plan de pagos"/>
    <m/>
    <n v="600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2450"/>
    <m/>
    <m/>
    <m/>
    <m/>
    <m/>
    <m/>
    <m/>
    <m/>
    <m/>
    <m/>
    <m/>
    <m/>
    <m/>
    <m/>
    <m/>
    <m/>
    <n v="66200"/>
    <n v="0"/>
    <n v="46250"/>
    <x v="0"/>
  </r>
  <r>
    <n v="1501"/>
    <s v="2. Reserva"/>
    <m/>
    <m/>
    <m/>
    <m/>
    <m/>
    <m/>
    <m/>
    <m/>
    <m/>
    <m/>
    <m/>
    <m/>
    <m/>
    <m/>
    <m/>
    <m/>
    <m/>
    <m/>
    <m/>
    <m/>
    <m/>
    <m/>
    <m/>
    <m/>
    <m/>
    <n v="10000"/>
    <n v="10396"/>
    <n v="10396"/>
    <n v="10396"/>
    <n v="10396"/>
    <n v="10396"/>
    <n v="10396"/>
    <n v="10396"/>
    <n v="10396"/>
    <n v="10396"/>
    <n v="10396"/>
    <n v="10396"/>
    <n v="10396"/>
    <n v="10396"/>
    <m/>
    <m/>
    <m/>
    <m/>
    <m/>
    <m/>
    <m/>
    <m/>
    <m/>
    <m/>
    <m/>
    <m/>
    <m/>
    <n v="145148"/>
    <n v="21948"/>
    <n v="0"/>
    <x v="0"/>
  </r>
  <r>
    <n v="1502"/>
    <s v="4.Plan de pagos"/>
    <m/>
    <m/>
    <m/>
    <m/>
    <m/>
    <m/>
    <m/>
    <m/>
    <m/>
    <m/>
    <m/>
    <m/>
    <m/>
    <m/>
    <m/>
    <m/>
    <m/>
    <m/>
    <m/>
    <n v="10000"/>
    <n v="8690"/>
    <n v="8690"/>
    <n v="8690"/>
    <n v="8690"/>
    <n v="8690"/>
    <n v="8690"/>
    <n v="8690"/>
    <n v="8690"/>
    <n v="8690"/>
    <n v="8690"/>
    <n v="8690"/>
    <n v="8690"/>
    <n v="8690"/>
    <n v="8690"/>
    <m/>
    <m/>
    <m/>
    <m/>
    <m/>
    <m/>
    <m/>
    <m/>
    <m/>
    <m/>
    <m/>
    <m/>
    <m/>
    <m/>
    <m/>
    <m/>
    <m/>
    <m/>
    <n v="131660"/>
    <n v="0"/>
    <n v="53450"/>
    <x v="0"/>
  </r>
  <r>
    <n v="1503"/>
    <s v="4.Plan de pagos"/>
    <n v="6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33396.720000000001"/>
    <n v="12830.82"/>
    <m/>
    <m/>
    <m/>
    <m/>
    <m/>
    <m/>
    <m/>
    <m/>
    <m/>
    <m/>
    <m/>
    <m/>
    <m/>
    <m/>
    <m/>
    <m/>
    <n v="85227.540000000008"/>
    <n v="0"/>
    <n v="30000"/>
    <x v="0"/>
  </r>
  <r>
    <n v="1504"/>
    <s v="4.Plan de pagos"/>
    <m/>
    <m/>
    <n v="6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55800"/>
    <m/>
    <m/>
    <m/>
    <m/>
    <m/>
    <m/>
    <m/>
    <m/>
    <m/>
    <m/>
    <m/>
    <m/>
    <m/>
    <m/>
    <m/>
    <m/>
    <m/>
    <m/>
    <m/>
    <m/>
    <m/>
    <n v="88800"/>
    <n v="0"/>
    <n v="28000"/>
    <x v="0"/>
  </r>
  <r>
    <n v="1505"/>
    <s v="4.Plan de pagos"/>
    <m/>
    <m/>
    <m/>
    <m/>
    <m/>
    <m/>
    <m/>
    <m/>
    <m/>
    <m/>
    <m/>
    <m/>
    <m/>
    <m/>
    <m/>
    <m/>
    <n v="10000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29"/>
    <n v="6936"/>
    <m/>
    <m/>
    <m/>
    <m/>
    <m/>
    <m/>
    <m/>
    <m/>
    <m/>
    <m/>
    <m/>
    <m/>
    <m/>
    <m/>
    <m/>
    <m/>
    <m/>
    <m/>
    <n v="127800"/>
    <n v="0"/>
    <n v="65432"/>
    <x v="0"/>
  </r>
  <r>
    <n v="1506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9632.632441067908"/>
    <n v="0"/>
    <x v="0"/>
  </r>
  <r>
    <n v="1507"/>
    <s v="4.Plan de pagos"/>
    <n v="6000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611"/>
    <m/>
    <m/>
    <m/>
    <m/>
    <m/>
    <m/>
    <m/>
    <m/>
    <m/>
    <m/>
    <m/>
    <m/>
    <m/>
    <m/>
    <m/>
    <m/>
    <n v="114161"/>
    <n v="0"/>
    <n v="79800"/>
    <x v="0"/>
  </r>
  <r>
    <n v="1508"/>
    <s v="4.Plan de pagos"/>
    <n v="60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2760"/>
    <m/>
    <m/>
    <m/>
    <m/>
    <m/>
    <m/>
    <m/>
    <m/>
    <m/>
    <m/>
    <m/>
    <m/>
    <m/>
    <m/>
    <m/>
    <m/>
    <n v="114160"/>
    <n v="0"/>
    <n v="80400"/>
    <x v="0"/>
  </r>
  <r>
    <n v="1509"/>
    <s v="2. Reserva"/>
    <m/>
    <m/>
    <m/>
    <m/>
    <m/>
    <m/>
    <m/>
    <m/>
    <m/>
    <m/>
    <m/>
    <m/>
    <m/>
    <m/>
    <m/>
    <m/>
    <m/>
    <m/>
    <m/>
    <m/>
    <m/>
    <m/>
    <m/>
    <m/>
    <m/>
    <m/>
    <m/>
    <m/>
    <n v="541277.04"/>
    <n v="32400"/>
    <n v="32400"/>
    <n v="32400"/>
    <n v="32400"/>
    <n v="32400"/>
    <n v="32400"/>
    <n v="32400"/>
    <n v="32400"/>
    <n v="32400"/>
    <n v="32400"/>
    <n v="217277.04"/>
    <m/>
    <m/>
    <m/>
    <m/>
    <m/>
    <m/>
    <m/>
    <m/>
    <m/>
    <m/>
    <m/>
    <m/>
    <n v="1082554.08"/>
    <n v="974338.11035501212"/>
    <n v="0"/>
    <x v="0"/>
  </r>
  <r>
    <n v="1510"/>
    <s v="4.Plan de pagos"/>
    <m/>
    <m/>
    <m/>
    <n v="6000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064"/>
    <n v="3136"/>
    <m/>
    <m/>
    <m/>
    <m/>
    <m/>
    <m/>
    <m/>
    <m/>
    <m/>
    <m/>
    <m/>
    <m/>
    <m/>
    <m/>
    <m/>
    <m/>
    <m/>
    <m/>
    <m/>
    <m/>
    <m/>
    <n v="88800"/>
    <n v="0"/>
    <n v="70344"/>
    <x v="0"/>
  </r>
  <r>
    <n v="1511"/>
    <s v="4.Plan de pagos"/>
    <m/>
    <m/>
    <m/>
    <m/>
    <m/>
    <n v="6000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n v="5292"/>
    <m/>
    <m/>
    <m/>
    <m/>
    <m/>
    <m/>
    <m/>
    <m/>
    <m/>
    <m/>
    <m/>
    <m/>
    <m/>
    <m/>
    <m/>
    <m/>
    <m/>
    <m/>
    <m/>
    <m/>
    <m/>
    <n v="138300"/>
    <n v="0"/>
    <n v="106548"/>
    <x v="0"/>
  </r>
  <r>
    <n v="1512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4935.617554408498"/>
    <n v="0"/>
    <x v="0"/>
  </r>
  <r>
    <n v="1601"/>
    <s v="4.Plan de pagos"/>
    <m/>
    <m/>
    <m/>
    <m/>
    <m/>
    <n v="600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780"/>
    <n v="4863.8999999999996"/>
    <m/>
    <m/>
    <m/>
    <m/>
    <m/>
    <m/>
    <m/>
    <m/>
    <m/>
    <m/>
    <m/>
    <m/>
    <m/>
    <m/>
    <m/>
    <m/>
    <m/>
    <m/>
    <m/>
    <m/>
    <m/>
    <n v="125583.9"/>
    <n v="0"/>
    <n v="96820"/>
    <x v="0"/>
  </r>
  <r>
    <n v="1602"/>
    <s v="4.Plan de pagos"/>
    <m/>
    <m/>
    <m/>
    <m/>
    <m/>
    <n v="6000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19"/>
    <n v="4407"/>
    <m/>
    <m/>
    <m/>
    <m/>
    <m/>
    <m/>
    <m/>
    <m/>
    <m/>
    <m/>
    <m/>
    <m/>
    <m/>
    <m/>
    <m/>
    <m/>
    <m/>
    <m/>
    <n v="129720"/>
    <n v="0"/>
    <n v="89961"/>
    <x v="0"/>
  </r>
  <r>
    <n v="1603"/>
    <s v="4.Plan de pagos"/>
    <m/>
    <n v="6000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"/>
    <n v="5001.6099999999997"/>
    <m/>
    <m/>
    <m/>
    <m/>
    <m/>
    <m/>
    <m/>
    <m/>
    <m/>
    <m/>
    <m/>
    <m/>
    <m/>
    <m/>
    <m/>
    <m/>
    <m/>
    <m/>
    <m/>
    <m/>
    <n v="156030.60999999999"/>
    <n v="0"/>
    <n v="121023"/>
    <x v="0"/>
  </r>
  <r>
    <n v="1604"/>
    <s v="4.Plan de pagos"/>
    <m/>
    <m/>
    <n v="6000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2"/>
    <n v="2986"/>
    <m/>
    <m/>
    <m/>
    <m/>
    <m/>
    <m/>
    <m/>
    <m/>
    <m/>
    <m/>
    <m/>
    <m/>
    <m/>
    <m/>
    <m/>
    <m/>
    <m/>
    <m/>
    <m/>
    <m/>
    <m/>
    <n v="89500"/>
    <n v="0"/>
    <n v="71604"/>
    <x v="0"/>
  </r>
  <r>
    <n v="1605"/>
    <s v="4.Plan de pagos"/>
    <m/>
    <m/>
    <m/>
    <m/>
    <m/>
    <m/>
    <m/>
    <m/>
    <m/>
    <m/>
    <m/>
    <m/>
    <m/>
    <m/>
    <m/>
    <m/>
    <m/>
    <n v="10000"/>
    <n v="8085"/>
    <n v="8085"/>
    <n v="8085"/>
    <n v="8085"/>
    <n v="8085"/>
    <n v="8085"/>
    <n v="8085"/>
    <n v="8085"/>
    <n v="8085"/>
    <n v="8085"/>
    <n v="8085"/>
    <n v="8085"/>
    <n v="8085"/>
    <n v="8085"/>
    <n v="8085"/>
    <n v="8080"/>
    <m/>
    <m/>
    <m/>
    <m/>
    <m/>
    <m/>
    <m/>
    <m/>
    <m/>
    <m/>
    <m/>
    <m/>
    <m/>
    <m/>
    <m/>
    <m/>
    <m/>
    <m/>
    <n v="139355"/>
    <n v="0"/>
    <n v="66595"/>
    <x v="0"/>
  </r>
  <r>
    <n v="1606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9632.632441067908"/>
    <n v="0"/>
    <x v="0"/>
  </r>
  <r>
    <n v="1607"/>
    <s v="4.Plan de pagos"/>
    <m/>
    <m/>
    <n v="60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500"/>
    <n v="10000"/>
    <n v="92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2510"/>
    <n v="16010"/>
    <n v="132510"/>
    <x v="0"/>
  </r>
  <r>
    <n v="1608"/>
    <s v="4.Plan de pagos"/>
    <n v="60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3100"/>
    <n v="4048"/>
    <m/>
    <m/>
    <m/>
    <m/>
    <m/>
    <m/>
    <m/>
    <m/>
    <m/>
    <m/>
    <m/>
    <m/>
    <m/>
    <m/>
    <m/>
    <m/>
    <n v="115448"/>
    <n v="0"/>
    <n v="80400"/>
    <x v="0"/>
  </r>
  <r>
    <n v="1609"/>
    <s v="4.Plan de pagos"/>
    <n v="600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.58"/>
    <m/>
    <m/>
    <m/>
    <m/>
    <m/>
    <m/>
    <m/>
    <m/>
    <m/>
    <m/>
    <m/>
    <m/>
    <m/>
    <m/>
    <m/>
    <m/>
    <n v="86150.58"/>
    <n v="0"/>
    <n v="60960"/>
    <x v="0"/>
  </r>
  <r>
    <n v="1610"/>
    <s v="4.Plan de pagos"/>
    <m/>
    <m/>
    <m/>
    <n v="95008.13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47"/>
    <n v="29451.21"/>
    <m/>
    <m/>
    <m/>
    <m/>
    <m/>
    <m/>
    <m/>
    <m/>
    <m/>
    <m/>
    <m/>
    <m/>
    <m/>
    <m/>
    <m/>
    <m/>
    <m/>
    <m/>
    <m/>
    <m/>
    <m/>
    <n v="890081.34"/>
    <n v="0"/>
    <n v="713395.13"/>
    <x v="0"/>
  </r>
  <r>
    <n v="1611"/>
    <s v="4.Plan de pagos"/>
    <m/>
    <m/>
    <m/>
    <m/>
    <n v="60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m/>
    <m/>
    <m/>
    <m/>
    <m/>
    <m/>
    <m/>
    <m/>
    <m/>
    <m/>
    <m/>
    <m/>
    <m/>
    <m/>
    <m/>
    <m/>
    <m/>
    <m/>
    <m/>
    <m/>
    <m/>
    <n v="143800"/>
    <n v="0"/>
    <n v="112000"/>
    <x v="0"/>
  </r>
  <r>
    <n v="1612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8258.364168812812"/>
    <n v="0"/>
    <x v="0"/>
  </r>
  <r>
    <n v="1701"/>
    <s v="4.Plan de pagos"/>
    <n v="60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70"/>
    <m/>
    <m/>
    <m/>
    <m/>
    <m/>
    <m/>
    <m/>
    <m/>
    <m/>
    <m/>
    <m/>
    <m/>
    <m/>
    <m/>
    <m/>
    <m/>
    <n v="139070"/>
    <n v="0"/>
    <n v="97200"/>
    <x v="0"/>
  </r>
  <r>
    <n v="1702"/>
    <s v="4.Plan de pagos"/>
    <m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4700"/>
    <m/>
    <m/>
    <m/>
    <m/>
    <m/>
    <m/>
    <m/>
    <m/>
    <m/>
    <m/>
    <m/>
    <m/>
    <m/>
    <m/>
    <m/>
    <m/>
    <m/>
    <m/>
    <m/>
    <m/>
    <m/>
    <n v="66700"/>
    <n v="0"/>
    <n v="52000"/>
    <x v="0"/>
  </r>
  <r>
    <n v="1703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10385"/>
    <n v="10385"/>
    <n v="10385"/>
    <n v="10385"/>
    <n v="10385"/>
    <n v="10385"/>
    <n v="10385"/>
    <n v="10385"/>
    <n v="10385"/>
    <n v="10385"/>
    <n v="10385"/>
    <n v="10385"/>
    <n v="10385"/>
    <m/>
    <m/>
    <m/>
    <m/>
    <m/>
    <m/>
    <m/>
    <m/>
    <m/>
    <m/>
    <m/>
    <m/>
    <m/>
    <n v="145005"/>
    <n v="3881.052723552013"/>
    <n v="0"/>
    <x v="0"/>
  </r>
  <r>
    <n v="1704"/>
    <s v="4.Plan de pagos"/>
    <n v="60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m/>
    <m/>
    <m/>
    <m/>
    <m/>
    <m/>
    <m/>
    <m/>
    <m/>
    <m/>
    <m/>
    <m/>
    <m/>
    <m/>
    <m/>
    <m/>
    <n v="62000"/>
    <n v="0"/>
    <n v="44400"/>
    <x v="0"/>
  </r>
  <r>
    <n v="1705"/>
    <s v="2. Reserva / Prom. F."/>
    <m/>
    <m/>
    <m/>
    <m/>
    <m/>
    <m/>
    <m/>
    <m/>
    <m/>
    <m/>
    <m/>
    <m/>
    <m/>
    <m/>
    <m/>
    <m/>
    <m/>
    <m/>
    <m/>
    <m/>
    <m/>
    <m/>
    <m/>
    <m/>
    <m/>
    <n v="10000"/>
    <n v="65592.83"/>
    <n v="69050.44"/>
    <m/>
    <m/>
    <m/>
    <m/>
    <m/>
    <m/>
    <m/>
    <m/>
    <m/>
    <m/>
    <m/>
    <m/>
    <m/>
    <m/>
    <m/>
    <m/>
    <m/>
    <m/>
    <m/>
    <m/>
    <m/>
    <m/>
    <m/>
    <m/>
    <n v="144643.27000000002"/>
    <n v="38.946000000025379"/>
    <n v="0"/>
    <x v="0"/>
  </r>
  <r>
    <n v="1706"/>
    <s v="4.Plan de pagos"/>
    <n v="60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2400"/>
    <n v="1200"/>
    <n v="651"/>
    <m/>
    <m/>
    <m/>
    <m/>
    <m/>
    <m/>
    <m/>
    <m/>
    <m/>
    <m/>
    <m/>
    <m/>
    <m/>
    <m/>
    <m/>
    <m/>
    <n v="87051"/>
    <n v="0"/>
    <n v="63600"/>
    <x v="0"/>
  </r>
  <r>
    <n v="1707"/>
    <s v="2. Reserva"/>
    <m/>
    <m/>
    <m/>
    <m/>
    <m/>
    <m/>
    <m/>
    <m/>
    <m/>
    <m/>
    <m/>
    <m/>
    <m/>
    <m/>
    <m/>
    <m/>
    <m/>
    <m/>
    <m/>
    <m/>
    <m/>
    <m/>
    <m/>
    <m/>
    <n v="1000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n v="5050"/>
    <m/>
    <m/>
    <m/>
    <m/>
    <m/>
    <m/>
    <m/>
    <m/>
    <m/>
    <m/>
    <m/>
    <n v="90800"/>
    <n v="0"/>
    <n v="10000"/>
    <x v="0"/>
  </r>
  <r>
    <n v="1708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53804.211998452"/>
    <n v="0"/>
    <x v="0"/>
  </r>
  <r>
    <n v="1801"/>
    <s v="4.Plan de pagos"/>
    <n v="60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800"/>
    <n v="3952"/>
    <m/>
    <m/>
    <m/>
    <m/>
    <m/>
    <m/>
    <m/>
    <m/>
    <m/>
    <m/>
    <m/>
    <m/>
    <m/>
    <m/>
    <m/>
    <m/>
    <n v="139152"/>
    <n v="0"/>
    <n v="97200"/>
    <x v="0"/>
  </r>
  <r>
    <n v="1802"/>
    <s v="4.Plan de pagos"/>
    <n v="6000"/>
    <m/>
    <m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4"/>
    <m/>
    <m/>
    <m/>
    <m/>
    <m/>
    <m/>
    <m/>
    <m/>
    <m/>
    <m/>
    <m/>
    <m/>
    <m/>
    <m/>
    <m/>
    <m/>
    <m/>
    <m/>
    <m/>
    <m/>
    <m/>
    <n v="84900"/>
    <n v="0"/>
    <n v="67996"/>
    <x v="0"/>
  </r>
  <r>
    <n v="1803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123.94727644799"/>
    <n v="0"/>
    <x v="0"/>
  </r>
  <r>
    <n v="1804"/>
    <s v="4.Plan de pagos"/>
    <n v="60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m/>
    <m/>
    <m/>
    <m/>
    <m/>
    <m/>
    <m/>
    <m/>
    <m/>
    <m/>
    <m/>
    <m/>
    <m/>
    <m/>
    <m/>
    <m/>
    <n v="62000"/>
    <n v="0"/>
    <n v="44400"/>
    <x v="0"/>
  </r>
  <r>
    <n v="1805"/>
    <s v="1.Disponib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141604.32379894701"/>
    <n v="0"/>
    <x v="0"/>
  </r>
  <r>
    <n v="1806"/>
    <s v="4.Plan de pagos"/>
    <n v="600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"/>
    <n v="2290.58"/>
    <m/>
    <m/>
    <m/>
    <m/>
    <m/>
    <m/>
    <m/>
    <m/>
    <m/>
    <m/>
    <m/>
    <m/>
    <m/>
    <m/>
    <m/>
    <m/>
    <n v="86150.58"/>
    <n v="0"/>
    <n v="60960"/>
    <x v="0"/>
  </r>
  <r>
    <n v="1807"/>
    <s v="4.Plan de pagos"/>
    <n v="600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050"/>
    <n v="3456"/>
    <m/>
    <m/>
    <m/>
    <m/>
    <m/>
    <m/>
    <m/>
    <m/>
    <m/>
    <m/>
    <m/>
    <m/>
    <m/>
    <m/>
    <m/>
    <m/>
    <n v="113156"/>
    <n v="0"/>
    <n v="79200"/>
    <x v="0"/>
  </r>
  <r>
    <n v="1808"/>
    <s v="4.Plan de pagos"/>
    <m/>
    <m/>
    <m/>
    <m/>
    <m/>
    <m/>
    <n v="8000"/>
    <n v="2800"/>
    <n v="2800"/>
    <n v="11150"/>
    <n v="2800"/>
    <n v="2800"/>
    <n v="2800"/>
    <n v="2800"/>
    <n v="2800"/>
    <n v="2800"/>
    <n v="22300"/>
    <n v="2800"/>
    <n v="2800"/>
    <n v="2800"/>
    <n v="2800"/>
    <n v="16725"/>
    <n v="2800"/>
    <n v="2800"/>
    <n v="2800"/>
    <n v="2800"/>
    <n v="2800"/>
    <n v="2800"/>
    <n v="22300"/>
    <n v="2800"/>
    <n v="8133.51"/>
    <m/>
    <m/>
    <m/>
    <m/>
    <m/>
    <m/>
    <m/>
    <m/>
    <m/>
    <m/>
    <m/>
    <m/>
    <m/>
    <m/>
    <m/>
    <m/>
    <m/>
    <m/>
    <m/>
    <m/>
    <m/>
    <n v="141808.51"/>
    <n v="0"/>
    <n v="100175"/>
    <x v="0"/>
  </r>
  <r>
    <n v="1901"/>
    <s v="4.Plan de pagos"/>
    <n v="15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24882"/>
    <m/>
    <m/>
    <m/>
    <m/>
    <m/>
    <m/>
    <m/>
    <m/>
    <m/>
    <m/>
    <m/>
    <m/>
    <m/>
    <m/>
    <m/>
    <m/>
    <n v="73882"/>
    <n v="0"/>
    <n v="39000"/>
    <x v="0"/>
  </r>
  <r>
    <n v="1902"/>
    <s v="4.Plan de pagos"/>
    <m/>
    <m/>
    <m/>
    <m/>
    <m/>
    <n v="6000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11"/>
    <m/>
    <m/>
    <m/>
    <m/>
    <m/>
    <m/>
    <m/>
    <m/>
    <m/>
    <m/>
    <m/>
    <m/>
    <m/>
    <m/>
    <m/>
    <m/>
    <m/>
    <m/>
    <n v="132200"/>
    <n v="0"/>
    <n v="91633"/>
    <x v="0"/>
  </r>
  <r>
    <n v="1903"/>
    <s v="4.Plan de pagos"/>
    <m/>
    <m/>
    <m/>
    <m/>
    <m/>
    <n v="6000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3"/>
    <n v="4529"/>
    <m/>
    <m/>
    <m/>
    <m/>
    <m/>
    <m/>
    <m/>
    <m/>
    <m/>
    <m/>
    <m/>
    <m/>
    <m/>
    <m/>
    <m/>
    <m/>
    <m/>
    <m/>
    <n v="132650"/>
    <n v="0"/>
    <n v="91937"/>
    <x v="0"/>
  </r>
  <r>
    <n v="1904"/>
    <s v="4.Plan de pagos"/>
    <m/>
    <m/>
    <m/>
    <m/>
    <m/>
    <n v="6000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07"/>
    <n v="4511"/>
    <m/>
    <m/>
    <m/>
    <m/>
    <m/>
    <m/>
    <m/>
    <m/>
    <m/>
    <m/>
    <m/>
    <m/>
    <m/>
    <m/>
    <m/>
    <m/>
    <m/>
    <m/>
    <n v="132200"/>
    <n v="0"/>
    <n v="91633"/>
    <x v="0"/>
  </r>
  <r>
    <n v="1905"/>
    <s v="4.Plan de pagos"/>
    <m/>
    <m/>
    <m/>
    <m/>
    <m/>
    <n v="6000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61"/>
    <n v="4653"/>
    <m/>
    <m/>
    <m/>
    <m/>
    <m/>
    <m/>
    <m/>
    <m/>
    <m/>
    <m/>
    <m/>
    <m/>
    <m/>
    <m/>
    <m/>
    <m/>
    <m/>
    <m/>
    <n v="136500"/>
    <n v="0"/>
    <n v="94559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101"/>
    <s v="A"/>
    <m/>
    <m/>
    <m/>
    <m/>
    <m/>
    <m/>
    <m/>
    <m/>
    <m/>
    <m/>
    <m/>
    <m/>
    <m/>
    <n v="1500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73"/>
    <n v="1022.67"/>
    <m/>
    <m/>
    <m/>
    <m/>
    <m/>
    <m/>
    <m/>
    <m/>
    <m/>
    <m/>
    <m/>
    <n v="23999.999999999993"/>
    <n v="0"/>
    <n v="12750.029999999997"/>
    <x v="0"/>
  </r>
  <r>
    <n v="102"/>
    <s v="A"/>
    <m/>
    <m/>
    <m/>
    <m/>
    <m/>
    <m/>
    <m/>
    <m/>
    <m/>
    <m/>
    <m/>
    <m/>
    <m/>
    <m/>
    <m/>
    <n v="1500"/>
    <n v="1244.44"/>
    <n v="1244.44"/>
    <n v="1244.44"/>
    <n v="1244.44"/>
    <n v="1244.44"/>
    <n v="1244.44"/>
    <n v="1244.44"/>
    <n v="1244.44"/>
    <n v="1244.44"/>
    <n v="1244.44"/>
    <n v="1244.44"/>
    <n v="1244.44"/>
    <n v="1244.44"/>
    <n v="1244.44"/>
    <n v="1244.44"/>
    <n v="1244.44"/>
    <n v="1244.44"/>
    <n v="1244.52"/>
    <m/>
    <m/>
    <m/>
    <m/>
    <m/>
    <m/>
    <m/>
    <m/>
    <m/>
    <m/>
    <m/>
    <m/>
    <m/>
    <n v="23899.999999999996"/>
    <n v="0"/>
    <n v="12699.960000000003"/>
    <x v="1"/>
  </r>
  <r>
    <n v="103"/>
    <s v="A"/>
    <m/>
    <m/>
    <m/>
    <m/>
    <m/>
    <m/>
    <m/>
    <m/>
    <m/>
    <m/>
    <m/>
    <n v="500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m/>
    <m/>
    <m/>
    <m/>
    <m/>
    <m/>
    <m/>
    <m/>
    <m/>
    <m/>
    <m/>
    <m/>
    <m/>
    <n v="23499.900000000009"/>
    <n v="-500.09999999999127"/>
    <n v="14090.850000000004"/>
    <x v="2"/>
  </r>
  <r>
    <n v="104"/>
    <s v="A"/>
    <m/>
    <m/>
    <m/>
    <m/>
    <m/>
    <m/>
    <m/>
    <m/>
    <n v="300"/>
    <n v="1815.38"/>
    <n v="1815.38"/>
    <n v="1815.38"/>
    <n v="1815.38"/>
    <n v="1815.38"/>
    <n v="1815.38"/>
    <n v="1815.38"/>
    <n v="1815.38"/>
    <n v="1815.38"/>
    <n v="1815.38"/>
    <n v="1815.38"/>
    <n v="1815.38"/>
    <n v="1815.38"/>
    <m/>
    <m/>
    <m/>
    <m/>
    <m/>
    <m/>
    <m/>
    <m/>
    <m/>
    <m/>
    <m/>
    <m/>
    <m/>
    <m/>
    <m/>
    <m/>
    <m/>
    <m/>
    <m/>
    <m/>
    <m/>
    <m/>
    <m/>
    <m/>
    <m/>
    <n v="23899.94000000001"/>
    <n v="-25900.05999999999"/>
    <n v="23899.94000000001"/>
    <x v="3"/>
  </r>
  <r>
    <n v="105"/>
    <s v="A"/>
    <m/>
    <m/>
    <m/>
    <m/>
    <m/>
    <m/>
    <m/>
    <m/>
    <n v="1000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n v="1784.29"/>
    <m/>
    <m/>
    <m/>
    <m/>
    <m/>
    <m/>
    <m/>
    <m/>
    <m/>
    <m/>
    <m/>
    <m/>
    <m/>
    <m/>
    <m/>
    <m/>
    <m/>
    <n v="38470.090000000011"/>
    <n v="14570.090000000011"/>
    <n v="29548.64000000001"/>
    <x v="4"/>
  </r>
  <r>
    <n v="108"/>
    <s v="A"/>
    <m/>
    <m/>
    <m/>
    <m/>
    <m/>
    <m/>
    <m/>
    <m/>
    <n v="3230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6799999999998"/>
    <m/>
    <m/>
    <m/>
    <m/>
    <m/>
    <m/>
    <m/>
    <m/>
    <m/>
    <m/>
    <m/>
    <m/>
    <m/>
    <m/>
    <m/>
    <m/>
    <m/>
    <m/>
    <m/>
    <n v="49489.999999999978"/>
    <n v="-46110.000000000022"/>
    <n v="42185.839999999982"/>
    <x v="5"/>
  </r>
  <r>
    <n v="109"/>
    <s v="A"/>
    <m/>
    <m/>
    <m/>
    <m/>
    <m/>
    <m/>
    <m/>
    <m/>
    <m/>
    <m/>
    <m/>
    <m/>
    <m/>
    <m/>
    <m/>
    <m/>
    <m/>
    <m/>
    <m/>
    <m/>
    <m/>
    <m/>
    <n v="1500"/>
    <n v="1875"/>
    <n v="1875"/>
    <n v="1875"/>
    <n v="1875"/>
    <n v="1875"/>
    <n v="1875"/>
    <n v="1875"/>
    <n v="1875"/>
    <n v="1875"/>
    <n v="1875"/>
    <n v="1875"/>
    <n v="1875"/>
    <m/>
    <m/>
    <m/>
    <m/>
    <m/>
    <m/>
    <m/>
    <m/>
    <m/>
    <m/>
    <m/>
    <m/>
    <n v="24000"/>
    <n v="-25490"/>
    <n v="5250"/>
    <x v="6"/>
  </r>
  <r>
    <n v="201"/>
    <s v="A"/>
    <m/>
    <m/>
    <m/>
    <m/>
    <m/>
    <m/>
    <m/>
    <m/>
    <m/>
    <m/>
    <m/>
    <m/>
    <m/>
    <n v="1000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m/>
    <m/>
    <m/>
    <m/>
    <m/>
    <m/>
    <m/>
    <m/>
    <m/>
    <m/>
    <m/>
    <n v="23999.900000000009"/>
    <n v="-9.9999999991268851E-2"/>
    <n v="12499.950000000003"/>
    <x v="7"/>
  </r>
  <r>
    <n v="202"/>
    <s v="A"/>
    <m/>
    <m/>
    <m/>
    <m/>
    <m/>
    <m/>
    <m/>
    <m/>
    <n v="500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m/>
    <m/>
    <m/>
    <m/>
    <m/>
    <m/>
    <m/>
    <m/>
    <m/>
    <m/>
    <m/>
    <m/>
    <m/>
    <m/>
    <m/>
    <m/>
    <n v="49800.020000000019"/>
    <n v="25900.020000000019"/>
    <n v="36354.559999999998"/>
    <x v="8"/>
  </r>
  <r>
    <n v="203"/>
    <s v="A"/>
    <m/>
    <m/>
    <m/>
    <m/>
    <m/>
    <m/>
    <m/>
    <m/>
    <m/>
    <m/>
    <m/>
    <m/>
    <m/>
    <m/>
    <m/>
    <m/>
    <n v="1500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m/>
    <m/>
    <m/>
    <m/>
    <m/>
    <m/>
    <m/>
    <m/>
    <m/>
    <m/>
    <m/>
    <m/>
    <m/>
    <m/>
    <n v="22676.479999999996"/>
    <n v="-27123.520000000004"/>
    <n v="12088.24"/>
    <x v="9"/>
  </r>
  <r>
    <n v="204"/>
    <s v="A"/>
    <m/>
    <m/>
    <m/>
    <m/>
    <m/>
    <m/>
    <m/>
    <m/>
    <m/>
    <m/>
    <m/>
    <m/>
    <m/>
    <m/>
    <m/>
    <m/>
    <n v="1500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n v="1323.53"/>
    <m/>
    <m/>
    <m/>
    <m/>
    <m/>
    <m/>
    <m/>
    <m/>
    <m/>
    <m/>
    <m/>
    <m/>
    <m/>
    <m/>
    <n v="22676.479999999996"/>
    <n v="-1323.5200000000041"/>
    <n v="12088.24"/>
    <x v="10"/>
  </r>
  <r>
    <n v="205"/>
    <s v="A"/>
    <m/>
    <m/>
    <m/>
    <m/>
    <m/>
    <m/>
    <m/>
    <m/>
    <n v="1000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n v="1704.55"/>
    <m/>
    <m/>
    <m/>
    <m/>
    <m/>
    <m/>
    <m/>
    <m/>
    <m/>
    <m/>
    <m/>
    <m/>
    <m/>
    <m/>
    <m/>
    <m/>
    <n v="38500.1"/>
    <n v="14500.099999999999"/>
    <n v="28272.799999999992"/>
    <x v="11"/>
  </r>
  <r>
    <n v="207"/>
    <s v="A"/>
    <m/>
    <m/>
    <m/>
    <m/>
    <m/>
    <m/>
    <m/>
    <n v="500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m/>
    <m/>
    <m/>
    <m/>
    <m/>
    <m/>
    <m/>
    <m/>
    <m/>
    <m/>
    <m/>
    <m/>
    <m/>
    <m/>
    <m/>
    <m/>
    <m/>
    <n v="52739"/>
    <n v="14239"/>
    <n v="40866.5"/>
    <x v="12"/>
  </r>
  <r>
    <n v="210"/>
    <s v="A"/>
    <m/>
    <m/>
    <m/>
    <m/>
    <m/>
    <m/>
    <m/>
    <m/>
    <m/>
    <m/>
    <m/>
    <m/>
    <m/>
    <m/>
    <m/>
    <m/>
    <m/>
    <m/>
    <m/>
    <n v="1500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m/>
    <m/>
    <m/>
    <m/>
    <m/>
    <m/>
    <m/>
    <m/>
    <m/>
    <m/>
    <m/>
    <m/>
    <n v="23899.950000000004"/>
    <n v="-4.9999999995634425E-2"/>
    <n v="8966.65"/>
    <x v="13"/>
  </r>
  <r>
    <n v="301"/>
    <s v="A"/>
    <m/>
    <m/>
    <m/>
    <m/>
    <m/>
    <m/>
    <m/>
    <m/>
    <m/>
    <m/>
    <m/>
    <m/>
    <m/>
    <m/>
    <m/>
    <m/>
    <m/>
    <m/>
    <m/>
    <m/>
    <m/>
    <m/>
    <m/>
    <m/>
    <m/>
    <m/>
    <n v="1500"/>
    <n v="1493.38"/>
    <n v="1493.38"/>
    <n v="1493.38"/>
    <n v="1493.38"/>
    <n v="1493.38"/>
    <n v="1493.38"/>
    <n v="1493.38"/>
    <n v="1493.38"/>
    <n v="1493.38"/>
    <n v="1493.38"/>
    <n v="1493.38"/>
    <n v="1493.38"/>
    <n v="1493.38"/>
    <n v="1493.38"/>
    <n v="1493.38"/>
    <m/>
    <m/>
    <m/>
    <m/>
    <m/>
    <n v="23900.700000000012"/>
    <n v="0.70000000001164153"/>
    <n v="0"/>
    <x v="14"/>
  </r>
  <r>
    <n v="302"/>
    <s v="A"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m/>
    <n v="23900"/>
    <n v="0"/>
    <n v="0"/>
    <x v="15"/>
  </r>
  <r>
    <n v="303"/>
    <s v="A"/>
    <m/>
    <m/>
    <m/>
    <m/>
    <m/>
    <m/>
    <m/>
    <m/>
    <m/>
    <m/>
    <m/>
    <m/>
    <m/>
    <m/>
    <m/>
    <m/>
    <m/>
    <m/>
    <m/>
    <m/>
    <m/>
    <n v="1500"/>
    <n v="1723.08"/>
    <n v="1723.08"/>
    <n v="1723.08"/>
    <n v="1723.08"/>
    <n v="1723.08"/>
    <n v="1723.08"/>
    <n v="1723.08"/>
    <n v="1723.08"/>
    <n v="1723.08"/>
    <n v="1723.08"/>
    <n v="1723.08"/>
    <n v="1723.08"/>
    <n v="1723.08"/>
    <m/>
    <m/>
    <m/>
    <m/>
    <m/>
    <m/>
    <m/>
    <m/>
    <m/>
    <m/>
    <m/>
    <m/>
    <n v="23900.040000000008"/>
    <n v="4.0000000008149073E-2"/>
    <n v="6669.24"/>
    <x v="16"/>
  </r>
  <r>
    <n v="304"/>
    <s v="A"/>
    <m/>
    <m/>
    <m/>
    <m/>
    <m/>
    <m/>
    <m/>
    <m/>
    <m/>
    <m/>
    <m/>
    <m/>
    <m/>
    <m/>
    <m/>
    <m/>
    <m/>
    <m/>
    <n v="1500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m/>
    <m/>
    <m/>
    <m/>
    <m/>
    <m/>
    <m/>
    <m/>
    <m/>
    <m/>
    <m/>
    <m/>
    <m/>
    <n v="23899.950000000004"/>
    <n v="-4.9999999995634425E-2"/>
    <n v="10459.98"/>
    <x v="17"/>
  </r>
  <r>
    <n v="305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m/>
    <m/>
    <m/>
    <n v="17437.5"/>
    <n v="-6962.5"/>
    <n v="0"/>
    <x v="18"/>
  </r>
  <r>
    <n v="306"/>
    <s v="A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22400"/>
    <m/>
    <m/>
    <m/>
    <m/>
    <m/>
    <m/>
    <m/>
    <m/>
    <m/>
    <m/>
    <m/>
    <m/>
    <m/>
    <m/>
    <m/>
    <m/>
    <m/>
    <n v="23900"/>
    <n v="0"/>
    <n v="0"/>
    <x v="19"/>
  </r>
  <r>
    <n v="307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39430"/>
    <n v="0"/>
    <x v="6"/>
  </r>
  <r>
    <n v="308"/>
    <s v="A"/>
    <m/>
    <m/>
    <m/>
    <m/>
    <m/>
    <m/>
    <m/>
    <m/>
    <m/>
    <m/>
    <m/>
    <m/>
    <m/>
    <n v="1500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m/>
    <m/>
    <m/>
    <m/>
    <m/>
    <m/>
    <m/>
    <m/>
    <m/>
    <m/>
    <m/>
    <m/>
    <m/>
    <n v="24000"/>
    <n v="-400"/>
    <n v="13875"/>
    <x v="20"/>
  </r>
  <r>
    <n v="309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n v="22500"/>
    <n v="-28220"/>
    <n v="0"/>
    <x v="21"/>
  </r>
  <r>
    <n v="310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4000"/>
    <n v="0"/>
    <x v="6"/>
  </r>
  <r>
    <n v="311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3900"/>
    <n v="0"/>
    <x v="22"/>
  </r>
  <r>
    <n v="312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50720"/>
    <n v="0"/>
    <x v="23"/>
  </r>
  <r>
    <n v="313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50720"/>
    <n v="0"/>
    <x v="21"/>
  </r>
  <r>
    <n v="401"/>
    <s v="A"/>
    <m/>
    <m/>
    <m/>
    <m/>
    <m/>
    <m/>
    <m/>
    <m/>
    <m/>
    <n v="500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n v="2333.33"/>
    <m/>
    <m/>
    <m/>
    <m/>
    <m/>
    <m/>
    <m/>
    <m/>
    <m/>
    <m/>
    <m/>
    <m/>
    <m/>
    <m/>
    <m/>
    <n v="51833.260000000024"/>
    <n v="2333.2600000000239"/>
    <n v="35499.950000000012"/>
    <x v="24"/>
  </r>
  <r>
    <n v="402"/>
    <s v="A"/>
    <m/>
    <m/>
    <m/>
    <m/>
    <m/>
    <m/>
    <m/>
    <m/>
    <m/>
    <n v="500"/>
    <n v="1800"/>
    <n v="1800"/>
    <n v="1800"/>
    <n v="1800"/>
    <n v="1800"/>
    <n v="1800"/>
    <n v="1800"/>
    <n v="1800"/>
    <n v="1800"/>
    <n v="1800"/>
    <n v="1800"/>
    <n v="1800"/>
    <n v="1800"/>
    <m/>
    <m/>
    <m/>
    <m/>
    <m/>
    <m/>
    <m/>
    <m/>
    <m/>
    <m/>
    <m/>
    <m/>
    <m/>
    <m/>
    <m/>
    <m/>
    <m/>
    <m/>
    <m/>
    <m/>
    <m/>
    <m/>
    <m/>
    <m/>
    <n v="23900"/>
    <n v="0"/>
    <n v="23900"/>
    <x v="25"/>
  </r>
  <r>
    <n v="403"/>
    <s v="A"/>
    <m/>
    <m/>
    <m/>
    <m/>
    <m/>
    <m/>
    <m/>
    <m/>
    <m/>
    <m/>
    <m/>
    <m/>
    <m/>
    <m/>
    <n v="1500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n v="1178.95"/>
    <m/>
    <m/>
    <m/>
    <m/>
    <m/>
    <m/>
    <m/>
    <m/>
    <m/>
    <m/>
    <m/>
    <m/>
    <m/>
    <n v="23900.050000000007"/>
    <n v="5.0000000006548362E-2"/>
    <n v="13289.500000000002"/>
    <x v="26"/>
  </r>
  <r>
    <n v="405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m/>
    <m/>
    <m/>
    <n v="17437.5"/>
    <n v="-6462.5"/>
    <n v="0"/>
    <x v="27"/>
  </r>
  <r>
    <n v="406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3900"/>
    <n v="0"/>
    <x v="6"/>
  </r>
  <r>
    <n v="407"/>
    <s v="A"/>
    <m/>
    <m/>
    <m/>
    <m/>
    <m/>
    <m/>
    <m/>
    <m/>
    <m/>
    <m/>
    <m/>
    <m/>
    <m/>
    <m/>
    <m/>
    <m/>
    <m/>
    <m/>
    <m/>
    <m/>
    <m/>
    <m/>
    <m/>
    <m/>
    <m/>
    <m/>
    <n v="1500"/>
    <n v="1866.67"/>
    <n v="1866.67"/>
    <n v="1866.67"/>
    <n v="1866.67"/>
    <n v="1866.67"/>
    <n v="1866.67"/>
    <n v="1866.67"/>
    <n v="1866.67"/>
    <n v="1866.67"/>
    <n v="1866.67"/>
    <n v="1866.67"/>
    <n v="1866.67"/>
    <m/>
    <m/>
    <m/>
    <m/>
    <m/>
    <m/>
    <m/>
    <m/>
    <n v="23900.039999999994"/>
    <n v="-15529.960000000006"/>
    <n v="0"/>
    <x v="28"/>
  </r>
  <r>
    <n v="409"/>
    <s v="A"/>
    <m/>
    <m/>
    <m/>
    <m/>
    <m/>
    <m/>
    <m/>
    <m/>
    <m/>
    <m/>
    <m/>
    <m/>
    <m/>
    <m/>
    <m/>
    <m/>
    <m/>
    <m/>
    <m/>
    <m/>
    <m/>
    <m/>
    <m/>
    <m/>
    <n v="1500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n v="1493.33"/>
    <m/>
    <m/>
    <m/>
    <m/>
    <m/>
    <m/>
    <m/>
    <n v="23899.950000000004"/>
    <n v="-4.9999999995634425E-2"/>
    <n v="1500"/>
    <x v="29"/>
  </r>
  <r>
    <n v="410"/>
    <s v="A"/>
    <n v="1000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n v="1095.24"/>
    <m/>
    <m/>
    <m/>
    <m/>
    <m/>
    <m/>
    <m/>
    <m/>
    <m/>
    <m/>
    <m/>
    <m/>
    <m/>
    <m/>
    <m/>
    <m/>
    <m/>
    <m/>
    <m/>
    <m/>
    <m/>
    <m/>
    <m/>
    <m/>
    <m/>
    <n v="24000.040000000008"/>
    <n v="100.04000000000815"/>
    <n v="24000.040000000008"/>
    <x v="30"/>
  </r>
  <r>
    <n v="501"/>
    <s v="A"/>
    <m/>
    <m/>
    <m/>
    <m/>
    <m/>
    <m/>
    <m/>
    <m/>
    <m/>
    <m/>
    <m/>
    <m/>
    <m/>
    <m/>
    <m/>
    <m/>
    <m/>
    <m/>
    <m/>
    <m/>
    <m/>
    <m/>
    <m/>
    <m/>
    <m/>
    <m/>
    <m/>
    <n v="500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m/>
    <m/>
    <m/>
    <n v="22437.5"/>
    <n v="-28282.5"/>
    <n v="0"/>
    <x v="31"/>
  </r>
  <r>
    <n v="502"/>
    <s v="A"/>
    <m/>
    <m/>
    <m/>
    <m/>
    <m/>
    <m/>
    <m/>
    <m/>
    <m/>
    <n v="1000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n v="2323.81"/>
    <m/>
    <m/>
    <m/>
    <m/>
    <m/>
    <m/>
    <m/>
    <m/>
    <m/>
    <m/>
    <m/>
    <m/>
    <m/>
    <m/>
    <m/>
    <n v="52123.819999999985"/>
    <n v="27723.819999999985"/>
    <n v="35857.15"/>
    <x v="32"/>
  </r>
  <r>
    <n v="503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n v="22500"/>
    <n v="-1900"/>
    <n v="14100"/>
    <x v="15"/>
  </r>
  <r>
    <n v="504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n v="22500"/>
    <n v="-1400"/>
    <n v="14100"/>
    <x v="33"/>
  </r>
  <r>
    <n v="505"/>
    <s v="A"/>
    <m/>
    <m/>
    <m/>
    <m/>
    <m/>
    <m/>
    <m/>
    <m/>
    <m/>
    <m/>
    <m/>
    <m/>
    <m/>
    <m/>
    <m/>
    <m/>
    <m/>
    <m/>
    <m/>
    <m/>
    <m/>
    <m/>
    <m/>
    <n v="1500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n v="1062.5"/>
    <m/>
    <m/>
    <m/>
    <m/>
    <m/>
    <m/>
    <m/>
    <m/>
    <n v="17437.5"/>
    <n v="-1062.5"/>
    <n v="15312.5"/>
    <x v="34"/>
  </r>
  <r>
    <n v="507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n v="22500"/>
    <n v="-1400"/>
    <n v="0"/>
    <x v="35"/>
  </r>
  <r>
    <n v="508"/>
    <s v="A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n v="21100"/>
    <n v="-3300"/>
    <n v="0"/>
    <x v="15"/>
  </r>
  <r>
    <n v="510"/>
    <s v="A"/>
    <m/>
    <m/>
    <m/>
    <m/>
    <m/>
    <m/>
    <m/>
    <m/>
    <m/>
    <m/>
    <m/>
    <m/>
    <m/>
    <m/>
    <m/>
    <m/>
    <m/>
    <n v="500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n v="1462.5"/>
    <m/>
    <m/>
    <m/>
    <m/>
    <m/>
    <m/>
    <m/>
    <m/>
    <m/>
    <m/>
    <m/>
    <m/>
    <m/>
    <n v="23900"/>
    <n v="-26820"/>
    <n v="10737.5"/>
    <x v="36"/>
  </r>
  <r>
    <n v="601"/>
    <s v="A"/>
    <m/>
    <m/>
    <m/>
    <m/>
    <m/>
    <m/>
    <m/>
    <m/>
    <m/>
    <m/>
    <m/>
    <m/>
    <m/>
    <n v="1500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n v="1229.5"/>
    <m/>
    <m/>
    <m/>
    <m/>
    <m/>
    <m/>
    <m/>
    <m/>
    <m/>
    <m/>
    <m/>
    <m/>
    <m/>
    <m/>
    <n v="24860.5"/>
    <n v="860.5"/>
    <n v="15024.5"/>
    <x v="33"/>
  </r>
  <r>
    <n v="602"/>
    <s v="A"/>
    <m/>
    <m/>
    <m/>
    <m/>
    <m/>
    <m/>
    <m/>
    <m/>
    <n v="500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n v="2436.84"/>
    <m/>
    <m/>
    <m/>
    <m/>
    <m/>
    <m/>
    <m/>
    <m/>
    <m/>
    <m/>
    <m/>
    <m/>
    <m/>
    <m/>
    <m/>
    <m/>
    <n v="54110.479999999981"/>
    <n v="30210.479999999981"/>
    <n v="39489.440000000002"/>
    <x v="37"/>
  </r>
  <r>
    <n v="603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49800"/>
    <n v="0"/>
    <x v="6"/>
  </r>
  <r>
    <n v="604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22500"/>
    <n v="-1500"/>
    <n v="0"/>
    <x v="38"/>
  </r>
  <r>
    <n v="605"/>
    <s v="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3900"/>
    <n v="0"/>
    <x v="39"/>
  </r>
  <r>
    <n v="606"/>
    <s v="A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22500"/>
    <n v="-1500"/>
    <n v="0"/>
    <x v="40"/>
  </r>
  <r>
    <n v="607"/>
    <s v="A"/>
    <m/>
    <m/>
    <m/>
    <m/>
    <m/>
    <m/>
    <m/>
    <m/>
    <m/>
    <m/>
    <m/>
    <m/>
    <m/>
    <m/>
    <m/>
    <m/>
    <m/>
    <m/>
    <m/>
    <m/>
    <m/>
    <m/>
    <m/>
    <m/>
    <m/>
    <m/>
    <n v="1500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n v="894.74"/>
    <m/>
    <n v="15815.839999999997"/>
    <n v="-2684.1600000000035"/>
    <n v="0"/>
    <x v="41"/>
  </r>
  <r>
    <n v="608"/>
    <s v="A"/>
    <m/>
    <m/>
    <m/>
    <m/>
    <m/>
    <m/>
    <m/>
    <m/>
    <m/>
    <m/>
    <m/>
    <m/>
    <m/>
    <n v="1500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n v="1125"/>
    <m/>
    <m/>
    <m/>
    <m/>
    <m/>
    <m/>
    <m/>
    <m/>
    <m/>
    <m/>
    <m/>
    <m/>
    <m/>
    <n v="24000"/>
    <n v="100"/>
    <n v="13875"/>
    <x v="39"/>
  </r>
  <r>
    <n v="610"/>
    <s v="A"/>
    <m/>
    <m/>
    <m/>
    <m/>
    <m/>
    <m/>
    <m/>
    <m/>
    <m/>
    <m/>
    <m/>
    <n v="1000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m/>
    <m/>
    <m/>
    <m/>
    <m/>
    <m/>
    <m/>
    <m/>
    <m/>
    <m/>
    <m/>
    <m/>
    <m/>
    <n v="23999.900000000009"/>
    <n v="-9.9999999991268851E-2"/>
    <n v="14590.850000000004"/>
    <x v="42"/>
  </r>
  <r>
    <n v="104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106"/>
    <s v="B"/>
    <m/>
    <m/>
    <m/>
    <m/>
    <m/>
    <m/>
    <m/>
    <m/>
    <m/>
    <m/>
    <m/>
    <m/>
    <n v="1000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n v="2228.5700000000002"/>
    <m/>
    <m/>
    <m/>
    <m/>
    <m/>
    <m/>
    <m/>
    <m/>
    <m/>
    <m/>
    <m/>
    <m/>
    <m/>
    <n v="47799.97"/>
    <n v="-2920.0299999999988"/>
    <n v="27742.84"/>
    <x v="44"/>
  </r>
  <r>
    <n v="206"/>
    <s v="B"/>
    <m/>
    <m/>
    <m/>
    <m/>
    <m/>
    <m/>
    <m/>
    <m/>
    <m/>
    <m/>
    <m/>
    <m/>
    <m/>
    <m/>
    <n v="1500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m/>
    <m/>
    <m/>
    <m/>
    <m/>
    <m/>
    <m/>
    <m/>
    <m/>
    <m/>
    <m/>
    <m/>
    <m/>
    <m/>
    <m/>
    <m/>
    <x v="43"/>
  </r>
  <r>
    <n v="213"/>
    <s v="B"/>
    <m/>
    <m/>
    <m/>
    <m/>
    <m/>
    <m/>
    <m/>
    <m/>
    <m/>
    <m/>
    <m/>
    <m/>
    <n v="1000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n v="1210.53"/>
    <m/>
    <m/>
    <m/>
    <m/>
    <m/>
    <m/>
    <m/>
    <m/>
    <m/>
    <m/>
    <m/>
    <m/>
    <m/>
    <m/>
    <m/>
    <m/>
    <m/>
    <m/>
    <x v="43"/>
  </r>
  <r>
    <n v="305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306"/>
    <s v="B"/>
    <m/>
    <m/>
    <m/>
    <m/>
    <m/>
    <m/>
    <m/>
    <m/>
    <m/>
    <m/>
    <m/>
    <m/>
    <m/>
    <m/>
    <m/>
    <m/>
    <m/>
    <m/>
    <m/>
    <m/>
    <m/>
    <m/>
    <m/>
    <m/>
    <m/>
    <n v="5000"/>
    <n v="43242"/>
    <m/>
    <m/>
    <m/>
    <m/>
    <m/>
    <m/>
    <m/>
    <m/>
    <m/>
    <m/>
    <m/>
    <m/>
    <m/>
    <m/>
    <m/>
    <m/>
    <m/>
    <m/>
    <m/>
    <m/>
    <m/>
    <m/>
    <m/>
    <x v="43"/>
  </r>
  <r>
    <n v="308"/>
    <s v="B"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23355.520000000004"/>
    <m/>
    <m/>
    <x v="43"/>
  </r>
  <r>
    <n v="311"/>
    <s v="B"/>
    <m/>
    <m/>
    <m/>
    <m/>
    <m/>
    <m/>
    <m/>
    <m/>
    <m/>
    <m/>
    <m/>
    <m/>
    <m/>
    <m/>
    <m/>
    <m/>
    <m/>
    <m/>
    <m/>
    <m/>
    <m/>
    <m/>
    <m/>
    <m/>
    <m/>
    <m/>
    <n v="1500"/>
    <n v="1178.95"/>
    <n v="1178.95"/>
    <n v="1178.95"/>
    <n v="1178.95"/>
    <n v="1178.95"/>
    <n v="1178.95"/>
    <n v="1178.95"/>
    <n v="1178.95"/>
    <n v="1178.95"/>
    <n v="1178.95"/>
    <n v="1178.95"/>
    <m/>
    <m/>
    <m/>
    <m/>
    <m/>
    <m/>
    <m/>
    <m/>
    <m/>
    <m/>
    <m/>
    <m/>
    <x v="43"/>
  </r>
  <r>
    <n v="312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313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405"/>
    <s v="B"/>
    <m/>
    <m/>
    <m/>
    <m/>
    <m/>
    <m/>
    <m/>
    <m/>
    <m/>
    <m/>
    <m/>
    <m/>
    <m/>
    <m/>
    <m/>
    <m/>
    <m/>
    <m/>
    <m/>
    <m/>
    <n v="500"/>
    <n v="1800"/>
    <n v="1800"/>
    <n v="1800"/>
    <n v="1800"/>
    <n v="1800"/>
    <n v="1800"/>
    <n v="1800"/>
    <n v="1800"/>
    <n v="1800"/>
    <n v="1800"/>
    <n v="1800"/>
    <n v="1800"/>
    <n v="1800"/>
    <m/>
    <m/>
    <m/>
    <m/>
    <m/>
    <m/>
    <m/>
    <m/>
    <m/>
    <m/>
    <m/>
    <m/>
    <m/>
    <m/>
    <m/>
    <m/>
    <x v="43"/>
  </r>
  <r>
    <n v="409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n v="1400"/>
    <m/>
    <m/>
    <m/>
    <m/>
    <m/>
    <x v="43"/>
  </r>
  <r>
    <n v="411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501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508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601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604"/>
    <s v="B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n v="1272.22"/>
    <m/>
    <m/>
    <m/>
    <x v="43"/>
  </r>
  <r>
    <n v="606"/>
    <s v="B"/>
    <m/>
    <m/>
    <m/>
    <m/>
    <m/>
    <m/>
    <m/>
    <m/>
    <m/>
    <m/>
    <m/>
    <m/>
    <m/>
    <m/>
    <n v="1500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m/>
    <m/>
    <m/>
    <m/>
    <m/>
    <m/>
    <m/>
    <m/>
    <m/>
    <m/>
    <m/>
    <m/>
    <m/>
    <m/>
    <m/>
    <m/>
    <x v="43"/>
  </r>
  <r>
    <n v="613"/>
    <s v="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3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4000"/>
    <n v="0"/>
    <x v="6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4000"/>
    <n v="0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01"/>
    <s v="Noemi M."/>
    <s v="Thelma Suyapa Aguilera Sanchez de Roca"/>
    <d v="2022-08-24T00:00:00"/>
    <s v="B1"/>
    <n v="806000"/>
    <n v="806000"/>
    <n v="0"/>
    <n v="80600"/>
    <s v="4.PLAN DE PAGOS"/>
    <n v="0"/>
    <n v="0"/>
    <n v="5000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330"/>
    <n v="0"/>
    <n v="0"/>
    <n v="0"/>
    <n v="0"/>
    <n v="0"/>
    <n v="0"/>
    <n v="0"/>
    <n v="0"/>
    <n v="0"/>
    <m/>
    <m/>
    <m/>
    <n v="80600"/>
    <n v="1"/>
    <n v="0"/>
    <n v="0"/>
    <n v="725400"/>
    <n v="0.9"/>
    <n v="80600"/>
    <n v="0"/>
    <s v="Vendido"/>
    <x v="0"/>
    <m/>
  </r>
  <r>
    <n v="102"/>
    <s v="Noemi M."/>
    <s v="Cristina Estefanía Villagrán Marroquin"/>
    <d v="2023-01-08T00:00:00"/>
    <s v="B3"/>
    <n v="814000"/>
    <n v="814000"/>
    <n v="0"/>
    <n v="81400"/>
    <s v="4.PLAN DE PAGOS"/>
    <n v="0"/>
    <n v="0"/>
    <n v="0"/>
    <n v="0"/>
    <n v="0"/>
    <n v="0"/>
    <n v="0"/>
    <n v="5000"/>
    <n v="8480"/>
    <n v="0"/>
    <n v="8480"/>
    <n v="0"/>
    <n v="4240"/>
    <n v="8480"/>
    <n v="0"/>
    <n v="4240"/>
    <n v="8480"/>
    <n v="0"/>
    <n v="8480"/>
    <n v="4240"/>
    <n v="0"/>
    <n v="4240"/>
    <n v="8480"/>
    <n v="4240"/>
    <n v="0"/>
    <n v="4320"/>
    <n v="500"/>
    <n v="0"/>
    <n v="0"/>
    <n v="0"/>
    <n v="0"/>
    <n v="0"/>
    <n v="0"/>
    <n v="0"/>
    <n v="79769.78"/>
    <m/>
    <m/>
    <m/>
    <n v="161669.78"/>
    <n v="1.9861152334152334"/>
    <n v="80269.78"/>
    <n v="0.98611523341523344"/>
    <n v="652330.22"/>
    <n v="0.80138847665847668"/>
    <n v="81400"/>
    <n v="-80269.78"/>
    <s v="Vendido"/>
    <x v="1"/>
    <m/>
  </r>
  <r>
    <n v="103"/>
    <s v="Paula H."/>
    <s v="Chelsy Amarilis Orellana De León"/>
    <d v="2022-11-30T00:00:00"/>
    <s v="A4"/>
    <n v="1265000"/>
    <n v="1265000"/>
    <n v="0"/>
    <n v="633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5000"/>
    <n v="5000"/>
    <n v="5000"/>
    <n v="21650"/>
    <n v="21650"/>
    <n v="0"/>
    <m/>
    <m/>
    <m/>
    <m/>
    <n v="63300"/>
    <n v="1"/>
    <n v="0"/>
    <n v="0"/>
    <n v="1201700"/>
    <n v="0.94996047430830044"/>
    <n v="63300"/>
    <n v="0"/>
    <s v="Vendido"/>
    <x v="0"/>
    <m/>
  </r>
  <r>
    <n v="104"/>
    <s v="Eder Daniel V."/>
    <s v="_x0009_Ada Marcela Moscoso Lopez / Mostello"/>
    <d v="2024-11-18T00:00:00"/>
    <s v="A2"/>
    <n v="1100200"/>
    <n v="1100200"/>
    <n v="0"/>
    <n v="55100"/>
    <s v="4.PLAN DE PAGOS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0"/>
    <n v="50100"/>
    <n v="0"/>
    <n v="0"/>
    <n v="0"/>
    <m/>
    <m/>
    <m/>
    <m/>
    <n v="55100"/>
    <n v="1"/>
    <n v="0"/>
    <n v="0"/>
    <n v="1045100"/>
    <n v="0.94991819669151067"/>
    <n v="55100"/>
    <n v="0"/>
    <s v="Vendido"/>
    <x v="0"/>
    <m/>
  </r>
  <r>
    <n v="105"/>
    <s v="Ricardo O."/>
    <s v="Juan Pablo Matheu Morales"/>
    <d v="2023-02-15T00:00:00"/>
    <s v="C1"/>
    <n v="639700"/>
    <n v="639700"/>
    <n v="0"/>
    <n v="64000"/>
    <s v="4.PLAN DE PAGOS"/>
    <n v="0"/>
    <n v="0"/>
    <n v="0"/>
    <n v="0"/>
    <n v="0"/>
    <n v="0"/>
    <n v="0"/>
    <n v="0"/>
    <n v="5000"/>
    <n v="0"/>
    <n v="5000"/>
    <n v="0"/>
    <n v="0"/>
    <n v="5000"/>
    <n v="0"/>
    <n v="0"/>
    <n v="0"/>
    <n v="0"/>
    <n v="0"/>
    <n v="0"/>
    <n v="8000"/>
    <n v="0"/>
    <n v="2000"/>
    <n v="0"/>
    <n v="2000"/>
    <n v="14500"/>
    <n v="0"/>
    <n v="2000"/>
    <n v="0"/>
    <n v="0"/>
    <n v="0"/>
    <n v="0"/>
    <n v="0"/>
    <n v="20500"/>
    <m/>
    <m/>
    <m/>
    <m/>
    <n v="64000"/>
    <n v="1"/>
    <n v="0"/>
    <n v="0"/>
    <n v="575700"/>
    <n v="0.89995310301703924"/>
    <n v="64000"/>
    <n v="0"/>
    <s v="Vendido"/>
    <x v="0"/>
    <m/>
  </r>
  <r>
    <n v="201"/>
    <s v="Paula H."/>
    <s v="_x0009_Hernan Benito Guerra Bardales"/>
    <d v="2025-02-13T00:00:00"/>
    <s v="C2"/>
    <n v="650000"/>
    <n v="650000"/>
    <n v="0"/>
    <n v="650000"/>
    <s v="2.RESERVADO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m/>
    <m/>
    <m/>
    <m/>
    <n v="5000"/>
    <n v="7.6923076923076927E-3"/>
    <n v="-645000"/>
    <n v="-0.99230769230769234"/>
    <n v="645000"/>
    <n v="0.99230769230769234"/>
    <n v="650000"/>
    <n v="645000"/>
    <s v="Vendido"/>
    <x v="2"/>
    <m/>
  </r>
  <r>
    <n v="202"/>
    <s v="Paula H."/>
    <s v="Ángel Roberto Sic García/ANGEL EDUARDO SIC MORALES"/>
    <d v="2024-04-16T00:00:00"/>
    <s v="A5"/>
    <n v="805400"/>
    <n v="805400"/>
    <n v="0"/>
    <n v="100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3500"/>
    <n v="3500"/>
    <n v="3500"/>
    <n v="3500"/>
    <n v="3500"/>
    <n v="3500"/>
    <n v="74000"/>
    <n v="0"/>
    <n v="0"/>
    <n v="0"/>
    <n v="0"/>
    <m/>
    <m/>
    <m/>
    <m/>
    <n v="100000"/>
    <n v="1"/>
    <n v="0"/>
    <n v="0"/>
    <n v="705400"/>
    <n v="0.87583809287310654"/>
    <n v="100000"/>
    <n v="0"/>
    <s v="Vendido"/>
    <x v="0"/>
    <m/>
  </r>
  <r>
    <n v="203"/>
    <s v="Francisco S."/>
    <s v="Ana Cristina Velásquez de Gómez"/>
    <d v="2022-06-28T00:00:00"/>
    <s v="A6"/>
    <n v="840000"/>
    <n v="840000"/>
    <n v="0"/>
    <n v="84000"/>
    <s v="4.PLAN DE PAGOS"/>
    <n v="5000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0"/>
    <n v="0.06"/>
    <n v="0"/>
    <n v="0"/>
    <n v="0"/>
    <n v="0"/>
    <n v="0"/>
    <n v="0"/>
    <n v="0"/>
    <n v="66408.509999999995"/>
    <m/>
    <m/>
    <m/>
    <m/>
    <n v="150408.50999999998"/>
    <n v="1.7905774999999997"/>
    <n v="66408.50999999998"/>
    <n v="0.79057749999999971"/>
    <n v="689591.49"/>
    <n v="0.82094224999999998"/>
    <n v="84000"/>
    <n v="-66408.50999999998"/>
    <s v="Vendido"/>
    <x v="1"/>
    <m/>
  </r>
  <r>
    <n v="204"/>
    <s v="Paula H."/>
    <s v="Alfonso Javier Miranda Ramon"/>
    <d v="2024-03-25T00:00:00"/>
    <s v="B2"/>
    <n v="742700"/>
    <n v="742700"/>
    <n v="0"/>
    <n v="371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3000"/>
    <n v="3000"/>
    <n v="3000"/>
    <n v="0"/>
    <n v="3000"/>
    <n v="3000"/>
    <n v="0"/>
    <n v="0"/>
    <n v="3000"/>
    <n v="16200"/>
    <n v="0"/>
    <n v="259806.91"/>
    <m/>
    <m/>
    <m/>
    <m/>
    <n v="297006.91000000003"/>
    <n v="8.0055770889487885"/>
    <n v="259906.91000000003"/>
    <n v="7.0055770889487876"/>
    <n v="445693.08999999997"/>
    <n v="0.60009841120236973"/>
    <n v="37100"/>
    <n v="-259906.91000000003"/>
    <s v="Vendido"/>
    <x v="1"/>
    <m/>
  </r>
  <r>
    <n v="205"/>
    <s v="Paula H."/>
    <s v="Elfego Adonias Apen Son y Dany Alexis Gómez Ajuchán"/>
    <d v="2023-08-14T00:00:00"/>
    <s v="B2"/>
    <n v="718200"/>
    <n v="733200"/>
    <n v="-15000"/>
    <n v="73320"/>
    <s v="4.PLAN DE PAGOS"/>
    <n v="0"/>
    <n v="0"/>
    <n v="0"/>
    <n v="0"/>
    <n v="0"/>
    <n v="0"/>
    <n v="0"/>
    <n v="0"/>
    <n v="0"/>
    <n v="0"/>
    <n v="0"/>
    <n v="0"/>
    <n v="0"/>
    <n v="0"/>
    <n v="6000"/>
    <n v="6000"/>
    <n v="6000"/>
    <n v="6000"/>
    <n v="6000"/>
    <n v="8000"/>
    <n v="8000"/>
    <n v="7000"/>
    <n v="6000"/>
    <n v="5700"/>
    <n v="6000"/>
    <n v="8000"/>
    <n v="10000"/>
    <n v="12000"/>
    <n v="12000"/>
    <n v="10250"/>
    <n v="10250"/>
    <n v="0"/>
    <n v="0"/>
    <n v="164970.28"/>
    <m/>
    <m/>
    <m/>
    <m/>
    <n v="298170.28000000003"/>
    <n v="4.0666977632296781"/>
    <n v="224850.28000000003"/>
    <n v="3.0666977632296786"/>
    <n v="435029.72"/>
    <n v="0.59333022367703214"/>
    <n v="73320"/>
    <n v="-224850.28000000003"/>
    <s v="Vendido"/>
    <x v="1"/>
    <m/>
  </r>
  <r>
    <n v="206"/>
    <s v="Efren Sanchez"/>
    <s v="José Pablo Arana López"/>
    <d v="2024-12-10T00:00:00"/>
    <s v="A3"/>
    <n v="948800"/>
    <n v="948800"/>
    <n v="0"/>
    <n v="47500"/>
    <s v="2.RESERVADO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20000"/>
    <m/>
    <m/>
    <m/>
    <m/>
    <n v="25000"/>
    <n v="0.52631578947368418"/>
    <n v="-22500"/>
    <n v="-0.47368421052631576"/>
    <n v="923800"/>
    <n v="0.97365092748735249"/>
    <n v="47500"/>
    <n v="22500"/>
    <s v="Vendido"/>
    <x v="2"/>
    <m/>
  </r>
  <r>
    <n v="207"/>
    <s v="Paula H."/>
    <s v="Edwin Oswaldo Saenz Marroquin y Leslie Gabriela Senz"/>
    <d v="2024-02-25T00:00:00"/>
    <s v="A1"/>
    <n v="769700"/>
    <n v="769700"/>
    <n v="0"/>
    <n v="38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3700"/>
    <n v="7420.56"/>
    <n v="3700"/>
    <n v="3700"/>
    <n v="3700"/>
    <n v="3700"/>
    <n v="3700"/>
    <n v="3700"/>
    <n v="3700"/>
    <n v="28500"/>
    <n v="10000"/>
    <n v="220489.16"/>
    <n v="0"/>
    <m/>
    <m/>
    <m/>
    <m/>
    <n v="301009.71999999997"/>
    <n v="7.818434285714285"/>
    <n v="262509.71999999997"/>
    <n v="6.818434285714285"/>
    <n v="468690.28"/>
    <n v="0.60892591918929462"/>
    <n v="38500"/>
    <n v="-262509.71999999997"/>
    <s v="Vendido"/>
    <x v="1"/>
    <m/>
  </r>
  <r>
    <n v="208"/>
    <m/>
    <m/>
    <m/>
    <s v="C2"/>
    <n v="650000"/>
    <n v="650000"/>
    <n v="0"/>
    <n v="65000"/>
    <s v="1.DISPONIBL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n v="650000"/>
    <n v="1"/>
    <n v="0"/>
    <n v="0"/>
    <s v="Apartamento Disponible"/>
    <x v="3"/>
    <m/>
  </r>
  <r>
    <n v="301"/>
    <s v="Noemi M."/>
    <s v="Héctor Enrique Zacarias Illescas"/>
    <d v="2023-03-11T00:00:00"/>
    <s v="C2"/>
    <n v="572700"/>
    <n v="572700"/>
    <n v="0"/>
    <n v="58000"/>
    <s v="4.PLAN DE PAGOS"/>
    <n v="0"/>
    <n v="0"/>
    <n v="0"/>
    <n v="0"/>
    <n v="0"/>
    <n v="0"/>
    <n v="0"/>
    <n v="0"/>
    <n v="0"/>
    <n v="7500"/>
    <n v="10000"/>
    <n v="20000"/>
    <n v="0"/>
    <n v="10000"/>
    <n v="20000"/>
    <n v="12500"/>
    <n v="0"/>
    <n v="0"/>
    <n v="0"/>
    <n v="0"/>
    <n v="10000"/>
    <n v="0"/>
    <n v="30000"/>
    <n v="5000"/>
    <n v="15000"/>
    <n v="0"/>
    <n v="0"/>
    <n v="20000"/>
    <n v="40000"/>
    <n v="0"/>
    <n v="0"/>
    <n v="0"/>
    <n v="5000"/>
    <n v="0"/>
    <n v="58222.13"/>
    <m/>
    <m/>
    <m/>
    <n v="263222.13"/>
    <n v="4.5383125862068967"/>
    <n v="205222.13"/>
    <n v="3.5383125862068967"/>
    <n v="309477.87"/>
    <n v="0.54038391828182297"/>
    <n v="58000"/>
    <n v="-205222.13"/>
    <s v="Vendido"/>
    <x v="1"/>
    <m/>
  </r>
  <r>
    <n v="302"/>
    <s v="Eder Veliz"/>
    <s v="Guilmar Renato Najarro Díaz"/>
    <d v="2025-04-16T00:00:00"/>
    <s v="A1"/>
    <n v="698000"/>
    <n v="815000"/>
    <n v="-117000"/>
    <n v="200000"/>
    <s v="2. 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500"/>
    <m/>
    <m/>
    <n v="97500"/>
    <n v="0.48749999999999999"/>
    <n v="-102500"/>
    <n v="-0.51249999999999996"/>
    <n v="717500"/>
    <n v="0.88036809815950923"/>
    <n v="200000"/>
    <n v="102500"/>
    <s v="Vendido"/>
    <x v="2"/>
    <m/>
  </r>
  <r>
    <n v="303"/>
    <s v="Paula H."/>
    <s v="Sofia Maricela Ozaeta Góngora de Vásquez y Samuel Alejandro Vásquez Maldonado"/>
    <d v="2024-10-07T00:00:00"/>
    <s v="A3"/>
    <n v="960966"/>
    <n v="960966"/>
    <n v="0"/>
    <n v="48066"/>
    <s v="4.PLAN DE PAGOS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48066"/>
    <n v="0"/>
    <n v="0"/>
    <n v="0"/>
    <n v="0"/>
    <n v="366021.32"/>
    <m/>
    <m/>
    <m/>
    <m/>
    <n v="414087.32"/>
    <n v="8.6149735779969205"/>
    <n v="366021.32"/>
    <n v="7.6149735779969214"/>
    <n v="546878.67999999993"/>
    <n v="0.56909264219545741"/>
    <n v="48066"/>
    <n v="-366021.32"/>
    <s v="Vendido"/>
    <x v="1"/>
    <m/>
  </r>
  <r>
    <n v="304"/>
    <s v="Ricardo O."/>
    <s v="Luis Alfonso Ramirez Rivas"/>
    <d v="2023-02-06T00:00:00"/>
    <s v="B2"/>
    <n v="655000"/>
    <n v="655000"/>
    <n v="0"/>
    <n v="130000"/>
    <s v="4.PLAN DE PAGOS"/>
    <n v="0"/>
    <n v="0"/>
    <n v="0"/>
    <n v="0"/>
    <n v="0"/>
    <n v="0"/>
    <n v="0"/>
    <n v="0"/>
    <n v="70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0"/>
    <n v="0"/>
    <n v="0"/>
    <n v="0"/>
    <n v="0"/>
    <n v="0"/>
    <n v="64894.55"/>
    <m/>
    <m/>
    <m/>
    <m/>
    <n v="198394.55"/>
    <n v="1.5261119230769229"/>
    <n v="68394.549999999988"/>
    <n v="0.526111923076923"/>
    <n v="456605.45"/>
    <n v="0.69710755725190843"/>
    <n v="130000"/>
    <n v="-68394.549999999988"/>
    <s v="Vendido"/>
    <x v="1"/>
    <m/>
  </r>
  <r>
    <n v="305"/>
    <s v="Ricardo O."/>
    <s v="Carol Analí Ovalle Valladares"/>
    <d v="2023-01-31T00:00:00"/>
    <s v="B2"/>
    <n v="655000"/>
    <n v="655000"/>
    <n v="0"/>
    <n v="100000"/>
    <s v="4.PLAN DE PAGOS"/>
    <n v="0"/>
    <n v="0"/>
    <n v="0"/>
    <n v="0"/>
    <n v="0"/>
    <n v="0"/>
    <n v="0"/>
    <n v="5000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105275"/>
    <n v="0"/>
    <n v="0"/>
    <n v="0"/>
    <n v="0"/>
    <n v="0"/>
    <n v="9470.2800000000007"/>
    <m/>
    <m/>
    <m/>
    <m/>
    <n v="219970.28"/>
    <n v="2.1997027999999998"/>
    <n v="119970.28"/>
    <n v="1.1997028000000001"/>
    <n v="435029.72"/>
    <n v="0.66416751145038166"/>
    <n v="100000"/>
    <n v="-119970.28"/>
    <s v="Vendido"/>
    <x v="1"/>
    <m/>
  </r>
  <r>
    <n v="306"/>
    <s v="Antonio R"/>
    <s v="Lucy Rivas y Jefferson Daniel Mejía Jocol"/>
    <d v="2024-12-06T00:00:00"/>
    <s v="A3"/>
    <n v="948800"/>
    <n v="948800"/>
    <n v="0"/>
    <n v="47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8100"/>
    <n v="0"/>
    <n v="0"/>
    <n v="0"/>
    <m/>
    <m/>
    <m/>
    <n v="33100"/>
    <n v="0.69684210526315793"/>
    <n v="-14400"/>
    <n v="-0.30315789473684213"/>
    <n v="915700"/>
    <n v="0.96511382799325462"/>
    <n v="47500"/>
    <n v="14400"/>
    <s v="Vendido"/>
    <x v="2"/>
    <m/>
  </r>
  <r>
    <n v="307"/>
    <s v="Eder V."/>
    <s v="Narda Guisela Guerrero Reyna"/>
    <d v="2024-12-09T00:00:00"/>
    <s v="A1"/>
    <n v="810000"/>
    <n v="810000"/>
    <n v="0"/>
    <n v="40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35500"/>
    <m/>
    <n v="178600"/>
    <m/>
    <m/>
    <n v="219100"/>
    <n v="5.4098765432098768"/>
    <n v="178600"/>
    <n v="4.4098765432098768"/>
    <n v="590900"/>
    <n v="0.72950617283950614"/>
    <n v="40500"/>
    <n v="-178600"/>
    <s v="Vendido"/>
    <x v="1"/>
    <m/>
  </r>
  <r>
    <n v="308"/>
    <s v="Paula H."/>
    <s v="Rudy Antonio Hernández Ramos"/>
    <d v="2024-12-27T00:00:00"/>
    <s v="C2"/>
    <n v="650000"/>
    <n v="680000"/>
    <n v="-30000"/>
    <n v="34000"/>
    <s v="4.PLAN DE PAGOS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m/>
    <m/>
    <n v="0"/>
    <n v="5000"/>
    <n v="0"/>
    <n v="0"/>
    <n v="60000"/>
    <m/>
    <m/>
    <m/>
    <m/>
    <n v="65000"/>
    <n v="1.911764705882353"/>
    <n v="31000"/>
    <n v="0.91176470588235292"/>
    <n v="615000"/>
    <n v="0.90441176470588236"/>
    <n v="34000"/>
    <n v="-31000"/>
    <s v="Vendido"/>
    <x v="1"/>
    <m/>
  </r>
  <r>
    <n v="401"/>
    <s v="Noemi M."/>
    <s v="Héctor René Guzmán Morán"/>
    <d v="2022-11-15T00:00:00"/>
    <s v="C2"/>
    <n v="547800"/>
    <n v="547800"/>
    <n v="0"/>
    <n v="54780"/>
    <s v="4.PLAN DE PAGOS"/>
    <n v="0"/>
    <n v="0"/>
    <n v="0"/>
    <n v="0"/>
    <n v="0"/>
    <n v="500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660"/>
    <n v="0"/>
    <n v="0"/>
    <n v="2505"/>
    <n v="2505"/>
    <n v="2505"/>
    <n v="2505"/>
    <n v="0"/>
    <n v="0"/>
    <m/>
    <m/>
    <m/>
    <m/>
    <n v="64800"/>
    <n v="1.1829134720700987"/>
    <n v="10020"/>
    <n v="0.18291347207009859"/>
    <n v="483000"/>
    <n v="0.88170865279299016"/>
    <n v="54780"/>
    <n v="-10020"/>
    <s v="Vendido"/>
    <x v="1"/>
    <m/>
  </r>
  <r>
    <n v="402"/>
    <s v="Paula H."/>
    <s v="Luis Fernando Cifuentes Echeverria"/>
    <d v="2023-07-18T00:00:00"/>
    <s v="A1"/>
    <n v="703900"/>
    <n v="703900"/>
    <n v="0"/>
    <n v="70390"/>
    <s v="4.PLAN DE PAGOS"/>
    <n v="0"/>
    <n v="0"/>
    <n v="0"/>
    <n v="0"/>
    <n v="0"/>
    <n v="0"/>
    <n v="0"/>
    <n v="0"/>
    <n v="0"/>
    <n v="0"/>
    <n v="0"/>
    <n v="0"/>
    <n v="0"/>
    <n v="5000"/>
    <n v="9500"/>
    <n v="5500"/>
    <n v="5500"/>
    <n v="5500"/>
    <n v="5500"/>
    <n v="1500"/>
    <n v="5500"/>
    <n v="5500"/>
    <n v="5500"/>
    <n v="5500"/>
    <n v="35500"/>
    <n v="35500"/>
    <n v="30000"/>
    <n v="30000"/>
    <n v="0"/>
    <n v="60000"/>
    <n v="30000"/>
    <m/>
    <n v="0"/>
    <n v="0"/>
    <m/>
    <m/>
    <m/>
    <m/>
    <n v="281000"/>
    <n v="3.9920443244779089"/>
    <n v="210610"/>
    <n v="2.9920443244779089"/>
    <n v="422900"/>
    <n v="0.60079556755220909"/>
    <n v="70390"/>
    <n v="-210610"/>
    <s v="Vendido"/>
    <x v="1"/>
    <m/>
  </r>
  <r>
    <n v="403"/>
    <s v="Paula H."/>
    <s v="José Carlos Sanchez Jimenez"/>
    <d v="2025-04-14T00:00:00"/>
    <s v="A3"/>
    <n v="948800"/>
    <n v="964442"/>
    <n v="-15642"/>
    <n v="48242"/>
    <s v="2. 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621"/>
    <m/>
    <m/>
    <n v="21621"/>
    <n v="0.44817793623813273"/>
    <n v="-26621"/>
    <n v="-0.55182206376186727"/>
    <n v="942821"/>
    <n v="0.97758185562221467"/>
    <n v="48242"/>
    <n v="26621"/>
    <s v="Vendido"/>
    <x v="2"/>
    <m/>
  </r>
  <r>
    <n v="404"/>
    <s v="Ricardo O."/>
    <s v="Nancy Andrea Ovalle Valladares"/>
    <d v="2023-02-06T00:00:00"/>
    <s v="B2"/>
    <n v="655000"/>
    <n v="655000"/>
    <n v="0"/>
    <n v="65500"/>
    <s v="4.PLAN DE PAGOS"/>
    <n v="0"/>
    <n v="0"/>
    <n v="0"/>
    <n v="0"/>
    <n v="0"/>
    <n v="0"/>
    <n v="0"/>
    <n v="0"/>
    <n v="5000"/>
    <n v="3500"/>
    <n v="3617.76"/>
    <n v="3500"/>
    <n v="3500"/>
    <n v="3500"/>
    <n v="3500"/>
    <n v="7000"/>
    <n v="0"/>
    <n v="7000"/>
    <n v="3500"/>
    <n v="3500"/>
    <n v="0"/>
    <n v="3500"/>
    <n v="3500"/>
    <n v="3500"/>
    <n v="3500"/>
    <n v="3500"/>
    <n v="882.24"/>
    <n v="0"/>
    <n v="0"/>
    <n v="0"/>
    <n v="0"/>
    <n v="0"/>
    <n v="0"/>
    <n v="0"/>
    <m/>
    <m/>
    <m/>
    <m/>
    <n v="65500"/>
    <n v="1"/>
    <n v="0"/>
    <n v="0"/>
    <n v="589500"/>
    <n v="0.9"/>
    <n v="65500"/>
    <n v="0"/>
    <s v="Vendido"/>
    <x v="0"/>
    <m/>
  </r>
  <r>
    <n v="405"/>
    <s v="Noemi M."/>
    <s v="Lester Eduardo Velasquez Dubon."/>
    <d v="2023-01-30T00:00:00"/>
    <s v="B2"/>
    <n v="655000"/>
    <n v="655000"/>
    <n v="0"/>
    <n v="414500"/>
    <s v="4.PLAN DE PAGOS"/>
    <n v="0"/>
    <n v="0"/>
    <n v="0"/>
    <n v="0"/>
    <n v="0"/>
    <n v="0"/>
    <n v="0"/>
    <n v="50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0"/>
    <n v="0"/>
    <n v="0"/>
    <n v="0"/>
    <n v="0"/>
    <n v="0"/>
    <n v="415500"/>
    <n v="0"/>
    <n v="0"/>
    <m/>
    <m/>
    <m/>
    <m/>
    <n v="480000"/>
    <n v="1.1580217129071171"/>
    <n v="65500"/>
    <n v="0.158021712907117"/>
    <n v="175000"/>
    <n v="0.26717557251908397"/>
    <n v="414500"/>
    <n v="-65500"/>
    <s v="Vendido"/>
    <x v="1"/>
    <m/>
  </r>
  <r>
    <n v="406"/>
    <s v="Paula H."/>
    <s v="Gerson Merari Tubac Tepaz"/>
    <d v="2024-11-29T00:00:00"/>
    <s v="A3"/>
    <n v="964442"/>
    <n v="948800"/>
    <n v="15642"/>
    <n v="49500"/>
    <s v="4.PLAN DE PAGOS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27250"/>
    <n v="22250"/>
    <n v="0"/>
    <n v="0"/>
    <n v="0"/>
    <m/>
    <m/>
    <m/>
    <m/>
    <n v="49500"/>
    <n v="1"/>
    <n v="0"/>
    <n v="0"/>
    <n v="899300"/>
    <n v="0.94782883642495785"/>
    <n v="49500"/>
    <n v="0"/>
    <s v="Vendido"/>
    <x v="0"/>
    <m/>
  </r>
  <r>
    <n v="407"/>
    <s v="Noemi M."/>
    <s v="Desireé Castro Rodríguez"/>
    <d v="2023-01-19T00:00:00"/>
    <s v="A1"/>
    <n v="680000"/>
    <n v="680000"/>
    <n v="0"/>
    <n v="68000"/>
    <s v="4.PLAN DE PAGOS"/>
    <n v="0"/>
    <n v="0"/>
    <n v="0"/>
    <n v="0"/>
    <n v="0"/>
    <n v="0"/>
    <n v="0"/>
    <n v="5000"/>
    <n v="3500"/>
    <n v="3500"/>
    <n v="3500"/>
    <n v="3500"/>
    <n v="3500"/>
    <n v="3500"/>
    <n v="3500"/>
    <n v="3500"/>
    <n v="3500"/>
    <n v="0"/>
    <n v="7000"/>
    <n v="3500"/>
    <n v="3500"/>
    <n v="3500"/>
    <n v="3500"/>
    <n v="3500"/>
    <n v="3500"/>
    <n v="3500"/>
    <n v="0"/>
    <n v="0"/>
    <n v="0"/>
    <n v="0"/>
    <n v="0"/>
    <n v="0"/>
    <n v="0"/>
    <n v="123008.17"/>
    <m/>
    <m/>
    <m/>
    <m/>
    <n v="191008.16999999998"/>
    <n v="2.8089436764705882"/>
    <n v="123008.16999999998"/>
    <n v="1.808943676470588"/>
    <n v="488991.83"/>
    <n v="0.71910563235294123"/>
    <n v="68000"/>
    <n v="-123008.16999999998"/>
    <s v="Vendido"/>
    <x v="1"/>
    <m/>
  </r>
  <r>
    <n v="408"/>
    <s v="Lilian G."/>
    <s v="Luis Mariano Calderón Ponce/JOSE VICENTE CALDERON"/>
    <d v="2022-11-22T00:00:00"/>
    <s v="C2"/>
    <n v="547800"/>
    <n v="547800"/>
    <n v="0"/>
    <n v="54780"/>
    <s v="4.PLAN DE PAGOS"/>
    <n v="0"/>
    <n v="0"/>
    <n v="0"/>
    <n v="0"/>
    <n v="0"/>
    <n v="5000"/>
    <n v="2480.35"/>
    <n v="2480"/>
    <n v="2480"/>
    <n v="2480"/>
    <n v="2480"/>
    <n v="2480"/>
    <n v="2480"/>
    <n v="2480"/>
    <n v="2480"/>
    <n v="2480"/>
    <n v="2480"/>
    <n v="0"/>
    <n v="0"/>
    <n v="2480"/>
    <n v="0"/>
    <n v="2480"/>
    <n v="2480"/>
    <n v="2480"/>
    <n v="4960"/>
    <n v="2480"/>
    <n v="2480"/>
    <n v="0"/>
    <n v="2695"/>
    <n v="0"/>
    <n v="0"/>
    <n v="0"/>
    <n v="0"/>
    <n v="0"/>
    <m/>
    <m/>
    <m/>
    <m/>
    <n v="54815.35"/>
    <n v="1.0006453085067544"/>
    <n v="35.349999999998545"/>
    <n v="6.4530850675426337E-4"/>
    <n v="492984.65"/>
    <n v="0.89993546914932465"/>
    <n v="54780"/>
    <n v="-35.349999999998545"/>
    <s v="Vendido"/>
    <x v="1"/>
    <m/>
  </r>
  <r>
    <n v="501"/>
    <s v="Noemi M."/>
    <s v="Nery Gamaliel Santos Moscoso"/>
    <d v="2022-09-16T00:00:00"/>
    <s v="C2"/>
    <n v="547000"/>
    <n v="547000"/>
    <n v="0"/>
    <n v="54700"/>
    <s v="4.PLAN DE PAGOS"/>
    <n v="0"/>
    <n v="0"/>
    <n v="0"/>
    <n v="5000"/>
    <n v="2260"/>
    <n v="2260"/>
    <n v="4520"/>
    <n v="0"/>
    <n v="2260"/>
    <n v="3000"/>
    <n v="3000"/>
    <n v="3000"/>
    <n v="3000"/>
    <n v="3000"/>
    <n v="3000"/>
    <n v="3000"/>
    <n v="0"/>
    <n v="2500"/>
    <n v="2500"/>
    <n v="0"/>
    <n v="0"/>
    <n v="0"/>
    <n v="7000"/>
    <n v="5000"/>
    <n v="0"/>
    <n v="3500"/>
    <n v="0"/>
    <n v="0"/>
    <n v="0"/>
    <n v="0"/>
    <n v="0"/>
    <n v="0"/>
    <n v="154113.54999999999"/>
    <n v="0"/>
    <m/>
    <m/>
    <m/>
    <m/>
    <n v="211913.55"/>
    <n v="3.8741051188299815"/>
    <n v="157213.54999999999"/>
    <n v="2.8741051188299815"/>
    <n v="335086.45"/>
    <n v="0.61258948811700187"/>
    <n v="54700"/>
    <n v="-157213.54999999999"/>
    <s v="Vendido"/>
    <x v="1"/>
    <m/>
  </r>
  <r>
    <n v="502"/>
    <s v="Noemi M."/>
    <s v="Carlos Jeffry López Esquivel"/>
    <d v="2023-01-23T00:00:00"/>
    <s v="A1"/>
    <n v="688000"/>
    <n v="688000"/>
    <n v="0"/>
    <n v="68800"/>
    <s v="4.PLAN DE PAGOS"/>
    <n v="0"/>
    <n v="0"/>
    <n v="0"/>
    <n v="0"/>
    <n v="0"/>
    <n v="0"/>
    <n v="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5000"/>
    <n v="0"/>
    <n v="0"/>
    <n v="0"/>
    <n v="0"/>
    <n v="0"/>
    <n v="0"/>
    <n v="0"/>
    <n v="0"/>
    <n v="0"/>
    <n v="0"/>
    <n v="110675.73"/>
    <m/>
    <m/>
    <m/>
    <m/>
    <n v="190675.72999999998"/>
    <n v="2.771449563953488"/>
    <n v="121875.72999999998"/>
    <n v="1.7714495639534882"/>
    <n v="497324.27"/>
    <n v="0.72285504360465114"/>
    <n v="68800"/>
    <n v="-121875.72999999998"/>
    <s v="Vendido"/>
    <x v="1"/>
    <m/>
  </r>
  <r>
    <n v="503"/>
    <s v="Paula H."/>
    <s v="Enrique Virgilio Reyes"/>
    <d v="2024-02-19T00:00:00"/>
    <s v="A3"/>
    <n v="989600"/>
    <n v="989600"/>
    <n v="0"/>
    <n v="49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4900"/>
    <n v="0"/>
    <n v="4900"/>
    <n v="9800"/>
    <n v="0"/>
    <n v="4900"/>
    <n v="0"/>
    <n v="0"/>
    <n v="14700"/>
    <n v="0"/>
    <n v="0"/>
    <n v="15400"/>
    <m/>
    <m/>
    <m/>
    <m/>
    <n v="59600"/>
    <n v="1.204040404040404"/>
    <n v="10100"/>
    <n v="0.20404040404040405"/>
    <n v="930000"/>
    <n v="0.93977364591754242"/>
    <n v="49500"/>
    <n v="-10100"/>
    <s v="Vendido"/>
    <x v="1"/>
    <m/>
  </r>
  <r>
    <n v="504"/>
    <s v="Lilian G."/>
    <s v="Sindy Julissa Girón López"/>
    <d v="2022-10-06T00:00:00"/>
    <s v="B2"/>
    <n v="665000"/>
    <n v="665000"/>
    <n v="0"/>
    <n v="66500"/>
    <s v="4.PLAN DE PAGOS"/>
    <n v="0"/>
    <n v="0"/>
    <n v="0"/>
    <n v="0"/>
    <n v="5000"/>
    <n v="2673"/>
    <n v="2673"/>
    <n v="2673"/>
    <n v="5350"/>
    <n v="2675"/>
    <n v="0"/>
    <n v="2675"/>
    <n v="2675"/>
    <n v="2675"/>
    <n v="5350"/>
    <n v="0"/>
    <n v="2675"/>
    <n v="2675"/>
    <n v="2675"/>
    <n v="2675"/>
    <n v="2675"/>
    <n v="2675"/>
    <n v="0"/>
    <n v="5350"/>
    <n v="2675"/>
    <n v="2675"/>
    <n v="0"/>
    <n v="2675"/>
    <n v="2656"/>
    <n v="0"/>
    <m/>
    <n v="0"/>
    <n v="0"/>
    <n v="0"/>
    <m/>
    <n v="195000"/>
    <m/>
    <m/>
    <n v="261500"/>
    <n v="3.9323308270676693"/>
    <n v="195000"/>
    <n v="2.9323308270676693"/>
    <n v="403500"/>
    <n v="0.60676691729323307"/>
    <n v="66500"/>
    <n v="-195000"/>
    <s v="Vendido"/>
    <x v="1"/>
    <m/>
  </r>
  <r>
    <n v="505"/>
    <s v="Eder V."/>
    <s v="Narda Guisela Guerrero Reyna"/>
    <d v="2024-11-18T00:00:00"/>
    <s v="B2"/>
    <n v="815000"/>
    <n v="810000"/>
    <n v="5000"/>
    <n v="40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35500"/>
    <m/>
    <n v="5000"/>
    <m/>
    <m/>
    <n v="45500"/>
    <n v="1.1234567901234569"/>
    <n v="5000"/>
    <n v="0.12345679012345678"/>
    <n v="764500"/>
    <n v="0.9438271604938272"/>
    <n v="40500"/>
    <n v="-5000"/>
    <s v="Vendido"/>
    <x v="1"/>
    <m/>
  </r>
  <r>
    <n v="506"/>
    <s v="Paula H."/>
    <s v="Ingrid Karina De León López"/>
    <d v="2024-06-18T00:00:00"/>
    <s v="A3"/>
    <n v="980170.9"/>
    <n v="948800"/>
    <n v="31370.900000000023"/>
    <n v="47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8500"/>
    <n v="8500"/>
    <n v="8500"/>
    <n v="8550"/>
    <n v="39820.9"/>
    <m/>
    <n v="0"/>
    <n v="0"/>
    <n v="0"/>
    <m/>
    <m/>
    <m/>
    <m/>
    <n v="78870.899999999994"/>
    <n v="1.6604399999999999"/>
    <n v="31370.899999999994"/>
    <n v="0.66043999999999992"/>
    <n v="869929.1"/>
    <n v="0.916872997470489"/>
    <n v="47500"/>
    <n v="-31370.899999999994"/>
    <s v="Vendido"/>
    <x v="1"/>
    <m/>
  </r>
  <r>
    <n v="507"/>
    <s v="Noemi M."/>
    <s v="William Joselito de León Nimatuj"/>
    <d v="2023-01-13T00:00:00"/>
    <s v="A1"/>
    <n v="690000"/>
    <n v="690000"/>
    <n v="0"/>
    <n v="69000"/>
    <s v="4.PLAN DE PAGOS"/>
    <n v="0"/>
    <n v="0"/>
    <n v="0"/>
    <n v="0"/>
    <n v="0"/>
    <n v="0"/>
    <n v="0"/>
    <n v="5000"/>
    <n v="10000"/>
    <n v="20000"/>
    <n v="0"/>
    <n v="10000"/>
    <n v="10000"/>
    <n v="0"/>
    <n v="0"/>
    <n v="0"/>
    <n v="40000"/>
    <n v="0"/>
    <n v="0"/>
    <n v="0"/>
    <n v="0"/>
    <n v="0"/>
    <n v="0"/>
    <n v="50000"/>
    <n v="0"/>
    <n v="0"/>
    <n v="0"/>
    <n v="0"/>
    <n v="50000"/>
    <n v="50000"/>
    <m/>
    <n v="0"/>
    <n v="0"/>
    <n v="0"/>
    <m/>
    <m/>
    <m/>
    <m/>
    <n v="245000"/>
    <n v="3.5507246376811592"/>
    <n v="176000"/>
    <n v="2.5507246376811592"/>
    <n v="445000"/>
    <n v="0.64492753623188404"/>
    <n v="69000"/>
    <n v="-176000"/>
    <s v="Vendido"/>
    <x v="1"/>
    <m/>
  </r>
  <r>
    <n v="508"/>
    <s v="Paula H."/>
    <s v="Rudy Antonio Hernandez Ramos"/>
    <d v="2024-12-27T00:00:00"/>
    <s v="C2"/>
    <n v="660000"/>
    <n v="680000"/>
    <n v="-20000"/>
    <n v="34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60000"/>
    <m/>
    <m/>
    <m/>
    <m/>
    <n v="65000"/>
    <n v="1.911764705882353"/>
    <n v="31000"/>
    <n v="0.91176470588235292"/>
    <n v="615000"/>
    <n v="0.90441176470588236"/>
    <n v="34000"/>
    <n v="-31000"/>
    <s v="Vendido"/>
    <x v="1"/>
    <m/>
  </r>
  <r>
    <n v="601"/>
    <s v="Francisco S."/>
    <s v="Maria del Carmen Corado Morales"/>
    <d v="2022-09-23T00:00:00"/>
    <s v="C2"/>
    <n v="498000"/>
    <n v="498000"/>
    <n v="0"/>
    <n v="49800"/>
    <s v="4.PLAN DE PAGOS"/>
    <n v="0"/>
    <n v="0"/>
    <n v="0"/>
    <n v="5000"/>
    <n v="1947.83"/>
    <n v="1947.85"/>
    <n v="1947.85"/>
    <n v="1947.85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2007.83"/>
    <n v="0"/>
    <n v="0"/>
    <n v="3192.02"/>
    <n v="0"/>
    <n v="109812.63"/>
    <n v="0"/>
    <m/>
    <m/>
    <m/>
    <m/>
    <n v="164812.63000000003"/>
    <n v="3.3094905622489965"/>
    <n v="115012.63000000003"/>
    <n v="2.3094905622489965"/>
    <n v="333187.37"/>
    <n v="0.66905094377510044"/>
    <n v="49800"/>
    <n v="-115012.63000000003"/>
    <s v="Vendido"/>
    <x v="1"/>
    <m/>
  </r>
  <r>
    <n v="602"/>
    <s v="Francisco S."/>
    <s v="Lucy Abigail Mendoza Fuentes"/>
    <d v="2022-11-15T00:00:00"/>
    <s v="A1"/>
    <n v="698000"/>
    <n v="698000"/>
    <n v="0"/>
    <n v="69800"/>
    <s v="4.PLAN DE PAGOS"/>
    <n v="0"/>
    <n v="0"/>
    <n v="0"/>
    <n v="0"/>
    <n v="0"/>
    <n v="500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0"/>
    <n v="40"/>
    <n v="0"/>
    <n v="146917.89000000001"/>
    <m/>
    <m/>
    <m/>
    <m/>
    <n v="229717.89"/>
    <n v="3.291087249283668"/>
    <n v="159917.89000000001"/>
    <n v="2.291087249283668"/>
    <n v="468282.11"/>
    <n v="0.67089127507163326"/>
    <n v="69800"/>
    <n v="-159917.89000000001"/>
    <s v="Vendido"/>
    <x v="1"/>
    <m/>
  </r>
  <r>
    <n v="603"/>
    <s v="Francisco S."/>
    <s v="Werny Jose Ortiz Alegria"/>
    <d v="2024-11-18T00:00:00"/>
    <s v="A3"/>
    <n v="961882.4"/>
    <n v="1002682.4"/>
    <n v="-40800"/>
    <n v="80682.399999999994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50"/>
    <n v="82.4"/>
    <n v="324384.34999999998"/>
    <n v="0"/>
    <m/>
    <m/>
    <m/>
    <m/>
    <n v="331516.75"/>
    <n v="4.1089103695477576"/>
    <n v="250834.35"/>
    <n v="3.108910369547758"/>
    <n v="671165.65"/>
    <n v="0.66937013155910585"/>
    <n v="80682.399999999994"/>
    <n v="-250834.35"/>
    <s v="Vendido"/>
    <x v="1"/>
    <m/>
  </r>
  <r>
    <n v="604"/>
    <s v="Paula H."/>
    <s v="Carlos Ovaldo Godinez y  Godinez"/>
    <d v="2024-01-31T00:00:00"/>
    <s v="B2"/>
    <n v="747264"/>
    <n v="747264"/>
    <n v="0"/>
    <n v="747264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3500"/>
    <n v="3500"/>
    <n v="3500"/>
    <n v="3500"/>
    <n v="728264"/>
    <n v="0"/>
    <n v="0"/>
    <n v="0"/>
    <n v="0"/>
    <n v="0"/>
    <n v="0"/>
    <n v="0"/>
    <n v="0"/>
    <m/>
    <m/>
    <m/>
    <m/>
    <n v="747264"/>
    <n v="1"/>
    <n v="0"/>
    <n v="0"/>
    <n v="0"/>
    <n v="0"/>
    <n v="747264"/>
    <n v="0"/>
    <s v="Vendido"/>
    <x v="0"/>
    <m/>
  </r>
  <r>
    <n v="605"/>
    <s v="Antonio R"/>
    <s v="Lauriano Figueroa Del Cid"/>
    <d v="2024-12-21T00:00:00"/>
    <s v="B2"/>
    <n v="665000"/>
    <n v="850000"/>
    <n v="-185000"/>
    <n v="409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35900"/>
    <n v="0"/>
    <m/>
    <m/>
    <m/>
    <m/>
    <n v="40900"/>
    <n v="1"/>
    <n v="0"/>
    <n v="0"/>
    <n v="809100"/>
    <n v="0.95188235294117651"/>
    <n v="40900"/>
    <n v="0"/>
    <s v="Vendido"/>
    <x v="0"/>
    <m/>
  </r>
  <r>
    <n v="606"/>
    <s v="Paula H."/>
    <s v="Irasema Dilian Magaña Muñoz"/>
    <d v="2024-08-17T00:00:00"/>
    <s v="A3"/>
    <n v="989600"/>
    <n v="989600"/>
    <n v="0"/>
    <n v="494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89900"/>
    <n v="0"/>
    <n v="0"/>
    <n v="0"/>
    <n v="302993.03999999998"/>
    <m/>
    <m/>
    <m/>
    <m/>
    <n v="397893.04"/>
    <n v="8.0545149797570854"/>
    <n v="348493.04"/>
    <n v="7.0545149797570845"/>
    <n v="591706.96"/>
    <n v="0.59792538399353268"/>
    <n v="49400"/>
    <n v="-348493.04"/>
    <s v="Vendido"/>
    <x v="1"/>
    <m/>
  </r>
  <r>
    <n v="607"/>
    <s v="Noemi M."/>
    <s v="Alex André Cruz Caal"/>
    <d v="2022-10-25T00:00:00"/>
    <s v="A1"/>
    <n v="690000"/>
    <n v="676200"/>
    <n v="13800"/>
    <n v="676200"/>
    <s v="4.PLAN DE PAGOS"/>
    <n v="0"/>
    <n v="0"/>
    <n v="0"/>
    <n v="0"/>
    <n v="338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100"/>
    <n v="0"/>
    <m/>
    <m/>
    <m/>
    <m/>
    <m/>
    <n v="681200"/>
    <n v="1.007394262052647"/>
    <n v="5000"/>
    <n v="7.3942620526471457E-3"/>
    <n v="-5000"/>
    <n v="-7.3942620526471457E-3"/>
    <n v="676200"/>
    <n v="-5000"/>
    <s v="Vendido"/>
    <x v="1"/>
    <m/>
  </r>
  <r>
    <n v="608"/>
    <s v="Noemi M."/>
    <s v="Kateryn Gabriela Quinon Reyes de Marroquin"/>
    <d v="2022-08-28T00:00:00"/>
    <s v="C2"/>
    <n v="498000"/>
    <n v="498000"/>
    <n v="0"/>
    <n v="49800"/>
    <s v="4.PLAN DE PAGOS"/>
    <n v="0"/>
    <n v="0"/>
    <n v="5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800"/>
    <n v="2000"/>
    <n v="2000"/>
    <n v="2000"/>
    <n v="2000"/>
    <n v="2000"/>
    <n v="2000"/>
    <n v="0"/>
    <n v="0"/>
    <n v="103185.97"/>
    <m/>
    <m/>
    <m/>
    <m/>
    <n v="164985.97"/>
    <n v="3.3129712851405624"/>
    <n v="115185.97"/>
    <n v="2.3129712851405624"/>
    <n v="333014.03000000003"/>
    <n v="0.66870287148594387"/>
    <n v="49800"/>
    <n v="-115185.97"/>
    <s v="Vendido"/>
    <x v="1"/>
    <m/>
  </r>
  <r>
    <n v="701"/>
    <s v="Noemi M."/>
    <s v="Rony Hanley Chalí Ramos"/>
    <d v="2022-08-29T00:00:00"/>
    <s v="C2"/>
    <n v="498000"/>
    <n v="498000"/>
    <n v="0"/>
    <n v="250000"/>
    <s v="4.PLAN DE PAGOS"/>
    <n v="0"/>
    <n v="0"/>
    <n v="5000"/>
    <n v="187725"/>
    <n v="8175"/>
    <n v="0"/>
    <n v="2725"/>
    <n v="5450"/>
    <n v="2725"/>
    <n v="2725"/>
    <n v="2725"/>
    <n v="2725"/>
    <n v="2725"/>
    <n v="2725"/>
    <n v="2725"/>
    <n v="2725"/>
    <n v="2725"/>
    <n v="0"/>
    <n v="5450"/>
    <n v="0"/>
    <n v="2725"/>
    <n v="2725"/>
    <n v="2725"/>
    <n v="2775"/>
    <n v="0"/>
    <n v="0"/>
    <n v="0"/>
    <n v="0"/>
    <n v="0"/>
    <n v="0"/>
    <n v="0"/>
    <n v="0"/>
    <n v="0"/>
    <n v="0"/>
    <m/>
    <m/>
    <m/>
    <m/>
    <n v="250000"/>
    <n v="1"/>
    <n v="0"/>
    <n v="0"/>
    <n v="248000"/>
    <n v="0.49799196787148592"/>
    <n v="250000"/>
    <n v="0"/>
    <s v="Vendido"/>
    <x v="0"/>
    <m/>
  </r>
  <r>
    <n v="702"/>
    <s v="Noemi M."/>
    <s v="Julio César Chávez Mancio"/>
    <d v="2022-10-27T00:00:00"/>
    <s v="A1"/>
    <n v="698000"/>
    <n v="698000"/>
    <n v="0"/>
    <n v="69800"/>
    <s v="4.PLAN DE PAGOS"/>
    <n v="0"/>
    <n v="0"/>
    <n v="0"/>
    <n v="0"/>
    <n v="5000"/>
    <n v="3085.71"/>
    <n v="3085.71"/>
    <n v="3085.71"/>
    <n v="0"/>
    <n v="6171.42"/>
    <n v="3085.71"/>
    <n v="3085.71"/>
    <n v="0"/>
    <n v="3085.71"/>
    <n v="3085.71"/>
    <n v="0"/>
    <n v="0"/>
    <n v="6171.42"/>
    <n v="0"/>
    <n v="6171.42"/>
    <n v="3085.71"/>
    <n v="3085.71"/>
    <n v="0"/>
    <n v="6171.42"/>
    <n v="3085.71"/>
    <n v="3085.71"/>
    <n v="0"/>
    <n v="0"/>
    <n v="0"/>
    <n v="0"/>
    <n v="0"/>
    <n v="0"/>
    <n v="3085.71"/>
    <n v="0"/>
    <n v="0"/>
    <n v="3085.8"/>
    <m/>
    <m/>
    <n v="69800"/>
    <n v="1"/>
    <n v="0"/>
    <n v="0"/>
    <n v="628200"/>
    <n v="0.9"/>
    <n v="69800"/>
    <n v="0"/>
    <s v="Vendido"/>
    <x v="0"/>
    <m/>
  </r>
  <r>
    <n v="703"/>
    <s v="Paula H."/>
    <s v="Irving Elías López Salguero"/>
    <d v="2024-05-06T00:00:00"/>
    <s v="A3"/>
    <n v="896715.83"/>
    <n v="896715.83"/>
    <n v="0"/>
    <n v="896715.83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6715.83"/>
    <n v="0"/>
    <n v="0"/>
    <n v="0"/>
    <n v="0"/>
    <n v="0"/>
    <n v="0"/>
    <n v="0"/>
    <n v="0"/>
    <m/>
    <n v="0"/>
    <m/>
    <m/>
    <m/>
    <m/>
    <n v="896715.83"/>
    <n v="1"/>
    <n v="0"/>
    <n v="0"/>
    <n v="0"/>
    <n v="0"/>
    <n v="896715.83"/>
    <n v="0"/>
    <s v="Vendido"/>
    <x v="0"/>
    <m/>
  </r>
  <r>
    <n v="704"/>
    <s v="Lilian G."/>
    <s v="Carlos Benjamín Salazar Batres"/>
    <d v="2022-06-30T00:00:00"/>
    <s v="B2"/>
    <n v="665000"/>
    <n v="665000"/>
    <n v="0"/>
    <n v="66500"/>
    <s v="4.PLAN DE PAGOS"/>
    <n v="5000"/>
    <n v="1000"/>
    <n v="1000"/>
    <n v="1000"/>
    <n v="1000"/>
    <n v="2738"/>
    <n v="2738"/>
    <n v="2738"/>
    <n v="2738"/>
    <n v="5476"/>
    <n v="0"/>
    <n v="2738"/>
    <n v="2738"/>
    <n v="2738"/>
    <n v="2738"/>
    <n v="2738"/>
    <n v="2738"/>
    <n v="2738"/>
    <n v="2738"/>
    <n v="2738"/>
    <n v="2738"/>
    <n v="2738"/>
    <n v="2738"/>
    <n v="2738"/>
    <n v="2738"/>
    <n v="2740"/>
    <n v="0"/>
    <n v="0"/>
    <n v="0"/>
    <n v="0"/>
    <n v="0"/>
    <n v="0"/>
    <n v="147395.73000000001"/>
    <n v="0"/>
    <m/>
    <m/>
    <m/>
    <m/>
    <n v="213895.73"/>
    <n v="3.2164771428571428"/>
    <n v="147395.73000000001"/>
    <n v="2.2164771428571428"/>
    <n v="451104.27"/>
    <n v="0.67835228571428574"/>
    <n v="66500"/>
    <n v="-147395.73000000001"/>
    <s v="Vendido"/>
    <x v="1"/>
    <m/>
  </r>
  <r>
    <n v="705"/>
    <s v="Lilian G."/>
    <s v="Mario Giovanni Paz Ponti"/>
    <d v="2022-07-08T00:00:00"/>
    <s v="B2"/>
    <n v="665000"/>
    <n v="665000"/>
    <n v="0"/>
    <n v="66500"/>
    <s v="4.PLAN DE PAGOS"/>
    <n v="0"/>
    <n v="5000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0"/>
    <n v="0"/>
    <n v="0"/>
    <n v="0"/>
    <n v="11000"/>
    <n v="11000"/>
    <n v="11000"/>
    <n v="22000"/>
    <m/>
    <m/>
    <m/>
    <m/>
    <n v="121500"/>
    <n v="1.8270676691729324"/>
    <n v="55000"/>
    <n v="0.82706766917293228"/>
    <n v="543500"/>
    <n v="0.81729323308270674"/>
    <n v="66500"/>
    <n v="-55000"/>
    <s v="Vendido"/>
    <x v="1"/>
    <m/>
  </r>
  <r>
    <n v="706"/>
    <s v="Paula H."/>
    <s v="Marlon Estuardo Cardona y Adriana Sofía Gutierrez"/>
    <d v="2024-03-16T00:00:00"/>
    <s v="A3"/>
    <n v="900000"/>
    <n v="900000"/>
    <n v="0"/>
    <n v="900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111875"/>
    <n v="111875"/>
    <n v="111875"/>
    <n v="111875"/>
    <n v="0"/>
    <n v="111875"/>
    <n v="0"/>
    <n v="0"/>
    <n v="111875"/>
    <n v="111875"/>
    <n v="0"/>
    <n v="0"/>
    <m/>
    <m/>
    <m/>
    <n v="788125"/>
    <n v="0.87569444444444444"/>
    <n v="-111875"/>
    <n v="-0.12430555555555556"/>
    <n v="111875"/>
    <n v="0.12430555555555556"/>
    <n v="900000"/>
    <n v="111875"/>
    <s v="Vendido"/>
    <x v="2"/>
    <m/>
  </r>
  <r>
    <n v="707"/>
    <s v="Noemi M."/>
    <s v="Silvia Elizabeth Guevara Lucas"/>
    <d v="2022-09-26T00:00:00"/>
    <s v="A1"/>
    <n v="697720"/>
    <n v="697720"/>
    <n v="0"/>
    <n v="76720"/>
    <s v="4.PLAN DE PAGOS"/>
    <n v="0"/>
    <n v="0"/>
    <n v="0"/>
    <n v="5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6000"/>
    <n v="0"/>
    <n v="3000"/>
    <n v="3000"/>
    <n v="3000"/>
    <n v="8720"/>
    <n v="0"/>
    <n v="0"/>
    <n v="0"/>
    <n v="0"/>
    <n v="0"/>
    <n v="0"/>
    <n v="149276.78"/>
    <m/>
    <m/>
    <m/>
    <m/>
    <m/>
    <n v="225996.78"/>
    <n v="2.9457348800834202"/>
    <n v="149276.78"/>
    <n v="1.9457348800834202"/>
    <n v="471723.22"/>
    <n v="0.67609244396032786"/>
    <n v="76720"/>
    <n v="-149276.78"/>
    <s v="Vendido"/>
    <x v="1"/>
    <m/>
  </r>
  <r>
    <n v="708"/>
    <s v="Noemi M."/>
    <s v="Juan José Marroquín Rivera"/>
    <d v="2022-08-28T00:00:00"/>
    <s v="C2"/>
    <n v="498000"/>
    <n v="498000"/>
    <n v="0"/>
    <n v="49800"/>
    <s v="4.PLAN DE PAGOS"/>
    <n v="0"/>
    <n v="0"/>
    <n v="5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800"/>
    <n v="2000"/>
    <n v="2000"/>
    <n v="2000"/>
    <n v="2000"/>
    <n v="2000"/>
    <n v="2000"/>
    <n v="0"/>
    <n v="0"/>
    <n v="102846.48"/>
    <m/>
    <m/>
    <m/>
    <m/>
    <n v="164646.47999999998"/>
    <n v="3.3061542168674696"/>
    <n v="114846.47999999998"/>
    <n v="2.3061542168674696"/>
    <n v="333353.52"/>
    <n v="0.66938457831325304"/>
    <n v="49800"/>
    <n v="-114846.47999999998"/>
    <s v="Vendido"/>
    <x v="1"/>
    <m/>
  </r>
  <r>
    <n v="801"/>
    <s v="Francisco S."/>
    <s v="Nancy Maricela Velasquez Aguilar"/>
    <d v="2022-06-27T00:00:00"/>
    <s v="C2"/>
    <n v="498000"/>
    <n v="498000"/>
    <n v="0"/>
    <n v="49800"/>
    <s v="4.PLAN DE PAGOS"/>
    <n v="5000"/>
    <n v="1943.83"/>
    <n v="1947.83"/>
    <n v="1951.83"/>
    <n v="1947.83"/>
    <n v="1947.83"/>
    <n v="1947.83"/>
    <n v="1947.83"/>
    <n v="1947.83"/>
    <n v="1947.83"/>
    <n v="1947.83"/>
    <n v="1947.83"/>
    <n v="2000"/>
    <n v="2000"/>
    <n v="1947.83"/>
    <n v="2000"/>
    <n v="2000"/>
    <n v="2000"/>
    <n v="2000"/>
    <n v="2000"/>
    <n v="2000"/>
    <n v="2000"/>
    <n v="2000"/>
    <n v="2000"/>
    <n v="0"/>
    <n v="4000"/>
    <n v="6000"/>
    <n v="7000"/>
    <n v="50626.04"/>
    <n v="0"/>
    <n v="0"/>
    <n v="0"/>
    <n v="0"/>
    <n v="71637.09"/>
    <m/>
    <m/>
    <m/>
    <m/>
    <n v="189637.09"/>
    <n v="3.8079736947791165"/>
    <n v="139837.09"/>
    <n v="2.8079736947791165"/>
    <n v="308362.91000000003"/>
    <n v="0.61920263052208846"/>
    <n v="49800"/>
    <n v="-139837.09"/>
    <s v="Vendido"/>
    <x v="1"/>
    <m/>
  </r>
  <r>
    <n v="802"/>
    <s v="Paula H."/>
    <s v="Raúl Arturo De León Juarez"/>
    <d v="2023-07-29T00:00:00"/>
    <s v="A1"/>
    <n v="789500"/>
    <n v="789500"/>
    <n v="0"/>
    <n v="78950"/>
    <s v="4.PLAN DE PAGOS"/>
    <n v="0"/>
    <n v="0"/>
    <n v="0"/>
    <n v="0"/>
    <n v="0"/>
    <n v="0"/>
    <n v="0"/>
    <n v="0"/>
    <n v="0"/>
    <n v="0"/>
    <n v="0"/>
    <n v="0"/>
    <n v="0"/>
    <n v="5000"/>
    <n v="5688.46"/>
    <n v="5688.46"/>
    <n v="5688.46"/>
    <n v="5688.46"/>
    <n v="5688.46"/>
    <n v="5688.46"/>
    <n v="5688.46"/>
    <n v="0"/>
    <n v="11376.92"/>
    <n v="5688.46"/>
    <n v="5688.46"/>
    <n v="0"/>
    <n v="11376.94"/>
    <n v="0"/>
    <n v="0"/>
    <n v="0"/>
    <n v="0"/>
    <n v="0"/>
    <n v="0"/>
    <n v="0"/>
    <m/>
    <m/>
    <m/>
    <m/>
    <n v="78950"/>
    <n v="1"/>
    <n v="0"/>
    <n v="0"/>
    <n v="710550"/>
    <n v="0.9"/>
    <n v="78950"/>
    <n v="0"/>
    <s v="Vendido"/>
    <x v="0"/>
    <m/>
  </r>
  <r>
    <n v="803"/>
    <s v="Paula H."/>
    <s v="Rocio Celeste Archila Alfaro / Brian Javier Centeno Archila"/>
    <d v="2024-12-04T00:00:00"/>
    <s v="A3"/>
    <n v="1004617.1"/>
    <n v="1004617.1000000001"/>
    <n v="0"/>
    <n v="50317.1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11.05"/>
    <n v="7500"/>
    <n v="0"/>
    <n v="0"/>
    <n v="0"/>
    <n v="23706.05"/>
    <m/>
    <m/>
    <n v="50317.1"/>
    <n v="1"/>
    <n v="0"/>
    <n v="0"/>
    <n v="954300.00000000012"/>
    <n v="0.94991415137170176"/>
    <n v="50317.1"/>
    <n v="0"/>
    <s v="Vendido"/>
    <x v="0"/>
    <m/>
  </r>
  <r>
    <n v="804"/>
    <s v="Paula H."/>
    <s v="Pablo Javier Herrera Cabrera"/>
    <d v="2024-02-26T00:00:00"/>
    <s v="B2"/>
    <n v="778400"/>
    <n v="778400"/>
    <n v="0"/>
    <n v="389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3769"/>
    <n v="7538"/>
    <n v="3769"/>
    <n v="3769"/>
    <n v="15155"/>
    <n v="0"/>
    <n v="0"/>
    <n v="0"/>
    <n v="0"/>
    <n v="0"/>
    <n v="0"/>
    <n v="0"/>
    <n v="293167.37"/>
    <m/>
    <m/>
    <m/>
    <m/>
    <n v="332167.37"/>
    <n v="8.5390069408740352"/>
    <n v="293267.37"/>
    <n v="7.5390069408740361"/>
    <n v="446232.63"/>
    <n v="0.57326905190133604"/>
    <n v="38900"/>
    <n v="-293267.37"/>
    <s v="Vendido"/>
    <x v="1"/>
    <m/>
  </r>
  <r>
    <n v="805"/>
    <s v="Noemi M."/>
    <s v="Ingrid Lorena Sajmolo Ruiz"/>
    <d v="2023-04-01T00:00:00"/>
    <s v="B2"/>
    <n v="753900"/>
    <n v="753900"/>
    <n v="0"/>
    <n v="75400"/>
    <s v="4.PLAN DE PAGOS"/>
    <n v="0"/>
    <n v="0"/>
    <n v="0"/>
    <n v="0"/>
    <n v="0"/>
    <n v="0"/>
    <n v="0"/>
    <n v="0"/>
    <n v="0"/>
    <n v="0"/>
    <n v="10000"/>
    <n v="5000"/>
    <n v="6000"/>
    <n v="8500"/>
    <n v="5000"/>
    <n v="5000"/>
    <n v="5000"/>
    <n v="5000"/>
    <n v="5000"/>
    <n v="5000"/>
    <n v="6000"/>
    <n v="6000"/>
    <n v="6000"/>
    <n v="6000"/>
    <n v="6000"/>
    <n v="10000"/>
    <n v="6000"/>
    <n v="6000"/>
    <n v="0"/>
    <n v="0"/>
    <n v="0"/>
    <n v="0"/>
    <n v="0"/>
    <n v="0"/>
    <m/>
    <m/>
    <m/>
    <m/>
    <n v="111500"/>
    <n v="1.4787798408488064"/>
    <n v="36100"/>
    <n v="0.47877984084880637"/>
    <n v="642400"/>
    <n v="0.85210240084891897"/>
    <n v="75400"/>
    <n v="-36100"/>
    <s v="Vendido"/>
    <x v="1"/>
    <m/>
  </r>
  <r>
    <n v="806"/>
    <s v="Paula H."/>
    <s v="Wilson Ariel Salvador Tomas"/>
    <d v="2023-12-07T00:00:00"/>
    <s v="A3"/>
    <n v="990800"/>
    <n v="1031600"/>
    <n v="-40800"/>
    <n v="516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46600"/>
    <n v="0"/>
    <n v="0"/>
    <n v="0"/>
    <n v="0"/>
    <n v="0"/>
    <n v="0"/>
    <n v="0"/>
    <n v="0"/>
    <n v="0"/>
    <n v="0"/>
    <n v="0"/>
    <n v="0"/>
    <n v="377824.7"/>
    <m/>
    <m/>
    <m/>
    <m/>
    <n v="429424.7"/>
    <n v="8.3221841085271322"/>
    <n v="377824.7"/>
    <n v="7.3221841085271322"/>
    <n v="602175.30000000005"/>
    <n v="0.58372944939899185"/>
    <n v="51600"/>
    <n v="-377824.7"/>
    <s v="Vendido"/>
    <x v="1"/>
    <m/>
  </r>
  <r>
    <n v="807"/>
    <s v="Antonio R"/>
    <s v="Walter Rolando Alvarado García y Ana Leticia Santos Calmo"/>
    <d v="2025-01-15T00:00:00"/>
    <s v="A1"/>
    <n v="850000"/>
    <n v="850000"/>
    <n v="0"/>
    <n v="250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45000"/>
    <n v="0"/>
    <m/>
    <m/>
    <m/>
    <m/>
    <n v="250000"/>
    <n v="1"/>
    <n v="0"/>
    <n v="0"/>
    <n v="600000"/>
    <n v="0.70588235294117652"/>
    <n v="250000"/>
    <n v="0"/>
    <s v="Vendido"/>
    <x v="0"/>
    <m/>
  </r>
  <r>
    <n v="808"/>
    <s v="Francisco S."/>
    <s v="Mainor Alfredo Carias Culajay"/>
    <d v="2022-07-29T00:00:00"/>
    <s v="C2"/>
    <n v="498000"/>
    <n v="498000"/>
    <n v="0"/>
    <n v="49800"/>
    <s v="4.PLAN DE PAGOS"/>
    <n v="0"/>
    <n v="5000"/>
    <n v="1948"/>
    <n v="1948"/>
    <n v="1948"/>
    <n v="1948"/>
    <n v="1948"/>
    <n v="1948"/>
    <n v="1948"/>
    <n v="1948"/>
    <n v="0"/>
    <n v="3896"/>
    <n v="1948"/>
    <n v="1948"/>
    <n v="1948"/>
    <n v="1948"/>
    <n v="0"/>
    <n v="1948"/>
    <n v="3896"/>
    <n v="0"/>
    <n v="0"/>
    <n v="1948"/>
    <n v="1948"/>
    <n v="0"/>
    <n v="7788"/>
    <n v="0"/>
    <n v="0"/>
    <n v="0"/>
    <n v="48200"/>
    <n v="0"/>
    <n v="0"/>
    <n v="0"/>
    <n v="0"/>
    <n v="0"/>
    <m/>
    <m/>
    <m/>
    <m/>
    <n v="98000"/>
    <n v="1.9678714859437751"/>
    <n v="48200"/>
    <n v="0.96787148594377514"/>
    <n v="400000"/>
    <n v="0.80321285140562249"/>
    <n v="49800"/>
    <n v="-48200"/>
    <s v="Vendido"/>
    <x v="1"/>
    <m/>
  </r>
  <r>
    <n v="901"/>
    <s v="Noemi M."/>
    <s v="Misraim Antonio Osuna López"/>
    <d v="2022-08-10T00:00:00"/>
    <s v="C2"/>
    <n v="498000"/>
    <n v="498000"/>
    <n v="0"/>
    <n v="49800"/>
    <s v="4.PLAN DE PAGOS"/>
    <n v="0"/>
    <n v="0"/>
    <n v="2000"/>
    <n v="3000"/>
    <n v="3000"/>
    <n v="3000"/>
    <n v="109.08"/>
    <n v="3000"/>
    <n v="2000"/>
    <n v="3000"/>
    <n v="3000"/>
    <n v="0"/>
    <n v="3000"/>
    <n v="3000"/>
    <n v="0"/>
    <n v="3000"/>
    <n v="3000"/>
    <n v="3000"/>
    <n v="3000"/>
    <n v="3000"/>
    <n v="5000"/>
    <n v="5000"/>
    <n v="21170.41"/>
    <n v="5400"/>
    <n v="4000"/>
    <n v="4045"/>
    <n v="9775.51"/>
    <n v="2500"/>
    <n v="0"/>
    <n v="0"/>
    <n v="0"/>
    <n v="0"/>
    <n v="0"/>
    <n v="60556.23"/>
    <m/>
    <m/>
    <m/>
    <m/>
    <n v="160556.23000000001"/>
    <n v="3.2240206827309241"/>
    <n v="110756.23000000001"/>
    <n v="2.2240206827309241"/>
    <n v="337443.77"/>
    <n v="0.67759793172690763"/>
    <n v="49800"/>
    <n v="-110756.23000000001"/>
    <s v="Vendido"/>
    <x v="1"/>
    <m/>
  </r>
  <r>
    <n v="902"/>
    <s v="Paula H."/>
    <s v="Danilo Otoniel Gomez Guzman"/>
    <d v="2023-11-24T00:00:00"/>
    <s v="A1"/>
    <n v="788400"/>
    <n v="788400"/>
    <n v="0"/>
    <n v="395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3041"/>
    <n v="3041"/>
    <n v="3041"/>
    <n v="3041"/>
    <n v="3041"/>
    <n v="0"/>
    <n v="3041"/>
    <n v="0"/>
    <n v="6082"/>
    <n v="3041"/>
    <n v="6082"/>
    <n v="0"/>
    <n v="3041"/>
    <n v="8"/>
    <n v="0"/>
    <n v="0"/>
    <m/>
    <m/>
    <m/>
    <m/>
    <n v="39500"/>
    <n v="1"/>
    <n v="0"/>
    <n v="0"/>
    <n v="748900"/>
    <n v="0.94989852866565194"/>
    <n v="39500"/>
    <n v="0"/>
    <s v="Vendido"/>
    <x v="0"/>
    <m/>
  </r>
  <r>
    <n v="903"/>
    <s v="Paula H."/>
    <s v="Rosybel Alheli Suchini"/>
    <d v="2024-01-30T00:00:00"/>
    <s v="A3"/>
    <n v="1033420"/>
    <n v="1074220"/>
    <n v="-40800"/>
    <n v="20002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3564.5"/>
    <n v="3575.5"/>
    <n v="3575"/>
    <n v="3575"/>
    <n v="3575"/>
    <n v="3691"/>
    <n v="6000"/>
    <n v="6000"/>
    <n v="6000"/>
    <n v="6000"/>
    <n v="149580"/>
    <m/>
    <n v="0"/>
    <n v="329301.71000000002"/>
    <m/>
    <m/>
    <m/>
    <m/>
    <n v="529437.71"/>
    <n v="2.6469238576142384"/>
    <n v="329417.70999999996"/>
    <n v="1.6469238576142384"/>
    <n v="544782.29"/>
    <n v="0.50714219619817169"/>
    <n v="200020"/>
    <n v="-329417.70999999996"/>
    <s v="Vendido"/>
    <x v="1"/>
    <m/>
  </r>
  <r>
    <n v="904"/>
    <s v="Paula H."/>
    <s v="Mario Domingo"/>
    <d v="2024-05-22T00:00:00"/>
    <s v="B2"/>
    <n v="770000"/>
    <n v="770000"/>
    <n v="0"/>
    <n v="770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0000"/>
    <n v="0"/>
    <n v="0"/>
    <n v="0"/>
    <n v="0"/>
    <n v="0"/>
    <n v="0"/>
    <n v="741479.55"/>
    <n v="0"/>
    <n v="0"/>
    <n v="0"/>
    <m/>
    <m/>
    <m/>
    <n v="766479.55"/>
    <n v="0.99542798701298707"/>
    <n v="-3520.4499999999534"/>
    <n v="-4.5720129870129265E-3"/>
    <n v="3520.4499999999534"/>
    <n v="4.5720129870129265E-3"/>
    <n v="770000"/>
    <n v="3520.4499999999534"/>
    <s v="Vendido"/>
    <x v="2"/>
    <m/>
  </r>
  <r>
    <n v="905"/>
    <s v="Noemi M."/>
    <s v="Xiomara Cristina Barrios Castellanos"/>
    <d v="2023-03-07T00:00:00"/>
    <s v="B2"/>
    <n v="753900"/>
    <n v="753900"/>
    <n v="0"/>
    <n v="75400"/>
    <s v="4.PLAN DE PAGOS"/>
    <n v="0"/>
    <n v="0"/>
    <n v="0"/>
    <n v="0"/>
    <n v="0"/>
    <n v="0"/>
    <n v="0"/>
    <n v="0"/>
    <n v="0"/>
    <n v="5000"/>
    <n v="4400"/>
    <n v="4400"/>
    <n v="4400"/>
    <n v="13200"/>
    <n v="0"/>
    <n v="0"/>
    <n v="4400"/>
    <n v="0"/>
    <n v="17600"/>
    <n v="4400"/>
    <n v="0"/>
    <n v="4400"/>
    <n v="0"/>
    <n v="4400"/>
    <n v="8800"/>
    <n v="0"/>
    <n v="0"/>
    <n v="0"/>
    <n v="0"/>
    <n v="0"/>
    <n v="0"/>
    <n v="0"/>
    <n v="0"/>
    <n v="221962.96"/>
    <m/>
    <m/>
    <m/>
    <m/>
    <n v="297362.95999999996"/>
    <n v="3.943805835543766"/>
    <n v="221962.95999999996"/>
    <n v="2.943805835543766"/>
    <n v="456537.04000000004"/>
    <n v="0.60556710439050276"/>
    <n v="75400"/>
    <n v="-221962.95999999996"/>
    <s v="Vendido"/>
    <x v="1"/>
    <m/>
  </r>
  <r>
    <n v="906"/>
    <s v="Paula H."/>
    <s v="Byron Victoriano Mazariegos Mejía"/>
    <d v="2023-08-28T00:00:00"/>
    <s v="A3"/>
    <n v="1011600"/>
    <n v="1011600"/>
    <n v="0"/>
    <n v="101160"/>
    <s v="4.PLAN DE PAGOS"/>
    <n v="0"/>
    <n v="0"/>
    <n v="0"/>
    <n v="0"/>
    <n v="0"/>
    <n v="0"/>
    <n v="0"/>
    <n v="0"/>
    <n v="0"/>
    <n v="0"/>
    <n v="0"/>
    <n v="0"/>
    <n v="0"/>
    <n v="0"/>
    <n v="5000"/>
    <n v="8741"/>
    <n v="8741"/>
    <n v="8741"/>
    <n v="8741"/>
    <n v="8741"/>
    <n v="8741"/>
    <n v="8741"/>
    <n v="8741"/>
    <n v="8741"/>
    <n v="8741"/>
    <n v="8741"/>
    <n v="9"/>
    <n v="0"/>
    <n v="0"/>
    <n v="0"/>
    <n v="0"/>
    <n v="0"/>
    <n v="0"/>
    <n v="0"/>
    <m/>
    <n v="40"/>
    <m/>
    <m/>
    <n v="101200"/>
    <n v="1.0003954132068011"/>
    <n v="40"/>
    <n v="3.9541320680110717E-4"/>
    <n v="910400"/>
    <n v="0.89996045867931984"/>
    <n v="101160"/>
    <n v="-40"/>
    <s v="Vendido"/>
    <x v="1"/>
    <m/>
  </r>
  <r>
    <n v="907"/>
    <s v="Lilian G."/>
    <s v="María Del Rocio Pinto Gómez de Liaño"/>
    <d v="2022-11-25T00:00:00"/>
    <s v="A1"/>
    <n v="678182.1"/>
    <n v="678182.1"/>
    <n v="0"/>
    <n v="678182.1"/>
    <s v="4.PLAN DE PAGOS"/>
    <n v="0"/>
    <n v="0"/>
    <n v="0"/>
    <n v="0"/>
    <n v="0"/>
    <n v="0"/>
    <n v="678182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678182.1"/>
    <n v="1"/>
    <n v="0"/>
    <n v="0"/>
    <n v="0"/>
    <n v="0"/>
    <n v="678182.1"/>
    <n v="0"/>
    <s v="Vendido"/>
    <x v="0"/>
    <m/>
  </r>
  <r>
    <n v="908"/>
    <s v="Paula H."/>
    <s v="Isaias Gabriele Barrios Orozco"/>
    <d v="2025-04-13T00:00:00"/>
    <s v="C2"/>
    <n v="498000"/>
    <n v="690000"/>
    <n v="-192000"/>
    <n v="49800"/>
    <s v="2.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-49800"/>
    <n v="-1"/>
    <n v="690000"/>
    <n v="1"/>
    <n v="49800"/>
    <n v="49800"/>
    <s v="Vendido"/>
    <x v="2"/>
    <m/>
  </r>
  <r>
    <n v="1001"/>
    <s v="Francisco S."/>
    <s v="Jose Julio Grave Cos"/>
    <d v="2022-07-18T00:00:00"/>
    <s v="C2"/>
    <n v="498000"/>
    <n v="498000"/>
    <n v="0"/>
    <n v="49800"/>
    <s v="4.PLAN DE PAGOS"/>
    <n v="0"/>
    <n v="6947.93"/>
    <n v="1947.93"/>
    <n v="1947.93"/>
    <n v="1947.93"/>
    <n v="1947.93"/>
    <n v="1947.93"/>
    <n v="1947.93"/>
    <n v="1947.93"/>
    <n v="1947.93"/>
    <n v="1947.93"/>
    <n v="1947.93"/>
    <n v="1947.93"/>
    <n v="1947.93"/>
    <n v="1947.93"/>
    <n v="1947.93"/>
    <n v="1947.93"/>
    <n v="0"/>
    <n v="3895.86"/>
    <n v="1947.93"/>
    <n v="1947.93"/>
    <n v="1947.93"/>
    <n v="1947.83"/>
    <n v="1947.83"/>
    <n v="0"/>
    <n v="0"/>
    <n v="0"/>
    <n v="0"/>
    <n v="0"/>
    <n v="0"/>
    <n v="0"/>
    <n v="0"/>
    <n v="0"/>
    <n v="0"/>
    <m/>
    <m/>
    <m/>
    <m/>
    <n v="49802.19000000001"/>
    <n v="1.0000439759036146"/>
    <n v="2.1900000000096043"/>
    <n v="4.3975903614650686E-5"/>
    <n v="448197.81"/>
    <n v="0.8999956024096385"/>
    <n v="49800"/>
    <n v="-2.1900000000096043"/>
    <s v="Vendido"/>
    <x v="1"/>
    <m/>
  </r>
  <r>
    <n v="1002"/>
    <s v="Noemi M."/>
    <s v="Josue Othoniel Andrade de la Cruz"/>
    <d v="2023-03-12T00:00:00"/>
    <s v="A1"/>
    <n v="788400"/>
    <n v="788400"/>
    <n v="0"/>
    <n v="78900"/>
    <s v="4.PLAN DE PAGOS"/>
    <n v="0"/>
    <n v="0"/>
    <n v="0"/>
    <n v="0"/>
    <n v="0"/>
    <n v="0"/>
    <n v="0"/>
    <n v="0"/>
    <n v="0"/>
    <n v="78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316.76"/>
    <m/>
    <m/>
    <m/>
    <m/>
    <n v="315216.76"/>
    <n v="3.9951427122940433"/>
    <n v="236316.76"/>
    <n v="2.9951427122940433"/>
    <n v="473183.24"/>
    <n v="0.60018168442415021"/>
    <n v="78900"/>
    <n v="-236316.76"/>
    <s v="Vendido"/>
    <x v="1"/>
    <m/>
  </r>
  <r>
    <n v="1003"/>
    <s v="Paula H."/>
    <s v="Wendy Azucena Aguilar Chávez"/>
    <d v="2024-11-30T00:00:00"/>
    <s v="A7"/>
    <n v="498000"/>
    <n v="1300000"/>
    <n v="-802000"/>
    <n v="63000"/>
    <s v="4.PLAN DE PAGO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100000"/>
    <n v="100000"/>
    <m/>
    <m/>
    <m/>
    <n v="202500"/>
    <n v="3.2142857142857144"/>
    <n v="139500"/>
    <n v="2.2142857142857144"/>
    <n v="1097500"/>
    <n v="0.84423076923076923"/>
    <n v="63000"/>
    <n v="-139500"/>
    <s v="Vendido"/>
    <x v="1"/>
    <m/>
  </r>
  <r>
    <s v="L1"/>
    <s v="Paula H."/>
    <s v="Helbert Emmanuel Blanco Argueta"/>
    <d v="2025-03-07T00:00:00"/>
    <m/>
    <n v="255060"/>
    <n v="255060"/>
    <n v="0"/>
    <n v="25506"/>
    <s v="2.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m/>
    <m/>
    <m/>
    <n v="2500"/>
    <n v="9.8016153062024616E-2"/>
    <n v="-23006"/>
    <n v="-0.9019838469379754"/>
    <n v="252560"/>
    <n v="0.99019838469379751"/>
    <n v="25506"/>
    <n v="23006"/>
    <s v="Vendido"/>
    <x v="2"/>
    <m/>
  </r>
  <r>
    <s v="L2"/>
    <s v="Paula H."/>
    <s v="Helbert Emmanuel Blanco Argueta"/>
    <d v="2025-03-07T00:00:00"/>
    <m/>
    <n v="318960"/>
    <n v="318960"/>
    <n v="0"/>
    <n v="31896"/>
    <s v="2.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m/>
    <m/>
    <m/>
    <n v="2500"/>
    <n v="7.8379734135941806E-2"/>
    <n v="-29396"/>
    <n v="-0.92162026586405821"/>
    <n v="316460"/>
    <n v="0.99216202658640584"/>
    <n v="31896"/>
    <n v="29396"/>
    <s v="Vendido"/>
    <x v="2"/>
    <m/>
  </r>
  <r>
    <s v="L3"/>
    <s v="Eder Veliz"/>
    <s v="Jorge Antonio Sanchez Sipaque"/>
    <d v="2025-04-14T00:00:00"/>
    <m/>
    <n v="457740"/>
    <n v="460000"/>
    <n v="-2260"/>
    <n v="92000"/>
    <s v="2.RESERV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-92000"/>
    <n v="-1"/>
    <n v="460000"/>
    <n v="1"/>
    <n v="92000"/>
    <n v="92000"/>
    <s v="Vendido"/>
    <x v="2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01"/>
    <m/>
    <m/>
    <n v="5000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285"/>
    <n v="3330"/>
    <m/>
    <m/>
    <m/>
    <m/>
    <m/>
    <m/>
    <m/>
    <m/>
    <m/>
    <m/>
    <m/>
    <n v="80600"/>
    <n v="0"/>
    <n v="80600"/>
    <x v="0"/>
  </r>
  <r>
    <n v="102"/>
    <m/>
    <m/>
    <m/>
    <m/>
    <m/>
    <m/>
    <m/>
    <n v="500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240"/>
    <n v="4320"/>
    <m/>
    <m/>
    <m/>
    <m/>
    <m/>
    <m/>
    <m/>
    <m/>
    <m/>
    <m/>
    <m/>
    <n v="81400"/>
    <n v="0"/>
    <n v="81400"/>
    <x v="1"/>
  </r>
  <r>
    <n v="103"/>
    <m/>
    <m/>
    <m/>
    <m/>
    <m/>
    <m/>
    <m/>
    <m/>
    <m/>
    <m/>
    <m/>
    <m/>
    <m/>
    <m/>
    <m/>
    <m/>
    <m/>
    <m/>
    <m/>
    <m/>
    <m/>
    <m/>
    <m/>
    <m/>
    <m/>
    <m/>
    <m/>
    <n v="5000"/>
    <n v="5000"/>
    <n v="5000"/>
    <n v="5000"/>
    <n v="21650"/>
    <n v="21650"/>
    <m/>
    <m/>
    <m/>
    <m/>
    <n v="63300"/>
    <n v="0"/>
    <n v="63300"/>
    <x v="2"/>
  </r>
  <r>
    <n v="104"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50100"/>
    <m/>
    <m/>
    <m/>
    <m/>
    <m/>
    <m/>
    <n v="55100"/>
    <n v="0"/>
    <n v="55100"/>
    <x v="3"/>
  </r>
  <r>
    <n v="105"/>
    <m/>
    <m/>
    <m/>
    <m/>
    <m/>
    <m/>
    <m/>
    <m/>
    <n v="5000"/>
    <n v="2500"/>
    <n v="2500"/>
    <n v="3000"/>
    <n v="1000"/>
    <n v="1000"/>
    <n v="2500"/>
    <n v="2500"/>
    <n v="6000"/>
    <n v="6000"/>
    <n v="6000"/>
    <n v="6000"/>
    <n v="2500"/>
    <n v="2500"/>
    <n v="2500"/>
    <n v="2500"/>
    <n v="5000"/>
    <n v="5000"/>
    <m/>
    <m/>
    <m/>
    <m/>
    <m/>
    <m/>
    <m/>
    <m/>
    <m/>
    <m/>
    <m/>
    <n v="64000"/>
    <n v="0"/>
    <n v="64000"/>
    <x v="4"/>
  </r>
  <r>
    <n v="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645000"/>
    <m/>
    <m/>
    <m/>
    <n v="650000"/>
    <n v="0"/>
    <n v="650000"/>
    <x v="5"/>
  </r>
  <r>
    <n v="202"/>
    <m/>
    <m/>
    <m/>
    <m/>
    <m/>
    <m/>
    <m/>
    <m/>
    <m/>
    <m/>
    <m/>
    <m/>
    <m/>
    <m/>
    <m/>
    <m/>
    <m/>
    <m/>
    <m/>
    <m/>
    <m/>
    <m/>
    <n v="5000"/>
    <n v="3500"/>
    <n v="3500"/>
    <n v="3500"/>
    <n v="3500"/>
    <n v="3500"/>
    <n v="3500"/>
    <n v="74000"/>
    <m/>
    <m/>
    <m/>
    <m/>
    <m/>
    <m/>
    <m/>
    <n v="100000"/>
    <n v="0"/>
    <n v="100000"/>
    <x v="6"/>
  </r>
  <r>
    <n v="203"/>
    <n v="5000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78"/>
    <n v="3434.84"/>
    <m/>
    <m/>
    <m/>
    <m/>
    <m/>
    <m/>
    <m/>
    <m/>
    <m/>
    <m/>
    <m/>
    <m/>
    <m/>
    <n v="83999.999999999985"/>
    <n v="0"/>
    <n v="83999.999999999985"/>
    <x v="7"/>
  </r>
  <r>
    <n v="204"/>
    <m/>
    <m/>
    <m/>
    <m/>
    <m/>
    <m/>
    <m/>
    <m/>
    <m/>
    <m/>
    <m/>
    <m/>
    <m/>
    <m/>
    <m/>
    <m/>
    <m/>
    <m/>
    <m/>
    <m/>
    <m/>
    <n v="3000"/>
    <n v="4500"/>
    <n v="2500"/>
    <n v="2500"/>
    <n v="2500"/>
    <n v="2500"/>
    <n v="6500"/>
    <n v="6500"/>
    <n v="6600"/>
    <m/>
    <m/>
    <m/>
    <m/>
    <m/>
    <m/>
    <m/>
    <n v="37100"/>
    <n v="0"/>
    <n v="37100"/>
    <x v="8"/>
  </r>
  <r>
    <n v="205"/>
    <m/>
    <m/>
    <m/>
    <m/>
    <m/>
    <m/>
    <m/>
    <m/>
    <m/>
    <m/>
    <m/>
    <m/>
    <m/>
    <m/>
    <n v="6000"/>
    <n v="5610"/>
    <n v="5610"/>
    <n v="5610"/>
    <n v="5610"/>
    <n v="5610"/>
    <n v="5610"/>
    <n v="5610"/>
    <n v="5610"/>
    <n v="5610"/>
    <n v="5610"/>
    <n v="5610"/>
    <n v="5610"/>
    <m/>
    <m/>
    <m/>
    <m/>
    <m/>
    <m/>
    <m/>
    <m/>
    <m/>
    <m/>
    <n v="73320"/>
    <n v="0"/>
    <n v="73320"/>
    <x v="9"/>
  </r>
  <r>
    <n v="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1250"/>
    <n v="21250"/>
    <m/>
    <m/>
    <m/>
    <m/>
    <n v="47500"/>
    <n v="0"/>
    <n v="47500"/>
    <x v="10"/>
  </r>
  <r>
    <n v="207"/>
    <m/>
    <m/>
    <m/>
    <m/>
    <m/>
    <m/>
    <m/>
    <m/>
    <m/>
    <m/>
    <m/>
    <m/>
    <m/>
    <m/>
    <m/>
    <m/>
    <m/>
    <m/>
    <m/>
    <m/>
    <n v="5000"/>
    <n v="3700"/>
    <n v="3700"/>
    <n v="3700"/>
    <n v="3700"/>
    <n v="3700"/>
    <n v="3700"/>
    <n v="3700"/>
    <n v="3700"/>
    <n v="3900"/>
    <m/>
    <m/>
    <m/>
    <m/>
    <m/>
    <m/>
    <m/>
    <n v="38500"/>
    <n v="0"/>
    <n v="38500"/>
    <x v="11"/>
  </r>
  <r>
    <n v="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65000"/>
    <n v="0"/>
    <x v="12"/>
  </r>
  <r>
    <n v="301"/>
    <m/>
    <m/>
    <m/>
    <m/>
    <m/>
    <m/>
    <m/>
    <m/>
    <m/>
    <n v="5000"/>
    <n v="2500"/>
    <n v="3365"/>
    <n v="3365"/>
    <n v="3365"/>
    <n v="3365"/>
    <n v="3365"/>
    <n v="3365"/>
    <n v="3365"/>
    <n v="3365"/>
    <n v="3365"/>
    <n v="3365"/>
    <n v="3365"/>
    <n v="3365"/>
    <n v="3365"/>
    <n v="3365"/>
    <n v="3390"/>
    <m/>
    <m/>
    <m/>
    <m/>
    <m/>
    <m/>
    <m/>
    <m/>
    <m/>
    <m/>
    <m/>
    <n v="58000"/>
    <n v="0"/>
    <n v="58000"/>
    <x v="13"/>
  </r>
  <r>
    <n v="302"/>
    <m/>
    <m/>
    <m/>
    <m/>
    <n v="40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n v="6000"/>
    <m/>
    <m/>
    <m/>
    <m/>
    <m/>
    <m/>
    <m/>
    <m/>
    <m/>
    <m/>
    <m/>
    <n v="166000"/>
    <n v="-34000"/>
    <n v="166000"/>
    <x v="14"/>
  </r>
  <r>
    <n v="303"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1533"/>
    <n v="21533"/>
    <m/>
    <m/>
    <m/>
    <m/>
    <m/>
    <m/>
    <n v="48066"/>
    <n v="0"/>
    <n v="48066"/>
    <x v="15"/>
  </r>
  <r>
    <n v="304"/>
    <m/>
    <m/>
    <m/>
    <m/>
    <m/>
    <m/>
    <m/>
    <m/>
    <n v="70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m/>
    <m/>
    <m/>
    <m/>
    <m/>
    <m/>
    <m/>
    <m/>
    <m/>
    <m/>
    <m/>
    <n v="130000"/>
    <n v="0"/>
    <n v="130000"/>
    <x v="16"/>
  </r>
  <r>
    <n v="305"/>
    <m/>
    <m/>
    <m/>
    <m/>
    <m/>
    <m/>
    <m/>
    <n v="5000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275"/>
    <n v="5325"/>
    <m/>
    <m/>
    <m/>
    <m/>
    <m/>
    <m/>
    <m/>
    <m/>
    <m/>
    <m/>
    <m/>
    <n v="100000"/>
    <n v="0"/>
    <n v="100000"/>
    <x v="9"/>
  </r>
  <r>
    <n v="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42500"/>
    <m/>
    <m/>
    <m/>
    <m/>
    <m/>
    <n v="47500"/>
    <n v="0"/>
    <n v="47500"/>
    <x v="17"/>
  </r>
  <r>
    <n v="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17750"/>
    <n v="17750"/>
    <m/>
    <m/>
    <m/>
    <m/>
    <n v="40500"/>
    <n v="0"/>
    <n v="40500"/>
    <x v="18"/>
  </r>
  <r>
    <n v="3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9000"/>
    <m/>
    <m/>
    <m/>
    <m/>
    <m/>
    <n v="34000"/>
    <n v="0"/>
    <n v="34000"/>
    <x v="19"/>
  </r>
  <r>
    <n v="401"/>
    <m/>
    <m/>
    <m/>
    <m/>
    <m/>
    <n v="500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660"/>
    <m/>
    <m/>
    <m/>
    <m/>
    <m/>
    <m/>
    <m/>
    <m/>
    <m/>
    <m/>
    <m/>
    <n v="54780"/>
    <n v="0"/>
    <n v="54780"/>
    <x v="20"/>
  </r>
  <r>
    <n v="402"/>
    <m/>
    <m/>
    <m/>
    <m/>
    <m/>
    <m/>
    <m/>
    <m/>
    <m/>
    <m/>
    <m/>
    <m/>
    <m/>
    <n v="5000"/>
    <n v="5449.17"/>
    <n v="5449.17"/>
    <n v="5449.17"/>
    <n v="5449.17"/>
    <n v="5449.17"/>
    <n v="5449.17"/>
    <n v="5449.17"/>
    <n v="5449.17"/>
    <n v="5449.17"/>
    <n v="5449.17"/>
    <n v="5449.17"/>
    <n v="5449.13"/>
    <m/>
    <m/>
    <m/>
    <m/>
    <m/>
    <m/>
    <m/>
    <m/>
    <m/>
    <m/>
    <m/>
    <n v="70389.999999999985"/>
    <n v="0"/>
    <n v="70389.999999999985"/>
    <x v="21"/>
  </r>
  <r>
    <n v="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48242"/>
    <n v="0"/>
    <x v="22"/>
  </r>
  <r>
    <n v="404"/>
    <m/>
    <m/>
    <m/>
    <m/>
    <m/>
    <m/>
    <m/>
    <m/>
    <n v="50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4500"/>
    <m/>
    <m/>
    <m/>
    <m/>
    <m/>
    <m/>
    <m/>
    <m/>
    <m/>
    <m/>
    <m/>
    <n v="65500"/>
    <n v="0"/>
    <n v="65500"/>
    <x v="23"/>
  </r>
  <r>
    <n v="405"/>
    <m/>
    <m/>
    <m/>
    <m/>
    <m/>
    <m/>
    <m/>
    <n v="50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00"/>
    <m/>
    <m/>
    <m/>
    <m/>
    <m/>
    <m/>
    <m/>
    <m/>
    <m/>
    <m/>
    <m/>
    <n v="414500"/>
    <n v="0"/>
    <n v="414500"/>
    <x v="24"/>
  </r>
  <r>
    <n v="406"/>
    <m/>
    <m/>
    <m/>
    <m/>
    <m/>
    <m/>
    <m/>
    <m/>
    <m/>
    <m/>
    <m/>
    <m/>
    <m/>
    <m/>
    <m/>
    <m/>
    <m/>
    <m/>
    <m/>
    <m/>
    <m/>
    <m/>
    <m/>
    <m/>
    <m/>
    <m/>
    <m/>
    <m/>
    <m/>
    <n v="27250"/>
    <n v="22250"/>
    <m/>
    <m/>
    <m/>
    <m/>
    <m/>
    <m/>
    <n v="49500"/>
    <n v="0"/>
    <n v="49500"/>
    <x v="25"/>
  </r>
  <r>
    <n v="407"/>
    <m/>
    <m/>
    <m/>
    <m/>
    <m/>
    <m/>
    <m/>
    <n v="50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n v="3500"/>
    <m/>
    <m/>
    <m/>
    <m/>
    <m/>
    <m/>
    <m/>
    <m/>
    <m/>
    <m/>
    <m/>
    <n v="68000"/>
    <n v="0"/>
    <n v="68000"/>
    <x v="26"/>
  </r>
  <r>
    <n v="408"/>
    <m/>
    <m/>
    <m/>
    <m/>
    <m/>
    <n v="500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480"/>
    <n v="2660"/>
    <m/>
    <m/>
    <m/>
    <m/>
    <m/>
    <m/>
    <m/>
    <m/>
    <m/>
    <m/>
    <m/>
    <n v="54780"/>
    <n v="0"/>
    <n v="54780"/>
    <x v="27"/>
  </r>
  <r>
    <n v="501"/>
    <m/>
    <m/>
    <m/>
    <n v="500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60"/>
    <n v="2240"/>
    <m/>
    <m/>
    <m/>
    <m/>
    <m/>
    <m/>
    <m/>
    <m/>
    <m/>
    <m/>
    <m/>
    <n v="54700"/>
    <n v="0"/>
    <n v="54700"/>
    <x v="28"/>
  </r>
  <r>
    <n v="502"/>
    <m/>
    <m/>
    <m/>
    <m/>
    <m/>
    <m/>
    <m/>
    <n v="5000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555"/>
    <n v="3365"/>
    <m/>
    <m/>
    <m/>
    <m/>
    <m/>
    <m/>
    <m/>
    <m/>
    <m/>
    <m/>
    <m/>
    <n v="68800"/>
    <n v="0"/>
    <n v="68800"/>
    <x v="29"/>
  </r>
  <r>
    <n v="503"/>
    <m/>
    <m/>
    <m/>
    <m/>
    <m/>
    <m/>
    <m/>
    <m/>
    <m/>
    <m/>
    <m/>
    <m/>
    <m/>
    <m/>
    <m/>
    <m/>
    <m/>
    <m/>
    <m/>
    <m/>
    <n v="5000"/>
    <n v="4900"/>
    <n v="4900"/>
    <n v="4900"/>
    <n v="4900"/>
    <n v="4900"/>
    <n v="4900"/>
    <n v="4900"/>
    <n v="4900"/>
    <n v="5300"/>
    <m/>
    <m/>
    <m/>
    <m/>
    <m/>
    <m/>
    <m/>
    <n v="49500"/>
    <n v="0"/>
    <n v="49500"/>
    <x v="30"/>
  </r>
  <r>
    <n v="504"/>
    <m/>
    <m/>
    <m/>
    <m/>
    <n v="5000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73"/>
    <n v="2694"/>
    <m/>
    <m/>
    <m/>
    <m/>
    <m/>
    <m/>
    <m/>
    <m/>
    <m/>
    <n v="66500"/>
    <n v="0"/>
    <n v="66500"/>
    <x v="31"/>
  </r>
  <r>
    <n v="5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17750"/>
    <n v="17750"/>
    <m/>
    <m/>
    <m/>
    <m/>
    <n v="40500"/>
    <n v="0"/>
    <n v="40500"/>
    <x v="32"/>
  </r>
  <r>
    <n v="506"/>
    <m/>
    <m/>
    <m/>
    <m/>
    <m/>
    <m/>
    <m/>
    <m/>
    <m/>
    <m/>
    <m/>
    <m/>
    <m/>
    <m/>
    <m/>
    <m/>
    <m/>
    <m/>
    <m/>
    <m/>
    <m/>
    <m/>
    <m/>
    <m/>
    <n v="5000"/>
    <n v="8500"/>
    <n v="8500"/>
    <n v="8500"/>
    <n v="8500"/>
    <n v="8500"/>
    <m/>
    <m/>
    <m/>
    <m/>
    <m/>
    <m/>
    <m/>
    <n v="47500"/>
    <n v="0"/>
    <n v="47500"/>
    <x v="33"/>
  </r>
  <r>
    <n v="507"/>
    <m/>
    <m/>
    <m/>
    <m/>
    <m/>
    <m/>
    <m/>
    <n v="500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550"/>
    <n v="3650"/>
    <m/>
    <m/>
    <m/>
    <m/>
    <m/>
    <m/>
    <m/>
    <m/>
    <m/>
    <m/>
    <m/>
    <n v="69000"/>
    <n v="0"/>
    <n v="69000"/>
    <x v="34"/>
  </r>
  <r>
    <n v="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9000"/>
    <m/>
    <m/>
    <m/>
    <m/>
    <m/>
    <n v="34000"/>
    <n v="0"/>
    <n v="34000"/>
    <x v="19"/>
  </r>
  <r>
    <n v="601"/>
    <m/>
    <m/>
    <m/>
    <n v="5000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74"/>
    <m/>
    <m/>
    <m/>
    <m/>
    <m/>
    <m/>
    <m/>
    <m/>
    <m/>
    <m/>
    <n v="49800.000000000022"/>
    <n v="0"/>
    <n v="49800.000000000022"/>
    <x v="35"/>
  </r>
  <r>
    <n v="602"/>
    <m/>
    <m/>
    <m/>
    <m/>
    <m/>
    <n v="500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n v="3240"/>
    <m/>
    <m/>
    <m/>
    <m/>
    <m/>
    <m/>
    <m/>
    <m/>
    <m/>
    <m/>
    <m/>
    <n v="69800"/>
    <n v="0"/>
    <n v="69800"/>
    <x v="36"/>
  </r>
  <r>
    <n v="603"/>
    <m/>
    <m/>
    <m/>
    <m/>
    <m/>
    <m/>
    <m/>
    <m/>
    <m/>
    <m/>
    <m/>
    <m/>
    <m/>
    <m/>
    <m/>
    <m/>
    <m/>
    <m/>
    <m/>
    <m/>
    <m/>
    <m/>
    <m/>
    <m/>
    <m/>
    <m/>
    <m/>
    <m/>
    <n v="66582.399999999994"/>
    <n v="7050"/>
    <n v="7050"/>
    <m/>
    <m/>
    <m/>
    <m/>
    <m/>
    <m/>
    <n v="80682.399999999994"/>
    <n v="0"/>
    <n v="80682.399999999994"/>
    <x v="37"/>
  </r>
  <r>
    <n v="604"/>
    <m/>
    <m/>
    <m/>
    <m/>
    <m/>
    <m/>
    <m/>
    <m/>
    <m/>
    <m/>
    <m/>
    <m/>
    <m/>
    <m/>
    <m/>
    <m/>
    <m/>
    <m/>
    <m/>
    <m/>
    <n v="5000"/>
    <n v="3500"/>
    <n v="3500"/>
    <n v="3500"/>
    <n v="3500"/>
    <n v="728264"/>
    <m/>
    <m/>
    <m/>
    <m/>
    <m/>
    <m/>
    <m/>
    <m/>
    <m/>
    <m/>
    <m/>
    <n v="747264"/>
    <n v="0"/>
    <n v="747264"/>
    <x v="38"/>
  </r>
  <r>
    <n v="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35900"/>
    <m/>
    <m/>
    <m/>
    <m/>
    <m/>
    <n v="40900"/>
    <n v="0"/>
    <n v="40900"/>
    <x v="39"/>
  </r>
  <r>
    <n v="606"/>
    <m/>
    <m/>
    <m/>
    <m/>
    <m/>
    <m/>
    <m/>
    <m/>
    <m/>
    <m/>
    <m/>
    <m/>
    <m/>
    <m/>
    <m/>
    <m/>
    <m/>
    <m/>
    <m/>
    <m/>
    <m/>
    <m/>
    <m/>
    <m/>
    <m/>
    <m/>
    <n v="5000"/>
    <n v="14800"/>
    <n v="14800"/>
    <n v="14800"/>
    <m/>
    <m/>
    <m/>
    <m/>
    <m/>
    <m/>
    <m/>
    <n v="49400"/>
    <n v="0"/>
    <n v="49400"/>
    <x v="40"/>
  </r>
  <r>
    <n v="607"/>
    <m/>
    <m/>
    <m/>
    <m/>
    <n v="338100"/>
    <m/>
    <m/>
    <m/>
    <m/>
    <m/>
    <m/>
    <m/>
    <m/>
    <m/>
    <m/>
    <m/>
    <m/>
    <m/>
    <m/>
    <m/>
    <m/>
    <m/>
    <m/>
    <m/>
    <n v="338100"/>
    <m/>
    <m/>
    <m/>
    <m/>
    <m/>
    <m/>
    <m/>
    <m/>
    <m/>
    <m/>
    <m/>
    <m/>
    <n v="676200"/>
    <n v="0"/>
    <n v="676200"/>
    <x v="41"/>
  </r>
  <r>
    <n v="608"/>
    <m/>
    <m/>
    <n v="5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800"/>
    <m/>
    <m/>
    <m/>
    <m/>
    <m/>
    <m/>
    <m/>
    <m/>
    <m/>
    <m/>
    <m/>
    <m/>
    <n v="49800"/>
    <n v="0"/>
    <n v="49800"/>
    <x v="42"/>
  </r>
  <r>
    <n v="701"/>
    <m/>
    <m/>
    <n v="5000"/>
    <n v="2725"/>
    <n v="185000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25"/>
    <n v="2775"/>
    <m/>
    <m/>
    <m/>
    <m/>
    <m/>
    <m/>
    <m/>
    <m/>
    <m/>
    <m/>
    <m/>
    <n v="250000"/>
    <n v="0"/>
    <n v="250000"/>
    <x v="43"/>
  </r>
  <r>
    <n v="702"/>
    <m/>
    <m/>
    <m/>
    <m/>
    <n v="5000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085"/>
    <n v="3100"/>
    <m/>
    <m/>
    <m/>
    <m/>
    <m/>
    <m/>
    <m/>
    <m/>
    <m/>
    <m/>
    <m/>
    <n v="69800"/>
    <n v="0"/>
    <n v="69800"/>
    <x v="44"/>
  </r>
  <r>
    <n v="703"/>
    <m/>
    <m/>
    <m/>
    <m/>
    <m/>
    <m/>
    <m/>
    <m/>
    <m/>
    <m/>
    <m/>
    <m/>
    <m/>
    <m/>
    <m/>
    <m/>
    <m/>
    <m/>
    <m/>
    <m/>
    <m/>
    <m/>
    <m/>
    <n v="896715.83"/>
    <m/>
    <m/>
    <m/>
    <m/>
    <m/>
    <m/>
    <m/>
    <m/>
    <m/>
    <m/>
    <m/>
    <m/>
    <m/>
    <n v="896715.83"/>
    <n v="0"/>
    <n v="896715.83"/>
    <x v="38"/>
  </r>
  <r>
    <n v="704"/>
    <n v="5000"/>
    <n v="1000"/>
    <n v="1000"/>
    <n v="1000"/>
    <n v="1000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38"/>
    <n v="2740"/>
    <m/>
    <m/>
    <m/>
    <m/>
    <m/>
    <m/>
    <m/>
    <m/>
    <m/>
    <m/>
    <m/>
    <n v="66500"/>
    <n v="0"/>
    <n v="66500"/>
    <x v="45"/>
  </r>
  <r>
    <n v="705"/>
    <m/>
    <n v="5000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n v="2562.5"/>
    <m/>
    <m/>
    <m/>
    <m/>
    <m/>
    <m/>
    <m/>
    <m/>
    <m/>
    <m/>
    <m/>
    <n v="66500"/>
    <n v="0"/>
    <n v="66500"/>
    <x v="46"/>
  </r>
  <r>
    <n v="706"/>
    <m/>
    <m/>
    <m/>
    <m/>
    <m/>
    <m/>
    <m/>
    <m/>
    <m/>
    <m/>
    <m/>
    <m/>
    <m/>
    <m/>
    <m/>
    <m/>
    <m/>
    <m/>
    <m/>
    <m/>
    <m/>
    <n v="5000"/>
    <n v="111875"/>
    <n v="111875"/>
    <n v="111875"/>
    <n v="111875"/>
    <n v="111875"/>
    <n v="111875"/>
    <n v="111875"/>
    <n v="111875"/>
    <m/>
    <m/>
    <m/>
    <m/>
    <m/>
    <m/>
    <m/>
    <n v="900000"/>
    <n v="0"/>
    <n v="900000"/>
    <x v="47"/>
  </r>
  <r>
    <n v="707"/>
    <m/>
    <m/>
    <m/>
    <n v="5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8720"/>
    <m/>
    <m/>
    <m/>
    <m/>
    <m/>
    <m/>
    <m/>
    <m/>
    <m/>
    <m/>
    <m/>
    <n v="76720"/>
    <n v="0"/>
    <n v="76720"/>
    <x v="48"/>
  </r>
  <r>
    <n v="708"/>
    <m/>
    <m/>
    <n v="5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800"/>
    <m/>
    <m/>
    <m/>
    <m/>
    <m/>
    <m/>
    <m/>
    <m/>
    <m/>
    <m/>
    <m/>
    <m/>
    <n v="49800"/>
    <n v="0"/>
    <n v="49800"/>
    <x v="49"/>
  </r>
  <r>
    <n v="801"/>
    <n v="5000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74"/>
    <m/>
    <m/>
    <m/>
    <m/>
    <m/>
    <m/>
    <m/>
    <m/>
    <m/>
    <m/>
    <m/>
    <m/>
    <m/>
    <n v="49800.000000000022"/>
    <n v="0"/>
    <n v="49800.000000000022"/>
    <x v="50"/>
  </r>
  <r>
    <n v="802"/>
    <m/>
    <m/>
    <m/>
    <m/>
    <m/>
    <m/>
    <m/>
    <m/>
    <m/>
    <m/>
    <m/>
    <m/>
    <m/>
    <n v="5000"/>
    <n v="5688.46"/>
    <n v="5688.46"/>
    <n v="5688.46"/>
    <n v="5688.46"/>
    <n v="5688.46"/>
    <n v="5688.46"/>
    <n v="5688.46"/>
    <n v="5688.46"/>
    <n v="5688.46"/>
    <n v="5688.46"/>
    <n v="5688.46"/>
    <n v="5688.46"/>
    <n v="5688.48"/>
    <m/>
    <m/>
    <m/>
    <m/>
    <m/>
    <m/>
    <m/>
    <m/>
    <m/>
    <m/>
    <n v="78950"/>
    <n v="0"/>
    <n v="78950"/>
    <x v="51"/>
  </r>
  <r>
    <n v="803"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2658.55"/>
    <n v="22658.55"/>
    <m/>
    <m/>
    <m/>
    <m/>
    <m/>
    <n v="50317.1"/>
    <n v="0"/>
    <n v="50317.1"/>
    <x v="52"/>
  </r>
  <r>
    <n v="804"/>
    <m/>
    <m/>
    <m/>
    <m/>
    <m/>
    <m/>
    <m/>
    <m/>
    <m/>
    <m/>
    <m/>
    <m/>
    <m/>
    <m/>
    <m/>
    <m/>
    <m/>
    <m/>
    <m/>
    <m/>
    <n v="5000"/>
    <n v="3760"/>
    <n v="3760"/>
    <n v="3760"/>
    <n v="3760"/>
    <n v="3760"/>
    <n v="3760"/>
    <n v="3760"/>
    <n v="3760"/>
    <n v="3820"/>
    <m/>
    <m/>
    <m/>
    <m/>
    <m/>
    <m/>
    <m/>
    <n v="38900"/>
    <n v="0"/>
    <n v="38900"/>
    <x v="53"/>
  </r>
  <r>
    <n v="805"/>
    <m/>
    <m/>
    <m/>
    <m/>
    <m/>
    <m/>
    <m/>
    <m/>
    <m/>
    <n v="50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m/>
    <m/>
    <m/>
    <m/>
    <m/>
    <m/>
    <m/>
    <m/>
    <m/>
    <m/>
    <m/>
    <n v="75400"/>
    <n v="0"/>
    <n v="75400"/>
    <x v="54"/>
  </r>
  <r>
    <n v="806"/>
    <m/>
    <m/>
    <m/>
    <m/>
    <m/>
    <m/>
    <m/>
    <m/>
    <m/>
    <m/>
    <m/>
    <m/>
    <m/>
    <m/>
    <m/>
    <m/>
    <m/>
    <m/>
    <n v="5000"/>
    <n v="4236"/>
    <n v="4236"/>
    <n v="4236"/>
    <n v="4236"/>
    <n v="4236"/>
    <n v="4236"/>
    <n v="4236"/>
    <n v="4236"/>
    <n v="4236"/>
    <n v="4236"/>
    <n v="4240"/>
    <m/>
    <m/>
    <m/>
    <m/>
    <m/>
    <m/>
    <m/>
    <n v="51600"/>
    <n v="0"/>
    <n v="51600"/>
    <x v="55"/>
  </r>
  <r>
    <n v="8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45000"/>
    <m/>
    <m/>
    <m/>
    <m/>
    <n v="250000"/>
    <n v="0"/>
    <n v="250000"/>
    <x v="56"/>
  </r>
  <r>
    <n v="808"/>
    <m/>
    <n v="3000"/>
    <n v="3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74"/>
    <m/>
    <m/>
    <m/>
    <m/>
    <m/>
    <m/>
    <m/>
    <m/>
    <m/>
    <m/>
    <m/>
    <m/>
    <n v="49800.000000000022"/>
    <n v="0"/>
    <n v="49800.000000000022"/>
    <x v="57"/>
  </r>
  <r>
    <n v="901"/>
    <m/>
    <m/>
    <n v="2000"/>
    <n v="3000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36"/>
    <n v="2036.44"/>
    <m/>
    <m/>
    <m/>
    <m/>
    <m/>
    <m/>
    <m/>
    <m/>
    <m/>
    <m/>
    <m/>
    <n v="49800.000000000007"/>
    <n v="0"/>
    <n v="49800.000000000007"/>
    <x v="58"/>
  </r>
  <r>
    <n v="902"/>
    <m/>
    <m/>
    <m/>
    <m/>
    <m/>
    <m/>
    <m/>
    <m/>
    <m/>
    <m/>
    <m/>
    <m/>
    <m/>
    <m/>
    <m/>
    <m/>
    <m/>
    <n v="3000"/>
    <n v="3041"/>
    <n v="3041"/>
    <n v="3041"/>
    <n v="3041"/>
    <n v="3041"/>
    <n v="3041"/>
    <n v="3041"/>
    <n v="3041"/>
    <n v="3041"/>
    <n v="3041"/>
    <n v="3041"/>
    <n v="3049"/>
    <m/>
    <m/>
    <m/>
    <m/>
    <m/>
    <m/>
    <m/>
    <n v="39500"/>
    <n v="0"/>
    <n v="39500"/>
    <x v="59"/>
  </r>
  <r>
    <n v="903"/>
    <m/>
    <m/>
    <m/>
    <m/>
    <m/>
    <m/>
    <m/>
    <m/>
    <m/>
    <m/>
    <m/>
    <m/>
    <m/>
    <m/>
    <m/>
    <m/>
    <m/>
    <m/>
    <m/>
    <m/>
    <m/>
    <m/>
    <m/>
    <m/>
    <m/>
    <n v="26440"/>
    <n v="6000"/>
    <n v="6000"/>
    <n v="6000"/>
    <n v="155580"/>
    <m/>
    <m/>
    <m/>
    <m/>
    <m/>
    <m/>
    <m/>
    <n v="200020"/>
    <n v="0"/>
    <n v="200020"/>
    <x v="60"/>
  </r>
  <r>
    <n v="904"/>
    <m/>
    <m/>
    <m/>
    <m/>
    <m/>
    <m/>
    <m/>
    <m/>
    <m/>
    <m/>
    <m/>
    <m/>
    <m/>
    <m/>
    <m/>
    <m/>
    <m/>
    <m/>
    <m/>
    <m/>
    <m/>
    <m/>
    <m/>
    <n v="5000"/>
    <n v="4000"/>
    <n v="4000"/>
    <n v="4000"/>
    <n v="4000"/>
    <n v="4000"/>
    <n v="745000"/>
    <m/>
    <m/>
    <m/>
    <m/>
    <m/>
    <m/>
    <m/>
    <n v="770000"/>
    <n v="0"/>
    <n v="770000"/>
    <x v="61"/>
  </r>
  <r>
    <n v="905"/>
    <m/>
    <m/>
    <m/>
    <m/>
    <m/>
    <m/>
    <m/>
    <m/>
    <m/>
    <n v="50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n v="4400"/>
    <m/>
    <m/>
    <m/>
    <m/>
    <m/>
    <m/>
    <m/>
    <m/>
    <m/>
    <m/>
    <m/>
    <n v="75400"/>
    <n v="0"/>
    <n v="75400"/>
    <x v="62"/>
  </r>
  <r>
    <n v="906"/>
    <m/>
    <m/>
    <m/>
    <m/>
    <m/>
    <m/>
    <m/>
    <m/>
    <m/>
    <m/>
    <m/>
    <m/>
    <m/>
    <m/>
    <n v="5000"/>
    <n v="8741"/>
    <n v="8741"/>
    <n v="8741"/>
    <n v="8741"/>
    <n v="8741"/>
    <n v="8741"/>
    <n v="8741"/>
    <n v="8741"/>
    <n v="8741"/>
    <n v="8741"/>
    <n v="8750"/>
    <m/>
    <m/>
    <m/>
    <m/>
    <m/>
    <m/>
    <m/>
    <m/>
    <m/>
    <m/>
    <m/>
    <n v="101160"/>
    <n v="0"/>
    <n v="101160"/>
    <x v="63"/>
  </r>
  <r>
    <n v="907"/>
    <m/>
    <m/>
    <m/>
    <m/>
    <m/>
    <n v="678182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8182.1"/>
    <n v="0"/>
    <n v="678182.1"/>
    <x v="38"/>
  </r>
  <r>
    <n v="9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49800"/>
    <n v="0"/>
    <x v="64"/>
  </r>
  <r>
    <n v="1001"/>
    <n v="5000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83"/>
    <n v="1947.74"/>
    <m/>
    <m/>
    <m/>
    <m/>
    <m/>
    <m/>
    <m/>
    <m/>
    <m/>
    <m/>
    <m/>
    <m/>
    <m/>
    <n v="49800.000000000022"/>
    <n v="0"/>
    <n v="49800.000000000022"/>
    <x v="65"/>
  </r>
  <r>
    <n v="1002"/>
    <m/>
    <m/>
    <m/>
    <m/>
    <m/>
    <m/>
    <m/>
    <m/>
    <m/>
    <n v="5000"/>
    <n v="4620"/>
    <n v="4620"/>
    <n v="4620"/>
    <n v="4620"/>
    <n v="4620"/>
    <n v="4620"/>
    <n v="4620"/>
    <n v="4620"/>
    <n v="4620"/>
    <n v="4620"/>
    <n v="4620"/>
    <n v="4620"/>
    <n v="4620"/>
    <n v="4620"/>
    <n v="4620"/>
    <n v="4600"/>
    <m/>
    <m/>
    <m/>
    <m/>
    <m/>
    <m/>
    <m/>
    <m/>
    <m/>
    <m/>
    <m/>
    <n v="78900"/>
    <n v="0"/>
    <n v="78900"/>
    <x v="66"/>
  </r>
  <r>
    <n v="1003"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9000"/>
    <n v="29000"/>
    <m/>
    <m/>
    <m/>
    <m/>
    <m/>
    <n v="63000"/>
    <n v="0"/>
    <n v="63000"/>
    <x v="67"/>
  </r>
  <r>
    <s v="L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25506"/>
    <n v="0"/>
    <x v="68"/>
  </r>
  <r>
    <s v="L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31896"/>
    <n v="0"/>
    <x v="69"/>
  </r>
  <r>
    <s v="L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-92000"/>
    <n v="0"/>
    <x v="7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s v="A"/>
    <s v="B"/>
    <s v="Luis Esteban"/>
    <s v="Wendy Azucena Barrientos Salazar"/>
    <d v="2024-03-23T00:00:00"/>
    <s v="4.Plan de pagos"/>
    <n v="477700"/>
    <n v="24000"/>
    <n v="0"/>
    <n v="0"/>
    <n v="0"/>
    <n v="0"/>
    <n v="0"/>
    <n v="0"/>
    <n v="0"/>
    <n v="0"/>
    <n v="0"/>
    <n v="0"/>
    <n v="0"/>
    <n v="0"/>
    <n v="1500"/>
    <n v="1071.43"/>
    <n v="1071.43"/>
    <n v="925.33"/>
    <n v="1022.73"/>
    <n v="1022.73"/>
    <n v="1022.73"/>
    <n v="1022.73"/>
    <n v="2046.46"/>
    <n v="0"/>
    <n v="1022.73"/>
    <n v="1022.73"/>
    <n v="2045.46"/>
    <n v="0"/>
    <n v="1022.73"/>
    <n v="1022.73"/>
    <n v="1022.73"/>
    <n v="1022.73"/>
    <m/>
    <m/>
    <m/>
    <m/>
    <n v="18887.409999999996"/>
    <n v="0.78697541666666648"/>
    <n v="-5112.5900000000038"/>
    <n v="-0.21302458333333349"/>
    <n v="458812.59"/>
    <n v="0.96046177517270259"/>
    <n v="24000"/>
    <s v="Vendido"/>
    <x v="0"/>
    <n v="22"/>
    <n v="1"/>
    <n v="23"/>
    <n v="1500"/>
    <n v="1022.73"/>
    <n v="11"/>
    <n v="17"/>
    <n v="18886.41"/>
    <n v="9107.1699999999983"/>
    <n v="7734.7800000000007"/>
    <n v="2045.4599999999973"/>
    <n v="0.99999999999636202"/>
    <n v="0"/>
    <x v="0"/>
    <m/>
    <m/>
  </r>
  <r>
    <x v="1"/>
    <s v="A"/>
    <s v="B"/>
    <s v="Luis Esteban"/>
    <s v="Orfa Sarai Santos Morales"/>
    <d v="2024-06-10T00:00:00"/>
    <s v="4.Plan de pagos"/>
    <n v="477700"/>
    <n v="23900"/>
    <n v="0"/>
    <n v="0"/>
    <n v="0"/>
    <n v="0"/>
    <n v="0"/>
    <n v="0"/>
    <n v="0"/>
    <n v="0"/>
    <n v="0"/>
    <n v="0"/>
    <n v="0"/>
    <n v="0"/>
    <n v="0"/>
    <n v="0"/>
    <n v="0"/>
    <n v="1500"/>
    <n v="1244.44"/>
    <n v="1244.44"/>
    <n v="1244.44"/>
    <n v="1244.44"/>
    <n v="0"/>
    <n v="1244.44"/>
    <n v="1244.44"/>
    <n v="0"/>
    <m/>
    <n v="2488.88"/>
    <n v="1244.44"/>
    <n v="1244.44"/>
    <m/>
    <n v="1244.44"/>
    <m/>
    <m/>
    <m/>
    <m/>
    <n v="15188.840000000002"/>
    <n v="0.63551631799163188"/>
    <n v="-8711.159999999998"/>
    <n v="-0.36448368200836812"/>
    <n v="462511.16"/>
    <n v="0.96820422859535271"/>
    <n v="23900"/>
    <s v="Vendido"/>
    <x v="1"/>
    <n v="18"/>
    <n v="1"/>
    <n v="19"/>
    <n v="1500"/>
    <n v="1244.44"/>
    <n v="7"/>
    <n v="14"/>
    <n v="18922.16"/>
    <n v="9955.5200000000023"/>
    <n v="3988.88"/>
    <n v="1244.4399999999996"/>
    <n v="0"/>
    <n v="3733.3199999999979"/>
    <x v="1"/>
    <m/>
    <m/>
  </r>
  <r>
    <x v="2"/>
    <s v="A"/>
    <s v="C"/>
    <s v="Abigail Garcia"/>
    <s v="Helen Lorena Monroy Jauregui"/>
    <d v="2024-02-26T00:00:00"/>
    <s v="4.Plan de pagos"/>
    <n v="477700"/>
    <n v="24000"/>
    <n v="0"/>
    <n v="0"/>
    <n v="0"/>
    <n v="0"/>
    <n v="0"/>
    <n v="0"/>
    <n v="0"/>
    <n v="0"/>
    <n v="0"/>
    <n v="0"/>
    <n v="0"/>
    <n v="500"/>
    <n v="0"/>
    <n v="1545.45"/>
    <n v="1045.45"/>
    <n v="1045.45"/>
    <n v="1045.45"/>
    <n v="1045.45"/>
    <n v="1045.45"/>
    <n v="1045"/>
    <n v="1045.45"/>
    <n v="1045.45"/>
    <n v="1045.45"/>
    <n v="522.72"/>
    <n v="0"/>
    <n v="2613.6"/>
    <n v="2090.9"/>
    <m/>
    <n v="2090.9"/>
    <n v="1045.45"/>
    <m/>
    <m/>
    <m/>
    <m/>
    <n v="19817.620000000006"/>
    <n v="0.82573416666666688"/>
    <n v="-4182.3799999999937"/>
    <n v="-0.17426583333333306"/>
    <n v="457882.38"/>
    <n v="0.95851450701276952"/>
    <n v="24000"/>
    <s v="Vendido"/>
    <x v="0"/>
    <n v="22"/>
    <n v="1"/>
    <n v="23"/>
    <n v="500"/>
    <n v="1045.45"/>
    <n v="0"/>
    <n v="18"/>
    <n v="19318.100000000002"/>
    <n v="10431.32"/>
    <n v="6249.9500000000007"/>
    <n v="3136.3500000000058"/>
    <n v="499.52000000000407"/>
    <n v="0"/>
    <x v="0"/>
    <m/>
    <m/>
  </r>
  <r>
    <x v="3"/>
    <s v="A"/>
    <s v="B"/>
    <s v="Abigail Garcia"/>
    <s v="Astrid Marleny Pineda Gonzalez"/>
    <d v="2023-11-28T00:00:00"/>
    <s v="4.Plan de pagos"/>
    <n v="4949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500"/>
    <n v="0"/>
    <n v="0"/>
    <n v="1000"/>
    <m/>
    <n v="500"/>
    <m/>
    <n v="500"/>
    <m/>
    <m/>
    <m/>
    <m/>
    <m/>
    <n v="2800"/>
    <n v="0.11715481171548117"/>
    <n v="-21100"/>
    <n v="-0.88284518828451886"/>
    <n v="492100"/>
    <n v="0.99434229137199437"/>
    <n v="23900"/>
    <s v="Vendido"/>
    <x v="1"/>
    <n v="13"/>
    <n v="1"/>
    <n v="14"/>
    <n v="300"/>
    <n v="1815.38"/>
    <n v="0"/>
    <n v="21"/>
    <n v="38422.980000000003"/>
    <n v="2300"/>
    <n v="0"/>
    <n v="500"/>
    <n v="0"/>
    <n v="35622.980000000003"/>
    <x v="2"/>
    <m/>
    <m/>
  </r>
  <r>
    <x v="4"/>
    <s v="A"/>
    <s v="A"/>
    <s v="Abigail Garcia"/>
    <s v="Juan Carlos Carrillo Hernandez"/>
    <d v="2023-10-02T00:00:00"/>
    <s v="4.Plan de pagos"/>
    <n v="384700"/>
    <n v="38500"/>
    <n v="0"/>
    <n v="0"/>
    <n v="0"/>
    <n v="0"/>
    <n v="0"/>
    <n v="0"/>
    <n v="0"/>
    <n v="1000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n v="1785"/>
    <m/>
    <m/>
    <m/>
    <m/>
    <m/>
    <n v="38485"/>
    <n v="0.99961038961038962"/>
    <n v="-15"/>
    <n v="-3.8961038961038961E-4"/>
    <n v="346215"/>
    <n v="0.89996100857811279"/>
    <n v="38500"/>
    <s v="Vendido"/>
    <x v="1"/>
    <n v="21"/>
    <n v="1"/>
    <n v="22"/>
    <n v="1000"/>
    <n v="1784.29"/>
    <n v="0"/>
    <n v="22"/>
    <n v="40254.379999999997"/>
    <n v="1000"/>
    <n v="35700"/>
    <n v="1785"/>
    <n v="0"/>
    <n v="1769.3799999999974"/>
    <x v="3"/>
    <m/>
    <m/>
  </r>
  <r>
    <x v="5"/>
    <m/>
    <m/>
    <m/>
    <s v="Loida Sarai Morales Garcia"/>
    <d v="2025-08-06T00:00:00"/>
    <s v="2.Reser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28.5700000000002"/>
    <m/>
    <m/>
    <m/>
    <m/>
    <n v="2228.5700000000002"/>
    <n v="0"/>
    <n v="2228.5700000000002"/>
    <e v="#DIV/0!"/>
    <n v="-2228.5700000000002"/>
    <e v="#DIV/0!"/>
    <n v="0"/>
    <s v="Vendido"/>
    <x v="2"/>
    <n v="12"/>
    <n v="1"/>
    <n v="13"/>
    <n v="1500"/>
    <n v="1875"/>
    <n v="0"/>
    <n v="0"/>
    <n v="1500"/>
    <n v="0"/>
    <n v="0"/>
    <n v="2228.5700000000002"/>
    <n v="728.57000000000016"/>
    <n v="0"/>
    <x v="0"/>
    <m/>
    <m/>
  </r>
  <r>
    <x v="6"/>
    <m/>
    <m/>
    <m/>
    <s v="Juan Carlos Carrillo Hernandez"/>
    <d v="2025-08-05T00:00:00"/>
    <s v="2.Reser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5"/>
    <m/>
    <m/>
    <m/>
    <m/>
    <n v="1785"/>
    <n v="0"/>
    <n v="1785"/>
    <e v="#DIV/0!"/>
    <n v="-1785"/>
    <e v="#DIV/0!"/>
    <n v="0"/>
    <s v="Vendido"/>
    <x v="2"/>
    <n v="12"/>
    <n v="1"/>
    <n v="13"/>
    <n v="1500"/>
    <n v="1875"/>
    <n v="0"/>
    <n v="0"/>
    <n v="1500"/>
    <n v="0"/>
    <n v="0"/>
    <n v="1785"/>
    <n v="285"/>
    <n v="0"/>
    <x v="0"/>
    <m/>
    <m/>
  </r>
  <r>
    <x v="7"/>
    <s v="B"/>
    <s v="B"/>
    <m/>
    <s v="Esvin Luciano Quino Suret"/>
    <d v="2025-08-21T00:00:00"/>
    <s v="2.Reser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2"/>
    <n v="1"/>
    <n v="13"/>
    <n v="1500"/>
    <n v="1875"/>
    <n v="0"/>
    <n v="0"/>
    <n v="1500"/>
    <n v="0"/>
    <n v="0"/>
    <n v="1500"/>
    <n v="0"/>
    <n v="0"/>
    <x v="0"/>
    <m/>
    <m/>
  </r>
  <r>
    <x v="7"/>
    <s v="A"/>
    <s v="B"/>
    <s v="Alejandra Calderón"/>
    <s v="Heidi Lisseth Morataya Flores"/>
    <d v="2023-10-03T00:00:00"/>
    <s v="4.Plan de pagos"/>
    <n v="494900"/>
    <n v="49490"/>
    <n v="0"/>
    <n v="0"/>
    <n v="0"/>
    <n v="0"/>
    <n v="0"/>
    <n v="0"/>
    <n v="0"/>
    <n v="425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n v="2434.7399999999998"/>
    <m/>
    <m/>
    <m/>
    <m/>
    <m/>
    <m/>
    <m/>
    <n v="46685.059999999976"/>
    <n v="0.94332309557486316"/>
    <n v="-2804.9400000000242"/>
    <n v="-5.6676904425136877E-2"/>
    <n v="448214.94"/>
    <n v="0.90566769044251361"/>
    <n v="49490"/>
    <s v="Vendido"/>
    <x v="1"/>
    <n v="19"/>
    <n v="1"/>
    <n v="20"/>
    <n v="3230"/>
    <n v="2434.7399999999998"/>
    <n v="20"/>
    <n v="22"/>
    <n v="56794.28"/>
    <n v="46685.059999999976"/>
    <n v="0"/>
    <n v="0"/>
    <n v="0"/>
    <n v="10109.220000000023"/>
    <x v="4"/>
    <m/>
    <m/>
  </r>
  <r>
    <x v="8"/>
    <s v="A"/>
    <s v="C"/>
    <s v="Pedro Sarti"/>
    <s v="María Angela Rodríguez"/>
    <d v="2025-01-04T00:00:00"/>
    <s v="4.Plan de pagos"/>
    <n v="47770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0"/>
    <n v="3737.5"/>
    <m/>
    <n v="1888"/>
    <m/>
    <n v="5625"/>
    <m/>
    <m/>
    <m/>
    <m/>
    <m/>
    <n v="12750.5"/>
    <n v="0.53127083333333336"/>
    <n v="-11249.5"/>
    <n v="-0.46872916666666664"/>
    <n v="464949.5"/>
    <n v="0.97330856185890724"/>
    <n v="24000"/>
    <s v="Vendido"/>
    <x v="1"/>
    <n v="12"/>
    <n v="1"/>
    <n v="13"/>
    <n v="1500"/>
    <n v="1875"/>
    <n v="0"/>
    <n v="7"/>
    <n v="14625"/>
    <n v="1500"/>
    <n v="5625.5"/>
    <n v="5625"/>
    <n v="0"/>
    <n v="1874.5"/>
    <x v="3"/>
    <m/>
    <m/>
  </r>
  <r>
    <x v="9"/>
    <s v="A"/>
    <s v="B"/>
    <m/>
    <m/>
    <m/>
    <s v="1.Disponible"/>
    <n v="477700"/>
    <n v="95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m/>
    <m/>
    <m/>
    <m/>
    <m/>
    <m/>
    <m/>
    <m/>
    <m/>
    <n v="0"/>
    <n v="0"/>
    <n v="0"/>
    <n v="0"/>
    <n v="477700"/>
    <n v="1"/>
    <n v="0"/>
    <s v="Apartamento Disponible"/>
    <x v="3"/>
    <n v="12"/>
    <n v="1"/>
    <n v="13"/>
    <n v="1500"/>
    <n v="1875"/>
    <n v="0"/>
    <n v="0"/>
    <n v="1500"/>
    <n v="0"/>
    <n v="0"/>
    <n v="0"/>
    <n v="0"/>
    <n v="1500"/>
    <x v="0"/>
    <m/>
    <m/>
  </r>
  <r>
    <x v="10"/>
    <s v="B"/>
    <s v="C"/>
    <s v="Pablo Marroquin"/>
    <s v="IRENE MAGALY GARCIA CORONADO"/>
    <d v="2025-08-06T00:00:00"/>
    <s v="2.Reservado"/>
    <n v="48700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m/>
    <m/>
    <m/>
    <m/>
    <n v="750"/>
    <n v="3.125E-2"/>
    <n v="-23250"/>
    <n v="-0.96875"/>
    <n v="486250"/>
    <n v="0.99845995893223816"/>
    <n v="24000"/>
    <s v="Vendido"/>
    <x v="1"/>
    <n v="12"/>
    <n v="1"/>
    <n v="13"/>
    <n v="1500"/>
    <n v="1875"/>
    <n v="0"/>
    <n v="0"/>
    <n v="1500"/>
    <n v="0"/>
    <n v="0"/>
    <n v="750"/>
    <n v="0"/>
    <n v="750"/>
    <x v="3"/>
    <m/>
    <m/>
  </r>
  <r>
    <x v="11"/>
    <s v="B"/>
    <s v="B"/>
    <s v="Efren Sanchez"/>
    <s v="LINDA ROS MONTERROSO CIFUENTES"/>
    <d v="2025-08-05T00:00:00"/>
    <s v="2.Reservado"/>
    <n v="4870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m/>
    <m/>
    <m/>
    <m/>
    <n v="1500"/>
    <n v="6.1475409836065573E-2"/>
    <n v="-22900"/>
    <n v="-0.93852459016393441"/>
    <n v="485500"/>
    <n v="0.99691991786447642"/>
    <n v="24400"/>
    <s v="Vendido"/>
    <x v="0"/>
    <m/>
    <m/>
    <n v="0"/>
    <m/>
    <m/>
    <n v="0"/>
    <n v="0"/>
    <n v="0"/>
    <n v="0"/>
    <n v="0"/>
    <n v="1500"/>
    <n v="1500"/>
    <n v="0"/>
    <x v="5"/>
    <m/>
    <m/>
  </r>
  <r>
    <x v="12"/>
    <s v="B"/>
    <s v="B"/>
    <s v="Eder Veliz"/>
    <s v="Ruth María Isabel Rodríguez Coronado"/>
    <d v="2025-08-06T00:00:00"/>
    <s v="2.Reservado"/>
    <n v="487000"/>
    <n v="244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1475409836065573E-2"/>
    <n v="-22900"/>
    <n v="-0.93852459016393441"/>
    <n v="485500"/>
    <n v="0.99691991786447642"/>
    <n v="24400"/>
    <s v="Vendido"/>
    <x v="0"/>
    <m/>
    <m/>
    <n v="0"/>
    <m/>
    <m/>
    <n v="0"/>
    <n v="0"/>
    <n v="0"/>
    <n v="0"/>
    <n v="0"/>
    <n v="1500"/>
    <n v="1500"/>
    <n v="0"/>
    <x v="5"/>
    <m/>
    <m/>
  </r>
  <r>
    <x v="13"/>
    <s v="A"/>
    <s v="B"/>
    <s v="Luis Esteban"/>
    <s v="Andrea Celeste Aparicio Juarez"/>
    <d v="2024-04-07T00:00:00"/>
    <s v="4.Plan de pagos"/>
    <n v="477700"/>
    <n v="24000"/>
    <n v="0"/>
    <n v="0"/>
    <n v="0"/>
    <n v="0"/>
    <n v="0"/>
    <n v="0"/>
    <n v="0"/>
    <n v="0"/>
    <n v="0"/>
    <n v="0"/>
    <n v="0"/>
    <n v="0"/>
    <n v="0"/>
    <n v="1500"/>
    <n v="546"/>
    <n v="1046"/>
    <n v="1046"/>
    <n v="1046"/>
    <n v="1045"/>
    <n v="1045"/>
    <n v="1046"/>
    <n v="1046"/>
    <n v="1046"/>
    <n v="1046"/>
    <n v="1046"/>
    <n v="1046"/>
    <n v="1046"/>
    <n v="1046"/>
    <n v="1046"/>
    <n v="1046"/>
    <m/>
    <m/>
    <m/>
    <m/>
    <n v="17734"/>
    <n v="0.73891666666666667"/>
    <n v="-6266"/>
    <n v="-0.26108333333333333"/>
    <n v="459966"/>
    <n v="0.96287628218547205"/>
    <n v="24000"/>
    <s v="Vendido"/>
    <x v="0"/>
    <n v="22"/>
    <n v="1"/>
    <n v="23"/>
    <n v="1000"/>
    <n v="1045.45"/>
    <n v="1"/>
    <n v="16"/>
    <n v="17727.2"/>
    <n v="2636"/>
    <n v="13006"/>
    <n v="2092"/>
    <n v="6.7999999999992724"/>
    <n v="0"/>
    <x v="0"/>
    <m/>
    <m/>
  </r>
  <r>
    <x v="14"/>
    <s v="A"/>
    <s v="C"/>
    <s v="Karina Fuentes"/>
    <s v="Byron Juventino López Mayen"/>
    <d v="2023-11-27T00:00:00"/>
    <s v="4.Plan de pagos"/>
    <n v="497900"/>
    <n v="49800"/>
    <n v="0"/>
    <n v="0"/>
    <n v="0"/>
    <n v="0"/>
    <n v="0"/>
    <n v="0"/>
    <n v="0"/>
    <n v="0"/>
    <n v="500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n v="2240.91"/>
    <m/>
    <m/>
    <m/>
    <m/>
    <n v="47559.110000000015"/>
    <n v="0.9550022088353417"/>
    <n v="-2240.8899999999849"/>
    <n v="-4.4997791164658331E-2"/>
    <n v="450340.89"/>
    <n v="0.90448059851375784"/>
    <n v="49800"/>
    <s v="Vendido"/>
    <x v="0"/>
    <n v="22"/>
    <n v="1"/>
    <n v="23"/>
    <n v="500"/>
    <n v="2240.91"/>
    <n v="0"/>
    <n v="21"/>
    <n v="47559.11"/>
    <n v="43077.290000000008"/>
    <n v="0"/>
    <n v="4481.820000000007"/>
    <n v="0"/>
    <n v="0"/>
    <x v="0"/>
    <m/>
    <m/>
  </r>
  <r>
    <x v="15"/>
    <s v="A"/>
    <s v="C"/>
    <s v="Abigail Garcia"/>
    <s v="Jesica Paola Noj Ramirez"/>
    <d v="2024-07-06T00:00:00"/>
    <s v="4.Plan de pagos"/>
    <n v="477000"/>
    <n v="24000"/>
    <n v="0"/>
    <n v="0"/>
    <n v="0"/>
    <n v="0"/>
    <n v="0"/>
    <n v="0"/>
    <n v="0"/>
    <n v="0"/>
    <n v="0"/>
    <n v="0"/>
    <n v="0"/>
    <n v="0"/>
    <n v="0"/>
    <n v="0"/>
    <n v="0"/>
    <n v="0"/>
    <n v="1500"/>
    <n v="1323.53"/>
    <n v="0"/>
    <n v="0"/>
    <n v="2647.06"/>
    <n v="1323.53"/>
    <n v="1323.53"/>
    <n v="0"/>
    <n v="2647.06"/>
    <n v="1323.53"/>
    <m/>
    <n v="1323.53"/>
    <m/>
    <n v="1323.53"/>
    <m/>
    <m/>
    <m/>
    <m/>
    <n v="14735.300000000001"/>
    <n v="0.61397083333333335"/>
    <n v="-9264.6999999999989"/>
    <n v="-0.38602916666666665"/>
    <n v="462264.7"/>
    <n v="0.96910838574423486"/>
    <n v="24000"/>
    <s v="Vendido"/>
    <x v="1"/>
    <n v="16"/>
    <n v="1"/>
    <n v="17"/>
    <n v="1500"/>
    <n v="1323.53"/>
    <n v="4"/>
    <n v="13"/>
    <n v="18705.89"/>
    <n v="6617.65"/>
    <n v="6794.119999999999"/>
    <n v="1323.5300000000025"/>
    <n v="0"/>
    <n v="3970.5899999999983"/>
    <x v="1"/>
    <m/>
    <m/>
  </r>
  <r>
    <x v="16"/>
    <s v="A"/>
    <s v="B"/>
    <s v="Abigail Garcia"/>
    <s v="Gerber Eliezer Perez Alonzo"/>
    <d v="2024-07-06T00:00:00"/>
    <s v="4.Plan de pagos"/>
    <n v="477700"/>
    <n v="24000"/>
    <n v="0"/>
    <n v="0"/>
    <n v="0"/>
    <n v="0"/>
    <n v="0"/>
    <n v="0"/>
    <n v="0"/>
    <n v="0"/>
    <n v="0"/>
    <n v="0"/>
    <n v="0"/>
    <n v="0"/>
    <n v="0"/>
    <n v="0"/>
    <n v="0"/>
    <n v="0"/>
    <n v="1500"/>
    <n v="1323.53"/>
    <n v="1323.53"/>
    <n v="1323.53"/>
    <n v="1323.53"/>
    <n v="1323.53"/>
    <n v="1323.53"/>
    <n v="1323.53"/>
    <n v="1323.53"/>
    <m/>
    <n v="2647.06"/>
    <m/>
    <n v="2647.06"/>
    <n v="1323.53"/>
    <m/>
    <m/>
    <m/>
    <m/>
    <n v="18705.89"/>
    <n v="0.77941208333333334"/>
    <n v="-5294.1100000000006"/>
    <n v="-0.22058791666666669"/>
    <n v="458994.11"/>
    <n v="0.9608417626125183"/>
    <n v="24000"/>
    <s v="Vendido"/>
    <x v="0"/>
    <n v="16"/>
    <n v="1"/>
    <n v="17"/>
    <n v="1500"/>
    <n v="1323.53"/>
    <n v="8"/>
    <n v="13"/>
    <n v="18705.89"/>
    <n v="10588.24"/>
    <n v="4147.0599999999995"/>
    <n v="3970.59"/>
    <n v="0"/>
    <n v="0"/>
    <x v="0"/>
    <m/>
    <m/>
  </r>
  <r>
    <x v="17"/>
    <s v="A"/>
    <s v="A"/>
    <s v="Abigail Garcia"/>
    <s v="Saulo Josue Escobar Pérez"/>
    <d v="2023-11-09T00:00:00"/>
    <s v="4.Plan de pagos"/>
    <n v="384700"/>
    <n v="38500"/>
    <n v="0"/>
    <n v="0"/>
    <n v="0"/>
    <n v="0"/>
    <n v="0"/>
    <n v="0"/>
    <n v="0"/>
    <n v="0"/>
    <n v="1000"/>
    <n v="1703.18"/>
    <n v="1703.18"/>
    <n v="1703.18"/>
    <n v="1703.18"/>
    <n v="1703.18"/>
    <n v="1703.18"/>
    <n v="1703.18"/>
    <n v="1703.18"/>
    <n v="1703.18"/>
    <n v="1703.18"/>
    <n v="1703.18"/>
    <n v="1703.18"/>
    <n v="0"/>
    <n v="3406.36"/>
    <n v="1703.18"/>
    <n v="0"/>
    <n v="3406.36"/>
    <n v="1703.18"/>
    <m/>
    <n v="3406.36"/>
    <n v="1703.18"/>
    <m/>
    <m/>
    <m/>
    <m/>
    <n v="36766.780000000006"/>
    <n v="0.95498129870129889"/>
    <n v="-1733.2199999999939"/>
    <n v="-4.5018701298701141E-2"/>
    <n v="347933.22"/>
    <n v="0.90442739797244598"/>
    <n v="38500"/>
    <s v="Vendido"/>
    <x v="1"/>
    <n v="22"/>
    <n v="1"/>
    <n v="23"/>
    <n v="1000"/>
    <n v="1704.55"/>
    <n v="0"/>
    <n v="21"/>
    <n v="36795.549999999996"/>
    <n v="24844.520000000004"/>
    <n v="6812.72"/>
    <n v="5109.5400000000018"/>
    <n v="0"/>
    <n v="28.769999999989523"/>
    <x v="3"/>
    <m/>
    <m/>
  </r>
  <r>
    <x v="18"/>
    <s v="A"/>
    <s v="B"/>
    <s v="Abigail Garcia"/>
    <s v="Monica Aide Espital Balan"/>
    <d v="2023-10-25T00:00:00"/>
    <s v="4.Plan de pagos"/>
    <n v="494900"/>
    <n v="49500"/>
    <n v="0"/>
    <n v="0"/>
    <n v="0"/>
    <n v="0"/>
    <n v="0"/>
    <n v="0"/>
    <n v="0"/>
    <n v="500"/>
    <n v="1500"/>
    <n v="0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n v="2374.5"/>
    <m/>
    <n v="2374.5"/>
    <n v="2374.5"/>
    <n v="2374.5"/>
    <n v="2374.5"/>
    <m/>
    <m/>
    <m/>
    <m/>
    <n v="47115.5"/>
    <n v="0.9518282828282828"/>
    <n v="-2384.5"/>
    <n v="-4.8171717171717171E-2"/>
    <n v="447784.5"/>
    <n v="0.90479793897757121"/>
    <n v="49500"/>
    <s v="Vendido"/>
    <x v="1"/>
    <n v="22"/>
    <n v="1"/>
    <n v="23"/>
    <n v="500"/>
    <n v="2374.5"/>
    <n v="0"/>
    <n v="22"/>
    <n v="52739"/>
    <n v="42366.5"/>
    <n v="0"/>
    <n v="4749"/>
    <n v="0"/>
    <n v="5623.5"/>
    <x v="1"/>
    <m/>
    <m/>
  </r>
  <r>
    <x v="19"/>
    <s v="A"/>
    <s v="C"/>
    <s v="Antonio Rada"/>
    <s v="Joyce Sharon Cruz Arguello"/>
    <d v="2024-10-14T00:00:00"/>
    <s v="4.Plan de pagos"/>
    <n v="477000"/>
    <n v="23900"/>
    <n v="0"/>
    <n v="0"/>
    <n v="0"/>
    <n v="0"/>
    <n v="0"/>
    <n v="0"/>
    <n v="0"/>
    <m/>
    <m/>
    <m/>
    <m/>
    <m/>
    <m/>
    <m/>
    <m/>
    <m/>
    <m/>
    <m/>
    <m/>
    <n v="500"/>
    <n v="1678.57"/>
    <n v="1678.57"/>
    <n v="1678.57"/>
    <n v="1678.57"/>
    <n v="1678.57"/>
    <n v="1678.57"/>
    <n v="1678.57"/>
    <n v="1678.57"/>
    <n v="1678.57"/>
    <n v="1678.57"/>
    <m/>
    <m/>
    <m/>
    <m/>
    <n v="17285.699999999997"/>
    <n v="0.72325104602510448"/>
    <n v="-6614.3000000000029"/>
    <n v="-0.27674895397489552"/>
    <n v="459714.3"/>
    <n v="0.96376163522012581"/>
    <n v="23900"/>
    <s v="Vendido"/>
    <x v="0"/>
    <n v="14"/>
    <n v="1"/>
    <n v="15"/>
    <n v="500"/>
    <n v="1671.43"/>
    <n v="0"/>
    <n v="10"/>
    <n v="17214.3"/>
    <n v="500"/>
    <n v="13428.56"/>
    <n v="3357.1399999999976"/>
    <n v="71.399999999997817"/>
    <n v="0"/>
    <x v="0"/>
    <m/>
    <m/>
  </r>
  <r>
    <x v="20"/>
    <s v="A"/>
    <s v="B"/>
    <s v="Efren Sanchez"/>
    <s v="Carlos Humberto Joel Alvizures Carmona / Katherine Areli Turcios Alvarez"/>
    <d v="2024-10-04T00:00:00"/>
    <s v="4.Plan de pagos"/>
    <n v="477700"/>
    <n v="23900"/>
    <n v="0"/>
    <n v="0"/>
    <n v="0"/>
    <n v="0"/>
    <n v="0"/>
    <n v="0"/>
    <n v="0"/>
    <m/>
    <m/>
    <m/>
    <m/>
    <m/>
    <m/>
    <m/>
    <m/>
    <m/>
    <m/>
    <m/>
    <m/>
    <n v="1493.33"/>
    <n v="1493.33"/>
    <n v="0"/>
    <n v="0"/>
    <n v="0"/>
    <n v="1493.33"/>
    <n v="1493.33"/>
    <m/>
    <m/>
    <m/>
    <m/>
    <m/>
    <m/>
    <m/>
    <m/>
    <n v="5973.32"/>
    <n v="0.24992970711297069"/>
    <n v="-17926.68"/>
    <n v="-0.75007029288702931"/>
    <n v="471726.68"/>
    <n v="0.9874956667364454"/>
    <n v="23900"/>
    <s v="Vendido"/>
    <x v="1"/>
    <n v="15"/>
    <n v="1"/>
    <n v="16"/>
    <n v="1500"/>
    <n v="1493.33"/>
    <n v="4"/>
    <n v="10"/>
    <n v="16433.3"/>
    <n v="5973.32"/>
    <n v="0"/>
    <n v="0"/>
    <n v="0"/>
    <n v="10459.98"/>
    <x v="6"/>
    <m/>
    <m/>
  </r>
  <r>
    <x v="21"/>
    <s v="C"/>
    <m/>
    <m/>
    <s v="Flor del Rocio Guarcas Samayo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5"/>
    <n v="1"/>
    <n v="16"/>
    <n v="1500"/>
    <n v="1493.33"/>
    <n v="0"/>
    <n v="0"/>
    <n v="1500"/>
    <n v="0"/>
    <n v="0"/>
    <n v="1500"/>
    <n v="0"/>
    <n v="0"/>
    <x v="0"/>
    <m/>
    <m/>
  </r>
  <r>
    <x v="22"/>
    <s v="B"/>
    <s v="B"/>
    <s v="Pablo Marroquin"/>
    <s v="DYLAN ALEXANDER RAMOS CAMPOS"/>
    <d v="2024-08-05T00:00:00"/>
    <s v="2.Reservado"/>
    <n v="487700"/>
    <n v="244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1475409836065573E-2"/>
    <n v="-22900"/>
    <n v="-0.93852459016393441"/>
    <n v="486200"/>
    <n v="0.9969243387328276"/>
    <n v="24400"/>
    <s v="Vendido"/>
    <x v="1"/>
    <n v="15"/>
    <n v="1"/>
    <n v="16"/>
    <n v="1500"/>
    <n v="1493.33"/>
    <n v="0"/>
    <n v="12"/>
    <n v="19419.96"/>
    <n v="0"/>
    <n v="0"/>
    <n v="1500"/>
    <n v="0"/>
    <n v="17919.96"/>
    <x v="7"/>
    <m/>
    <m/>
  </r>
  <r>
    <x v="23"/>
    <s v="B"/>
    <s v="B"/>
    <s v="Pablo Marroquin"/>
    <s v="Ricardo Hernesto Jocol Molina "/>
    <d v="2024-08-17T00:00:00"/>
    <s v="2.Reservado"/>
    <n v="492700"/>
    <n v="24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-24700"/>
    <n v="-1"/>
    <n v="492700"/>
    <n v="1"/>
    <n v="24700"/>
    <s v="Vendido"/>
    <x v="1"/>
    <n v="15"/>
    <n v="1"/>
    <n v="16"/>
    <n v="1500"/>
    <n v="1493.33"/>
    <n v="0"/>
    <n v="12"/>
    <n v="19419.96"/>
    <n v="0"/>
    <n v="0"/>
    <n v="0"/>
    <n v="0"/>
    <n v="19419.96"/>
    <x v="8"/>
    <m/>
    <m/>
  </r>
  <r>
    <x v="23"/>
    <s v="B"/>
    <s v="B"/>
    <m/>
    <s v="Blanca Iris Garcia Figueroa de Jocol"/>
    <d v="2025-08-19T00:00:00"/>
    <s v="2.Reservado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750"/>
    <m/>
    <m/>
    <m/>
    <m/>
    <n v="750"/>
    <n v="0"/>
    <n v="750"/>
    <e v="#DIV/0!"/>
    <n v="-750"/>
    <e v="#DIV/0!"/>
    <n v="0"/>
    <s v="Vendido"/>
    <x v="1"/>
    <n v="15"/>
    <n v="1"/>
    <n v="16"/>
    <n v="1500"/>
    <n v="1493.33"/>
    <n v="0"/>
    <n v="0"/>
    <n v="1500"/>
    <n v="0"/>
    <n v="0"/>
    <n v="750"/>
    <n v="0"/>
    <n v="750"/>
    <x v="3"/>
    <m/>
    <m/>
  </r>
  <r>
    <x v="24"/>
    <s v="A"/>
    <s v="B"/>
    <s v="Eder Veliz"/>
    <s v="Erick Alejandro Martinez Morales"/>
    <d v="2025-05-30T00:00:00"/>
    <s v="4.Plan de pagos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0"/>
    <m/>
    <n v="1494"/>
    <m/>
    <m/>
    <m/>
    <m/>
    <m/>
    <n v="2994"/>
    <n v="0.12527196652719666"/>
    <n v="-20906"/>
    <n v="-0.87472803347280337"/>
    <n v="474706"/>
    <n v="0.99373246807619842"/>
    <n v="23900"/>
    <s v="Vendido"/>
    <x v="1"/>
    <n v="15"/>
    <n v="1"/>
    <n v="16"/>
    <n v="1500"/>
    <n v="1493.38"/>
    <n v="0"/>
    <n v="3"/>
    <n v="5980.14"/>
    <n v="0"/>
    <n v="1500"/>
    <n v="1494"/>
    <n v="0"/>
    <n v="2986.1400000000003"/>
    <x v="9"/>
    <m/>
    <m/>
  </r>
  <r>
    <x v="25"/>
    <s v="A"/>
    <s v="C"/>
    <s v="Eder Veliz"/>
    <s v="Victor Manuel Mijangos Castillo"/>
    <d v="2025-05-26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n v="1500"/>
    <m/>
    <n v="1400"/>
    <m/>
    <m/>
    <m/>
    <m/>
    <m/>
    <n v="2900"/>
    <n v="0.12133891213389121"/>
    <n v="-21000"/>
    <n v="-0.87866108786610875"/>
    <n v="474100"/>
    <n v="0.99392033542976943"/>
    <n v="23900"/>
    <s v="Vendido"/>
    <x v="1"/>
    <n v="16"/>
    <n v="1"/>
    <n v="17"/>
    <n v="1500"/>
    <n v="1400"/>
    <n v="0"/>
    <n v="3"/>
    <n v="5700"/>
    <n v="0"/>
    <n v="1500"/>
    <n v="1400"/>
    <n v="0"/>
    <n v="2800"/>
    <x v="9"/>
    <m/>
    <m/>
  </r>
  <r>
    <x v="25"/>
    <s v="B"/>
    <s v="B"/>
    <s v="Eder Veliz"/>
    <s v="Melany Ninneth Flores &amp; Erick Daniel Ramirez"/>
    <d v="2025-08-03T00:00:00"/>
    <s v="2.Reservado"/>
    <n v="487700"/>
    <n v="2440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m/>
    <n v="1500"/>
    <m/>
    <m/>
    <m/>
    <m/>
    <n v="1500"/>
    <n v="6.1475409836065573E-2"/>
    <n v="-22900"/>
    <n v="-0.93852459016393441"/>
    <n v="486200"/>
    <n v="0.9969243387328276"/>
    <n v="24400"/>
    <s v="Vendido"/>
    <x v="0"/>
    <n v="16"/>
    <n v="1"/>
    <n v="17"/>
    <n v="1500"/>
    <n v="1400"/>
    <n v="0"/>
    <n v="0"/>
    <n v="1500"/>
    <n v="0"/>
    <n v="0"/>
    <n v="1500"/>
    <n v="0"/>
    <n v="0"/>
    <x v="0"/>
    <m/>
    <m/>
  </r>
  <r>
    <x v="26"/>
    <s v="A"/>
    <s v="C"/>
    <s v="Antonio Rada"/>
    <s v="Xiomara Edith García Solís De Morales"/>
    <d v="2024-12-09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723.08"/>
    <n v="1723.08"/>
    <n v="1723.08"/>
    <n v="1723.08"/>
    <n v="1723.08"/>
    <n v="1723.08"/>
    <n v="1723.08"/>
    <n v="1724"/>
    <m/>
    <m/>
    <m/>
    <m/>
    <n v="15285.56"/>
    <n v="0.63956317991631795"/>
    <n v="-8614.44"/>
    <n v="-0.36043682008368205"/>
    <n v="461714.44"/>
    <n v="0.96795480083857444"/>
    <n v="23900"/>
    <s v="Vendido"/>
    <x v="0"/>
    <n v="13"/>
    <n v="1"/>
    <n v="14"/>
    <n v="1500"/>
    <n v="1723.08"/>
    <n v="0"/>
    <n v="8"/>
    <n v="15284.64"/>
    <n v="11838.48"/>
    <n v="0"/>
    <n v="3447.08"/>
    <n v="0.92000000000007276"/>
    <n v="0"/>
    <x v="0"/>
    <m/>
    <m/>
  </r>
  <r>
    <x v="27"/>
    <s v="A"/>
    <s v="B"/>
    <s v="Efren Sanchez"/>
    <s v="Saul Esteban Mayen Santos"/>
    <d v="2024-09-30T00:00:00"/>
    <s v="4.Plan de pagos"/>
    <n v="477700"/>
    <n v="23900"/>
    <n v="0"/>
    <n v="0"/>
    <n v="0"/>
    <n v="0"/>
    <n v="0"/>
    <n v="0"/>
    <n v="0"/>
    <m/>
    <m/>
    <m/>
    <m/>
    <m/>
    <m/>
    <m/>
    <m/>
    <m/>
    <m/>
    <m/>
    <n v="1500"/>
    <n v="1500"/>
    <n v="1500"/>
    <n v="1500"/>
    <n v="0"/>
    <n v="3000"/>
    <n v="1500"/>
    <m/>
    <n v="1500"/>
    <n v="3000"/>
    <n v="1500"/>
    <m/>
    <m/>
    <m/>
    <m/>
    <m/>
    <n v="16500"/>
    <n v="0.69037656903765687"/>
    <n v="-7400"/>
    <n v="-0.30962343096234307"/>
    <n v="461200"/>
    <n v="0.96545949340590331"/>
    <n v="23900"/>
    <s v="Vendido"/>
    <x v="1"/>
    <n v="15"/>
    <n v="1"/>
    <n v="16"/>
    <n v="1500"/>
    <n v="1493.33"/>
    <n v="0"/>
    <n v="11"/>
    <n v="17926.629999999997"/>
    <n v="0"/>
    <n v="15000"/>
    <n v="1500"/>
    <n v="0"/>
    <n v="1426.6299999999974"/>
    <x v="3"/>
    <m/>
    <m/>
  </r>
  <r>
    <x v="28"/>
    <s v="B"/>
    <m/>
    <m/>
    <s v="Dulce Rocio Medrano Barrer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6"/>
    <n v="1"/>
    <n v="17"/>
    <n v="1500"/>
    <n v="1062.5"/>
    <n v="0"/>
    <n v="0"/>
    <n v="1500"/>
    <n v="0"/>
    <n v="0"/>
    <n v="1500"/>
    <n v="0"/>
    <n v="0"/>
    <x v="0"/>
    <m/>
    <m/>
  </r>
  <r>
    <x v="28"/>
    <s v="B"/>
    <m/>
    <m/>
    <s v="Sara Fernanda Enriquez Lemu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6"/>
    <n v="1"/>
    <n v="17"/>
    <n v="1500"/>
    <n v="1062.5"/>
    <n v="0"/>
    <n v="0"/>
    <n v="1500"/>
    <n v="0"/>
    <n v="0"/>
    <n v="1500"/>
    <n v="0"/>
    <n v="0"/>
    <x v="0"/>
    <m/>
    <m/>
  </r>
  <r>
    <x v="28"/>
    <s v="B"/>
    <m/>
    <m/>
    <s v="Sara Fernanda Enriquez Lemu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6"/>
    <n v="1"/>
    <n v="17"/>
    <n v="1500"/>
    <n v="1062.5"/>
    <n v="0"/>
    <n v="0"/>
    <n v="1500"/>
    <n v="0"/>
    <n v="0"/>
    <n v="1500"/>
    <n v="0"/>
    <n v="0"/>
    <x v="0"/>
    <m/>
    <m/>
  </r>
  <r>
    <x v="28"/>
    <s v="A"/>
    <s v="A"/>
    <s v="SIN DATOS"/>
    <s v="Andrea Yohana Cabrera Velasquez"/>
    <d v="2025-06-06T00:00:00"/>
    <s v="2.Reservado"/>
    <n v="394300"/>
    <n v="39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m/>
    <m/>
    <m/>
    <m/>
    <m/>
    <m/>
    <n v="1500"/>
    <n v="3.8042099923915801E-2"/>
    <n v="-37930"/>
    <n v="-0.96195790007608417"/>
    <n v="392800"/>
    <n v="0.99619579000760838"/>
    <n v="39430"/>
    <s v="Vendido"/>
    <x v="1"/>
    <n v="16"/>
    <n v="1"/>
    <n v="17"/>
    <n v="1500"/>
    <n v="1062.5"/>
    <n v="0"/>
    <n v="2"/>
    <n v="3625"/>
    <n v="0"/>
    <n v="1500"/>
    <n v="0"/>
    <n v="0"/>
    <n v="2125"/>
    <x v="9"/>
    <m/>
    <m/>
  </r>
  <r>
    <x v="29"/>
    <s v="A"/>
    <s v="B"/>
    <s v="Eder Veliz"/>
    <s v="Andrea Nohemi Rivas Sanchez "/>
    <d v="2025-06-22T00:00:00"/>
    <s v="1.Disponible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m/>
    <m/>
    <m/>
    <m/>
    <m/>
    <m/>
    <n v="1500"/>
    <n v="6.2761506276150625E-2"/>
    <n v="-22400"/>
    <n v="-0.93723849372384938"/>
    <n v="476200"/>
    <n v="0.99685995394599125"/>
    <n v="23900"/>
    <s v="Vendido"/>
    <x v="1"/>
    <n v="1"/>
    <n v="1"/>
    <n v="2"/>
    <n v="1500"/>
    <n v="22400"/>
    <n v="0"/>
    <n v="2"/>
    <n v="46300"/>
    <n v="1500"/>
    <n v="0"/>
    <n v="0"/>
    <n v="0"/>
    <n v="44800"/>
    <x v="9"/>
    <m/>
    <s v="Pacto un pago único para el mes de agosto 2025,"/>
  </r>
  <r>
    <x v="30"/>
    <s v="A"/>
    <s v="C"/>
    <s v="Abigail Garcia"/>
    <s v="Eddy Daniel Roque Arellanos"/>
    <d v="2024-04-08T00:00:00"/>
    <s v="4.Plan de pagos"/>
    <n v="477000"/>
    <n v="24000"/>
    <n v="0"/>
    <n v="0"/>
    <n v="0"/>
    <n v="0"/>
    <n v="0"/>
    <n v="0"/>
    <n v="0"/>
    <n v="0"/>
    <n v="0"/>
    <n v="0"/>
    <n v="0"/>
    <n v="0"/>
    <n v="0"/>
    <n v="2700"/>
    <n v="1200"/>
    <n v="0"/>
    <n v="2400"/>
    <n v="0"/>
    <n v="1200"/>
    <n v="1200"/>
    <n v="1200"/>
    <n v="2400"/>
    <n v="0"/>
    <n v="2400"/>
    <n v="1200"/>
    <n v="1200"/>
    <n v="1200"/>
    <n v="1200"/>
    <n v="1200"/>
    <n v="1200"/>
    <m/>
    <m/>
    <m/>
    <m/>
    <n v="21900"/>
    <n v="0.91249999999999998"/>
    <n v="-2100"/>
    <n v="-8.7499999999999994E-2"/>
    <n v="455100"/>
    <n v="0.95408805031446542"/>
    <n v="24000"/>
    <s v="Vendido"/>
    <x v="0"/>
    <n v="20"/>
    <n v="1"/>
    <n v="21"/>
    <n v="1500"/>
    <n v="1125"/>
    <n v="7"/>
    <n v="16"/>
    <n v="19500"/>
    <n v="0"/>
    <n v="19500"/>
    <n v="2400"/>
    <n v="2400"/>
    <n v="0"/>
    <x v="0"/>
    <m/>
    <m/>
  </r>
  <r>
    <x v="31"/>
    <s v="A"/>
    <s v="B"/>
    <s v="SIN DATOS"/>
    <s v="Rosita Elvira Clara Pineda"/>
    <d v="2025-06-25T00:00:00"/>
    <s v="1.Disponible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m/>
    <m/>
    <m/>
    <m/>
    <m/>
    <m/>
    <n v="1500"/>
    <n v="6.2761506276150625E-2"/>
    <n v="-22400"/>
    <n v="-0.93723849372384938"/>
    <n v="476200"/>
    <n v="0.99685995394599125"/>
    <n v="23900"/>
    <s v="Vendido"/>
    <x v="1"/>
    <n v="16"/>
    <n v="1"/>
    <n v="17"/>
    <n v="1500"/>
    <n v="1400"/>
    <n v="0"/>
    <n v="2"/>
    <n v="4300"/>
    <n v="0"/>
    <n v="1500"/>
    <n v="0"/>
    <n v="0"/>
    <n v="2800"/>
    <x v="9"/>
    <m/>
    <m/>
  </r>
  <r>
    <x v="32"/>
    <s v="A"/>
    <s v="B"/>
    <s v="Karina Fuentes"/>
    <s v="Lourdes Ofelia Baires"/>
    <d v="2023-12-02T00:00:00"/>
    <s v="4.Plan de pagos"/>
    <n v="494900"/>
    <n v="49500"/>
    <n v="0"/>
    <n v="0"/>
    <n v="0"/>
    <n v="0"/>
    <n v="0"/>
    <n v="0"/>
    <n v="0"/>
    <n v="0"/>
    <n v="0"/>
    <n v="500"/>
    <n v="2333.33"/>
    <n v="2333.33"/>
    <n v="2333.33"/>
    <n v="0"/>
    <n v="2333.33"/>
    <n v="2333.33"/>
    <n v="2333.33"/>
    <n v="4666.66"/>
    <n v="0"/>
    <n v="2333.33"/>
    <n v="2333.33"/>
    <n v="2333.33"/>
    <n v="2333.33"/>
    <n v="2333.33"/>
    <n v="2333.33"/>
    <n v="2333.33"/>
    <n v="4666.66"/>
    <m/>
    <n v="2333.33"/>
    <n v="2333.33"/>
    <m/>
    <m/>
    <m/>
    <m/>
    <n v="44833.270000000019"/>
    <n v="0.90572262626262667"/>
    <n v="-4666.7299999999814"/>
    <n v="-9.4277373737373354E-2"/>
    <n v="450066.73"/>
    <n v="0.90940943624974735"/>
    <n v="49500"/>
    <s v="Vendido"/>
    <x v="1"/>
    <n v="22"/>
    <n v="1"/>
    <n v="23"/>
    <n v="500"/>
    <n v="2333.33"/>
    <n v="0"/>
    <n v="20"/>
    <n v="47166.6"/>
    <n v="30833.290000000008"/>
    <n v="9333.32"/>
    <n v="4666.6600000000108"/>
    <n v="0"/>
    <n v="2333.3299999999799"/>
    <x v="3"/>
    <m/>
    <m/>
  </r>
  <r>
    <x v="33"/>
    <s v="A"/>
    <s v="C"/>
    <m/>
    <m/>
    <m/>
    <s v="1.Disponible"/>
    <n v="4770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n v="0"/>
    <n v="0"/>
    <n v="0"/>
    <n v="0"/>
    <n v="477000"/>
    <n v="1"/>
    <n v="0"/>
    <s v="Apartamento Disponible"/>
    <x v="3"/>
    <n v="13"/>
    <n v="1"/>
    <n v="14"/>
    <n v="500"/>
    <n v="1800"/>
    <n v="0"/>
    <n v="0"/>
    <n v="500"/>
    <n v="0"/>
    <n v="0"/>
    <n v="0"/>
    <n v="0"/>
    <n v="500"/>
    <x v="0"/>
    <m/>
    <m/>
  </r>
  <r>
    <x v="34"/>
    <s v="A"/>
    <s v="C"/>
    <s v="Luis Esteban"/>
    <s v="Luis Fernando Tique Santos"/>
    <d v="2024-05-14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n v="0"/>
    <n v="1500"/>
    <n v="1179"/>
    <n v="1179"/>
    <n v="1179"/>
    <n v="1179"/>
    <n v="1179"/>
    <n v="0"/>
    <n v="1179"/>
    <n v="0"/>
    <n v="3537"/>
    <n v="0"/>
    <m/>
    <m/>
    <n v="2359"/>
    <m/>
    <m/>
    <m/>
    <m/>
    <m/>
    <m/>
    <n v="14470"/>
    <n v="0.60543933054393306"/>
    <n v="-9430"/>
    <n v="-0.39456066945606694"/>
    <n v="462530"/>
    <n v="0.96966457023060793"/>
    <n v="23900"/>
    <s v="Vendido"/>
    <x v="1"/>
    <n v="19"/>
    <n v="1"/>
    <n v="20"/>
    <n v="1500"/>
    <n v="1178.95"/>
    <n v="6"/>
    <n v="15"/>
    <n v="19184.25"/>
    <n v="0"/>
    <n v="14470"/>
    <n v="0"/>
    <n v="0"/>
    <n v="4714.25"/>
    <x v="10"/>
    <m/>
    <m/>
  </r>
  <r>
    <x v="34"/>
    <s v="B"/>
    <m/>
    <m/>
    <s v="HANS ANTONI STRAUBE IZZEP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9"/>
    <n v="1"/>
    <n v="20"/>
    <n v="1500"/>
    <n v="1178.95"/>
    <n v="0"/>
    <n v="0"/>
    <n v="1500"/>
    <n v="0"/>
    <n v="0"/>
    <n v="1500"/>
    <n v="0"/>
    <n v="0"/>
    <x v="0"/>
    <m/>
    <m/>
  </r>
  <r>
    <x v="35"/>
    <s v="A"/>
    <s v="A"/>
    <s v="Efren Sanchez"/>
    <s v="Sara Esmeralda López Hernández"/>
    <d v="2025-06-30T00:00:00"/>
    <s v="2.Reservado"/>
    <n v="369600"/>
    <n v="1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n v="1500"/>
    <n v="1062.5"/>
    <n v="1062.5"/>
    <m/>
    <m/>
    <m/>
    <m/>
    <n v="3625"/>
    <n v="0.19594594594594594"/>
    <n v="-14875"/>
    <n v="-0.80405405405405406"/>
    <n v="365975"/>
    <n v="0.99019209956709953"/>
    <n v="18500"/>
    <s v="Vendido"/>
    <x v="0"/>
    <n v="16"/>
    <n v="1"/>
    <n v="17"/>
    <n v="1500"/>
    <n v="1062.5"/>
    <n v="0"/>
    <n v="2"/>
    <n v="3625"/>
    <n v="0"/>
    <n v="1500"/>
    <n v="2125"/>
    <n v="0"/>
    <n v="0"/>
    <x v="0"/>
    <m/>
    <m/>
  </r>
  <r>
    <x v="35"/>
    <s v="B"/>
    <s v="B"/>
    <s v="Efren Sanchez"/>
    <s v="Amanda Aracely Castillo Guzman"/>
    <d v="2024-11-30T00:00:00"/>
    <s v="Reservado"/>
    <n v="47700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800"/>
    <n v="0"/>
    <n v="3600"/>
    <n v="1800"/>
    <m/>
    <n v="1800"/>
    <n v="1800"/>
    <n v="1800"/>
    <n v="1800"/>
    <m/>
    <m/>
    <m/>
    <m/>
    <n v="14900"/>
    <n v="0.14899999999999999"/>
    <n v="-85100"/>
    <n v="-0.85099999999999998"/>
    <n v="462100"/>
    <n v="0.96876310272536692"/>
    <n v="100000"/>
    <s v="Vendido"/>
    <x v="1"/>
    <n v="13"/>
    <n v="1"/>
    <n v="14"/>
    <n v="500"/>
    <n v="1800"/>
    <n v="0"/>
    <n v="9"/>
    <n v="16700"/>
    <n v="7700"/>
    <n v="3600"/>
    <n v="3600"/>
    <n v="0"/>
    <n v="1800"/>
    <x v="3"/>
    <m/>
    <m/>
  </r>
  <r>
    <x v="36"/>
    <s v="A"/>
    <s v="B"/>
    <s v="Eder Veliz"/>
    <s v="Alan Emanuel Tunches Huertas"/>
    <d v="2025-05-10T00:00:00"/>
    <s v="2.Reservado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0"/>
    <n v="3282"/>
    <n v="1867"/>
    <m/>
    <m/>
    <m/>
    <m/>
    <m/>
    <n v="6649"/>
    <n v="0.27820083682008367"/>
    <n v="-17251"/>
    <n v="-0.72179916317991633"/>
    <n v="471051"/>
    <n v="0.98608122252459707"/>
    <n v="23900"/>
    <s v="Vendido"/>
    <x v="1"/>
    <n v="12"/>
    <n v="1"/>
    <n v="13"/>
    <n v="1500"/>
    <n v="1866.67"/>
    <n v="0"/>
    <n v="3"/>
    <n v="7100.01"/>
    <n v="1500"/>
    <n v="3282"/>
    <n v="1867"/>
    <n v="0"/>
    <n v="451.01000000000022"/>
    <x v="3"/>
    <m/>
    <m/>
  </r>
  <r>
    <x v="36"/>
    <s v="B"/>
    <s v="A"/>
    <s v="Pablo Marroquin"/>
    <s v="Mauricio Ricardo Mármol Vásquez"/>
    <d v="2025-08-06T00:00:00"/>
    <s v="2.Reservado"/>
    <n v="379600"/>
    <n v="200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7.4999999999999997E-2"/>
    <n v="-18500"/>
    <n v="-0.92500000000000004"/>
    <n v="378100"/>
    <n v="0.99604847207586933"/>
    <n v="20000"/>
    <s v="Vendido"/>
    <x v="0"/>
    <n v="12"/>
    <n v="1"/>
    <n v="13"/>
    <n v="1500"/>
    <n v="1866.67"/>
    <n v="0"/>
    <n v="0"/>
    <n v="1500"/>
    <n v="0"/>
    <n v="0"/>
    <n v="1500"/>
    <n v="0"/>
    <n v="0"/>
    <x v="0"/>
    <m/>
    <m/>
  </r>
  <r>
    <x v="37"/>
    <s v="A"/>
    <s v="B"/>
    <s v="Efren Sanchez"/>
    <s v="Rudy Ronaldo Peña Larios"/>
    <d v="2025-03-31T00:00:00"/>
    <s v="4.Plan de pagos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1500"/>
    <m/>
    <n v="1500"/>
    <n v="3000"/>
    <n v="1500"/>
    <m/>
    <m/>
    <m/>
    <m/>
    <n v="9000"/>
    <n v="0.37656903765690375"/>
    <n v="-14900"/>
    <n v="-0.62343096234309625"/>
    <n v="468700"/>
    <n v="0.98115972367594728"/>
    <n v="23900"/>
    <s v="Vendido"/>
    <x v="0"/>
    <n v="15"/>
    <n v="1"/>
    <n v="16"/>
    <n v="1500"/>
    <n v="1493.33"/>
    <n v="0"/>
    <n v="5"/>
    <n v="8966.65"/>
    <n v="0"/>
    <n v="4500"/>
    <n v="4500"/>
    <n v="33.350000000000364"/>
    <n v="0"/>
    <x v="0"/>
    <m/>
    <m/>
  </r>
  <r>
    <x v="38"/>
    <s v="A"/>
    <s v="B"/>
    <s v="Abigail Garcia"/>
    <s v="Carla Yanira Castillo"/>
    <d v="2024-03-17T00:00:00"/>
    <s v="4.Plan de pagos"/>
    <n v="477700"/>
    <n v="24000"/>
    <n v="0"/>
    <n v="0"/>
    <n v="0"/>
    <n v="0"/>
    <n v="0"/>
    <n v="0"/>
    <n v="0"/>
    <n v="0"/>
    <n v="0"/>
    <n v="0"/>
    <n v="0"/>
    <n v="0"/>
    <n v="1000"/>
    <n v="0"/>
    <n v="1095"/>
    <n v="1095"/>
    <n v="1095"/>
    <n v="1095"/>
    <n v="1095"/>
    <n v="0"/>
    <n v="0"/>
    <n v="2190"/>
    <n v="1095"/>
    <n v="0"/>
    <n v="1095"/>
    <n v="1095"/>
    <n v="1095"/>
    <n v="1095"/>
    <n v="3285"/>
    <m/>
    <m/>
    <m/>
    <m/>
    <m/>
    <n v="17425"/>
    <n v="0.7260416666666667"/>
    <n v="-6575"/>
    <n v="-0.27395833333333336"/>
    <n v="460275"/>
    <n v="0.96352313167259784"/>
    <n v="24000"/>
    <s v="Vendido"/>
    <x v="1"/>
    <n v="21"/>
    <n v="1"/>
    <n v="22"/>
    <n v="1000"/>
    <n v="1095.24"/>
    <n v="0"/>
    <n v="17"/>
    <n v="19619.080000000002"/>
    <n v="11950"/>
    <n v="2190"/>
    <n v="3285"/>
    <n v="0"/>
    <n v="2194.0800000000017"/>
    <x v="1"/>
    <m/>
    <m/>
  </r>
  <r>
    <x v="39"/>
    <s v="B"/>
    <m/>
    <m/>
    <s v="Edgar Manfredo Hernández Cabrera"/>
    <d v="2025-08-21T00:00:00"/>
    <s v="2.Reservad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2"/>
    <n v="21"/>
    <n v="1"/>
    <n v="22"/>
    <n v="1000"/>
    <n v="1095.24"/>
    <n v="0"/>
    <n v="0"/>
    <n v="1000"/>
    <n v="0"/>
    <n v="0"/>
    <n v="1500"/>
    <n v="500"/>
    <n v="0"/>
    <x v="0"/>
    <m/>
    <m/>
  </r>
  <r>
    <x v="40"/>
    <s v="A"/>
    <s v="C"/>
    <s v="Karina Fuentes"/>
    <s v="Oscar Oswaldo Ramos Gil"/>
    <d v="2023-12-10T00:00:00"/>
    <s v="4.Plan de pagos"/>
    <n v="497900"/>
    <n v="49800"/>
    <n v="0"/>
    <n v="0"/>
    <n v="0"/>
    <n v="0"/>
    <n v="0"/>
    <n v="0"/>
    <n v="0"/>
    <n v="0"/>
    <n v="0"/>
    <n v="1000"/>
    <n v="4647.62"/>
    <n v="2323.81"/>
    <n v="2323.81"/>
    <n v="2323.81"/>
    <n v="2323.81"/>
    <n v="0"/>
    <n v="4647.62"/>
    <n v="0"/>
    <n v="2323.81"/>
    <n v="4647.62"/>
    <n v="2323.81"/>
    <n v="2323.81"/>
    <n v="2323.81"/>
    <n v="2323.81"/>
    <n v="0"/>
    <n v="4647.62"/>
    <m/>
    <n v="2323.81"/>
    <n v="4647.62"/>
    <n v="2323.8000000000002"/>
    <m/>
    <m/>
    <m/>
    <m/>
    <n v="49800.000000000007"/>
    <n v="1.0000000000000002"/>
    <n v="0"/>
    <n v="0"/>
    <n v="448100"/>
    <n v="0.899979915645712"/>
    <n v="49800"/>
    <s v="Vendido"/>
    <x v="4"/>
    <n v="22"/>
    <n v="1"/>
    <n v="23"/>
    <n v="1000"/>
    <n v="2323.81"/>
    <n v="0"/>
    <n v="20"/>
    <n v="47476.2"/>
    <n v="24238.100000000002"/>
    <n v="18590.48"/>
    <n v="6971.4200000000055"/>
    <n v="2323.8000000000102"/>
    <n v="0"/>
    <x v="0"/>
    <m/>
    <m/>
  </r>
  <r>
    <x v="40"/>
    <s v="B"/>
    <m/>
    <m/>
    <s v="JURGEN ALEXANDER HERNANDEZ CAMPOSE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16"/>
    <n v="1"/>
    <n v="17"/>
    <n v="1500"/>
    <n v="1400"/>
    <n v="0"/>
    <n v="0"/>
    <n v="1500"/>
    <n v="0"/>
    <n v="0"/>
    <n v="1500"/>
    <n v="0"/>
    <n v="0"/>
    <x v="0"/>
    <m/>
    <m/>
  </r>
  <r>
    <x v="41"/>
    <s v="A"/>
    <s v="A"/>
    <s v="Pablo Marroquín"/>
    <s v="Michael Alexander Morales Rodríguez / Helen Mishel Rodas López de Morales  "/>
    <d v="2025-06-27T00:00:00"/>
    <s v="4.Plan de pagos"/>
    <n v="477000"/>
    <n v="23900"/>
    <m/>
    <m/>
    <m/>
    <m/>
    <m/>
    <m/>
    <m/>
    <m/>
    <m/>
    <m/>
    <m/>
    <m/>
    <m/>
    <m/>
    <m/>
    <m/>
    <m/>
    <m/>
    <m/>
    <m/>
    <m/>
    <m/>
    <m/>
    <m/>
    <m/>
    <m/>
    <m/>
    <m/>
    <n v="2900"/>
    <n v="1400"/>
    <m/>
    <m/>
    <m/>
    <m/>
    <n v="4300"/>
    <n v="0.1799163179916318"/>
    <n v="-19600"/>
    <n v="-0.82008368200836823"/>
    <n v="472700"/>
    <n v="0.99098532494758906"/>
    <n v="23900"/>
    <s v="Vendido"/>
    <x v="0"/>
    <n v="16"/>
    <n v="1"/>
    <n v="17"/>
    <n v="1500"/>
    <n v="1400"/>
    <n v="0"/>
    <n v="2"/>
    <n v="4300"/>
    <n v="0"/>
    <n v="0"/>
    <n v="4300"/>
    <n v="0"/>
    <n v="0"/>
    <x v="0"/>
    <m/>
    <m/>
  </r>
  <r>
    <x v="42"/>
    <s v="A"/>
    <s v="B"/>
    <s v="Pablo Marroquín"/>
    <s v="Diego Estuardo Salguero Salvatierra"/>
    <d v="2025-06-28T00:00:00"/>
    <s v="1.Disponible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m/>
    <m/>
    <m/>
    <m/>
    <m/>
    <m/>
    <n v="1500"/>
    <n v="6.2761506276150625E-2"/>
    <n v="-22400"/>
    <n v="-0.93723849372384938"/>
    <n v="476200"/>
    <n v="0.99685995394599125"/>
    <n v="23900"/>
    <s v="Vendido"/>
    <x v="1"/>
    <n v="16"/>
    <n v="1"/>
    <n v="17"/>
    <n v="1500"/>
    <n v="1400"/>
    <n v="0"/>
    <n v="2"/>
    <n v="4300"/>
    <n v="0"/>
    <n v="1500"/>
    <n v="0"/>
    <n v="0"/>
    <n v="2800"/>
    <x v="9"/>
    <m/>
    <m/>
  </r>
  <r>
    <x v="43"/>
    <s v="B"/>
    <s v="C"/>
    <s v="Efren Sanchez"/>
    <s v="YENIFER ESTEFANIA SANTOS GONZÁLEZ / JUAN EDUARDO FLORES BARRERA"/>
    <d v="2025-08-09T00:00:00"/>
    <s v="2.Reservado"/>
    <n v="487000"/>
    <n v="244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n v="1000"/>
    <n v="4.0983606557377046E-2"/>
    <n v="-23400"/>
    <n v="-0.95901639344262291"/>
    <n v="486000"/>
    <n v="0.99794661190965095"/>
    <n v="24400"/>
    <s v="Vendido"/>
    <x v="1"/>
    <n v="16"/>
    <n v="1"/>
    <n v="17"/>
    <n v="1500"/>
    <n v="1400"/>
    <n v="0"/>
    <n v="0"/>
    <n v="1500"/>
    <n v="0"/>
    <n v="0"/>
    <n v="1000"/>
    <n v="0"/>
    <n v="500"/>
    <x v="3"/>
    <m/>
    <m/>
  </r>
  <r>
    <x v="42"/>
    <s v="B"/>
    <s v="C"/>
    <s v="Efren Sanchez"/>
    <s v="ISRAEL ARMANDO MARROQUIN PEREZ"/>
    <d v="2025-08-14T00:00:00"/>
    <s v="2.Reservado"/>
    <n v="487000"/>
    <n v="24400"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m/>
    <m/>
    <m/>
    <n v="2000"/>
    <n v="8.1967213114754092E-2"/>
    <n v="-22400"/>
    <n v="-0.91803278688524592"/>
    <n v="485000"/>
    <n v="0.9958932238193019"/>
    <n v="24400"/>
    <s v="Vendido"/>
    <x v="0"/>
    <n v="16"/>
    <n v="1"/>
    <n v="17"/>
    <n v="1500"/>
    <n v="1400"/>
    <n v="0"/>
    <n v="0"/>
    <n v="1500"/>
    <n v="0"/>
    <n v="0"/>
    <n v="2000"/>
    <n v="500"/>
    <n v="0"/>
    <x v="0"/>
    <m/>
    <m/>
  </r>
  <r>
    <x v="43"/>
    <s v="A"/>
    <s v="A"/>
    <s v="Pedro Sarti"/>
    <s v="David Enrique Aldana Mazariegos"/>
    <d v="2025-02-05T00:00:00"/>
    <s v="4.Plan de pagos"/>
    <n v="369600"/>
    <n v="1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2.5"/>
    <n v="1100"/>
    <n v="1100"/>
    <m/>
    <n v="1100"/>
    <n v="1100"/>
    <n v="1100"/>
    <m/>
    <m/>
    <m/>
    <m/>
    <n v="8062.5"/>
    <n v="0.4358108108108108"/>
    <n v="-10437.5"/>
    <n v="-0.56418918918918914"/>
    <n v="361537.5"/>
    <n v="0.97818587662337664"/>
    <n v="18500"/>
    <s v="Vendido"/>
    <x v="0"/>
    <n v="16"/>
    <n v="1"/>
    <n v="17"/>
    <n v="1500"/>
    <n v="1062.5"/>
    <n v="2"/>
    <n v="6"/>
    <n v="7875"/>
    <n v="0"/>
    <n v="5862.5"/>
    <n v="2200"/>
    <n v="187.5"/>
    <n v="0"/>
    <x v="0"/>
    <m/>
    <m/>
  </r>
  <r>
    <x v="44"/>
    <m/>
    <m/>
    <m/>
    <s v="Yenifer Estefania Santos Gonzalez"/>
    <d v="2025-08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DIV/0!"/>
    <n v="0"/>
    <e v="#DIV/0!"/>
    <n v="0"/>
    <s v="Vendido"/>
    <x v="1"/>
    <n v="16"/>
    <n v="1"/>
    <n v="17"/>
    <n v="1500"/>
    <n v="1062.5"/>
    <n v="0"/>
    <n v="0"/>
    <n v="1500"/>
    <n v="0"/>
    <n v="0"/>
    <n v="0"/>
    <n v="0"/>
    <n v="1500"/>
    <x v="9"/>
    <m/>
    <m/>
  </r>
  <r>
    <x v="45"/>
    <s v="A"/>
    <s v="A"/>
    <s v="Eder Veliz"/>
    <s v="Edwin Alexander Amado Toc / Jennifer Alexa Castañeda Alvarez"/>
    <d v="2025-06-28T00:00:00"/>
    <s v="4.Plan de pagos"/>
    <n v="477000"/>
    <n v="23900"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m/>
    <m/>
    <n v="1500"/>
    <n v="6.2761506276150625E-2"/>
    <n v="-22400"/>
    <n v="-0.93723849372384938"/>
    <n v="475500"/>
    <n v="0.99685534591194969"/>
    <n v="23900"/>
    <s v="Vendido"/>
    <x v="0"/>
    <n v="16"/>
    <n v="1"/>
    <n v="17"/>
    <n v="1500"/>
    <n v="1400"/>
    <n v="0"/>
    <n v="2"/>
    <m/>
    <m/>
    <m/>
    <m/>
    <m/>
    <m/>
    <x v="11"/>
    <m/>
    <m/>
  </r>
  <r>
    <x v="46"/>
    <s v="A"/>
    <s v="A"/>
    <s v="Eder Veliz"/>
    <s v="Sebastian Angel Milian Guas"/>
    <d v="2025-06-28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n v="1400"/>
    <n v="1400"/>
    <m/>
    <m/>
    <m/>
    <m/>
    <n v="4300"/>
    <n v="0.1799163179916318"/>
    <n v="-19600"/>
    <n v="-0.82008368200836823"/>
    <n v="472700"/>
    <n v="0.99098532494758906"/>
    <n v="23900"/>
    <s v="Vendido"/>
    <x v="0"/>
    <n v="16"/>
    <n v="1"/>
    <n v="17"/>
    <n v="1500"/>
    <n v="1400"/>
    <n v="0"/>
    <n v="2"/>
    <n v="4300"/>
    <n v="0"/>
    <n v="1500"/>
    <n v="2800"/>
    <n v="0"/>
    <n v="0"/>
    <x v="11"/>
    <m/>
    <m/>
  </r>
  <r>
    <x v="47"/>
    <s v="A"/>
    <s v="C"/>
    <s v="Antonio Rada"/>
    <s v="Oscar Daniel Larias Guzman"/>
    <d v="2024-08-07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462.5"/>
    <n v="1462.5"/>
    <n v="1462.5"/>
    <n v="1462.5"/>
    <n v="1462.5"/>
    <n v="1462.5"/>
    <n v="1462.5"/>
    <n v="1462.5"/>
    <n v="1462.5"/>
    <n v="1462.5"/>
    <n v="1462.5"/>
    <n v="1462.5"/>
    <m/>
    <m/>
    <m/>
    <m/>
    <n v="18050"/>
    <n v="0.75523012552301261"/>
    <n v="-5850"/>
    <n v="-0.24476987447698745"/>
    <n v="458950"/>
    <n v="0.96215932914046121"/>
    <n v="23900"/>
    <s v="Vendido"/>
    <x v="1"/>
    <n v="16"/>
    <n v="1"/>
    <n v="17"/>
    <n v="1500"/>
    <n v="1462.5"/>
    <n v="10"/>
    <n v="12"/>
    <n v="19050"/>
    <n v="15125"/>
    <n v="0"/>
    <n v="2925"/>
    <n v="0"/>
    <n v="1000"/>
    <x v="3"/>
    <m/>
    <m/>
  </r>
  <r>
    <x v="47"/>
    <s v="A"/>
    <s v="C"/>
    <s v="Efren Sanchez"/>
    <s v="Angel Gabriel Coc Gomez"/>
    <d v="2025-08-10T00:00:00"/>
    <s v="2.Reservado"/>
    <n v="48700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500"/>
    <m/>
    <m/>
    <m/>
    <m/>
    <n v="1500"/>
    <n v="6.25E-2"/>
    <n v="-22500"/>
    <n v="-0.9375"/>
    <n v="485500"/>
    <n v="0.99691991786447642"/>
    <n v="24000"/>
    <s v="Vendido"/>
    <x v="0"/>
    <n v="16"/>
    <n v="1"/>
    <n v="17"/>
    <n v="1500"/>
    <n v="1462.5"/>
    <n v="0"/>
    <n v="0"/>
    <n v="1500"/>
    <n v="0"/>
    <n v="0"/>
    <n v="1500"/>
    <n v="0"/>
    <n v="0"/>
    <x v="0"/>
    <m/>
    <m/>
  </r>
  <r>
    <x v="48"/>
    <s v="B"/>
    <s v="C"/>
    <s v="Pablo Marroquin"/>
    <s v="JOSMIN JOAQUIN BARAHONA MORA"/>
    <d v="2025-08-09T00:00:00"/>
    <s v="Reservado"/>
    <n v="487000"/>
    <n v="240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25E-2"/>
    <n v="-22500"/>
    <n v="-0.9375"/>
    <n v="485500"/>
    <n v="0.99691991786447642"/>
    <n v="24000"/>
    <s v="Vendido"/>
    <x v="0"/>
    <n v="16"/>
    <n v="1"/>
    <n v="17"/>
    <n v="1500"/>
    <n v="1462.5"/>
    <n v="0"/>
    <n v="0"/>
    <n v="1500"/>
    <n v="0"/>
    <n v="0"/>
    <n v="1500"/>
    <n v="0"/>
    <n v="0"/>
    <x v="0"/>
    <m/>
    <m/>
  </r>
  <r>
    <x v="49"/>
    <s v="A"/>
    <s v="B"/>
    <s v="Luis Esteban"/>
    <s v="Santos Sebastian Pastor Velasquez"/>
    <d v="2024-04-25T00:00:00"/>
    <s v="4.Plan de pagos"/>
    <n v="477700"/>
    <n v="23900"/>
    <n v="0"/>
    <n v="0"/>
    <n v="0"/>
    <n v="0"/>
    <n v="0"/>
    <n v="0"/>
    <n v="0"/>
    <n v="0"/>
    <n v="0"/>
    <n v="0"/>
    <n v="0"/>
    <n v="0"/>
    <n v="0"/>
    <n v="1500"/>
    <n v="0"/>
    <n v="1000"/>
    <n v="0"/>
    <n v="0"/>
    <n v="1729.5"/>
    <n v="0"/>
    <n v="2459"/>
    <n v="0"/>
    <n v="0"/>
    <n v="0"/>
    <n v="0"/>
    <m/>
    <m/>
    <n v="6147.5"/>
    <n v="4918"/>
    <m/>
    <m/>
    <m/>
    <m/>
    <m/>
    <n v="17754"/>
    <n v="0.74284518828451884"/>
    <n v="-6146"/>
    <n v="-0.25715481171548116"/>
    <n v="459946"/>
    <n v="0.96283441490475197"/>
    <n v="23900"/>
    <s v="Vendido"/>
    <x v="1"/>
    <n v="20"/>
    <n v="1"/>
    <n v="21"/>
    <n v="1500"/>
    <n v="1229.5"/>
    <n v="1"/>
    <n v="16"/>
    <n v="21172"/>
    <n v="1000"/>
    <n v="11836"/>
    <n v="4918"/>
    <n v="0"/>
    <n v="3418"/>
    <x v="1"/>
    <m/>
    <m/>
  </r>
  <r>
    <x v="50"/>
    <s v="A"/>
    <s v="C"/>
    <s v="Abigail Garcia"/>
    <s v="David Obdulio Perez Monzon"/>
    <d v="2023-11-27T00:00:00"/>
    <s v="4.Plan de pagos"/>
    <n v="497900"/>
    <n v="49800"/>
    <n v="0"/>
    <n v="0"/>
    <n v="0"/>
    <n v="0"/>
    <n v="0"/>
    <n v="0"/>
    <n v="0"/>
    <n v="0"/>
    <n v="0"/>
    <n v="0"/>
    <n v="0"/>
    <n v="1000"/>
    <n v="2436.84"/>
    <n v="2437"/>
    <n v="2500"/>
    <n v="0"/>
    <n v="2500"/>
    <n v="0"/>
    <n v="5000"/>
    <n v="2500"/>
    <n v="0"/>
    <n v="0"/>
    <n v="0"/>
    <n v="0"/>
    <n v="0"/>
    <n v="10000"/>
    <n v="8000"/>
    <m/>
    <m/>
    <m/>
    <m/>
    <m/>
    <m/>
    <m/>
    <n v="36373.839999999997"/>
    <n v="0.73039839357429714"/>
    <n v="-13426.160000000003"/>
    <n v="-0.26960160642570286"/>
    <n v="461526.16000000003"/>
    <n v="0.92694549106246238"/>
    <n v="49800"/>
    <s v="Vendido"/>
    <x v="1"/>
    <n v="22"/>
    <n v="1"/>
    <n v="23"/>
    <n v="500"/>
    <n v="2436.84"/>
    <n v="0"/>
    <n v="21"/>
    <n v="51673.64"/>
    <n v="3436.84"/>
    <n v="32937"/>
    <n v="0"/>
    <n v="0"/>
    <n v="15299.800000000003"/>
    <x v="12"/>
    <m/>
    <m/>
  </r>
  <r>
    <x v="51"/>
    <m/>
    <m/>
    <m/>
    <s v="David Obdulio Perez Monz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27"/>
    <m/>
    <m/>
    <m/>
    <m/>
    <n v="12927"/>
    <n v="0"/>
    <n v="12927"/>
    <e v="#DIV/0!"/>
    <n v="-12927"/>
    <e v="#DIV/0!"/>
    <n v="0"/>
    <s v="Vendido"/>
    <x v="2"/>
    <n v="22"/>
    <n v="1"/>
    <n v="23"/>
    <n v="500"/>
    <n v="2436.84"/>
    <n v="0"/>
    <n v="0"/>
    <n v="500"/>
    <n v="0"/>
    <n v="0"/>
    <n v="12927"/>
    <n v="12427"/>
    <n v="0"/>
    <x v="0"/>
    <m/>
    <m/>
  </r>
  <r>
    <x v="52"/>
    <s v="A"/>
    <s v="A"/>
    <s v="Paula Hernández"/>
    <s v="Juan Eduardo Lopez Suran"/>
    <d v="2025-06-29T00:00:00"/>
    <s v="Reservado"/>
    <n v="477700"/>
    <n v="24000"/>
    <m/>
    <m/>
    <m/>
    <m/>
    <m/>
    <m/>
    <m/>
    <m/>
    <m/>
    <m/>
    <m/>
    <m/>
    <m/>
    <m/>
    <m/>
    <m/>
    <m/>
    <m/>
    <m/>
    <m/>
    <m/>
    <m/>
    <m/>
    <m/>
    <m/>
    <m/>
    <m/>
    <n v="1500"/>
    <n v="1500"/>
    <m/>
    <m/>
    <m/>
    <m/>
    <m/>
    <n v="3000"/>
    <n v="0.125"/>
    <n v="-21000"/>
    <n v="-0.875"/>
    <n v="474700"/>
    <n v="0.99371990789198239"/>
    <n v="24000"/>
    <s v="Vendido"/>
    <x v="1"/>
    <n v="16"/>
    <n v="1"/>
    <n v="17"/>
    <n v="1500"/>
    <n v="1400"/>
    <n v="0"/>
    <n v="2"/>
    <n v="4300"/>
    <n v="0"/>
    <n v="1500"/>
    <n v="1500"/>
    <n v="0"/>
    <n v="1300"/>
    <x v="3"/>
    <m/>
    <m/>
  </r>
  <r>
    <x v="53"/>
    <s v="B"/>
    <s v="B"/>
    <s v="Paula Hernández"/>
    <s v="Héctor Emmanuel Olivares López  "/>
    <d v="2025-08-17T00:00:00"/>
    <s v="Reservado"/>
    <n v="492700"/>
    <n v="247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0728744939271252E-2"/>
    <n v="-23200"/>
    <n v="-0.93927125506072873"/>
    <n v="491200"/>
    <n v="0.99695555104526079"/>
    <n v="24700"/>
    <s v="Vendido"/>
    <x v="0"/>
    <n v="16"/>
    <n v="1"/>
    <n v="17"/>
    <n v="1500"/>
    <n v="1400"/>
    <n v="0"/>
    <n v="0"/>
    <n v="1500"/>
    <n v="0"/>
    <n v="0"/>
    <n v="1500"/>
    <n v="0"/>
    <n v="0"/>
    <x v="0"/>
    <m/>
    <m/>
  </r>
  <r>
    <x v="54"/>
    <s v="A"/>
    <s v="A"/>
    <m/>
    <s v="Ilse Mariela Rosales Diaz"/>
    <d v="2025-06-30T00:00:00"/>
    <s v="Reservado"/>
    <n v="477700"/>
    <n v="23900"/>
    <m/>
    <m/>
    <m/>
    <m/>
    <m/>
    <m/>
    <m/>
    <m/>
    <m/>
    <m/>
    <m/>
    <m/>
    <m/>
    <m/>
    <m/>
    <m/>
    <m/>
    <m/>
    <m/>
    <m/>
    <m/>
    <m/>
    <m/>
    <m/>
    <m/>
    <m/>
    <m/>
    <n v="1500"/>
    <n v="1400"/>
    <n v="1400"/>
    <m/>
    <m/>
    <m/>
    <m/>
    <n v="4300"/>
    <n v="0.1799163179916318"/>
    <n v="-19600"/>
    <n v="-0.82008368200836823"/>
    <n v="473400"/>
    <n v="0.99099853464517484"/>
    <n v="23900"/>
    <s v="Vendido"/>
    <x v="0"/>
    <n v="16"/>
    <n v="1"/>
    <n v="17"/>
    <n v="1500"/>
    <n v="1400"/>
    <n v="0"/>
    <n v="2"/>
    <n v="4300"/>
    <n v="0"/>
    <n v="1500"/>
    <n v="2800"/>
    <n v="0"/>
    <n v="0"/>
    <x v="0"/>
    <m/>
    <m/>
  </r>
  <r>
    <x v="55"/>
    <s v="A"/>
    <s v="A"/>
    <s v="Abigail Garcia"/>
    <s v="Luis Fernando Moreno Pozuelos"/>
    <d v="2024-05-07T00:00:00"/>
    <s v="4.Plan de pagos"/>
    <n v="369600"/>
    <n v="18500"/>
    <n v="0"/>
    <n v="0"/>
    <n v="0"/>
    <n v="0"/>
    <n v="0"/>
    <n v="0"/>
    <n v="0"/>
    <n v="0"/>
    <n v="0"/>
    <n v="0"/>
    <n v="0"/>
    <n v="0"/>
    <n v="0"/>
    <n v="0"/>
    <n v="2394.7399999999998"/>
    <n v="894.74"/>
    <n v="0"/>
    <n v="1789.48"/>
    <n v="0"/>
    <n v="0"/>
    <n v="894.74"/>
    <n v="894.74"/>
    <n v="894.74"/>
    <n v="894.74"/>
    <n v="894.74"/>
    <n v="894.74"/>
    <n v="894.74"/>
    <n v="894.74"/>
    <n v="894.74"/>
    <n v="894.74"/>
    <m/>
    <m/>
    <m/>
    <m/>
    <n v="14026.359999999997"/>
    <n v="0.7581816216216215"/>
    <n v="-4473.6400000000031"/>
    <n v="-0.24181837837837855"/>
    <n v="355573.64"/>
    <n v="0.96204989177489186"/>
    <n v="18500"/>
    <s v="Vendido"/>
    <x v="1"/>
    <n v="19"/>
    <n v="1"/>
    <n v="20"/>
    <n v="1500"/>
    <n v="894.74"/>
    <n v="8"/>
    <n v="15"/>
    <n v="14921.1"/>
    <n v="8052.6599999999989"/>
    <n v="4184.2199999999993"/>
    <n v="1789.4799999999987"/>
    <n v="0"/>
    <n v="894.74000000000342"/>
    <x v="3"/>
    <m/>
    <m/>
  </r>
  <r>
    <x v="56"/>
    <s v="A"/>
    <s v="C"/>
    <s v="Abigail Garcia"/>
    <s v="Jaquelyn Michel Chumil Castillo"/>
    <d v="2024-04-28T00:00:00"/>
    <s v="4.Plan de pagos"/>
    <n v="477000"/>
    <n v="24000"/>
    <n v="0"/>
    <n v="0"/>
    <n v="0"/>
    <n v="0"/>
    <n v="0"/>
    <n v="0"/>
    <n v="0"/>
    <n v="0"/>
    <n v="0"/>
    <n v="0"/>
    <n v="0"/>
    <n v="0"/>
    <n v="0"/>
    <n v="1500"/>
    <n v="1125"/>
    <n v="1125"/>
    <n v="0"/>
    <n v="2250"/>
    <n v="0"/>
    <n v="1125"/>
    <n v="1125"/>
    <n v="2250"/>
    <n v="0"/>
    <n v="1125"/>
    <n v="2250"/>
    <n v="1125"/>
    <n v="1125"/>
    <n v="1125"/>
    <n v="1125"/>
    <n v="1125"/>
    <m/>
    <m/>
    <m/>
    <m/>
    <n v="19500"/>
    <n v="0.8125"/>
    <n v="-4500"/>
    <n v="-0.1875"/>
    <n v="457500"/>
    <n v="0.95911949685534592"/>
    <n v="24000"/>
    <s v="Vendido"/>
    <x v="0"/>
    <n v="20"/>
    <n v="1"/>
    <n v="21"/>
    <n v="1500"/>
    <n v="1125"/>
    <n v="7"/>
    <n v="16"/>
    <n v="19500"/>
    <n v="9000"/>
    <n v="8250"/>
    <n v="2250"/>
    <n v="0"/>
    <n v="0"/>
    <x v="0"/>
    <m/>
    <m/>
  </r>
  <r>
    <x v="57"/>
    <s v="B"/>
    <m/>
    <m/>
    <s v="EMILY DANIELA HERNÁNDEZ VÁSQU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0"/>
    <n v="1500"/>
    <e v="#DIV/0!"/>
    <n v="-1500"/>
    <e v="#DIV/0!"/>
    <n v="0"/>
    <s v="Vendido"/>
    <x v="1"/>
    <n v="20"/>
    <n v="1"/>
    <n v="21"/>
    <n v="1500"/>
    <n v="1125"/>
    <n v="0"/>
    <n v="0"/>
    <n v="1500"/>
    <n v="0"/>
    <n v="0"/>
    <n v="1500"/>
    <n v="0"/>
    <n v="0"/>
    <x v="0"/>
    <m/>
    <m/>
  </r>
  <r>
    <x v="56"/>
    <s v="B"/>
    <s v="B"/>
    <s v="Efren Sanchez"/>
    <s v="Belter Anibal Collado Lepez "/>
    <d v="2025-08-17T00:00:00"/>
    <s v="2.Reservado"/>
    <n v="492700"/>
    <n v="247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0728744939271252E-2"/>
    <n v="-23200"/>
    <n v="-0.93927125506072873"/>
    <n v="491200"/>
    <n v="0.99695555104526079"/>
    <n v="24700"/>
    <s v="Vendido"/>
    <x v="0"/>
    <n v="20"/>
    <n v="1"/>
    <n v="21"/>
    <n v="1500"/>
    <n v="1125"/>
    <n v="0"/>
    <n v="0"/>
    <n v="1500"/>
    <n v="0"/>
    <n v="0"/>
    <n v="1500"/>
    <n v="0"/>
    <n v="0"/>
    <x v="0"/>
    <m/>
    <m/>
  </r>
  <r>
    <x v="58"/>
    <s v="A"/>
    <s v="B"/>
    <s v="Abigail Garcia"/>
    <s v="Walter Adolfo Max Toc Crux"/>
    <d v="2024-02-27T00:00:00"/>
    <s v="4.Plan de pagos"/>
    <n v="477700"/>
    <n v="24000"/>
    <n v="0"/>
    <n v="0"/>
    <n v="0"/>
    <n v="0"/>
    <n v="0"/>
    <n v="0"/>
    <n v="0"/>
    <n v="0"/>
    <n v="0"/>
    <n v="0"/>
    <n v="0"/>
    <n v="1000"/>
    <n v="0"/>
    <n v="1045.45"/>
    <n v="1045.45"/>
    <n v="1045.45"/>
    <n v="1045.45"/>
    <n v="1045.45"/>
    <n v="1045"/>
    <n v="1045.45"/>
    <n v="1045.45"/>
    <n v="1045.45"/>
    <n v="1045.45"/>
    <n v="1045.45"/>
    <n v="1045.45"/>
    <n v="1045.45"/>
    <n v="1045.45"/>
    <n v="1045.45"/>
    <n v="1045.45"/>
    <n v="1045.45"/>
    <m/>
    <m/>
    <m/>
    <m/>
    <n v="18772.200000000008"/>
    <n v="0.78217500000000029"/>
    <n v="-5227.799999999992"/>
    <n v="-0.21782499999999966"/>
    <n v="458927.8"/>
    <n v="0.96070295164329078"/>
    <n v="24000"/>
    <s v="Vendido"/>
    <x v="1"/>
    <n v="22"/>
    <n v="1"/>
    <n v="23"/>
    <n v="1000"/>
    <n v="1045.45"/>
    <n v="0"/>
    <n v="18"/>
    <n v="19818.100000000002"/>
    <n v="16681.300000000007"/>
    <n v="0"/>
    <n v="2090.9000000000015"/>
    <n v="0"/>
    <n v="1045.8999999999942"/>
    <x v="9"/>
    <m/>
    <m/>
  </r>
  <r>
    <x v="59"/>
    <s v="B"/>
    <s v="C"/>
    <s v="Pablo Marroquin"/>
    <s v="MARLENY ARACELY JOCOL GARCIA / LUIS ALBERTO GRAJEDA LÓPEZ"/>
    <d v="2025-08-09T00:00:00"/>
    <s v="2.Reservado"/>
    <n v="487000"/>
    <n v="240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n v="1500"/>
    <n v="6.25E-2"/>
    <n v="-22500"/>
    <n v="-0.9375"/>
    <n v="485500"/>
    <n v="0.99691991786447642"/>
    <n v="24000"/>
    <s v="Vendido"/>
    <x v="0"/>
    <n v="22"/>
    <n v="1"/>
    <n v="23"/>
    <n v="1000"/>
    <n v="1045.45"/>
    <n v="0"/>
    <n v="0"/>
    <n v="1000"/>
    <n v="0"/>
    <n v="0"/>
    <n v="1500"/>
    <n v="500"/>
    <n v="0"/>
    <x v="0"/>
    <m/>
    <m/>
  </r>
  <r>
    <x v="3"/>
    <s v="B"/>
    <s v="C"/>
    <s v="Efren Sanchez"/>
    <s v="Rogerio Dagoberto Escobar Fajardo / Carmen Odila Escobar de León"/>
    <d v="2025-07-20T00:00:00"/>
    <s v="2.Reservado"/>
    <n v="487000"/>
    <n v="2440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n v="3000"/>
    <n v="1300"/>
    <m/>
    <m/>
    <m/>
    <m/>
    <n v="4300"/>
    <n v="0.17622950819672131"/>
    <n v="-20100"/>
    <n v="-0.82377049180327866"/>
    <n v="482700"/>
    <n v="0.99117043121149895"/>
    <n v="24400"/>
    <s v="Vendido"/>
    <x v="0"/>
    <n v="18"/>
    <n v="1"/>
    <n v="19"/>
    <n v="1500"/>
    <n v="1272.22"/>
    <n v="0"/>
    <n v="1"/>
    <n v="2772.2200000000003"/>
    <n v="0"/>
    <n v="0"/>
    <n v="4300"/>
    <n v="1527.7799999999997"/>
    <n v="0"/>
    <x v="0"/>
    <m/>
    <m/>
  </r>
  <r>
    <x v="5"/>
    <s v="B"/>
    <s v="B"/>
    <s v="Karina Fuentes"/>
    <s v="Loida Sarai Morales Garcia"/>
    <d v="2024-03-03T00:00:00"/>
    <s v="4.Plan de pagos"/>
    <n v="477700"/>
    <n v="47800"/>
    <n v="0"/>
    <n v="0"/>
    <n v="0"/>
    <n v="0"/>
    <n v="0"/>
    <n v="0"/>
    <n v="0"/>
    <n v="0"/>
    <n v="0"/>
    <n v="0"/>
    <n v="0"/>
    <n v="0"/>
    <n v="3228.57"/>
    <n v="2228.5700000000002"/>
    <n v="2228.5700000000002"/>
    <n v="2228.5700000000002"/>
    <n v="2228.5700000000002"/>
    <n v="2228.5700000000002"/>
    <n v="2228.5700000000002"/>
    <n v="2228.5700000000002"/>
    <n v="0"/>
    <n v="2228.5700000000002"/>
    <n v="2228.5700000000002"/>
    <n v="2228.5700000000002"/>
    <n v="4457.1400000000003"/>
    <m/>
    <n v="2228.5700000000002"/>
    <n v="2228.5700000000002"/>
    <n v="2228.5700000000002"/>
    <m/>
    <m/>
    <m/>
    <m/>
    <m/>
    <n v="36657.120000000003"/>
    <n v="0.76688535564853566"/>
    <n v="-11142.879999999997"/>
    <n v="-0.23311464435146437"/>
    <n v="441042.88"/>
    <n v="0.92326330332844886"/>
    <n v="47800"/>
    <s v="Vendido"/>
    <x v="1"/>
    <n v="21"/>
    <n v="1"/>
    <n v="22"/>
    <n v="1000"/>
    <n v="2228.5700000000002"/>
    <n v="0"/>
    <n v="17"/>
    <n v="38885.69"/>
    <n v="26742.84"/>
    <n v="7685.7100000000009"/>
    <n v="2228.5700000000015"/>
    <n v="0"/>
    <n v="2228.5699999999997"/>
    <x v="3"/>
    <m/>
    <m/>
  </r>
  <r>
    <x v="60"/>
    <s v="B"/>
    <s v="B"/>
    <s v="Abigail Garcia"/>
    <s v="Cristina Elizabeth Musin Hernandez"/>
    <d v="2024-05-18T00:00:00"/>
    <s v="4.Plan de pagos"/>
    <n v="477700"/>
    <n v="24000"/>
    <n v="0"/>
    <n v="0"/>
    <n v="0"/>
    <n v="0"/>
    <n v="0"/>
    <n v="0"/>
    <n v="0"/>
    <n v="0"/>
    <n v="0"/>
    <n v="0"/>
    <n v="0"/>
    <n v="0"/>
    <n v="0"/>
    <n v="0"/>
    <n v="1500"/>
    <n v="1184.21"/>
    <n v="1184.21"/>
    <n v="1184.21"/>
    <n v="1184.21"/>
    <n v="1184.21"/>
    <n v="1184.21"/>
    <n v="5921.05"/>
    <n v="0"/>
    <n v="0"/>
    <n v="0"/>
    <m/>
    <n v="1184.21"/>
    <n v="1184.21"/>
    <n v="1184.21"/>
    <n v="1184.21"/>
    <m/>
    <m/>
    <m/>
    <m/>
    <n v="19263.149999999998"/>
    <n v="0.80263124999999991"/>
    <n v="-4736.8500000000022"/>
    <n v="-0.19736875000000009"/>
    <n v="458436.85"/>
    <n v="0.95967521456981364"/>
    <n v="24000"/>
    <s v="Vendido"/>
    <x v="0"/>
    <n v="19"/>
    <n v="1"/>
    <n v="20"/>
    <n v="1500"/>
    <n v="1184.21"/>
    <n v="7"/>
    <n v="15"/>
    <n v="19263.150000000001"/>
    <n v="9473.68"/>
    <n v="7421.05"/>
    <n v="2368.4199999999973"/>
    <n v="0"/>
    <n v="0"/>
    <x v="0"/>
    <m/>
    <m/>
  </r>
  <r>
    <x v="19"/>
    <s v="B"/>
    <s v="B"/>
    <s v="Efren Sanchez"/>
    <s v="Douglas Alexander Crúz Cobar"/>
    <d v="2025-07-30T00:00:00"/>
    <s v="2.Reservado"/>
    <n v="477000"/>
    <n v="23900"/>
    <m/>
    <m/>
    <m/>
    <m/>
    <m/>
    <m/>
    <m/>
    <m/>
    <m/>
    <m/>
    <m/>
    <m/>
    <m/>
    <m/>
    <m/>
    <m/>
    <m/>
    <m/>
    <m/>
    <m/>
    <m/>
    <m/>
    <m/>
    <m/>
    <m/>
    <m/>
    <m/>
    <m/>
    <n v="1500"/>
    <n v="1272.22"/>
    <m/>
    <m/>
    <m/>
    <m/>
    <n v="2772.2200000000003"/>
    <n v="0.11599246861924688"/>
    <n v="-21127.78"/>
    <n v="-0.88400753138075305"/>
    <n v="474227.78"/>
    <n v="0.9941882180293502"/>
    <n v="23900"/>
    <s v="Vendido"/>
    <x v="0"/>
    <n v="18"/>
    <n v="1"/>
    <n v="19"/>
    <n v="1500"/>
    <n v="1272.22"/>
    <n v="0"/>
    <n v="1"/>
    <n v="2772.2200000000003"/>
    <n v="0"/>
    <n v="0"/>
    <n v="2772.2200000000003"/>
    <n v="0"/>
    <n v="0"/>
    <x v="0"/>
    <m/>
    <m/>
  </r>
  <r>
    <x v="28"/>
    <s v="B"/>
    <s v="B"/>
    <s v="Efren Sanchez"/>
    <s v="Angel Renato Muñoz de León "/>
    <d v="2025-07-15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500"/>
    <n v="1272.22"/>
    <m/>
    <m/>
    <m/>
    <m/>
    <n v="2772.2200000000003"/>
    <n v="0.11361557377049182"/>
    <n v="-21627.78"/>
    <n v="-0.88638442622950819"/>
    <n v="484927.78"/>
    <n v="0.99431572688127956"/>
    <n v="24400"/>
    <s v="Vendido"/>
    <x v="0"/>
    <n v="18"/>
    <n v="1"/>
    <n v="19"/>
    <n v="1500"/>
    <n v="1272.22"/>
    <n v="0"/>
    <n v="1"/>
    <n v="2772.2200000000003"/>
    <n v="0"/>
    <n v="0"/>
    <n v="2772.2200000000003"/>
    <n v="0"/>
    <n v="0"/>
    <x v="0"/>
    <m/>
    <m/>
  </r>
  <r>
    <x v="30"/>
    <s v="B"/>
    <s v="B"/>
    <s v="Pablo Marroquín"/>
    <s v="Luis Javier Aguilar España"/>
    <d v="2025-07-06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750"/>
    <n v="1272.22"/>
    <m/>
    <m/>
    <m/>
    <m/>
    <n v="2022.22"/>
    <n v="8.2877868852459013E-2"/>
    <n v="-22377.78"/>
    <n v="-0.91712213114754093"/>
    <n v="485677.78"/>
    <n v="0.99585355751486571"/>
    <n v="24400"/>
    <s v="Vendido"/>
    <x v="1"/>
    <n v="18"/>
    <n v="1"/>
    <n v="19"/>
    <n v="1500"/>
    <n v="1272.22"/>
    <n v="0"/>
    <n v="1"/>
    <n v="2772.2200000000003"/>
    <n v="0"/>
    <n v="0"/>
    <n v="2022.22"/>
    <n v="0"/>
    <n v="750.00000000000023"/>
    <x v="3"/>
    <m/>
    <m/>
  </r>
  <r>
    <x v="61"/>
    <s v="B"/>
    <s v="C"/>
    <s v="Antonio Rada"/>
    <s v="Pedro David Pérez Barrios"/>
    <d v="2024-05-15T00:00:00"/>
    <s v="4.Plan de pagos"/>
    <n v="477000"/>
    <n v="23900"/>
    <n v="0"/>
    <n v="0"/>
    <n v="0"/>
    <n v="0"/>
    <n v="0"/>
    <n v="0"/>
    <n v="0"/>
    <n v="0"/>
    <n v="0"/>
    <n v="0"/>
    <n v="0"/>
    <n v="0"/>
    <n v="0"/>
    <n v="0"/>
    <n v="1500"/>
    <n v="2000"/>
    <n v="1200"/>
    <n v="1200"/>
    <n v="1200"/>
    <n v="1200"/>
    <n v="1200"/>
    <n v="1200"/>
    <n v="1200"/>
    <n v="1200"/>
    <n v="0"/>
    <n v="2400"/>
    <n v="1200"/>
    <m/>
    <n v="1200"/>
    <n v="1200"/>
    <m/>
    <m/>
    <m/>
    <m/>
    <n v="19100"/>
    <n v="0.79916317991631802"/>
    <n v="-4800"/>
    <n v="-0.20083682008368201"/>
    <n v="457900"/>
    <n v="0.95995807127882604"/>
    <n v="23900"/>
    <s v="Vendido"/>
    <x v="1"/>
    <n v="11"/>
    <n v="1"/>
    <n v="12"/>
    <n v="1500"/>
    <n v="1178.95"/>
    <n v="9"/>
    <n v="15"/>
    <n v="19184.25"/>
    <n v="0"/>
    <n v="16700"/>
    <n v="2400"/>
    <n v="0"/>
    <n v="84.25"/>
    <x v="3"/>
    <m/>
    <m/>
  </r>
  <r>
    <x v="62"/>
    <s v="B"/>
    <s v="B"/>
    <s v="Eder Veliz"/>
    <s v="Julian Guillermo Ramirez Garcia-Sulma Korina Hernandez Aguilar"/>
    <d v="2025-07-31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m/>
    <m/>
    <m/>
    <m/>
    <m/>
    <m/>
    <n v="1500"/>
    <n v="6.1475409836065573E-2"/>
    <n v="-22900"/>
    <n v="-0.93852459016393441"/>
    <n v="486200"/>
    <n v="0.9969243387328276"/>
    <n v="24400"/>
    <s v="Vendido"/>
    <x v="1"/>
    <n v="18"/>
    <n v="1"/>
    <n v="19"/>
    <n v="1500"/>
    <n v="1272.22"/>
    <n v="0"/>
    <n v="1"/>
    <n v="2772.2200000000003"/>
    <n v="0"/>
    <n v="1500"/>
    <n v="0"/>
    <n v="0"/>
    <n v="1272.2200000000003"/>
    <x v="3"/>
    <m/>
    <m/>
  </r>
  <r>
    <x v="37"/>
    <s v="B"/>
    <s v="B"/>
    <s v="Eder Veliz"/>
    <s v="Kevin Fernando de la Cruz Toc"/>
    <d v="2025-07-03T00:00:00"/>
    <s v="2.Reservado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500"/>
    <n v="1400"/>
    <m/>
    <m/>
    <m/>
    <m/>
    <n v="2900"/>
    <n v="0.12133891213389121"/>
    <n v="-21000"/>
    <n v="-0.87866108786610875"/>
    <n v="474800"/>
    <n v="0.99392924429558305"/>
    <n v="23900"/>
    <s v="Vendido"/>
    <x v="0"/>
    <n v="16"/>
    <n v="1"/>
    <n v="17"/>
    <n v="1500"/>
    <n v="1400"/>
    <n v="0"/>
    <n v="1"/>
    <n v="2900"/>
    <n v="0"/>
    <n v="0"/>
    <n v="2900"/>
    <n v="0"/>
    <n v="0"/>
    <x v="0"/>
    <m/>
    <m/>
  </r>
  <r>
    <x v="63"/>
    <s v="B"/>
    <s v="C"/>
    <s v="Eder Veliz"/>
    <s v="Astrid Angelica Herrera Gil / Kevin Alejandro López Toc"/>
    <d v="2025-07-20T00:00:00"/>
    <s v="2.Reservado"/>
    <n v="4870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500"/>
    <n v="1272.22"/>
    <m/>
    <m/>
    <m/>
    <m/>
    <n v="2772.2200000000003"/>
    <n v="0.11361557377049182"/>
    <n v="-21627.78"/>
    <n v="-0.88638442622950819"/>
    <n v="484227.78"/>
    <n v="0.99430755646817259"/>
    <n v="24400"/>
    <s v="Vendido"/>
    <x v="0"/>
    <n v="18"/>
    <n v="1"/>
    <n v="19"/>
    <n v="1500"/>
    <n v="1272.22"/>
    <n v="0"/>
    <n v="1"/>
    <n v="2772.2200000000003"/>
    <n v="0"/>
    <n v="0"/>
    <n v="2772.2200000000003"/>
    <n v="0"/>
    <n v="0"/>
    <x v="0"/>
    <m/>
    <m/>
  </r>
  <r>
    <x v="39"/>
    <s v="B"/>
    <s v="B"/>
    <m/>
    <s v="Edgar Manfredo Hernandez Cabrera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n v="0"/>
    <n v="0"/>
    <n v="0"/>
    <e v="#DIV/0!"/>
    <n v="0"/>
    <e v="#DIV/0!"/>
    <n v="0"/>
    <s v="Vendido"/>
    <x v="1"/>
    <n v="16"/>
    <n v="1"/>
    <n v="17"/>
    <n v="500"/>
    <n v="1462.5"/>
    <n v="0"/>
    <n v="0"/>
    <n v="500"/>
    <n v="0"/>
    <n v="0"/>
    <n v="0"/>
    <n v="0"/>
    <n v="500"/>
    <x v="0"/>
    <m/>
    <m/>
  </r>
  <r>
    <x v="64"/>
    <s v="B"/>
    <s v="A"/>
    <s v="Efren Sanchez"/>
    <s v="Ronald Alberto Pineda Monroy"/>
    <d v="2025-06-28T00:00:00"/>
    <s v="1.Disponible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500"/>
    <n v="1462.5"/>
    <n v="1462.5"/>
    <m/>
    <m/>
    <m/>
    <m/>
    <n v="3425"/>
    <n v="0.14330543933054393"/>
    <n v="-20475"/>
    <n v="-0.85669456066945604"/>
    <n v="474275"/>
    <n v="0.99283022817667987"/>
    <n v="23900"/>
    <s v="Vendido"/>
    <x v="0"/>
    <n v="16"/>
    <n v="1"/>
    <n v="17"/>
    <n v="500"/>
    <n v="1462.5"/>
    <n v="0"/>
    <n v="2"/>
    <n v="3425"/>
    <n v="500"/>
    <n v="0"/>
    <n v="2925"/>
    <n v="0"/>
    <n v="0"/>
    <x v="0"/>
    <m/>
    <m/>
  </r>
  <r>
    <x v="64"/>
    <s v="B"/>
    <s v="B"/>
    <s v="Pablo Marroquín"/>
    <s v="Hillary Kerstel Ixmucane Xona Guzmán / Francisca Guzmán López de Xoná"/>
    <d v="2025-07-13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500"/>
    <m/>
    <n v="1272.22"/>
    <m/>
    <m/>
    <m/>
    <m/>
    <n v="1772.22"/>
    <n v="7.2631967213114754E-2"/>
    <n v="-22627.78"/>
    <n v="-0.92736803278688518"/>
    <n v="485927.78"/>
    <n v="0.99636616772606112"/>
    <n v="24400"/>
    <s v="Vendido"/>
    <x v="1"/>
    <n v="18"/>
    <n v="1"/>
    <n v="19"/>
    <n v="1500"/>
    <n v="1272.22"/>
    <n v="0"/>
    <n v="1"/>
    <n v="2772.2200000000003"/>
    <n v="500"/>
    <n v="0"/>
    <n v="1272.22"/>
    <n v="0"/>
    <n v="1000.0000000000002"/>
    <x v="3"/>
    <m/>
    <m/>
  </r>
  <r>
    <x v="46"/>
    <s v="B"/>
    <s v="B"/>
    <s v="Eder Veliz"/>
    <s v="Jorge Mario Santizo Lacayo"/>
    <d v="2025-07-12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"/>
    <n v="2773"/>
    <m/>
    <m/>
    <m/>
    <m/>
    <m/>
    <n v="4273"/>
    <n v="0.17512295081967214"/>
    <n v="-20127"/>
    <n v="-0.82487704918032789"/>
    <n v="483427"/>
    <n v="0.99123846627024814"/>
    <n v="24400"/>
    <s v="Vendido"/>
    <x v="0"/>
    <n v="18"/>
    <n v="1"/>
    <n v="19"/>
    <n v="1500"/>
    <n v="1272.22"/>
    <n v="0"/>
    <n v="1"/>
    <n v="2772.2200000000003"/>
    <n v="0"/>
    <n v="1500"/>
    <n v="2773"/>
    <m/>
    <m/>
    <x v="11"/>
    <m/>
    <m/>
  </r>
  <r>
    <x v="49"/>
    <s v="B"/>
    <s v="B"/>
    <s v="Eder Veliz"/>
    <s v="Mario Andres Perez Lopez"/>
    <d v="2025-07-26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500"/>
    <n v="1272.22"/>
    <m/>
    <m/>
    <m/>
    <m/>
    <n v="2772.2200000000003"/>
    <n v="0.11361557377049182"/>
    <n v="-21627.78"/>
    <n v="-0.88638442622950819"/>
    <n v="484927.78"/>
    <n v="0.99431572688127956"/>
    <n v="24400"/>
    <s v="Vendido"/>
    <x v="0"/>
    <n v="18"/>
    <n v="1"/>
    <n v="19"/>
    <n v="1500"/>
    <n v="1272.22"/>
    <n v="0"/>
    <n v="1"/>
    <n v="2772.2200000000003"/>
    <n v="0"/>
    <n v="0"/>
    <n v="2772.2200000000003"/>
    <n v="0"/>
    <n v="0"/>
    <x v="0"/>
    <m/>
    <m/>
  </r>
  <r>
    <x v="52"/>
    <s v="B"/>
    <s v="B"/>
    <s v="Efren Sanchez"/>
    <s v="Caterin Fidelina Calderón"/>
    <d v="2025-07-05T00:00:00"/>
    <s v="2.Reservado"/>
    <n v="487000"/>
    <n v="24400"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m/>
    <n v="1500"/>
    <n v="6.1475409836065573E-2"/>
    <n v="-22900"/>
    <n v="-0.93852459016393441"/>
    <n v="485500"/>
    <n v="0.99691991786447642"/>
    <n v="24400"/>
    <s v="Vendido"/>
    <x v="1"/>
    <n v="18"/>
    <n v="1"/>
    <n v="19"/>
    <n v="1500"/>
    <n v="1272.22"/>
    <n v="0"/>
    <n v="1"/>
    <n v="2772.2200000000003"/>
    <n v="0"/>
    <n v="0"/>
    <n v="1500"/>
    <n v="0"/>
    <n v="1272.2200000000003"/>
    <x v="3"/>
    <m/>
    <m/>
  </r>
  <r>
    <x v="54"/>
    <s v="B"/>
    <s v="B"/>
    <s v="Abigail Garcia"/>
    <s v="Andrea Isabel Tezen Cabrera"/>
    <d v="2024-05-30T00:00:00"/>
    <s v="4.Plan de pagos"/>
    <n v="477700"/>
    <n v="24000"/>
    <n v="0"/>
    <n v="0"/>
    <n v="0"/>
    <n v="0"/>
    <n v="0"/>
    <n v="0"/>
    <n v="0"/>
    <n v="0"/>
    <n v="0"/>
    <n v="0"/>
    <n v="0"/>
    <n v="0"/>
    <n v="0"/>
    <n v="0"/>
    <n v="1500"/>
    <n v="0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n v="1184.21"/>
    <m/>
    <m/>
    <m/>
    <m/>
    <n v="18078.939999999995"/>
    <n v="0.75328916666666645"/>
    <n v="-5921.0600000000049"/>
    <n v="-0.24671083333333355"/>
    <n v="459621.06"/>
    <n v="0.96215419719489215"/>
    <n v="24000"/>
    <s v="Vendido"/>
    <x v="1"/>
    <n v="19"/>
    <n v="1"/>
    <n v="20"/>
    <n v="1500"/>
    <n v="1184.21"/>
    <n v="11"/>
    <n v="15"/>
    <n v="19263.150000000001"/>
    <n v="14210.519999999997"/>
    <n v="1500"/>
    <n v="2368.4199999999983"/>
    <n v="0"/>
    <n v="1184.2100000000064"/>
    <x v="9"/>
    <m/>
    <m/>
  </r>
  <r>
    <x v="65"/>
    <s v="B"/>
    <s v="B"/>
    <s v="Abigail Garcia"/>
    <s v="Erik Estuardo Carrera Cruz"/>
    <d v="2024-02-18T00:00:00"/>
    <s v="4.Plan de pagos"/>
    <n v="477700"/>
    <n v="24000"/>
    <n v="0"/>
    <n v="0"/>
    <n v="0"/>
    <n v="0"/>
    <n v="0"/>
    <n v="0"/>
    <n v="0"/>
    <n v="0"/>
    <n v="0"/>
    <n v="0"/>
    <n v="0"/>
    <n v="1000"/>
    <n v="0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n v="1045.45"/>
    <m/>
    <m/>
    <m/>
    <m/>
    <n v="18772.650000000005"/>
    <n v="0.78219375000000024"/>
    <n v="-5227.3499999999949"/>
    <n v="-0.21780624999999978"/>
    <n v="458927.35"/>
    <n v="0.9607020096294745"/>
    <n v="24000"/>
    <s v="Vendido"/>
    <x v="1"/>
    <n v="22"/>
    <n v="1"/>
    <n v="23"/>
    <n v="1000"/>
    <n v="1045.45"/>
    <n v="0"/>
    <n v="18"/>
    <n v="19818.100000000002"/>
    <n v="16681.750000000004"/>
    <n v="0"/>
    <n v="2090.9000000000015"/>
    <n v="0"/>
    <n v="1045.4499999999971"/>
    <x v="3"/>
    <m/>
    <m/>
  </r>
  <r>
    <x v="29"/>
    <s v="TB"/>
    <s v="A"/>
    <s v="Efren Sanchez"/>
    <s v="Andrea Noemi Rivas Sanchez"/>
    <d v="2025-04-20T00:00:00"/>
    <s v="4.Plan de pagos"/>
    <n v="964442"/>
    <n v="48242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n v="8400"/>
    <m/>
    <m/>
    <m/>
    <m/>
    <m/>
    <n v="8400"/>
    <n v="0.17412213423987397"/>
    <n v="-39842"/>
    <n v="-0.82587786576012601"/>
    <n v="956042"/>
    <n v="0.99129030050536993"/>
    <n v="48242"/>
    <s v="Vendido"/>
    <x v="1"/>
    <n v="1"/>
    <n v="0"/>
    <n v="1"/>
    <n v="5000"/>
    <n v="43242"/>
    <n v="0"/>
    <n v="4"/>
    <n v="43242"/>
    <n v="0"/>
    <n v="0"/>
    <n v="8400"/>
    <n v="0"/>
    <n v="34842"/>
    <x v="3"/>
    <m/>
    <m/>
  </r>
  <r>
    <x v="66"/>
    <s v="B"/>
    <s v="B"/>
    <s v="SIN DATOS"/>
    <s v="Suarlim Eli Barrientos Pazos / Angel Eli Barrientos Castro"/>
    <d v="2025-07-31T00:00:00"/>
    <s v="2.Reservado"/>
    <n v="48770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500"/>
    <n v="1272.22"/>
    <m/>
    <m/>
    <m/>
    <m/>
    <n v="2772.2200000000003"/>
    <n v="0.11361557377049182"/>
    <n v="-21627.78"/>
    <n v="-0.88638442622950819"/>
    <n v="484927.78"/>
    <n v="0.99431572688127956"/>
    <n v="24400"/>
    <s v="Vendido"/>
    <x v="0"/>
    <n v="18"/>
    <n v="1"/>
    <n v="19"/>
    <n v="1500"/>
    <n v="1272.22"/>
    <n v="0"/>
    <n v="1"/>
    <n v="2772.2200000000003"/>
    <n v="0"/>
    <n v="0"/>
    <n v="2772.2200000000003"/>
    <n v="0"/>
    <n v="0"/>
    <x v="0"/>
    <m/>
    <m/>
  </r>
  <r>
    <x v="67"/>
    <m/>
    <s v="B"/>
    <s v="Antonio Rada"/>
    <s v="Marvin Leonel Alexander Larias Guzman"/>
    <d v="2024-08-07T00:00:00"/>
    <s v="4.Plan de pagos"/>
    <n v="477700"/>
    <n v="2390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462.5"/>
    <n v="1462.5"/>
    <n v="1462.5"/>
    <n v="1462.5"/>
    <n v="1462.5"/>
    <n v="1462.5"/>
    <n v="1462.5"/>
    <m/>
    <n v="2925"/>
    <n v="1462.5"/>
    <n v="1462.5"/>
    <n v="1462.5"/>
    <m/>
    <m/>
    <m/>
    <m/>
    <n v="18050"/>
    <n v="0.75523012552301261"/>
    <n v="-5850"/>
    <n v="-0.24476987447698745"/>
    <n v="459650"/>
    <n v="0.96221477915009423"/>
    <n v="23900"/>
    <s v="Vendido"/>
    <x v="0"/>
    <n v="16"/>
    <n v="1"/>
    <n v="17"/>
    <n v="500"/>
    <n v="1462.5"/>
    <n v="0"/>
    <n v="12"/>
    <n v="18050"/>
    <n v="12200"/>
    <n v="2925"/>
    <n v="2925"/>
    <n v="0"/>
    <n v="0"/>
    <x v="0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s v="A PLUS"/>
    <s v="C"/>
    <m/>
    <s v="Nathaly Esmeralda Vanessa Galvez de León"/>
    <d v="2025-06-15T00:00:00"/>
    <s v="4. Plan de Pagos"/>
    <n v="655200"/>
    <n v="46000"/>
    <m/>
    <m/>
    <m/>
    <n v="1500"/>
    <m/>
    <m/>
    <m/>
    <m/>
    <m/>
    <m/>
    <n v="1500"/>
    <n v="3.2608695652173912E-2"/>
    <n v="-44500"/>
    <n v="-0.96739130434782605"/>
    <n v="653700"/>
    <n v="0.99771062271062272"/>
    <n v="46000"/>
    <s v="Vendido"/>
    <x v="0"/>
    <n v="26"/>
    <n v="1"/>
    <n v="27"/>
    <n v="1500"/>
    <n v="1653.85"/>
    <n v="0"/>
    <n v="1"/>
    <n v="1500"/>
    <n v="1500"/>
    <n v="0"/>
    <n v="0"/>
    <n v="0"/>
    <n v="0"/>
    <x v="0"/>
    <m/>
    <m/>
  </r>
  <r>
    <x v="1"/>
    <s v="C PLUS"/>
    <s v="C"/>
    <m/>
    <m/>
    <m/>
    <s v="1.Disponible"/>
    <n v="995500"/>
    <n v="69685"/>
    <m/>
    <m/>
    <m/>
    <m/>
    <m/>
    <m/>
    <m/>
    <m/>
    <m/>
    <m/>
    <n v="0"/>
    <n v="0"/>
    <n v="0"/>
    <n v="0"/>
    <n v="9955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"/>
    <s v="C PLUS"/>
    <s v="C"/>
    <m/>
    <m/>
    <m/>
    <s v="1.Disponible"/>
    <n v="995500"/>
    <n v="69685"/>
    <m/>
    <m/>
    <m/>
    <m/>
    <m/>
    <m/>
    <m/>
    <m/>
    <m/>
    <m/>
    <n v="0"/>
    <n v="0"/>
    <n v="0"/>
    <n v="0"/>
    <n v="9955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"/>
    <s v="A PLUS"/>
    <s v="C"/>
    <s v="José Gutierrez"/>
    <s v="CARLOS ALFONSO CASTRO MARTINEZ"/>
    <d v="2025-07-18T00:00:00"/>
    <s v="1.Disponible"/>
    <n v="655200"/>
    <n v="45864.000000000007"/>
    <m/>
    <m/>
    <m/>
    <m/>
    <n v="3000"/>
    <m/>
    <m/>
    <m/>
    <m/>
    <m/>
    <n v="3000"/>
    <n v="6.5410779696493976E-2"/>
    <n v="-42864.000000000007"/>
    <n v="-0.934589220303506"/>
    <n v="652200"/>
    <n v="0.99542124542124544"/>
    <n v="45864.000000000007"/>
    <s v="Vendido"/>
    <x v="0"/>
    <n v="26"/>
    <n v="1"/>
    <n v="27"/>
    <n v="3000"/>
    <n v="1653.85"/>
    <n v="0"/>
    <n v="0"/>
    <n v="3000"/>
    <n v="0"/>
    <n v="3000"/>
    <n v="0"/>
    <n v="0"/>
    <n v="0"/>
    <x v="0"/>
    <m/>
    <m/>
  </r>
  <r>
    <x v="4"/>
    <s v="A PLUS"/>
    <s v="C"/>
    <m/>
    <s v="BRANDON OSWALDO PONCE PÉREZ Y KATERINE ANDREA LUCIA MARTÍNEZ MEJÍA"/>
    <m/>
    <s v="1.Disponible"/>
    <n v="655200"/>
    <n v="46000"/>
    <m/>
    <m/>
    <m/>
    <n v="1500"/>
    <n v="1500"/>
    <m/>
    <m/>
    <m/>
    <m/>
    <m/>
    <n v="3000"/>
    <n v="6.5217391304347824E-2"/>
    <n v="-43000"/>
    <n v="-0.93478260869565222"/>
    <n v="652200"/>
    <n v="0.99542124542124544"/>
    <n v="46000"/>
    <s v="Vendido"/>
    <x v="0"/>
    <n v="26"/>
    <n v="1"/>
    <n v="27"/>
    <n v="1500"/>
    <n v="1653.85"/>
    <n v="0"/>
    <n v="0"/>
    <n v="1500"/>
    <n v="3000"/>
    <n v="0"/>
    <n v="0"/>
    <n v="1500"/>
    <n v="0"/>
    <x v="0"/>
    <m/>
    <m/>
  </r>
  <r>
    <x v="5"/>
    <s v="B PLUS"/>
    <s v="C"/>
    <m/>
    <s v="NATANAEL DE JESUS GAITAN GOMEZ"/>
    <m/>
    <s v="1.Disponible"/>
    <n v="847700"/>
    <n v="59339.000000000007"/>
    <m/>
    <m/>
    <m/>
    <m/>
    <n v="3000"/>
    <m/>
    <m/>
    <m/>
    <m/>
    <m/>
    <n v="3000"/>
    <n v="5.0556969278214993E-2"/>
    <n v="-56339.000000000007"/>
    <n v="-0.94944303072178504"/>
    <n v="844700"/>
    <n v="0.99646101215052496"/>
    <n v="59339.000000000007"/>
    <s v="Vendido"/>
    <x v="0"/>
    <m/>
    <n v="0"/>
    <n v="0"/>
    <m/>
    <m/>
    <n v="0"/>
    <n v="0"/>
    <n v="0"/>
    <n v="0"/>
    <n v="0"/>
    <n v="3000"/>
    <n v="3000"/>
    <n v="0"/>
    <x v="0"/>
    <m/>
    <m/>
  </r>
  <r>
    <x v="6"/>
    <s v="C PLUS"/>
    <s v="C"/>
    <s v="José Gutierrez"/>
    <s v="SARAI DEL ROSARIO MURALLES NAVAS DE GARCIA"/>
    <m/>
    <s v="1.Disponible"/>
    <n v="995700"/>
    <n v="69699"/>
    <m/>
    <m/>
    <m/>
    <m/>
    <n v="3000"/>
    <n v="2192.31"/>
    <m/>
    <m/>
    <m/>
    <m/>
    <n v="5192.3099999999995"/>
    <n v="7.4496190763138626E-2"/>
    <n v="-64506.69"/>
    <n v="-0.92550380923686137"/>
    <n v="990507.69"/>
    <n v="0.99478526664658029"/>
    <n v="69699"/>
    <s v="Vendido"/>
    <x v="0"/>
    <m/>
    <n v="0"/>
    <n v="0"/>
    <m/>
    <m/>
    <n v="0"/>
    <n v="0"/>
    <n v="0"/>
    <n v="0"/>
    <n v="0"/>
    <n v="5192.3099999999995"/>
    <n v="5192.3099999999995"/>
    <n v="0"/>
    <x v="0"/>
    <m/>
    <m/>
  </r>
  <r>
    <x v="7"/>
    <s v="C PLUS"/>
    <s v="C"/>
    <m/>
    <m/>
    <m/>
    <s v="1.Disponible"/>
    <n v="995700"/>
    <n v="69699"/>
    <m/>
    <m/>
    <m/>
    <m/>
    <m/>
    <m/>
    <m/>
    <m/>
    <m/>
    <m/>
    <n v="0"/>
    <n v="0"/>
    <n v="0"/>
    <n v="0"/>
    <n v="9957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"/>
    <s v="B PLUS"/>
    <s v="C"/>
    <m/>
    <m/>
    <m/>
    <s v="1.Disponible"/>
    <n v="847700"/>
    <n v="59339.000000000007"/>
    <m/>
    <m/>
    <m/>
    <m/>
    <m/>
    <m/>
    <m/>
    <m/>
    <m/>
    <m/>
    <n v="0"/>
    <n v="0"/>
    <n v="0"/>
    <n v="0"/>
    <n v="8477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2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3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4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5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6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7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8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9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0"/>
    <s v="C "/>
    <s v="C"/>
    <m/>
    <m/>
    <m/>
    <s v="1.Disponible"/>
    <n v="817300"/>
    <n v="57211.000000000007"/>
    <m/>
    <m/>
    <m/>
    <m/>
    <m/>
    <m/>
    <m/>
    <m/>
    <m/>
    <m/>
    <n v="0"/>
    <n v="0"/>
    <n v="0"/>
    <n v="0"/>
    <n v="8173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1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2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3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4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5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6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7"/>
    <s v="A "/>
    <s v="C"/>
    <m/>
    <s v="CARLOS EDUARDO CELADA"/>
    <d v="2025-08-01T00:00:00"/>
    <s v="1.Disponible"/>
    <n v="622000"/>
    <n v="43540.000000000007"/>
    <m/>
    <m/>
    <m/>
    <m/>
    <m/>
    <n v="3000"/>
    <m/>
    <m/>
    <m/>
    <m/>
    <n v="3000"/>
    <n v="6.8902158934313257E-2"/>
    <n v="-40540.000000000007"/>
    <n v="-0.93109784106568672"/>
    <n v="619000"/>
    <n v="0.99517684887459812"/>
    <n v="43540.000000000007"/>
    <s v="Vendido"/>
    <x v="0"/>
    <m/>
    <n v="0"/>
    <n v="0"/>
    <m/>
    <m/>
    <n v="0"/>
    <e v="#NUM!"/>
    <n v="0"/>
    <n v="0"/>
    <n v="0"/>
    <n v="3000"/>
    <n v="3000"/>
    <n v="0"/>
    <x v="1"/>
    <m/>
    <m/>
  </r>
  <r>
    <x v="28"/>
    <s v="C "/>
    <s v="C"/>
    <s v="Pedro Pablo Sarti"/>
    <s v="Lina Judith Conde Gomez de León "/>
    <d v="2025-05-26T00:00:00"/>
    <s v="4. Plan de Pagos"/>
    <n v="898802"/>
    <n v="60002"/>
    <m/>
    <m/>
    <n v="3000"/>
    <n v="2142.9299999999998"/>
    <n v="2142.9299999999998"/>
    <n v="2142.9299999999998"/>
    <m/>
    <m/>
    <m/>
    <m/>
    <n v="9428.7900000000009"/>
    <n v="0.15714126195793476"/>
    <n v="-50573.21"/>
    <n v="-0.84285873804206524"/>
    <n v="889373.21"/>
    <n v="0.98950960278237032"/>
    <n v="60002"/>
    <s v="Vendido"/>
    <x v="0"/>
    <n v="28"/>
    <n v="1"/>
    <n v="29"/>
    <n v="3000"/>
    <n v="2142.9299999999998"/>
    <n v="3"/>
    <n v="2"/>
    <n v="9428.7899999999991"/>
    <n v="6428.7899999999991"/>
    <n v="3000"/>
    <n v="0"/>
    <n v="0"/>
    <n v="0"/>
    <x v="0"/>
    <m/>
    <m/>
  </r>
  <r>
    <x v="29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0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1"/>
    <s v="A "/>
    <s v="C"/>
    <m/>
    <m/>
    <m/>
    <s v="1.Disponible"/>
    <n v="622000"/>
    <n v="43540.000000000007"/>
    <m/>
    <m/>
    <m/>
    <m/>
    <m/>
    <m/>
    <m/>
    <m/>
    <m/>
    <m/>
    <n v="0"/>
    <n v="0"/>
    <n v="0"/>
    <n v="0"/>
    <n v="622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2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3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4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5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6"/>
    <s v="A "/>
    <s v="C"/>
    <s v="Efrén Sanchez"/>
    <s v="Kenneth David Cetino y Angie Nohelia Recinos Villacorta"/>
    <d v="2025-05-17T00:00:00"/>
    <s v="4. Plan de Pagos"/>
    <n v="603340"/>
    <n v="60340"/>
    <m/>
    <n v="0"/>
    <n v="3000"/>
    <n v="2047.64"/>
    <n v="4095.28"/>
    <n v="0"/>
    <n v="0"/>
    <n v="0"/>
    <n v="0"/>
    <n v="0"/>
    <n v="9142.92"/>
    <n v="0.15152336758369242"/>
    <n v="-51197.08"/>
    <n v="-0.84847663241630766"/>
    <n v="594197.07999999996"/>
    <n v="0.98484615639606188"/>
    <n v="60340"/>
    <s v="Vendido"/>
    <x v="0"/>
    <n v="28"/>
    <n v="1"/>
    <n v="29"/>
    <n v="3000"/>
    <n v="2047.64"/>
    <n v="1"/>
    <n v="2"/>
    <n v="5047.6400000000003"/>
    <n v="2047.64"/>
    <n v="7095.2800000000007"/>
    <n v="0"/>
    <n v="4095.2799999999997"/>
    <n v="0"/>
    <x v="0"/>
    <m/>
    <m/>
  </r>
  <r>
    <x v="37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8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9"/>
    <s v="A "/>
    <s v="C"/>
    <s v="Paula Hernández"/>
    <s v="Zoila Josabeth Lantan López  y Jose Andres Pich Cuxulic"/>
    <d v="2025-07-18T00:00:00"/>
    <s v="1.Disponible"/>
    <n v="622000"/>
    <n v="43540.000000000007"/>
    <m/>
    <m/>
    <m/>
    <m/>
    <n v="3000"/>
    <n v="31000"/>
    <m/>
    <m/>
    <m/>
    <m/>
    <n v="34000"/>
    <n v="0.78089113458888371"/>
    <n v="-9540.0000000000073"/>
    <n v="-0.21910886541111635"/>
    <n v="588000"/>
    <n v="0.94533762057877813"/>
    <n v="43540.000000000007"/>
    <s v="Vendido"/>
    <x v="0"/>
    <n v="26"/>
    <n v="1"/>
    <n v="27"/>
    <n v="3000"/>
    <n v="1576.92"/>
    <n v="0"/>
    <n v="0"/>
    <n v="3000"/>
    <n v="0"/>
    <n v="34000"/>
    <n v="0"/>
    <n v="31000"/>
    <n v="0"/>
    <x v="0"/>
    <m/>
    <m/>
  </r>
  <r>
    <x v="40"/>
    <s v="A "/>
    <s v="C"/>
    <m/>
    <s v="Lester Canahui / Brena Aguilar"/>
    <d v="2025-06-15T00:00:00"/>
    <s v="1.Disponible"/>
    <n v="622000"/>
    <n v="44000"/>
    <m/>
    <m/>
    <m/>
    <n v="1500"/>
    <n v="3000"/>
    <n v="1576.92"/>
    <m/>
    <m/>
    <m/>
    <m/>
    <n v="6076.92"/>
    <n v="0.1381118181818182"/>
    <n v="-37923.08"/>
    <n v="-0.86188818181818183"/>
    <n v="615923.07999999996"/>
    <n v="0.9902300321543408"/>
    <n v="44000"/>
    <s v="Vendido"/>
    <x v="0"/>
    <n v="26"/>
    <n v="1"/>
    <n v="27"/>
    <n v="1500"/>
    <n v="1576.92"/>
    <n v="0"/>
    <n v="1"/>
    <n v="1500"/>
    <n v="3076.92"/>
    <n v="3000"/>
    <n v="0"/>
    <n v="4576.92"/>
    <n v="0"/>
    <x v="0"/>
    <m/>
    <m/>
  </r>
  <r>
    <x v="41"/>
    <s v="B "/>
    <s v="C"/>
    <s v="Antonio Rada"/>
    <s v="Shirley Hilene Recinos"/>
    <d v="2025-05-17T00:00:00"/>
    <s v="4. Plan de Pagos"/>
    <n v="770568"/>
    <n v="50968"/>
    <m/>
    <n v="0"/>
    <n v="3000"/>
    <n v="1820.29"/>
    <n v="1820.29"/>
    <n v="1820.29"/>
    <n v="0"/>
    <n v="0"/>
    <n v="0"/>
    <n v="0"/>
    <n v="8460.869999999999"/>
    <n v="0.16600357086799558"/>
    <n v="-42507.130000000005"/>
    <n v="-0.83399642913200445"/>
    <n v="762107.13"/>
    <n v="0.98901995670726006"/>
    <n v="50968"/>
    <s v="Vendido"/>
    <x v="0"/>
    <n v="28"/>
    <n v="1"/>
    <n v="29"/>
    <n v="3000"/>
    <n v="1820.29"/>
    <n v="3"/>
    <n v="2"/>
    <n v="8460.869999999999"/>
    <n v="5460.87"/>
    <n v="3000"/>
    <n v="0"/>
    <n v="0"/>
    <n v="0"/>
    <x v="0"/>
    <m/>
    <m/>
  </r>
  <r>
    <x v="42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3"/>
    <s v="C "/>
    <s v="C"/>
    <m/>
    <m/>
    <m/>
    <s v="1.Disponible"/>
    <n v="926600"/>
    <n v="64862.000000000007"/>
    <m/>
    <m/>
    <m/>
    <m/>
    <m/>
    <m/>
    <m/>
    <m/>
    <m/>
    <m/>
    <n v="0"/>
    <n v="0"/>
    <n v="0"/>
    <n v="0"/>
    <n v="9266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4"/>
    <s v="B "/>
    <s v="C"/>
    <m/>
    <m/>
    <m/>
    <s v="1.Disponible"/>
    <n v="794400"/>
    <n v="55608.000000000007"/>
    <m/>
    <m/>
    <m/>
    <m/>
    <m/>
    <m/>
    <m/>
    <m/>
    <m/>
    <m/>
    <n v="0"/>
    <n v="0"/>
    <n v="0"/>
    <n v="0"/>
    <n v="794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5"/>
    <s v="A "/>
    <s v="C"/>
    <m/>
    <m/>
    <m/>
    <s v="1.Disponible"/>
    <n v="636400"/>
    <n v="44548.000000000007"/>
    <m/>
    <m/>
    <m/>
    <m/>
    <m/>
    <m/>
    <m/>
    <m/>
    <m/>
    <m/>
    <n v="0"/>
    <n v="0"/>
    <n v="0"/>
    <n v="0"/>
    <n v="636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6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7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8"/>
    <s v="A "/>
    <s v="C"/>
    <m/>
    <s v="LILIAN JEANETTE PAZ GARCÍA"/>
    <d v="2025-07-26T00:00:00"/>
    <s v="1.Disponible"/>
    <n v="636400"/>
    <n v="44548.000000000007"/>
    <m/>
    <m/>
    <m/>
    <m/>
    <n v="3000"/>
    <n v="1597"/>
    <m/>
    <m/>
    <m/>
    <m/>
    <n v="4597"/>
    <n v="0.10319206249438806"/>
    <n v="-39951.000000000007"/>
    <n v="-0.89680793750561194"/>
    <n v="631803"/>
    <n v="0.9927765556253928"/>
    <n v="44548.000000000007"/>
    <s v="Vendido"/>
    <x v="0"/>
    <m/>
    <n v="0"/>
    <n v="0"/>
    <m/>
    <m/>
    <n v="0"/>
    <n v="0"/>
    <n v="0"/>
    <n v="0"/>
    <n v="0"/>
    <n v="4597"/>
    <n v="4597"/>
    <n v="0"/>
    <x v="1"/>
    <m/>
    <m/>
  </r>
  <r>
    <x v="49"/>
    <s v="A "/>
    <s v="C"/>
    <m/>
    <s v="JOSUE ROBERTO FAJARDO CHIGUIL Y EMILLY JAZMIN VASQUEZ MORALES"/>
    <s v="_x0009_03/08/2025"/>
    <s v="1.Disponible"/>
    <n v="636400"/>
    <n v="44548.000000000007"/>
    <m/>
    <m/>
    <m/>
    <m/>
    <m/>
    <n v="3000"/>
    <m/>
    <m/>
    <m/>
    <m/>
    <n v="3000"/>
    <n v="6.7343090598904545E-2"/>
    <n v="-41548.000000000007"/>
    <n v="-0.93265690940109547"/>
    <n v="633400"/>
    <n v="0.99528598365807663"/>
    <n v="44548.000000000007"/>
    <s v="Vendido"/>
    <x v="0"/>
    <m/>
    <n v="0"/>
    <n v="0"/>
    <m/>
    <m/>
    <n v="0"/>
    <e v="#VALUE!"/>
    <n v="0"/>
    <n v="0"/>
    <n v="0"/>
    <n v="3000"/>
    <n v="3000"/>
    <n v="0"/>
    <x v="1"/>
    <m/>
    <m/>
  </r>
  <r>
    <x v="50"/>
    <s v="B "/>
    <s v="C"/>
    <m/>
    <m/>
    <m/>
    <s v="1.Disponible"/>
    <n v="813000"/>
    <n v="56910.000000000007"/>
    <m/>
    <m/>
    <m/>
    <m/>
    <m/>
    <m/>
    <m/>
    <m/>
    <m/>
    <m/>
    <n v="0"/>
    <n v="0"/>
    <n v="0"/>
    <n v="0"/>
    <n v="813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1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2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3"/>
    <s v="B "/>
    <s v="C"/>
    <m/>
    <m/>
    <m/>
    <s v="1.Disponible"/>
    <n v="813000"/>
    <n v="56910.000000000007"/>
    <m/>
    <m/>
    <m/>
    <m/>
    <m/>
    <m/>
    <m/>
    <m/>
    <m/>
    <m/>
    <n v="0"/>
    <n v="0"/>
    <n v="0"/>
    <n v="0"/>
    <n v="813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4"/>
    <s v="A "/>
    <s v="C"/>
    <s v="Pedro Pablo Sarti"/>
    <s v="Manolo de Jesús Milian Martínez"/>
    <d v="2025-04-25T00:00:00"/>
    <s v="4. Plan de Pagos"/>
    <n v="636400"/>
    <n v="63700"/>
    <m/>
    <n v="5000"/>
    <n v="2174.0700000000002"/>
    <n v="2174.0700000000002"/>
    <n v="2174.0700000000002"/>
    <n v="2174.0700000000002"/>
    <m/>
    <m/>
    <m/>
    <m/>
    <n v="13696.279999999999"/>
    <n v="0.21501224489795917"/>
    <n v="-50003.72"/>
    <n v="-0.78498775510204089"/>
    <n v="622703.72"/>
    <n v="0.97847850408548076"/>
    <n v="63700"/>
    <s v="Vendido"/>
    <x v="0"/>
    <n v="27"/>
    <n v="1"/>
    <n v="28"/>
    <n v="5000"/>
    <n v="2147.0700000000002"/>
    <n v="4"/>
    <n v="3"/>
    <n v="13588.28"/>
    <n v="0"/>
    <n v="13696.279999999999"/>
    <n v="0"/>
    <n v="107.99999999999818"/>
    <n v="0"/>
    <x v="0"/>
    <m/>
    <m/>
  </r>
  <r>
    <x v="55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6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7"/>
    <s v="A "/>
    <s v="C"/>
    <s v="José Gutierrez"/>
    <s v="MARVIN ESTUARDO PINEDA RODRIGUEZ"/>
    <m/>
    <s v="1.Disponible"/>
    <n v="636400"/>
    <n v="44548"/>
    <m/>
    <n v="0"/>
    <m/>
    <n v="0"/>
    <n v="3000"/>
    <n v="1615.38"/>
    <n v="0"/>
    <n v="0"/>
    <n v="0"/>
    <n v="0"/>
    <n v="4615.38"/>
    <n v="0.1036046511627907"/>
    <n v="-39932.620000000003"/>
    <n v="-0.89639534883720939"/>
    <n v="631784.62"/>
    <n v="0.99274767441860468"/>
    <n v="44548"/>
    <s v="Vendido"/>
    <x v="0"/>
    <n v="26"/>
    <n v="1"/>
    <n v="27"/>
    <n v="3000"/>
    <n v="1615.38"/>
    <n v="1"/>
    <n v="0"/>
    <n v="4615.38"/>
    <n v="1615.38"/>
    <n v="3000"/>
    <n v="0"/>
    <n v="0"/>
    <n v="0"/>
    <x v="0"/>
    <m/>
    <m/>
  </r>
  <r>
    <x v="58"/>
    <s v="A "/>
    <s v="C"/>
    <s v="José Gutierrez"/>
    <s v="BRIAN ALEXIS VELASQUEZ RODRIGUEZ"/>
    <d v="2025-07-18T00:00:00"/>
    <s v="1.Disponible"/>
    <n v="636400"/>
    <n v="44548.000000000007"/>
    <m/>
    <m/>
    <m/>
    <m/>
    <n v="3000"/>
    <n v="1615.5"/>
    <m/>
    <m/>
    <m/>
    <m/>
    <n v="4615.5"/>
    <n v="0.10360734488641464"/>
    <n v="-39932.500000000007"/>
    <n v="-0.89639265511358535"/>
    <n v="631784.5"/>
    <n v="0.99274748585795103"/>
    <n v="44548.000000000007"/>
    <s v="Vendido"/>
    <x v="0"/>
    <n v="26"/>
    <n v="1"/>
    <n v="27"/>
    <n v="3000"/>
    <n v="1615.38"/>
    <n v="1"/>
    <n v="0"/>
    <n v="4615.38"/>
    <n v="0"/>
    <n v="4615.5"/>
    <n v="0"/>
    <n v="0.11999999999989086"/>
    <n v="0"/>
    <x v="0"/>
    <m/>
    <m/>
  </r>
  <r>
    <x v="59"/>
    <s v="B "/>
    <s v="C"/>
    <m/>
    <m/>
    <m/>
    <s v="1.Disponible"/>
    <n v="813000"/>
    <n v="56910.000000000007"/>
    <m/>
    <m/>
    <m/>
    <m/>
    <m/>
    <m/>
    <m/>
    <m/>
    <m/>
    <m/>
    <n v="0"/>
    <n v="0"/>
    <n v="0"/>
    <n v="0"/>
    <n v="8130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0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1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2"/>
    <s v="B "/>
    <s v="C"/>
    <s v="Paula Hernández"/>
    <s v="Ingrid Lissette Colíndres López"/>
    <d v="2025-05-17T00:00:00"/>
    <s v="2.Reservado"/>
    <n v="813000"/>
    <n v="57000"/>
    <m/>
    <n v="0"/>
    <n v="3000"/>
    <n v="0"/>
    <n v="0"/>
    <n v="0"/>
    <m/>
    <m/>
    <m/>
    <m/>
    <n v="3000"/>
    <n v="5.2631578947368418E-2"/>
    <n v="-54000"/>
    <n v="-0.94736842105263153"/>
    <n v="810000"/>
    <n v="0.99630996309963105"/>
    <n v="57000"/>
    <s v="Vendido"/>
    <x v="0"/>
    <n v="28"/>
    <n v="1"/>
    <n v="29"/>
    <n v="3000"/>
    <n v="1500"/>
    <n v="0"/>
    <n v="2"/>
    <n v="3000"/>
    <n v="0"/>
    <n v="3000"/>
    <n v="0"/>
    <n v="0"/>
    <n v="0"/>
    <x v="0"/>
    <m/>
    <m/>
  </r>
  <r>
    <x v="63"/>
    <s v="A "/>
    <s v="C"/>
    <m/>
    <m/>
    <m/>
    <s v="1.Disponible"/>
    <n v="636400"/>
    <n v="44548.000000000007"/>
    <m/>
    <m/>
    <m/>
    <m/>
    <m/>
    <m/>
    <m/>
    <m/>
    <m/>
    <m/>
    <n v="0"/>
    <n v="0"/>
    <n v="0"/>
    <n v="0"/>
    <n v="636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4"/>
    <s v="C "/>
    <s v="C"/>
    <m/>
    <m/>
    <m/>
    <s v="1.Disponible"/>
    <n v="945900"/>
    <n v="66213"/>
    <m/>
    <m/>
    <m/>
    <m/>
    <m/>
    <n v="3000"/>
    <m/>
    <m/>
    <m/>
    <m/>
    <n v="3000"/>
    <n v="4.5308323138960625E-2"/>
    <n v="3000"/>
    <n v="4.5308323138960625E-2"/>
    <n v="942900"/>
    <n v="0.99682841738027272"/>
    <n v="0"/>
    <s v="Apartamento Disponible"/>
    <x v="2"/>
    <m/>
    <n v="0"/>
    <n v="0"/>
    <m/>
    <m/>
    <n v="0"/>
    <n v="0"/>
    <n v="0"/>
    <n v="0"/>
    <n v="0"/>
    <n v="3000"/>
    <n v="3000"/>
    <n v="0"/>
    <x v="0"/>
    <m/>
    <m/>
  </r>
  <r>
    <x v="65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6"/>
    <s v="A "/>
    <s v="C"/>
    <s v="Paula Hernández"/>
    <s v="Diego Herrera y Gabriela Lara"/>
    <d v="2025-06-27T00:00:00"/>
    <s v="4. Reservado"/>
    <n v="636400"/>
    <n v="44600"/>
    <m/>
    <m/>
    <m/>
    <n v="1500"/>
    <n v="2038.81"/>
    <n v="2038.81"/>
    <m/>
    <m/>
    <m/>
    <m/>
    <n v="5577.62"/>
    <n v="0.12505874439461884"/>
    <n v="-39022.379999999997"/>
    <n v="-0.87494125560538105"/>
    <n v="630822.38"/>
    <n v="0.9912356693903206"/>
    <n v="44600"/>
    <s v="Vendido"/>
    <x v="0"/>
    <n v="27"/>
    <n v="1"/>
    <n v="28"/>
    <n v="1500"/>
    <n v="2038.81"/>
    <n v="0"/>
    <n v="1"/>
    <n v="1500"/>
    <n v="5577.62"/>
    <n v="0"/>
    <n v="0"/>
    <n v="4077.62"/>
    <n v="0"/>
    <x v="0"/>
    <m/>
    <m/>
  </r>
  <r>
    <x v="67"/>
    <s v="A "/>
    <s v="C"/>
    <s v="José Gutierrez"/>
    <s v="Edwin Gonzálo Aguilón Velásquez"/>
    <d v="2025-07-18T00:00:00"/>
    <s v="1.Disponible"/>
    <n v="636400"/>
    <n v="44548.000000000007"/>
    <m/>
    <m/>
    <m/>
    <m/>
    <n v="3000"/>
    <m/>
    <m/>
    <m/>
    <m/>
    <m/>
    <n v="3000"/>
    <n v="6.7343090598904545E-2"/>
    <n v="-41548.000000000007"/>
    <n v="-0.93265690940109547"/>
    <n v="633400"/>
    <n v="0.99528598365807663"/>
    <n v="44548.000000000007"/>
    <s v="Vendido"/>
    <x v="0"/>
    <n v="26"/>
    <n v="1"/>
    <n v="27"/>
    <n v="3000"/>
    <n v="1615.38"/>
    <n v="0"/>
    <n v="0"/>
    <n v="3000"/>
    <n v="0"/>
    <n v="3000"/>
    <n v="0"/>
    <n v="0"/>
    <n v="0"/>
    <x v="0"/>
    <m/>
    <m/>
  </r>
  <r>
    <x v="68"/>
    <s v="B "/>
    <s v="C"/>
    <m/>
    <m/>
    <m/>
    <s v="1.Disponible"/>
    <n v="813000"/>
    <n v="56910.000000000007"/>
    <m/>
    <m/>
    <m/>
    <m/>
    <m/>
    <n v="3000"/>
    <m/>
    <m/>
    <m/>
    <m/>
    <n v="3000"/>
    <n v="5.2714812862414334E-2"/>
    <n v="3000"/>
    <n v="5.2714812862414334E-2"/>
    <n v="810000"/>
    <n v="0.99630996309963105"/>
    <n v="0"/>
    <s v="Apartamento Disponible"/>
    <x v="2"/>
    <m/>
    <n v="0"/>
    <n v="0"/>
    <m/>
    <m/>
    <n v="0"/>
    <n v="0"/>
    <n v="0"/>
    <n v="0"/>
    <n v="0"/>
    <n v="3000"/>
    <n v="3000"/>
    <n v="0"/>
    <x v="0"/>
    <m/>
    <m/>
  </r>
  <r>
    <x v="69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70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71"/>
    <s v="B "/>
    <s v="C"/>
    <m/>
    <s v="MASIELLE DASAYETH MONROY HERNÁNDEZ y LENIN ALEJANDRO HIDALGO COLINDRES"/>
    <d v="2025-06-15T00:00:00"/>
    <s v="4. Reservado"/>
    <n v="813000"/>
    <n v="56910.000000000007"/>
    <m/>
    <m/>
    <m/>
    <n v="3000"/>
    <n v="2000"/>
    <n v="2000"/>
    <m/>
    <m/>
    <m/>
    <m/>
    <n v="7000"/>
    <n v="0.12300123001230011"/>
    <n v="-49910.000000000007"/>
    <n v="-0.87699876998769988"/>
    <n v="806000"/>
    <n v="0.991389913899139"/>
    <n v="56910.000000000007"/>
    <s v="Vendido"/>
    <x v="0"/>
    <n v="27"/>
    <n v="1"/>
    <n v="28"/>
    <n v="3000"/>
    <n v="1996.97"/>
    <n v="2"/>
    <n v="1"/>
    <n v="6993.9400000000005"/>
    <n v="0"/>
    <n v="7000"/>
    <n v="0"/>
    <n v="6.0599999999994907"/>
    <n v="0"/>
    <x v="0"/>
    <m/>
    <m/>
  </r>
  <r>
    <x v="72"/>
    <s v="A "/>
    <s v="C"/>
    <m/>
    <m/>
    <m/>
    <s v="1.Disponible"/>
    <n v="636400"/>
    <n v="44548.000000000007"/>
    <m/>
    <m/>
    <m/>
    <m/>
    <m/>
    <m/>
    <m/>
    <m/>
    <m/>
    <m/>
    <n v="0"/>
    <n v="0"/>
    <n v="0"/>
    <n v="0"/>
    <n v="636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73"/>
    <s v="C "/>
    <s v="C"/>
    <m/>
    <s v="LUIS ANTONIO GÓMEZ LUCERO Y FEBE ABIGAIL ARANA FRANCO"/>
    <d v="2025-08-11T00:00:00"/>
    <s v="1.Disponible"/>
    <n v="945900"/>
    <n v="66213"/>
    <m/>
    <m/>
    <m/>
    <m/>
    <m/>
    <n v="1500"/>
    <m/>
    <m/>
    <m/>
    <m/>
    <n v="1500"/>
    <n v="2.2654161569480313E-2"/>
    <n v="-64713"/>
    <n v="-0.9773458384305197"/>
    <n v="944400"/>
    <n v="0.99841420869013642"/>
    <n v="66213"/>
    <s v="Vendido"/>
    <x v="0"/>
    <m/>
    <n v="0"/>
    <n v="0"/>
    <m/>
    <m/>
    <n v="0"/>
    <e v="#NUM!"/>
    <n v="0"/>
    <n v="0"/>
    <n v="0"/>
    <n v="1500"/>
    <n v="1500"/>
    <n v="0"/>
    <x v="1"/>
    <m/>
    <m/>
  </r>
  <r>
    <x v="74"/>
    <s v="C "/>
    <s v="C"/>
    <m/>
    <s v="ANDREINA MARIBEL CORNEL MORAGA"/>
    <s v="_x0009_03/08/2025"/>
    <s v="1.Disponible"/>
    <n v="945900"/>
    <n v="66213"/>
    <m/>
    <m/>
    <m/>
    <m/>
    <m/>
    <n v="3000"/>
    <m/>
    <m/>
    <m/>
    <m/>
    <n v="3000"/>
    <n v="4.5308323138960625E-2"/>
    <n v="-63213"/>
    <n v="-0.9546916768610394"/>
    <n v="942900"/>
    <n v="0.99682841738027272"/>
    <n v="66213"/>
    <s v="Vendido"/>
    <x v="0"/>
    <m/>
    <n v="0"/>
    <n v="0"/>
    <m/>
    <m/>
    <n v="0"/>
    <e v="#VALUE!"/>
    <n v="0"/>
    <n v="0"/>
    <n v="0"/>
    <n v="3000"/>
    <n v="3000"/>
    <n v="0"/>
    <x v="1"/>
    <m/>
    <m/>
  </r>
  <r>
    <x v="75"/>
    <s v="A "/>
    <s v="C"/>
    <s v="Paula Hernández"/>
    <s v="Alvaro Victor Hernández Mus"/>
    <d v="2025-06-27T00:00:00"/>
    <s v="1.Disponible"/>
    <n v="617038"/>
    <n v="43308"/>
    <m/>
    <n v="0"/>
    <n v="0"/>
    <n v="1500"/>
    <n v="1500"/>
    <n v="0"/>
    <n v="0"/>
    <n v="0"/>
    <n v="0"/>
    <n v="0"/>
    <n v="3000"/>
    <n v="6.9271266278747579E-2"/>
    <n v="-40308"/>
    <n v="-0.93072873372125242"/>
    <n v="614038"/>
    <n v="0.99513806280974593"/>
    <n v="43308"/>
    <s v="Vendido"/>
    <x v="2"/>
    <n v="26"/>
    <n v="1"/>
    <n v="27"/>
    <n v="3000"/>
    <n v="1555.56"/>
    <n v="2"/>
    <n v="1"/>
    <n v="6111.12"/>
    <n v="3000"/>
    <n v="0"/>
    <n v="0"/>
    <n v="0"/>
    <n v="3111.12"/>
    <x v="2"/>
    <m/>
    <s v="No hay Promesa de Compra Venta en Odoo"/>
  </r>
  <r>
    <x v="76"/>
    <s v="A "/>
    <s v="C"/>
    <s v="José Gutierrez"/>
    <s v="Julio Cesar Calderon Mus"/>
    <d v="2025-06-27T00:00:00"/>
    <s v="1.Disponible"/>
    <n v="636400"/>
    <n v="44548.000000000007"/>
    <m/>
    <m/>
    <m/>
    <m/>
    <n v="1500"/>
    <m/>
    <m/>
    <m/>
    <m/>
    <m/>
    <n v="1500"/>
    <n v="3.3671545299452273E-2"/>
    <n v="-43048.000000000007"/>
    <n v="-0.96632845470054773"/>
    <n v="634900"/>
    <n v="0.99764299182903837"/>
    <n v="44548.000000000007"/>
    <s v="Vendido"/>
    <x v="2"/>
    <n v="26"/>
    <n v="1"/>
    <n v="27"/>
    <n v="3000"/>
    <n v="1555.56"/>
    <n v="1"/>
    <n v="1"/>
    <n v="4555.5599999999995"/>
    <n v="1500"/>
    <n v="0"/>
    <n v="0"/>
    <n v="0"/>
    <n v="3055.5599999999995"/>
    <x v="2"/>
    <m/>
    <m/>
  </r>
  <r>
    <x v="77"/>
    <s v="B "/>
    <s v="C"/>
    <m/>
    <s v="William Alexander Fuentes Alvarado"/>
    <d v="2025-07-27T00:00:00"/>
    <s v="1.Disponible"/>
    <n v="813000"/>
    <n v="56910.000000000007"/>
    <m/>
    <m/>
    <m/>
    <m/>
    <n v="3000"/>
    <n v="2000"/>
    <m/>
    <m/>
    <m/>
    <m/>
    <n v="5000"/>
    <n v="8.7858021437357214E-2"/>
    <n v="-51910.000000000007"/>
    <n v="-0.91214197856264279"/>
    <n v="808000"/>
    <n v="0.99384993849938497"/>
    <n v="56910.000000000007"/>
    <s v="Vendido"/>
    <x v="0"/>
    <m/>
    <n v="0"/>
    <n v="0"/>
    <m/>
    <m/>
    <n v="0"/>
    <n v="0"/>
    <n v="0"/>
    <n v="0"/>
    <n v="0"/>
    <n v="5000"/>
    <n v="5000"/>
    <n v="0"/>
    <x v="1"/>
    <m/>
    <m/>
  </r>
  <r>
    <x v="78"/>
    <s v="C "/>
    <s v="C"/>
    <m/>
    <m/>
    <m/>
    <s v="1.Disponible"/>
    <n v="945900"/>
    <n v="66213"/>
    <m/>
    <m/>
    <m/>
    <m/>
    <m/>
    <m/>
    <m/>
    <m/>
    <m/>
    <m/>
    <n v="0"/>
    <n v="0"/>
    <n v="0"/>
    <n v="0"/>
    <n v="9459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79"/>
    <s v="C "/>
    <s v="C"/>
    <m/>
    <m/>
    <m/>
    <s v="1.Disponible"/>
    <n v="945900"/>
    <n v="66213"/>
    <m/>
    <m/>
    <m/>
    <m/>
    <m/>
    <n v="3000"/>
    <m/>
    <m/>
    <m/>
    <m/>
    <n v="3000"/>
    <n v="4.5308323138960625E-2"/>
    <n v="3000"/>
    <n v="4.5308323138960625E-2"/>
    <n v="942900"/>
    <n v="0.99682841738027272"/>
    <n v="0"/>
    <s v="Apartamento Disponible"/>
    <x v="2"/>
    <m/>
    <n v="0"/>
    <n v="0"/>
    <m/>
    <m/>
    <n v="0"/>
    <n v="0"/>
    <n v="0"/>
    <n v="0"/>
    <n v="0"/>
    <n v="3000"/>
    <n v="3000"/>
    <n v="0"/>
    <x v="0"/>
    <m/>
    <m/>
  </r>
  <r>
    <x v="80"/>
    <s v="B "/>
    <s v="C"/>
    <s v="Paula Hernández"/>
    <s v="Ingrid Lissette Colíndres López"/>
    <d v="2025-05-17T00:00:00"/>
    <s v="4. Plan de Pagos"/>
    <n v="813000"/>
    <n v="57000"/>
    <m/>
    <m/>
    <n v="3000"/>
    <n v="1500"/>
    <n v="1500"/>
    <n v="1500"/>
    <m/>
    <m/>
    <m/>
    <m/>
    <n v="7500"/>
    <n v="0.13157894736842105"/>
    <n v="-49500"/>
    <n v="-0.86842105263157898"/>
    <n v="805500"/>
    <n v="0.9907749077490775"/>
    <n v="57000"/>
    <s v="Vendido"/>
    <x v="0"/>
    <n v="28"/>
    <n v="1"/>
    <n v="29"/>
    <n v="3000"/>
    <n v="1500"/>
    <n v="3"/>
    <n v="2"/>
    <n v="7500"/>
    <n v="4500"/>
    <n v="3000"/>
    <n v="0"/>
    <n v="0"/>
    <n v="0"/>
    <x v="0"/>
    <m/>
    <m/>
  </r>
  <r>
    <x v="81"/>
    <s v="A "/>
    <s v="C"/>
    <m/>
    <m/>
    <m/>
    <s v="1.Disponible"/>
    <n v="646000"/>
    <n v="45220.000000000007"/>
    <m/>
    <m/>
    <m/>
    <m/>
    <m/>
    <n v="3000"/>
    <m/>
    <m/>
    <m/>
    <m/>
    <n v="3000"/>
    <n v="6.6342326404245894E-2"/>
    <n v="3000"/>
    <n v="6.6342326404245894E-2"/>
    <n v="643000"/>
    <n v="0.99535603715170273"/>
    <n v="0"/>
    <s v="Apartamento Disponible"/>
    <x v="2"/>
    <m/>
    <n v="0"/>
    <n v="0"/>
    <m/>
    <m/>
    <n v="0"/>
    <n v="0"/>
    <n v="0"/>
    <n v="0"/>
    <n v="0"/>
    <n v="3000"/>
    <n v="3000"/>
    <n v="0"/>
    <x v="0"/>
    <m/>
    <m/>
  </r>
  <r>
    <x v="82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3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4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5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6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7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8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9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0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1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2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3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4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5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6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7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8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99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0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1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2"/>
    <s v="A "/>
    <s v="C"/>
    <s v="José Gutierrez"/>
    <s v="LUISA MAYARI RAMIREZ BRAN"/>
    <m/>
    <s v="1.Disponible"/>
    <n v="678800"/>
    <n v="47516.000000000007"/>
    <m/>
    <m/>
    <m/>
    <m/>
    <n v="3000"/>
    <m/>
    <m/>
    <m/>
    <m/>
    <m/>
    <n v="3000"/>
    <n v="6.3136627662261122E-2"/>
    <n v="-44516.000000000007"/>
    <n v="-0.93686337233773886"/>
    <n v="675800"/>
    <n v="0.99558043606364177"/>
    <n v="47516.000000000007"/>
    <s v="Vendido"/>
    <x v="0"/>
    <n v="26"/>
    <n v="1"/>
    <n v="27"/>
    <n v="3000"/>
    <n v="1730.77"/>
    <n v="0"/>
    <n v="0"/>
    <n v="3000"/>
    <n v="0"/>
    <n v="3000"/>
    <n v="0"/>
    <n v="0"/>
    <n v="0"/>
    <x v="0"/>
    <m/>
    <m/>
  </r>
  <r>
    <x v="103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4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5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6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7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8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09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0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1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2"/>
    <s v="A "/>
    <s v="C"/>
    <m/>
    <m/>
    <m/>
    <s v="1.Disponible"/>
    <n v="678800"/>
    <n v="47516.000000000007"/>
    <m/>
    <m/>
    <m/>
    <m/>
    <m/>
    <m/>
    <m/>
    <m/>
    <m/>
    <m/>
    <n v="0"/>
    <n v="0"/>
    <n v="0"/>
    <n v="0"/>
    <n v="67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3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4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5"/>
    <s v="C "/>
    <s v="C"/>
    <m/>
    <m/>
    <m/>
    <s v="1.Disponible"/>
    <n v="958800"/>
    <n v="67116"/>
    <m/>
    <m/>
    <m/>
    <m/>
    <m/>
    <m/>
    <m/>
    <m/>
    <m/>
    <m/>
    <n v="0"/>
    <n v="0"/>
    <n v="0"/>
    <n v="0"/>
    <n v="9588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16"/>
    <s v="B "/>
    <s v="C"/>
    <m/>
    <m/>
    <m/>
    <s v="1.Disponible"/>
    <n v="825400"/>
    <n v="57778.000000000007"/>
    <m/>
    <m/>
    <m/>
    <m/>
    <m/>
    <m/>
    <m/>
    <m/>
    <m/>
    <m/>
    <n v="0"/>
    <n v="0"/>
    <n v="0"/>
    <n v="0"/>
    <n v="825400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s v="A7.1"/>
    <m/>
    <s v="Jose Franco"/>
    <s v="Karla Michelle Abril Valencia De Galicia"/>
    <d v="2023-03-27T00:00:00"/>
    <s v="4.Plan de pagos"/>
    <n v="644800"/>
    <n v="64500"/>
    <n v="6000"/>
    <n v="1670"/>
    <n v="1670"/>
    <n v="1670"/>
    <n v="170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n v="1670"/>
    <m/>
    <m/>
    <m/>
    <m/>
    <n v="54460"/>
    <s v="al día"/>
    <s v=""/>
    <m/>
    <n v="0.84434108527131779"/>
    <n v="-10040"/>
    <n v="-0.15565891472868218"/>
    <n v="590340"/>
    <n v="0.91553970223325065"/>
    <n v="64500"/>
    <s v="Vendido"/>
    <x v="0"/>
    <n v="35"/>
    <n v="1"/>
    <n v="36"/>
    <n v="6000"/>
    <n v="1670"/>
    <n v="29"/>
    <n v="29"/>
    <n v="54430"/>
    <n v="45090"/>
    <n v="7700"/>
    <n v="1670"/>
    <n v="30"/>
    <n v="0"/>
    <x v="0"/>
    <m/>
    <m/>
  </r>
  <r>
    <x v="1"/>
    <s v="B4.1"/>
    <m/>
    <m/>
    <m/>
    <m/>
    <s v="1.Disponible"/>
    <n v="1228914.9782408699"/>
    <n v="122891.4978240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228914.97824086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"/>
    <s v="E1.1"/>
    <m/>
    <s v="Ronaldo"/>
    <s v="International Coffee Industry, S.A"/>
    <d v="2024-01-09T00:00:00"/>
    <s v="4.Plan de pagos"/>
    <n v="1533200"/>
    <n v="153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153320"/>
    <n v="-1"/>
    <n v="1533200"/>
    <n v="1"/>
    <n v="153320"/>
    <s v="Vendido"/>
    <x v="2"/>
    <n v="27"/>
    <n v="1"/>
    <n v="28"/>
    <n v="6000"/>
    <n v="5261"/>
    <n v="0"/>
    <n v="19"/>
    <n v="105959"/>
    <n v="0"/>
    <n v="0"/>
    <n v="0"/>
    <n v="0"/>
    <n v="105959"/>
    <x v="1"/>
    <s v="F&amp;F"/>
    <m/>
  </r>
  <r>
    <x v="3"/>
    <s v="A4.1"/>
    <m/>
    <s v="Antonio Rada"/>
    <s v="Jonathan José Morales Salazar"/>
    <d v="2023-08-02T00:00:00"/>
    <s v="4.Plan de pagos"/>
    <n v="727800"/>
    <n v="145600"/>
    <n v="0"/>
    <n v="0"/>
    <n v="0"/>
    <n v="0"/>
    <n v="0"/>
    <n v="6000"/>
    <n v="94000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n v="1824"/>
    <m/>
    <m/>
    <m/>
    <m/>
    <n v="141952"/>
    <s v="al día"/>
    <m/>
    <m/>
    <n v="0.9749450549450549"/>
    <n v="-3648"/>
    <n v="-2.5054945054945054E-2"/>
    <n v="585848"/>
    <n v="0.8049574058807365"/>
    <n v="145600"/>
    <s v="Vendido"/>
    <x v="2"/>
    <n v="25"/>
    <n v="1"/>
    <n v="26"/>
    <n v="100000"/>
    <n v="1824"/>
    <n v="25"/>
    <n v="24"/>
    <n v="143776"/>
    <n v="40128"/>
    <n v="100000"/>
    <n v="1824"/>
    <n v="0"/>
    <n v="1824"/>
    <x v="2"/>
    <m/>
    <s v="*Revisado, al finalizar del enganche pagará la cuota pendiente."/>
  </r>
  <r>
    <x v="4"/>
    <s v="B7.1"/>
    <m/>
    <m/>
    <m/>
    <m/>
    <s v="1.Disponible"/>
    <n v="1184603.4211337201"/>
    <n v="118460.34211337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184603.421133720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"/>
    <s v="B2.1"/>
    <m/>
    <m/>
    <m/>
    <m/>
    <s v="1.Disponible"/>
    <n v="1382310.1310761899"/>
    <n v="138231.01310761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382310.13107618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"/>
    <s v="B6.1"/>
    <m/>
    <m/>
    <m/>
    <m/>
    <s v="1.Disponible"/>
    <n v="1131172.33512325"/>
    <n v="113117.23351232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131172.3351232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7"/>
    <s v="B1.1"/>
    <m/>
    <m/>
    <m/>
    <m/>
    <s v="1.Disponible"/>
    <n v="1315199.7517107399"/>
    <n v="131519.9751710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315199.75171073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8"/>
    <s v="E2.1"/>
    <m/>
    <s v="Antonio Rada"/>
    <s v="Laura Elisa Ovalle Gonzalez"/>
    <d v="2024-06-28T00:00:00"/>
    <s v="4.Plan de pagos"/>
    <n v="1486576"/>
    <n v="148676"/>
    <n v="0"/>
    <n v="0"/>
    <n v="0"/>
    <n v="0"/>
    <n v="0"/>
    <n v="0"/>
    <n v="0"/>
    <n v="0"/>
    <n v="0"/>
    <n v="0"/>
    <n v="0"/>
    <n v="0"/>
    <n v="0"/>
    <n v="0"/>
    <n v="0"/>
    <n v="5000"/>
    <n v="5000"/>
    <n v="7704"/>
    <n v="7704"/>
    <n v="7704"/>
    <n v="7704"/>
    <n v="7704"/>
    <n v="7704"/>
    <n v="7704"/>
    <n v="7704"/>
    <n v="7704"/>
    <n v="7704"/>
    <n v="7704"/>
    <n v="7704"/>
    <n v="7704"/>
    <m/>
    <m/>
    <m/>
    <m/>
    <n v="110152"/>
    <s v="al día"/>
    <m/>
    <m/>
    <n v="0.74088622238962576"/>
    <n v="-38524"/>
    <n v="-0.25911377761037424"/>
    <n v="1376424"/>
    <n v="0.92590220748888719"/>
    <n v="148676"/>
    <s v="Vendido"/>
    <x v="2"/>
    <n v="18"/>
    <n v="1"/>
    <n v="19"/>
    <n v="10000"/>
    <n v="7704"/>
    <n v="15"/>
    <n v="14"/>
    <n v="117856"/>
    <n v="102448"/>
    <n v="0"/>
    <n v="7704"/>
    <n v="0"/>
    <n v="7704"/>
    <x v="2"/>
    <m/>
    <s v="*Revisado, al finalizar del enganche pagará la cuota pendiente."/>
  </r>
  <r>
    <x v="9"/>
    <s v="A2.1"/>
    <m/>
    <s v="Antonio Rada"/>
    <s v="Karla Suzel Ruiz Sanchinelli De Alonzo"/>
    <d v="2023-06-11T00:00:00"/>
    <s v="4.Plan de pagos"/>
    <n v="680900"/>
    <n v="68100"/>
    <n v="0"/>
    <n v="0"/>
    <n v="0"/>
    <n v="6000"/>
    <n v="0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n v="2388"/>
    <m/>
    <m/>
    <m/>
    <m/>
    <n v="65700"/>
    <s v="al día"/>
    <m/>
    <m/>
    <n v="0.96475770925110127"/>
    <n v="-2400"/>
    <n v="-3.5242290748898682E-2"/>
    <n v="615200"/>
    <n v="0.90351006021442204"/>
    <n v="68100"/>
    <s v="Vendido"/>
    <x v="2"/>
    <n v="26"/>
    <n v="1"/>
    <n v="27"/>
    <n v="6000"/>
    <n v="2388"/>
    <n v="25"/>
    <n v="26"/>
    <n v="68088"/>
    <n v="57312"/>
    <n v="6000"/>
    <n v="2388"/>
    <n v="0"/>
    <n v="2388"/>
    <x v="2"/>
    <m/>
    <s v="*Revisado, al finalizar del enganche pagará la cuota pendiente."/>
  </r>
  <r>
    <x v="10"/>
    <s v="A6.1"/>
    <m/>
    <s v="Jose Franco"/>
    <s v="Jonathan José Morales Salazar / Ingrid Liseth Barillas López"/>
    <d v="2023-03-27T00:00:00"/>
    <s v="4.Plan de pagos"/>
    <n v="696700"/>
    <n v="69700"/>
    <n v="6000"/>
    <n v="0"/>
    <n v="2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n v="1820"/>
    <m/>
    <m/>
    <m/>
    <m/>
    <n v="57960"/>
    <s v="al día"/>
    <m/>
    <m/>
    <n v="0.83156384505021519"/>
    <n v="-11740"/>
    <n v="-0.16843615494978478"/>
    <n v="638740"/>
    <n v="0.91680780823884023"/>
    <n v="69700"/>
    <s v="Vendido"/>
    <x v="2"/>
    <n v="35"/>
    <n v="1"/>
    <n v="36"/>
    <n v="6000"/>
    <n v="1820"/>
    <n v="28"/>
    <n v="29"/>
    <n v="58780"/>
    <n v="47320"/>
    <n v="8820"/>
    <n v="1820"/>
    <n v="0"/>
    <n v="820"/>
    <x v="2"/>
    <m/>
    <m/>
  </r>
  <r>
    <x v="11"/>
    <s v="A3.1"/>
    <m/>
    <s v="Brenda Búcaro"/>
    <s v="Herbert Osiel Ramos Alfaro / Paula María Vásquez Cifuentes"/>
    <d v="2023-03-21T00:00:00"/>
    <s v="4.Plan de pagos"/>
    <n v="698900"/>
    <n v="69900"/>
    <n v="6000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826"/>
    <n v="1976"/>
    <n v="3502"/>
    <m/>
    <n v="1826"/>
    <n v="1826"/>
    <n v="3652"/>
    <m/>
    <n v="1826"/>
    <m/>
    <m/>
    <m/>
    <m/>
    <n v="58954"/>
    <s v="al día"/>
    <s v=""/>
    <m/>
    <n v="0.84340486409155935"/>
    <n v="-10946"/>
    <n v="-0.15659513590844062"/>
    <n v="639946"/>
    <n v="0.91564744598655035"/>
    <n v="69900"/>
    <s v="Vendido"/>
    <x v="0"/>
    <n v="35"/>
    <n v="1"/>
    <n v="36"/>
    <n v="6000"/>
    <n v="1826"/>
    <n v="27"/>
    <n v="29"/>
    <n v="58954"/>
    <n v="41998"/>
    <n v="15130"/>
    <n v="1826"/>
    <n v="0"/>
    <n v="0"/>
    <x v="0"/>
    <m/>
    <m/>
  </r>
  <r>
    <x v="12"/>
    <s v="C3.1"/>
    <s v="ENGANCHE CANCELADO"/>
    <s v="Antonio Rada"/>
    <s v="Rodrigo Rodas Pazos"/>
    <d v="2024-11-20T00:00:00"/>
    <s v="4.Plan de pagos"/>
    <n v="1286306.04"/>
    <n v="4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470000"/>
    <n v="0"/>
    <n v="0"/>
    <n v="0"/>
    <n v="0"/>
    <m/>
    <m/>
    <m/>
    <n v="0"/>
    <m/>
    <m/>
    <m/>
    <m/>
    <n v="480000"/>
    <s v="Casos Especiales"/>
    <s v=""/>
    <m/>
    <n v="1"/>
    <n v="0"/>
    <n v="0"/>
    <n v="806306.04"/>
    <n v="0.62683841552979103"/>
    <n v="480000"/>
    <s v="Vendido"/>
    <x v="3"/>
    <n v="1"/>
    <n v="1"/>
    <n v="1"/>
    <n v="10000"/>
    <n v="470000"/>
    <n v="0"/>
    <n v="9"/>
    <n v="4240000"/>
    <n v="480000"/>
    <n v="0"/>
    <n v="0"/>
    <n v="0"/>
    <n v="0"/>
    <x v="0"/>
    <m/>
    <m/>
  </r>
  <r>
    <x v="13"/>
    <s v="C2.1"/>
    <m/>
    <s v="Antonio Rada"/>
    <s v="Mauricio Arimany Monzon"/>
    <d v="2023-03-27T00:00:00"/>
    <s v="4.Plan de pagos"/>
    <n v="993625.74667999998"/>
    <n v="99425.75"/>
    <n v="6000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2669"/>
    <n v="5338"/>
    <n v="0"/>
    <n v="2669"/>
    <n v="2669"/>
    <n v="2669"/>
    <n v="0"/>
    <n v="0"/>
    <n v="0"/>
    <m/>
    <m/>
    <m/>
    <n v="0"/>
    <m/>
    <m/>
    <m/>
    <m/>
    <n v="64718"/>
    <s v="F&amp;F"/>
    <s v=""/>
    <m/>
    <n v="0.65091789601788275"/>
    <n v="-34707.75"/>
    <n v="-0.34908210398211731"/>
    <n v="928907.74667999998"/>
    <n v="0.93486682464072401"/>
    <n v="99425.75"/>
    <s v="Vendido"/>
    <x v="2"/>
    <n v="35"/>
    <n v="1"/>
    <n v="36"/>
    <n v="6000"/>
    <n v="2669"/>
    <n v="21"/>
    <n v="29"/>
    <n v="83401"/>
    <n v="53380"/>
    <n v="11338"/>
    <n v="0"/>
    <n v="0"/>
    <n v="18683"/>
    <x v="1"/>
    <s v="F&amp;F"/>
    <m/>
  </r>
  <r>
    <x v="14"/>
    <s v="B7"/>
    <m/>
    <m/>
    <m/>
    <m/>
    <s v="1.Disponible"/>
    <n v="1329931.2984007201"/>
    <n v="132993.12984007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329931.298400720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5"/>
    <s v="B2"/>
    <m/>
    <s v="Antonio Rada"/>
    <s v="Bella Rosana Chaveque Gonzalez"/>
    <d v="2025-03-20T00:00:00"/>
    <s v="4.Plan de pagos"/>
    <n v="1321630.18875795"/>
    <n v="13223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10000"/>
    <n v="8500"/>
    <n v="10000"/>
    <n v="8000"/>
    <m/>
    <m/>
    <m/>
    <m/>
    <n v="56500"/>
    <s v="al día"/>
    <s v=""/>
    <m/>
    <n v="0.42728517594960724"/>
    <n v="-75730.19"/>
    <n v="-0.57271482405039276"/>
    <n v="1265130.18875795"/>
    <n v="0.95724976587202659"/>
    <n v="132230.19"/>
    <s v="Vendido"/>
    <x v="0"/>
    <n v="14"/>
    <n v="1"/>
    <n v="15"/>
    <n v="10000"/>
    <n v="8731"/>
    <n v="2"/>
    <n v="5"/>
    <n v="53655"/>
    <n v="8500"/>
    <n v="40000"/>
    <n v="8000"/>
    <n v="2845"/>
    <n v="0"/>
    <x v="0"/>
    <m/>
    <m/>
  </r>
  <r>
    <x v="16"/>
    <s v="B6"/>
    <m/>
    <m/>
    <m/>
    <m/>
    <s v="1.Disponible"/>
    <n v="1273928.0375713599"/>
    <n v="127392.80375713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273928.03757135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7"/>
    <s v="B1"/>
    <m/>
    <s v="Antonio Rada"/>
    <s v="Paulette Leslie Wauthion Jimenez"/>
    <d v="2024-10-31T00:00:00"/>
    <s v="4.Plan de pagos"/>
    <n v="1015795"/>
    <n v="101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15000"/>
    <n v="7500"/>
    <n v="5000"/>
    <n v="10000"/>
    <n v="10000"/>
    <n v="7500"/>
    <n v="10000"/>
    <n v="10000"/>
    <n v="10000"/>
    <m/>
    <m/>
    <m/>
    <m/>
    <n v="90000"/>
    <s v="al día"/>
    <s v=""/>
    <m/>
    <n v="0.88587036763620253"/>
    <n v="-11595"/>
    <n v="-0.11412963236379743"/>
    <n v="925795"/>
    <n v="0.91139944575431064"/>
    <n v="101595"/>
    <s v="Vendido"/>
    <x v="0"/>
    <n v="19"/>
    <n v="1"/>
    <n v="20"/>
    <n v="10000"/>
    <n v="4821"/>
    <n v="4"/>
    <n v="10"/>
    <n v="58210"/>
    <n v="0"/>
    <n v="90000"/>
    <n v="0"/>
    <n v="31790"/>
    <n v="0"/>
    <x v="0"/>
    <m/>
    <m/>
  </r>
  <r>
    <x v="18"/>
    <s v="D7"/>
    <m/>
    <s v="Sofia Paredes"/>
    <s v="Javier Adolfo Hernandez Leon"/>
    <d v="2025-02-18T00:00:00"/>
    <s v="2. Reserva"/>
    <n v="1364055.8232212199"/>
    <n v="136455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903"/>
    <n v="7903"/>
    <n v="7903"/>
    <n v="7903"/>
    <n v="7903"/>
    <n v="7903"/>
    <m/>
    <m/>
    <m/>
    <m/>
    <n v="57418"/>
    <s v="al día"/>
    <s v=""/>
    <m/>
    <n v="0.42078087984814422"/>
    <n v="-79037.820000000007"/>
    <n v="-0.57921912015185573"/>
    <n v="1306637.8232212199"/>
    <n v="0.95790641480903083"/>
    <n v="136455.82"/>
    <s v="Vendido"/>
    <x v="0"/>
    <n v="16"/>
    <n v="1"/>
    <n v="17"/>
    <n v="10000"/>
    <n v="7903"/>
    <n v="6"/>
    <n v="6"/>
    <n v="57418"/>
    <n v="39515"/>
    <n v="10000"/>
    <n v="7903"/>
    <n v="0"/>
    <n v="0"/>
    <x v="0"/>
    <m/>
    <m/>
  </r>
  <r>
    <x v="19"/>
    <s v="A9"/>
    <m/>
    <m/>
    <m/>
    <m/>
    <s v="1.Disponible"/>
    <n v="1021234.48252095"/>
    <n v="102123.44825209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021234.4825209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0"/>
    <s v="C9"/>
    <m/>
    <m/>
    <m/>
    <m/>
    <s v="1.Disponible"/>
    <n v="1414228.48223781"/>
    <n v="141422.84822378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4228.4822378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1"/>
    <s v="C8"/>
    <m/>
    <m/>
    <m/>
    <m/>
    <s v="1.Disponible"/>
    <n v="1414462.31631225"/>
    <n v="141446.23163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4462.3163122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2"/>
    <s v="B4"/>
    <s v="ENGANCHE CANCELADO"/>
    <s v="Antonio Rada"/>
    <s v="Igor Alejandro Salazar Zamora"/>
    <d v="2025-06-30T00:00:00"/>
    <s v="2. Reserva"/>
    <n v="1333707.58"/>
    <n v="200104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00"/>
    <n v="185104.18"/>
    <n v="0"/>
    <m/>
    <m/>
    <m/>
    <m/>
    <n v="200104.18"/>
    <s v="Casos Especiales"/>
    <s v=""/>
    <m/>
    <n v="1"/>
    <n v="0"/>
    <n v="0"/>
    <n v="1133603.4000000001"/>
    <n v="0.84996397786087419"/>
    <n v="200104.18"/>
    <s v="Vendido"/>
    <x v="3"/>
    <n v="1"/>
    <n v="1"/>
    <n v="2"/>
    <n v="15000"/>
    <n v="184104"/>
    <n v="0"/>
    <n v="2"/>
    <n v="383208"/>
    <n v="15000"/>
    <n v="185104.18"/>
    <n v="0"/>
    <n v="0"/>
    <n v="183103.82"/>
    <x v="2"/>
    <m/>
    <s v="Pago único a realizarse en Julio 2025 por GTQ 185,104,00"/>
  </r>
  <r>
    <x v="23"/>
    <s v="B3"/>
    <m/>
    <s v="Laura Molina"/>
    <s v="Carlos Alejandro de León Samayoa"/>
    <d v="2025-07-21T00:00:00"/>
    <s v="2. Reserva"/>
    <n v="1110148.31"/>
    <n v="111048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0"/>
    <n v="8731.66"/>
    <m/>
    <m/>
    <m/>
    <m/>
    <n v="23731.66"/>
    <s v="al día"/>
    <s v=""/>
    <m/>
    <n v="0.21370572861487042"/>
    <n v="-87316.65"/>
    <n v="-0.78629427138512953"/>
    <n v="1086416.6500000001"/>
    <n v="0.97862298236530221"/>
    <n v="111048.31"/>
    <s v="Vendido"/>
    <x v="0"/>
    <n v="11"/>
    <n v="1"/>
    <n v="12"/>
    <n v="15000"/>
    <n v="8731.66"/>
    <n v="1"/>
    <n v="1"/>
    <n v="23731.66"/>
    <n v="0"/>
    <n v="15000"/>
    <n v="8731.66"/>
    <n v="0"/>
    <n v="0"/>
    <x v="0"/>
    <m/>
    <m/>
  </r>
  <r>
    <x v="24"/>
    <s v="E1"/>
    <m/>
    <m/>
    <m/>
    <m/>
    <s v="1.Disponible"/>
    <n v="1543626.9723517401"/>
    <n v="154362.69723517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543626.972351740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5"/>
    <s v="A4"/>
    <m/>
    <s v="Antonio Rada"/>
    <s v="Julio Eduardo Farnes Bucaro"/>
    <d v="2023-11-14T00:00:00"/>
    <s v="4.Plan de pagos"/>
    <n v="714937.5"/>
    <n v="71537.5"/>
    <n v="0"/>
    <n v="0"/>
    <n v="0"/>
    <n v="0"/>
    <n v="0"/>
    <n v="0"/>
    <n v="0"/>
    <n v="0"/>
    <n v="8000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n v="2888"/>
    <m/>
    <m/>
    <m/>
    <m/>
    <n v="68648"/>
    <s v="al día"/>
    <s v=""/>
    <m/>
    <n v="0.95960859688974309"/>
    <n v="-2889.5"/>
    <n v="-4.0391403110256859E-2"/>
    <n v="646289.5"/>
    <n v="0.90398041786869476"/>
    <n v="71537.5"/>
    <s v="Vendido"/>
    <x v="0"/>
    <n v="22"/>
    <n v="1"/>
    <n v="23"/>
    <n v="8000"/>
    <n v="2888"/>
    <n v="21"/>
    <n v="21"/>
    <n v="68648"/>
    <n v="57760"/>
    <n v="8000"/>
    <n v="2888"/>
    <n v="0"/>
    <n v="0"/>
    <x v="0"/>
    <m/>
    <m/>
  </r>
  <r>
    <x v="26"/>
    <s v="A8"/>
    <m/>
    <s v="Sofia Paredes"/>
    <s v="Carlos Humberto Rivera Carrillo "/>
    <d v="2025-02-07T00:00:00"/>
    <s v="4.Plan de pagos"/>
    <n v="806418.74335333402"/>
    <n v="80718.74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1539.72"/>
    <n v="5000"/>
    <m/>
    <n v="10000"/>
    <n v="0"/>
    <m/>
    <m/>
    <m/>
    <m/>
    <n v="36539.72"/>
    <s v="al día"/>
    <s v=""/>
    <m/>
    <n v="0.4526795140756657"/>
    <n v="-44179.020000000004"/>
    <n v="-0.54732048592433435"/>
    <n v="769879.02335333405"/>
    <n v="0.95468890039924326"/>
    <n v="80718.740000000005"/>
    <s v="Vendido"/>
    <x v="0"/>
    <n v="16"/>
    <n v="1"/>
    <n v="17"/>
    <n v="10000"/>
    <n v="4420"/>
    <n v="1"/>
    <n v="6"/>
    <n v="36520"/>
    <n v="0"/>
    <n v="36539.72"/>
    <n v="0"/>
    <n v="19.720000000001164"/>
    <n v="0"/>
    <x v="0"/>
    <m/>
    <m/>
  </r>
  <r>
    <x v="27"/>
    <s v="A1"/>
    <m/>
    <s v="Antonio Rada"/>
    <s v="Jorge Daniel Baca Chiroy"/>
    <d v="2023-11-29T00:00:00"/>
    <s v="4.Plan de pagos"/>
    <n v="720472.5"/>
    <n v="72072.5"/>
    <n v="0"/>
    <n v="0"/>
    <n v="0"/>
    <n v="0"/>
    <n v="0"/>
    <n v="0"/>
    <n v="0"/>
    <n v="0"/>
    <n v="5500"/>
    <n v="3025"/>
    <n v="3025"/>
    <n v="0"/>
    <n v="0"/>
    <n v="0"/>
    <n v="0"/>
    <n v="6050"/>
    <n v="0"/>
    <n v="0"/>
    <n v="15130"/>
    <n v="0"/>
    <n v="9078"/>
    <m/>
    <n v="0"/>
    <n v="9078"/>
    <n v="0"/>
    <n v="6056"/>
    <n v="3025"/>
    <n v="12105.5"/>
    <m/>
    <n v="0"/>
    <m/>
    <m/>
    <m/>
    <m/>
    <n v="72072.5"/>
    <s v="al día"/>
    <s v=""/>
    <m/>
    <n v="1"/>
    <n v="0"/>
    <n v="0"/>
    <n v="648400"/>
    <n v="0.89996495355478523"/>
    <n v="72072.5"/>
    <s v="Vendido"/>
    <x v="3"/>
    <n v="22"/>
    <n v="1"/>
    <n v="23"/>
    <n v="5500"/>
    <n v="3026"/>
    <n v="3"/>
    <n v="21"/>
    <n v="69046"/>
    <n v="9075"/>
    <n v="62997.5"/>
    <n v="0"/>
    <n v="3026.5"/>
    <n v="0"/>
    <x v="0"/>
    <m/>
    <m/>
  </r>
  <r>
    <x v="28"/>
    <s v="C4"/>
    <m/>
    <s v="Antonio Rada"/>
    <s v="Lidia Elizabeth Pocasangre Rac"/>
    <d v="2024-03-02T00:00:00"/>
    <s v="4.Plan de pagos"/>
    <n v="965900"/>
    <n v="96600"/>
    <n v="0"/>
    <n v="0"/>
    <n v="0"/>
    <n v="0"/>
    <n v="0"/>
    <n v="0"/>
    <n v="0"/>
    <n v="0"/>
    <n v="0"/>
    <n v="0"/>
    <n v="0"/>
    <n v="0"/>
    <n v="8000"/>
    <n v="5000"/>
    <n v="5000"/>
    <n v="5000"/>
    <n v="5000"/>
    <n v="5000"/>
    <n v="5000"/>
    <n v="4500"/>
    <n v="5500"/>
    <n v="5000"/>
    <n v="5000"/>
    <n v="5000"/>
    <n v="5000"/>
    <n v="5000"/>
    <n v="5000"/>
    <n v="5000"/>
    <n v="5000"/>
    <n v="5000"/>
    <m/>
    <m/>
    <m/>
    <m/>
    <n v="93000"/>
    <s v="al día"/>
    <s v=""/>
    <m/>
    <n v="0.96273291925465843"/>
    <n v="-3600"/>
    <n v="-3.7267080745341616E-2"/>
    <n v="872900"/>
    <n v="0.90371674086344345"/>
    <n v="96600"/>
    <s v="Vendido"/>
    <x v="0"/>
    <n v="18"/>
    <n v="1"/>
    <n v="19"/>
    <n v="8000"/>
    <n v="4922"/>
    <n v="17"/>
    <n v="17"/>
    <n v="91674"/>
    <n v="4500"/>
    <n v="88500"/>
    <n v="0"/>
    <n v="1326"/>
    <n v="0"/>
    <x v="0"/>
    <m/>
    <m/>
  </r>
  <r>
    <x v="29"/>
    <s v="C1"/>
    <s v="ENGANCHE CANCELADO"/>
    <s v="Antonio Rada"/>
    <s v="Narvesters Gabriell Moreno Cedeño"/>
    <d v="2024-03-09T00:00:00"/>
    <s v="4.Plan de pagos"/>
    <n v="980700"/>
    <n v="98100"/>
    <n v="0"/>
    <n v="0"/>
    <n v="0"/>
    <n v="0"/>
    <n v="0"/>
    <n v="0"/>
    <n v="0"/>
    <n v="0"/>
    <n v="0"/>
    <n v="0"/>
    <n v="0"/>
    <n v="0"/>
    <n v="8000"/>
    <n v="5006"/>
    <n v="5006"/>
    <n v="5006"/>
    <n v="10012"/>
    <n v="15018"/>
    <n v="20024"/>
    <n v="25030"/>
    <n v="30000"/>
    <n v="35000"/>
    <n v="40000"/>
    <n v="40000"/>
    <n v="40000"/>
    <n v="50000"/>
    <n v="50000"/>
    <n v="50000"/>
    <n v="52000"/>
    <n v="60000"/>
    <m/>
    <m/>
    <m/>
    <m/>
    <n v="540102"/>
    <s v="Casos Especiales"/>
    <s v=""/>
    <m/>
    <n v="5.5056269113149847"/>
    <n v="442002"/>
    <n v="4.5056269113149847"/>
    <n v="440598"/>
    <n v="0.44926888956867544"/>
    <n v="98100"/>
    <s v="Vendido"/>
    <x v="3"/>
    <n v="18"/>
    <n v="1"/>
    <n v="19"/>
    <n v="8000"/>
    <n v="5006"/>
    <n v="3"/>
    <n v="17"/>
    <n v="93102"/>
    <n v="15018"/>
    <n v="525084"/>
    <n v="0"/>
    <n v="447000"/>
    <n v="0"/>
    <x v="0"/>
    <m/>
    <m/>
  </r>
  <r>
    <x v="30"/>
    <s v="C3"/>
    <m/>
    <s v="Antonio Rada"/>
    <s v="Jonathan Kiril Thomas Menkos"/>
    <d v="2024-07-21T00:00:00"/>
    <s v="4.Plan de pagos"/>
    <n v="1273000"/>
    <n v="127300"/>
    <n v="0"/>
    <n v="0"/>
    <n v="0"/>
    <n v="0"/>
    <n v="0"/>
    <n v="0"/>
    <n v="0"/>
    <n v="0"/>
    <n v="0"/>
    <n v="0"/>
    <n v="0"/>
    <n v="0"/>
    <n v="0"/>
    <n v="0"/>
    <n v="0"/>
    <n v="0"/>
    <n v="10000"/>
    <n v="13800"/>
    <n v="6900"/>
    <n v="0"/>
    <n v="6900"/>
    <n v="6900"/>
    <n v="6900"/>
    <n v="6900"/>
    <n v="6900"/>
    <n v="6900"/>
    <n v="6900"/>
    <n v="6900"/>
    <n v="6900"/>
    <n v="6900"/>
    <m/>
    <m/>
    <m/>
    <m/>
    <n v="99700"/>
    <s v="al día"/>
    <s v=""/>
    <m/>
    <n v="0.78318931657501967"/>
    <n v="-27600"/>
    <n v="-0.21681068342498036"/>
    <n v="1173300"/>
    <n v="0.92168106834249808"/>
    <n v="127300"/>
    <s v="Vendido"/>
    <x v="0"/>
    <n v="17"/>
    <n v="1"/>
    <n v="18"/>
    <n v="10000"/>
    <n v="6900"/>
    <n v="11"/>
    <n v="13"/>
    <n v="99700"/>
    <n v="69000"/>
    <n v="23800"/>
    <n v="6900"/>
    <n v="0"/>
    <n v="0"/>
    <x v="0"/>
    <m/>
    <m/>
  </r>
  <r>
    <x v="31"/>
    <s v="C2"/>
    <m/>
    <s v="**"/>
    <s v="José Ignacio Ramírez Soto"/>
    <m/>
    <s v="1.Disponible"/>
    <n v="1373424.4362473199"/>
    <n v="137342.443624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0000"/>
    <m/>
    <m/>
    <m/>
    <m/>
    <n v="10000"/>
    <s v="al día"/>
    <s v=""/>
    <m/>
    <n v="7.2810703931579429E-2"/>
    <n v="-127342.443624732"/>
    <n v="-0.9271892960684206"/>
    <n v="1363424.4362473199"/>
    <n v="0.99271892960684205"/>
    <n v="137342.443624732"/>
    <s v="Vendido"/>
    <x v="0"/>
    <m/>
    <n v="0"/>
    <n v="0"/>
    <m/>
    <m/>
    <n v="0"/>
    <n v="0"/>
    <n v="0"/>
    <n v="0"/>
    <n v="0"/>
    <n v="10000"/>
    <n v="10000"/>
    <n v="0"/>
    <x v="0"/>
    <m/>
    <m/>
  </r>
  <r>
    <x v="32"/>
    <s v="A6"/>
    <m/>
    <m/>
    <m/>
    <m/>
    <s v="1.Disponible"/>
    <n v="934918.44645199704"/>
    <n v="93491.844645199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s v="Disponible"/>
    <s v=""/>
    <m/>
    <n v="0"/>
    <n v="0"/>
    <n v="0"/>
    <n v="934918.44645199704"/>
    <n v="1"/>
    <n v="0"/>
    <s v="Apartamento Disponible"/>
    <x v="1"/>
    <m/>
    <m/>
    <n v="0"/>
    <m/>
    <m/>
    <n v="0"/>
    <n v="0"/>
    <n v="0"/>
    <n v="0"/>
    <n v="0"/>
    <n v="0"/>
    <n v="0"/>
    <n v="0"/>
    <x v="0"/>
    <m/>
    <m/>
  </r>
  <r>
    <x v="33"/>
    <s v="A3"/>
    <m/>
    <s v="Antonio Rada"/>
    <s v="Ricardo Alberto Vásquez Monterroso"/>
    <d v="2025-03-03T00:00:00"/>
    <s v="4.Plan de pagos"/>
    <n v="833815.20101665298"/>
    <n v="83415.1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5244"/>
    <n v="5244"/>
    <n v="5244"/>
    <n v="5244"/>
    <n v="5244"/>
    <m/>
    <m/>
    <m/>
    <m/>
    <n v="36220"/>
    <s v="al día"/>
    <s v=""/>
    <m/>
    <n v="0.43421342872761798"/>
    <n v="-47195.199999999997"/>
    <n v="-0.56578657127238197"/>
    <n v="797595.20101665298"/>
    <n v="0.95656111815203448"/>
    <n v="83415.199999999997"/>
    <s v="Vendido"/>
    <x v="0"/>
    <n v="14"/>
    <n v="1"/>
    <n v="15"/>
    <n v="10000"/>
    <n v="5244"/>
    <n v="5"/>
    <n v="5"/>
    <n v="36220"/>
    <n v="20976"/>
    <n v="10000"/>
    <n v="5244"/>
    <n v="0"/>
    <n v="0"/>
    <x v="0"/>
    <m/>
    <m/>
  </r>
  <r>
    <x v="34"/>
    <s v="B7"/>
    <m/>
    <s v="Antonio Rada"/>
    <s v="Josue Alejandro Arias Perez"/>
    <d v="2025-04-01T00:00:00"/>
    <s v="4.Plan de pagos"/>
    <n v="1112465.60916772"/>
    <n v="111246.5609167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0"/>
    <n v="3500"/>
    <n v="3500"/>
    <n v="15000"/>
    <n v="3500"/>
    <m/>
    <m/>
    <m/>
    <m/>
    <n v="40500"/>
    <s v="al día"/>
    <s v="Cliente no ha confirmado deposito pero ya se ubicó su pago"/>
    <m/>
    <n v="0.36405619792866828"/>
    <n v="-70746.560916771996"/>
    <n v="-0.63594380207133172"/>
    <n v="1071965.60916772"/>
    <n v="0.96359438020713317"/>
    <n v="111246.560916772"/>
    <s v="Vendido"/>
    <x v="0"/>
    <n v="13"/>
    <n v="1"/>
    <n v="14"/>
    <n v="15000"/>
    <n v="3500"/>
    <n v="3"/>
    <n v="4"/>
    <n v="29000"/>
    <n v="7000"/>
    <n v="30000"/>
    <n v="3500"/>
    <n v="11500"/>
    <n v="0"/>
    <x v="0"/>
    <m/>
    <m/>
  </r>
  <r>
    <x v="35"/>
    <s v="B2"/>
    <m/>
    <m/>
    <m/>
    <m/>
    <s v="1.Disponible"/>
    <n v="1104047.5824877301"/>
    <n v="110404.75824877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104047.582487730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6"/>
    <s v="B6"/>
    <m/>
    <m/>
    <m/>
    <m/>
    <s v="1.Disponible"/>
    <n v="1056462.34833836"/>
    <n v="105646.234833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056462.34833836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37"/>
    <s v="B1"/>
    <m/>
    <s v="Antonio Rada"/>
    <s v="Ricardo Alberto Vásquez Monterroso"/>
    <d v="2025-03-03T00:00:00"/>
    <s v="4.Plan de pagos"/>
    <n v="1032728.18978229"/>
    <n v="103328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666"/>
    <n v="6666"/>
    <n v="6666"/>
    <n v="6666"/>
    <n v="6666"/>
    <m/>
    <m/>
    <m/>
    <m/>
    <n v="43330"/>
    <s v="al día"/>
    <s v=""/>
    <m/>
    <n v="0.41934345312736049"/>
    <n v="-59998.19"/>
    <n v="-0.58065654687263946"/>
    <n v="989398.18978229002"/>
    <n v="0.95804317106020465"/>
    <n v="103328.19"/>
    <s v="Vendido"/>
    <x v="0"/>
    <n v="14"/>
    <n v="1"/>
    <n v="15"/>
    <n v="10000"/>
    <n v="6666"/>
    <n v="5"/>
    <n v="5"/>
    <n v="43330"/>
    <n v="26664"/>
    <n v="10000"/>
    <n v="6666"/>
    <n v="0"/>
    <n v="0"/>
    <x v="0"/>
    <m/>
    <m/>
  </r>
  <r>
    <x v="38"/>
    <s v="D7"/>
    <m/>
    <s v="Antonio Rada"/>
    <s v="Leonel Bernardo Molina Gramajo"/>
    <d v="2024-08-12T00:00:00"/>
    <s v="4.Plan de pagos"/>
    <n v="1341690"/>
    <n v="13509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2500"/>
    <n v="2500"/>
    <n v="2500"/>
    <n v="2500"/>
    <n v="0"/>
    <n v="2500"/>
    <n v="0"/>
    <n v="7500"/>
    <n v="2500"/>
    <n v="2500"/>
    <n v="5000"/>
    <n v="5000"/>
    <m/>
    <m/>
    <m/>
    <m/>
    <n v="40000"/>
    <s v="al día"/>
    <s v=""/>
    <m/>
    <n v="0.29609889703160858"/>
    <n v="-95090"/>
    <n v="-0.70390110296839148"/>
    <n v="1301690"/>
    <n v="0.97018685389322423"/>
    <n v="135090"/>
    <s v="Vendido"/>
    <x v="0"/>
    <n v="16"/>
    <n v="1"/>
    <n v="17"/>
    <n v="5000"/>
    <n v="2500"/>
    <n v="7"/>
    <n v="12"/>
    <n v="35000"/>
    <n v="17500"/>
    <n v="22500"/>
    <n v="0"/>
    <n v="5000"/>
    <n v="0"/>
    <x v="0"/>
    <m/>
    <m/>
  </r>
  <r>
    <x v="39"/>
    <s v="A9"/>
    <m/>
    <m/>
    <m/>
    <m/>
    <s v="1.Disponible"/>
    <n v="1021234.48252095"/>
    <n v="102123.44825209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021234.4825209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40"/>
    <s v="C9"/>
    <s v="ENGANCHE CANCELADO"/>
    <s v="Diana Alvarez"/>
    <s v="Miguel Angel Teletor Riz"/>
    <d v="2024-09-27T00:00:00"/>
    <s v="4.Plan de pagos"/>
    <n v="1391040"/>
    <n v="139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29140"/>
    <n v="0"/>
    <n v="0"/>
    <n v="0"/>
    <n v="0"/>
    <n v="0"/>
    <m/>
    <m/>
    <m/>
    <n v="0"/>
    <m/>
    <m/>
    <m/>
    <m/>
    <n v="139140"/>
    <s v="Casos Especiales"/>
    <s v=""/>
    <m/>
    <n v="1"/>
    <n v="0"/>
    <n v="0"/>
    <n v="1251900"/>
    <n v="0.89997412008281574"/>
    <n v="139140"/>
    <s v="Vendido"/>
    <x v="3"/>
    <n v="2"/>
    <n v="1"/>
    <n v="3"/>
    <n v="10000"/>
    <n v="129140"/>
    <n v="0"/>
    <n v="11"/>
    <n v="1430540"/>
    <n v="139140"/>
    <n v="0"/>
    <n v="0"/>
    <n v="0"/>
    <n v="0"/>
    <x v="0"/>
    <m/>
    <m/>
  </r>
  <r>
    <x v="41"/>
    <s v="C8"/>
    <m/>
    <s v="Antonio Rada"/>
    <s v="Freddy Alejandro Chinchilla Culajay"/>
    <d v="2024-12-24T00:00:00"/>
    <s v="4.Plan de pagos"/>
    <n v="1414462.31631225"/>
    <n v="14146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"/>
    <n v="0"/>
    <n v="7851"/>
    <n v="7851"/>
    <n v="7851"/>
    <n v="7851"/>
    <n v="7851"/>
    <n v="7851"/>
    <n v="7851"/>
    <m/>
    <m/>
    <m/>
    <m/>
    <n v="62957"/>
    <s v="1 meses sin pago"/>
    <m/>
    <m/>
    <n v="0.44504430579111098"/>
    <n v="-78505.320000000007"/>
    <n v="-0.55495569420888902"/>
    <n v="1351505.31631225"/>
    <n v="0.95549050740062136"/>
    <n v="141462.32"/>
    <s v="Vendido"/>
    <x v="2"/>
    <n v="17"/>
    <n v="1"/>
    <n v="18"/>
    <n v="8000"/>
    <n v="7851"/>
    <n v="7"/>
    <n v="8"/>
    <n v="70808"/>
    <n v="47106"/>
    <n v="8000"/>
    <n v="7851"/>
    <n v="0"/>
    <n v="7851"/>
    <x v="2"/>
    <m/>
    <s v="Revisado"/>
  </r>
  <r>
    <x v="42"/>
    <s v="B4"/>
    <m/>
    <s v="Antonio Rada"/>
    <s v="Leslly Franzoli Cortez Avila"/>
    <d v="2024-05-07T00:00:00"/>
    <s v="4.Plan de pagos"/>
    <n v="1087400"/>
    <n v="108800"/>
    <n v="0"/>
    <n v="0"/>
    <n v="0"/>
    <n v="0"/>
    <n v="0"/>
    <n v="0"/>
    <n v="0"/>
    <n v="0"/>
    <n v="0"/>
    <n v="0"/>
    <n v="0"/>
    <n v="0"/>
    <n v="0"/>
    <n v="0"/>
    <n v="8000"/>
    <n v="4253"/>
    <n v="24253"/>
    <n v="4253"/>
    <n v="4253"/>
    <n v="8506"/>
    <n v="0"/>
    <n v="4253"/>
    <n v="4253"/>
    <n v="4253"/>
    <n v="4253"/>
    <n v="8506"/>
    <m/>
    <n v="4253"/>
    <n v="4253"/>
    <n v="8506"/>
    <m/>
    <m/>
    <m/>
    <m/>
    <n v="96048"/>
    <s v="al día"/>
    <s v=""/>
    <m/>
    <n v="0.88279411764705884"/>
    <n v="-12752"/>
    <n v="-0.11720588235294117"/>
    <n v="991352"/>
    <n v="0.91167187787382753"/>
    <n v="108800"/>
    <s v="Vendido"/>
    <x v="0"/>
    <n v="19"/>
    <n v="1"/>
    <n v="20"/>
    <n v="28000"/>
    <n v="4253"/>
    <n v="14"/>
    <n v="15"/>
    <n v="91795"/>
    <n v="38277"/>
    <n v="57771"/>
    <n v="0"/>
    <n v="4253"/>
    <n v="0"/>
    <x v="0"/>
    <m/>
    <m/>
  </r>
  <r>
    <x v="43"/>
    <s v="B3"/>
    <m/>
    <s v="SIN DATOS"/>
    <s v="Arcely Contreras"/>
    <d v="2025-08-11T00:00:00"/>
    <s v="2. Reserva"/>
    <n v="1037521.78830839"/>
    <n v="103752.178830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0000"/>
    <m/>
    <m/>
    <m/>
    <m/>
    <n v="10000"/>
    <s v="al día"/>
    <s v=""/>
    <m/>
    <n v="9.6383518039696622E-2"/>
    <n v="-93752.178830838995"/>
    <n v="-0.90361648196030342"/>
    <n v="1027521.78830839"/>
    <n v="0.99036164819603034"/>
    <n v="103752.178830839"/>
    <s v="Vendido"/>
    <x v="0"/>
    <m/>
    <n v="0"/>
    <n v="0"/>
    <m/>
    <m/>
    <n v="0"/>
    <n v="0"/>
    <m/>
    <n v="0"/>
    <n v="0"/>
    <n v="10000"/>
    <n v="10000"/>
    <n v="0"/>
    <x v="3"/>
    <m/>
    <m/>
  </r>
  <r>
    <x v="44"/>
    <s v="E1"/>
    <m/>
    <s v="Sofia Paredes"/>
    <s v="Lilian America Roldan Ochoa"/>
    <d v="2025-04-05T00:00:00"/>
    <s v="4.Plan de pagos"/>
    <n v="1543626.9723517401"/>
    <n v="15442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m/>
    <n v="10024"/>
    <n v="12000"/>
    <m/>
    <m/>
    <m/>
    <m/>
    <n v="42024"/>
    <s v="4 meses sin pago"/>
    <s v="no se recibió pago junio"/>
    <n v="11110"/>
    <n v="0.27212863141716759"/>
    <n v="-112402.97"/>
    <n v="-0.72787136858283241"/>
    <n v="1501602.9723517401"/>
    <n v="0.97277580610296299"/>
    <n v="154426.97"/>
    <s v="Vendido"/>
    <x v="2"/>
    <n v="13"/>
    <n v="1"/>
    <n v="14"/>
    <n v="10000"/>
    <n v="11110"/>
    <n v="0"/>
    <n v="4"/>
    <n v="54440"/>
    <n v="30024"/>
    <n v="12000"/>
    <n v="0"/>
    <n v="0"/>
    <n v="12416"/>
    <x v="4"/>
    <m/>
    <m/>
  </r>
  <r>
    <x v="45"/>
    <s v="A4"/>
    <m/>
    <s v="Antonio Rada"/>
    <s v="Allan Omar Alvarado Vásquez"/>
    <d v="2023-10-29T00:00:00"/>
    <s v="4.Plan de pagos"/>
    <n v="708396.44"/>
    <n v="70896.44"/>
    <n v="0"/>
    <n v="0"/>
    <n v="0"/>
    <n v="0"/>
    <n v="0"/>
    <n v="0"/>
    <n v="0"/>
    <n v="8000"/>
    <n v="2735"/>
    <n v="2735"/>
    <n v="2735"/>
    <n v="2735"/>
    <n v="2735"/>
    <n v="2735"/>
    <n v="5470"/>
    <n v="2735"/>
    <n v="0"/>
    <n v="2735"/>
    <n v="2735"/>
    <n v="2735"/>
    <n v="2735"/>
    <n v="2735"/>
    <n v="2735"/>
    <n v="2735"/>
    <n v="2735"/>
    <n v="2735"/>
    <n v="2735"/>
    <n v="2735"/>
    <n v="2735"/>
    <n v="2735"/>
    <m/>
    <m/>
    <m/>
    <m/>
    <n v="68170"/>
    <s v="al día"/>
    <s v=""/>
    <m/>
    <n v="0.96154334406635933"/>
    <n v="-2726.4400000000023"/>
    <n v="-3.8456655933640706E-2"/>
    <n v="640226.43999999994"/>
    <n v="0.90376857342761352"/>
    <n v="70896.44"/>
    <s v="Vendido"/>
    <x v="0"/>
    <n v="23"/>
    <n v="1"/>
    <n v="24"/>
    <n v="8000"/>
    <n v="2735"/>
    <n v="21"/>
    <n v="22"/>
    <n v="68170"/>
    <n v="51965"/>
    <n v="13470"/>
    <n v="2735"/>
    <n v="0"/>
    <n v="0"/>
    <x v="0"/>
    <m/>
    <m/>
  </r>
  <r>
    <x v="46"/>
    <s v="A8"/>
    <m/>
    <s v="Antonio Rada"/>
    <s v="Antonio Meneses Hernandez"/>
    <d v="2023-11-28T00:00:00"/>
    <s v="4.Plan de pagos"/>
    <n v="721087.5"/>
    <n v="72187.5"/>
    <n v="0"/>
    <n v="0"/>
    <n v="0"/>
    <n v="0"/>
    <n v="0"/>
    <n v="0"/>
    <n v="0"/>
    <n v="0"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m/>
    <m/>
    <m/>
    <m/>
    <n v="69151"/>
    <s v="al día"/>
    <s v=""/>
    <m/>
    <n v="0.95793593073593075"/>
    <n v="-3036.5"/>
    <n v="-4.2064069264069262E-2"/>
    <n v="651936.5"/>
    <n v="0.9041017906980775"/>
    <n v="72187.5"/>
    <s v="Vendido"/>
    <x v="0"/>
    <n v="22"/>
    <n v="1"/>
    <n v="23"/>
    <n v="5500"/>
    <n v="3031"/>
    <n v="21"/>
    <n v="21"/>
    <n v="69151"/>
    <n v="60620"/>
    <n v="5500"/>
    <n v="3031"/>
    <n v="0"/>
    <n v="0"/>
    <x v="0"/>
    <m/>
    <m/>
  </r>
  <r>
    <x v="47"/>
    <s v="A1"/>
    <m/>
    <s v="Antonio Rada"/>
    <s v="Jose Reynaldo Linares"/>
    <d v="2023-11-12T00:00:00"/>
    <s v="4.Plan de pagos"/>
    <n v="720472.5"/>
    <n v="72072.5"/>
    <n v="0"/>
    <n v="0"/>
    <n v="0"/>
    <n v="0"/>
    <n v="0"/>
    <n v="0"/>
    <n v="0"/>
    <n v="0"/>
    <n v="5500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n v="3026"/>
    <m/>
    <m/>
    <m/>
    <m/>
    <n v="69046"/>
    <s v="al día"/>
    <s v=""/>
    <m/>
    <n v="0.95800756183010161"/>
    <n v="-3026.5"/>
    <n v="-4.1992438169898366E-2"/>
    <n v="651426.5"/>
    <n v="0.90416566905745877"/>
    <n v="72072.5"/>
    <s v="Vendido"/>
    <x v="0"/>
    <n v="22"/>
    <n v="1"/>
    <n v="23"/>
    <n v="5500"/>
    <n v="3026"/>
    <n v="21"/>
    <n v="21"/>
    <n v="69046"/>
    <n v="60520"/>
    <n v="5500"/>
    <n v="3026"/>
    <n v="0"/>
    <n v="0"/>
    <x v="0"/>
    <m/>
    <m/>
  </r>
  <r>
    <x v="48"/>
    <s v="C4"/>
    <m/>
    <s v="Antonio Rada"/>
    <s v="Aaron Fabrizio Tello Merida"/>
    <d v="2024-02-18T00:00:00"/>
    <s v="4.Plan de pagos"/>
    <n v="965900"/>
    <n v="96600"/>
    <n v="0"/>
    <n v="0"/>
    <n v="0"/>
    <n v="0"/>
    <n v="0"/>
    <n v="0"/>
    <n v="0"/>
    <n v="0"/>
    <n v="0"/>
    <n v="0"/>
    <n v="0"/>
    <n v="8000"/>
    <n v="7000"/>
    <n v="7000"/>
    <n v="7000"/>
    <n v="7000"/>
    <n v="14000"/>
    <n v="7000"/>
    <n v="7000"/>
    <n v="7000"/>
    <n v="7000"/>
    <n v="7000"/>
    <n v="17000"/>
    <n v="7000"/>
    <n v="7000"/>
    <n v="7000"/>
    <n v="7000"/>
    <n v="7000"/>
    <n v="7000"/>
    <n v="7000"/>
    <m/>
    <m/>
    <m/>
    <m/>
    <n v="151000"/>
    <s v="al día"/>
    <s v=""/>
    <m/>
    <n v="1.5631469979296067"/>
    <n v="54400"/>
    <n v="0.56314699792960665"/>
    <n v="814900"/>
    <n v="0.84366911688580604"/>
    <n v="96600"/>
    <s v="Vendido"/>
    <x v="4"/>
    <n v="19"/>
    <n v="1"/>
    <n v="20"/>
    <n v="8000"/>
    <n v="4663"/>
    <n v="16"/>
    <n v="18"/>
    <n v="91934"/>
    <n v="0"/>
    <n v="151000"/>
    <n v="0"/>
    <n v="59066"/>
    <n v="0"/>
    <x v="0"/>
    <m/>
    <m/>
  </r>
  <r>
    <x v="49"/>
    <s v="C1"/>
    <m/>
    <s v="Antonio Rada"/>
    <s v="Santiago Taracena Puga"/>
    <d v="2023-08-12T00:00:00"/>
    <s v="4.Plan de pagos"/>
    <n v="980700"/>
    <n v="98100"/>
    <n v="0"/>
    <n v="0"/>
    <n v="0"/>
    <n v="0"/>
    <n v="0"/>
    <n v="6000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n v="3684"/>
    <m/>
    <m/>
    <m/>
    <m/>
    <n v="94416"/>
    <s v="al día"/>
    <s v=""/>
    <m/>
    <n v="0.96244648318042814"/>
    <n v="-3684"/>
    <n v="-3.7553516819571864E-2"/>
    <n v="886284"/>
    <n v="0.90372591006423986"/>
    <n v="98100"/>
    <s v="Vendido"/>
    <x v="0"/>
    <n v="25"/>
    <n v="1"/>
    <n v="26"/>
    <n v="6000"/>
    <n v="3684"/>
    <n v="24"/>
    <n v="24"/>
    <n v="94416"/>
    <n v="84732"/>
    <n v="6000"/>
    <n v="3684"/>
    <n v="0"/>
    <n v="0"/>
    <x v="0"/>
    <m/>
    <m/>
  </r>
  <r>
    <x v="50"/>
    <s v="C3"/>
    <m/>
    <s v="Antonio Rada"/>
    <s v="Sara Veronica Ortíz De León"/>
    <d v="2024-01-29T00:00:00"/>
    <s v="4.Plan de pagos"/>
    <n v="1153800"/>
    <n v="115400"/>
    <n v="0"/>
    <n v="0"/>
    <n v="0"/>
    <n v="0"/>
    <n v="0"/>
    <n v="0"/>
    <n v="0"/>
    <n v="0"/>
    <n v="0"/>
    <n v="0"/>
    <n v="8000"/>
    <n v="5370"/>
    <n v="5370"/>
    <n v="10740"/>
    <n v="0"/>
    <n v="5370"/>
    <n v="5370"/>
    <n v="5370"/>
    <n v="5370"/>
    <n v="5370"/>
    <n v="5370"/>
    <n v="5370"/>
    <n v="5370"/>
    <n v="5370"/>
    <n v="5370"/>
    <n v="5370"/>
    <n v="5370"/>
    <n v="5370"/>
    <n v="5370"/>
    <n v="5370"/>
    <m/>
    <m/>
    <m/>
    <m/>
    <n v="110030"/>
    <s v="al día"/>
    <s v=""/>
    <m/>
    <n v="0.9534662045060659"/>
    <n v="-5370"/>
    <n v="-4.6533795493934139E-2"/>
    <n v="1043770"/>
    <n v="0.90463685214075229"/>
    <n v="115400"/>
    <s v="Vendido"/>
    <x v="0"/>
    <n v="20"/>
    <n v="1"/>
    <n v="21"/>
    <n v="8000"/>
    <n v="5370"/>
    <n v="17"/>
    <n v="19"/>
    <n v="110030"/>
    <n v="85920"/>
    <n v="18740"/>
    <n v="5370"/>
    <n v="0"/>
    <n v="0"/>
    <x v="0"/>
    <m/>
    <m/>
  </r>
  <r>
    <x v="51"/>
    <s v="C2"/>
    <m/>
    <s v="Antonio Rada"/>
    <s v="Guillermo Vinicio Cotto Mux"/>
    <d v="2023-12-03T00:00:00"/>
    <s v="4.Plan de pagos"/>
    <n v="1151071.45"/>
    <n v="115171.45"/>
    <n v="0"/>
    <n v="0"/>
    <n v="0"/>
    <n v="0"/>
    <n v="0"/>
    <n v="0"/>
    <n v="0"/>
    <n v="0"/>
    <n v="0"/>
    <n v="5500"/>
    <n v="5219"/>
    <n v="5225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n v="5222"/>
    <m/>
    <m/>
    <m/>
    <m/>
    <n v="109940"/>
    <s v="al día"/>
    <s v=""/>
    <m/>
    <n v="0.95457685042603879"/>
    <n v="-5231.4499999999971"/>
    <n v="-4.5423149573961229E-2"/>
    <n v="1041131.45"/>
    <n v="0.90448898719536475"/>
    <n v="115171.45"/>
    <s v="Vendido"/>
    <x v="0"/>
    <n v="21"/>
    <n v="1"/>
    <n v="22"/>
    <n v="5500"/>
    <n v="5222"/>
    <n v="20"/>
    <n v="20"/>
    <n v="109940"/>
    <n v="93993"/>
    <n v="10725"/>
    <n v="5222"/>
    <n v="0"/>
    <n v="0"/>
    <x v="0"/>
    <m/>
    <m/>
  </r>
  <r>
    <x v="52"/>
    <s v="A6"/>
    <m/>
    <s v="Antonio Rada"/>
    <s v="Denis Estuardo Mazariegos Fuentes"/>
    <d v="2023-08-20T00:00:00"/>
    <s v="4.Plan de pagos"/>
    <n v="699700"/>
    <n v="70000"/>
    <n v="0"/>
    <n v="0"/>
    <n v="0"/>
    <n v="0"/>
    <n v="0"/>
    <n v="600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n v="2560"/>
    <m/>
    <n v="0"/>
    <m/>
    <m/>
    <m/>
    <m/>
    <n v="62320"/>
    <s v="2 meses sin pago"/>
    <s v="no se recibió pago julio, agosto"/>
    <n v="5120"/>
    <n v="0.89028571428571424"/>
    <n v="-7680"/>
    <n v="-0.10971428571428571"/>
    <n v="637380"/>
    <n v="0.91093325711019013"/>
    <n v="70000"/>
    <s v="Vendido"/>
    <x v="2"/>
    <n v="25"/>
    <n v="1"/>
    <n v="26"/>
    <n v="6000"/>
    <n v="2560"/>
    <n v="22"/>
    <n v="24"/>
    <n v="67440"/>
    <n v="56320"/>
    <n v="6000"/>
    <n v="0"/>
    <n v="0"/>
    <n v="5120"/>
    <x v="4"/>
    <m/>
    <m/>
  </r>
  <r>
    <x v="53"/>
    <s v="A3"/>
    <m/>
    <s v="Brenda Búcaro"/>
    <s v="Gerson Andre Villatoro Urizar"/>
    <d v="2023-10-31T00:00:00"/>
    <s v="4.Plan de pagos"/>
    <n v="721100"/>
    <n v="72200"/>
    <n v="0"/>
    <n v="0"/>
    <n v="0"/>
    <n v="0"/>
    <n v="0"/>
    <n v="0"/>
    <n v="0"/>
    <n v="8000"/>
    <n v="2791"/>
    <n v="2791"/>
    <n v="2791"/>
    <n v="2791"/>
    <n v="2791"/>
    <n v="5582"/>
    <n v="0"/>
    <n v="2791"/>
    <n v="2791"/>
    <n v="5582"/>
    <n v="0"/>
    <n v="2791"/>
    <n v="2791"/>
    <n v="0"/>
    <n v="2791"/>
    <n v="2791"/>
    <n v="2791"/>
    <n v="2791"/>
    <n v="2791"/>
    <n v="2791"/>
    <n v="2791"/>
    <n v="2791"/>
    <m/>
    <m/>
    <m/>
    <m/>
    <n v="66611"/>
    <s v="al día"/>
    <m/>
    <m/>
    <n v="0.92259002770083098"/>
    <n v="-5589"/>
    <n v="-7.7409972299168975E-2"/>
    <n v="654489"/>
    <n v="0.90762584939675495"/>
    <n v="72200"/>
    <s v="Vendido"/>
    <x v="2"/>
    <n v="23"/>
    <n v="1"/>
    <n v="24"/>
    <n v="8000"/>
    <n v="2791"/>
    <n v="19"/>
    <n v="22"/>
    <n v="69402"/>
    <n v="44656"/>
    <n v="19164"/>
    <n v="2791"/>
    <n v="0"/>
    <n v="2791"/>
    <x v="2"/>
    <m/>
    <m/>
  </r>
  <r>
    <x v="54"/>
    <s v="B7"/>
    <m/>
    <m/>
    <m/>
    <m/>
    <s v="1.Disponible"/>
    <n v="1112465.60916772"/>
    <n v="111265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112465.60916772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55"/>
    <s v="B2"/>
    <m/>
    <s v="SIN DATOS"/>
    <s v="Andrea Joanna Hidalgo Mendizábal "/>
    <d v="2025-05-23T00:00:00"/>
    <s v="4.Plan de pagos"/>
    <n v="1104047.5824877301"/>
    <n v="110404.75824877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6734"/>
    <n v="16734"/>
    <n v="0"/>
    <m/>
    <m/>
    <m/>
    <m/>
    <n v="43468"/>
    <s v="al día"/>
    <s v=""/>
    <m/>
    <n v="0.39371491491385141"/>
    <n v="-66936.758248773011"/>
    <n v="-0.60628508508614865"/>
    <n v="1060579.5824877301"/>
    <n v="0.96062850850861481"/>
    <n v="110404.75824877301"/>
    <s v="Vendido"/>
    <x v="0"/>
    <n v="12"/>
    <n v="1"/>
    <n v="13"/>
    <n v="10000"/>
    <n v="8371"/>
    <n v="0"/>
    <n v="3"/>
    <n v="35113"/>
    <n v="0"/>
    <n v="43468"/>
    <n v="0"/>
    <n v="8355"/>
    <n v="0"/>
    <x v="0"/>
    <m/>
    <m/>
  </r>
  <r>
    <x v="56"/>
    <s v="B6"/>
    <m/>
    <s v="SIN DATOS"/>
    <s v="Alberto Arrecis"/>
    <d v="2025-05-11T00:00:00"/>
    <s v="2. Reserva"/>
    <n v="1056462.34833836"/>
    <n v="105646.234833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0000"/>
    <m/>
    <m/>
    <m/>
    <m/>
    <n v="10000"/>
    <s v="al día"/>
    <s v=""/>
    <m/>
    <n v="9.4655526680419239E-2"/>
    <n v="-95646.234833836003"/>
    <n v="-0.90534447331958079"/>
    <n v="1046462.34833836"/>
    <n v="0.99053444733195806"/>
    <n v="105646.234833836"/>
    <s v="Vendido"/>
    <x v="0"/>
    <m/>
    <n v="0"/>
    <n v="0"/>
    <m/>
    <m/>
    <n v="0"/>
    <n v="3"/>
    <n v="0"/>
    <n v="0"/>
    <n v="0"/>
    <n v="10000"/>
    <n v="10000"/>
    <n v="0"/>
    <x v="3"/>
    <m/>
    <m/>
  </r>
  <r>
    <x v="57"/>
    <s v="B1"/>
    <s v="Plan de pagos especiales"/>
    <s v="Antonio Rada"/>
    <s v="Maria Gabriela Chang Quan De Garcia"/>
    <d v="2024-02-13T00:00:00"/>
    <s v="4.Plan de pagos"/>
    <n v="883300"/>
    <n v="88400"/>
    <n v="0"/>
    <n v="0"/>
    <n v="0"/>
    <n v="0"/>
    <n v="0"/>
    <n v="0"/>
    <n v="0"/>
    <n v="0"/>
    <n v="0"/>
    <n v="0"/>
    <n v="0"/>
    <n v="8000"/>
    <n v="0"/>
    <n v="0"/>
    <n v="0"/>
    <n v="0"/>
    <n v="0"/>
    <n v="0"/>
    <n v="0"/>
    <n v="0"/>
    <n v="0"/>
    <n v="0"/>
    <n v="0"/>
    <n v="0"/>
    <n v="0"/>
    <n v="0"/>
    <m/>
    <n v="30000"/>
    <m/>
    <n v="0"/>
    <m/>
    <m/>
    <m/>
    <m/>
    <n v="38000"/>
    <s v="Casos Especiales"/>
    <s v=""/>
    <m/>
    <n v="0.42986425339366519"/>
    <n v="-50400"/>
    <n v="-0.57013574660633481"/>
    <n v="845300"/>
    <n v="0.95697950866070414"/>
    <n v="88400"/>
    <s v="Vendido"/>
    <x v="5"/>
    <n v="19"/>
    <n v="1"/>
    <n v="12"/>
    <n v="8000"/>
    <n v="4200"/>
    <n v="0"/>
    <n v="18"/>
    <n v="83600"/>
    <n v="0"/>
    <n v="38000"/>
    <n v="0"/>
    <n v="0"/>
    <n v="45600"/>
    <x v="5"/>
    <m/>
    <s v="Nuevo plan de pago, cliente al día."/>
  </r>
  <r>
    <x v="58"/>
    <s v="D7"/>
    <m/>
    <s v="Antonio Rada"/>
    <s v="Rafael Leonidas Tabic Borja"/>
    <d v="2024-08-08T00:00:00"/>
    <s v="4.Plan de pagos"/>
    <n v="1341690"/>
    <n v="13419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800"/>
    <n v="8000"/>
    <n v="8200"/>
    <n v="16000"/>
    <n v="0"/>
    <n v="8000"/>
    <n v="8000"/>
    <n v="8000"/>
    <n v="8000"/>
    <n v="8000"/>
    <n v="8000"/>
    <n v="8000"/>
    <m/>
    <m/>
    <m/>
    <m/>
    <n v="106000"/>
    <s v="al día"/>
    <s v=""/>
    <m/>
    <n v="0.78992473358670545"/>
    <n v="-28190"/>
    <n v="-0.21007526641329458"/>
    <n v="1235690"/>
    <n v="0.92099516281704419"/>
    <n v="134190"/>
    <s v="Vendido"/>
    <x v="0"/>
    <n v="16"/>
    <n v="1"/>
    <n v="17"/>
    <n v="10000"/>
    <n v="8000"/>
    <n v="10"/>
    <n v="12"/>
    <n v="106000"/>
    <n v="63800"/>
    <n v="34200"/>
    <n v="8000"/>
    <n v="0"/>
    <n v="0"/>
    <x v="0"/>
    <m/>
    <m/>
  </r>
  <r>
    <x v="59"/>
    <s v="A9"/>
    <m/>
    <s v="Anahí Cisneros"/>
    <s v="Josué Ernesto Herrera Aguilar"/>
    <d v="2025-07-11T00:00:00"/>
    <s v="2. Reserva"/>
    <n v="1194844.3400000001"/>
    <n v="11954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5000"/>
    <n v="9498.58"/>
    <m/>
    <m/>
    <m/>
    <m/>
    <n v="24498.58"/>
    <s v="6 meses sin pago"/>
    <m/>
    <m/>
    <n v="0.20493284379707197"/>
    <n v="-95045.849999999991"/>
    <n v="-0.795067156202928"/>
    <n v="1170345.76"/>
    <n v="0.97949642545069926"/>
    <n v="119544.43"/>
    <s v="Vendido"/>
    <x v="2"/>
    <n v="11"/>
    <n v="1"/>
    <n v="12"/>
    <n v="15000"/>
    <n v="9504.0400000000009"/>
    <n v="1"/>
    <n v="1"/>
    <n v="24504.04"/>
    <n v="0"/>
    <n v="15000"/>
    <n v="9498.5800000000017"/>
    <n v="0"/>
    <n v="5.4599999999991269"/>
    <x v="2"/>
    <m/>
    <m/>
  </r>
  <r>
    <x v="60"/>
    <s v="C9"/>
    <m/>
    <m/>
    <m/>
    <m/>
    <s v="1.Disponible"/>
    <n v="1414228.48223781"/>
    <n v="141422.84822378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4228.48223781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1"/>
    <s v="C8"/>
    <m/>
    <m/>
    <m/>
    <m/>
    <s v="1.Disponible"/>
    <n v="1414462.31631225"/>
    <n v="141446.23163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4462.3163122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62"/>
    <s v="B4"/>
    <m/>
    <s v="Sofia Paredes"/>
    <s v="Cindy Carolina Toscano Merida"/>
    <d v="2025-01-31T00:00:00"/>
    <s v="4.Plan de pagos"/>
    <n v="1063054.43589791"/>
    <n v="10635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022"/>
    <n v="6022"/>
    <n v="6022"/>
    <n v="6022"/>
    <n v="6022"/>
    <n v="6022"/>
    <n v="6022"/>
    <m/>
    <m/>
    <m/>
    <m/>
    <n v="52154"/>
    <s v="al día"/>
    <s v=""/>
    <m/>
    <n v="0.49037919718059703"/>
    <n v="-54200.429999999993"/>
    <n v="-0.50962080281940303"/>
    <n v="1010900.43589791"/>
    <n v="0.95093948321099087"/>
    <n v="106354.43"/>
    <s v="Vendido"/>
    <x v="0"/>
    <n v="16"/>
    <n v="1"/>
    <n v="17"/>
    <n v="10000"/>
    <n v="6022"/>
    <n v="7"/>
    <n v="7"/>
    <n v="52154"/>
    <n v="36132"/>
    <n v="10000"/>
    <n v="6022"/>
    <n v="0"/>
    <n v="0"/>
    <x v="0"/>
    <m/>
    <m/>
  </r>
  <r>
    <x v="63"/>
    <s v="B3"/>
    <m/>
    <s v="Antonio Rada"/>
    <s v="Carolina Rivas Le Sage De Alonzo"/>
    <d v="2024-05-27T00:00:00"/>
    <s v="4.Plan de pagos"/>
    <n v="887400"/>
    <n v="88800"/>
    <n v="0"/>
    <n v="0"/>
    <n v="0"/>
    <n v="0"/>
    <n v="0"/>
    <n v="0"/>
    <n v="0"/>
    <n v="0"/>
    <n v="0"/>
    <n v="0"/>
    <n v="0"/>
    <n v="0"/>
    <n v="0"/>
    <n v="0"/>
    <n v="10000"/>
    <n v="4147"/>
    <n v="4147"/>
    <n v="4147"/>
    <n v="4147"/>
    <n v="4147"/>
    <n v="4147"/>
    <n v="4147"/>
    <n v="4147"/>
    <n v="4147"/>
    <n v="4147"/>
    <n v="4147"/>
    <n v="4147"/>
    <n v="4147"/>
    <n v="4147"/>
    <n v="4147"/>
    <m/>
    <m/>
    <m/>
    <m/>
    <n v="72205"/>
    <s v="al día"/>
    <s v=""/>
    <m/>
    <n v="0.81311936936936935"/>
    <n v="-16595"/>
    <n v="-0.18688063063063062"/>
    <n v="815195"/>
    <n v="0.91863308541807531"/>
    <n v="88800"/>
    <s v="Vendido"/>
    <x v="0"/>
    <n v="19"/>
    <n v="1"/>
    <n v="20"/>
    <n v="10000"/>
    <n v="4147"/>
    <n v="15"/>
    <n v="15"/>
    <n v="72205"/>
    <n v="58058"/>
    <n v="10000"/>
    <n v="4147"/>
    <n v="0"/>
    <n v="0"/>
    <x v="0"/>
    <m/>
    <m/>
  </r>
  <r>
    <x v="64"/>
    <s v="E1"/>
    <m/>
    <s v="Anahí Cisneros"/>
    <s v="Kevin Mario Andrés Leal Morales / Flor de María Herrera Reyes de Gil"/>
    <d v="2025-06-10T00:00:00"/>
    <s v="2. Reserva"/>
    <n v="1543626.9723517401"/>
    <n v="23152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00"/>
    <n v="18044"/>
    <n v="18044"/>
    <m/>
    <m/>
    <m/>
    <m/>
    <n v="51088"/>
    <s v="al día"/>
    <s v=""/>
    <m/>
    <n v="0.22065679864423571"/>
    <n v="-180438.97"/>
    <n v="-0.77934320135576429"/>
    <n v="1492538.9723517401"/>
    <n v="0.96690392114477852"/>
    <n v="231526.97"/>
    <s v="Vendido"/>
    <x v="0"/>
    <n v="12"/>
    <n v="1"/>
    <n v="13"/>
    <n v="15000"/>
    <n v="18044"/>
    <n v="0"/>
    <n v="2"/>
    <n v="51088"/>
    <n v="33044"/>
    <n v="0"/>
    <n v="18044"/>
    <n v="0"/>
    <n v="0"/>
    <x v="0"/>
    <m/>
    <m/>
  </r>
  <r>
    <x v="65"/>
    <s v="A4"/>
    <m/>
    <s v="Sofia Paredes"/>
    <s v="Carlos Humberto Rivera Carrillo "/>
    <d v="2025-02-07T00:00:00"/>
    <s v="4.Plan de pagos"/>
    <n v="798331.19"/>
    <n v="79931.17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1539.72"/>
    <n v="5000"/>
    <m/>
    <n v="10000"/>
    <n v="0"/>
    <m/>
    <m/>
    <m/>
    <m/>
    <n v="36539.72"/>
    <s v="al día"/>
    <s v=""/>
    <m/>
    <n v="0.45713975447378613"/>
    <n v="-43391.459999999992"/>
    <n v="-0.54286024552621392"/>
    <n v="761791.47"/>
    <n v="0.95422987294283224"/>
    <n v="79931.179999999993"/>
    <s v="Vendido"/>
    <x v="0"/>
    <n v="16"/>
    <n v="1"/>
    <n v="17"/>
    <n v="10000"/>
    <n v="4371"/>
    <n v="1"/>
    <n v="6"/>
    <n v="36226"/>
    <n v="0"/>
    <n v="36539.72"/>
    <n v="0"/>
    <n v="313.72000000000116"/>
    <n v="0"/>
    <x v="0"/>
    <m/>
    <m/>
  </r>
  <r>
    <x v="66"/>
    <s v="A8"/>
    <m/>
    <s v="Antonio Rada"/>
    <s v="Miguel Angel Flores Linares"/>
    <d v="2023-11-19T00:00:00"/>
    <s v="4.Plan de pagos"/>
    <n v="721087.5"/>
    <n v="72187.5"/>
    <n v="0"/>
    <n v="0"/>
    <n v="0"/>
    <n v="0"/>
    <n v="0"/>
    <n v="0"/>
    <n v="0"/>
    <n v="0"/>
    <n v="5500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n v="3031"/>
    <m/>
    <m/>
    <m/>
    <m/>
    <n v="69151"/>
    <s v="al día"/>
    <s v=""/>
    <m/>
    <n v="0.95793593073593075"/>
    <n v="-3036.5"/>
    <n v="-4.2064069264069262E-2"/>
    <n v="651936.5"/>
    <n v="0.9041017906980775"/>
    <n v="72187.5"/>
    <s v="Vendido"/>
    <x v="0"/>
    <n v="22"/>
    <n v="1"/>
    <n v="23"/>
    <n v="5500"/>
    <n v="3031"/>
    <n v="21"/>
    <n v="21"/>
    <n v="69151"/>
    <n v="60620"/>
    <n v="5500"/>
    <n v="3031"/>
    <n v="0"/>
    <n v="0"/>
    <x v="0"/>
    <m/>
    <m/>
  </r>
  <r>
    <x v="67"/>
    <s v="A1"/>
    <m/>
    <s v="Antonio Rada"/>
    <s v="Antonio Vicente Tzep Tahay "/>
    <d v="2025-05-08T00:00:00"/>
    <s v="4.Plan de pagos"/>
    <n v="750472.5"/>
    <n v="7507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5423"/>
    <m/>
    <n v="0"/>
    <m/>
    <m/>
    <m/>
    <m/>
    <n v="15423"/>
    <s v="6 meses sin pago"/>
    <s v="no se recibió pago julio, agosto"/>
    <n v="10846"/>
    <n v="0.20544140664024776"/>
    <n v="-59649.5"/>
    <n v="-0.79455859335975221"/>
    <n v="735049.5"/>
    <n v="0.97944894716328712"/>
    <n v="75072.5"/>
    <s v="Vendido"/>
    <x v="2"/>
    <n v="12"/>
    <n v="1"/>
    <n v="13"/>
    <n v="10000"/>
    <n v="5423"/>
    <n v="1"/>
    <n v="3"/>
    <n v="26269"/>
    <n v="5423"/>
    <n v="10000"/>
    <n v="0"/>
    <n v="0"/>
    <n v="10846"/>
    <x v="4"/>
    <m/>
    <m/>
  </r>
  <r>
    <x v="68"/>
    <s v="C4"/>
    <m/>
    <s v="Antonio Rada"/>
    <s v="Andrea Elizabeth Ortiz Perez"/>
    <d v="2023-11-01T00:00:00"/>
    <s v="4.Plan de pagos"/>
    <n v="965900"/>
    <n v="96600"/>
    <n v="0"/>
    <n v="0"/>
    <n v="0"/>
    <n v="0"/>
    <n v="0"/>
    <n v="0"/>
    <n v="0"/>
    <n v="0"/>
    <n v="8000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n v="4027"/>
    <m/>
    <m/>
    <m/>
    <m/>
    <n v="92567"/>
    <s v="al día"/>
    <s v=""/>
    <m/>
    <n v="0.95825051759834368"/>
    <n v="-4033"/>
    <n v="-4.1749482401656317E-2"/>
    <n v="873333"/>
    <n v="0.90416502743555238"/>
    <n v="96600"/>
    <s v="Vendido"/>
    <x v="0"/>
    <n v="21"/>
    <n v="1"/>
    <n v="22"/>
    <n v="8000"/>
    <n v="4027"/>
    <n v="21"/>
    <n v="21"/>
    <n v="92567"/>
    <n v="80540"/>
    <n v="8000"/>
    <n v="4027"/>
    <n v="0"/>
    <n v="0"/>
    <x v="0"/>
    <m/>
    <m/>
  </r>
  <r>
    <x v="69"/>
    <s v="C1"/>
    <m/>
    <s v="Antonio Rada"/>
    <s v="Rodriga Virginia Figueroa Perez"/>
    <d v="2024-07-17T00:00:00"/>
    <s v="4.Plan de pagos"/>
    <n v="1166800"/>
    <n v="116700"/>
    <n v="0"/>
    <n v="0"/>
    <n v="0"/>
    <n v="0"/>
    <n v="0"/>
    <n v="0"/>
    <n v="0"/>
    <n v="0"/>
    <n v="0"/>
    <n v="0"/>
    <n v="0"/>
    <n v="0"/>
    <n v="0"/>
    <n v="0"/>
    <n v="0"/>
    <n v="0"/>
    <n v="10000"/>
    <n v="6276"/>
    <n v="6276"/>
    <n v="6276"/>
    <n v="6276"/>
    <n v="6276"/>
    <n v="6276"/>
    <n v="6276"/>
    <n v="6276"/>
    <n v="6276"/>
    <n v="6276"/>
    <n v="6276"/>
    <n v="6276"/>
    <n v="6276"/>
    <m/>
    <m/>
    <m/>
    <m/>
    <n v="91588"/>
    <s v="al día"/>
    <s v=""/>
    <m/>
    <n v="0.78481576692373611"/>
    <n v="-25112"/>
    <n v="-0.21518423307626391"/>
    <n v="1075212"/>
    <n v="0.92150497086047312"/>
    <n v="116700"/>
    <s v="Vendido"/>
    <x v="0"/>
    <n v="17"/>
    <n v="1"/>
    <n v="18"/>
    <n v="10000"/>
    <n v="6276"/>
    <n v="13"/>
    <n v="13"/>
    <n v="91588"/>
    <n v="75312"/>
    <n v="10000"/>
    <n v="6276"/>
    <n v="0"/>
    <n v="0"/>
    <x v="0"/>
    <m/>
    <m/>
  </r>
  <r>
    <x v="70"/>
    <s v="E9"/>
    <m/>
    <s v="Sofia Paredes"/>
    <s v="Erick Guillermo Ruano Garcia"/>
    <d v="2025-01-24T00:00:00"/>
    <s v="4.Plan de pagos"/>
    <n v="1502549.44216114"/>
    <n v="150349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772"/>
    <n v="8772"/>
    <n v="8772"/>
    <n v="8772"/>
    <n v="8772"/>
    <n v="8772"/>
    <n v="8772"/>
    <m/>
    <m/>
    <m/>
    <m/>
    <n v="71404"/>
    <s v="al día"/>
    <s v=""/>
    <m/>
    <n v="0.47492029235359973"/>
    <n v="-78945.440000000002"/>
    <n v="-0.52507970764640033"/>
    <n v="1431145.44216114"/>
    <n v="0.95247810288538759"/>
    <n v="150349.44"/>
    <s v="Vendido"/>
    <x v="0"/>
    <n v="16"/>
    <n v="1"/>
    <n v="17"/>
    <n v="10000"/>
    <n v="8772"/>
    <n v="7"/>
    <n v="7"/>
    <n v="71404"/>
    <n v="52632"/>
    <n v="10000"/>
    <n v="8772"/>
    <n v="0"/>
    <n v="0"/>
    <x v="0"/>
    <m/>
    <m/>
  </r>
  <r>
    <x v="71"/>
    <s v="E10"/>
    <m/>
    <s v="Laura Molina"/>
    <s v="Rudy Baldemar Villeda Vanegas / Marcia Corina Hernández Ruiz de Villeda"/>
    <d v="2025-06-24T00:00:00"/>
    <s v="2. Reserva"/>
    <n v="1590362.1"/>
    <n v="238562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00"/>
    <n v="18630"/>
    <n v="18630"/>
    <m/>
    <m/>
    <m/>
    <m/>
    <n v="52260"/>
    <s v="al día"/>
    <s v=""/>
    <m/>
    <n v="0.21906245795120013"/>
    <n v="-186302.1"/>
    <n v="-0.78093754204879984"/>
    <n v="1538102.1"/>
    <n v="0.96713955897213599"/>
    <n v="238562.1"/>
    <s v="Vendido"/>
    <x v="0"/>
    <n v="12"/>
    <n v="1"/>
    <n v="13"/>
    <n v="15000"/>
    <n v="18630"/>
    <n v="0"/>
    <n v="2"/>
    <n v="52260"/>
    <n v="33630"/>
    <n v="0"/>
    <n v="18630"/>
    <n v="0"/>
    <n v="0"/>
    <x v="0"/>
    <m/>
    <m/>
  </r>
  <r>
    <x v="72"/>
    <s v="B4"/>
    <m/>
    <s v="Antonio Rada"/>
    <s v="David Eduardo Orellana Rivera"/>
    <d v="2025-05-21T00:00:00"/>
    <s v="4.Plan de pagos"/>
    <n v="1047132"/>
    <n v="104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894"/>
    <n v="7894"/>
    <n v="7894"/>
    <m/>
    <m/>
    <m/>
    <m/>
    <n v="33682"/>
    <s v="al día"/>
    <s v=""/>
    <m/>
    <n v="0.32160180269640609"/>
    <n v="-71050"/>
    <n v="-0.67839819730359396"/>
    <n v="1013450"/>
    <n v="0.96783404575545395"/>
    <n v="104732"/>
    <s v="Vendido"/>
    <x v="0"/>
    <n v="12"/>
    <n v="1"/>
    <n v="13"/>
    <n v="10000"/>
    <n v="7894"/>
    <n v="3"/>
    <n v="3"/>
    <n v="33682"/>
    <n v="15788"/>
    <n v="10000"/>
    <n v="7894"/>
    <n v="0"/>
    <n v="0"/>
    <x v="0"/>
    <m/>
    <m/>
  </r>
  <r>
    <x v="73"/>
    <s v="B3"/>
    <m/>
    <s v="Antonio Rada"/>
    <s v="Jaquelyn Andrea España Siliezar"/>
    <d v="2025-05-11T00:00:00"/>
    <s v="4.Plan de pagos"/>
    <n v="1047132"/>
    <n v="104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894"/>
    <n v="7894"/>
    <n v="7894"/>
    <m/>
    <m/>
    <m/>
    <m/>
    <n v="33682"/>
    <s v="al día"/>
    <s v=""/>
    <m/>
    <n v="0.32160180269640609"/>
    <n v="-71050"/>
    <n v="-0.67839819730359396"/>
    <n v="1013450"/>
    <n v="0.96783404575545395"/>
    <n v="104732"/>
    <s v="Vendido"/>
    <x v="0"/>
    <n v="12"/>
    <n v="1"/>
    <n v="13"/>
    <n v="10000"/>
    <n v="7894"/>
    <n v="3"/>
    <n v="3"/>
    <n v="33682"/>
    <n v="15788"/>
    <n v="10000"/>
    <n v="7894"/>
    <n v="0"/>
    <n v="0"/>
    <x v="0"/>
    <m/>
    <m/>
  </r>
  <r>
    <x v="74"/>
    <s v="D9"/>
    <m/>
    <s v="Antonio Rada"/>
    <s v="Nancy Eugenia Cisneros Sanchez De Davila"/>
    <d v="2024-07-30T00:00:00"/>
    <s v="4.Plan de pagos"/>
    <n v="1399667"/>
    <n v="139967"/>
    <n v="0"/>
    <n v="0"/>
    <n v="0"/>
    <n v="0"/>
    <n v="0"/>
    <n v="0"/>
    <n v="0"/>
    <n v="0"/>
    <n v="0"/>
    <n v="0"/>
    <n v="0"/>
    <n v="0"/>
    <n v="0"/>
    <n v="0"/>
    <n v="0"/>
    <n v="0"/>
    <n v="10000"/>
    <n v="7645"/>
    <n v="7645"/>
    <n v="7645"/>
    <n v="7645"/>
    <n v="7645"/>
    <n v="7645"/>
    <n v="7645"/>
    <n v="7645"/>
    <n v="7645"/>
    <n v="7645"/>
    <n v="7645"/>
    <n v="7645"/>
    <n v="0"/>
    <m/>
    <m/>
    <m/>
    <m/>
    <n v="101740"/>
    <s v="1 meses sin pago"/>
    <s v="no se recibió pago agosto"/>
    <n v="7645"/>
    <n v="0.72688562303971649"/>
    <n v="-38227"/>
    <n v="-0.27311437696028351"/>
    <n v="1297927"/>
    <n v="0.92731128189776568"/>
    <n v="139967"/>
    <s v="Vendido"/>
    <x v="2"/>
    <n v="17"/>
    <n v="1"/>
    <n v="18"/>
    <n v="10000"/>
    <n v="7645"/>
    <n v="12"/>
    <n v="13"/>
    <n v="109385"/>
    <n v="91740"/>
    <n v="10000"/>
    <n v="0"/>
    <n v="0"/>
    <n v="7645"/>
    <x v="2"/>
    <m/>
    <m/>
  </r>
  <r>
    <x v="75"/>
    <s v="D8"/>
    <m/>
    <s v="Antonio Rada"/>
    <s v="Carlos Eduardo Miranda Y Nancy Patricia Medina"/>
    <d v="2024-10-15T00:00:00"/>
    <s v="4.Plan de pagos"/>
    <n v="1379595"/>
    <n v="138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9140"/>
    <n v="9140"/>
    <n v="0"/>
    <n v="18280"/>
    <n v="9140"/>
    <n v="9140"/>
    <n v="9140"/>
    <m/>
    <n v="18280"/>
    <n v="9140"/>
    <m/>
    <m/>
    <m/>
    <m/>
    <n v="101400"/>
    <s v="2 meses sin pago"/>
    <m/>
    <m/>
    <n v="0.73162812511273856"/>
    <n v="-37195"/>
    <n v="-0.26837187488726144"/>
    <n v="1278195"/>
    <n v="0.9265001685277201"/>
    <n v="138595"/>
    <s v="Vendido"/>
    <x v="2"/>
    <n v="14"/>
    <n v="1"/>
    <n v="15"/>
    <n v="10000"/>
    <n v="9185"/>
    <n v="6"/>
    <n v="10"/>
    <n v="101850"/>
    <n v="45700"/>
    <n v="46560"/>
    <n v="9140"/>
    <n v="0"/>
    <n v="450"/>
    <x v="2"/>
    <m/>
    <m/>
  </r>
  <r>
    <x v="76"/>
    <s v="A12"/>
    <m/>
    <s v="Antonio Rada"/>
    <s v="Osmin Otoniel Oliva Córdova"/>
    <d v="2023-08-17T00:00:00"/>
    <s v="4.Plan de pagos"/>
    <n v="722900"/>
    <n v="72300"/>
    <n v="0"/>
    <n v="0"/>
    <n v="0"/>
    <n v="0"/>
    <n v="0"/>
    <n v="6000"/>
    <n v="2652"/>
    <n v="2652"/>
    <n v="2652"/>
    <n v="10252"/>
    <n v="0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n v="2652"/>
    <m/>
    <m/>
    <m/>
    <m/>
    <n v="74596"/>
    <s v="al día"/>
    <s v=""/>
    <m/>
    <n v="1.0317565698478561"/>
    <n v="2296"/>
    <n v="3.1756569847856152E-2"/>
    <n v="648304"/>
    <n v="0.89681007054917694"/>
    <n v="72300"/>
    <s v="Vendido"/>
    <x v="4"/>
    <n v="25"/>
    <n v="1"/>
    <n v="26"/>
    <n v="6000"/>
    <n v="2652"/>
    <n v="22"/>
    <n v="24"/>
    <n v="69648"/>
    <n v="55692"/>
    <n v="16252"/>
    <n v="2652"/>
    <n v="4948"/>
    <n v="0"/>
    <x v="0"/>
    <m/>
    <m/>
  </r>
  <r>
    <x v="77"/>
    <s v="C6"/>
    <m/>
    <s v="Antonio Rada"/>
    <s v="Evelyn Aida Samayoa San Jose"/>
    <d v="2024-04-12T00:00:00"/>
    <s v="4.Plan de pagos"/>
    <n v="1183693"/>
    <n v="118393"/>
    <n v="0"/>
    <n v="0"/>
    <n v="0"/>
    <n v="0"/>
    <n v="0"/>
    <n v="0"/>
    <n v="0"/>
    <n v="0"/>
    <n v="0"/>
    <n v="0"/>
    <n v="0"/>
    <n v="0"/>
    <n v="0"/>
    <n v="8000"/>
    <n v="6500"/>
    <n v="6500"/>
    <n v="6500"/>
    <n v="6500"/>
    <n v="13000"/>
    <n v="0"/>
    <n v="6500"/>
    <n v="13000"/>
    <n v="0"/>
    <n v="6500"/>
    <n v="6500"/>
    <n v="6500"/>
    <n v="6500"/>
    <n v="6500"/>
    <m/>
    <n v="6500"/>
    <m/>
    <m/>
    <m/>
    <m/>
    <n v="105500"/>
    <s v="2 meses sin pago"/>
    <s v="no se recibió pago julio"/>
    <n v="6494"/>
    <n v="0.89109998057317574"/>
    <n v="-12893"/>
    <n v="-0.10890001942682422"/>
    <n v="1078193"/>
    <n v="0.910872160264528"/>
    <n v="118393"/>
    <s v="Vendido"/>
    <x v="2"/>
    <n v="17"/>
    <n v="1"/>
    <n v="18"/>
    <n v="8000"/>
    <n v="6494"/>
    <n v="11"/>
    <n v="16"/>
    <n v="111904"/>
    <n v="0"/>
    <n v="105500"/>
    <n v="0"/>
    <n v="0"/>
    <n v="6404"/>
    <x v="2"/>
    <m/>
    <m/>
  </r>
  <r>
    <x v="78"/>
    <s v="C5"/>
    <m/>
    <s v="Antonio Rada"/>
    <s v="Anabella Alburez Aja"/>
    <d v="2024-06-30T00:00:00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0"/>
    <n v="10000"/>
    <n v="0"/>
    <n v="6009"/>
    <n v="6009"/>
    <n v="0"/>
    <n v="6009"/>
    <n v="12018"/>
    <n v="12018"/>
    <n v="0"/>
    <n v="6009"/>
    <n v="6009"/>
    <m/>
    <n v="6009"/>
    <n v="18027"/>
    <n v="6009"/>
    <m/>
    <m/>
    <m/>
    <m/>
    <n v="94126"/>
    <s v="al día"/>
    <s v=""/>
    <m/>
    <n v="0.79658772104281006"/>
    <n v="-24035.5"/>
    <n v="-0.20341227895718994"/>
    <n v="1087435.5"/>
    <n v="0.92033762102099637"/>
    <n v="118161.5"/>
    <s v="Vendido"/>
    <x v="0"/>
    <n v="18"/>
    <n v="1"/>
    <n v="19"/>
    <n v="10000"/>
    <n v="6009"/>
    <n v="7"/>
    <n v="14"/>
    <n v="94126"/>
    <n v="36054"/>
    <n v="52063"/>
    <n v="6009"/>
    <n v="0"/>
    <n v="0"/>
    <x v="0"/>
    <m/>
    <s v="Revisado y cobrado,"/>
  </r>
  <r>
    <x v="79"/>
    <s v="C6"/>
    <m/>
    <s v="Antonio Rada"/>
    <s v="Francis Ayleen Funes Castellanos"/>
    <d v="2024-03-01T00:00:00"/>
    <s v="4.Plan de pagos"/>
    <n v="1183693"/>
    <n v="118393"/>
    <n v="0"/>
    <n v="0"/>
    <n v="0"/>
    <n v="0"/>
    <n v="0"/>
    <n v="0"/>
    <n v="0"/>
    <n v="0"/>
    <n v="0"/>
    <n v="0"/>
    <n v="0"/>
    <n v="0"/>
    <n v="8000"/>
    <n v="6133"/>
    <n v="6133"/>
    <n v="6133"/>
    <n v="6133"/>
    <n v="6133"/>
    <n v="6133"/>
    <n v="6133"/>
    <n v="6133.33"/>
    <n v="6133.33"/>
    <n v="6133.33"/>
    <n v="6133.33"/>
    <n v="6133.33"/>
    <n v="6133.33"/>
    <n v="6133.33"/>
    <n v="6133.33"/>
    <n v="6000"/>
    <n v="4395.3599999999997"/>
    <m/>
    <m/>
    <m/>
    <m/>
    <n v="110393.00000000001"/>
    <s v="al día"/>
    <m/>
    <m/>
    <n v="0.9324284374920816"/>
    <n v="-7999.9999999999854"/>
    <n v="-6.7571562507918417E-2"/>
    <n v="1073300"/>
    <n v="0.90673848709082505"/>
    <n v="118393"/>
    <s v="Vendido"/>
    <x v="2"/>
    <n v="18"/>
    <n v="1"/>
    <n v="19"/>
    <n v="8000"/>
    <n v="6133"/>
    <n v="17"/>
    <n v="17"/>
    <n v="112261"/>
    <n v="48931"/>
    <n v="57066.640000000007"/>
    <n v="4395.3600000000079"/>
    <n v="0"/>
    <n v="1867.9999999999854"/>
    <x v="2"/>
    <m/>
    <m/>
  </r>
  <r>
    <x v="80"/>
    <s v="C5"/>
    <m/>
    <s v="Antonio Rada"/>
    <s v="Hugo Leonel Roca Morales"/>
    <d v="2024-06-27T00:00:00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0"/>
    <n v="5000"/>
    <n v="15000"/>
    <n v="6009"/>
    <n v="16009"/>
    <n v="6009"/>
    <n v="10000"/>
    <n v="0"/>
    <n v="25000"/>
    <n v="7500"/>
    <n v="10000"/>
    <n v="0"/>
    <n v="10000"/>
    <m/>
    <n v="7500"/>
    <n v="10000"/>
    <m/>
    <m/>
    <m/>
    <m/>
    <n v="128027"/>
    <s v="2 meses sin pago"/>
    <s v=""/>
    <m/>
    <n v="1.083491661835708"/>
    <n v="9865.5"/>
    <n v="8.3491661835707914E-2"/>
    <n v="1053534.5"/>
    <n v="0.8916459278674872"/>
    <n v="118161.5"/>
    <s v="Vendido"/>
    <x v="4"/>
    <n v="18"/>
    <n v="1"/>
    <n v="19"/>
    <n v="10000"/>
    <n v="6009"/>
    <n v="5"/>
    <n v="14"/>
    <n v="94126"/>
    <n v="17018"/>
    <n v="111009"/>
    <n v="0"/>
    <n v="33901"/>
    <n v="0"/>
    <x v="0"/>
    <m/>
    <m/>
  </r>
  <r>
    <x v="81"/>
    <s v="A8"/>
    <m/>
    <s v="Antonio Rada"/>
    <s v="Oscar Antonio Gonzalez Hurtarte"/>
    <d v="2023-07-18T00:00:00"/>
    <s v="4.Plan de pagos"/>
    <n v="703500"/>
    <n v="70400"/>
    <n v="0"/>
    <n v="0"/>
    <n v="0"/>
    <n v="0"/>
    <n v="6000"/>
    <n v="2477"/>
    <n v="2477"/>
    <n v="2477"/>
    <n v="2477"/>
    <n v="0"/>
    <n v="4954"/>
    <n v="2477"/>
    <n v="2477"/>
    <n v="2477"/>
    <n v="2477"/>
    <n v="2477"/>
    <n v="2477"/>
    <n v="2477"/>
    <n v="0"/>
    <n v="2477"/>
    <n v="2477"/>
    <n v="0"/>
    <n v="0"/>
    <n v="9908"/>
    <n v="0"/>
    <n v="4954"/>
    <n v="2477"/>
    <m/>
    <n v="4954"/>
    <n v="0"/>
    <m/>
    <m/>
    <m/>
    <m/>
    <n v="65448"/>
    <s v="4 meses sin pago"/>
    <s v="no se recibió pago marzo, junio, agosto"/>
    <n v="7431"/>
    <n v="0.92965909090909093"/>
    <n v="-4952"/>
    <n v="-7.0340909090909093E-2"/>
    <n v="638052"/>
    <n v="0.90696801705756924"/>
    <n v="70400"/>
    <s v="Vendido"/>
    <x v="2"/>
    <n v="26"/>
    <n v="1"/>
    <n v="27"/>
    <n v="6000"/>
    <n v="2477"/>
    <n v="17"/>
    <n v="25"/>
    <n v="67925"/>
    <n v="34678"/>
    <n v="30770"/>
    <n v="0"/>
    <n v="0"/>
    <n v="2477"/>
    <x v="2"/>
    <m/>
    <m/>
  </r>
  <r>
    <x v="82"/>
    <s v="A2"/>
    <m/>
    <s v="Antonio Rada"/>
    <s v="Maria Fernanda Cabrera Valdez"/>
    <d v="2023-07-16T00:00:00"/>
    <s v="4.Plan de pagos"/>
    <n v="687500"/>
    <n v="68800"/>
    <n v="0"/>
    <n v="0"/>
    <n v="0"/>
    <n v="0"/>
    <n v="6000"/>
    <n v="0"/>
    <n v="7245"/>
    <n v="2415"/>
    <n v="0"/>
    <n v="0"/>
    <n v="4830"/>
    <n v="2415"/>
    <n v="0"/>
    <n v="7245"/>
    <n v="2415"/>
    <n v="0"/>
    <n v="4830"/>
    <n v="0"/>
    <n v="4830"/>
    <n v="2415"/>
    <n v="2415"/>
    <n v="2415"/>
    <n v="2415"/>
    <n v="2415"/>
    <n v="0"/>
    <n v="2415"/>
    <n v="2415"/>
    <n v="4830"/>
    <m/>
    <n v="0"/>
    <m/>
    <m/>
    <m/>
    <m/>
    <n v="63960"/>
    <s v="3 meses sin pago"/>
    <s v="no se recibió pago marzo, junio, julio"/>
    <n v="7245"/>
    <n v="0.9296511627906977"/>
    <n v="-4840"/>
    <n v="-7.0348837209302323E-2"/>
    <n v="623540"/>
    <n v="0.90696727272727273"/>
    <n v="68800"/>
    <s v="Vendido"/>
    <x v="2"/>
    <n v="26"/>
    <n v="1"/>
    <n v="27"/>
    <n v="6000"/>
    <n v="2415"/>
    <n v="14"/>
    <n v="25"/>
    <n v="66375"/>
    <n v="24150"/>
    <n v="39810"/>
    <n v="0"/>
    <n v="0"/>
    <n v="2415"/>
    <x v="2"/>
    <m/>
    <m/>
  </r>
  <r>
    <x v="83"/>
    <s v="E5"/>
    <m/>
    <s v="Antonio Rada"/>
    <s v="Danya Maribel Callejas Hernandez De Herrera"/>
    <d v="2025-03-25T00:00:00"/>
    <s v="4.Plan de pagos"/>
    <n v="1535078.4052580199"/>
    <n v="153578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256"/>
    <n v="10256"/>
    <n v="10256"/>
    <n v="10256"/>
    <n v="10256"/>
    <m/>
    <m/>
    <m/>
    <m/>
    <n v="61280"/>
    <s v="al día"/>
    <s v=""/>
    <m/>
    <n v="0.39901441875846999"/>
    <n v="-92298.41"/>
    <n v="-0.60098558124153001"/>
    <n v="1473798.4052580199"/>
    <n v="0.96008021493227902"/>
    <n v="153578.41"/>
    <s v="Vendido"/>
    <x v="0"/>
    <n v="14"/>
    <n v="1"/>
    <n v="15"/>
    <n v="10000"/>
    <n v="10256"/>
    <n v="0"/>
    <n v="5"/>
    <n v="61280"/>
    <n v="51024"/>
    <n v="0"/>
    <n v="10256"/>
    <n v="0"/>
    <n v="0"/>
    <x v="0"/>
    <m/>
    <m/>
  </r>
  <r>
    <x v="84"/>
    <s v="A5"/>
    <m/>
    <s v="Jose Franco"/>
    <s v="Ingrid Vanessa Granados Barneond"/>
    <d v="2023-03-27T00:00:00"/>
    <s v="4.Plan de pagos"/>
    <n v="611949.49679780402"/>
    <n v="61249.5"/>
    <n v="7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n v="1570"/>
    <m/>
    <m/>
    <m/>
    <m/>
    <n v="53100"/>
    <s v="al día"/>
    <s v=""/>
    <m/>
    <n v="0.86694585261920509"/>
    <n v="-8149.5"/>
    <n v="-0.13305414738079493"/>
    <n v="558849.49679780402"/>
    <n v="0.91322813356680488"/>
    <n v="61249.5"/>
    <s v="Vendido"/>
    <x v="0"/>
    <n v="35"/>
    <n v="1"/>
    <n v="36"/>
    <n v="6000"/>
    <n v="1570"/>
    <n v="29"/>
    <n v="29"/>
    <n v="51530"/>
    <n v="43960"/>
    <n v="7570"/>
    <n v="1570"/>
    <n v="1570"/>
    <n v="0"/>
    <x v="0"/>
    <m/>
    <m/>
  </r>
  <r>
    <x v="85"/>
    <s v="B4"/>
    <m/>
    <s v="Diana Alvarez"/>
    <s v="José Javier Sarceño Alfaro Y María Rosana Rivera Gallardo"/>
    <d v="2024-09-22T00:00:00"/>
    <s v="4.Plan de pagos"/>
    <n v="1036610"/>
    <n v="103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247"/>
    <n v="6247"/>
    <n v="6247"/>
    <n v="6247"/>
    <n v="6247"/>
    <n v="6247"/>
    <n v="6247"/>
    <n v="6247"/>
    <m/>
    <n v="12521"/>
    <n v="6247"/>
    <m/>
    <m/>
    <m/>
    <m/>
    <n v="78744"/>
    <s v="al día"/>
    <s v=""/>
    <m/>
    <n v="0.75927104425802716"/>
    <n v="-24966"/>
    <n v="-0.24072895574197281"/>
    <n v="957866"/>
    <n v="0.9240370052382284"/>
    <n v="103710"/>
    <s v="Vendido"/>
    <x v="0"/>
    <n v="15"/>
    <n v="1"/>
    <n v="16"/>
    <n v="10000"/>
    <n v="6247"/>
    <n v="9"/>
    <n v="11"/>
    <n v="78717"/>
    <n v="49976"/>
    <n v="22521"/>
    <n v="6247"/>
    <n v="27"/>
    <n v="0"/>
    <x v="0"/>
    <m/>
    <m/>
  </r>
  <r>
    <x v="86"/>
    <s v="B3"/>
    <m/>
    <s v="Antonio Rada"/>
    <s v="Jorge Estuardo Díaz Durán Baldetti"/>
    <d v="2024-05-13T00:00:00"/>
    <s v="4.Plan de pagos"/>
    <n v="871162.12"/>
    <n v="87162.12"/>
    <n v="0"/>
    <n v="0"/>
    <n v="0"/>
    <n v="0"/>
    <n v="0"/>
    <n v="0"/>
    <n v="0"/>
    <n v="0"/>
    <n v="0"/>
    <n v="0"/>
    <n v="0"/>
    <n v="0"/>
    <n v="0"/>
    <n v="0"/>
    <n v="8000"/>
    <n v="4040"/>
    <n v="4166"/>
    <n v="4166"/>
    <n v="4166"/>
    <n v="4166"/>
    <n v="8332"/>
    <n v="4166"/>
    <n v="0"/>
    <n v="4166"/>
    <n v="4166"/>
    <n v="4166"/>
    <n v="4166"/>
    <n v="4166"/>
    <n v="4166"/>
    <n v="4166"/>
    <m/>
    <m/>
    <m/>
    <m/>
    <n v="70364"/>
    <s v="1 meses sin pago"/>
    <m/>
    <m/>
    <n v="0.80727728972172774"/>
    <n v="-16798.119999999995"/>
    <n v="-0.1927227102782722"/>
    <n v="800798.12"/>
    <n v="0.91922972959384419"/>
    <n v="87162.12"/>
    <s v="Vendido"/>
    <x v="2"/>
    <n v="19"/>
    <n v="1"/>
    <n v="20"/>
    <n v="8000"/>
    <n v="4166"/>
    <n v="13"/>
    <n v="15"/>
    <n v="70490"/>
    <n v="49866"/>
    <n v="16332"/>
    <n v="4166"/>
    <n v="0"/>
    <n v="126"/>
    <x v="2"/>
    <m/>
    <m/>
  </r>
  <r>
    <x v="87"/>
    <s v="E9"/>
    <m/>
    <s v="Diana Alvarez"/>
    <s v="Karla Denisse Ariana Méndez Contreras"/>
    <d v="2024-10-29T00:00:00"/>
    <s v="4.Plan de pagos"/>
    <n v="1502549.44"/>
    <n v="150549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35000"/>
    <n v="0"/>
    <n v="35000"/>
    <n v="0"/>
    <n v="0"/>
    <m/>
    <n v="8000"/>
    <n v="10764"/>
    <n v="0"/>
    <m/>
    <m/>
    <m/>
    <m/>
    <n v="98764"/>
    <s v="al día"/>
    <s v=""/>
    <m/>
    <n v="0.65602369560458007"/>
    <n v="-51785.440000000002"/>
    <n v="-0.34397630439541987"/>
    <n v="1403785.44"/>
    <n v="0.93426905140638838"/>
    <n v="150549.44"/>
    <s v="Vendido"/>
    <x v="0"/>
    <n v="19"/>
    <n v="1"/>
    <n v="20"/>
    <n v="10000"/>
    <n v="7397"/>
    <n v="1"/>
    <n v="10"/>
    <n v="83970"/>
    <n v="0"/>
    <n v="98764"/>
    <n v="0"/>
    <n v="14794"/>
    <n v="0"/>
    <x v="0"/>
    <m/>
    <m/>
  </r>
  <r>
    <x v="88"/>
    <s v="E10"/>
    <m/>
    <m/>
    <m/>
    <m/>
    <s v="1.Disponible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0000"/>
    <m/>
    <m/>
    <m/>
    <m/>
    <n v="10000"/>
    <s v="Disponible"/>
    <s v=""/>
    <m/>
    <n v="6.5393912506688551E-2"/>
    <n v="10000"/>
    <n v="6.5393912506688551E-2"/>
    <n v="1519194.3266091"/>
    <n v="0.99346060874933118"/>
    <n v="0"/>
    <s v="Apartamento Disponible"/>
    <x v="2"/>
    <m/>
    <n v="0"/>
    <n v="0"/>
    <m/>
    <m/>
    <n v="0"/>
    <n v="0"/>
    <n v="0"/>
    <n v="0"/>
    <n v="0"/>
    <n v="10000"/>
    <n v="10000"/>
    <n v="0"/>
    <x v="0"/>
    <m/>
    <m/>
  </r>
  <r>
    <x v="89"/>
    <s v="E9"/>
    <m/>
    <s v="Diana Alvarez"/>
    <s v="Cedric Amilcar Rivera Fajardo"/>
    <d v="2024-10-15T00:00:00"/>
    <s v="4.Plan de pagos"/>
    <n v="1477912.8"/>
    <n v="147912.7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50000"/>
    <n v="10000"/>
    <n v="10000"/>
    <n v="10000"/>
    <n v="10000"/>
    <n v="10000"/>
    <n v="10000"/>
    <m/>
    <n v="0"/>
    <m/>
    <m/>
    <m/>
    <m/>
    <n v="130000"/>
    <s v="al día"/>
    <s v=""/>
    <m/>
    <n v="0.87889621452639666"/>
    <n v="-17912.799999999988"/>
    <n v="-0.1211037854736033"/>
    <n v="1347912.8"/>
    <n v="0.91203811212677777"/>
    <n v="147912.79999999999"/>
    <s v="Vendido"/>
    <x v="0"/>
    <n v="14"/>
    <n v="1"/>
    <n v="15"/>
    <n v="10000"/>
    <n v="9851"/>
    <n v="0"/>
    <n v="10"/>
    <n v="108510"/>
    <n v="0"/>
    <n v="130000"/>
    <n v="0"/>
    <n v="21490"/>
    <n v="0"/>
    <x v="0"/>
    <m/>
    <m/>
  </r>
  <r>
    <x v="90"/>
    <s v="E10"/>
    <m/>
    <m/>
    <s v="Wendy Lorena Caal Garcia"/>
    <m/>
    <m/>
    <n v="1529194.3266091"/>
    <n v="152894.32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10000"/>
    <m/>
    <m/>
    <m/>
    <m/>
    <n v="10000"/>
    <s v="7 meses sin pago"/>
    <s v=""/>
    <m/>
    <n v="6.5404649080184993E-2"/>
    <n v="-142894.32999999999"/>
    <n v="-0.93459535091981505"/>
    <n v="1519194.3266091"/>
    <n v="0.99346060874933118"/>
    <n v="152894.32999999999"/>
    <s v="Vendido"/>
    <x v="0"/>
    <n v="12"/>
    <n v="1"/>
    <n v="13"/>
    <n v="10000"/>
    <n v="11908"/>
    <n v="0"/>
    <n v="0"/>
    <n v="10000"/>
    <n v="0"/>
    <n v="0"/>
    <n v="10000"/>
    <n v="0"/>
    <n v="0"/>
    <x v="0"/>
    <m/>
    <m/>
  </r>
  <r>
    <x v="91"/>
    <s v="B4"/>
    <m/>
    <s v="Antonio Rada"/>
    <s v="Mario José Márquez Rivera / Belteton Castellanos Iveth"/>
    <d v="2024-04-02T00:00:00"/>
    <s v="4.Plan de pagos"/>
    <n v="901400"/>
    <n v="90200"/>
    <n v="0"/>
    <n v="0"/>
    <n v="0"/>
    <n v="0"/>
    <n v="0"/>
    <n v="0"/>
    <n v="0"/>
    <n v="0"/>
    <n v="0"/>
    <n v="0"/>
    <n v="0"/>
    <n v="0"/>
    <n v="0"/>
    <n v="8000"/>
    <n v="4835"/>
    <n v="4835"/>
    <n v="4835"/>
    <n v="4835"/>
    <n v="4835"/>
    <n v="4835"/>
    <n v="4835"/>
    <n v="4835"/>
    <n v="4835"/>
    <n v="0"/>
    <n v="9670"/>
    <n v="4835"/>
    <n v="4835"/>
    <n v="4835"/>
    <n v="4835"/>
    <n v="2417.5"/>
    <m/>
    <m/>
    <m/>
    <m/>
    <n v="82942.5"/>
    <s v="1 meses sin pago"/>
    <m/>
    <m/>
    <n v="0.91953991130820401"/>
    <n v="-7257.5"/>
    <n v="-8.0460088691796008E-2"/>
    <n v="818457.5"/>
    <n v="0.90798480142001337"/>
    <n v="90200"/>
    <s v="Vendido"/>
    <x v="2"/>
    <n v="17"/>
    <n v="1"/>
    <n v="18"/>
    <n v="8000"/>
    <n v="4835"/>
    <n v="14"/>
    <n v="16"/>
    <n v="85360"/>
    <n v="62855"/>
    <n v="17670"/>
    <n v="2417.5"/>
    <n v="0"/>
    <n v="2417.5"/>
    <x v="2"/>
    <m/>
    <m/>
  </r>
  <r>
    <x v="92"/>
    <s v="B3"/>
    <m/>
    <s v="Antonio Rada"/>
    <s v="Juan Sebastian Gaitán Serrano"/>
    <d v="2024-04-29T00:00:00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4753"/>
    <n v="4753"/>
    <n v="4753"/>
    <n v="4753"/>
    <n v="4753"/>
    <n v="4753"/>
    <n v="4753"/>
    <n v="4753"/>
    <n v="4753"/>
    <n v="4753"/>
    <n v="4753"/>
    <n v="4753"/>
    <n v="4753"/>
    <n v="4753"/>
    <n v="4753"/>
    <n v="4753"/>
    <m/>
    <m/>
    <m/>
    <m/>
    <n v="84048"/>
    <s v="al día"/>
    <s v=""/>
    <m/>
    <n v="0.94648648648648648"/>
    <n v="-4752"/>
    <n v="-5.3513513513513515E-2"/>
    <n v="803352"/>
    <n v="0.9052873563218391"/>
    <n v="88800"/>
    <s v="Vendido"/>
    <x v="0"/>
    <n v="17"/>
    <n v="1"/>
    <n v="18"/>
    <n v="8000"/>
    <n v="4753"/>
    <n v="16"/>
    <n v="16"/>
    <n v="84048"/>
    <n v="71295"/>
    <n v="8000"/>
    <n v="4753"/>
    <n v="0"/>
    <n v="0"/>
    <x v="0"/>
    <m/>
    <m/>
  </r>
  <r>
    <x v="93"/>
    <s v="D9"/>
    <m/>
    <s v="Antonio Rada"/>
    <s v="Mirna Maria Rosas Guerra"/>
    <d v="2024-09-18T00:00:00"/>
    <s v="4.Plan de pagos"/>
    <n v="1373505"/>
    <n v="13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494"/>
    <n v="8494"/>
    <n v="8494"/>
    <n v="8494"/>
    <n v="8494"/>
    <n v="8494"/>
    <n v="8494"/>
    <n v="8494"/>
    <n v="8494"/>
    <n v="8494"/>
    <n v="8494"/>
    <m/>
    <m/>
    <m/>
    <m/>
    <n v="103434"/>
    <s v="al día"/>
    <s v=""/>
    <m/>
    <n v="0.75276736654415777"/>
    <n v="-33971"/>
    <n v="-0.2472326334558422"/>
    <n v="1270071"/>
    <n v="0.92469339390828575"/>
    <n v="137405"/>
    <s v="Vendido"/>
    <x v="0"/>
    <n v="15"/>
    <n v="1"/>
    <n v="16"/>
    <n v="10000"/>
    <n v="8494"/>
    <n v="11"/>
    <n v="11"/>
    <n v="103434"/>
    <n v="84940"/>
    <n v="10000"/>
    <n v="8494"/>
    <n v="0"/>
    <n v="0"/>
    <x v="0"/>
    <m/>
    <m/>
  </r>
  <r>
    <x v="94"/>
    <s v="D8"/>
    <m/>
    <s v="Antonio Rada"/>
    <s v="Mar Frandi Solly Gramajo Hernandez De Calderon"/>
    <d v="2024-08-29T00:00:00"/>
    <s v="4.Plan de pagos"/>
    <n v="1379595"/>
    <n v="137995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000"/>
    <n v="8000"/>
    <n v="8000"/>
    <n v="8000"/>
    <n v="8000"/>
    <n v="8000"/>
    <n v="8000"/>
    <n v="8000"/>
    <n v="8000"/>
    <n v="8000"/>
    <n v="8000"/>
    <n v="8000"/>
    <m/>
    <m/>
    <m/>
    <m/>
    <n v="106000"/>
    <s v="al día"/>
    <s v=""/>
    <m/>
    <n v="0.76814377332512052"/>
    <n v="-31995"/>
    <n v="-0.23185622667487951"/>
    <n v="1273595"/>
    <n v="0.92316585664633466"/>
    <n v="137995"/>
    <s v="Vendido"/>
    <x v="0"/>
    <n v="15"/>
    <n v="1"/>
    <n v="16"/>
    <n v="10000"/>
    <n v="8000"/>
    <n v="12"/>
    <n v="12"/>
    <n v="106000"/>
    <n v="88000"/>
    <n v="10000"/>
    <n v="8000"/>
    <n v="0"/>
    <n v="0"/>
    <x v="0"/>
    <m/>
    <m/>
  </r>
  <r>
    <x v="95"/>
    <s v="A12"/>
    <m/>
    <s v="Antonio Rada"/>
    <s v="Antony Williams Sajche Torres / Madelyn Kristina Sajche Torres"/>
    <d v="2025-04-22T00:00:00"/>
    <s v="4.Plan de pagos"/>
    <n v="771274"/>
    <n v="77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5167"/>
    <n v="5167"/>
    <n v="5176"/>
    <n v="5167"/>
    <m/>
    <m/>
    <m/>
    <m/>
    <n v="30677"/>
    <s v="al día"/>
    <s v=""/>
    <m/>
    <n v="0.39750434084017933"/>
    <n v="-46497"/>
    <n v="-0.60249565915982062"/>
    <n v="740597"/>
    <n v="0.96022554889701972"/>
    <n v="77174"/>
    <s v="Vendido"/>
    <x v="0"/>
    <n v="13"/>
    <n v="1"/>
    <n v="14"/>
    <n v="10000"/>
    <n v="5167"/>
    <n v="4"/>
    <n v="4"/>
    <n v="30668"/>
    <n v="10334"/>
    <n v="15176"/>
    <n v="5167"/>
    <n v="9"/>
    <n v="0"/>
    <x v="0"/>
    <m/>
    <m/>
  </r>
  <r>
    <x v="96"/>
    <s v="C6"/>
    <s v="Plan de pagos especiales"/>
    <s v="Antonio Rada"/>
    <s v="Alfonso Videche Rodriguez"/>
    <d v="2024-02-02T00:00:00"/>
    <s v="4.Plan de pagos"/>
    <n v="1183693"/>
    <n v="118393"/>
    <n v="0"/>
    <n v="0"/>
    <n v="0"/>
    <n v="0"/>
    <n v="0"/>
    <n v="0"/>
    <n v="0"/>
    <n v="0"/>
    <n v="0"/>
    <n v="0"/>
    <n v="0"/>
    <n v="12000"/>
    <n v="0"/>
    <n v="15000"/>
    <n v="0"/>
    <n v="0"/>
    <n v="0"/>
    <n v="19000"/>
    <n v="0"/>
    <n v="0"/>
    <n v="0"/>
    <n v="0"/>
    <n v="0"/>
    <n v="0"/>
    <n v="0"/>
    <n v="39000"/>
    <m/>
    <m/>
    <m/>
    <m/>
    <m/>
    <m/>
    <m/>
    <m/>
    <n v="85000"/>
    <s v="Casos Especiales"/>
    <s v=""/>
    <m/>
    <n v="0.71794785164663455"/>
    <n v="-33393"/>
    <n v="-0.28205214835336551"/>
    <n v="1098693"/>
    <n v="0.92819084002355345"/>
    <n v="118393"/>
    <s v="Vendido"/>
    <x v="6"/>
    <n v="6"/>
    <n v="1"/>
    <n v="7"/>
    <n v="8000"/>
    <n v="19000"/>
    <n v="0"/>
    <n v="18"/>
    <n v="84000"/>
    <n v="46000"/>
    <n v="39000"/>
    <n v="0"/>
    <n v="1000"/>
    <n v="0"/>
    <x v="0"/>
    <m/>
    <s v="*Plan de Pagos Especial*  próximo pago en julio 2025 por GTQ 19,000 y Octubre 2025 GTQ 15, 393,00 cancela enganche."/>
  </r>
  <r>
    <x v="97"/>
    <s v="C5"/>
    <m/>
    <s v="Antonio Rada"/>
    <s v="Luis Augusto Franco Lopez"/>
    <d v="2024-05-22T00:00:00"/>
    <s v="4.Plan de pagos"/>
    <n v="1181561.5"/>
    <n v="118161.5"/>
    <n v="0"/>
    <n v="0"/>
    <n v="0"/>
    <n v="0"/>
    <n v="0"/>
    <n v="0"/>
    <n v="0"/>
    <n v="0"/>
    <n v="0"/>
    <n v="0"/>
    <n v="0"/>
    <n v="0"/>
    <n v="0"/>
    <n v="0"/>
    <n v="10000"/>
    <n v="5693"/>
    <n v="5693"/>
    <n v="5693"/>
    <n v="11386"/>
    <n v="0"/>
    <n v="5693"/>
    <n v="5693"/>
    <n v="5693"/>
    <n v="5693"/>
    <n v="5693"/>
    <n v="5693"/>
    <n v="11386"/>
    <m/>
    <n v="5693"/>
    <n v="5693"/>
    <m/>
    <m/>
    <m/>
    <m/>
    <n v="95395"/>
    <s v="al día"/>
    <s v=""/>
    <m/>
    <n v="0.80732725972503738"/>
    <n v="-22766.5"/>
    <n v="-0.19267274027496264"/>
    <n v="1086166.5"/>
    <n v="0.9192636185251466"/>
    <n v="118161.5"/>
    <s v="Vendido"/>
    <x v="0"/>
    <n v="19"/>
    <n v="1"/>
    <n v="20"/>
    <n v="10000"/>
    <n v="5693"/>
    <n v="11"/>
    <n v="15"/>
    <n v="95395"/>
    <n v="56930"/>
    <n v="32772"/>
    <n v="5693"/>
    <n v="0"/>
    <n v="0"/>
    <x v="0"/>
    <m/>
    <m/>
  </r>
  <r>
    <x v="98"/>
    <s v="C6"/>
    <m/>
    <s v="Antonio Rada"/>
    <s v="Andrea Nathalia Molina Mendez De Velasqeuz"/>
    <d v="2024-02-29T00:00:00"/>
    <s v="4.Plan de pagos"/>
    <n v="1183693"/>
    <n v="118393"/>
    <n v="0"/>
    <n v="0"/>
    <n v="0"/>
    <n v="0"/>
    <n v="0"/>
    <n v="0"/>
    <n v="0"/>
    <n v="0"/>
    <n v="0"/>
    <n v="0"/>
    <n v="0"/>
    <n v="800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n v="5810"/>
    <m/>
    <m/>
    <m/>
    <m/>
    <n v="112580"/>
    <s v="al día"/>
    <s v=""/>
    <m/>
    <n v="0.95090081339268373"/>
    <n v="-5813"/>
    <n v="-4.9099186607316311E-2"/>
    <n v="1071113"/>
    <n v="0.90489087964531345"/>
    <n v="118393"/>
    <s v="Vendido"/>
    <x v="0"/>
    <n v="19"/>
    <n v="1"/>
    <n v="20"/>
    <n v="8000"/>
    <n v="5810"/>
    <n v="18"/>
    <n v="18"/>
    <n v="112580"/>
    <n v="98770"/>
    <n v="8000"/>
    <n v="5810"/>
    <n v="0"/>
    <n v="0"/>
    <x v="0"/>
    <m/>
    <m/>
  </r>
  <r>
    <x v="99"/>
    <s v="C5"/>
    <m/>
    <s v="Antonio Rada"/>
    <s v="Kenny Estuardo Garay Carias"/>
    <d v="2025-06-27T00:00:00"/>
    <s v="4.Plan de pagos"/>
    <n v="1381446.6987563099"/>
    <n v="276346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0"/>
    <m/>
    <m/>
    <n v="20488"/>
    <n v="20488"/>
    <m/>
    <m/>
    <m/>
    <m/>
    <n v="60976"/>
    <s v="al día"/>
    <s v=""/>
    <m/>
    <n v="0.22065036419830597"/>
    <n v="-215370.7"/>
    <n v="-0.77934963580169403"/>
    <n v="1320470.6987563099"/>
    <n v="0.95586076534484066"/>
    <n v="276346.7"/>
    <s v="Vendido"/>
    <x v="0"/>
    <n v="13"/>
    <n v="1"/>
    <n v="14"/>
    <n v="10000"/>
    <n v="20488"/>
    <n v="0"/>
    <n v="2"/>
    <n v="50976"/>
    <n v="40488"/>
    <n v="0"/>
    <n v="20488"/>
    <n v="10000"/>
    <n v="0"/>
    <x v="0"/>
    <m/>
    <s v="Firma reciente, cliente extranjero ahora se formalizará los pagos mensuales"/>
  </r>
  <r>
    <x v="100"/>
    <s v="A8"/>
    <s v="Plan de pagos especiales"/>
    <s v="Antonio Rada"/>
    <s v="Diego Jose Ortiz Cordero"/>
    <d v="2024-01-19T00:00:00"/>
    <s v="4.Plan de pagos"/>
    <n v="703500"/>
    <n v="70400"/>
    <n v="0"/>
    <n v="0"/>
    <n v="0"/>
    <n v="0"/>
    <n v="6000"/>
    <n v="2477"/>
    <n v="2477"/>
    <n v="2477"/>
    <n v="2477"/>
    <n v="2477"/>
    <n v="2477"/>
    <n v="2477"/>
    <n v="2477"/>
    <n v="2477"/>
    <n v="2477"/>
    <n v="2477"/>
    <n v="2477"/>
    <n v="2477"/>
    <n v="0"/>
    <n v="2477"/>
    <n v="2477"/>
    <n v="2477"/>
    <n v="2477"/>
    <n v="0"/>
    <n v="0"/>
    <n v="0"/>
    <n v="2786.38"/>
    <n v="2786.38"/>
    <n v="2786.38"/>
    <n v="0"/>
    <m/>
    <m/>
    <m/>
    <m/>
    <n v="56468.139999999992"/>
    <s v="Casos Especiales"/>
    <s v=""/>
    <m/>
    <n v="0.80210426136363622"/>
    <n v="-13931.860000000008"/>
    <n v="-0.19789573863636375"/>
    <n v="647031.86"/>
    <n v="0.919732565742715"/>
    <n v="70400"/>
    <s v="Vendido"/>
    <x v="7"/>
    <n v="34"/>
    <n v="1"/>
    <n v="35"/>
    <n v="6000"/>
    <n v="2786.38"/>
    <n v="20"/>
    <n v="19"/>
    <n v="58941.22"/>
    <n v="50468.139999999992"/>
    <n v="6000"/>
    <n v="0"/>
    <n v="0"/>
    <n v="2473.080000000009"/>
    <x v="2"/>
    <m/>
    <s v="Nuevo plan de pago, cliente al día."/>
  </r>
  <r>
    <x v="101"/>
    <s v="A2"/>
    <m/>
    <s v="Antonio Rada"/>
    <s v="Sergio Oswaldo Velasquez Moreno"/>
    <d v="2023-07-19T00:00:00"/>
    <s v="4.Plan de pagos"/>
    <n v="687500"/>
    <n v="68800"/>
    <n v="0"/>
    <n v="0"/>
    <n v="0"/>
    <n v="0"/>
    <n v="6000"/>
    <n v="2415"/>
    <n v="2415"/>
    <n v="2415"/>
    <n v="2415"/>
    <n v="2415"/>
    <n v="2415"/>
    <n v="2415"/>
    <n v="2425"/>
    <n v="2415"/>
    <n v="2415"/>
    <n v="2415"/>
    <n v="2415"/>
    <n v="2415"/>
    <n v="2415"/>
    <n v="2415"/>
    <n v="0"/>
    <n v="2415"/>
    <n v="2415"/>
    <n v="2415"/>
    <n v="2415"/>
    <n v="2415"/>
    <n v="2415"/>
    <n v="4830"/>
    <n v="2415"/>
    <n v="2415"/>
    <m/>
    <m/>
    <m/>
    <m/>
    <n v="66385"/>
    <s v="al día"/>
    <s v=""/>
    <m/>
    <n v="0.9648982558139535"/>
    <n v="-2415"/>
    <n v="-3.5101744186046509E-2"/>
    <n v="621115"/>
    <n v="0.90344000000000002"/>
    <n v="68800"/>
    <s v="Vendido"/>
    <x v="0"/>
    <n v="26"/>
    <n v="1"/>
    <n v="27"/>
    <n v="6000"/>
    <n v="2415"/>
    <n v="24"/>
    <n v="25"/>
    <n v="66375"/>
    <n v="50715"/>
    <n v="13255"/>
    <n v="2415"/>
    <n v="10"/>
    <n v="0"/>
    <x v="0"/>
    <m/>
    <s v="Revisado, se envío correo a consulta a 180 para validar un recibo del mes de noviembre 2024,"/>
  </r>
  <r>
    <x v="102"/>
    <s v="E5"/>
    <m/>
    <s v="**"/>
    <s v="Thalia  Raquel Carredano"/>
    <d v="2025-08-08T00:00:00"/>
    <s v="2. Reserva"/>
    <n v="1509908.4"/>
    <n v="15190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0000"/>
    <m/>
    <m/>
    <m/>
    <m/>
    <n v="10000"/>
    <s v="al día"/>
    <s v=""/>
    <m/>
    <n v="6.5829144405444337E-2"/>
    <n v="-141908.4"/>
    <n v="-0.9341708555945557"/>
    <n v="1499908.4"/>
    <n v="0.99337708168257099"/>
    <n v="151908.4"/>
    <s v="Vendido"/>
    <x v="0"/>
    <n v="27"/>
    <m/>
    <m/>
    <m/>
    <m/>
    <n v="0"/>
    <n v="0"/>
    <m/>
    <n v="0"/>
    <n v="0"/>
    <n v="10000"/>
    <n v="10000"/>
    <n v="0"/>
    <x v="3"/>
    <m/>
    <m/>
  </r>
  <r>
    <x v="103"/>
    <s v="A5"/>
    <m/>
    <s v="Antonio Rada"/>
    <s v="Maria De Los Angeles España Cordon"/>
    <d v="2023-04-24T00:00:00"/>
    <s v="4.Plan de pagos"/>
    <n v="611950.009005"/>
    <n v="61250.01"/>
    <n v="0"/>
    <n v="6500"/>
    <n v="0"/>
    <n v="0"/>
    <n v="0"/>
    <n v="0"/>
    <n v="0"/>
    <n v="0"/>
    <n v="0"/>
    <n v="0"/>
    <n v="1500"/>
    <n v="1500"/>
    <n v="3000"/>
    <n v="0"/>
    <n v="1500"/>
    <n v="0"/>
    <n v="0"/>
    <n v="0"/>
    <n v="0"/>
    <n v="0"/>
    <n v="0"/>
    <n v="0"/>
    <n v="0"/>
    <n v="0"/>
    <n v="0"/>
    <n v="0"/>
    <m/>
    <m/>
    <m/>
    <n v="0"/>
    <m/>
    <m/>
    <m/>
    <m/>
    <n v="14000"/>
    <s v="F&amp;F"/>
    <s v=""/>
    <m/>
    <n v="0.22857139125365039"/>
    <n v="-47250.01"/>
    <n v="-0.77142860874634955"/>
    <n v="597950.009005"/>
    <n v="0.97712231425118645"/>
    <n v="61250.01"/>
    <s v="Vendido"/>
    <x v="2"/>
    <n v="29"/>
    <n v="1"/>
    <n v="30"/>
    <n v="6500"/>
    <n v="1000"/>
    <n v="4"/>
    <n v="28"/>
    <n v="34500"/>
    <n v="0"/>
    <n v="14000"/>
    <n v="0"/>
    <n v="0"/>
    <n v="20500"/>
    <x v="1"/>
    <s v="F&amp;F"/>
    <m/>
  </r>
  <r>
    <x v="104"/>
    <s v="B4"/>
    <m/>
    <s v="Antonio Rada"/>
    <s v="Edwin Estuardo Acevedo Salguero"/>
    <d v="2024-03-08T00:00:00"/>
    <s v="4.Plan de pagos"/>
    <n v="901400"/>
    <n v="90200"/>
    <n v="0"/>
    <n v="0"/>
    <n v="0"/>
    <n v="0"/>
    <n v="0"/>
    <n v="0"/>
    <n v="0"/>
    <n v="0"/>
    <n v="0"/>
    <n v="0"/>
    <n v="0"/>
    <n v="0"/>
    <n v="8000"/>
    <n v="10000"/>
    <n v="0"/>
    <n v="5000"/>
    <n v="5000"/>
    <n v="5000"/>
    <n v="5000"/>
    <n v="5000"/>
    <n v="0"/>
    <n v="10000"/>
    <n v="5000"/>
    <n v="0"/>
    <n v="10000"/>
    <n v="5000"/>
    <n v="5000"/>
    <n v="5000"/>
    <n v="5000"/>
    <n v="5000"/>
    <m/>
    <m/>
    <m/>
    <m/>
    <n v="93000"/>
    <s v="1 meses sin pago"/>
    <s v=""/>
    <m/>
    <n v="1.0310421286031042"/>
    <n v="2800"/>
    <n v="3.1042128603104215E-2"/>
    <n v="808400"/>
    <n v="0.89682715775460398"/>
    <n v="90200"/>
    <s v="Vendido"/>
    <x v="4"/>
    <n v="18"/>
    <n v="1"/>
    <n v="19"/>
    <n v="8000"/>
    <n v="4567"/>
    <n v="11"/>
    <n v="17"/>
    <n v="85639"/>
    <n v="0"/>
    <n v="93000"/>
    <n v="0"/>
    <n v="7361"/>
    <n v="0"/>
    <x v="0"/>
    <m/>
    <m/>
  </r>
  <r>
    <x v="105"/>
    <s v="B3"/>
    <s v="FALLECIMIENTO - "/>
    <s v="Antonio Rada"/>
    <s v="Hans Christian Beeck Cazali"/>
    <d v="2024-05-07T00:00:00"/>
    <s v="4.Plan de pagos"/>
    <n v="887400"/>
    <n v="88800"/>
    <n v="0"/>
    <n v="0"/>
    <n v="0"/>
    <n v="0"/>
    <n v="0"/>
    <n v="0"/>
    <n v="0"/>
    <n v="0"/>
    <n v="0"/>
    <n v="0"/>
    <n v="0"/>
    <n v="0"/>
    <n v="0"/>
    <n v="0"/>
    <n v="12800"/>
    <n v="4000"/>
    <n v="4000"/>
    <n v="4000"/>
    <n v="4000"/>
    <n v="0"/>
    <n v="4000"/>
    <n v="8000"/>
    <n v="0"/>
    <n v="8000"/>
    <n v="4000"/>
    <n v="0"/>
    <m/>
    <m/>
    <n v="4000"/>
    <n v="4000"/>
    <m/>
    <m/>
    <m/>
    <m/>
    <n v="60800"/>
    <s v="Casos Especiales"/>
    <s v=""/>
    <m/>
    <n v="0.68468468468468469"/>
    <n v="-28000"/>
    <n v="-0.31531531531531531"/>
    <n v="826600"/>
    <n v="0.93148523777327019"/>
    <n v="88800"/>
    <s v="Vendido"/>
    <x v="8"/>
    <n v="19"/>
    <n v="1"/>
    <n v="20"/>
    <n v="12800"/>
    <n v="4000"/>
    <n v="10"/>
    <n v="15"/>
    <n v="72800"/>
    <n v="28000"/>
    <n v="28800"/>
    <n v="4000"/>
    <n v="0"/>
    <n v="12000"/>
    <x v="6"/>
    <m/>
    <s v="* Caso especial por fallecimiento,"/>
  </r>
  <r>
    <x v="106"/>
    <s v="E9"/>
    <m/>
    <s v="Antonio Rada"/>
    <s v="Sergio Adolfo García Velásquez"/>
    <d v="2025-04-25T00:00:00"/>
    <s v="4.Plan de pagos"/>
    <n v="1502549.44216114"/>
    <n v="150349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6000"/>
    <n v="6000"/>
    <n v="20388"/>
    <n v="6000"/>
    <m/>
    <m/>
    <m/>
    <m/>
    <n v="58388"/>
    <s v="al día"/>
    <s v=""/>
    <m/>
    <n v="0.38834863635009215"/>
    <n v="-91961.44"/>
    <n v="-0.6116513636499078"/>
    <n v="1444161.44216114"/>
    <n v="0.96114071300308124"/>
    <n v="150349.44"/>
    <s v="Vendido"/>
    <x v="0"/>
    <n v="13"/>
    <n v="1"/>
    <n v="14"/>
    <n v="10000"/>
    <n v="6000"/>
    <n v="3"/>
    <n v="4"/>
    <n v="34000"/>
    <n v="12000"/>
    <n v="40388"/>
    <n v="6000"/>
    <n v="24388"/>
    <n v="0"/>
    <x v="0"/>
    <m/>
    <m/>
  </r>
  <r>
    <x v="107"/>
    <s v="E10"/>
    <m/>
    <s v="Sofia Paredes"/>
    <s v="José Estuardo Ordoñez Cancinos"/>
    <d v="2025-03-08T00:00:00"/>
    <s v="4.Plan de pagos"/>
    <n v="1529194.3266091"/>
    <n v="152919.4326609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903"/>
    <n v="12525"/>
    <n v="10214"/>
    <n v="10214"/>
    <n v="0"/>
    <m/>
    <m/>
    <m/>
    <m/>
    <n v="50856"/>
    <s v="3 meses sin pago"/>
    <s v="no se recibió pago agosto"/>
    <n v="10214"/>
    <n v="0.33256728144401526"/>
    <n v="-102063.43266091001"/>
    <n v="-0.66743271855598474"/>
    <n v="1478338.3266091"/>
    <n v="0.9667432718555985"/>
    <n v="152919.43266091001"/>
    <s v="Vendido"/>
    <x v="2"/>
    <n v="14"/>
    <n v="1"/>
    <n v="15"/>
    <n v="10000"/>
    <n v="10214"/>
    <n v="1"/>
    <n v="5"/>
    <n v="61070"/>
    <n v="38331"/>
    <n v="12525"/>
    <n v="0"/>
    <n v="0"/>
    <n v="10214"/>
    <x v="2"/>
    <m/>
    <m/>
  </r>
  <r>
    <x v="108"/>
    <s v="E9"/>
    <m/>
    <s v="Antonio Rada"/>
    <s v="Luis Francisco Villatoro Quiroa"/>
    <d v="2023-03-21T00:00:00"/>
    <s v="4.Plan de pagos"/>
    <n v="1320300"/>
    <n v="132100"/>
    <n v="6000"/>
    <n v="3700"/>
    <n v="3506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n v="3603"/>
    <m/>
    <m/>
    <m/>
    <m/>
    <n v="110487"/>
    <s v="al día"/>
    <s v=""/>
    <m/>
    <n v="0.83638909916729753"/>
    <n v="-21613"/>
    <n v="-0.16361090083270249"/>
    <n v="1209813"/>
    <n v="0.91631674619404679"/>
    <n v="132100"/>
    <s v="Vendido"/>
    <x v="0"/>
    <n v="35"/>
    <n v="1"/>
    <n v="36"/>
    <n v="6000"/>
    <n v="3603"/>
    <n v="29"/>
    <n v="29"/>
    <n v="110487"/>
    <n v="97184"/>
    <n v="9700"/>
    <n v="3603"/>
    <n v="0"/>
    <n v="0"/>
    <x v="0"/>
    <m/>
    <m/>
  </r>
  <r>
    <x v="109"/>
    <s v="E10"/>
    <m/>
    <s v="Antonio Rada"/>
    <s v="Wilson Humberto Félix Reyna"/>
    <d v="2023-04-14T00:00:00"/>
    <s v="4.Plan de pagos"/>
    <n v="1343800"/>
    <n v="134400"/>
    <n v="0"/>
    <n v="6000"/>
    <n v="4428"/>
    <n v="4428"/>
    <n v="4427"/>
    <n v="4429"/>
    <n v="4428"/>
    <n v="4428"/>
    <n v="4428"/>
    <n v="4428"/>
    <n v="4428"/>
    <n v="4428"/>
    <n v="4428"/>
    <n v="0"/>
    <n v="4428"/>
    <n v="4428"/>
    <n v="4428"/>
    <n v="4428"/>
    <n v="0"/>
    <n v="4428"/>
    <n v="4428"/>
    <n v="4428"/>
    <n v="0"/>
    <n v="4428"/>
    <n v="0"/>
    <n v="13284"/>
    <n v="4428"/>
    <n v="4428"/>
    <n v="4428"/>
    <n v="0"/>
    <m/>
    <m/>
    <m/>
    <m/>
    <n v="116700"/>
    <s v="3 meses sin pago"/>
    <s v="no se recibió pago agosto"/>
    <n v="4428"/>
    <n v="0.8683035714285714"/>
    <n v="-17700"/>
    <n v="-0.13169642857142858"/>
    <n v="1227100"/>
    <n v="0.91315671974996282"/>
    <n v="134400"/>
    <s v="Vendido"/>
    <x v="2"/>
    <n v="29"/>
    <n v="1"/>
    <n v="30"/>
    <n v="6000"/>
    <n v="4428"/>
    <n v="22"/>
    <n v="28"/>
    <n v="129984"/>
    <n v="92987"/>
    <n v="23713"/>
    <n v="0"/>
    <n v="0"/>
    <n v="13284"/>
    <x v="6"/>
    <m/>
    <s v="Revisado y cobrado."/>
  </r>
  <r>
    <x v="110"/>
    <s v="B4"/>
    <s v="Plan de pagos especiales"/>
    <s v="Antonio Rada"/>
    <s v="Daniel Augusto Santos Aragon"/>
    <d v="2024-03-07T00:00:00"/>
    <s v="4.Plan de pagos"/>
    <n v="901400"/>
    <n v="90200"/>
    <n v="0"/>
    <n v="0"/>
    <n v="0"/>
    <n v="0"/>
    <n v="0"/>
    <n v="0"/>
    <n v="0"/>
    <n v="0"/>
    <n v="0"/>
    <n v="0"/>
    <n v="0"/>
    <n v="0"/>
    <n v="8000"/>
    <n v="4567"/>
    <n v="4567"/>
    <n v="4567"/>
    <n v="4567"/>
    <n v="9134"/>
    <n v="4567"/>
    <n v="4567"/>
    <n v="4567"/>
    <n v="0"/>
    <n v="4567"/>
    <n v="4567"/>
    <n v="2000"/>
    <n v="2000"/>
    <n v="2000"/>
    <n v="4000"/>
    <n v="2000"/>
    <n v="0"/>
    <m/>
    <m/>
    <m/>
    <m/>
    <n v="70237"/>
    <s v="Casos Especiales"/>
    <s v=""/>
    <m/>
    <n v="0.77868070953436808"/>
    <n v="-19963"/>
    <n v="-0.22131929046563192"/>
    <n v="831163"/>
    <n v="0.92208009762591525"/>
    <n v="90200"/>
    <s v="Vendido"/>
    <x v="9"/>
    <n v="30"/>
    <n v="1"/>
    <n v="31"/>
    <n v="8000"/>
    <n v="2000"/>
    <n v="14"/>
    <n v="17"/>
    <n v="42000"/>
    <n v="8000"/>
    <n v="62237"/>
    <n v="0"/>
    <n v="28237"/>
    <n v="0"/>
    <x v="0"/>
    <m/>
    <s v="Nuevo plan de pago, cliente al día."/>
  </r>
  <r>
    <x v="111"/>
    <s v="B3"/>
    <m/>
    <s v="Antonio Rada"/>
    <s v="Dania Dulcidia Gutierrez Villeda"/>
    <d v="2024-04-15T00:00:00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4753"/>
    <n v="4753"/>
    <n v="4753"/>
    <n v="4753"/>
    <n v="4753"/>
    <n v="9506"/>
    <n v="0"/>
    <n v="9506"/>
    <n v="0"/>
    <n v="9506"/>
    <n v="4753"/>
    <n v="0"/>
    <n v="9506"/>
    <m/>
    <n v="9506"/>
    <n v="0"/>
    <m/>
    <m/>
    <m/>
    <m/>
    <n v="84048"/>
    <s v="al día"/>
    <s v=""/>
    <m/>
    <n v="0.94648648648648648"/>
    <n v="-4752"/>
    <n v="-5.3513513513513515E-2"/>
    <n v="803352"/>
    <n v="0.9052873563218391"/>
    <n v="88800"/>
    <s v="Vendido"/>
    <x v="0"/>
    <n v="17"/>
    <n v="1"/>
    <n v="18"/>
    <n v="8000"/>
    <n v="4753"/>
    <n v="6"/>
    <n v="16"/>
    <n v="84048"/>
    <n v="28518"/>
    <n v="55530"/>
    <n v="0"/>
    <n v="0"/>
    <n v="0"/>
    <x v="0"/>
    <m/>
    <m/>
  </r>
  <r>
    <x v="112"/>
    <s v="D9"/>
    <m/>
    <s v="Antonio Rada"/>
    <s v="Ingrid Lisbeth Dubón García De Diaz"/>
    <d v="2025-02-11T00:00:00"/>
    <s v="2. Reserva"/>
    <n v="1396401.17573617"/>
    <n v="13970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17294"/>
    <n v="8647"/>
    <n v="8647"/>
    <n v="8647"/>
    <n v="8647"/>
    <m/>
    <m/>
    <m/>
    <m/>
    <n v="61882"/>
    <s v="al día"/>
    <s v=""/>
    <m/>
    <n v="0.44295975166423079"/>
    <n v="-77819.179999999993"/>
    <n v="-0.55704024833576926"/>
    <n v="1334519.17573617"/>
    <n v="0.95568465490056864"/>
    <n v="139701.18"/>
    <s v="Vendido"/>
    <x v="0"/>
    <n v="15"/>
    <n v="1"/>
    <n v="16"/>
    <n v="10000"/>
    <n v="8647"/>
    <n v="4"/>
    <n v="6"/>
    <n v="61882"/>
    <n v="25941"/>
    <n v="27294"/>
    <n v="8647"/>
    <n v="0"/>
    <n v="0"/>
    <x v="0"/>
    <m/>
    <m/>
  </r>
  <r>
    <x v="113"/>
    <s v="D8"/>
    <m/>
    <s v="Antonio Rada"/>
    <s v="Edison Gabriel Ramirez Lopez"/>
    <d v="2025-03-12T00:00:00"/>
    <s v="4.Plan de pagos"/>
    <n v="1402592.6953594901"/>
    <n v="140292.7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9307"/>
    <n v="9307"/>
    <n v="9307"/>
    <n v="9307"/>
    <n v="9307"/>
    <m/>
    <m/>
    <m/>
    <m/>
    <n v="56535"/>
    <s v="al día"/>
    <s v=""/>
    <m/>
    <n v="0.40297891479741993"/>
    <n v="-83757.700000000012"/>
    <n v="-0.59702108520258002"/>
    <n v="1346057.6953594901"/>
    <n v="0.95969250361345293"/>
    <n v="140292.70000000001"/>
    <s v="Vendido"/>
    <x v="0"/>
    <n v="14"/>
    <n v="1"/>
    <n v="15"/>
    <n v="10000"/>
    <n v="9307"/>
    <n v="5"/>
    <n v="5"/>
    <n v="56535"/>
    <n v="37228"/>
    <n v="10000"/>
    <n v="9307"/>
    <n v="0"/>
    <n v="0"/>
    <x v="0"/>
    <m/>
    <m/>
  </r>
  <r>
    <x v="114"/>
    <s v="A12"/>
    <m/>
    <s v="Sofia Paredes"/>
    <s v="Cristhian Paul Escobar Maldonado "/>
    <d v="2025-04-04T00:00:00"/>
    <s v="2. Reserva / Prom. F."/>
    <n v="789045"/>
    <n v="78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m/>
    <m/>
    <n v="10000"/>
    <n v="5000"/>
    <m/>
    <m/>
    <m/>
    <m/>
    <n v="25000"/>
    <s v="5 meses sin pago"/>
    <m/>
    <m/>
    <n v="0.31667616695167522"/>
    <n v="-53945"/>
    <n v="-0.68332383304832478"/>
    <n v="764045"/>
    <n v="0.96831612899137565"/>
    <n v="78945"/>
    <s v="Vendido"/>
    <x v="2"/>
    <n v="13"/>
    <n v="1"/>
    <n v="14"/>
    <n v="5303"/>
    <n v="5303"/>
    <n v="1"/>
    <n v="4"/>
    <n v="26515"/>
    <n v="0"/>
    <n v="20000"/>
    <n v="5000"/>
    <n v="0"/>
    <n v="1515"/>
    <x v="2"/>
    <m/>
    <m/>
  </r>
  <r>
    <x v="115"/>
    <s v="C6"/>
    <s v="Plan de pagos especiales"/>
    <s v="Antonio Rada"/>
    <s v="Alfonso Videche Rrodriguez"/>
    <d v="2024-01-30T00:00:00"/>
    <s v="4.Plan de pagos"/>
    <n v="1183693"/>
    <n v="118393"/>
    <n v="0"/>
    <n v="0"/>
    <n v="0"/>
    <n v="0"/>
    <n v="0"/>
    <n v="0"/>
    <n v="0"/>
    <n v="0"/>
    <n v="0"/>
    <n v="0"/>
    <n v="7600"/>
    <n v="4000"/>
    <n v="0"/>
    <n v="15000"/>
    <n v="0"/>
    <n v="0"/>
    <n v="0"/>
    <n v="19000"/>
    <n v="0"/>
    <n v="0"/>
    <n v="0"/>
    <n v="0"/>
    <n v="0"/>
    <n v="0"/>
    <n v="0"/>
    <n v="39000"/>
    <m/>
    <m/>
    <m/>
    <m/>
    <m/>
    <m/>
    <m/>
    <m/>
    <n v="84600"/>
    <s v="Casos Especiales"/>
    <s v=""/>
    <m/>
    <n v="0.71456927352123856"/>
    <n v="-33793"/>
    <n v="-0.28543072647876139"/>
    <n v="1099093"/>
    <n v="0.92852876548226615"/>
    <n v="118393"/>
    <s v="Vendido"/>
    <x v="10"/>
    <n v="6"/>
    <n v="1"/>
    <n v="7"/>
    <n v="7600"/>
    <n v="19000"/>
    <n v="1"/>
    <n v="19"/>
    <n v="368600"/>
    <n v="45600"/>
    <n v="39000"/>
    <n v="0"/>
    <n v="0"/>
    <n v="284000"/>
    <x v="7"/>
    <m/>
    <s v="*Plan de Pagos Especial*  próximo pago en julio 2025 por GTQ 19,000 y Octubre 2025 GTQ 15,793,00 cancela enganche."/>
  </r>
  <r>
    <x v="116"/>
    <s v="C5"/>
    <m/>
    <s v="SIN DATOS"/>
    <s v="Carlos Yon"/>
    <d v="2023-10-03T00:00:00"/>
    <s v="2. Reserva"/>
    <n v="1381446.6987563099"/>
    <n v="138144.66987563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al día"/>
    <s v=""/>
    <m/>
    <n v="0"/>
    <n v="-138144.66987563099"/>
    <n v="-1"/>
    <n v="1381446.6987563099"/>
    <n v="1"/>
    <n v="138144.66987563099"/>
    <s v="Vendido"/>
    <x v="0"/>
    <m/>
    <n v="0"/>
    <n v="0"/>
    <m/>
    <m/>
    <n v="0"/>
    <n v="22"/>
    <n v="0"/>
    <n v="0"/>
    <n v="0"/>
    <n v="0"/>
    <n v="0"/>
    <n v="0"/>
    <x v="1"/>
    <s v="F&amp;F"/>
    <m/>
  </r>
  <r>
    <x v="117"/>
    <s v="C6"/>
    <m/>
    <s v="SIN DATOS"/>
    <s v="Mario Flores"/>
    <d v="2023-09-04T00:00:00"/>
    <s v="1.Disponible"/>
    <n v="1185640.42442039"/>
    <n v="118564.042442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118564.042442039"/>
    <n v="-1"/>
    <n v="1185640.42442039"/>
    <n v="1"/>
    <n v="118564.042442039"/>
    <s v="Vendido"/>
    <x v="0"/>
    <m/>
    <n v="0"/>
    <n v="0"/>
    <m/>
    <m/>
    <n v="0"/>
    <n v="23"/>
    <n v="0"/>
    <n v="0"/>
    <n v="0"/>
    <n v="0"/>
    <n v="0"/>
    <n v="0"/>
    <x v="1"/>
    <s v="F&amp;F"/>
    <m/>
  </r>
  <r>
    <x v="118"/>
    <s v="C5"/>
    <s v="Plan de pagos especiales"/>
    <s v="Diana Alvarez"/>
    <s v="Samuel David Chavez"/>
    <d v="2025-04-23T00:00:00"/>
    <s v="4.Plan de pagos"/>
    <n v="1204212.47"/>
    <n v="120512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50000"/>
    <n v="0"/>
    <m/>
    <n v="5000"/>
    <m/>
    <n v="0"/>
    <m/>
    <m/>
    <m/>
    <m/>
    <n v="65000"/>
    <s v="Casos Especiales"/>
    <s v=""/>
    <m/>
    <n v="0.53936327087147085"/>
    <n v="-55512.47"/>
    <n v="-0.46063672912852921"/>
    <n v="1139212.47"/>
    <n v="0.94602281439586822"/>
    <n v="120512.47"/>
    <s v="Vendido"/>
    <x v="11"/>
    <n v="16"/>
    <n v="1"/>
    <n v="17"/>
    <n v="60000"/>
    <n v="3782"/>
    <n v="3"/>
    <n v="4"/>
    <n v="75128"/>
    <n v="0"/>
    <n v="65000"/>
    <n v="0"/>
    <n v="0"/>
    <n v="10128"/>
    <x v="6"/>
    <m/>
    <s v="Nuevo plan de pagos a partir del 25-04-2025, cumplio con el pago de casi 2 cuotas 27-06-2025"/>
  </r>
  <r>
    <x v="119"/>
    <s v="A8"/>
    <m/>
    <s v="Antonio Rada"/>
    <s v="Edgar Augusto Sepúlveda Barrera"/>
    <d v="2023-06-08T00:00:00"/>
    <s v="4.Plan de pagos"/>
    <n v="703500"/>
    <n v="70400"/>
    <n v="0"/>
    <n v="0"/>
    <n v="0"/>
    <n v="6000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n v="2385"/>
    <m/>
    <m/>
    <m/>
    <m/>
    <n v="68010"/>
    <s v="al día"/>
    <s v=""/>
    <m/>
    <n v="0.96605113636363638"/>
    <n v="-2390"/>
    <n v="-3.3948863636363638E-2"/>
    <n v="635490"/>
    <n v="0.90332622601279322"/>
    <n v="70400"/>
    <s v="Vendido"/>
    <x v="0"/>
    <n v="27"/>
    <n v="1"/>
    <n v="28"/>
    <n v="6000"/>
    <n v="2385"/>
    <n v="26"/>
    <n v="26"/>
    <n v="68010"/>
    <n v="59625"/>
    <n v="6000"/>
    <n v="2385"/>
    <n v="0"/>
    <n v="0"/>
    <x v="0"/>
    <m/>
    <m/>
  </r>
  <r>
    <x v="120"/>
    <s v="A2"/>
    <s v="Plan de pagos especiales"/>
    <s v="Antonio Rada"/>
    <s v=" Luis Alejandro Pérez Ibañez"/>
    <d v="2023-06-10T00:00:00"/>
    <s v="4.Plan de pagos"/>
    <n v="687500"/>
    <n v="68800"/>
    <n v="0"/>
    <n v="0"/>
    <n v="0"/>
    <n v="6000"/>
    <n v="2326"/>
    <n v="2326"/>
    <n v="2326"/>
    <n v="2326"/>
    <n v="2326"/>
    <n v="2326"/>
    <n v="2326"/>
    <n v="1163"/>
    <n v="3488"/>
    <n v="0"/>
    <n v="2324"/>
    <n v="2324"/>
    <n v="2324"/>
    <n v="2324"/>
    <n v="2324"/>
    <n v="2324"/>
    <n v="0"/>
    <n v="3424"/>
    <n v="2324"/>
    <n v="0"/>
    <n v="2334"/>
    <n v="2324"/>
    <n v="2502.4299999999998"/>
    <n v="2502.4299999999998"/>
    <n v="2502.4299999999998"/>
    <n v="2502.4299999999998"/>
    <m/>
    <m/>
    <m/>
    <m/>
    <n v="61292.72"/>
    <s v="Casos Especiales"/>
    <s v=""/>
    <m/>
    <n v="0.89088255813953487"/>
    <n v="-7507.2799999999988"/>
    <n v="-0.1091174418604651"/>
    <n v="626207.28"/>
    <n v="0.91084695272727279"/>
    <n v="68800"/>
    <s v="Vendido"/>
    <x v="12"/>
    <n v="34"/>
    <n v="1"/>
    <n v="35"/>
    <n v="6000"/>
    <n v="2502.42"/>
    <n v="23"/>
    <n v="26"/>
    <n v="61292.72"/>
    <n v="38371"/>
    <n v="22921.72"/>
    <n v="0"/>
    <n v="0"/>
    <n v="0"/>
    <x v="0"/>
    <m/>
    <s v="Nuevo plan de pago, cliente al día."/>
  </r>
  <r>
    <x v="121"/>
    <s v="E5"/>
    <m/>
    <s v="Antonio Rada"/>
    <s v="Jose Carlos Samayoa San Jose"/>
    <d v="2024-04-11T00:00:00"/>
    <s v="4.Plan de pagos"/>
    <n v="1438008"/>
    <n v="143808"/>
    <n v="0"/>
    <n v="0"/>
    <n v="0"/>
    <n v="0"/>
    <n v="0"/>
    <n v="0"/>
    <n v="0"/>
    <n v="0"/>
    <n v="0"/>
    <n v="0"/>
    <n v="0"/>
    <n v="0"/>
    <n v="0"/>
    <n v="8000"/>
    <n v="10000"/>
    <n v="10000"/>
    <n v="10000"/>
    <n v="10000"/>
    <n v="10000"/>
    <n v="10000"/>
    <n v="20000"/>
    <n v="0"/>
    <n v="10000"/>
    <n v="10000"/>
    <n v="25000"/>
    <n v="0"/>
    <n v="30000"/>
    <m/>
    <n v="26500"/>
    <n v="20000"/>
    <m/>
    <m/>
    <m/>
    <m/>
    <n v="209500"/>
    <s v="2 meses sin pago"/>
    <s v=""/>
    <m/>
    <n v="1.4568035157988428"/>
    <n v="65692"/>
    <n v="0.45680351579884287"/>
    <n v="1228508"/>
    <n v="0.85431235431235431"/>
    <n v="143808"/>
    <s v="Vendido"/>
    <x v="4"/>
    <n v="17"/>
    <n v="1"/>
    <n v="18"/>
    <n v="8000"/>
    <n v="7989"/>
    <n v="0"/>
    <n v="16"/>
    <n v="135824"/>
    <n v="0"/>
    <n v="209500"/>
    <n v="0"/>
    <n v="73676"/>
    <n v="0"/>
    <x v="0"/>
    <m/>
    <m/>
  </r>
  <r>
    <x v="122"/>
    <s v="A5"/>
    <m/>
    <s v="Brenda Búcaro"/>
    <s v="Cynthia Marisel Coronado Monterroso"/>
    <d v="2023-03-10T00:00:00"/>
    <s v="4.Plan de pagos"/>
    <n v="617600"/>
    <n v="62000"/>
    <n v="6000"/>
    <n v="1600"/>
    <n v="1600"/>
    <n v="1600"/>
    <n v="1600"/>
    <n v="0"/>
    <n v="1600"/>
    <n v="3200"/>
    <n v="1600"/>
    <n v="1600"/>
    <n v="1600"/>
    <n v="1600"/>
    <n v="1600"/>
    <n v="1600"/>
    <n v="1600"/>
    <n v="1600"/>
    <n v="1600"/>
    <n v="1600"/>
    <n v="1600"/>
    <n v="1600"/>
    <n v="1600"/>
    <n v="1600"/>
    <n v="0"/>
    <n v="3200"/>
    <n v="1600"/>
    <n v="1600"/>
    <n v="1600"/>
    <n v="1600"/>
    <n v="1600"/>
    <n v="1600"/>
    <m/>
    <m/>
    <m/>
    <m/>
    <n v="52400"/>
    <s v="al día"/>
    <s v=""/>
    <m/>
    <n v="0.84516129032258069"/>
    <n v="-9600"/>
    <n v="-0.15483870967741936"/>
    <n v="565200"/>
    <n v="0.9151554404145078"/>
    <n v="62000"/>
    <s v="Vendido"/>
    <x v="0"/>
    <n v="35"/>
    <n v="1"/>
    <n v="36"/>
    <n v="6000"/>
    <n v="1600"/>
    <n v="27"/>
    <n v="29"/>
    <n v="52400"/>
    <n v="38400"/>
    <n v="12400"/>
    <n v="1600"/>
    <n v="0"/>
    <n v="0"/>
    <x v="0"/>
    <m/>
    <m/>
  </r>
  <r>
    <x v="123"/>
    <s v="B4"/>
    <m/>
    <s v="Antonio Rada"/>
    <s v="Lisvet  Maricelasance Alvarez De Giron"/>
    <d v="2024-01-15T00:00:00"/>
    <s v="4.Plan de pagos"/>
    <n v="901400"/>
    <n v="90200"/>
    <n v="0"/>
    <n v="0"/>
    <n v="0"/>
    <n v="0"/>
    <n v="0"/>
    <n v="0"/>
    <n v="0"/>
    <n v="0"/>
    <n v="0"/>
    <n v="0"/>
    <n v="8000"/>
    <n v="4110"/>
    <n v="4110"/>
    <n v="4110"/>
    <n v="4110"/>
    <n v="4110"/>
    <n v="4100"/>
    <n v="4100"/>
    <n v="4100"/>
    <n v="4100"/>
    <n v="4100"/>
    <n v="0"/>
    <n v="4100"/>
    <n v="4100"/>
    <n v="8200"/>
    <n v="4100"/>
    <n v="4100"/>
    <m/>
    <m/>
    <n v="0"/>
    <m/>
    <m/>
    <m/>
    <m/>
    <n v="73650"/>
    <s v="3 meses sin pago"/>
    <s v="no se recibió pago junio, julio, agosto"/>
    <n v="12330"/>
    <n v="0.81651884700665189"/>
    <n v="-16550"/>
    <n v="-0.18348115299334811"/>
    <n v="827750"/>
    <n v="0.91829376525404927"/>
    <n v="90200"/>
    <s v="Vendido"/>
    <x v="2"/>
    <n v="20"/>
    <n v="1"/>
    <n v="21"/>
    <n v="8000"/>
    <n v="4110"/>
    <n v="14"/>
    <n v="19"/>
    <n v="86090"/>
    <n v="57450"/>
    <n v="16200"/>
    <n v="0"/>
    <n v="0"/>
    <n v="12440"/>
    <x v="8"/>
    <m/>
    <m/>
  </r>
  <r>
    <x v="124"/>
    <s v="B3"/>
    <m/>
    <s v="Antonio Rada"/>
    <s v="Jorge Estuardo Díaz Durán Baldetti"/>
    <d v="2024-04-30T00:00:00"/>
    <s v="4.Plan de pagos"/>
    <n v="887400"/>
    <n v="88800"/>
    <n v="0"/>
    <n v="0"/>
    <n v="0"/>
    <n v="0"/>
    <n v="0"/>
    <n v="0"/>
    <n v="0"/>
    <n v="0"/>
    <n v="0"/>
    <n v="0"/>
    <n v="0"/>
    <n v="0"/>
    <n v="0"/>
    <n v="8000"/>
    <n v="0"/>
    <n v="0"/>
    <n v="4040"/>
    <n v="4040"/>
    <n v="4040"/>
    <n v="4040"/>
    <n v="4040"/>
    <n v="4040"/>
    <n v="4040"/>
    <n v="4040"/>
    <n v="4040"/>
    <n v="4040"/>
    <n v="4040"/>
    <n v="4040"/>
    <n v="4040"/>
    <n v="4040"/>
    <m/>
    <m/>
    <m/>
    <m/>
    <n v="64560"/>
    <s v="al día"/>
    <m/>
    <m/>
    <n v="0.72702702702702704"/>
    <n v="-24240"/>
    <n v="-0.27297297297297296"/>
    <n v="822840"/>
    <n v="0.9272481406355646"/>
    <n v="88800"/>
    <s v="Vendido"/>
    <x v="2"/>
    <n v="20"/>
    <n v="1"/>
    <n v="21"/>
    <n v="8000"/>
    <n v="4040"/>
    <n v="14"/>
    <n v="16"/>
    <n v="72640"/>
    <n v="52520"/>
    <n v="8000"/>
    <n v="4040"/>
    <n v="0"/>
    <n v="8080"/>
    <x v="4"/>
    <m/>
    <s v="* Al día, recibo debe corregirse se envío correo a  180 para validar que asignen al apartamento que corresponde."/>
  </r>
  <r>
    <x v="125"/>
    <s v="E9"/>
    <m/>
    <m/>
    <m/>
    <m/>
    <s v="1.Disponible"/>
    <n v="1502549.44216114"/>
    <n v="150254.944216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502549.44216114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26"/>
    <s v="E10"/>
    <m/>
    <m/>
    <m/>
    <m/>
    <s v="1.Disponible"/>
    <n v="1456375.54915152"/>
    <n v="145637.554915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56375.54915152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27"/>
    <s v="C4"/>
    <m/>
    <s v="Antonio Rada"/>
    <s v="Pablo Jose Juarez Pereira"/>
    <d v="2023-07-25T00:00:00"/>
    <s v="4.Plan de pagos"/>
    <n v="1152000"/>
    <n v="115200"/>
    <n v="0"/>
    <n v="0"/>
    <n v="0"/>
    <n v="0"/>
    <n v="6000"/>
    <n v="4200"/>
    <n v="4200"/>
    <n v="4200"/>
    <n v="4200"/>
    <n v="4200"/>
    <n v="4200"/>
    <n v="8400"/>
    <n v="0"/>
    <n v="4200"/>
    <n v="4200"/>
    <n v="0"/>
    <n v="4200"/>
    <n v="8400"/>
    <n v="0"/>
    <n v="8400"/>
    <n v="4200"/>
    <n v="0"/>
    <n v="4200"/>
    <n v="8400"/>
    <n v="8400"/>
    <n v="0"/>
    <n v="4200"/>
    <m/>
    <n v="8400"/>
    <n v="8400"/>
    <m/>
    <m/>
    <m/>
    <m/>
    <n v="115200"/>
    <s v="al día"/>
    <s v=""/>
    <m/>
    <n v="1"/>
    <n v="0"/>
    <n v="0"/>
    <n v="1036800"/>
    <n v="0.9"/>
    <n v="115200"/>
    <s v="Vendido"/>
    <x v="3"/>
    <n v="26"/>
    <n v="1"/>
    <n v="27"/>
    <n v="6000"/>
    <n v="4200"/>
    <n v="12"/>
    <n v="25"/>
    <n v="111000"/>
    <n v="50400"/>
    <n v="64800"/>
    <n v="0"/>
    <n v="4200"/>
    <n v="0"/>
    <x v="0"/>
    <m/>
    <m/>
  </r>
  <r>
    <x v="128"/>
    <s v="C1"/>
    <m/>
    <s v="Brenda Búcaro"/>
    <s v="Carmen Julia Soto Baechli De Hicks"/>
    <d v="2023-06-10T00:00:00"/>
    <s v="4.Plan de pagos"/>
    <n v="1166800"/>
    <n v="116700"/>
    <n v="0"/>
    <n v="0"/>
    <n v="0"/>
    <n v="6000"/>
    <n v="0"/>
    <n v="82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n v="4100"/>
    <m/>
    <m/>
    <m/>
    <m/>
    <n v="112600"/>
    <s v="al día"/>
    <s v=""/>
    <m/>
    <n v="0.96486718080548417"/>
    <n v="-4100"/>
    <n v="-3.5132819194515851E-2"/>
    <n v="1054200"/>
    <n v="0.90349674322934526"/>
    <n v="116700"/>
    <s v="Vendido"/>
    <x v="0"/>
    <n v="27"/>
    <n v="1"/>
    <n v="28"/>
    <n v="6000"/>
    <n v="4100"/>
    <n v="24"/>
    <n v="26"/>
    <n v="112600"/>
    <n v="94300"/>
    <n v="14200"/>
    <n v="4100"/>
    <n v="0"/>
    <n v="0"/>
    <x v="0"/>
    <m/>
    <m/>
  </r>
  <r>
    <x v="129"/>
    <s v="A8"/>
    <m/>
    <s v="Brenda Búcaro"/>
    <s v="Mauricio Antonio Leon Tres"/>
    <d v="2023-03-22T00:00:00"/>
    <s v="4.Plan de pagos"/>
    <n v="660700"/>
    <n v="66100"/>
    <n v="6000"/>
    <n v="1725"/>
    <n v="1725"/>
    <n v="1725"/>
    <n v="1700"/>
    <n v="1700"/>
    <n v="1700"/>
    <n v="1700"/>
    <n v="1700"/>
    <n v="1700"/>
    <n v="1700"/>
    <n v="1700"/>
    <n v="1700"/>
    <n v="1700"/>
    <n v="0"/>
    <n v="1700"/>
    <n v="3400"/>
    <n v="1700"/>
    <n v="1700"/>
    <n v="1700"/>
    <n v="1700"/>
    <n v="0"/>
    <n v="1700"/>
    <n v="1700"/>
    <n v="3400"/>
    <n v="1700"/>
    <m/>
    <n v="3400"/>
    <m/>
    <n v="3400"/>
    <m/>
    <m/>
    <m/>
    <m/>
    <n v="55375"/>
    <s v="al día"/>
    <s v=""/>
    <m/>
    <n v="0.83774583963691374"/>
    <n v="-10725"/>
    <n v="-0.16225416036308624"/>
    <n v="605325"/>
    <n v="0.91618737702436814"/>
    <n v="66100"/>
    <s v="Vendido"/>
    <x v="0"/>
    <n v="35"/>
    <n v="1"/>
    <n v="36"/>
    <n v="6000"/>
    <n v="1700"/>
    <n v="25"/>
    <n v="29"/>
    <n v="55300"/>
    <n v="30600"/>
    <n v="24775"/>
    <n v="0"/>
    <n v="75"/>
    <n v="0"/>
    <x v="0"/>
    <m/>
    <m/>
  </r>
  <r>
    <x v="130"/>
    <s v="A1"/>
    <m/>
    <s v="Brenda Búcaro"/>
    <s v="Victor Hugo Caceres Morales"/>
    <d v="2023-06-13T00:00:00"/>
    <s v="4.Plan de pagos"/>
    <n v="702900"/>
    <n v="70300"/>
    <n v="0"/>
    <n v="0"/>
    <n v="0"/>
    <n v="6000"/>
    <n v="1500"/>
    <n v="1500"/>
    <n v="1500"/>
    <n v="1500"/>
    <n v="0"/>
    <n v="1500"/>
    <n v="1500"/>
    <n v="1500"/>
    <n v="1500"/>
    <n v="1500"/>
    <n v="3000"/>
    <n v="0"/>
    <n v="1500"/>
    <n v="3000"/>
    <n v="1500"/>
    <n v="1500"/>
    <n v="1500"/>
    <n v="1500"/>
    <n v="1500"/>
    <n v="1500"/>
    <n v="1500"/>
    <n v="6500"/>
    <n v="1500"/>
    <n v="1500"/>
    <n v="1500"/>
    <n v="1500"/>
    <m/>
    <m/>
    <m/>
    <m/>
    <n v="50000"/>
    <s v="al día"/>
    <s v=""/>
    <m/>
    <n v="0.71123755334281646"/>
    <n v="-20300"/>
    <n v="-0.28876244665718348"/>
    <n v="652900"/>
    <n v="0.92886612604922469"/>
    <n v="70300"/>
    <s v="Vendido"/>
    <x v="0"/>
    <n v="27"/>
    <n v="1"/>
    <n v="28"/>
    <n v="6000"/>
    <n v="1500"/>
    <n v="23"/>
    <n v="26"/>
    <n v="45000"/>
    <n v="30000"/>
    <n v="18500"/>
    <n v="1500"/>
    <n v="5000"/>
    <n v="0"/>
    <x v="0"/>
    <m/>
    <m/>
  </r>
  <r>
    <x v="131"/>
    <s v="B5"/>
    <s v="ENGANCHE CANCELADO"/>
    <s v="Antonio Rada"/>
    <s v="Celia Julissa Flores Dávila De Gonzalez"/>
    <d v="2024-05-08T00:00:00"/>
    <s v="4.Plan de pagos"/>
    <n v="941800"/>
    <n v="94200"/>
    <n v="0"/>
    <n v="0"/>
    <n v="0"/>
    <n v="0"/>
    <n v="0"/>
    <n v="0"/>
    <n v="0"/>
    <n v="0"/>
    <n v="0"/>
    <n v="0"/>
    <n v="0"/>
    <n v="0"/>
    <n v="0"/>
    <n v="0"/>
    <n v="8000"/>
    <n v="4537"/>
    <n v="0"/>
    <n v="79113.05"/>
    <n v="0"/>
    <n v="0"/>
    <n v="0"/>
    <n v="0"/>
    <n v="0"/>
    <n v="0"/>
    <n v="0"/>
    <n v="0"/>
    <m/>
    <m/>
    <m/>
    <n v="0"/>
    <m/>
    <m/>
    <m/>
    <m/>
    <n v="91650.05"/>
    <s v="Casos Especiales"/>
    <s v=""/>
    <m/>
    <n v="0.97293046709129516"/>
    <n v="-2549.9499999999971"/>
    <n v="-2.7069532908704851E-2"/>
    <n v="850149.95"/>
    <n v="0.90268629220641317"/>
    <n v="94200"/>
    <s v="Vendido"/>
    <x v="13"/>
    <n v="18"/>
    <n v="1"/>
    <n v="19"/>
    <n v="8000"/>
    <n v="4537"/>
    <n v="1"/>
    <n v="15"/>
    <n v="76055"/>
    <n v="4537"/>
    <n v="87113.05"/>
    <n v="0"/>
    <n v="15595.050000000003"/>
    <n v="0"/>
    <x v="0"/>
    <m/>
    <m/>
  </r>
  <r>
    <x v="132"/>
    <s v="B8"/>
    <m/>
    <s v="Antonio Rada"/>
    <s v="Rodolfo Morales Muñoz"/>
    <d v="2024-09-12T00:00:00"/>
    <s v="4.Plan de pagos"/>
    <n v="1084565"/>
    <n v="10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564"/>
    <n v="6564"/>
    <n v="6564"/>
    <n v="6564"/>
    <n v="6564"/>
    <n v="6564"/>
    <n v="6564"/>
    <n v="6564"/>
    <n v="6564"/>
    <n v="6564"/>
    <n v="6564"/>
    <m/>
    <m/>
    <m/>
    <m/>
    <n v="82204"/>
    <s v="al día"/>
    <s v=""/>
    <m/>
    <n v="0.75788503203798463"/>
    <n v="-26261"/>
    <n v="-0.2421149679620154"/>
    <n v="1002361"/>
    <n v="0.92420555706665808"/>
    <n v="108465"/>
    <s v="Vendido"/>
    <x v="0"/>
    <n v="15"/>
    <n v="1"/>
    <n v="16"/>
    <n v="10000"/>
    <n v="6564"/>
    <n v="11"/>
    <n v="11"/>
    <n v="82204"/>
    <n v="65640"/>
    <n v="10000"/>
    <n v="6564"/>
    <n v="0"/>
    <n v="0"/>
    <x v="0"/>
    <m/>
    <m/>
  </r>
  <r>
    <x v="133"/>
    <s v="B4"/>
    <m/>
    <s v="Antonio Rada"/>
    <s v="Eswin Raul Morales Lopez"/>
    <d v="2023-11-30T00:00:00"/>
    <s v="4.Plan de pagos"/>
    <n v="901400"/>
    <n v="90200"/>
    <n v="0"/>
    <n v="0"/>
    <n v="0"/>
    <n v="0"/>
    <n v="0"/>
    <n v="0"/>
    <n v="0"/>
    <n v="0"/>
    <n v="5500"/>
    <n v="0"/>
    <n v="5000"/>
    <n v="2500"/>
    <n v="0"/>
    <n v="5000"/>
    <n v="2500"/>
    <n v="0"/>
    <n v="14500"/>
    <n v="2500"/>
    <n v="2500"/>
    <n v="2500"/>
    <n v="2500"/>
    <n v="0"/>
    <n v="12000"/>
    <n v="0"/>
    <n v="2500"/>
    <n v="5000"/>
    <n v="2500"/>
    <m/>
    <n v="14500"/>
    <n v="2500"/>
    <m/>
    <m/>
    <m/>
    <m/>
    <n v="84000"/>
    <s v="al día"/>
    <s v=""/>
    <m/>
    <n v="0.9312638580931264"/>
    <n v="-6200"/>
    <n v="-6.8736141906873618E-2"/>
    <n v="817400"/>
    <n v="0.90681162635899715"/>
    <n v="90200"/>
    <s v="Vendido"/>
    <x v="0"/>
    <n v="22"/>
    <n v="1"/>
    <n v="23"/>
    <n v="5500"/>
    <n v="2500"/>
    <n v="12"/>
    <n v="21"/>
    <n v="58000"/>
    <n v="20000"/>
    <n v="61500"/>
    <n v="2500"/>
    <n v="26000"/>
    <n v="0"/>
    <x v="0"/>
    <m/>
    <m/>
  </r>
  <r>
    <x v="134"/>
    <s v="B3"/>
    <m/>
    <s v="Antonio Rada"/>
    <s v="Gualberto Alonso Salazar Trejo"/>
    <d v="2024-03-05T00:00:00"/>
    <s v="4.Plan de pagos"/>
    <n v="887400"/>
    <n v="88800"/>
    <n v="0"/>
    <n v="0"/>
    <n v="0"/>
    <n v="0"/>
    <n v="0"/>
    <n v="0"/>
    <n v="0"/>
    <n v="0"/>
    <n v="0"/>
    <n v="0"/>
    <n v="0"/>
    <n v="0"/>
    <n v="8000"/>
    <n v="4486"/>
    <n v="4486"/>
    <n v="4486"/>
    <n v="4486"/>
    <n v="4486"/>
    <n v="4486"/>
    <n v="4486"/>
    <n v="4486"/>
    <n v="4486"/>
    <n v="4485.5600000000004"/>
    <n v="4486"/>
    <n v="4486"/>
    <n v="4486"/>
    <n v="4486"/>
    <n v="4486"/>
    <n v="4486"/>
    <n v="4486"/>
    <m/>
    <m/>
    <m/>
    <m/>
    <n v="84261.56"/>
    <s v="al día"/>
    <m/>
    <m/>
    <n v="0.94889144144144144"/>
    <n v="-4538.4400000000023"/>
    <n v="-5.1108558558558587E-2"/>
    <n v="803138.44"/>
    <n v="0.90504669821951766"/>
    <n v="88800"/>
    <s v="Vendido"/>
    <x v="2"/>
    <n v="18"/>
    <n v="1"/>
    <n v="19"/>
    <n v="8000"/>
    <n v="4489"/>
    <n v="17"/>
    <n v="17"/>
    <n v="84313"/>
    <n v="71775.56"/>
    <n v="8000"/>
    <n v="4486"/>
    <n v="0"/>
    <n v="51.440000000002328"/>
    <x v="2"/>
    <m/>
    <m/>
  </r>
  <r>
    <x v="135"/>
    <s v="E1"/>
    <m/>
    <s v="Antonio Rada"/>
    <s v="Mildred Maritza Monterroso Montenegro De Santizo"/>
    <d v="2024-03-02T00:00:00"/>
    <s v="4.Plan de pagos"/>
    <n v="1390400"/>
    <n v="139100"/>
    <n v="0"/>
    <n v="0"/>
    <n v="0"/>
    <n v="0"/>
    <n v="0"/>
    <n v="0"/>
    <n v="0"/>
    <n v="0"/>
    <n v="0"/>
    <n v="0"/>
    <n v="0"/>
    <n v="0"/>
    <n v="8000"/>
    <n v="7283"/>
    <n v="7283"/>
    <n v="7283"/>
    <n v="7283"/>
    <n v="7283"/>
    <n v="7283"/>
    <n v="7283"/>
    <n v="7283"/>
    <n v="7283"/>
    <n v="7283"/>
    <n v="0"/>
    <n v="14566"/>
    <n v="7283"/>
    <n v="7283"/>
    <m/>
    <n v="14566"/>
    <n v="0"/>
    <m/>
    <m/>
    <m/>
    <m/>
    <n v="124528"/>
    <s v="3 meses sin pago"/>
    <s v="no se recibió pago julio, agosto"/>
    <n v="14566"/>
    <n v="0.89524083393242271"/>
    <n v="-14572"/>
    <n v="-0.10475916606757728"/>
    <n v="1265872"/>
    <n v="0.91043728423475256"/>
    <n v="139100"/>
    <s v="Vendido"/>
    <x v="2"/>
    <n v="18"/>
    <n v="1"/>
    <n v="19"/>
    <n v="8000"/>
    <n v="7283"/>
    <n v="12"/>
    <n v="17"/>
    <n v="131811"/>
    <n v="87396"/>
    <n v="37132"/>
    <n v="0"/>
    <n v="0"/>
    <n v="7283"/>
    <x v="2"/>
    <m/>
    <m/>
  </r>
  <r>
    <x v="136"/>
    <s v="A4"/>
    <m/>
    <s v="Brenda Búcaro"/>
    <s v="Sebastián Aristondo Barillas"/>
    <d v="2023-06-22T00:00:00"/>
    <s v="4.Plan de pagos"/>
    <n v="697500"/>
    <n v="70000"/>
    <n v="0"/>
    <n v="0"/>
    <n v="0"/>
    <n v="6000"/>
    <n v="1600"/>
    <n v="1600"/>
    <n v="1600"/>
    <n v="1600"/>
    <n v="1600"/>
    <n v="0"/>
    <n v="6000"/>
    <n v="0"/>
    <n v="0"/>
    <n v="3200"/>
    <n v="1600"/>
    <n v="0"/>
    <n v="6000"/>
    <n v="1600"/>
    <n v="1600"/>
    <n v="0"/>
    <n v="1600"/>
    <n v="0"/>
    <n v="0"/>
    <n v="3200"/>
    <n v="1600"/>
    <n v="7600"/>
    <n v="1600"/>
    <n v="1600"/>
    <n v="6000"/>
    <n v="0"/>
    <m/>
    <m/>
    <m/>
    <m/>
    <n v="57200"/>
    <s v="al día"/>
    <s v=""/>
    <m/>
    <n v="0.81714285714285717"/>
    <n v="-12800"/>
    <n v="-0.18285714285714286"/>
    <n v="640300"/>
    <n v="0.91799283154121869"/>
    <n v="70000"/>
    <s v="Vendido"/>
    <x v="0"/>
    <n v="27"/>
    <n v="1"/>
    <n v="28"/>
    <n v="6000"/>
    <n v="1600"/>
    <n v="14"/>
    <n v="26"/>
    <n v="47600"/>
    <n v="19200"/>
    <n v="38000"/>
    <n v="0"/>
    <n v="9600"/>
    <n v="0"/>
    <x v="0"/>
    <m/>
    <m/>
  </r>
  <r>
    <x v="137"/>
    <s v="B7"/>
    <s v="ENGANCHE CANCELADO"/>
    <s v="Antonio Rada"/>
    <s v="Rosa Gilda Tuchan Valle De Gonzalez"/>
    <d v="2024-07-12T00:00:00"/>
    <s v="4.Plan de pagos"/>
    <n v="864446.02"/>
    <n v="864446.02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854446.02"/>
    <n v="0"/>
    <n v="0"/>
    <n v="0"/>
    <n v="0"/>
    <n v="0"/>
    <n v="0"/>
    <m/>
    <m/>
    <m/>
    <n v="0"/>
    <m/>
    <m/>
    <m/>
    <m/>
    <n v="864446.02"/>
    <s v="Casos Especiales"/>
    <s v=""/>
    <m/>
    <n v="1"/>
    <n v="0"/>
    <n v="0"/>
    <n v="0"/>
    <n v="0"/>
    <n v="864446.02"/>
    <s v="Vendido"/>
    <x v="3"/>
    <n v="1"/>
    <n v="0"/>
    <n v="1"/>
    <n v="10000"/>
    <n v="854446.02"/>
    <n v="0"/>
    <n v="13"/>
    <n v="11117798.26"/>
    <n v="864446.02"/>
    <n v="0"/>
    <n v="0"/>
    <n v="0"/>
    <n v="0"/>
    <x v="0"/>
    <m/>
    <s v="PLAN ESPECIAL DE PAGOS"/>
  </r>
  <r>
    <x v="138"/>
    <s v="B2"/>
    <s v="ENGANCHE CANCELADO"/>
    <s v="Antonio Rada"/>
    <s v="Juan Pablo Gonzalez Tuchan"/>
    <d v="2024-07-30T00:00:00"/>
    <s v="4.Plan de pagos"/>
    <n v="941467.1"/>
    <n v="94146.71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84146.71"/>
    <n v="0"/>
    <n v="0"/>
    <n v="0"/>
    <n v="0"/>
    <n v="0"/>
    <n v="0"/>
    <n v="0"/>
    <m/>
    <m/>
    <m/>
    <n v="0"/>
    <m/>
    <m/>
    <m/>
    <m/>
    <n v="94146.71"/>
    <s v="Casos Especiales"/>
    <s v=""/>
    <m/>
    <n v="1"/>
    <n v="0"/>
    <n v="0"/>
    <n v="847320.39"/>
    <n v="0.9"/>
    <n v="94146.71"/>
    <s v="Vendido"/>
    <x v="3"/>
    <n v="1"/>
    <n v="0"/>
    <n v="1"/>
    <n v="10000"/>
    <n v="84146.71"/>
    <n v="0"/>
    <n v="13"/>
    <n v="1103907.23"/>
    <n v="94146.71"/>
    <n v="0"/>
    <n v="0"/>
    <n v="0"/>
    <n v="0"/>
    <x v="0"/>
    <m/>
    <s v="PLAN ESPECIAL DE PAGOS"/>
  </r>
  <r>
    <x v="139"/>
    <s v="B6"/>
    <m/>
    <s v="Antonio Rada"/>
    <s v="Industrias Danico, S.A."/>
    <d v="2024-05-14T00:00:00"/>
    <s v="4.Plan de pagos"/>
    <n v="895332.85"/>
    <n v="89632.85"/>
    <n v="0"/>
    <n v="0"/>
    <n v="0"/>
    <n v="0"/>
    <n v="0"/>
    <n v="0"/>
    <n v="0"/>
    <n v="0"/>
    <n v="0"/>
    <n v="0"/>
    <n v="0"/>
    <n v="0"/>
    <n v="0"/>
    <n v="0"/>
    <n v="8000"/>
    <n v="0"/>
    <n v="0"/>
    <n v="12246"/>
    <n v="0"/>
    <n v="8164"/>
    <n v="0"/>
    <n v="0"/>
    <n v="8164"/>
    <n v="0"/>
    <n v="8164"/>
    <n v="0"/>
    <n v="8164"/>
    <m/>
    <m/>
    <n v="12246"/>
    <m/>
    <m/>
    <m/>
    <m/>
    <n v="57148"/>
    <s v="4 meses sin pago"/>
    <s v="no se recibió pago agosto"/>
    <n v="4082"/>
    <n v="0.63757874484633703"/>
    <n v="-32484.850000000006"/>
    <n v="-0.36242125515366302"/>
    <n v="838184.85"/>
    <n v="0.93617122391968532"/>
    <n v="89632.85"/>
    <s v="Vendido"/>
    <x v="2"/>
    <n v="20"/>
    <n v="1"/>
    <n v="21"/>
    <n v="8000"/>
    <n v="4082"/>
    <n v="0"/>
    <n v="15"/>
    <n v="69230"/>
    <n v="0"/>
    <n v="65148"/>
    <n v="-8000"/>
    <n v="0"/>
    <n v="12082"/>
    <x v="6"/>
    <m/>
    <s v="Revisado"/>
  </r>
  <r>
    <x v="140"/>
    <s v="B1"/>
    <m/>
    <s v="Antonio Rada"/>
    <s v="Enma Suselly Lopez Muy"/>
    <d v="2023-11-20T00:00:00"/>
    <s v="4.Plan de pagos"/>
    <n v="883300"/>
    <n v="88400"/>
    <n v="0"/>
    <n v="0"/>
    <n v="0"/>
    <n v="0"/>
    <n v="0"/>
    <n v="0"/>
    <n v="0"/>
    <n v="0"/>
    <n v="5500"/>
    <n v="3765"/>
    <n v="3765"/>
    <n v="3765"/>
    <n v="3765"/>
    <n v="3765"/>
    <n v="3765"/>
    <n v="3765"/>
    <n v="3765"/>
    <n v="3765"/>
    <n v="3765"/>
    <n v="0"/>
    <n v="3765"/>
    <n v="3765"/>
    <n v="3765"/>
    <n v="3765"/>
    <n v="3765"/>
    <n v="7530"/>
    <n v="3765"/>
    <n v="3765"/>
    <n v="3765"/>
    <n v="3765"/>
    <m/>
    <m/>
    <m/>
    <m/>
    <n v="84565"/>
    <s v="al día"/>
    <s v=""/>
    <m/>
    <n v="0.95661764705882357"/>
    <n v="-3835"/>
    <n v="-4.3382352941176469E-2"/>
    <n v="798735"/>
    <n v="0.90426242499716969"/>
    <n v="88400"/>
    <s v="Vendido"/>
    <x v="0"/>
    <n v="22"/>
    <n v="1"/>
    <n v="23"/>
    <n v="5500"/>
    <n v="3765"/>
    <n v="19"/>
    <n v="21"/>
    <n v="84565"/>
    <n v="67770"/>
    <n v="13030"/>
    <n v="3765"/>
    <n v="0"/>
    <n v="0"/>
    <x v="0"/>
    <m/>
    <m/>
  </r>
  <r>
    <x v="141"/>
    <s v="E2"/>
    <m/>
    <s v="Antonio Rada"/>
    <s v="Leonora Elizabeth Cordon Arrivillaga"/>
    <d v="2024-02-20T00:00:00"/>
    <s v="4.Plan de pagos"/>
    <n v="1463600"/>
    <n v="146400"/>
    <n v="0"/>
    <n v="0"/>
    <n v="0"/>
    <n v="0"/>
    <n v="0"/>
    <n v="0"/>
    <n v="0"/>
    <n v="0"/>
    <n v="0"/>
    <n v="0"/>
    <n v="0"/>
    <n v="8000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n v="7284"/>
    <m/>
    <m/>
    <m/>
    <m/>
    <n v="139112"/>
    <s v="al día"/>
    <s v=""/>
    <m/>
    <n v="0.95021857923497266"/>
    <n v="-7288"/>
    <n v="-4.9781420765027319E-2"/>
    <n v="1324488"/>
    <n v="0.90495217272478823"/>
    <n v="146400"/>
    <s v="Vendido"/>
    <x v="0"/>
    <n v="19"/>
    <n v="1"/>
    <n v="20"/>
    <n v="8000"/>
    <n v="7284"/>
    <n v="18"/>
    <n v="18"/>
    <n v="139112"/>
    <n v="123828"/>
    <n v="8000"/>
    <n v="7284"/>
    <n v="0"/>
    <n v="0"/>
    <x v="0"/>
    <m/>
    <m/>
  </r>
  <r>
    <x v="142"/>
    <s v="A2"/>
    <m/>
    <s v="Brenda Búcaro"/>
    <s v="Coasa, S.A."/>
    <d v="2023-03-31T00:00:00"/>
    <s v="4.Plan de pagos"/>
    <n v="651600"/>
    <n v="65200"/>
    <n v="60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1700"/>
    <n v="3400"/>
    <m/>
    <n v="1700"/>
    <n v="1700"/>
    <m/>
    <m/>
    <m/>
    <m/>
    <n v="55300"/>
    <s v="al día"/>
    <s v=""/>
    <m/>
    <n v="0.84815950920245398"/>
    <n v="-9900"/>
    <n v="-0.15184049079754602"/>
    <n v="596300"/>
    <n v="0.91513198281154085"/>
    <n v="65200"/>
    <s v="Vendido"/>
    <x v="0"/>
    <n v="35"/>
    <n v="1"/>
    <n v="36"/>
    <n v="6000"/>
    <n v="1700"/>
    <n v="28"/>
    <n v="29"/>
    <n v="55300"/>
    <n v="44200"/>
    <n v="9400"/>
    <n v="1700"/>
    <n v="0"/>
    <n v="0"/>
    <x v="0"/>
    <m/>
    <m/>
  </r>
  <r>
    <x v="143"/>
    <s v="A6"/>
    <m/>
    <s v="Brenda Búcaro"/>
    <s v=" Juan Antonio Escobedo Del Cid"/>
    <d v="2023-04-11T00:00:00"/>
    <s v="4.Plan de pagos"/>
    <n v="657132.30000000005"/>
    <n v="65732.3"/>
    <n v="0"/>
    <n v="6000"/>
    <n v="0"/>
    <n v="1500"/>
    <n v="3000"/>
    <n v="1500"/>
    <n v="1500"/>
    <n v="1500"/>
    <n v="0"/>
    <n v="4500"/>
    <n v="0"/>
    <n v="1500"/>
    <n v="1500"/>
    <n v="3000"/>
    <n v="1500"/>
    <n v="0"/>
    <n v="1500"/>
    <n v="1500"/>
    <n v="1500"/>
    <n v="0"/>
    <n v="1500"/>
    <n v="1500"/>
    <n v="1500"/>
    <n v="1500"/>
    <n v="1500"/>
    <n v="3000"/>
    <m/>
    <n v="1500"/>
    <n v="1500"/>
    <n v="1500"/>
    <m/>
    <m/>
    <m/>
    <m/>
    <n v="46500"/>
    <s v="1 meses sin pago"/>
    <s v="no se recibió pago mayo"/>
    <n v="1500"/>
    <n v="0.70741477173322698"/>
    <n v="-19232.300000000003"/>
    <n v="-0.29258522826677297"/>
    <n v="610632.30000000005"/>
    <n v="0.92923799362776716"/>
    <n v="65732.3"/>
    <s v="Vendido"/>
    <x v="2"/>
    <n v="34"/>
    <n v="1"/>
    <n v="35"/>
    <n v="6000"/>
    <n v="1500"/>
    <n v="22"/>
    <n v="28"/>
    <n v="48000"/>
    <n v="25500"/>
    <n v="19500"/>
    <n v="1500"/>
    <n v="0"/>
    <n v="1500"/>
    <x v="2"/>
    <m/>
    <s v="Revisado"/>
  </r>
  <r>
    <x v="144"/>
    <s v="A3"/>
    <m/>
    <s v="Brenda Búcaro"/>
    <s v="Astrid Pamela Chew Chávez De Letona"/>
    <d v="2023-07-18T00:00:00"/>
    <s v="4.Plan de pagos"/>
    <n v="703500"/>
    <n v="70400"/>
    <n v="0"/>
    <n v="0"/>
    <n v="0"/>
    <n v="0"/>
    <n v="6000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n v="2477"/>
    <m/>
    <m/>
    <m/>
    <m/>
    <n v="67925"/>
    <s v="al día"/>
    <s v=""/>
    <m/>
    <n v="0.96484375"/>
    <n v="-2475"/>
    <n v="-3.515625E-2"/>
    <n v="635575"/>
    <n v="0.90344705046197582"/>
    <n v="70400"/>
    <s v="Vendido"/>
    <x v="0"/>
    <n v="26"/>
    <n v="1"/>
    <n v="27"/>
    <n v="6000"/>
    <n v="2477"/>
    <n v="25"/>
    <n v="25"/>
    <n v="67925"/>
    <n v="59448"/>
    <n v="6000"/>
    <n v="2477"/>
    <n v="0"/>
    <n v="0"/>
    <x v="0"/>
    <m/>
    <m/>
  </r>
  <r>
    <x v="145"/>
    <s v="C3"/>
    <m/>
    <s v="Brenda Búcaro"/>
    <s v="Edvin Eduardo Sajquim Sajquim"/>
    <d v="2023-05-29T00:00:00"/>
    <s v="4.Plan de pagos"/>
    <n v="967700"/>
    <n v="96800"/>
    <n v="0"/>
    <n v="0"/>
    <n v="6000"/>
    <n v="0"/>
    <n v="64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n v="3200"/>
    <m/>
    <m/>
    <m/>
    <m/>
    <n v="92400"/>
    <s v="al día"/>
    <s v=""/>
    <m/>
    <n v="0.95454545454545459"/>
    <n v="-4400"/>
    <n v="-4.5454545454545456E-2"/>
    <n v="875300"/>
    <n v="0.90451586235403536"/>
    <n v="96800"/>
    <s v="Vendido"/>
    <x v="0"/>
    <n v="29"/>
    <n v="1"/>
    <n v="30"/>
    <n v="6000"/>
    <n v="3200"/>
    <n v="25"/>
    <n v="27"/>
    <n v="92400"/>
    <n v="76800"/>
    <n v="12400"/>
    <n v="3200"/>
    <n v="0"/>
    <n v="0"/>
    <x v="0"/>
    <m/>
    <m/>
  </r>
  <r>
    <x v="146"/>
    <s v="C2"/>
    <m/>
    <s v="Antonio Rada"/>
    <s v="Maria Eugenia Ortiz Uck"/>
    <d v="2024-01-13T00:00:00"/>
    <s v="4.Plan de pagos"/>
    <n v="990132.5"/>
    <n v="99132.5"/>
    <n v="0"/>
    <n v="0"/>
    <n v="0"/>
    <n v="0"/>
    <n v="0"/>
    <n v="0"/>
    <n v="0"/>
    <n v="0"/>
    <n v="0"/>
    <n v="0"/>
    <n v="8000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n v="4557"/>
    <m/>
    <m/>
    <m/>
    <m/>
    <n v="94583"/>
    <s v="al día"/>
    <s v=""/>
    <m/>
    <n v="0.95410687715935738"/>
    <n v="-4549.5"/>
    <n v="-4.5893122840642571E-2"/>
    <n v="895549.5"/>
    <n v="0.90447440115338096"/>
    <n v="99132.5"/>
    <s v="Vendido"/>
    <x v="0"/>
    <n v="20"/>
    <n v="1"/>
    <n v="21"/>
    <n v="8000"/>
    <n v="4557"/>
    <n v="19"/>
    <n v="19"/>
    <n v="94583"/>
    <n v="82026"/>
    <n v="8000"/>
    <n v="4557"/>
    <n v="0"/>
    <n v="0"/>
    <x v="0"/>
    <m/>
    <m/>
  </r>
  <r>
    <x v="147"/>
    <s v="C4"/>
    <m/>
    <s v="Antonio Rada"/>
    <s v="Monica Arimany Monzon"/>
    <d v="2023-03-27T00:00:00"/>
    <s v="4.Plan de pagos"/>
    <n v="1087062.8421799999"/>
    <n v="108762.84"/>
    <n v="6000"/>
    <n v="2936"/>
    <n v="2936"/>
    <n v="2936"/>
    <n v="2936"/>
    <n v="2936"/>
    <n v="2936"/>
    <n v="2936"/>
    <n v="2936"/>
    <n v="2936"/>
    <n v="2936"/>
    <n v="2936"/>
    <n v="2551"/>
    <n v="3321"/>
    <n v="2936"/>
    <n v="2936"/>
    <n v="2936"/>
    <n v="2936"/>
    <n v="2936"/>
    <n v="2936"/>
    <n v="2936"/>
    <n v="2936"/>
    <n v="2936"/>
    <n v="0"/>
    <n v="2936"/>
    <n v="0"/>
    <m/>
    <m/>
    <m/>
    <n v="0"/>
    <m/>
    <m/>
    <m/>
    <m/>
    <n v="73528"/>
    <s v="F&amp;F"/>
    <s v=""/>
    <m/>
    <n v="0.67603972091938758"/>
    <n v="-35234.839999999997"/>
    <n v="-0.32396027908061242"/>
    <n v="1013534.8421799999"/>
    <n v="0.93236085610971053"/>
    <n v="108762.84"/>
    <s v="Vendido"/>
    <x v="2"/>
    <n v="35"/>
    <n v="1"/>
    <n v="36"/>
    <n v="6000"/>
    <n v="2936"/>
    <n v="23"/>
    <n v="29"/>
    <n v="91144"/>
    <n v="64207"/>
    <n v="9321"/>
    <n v="0"/>
    <n v="0"/>
    <n v="17616"/>
    <x v="1"/>
    <s v="F&amp;F"/>
    <m/>
  </r>
  <r>
    <x v="148"/>
    <s v="C1"/>
    <s v="ENGANCHE CANCELADO"/>
    <s v="Antonio Rada"/>
    <s v="Waldir Edenilson Contreras Pedroza"/>
    <d v="2024-01-15T00:00:00"/>
    <s v="4.Plan de pagos"/>
    <n v="1195970"/>
    <n v="119670"/>
    <n v="0"/>
    <n v="0"/>
    <n v="0"/>
    <n v="0"/>
    <n v="0"/>
    <n v="0"/>
    <n v="0"/>
    <n v="0"/>
    <n v="0"/>
    <n v="0"/>
    <n v="8000"/>
    <n v="10000"/>
    <n v="10000"/>
    <n v="7000"/>
    <n v="10000"/>
    <n v="10000"/>
    <n v="10000"/>
    <n v="10000"/>
    <n v="5000"/>
    <n v="10000"/>
    <n v="5000"/>
    <n v="5000"/>
    <n v="5000"/>
    <n v="5000"/>
    <n v="5000"/>
    <n v="5000"/>
    <m/>
    <m/>
    <m/>
    <n v="0"/>
    <m/>
    <m/>
    <m/>
    <m/>
    <n v="120000"/>
    <s v="Casos Especiales"/>
    <s v=""/>
    <m/>
    <n v="1.0027575833542242"/>
    <n v="330"/>
    <n v="2.7575833542241163E-3"/>
    <n v="1075970"/>
    <n v="0.89966303502596223"/>
    <n v="119670"/>
    <s v="Vendido"/>
    <x v="3"/>
    <n v="20"/>
    <n v="1"/>
    <n v="21"/>
    <n v="8000"/>
    <n v="5584"/>
    <n v="8"/>
    <n v="19"/>
    <n v="114096"/>
    <n v="35000"/>
    <n v="85000"/>
    <n v="0"/>
    <n v="5904"/>
    <n v="0"/>
    <x v="0"/>
    <m/>
    <m/>
  </r>
  <r>
    <x v="149"/>
    <s v="A8"/>
    <m/>
    <s v="Jose Franco"/>
    <s v="Vivian Arely Carranza León De Acevedo"/>
    <d v="2023-05-19T00:00:00"/>
    <s v="4.Plan de pagos"/>
    <n v="703500"/>
    <n v="70400"/>
    <n v="0"/>
    <n v="0"/>
    <n v="6000"/>
    <n v="2300"/>
    <n v="2300"/>
    <n v="2300"/>
    <n v="2300"/>
    <n v="2300"/>
    <n v="2300"/>
    <n v="4600"/>
    <n v="0"/>
    <n v="4600"/>
    <n v="0"/>
    <n v="4600"/>
    <n v="0"/>
    <n v="0"/>
    <n v="4600"/>
    <n v="4600"/>
    <n v="0"/>
    <n v="0"/>
    <n v="4600"/>
    <n v="0"/>
    <n v="4600"/>
    <n v="2300"/>
    <n v="4600"/>
    <n v="4600"/>
    <n v="2300"/>
    <m/>
    <n v="4600"/>
    <n v="0"/>
    <m/>
    <m/>
    <m/>
    <m/>
    <n v="70400"/>
    <s v="al día"/>
    <s v=""/>
    <m/>
    <n v="1"/>
    <n v="0"/>
    <n v="0"/>
    <n v="633100"/>
    <n v="0.89992892679459846"/>
    <n v="70400"/>
    <s v="Vendido"/>
    <x v="3"/>
    <n v="28"/>
    <n v="1"/>
    <n v="29"/>
    <n v="6000"/>
    <n v="2300"/>
    <n v="18"/>
    <n v="27"/>
    <n v="68100"/>
    <n v="18400"/>
    <n v="52000"/>
    <n v="0"/>
    <n v="2300"/>
    <n v="0"/>
    <x v="0"/>
    <m/>
    <m/>
  </r>
  <r>
    <x v="150"/>
    <s v="A1"/>
    <m/>
    <s v="Jose Franco"/>
    <s v="Juan José Silva Pacheco"/>
    <d v="2023-05-16T00:00:00"/>
    <s v="4.Plan de pagos"/>
    <n v="696469.08"/>
    <n v="69669.08"/>
    <n v="0"/>
    <n v="0"/>
    <n v="6000"/>
    <n v="2296"/>
    <n v="2274"/>
    <n v="2274"/>
    <n v="2274"/>
    <n v="2274"/>
    <n v="2274"/>
    <n v="2294"/>
    <n v="229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4528"/>
    <m/>
    <m/>
    <m/>
    <m/>
    <n v="69714"/>
    <s v="al día"/>
    <s v=""/>
    <m/>
    <n v="1.0006447623536869"/>
    <n v="44.919999999998254"/>
    <n v="6.447623536868616E-4"/>
    <n v="626755.07999999996"/>
    <n v="0.89990366837247104"/>
    <n v="69669.08"/>
    <s v="Vendido"/>
    <x v="4"/>
    <n v="28"/>
    <n v="1"/>
    <n v="29"/>
    <n v="6000"/>
    <n v="2274"/>
    <n v="27"/>
    <n v="27"/>
    <n v="67398"/>
    <n v="52302"/>
    <n v="17412"/>
    <n v="0"/>
    <n v="2316"/>
    <n v="0"/>
    <x v="0"/>
    <m/>
    <m/>
  </r>
  <r>
    <x v="151"/>
    <s v="B5"/>
    <m/>
    <s v="Antonio Rada"/>
    <s v="Roberto Andres Hernandez Benavides"/>
    <d v="2024-06-30T00:00:00"/>
    <s v="4.Plan de pagos"/>
    <n v="941800"/>
    <n v="94200"/>
    <n v="0"/>
    <n v="0"/>
    <n v="0"/>
    <n v="0"/>
    <n v="0"/>
    <n v="0"/>
    <n v="0"/>
    <n v="0"/>
    <n v="0"/>
    <n v="0"/>
    <n v="0"/>
    <n v="0"/>
    <n v="0"/>
    <n v="0"/>
    <n v="0"/>
    <n v="5000"/>
    <n v="5000"/>
    <n v="3776"/>
    <n v="3776"/>
    <n v="3776"/>
    <n v="3776"/>
    <n v="3775"/>
    <n v="3775"/>
    <n v="3775"/>
    <n v="3775"/>
    <n v="3775"/>
    <n v="3775"/>
    <n v="3775"/>
    <n v="20000"/>
    <n v="3775"/>
    <m/>
    <m/>
    <m/>
    <m/>
    <n v="75304"/>
    <s v="al día"/>
    <s v=""/>
    <m/>
    <n v="0.79940552016985134"/>
    <n v="-18896"/>
    <n v="-0.20059447983014861"/>
    <n v="866496"/>
    <n v="0.92004247186239119"/>
    <n v="94200"/>
    <s v="Vendido"/>
    <x v="0"/>
    <n v="18"/>
    <n v="1"/>
    <n v="19"/>
    <n v="10000"/>
    <n v="3776"/>
    <n v="14"/>
    <n v="14"/>
    <n v="62864"/>
    <n v="41529"/>
    <n v="30000"/>
    <n v="3775"/>
    <n v="12440"/>
    <n v="0"/>
    <x v="0"/>
    <m/>
    <m/>
  </r>
  <r>
    <x v="152"/>
    <s v="B8"/>
    <m/>
    <s v="Antonio Rada"/>
    <s v="Jose Juan Barrientos Juarez"/>
    <d v="2024-12-19T00:00:00"/>
    <s v="4.Plan de pagos"/>
    <n v="1102644.5780410699"/>
    <n v="110344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"/>
    <n v="0"/>
    <n v="12040"/>
    <n v="6020"/>
    <n v="6020"/>
    <n v="6020"/>
    <n v="6020"/>
    <n v="6020"/>
    <n v="0"/>
    <m/>
    <m/>
    <m/>
    <m/>
    <n v="50140"/>
    <s v="2 meses sin pago"/>
    <s v="no se recibió pago agosto"/>
    <n v="6020"/>
    <n v="0.45439476954826419"/>
    <n v="-60204.58"/>
    <n v="-0.54560523045173581"/>
    <n v="1052504.5780410699"/>
    <n v="0.95452750505600137"/>
    <n v="110344.58"/>
    <s v="Vendido"/>
    <x v="2"/>
    <n v="17"/>
    <n v="1"/>
    <n v="18"/>
    <n v="8000"/>
    <n v="6020"/>
    <n v="5"/>
    <n v="8"/>
    <n v="56160"/>
    <n v="30100"/>
    <n v="20040"/>
    <n v="0"/>
    <n v="0"/>
    <n v="6020"/>
    <x v="2"/>
    <m/>
    <m/>
  </r>
  <r>
    <x v="153"/>
    <s v="B4"/>
    <s v="Plan de pagos especiales, paga en agosto"/>
    <s v="Brenda Búcaro"/>
    <s v="Stephanie Herrera"/>
    <d v="2023-08-31T00:00:00"/>
    <s v="4.Plan de pagos"/>
    <n v="901400"/>
    <n v="90200"/>
    <n v="0"/>
    <n v="0"/>
    <n v="0"/>
    <n v="0"/>
    <n v="0"/>
    <n v="10000"/>
    <n v="0"/>
    <n v="0"/>
    <n v="0"/>
    <n v="0"/>
    <n v="0"/>
    <n v="20500"/>
    <n v="0"/>
    <n v="0"/>
    <n v="0"/>
    <n v="0"/>
    <n v="0"/>
    <n v="0"/>
    <n v="20500"/>
    <n v="0"/>
    <n v="0"/>
    <n v="0"/>
    <n v="0"/>
    <n v="20500"/>
    <n v="0"/>
    <n v="0"/>
    <n v="0"/>
    <m/>
    <m/>
    <n v="0"/>
    <m/>
    <m/>
    <m/>
    <m/>
    <n v="71500"/>
    <s v="Casos Especiales"/>
    <s v=""/>
    <m/>
    <n v="0.79268292682926833"/>
    <n v="-18700"/>
    <n v="-0.2073170731707317"/>
    <n v="829900"/>
    <n v="0.92067894386509874"/>
    <n v="90200"/>
    <s v="Vendido"/>
    <x v="14"/>
    <n v="4"/>
    <n v="1"/>
    <n v="5"/>
    <n v="10000"/>
    <n v="20050"/>
    <n v="0"/>
    <n v="24"/>
    <n v="491200"/>
    <n v="10000"/>
    <n v="61500"/>
    <n v="0"/>
    <n v="0"/>
    <n v="419700"/>
    <x v="9"/>
    <m/>
    <s v="*Plan de Pagos Especial*  próximo pago en agosto 2025 por GTQ 20,050,00 cancela enganche."/>
  </r>
  <r>
    <x v="154"/>
    <s v="B3"/>
    <m/>
    <s v="Antonio Rada"/>
    <s v="Jorge Pablo Gonzalez Oordoñez"/>
    <d v="2024-01-25T00:00:00"/>
    <s v="4.Plan de pagos"/>
    <n v="887400"/>
    <n v="88800"/>
    <n v="0"/>
    <n v="0"/>
    <n v="0"/>
    <n v="0"/>
    <n v="0"/>
    <n v="0"/>
    <n v="0"/>
    <n v="0"/>
    <n v="0"/>
    <n v="0"/>
    <n v="8000"/>
    <n v="4040"/>
    <n v="0"/>
    <n v="8080"/>
    <n v="4040"/>
    <n v="4040"/>
    <n v="0"/>
    <n v="8080"/>
    <n v="0"/>
    <n v="8080"/>
    <n v="0"/>
    <n v="4040"/>
    <n v="0"/>
    <n v="4040"/>
    <n v="8080"/>
    <n v="8080"/>
    <n v="4040"/>
    <n v="4040"/>
    <n v="4040"/>
    <n v="4040"/>
    <m/>
    <m/>
    <m/>
    <m/>
    <n v="84760"/>
    <s v="al día"/>
    <s v=""/>
    <m/>
    <n v="0.95450450450450453"/>
    <n v="-4040"/>
    <n v="-4.5495495495495496E-2"/>
    <n v="802640"/>
    <n v="0.90448501239576296"/>
    <n v="88800"/>
    <s v="Vendido"/>
    <x v="0"/>
    <n v="20"/>
    <n v="1"/>
    <n v="21"/>
    <n v="8000"/>
    <n v="4040"/>
    <n v="9"/>
    <n v="19"/>
    <n v="84760"/>
    <n v="32320"/>
    <n v="48400"/>
    <n v="4040"/>
    <n v="0"/>
    <n v="0"/>
    <x v="0"/>
    <m/>
    <m/>
  </r>
  <r>
    <x v="155"/>
    <s v="E8"/>
    <m/>
    <s v="Brenda Búcaro"/>
    <s v="Alba Lucila Martinez Tobar"/>
    <d v="2023-07-11T00:00:00"/>
    <s v="4.Plan de pagos"/>
    <n v="1382700"/>
    <n v="138300"/>
    <n v="0"/>
    <n v="0"/>
    <n v="0"/>
    <n v="0"/>
    <n v="6000"/>
    <n v="0"/>
    <n v="10000"/>
    <n v="5000"/>
    <n v="0"/>
    <n v="10000"/>
    <n v="5000"/>
    <n v="5000"/>
    <n v="5000"/>
    <n v="5000"/>
    <n v="5000"/>
    <n v="5000"/>
    <n v="0"/>
    <n v="10000"/>
    <n v="0"/>
    <n v="10000"/>
    <n v="0"/>
    <n v="0"/>
    <n v="5000"/>
    <n v="10000"/>
    <n v="0"/>
    <n v="15000"/>
    <m/>
    <n v="10000"/>
    <m/>
    <n v="5000"/>
    <m/>
    <m/>
    <m/>
    <m/>
    <n v="126000"/>
    <s v="3 meses sin pago"/>
    <m/>
    <m/>
    <n v="0.91106290672451196"/>
    <n v="-12300"/>
    <n v="-8.8937093275488072E-2"/>
    <n v="1256700"/>
    <n v="0.90887394228683016"/>
    <n v="138300"/>
    <s v="Vendido"/>
    <x v="2"/>
    <n v="26"/>
    <n v="1"/>
    <n v="27"/>
    <n v="6000"/>
    <n v="5000"/>
    <n v="9"/>
    <n v="25"/>
    <n v="131000"/>
    <n v="40000"/>
    <n v="81000"/>
    <n v="5000"/>
    <n v="0"/>
    <n v="5000"/>
    <x v="2"/>
    <m/>
    <s v="Revisado y cobrado,"/>
  </r>
  <r>
    <x v="156"/>
    <s v="A10"/>
    <m/>
    <m/>
    <m/>
    <m/>
    <s v="1.Disponible"/>
    <n v="982583.641688128"/>
    <n v="98258.364168812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982583.641688128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57"/>
    <s v="C10"/>
    <m/>
    <s v="Brenda Búcaro"/>
    <s v="Mario Alberto Maldonado Recinos"/>
    <d v="2023-09-16T00:00:00"/>
    <s v="4.Plan de pagos"/>
    <n v="1052367.5"/>
    <n v="105267.5"/>
    <n v="0"/>
    <n v="0"/>
    <n v="0"/>
    <n v="0"/>
    <n v="0"/>
    <n v="0"/>
    <n v="8000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3"/>
    <n v="4054"/>
    <n v="4053"/>
    <n v="4053"/>
    <n v="4053"/>
    <n v="4053"/>
    <n v="4053"/>
    <m/>
    <m/>
    <m/>
    <m/>
    <n v="101220"/>
    <s v="al día"/>
    <m/>
    <m/>
    <n v="0.96155033604863804"/>
    <n v="-4047.5"/>
    <n v="-3.8449663951362005E-2"/>
    <n v="951147.5"/>
    <n v="0.90381687005727562"/>
    <n v="105267.5"/>
    <s v="Vendido"/>
    <x v="2"/>
    <n v="24"/>
    <n v="1"/>
    <n v="25"/>
    <n v="8000"/>
    <n v="4054"/>
    <n v="23"/>
    <n v="23"/>
    <n v="101242"/>
    <n v="89167"/>
    <n v="8000"/>
    <n v="4053"/>
    <n v="0"/>
    <n v="22"/>
    <x v="2"/>
    <m/>
    <m/>
  </r>
  <r>
    <x v="158"/>
    <s v="C7"/>
    <m/>
    <s v="Ronaldo"/>
    <s v="Iurix, S.A"/>
    <d v="2024-01-09T00:00:00"/>
    <s v="4.Plan de pagos"/>
    <n v="973800"/>
    <n v="97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97380"/>
    <n v="-1"/>
    <n v="973800"/>
    <n v="1"/>
    <n v="97380"/>
    <s v="Vendido"/>
    <x v="2"/>
    <n v="21"/>
    <n v="1"/>
    <n v="22"/>
    <n v="12062"/>
    <n v="4062.73"/>
    <n v="0"/>
    <n v="19"/>
    <n v="89253.87"/>
    <n v="0"/>
    <n v="0"/>
    <n v="0"/>
    <n v="0"/>
    <n v="89253.87"/>
    <x v="1"/>
    <s v="F&amp;F"/>
    <m/>
  </r>
  <r>
    <x v="159"/>
    <s v="B6"/>
    <m/>
    <s v="Antonio Rada"/>
    <s v="Wender Josue Bailon Campos"/>
    <d v="2024-04-22T00:00:00"/>
    <s v="4.Plan de pagos"/>
    <n v="903600"/>
    <n v="90400"/>
    <n v="0"/>
    <n v="0"/>
    <n v="0"/>
    <n v="0"/>
    <n v="0"/>
    <n v="0"/>
    <n v="0"/>
    <n v="0"/>
    <n v="0"/>
    <n v="0"/>
    <n v="0"/>
    <n v="0"/>
    <n v="0"/>
    <n v="8000"/>
    <n v="4845"/>
    <n v="4845"/>
    <n v="4845"/>
    <n v="4845"/>
    <n v="4845"/>
    <n v="4845"/>
    <n v="4845"/>
    <n v="4845"/>
    <n v="4845"/>
    <n v="4845"/>
    <n v="4845"/>
    <n v="4845"/>
    <n v="9690"/>
    <m/>
    <n v="4845"/>
    <n v="4845"/>
    <m/>
    <m/>
    <m/>
    <m/>
    <n v="85520"/>
    <s v="1 meses sin pago"/>
    <m/>
    <m/>
    <n v="0.9460176991150443"/>
    <n v="-4880"/>
    <n v="-5.3982300884955751E-2"/>
    <n v="818080"/>
    <n v="0.90535635236830458"/>
    <n v="90400"/>
    <s v="Vendido"/>
    <x v="2"/>
    <n v="17"/>
    <n v="1"/>
    <n v="18"/>
    <n v="8000"/>
    <n v="4847"/>
    <n v="14"/>
    <n v="16"/>
    <n v="85552"/>
    <n v="62985"/>
    <n v="17690"/>
    <n v="4845"/>
    <n v="0"/>
    <n v="32"/>
    <x v="2"/>
    <m/>
    <m/>
  </r>
  <r>
    <x v="160"/>
    <s v="B1"/>
    <m/>
    <s v="Antonio Rada"/>
    <s v="Rebecca Gonzalez Ordoñez"/>
    <d v="2024-01-29T00:00:00"/>
    <s v="4.Plan de pagos"/>
    <n v="883300"/>
    <n v="88400"/>
    <n v="0"/>
    <n v="0"/>
    <n v="0"/>
    <n v="0"/>
    <n v="6000"/>
    <n v="0"/>
    <n v="0"/>
    <n v="0"/>
    <n v="0"/>
    <n v="0"/>
    <n v="8000"/>
    <n v="4020"/>
    <n v="0"/>
    <n v="8040"/>
    <n v="4020"/>
    <n v="4020"/>
    <n v="0"/>
    <n v="8040"/>
    <n v="0"/>
    <n v="8040"/>
    <n v="0"/>
    <n v="4020"/>
    <n v="0"/>
    <n v="4040"/>
    <n v="8040"/>
    <n v="8040"/>
    <n v="4020"/>
    <n v="4020"/>
    <n v="4020"/>
    <n v="4020"/>
    <m/>
    <m/>
    <m/>
    <m/>
    <n v="90400"/>
    <s v="1 meses sin pago"/>
    <s v=""/>
    <m/>
    <n v="1.0226244343891402"/>
    <n v="2000"/>
    <n v="2.2624434389140271E-2"/>
    <n v="792900"/>
    <n v="0.89765651534020152"/>
    <n v="88400"/>
    <s v="Vendido"/>
    <x v="4"/>
    <n v="20"/>
    <n v="1"/>
    <n v="21"/>
    <n v="6000"/>
    <n v="4020"/>
    <n v="9"/>
    <n v="19"/>
    <n v="82380"/>
    <n v="28140"/>
    <n v="58240"/>
    <n v="4020"/>
    <n v="8020"/>
    <n v="0"/>
    <x v="0"/>
    <m/>
    <m/>
  </r>
  <r>
    <x v="161"/>
    <s v="E2"/>
    <m/>
    <s v="Brenda Búcaro"/>
    <s v="Marcela Alejandra Castro Marcía"/>
    <d v="2023-09-28T00:00:00"/>
    <s v="4.Plan de pagos"/>
    <n v="1309197.44"/>
    <n v="130997.44"/>
    <n v="0"/>
    <n v="0"/>
    <n v="0"/>
    <n v="0"/>
    <n v="0"/>
    <n v="6000"/>
    <n v="0"/>
    <n v="5208"/>
    <n v="5208"/>
    <n v="5208"/>
    <n v="5208"/>
    <n v="5208"/>
    <n v="5208"/>
    <n v="5208"/>
    <n v="0"/>
    <n v="10416"/>
    <n v="5208"/>
    <n v="5208"/>
    <n v="5208"/>
    <n v="0"/>
    <n v="5208"/>
    <n v="10416"/>
    <n v="0"/>
    <n v="5208"/>
    <n v="10416"/>
    <n v="0"/>
    <n v="10416"/>
    <n v="5208"/>
    <n v="5208"/>
    <n v="0"/>
    <m/>
    <m/>
    <m/>
    <m/>
    <n v="120576"/>
    <s v="3 meses sin pago"/>
    <s v="Pagos de 10k de mayo compensan meses anteriores abr y ago"/>
    <n v="0"/>
    <n v="0.92044546824731843"/>
    <n v="-10421.440000000002"/>
    <n v="-7.9554531752681595E-2"/>
    <n v="1188621.44"/>
    <n v="0.90790082815927287"/>
    <n v="130997.44"/>
    <s v="Vendido"/>
    <x v="2"/>
    <n v="24"/>
    <n v="1"/>
    <n v="25"/>
    <n v="6000"/>
    <n v="5208"/>
    <n v="14"/>
    <n v="23"/>
    <n v="125784"/>
    <n v="72912"/>
    <n v="47664"/>
    <n v="0"/>
    <n v="0"/>
    <n v="5208"/>
    <x v="2"/>
    <m/>
    <m/>
  </r>
  <r>
    <x v="162"/>
    <s v="A2"/>
    <m/>
    <s v="Brenda Búcaro"/>
    <s v="José Fernando Cordón Almengor"/>
    <d v="2023-05-03T00:00:00"/>
    <s v="4.Plan de pagos"/>
    <n v="687500"/>
    <n v="68800"/>
    <n v="0"/>
    <n v="0"/>
    <n v="8250"/>
    <n v="0"/>
    <n v="2250"/>
    <n v="2250"/>
    <n v="2250"/>
    <n v="2250"/>
    <n v="2250"/>
    <n v="2250"/>
    <n v="2250"/>
    <n v="2250"/>
    <n v="2250"/>
    <n v="2250"/>
    <n v="2250"/>
    <n v="2250"/>
    <n v="0"/>
    <n v="4500"/>
    <n v="2250"/>
    <n v="2250"/>
    <n v="2250"/>
    <n v="2250"/>
    <n v="2250"/>
    <n v="0"/>
    <n v="4500"/>
    <n v="2250"/>
    <n v="2250"/>
    <n v="2250"/>
    <n v="2250"/>
    <n v="2250"/>
    <m/>
    <m/>
    <m/>
    <m/>
    <n v="66750"/>
    <s v="al día"/>
    <s v=""/>
    <m/>
    <n v="0.97020348837209303"/>
    <n v="-2050"/>
    <n v="-2.9796511627906978E-2"/>
    <n v="620750"/>
    <n v="0.90290909090909088"/>
    <n v="68800"/>
    <s v="Vendido"/>
    <x v="0"/>
    <n v="28"/>
    <n v="1"/>
    <n v="29"/>
    <n v="6000"/>
    <n v="2250"/>
    <n v="24"/>
    <n v="27"/>
    <n v="66750"/>
    <n v="47250"/>
    <n v="17250"/>
    <n v="2250"/>
    <n v="0"/>
    <n v="0"/>
    <x v="0"/>
    <m/>
    <m/>
  </r>
  <r>
    <x v="163"/>
    <s v="A6"/>
    <m/>
    <s v="Brenda Búcaro"/>
    <s v="Jessica María Ramirez Girard"/>
    <d v="2023-05-22T00:00:00"/>
    <s v="4.Plan de pagos"/>
    <n v="699700"/>
    <n v="70000"/>
    <n v="0"/>
    <n v="0"/>
    <n v="600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n v="2250"/>
    <m/>
    <m/>
    <m/>
    <m/>
    <n v="66750"/>
    <s v="al día"/>
    <s v=""/>
    <m/>
    <n v="0.95357142857142863"/>
    <n v="-3250"/>
    <n v="-4.642857142857143E-2"/>
    <n v="632950"/>
    <n v="0.90460197227383166"/>
    <n v="70000"/>
    <s v="Vendido"/>
    <x v="0"/>
    <n v="28"/>
    <n v="1"/>
    <n v="29"/>
    <n v="6000"/>
    <n v="2250"/>
    <n v="27"/>
    <n v="27"/>
    <n v="66750"/>
    <n v="58500"/>
    <n v="6000"/>
    <n v="2250"/>
    <n v="0"/>
    <n v="0"/>
    <x v="0"/>
    <m/>
    <m/>
  </r>
  <r>
    <x v="164"/>
    <s v="A3"/>
    <m/>
    <s v="Antonio Rada"/>
    <s v="Astrid Maricel De León Ramírez"/>
    <d v="2023-07-21T00:00:00"/>
    <s v="4.Plan de pagos"/>
    <n v="703500"/>
    <n v="70400"/>
    <n v="0"/>
    <n v="0"/>
    <n v="0"/>
    <n v="6000"/>
    <n v="0"/>
    <n v="2477"/>
    <n v="2477"/>
    <n v="2477"/>
    <n v="2477"/>
    <n v="4954"/>
    <n v="0"/>
    <n v="2477"/>
    <n v="2477"/>
    <n v="2477"/>
    <n v="4954"/>
    <n v="0"/>
    <n v="2477"/>
    <n v="2477"/>
    <n v="2477"/>
    <n v="2477"/>
    <n v="2477"/>
    <n v="2477"/>
    <n v="2477"/>
    <n v="2477"/>
    <n v="0"/>
    <n v="2477"/>
    <n v="4954"/>
    <n v="2477"/>
    <m/>
    <n v="2477"/>
    <m/>
    <m/>
    <m/>
    <m/>
    <n v="65448"/>
    <s v="2 meses sin pago"/>
    <s v="no se recibió pago julio"/>
    <n v="2477"/>
    <n v="0.92965909090909093"/>
    <n v="-4952"/>
    <n v="-7.0340909090909093E-2"/>
    <n v="638052"/>
    <n v="0.90696801705756924"/>
    <n v="70400"/>
    <s v="Vendido"/>
    <x v="2"/>
    <n v="26"/>
    <n v="1"/>
    <n v="27"/>
    <n v="6000"/>
    <n v="2477"/>
    <n v="21"/>
    <n v="25"/>
    <n v="67925"/>
    <n v="42109"/>
    <n v="20862"/>
    <n v="2477"/>
    <n v="0"/>
    <n v="2477"/>
    <x v="2"/>
    <m/>
    <m/>
  </r>
  <r>
    <x v="165"/>
    <s v="C3"/>
    <m/>
    <s v="Brenda Búcaro"/>
    <s v="Ana Lucrecia Rangel Aquino"/>
    <d v="2023-03-31T00:00:00"/>
    <s v="4.Plan de pagos"/>
    <n v="921600"/>
    <n v="92200"/>
    <n v="6000"/>
    <n v="2465"/>
    <n v="0"/>
    <n v="4930"/>
    <n v="2465"/>
    <n v="2465"/>
    <n v="2465"/>
    <n v="2465"/>
    <n v="0"/>
    <n v="2465"/>
    <n v="0"/>
    <n v="2465"/>
    <n v="4930"/>
    <n v="4930"/>
    <n v="2465"/>
    <n v="0"/>
    <n v="2465"/>
    <n v="4930"/>
    <n v="0"/>
    <n v="2465"/>
    <n v="0"/>
    <n v="0"/>
    <n v="0"/>
    <n v="14790"/>
    <n v="0"/>
    <n v="2465"/>
    <n v="2465"/>
    <n v="2465"/>
    <m/>
    <n v="2465"/>
    <m/>
    <m/>
    <m/>
    <m/>
    <n v="75020"/>
    <s v="3 meses sin pago"/>
    <m/>
    <m/>
    <n v="0.81366594360086764"/>
    <n v="-17180"/>
    <n v="-0.18633405639913231"/>
    <n v="846580"/>
    <n v="0.91859809027777772"/>
    <n v="92200"/>
    <s v="Vendido"/>
    <x v="2"/>
    <n v="35"/>
    <n v="1"/>
    <n v="36"/>
    <n v="6000"/>
    <n v="2465"/>
    <n v="18"/>
    <n v="29"/>
    <n v="77485"/>
    <n v="32045"/>
    <n v="40510"/>
    <n v="2465"/>
    <n v="0"/>
    <n v="2465"/>
    <x v="2"/>
    <m/>
    <m/>
  </r>
  <r>
    <x v="166"/>
    <s v="C2"/>
    <m/>
    <s v="Ronaldo"/>
    <s v="Iurix, S.A"/>
    <d v="2024-01-09T00:00:00"/>
    <s v="4.Plan de pagos"/>
    <n v="929000"/>
    <n v="9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92900"/>
    <n v="-1"/>
    <n v="929000"/>
    <n v="1"/>
    <n v="92900"/>
    <s v="Vendido"/>
    <x v="2"/>
    <n v="21"/>
    <n v="1"/>
    <n v="22"/>
    <n v="11859.09"/>
    <n v="3859.09"/>
    <n v="0"/>
    <n v="19"/>
    <n v="85181.8"/>
    <n v="0"/>
    <n v="0"/>
    <n v="0"/>
    <n v="0"/>
    <n v="85181.8"/>
    <x v="1"/>
    <s v="F&amp;F"/>
    <m/>
  </r>
  <r>
    <x v="167"/>
    <s v="C4"/>
    <m/>
    <s v="Antonio Rada"/>
    <s v=" Zonia Beariz Hernandez Herrera"/>
    <d v="2023-04-11T00:00:00"/>
    <s v="4.Plan de pagos"/>
    <n v="1097100"/>
    <n v="109800"/>
    <n v="0"/>
    <n v="6000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n v="3579"/>
    <m/>
    <n v="3579"/>
    <m/>
    <n v="0"/>
    <m/>
    <m/>
    <m/>
    <m/>
    <n v="95475"/>
    <s v="3 meses sin pago"/>
    <s v="no se recibió pago mayo, julio agosto"/>
    <n v="10737"/>
    <n v="0.86953551912568305"/>
    <n v="-14325"/>
    <n v="-0.13046448087431695"/>
    <n v="1001625"/>
    <n v="0.91297511621547711"/>
    <n v="109800"/>
    <s v="Vendido"/>
    <x v="2"/>
    <n v="29"/>
    <n v="1"/>
    <n v="30"/>
    <n v="6000"/>
    <n v="3579"/>
    <n v="25"/>
    <n v="28"/>
    <n v="106212"/>
    <n v="89475"/>
    <n v="6000"/>
    <n v="0"/>
    <n v="0"/>
    <n v="10737"/>
    <x v="6"/>
    <m/>
    <m/>
  </r>
  <r>
    <x v="168"/>
    <s v="C1"/>
    <m/>
    <s v="Antonio Rada"/>
    <s v="Evelin Yadira Orellana Ordoñez"/>
    <d v="2023-03-23T00:00:00"/>
    <s v="4.Plan de pagos"/>
    <n v="1111200"/>
    <n v="216000"/>
    <n v="6000"/>
    <n v="0"/>
    <n v="12000"/>
    <n v="6000"/>
    <n v="6000"/>
    <n v="6000"/>
    <n v="6000"/>
    <n v="6000"/>
    <n v="6000"/>
    <n v="6000"/>
    <n v="6000"/>
    <n v="6000"/>
    <n v="0"/>
    <n v="0"/>
    <n v="18000"/>
    <n v="6000"/>
    <n v="0"/>
    <n v="6000"/>
    <n v="6000"/>
    <n v="6000"/>
    <n v="6000"/>
    <n v="6000"/>
    <n v="6000"/>
    <n v="6000"/>
    <n v="6000"/>
    <n v="12000"/>
    <n v="6000"/>
    <n v="6000"/>
    <n v="6000"/>
    <n v="6000"/>
    <m/>
    <m/>
    <m/>
    <m/>
    <n v="180000"/>
    <s v="al día"/>
    <s v=""/>
    <m/>
    <n v="0.83333333333333337"/>
    <n v="-36000"/>
    <n v="-0.16666666666666666"/>
    <n v="931200"/>
    <n v="0.83801295896328298"/>
    <n v="216000"/>
    <s v="Vendido"/>
    <x v="0"/>
    <n v="35"/>
    <n v="1"/>
    <n v="36"/>
    <n v="6000"/>
    <n v="6000"/>
    <n v="0"/>
    <n v="29"/>
    <n v="180000"/>
    <n v="132000"/>
    <n v="42000"/>
    <n v="6000"/>
    <n v="0"/>
    <n v="0"/>
    <x v="0"/>
    <m/>
    <m/>
  </r>
  <r>
    <x v="169"/>
    <s v="A8"/>
    <m/>
    <s v="Antonio Rada"/>
    <s v="Eduar Reginaldo Colindres Estrada"/>
    <d v="2023-05-26T00:00:00"/>
    <s v="4.Plan de pagos"/>
    <n v="703500"/>
    <n v="70400"/>
    <n v="0"/>
    <n v="6000"/>
    <n v="0"/>
    <n v="2300"/>
    <n v="2300"/>
    <n v="2300"/>
    <n v="2300"/>
    <n v="2300"/>
    <n v="0"/>
    <n v="2300"/>
    <n v="4600"/>
    <n v="0"/>
    <n v="4600"/>
    <n v="2300"/>
    <n v="0"/>
    <n v="2300"/>
    <n v="2300"/>
    <n v="4600"/>
    <n v="0"/>
    <n v="4600"/>
    <n v="0"/>
    <n v="0"/>
    <n v="0"/>
    <n v="9600"/>
    <n v="0"/>
    <n v="4800"/>
    <n v="2400"/>
    <m/>
    <m/>
    <n v="4800"/>
    <m/>
    <m/>
    <m/>
    <m/>
    <n v="66700"/>
    <s v="4 meses sin pago"/>
    <s v="no se recibió pago julio"/>
    <n v="2300"/>
    <n v="0.94744318181818177"/>
    <n v="-3700"/>
    <n v="-5.2556818181818184E-2"/>
    <n v="636800"/>
    <n v="0.90518834399431414"/>
    <n v="70400"/>
    <s v="Vendido"/>
    <x v="2"/>
    <n v="28"/>
    <n v="1"/>
    <n v="29"/>
    <n v="6000"/>
    <n v="2300"/>
    <n v="16"/>
    <n v="27"/>
    <n v="68100"/>
    <n v="20700"/>
    <n v="46000"/>
    <n v="0"/>
    <n v="0"/>
    <n v="1400"/>
    <x v="2"/>
    <m/>
    <m/>
  </r>
  <r>
    <x v="170"/>
    <s v="A1"/>
    <m/>
    <s v="Jose Franco"/>
    <s v=" Jorge Silva Sagastume"/>
    <d v="2023-05-16T00:00:00"/>
    <s v="4.Plan de pagos"/>
    <n v="696469.08"/>
    <n v="69669.08"/>
    <n v="0"/>
    <n v="0"/>
    <n v="6000"/>
    <n v="2275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n v="2274"/>
    <m/>
    <m/>
    <m/>
    <m/>
    <n v="67399"/>
    <s v="al día"/>
    <m/>
    <m/>
    <n v="0.96741624835579854"/>
    <n v="-2270.0800000000017"/>
    <n v="-3.2583751644201443E-2"/>
    <n v="629070.07999999996"/>
    <n v="0.90322757759755823"/>
    <n v="69669.08"/>
    <s v="Vendido"/>
    <x v="2"/>
    <n v="28"/>
    <n v="1"/>
    <n v="29"/>
    <n v="6000"/>
    <n v="2275"/>
    <n v="27"/>
    <n v="27"/>
    <n v="67425"/>
    <n v="59125"/>
    <n v="6000"/>
    <n v="2274"/>
    <n v="0"/>
    <n v="26"/>
    <x v="2"/>
    <m/>
    <m/>
  </r>
  <r>
    <x v="171"/>
    <s v="B5"/>
    <m/>
    <s v="Brenda Búcaro"/>
    <s v="Barbara Elizabeth Ixmucane Zapeta Albanés"/>
    <d v="2023-07-06T00:00:00"/>
    <s v="4.Plan de pagos"/>
    <n v="941800"/>
    <n v="94200"/>
    <n v="0"/>
    <n v="0"/>
    <n v="0"/>
    <n v="0"/>
    <n v="6000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n v="3267"/>
    <m/>
    <m/>
    <m/>
    <m/>
    <n v="87675"/>
    <s v="al día"/>
    <s v=""/>
    <m/>
    <n v="0.93073248407643316"/>
    <n v="-6525"/>
    <n v="-6.9267515923566877E-2"/>
    <n v="854125"/>
    <n v="0.90690698662136338"/>
    <n v="94200"/>
    <s v="Vendido"/>
    <x v="0"/>
    <n v="27"/>
    <n v="1"/>
    <n v="28"/>
    <n v="6000"/>
    <n v="3267"/>
    <n v="25"/>
    <n v="25"/>
    <n v="87675"/>
    <n v="78408"/>
    <n v="6000"/>
    <n v="3267"/>
    <n v="0"/>
    <n v="0"/>
    <x v="0"/>
    <m/>
    <m/>
  </r>
  <r>
    <x v="172"/>
    <s v="B8"/>
    <m/>
    <s v="Antonio Rada"/>
    <s v="Diana Marisol Donis Cú"/>
    <d v="2024-02-21T00:00:00"/>
    <s v="4.Plan de pagos"/>
    <n v="943100"/>
    <n v="94400"/>
    <n v="0"/>
    <n v="0"/>
    <n v="0"/>
    <n v="0"/>
    <n v="0"/>
    <n v="0"/>
    <n v="0"/>
    <n v="0"/>
    <n v="0"/>
    <n v="0"/>
    <n v="0"/>
    <n v="8000"/>
    <n v="0"/>
    <n v="9094"/>
    <n v="0"/>
    <n v="0"/>
    <n v="13641"/>
    <n v="0"/>
    <n v="0"/>
    <n v="0"/>
    <n v="0"/>
    <n v="18188"/>
    <n v="0"/>
    <n v="0"/>
    <n v="0"/>
    <n v="22735"/>
    <m/>
    <m/>
    <m/>
    <n v="0"/>
    <m/>
    <m/>
    <m/>
    <m/>
    <n v="71658"/>
    <s v="7 meses sin pago"/>
    <s v="no se recibió pago mayo, junio, julio, agosto"/>
    <n v="18188"/>
    <n v="0.75908898305084749"/>
    <n v="-22742"/>
    <n v="-0.24091101694915254"/>
    <n v="871442"/>
    <n v="0.92401866185982395"/>
    <n v="94400"/>
    <s v="Vendido"/>
    <x v="2"/>
    <n v="19"/>
    <n v="1"/>
    <n v="20"/>
    <n v="8000"/>
    <n v="4547"/>
    <n v="0"/>
    <n v="18"/>
    <n v="89846"/>
    <n v="0"/>
    <n v="71658"/>
    <n v="0"/>
    <n v="0"/>
    <n v="18188"/>
    <x v="8"/>
    <m/>
    <s v="Revisado y cobrado,"/>
  </r>
  <r>
    <x v="173"/>
    <s v="B4"/>
    <m/>
    <s v="Brenda Búcaro"/>
    <s v="Marcela Alejandra Castro Marcía"/>
    <d v="2023-09-04T00:00:00"/>
    <s v="4.Plan de pagos"/>
    <n v="901400"/>
    <n v="90200"/>
    <n v="0"/>
    <n v="0"/>
    <n v="0"/>
    <n v="0"/>
    <n v="0"/>
    <n v="0"/>
    <n v="6000"/>
    <n v="3368"/>
    <n v="3368"/>
    <n v="3368"/>
    <n v="3368"/>
    <n v="3368"/>
    <n v="3368"/>
    <n v="3368"/>
    <n v="0"/>
    <n v="6736"/>
    <n v="0"/>
    <n v="6736"/>
    <n v="3368"/>
    <n v="0"/>
    <n v="3368"/>
    <n v="6736"/>
    <n v="0"/>
    <n v="3368"/>
    <n v="3368"/>
    <n v="0"/>
    <n v="10104"/>
    <n v="3368"/>
    <n v="3368"/>
    <n v="0"/>
    <m/>
    <m/>
    <m/>
    <m/>
    <n v="80096"/>
    <s v="3 meses sin pago"/>
    <m/>
    <m/>
    <n v="0.88798226164079819"/>
    <n v="-10104"/>
    <n v="-0.11201773835920177"/>
    <n v="821304"/>
    <n v="0.91114266696250279"/>
    <n v="90200"/>
    <s v="Vendido"/>
    <x v="2"/>
    <n v="24"/>
    <n v="1"/>
    <n v="25"/>
    <n v="6000"/>
    <n v="3368"/>
    <n v="13"/>
    <n v="23"/>
    <n v="83464"/>
    <n v="43784"/>
    <n v="36312"/>
    <n v="0"/>
    <n v="0"/>
    <n v="3368"/>
    <x v="2"/>
    <m/>
    <m/>
  </r>
  <r>
    <x v="174"/>
    <s v="B3"/>
    <m/>
    <s v="Antonio Rada"/>
    <s v="Jorge Roberto Arimany Comas"/>
    <d v="2024-04-19T00:00:00"/>
    <s v="4.Plan de pagos"/>
    <n v="845100"/>
    <n v="84510"/>
    <n v="0"/>
    <n v="0"/>
    <n v="0"/>
    <n v="0"/>
    <n v="0"/>
    <n v="0"/>
    <n v="0"/>
    <n v="0"/>
    <n v="0"/>
    <n v="0"/>
    <n v="0"/>
    <n v="0"/>
    <n v="0"/>
    <n v="8000"/>
    <n v="0"/>
    <n v="0"/>
    <n v="0"/>
    <n v="0"/>
    <n v="0"/>
    <n v="0"/>
    <n v="0"/>
    <n v="0"/>
    <n v="0"/>
    <n v="0"/>
    <n v="0"/>
    <n v="0"/>
    <m/>
    <m/>
    <m/>
    <n v="0"/>
    <m/>
    <m/>
    <m/>
    <m/>
    <n v="8000"/>
    <s v="F&amp;F"/>
    <s v=""/>
    <m/>
    <n v="9.4663353449295939E-2"/>
    <n v="-76510"/>
    <n v="-0.90533664655070401"/>
    <n v="837100"/>
    <n v="0.99053366465507042"/>
    <n v="84510"/>
    <s v="Vendido"/>
    <x v="2"/>
    <n v="17"/>
    <n v="1"/>
    <n v="18"/>
    <n v="8000"/>
    <n v="4501"/>
    <n v="0"/>
    <n v="16"/>
    <n v="80016"/>
    <n v="0"/>
    <n v="8000"/>
    <n v="0"/>
    <n v="0"/>
    <n v="72016"/>
    <x v="1"/>
    <s v="F&amp;F"/>
    <m/>
  </r>
  <r>
    <x v="175"/>
    <s v="E8"/>
    <m/>
    <s v="Diana Alvarez"/>
    <s v="Augusto Alejandro Salazar Alecio Y Yosseline Yanira Moscoso Hidalgo "/>
    <d v="2024-11-06T00:00:00"/>
    <s v="4.Plan de pagos"/>
    <n v="1515084.48"/>
    <n v="152084.48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000"/>
    <n v="8000"/>
    <n v="8000"/>
    <n v="8000"/>
    <n v="8000"/>
    <n v="8000"/>
    <n v="8000"/>
    <n v="8000"/>
    <n v="8000"/>
    <m/>
    <m/>
    <m/>
    <m/>
    <n v="82000"/>
    <s v="al día"/>
    <s v=""/>
    <m/>
    <n v="0.53917401696741174"/>
    <n v="-70084.48000000001"/>
    <n v="-0.46082598303258826"/>
    <n v="1433084.48"/>
    <n v="0.94587760545207356"/>
    <n v="152084.48000000001"/>
    <s v="Vendido"/>
    <x v="0"/>
    <n v="18"/>
    <n v="1"/>
    <n v="19"/>
    <n v="10000"/>
    <n v="7894"/>
    <n v="9"/>
    <n v="9"/>
    <n v="81046"/>
    <n v="0"/>
    <n v="82000"/>
    <n v="0"/>
    <n v="954"/>
    <n v="0"/>
    <x v="0"/>
    <m/>
    <m/>
  </r>
  <r>
    <x v="176"/>
    <s v="A10"/>
    <m/>
    <s v="Antonio Rada"/>
    <s v="Allan Donaldo Lapop Cárdenas"/>
    <d v="2023-08-27T00:00:00"/>
    <s v="4.Plan de pagos"/>
    <n v="848900"/>
    <n v="84900"/>
    <n v="0"/>
    <n v="0"/>
    <n v="0"/>
    <n v="0"/>
    <n v="0"/>
    <n v="6000"/>
    <n v="3156"/>
    <n v="3156"/>
    <n v="3156"/>
    <n v="3156"/>
    <n v="3156"/>
    <n v="3156"/>
    <n v="3156"/>
    <n v="3156"/>
    <n v="3156"/>
    <n v="3500"/>
    <n v="5000"/>
    <n v="3156"/>
    <n v="4000"/>
    <n v="5000"/>
    <n v="3200"/>
    <n v="5240"/>
    <n v="4500"/>
    <n v="5000"/>
    <n v="5000"/>
    <n v="3200"/>
    <n v="3200"/>
    <n v="5000"/>
    <n v="4500"/>
    <n v="3500"/>
    <m/>
    <m/>
    <m/>
    <m/>
    <n v="97400"/>
    <s v="al día"/>
    <s v=""/>
    <m/>
    <n v="1.1472320376914016"/>
    <n v="12500"/>
    <n v="0.14723203769140164"/>
    <n v="751500"/>
    <n v="0.88526328189421599"/>
    <n v="84900"/>
    <s v="Vendido"/>
    <x v="4"/>
    <n v="25"/>
    <n v="1"/>
    <n v="26"/>
    <n v="6000"/>
    <n v="3156"/>
    <n v="24"/>
    <n v="24"/>
    <n v="81744"/>
    <n v="31560"/>
    <n v="65840"/>
    <n v="0"/>
    <n v="15656"/>
    <n v="0"/>
    <x v="0"/>
    <m/>
    <m/>
  </r>
  <r>
    <x v="177"/>
    <s v="C10"/>
    <m/>
    <s v="Brenda Búcaro"/>
    <s v="Sebastian Gutierrez Ruiz"/>
    <d v="2023-03-31T00:00:00"/>
    <s v="4.Plan de pagos"/>
    <n v="1131525"/>
    <n v="113225"/>
    <n v="6000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3055"/>
    <n v="0"/>
    <n v="3055"/>
    <n v="3055"/>
    <n v="3055"/>
    <n v="3055"/>
    <n v="3055"/>
    <n v="3055"/>
    <n v="3055"/>
    <n v="3055"/>
    <n v="0"/>
    <m/>
    <m/>
    <m/>
    <m/>
    <n v="82485"/>
    <s v="1 meses sin pago"/>
    <s v="no se recibió pago agosto"/>
    <n v="3050"/>
    <n v="0.72850518878339587"/>
    <n v="-30740"/>
    <n v="-0.27149481121660413"/>
    <n v="1049040"/>
    <n v="0.92710280373831777"/>
    <n v="113225"/>
    <s v="Vendido"/>
    <x v="2"/>
    <n v="35"/>
    <n v="1"/>
    <n v="36"/>
    <n v="6000"/>
    <n v="3050"/>
    <n v="27"/>
    <n v="29"/>
    <n v="94450"/>
    <n v="0"/>
    <n v="88485"/>
    <n v="-6000"/>
    <n v="0"/>
    <n v="11965"/>
    <x v="8"/>
    <m/>
    <m/>
  </r>
  <r>
    <x v="178"/>
    <s v="C7"/>
    <m/>
    <s v="Ronaldo"/>
    <s v="Iurix, S.A"/>
    <d v="2024-01-09T00:00:00"/>
    <s v="4.Plan de pagos"/>
    <n v="973800"/>
    <n v="97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97380"/>
    <n v="-1"/>
    <n v="973800"/>
    <n v="1"/>
    <n v="97380"/>
    <s v="Vendido"/>
    <x v="2"/>
    <n v="21"/>
    <n v="1"/>
    <n v="22"/>
    <n v="12062.73"/>
    <n v="4062.73"/>
    <n v="0"/>
    <n v="19"/>
    <n v="89254.599999999991"/>
    <n v="0"/>
    <n v="0"/>
    <n v="0"/>
    <n v="0"/>
    <n v="89254.599999999991"/>
    <x v="1"/>
    <s v="F&amp;F"/>
    <m/>
  </r>
  <r>
    <x v="179"/>
    <s v="B6"/>
    <m/>
    <s v="Brenda Búcaro"/>
    <s v="Byron Nehemías Ortega Ruiz"/>
    <d v="2023-09-12T00:00:00"/>
    <s v="4.Plan de pagos"/>
    <n v="903600"/>
    <n v="90400"/>
    <n v="0"/>
    <n v="0"/>
    <n v="0"/>
    <n v="0"/>
    <n v="0"/>
    <n v="0"/>
    <n v="6000"/>
    <n v="3517"/>
    <n v="0"/>
    <n v="3517"/>
    <n v="0"/>
    <n v="3517"/>
    <n v="0"/>
    <n v="3517"/>
    <n v="7034"/>
    <n v="3517"/>
    <n v="7034"/>
    <n v="0"/>
    <n v="3517"/>
    <n v="3517"/>
    <n v="3517"/>
    <n v="3517"/>
    <n v="0"/>
    <n v="0"/>
    <n v="7034"/>
    <n v="10551"/>
    <n v="3517"/>
    <n v="3517"/>
    <n v="7034"/>
    <n v="0"/>
    <m/>
    <m/>
    <m/>
    <m/>
    <n v="83374"/>
    <s v="3 meses sin pago"/>
    <m/>
    <m/>
    <n v="0.92227876106194695"/>
    <n v="-7026"/>
    <n v="-7.7721238938053092E-2"/>
    <n v="820226"/>
    <n v="0.90773129703408584"/>
    <n v="90400"/>
    <s v="Vendido"/>
    <x v="2"/>
    <n v="24"/>
    <n v="1"/>
    <n v="25"/>
    <n v="6000"/>
    <n v="3517"/>
    <n v="11"/>
    <n v="23"/>
    <n v="86891"/>
    <n v="38687"/>
    <n v="44687"/>
    <n v="0"/>
    <n v="0"/>
    <n v="3517"/>
    <x v="2"/>
    <m/>
    <s v="Revisado y cobrado,"/>
  </r>
  <r>
    <x v="180"/>
    <s v="B1"/>
    <m/>
    <s v="Antonio Rada"/>
    <s v="Jorge Antonio Reyes Ochoa"/>
    <d v="2023-06-11T00:00:00"/>
    <s v="4.Plan de pagos"/>
    <n v="883300"/>
    <n v="88400"/>
    <n v="0"/>
    <n v="0"/>
    <n v="0"/>
    <n v="6000"/>
    <n v="3052"/>
    <n v="3052"/>
    <n v="3052"/>
    <n v="3052"/>
    <n v="0"/>
    <n v="3052"/>
    <n v="3052"/>
    <n v="3052"/>
    <n v="0"/>
    <n v="6104"/>
    <n v="0"/>
    <n v="3052"/>
    <n v="6104"/>
    <n v="0"/>
    <n v="3052"/>
    <n v="6104"/>
    <n v="3052"/>
    <n v="0"/>
    <n v="3052"/>
    <n v="0"/>
    <n v="3052"/>
    <n v="6104"/>
    <n v="6104"/>
    <m/>
    <n v="6104"/>
    <n v="0"/>
    <m/>
    <m/>
    <m/>
    <m/>
    <n v="79248"/>
    <s v="3 meses sin pago"/>
    <m/>
    <m/>
    <n v="0.89647058823529413"/>
    <n v="-9152"/>
    <n v="-0.10352941176470588"/>
    <n v="804052"/>
    <n v="0.91028189743009169"/>
    <n v="88400"/>
    <s v="Vendido"/>
    <x v="2"/>
    <n v="27"/>
    <n v="1"/>
    <n v="28"/>
    <n v="6000"/>
    <n v="3052"/>
    <n v="12"/>
    <n v="26"/>
    <n v="85352"/>
    <n v="36624"/>
    <n v="42624"/>
    <n v="0"/>
    <n v="0"/>
    <n v="6104"/>
    <x v="4"/>
    <m/>
    <s v="Revisado y cobrado,"/>
  </r>
  <r>
    <x v="181"/>
    <s v="E2"/>
    <m/>
    <s v="Antonio Rada"/>
    <s v="Pedro Luis Artero Bran"/>
    <d v="2023-04-19T00:00:00"/>
    <s v="4.Plan de pagos"/>
    <n v="1333600"/>
    <n v="133360"/>
    <n v="0"/>
    <n v="6000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n v="4393"/>
    <m/>
    <m/>
    <m/>
    <m/>
    <n v="129004"/>
    <s v="al día"/>
    <s v=""/>
    <m/>
    <n v="0.96733653269346132"/>
    <n v="-4356"/>
    <n v="-3.2663467306538692E-2"/>
    <n v="1204596"/>
    <n v="0.90326634673065387"/>
    <n v="133360"/>
    <s v="Vendido"/>
    <x v="0"/>
    <n v="29"/>
    <n v="1"/>
    <n v="30"/>
    <n v="6000"/>
    <n v="4393"/>
    <n v="28"/>
    <n v="28"/>
    <n v="129004"/>
    <n v="118611"/>
    <n v="6000"/>
    <n v="4393"/>
    <n v="0"/>
    <n v="0"/>
    <x v="0"/>
    <m/>
    <m/>
  </r>
  <r>
    <x v="182"/>
    <s v="A2"/>
    <s v="Plan de pagos especiales"/>
    <s v="Brenda Búcaro"/>
    <s v="Sergio Enrique Bolaños López"/>
    <d v="2023-04-16T00:00:00"/>
    <s v="4.Plan de pagos"/>
    <n v="651600"/>
    <n v="65200"/>
    <n v="0"/>
    <n v="6000"/>
    <n v="0"/>
    <n v="0"/>
    <n v="2000"/>
    <n v="2000"/>
    <n v="0"/>
    <n v="0"/>
    <n v="0"/>
    <n v="0"/>
    <n v="6000"/>
    <n v="2000"/>
    <n v="0"/>
    <n v="4000"/>
    <n v="4000"/>
    <n v="0"/>
    <n v="2000"/>
    <n v="2000"/>
    <n v="0"/>
    <n v="2000"/>
    <n v="0"/>
    <n v="0"/>
    <n v="2000"/>
    <n v="2000"/>
    <n v="5000"/>
    <n v="0"/>
    <n v="3026"/>
    <m/>
    <n v="3026"/>
    <n v="0"/>
    <m/>
    <m/>
    <m/>
    <m/>
    <n v="47052"/>
    <s v="Casos Especiales"/>
    <s v=""/>
    <m/>
    <n v="0.72165644171779142"/>
    <n v="-18148"/>
    <n v="-0.27834355828220858"/>
    <n v="604548"/>
    <n v="0.92779005524861879"/>
    <n v="65200"/>
    <s v="Vendido"/>
    <x v="15"/>
    <n v="29"/>
    <n v="1"/>
    <n v="30"/>
    <n v="6000"/>
    <n v="1513"/>
    <n v="13"/>
    <n v="28"/>
    <n v="47052"/>
    <n v="0"/>
    <n v="47052"/>
    <n v="0"/>
    <n v="0"/>
    <n v="0"/>
    <x v="0"/>
    <m/>
    <s v="Nuevo plan de pago, su cuota mensual es de GTQ 1,513,00 * 2 =  GTQ 3,026,00 Revisado y cobrado"/>
  </r>
  <r>
    <x v="183"/>
    <s v="A6"/>
    <s v="Plan de pagos especiales"/>
    <s v="Brenda Búcaro"/>
    <s v="Irene Alejandra Reyes Guzmán"/>
    <d v="2023-04-16T00:00:00"/>
    <s v="4.Plan de pagos"/>
    <n v="663200"/>
    <n v="66400"/>
    <n v="0"/>
    <n v="6000"/>
    <n v="0"/>
    <n v="0"/>
    <n v="4000"/>
    <n v="0"/>
    <n v="0"/>
    <n v="0"/>
    <n v="2000"/>
    <n v="2000"/>
    <n v="2000"/>
    <n v="0"/>
    <n v="0"/>
    <n v="2000"/>
    <n v="2000"/>
    <n v="2000"/>
    <n v="6000"/>
    <n v="2000"/>
    <n v="0"/>
    <n v="2000"/>
    <n v="0"/>
    <n v="0"/>
    <n v="2000"/>
    <n v="2000"/>
    <n v="0"/>
    <n v="4000"/>
    <n v="2000"/>
    <n v="1650"/>
    <m/>
    <n v="1650"/>
    <m/>
    <m/>
    <m/>
    <m/>
    <n v="45300"/>
    <s v="Casos Especiales"/>
    <s v=""/>
    <m/>
    <n v="0.68222891566265065"/>
    <n v="-21100"/>
    <n v="-0.31777108433734941"/>
    <n v="617900"/>
    <n v="0.93169481302774426"/>
    <n v="66400"/>
    <s v="Vendido"/>
    <x v="16"/>
    <n v="29"/>
    <n v="1"/>
    <n v="30"/>
    <n v="6000"/>
    <n v="1650"/>
    <n v="15"/>
    <n v="28"/>
    <n v="46950"/>
    <n v="1650"/>
    <n v="42000"/>
    <n v="1650"/>
    <n v="0"/>
    <n v="1650"/>
    <x v="2"/>
    <m/>
    <s v="Nuevo plan de pago, Debe el mes de julio"/>
  </r>
  <r>
    <x v="184"/>
    <s v="A3"/>
    <s v="ENGANCHE CANCELADO"/>
    <s v="Antonio Rada"/>
    <s v="Corporacion Fb Sociedad Anonima"/>
    <d v="2023-08-03T00:00:00"/>
    <s v="4.Plan de pagos"/>
    <n v="690627.17"/>
    <n v="69127.17"/>
    <n v="0"/>
    <n v="0"/>
    <n v="0"/>
    <n v="0"/>
    <n v="0"/>
    <n v="6000"/>
    <n v="63127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69127.17"/>
    <s v="Casos Especiales"/>
    <s v=""/>
    <m/>
    <n v="1"/>
    <n v="0"/>
    <n v="0"/>
    <n v="621500"/>
    <n v="0.89990667468237595"/>
    <n v="69127.17"/>
    <s v="Vendido"/>
    <x v="3"/>
    <n v="1"/>
    <n v="0"/>
    <n v="1"/>
    <n v="6000"/>
    <n v="0"/>
    <n v="0"/>
    <n v="24"/>
    <n v="6000"/>
    <n v="0"/>
    <n v="69127.17"/>
    <n v="0"/>
    <n v="63127.17"/>
    <n v="0"/>
    <x v="3"/>
    <m/>
    <m/>
  </r>
  <r>
    <x v="185"/>
    <s v="C3"/>
    <m/>
    <m/>
    <m/>
    <m/>
    <s v="1.Disponible"/>
    <n v="913168.92461999995"/>
    <n v="154568.92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9589.2900000000009"/>
    <m/>
    <m/>
    <m/>
    <m/>
    <n v="9589.2900000000009"/>
    <s v="Disponible"/>
    <s v=""/>
    <m/>
    <n v="6.2038927360041074E-2"/>
    <n v="9589.2900000000009"/>
    <n v="6.2038927360041074E-2"/>
    <n v="903579.63461999991"/>
    <n v="0.98949888707175349"/>
    <n v="0"/>
    <s v="Apartamento Disponible"/>
    <x v="2"/>
    <m/>
    <n v="0"/>
    <n v="0"/>
    <m/>
    <m/>
    <n v="0"/>
    <n v="0"/>
    <n v="0"/>
    <n v="0"/>
    <n v="0"/>
    <n v="9589.2900000000009"/>
    <n v="9589.2900000000009"/>
    <n v="0"/>
    <x v="0"/>
    <m/>
    <m/>
  </r>
  <r>
    <x v="186"/>
    <s v="C2"/>
    <m/>
    <m/>
    <m/>
    <m/>
    <s v="1.Disponible"/>
    <n v="1259997.3799999999"/>
    <n v="12599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259997.37999999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87"/>
    <s v="D10"/>
    <m/>
    <s v="Antonio Rada"/>
    <s v="Maria Fernanda Contreras Lopez"/>
    <d v="2024-03-23T00:00:00"/>
    <s v="4.Plan de pagos"/>
    <n v="1176700"/>
    <n v="117700"/>
    <n v="0"/>
    <n v="0"/>
    <n v="0"/>
    <n v="0"/>
    <n v="0"/>
    <n v="0"/>
    <n v="0"/>
    <n v="0"/>
    <n v="0"/>
    <n v="0"/>
    <n v="0"/>
    <n v="0"/>
    <n v="8000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n v="6094"/>
    <m/>
    <m/>
    <m/>
    <m/>
    <n v="111598"/>
    <s v="al día"/>
    <s v=""/>
    <m/>
    <n v="0.94815632965165675"/>
    <n v="-6102"/>
    <n v="-5.1843670348343245E-2"/>
    <n v="1065102"/>
    <n v="0.90516019376221635"/>
    <n v="117700"/>
    <s v="Vendido"/>
    <x v="0"/>
    <n v="18"/>
    <n v="1"/>
    <n v="19"/>
    <n v="8000"/>
    <n v="6094"/>
    <n v="17"/>
    <n v="17"/>
    <n v="111598"/>
    <n v="97504"/>
    <n v="8000"/>
    <n v="6094"/>
    <n v="0"/>
    <n v="0"/>
    <x v="0"/>
    <m/>
    <m/>
  </r>
  <r>
    <x v="188"/>
    <s v="D11"/>
    <m/>
    <s v="Antonio Rada"/>
    <s v="Luis Alberto Lopez Velasquez"/>
    <d v="2023-03-31T00:00:00"/>
    <s v="4.Plan de pagos"/>
    <n v="1152100"/>
    <n v="115300"/>
    <n v="6000"/>
    <n v="0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n v="3215"/>
    <m/>
    <m/>
    <m/>
    <m/>
    <n v="96020"/>
    <s v="al día"/>
    <m/>
    <m/>
    <n v="0.8327840416305291"/>
    <n v="-19280"/>
    <n v="-0.16721595836947095"/>
    <n v="1056080"/>
    <n v="0.91665654023088272"/>
    <n v="115300"/>
    <s v="Vendido"/>
    <x v="2"/>
    <n v="34"/>
    <n v="1"/>
    <n v="35"/>
    <n v="6000"/>
    <n v="3215"/>
    <n v="28"/>
    <n v="29"/>
    <n v="99235"/>
    <n v="86805"/>
    <n v="6000"/>
    <n v="3215"/>
    <n v="0"/>
    <n v="3215"/>
    <x v="2"/>
    <m/>
    <m/>
  </r>
  <r>
    <x v="189"/>
    <s v="B4"/>
    <m/>
    <s v="Antonio Rada"/>
    <s v=" Samuel Hiram Salazar Say"/>
    <d v="2023-05-25T00:00:00"/>
    <s v="4.Plan de pagos"/>
    <n v="901400"/>
    <n v="180300"/>
    <n v="0"/>
    <n v="6000"/>
    <n v="0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n v="6225"/>
    <m/>
    <m/>
    <m/>
    <m/>
    <n v="174075"/>
    <s v="al día"/>
    <s v=""/>
    <m/>
    <n v="0.96547420965058239"/>
    <n v="-6225"/>
    <n v="-3.4525790349417634E-2"/>
    <n v="727325"/>
    <n v="0.80688373641002886"/>
    <n v="180300"/>
    <s v="Vendido"/>
    <x v="0"/>
    <n v="28"/>
    <n v="1"/>
    <n v="29"/>
    <n v="6000"/>
    <n v="6225"/>
    <n v="0"/>
    <n v="27"/>
    <n v="174075"/>
    <n v="167850"/>
    <n v="0"/>
    <n v="6225"/>
    <n v="0"/>
    <n v="0"/>
    <x v="0"/>
    <m/>
    <s v="Revisado"/>
  </r>
  <r>
    <x v="190"/>
    <s v="B3"/>
    <m/>
    <s v="Antonio Rada"/>
    <s v="Denisse Hortencia Alarcon Diaz"/>
    <d v="2024-02-21T00:00:00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m/>
    <m/>
    <m/>
    <m/>
    <n v="84554"/>
    <s v="al día"/>
    <s v=""/>
    <m/>
    <n v="0.95218468468468465"/>
    <n v="-4246"/>
    <n v="-4.7815315315315313E-2"/>
    <n v="802846"/>
    <n v="0.90471715122830743"/>
    <n v="88800"/>
    <s v="Vendido"/>
    <x v="0"/>
    <n v="19"/>
    <n v="1"/>
    <n v="20"/>
    <n v="8000"/>
    <n v="4253"/>
    <n v="18"/>
    <n v="18"/>
    <n v="84554"/>
    <n v="72301"/>
    <n v="8000"/>
    <n v="4253"/>
    <n v="0"/>
    <n v="0"/>
    <x v="0"/>
    <m/>
    <m/>
  </r>
  <r>
    <x v="191"/>
    <s v="A6"/>
    <m/>
    <s v="Brenda Búcaro"/>
    <s v="Luis Pedro Escobedo De Cid"/>
    <d v="2023-03-27T00:00:00"/>
    <s v="4.Plan de pagos"/>
    <n v="657892.69999999995"/>
    <n v="65892.7"/>
    <n v="43000"/>
    <n v="1000"/>
    <n v="1000"/>
    <n v="0"/>
    <n v="2000"/>
    <n v="2000"/>
    <n v="1000"/>
    <n v="1000"/>
    <n v="1000"/>
    <n v="1000"/>
    <n v="0"/>
    <n v="1000"/>
    <n v="0"/>
    <n v="2000"/>
    <n v="0"/>
    <n v="1000"/>
    <n v="1000"/>
    <n v="1000"/>
    <n v="1000"/>
    <n v="1000"/>
    <n v="1000"/>
    <n v="1000"/>
    <n v="1000"/>
    <n v="1000"/>
    <n v="1000"/>
    <m/>
    <m/>
    <m/>
    <m/>
    <n v="0"/>
    <m/>
    <m/>
    <m/>
    <m/>
    <n v="66000"/>
    <s v="5 meses sin pago"/>
    <s v=""/>
    <m/>
    <n v="1.00162840496747"/>
    <n v="107.30000000000291"/>
    <n v="1.6284049674698854E-3"/>
    <n v="591892.69999999995"/>
    <n v="0.89967968940831844"/>
    <n v="65892.7"/>
    <s v="Vendido"/>
    <x v="4"/>
    <n v="35"/>
    <n v="1"/>
    <n v="36"/>
    <n v="15000"/>
    <n v="1000"/>
    <n v="20"/>
    <n v="29"/>
    <n v="44000"/>
    <n v="17000"/>
    <n v="49000"/>
    <n v="0"/>
    <n v="22000"/>
    <n v="0"/>
    <x v="0"/>
    <m/>
    <m/>
  </r>
  <r>
    <x v="192"/>
    <s v="A4"/>
    <m/>
    <s v="Antonio Rada"/>
    <s v="Emerson Emanuel Menendez Rodas"/>
    <d v="2023-04-27T00:00:00"/>
    <s v="4.Plan de pagos"/>
    <n v="661100"/>
    <n v="66200"/>
    <n v="0"/>
    <n v="12000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1869"/>
    <n v="0"/>
    <n v="3738"/>
    <n v="1869"/>
    <n v="1869"/>
    <n v="1869"/>
    <m/>
    <n v="3738"/>
    <n v="1869"/>
    <m/>
    <m/>
    <m/>
    <m/>
    <n v="64332"/>
    <s v="al día"/>
    <s v=""/>
    <m/>
    <n v="0.97178247734138978"/>
    <n v="-1868"/>
    <n v="-2.8217522658610272E-2"/>
    <n v="596768"/>
    <n v="0.90268945696566327"/>
    <n v="66200"/>
    <s v="Vendido"/>
    <x v="0"/>
    <n v="29"/>
    <n v="1"/>
    <n v="30"/>
    <n v="12000"/>
    <n v="1869"/>
    <n v="26"/>
    <n v="28"/>
    <n v="64332"/>
    <n v="42987"/>
    <n v="19476"/>
    <n v="1869"/>
    <n v="0"/>
    <n v="0"/>
    <x v="0"/>
    <m/>
    <m/>
  </r>
  <r>
    <x v="193"/>
    <s v="A12"/>
    <m/>
    <s v="Ronaldo"/>
    <s v="International Coffee Industry, S.A"/>
    <d v="2024-01-09T00:00:00"/>
    <s v="4.Plan de pagos"/>
    <n v="685200"/>
    <n v="68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68520"/>
    <n v="-1"/>
    <n v="685200"/>
    <n v="1"/>
    <n v="68520"/>
    <s v="Vendido"/>
    <x v="2"/>
    <n v="25"/>
    <n v="1"/>
    <n v="26"/>
    <n v="6000"/>
    <n v="2501"/>
    <n v="0"/>
    <n v="19"/>
    <n v="53519"/>
    <n v="0"/>
    <n v="0"/>
    <n v="0"/>
    <n v="0"/>
    <n v="53519"/>
    <x v="1"/>
    <s v="F&amp;F"/>
    <m/>
  </r>
  <r>
    <x v="194"/>
    <s v="C6"/>
    <m/>
    <m/>
    <m/>
    <m/>
    <s v="1.Disponible"/>
    <n v="1100438.98"/>
    <n v="11013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100438.98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195"/>
    <s v="C5"/>
    <m/>
    <s v="Antonio Rada"/>
    <s v="Fausto Norberth Mendez Melgar"/>
    <d v="2023-12-03T00:00:00"/>
    <s v="4.Plan de pagos"/>
    <n v="1182285.73"/>
    <n v="118285.73"/>
    <n v="0"/>
    <n v="0"/>
    <n v="0"/>
    <n v="0"/>
    <n v="0"/>
    <n v="0"/>
    <n v="0"/>
    <n v="0"/>
    <n v="0"/>
    <n v="5500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371"/>
    <n v="50000"/>
    <n v="0"/>
    <m/>
    <m/>
    <m/>
    <m/>
    <n v="152178"/>
    <s v="1 meses sin pago"/>
    <s v=""/>
    <m/>
    <n v="1.2865288145915827"/>
    <n v="33892.270000000004"/>
    <n v="0.28652881459158264"/>
    <n v="1030107.73"/>
    <n v="0.87128492196213858"/>
    <n v="118285.73"/>
    <s v="Vendido"/>
    <x v="4"/>
    <n v="21"/>
    <n v="1"/>
    <n v="22"/>
    <n v="5500"/>
    <n v="5371"/>
    <n v="18"/>
    <n v="20"/>
    <n v="112920"/>
    <n v="96678"/>
    <n v="55500"/>
    <n v="0"/>
    <n v="39258"/>
    <n v="0"/>
    <x v="0"/>
    <m/>
    <m/>
  </r>
  <r>
    <x v="196"/>
    <s v="C6"/>
    <m/>
    <s v="Antonio Rada"/>
    <s v="Juan Carlos Lantzendorffer Haas"/>
    <d v="2023-08-05T00:00:00"/>
    <s v="4.Plan de pagos"/>
    <n v="1166200"/>
    <n v="116700"/>
    <n v="0"/>
    <n v="0"/>
    <n v="0"/>
    <n v="6000"/>
    <n v="0"/>
    <n v="0"/>
    <n v="3954"/>
    <n v="3954"/>
    <n v="3954"/>
    <n v="3954"/>
    <n v="3954"/>
    <n v="3954"/>
    <n v="3954"/>
    <n v="0"/>
    <n v="3954"/>
    <n v="3954"/>
    <n v="3954"/>
    <n v="7908"/>
    <n v="0"/>
    <n v="3954"/>
    <n v="0"/>
    <n v="3954"/>
    <n v="0"/>
    <n v="15816"/>
    <n v="0"/>
    <n v="7908"/>
    <m/>
    <n v="7908"/>
    <n v="3954"/>
    <n v="0"/>
    <m/>
    <m/>
    <m/>
    <m/>
    <n v="96942"/>
    <s v="4 meses sin pago"/>
    <s v="no se recibió pago agosto"/>
    <n v="3954"/>
    <n v="0.83069408740359896"/>
    <n v="-19758"/>
    <n v="-0.16930591259640101"/>
    <n v="1069258"/>
    <n v="0.91687360658549133"/>
    <n v="116700"/>
    <s v="Vendido"/>
    <x v="2"/>
    <n v="28"/>
    <n v="1"/>
    <n v="29"/>
    <n v="6000"/>
    <n v="3954"/>
    <n v="13"/>
    <n v="24"/>
    <n v="100896"/>
    <n v="51402"/>
    <n v="45540"/>
    <n v="0"/>
    <n v="0"/>
    <n v="3954"/>
    <x v="2"/>
    <m/>
    <m/>
  </r>
  <r>
    <x v="197"/>
    <s v="C5"/>
    <m/>
    <s v="Antonio Rada"/>
    <s v="Erika Ruth Castro Juarez"/>
    <d v="2024-02-07T00:00:00"/>
    <s v="4.Plan de pagos"/>
    <n v="1193202.5"/>
    <n v="119402.5"/>
    <n v="0"/>
    <n v="0"/>
    <n v="0"/>
    <n v="0"/>
    <n v="0"/>
    <n v="0"/>
    <n v="0"/>
    <n v="0"/>
    <n v="0"/>
    <n v="0"/>
    <n v="0"/>
    <n v="8000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n v="5859"/>
    <m/>
    <m/>
    <m/>
    <m/>
    <n v="113462"/>
    <s v="al día"/>
    <m/>
    <m/>
    <n v="0.95024811038294843"/>
    <n v="-5940.5"/>
    <n v="-4.975188961705157E-2"/>
    <n v="1079740.5"/>
    <n v="0.9049096863273417"/>
    <n v="119402.5"/>
    <s v="Vendido"/>
    <x v="2"/>
    <n v="19"/>
    <n v="1"/>
    <n v="20"/>
    <n v="8000"/>
    <n v="5863"/>
    <n v="18"/>
    <n v="18"/>
    <n v="113534"/>
    <n v="99603"/>
    <n v="8000"/>
    <n v="5859"/>
    <n v="0"/>
    <n v="72"/>
    <x v="2"/>
    <m/>
    <m/>
  </r>
  <r>
    <x v="198"/>
    <s v="A8"/>
    <m/>
    <s v="Antonio Rada"/>
    <s v="Grupo Sak Y Sak, S.A."/>
    <d v="2023-06-06T00:00:00"/>
    <s v="4.Plan de pagos"/>
    <n v="690627.17"/>
    <n v="690627.17"/>
    <n v="0"/>
    <n v="0"/>
    <n v="0"/>
    <n v="75062.720000000001"/>
    <n v="22799"/>
    <n v="22799"/>
    <n v="22799"/>
    <n v="22799"/>
    <n v="22799"/>
    <n v="22799"/>
    <n v="22799"/>
    <n v="22799"/>
    <n v="22799"/>
    <n v="0"/>
    <n v="0"/>
    <n v="45598"/>
    <n v="22799"/>
    <n v="22799"/>
    <n v="22799"/>
    <n v="22799"/>
    <n v="22799"/>
    <n v="22799"/>
    <n v="22799"/>
    <n v="22799"/>
    <n v="0"/>
    <n v="22799"/>
    <n v="45598"/>
    <n v="22799"/>
    <n v="22799"/>
    <n v="22799"/>
    <m/>
    <m/>
    <m/>
    <m/>
    <n v="645037.72"/>
    <s v="1 meses sin pago"/>
    <m/>
    <m/>
    <n v="0.93398833411086324"/>
    <n v="-45589.45000000007"/>
    <n v="-6.6011665889136775E-2"/>
    <n v="45589.45000000007"/>
    <n v="6.6011665889136775E-2"/>
    <n v="690627.17"/>
    <s v="Vendido"/>
    <x v="2"/>
    <n v="27"/>
    <n v="1"/>
    <n v="28"/>
    <n v="75062.720000000001"/>
    <n v="22799"/>
    <n v="23"/>
    <n v="26"/>
    <n v="667836.72"/>
    <n v="455980"/>
    <n v="166258.72"/>
    <n v="22798.999999999971"/>
    <n v="0"/>
    <n v="22799"/>
    <x v="2"/>
    <m/>
    <s v="Revisado"/>
  </r>
  <r>
    <x v="199"/>
    <s v="A2"/>
    <m/>
    <s v="Jose Franco"/>
    <s v="Marcas &amp; Secretos, S.A."/>
    <d v="2023-04-05T00:00:00"/>
    <s v="4.Plan de pagos"/>
    <n v="64563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2000"/>
    <n v="2000"/>
    <n v="2000"/>
    <n v="2000"/>
    <n v="2000"/>
    <m/>
    <m/>
    <m/>
    <m/>
    <n v="62000"/>
    <s v="al día"/>
    <s v=""/>
    <m/>
    <n v="0.95917325453673474"/>
    <n v="-2639"/>
    <n v="-4.0826745463265209E-2"/>
    <n v="583639"/>
    <n v="0.90397110459560215"/>
    <n v="64639"/>
    <s v="Vendido"/>
    <x v="0"/>
    <n v="29"/>
    <n v="1"/>
    <n v="30"/>
    <n v="6000"/>
    <n v="2000"/>
    <n v="26"/>
    <n v="28"/>
    <n v="62000"/>
    <n v="46000"/>
    <n v="14000"/>
    <n v="2000"/>
    <n v="0"/>
    <n v="0"/>
    <x v="0"/>
    <m/>
    <m/>
  </r>
  <r>
    <x v="200"/>
    <s v="A11"/>
    <m/>
    <s v="Antonio Rada"/>
    <s v="Clara Hilda Maria Falla Bianchi De Cruz-Gomar"/>
    <d v="2024-05-28T00:00:00"/>
    <s v="4.Plan de pagos"/>
    <n v="801793.67"/>
    <n v="77986.52"/>
    <n v="0"/>
    <n v="0"/>
    <n v="0"/>
    <n v="0"/>
    <n v="0"/>
    <n v="0"/>
    <n v="0"/>
    <n v="0"/>
    <n v="0"/>
    <n v="0"/>
    <n v="0"/>
    <n v="0"/>
    <n v="0"/>
    <n v="0"/>
    <n v="8000"/>
    <n v="0"/>
    <n v="7368"/>
    <n v="7368"/>
    <n v="0"/>
    <n v="3684"/>
    <n v="7368"/>
    <n v="0"/>
    <n v="7368"/>
    <n v="0"/>
    <n v="3684"/>
    <n v="4000"/>
    <n v="4000"/>
    <m/>
    <m/>
    <n v="0"/>
    <m/>
    <m/>
    <m/>
    <m/>
    <n v="52840"/>
    <s v="4 meses sin pago"/>
    <s v="no se recibió pago junio, julio, agosto"/>
    <n v="11052"/>
    <n v="0.6775529924915229"/>
    <n v="-25146.520000000004"/>
    <n v="-0.32244700750847716"/>
    <n v="748953.67"/>
    <n v="0.93409775859168354"/>
    <n v="77986.52"/>
    <s v="Vendido"/>
    <x v="2"/>
    <n v="21"/>
    <n v="1"/>
    <n v="22"/>
    <n v="8000"/>
    <n v="3684"/>
    <n v="8"/>
    <n v="15"/>
    <n v="63260"/>
    <n v="7368"/>
    <n v="45472"/>
    <n v="0"/>
    <n v="0"/>
    <n v="10420"/>
    <x v="6"/>
    <m/>
    <m/>
  </r>
  <r>
    <x v="201"/>
    <s v="B4"/>
    <m/>
    <s v="Antonio Rada"/>
    <s v="Eddy Francisco Mac-Intosh López"/>
    <d v="2025-04-08T00:00:00"/>
    <s v="4.Plan de pagos"/>
    <n v="1142630.20477101"/>
    <n v="11433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025"/>
    <n v="8025"/>
    <n v="8025"/>
    <n v="8025"/>
    <m/>
    <m/>
    <m/>
    <m/>
    <n v="42100"/>
    <s v="al día"/>
    <s v=""/>
    <m/>
    <n v="0.36823166582407801"/>
    <n v="-72230.2"/>
    <n v="-0.63176833417592204"/>
    <n v="1100530.20477101"/>
    <n v="0.96315518369441577"/>
    <n v="114330.2"/>
    <s v="Vendido"/>
    <x v="0"/>
    <n v="13"/>
    <n v="1"/>
    <n v="14"/>
    <n v="10000"/>
    <n v="8025"/>
    <n v="4"/>
    <n v="4"/>
    <n v="42100"/>
    <n v="24075"/>
    <n v="10000"/>
    <n v="8025"/>
    <n v="0"/>
    <n v="0"/>
    <x v="0"/>
    <m/>
    <m/>
  </r>
  <r>
    <x v="202"/>
    <s v="B3"/>
    <s v="Plan de pagos especiales"/>
    <s v="Antonio Rada"/>
    <s v="Francisco Javier Arriaza Reyes"/>
    <d v="2024-02-15T00:00:00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0"/>
    <n v="0"/>
    <n v="0"/>
    <n v="0"/>
    <n v="0"/>
    <n v="0"/>
    <n v="10000"/>
    <n v="0"/>
    <m/>
    <n v="7500"/>
    <n v="5000"/>
    <n v="0"/>
    <m/>
    <m/>
    <m/>
    <m/>
    <n v="56018"/>
    <s v="Casos Especiales"/>
    <s v=""/>
    <m/>
    <n v="0.63083333333333336"/>
    <n v="-32782"/>
    <n v="-0.36916666666666664"/>
    <n v="831382"/>
    <n v="0.93687401397340542"/>
    <n v="88800"/>
    <s v="Vendido"/>
    <x v="17"/>
    <n v="19"/>
    <n v="1"/>
    <n v="20"/>
    <n v="8000"/>
    <n v="2500"/>
    <n v="8"/>
    <n v="18"/>
    <n v="53000"/>
    <n v="0"/>
    <n v="56018"/>
    <n v="0"/>
    <n v="3018"/>
    <n v="0"/>
    <x v="0"/>
    <m/>
    <s v="Nuevo plan de pago, cliente al día."/>
  </r>
  <r>
    <x v="203"/>
    <s v="D10"/>
    <m/>
    <s v="Antonio Rada"/>
    <s v="Jerson Leonel Chavez Martinez"/>
    <d v="2023-12-14T00:00:00"/>
    <s v="4.Plan de pagos"/>
    <n v="1165934.22"/>
    <n v="116634.22"/>
    <n v="0"/>
    <n v="0"/>
    <n v="0"/>
    <n v="0"/>
    <n v="0"/>
    <n v="0"/>
    <n v="0"/>
    <n v="0"/>
    <n v="0"/>
    <n v="5500"/>
    <n v="5292"/>
    <n v="5292"/>
    <n v="5292"/>
    <n v="5292"/>
    <n v="5292"/>
    <n v="0"/>
    <n v="10584"/>
    <n v="5292"/>
    <n v="5292"/>
    <n v="5292"/>
    <n v="0"/>
    <n v="10584"/>
    <n v="5292"/>
    <n v="0"/>
    <n v="10584"/>
    <n v="5292"/>
    <n v="5292"/>
    <n v="5292"/>
    <n v="5292"/>
    <n v="5292"/>
    <m/>
    <m/>
    <m/>
    <m/>
    <n v="111340"/>
    <s v="al día"/>
    <s v=""/>
    <m/>
    <n v="0.95460834736152045"/>
    <n v="-5294.2200000000012"/>
    <n v="-4.5391652638479524E-2"/>
    <n v="1054594.22"/>
    <n v="0.90450576191167975"/>
    <n v="116634.22"/>
    <s v="Vendido"/>
    <x v="0"/>
    <n v="21"/>
    <n v="1"/>
    <n v="22"/>
    <n v="5500"/>
    <n v="5292"/>
    <n v="14"/>
    <n v="20"/>
    <n v="111340"/>
    <n v="68796"/>
    <n v="37252"/>
    <n v="5292"/>
    <n v="0"/>
    <n v="0"/>
    <x v="0"/>
    <m/>
    <m/>
  </r>
  <r>
    <x v="204"/>
    <s v="D11"/>
    <m/>
    <s v="Antonio Rada"/>
    <s v="José Raúl Velasco Ferrigno"/>
    <d v="2024-06-20T00:00:00"/>
    <s v="4.Plan de pagos"/>
    <n v="1181000"/>
    <n v="118100"/>
    <n v="0"/>
    <n v="0"/>
    <n v="0"/>
    <n v="0"/>
    <n v="0"/>
    <n v="0"/>
    <n v="0"/>
    <n v="0"/>
    <n v="0"/>
    <n v="0"/>
    <n v="0"/>
    <n v="0"/>
    <n v="0"/>
    <n v="0"/>
    <n v="0"/>
    <n v="10000"/>
    <n v="6006"/>
    <n v="6006"/>
    <n v="6006"/>
    <n v="6006"/>
    <n v="6006"/>
    <n v="6006"/>
    <n v="6006"/>
    <n v="6006"/>
    <n v="6006"/>
    <n v="6006"/>
    <n v="6006"/>
    <n v="6006"/>
    <n v="6006"/>
    <n v="6006"/>
    <m/>
    <m/>
    <m/>
    <m/>
    <n v="94084"/>
    <s v="al día"/>
    <s v=""/>
    <m/>
    <n v="0.79664690939881455"/>
    <n v="-24016"/>
    <n v="-0.20335309060118545"/>
    <n v="1086916"/>
    <n v="0.92033530906011851"/>
    <n v="118100"/>
    <s v="Vendido"/>
    <x v="0"/>
    <n v="18"/>
    <n v="1"/>
    <n v="19"/>
    <n v="10000"/>
    <n v="6006"/>
    <n v="14"/>
    <n v="14"/>
    <n v="94084"/>
    <n v="78078"/>
    <n v="10000"/>
    <n v="6006"/>
    <n v="0"/>
    <n v="0"/>
    <x v="0"/>
    <m/>
    <m/>
  </r>
  <r>
    <x v="205"/>
    <s v="D4"/>
    <m/>
    <s v="Antonio Rada"/>
    <s v="Rogelio Alejandro Ochoa Hernandez"/>
    <d v="2024-06-18T00:00:00"/>
    <s v="4.Plan de pagos"/>
    <n v="1253700"/>
    <n v="125400"/>
    <n v="0"/>
    <n v="0"/>
    <n v="0"/>
    <n v="0"/>
    <n v="0"/>
    <n v="0"/>
    <n v="0"/>
    <n v="0"/>
    <n v="0"/>
    <n v="0"/>
    <n v="0"/>
    <n v="0"/>
    <n v="0"/>
    <n v="0"/>
    <n v="0"/>
    <n v="10000"/>
    <n v="6500"/>
    <n v="6500"/>
    <n v="6500"/>
    <n v="6500"/>
    <n v="0"/>
    <n v="6500"/>
    <n v="6500"/>
    <n v="6500"/>
    <n v="0"/>
    <n v="13000"/>
    <n v="6500"/>
    <n v="6500"/>
    <n v="6500"/>
    <n v="6500"/>
    <m/>
    <m/>
    <m/>
    <m/>
    <n v="94500"/>
    <s v="1 meses sin pago"/>
    <s v="Cliente no ha confirmado deposito pero ya se ubicó su pago"/>
    <n v="6500"/>
    <n v="0.75358851674641147"/>
    <n v="-30900"/>
    <n v="-0.24641148325358853"/>
    <n v="1159200"/>
    <n v="0.92462311557788945"/>
    <n v="125400"/>
    <s v="Vendido"/>
    <x v="2"/>
    <n v="18"/>
    <n v="1"/>
    <n v="19"/>
    <n v="10000"/>
    <n v="6500"/>
    <n v="11"/>
    <n v="14"/>
    <n v="101000"/>
    <n v="65000"/>
    <n v="23000"/>
    <n v="6500"/>
    <n v="0"/>
    <n v="6500"/>
    <x v="2"/>
    <m/>
    <s v="Revisado"/>
  </r>
  <r>
    <x v="206"/>
    <s v="D1"/>
    <m/>
    <s v="Antonio Rada"/>
    <s v="Edwin Steven Quiroa Sitamul"/>
    <d v="2024-02-28T00:00:00"/>
    <s v="4.Plan de pagos"/>
    <n v="1265500"/>
    <n v="126600"/>
    <n v="0"/>
    <n v="0"/>
    <n v="0"/>
    <n v="0"/>
    <n v="0"/>
    <n v="0"/>
    <n v="0"/>
    <n v="0"/>
    <n v="0"/>
    <n v="0"/>
    <n v="0"/>
    <n v="8000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n v="6242"/>
    <m/>
    <m/>
    <m/>
    <m/>
    <n v="120356"/>
    <s v="al día"/>
    <s v=""/>
    <m/>
    <n v="0.95067930489731434"/>
    <n v="-6244"/>
    <n v="-4.9320695102685622E-2"/>
    <n v="1145144"/>
    <n v="0.9048945080995654"/>
    <n v="126600"/>
    <s v="Vendido"/>
    <x v="0"/>
    <n v="19"/>
    <n v="1"/>
    <n v="20"/>
    <n v="8000"/>
    <n v="6242"/>
    <n v="18"/>
    <n v="18"/>
    <n v="120356"/>
    <n v="106114"/>
    <n v="8000"/>
    <n v="6242"/>
    <n v="0"/>
    <n v="0"/>
    <x v="0"/>
    <m/>
    <m/>
  </r>
  <r>
    <x v="207"/>
    <s v="B4"/>
    <m/>
    <s v="Antonio Rada"/>
    <s v="Allan Vinicio Velásquez León"/>
    <d v="2023-08-27T00:00:00"/>
    <s v="4.Plan de pagos"/>
    <n v="901400"/>
    <n v="90200"/>
    <n v="0"/>
    <n v="0"/>
    <n v="0"/>
    <n v="0"/>
    <n v="0"/>
    <n v="6000"/>
    <n v="3630"/>
    <n v="3630"/>
    <n v="0"/>
    <n v="7260"/>
    <n v="3630"/>
    <n v="0"/>
    <n v="3630"/>
    <n v="7260"/>
    <n v="0"/>
    <n v="7260"/>
    <n v="0"/>
    <n v="0"/>
    <n v="3630"/>
    <n v="3630"/>
    <n v="7260"/>
    <n v="0"/>
    <n v="0"/>
    <n v="10890"/>
    <n v="0"/>
    <n v="10890"/>
    <m/>
    <n v="7260"/>
    <m/>
    <n v="0"/>
    <m/>
    <m/>
    <m/>
    <m/>
    <n v="85860"/>
    <s v="5 meses sin pago"/>
    <s v="Saldo pendiente de liquidar"/>
    <n v="4340"/>
    <n v="0.95188470066518849"/>
    <n v="-4340"/>
    <n v="-4.8115299334811533E-2"/>
    <n v="815540"/>
    <n v="0.90474816951408921"/>
    <n v="90200"/>
    <s v="Vendido"/>
    <x v="2"/>
    <n v="25"/>
    <n v="1"/>
    <n v="26"/>
    <n v="6000"/>
    <n v="3368"/>
    <n v="6"/>
    <n v="24"/>
    <n v="86832"/>
    <n v="0"/>
    <n v="85860"/>
    <n v="0"/>
    <n v="0"/>
    <n v="972"/>
    <x v="2"/>
    <m/>
    <m/>
  </r>
  <r>
    <x v="208"/>
    <s v="B3"/>
    <m/>
    <s v="Antonio Rada"/>
    <s v="Josselin Alejandra Turcios Orantes"/>
    <d v="2024-02-14T00:00:00"/>
    <s v="4.Plan de pagos"/>
    <n v="887400"/>
    <n v="88800"/>
    <n v="0"/>
    <n v="0"/>
    <n v="0"/>
    <n v="0"/>
    <n v="0"/>
    <n v="0"/>
    <n v="0"/>
    <n v="0"/>
    <n v="0"/>
    <n v="0"/>
    <n v="0"/>
    <n v="8000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n v="4253"/>
    <m/>
    <m/>
    <m/>
    <m/>
    <n v="84554"/>
    <s v="al día"/>
    <s v=""/>
    <m/>
    <n v="0.95218468468468465"/>
    <n v="-4246"/>
    <n v="-4.7815315315315313E-2"/>
    <n v="802846"/>
    <n v="0.90471715122830743"/>
    <n v="88800"/>
    <s v="Vendido"/>
    <x v="0"/>
    <n v="19"/>
    <n v="1"/>
    <n v="20"/>
    <n v="8000"/>
    <n v="4253"/>
    <n v="18"/>
    <n v="18"/>
    <n v="84554"/>
    <n v="72301"/>
    <n v="8000"/>
    <n v="4253"/>
    <n v="0"/>
    <n v="0"/>
    <x v="0"/>
    <m/>
    <m/>
  </r>
  <r>
    <x v="209"/>
    <s v="A6"/>
    <m/>
    <s v="Antonio Rada"/>
    <s v="Andrea Nicole Mansilla Fuentes"/>
    <d v="2023-03-25T00:00:00"/>
    <s v="4.Plan de pagos"/>
    <n v="663200"/>
    <n v="66400"/>
    <n v="6000"/>
    <n v="1726"/>
    <n v="1726"/>
    <n v="1726"/>
    <n v="1726"/>
    <n v="1726"/>
    <n v="1726"/>
    <n v="1730"/>
    <n v="1730"/>
    <n v="0"/>
    <n v="3450"/>
    <n v="0"/>
    <n v="3500"/>
    <n v="2500"/>
    <n v="1800"/>
    <n v="1800"/>
    <n v="1800"/>
    <n v="1900"/>
    <n v="1800"/>
    <n v="0"/>
    <n v="1800"/>
    <n v="3600"/>
    <n v="0"/>
    <n v="1800"/>
    <n v="1800"/>
    <n v="0"/>
    <n v="2000"/>
    <m/>
    <n v="1800"/>
    <n v="1800"/>
    <m/>
    <m/>
    <m/>
    <m/>
    <n v="52966"/>
    <s v="3 meses sin pago"/>
    <m/>
    <m/>
    <n v="0.79768072289156622"/>
    <n v="-13434"/>
    <n v="-0.20231927710843373"/>
    <n v="610234"/>
    <n v="0.92013570566948133"/>
    <n v="66400"/>
    <s v="Vendido"/>
    <x v="2"/>
    <n v="35"/>
    <n v="1"/>
    <n v="36"/>
    <n v="6000"/>
    <n v="1726"/>
    <n v="23"/>
    <n v="29"/>
    <n v="56054"/>
    <n v="10356"/>
    <n v="42610"/>
    <n v="0"/>
    <n v="0"/>
    <n v="3088"/>
    <x v="4"/>
    <m/>
    <s v="Revisado"/>
  </r>
  <r>
    <x v="210"/>
    <s v="A4"/>
    <m/>
    <s v="Jose Franco"/>
    <s v="Juan José Silva Pacheco"/>
    <d v="2023-05-16T00:00:00"/>
    <s v="4.Plan de pagos"/>
    <n v="691118.49"/>
    <n v="69118.490000000005"/>
    <n v="0"/>
    <n v="0"/>
    <n v="6000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2254"/>
    <n v="0"/>
    <m/>
    <m/>
    <m/>
    <m/>
    <n v="58604"/>
    <s v="1 meses sin pago"/>
    <s v="no se recibió pago agosto"/>
    <n v="2254"/>
    <n v="0.84787731907916386"/>
    <n v="-10514.490000000005"/>
    <n v="-0.15212268092083614"/>
    <n v="632514.49"/>
    <n v="0.91520412078687119"/>
    <n v="69118.490000000005"/>
    <s v="Vendido"/>
    <x v="2"/>
    <n v="28"/>
    <n v="1"/>
    <n v="29"/>
    <n v="6000"/>
    <n v="2254"/>
    <n v="26"/>
    <n v="27"/>
    <n v="66858"/>
    <n v="58604"/>
    <n v="6000"/>
    <n v="-6000"/>
    <n v="0"/>
    <n v="8254"/>
    <x v="8"/>
    <m/>
    <m/>
  </r>
  <r>
    <x v="211"/>
    <s v="A12"/>
    <m/>
    <s v="Jose Franco"/>
    <s v="David Arimany Monzón"/>
    <d v="2023-03-27T00:00:00"/>
    <s v="4.Plan de pagos"/>
    <n v="678932"/>
    <n v="67932"/>
    <n v="6000"/>
    <n v="1500"/>
    <n v="1500"/>
    <n v="0"/>
    <n v="0"/>
    <n v="0"/>
    <n v="3000"/>
    <n v="1500"/>
    <n v="1500"/>
    <n v="0"/>
    <n v="6000"/>
    <n v="0"/>
    <n v="1500"/>
    <n v="3000"/>
    <n v="0"/>
    <n v="3000"/>
    <n v="0"/>
    <n v="1500"/>
    <n v="0"/>
    <n v="0"/>
    <n v="1500"/>
    <n v="0"/>
    <n v="0"/>
    <n v="0"/>
    <n v="0"/>
    <n v="0"/>
    <m/>
    <m/>
    <m/>
    <n v="0"/>
    <m/>
    <m/>
    <m/>
    <m/>
    <n v="31500"/>
    <s v="F&amp;F"/>
    <s v=""/>
    <m/>
    <n v="0.4636989931107578"/>
    <n v="-36432"/>
    <n v="-0.5363010068892422"/>
    <n v="647432"/>
    <n v="0.95360360094972696"/>
    <n v="67932"/>
    <s v="Vendido"/>
    <x v="2"/>
    <n v="35"/>
    <n v="1"/>
    <n v="36"/>
    <n v="6000"/>
    <n v="1500"/>
    <n v="10"/>
    <n v="29"/>
    <n v="49500"/>
    <n v="10500"/>
    <n v="21000"/>
    <n v="0"/>
    <n v="0"/>
    <n v="18000"/>
    <x v="1"/>
    <s v="F&amp;F"/>
    <m/>
  </r>
  <r>
    <x v="212"/>
    <s v="C6"/>
    <m/>
    <s v="Antonio Rada"/>
    <s v="Jmx Inversiones Sociedad Anonima"/>
    <d v="2023-04-15T00:00:00"/>
    <s v="4.Plan de pagos"/>
    <n v="1110600"/>
    <n v="111100"/>
    <n v="0"/>
    <n v="6000"/>
    <n v="3624"/>
    <n v="3624"/>
    <n v="3624"/>
    <n v="3624"/>
    <n v="3624"/>
    <n v="3624"/>
    <n v="3624"/>
    <n v="3624"/>
    <n v="3624"/>
    <n v="3624"/>
    <n v="3624"/>
    <n v="3624"/>
    <n v="3624"/>
    <n v="0"/>
    <n v="7248"/>
    <n v="0"/>
    <n v="0"/>
    <n v="7248"/>
    <n v="7248"/>
    <n v="3624"/>
    <n v="3624"/>
    <n v="3624"/>
    <n v="3624"/>
    <n v="3624"/>
    <n v="3624"/>
    <n v="3624"/>
    <n v="7510"/>
    <n v="0"/>
    <m/>
    <m/>
    <m/>
    <m/>
    <n v="107734"/>
    <s v="al día"/>
    <s v=""/>
    <m/>
    <n v="0.96970297029702968"/>
    <n v="-3366"/>
    <n v="-3.0297029702970296E-2"/>
    <n v="1002866"/>
    <n v="0.90299477759769498"/>
    <n v="111100"/>
    <s v="Vendido"/>
    <x v="0"/>
    <n v="29"/>
    <n v="1"/>
    <n v="30"/>
    <n v="6000"/>
    <n v="3624"/>
    <n v="20"/>
    <n v="28"/>
    <n v="107472"/>
    <n v="72480"/>
    <n v="35254"/>
    <n v="0"/>
    <n v="262"/>
    <n v="0"/>
    <x v="0"/>
    <m/>
    <m/>
  </r>
  <r>
    <x v="213"/>
    <s v="C5"/>
    <m/>
    <s v="Antonio Rada"/>
    <s v="Gilda Elena Siekavizza Castillo / Jose Pablo Pineda Bran"/>
    <d v="2023-03-28T00:00:00"/>
    <s v="4.Plan de pagos"/>
    <n v="1108600"/>
    <n v="110900"/>
    <n v="6000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n v="2997"/>
    <m/>
    <m/>
    <m/>
    <m/>
    <n v="92913"/>
    <s v="al día"/>
    <s v=""/>
    <m/>
    <n v="0.83780883678990081"/>
    <n v="-17987"/>
    <n v="-0.16219116321009919"/>
    <n v="1015687"/>
    <n v="0.91618888688435862"/>
    <n v="110900"/>
    <s v="Vendido"/>
    <x v="0"/>
    <n v="35"/>
    <n v="1"/>
    <n v="36"/>
    <n v="6000"/>
    <n v="2997"/>
    <n v="29"/>
    <n v="29"/>
    <n v="92913"/>
    <n v="83916"/>
    <n v="6000"/>
    <n v="2997"/>
    <n v="0"/>
    <n v="0"/>
    <x v="0"/>
    <m/>
    <m/>
  </r>
  <r>
    <x v="214"/>
    <s v="C6"/>
    <m/>
    <s v="Antonio Rada"/>
    <s v="Jmx Inversiones Sociedad Anonima"/>
    <d v="2023-04-15T00:00:00"/>
    <s v="4.Plan de pagos"/>
    <n v="1110600"/>
    <n v="111100"/>
    <n v="0"/>
    <n v="6000"/>
    <n v="3624"/>
    <n v="3624"/>
    <n v="3624"/>
    <n v="3624"/>
    <n v="3624"/>
    <n v="3624"/>
    <n v="3624"/>
    <n v="3624"/>
    <n v="3624"/>
    <n v="3624"/>
    <n v="3624"/>
    <n v="3624"/>
    <n v="3624"/>
    <n v="0"/>
    <n v="7248"/>
    <n v="0"/>
    <n v="0"/>
    <n v="7248"/>
    <n v="7248"/>
    <n v="3624"/>
    <n v="3624"/>
    <n v="3624"/>
    <n v="3624"/>
    <n v="3624"/>
    <n v="3624"/>
    <n v="3624"/>
    <n v="7510"/>
    <n v="0"/>
    <m/>
    <m/>
    <m/>
    <m/>
    <n v="107734"/>
    <s v="al día"/>
    <s v=""/>
    <m/>
    <n v="0.96970297029702968"/>
    <n v="-3366"/>
    <n v="-3.0297029702970296E-2"/>
    <n v="1002866"/>
    <n v="0.90299477759769498"/>
    <n v="111100"/>
    <s v="Vendido"/>
    <x v="0"/>
    <n v="29"/>
    <n v="1"/>
    <n v="30"/>
    <n v="6000"/>
    <n v="3624"/>
    <n v="20"/>
    <n v="28"/>
    <n v="107472"/>
    <n v="72480"/>
    <n v="35254"/>
    <n v="0"/>
    <n v="262"/>
    <n v="0"/>
    <x v="0"/>
    <m/>
    <m/>
  </r>
  <r>
    <x v="215"/>
    <s v="C5"/>
    <m/>
    <s v="Antonio Rada"/>
    <s v="Jorge Daniel Baca Chiroy"/>
    <d v="2023-11-28T00:00:00"/>
    <s v="4.Plan de pagos"/>
    <n v="1193202.5"/>
    <n v="119402.5"/>
    <n v="0"/>
    <n v="0"/>
    <n v="0"/>
    <n v="0"/>
    <n v="0"/>
    <n v="0"/>
    <n v="0"/>
    <n v="0"/>
    <n v="5500"/>
    <n v="5174"/>
    <n v="5174"/>
    <n v="0"/>
    <n v="0"/>
    <n v="0"/>
    <n v="0"/>
    <n v="10348"/>
    <n v="0"/>
    <n v="0"/>
    <n v="10354"/>
    <n v="0"/>
    <n v="10354"/>
    <n v="0"/>
    <n v="0"/>
    <n v="36239"/>
    <n v="0"/>
    <n v="10366"/>
    <n v="5174"/>
    <n v="20719.5"/>
    <m/>
    <n v="0"/>
    <m/>
    <m/>
    <m/>
    <m/>
    <n v="119402.5"/>
    <s v="al día"/>
    <s v=""/>
    <m/>
    <n v="1"/>
    <n v="0"/>
    <n v="0"/>
    <n v="1073800"/>
    <n v="0.89993106786149035"/>
    <n v="119402.5"/>
    <s v="Vendido"/>
    <x v="3"/>
    <n v="22"/>
    <n v="1"/>
    <n v="23"/>
    <n v="5500"/>
    <n v="5177"/>
    <n v="3"/>
    <n v="21"/>
    <n v="114217"/>
    <n v="15522"/>
    <n v="103880.5"/>
    <n v="0"/>
    <n v="5185.5"/>
    <n v="0"/>
    <x v="0"/>
    <m/>
    <m/>
  </r>
  <r>
    <x v="216"/>
    <s v="A8"/>
    <s v="Plan de pagos especiales"/>
    <s v="Brenda Búcaro"/>
    <s v="Sergio Enrique Bolaños López"/>
    <d v="2023-07-16T00:00:00"/>
    <s v="4.Plan de pagos"/>
    <n v="666800"/>
    <n v="66700"/>
    <n v="0"/>
    <n v="6000"/>
    <n v="0"/>
    <n v="0"/>
    <n v="2000"/>
    <n v="2000"/>
    <n v="0"/>
    <n v="4000"/>
    <n v="0"/>
    <n v="0"/>
    <n v="2000"/>
    <n v="2000"/>
    <n v="0"/>
    <n v="4000"/>
    <n v="4000"/>
    <n v="0"/>
    <n v="2000"/>
    <n v="2000"/>
    <n v="0"/>
    <n v="2000"/>
    <n v="0"/>
    <n v="0"/>
    <n v="2000"/>
    <n v="2000"/>
    <n v="5000"/>
    <n v="0"/>
    <n v="3212"/>
    <m/>
    <n v="3212"/>
    <n v="0"/>
    <m/>
    <m/>
    <m/>
    <m/>
    <n v="47424"/>
    <s v="Casos Especiales"/>
    <s v=""/>
    <m/>
    <n v="0.7110044977511244"/>
    <n v="-19276"/>
    <n v="-0.28899550224887555"/>
    <n v="619376"/>
    <n v="0.92887822435512901"/>
    <n v="66700"/>
    <s v="Vendido"/>
    <x v="18"/>
    <n v="29"/>
    <n v="1"/>
    <n v="30"/>
    <n v="6000"/>
    <n v="1606"/>
    <n v="15"/>
    <n v="25"/>
    <n v="46150"/>
    <n v="0"/>
    <n v="47424"/>
    <n v="0"/>
    <n v="1274"/>
    <n v="0"/>
    <x v="0"/>
    <m/>
    <s v="Nuevo plan de pago, cliente al día."/>
  </r>
  <r>
    <x v="217"/>
    <s v="A2"/>
    <m/>
    <s v="Jose Franco"/>
    <s v="Marcas &amp; Secretos, S.A."/>
    <d v="2023-04-05T00:00:00"/>
    <s v="4.Plan de pagos"/>
    <n v="64563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2000"/>
    <n v="2000"/>
    <n v="2000"/>
    <n v="2000"/>
    <n v="2000"/>
    <m/>
    <m/>
    <m/>
    <m/>
    <n v="62000"/>
    <s v="al día"/>
    <s v=""/>
    <m/>
    <n v="0.95917325453673474"/>
    <n v="-2639"/>
    <n v="-4.0826745463265209E-2"/>
    <n v="583639"/>
    <n v="0.90397110459560215"/>
    <n v="64639"/>
    <s v="Vendido"/>
    <x v="0"/>
    <n v="29"/>
    <n v="1"/>
    <n v="30"/>
    <n v="6000"/>
    <n v="2000"/>
    <n v="26"/>
    <n v="28"/>
    <n v="62000"/>
    <n v="46000"/>
    <n v="14000"/>
    <n v="2000"/>
    <n v="0"/>
    <n v="0"/>
    <x v="0"/>
    <m/>
    <m/>
  </r>
  <r>
    <x v="218"/>
    <s v="A11"/>
    <m/>
    <s v="Jose Franco"/>
    <s v="Manuel Armando Fletes Ordoñez"/>
    <d v="2023-06-05T00:00:00"/>
    <s v="4.Plan de pagos"/>
    <n v="786200"/>
    <n v="78700"/>
    <n v="0"/>
    <n v="0"/>
    <n v="0"/>
    <n v="60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2700"/>
    <n v="50000"/>
    <n v="50000"/>
    <n v="35000"/>
    <n v="50000"/>
    <m/>
    <m/>
    <m/>
    <m/>
    <n v="250400"/>
    <s v="al día"/>
    <s v=""/>
    <m/>
    <n v="3.181702668360864"/>
    <n v="171700"/>
    <n v="2.181702668360864"/>
    <n v="535800"/>
    <n v="0.68150597812261515"/>
    <n v="78700"/>
    <s v="Vendido"/>
    <x v="4"/>
    <n v="27"/>
    <n v="1"/>
    <n v="28"/>
    <n v="6000"/>
    <n v="2693"/>
    <n v="22"/>
    <n v="26"/>
    <n v="76018"/>
    <n v="0"/>
    <n v="250400"/>
    <n v="0"/>
    <n v="174382"/>
    <n v="0"/>
    <x v="0"/>
    <m/>
    <m/>
  </r>
  <r>
    <x v="219"/>
    <s v="B4"/>
    <m/>
    <s v="Antonio Rada"/>
    <s v=" Jose Javier Hernandez Juarez"/>
    <d v="2023-04-11T00:00:00"/>
    <s v="4.Plan de pagos"/>
    <n v="858400"/>
    <n v="85900"/>
    <n v="0"/>
    <n v="6000"/>
    <n v="2755"/>
    <n v="2755"/>
    <n v="2755"/>
    <n v="2755"/>
    <n v="2755"/>
    <n v="2755"/>
    <n v="2755"/>
    <n v="2755"/>
    <n v="2755"/>
    <n v="2755"/>
    <n v="2755"/>
    <n v="2755"/>
    <n v="2755"/>
    <n v="2755"/>
    <n v="26755"/>
    <n v="3500"/>
    <n v="3500"/>
    <n v="3500"/>
    <n v="3500"/>
    <n v="3500"/>
    <n v="3500"/>
    <n v="3500"/>
    <n v="3500"/>
    <n v="3500"/>
    <n v="3500"/>
    <n v="3500"/>
    <n v="3500"/>
    <n v="3500"/>
    <m/>
    <m/>
    <m/>
    <m/>
    <n v="116825"/>
    <s v="al día"/>
    <s v=""/>
    <m/>
    <n v="1.360011641443539"/>
    <n v="30925"/>
    <n v="0.36001164144353898"/>
    <n v="741575"/>
    <n v="0.86390377446411926"/>
    <n v="85900"/>
    <s v="Vendido"/>
    <x v="4"/>
    <n v="29"/>
    <n v="1"/>
    <n v="30"/>
    <n v="6000"/>
    <n v="2755"/>
    <n v="27"/>
    <n v="28"/>
    <n v="83140"/>
    <n v="38570"/>
    <n v="78255"/>
    <n v="0"/>
    <n v="33685"/>
    <n v="0"/>
    <x v="0"/>
    <m/>
    <m/>
  </r>
  <r>
    <x v="220"/>
    <s v="B3"/>
    <m/>
    <s v="Anahí Cisneros"/>
    <s v="Alan Gonzalez Choc"/>
    <d v="2025-07-18T00:00:00"/>
    <s v="4.Plan de pagos"/>
    <n v="1126261.8195599201"/>
    <n v="112626.18195599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519578.08"/>
    <n v="0"/>
    <m/>
    <m/>
    <m/>
    <m/>
    <n v="519578.08"/>
    <s v="7 meses sin pago"/>
    <s v="Enganche Completado"/>
    <m/>
    <n v="4.6132974675730551"/>
    <n v="406951.898044008"/>
    <n v="3.6132974675730547"/>
    <n v="606683.73955992004"/>
    <n v="0.53867025324269446"/>
    <n v="112626.18195599201"/>
    <s v="Vendido"/>
    <x v="3"/>
    <n v="11"/>
    <n v="1"/>
    <n v="12"/>
    <n v="519578.07"/>
    <n v="32100"/>
    <n v="0"/>
    <n v="1"/>
    <n v="551678.07000000007"/>
    <n v="0"/>
    <n v="519578.08"/>
    <n v="0"/>
    <n v="0"/>
    <n v="32099.990000000049"/>
    <x v="2"/>
    <m/>
    <m/>
  </r>
  <r>
    <x v="221"/>
    <s v="D4"/>
    <m/>
    <s v="Antonio Rada"/>
    <s v="Irene Noemy Santisteban Chiguil"/>
    <d v="2024-04-09T00:00:00"/>
    <s v="4.Plan de pagos"/>
    <n v="1253700"/>
    <n v="125400"/>
    <n v="0"/>
    <n v="0"/>
    <n v="0"/>
    <n v="0"/>
    <n v="0"/>
    <n v="0"/>
    <n v="0"/>
    <n v="0"/>
    <n v="0"/>
    <n v="0"/>
    <n v="0"/>
    <n v="0"/>
    <n v="0"/>
    <n v="8000"/>
    <n v="6904"/>
    <n v="6904"/>
    <n v="6904"/>
    <n v="6904"/>
    <n v="6904"/>
    <n v="6904"/>
    <n v="6904"/>
    <n v="6904"/>
    <n v="6904"/>
    <n v="6904"/>
    <n v="6904"/>
    <n v="6904"/>
    <n v="6904"/>
    <n v="6904"/>
    <n v="6904"/>
    <n v="6904"/>
    <m/>
    <m/>
    <m/>
    <m/>
    <n v="118464"/>
    <s v="al día"/>
    <s v=""/>
    <m/>
    <n v="0.94468899521531102"/>
    <n v="-6936"/>
    <n v="-5.5311004784688998E-2"/>
    <n v="1135236"/>
    <n v="0.90550849485522855"/>
    <n v="125400"/>
    <s v="Vendido"/>
    <x v="0"/>
    <n v="17"/>
    <n v="1"/>
    <n v="18"/>
    <n v="8000"/>
    <n v="6904"/>
    <n v="16"/>
    <n v="16"/>
    <n v="118464"/>
    <n v="103560"/>
    <n v="8000"/>
    <n v="6904"/>
    <n v="0"/>
    <n v="0"/>
    <x v="0"/>
    <m/>
    <m/>
  </r>
  <r>
    <x v="222"/>
    <s v="D1"/>
    <m/>
    <s v="Diana Alvarez"/>
    <s v="Hector Ricardo Echeverria  Mendez"/>
    <d v="2024-11-18T00:00:00"/>
    <s v="2. Reserva"/>
    <n v="1350925.53"/>
    <n v="135092.54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0"/>
    <n v="34750"/>
    <n v="0"/>
    <n v="6950"/>
    <n v="6950"/>
    <n v="6950"/>
    <n v="6950"/>
    <m/>
    <m/>
    <m/>
    <m/>
    <n v="72550"/>
    <s v="al día"/>
    <s v=""/>
    <m/>
    <n v="0.53703923717481095"/>
    <n v="-62542.549999999988"/>
    <n v="-0.46296076282518905"/>
    <n v="1278375.53"/>
    <n v="0.94629607747512179"/>
    <n v="135092.54999999999"/>
    <s v="Vendido"/>
    <x v="0"/>
    <n v="18"/>
    <n v="1"/>
    <n v="19"/>
    <n v="10000"/>
    <n v="6950"/>
    <n v="4"/>
    <n v="9"/>
    <n v="72550"/>
    <n v="20850"/>
    <n v="44750"/>
    <n v="6950"/>
    <n v="0"/>
    <n v="0"/>
    <x v="0"/>
    <m/>
    <m/>
  </r>
  <r>
    <x v="223"/>
    <s v="D4"/>
    <m/>
    <s v="Antonio Rada"/>
    <s v="Raul Eliazar Lemus Garza"/>
    <d v="2024-06-13T00:00:00"/>
    <s v="4.Plan de pagos"/>
    <n v="1253700"/>
    <n v="125400"/>
    <n v="0"/>
    <n v="0"/>
    <n v="0"/>
    <n v="0"/>
    <n v="0"/>
    <n v="0"/>
    <n v="0"/>
    <n v="0"/>
    <n v="0"/>
    <n v="0"/>
    <n v="0"/>
    <n v="0"/>
    <n v="0"/>
    <n v="0"/>
    <n v="0"/>
    <n v="10000"/>
    <n v="6411"/>
    <n v="6411"/>
    <n v="6411"/>
    <n v="6411"/>
    <n v="6411"/>
    <n v="6411"/>
    <n v="6411"/>
    <n v="6411"/>
    <n v="6411"/>
    <n v="6411"/>
    <n v="6411"/>
    <n v="6411"/>
    <n v="6411"/>
    <n v="6411"/>
    <m/>
    <m/>
    <m/>
    <m/>
    <n v="99754"/>
    <s v="al día"/>
    <s v=""/>
    <m/>
    <n v="0.79548644338118024"/>
    <n v="-25646"/>
    <n v="-0.20451355661881979"/>
    <n v="1153946"/>
    <n v="0.92043232033181777"/>
    <n v="125400"/>
    <s v="Vendido"/>
    <x v="0"/>
    <n v="18"/>
    <n v="1"/>
    <n v="19"/>
    <n v="10000"/>
    <n v="6411"/>
    <n v="14"/>
    <n v="14"/>
    <n v="99754"/>
    <n v="83343"/>
    <n v="10000"/>
    <n v="6411"/>
    <n v="0"/>
    <n v="0"/>
    <x v="0"/>
    <m/>
    <m/>
  </r>
  <r>
    <x v="224"/>
    <s v="D1"/>
    <m/>
    <s v="Antonio Rada"/>
    <s v="Rodolfo Godoy Lemus"/>
    <d v="2024-11-13T00:00:00"/>
    <s v="4.Plan de pagos"/>
    <n v="1350925.53"/>
    <n v="135125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0"/>
    <n v="6951"/>
    <n v="6950"/>
    <n v="0"/>
    <n v="41706"/>
    <m/>
    <n v="6951"/>
    <n v="0"/>
    <m/>
    <m/>
    <m/>
    <m/>
    <n v="72558"/>
    <s v="4 meses sin pago"/>
    <s v="Pago mayo compensa meses no pagados"/>
    <n v="0"/>
    <n v="0.53696736656648081"/>
    <n v="-62567.53"/>
    <n v="-0.46303263343351919"/>
    <n v="1278367.53"/>
    <n v="0.94629015560909568"/>
    <n v="135125.53"/>
    <s v="Vendido"/>
    <x v="2"/>
    <n v="18"/>
    <n v="1"/>
    <n v="19"/>
    <n v="10000"/>
    <n v="6951"/>
    <n v="3"/>
    <n v="9"/>
    <n v="72559"/>
    <n v="20852"/>
    <n v="51706"/>
    <n v="0"/>
    <n v="0"/>
    <n v="1"/>
    <x v="2"/>
    <m/>
    <m/>
  </r>
  <r>
    <x v="225"/>
    <s v="B4"/>
    <m/>
    <s v="Antonio Rada"/>
    <s v="Ricardo Fernando Linares Perez"/>
    <d v="2023-08-06T00:00:00"/>
    <s v="4.Plan de pagos"/>
    <n v="901400"/>
    <n v="90200"/>
    <n v="0"/>
    <n v="0"/>
    <n v="0"/>
    <n v="0"/>
    <n v="0"/>
    <n v="6000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n v="3368"/>
    <m/>
    <n v="6736"/>
    <n v="3368"/>
    <m/>
    <m/>
    <m/>
    <m/>
    <n v="86832"/>
    <s v="al día"/>
    <s v=""/>
    <m/>
    <n v="0.96266075388026606"/>
    <n v="-3368"/>
    <n v="-3.7339246119733924E-2"/>
    <n v="814568"/>
    <n v="0.90366984690481478"/>
    <n v="90200"/>
    <s v="Vendido"/>
    <x v="0"/>
    <n v="25"/>
    <n v="1"/>
    <n v="26"/>
    <n v="6000"/>
    <n v="3368"/>
    <n v="22"/>
    <n v="24"/>
    <n v="86832"/>
    <n v="70728"/>
    <n v="12736"/>
    <n v="3368"/>
    <n v="0"/>
    <n v="0"/>
    <x v="0"/>
    <m/>
    <m/>
  </r>
  <r>
    <x v="226"/>
    <s v="B3"/>
    <m/>
    <s v="Antonio Rada"/>
    <s v="Shirley Hilene Recinos"/>
    <d v="2023-10-24T00:00:00"/>
    <s v="4.Plan de pagos"/>
    <n v="879281.06"/>
    <n v="87981.06"/>
    <n v="0"/>
    <n v="0"/>
    <n v="0"/>
    <n v="0"/>
    <n v="0"/>
    <n v="0"/>
    <n v="0"/>
    <n v="4000"/>
    <n v="3651"/>
    <n v="3651"/>
    <n v="3651"/>
    <n v="3651"/>
    <n v="0"/>
    <n v="7302"/>
    <n v="0"/>
    <n v="3651"/>
    <n v="7302"/>
    <n v="3651"/>
    <n v="3651"/>
    <n v="3651"/>
    <n v="3651"/>
    <n v="3651"/>
    <n v="0"/>
    <n v="7302"/>
    <n v="3651"/>
    <n v="3651"/>
    <n v="3651"/>
    <n v="3651"/>
    <n v="3651"/>
    <n v="3651"/>
    <m/>
    <m/>
    <m/>
    <m/>
    <n v="84322"/>
    <s v="al día"/>
    <s v=""/>
    <m/>
    <n v="0.95841082160183111"/>
    <n v="-3659.0599999999977"/>
    <n v="-4.1589178398168856E-2"/>
    <n v="794959.06"/>
    <n v="0.90410119831308544"/>
    <n v="87981.06"/>
    <s v="Vendido"/>
    <x v="0"/>
    <n v="23"/>
    <n v="1"/>
    <n v="24"/>
    <n v="4000"/>
    <n v="3651"/>
    <n v="16"/>
    <n v="22"/>
    <n v="84322"/>
    <n v="54765"/>
    <n v="25906"/>
    <n v="3651"/>
    <n v="0"/>
    <n v="0"/>
    <x v="0"/>
    <m/>
    <m/>
  </r>
  <r>
    <x v="227"/>
    <s v="A6"/>
    <m/>
    <s v="Antonio Rada"/>
    <s v="Jose Salvador Franco Rosales"/>
    <d v="2025-05-02T00:00:00"/>
    <s v="2. Reserva"/>
    <n v="663200"/>
    <n v="6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5617"/>
    <n v="5617"/>
    <n v="5617"/>
    <m/>
    <m/>
    <m/>
    <m/>
    <n v="26851"/>
    <s v="al día"/>
    <s v=""/>
    <m/>
    <n v="0.40438253012048192"/>
    <n v="-39549"/>
    <n v="-0.59561746987951802"/>
    <n v="636349"/>
    <n v="0.9595129674306393"/>
    <n v="66400"/>
    <s v="Vendido"/>
    <x v="0"/>
    <n v="12"/>
    <n v="1"/>
    <n v="13"/>
    <n v="10000"/>
    <n v="4700"/>
    <n v="3"/>
    <n v="3"/>
    <n v="24100"/>
    <n v="0"/>
    <n v="26851"/>
    <n v="0"/>
    <n v="2751"/>
    <n v="0"/>
    <x v="0"/>
    <m/>
    <m/>
  </r>
  <r>
    <x v="228"/>
    <s v="A4"/>
    <m/>
    <s v="Brenda Búcaro"/>
    <s v=" Barbara Elizabeth Barrientos Valenzuela"/>
    <d v="2023-05-08T00:00:00"/>
    <s v="4.Plan de pagos"/>
    <n v="697500"/>
    <n v="69800"/>
    <n v="0"/>
    <n v="0"/>
    <n v="6000"/>
    <n v="2250"/>
    <n v="2250"/>
    <n v="2250"/>
    <n v="2250"/>
    <n v="0"/>
    <n v="2250"/>
    <n v="2250"/>
    <n v="2250"/>
    <n v="2250"/>
    <n v="2250"/>
    <n v="2250"/>
    <n v="4500"/>
    <n v="0"/>
    <n v="2250"/>
    <n v="2250"/>
    <n v="2250"/>
    <n v="2250"/>
    <n v="2250"/>
    <n v="2250"/>
    <n v="2250"/>
    <n v="4500"/>
    <n v="2250"/>
    <n v="2250"/>
    <n v="2250"/>
    <n v="0"/>
    <n v="4500"/>
    <n v="0"/>
    <m/>
    <m/>
    <m/>
    <m/>
    <n v="64500"/>
    <s v="2 meses sin pago"/>
    <s v="no se recibió pago agosto"/>
    <n v="2250"/>
    <n v="0.9240687679083095"/>
    <n v="-5300"/>
    <n v="-7.5931232091690545E-2"/>
    <n v="633000"/>
    <n v="0.90752688172043006"/>
    <n v="69800"/>
    <s v="Vendido"/>
    <x v="2"/>
    <n v="28"/>
    <n v="1"/>
    <n v="29"/>
    <n v="6000"/>
    <n v="2250"/>
    <n v="23"/>
    <n v="27"/>
    <n v="66750"/>
    <n v="45000"/>
    <n v="19500"/>
    <n v="0"/>
    <n v="0"/>
    <n v="2250"/>
    <x v="2"/>
    <m/>
    <m/>
  </r>
  <r>
    <x v="229"/>
    <s v="A12"/>
    <m/>
    <s v="Jose Franco"/>
    <s v="Fernando José Franco Jiménez"/>
    <d v="2023-03-31T00:00:00"/>
    <s v="4.Plan de pagos"/>
    <n v="678932"/>
    <n v="67932"/>
    <n v="6000"/>
    <n v="0"/>
    <n v="0"/>
    <n v="0"/>
    <n v="0"/>
    <n v="0"/>
    <n v="0"/>
    <n v="0"/>
    <n v="280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8800"/>
    <s v="F&amp;F"/>
    <s v=""/>
    <m/>
    <n v="0.12954130601189426"/>
    <n v="-59132"/>
    <n v="-0.87045869398810571"/>
    <n v="670132"/>
    <n v="0.9870384662970666"/>
    <n v="67932"/>
    <s v="Vendido"/>
    <x v="2"/>
    <n v="3"/>
    <n v="1"/>
    <n v="4"/>
    <n v="6000"/>
    <n v="20644"/>
    <n v="1"/>
    <n v="29"/>
    <n v="604676"/>
    <n v="8800"/>
    <n v="0"/>
    <n v="0"/>
    <n v="0"/>
    <n v="595876"/>
    <x v="1"/>
    <s v="F&amp;F"/>
    <m/>
  </r>
  <r>
    <x v="230"/>
    <s v="C6"/>
    <m/>
    <s v="Antonio Rada"/>
    <s v="Gerson Alexander Urias Marquez"/>
    <d v="2023-10-31T00:00:00"/>
    <s v="4.Plan de pagos"/>
    <n v="1183693"/>
    <n v="118393"/>
    <n v="0"/>
    <n v="0"/>
    <n v="0"/>
    <n v="0"/>
    <n v="0"/>
    <n v="0"/>
    <n v="0"/>
    <n v="8000"/>
    <n v="4800"/>
    <n v="4800"/>
    <n v="4800"/>
    <n v="4800"/>
    <n v="4800"/>
    <n v="4800"/>
    <n v="4800"/>
    <n v="4800"/>
    <n v="4800"/>
    <n v="4800"/>
    <n v="4800"/>
    <n v="4800"/>
    <n v="4800"/>
    <n v="0"/>
    <n v="9600"/>
    <n v="4800"/>
    <n v="4800"/>
    <n v="4800"/>
    <n v="4800"/>
    <n v="4800"/>
    <n v="4800"/>
    <n v="4800"/>
    <m/>
    <m/>
    <m/>
    <m/>
    <n v="113600"/>
    <s v="al día"/>
    <s v=""/>
    <m/>
    <n v="0.95951618761244328"/>
    <n v="-4793"/>
    <n v="-4.0483812387556696E-2"/>
    <n v="1070093"/>
    <n v="0.9040291697255961"/>
    <n v="118393"/>
    <s v="Vendido"/>
    <x v="0"/>
    <n v="23"/>
    <n v="1"/>
    <n v="24"/>
    <n v="8000"/>
    <n v="4800"/>
    <n v="20"/>
    <n v="22"/>
    <n v="113600"/>
    <n v="91200"/>
    <n v="17600"/>
    <n v="4800"/>
    <n v="0"/>
    <n v="0"/>
    <x v="0"/>
    <m/>
    <m/>
  </r>
  <r>
    <x v="231"/>
    <s v="C5"/>
    <m/>
    <m/>
    <m/>
    <m/>
    <s v="1.Disponible"/>
    <n v="1422277.6356653599"/>
    <n v="142227.76356653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22277.63566535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32"/>
    <s v="C6"/>
    <m/>
    <s v="Jose Franco"/>
    <s v=" Raúl Cabrera Galindo"/>
    <d v="2023-03-27T00:00:00"/>
    <s v="4.Plan de pagos"/>
    <n v="1166200"/>
    <n v="111100"/>
    <n v="6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n v="3000"/>
    <m/>
    <n v="6000"/>
    <n v="3000"/>
    <m/>
    <m/>
    <m/>
    <m/>
    <n v="93000"/>
    <s v="al día"/>
    <s v=""/>
    <m/>
    <n v="0.83708370837083712"/>
    <n v="-18100"/>
    <n v="-0.16291629162916291"/>
    <n v="1073200"/>
    <n v="0.92025381581203913"/>
    <n v="111100"/>
    <s v="Vendido"/>
    <x v="0"/>
    <n v="35"/>
    <n v="1"/>
    <n v="36"/>
    <n v="6000"/>
    <n v="3000"/>
    <n v="27"/>
    <n v="29"/>
    <n v="93000"/>
    <n v="78000"/>
    <n v="12000"/>
    <n v="3000"/>
    <n v="0"/>
    <n v="0"/>
    <x v="0"/>
    <m/>
    <m/>
  </r>
  <r>
    <x v="233"/>
    <s v="C5"/>
    <m/>
    <s v="Antonio Rada"/>
    <s v="Luis Gabriel Garrido Blanco"/>
    <d v="2023-10-03T00:00:00"/>
    <s v="4.Plan de pagos"/>
    <n v="1022010"/>
    <n v="102201"/>
    <n v="0"/>
    <n v="0"/>
    <n v="0"/>
    <n v="0"/>
    <n v="0"/>
    <n v="0"/>
    <n v="0"/>
    <n v="8000"/>
    <n v="4096"/>
    <n v="4096"/>
    <n v="4096"/>
    <n v="4096"/>
    <n v="0"/>
    <n v="8192"/>
    <n v="4096"/>
    <n v="4096"/>
    <n v="0"/>
    <n v="8192"/>
    <n v="0"/>
    <n v="8192"/>
    <n v="4096"/>
    <n v="4096"/>
    <n v="0"/>
    <n v="8192"/>
    <n v="0"/>
    <n v="8192"/>
    <n v="4096"/>
    <m/>
    <n v="4096"/>
    <n v="4096"/>
    <m/>
    <m/>
    <m/>
    <m/>
    <n v="94016"/>
    <s v="3 meses sin pago"/>
    <s v="no se recibió pago marzo, junio"/>
    <n v="8192"/>
    <n v="0.91991272101055765"/>
    <n v="-8185"/>
    <n v="-8.0087278989442373E-2"/>
    <n v="927994"/>
    <n v="0.90800872789894427"/>
    <n v="102201"/>
    <s v="Vendido"/>
    <x v="2"/>
    <n v="23"/>
    <n v="1"/>
    <n v="24"/>
    <n v="8000"/>
    <n v="4096"/>
    <n v="11"/>
    <n v="22"/>
    <n v="98112"/>
    <n v="40960"/>
    <n v="48960"/>
    <n v="4096"/>
    <n v="0"/>
    <n v="4096"/>
    <x v="2"/>
    <m/>
    <m/>
  </r>
  <r>
    <x v="234"/>
    <s v="A8"/>
    <m/>
    <s v="Brenda Búcaro"/>
    <s v="Arturo Alfredo Monzón López"/>
    <d v="2023-04-18T00:00:00"/>
    <s v="4.Plan de pagos"/>
    <n v="703500"/>
    <n v="66700"/>
    <n v="0"/>
    <n v="6000"/>
    <n v="2000"/>
    <n v="2000"/>
    <n v="2000"/>
    <n v="2000"/>
    <n v="2000"/>
    <n v="2000"/>
    <n v="0"/>
    <n v="0"/>
    <n v="0"/>
    <n v="2000"/>
    <n v="0"/>
    <n v="2000"/>
    <n v="2000"/>
    <n v="4000"/>
    <n v="6000"/>
    <n v="2000"/>
    <n v="2000"/>
    <n v="2000"/>
    <n v="2000"/>
    <n v="2000"/>
    <n v="4000"/>
    <n v="2000"/>
    <n v="2000"/>
    <n v="0"/>
    <n v="2000"/>
    <n v="2000"/>
    <m/>
    <n v="2000"/>
    <m/>
    <m/>
    <m/>
    <m/>
    <n v="58000"/>
    <s v="2 meses sin pago"/>
    <s v="no se recibió pago julio"/>
    <n v="2000"/>
    <n v="0.86956521739130432"/>
    <n v="-8700"/>
    <n v="-0.13043478260869565"/>
    <n v="645500"/>
    <n v="0.91755508173418621"/>
    <n v="66700"/>
    <s v="Vendido"/>
    <x v="2"/>
    <n v="29"/>
    <n v="1"/>
    <n v="30"/>
    <n v="6000"/>
    <n v="2000"/>
    <n v="21"/>
    <n v="28"/>
    <n v="62000"/>
    <n v="36000"/>
    <n v="20000"/>
    <n v="2000"/>
    <n v="0"/>
    <n v="4000"/>
    <x v="4"/>
    <m/>
    <m/>
  </r>
  <r>
    <x v="235"/>
    <s v="A2"/>
    <m/>
    <s v="Jose Franco"/>
    <s v="Marcas &amp; Secretos, S.A."/>
    <d v="2023-04-05T00:00:00"/>
    <s v="4.Plan de pagos"/>
    <n v="645649"/>
    <n v="64639"/>
    <n v="0"/>
    <n v="6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0"/>
    <n v="4000"/>
    <n v="2000"/>
    <n v="2000"/>
    <n v="2000"/>
    <n v="0"/>
    <n v="4000"/>
    <n v="2000"/>
    <n v="2000"/>
    <n v="2000"/>
    <n v="2000"/>
    <n v="2000"/>
    <n v="2000"/>
    <m/>
    <m/>
    <m/>
    <m/>
    <n v="62000"/>
    <s v="al día"/>
    <s v=""/>
    <m/>
    <n v="0.95917325453673474"/>
    <n v="-2639"/>
    <n v="-4.0826745463265209E-2"/>
    <n v="583649"/>
    <n v="0.9039725919191387"/>
    <n v="64639"/>
    <s v="Vendido"/>
    <x v="0"/>
    <n v="29"/>
    <n v="1"/>
    <n v="30"/>
    <n v="6000"/>
    <n v="2000"/>
    <n v="26"/>
    <n v="28"/>
    <n v="62000"/>
    <n v="46000"/>
    <n v="14000"/>
    <n v="2000"/>
    <n v="0"/>
    <n v="0"/>
    <x v="0"/>
    <m/>
    <m/>
  </r>
  <r>
    <x v="236"/>
    <s v="A11"/>
    <m/>
    <s v="Brenda Búcaro"/>
    <s v="Sidney Alexander Osorio Montufar"/>
    <d v="2023-03-20T00:00:00"/>
    <s v="4.Plan de pagos"/>
    <n v="715600"/>
    <n v="71600"/>
    <n v="60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m/>
    <m/>
    <m/>
    <m/>
    <n v="43700"/>
    <s v="al día"/>
    <s v=""/>
    <m/>
    <n v="0.61033519553072624"/>
    <n v="-27900"/>
    <n v="-0.38966480446927376"/>
    <n v="671900"/>
    <n v="0.93893236444941308"/>
    <n v="71600"/>
    <s v="Vendido"/>
    <x v="0"/>
    <n v="35"/>
    <n v="1"/>
    <n v="36"/>
    <n v="6000"/>
    <n v="1300"/>
    <n v="29"/>
    <n v="29"/>
    <n v="43700"/>
    <n v="36400"/>
    <n v="6000"/>
    <n v="1300"/>
    <n v="0"/>
    <n v="0"/>
    <x v="0"/>
    <m/>
    <m/>
  </r>
  <r>
    <x v="237"/>
    <s v="B4"/>
    <m/>
    <s v="Anahí Cisneros"/>
    <s v="Alan Gonzalez Choc"/>
    <d v="2025-07-18T00:00:00"/>
    <s v="4.Plan de pagos"/>
    <n v="1072218.69827634"/>
    <n v="107221.86982763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536136.99"/>
    <n v="0"/>
    <m/>
    <m/>
    <m/>
    <m/>
    <n v="536136.99"/>
    <s v="7 meses sin pago"/>
    <s v="Enganche Completado"/>
    <m/>
    <n v="5.0002577912684636"/>
    <n v="428915.12017236598"/>
    <n v="4.0002577912684636"/>
    <n v="536081.70827634004"/>
    <n v="0.49997422087315357"/>
    <n v="107221.86982763401"/>
    <s v="Vendido"/>
    <x v="3"/>
    <n v="11"/>
    <n v="1"/>
    <n v="12"/>
    <n v="536136.98"/>
    <n v="32100"/>
    <n v="0"/>
    <n v="1"/>
    <n v="568236.98"/>
    <n v="0"/>
    <n v="536136.99"/>
    <n v="0"/>
    <n v="0"/>
    <n v="32099.989999999991"/>
    <x v="2"/>
    <m/>
    <m/>
  </r>
  <r>
    <x v="238"/>
    <s v="B3"/>
    <m/>
    <s v="Antonio Rada"/>
    <s v="Juan Ernesto Vossberg Ordoñez / Sumilab"/>
    <d v="2023-11-02T00:00:00"/>
    <s v="4.Plan de pagos"/>
    <n v="879281.06"/>
    <n v="87981.06"/>
    <n v="0"/>
    <n v="0"/>
    <n v="0"/>
    <n v="0"/>
    <n v="0"/>
    <n v="0"/>
    <n v="0"/>
    <n v="0"/>
    <n v="8000"/>
    <n v="3636"/>
    <n v="3636"/>
    <n v="3636"/>
    <n v="0"/>
    <n v="7272"/>
    <n v="0"/>
    <n v="0"/>
    <n v="0"/>
    <n v="7272"/>
    <n v="14544"/>
    <n v="7272"/>
    <n v="7272"/>
    <n v="0"/>
    <n v="0"/>
    <n v="0"/>
    <n v="3636"/>
    <n v="3636"/>
    <n v="3636"/>
    <n v="3636"/>
    <n v="3636"/>
    <n v="3636"/>
    <m/>
    <m/>
    <m/>
    <m/>
    <n v="84356"/>
    <s v="al día"/>
    <s v=""/>
    <m/>
    <n v="0.95879726841208779"/>
    <n v="-3625.0599999999977"/>
    <n v="-4.1202731587912191E-2"/>
    <n v="794925.06"/>
    <n v="0.90406253035860917"/>
    <n v="87981.06"/>
    <s v="Vendido"/>
    <x v="0"/>
    <n v="22"/>
    <n v="1"/>
    <n v="23"/>
    <n v="8000"/>
    <n v="3636"/>
    <n v="13"/>
    <n v="21"/>
    <n v="84356"/>
    <n v="29088"/>
    <n v="51632"/>
    <n v="3636"/>
    <n v="0"/>
    <n v="0"/>
    <x v="0"/>
    <m/>
    <m/>
  </r>
  <r>
    <x v="239"/>
    <s v="D4"/>
    <m/>
    <s v="Antonio Rada"/>
    <s v="Marcos David Boror Alpirez"/>
    <d v="2024-08-21T00:00:00"/>
    <s v="4.Plan de pagos"/>
    <n v="1316385"/>
    <n v="131685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7602"/>
    <n v="7602"/>
    <n v="7602"/>
    <n v="7614"/>
    <n v="7605"/>
    <n v="7605"/>
    <n v="7605"/>
    <n v="7605"/>
    <n v="7605"/>
    <n v="7605"/>
    <n v="7605"/>
    <n v="7605"/>
    <m/>
    <m/>
    <m/>
    <m/>
    <n v="101260"/>
    <s v="al día"/>
    <s v=""/>
    <m/>
    <n v="0.76895622128564378"/>
    <n v="-30425"/>
    <n v="-0.23104377871435622"/>
    <n v="1215125"/>
    <n v="0.92307721525237674"/>
    <n v="131685"/>
    <s v="Vendido"/>
    <x v="0"/>
    <n v="16"/>
    <n v="1"/>
    <n v="17"/>
    <n v="10000"/>
    <n v="7605"/>
    <n v="12"/>
    <n v="12"/>
    <n v="101260"/>
    <n v="76041"/>
    <n v="17614"/>
    <n v="7605"/>
    <n v="0"/>
    <n v="0"/>
    <x v="0"/>
    <m/>
    <m/>
  </r>
  <r>
    <x v="240"/>
    <s v="D1"/>
    <m/>
    <m/>
    <m/>
    <m/>
    <s v="1.Disponible"/>
    <n v="1350925.53"/>
    <n v="135125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350925.53"/>
    <n v="1"/>
    <n v="0"/>
    <s v="Apartamento Disponible"/>
    <x v="1"/>
    <n v="18"/>
    <n v="1"/>
    <n v="19"/>
    <m/>
    <m/>
    <n v="0"/>
    <n v="0"/>
    <n v="0"/>
    <n v="0"/>
    <n v="0"/>
    <n v="0"/>
    <n v="0"/>
    <n v="0"/>
    <x v="0"/>
    <m/>
    <m/>
  </r>
  <r>
    <x v="241"/>
    <s v="D12"/>
    <m/>
    <s v="Brenda Búcaro"/>
    <s v="Fernando García Coronado"/>
    <d v="2023-08-20T00:00:00"/>
    <s v="4.Plan de pagos"/>
    <n v="1172500"/>
    <n v="117300"/>
    <n v="0"/>
    <n v="0"/>
    <n v="0"/>
    <n v="0"/>
    <n v="0"/>
    <n v="6000"/>
    <n v="5000"/>
    <n v="5000"/>
    <n v="5000"/>
    <n v="5000"/>
    <n v="6000"/>
    <n v="5000"/>
    <n v="5000"/>
    <n v="5000"/>
    <n v="5000"/>
    <n v="5000"/>
    <n v="5000"/>
    <n v="0"/>
    <n v="7000"/>
    <n v="5000"/>
    <n v="10000"/>
    <n v="5000"/>
    <n v="5000"/>
    <n v="5000"/>
    <n v="0"/>
    <n v="10000"/>
    <n v="5000"/>
    <n v="5000"/>
    <m/>
    <n v="10000"/>
    <m/>
    <m/>
    <m/>
    <m/>
    <n v="129000"/>
    <s v="2 meses sin pago"/>
    <s v=""/>
    <m/>
    <n v="1.0997442455242967"/>
    <n v="11700"/>
    <n v="9.9744245524296671E-2"/>
    <n v="1043500"/>
    <n v="0.88997867803837949"/>
    <n v="117300"/>
    <s v="Vendido"/>
    <x v="4"/>
    <n v="22"/>
    <n v="1"/>
    <n v="23"/>
    <n v="6000"/>
    <n v="5000"/>
    <n v="16"/>
    <n v="24"/>
    <n v="126000"/>
    <n v="80000"/>
    <n v="49000"/>
    <n v="0"/>
    <n v="3000"/>
    <n v="0"/>
    <x v="0"/>
    <m/>
    <m/>
  </r>
  <r>
    <x v="242"/>
    <s v="D13"/>
    <m/>
    <s v="Antonio Rada"/>
    <s v="Marlen Fabiola Izaguirre Navas"/>
    <d v="2024-10-07T00:00:00"/>
    <s v="4.Plan de pagos"/>
    <n v="1252020"/>
    <n v="125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230"/>
    <n v="8230"/>
    <n v="8230"/>
    <n v="8230"/>
    <n v="8230"/>
    <n v="8230"/>
    <n v="8230"/>
    <n v="8230"/>
    <n v="8230"/>
    <n v="8230"/>
    <m/>
    <m/>
    <m/>
    <m/>
    <n v="92300"/>
    <s v="al día"/>
    <s v=""/>
    <m/>
    <n v="0.73710269924932115"/>
    <n v="-32920"/>
    <n v="-0.2628973007506788"/>
    <n v="1159720"/>
    <n v="0.92627913292119934"/>
    <n v="125220"/>
    <s v="Vendido"/>
    <x v="0"/>
    <n v="14"/>
    <n v="1"/>
    <n v="15"/>
    <n v="10000"/>
    <n v="8230"/>
    <n v="10"/>
    <n v="10"/>
    <n v="92300"/>
    <n v="74070"/>
    <n v="10000"/>
    <n v="8230"/>
    <n v="0"/>
    <n v="0"/>
    <x v="0"/>
    <m/>
    <m/>
  </r>
  <r>
    <x v="243"/>
    <s v="B6"/>
    <m/>
    <s v="Antonio Rada"/>
    <s v="Maria Mercedes Lizarralde Mc Allister"/>
    <d v="2023-03-27T00:00:00"/>
    <s v="4.Plan de pagos"/>
    <n v="852627.54461999994"/>
    <n v="85327.54"/>
    <n v="6000"/>
    <n v="2266"/>
    <n v="2266"/>
    <n v="2266"/>
    <n v="2266"/>
    <n v="2266"/>
    <n v="2266"/>
    <n v="2266"/>
    <n v="2266"/>
    <n v="2266"/>
    <n v="2266"/>
    <n v="2266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30926"/>
    <s v="F&amp;F"/>
    <s v=""/>
    <m/>
    <n v="0.36243866868774138"/>
    <n v="-54401.539999999994"/>
    <n v="-0.63756133131225856"/>
    <n v="821701.54461999994"/>
    <n v="0.96372859380964149"/>
    <n v="85327.54"/>
    <s v="Vendido"/>
    <x v="2"/>
    <n v="35"/>
    <n v="1"/>
    <n v="36"/>
    <n v="6000"/>
    <n v="2266"/>
    <n v="11"/>
    <n v="29"/>
    <n v="71714"/>
    <n v="24926"/>
    <n v="6000"/>
    <n v="0"/>
    <n v="0"/>
    <n v="40788"/>
    <x v="1"/>
    <s v="F&amp;F"/>
    <m/>
  </r>
  <r>
    <x v="244"/>
    <s v="B1"/>
    <m/>
    <s v="Jose Franco"/>
    <s v="Diego Eduardo Roman Hazard"/>
    <d v="2023-03-27T00:00:00"/>
    <s v="4.Plan de pagos"/>
    <n v="849571"/>
    <n v="169971"/>
    <n v="60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4600"/>
    <n v="0"/>
    <n v="9200"/>
    <n v="4600"/>
    <n v="4600"/>
    <n v="4600"/>
    <n v="4600"/>
    <n v="4600"/>
    <n v="4600"/>
    <n v="4000"/>
    <m/>
    <n v="9600"/>
    <m/>
    <n v="9600"/>
    <m/>
    <m/>
    <m/>
    <m/>
    <n v="139600"/>
    <s v="al día"/>
    <s v=""/>
    <m/>
    <n v="0.8213165775338146"/>
    <n v="-30371"/>
    <n v="-0.1786834224661854"/>
    <n v="709971"/>
    <n v="0.83568177350686401"/>
    <n v="169971"/>
    <s v="Vendido"/>
    <x v="0"/>
    <n v="35"/>
    <n v="1"/>
    <n v="36"/>
    <n v="6000"/>
    <n v="4600"/>
    <n v="23"/>
    <n v="29"/>
    <n v="139400"/>
    <n v="105200"/>
    <n v="34400"/>
    <n v="0"/>
    <n v="200"/>
    <n v="0"/>
    <x v="0"/>
    <m/>
    <s v="Revisado"/>
  </r>
  <r>
    <x v="245"/>
    <s v="E2"/>
    <s v="ENGANCHE CANCELADO"/>
    <s v="Antonio Rada"/>
    <s v="Victor Leonel Orozco Lopez"/>
    <d v="2023-04-18T00:00:00"/>
    <s v="4.Plan de pagos"/>
    <n v="1301000"/>
    <n v="130100"/>
    <n v="0"/>
    <n v="6000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4279"/>
    <n v="29962"/>
    <n v="0"/>
    <m/>
    <m/>
    <m/>
    <n v="0"/>
    <m/>
    <m/>
    <m/>
    <m/>
    <n v="130100"/>
    <s v="Casos Especiales"/>
    <s v=""/>
    <m/>
    <n v="1"/>
    <n v="0"/>
    <n v="0"/>
    <n v="1170900"/>
    <n v="0.9"/>
    <n v="130100"/>
    <s v="Vendido"/>
    <x v="3"/>
    <n v="29"/>
    <n v="1"/>
    <n v="30"/>
    <n v="6009"/>
    <n v="4279"/>
    <n v="23"/>
    <n v="28"/>
    <n v="125821"/>
    <n v="94138"/>
    <n v="35962"/>
    <n v="0"/>
    <n v="4279"/>
    <n v="0"/>
    <x v="0"/>
    <m/>
    <m/>
  </r>
  <r>
    <x v="246"/>
    <s v="A2"/>
    <m/>
    <s v="Jose Franco"/>
    <s v=" Jonatan Hans Donis Montenegro"/>
    <d v="2023-03-27T00:00:00"/>
    <s v="4.Plan de pagos"/>
    <n v="651600"/>
    <n v="65200"/>
    <n v="600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n v="1690"/>
    <m/>
    <m/>
    <m/>
    <m/>
    <n v="55010"/>
    <s v="al día"/>
    <s v=""/>
    <m/>
    <n v="0.84371165644171775"/>
    <n v="-10190"/>
    <n v="-0.15628834355828222"/>
    <n v="596590"/>
    <n v="0.91557704112952731"/>
    <n v="65200"/>
    <s v="Vendido"/>
    <x v="0"/>
    <n v="35"/>
    <n v="1"/>
    <n v="36"/>
    <n v="6000"/>
    <n v="1690"/>
    <n v="29"/>
    <n v="29"/>
    <n v="55010"/>
    <n v="47320"/>
    <n v="6000"/>
    <n v="1690"/>
    <n v="0"/>
    <n v="0"/>
    <x v="0"/>
    <m/>
    <m/>
  </r>
  <r>
    <x v="247"/>
    <s v="B5"/>
    <m/>
    <s v="Ronaldo"/>
    <s v="José Herrera Pérez"/>
    <d v="2024-02-14T00:00:00"/>
    <s v="4.Plan de pagos"/>
    <n v="1074100"/>
    <n v="107410"/>
    <n v="0"/>
    <n v="0"/>
    <n v="0"/>
    <n v="0"/>
    <n v="0"/>
    <n v="0"/>
    <n v="0"/>
    <n v="0"/>
    <n v="0"/>
    <n v="0"/>
    <n v="0"/>
    <n v="6000"/>
    <n v="5337"/>
    <n v="32022"/>
    <n v="0"/>
    <n v="0"/>
    <n v="0"/>
    <n v="0"/>
    <n v="5337"/>
    <n v="0"/>
    <n v="10674"/>
    <n v="0"/>
    <n v="5337"/>
    <n v="5337"/>
    <n v="10674"/>
    <n v="0"/>
    <n v="5337"/>
    <m/>
    <n v="16011"/>
    <n v="0"/>
    <m/>
    <m/>
    <m/>
    <m/>
    <n v="102066"/>
    <s v="F&amp;F"/>
    <s v=""/>
    <m/>
    <n v="0.9502467181826646"/>
    <n v="-5344"/>
    <n v="-4.9753281817335446E-2"/>
    <n v="972034"/>
    <n v="0.90497532818173354"/>
    <n v="107410"/>
    <s v="Vendido"/>
    <x v="0"/>
    <n v="25"/>
    <n v="1"/>
    <n v="26"/>
    <n v="6000"/>
    <n v="4056"/>
    <n v="5"/>
    <n v="18"/>
    <n v="79008"/>
    <n v="0"/>
    <n v="102066"/>
    <n v="0"/>
    <n v="23058"/>
    <n v="0"/>
    <x v="1"/>
    <s v="F&amp;F"/>
    <m/>
  </r>
  <r>
    <x v="248"/>
    <s v="B8"/>
    <m/>
    <m/>
    <m/>
    <m/>
    <s v="1.Disponible"/>
    <n v="1331589.48698949"/>
    <n v="133158.94869894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331589.4869894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49"/>
    <s v="B4"/>
    <m/>
    <s v="Ronaldo"/>
    <s v="International Coffee Industry, S.A"/>
    <d v="2024-01-09T00:00:00"/>
    <s v="4.Plan de pagos"/>
    <n v="858400"/>
    <n v="85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85840"/>
    <n v="-1"/>
    <n v="858400"/>
    <n v="1"/>
    <n v="85840"/>
    <s v="Vendido"/>
    <x v="2"/>
    <n v="25"/>
    <n v="1"/>
    <n v="26"/>
    <n v="6000"/>
    <n v="3194"/>
    <n v="0"/>
    <n v="19"/>
    <n v="66686"/>
    <n v="0"/>
    <n v="0"/>
    <n v="0"/>
    <n v="0"/>
    <n v="66686"/>
    <x v="1"/>
    <s v="F&amp;F"/>
    <m/>
  </r>
  <r>
    <x v="250"/>
    <s v="B3"/>
    <s v="Plan de pagos especiales"/>
    <s v="Antonio Rada"/>
    <s v="Selvin Ramiro Gamez Perez"/>
    <d v="2024-02-05T00:00:00"/>
    <s v="4.Plan de pagos"/>
    <n v="887400"/>
    <n v="88800"/>
    <n v="0"/>
    <n v="0"/>
    <n v="0"/>
    <n v="0"/>
    <n v="0"/>
    <n v="0"/>
    <n v="0"/>
    <n v="0"/>
    <n v="0"/>
    <n v="0"/>
    <n v="0"/>
    <n v="8000"/>
    <n v="0"/>
    <n v="0"/>
    <n v="5000"/>
    <n v="0"/>
    <n v="5000"/>
    <n v="5000"/>
    <n v="5000"/>
    <n v="0"/>
    <n v="5000"/>
    <n v="5000"/>
    <n v="5000"/>
    <n v="0"/>
    <n v="5000"/>
    <n v="5000"/>
    <n v="10000"/>
    <n v="5000"/>
    <n v="5000"/>
    <n v="0"/>
    <m/>
    <m/>
    <m/>
    <m/>
    <n v="73000"/>
    <s v="Casos Especiales"/>
    <s v=""/>
    <m/>
    <n v="0.82207207207207211"/>
    <n v="-15800"/>
    <n v="-0.17792792792792791"/>
    <n v="814400"/>
    <n v="0.91773720982645934"/>
    <n v="88800"/>
    <s v="Vendido"/>
    <x v="19"/>
    <n v="19"/>
    <n v="1"/>
    <n v="20"/>
    <n v="8000"/>
    <n v="4253"/>
    <n v="11"/>
    <n v="18"/>
    <n v="73000"/>
    <n v="0"/>
    <n v="73000"/>
    <n v="0"/>
    <n v="0"/>
    <n v="0"/>
    <x v="0"/>
    <m/>
    <s v="Nuevo plan de pago, cliente al día. Cuota mensual GTQ 5,000,00"/>
  </r>
  <r>
    <x v="251"/>
    <s v="E8"/>
    <m/>
    <s v="Antonio Rada"/>
    <s v="Julio Cesar Morales Díaz"/>
    <d v="2023-06-19T00:00:00"/>
    <s v="4.Plan de pagos"/>
    <n v="1382700"/>
    <n v="138300"/>
    <n v="0"/>
    <n v="0"/>
    <n v="0"/>
    <n v="6000"/>
    <n v="4900"/>
    <n v="4900"/>
    <n v="4900"/>
    <n v="0"/>
    <n v="9800"/>
    <n v="0"/>
    <n v="9800"/>
    <n v="0"/>
    <n v="4900"/>
    <n v="4900"/>
    <n v="9800"/>
    <n v="0"/>
    <n v="4900"/>
    <n v="9800"/>
    <n v="0"/>
    <n v="4900"/>
    <n v="4900"/>
    <n v="4900"/>
    <n v="4900"/>
    <n v="4900"/>
    <n v="4900"/>
    <n v="4900"/>
    <n v="9800"/>
    <n v="4900"/>
    <n v="4900"/>
    <n v="4900"/>
    <m/>
    <m/>
    <m/>
    <m/>
    <n v="133400"/>
    <s v="al día"/>
    <s v=""/>
    <m/>
    <n v="0.96456977584960235"/>
    <n v="-4900"/>
    <n v="-3.5430224150397684E-2"/>
    <n v="1249300"/>
    <n v="0.90352209445288201"/>
    <n v="138300"/>
    <s v="Vendido"/>
    <x v="0"/>
    <n v="27"/>
    <n v="1"/>
    <n v="28"/>
    <n v="6000"/>
    <n v="4900"/>
    <n v="16"/>
    <n v="26"/>
    <n v="133400"/>
    <n v="73500"/>
    <n v="55000"/>
    <n v="4900"/>
    <n v="0"/>
    <n v="0"/>
    <x v="0"/>
    <m/>
    <m/>
  </r>
  <r>
    <x v="252"/>
    <s v="A4"/>
    <m/>
    <s v="Brenda Búcaro"/>
    <s v="Javier Andrés Soto Coronado"/>
    <d v="2023-04-28T00:00:00"/>
    <s v="4.Plan de pagos"/>
    <n v="661100"/>
    <n v="66200"/>
    <n v="0"/>
    <n v="600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1750"/>
    <n v="0"/>
    <n v="3500"/>
    <n v="1750"/>
    <n v="1750"/>
    <n v="1750"/>
    <n v="1750"/>
    <n v="1750"/>
    <n v="1750"/>
    <m/>
    <m/>
    <m/>
    <m/>
    <n v="55000"/>
    <s v="al día"/>
    <s v=""/>
    <m/>
    <n v="0.83081570996978849"/>
    <n v="-11200"/>
    <n v="-0.16918429003021149"/>
    <n v="606100"/>
    <n v="0.91680532445923457"/>
    <n v="66200"/>
    <s v="Vendido"/>
    <x v="0"/>
    <n v="34"/>
    <n v="1"/>
    <n v="35"/>
    <n v="6000"/>
    <n v="1750"/>
    <n v="27"/>
    <n v="28"/>
    <n v="55000"/>
    <n v="43750"/>
    <n v="9500"/>
    <n v="1750"/>
    <n v="0"/>
    <n v="0"/>
    <x v="0"/>
    <m/>
    <m/>
  </r>
  <r>
    <x v="253"/>
    <s v="D3"/>
    <m/>
    <m/>
    <m/>
    <m/>
    <s v="1.Disponible"/>
    <n v="1450747.8"/>
    <n v="145147.7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m/>
    <m/>
    <m/>
    <m/>
    <n v="0"/>
    <s v="Disponible"/>
    <s v=""/>
    <m/>
    <n v="0"/>
    <n v="0"/>
    <n v="0"/>
    <n v="1450747.8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54"/>
    <s v="D2"/>
    <m/>
    <s v="Sofia Paredes"/>
    <s v="Edgar Benjamín Ramírez Masaya Y Leslie María Ivonne Pivaral Gudiel"/>
    <d v="2024-10-13T00:00:00"/>
    <s v="4.Plan de pagos"/>
    <n v="1333525.2264579299"/>
    <n v="131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8690"/>
    <n v="8690"/>
    <n v="8690"/>
    <n v="8690"/>
    <n v="8690"/>
    <n v="8690"/>
    <n v="8690"/>
    <n v="8690"/>
    <n v="8690"/>
    <n v="8690"/>
    <m/>
    <m/>
    <m/>
    <m/>
    <n v="96900"/>
    <s v="al día"/>
    <s v=""/>
    <m/>
    <n v="0.73598663223454353"/>
    <n v="-34760"/>
    <n v="-0.26401336776545647"/>
    <n v="1236625.2264579299"/>
    <n v="0.92733545786952765"/>
    <n v="131660"/>
    <s v="Vendido"/>
    <x v="0"/>
    <n v="14"/>
    <n v="1"/>
    <n v="15"/>
    <n v="10000"/>
    <n v="8690"/>
    <n v="10"/>
    <n v="10"/>
    <n v="96900"/>
    <n v="78210"/>
    <n v="10000"/>
    <n v="8690"/>
    <n v="0"/>
    <n v="0"/>
    <x v="0"/>
    <m/>
    <m/>
  </r>
  <r>
    <x v="255"/>
    <s v="B6"/>
    <m/>
    <s v="Brenda Búcaro"/>
    <s v="Emilia Aracely Larrazabal Melgar"/>
    <d v="2023-03-31T00:00:00"/>
    <s v="4.Plan de pagos"/>
    <n v="852627.54461999994"/>
    <n v="85227.54"/>
    <n v="6000"/>
    <n v="1000"/>
    <n v="1000"/>
    <n v="1000"/>
    <n v="1000"/>
    <n v="1000"/>
    <n v="1000"/>
    <n v="1000"/>
    <n v="1000"/>
    <n v="0"/>
    <n v="2000"/>
    <n v="1000"/>
    <n v="0"/>
    <n v="0"/>
    <n v="0"/>
    <n v="0"/>
    <n v="6000"/>
    <n v="0"/>
    <n v="0"/>
    <n v="0"/>
    <n v="0"/>
    <n v="0"/>
    <n v="0"/>
    <n v="0"/>
    <n v="0"/>
    <n v="0"/>
    <m/>
    <m/>
    <m/>
    <n v="0"/>
    <m/>
    <m/>
    <m/>
    <m/>
    <n v="23000"/>
    <s v="F&amp;F"/>
    <s v=""/>
    <m/>
    <n v="0.26986582036745399"/>
    <n v="-62227.539999999994"/>
    <n v="-0.73013417963254601"/>
    <n v="829627.54461999994"/>
    <n v="0.97302456372055079"/>
    <n v="85227.54"/>
    <s v="Vendido"/>
    <x v="2"/>
    <n v="35"/>
    <n v="1"/>
    <n v="36"/>
    <n v="6000"/>
    <n v="1000"/>
    <n v="10"/>
    <n v="29"/>
    <n v="35000"/>
    <n v="9000"/>
    <n v="14000"/>
    <n v="0"/>
    <n v="0"/>
    <n v="12000"/>
    <x v="1"/>
    <s v="F&amp;F"/>
    <m/>
  </r>
  <r>
    <x v="256"/>
    <s v="B1"/>
    <m/>
    <s v="Jose Franco"/>
    <s v="Berta Eugenia Morales López"/>
    <d v="2023-05-22T00:00:00"/>
    <s v="4.Plan de pagos"/>
    <n v="883300"/>
    <n v="88800"/>
    <n v="0"/>
    <n v="0"/>
    <n v="6000"/>
    <n v="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m/>
    <m/>
    <m/>
    <m/>
    <n v="32000"/>
    <s v="al día"/>
    <m/>
    <m/>
    <n v="0.36036036036036034"/>
    <n v="-56800"/>
    <n v="-0.63963963963963966"/>
    <n v="851300"/>
    <n v="0.96377221781954037"/>
    <n v="88800"/>
    <s v="Vendido"/>
    <x v="2"/>
    <n v="28"/>
    <n v="1"/>
    <n v="29"/>
    <n v="6000"/>
    <n v="1000"/>
    <n v="26"/>
    <n v="27"/>
    <n v="33000"/>
    <n v="25000"/>
    <n v="6000"/>
    <n v="1000"/>
    <n v="0"/>
    <n v="1000"/>
    <x v="2"/>
    <m/>
    <m/>
  </r>
  <r>
    <x v="257"/>
    <s v="D7"/>
    <m/>
    <s v="Antonio Rada"/>
    <s v="Daniel Alvarez Alvarez"/>
    <d v="2024-07-18T00:00:00"/>
    <s v="4.Plan de pagos"/>
    <n v="1277800"/>
    <n v="127800"/>
    <n v="0"/>
    <n v="0"/>
    <n v="0"/>
    <n v="0"/>
    <n v="0"/>
    <n v="0"/>
    <n v="0"/>
    <n v="0"/>
    <n v="0"/>
    <n v="0"/>
    <n v="0"/>
    <n v="0"/>
    <n v="0"/>
    <n v="0"/>
    <n v="0"/>
    <n v="0"/>
    <n v="10000"/>
    <n v="6929"/>
    <n v="6929"/>
    <n v="6929"/>
    <n v="6929"/>
    <n v="6929"/>
    <n v="6929"/>
    <n v="6929"/>
    <n v="6929"/>
    <n v="6929"/>
    <n v="6929"/>
    <n v="6929"/>
    <n v="6929"/>
    <n v="6929"/>
    <m/>
    <m/>
    <m/>
    <m/>
    <n v="100077"/>
    <s v="al día"/>
    <s v=""/>
    <m/>
    <n v="0.78307511737089197"/>
    <n v="-27723"/>
    <n v="-0.21692488262910797"/>
    <n v="1177723"/>
    <n v="0.92168023164814528"/>
    <n v="127800"/>
    <s v="Vendido"/>
    <x v="0"/>
    <n v="17"/>
    <n v="1"/>
    <n v="18"/>
    <n v="10000"/>
    <n v="6929"/>
    <n v="13"/>
    <n v="13"/>
    <n v="100077"/>
    <n v="83148"/>
    <n v="10000"/>
    <n v="6929"/>
    <n v="0"/>
    <n v="0"/>
    <x v="0"/>
    <m/>
    <m/>
  </r>
  <r>
    <x v="258"/>
    <s v="A9"/>
    <m/>
    <m/>
    <m/>
    <m/>
    <s v="1.Disponible"/>
    <n v="996326.32441067905"/>
    <n v="99632.632441067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996326.3244106790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59"/>
    <s v="C9"/>
    <m/>
    <s v="Jose Franco"/>
    <s v="Gabriel Arimany Monzón"/>
    <d v="2023-03-28T00:00:00"/>
    <s v="4.Plan de pagos"/>
    <n v="1141461.0333799999"/>
    <n v="114161"/>
    <n v="6000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n v="3075"/>
    <m/>
    <m/>
    <m/>
    <m/>
    <n v="95175"/>
    <s v="F&amp;F"/>
    <s v=""/>
    <m/>
    <n v="0.83369101532046841"/>
    <n v="-18986"/>
    <n v="-0.16630898467953154"/>
    <n v="1046286.0333799999"/>
    <n v="0.91662001836525631"/>
    <n v="114161"/>
    <s v="Vendido"/>
    <x v="0"/>
    <n v="35"/>
    <n v="1"/>
    <n v="36"/>
    <n v="6000"/>
    <n v="3075"/>
    <n v="29"/>
    <n v="29"/>
    <n v="95175"/>
    <n v="86100"/>
    <n v="6000"/>
    <n v="3075"/>
    <n v="0"/>
    <n v="0"/>
    <x v="1"/>
    <s v="F&amp;F"/>
    <m/>
  </r>
  <r>
    <x v="260"/>
    <s v="C8"/>
    <m/>
    <s v="Jose Franco"/>
    <s v="María Carolina Arimany Comas"/>
    <d v="2023-03-28T00:00:00"/>
    <s v="4.Plan de pagos"/>
    <n v="1141560"/>
    <n v="11416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6000"/>
    <s v="F&amp;F"/>
    <s v=""/>
    <m/>
    <n v="5.2557813594954449E-2"/>
    <n v="-108160"/>
    <n v="-0.94744218640504552"/>
    <n v="1135560"/>
    <n v="0.99474403447913384"/>
    <n v="114160"/>
    <s v="Vendido"/>
    <x v="2"/>
    <n v="35"/>
    <n v="1"/>
    <n v="36"/>
    <n v="6000"/>
    <n v="3100"/>
    <n v="0"/>
    <n v="29"/>
    <n v="95900"/>
    <n v="0"/>
    <n v="6000"/>
    <n v="0"/>
    <n v="0"/>
    <n v="89900"/>
    <x v="1"/>
    <s v="F&amp;F"/>
    <m/>
  </r>
  <r>
    <x v="261"/>
    <s v="B4"/>
    <m/>
    <s v="Anahí Cisneros"/>
    <s v="Alan Gonzalez Choc"/>
    <d v="2025-07-18T00:00:00"/>
    <s v="4.Plan de pagos"/>
    <n v="1082159.69644988"/>
    <n v="108215.96964498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541277.04"/>
    <n v="0"/>
    <m/>
    <m/>
    <m/>
    <m/>
    <n v="541277.04"/>
    <s v="7 meses sin pago"/>
    <s v="Enganche Completado"/>
    <m/>
    <n v="5.0018222058694928"/>
    <n v="433061.07035501202"/>
    <n v="4.0018222058694928"/>
    <n v="540882.65644987999"/>
    <n v="0.49981777941305067"/>
    <n v="108215.96964498801"/>
    <s v="Vendido"/>
    <x v="3"/>
    <n v="11"/>
    <n v="1"/>
    <n v="12"/>
    <n v="541277.03"/>
    <n v="32400"/>
    <n v="0"/>
    <n v="1"/>
    <n v="573677.03"/>
    <n v="0"/>
    <n v="541277.04"/>
    <n v="0"/>
    <n v="0"/>
    <n v="32399.989999999991"/>
    <x v="2"/>
    <m/>
    <m/>
  </r>
  <r>
    <x v="262"/>
    <s v="B3"/>
    <m/>
    <s v="Brenda Búcaro"/>
    <s v="José Paúl Centeno Valdés"/>
    <d v="2023-06-08T00:00:00"/>
    <s v="4.Plan de pagos"/>
    <n v="887400"/>
    <n v="88800"/>
    <n v="0"/>
    <n v="0"/>
    <n v="0"/>
    <n v="6000"/>
    <n v="3064"/>
    <n v="3064"/>
    <n v="3064"/>
    <n v="3064"/>
    <n v="3064"/>
    <n v="0"/>
    <n v="6128"/>
    <n v="3064"/>
    <n v="0"/>
    <n v="6128"/>
    <n v="3064"/>
    <n v="3064"/>
    <n v="3064"/>
    <n v="3064"/>
    <n v="3064"/>
    <n v="3064"/>
    <n v="3064"/>
    <n v="3064"/>
    <n v="3064"/>
    <n v="3064"/>
    <n v="3064"/>
    <n v="3064"/>
    <n v="3065"/>
    <n v="3064"/>
    <n v="3064"/>
    <n v="3064"/>
    <m/>
    <m/>
    <m/>
    <m/>
    <n v="85665"/>
    <s v="al día"/>
    <m/>
    <m/>
    <n v="0.96469594594594599"/>
    <n v="-3135"/>
    <n v="-3.5304054054054054E-2"/>
    <n v="801735"/>
    <n v="0.90346517917511837"/>
    <n v="88800"/>
    <s v="Vendido"/>
    <x v="2"/>
    <n v="27"/>
    <n v="1"/>
    <n v="28"/>
    <n v="6000"/>
    <n v="3065"/>
    <n v="22"/>
    <n v="26"/>
    <n v="85690"/>
    <n v="64345"/>
    <n v="18256"/>
    <n v="3064"/>
    <n v="0"/>
    <n v="25"/>
    <x v="2"/>
    <m/>
    <m/>
  </r>
  <r>
    <x v="263"/>
    <s v="E8"/>
    <m/>
    <s v="Antonio Rada"/>
    <s v="Luis Fernando Velasquez León"/>
    <d v="2023-08-17T00:00:00"/>
    <s v="4.Plan de pagos"/>
    <n v="1382700"/>
    <n v="138300"/>
    <n v="0"/>
    <n v="0"/>
    <n v="0"/>
    <n v="0"/>
    <n v="0"/>
    <n v="0"/>
    <n v="11292"/>
    <n v="0"/>
    <n v="5292"/>
    <n v="5292"/>
    <n v="5292"/>
    <n v="5292"/>
    <n v="0"/>
    <n v="5292"/>
    <n v="10584"/>
    <n v="0"/>
    <n v="5292"/>
    <n v="10584"/>
    <n v="0"/>
    <n v="5292"/>
    <n v="10584"/>
    <n v="0"/>
    <n v="10600"/>
    <n v="0"/>
    <n v="5300"/>
    <n v="0"/>
    <m/>
    <n v="15900"/>
    <n v="10600"/>
    <n v="5300"/>
    <m/>
    <m/>
    <m/>
    <m/>
    <n v="127788"/>
    <s v="3 meses sin pago"/>
    <m/>
    <m/>
    <n v="0.92399132321041211"/>
    <n v="-10512"/>
    <n v="-7.6008676789587851E-2"/>
    <n v="1254912"/>
    <n v="0.90758082013451946"/>
    <n v="138300"/>
    <s v="Vendido"/>
    <x v="2"/>
    <n v="25"/>
    <n v="1"/>
    <n v="26"/>
    <n v="6000"/>
    <n v="5292"/>
    <n v="9"/>
    <n v="24"/>
    <n v="133008"/>
    <n v="37044"/>
    <n v="90744"/>
    <n v="0"/>
    <n v="0"/>
    <n v="5220"/>
    <x v="2"/>
    <m/>
    <s v="Revisado"/>
  </r>
  <r>
    <x v="264"/>
    <s v="A10"/>
    <m/>
    <m/>
    <m/>
    <m/>
    <s v="2. Reserva"/>
    <n v="949356.17554408498"/>
    <n v="94935.617554408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949356.17554408498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s v="Esta congelado"/>
  </r>
  <r>
    <x v="265"/>
    <s v="D3"/>
    <m/>
    <s v="Brenda Búcaro"/>
    <s v="Fernando García Coronado"/>
    <d v="2023-08-24T00:00:00"/>
    <s v="4.Plan de pagos"/>
    <n v="1255283.8999999999"/>
    <n v="125583.9"/>
    <n v="0"/>
    <n v="0"/>
    <n v="0"/>
    <n v="0"/>
    <n v="0"/>
    <n v="6000"/>
    <n v="5000"/>
    <n v="5000"/>
    <n v="5000"/>
    <n v="5000"/>
    <n v="6000"/>
    <n v="5000"/>
    <n v="5000"/>
    <n v="5000"/>
    <n v="5000"/>
    <n v="5000"/>
    <n v="5000"/>
    <n v="0"/>
    <n v="7000"/>
    <n v="5000"/>
    <n v="10000"/>
    <n v="5000"/>
    <n v="5000"/>
    <n v="5000"/>
    <n v="0"/>
    <n v="10000"/>
    <n v="5000"/>
    <n v="5000"/>
    <m/>
    <n v="10000"/>
    <m/>
    <m/>
    <m/>
    <m/>
    <n v="129000"/>
    <s v="2 meses sin pago"/>
    <s v=""/>
    <m/>
    <n v="1.0272017352542802"/>
    <n v="3416.1000000000058"/>
    <n v="2.7201735254280254E-2"/>
    <n v="1126283.8999999999"/>
    <n v="0.89723440251245157"/>
    <n v="125583.9"/>
    <s v="Vendido"/>
    <x v="4"/>
    <n v="25"/>
    <n v="1"/>
    <n v="26"/>
    <n v="6000"/>
    <n v="4780"/>
    <n v="16"/>
    <n v="24"/>
    <n v="120720"/>
    <n v="0"/>
    <n v="129000"/>
    <n v="0"/>
    <n v="8280"/>
    <n v="0"/>
    <x v="0"/>
    <m/>
    <m/>
  </r>
  <r>
    <x v="266"/>
    <s v="D2"/>
    <m/>
    <s v="Ronaldo"/>
    <s v="International Coffee Industry, S.A"/>
    <d v="2024-01-09T00:00:00"/>
    <s v="4.Plan de pagos"/>
    <n v="1297200"/>
    <n v="129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F&amp;F"/>
    <s v=""/>
    <m/>
    <n v="0"/>
    <n v="-129720"/>
    <n v="-1"/>
    <n v="1297200"/>
    <n v="1"/>
    <n v="129720"/>
    <s v="Vendido"/>
    <x v="2"/>
    <n v="28"/>
    <n v="1"/>
    <n v="29"/>
    <n v="6000"/>
    <n v="4419"/>
    <n v="0"/>
    <n v="19"/>
    <n v="89961"/>
    <n v="0"/>
    <n v="0"/>
    <n v="0"/>
    <n v="0"/>
    <n v="89961"/>
    <x v="1"/>
    <s v="F&amp;F"/>
    <m/>
  </r>
  <r>
    <x v="267"/>
    <s v="B6"/>
    <m/>
    <s v="Antonio Rada"/>
    <s v="Inmobiliaria Quince Sociedad Anonima"/>
    <d v="2023-03-28T00:00:00"/>
    <s v="4.Plan de pagos"/>
    <n v="863130.61"/>
    <n v="156030.60999999999"/>
    <n v="6000"/>
    <n v="0"/>
    <n v="0"/>
    <n v="0"/>
    <n v="0"/>
    <n v="244000"/>
    <n v="576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826342"/>
    <s v="8 meses sin pago"/>
    <m/>
    <m/>
    <n v="5.2960249274164859"/>
    <n v="670311.39"/>
    <n v="4.2960249274164859"/>
    <n v="36788.609999999986"/>
    <n v="4.2622297916186734E-2"/>
    <n v="156030.60999999999"/>
    <s v="Vendido"/>
    <x v="4"/>
    <n v="26"/>
    <n v="1"/>
    <n v="30"/>
    <n v="6000"/>
    <n v="5001"/>
    <n v="0"/>
    <n v="29"/>
    <n v="151029"/>
    <n v="0"/>
    <n v="826342"/>
    <n v="0"/>
    <n v="675313"/>
    <n v="0"/>
    <x v="0"/>
    <m/>
    <s v="* Enganche pagado"/>
  </r>
  <r>
    <x v="268"/>
    <s v="B1"/>
    <m/>
    <s v="Antonio Rada"/>
    <s v="Oliver Lenin Garcia Godoy"/>
    <d v="2023-05-16T00:00:00"/>
    <s v="4.Plan de pagos"/>
    <n v="894100"/>
    <n v="89500"/>
    <n v="0"/>
    <n v="0"/>
    <n v="6000"/>
    <n v="2982"/>
    <n v="2982"/>
    <n v="2982"/>
    <n v="2982"/>
    <n v="2982"/>
    <n v="2982"/>
    <n v="2982"/>
    <n v="2982"/>
    <n v="2982"/>
    <n v="2982"/>
    <n v="0"/>
    <n v="5964"/>
    <n v="0"/>
    <n v="2982"/>
    <n v="5964"/>
    <n v="2982"/>
    <n v="0"/>
    <n v="5964"/>
    <n v="2982"/>
    <n v="2982"/>
    <n v="2982"/>
    <n v="2982"/>
    <n v="2982"/>
    <n v="2982"/>
    <n v="2982"/>
    <n v="2982"/>
    <n v="2982"/>
    <m/>
    <m/>
    <m/>
    <m/>
    <n v="86514"/>
    <s v="al día"/>
    <s v=""/>
    <m/>
    <n v="0.96663687150837985"/>
    <n v="-2986"/>
    <n v="-3.3363128491620112E-2"/>
    <n v="807586"/>
    <n v="0.9032390112962756"/>
    <n v="89500"/>
    <s v="Vendido"/>
    <x v="0"/>
    <n v="28"/>
    <n v="1"/>
    <n v="29"/>
    <n v="6000"/>
    <n v="2982"/>
    <n v="24"/>
    <n v="27"/>
    <n v="86514"/>
    <n v="59640"/>
    <n v="23892"/>
    <n v="2982"/>
    <n v="0"/>
    <n v="0"/>
    <x v="0"/>
    <m/>
    <m/>
  </r>
  <r>
    <x v="269"/>
    <s v="D7"/>
    <m/>
    <s v="Antonio Rada"/>
    <s v="Edgar Ronaldo Muy Pineda"/>
    <d v="2024-10-22T00:00:00"/>
    <s v="4.Plan de pagos"/>
    <n v="1393455"/>
    <n v="139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0"/>
    <n v="9254.23"/>
    <n v="9256.48"/>
    <n v="0"/>
    <n v="0"/>
    <n v="18464.66"/>
    <m/>
    <n v="20000"/>
    <n v="18410.707999999999"/>
    <n v="9195.9"/>
    <m/>
    <m/>
    <m/>
    <m/>
    <n v="94581.977999999988"/>
    <s v="3 meses sin pago"/>
    <s v="Cliente no ha pagado las cuotas completas"/>
    <n v="7818"/>
    <n v="0.67871248250870075"/>
    <n v="-44773.022000000012"/>
    <n v="-0.3212875174912993"/>
    <n v="1298873.0220000001"/>
    <n v="0.93212412456807014"/>
    <n v="139355"/>
    <s v="Vendido"/>
    <x v="2"/>
    <n v="14"/>
    <n v="1"/>
    <n v="15"/>
    <n v="10000"/>
    <n v="9240"/>
    <n v="3"/>
    <n v="10"/>
    <n v="102400"/>
    <n v="0"/>
    <n v="85386.077999999994"/>
    <n v="9195.8999999999942"/>
    <n v="0"/>
    <n v="7818.0220000000118"/>
    <x v="2"/>
    <m/>
    <m/>
  </r>
  <r>
    <x v="270"/>
    <s v="A9"/>
    <m/>
    <m/>
    <m/>
    <m/>
    <s v="1.Disponible"/>
    <n v="996326.32441067905"/>
    <n v="99632.632441067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996326.32441067905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71"/>
    <s v="C9"/>
    <m/>
    <s v="Brenda Búcaro"/>
    <s v="Edvin Carlos Cifuentes Salguero - Inmobiliaria Quince"/>
    <d v="2023-05-31T00:00:00"/>
    <s v="4.Plan de pagos"/>
    <n v="1164200"/>
    <n v="102510"/>
    <n v="0"/>
    <n v="0"/>
    <n v="6000"/>
    <n v="0"/>
    <n v="3000"/>
    <n v="0"/>
    <n v="300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15000"/>
    <s v="8 meses sin pago"/>
    <s v="N/A"/>
    <n v="0"/>
    <n v="0.14632718759145449"/>
    <n v="-87510"/>
    <n v="-0.85367281240854553"/>
    <n v="1149200"/>
    <n v="0.98711561587356123"/>
    <n v="102510"/>
    <s v="Vendido"/>
    <x v="2"/>
    <n v="1"/>
    <n v="1"/>
    <n v="2"/>
    <n v="10000"/>
    <n v="92510"/>
    <n v="5"/>
    <n v="27"/>
    <n v="2507770"/>
    <n v="15000"/>
    <n v="0"/>
    <n v="0"/>
    <n v="0"/>
    <n v="2492770"/>
    <x v="10"/>
    <m/>
    <s v="* Enganche pagado en Apartamento No. 1603 caso especial su plan de pagos indica 2 cuotas para pago de enganche"/>
  </r>
  <r>
    <x v="272"/>
    <s v="C8"/>
    <m/>
    <s v="Jose Franco"/>
    <s v="María Carolina Arimany Comas"/>
    <d v="2023-03-28T00:00:00"/>
    <s v="4.Plan de pagos"/>
    <n v="1153648"/>
    <n v="115448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6000"/>
    <s v="F&amp;F"/>
    <s v=""/>
    <m/>
    <n v="5.1971450349941099E-2"/>
    <n v="-109448"/>
    <n v="-0.94802854965005889"/>
    <n v="1147648"/>
    <n v="0.99479910683328021"/>
    <n v="115448"/>
    <s v="Vendido"/>
    <x v="2"/>
    <n v="35"/>
    <n v="1"/>
    <n v="36"/>
    <n v="6000"/>
    <n v="3100"/>
    <n v="0"/>
    <n v="29"/>
    <n v="95900"/>
    <n v="0"/>
    <n v="6000"/>
    <n v="0"/>
    <n v="0"/>
    <n v="89900"/>
    <x v="1"/>
    <s v="F&amp;F"/>
    <m/>
  </r>
  <r>
    <x v="273"/>
    <s v="B4"/>
    <m/>
    <s v="Antonio Rada"/>
    <s v="Christian Josue Colindres Sandoval"/>
    <d v="2023-03-25T00:00:00"/>
    <s v="4.Plan de pagos"/>
    <n v="860950.58400499995"/>
    <n v="86150.58"/>
    <n v="6000"/>
    <n v="2290"/>
    <n v="2290"/>
    <n v="2290"/>
    <n v="2290"/>
    <n v="2290"/>
    <n v="2290"/>
    <n v="0"/>
    <n v="4580"/>
    <n v="2290"/>
    <n v="2290"/>
    <n v="2290"/>
    <n v="2290"/>
    <n v="0"/>
    <n v="2290"/>
    <n v="0"/>
    <n v="2290"/>
    <n v="2290"/>
    <n v="4580"/>
    <n v="4580"/>
    <n v="0"/>
    <n v="0"/>
    <n v="0"/>
    <n v="0"/>
    <n v="6870"/>
    <n v="0"/>
    <n v="4580"/>
    <n v="4580"/>
    <m/>
    <n v="4580"/>
    <m/>
    <m/>
    <m/>
    <m/>
    <n v="70120"/>
    <s v="4 meses sin pago"/>
    <s v="no se recibió pago julio"/>
    <n v="2290"/>
    <n v="0.81392371357221271"/>
    <n v="-16030.580000000002"/>
    <n v="-0.18607628642778726"/>
    <n v="790830.58400499995"/>
    <n v="0.91855513974586867"/>
    <n v="86150.58"/>
    <s v="Vendido"/>
    <x v="2"/>
    <n v="35"/>
    <n v="1"/>
    <n v="36"/>
    <n v="6000"/>
    <n v="2290"/>
    <n v="19"/>
    <n v="29"/>
    <n v="72410"/>
    <n v="29770"/>
    <n v="40350"/>
    <n v="0"/>
    <n v="0"/>
    <n v="2290"/>
    <x v="2"/>
    <m/>
    <m/>
  </r>
  <r>
    <x v="274"/>
    <s v="B3"/>
    <m/>
    <s v="Antonio Rada"/>
    <s v="Grupo Sak Y Sak, S.A."/>
    <d v="2023-05-31T00:00:00"/>
    <s v="4.Plan de pagos"/>
    <n v="890081.34"/>
    <n v="890081.34"/>
    <n v="0"/>
    <n v="0"/>
    <n v="6000"/>
    <n v="89008.13"/>
    <n v="29447"/>
    <n v="29447"/>
    <n v="29447"/>
    <n v="29447"/>
    <n v="29447"/>
    <n v="29447"/>
    <n v="29447"/>
    <n v="29447"/>
    <n v="29447"/>
    <n v="0"/>
    <n v="0"/>
    <n v="58894"/>
    <n v="29447"/>
    <n v="29447"/>
    <n v="29447"/>
    <n v="29447"/>
    <n v="29447"/>
    <n v="29447"/>
    <n v="29447"/>
    <n v="29447"/>
    <n v="0"/>
    <n v="29447"/>
    <n v="58894"/>
    <n v="29447"/>
    <n v="29447"/>
    <n v="29447"/>
    <m/>
    <m/>
    <m/>
    <m/>
    <n v="831183.13"/>
    <s v="1 meses sin pago"/>
    <m/>
    <m/>
    <n v="0.93382828360383341"/>
    <n v="-58898.209999999963"/>
    <n v="-6.6171716396166633E-2"/>
    <n v="58898.209999999963"/>
    <n v="6.6171716396166633E-2"/>
    <n v="890081.34"/>
    <s v="Vendido"/>
    <x v="2"/>
    <n v="27"/>
    <n v="1"/>
    <n v="28"/>
    <n v="95008.13"/>
    <n v="29447"/>
    <n v="25"/>
    <n v="27"/>
    <n v="890077.13"/>
    <n v="594940"/>
    <n v="206796.13"/>
    <n v="29447"/>
    <n v="0"/>
    <n v="58894"/>
    <x v="4"/>
    <m/>
    <s v="Revisado"/>
  </r>
  <r>
    <x v="275"/>
    <s v="E8"/>
    <m/>
    <s v="Brenda Búcaro"/>
    <s v="Marvin Osiel Fuentes Fuentes"/>
    <d v="2023-07-07T00:00:00"/>
    <s v="4.Plan de pagos"/>
    <n v="1437500"/>
    <n v="143800"/>
    <n v="0"/>
    <n v="0"/>
    <n v="0"/>
    <n v="0"/>
    <n v="60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5300"/>
    <n v="10600"/>
    <m/>
    <n v="15900"/>
    <n v="0"/>
    <m/>
    <m/>
    <m/>
    <m/>
    <n v="143800"/>
    <s v="al día"/>
    <s v=""/>
    <m/>
    <n v="1"/>
    <n v="0"/>
    <n v="0"/>
    <n v="1293700"/>
    <n v="0.89996521739130431"/>
    <n v="143800"/>
    <s v="Vendido"/>
    <x v="3"/>
    <n v="26"/>
    <n v="1"/>
    <n v="27"/>
    <n v="6000"/>
    <n v="5300"/>
    <n v="21"/>
    <n v="25"/>
    <n v="138500"/>
    <n v="111300"/>
    <n v="32500"/>
    <n v="0"/>
    <n v="5300"/>
    <n v="0"/>
    <x v="0"/>
    <m/>
    <m/>
  </r>
  <r>
    <x v="276"/>
    <s v="A10"/>
    <m/>
    <m/>
    <m/>
    <m/>
    <s v="1.Disponible"/>
    <n v="982583.641688128"/>
    <n v="98258.364168812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982583.641688128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77"/>
    <s v="E6"/>
    <m/>
    <s v="Brenda Búcaro"/>
    <s v=" Ramiro José Muñoz Jordán - Emilia Larrazabal"/>
    <d v="2023-03-29T00:00:00"/>
    <s v="4.Plan de pagos"/>
    <n v="1389570"/>
    <n v="139070"/>
    <n v="6000"/>
    <n v="5000"/>
    <n v="5000"/>
    <n v="5000"/>
    <n v="10000"/>
    <n v="3000"/>
    <n v="0"/>
    <n v="0"/>
    <n v="0"/>
    <n v="5000"/>
    <n v="7600"/>
    <n v="4500"/>
    <n v="4000"/>
    <n v="0"/>
    <n v="3800"/>
    <n v="3800"/>
    <n v="4500"/>
    <n v="7800"/>
    <n v="0"/>
    <n v="4000"/>
    <n v="0"/>
    <n v="0"/>
    <n v="0"/>
    <n v="0"/>
    <n v="0"/>
    <n v="0"/>
    <m/>
    <m/>
    <m/>
    <n v="0"/>
    <m/>
    <m/>
    <m/>
    <m/>
    <n v="79000"/>
    <s v="F&amp;F"/>
    <s v=""/>
    <m/>
    <n v="0.56805925073703889"/>
    <n v="-60070"/>
    <n v="-0.43194074926296111"/>
    <n v="1310570"/>
    <n v="0.94314788027951091"/>
    <n v="139070"/>
    <s v="Vendido"/>
    <x v="2"/>
    <n v="35"/>
    <n v="1"/>
    <n v="36"/>
    <n v="6000"/>
    <n v="3800"/>
    <n v="11"/>
    <n v="29"/>
    <n v="116200"/>
    <n v="10600"/>
    <n v="68400"/>
    <n v="0"/>
    <n v="0"/>
    <n v="37200"/>
    <x v="1"/>
    <s v="F&amp;F"/>
    <m/>
  </r>
  <r>
    <x v="278"/>
    <s v="A3"/>
    <m/>
    <s v="Brenda Búcaro"/>
    <s v="David Alejandro Donis Lopez"/>
    <d v="2023-04-15T00:00:00"/>
    <s v="4.Plan de pagos"/>
    <n v="666800"/>
    <n v="66700"/>
    <n v="0"/>
    <n v="6000"/>
    <n v="2100"/>
    <n v="0"/>
    <n v="4200"/>
    <n v="2100"/>
    <n v="2100"/>
    <n v="2100"/>
    <n v="0"/>
    <n v="4200"/>
    <n v="2100"/>
    <n v="2100"/>
    <n v="2100"/>
    <n v="2100"/>
    <n v="0"/>
    <n v="4200"/>
    <n v="0"/>
    <n v="2100"/>
    <n v="2100"/>
    <n v="2100"/>
    <n v="2100"/>
    <n v="4200"/>
    <n v="0"/>
    <n v="2100"/>
    <n v="4200"/>
    <n v="2100"/>
    <m/>
    <n v="4200"/>
    <n v="2100"/>
    <n v="2100"/>
    <m/>
    <m/>
    <m/>
    <m/>
    <n v="64800"/>
    <s v="al día"/>
    <s v=""/>
    <m/>
    <n v="0.9715142428785607"/>
    <n v="-1900"/>
    <n v="-2.8485757121439279E-2"/>
    <n v="602000"/>
    <n v="0.90281943611277748"/>
    <n v="66700"/>
    <s v="Vendido"/>
    <x v="0"/>
    <n v="29"/>
    <n v="1"/>
    <n v="30"/>
    <n v="6000"/>
    <n v="2100"/>
    <n v="22"/>
    <n v="28"/>
    <n v="64800"/>
    <n v="31500"/>
    <n v="31200"/>
    <n v="2100"/>
    <n v="0"/>
    <n v="0"/>
    <x v="0"/>
    <m/>
    <m/>
  </r>
  <r>
    <x v="279"/>
    <s v="D5"/>
    <m/>
    <s v="Antonio Rada"/>
    <s v="Rolando Antonio Pineda Juarez"/>
    <d v="2025-04-12T00:00:00"/>
    <s v="4.Plan de pagos"/>
    <n v="1450000"/>
    <n v="1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385"/>
    <n v="10385"/>
    <n v="20770"/>
    <n v="0"/>
    <m/>
    <m/>
    <m/>
    <m/>
    <n v="51540"/>
    <s v="al día"/>
    <s v=""/>
    <m/>
    <n v="0.35544827586206895"/>
    <n v="-93460"/>
    <n v="-0.64455172413793105"/>
    <n v="1398460"/>
    <n v="0.96445517241379308"/>
    <n v="145000"/>
    <s v="Vendido"/>
    <x v="0"/>
    <n v="13"/>
    <n v="1"/>
    <n v="14"/>
    <n v="10000"/>
    <n v="10385"/>
    <n v="0"/>
    <n v="4"/>
    <n v="51540"/>
    <n v="30770"/>
    <n v="20770"/>
    <n v="0"/>
    <n v="0"/>
    <n v="0"/>
    <x v="0"/>
    <m/>
    <m/>
  </r>
  <r>
    <x v="280"/>
    <s v="A5"/>
    <m/>
    <s v="Brenda Búcaro"/>
    <s v="Javier Andres Soto Coronado"/>
    <d v="2023-03-10T00:00:00"/>
    <s v="4.Plan de pagos"/>
    <n v="617600"/>
    <n v="62000"/>
    <n v="60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1600"/>
    <n v="0"/>
    <n v="3200"/>
    <n v="1600"/>
    <n v="1600"/>
    <n v="1600"/>
    <n v="1600"/>
    <n v="1600"/>
    <n v="1600"/>
    <m/>
    <m/>
    <m/>
    <m/>
    <n v="52400"/>
    <s v="al día"/>
    <s v=""/>
    <m/>
    <n v="0.84516129032258069"/>
    <n v="-9600"/>
    <n v="-0.15483870967741936"/>
    <n v="565200"/>
    <n v="0.9151554404145078"/>
    <n v="62000"/>
    <s v="Vendido"/>
    <x v="0"/>
    <n v="35"/>
    <n v="1"/>
    <n v="36"/>
    <n v="6000"/>
    <n v="1600"/>
    <n v="28"/>
    <n v="29"/>
    <n v="52400"/>
    <n v="41600"/>
    <n v="9200"/>
    <n v="1600"/>
    <n v="0"/>
    <n v="0"/>
    <x v="0"/>
    <m/>
    <m/>
  </r>
  <r>
    <x v="281"/>
    <s v="D6"/>
    <m/>
    <s v="Antonio Rada"/>
    <s v="Maxi Alexander Mendez Moran"/>
    <d v="2025-04-02T00:00:00"/>
    <s v="4.Plan de pagos"/>
    <n v="1446043.24"/>
    <n v="144643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65592.83"/>
    <n v="69050.44"/>
    <m/>
    <n v="0"/>
    <m/>
    <m/>
    <m/>
    <m/>
    <n v="144643.27000000002"/>
    <s v="Cliente al día"/>
    <s v="Enganche Completado"/>
    <m/>
    <n v="1.0000002074068586"/>
    <n v="3.0000000027939677E-2"/>
    <n v="2.0740685861253994E-7"/>
    <n v="1301399.97"/>
    <n v="0.89997306719541803"/>
    <n v="144643.24"/>
    <s v="Vendido"/>
    <x v="2"/>
    <n v="2"/>
    <n v="1"/>
    <n v="3"/>
    <n v="10000"/>
    <n v="67321.63"/>
    <n v="0"/>
    <n v="4"/>
    <n v="279286.52"/>
    <n v="75592.83"/>
    <n v="69050.44"/>
    <n v="0"/>
    <n v="0"/>
    <n v="134643.25"/>
    <x v="4"/>
    <m/>
    <m/>
  </r>
  <r>
    <x v="282"/>
    <s v="B4"/>
    <m/>
    <s v="Jose Franco"/>
    <s v="David Arimany Monzón"/>
    <d v="2023-03-24T00:00:00"/>
    <s v="4.Plan de pagos"/>
    <n v="860951"/>
    <n v="87051"/>
    <n v="6000"/>
    <n v="2400"/>
    <n v="2400"/>
    <n v="2400"/>
    <n v="0"/>
    <n v="2400"/>
    <n v="4800"/>
    <n v="2400"/>
    <n v="2400"/>
    <n v="0"/>
    <n v="4800"/>
    <n v="0"/>
    <n v="2400"/>
    <n v="4800"/>
    <n v="0"/>
    <n v="4800"/>
    <n v="0"/>
    <n v="2400"/>
    <n v="0"/>
    <n v="0"/>
    <n v="2400"/>
    <n v="0"/>
    <n v="0"/>
    <n v="0"/>
    <n v="0"/>
    <n v="0"/>
    <m/>
    <m/>
    <m/>
    <n v="0"/>
    <m/>
    <m/>
    <m/>
    <m/>
    <n v="46800"/>
    <s v="F&amp;F"/>
    <s v=""/>
    <m/>
    <n v="0.53761588034600405"/>
    <n v="-40251"/>
    <n v="-0.46238411965399595"/>
    <n v="814151"/>
    <n v="0.94564150573029127"/>
    <n v="87051"/>
    <s v="Vendido"/>
    <x v="2"/>
    <n v="35"/>
    <n v="1"/>
    <n v="36"/>
    <n v="6000"/>
    <n v="2400"/>
    <n v="13"/>
    <n v="29"/>
    <n v="75600"/>
    <n v="21600"/>
    <n v="25200"/>
    <n v="0"/>
    <n v="0"/>
    <n v="28800"/>
    <x v="1"/>
    <s v="F&amp;F"/>
    <m/>
  </r>
  <r>
    <x v="283"/>
    <s v="B5"/>
    <m/>
    <s v="Ronaldo Ogaldez"/>
    <s v="Miguel Eduardo Yon Moll"/>
    <d v="2025-03-05T00:00:00"/>
    <s v="4.Plan de pagos"/>
    <n v="908000"/>
    <n v="9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100"/>
    <m/>
    <n v="5050"/>
    <m/>
    <n v="10100"/>
    <m/>
    <m/>
    <m/>
    <m/>
    <n v="35250"/>
    <s v="al día"/>
    <s v=""/>
    <m/>
    <n v="0.388215859030837"/>
    <n v="-55550"/>
    <n v="-0.611784140969163"/>
    <n v="872750"/>
    <n v="0.96117841409691629"/>
    <n v="90800"/>
    <s v="Vendido"/>
    <x v="0"/>
    <n v="16"/>
    <n v="1"/>
    <n v="17"/>
    <n v="10000"/>
    <n v="5050"/>
    <n v="1"/>
    <n v="5"/>
    <n v="35250"/>
    <n v="5050"/>
    <n v="30200"/>
    <n v="0"/>
    <n v="0"/>
    <n v="0"/>
    <x v="0"/>
    <m/>
    <m/>
  </r>
  <r>
    <x v="284"/>
    <s v="E4"/>
    <m/>
    <m/>
    <m/>
    <m/>
    <s v="1.Disponible"/>
    <n v="1538042.1199845199"/>
    <n v="153804.2119984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538042.11998451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85"/>
    <s v="E7"/>
    <m/>
    <s v="Jose Franco"/>
    <s v="Luis Arimany Monzón"/>
    <d v="2023-03-27T00:00:00"/>
    <s v="4.Plan de pagos"/>
    <n v="1391452"/>
    <n v="139152"/>
    <n v="6000"/>
    <n v="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13600"/>
    <s v="F&amp;F"/>
    <s v=""/>
    <m/>
    <n v="9.7734851098079792E-2"/>
    <n v="-125552"/>
    <n v="-0.90226514890192022"/>
    <n v="1377852"/>
    <n v="0.99022603726179559"/>
    <n v="139152"/>
    <s v="Vendido"/>
    <x v="2"/>
    <n v="35"/>
    <n v="1"/>
    <n v="36"/>
    <n v="6000"/>
    <n v="3800"/>
    <n v="0"/>
    <n v="29"/>
    <n v="116200"/>
    <n v="0"/>
    <n v="13600"/>
    <n v="0"/>
    <n v="0"/>
    <n v="102600"/>
    <x v="1"/>
    <s v="F&amp;F"/>
    <m/>
  </r>
  <r>
    <x v="286"/>
    <s v="A10"/>
    <m/>
    <s v="Antonio Rada"/>
    <s v="Fredy Rene Velasquez Quevedo"/>
    <d v="2023-05-18T00:00:00"/>
    <s v="4.Plan de pagos"/>
    <n v="848900"/>
    <n v="84900"/>
    <n v="0"/>
    <n v="0"/>
    <n v="6000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n v="2818"/>
    <m/>
    <m/>
    <m/>
    <m/>
    <n v="82086"/>
    <s v="al día"/>
    <s v=""/>
    <m/>
    <n v="0.96685512367491167"/>
    <n v="-2814"/>
    <n v="-3.3144876325088342E-2"/>
    <n v="766814"/>
    <n v="0.90330309812698784"/>
    <n v="84900"/>
    <s v="Vendido"/>
    <x v="0"/>
    <n v="28"/>
    <n v="1"/>
    <n v="29"/>
    <n v="6000"/>
    <n v="2818"/>
    <n v="27"/>
    <n v="27"/>
    <n v="82086"/>
    <n v="73268"/>
    <n v="6000"/>
    <n v="2818"/>
    <n v="0"/>
    <n v="0"/>
    <x v="0"/>
    <m/>
    <m/>
  </r>
  <r>
    <x v="287"/>
    <s v="D5"/>
    <m/>
    <m/>
    <m/>
    <m/>
    <s v="1.Disponible"/>
    <n v="1411239.4727644799"/>
    <n v="141123.94727644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1239.47276447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88"/>
    <s v="A5"/>
    <m/>
    <s v="Brenda Búcaro"/>
    <s v="Juan Pablo Monterroso Arroyo"/>
    <d v="2023-03-10T00:00:00"/>
    <s v="4.Plan de pagos"/>
    <n v="617600"/>
    <n v="62000"/>
    <n v="6000"/>
    <n v="1600"/>
    <n v="1600"/>
    <n v="1600"/>
    <n v="1600"/>
    <n v="1600"/>
    <n v="1600"/>
    <n v="1600"/>
    <n v="0"/>
    <n v="1600"/>
    <n v="1600"/>
    <n v="2860"/>
    <n v="1600"/>
    <n v="1600"/>
    <n v="1600"/>
    <n v="1600"/>
    <n v="1600"/>
    <n v="1600"/>
    <n v="0"/>
    <n v="1600"/>
    <n v="1600"/>
    <n v="1600"/>
    <n v="0"/>
    <n v="3200"/>
    <n v="1600"/>
    <n v="1600"/>
    <n v="1600"/>
    <n v="1600"/>
    <n v="1600"/>
    <n v="1600"/>
    <m/>
    <m/>
    <m/>
    <m/>
    <n v="50460"/>
    <s v="1 meses sin pago"/>
    <m/>
    <m/>
    <n v="0.81387096774193546"/>
    <n v="-11540"/>
    <n v="-0.18612903225806451"/>
    <n v="567140"/>
    <n v="0.91829663212435231"/>
    <n v="62000"/>
    <s v="Vendido"/>
    <x v="2"/>
    <n v="35"/>
    <n v="1"/>
    <n v="36"/>
    <n v="6000"/>
    <n v="1600"/>
    <n v="26"/>
    <n v="29"/>
    <n v="52400"/>
    <n v="36800"/>
    <n v="12060"/>
    <n v="1600"/>
    <n v="0"/>
    <n v="1940"/>
    <x v="4"/>
    <m/>
    <m/>
  </r>
  <r>
    <x v="289"/>
    <s v="D6"/>
    <m/>
    <m/>
    <m/>
    <m/>
    <s v="1.Disponible"/>
    <n v="1416043.2379894699"/>
    <n v="141604.32379894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0"/>
    <s v="Disponible"/>
    <s v=""/>
    <m/>
    <n v="0"/>
    <n v="0"/>
    <n v="0"/>
    <n v="1416043.2379894699"/>
    <n v="1"/>
    <n v="0"/>
    <s v="Apartamento Disponible"/>
    <x v="1"/>
    <m/>
    <n v="0"/>
    <n v="0"/>
    <m/>
    <m/>
    <n v="0"/>
    <n v="0"/>
    <n v="0"/>
    <n v="0"/>
    <n v="0"/>
    <n v="0"/>
    <n v="0"/>
    <n v="0"/>
    <x v="0"/>
    <m/>
    <m/>
  </r>
  <r>
    <x v="290"/>
    <s v="B4"/>
    <m/>
    <s v="Antonio Rada"/>
    <s v="Business View Sociedad Anonima"/>
    <d v="2023-03-29T00:00:00"/>
    <s v="4.Plan de pagos"/>
    <n v="860950.58400499995"/>
    <n v="86150.58"/>
    <n v="6000"/>
    <n v="2290"/>
    <n v="2290"/>
    <n v="2290"/>
    <n v="2290"/>
    <n v="2290"/>
    <n v="2290"/>
    <n v="2290"/>
    <n v="2290"/>
    <n v="2290"/>
    <n v="2290"/>
    <n v="2290"/>
    <n v="2290"/>
    <n v="4580"/>
    <n v="0"/>
    <n v="2290"/>
    <n v="2290"/>
    <n v="2290"/>
    <n v="2290"/>
    <n v="2290"/>
    <n v="2290"/>
    <n v="2290"/>
    <n v="2290"/>
    <n v="4580"/>
    <n v="2290"/>
    <n v="2290"/>
    <m/>
    <m/>
    <n v="4580"/>
    <n v="2290"/>
    <m/>
    <m/>
    <m/>
    <m/>
    <n v="72410"/>
    <s v="al día"/>
    <s v=""/>
    <m/>
    <n v="0.84050507843359845"/>
    <n v="-13740.580000000002"/>
    <n v="-0.15949492156640155"/>
    <n v="788540.58400499995"/>
    <n v="0.91589528906158513"/>
    <n v="86150.58"/>
    <s v="Vendido"/>
    <x v="0"/>
    <n v="35"/>
    <n v="1"/>
    <n v="36"/>
    <n v="6000"/>
    <n v="2290"/>
    <n v="26"/>
    <n v="29"/>
    <n v="72410"/>
    <n v="50380"/>
    <n v="19740"/>
    <n v="2290"/>
    <n v="0"/>
    <n v="0"/>
    <x v="0"/>
    <m/>
    <m/>
  </r>
  <r>
    <x v="291"/>
    <s v="C11"/>
    <m/>
    <s v="Jose Franco"/>
    <s v="Yuly Marisol Rodríguez Ordoñez De Arimany"/>
    <d v="2023-03-27T00:00:00"/>
    <s v="4.Plan de pagos"/>
    <n v="1131156"/>
    <n v="113156"/>
    <n v="6000"/>
    <n v="0"/>
    <n v="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m/>
    <m/>
    <m/>
    <m/>
    <n v="12100"/>
    <s v="F&amp;F"/>
    <s v=""/>
    <m/>
    <n v="0.10693202304782778"/>
    <n v="-101056"/>
    <n v="-0.89306797695217222"/>
    <n v="1119056"/>
    <n v="0.98930297854584159"/>
    <n v="113156"/>
    <s v="Vendido"/>
    <x v="2"/>
    <n v="35"/>
    <n v="1"/>
    <n v="36"/>
    <n v="6000"/>
    <n v="3050"/>
    <n v="0"/>
    <n v="29"/>
    <n v="94450"/>
    <n v="0"/>
    <n v="12100"/>
    <n v="0"/>
    <n v="0"/>
    <n v="82350"/>
    <x v="1"/>
    <s v="F&amp;F"/>
    <m/>
  </r>
  <r>
    <x v="292"/>
    <s v="E3"/>
    <m/>
    <s v="Antonio Rada"/>
    <s v="Monica Cecilia Rodriguez Villalta"/>
    <d v="2023-09-30T00:00:00"/>
    <s v="4.Plan de pagos"/>
    <n v="1417808.51"/>
    <n v="141808.51"/>
    <n v="0"/>
    <n v="0"/>
    <n v="0"/>
    <n v="0"/>
    <n v="0"/>
    <n v="0"/>
    <n v="8000"/>
    <n v="2800"/>
    <n v="2800"/>
    <n v="11150"/>
    <n v="2800"/>
    <n v="2800"/>
    <n v="2800"/>
    <n v="2800"/>
    <n v="2800"/>
    <n v="2800"/>
    <n v="22300"/>
    <n v="2800"/>
    <n v="2800"/>
    <n v="2800"/>
    <n v="2800"/>
    <n v="22300"/>
    <n v="2800"/>
    <n v="2800"/>
    <n v="2800"/>
    <n v="2800"/>
    <n v="2800"/>
    <n v="2800"/>
    <n v="22300"/>
    <n v="2800"/>
    <m/>
    <m/>
    <m/>
    <m/>
    <n v="139250"/>
    <s v="al día"/>
    <s v=""/>
    <m/>
    <n v="0.98195799391729022"/>
    <n v="-2558.5100000000093"/>
    <n v="-1.8042006082709769E-2"/>
    <n v="1278558.51"/>
    <n v="0.90178504430051698"/>
    <n v="141808.51"/>
    <s v="Vendido"/>
    <x v="0"/>
    <n v="24"/>
    <n v="1"/>
    <n v="25"/>
    <n v="8000"/>
    <n v="2800"/>
    <n v="19"/>
    <n v="23"/>
    <n v="72400"/>
    <n v="50400"/>
    <n v="86050"/>
    <n v="2800"/>
    <n v="66850"/>
    <n v="0"/>
    <x v="0"/>
    <m/>
    <s v="En Julio 2025 su cuota será de GTQ 22,300,00 en Agosto GTQ 2,800,00 y en Septiembre GTQ 8,133,51 y completa su enganche."/>
  </r>
  <r>
    <x v="293"/>
    <s v="A11"/>
    <m/>
    <s v="Ronaldo"/>
    <s v="International Coffee Industry, S.A"/>
    <d v="2023-03-27T00:00:00"/>
    <s v="1.Disponible"/>
    <n v="738382"/>
    <n v="73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s v="F&amp;F"/>
    <s v=""/>
    <m/>
    <n v="0"/>
    <n v="-73882"/>
    <n v="-1"/>
    <n v="738382"/>
    <n v="1"/>
    <n v="73882"/>
    <s v="Vendido"/>
    <x v="2"/>
    <n v="35"/>
    <n v="1"/>
    <n v="36"/>
    <n v="15000"/>
    <n v="1000"/>
    <n v="0"/>
    <n v="29"/>
    <n v="44000"/>
    <n v="0"/>
    <n v="0"/>
    <n v="0"/>
    <n v="0"/>
    <n v="44000"/>
    <x v="1"/>
    <s v="F&amp;F"/>
    <m/>
  </r>
  <r>
    <x v="294"/>
    <s v="D5"/>
    <m/>
    <s v="Ronaldo"/>
    <s v="International Coffee Industry, S.A"/>
    <d v="2024-01-09T00:00:00"/>
    <s v="4.Plan de pagos"/>
    <n v="1322000"/>
    <n v="13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s v="F&amp;F"/>
    <s v=""/>
    <m/>
    <n v="0"/>
    <n v="-132200"/>
    <n v="-1"/>
    <n v="1322000"/>
    <n v="1"/>
    <n v="132200"/>
    <s v="Vendido"/>
    <x v="2"/>
    <n v="28"/>
    <n v="1"/>
    <n v="29"/>
    <n v="6000"/>
    <n v="4507"/>
    <n v="0"/>
    <n v="19"/>
    <n v="91633"/>
    <n v="0"/>
    <n v="0"/>
    <n v="0"/>
    <n v="0"/>
    <n v="91633"/>
    <x v="1"/>
    <s v="F&amp;F"/>
    <m/>
  </r>
  <r>
    <x v="295"/>
    <s v="D6"/>
    <m/>
    <s v="Ronaldo"/>
    <s v="International Coffee Industry, S.A"/>
    <d v="2024-01-09T00:00:00"/>
    <s v="4.Plan de pagos"/>
    <n v="1326500"/>
    <n v="13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s v="F&amp;F"/>
    <s v=""/>
    <m/>
    <n v="0"/>
    <n v="-132650"/>
    <n v="-1"/>
    <n v="1326500"/>
    <n v="1"/>
    <n v="132650"/>
    <s v="Vendido"/>
    <x v="2"/>
    <n v="28"/>
    <n v="1"/>
    <n v="29"/>
    <n v="6000"/>
    <n v="4523"/>
    <n v="0"/>
    <n v="19"/>
    <n v="91937"/>
    <n v="0"/>
    <n v="0"/>
    <n v="0"/>
    <n v="0"/>
    <n v="91937"/>
    <x v="1"/>
    <s v="F&amp;F"/>
    <m/>
  </r>
  <r>
    <x v="296"/>
    <s v="D5"/>
    <m/>
    <s v="Ronaldo"/>
    <s v="International Coffee Industry, S.A"/>
    <d v="2024-01-09T00:00:00"/>
    <s v="4.Plan de pagos"/>
    <n v="1322000"/>
    <n v="132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s v="F&amp;F"/>
    <s v=""/>
    <m/>
    <n v="0"/>
    <n v="-132200"/>
    <n v="-1"/>
    <n v="1322000"/>
    <n v="1"/>
    <n v="132200"/>
    <s v="Vendido"/>
    <x v="2"/>
    <n v="28"/>
    <n v="1"/>
    <n v="29"/>
    <n v="6000"/>
    <n v="4507"/>
    <n v="0"/>
    <n v="19"/>
    <n v="91633"/>
    <n v="0"/>
    <n v="0"/>
    <n v="0"/>
    <n v="0"/>
    <n v="91633"/>
    <x v="1"/>
    <s v="F&amp;F"/>
    <m/>
  </r>
  <r>
    <x v="297"/>
    <s v="D8"/>
    <m/>
    <s v="Ronaldo"/>
    <s v="International Coffee Industry, S.A"/>
    <d v="2024-01-09T00:00:00"/>
    <s v="4.Plan de pagos"/>
    <n v="1365000"/>
    <n v="136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s v="F&amp;F"/>
    <s v=""/>
    <m/>
    <n v="0"/>
    <n v="-136500"/>
    <n v="-1"/>
    <n v="1365000"/>
    <n v="1"/>
    <n v="136500"/>
    <s v="Vendido"/>
    <x v="2"/>
    <n v="28"/>
    <n v="1"/>
    <n v="29"/>
    <n v="6000"/>
    <n v="4661"/>
    <n v="0"/>
    <n v="19"/>
    <n v="94559"/>
    <n v="0"/>
    <n v="0"/>
    <n v="0"/>
    <n v="0"/>
    <n v="94559"/>
    <x v="1"/>
    <s v="F&amp;F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32278-BB39-4860-A2C1-69D9067571AA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3:P8" firstHeaderRow="0" firstDataRow="1" firstDataCol="1"/>
  <pivotFields count="49"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numFmtId="43" showAll="0"/>
    <pivotField numFmtId="43" showAll="0"/>
    <pivotField numFmtId="43" showAll="0"/>
    <pivotField showAll="0"/>
    <pivotField showAll="0"/>
    <pivotField showAll="0"/>
    <pivotField dataField="1" showAll="0"/>
    <pivotField numFmtId="43" showAll="0"/>
    <pivotField dataField="1" numFmtId="43" showAll="0"/>
    <pivotField numFmtId="9" showAll="0"/>
    <pivotField numFmtId="43" showAll="0"/>
    <pivotField numFmtId="9" showAll="0"/>
    <pivotField numFmtId="43" showAll="0"/>
    <pivotField numFmtId="10" showAll="0"/>
    <pivotField numFmtId="43" showAll="0"/>
    <pivotField showAll="0"/>
    <pivotField showAll="0"/>
    <pivotField axis="axisRow" showAll="0">
      <items count="10">
        <item m="1" x="7"/>
        <item x="0"/>
        <item m="1" x="5"/>
        <item x="3"/>
        <item m="1" x="6"/>
        <item m="1" x="8"/>
        <item m="1" x="4"/>
        <item x="1"/>
        <item x="2"/>
        <item t="default"/>
      </items>
    </pivotField>
    <pivotField showAll="0"/>
    <pivotField numFmtId="168" showAll="0"/>
    <pivotField numFmtId="168" showAll="0"/>
    <pivotField showAll="0"/>
    <pivotField showAll="0"/>
  </pivotFields>
  <rowFields count="1">
    <field x="43"/>
  </rowFields>
  <rowItems count="5">
    <i>
      <x v="1"/>
    </i>
    <i>
      <x v="3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r-25" fld="32" baseField="41" baseItem="4" numFmtId="4"/>
    <dataField name="Suma de TOTAL COBROS Y RESERVAS" fld="34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76F0F-F295-47B8-99C2-CC2232934FD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L9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dataField="1" showAll="0"/>
    <pivotField dataField="1" numFmtId="43" showAll="0"/>
    <pivotField numFmtId="9" showAll="0"/>
    <pivotField numFmtId="43" showAll="0"/>
    <pivotField numFmtId="9" showAll="0"/>
    <pivotField numFmtId="43" showAll="0"/>
    <pivotField numFmtId="10" showAll="0"/>
    <pivotField dataField="1" numFmtId="43" showAll="0"/>
    <pivotField dataField="1" numFmtId="43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4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mar-25" fld="33" baseField="42" baseItem="2" numFmtId="4"/>
    <dataField name="Suma de Total de Cobro Ppto" fld="40" baseField="0" baseItem="0" numFmtId="43"/>
    <dataField name="Suma de TOTAL COBROS Y RESERVAS" fld="34" baseField="0" baseItem="0" numFmtId="43"/>
    <dataField name="Suma de Variación ppto versus cobro real" fld="4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589FF-7A12-4EE3-88AC-CB254403B67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59">
    <pivotField showAll="0"/>
    <pivotField showAll="0"/>
    <pivotField showAll="0"/>
    <pivotField showAll="0"/>
    <pivotField showAll="0"/>
    <pivotField numFmtId="43" showAll="0"/>
    <pivotField showAll="0"/>
    <pivotField numFmtId="166" showAll="0"/>
    <pivotField numFmtId="166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numFmtId="43" showAll="0"/>
    <pivotField numFmtId="9" showAll="0"/>
    <pivotField numFmtId="43" showAll="0"/>
    <pivotField numFmtId="9" showAll="0"/>
    <pivotField numFmtId="43" showAll="0"/>
    <pivotField numFmtId="9" showAll="0"/>
    <pivotField numFmtId="43" showAll="0"/>
    <pivotField numFmtId="43" showAll="0"/>
    <pivotField showAll="0"/>
    <pivotField axis="axisRow" showAll="0">
      <items count="9">
        <item x="2"/>
        <item m="1" x="5"/>
        <item x="0"/>
        <item m="1" x="6"/>
        <item m="1" x="4"/>
        <item m="1" x="7"/>
        <item x="1"/>
        <item x="3"/>
        <item t="default"/>
      </items>
    </pivotField>
    <pivotField showAll="0"/>
  </pivotFields>
  <rowFields count="1">
    <field x="57"/>
  </rowFields>
  <rowItems count="5">
    <i>
      <x/>
    </i>
    <i>
      <x v="2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r-25" fld="43" baseField="0" baseItem="0"/>
    <dataField name="Suma de TOTAL COBROS Y RESERVAS" fld="48" baseField="0" baseItem="0" numFmtId="43"/>
  </dataFields>
  <formats count="1">
    <format dxfId="1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E9CD0-178C-4BEC-9E5F-FA65D490540A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N9" firstHeaderRow="0" firstDataRow="1" firstDataCol="1"/>
  <pivotFields count="44">
    <pivotField dataField="1"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showAll="0"/>
    <pivotField showAll="0"/>
    <pivotField dataField="1" numFmtId="43" showAll="0"/>
    <pivotField numFmtId="9" showAll="0"/>
    <pivotField numFmtId="43" showAll="0"/>
    <pivotField numFmtId="9" showAll="0"/>
    <pivotField numFmtId="43" showAll="0"/>
    <pivotField numFmtId="10" showAll="0"/>
    <pivotField dataField="1" numFmtId="43" showAll="0"/>
    <pivotField dataField="1" numFmtId="43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4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feb-25" fld="32" baseField="41" baseItem="1" numFmtId="4"/>
    <dataField name="Cuenta de Apto" fld="0" subtotal="count" baseField="41" baseItem="1"/>
    <dataField name="Suma de Total de Cobro Ppto" fld="40" baseField="0" baseItem="0" numFmtId="43"/>
    <dataField name="Suma de TOTAL COBROS Y RESERVAS" fld="34" baseField="0" baseItem="0" numFmtId="43"/>
    <dataField name="Suma de Variación ppto versus cobro real" fld="4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29DDF-D3C5-4E03-8D25-BB16F6BAE43A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T8" firstHeaderRow="0" firstDataRow="1" firstDataCol="1"/>
  <pivotFields count="49">
    <pivotField dataField="1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numFmtId="43" showAll="0"/>
    <pivotField dataField="1" numFmtId="43" showAll="0"/>
    <pivotField numFmtId="9" showAll="0"/>
    <pivotField numFmtId="43" showAll="0"/>
    <pivotField numFmtId="9" showAll="0"/>
    <pivotField numFmtId="43" showAll="0"/>
    <pivotField numFmtId="10" showAll="0"/>
    <pivotField numFmtId="43" showAll="0"/>
    <pivotField showAll="0"/>
    <pivotField showAll="0"/>
    <pivotField axis="axisRow" showAll="0">
      <items count="10">
        <item m="1" x="7"/>
        <item x="0"/>
        <item m="1" x="5"/>
        <item x="3"/>
        <item m="1" x="6"/>
        <item m="1" x="8"/>
        <item m="1" x="4"/>
        <item x="1"/>
        <item x="2"/>
        <item t="default"/>
      </items>
    </pivotField>
    <pivotField showAll="0"/>
    <pivotField numFmtId="168" showAll="0"/>
    <pivotField numFmtId="168" showAll="0"/>
    <pivotField showAll="0"/>
    <pivotField showAll="0"/>
  </pivotFields>
  <rowFields count="1">
    <field x="43"/>
  </rowFields>
  <rowItems count="5">
    <i>
      <x v="1"/>
    </i>
    <i>
      <x v="3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Apto" fld="0" subtotal="count" baseField="40" baseItem="3"/>
    <dataField name="Suma de TOTAL COBROS Y RESERVAS" fld="34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EFEFC-EAC3-44F5-A215-15F75FA16AA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59">
    <pivotField dataField="1" showAll="0"/>
    <pivotField showAll="0"/>
    <pivotField showAll="0"/>
    <pivotField showAll="0"/>
    <pivotField showAll="0"/>
    <pivotField numFmtId="43" showAll="0"/>
    <pivotField showAll="0"/>
    <pivotField numFmtId="166" showAll="0"/>
    <pivotField numFmtId="166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9" showAll="0"/>
    <pivotField numFmtId="43" showAll="0"/>
    <pivotField numFmtId="9" showAll="0"/>
    <pivotField numFmtId="43" showAll="0"/>
    <pivotField numFmtId="9" showAll="0"/>
    <pivotField numFmtId="43" showAll="0"/>
    <pivotField numFmtId="43" showAll="0"/>
    <pivotField showAll="0"/>
    <pivotField axis="axisRow" showAll="0">
      <items count="9">
        <item x="2"/>
        <item m="1" x="5"/>
        <item x="0"/>
        <item m="1" x="6"/>
        <item m="1" x="4"/>
        <item m="1" x="7"/>
        <item x="1"/>
        <item x="3"/>
        <item t="default"/>
      </items>
    </pivotField>
    <pivotField showAll="0"/>
  </pivotFields>
  <rowFields count="1">
    <field x="57"/>
  </rowFields>
  <rowItems count="5">
    <i>
      <x/>
    </i>
    <i>
      <x v="2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Apto" fld="0" subtotal="count" baseField="0" baseItem="0"/>
    <dataField name="Suma de TOTAL COBROS Y RESERVAS" fld="4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B6DAE-38D6-45C2-A85A-3E854E0D800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76" firstHeaderRow="0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43" showAll="0"/>
    <pivotField numFmtId="43" showAll="0"/>
    <pivotField dataField="1" numFmtId="43" showAll="0"/>
    <pivotField axis="axisRow" showAll="0">
      <items count="180">
        <item x="38"/>
        <item m="1" x="137"/>
        <item m="1" x="138"/>
        <item x="41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x="47"/>
        <item m="1" x="168"/>
        <item m="1" x="169"/>
        <item m="1" x="170"/>
        <item m="1" x="171"/>
        <item m="1" x="172"/>
        <item m="1" x="173"/>
        <item m="1" x="174"/>
        <item m="1" x="175"/>
        <item x="61"/>
        <item m="1" x="176"/>
        <item m="1" x="177"/>
        <item m="1" x="178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 count="1">
    <field x="41"/>
  </rowFields>
  <rowItems count="72">
    <i>
      <x/>
    </i>
    <i>
      <x v="3"/>
    </i>
    <i>
      <x v="33"/>
    </i>
    <i>
      <x v="42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r-25" fld="34" baseField="39" baseItem="2"/>
    <dataField name="Suma de Acumulado" fld="4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5B5CB-E558-4EA9-89CB-1F69CB621697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M6" firstHeaderRow="0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dataField="1" numFmtId="43" showAll="0"/>
    <pivotField axis="axisRow" showAll="0">
      <items count="2">
        <item x="0"/>
        <item t="default"/>
      </items>
    </pivotField>
  </pivotFields>
  <rowFields count="1">
    <field x="57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r-25" fld="26" baseField="0" baseItem="0"/>
    <dataField name="Suma de b" fld="56" baseField="0" baseItem="0" numFmtId="43"/>
  </dataFields>
  <formats count="1">
    <format dxfId="1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D8925-3878-4B67-9B7C-E92D1D07BDB9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H50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dataField="1" numFmtId="43" showAll="0"/>
    <pivotField axis="axisRow" showAll="0">
      <items count="148">
        <item m="1" x="106"/>
        <item m="1" x="107"/>
        <item m="1" x="108"/>
        <item m="1" x="109"/>
        <item m="1" x="110"/>
        <item x="44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51"/>
        <item m="1" x="52"/>
        <item m="1" x="53"/>
        <item m="1" x="100"/>
        <item m="1" x="105"/>
        <item m="1" x="56"/>
        <item m="1" x="57"/>
        <item m="1" x="58"/>
        <item m="1" x="59"/>
        <item m="1" x="60"/>
        <item m="1" x="54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101"/>
        <item m="1" x="72"/>
        <item m="1" x="73"/>
        <item m="1" x="74"/>
        <item m="1" x="75"/>
        <item m="1" x="76"/>
        <item m="1" x="77"/>
        <item m="1" x="78"/>
        <item m="1" x="102"/>
        <item m="1" x="80"/>
        <item m="1" x="81"/>
        <item m="1" x="97"/>
        <item m="1" x="83"/>
        <item m="1" x="103"/>
        <item m="1" x="85"/>
        <item m="1" x="86"/>
        <item m="1" x="87"/>
        <item m="1" x="88"/>
        <item m="1" x="89"/>
        <item m="1" x="90"/>
        <item m="1" x="91"/>
        <item m="1" x="104"/>
        <item m="1" x="98"/>
        <item m="1" x="92"/>
        <item m="1" x="93"/>
        <item m="1" x="99"/>
        <item m="1" x="94"/>
        <item m="1" x="95"/>
        <item m="1" x="96"/>
        <item m="1" x="55"/>
        <item m="1" x="71"/>
        <item m="1" x="79"/>
        <item m="1" x="84"/>
        <item m="1" x="82"/>
        <item x="0"/>
        <item x="1"/>
        <item x="2"/>
        <item x="3"/>
        <item x="4"/>
        <item m="1" x="48"/>
        <item x="6"/>
        <item x="5"/>
        <item m="1" x="46"/>
        <item x="39"/>
        <item x="7"/>
        <item x="8"/>
        <item x="9"/>
        <item x="10"/>
        <item x="11"/>
        <item m="1" x="49"/>
        <item x="12"/>
        <item x="23"/>
        <item m="1" x="50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33"/>
        <item x="30"/>
        <item m="1" x="45"/>
        <item x="31"/>
        <item x="32"/>
        <item x="34"/>
        <item x="35"/>
        <item x="37"/>
        <item x="38"/>
        <item x="40"/>
        <item x="41"/>
        <item x="42"/>
        <item m="1" x="47"/>
        <item x="43"/>
        <item x="13"/>
        <item x="29"/>
        <item x="36"/>
        <item t="default"/>
      </items>
    </pivotField>
  </pivotFields>
  <rowFields count="1">
    <field x="52"/>
  </rowFields>
  <rowItems count="46">
    <i>
      <x v="5"/>
    </i>
    <i>
      <x v="97"/>
    </i>
    <i>
      <x v="98"/>
    </i>
    <i>
      <x v="99"/>
    </i>
    <i>
      <x v="100"/>
    </i>
    <i>
      <x v="101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4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ar-25" fld="26" baseField="0" baseItem="0"/>
    <dataField name="Suma de Acumulado" fld="5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6225F-53F6-49D3-8577-91C400342950}" name="TablaDiná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Cuotas Atrasadas">
  <location ref="C6:E53" firstHeaderRow="1" firstDataRow="1" firstDataCol="2" rowPageCount="1" colPageCount="1"/>
  <pivotFields count="71">
    <pivotField axis="axisRow" compact="0" outline="0" showAl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43" outline="0" showAll="0"/>
    <pivotField compact="0" numFmtId="9" outline="0" showAll="0"/>
    <pivotField compact="0" numFmtId="43" outline="0" showAll="0"/>
    <pivotField compact="0" numFmtId="10" outline="0" showAll="0"/>
    <pivotField compact="0" numFmtId="43" outline="0" showAll="0"/>
    <pivotField compact="0" outline="0" showAll="0"/>
    <pivotField axis="axisPage" compact="0" outline="0" multipleItemSelectionAllowed="1" showAll="0">
      <items count="21">
        <item h="1" x="0"/>
        <item x="2"/>
        <item h="1" x="3"/>
        <item h="1" x="1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/>
    <pivotField compact="0" numFmtId="168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dataField="1" compact="0" outline="0" showAll="0"/>
    <pivotField axis="axisRow" compact="0" outline="0" showAll="0" sortType="ascending">
      <items count="55">
        <item h="1" x="0"/>
        <item h="1" m="1" x="39"/>
        <item h="1" m="1" x="40"/>
        <item h="1" m="1" x="50"/>
        <item h="1" m="1" x="37"/>
        <item h="1" m="1" x="42"/>
        <item h="1" m="1" x="45"/>
        <item h="1" m="1" x="28"/>
        <item h="1" m="1" x="34"/>
        <item h="1" m="1" x="26"/>
        <item h="1" m="1" x="23"/>
        <item h="1" m="1" x="22"/>
        <item h="1" m="1" x="41"/>
        <item x="2"/>
        <item h="1" m="1" x="38"/>
        <item h="1" m="1" x="36"/>
        <item h="1" m="1" x="27"/>
        <item h="1" m="1" x="24"/>
        <item h="1" m="1" x="33"/>
        <item h="1" m="1" x="53"/>
        <item h="1" m="1" x="52"/>
        <item h="1" m="1" x="47"/>
        <item h="1" m="1" x="49"/>
        <item h="1" m="1" x="29"/>
        <item h="1" m="1" x="51"/>
        <item h="1" x="4"/>
        <item h="1" m="1" x="32"/>
        <item h="1" m="1" x="35"/>
        <item h="1" x="6"/>
        <item h="1" m="1" x="30"/>
        <item h="1" x="8"/>
        <item h="1" m="1" x="20"/>
        <item h="1" m="1" x="46"/>
        <item h="1" m="1" x="31"/>
        <item h="1" m="1" x="13"/>
        <item h="1" m="1" x="48"/>
        <item h="1" m="1" x="43"/>
        <item h="1" m="1" x="14"/>
        <item h="1" m="1" x="44"/>
        <item h="1" m="1" x="19"/>
        <item h="1" m="1" x="25"/>
        <item h="1" m="1" x="15"/>
        <item h="1" m="1" x="16"/>
        <item h="1" x="5"/>
        <item h="1" m="1" x="18"/>
        <item h="1" m="1" x="17"/>
        <item h="1" x="7"/>
        <item h="1" m="1" x="21"/>
        <item h="1" x="9"/>
        <item h="1" m="1" x="11"/>
        <item h="1" m="1" x="12"/>
        <item h="1" x="10"/>
        <item h="1" x="3"/>
        <item h="1" x="1"/>
        <item t="default"/>
      </items>
    </pivotField>
    <pivotField compact="0" outline="0" showAll="0"/>
    <pivotField compact="0" outline="0" showAll="0"/>
  </pivotFields>
  <rowFields count="2">
    <field x="68"/>
    <field x="0"/>
  </rowFields>
  <rowItems count="47">
    <i>
      <x v="13"/>
      <x v="3"/>
    </i>
    <i r="1">
      <x v="8"/>
    </i>
    <i r="1">
      <x v="9"/>
    </i>
    <i r="1">
      <x v="10"/>
    </i>
    <i r="1">
      <x v="41"/>
    </i>
    <i r="1">
      <x v="53"/>
    </i>
    <i r="1">
      <x v="59"/>
    </i>
    <i r="1">
      <x v="74"/>
    </i>
    <i r="1">
      <x v="75"/>
    </i>
    <i r="1">
      <x v="77"/>
    </i>
    <i r="1">
      <x v="79"/>
    </i>
    <i r="1">
      <x v="81"/>
    </i>
    <i r="1">
      <x v="82"/>
    </i>
    <i r="1">
      <x v="86"/>
    </i>
    <i r="1">
      <x v="91"/>
    </i>
    <i r="1">
      <x v="107"/>
    </i>
    <i r="1">
      <x v="114"/>
    </i>
    <i r="1">
      <x v="134"/>
    </i>
    <i r="1">
      <x v="135"/>
    </i>
    <i r="1">
      <x v="143"/>
    </i>
    <i r="1">
      <x v="152"/>
    </i>
    <i r="1">
      <x v="155"/>
    </i>
    <i r="1">
      <x v="157"/>
    </i>
    <i r="1">
      <x v="159"/>
    </i>
    <i r="1">
      <x v="161"/>
    </i>
    <i r="1">
      <x v="164"/>
    </i>
    <i r="1">
      <x v="165"/>
    </i>
    <i r="1">
      <x v="169"/>
    </i>
    <i r="1">
      <x v="170"/>
    </i>
    <i r="1">
      <x v="173"/>
    </i>
    <i r="1">
      <x v="179"/>
    </i>
    <i r="1">
      <x v="188"/>
    </i>
    <i r="1">
      <x v="196"/>
    </i>
    <i r="1">
      <x v="197"/>
    </i>
    <i r="1">
      <x v="198"/>
    </i>
    <i r="1">
      <x v="205"/>
    </i>
    <i r="1">
      <x v="207"/>
    </i>
    <i r="1">
      <x v="224"/>
    </i>
    <i r="1">
      <x v="228"/>
    </i>
    <i r="1">
      <x v="233"/>
    </i>
    <i r="1">
      <x v="256"/>
    </i>
    <i r="1">
      <x v="262"/>
    </i>
    <i r="1">
      <x v="263"/>
    </i>
    <i r="1">
      <x v="269"/>
    </i>
    <i r="1">
      <x v="273"/>
    </i>
    <i t="default">
      <x v="13"/>
    </i>
    <i t="grand">
      <x/>
    </i>
  </rowItems>
  <colItems count="1">
    <i/>
  </colItems>
  <pageFields count="1">
    <pageField fld="54" hier="-1"/>
  </pageFields>
  <dataFields count="1">
    <dataField name="Cobro no realizado." fld="67" baseField="0" baseItem="0" numFmtId="168"/>
  </dataFields>
  <formats count="9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68" type="button" dataOnly="0" labelOnly="1" outline="0" axis="axisRow" fieldPosition="0"/>
    </format>
    <format dxfId="135">
      <pivotArea dataOnly="0" labelOnly="1" grandRow="1" outline="0" fieldPosition="0"/>
    </format>
    <format dxfId="134">
      <pivotArea outline="0" collapsedLevelsAreSubtotals="1" fieldPosition="0"/>
    </format>
    <format dxfId="133">
      <pivotArea field="68" type="button" dataOnly="0" labelOnly="1" outline="0" axis="axisRow" fieldPosition="0"/>
    </format>
    <format dxfId="132">
      <pivotArea dataOnly="0" labelOnly="1" outline="0" axis="axisValues" fieldPosition="0"/>
    </format>
    <format dxfId="131">
      <pivotArea grandRow="1" outline="0" collapsedLevelsAreSubtotals="1" fieldPosition="0"/>
    </format>
    <format dxfId="130">
      <pivotArea dataOnly="0" labelOnly="1" grandRow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9ACA2-CD5A-4608-80E0-5618C5A621F8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Cuotas Atrasadas">
  <location ref="C6:E66" firstHeaderRow="1" firstDataRow="1" firstDataCol="2" rowPageCount="1" colPageCount="1"/>
  <pivotFields count="68">
    <pivotField axis="axisRow" compact="0" outline="0" showAll="0">
      <items count="69">
        <item x="0"/>
        <item x="1"/>
        <item x="2"/>
        <item x="3"/>
        <item x="4"/>
        <item x="5"/>
        <item x="7"/>
        <item x="8"/>
        <item x="9"/>
        <item x="13"/>
        <item x="14"/>
        <item x="15"/>
        <item x="16"/>
        <item x="17"/>
        <item x="60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61"/>
        <item x="62"/>
        <item x="66"/>
        <item x="32"/>
        <item x="33"/>
        <item x="34"/>
        <item x="35"/>
        <item x="36"/>
        <item x="37"/>
        <item x="38"/>
        <item x="63"/>
        <item x="64"/>
        <item x="40"/>
        <item x="41"/>
        <item x="42"/>
        <item x="43"/>
        <item x="45"/>
        <item x="46"/>
        <item x="47"/>
        <item x="49"/>
        <item x="50"/>
        <item x="52"/>
        <item x="54"/>
        <item x="55"/>
        <item x="56"/>
        <item x="58"/>
        <item x="65"/>
        <item x="67"/>
        <item x="6"/>
        <item x="10"/>
        <item x="11"/>
        <item x="12"/>
        <item x="22"/>
        <item x="48"/>
        <item x="51"/>
        <item x="53"/>
        <item x="59"/>
        <item x="21"/>
        <item x="39"/>
        <item x="44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9" outline="0" showAll="0"/>
    <pivotField compact="0" numFmtId="43" outline="0" showAll="0"/>
    <pivotField compact="0" numFmtId="9" outline="0" showAll="0"/>
    <pivotField compact="0" numFmtId="43" outline="0" showAll="0"/>
    <pivotField compact="0" numFmtId="10" outline="0" showAll="0"/>
    <pivotField compact="0" numFmtId="43" outline="0" showAll="0"/>
    <pivotField compact="0" outline="0" showAll="0"/>
    <pivotField axis="axisPage" compact="0" outline="0" multipleItemSelectionAllowed="1" showAll="0">
      <items count="8">
        <item h="1" x="0"/>
        <item x="1"/>
        <item h="1" x="3"/>
        <item h="1" m="1" x="5"/>
        <item h="1" m="1" x="6"/>
        <item h="1" x="2"/>
        <item h="1" x="4"/>
        <item t="default"/>
      </items>
    </pivotField>
    <pivotField compact="0" outline="0" showAll="0"/>
    <pivotField compact="0" numFmtId="168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compact="0" numFmtId="168" outline="0" showAll="0"/>
    <pivotField dataField="1" compact="0" outline="0" showAll="0"/>
    <pivotField axis="axisRow" compact="0" outline="0" showAll="0" sortType="ascending">
      <items count="20">
        <item x="0"/>
        <item x="3"/>
        <item x="9"/>
        <item x="1"/>
        <item x="10"/>
        <item x="4"/>
        <item m="1" x="15"/>
        <item x="12"/>
        <item x="6"/>
        <item x="7"/>
        <item m="1" x="14"/>
        <item x="8"/>
        <item m="1" x="18"/>
        <item m="1" x="16"/>
        <item m="1" x="17"/>
        <item m="1" x="13"/>
        <item x="2"/>
        <item x="5"/>
        <item x="11"/>
        <item t="default"/>
      </items>
    </pivotField>
    <pivotField compact="0" outline="0" showAll="0"/>
    <pivotField compact="0" outline="0" showAll="0"/>
  </pivotFields>
  <rowFields count="2">
    <field x="65"/>
    <field x="0"/>
  </rowFields>
  <rowItems count="60">
    <i>
      <x/>
      <x v="6"/>
    </i>
    <i r="1">
      <x v="23"/>
    </i>
    <i r="1">
      <x v="32"/>
    </i>
    <i r="1">
      <x v="39"/>
    </i>
    <i r="1">
      <x v="64"/>
    </i>
    <i r="1">
      <x v="65"/>
    </i>
    <i r="1">
      <x v="67"/>
    </i>
    <i t="default">
      <x/>
    </i>
    <i>
      <x v="1"/>
      <x v="4"/>
    </i>
    <i r="1">
      <x v="5"/>
    </i>
    <i r="1">
      <x v="7"/>
    </i>
    <i r="1">
      <x v="13"/>
    </i>
    <i r="1">
      <x v="18"/>
    </i>
    <i r="1">
      <x v="22"/>
    </i>
    <i r="1">
      <x v="24"/>
    </i>
    <i r="1">
      <x v="25"/>
    </i>
    <i r="1">
      <x v="27"/>
    </i>
    <i r="1">
      <x v="28"/>
    </i>
    <i r="1">
      <x v="30"/>
    </i>
    <i r="1">
      <x v="33"/>
    </i>
    <i r="1">
      <x v="34"/>
    </i>
    <i r="1">
      <x v="38"/>
    </i>
    <i r="1">
      <x v="42"/>
    </i>
    <i r="1">
      <x v="45"/>
    </i>
    <i r="1">
      <x v="48"/>
    </i>
    <i r="1">
      <x v="50"/>
    </i>
    <i r="1">
      <x v="53"/>
    </i>
    <i r="1">
      <x v="56"/>
    </i>
    <i t="default">
      <x v="1"/>
    </i>
    <i>
      <x v="2"/>
      <x v="19"/>
    </i>
    <i r="1">
      <x v="20"/>
    </i>
    <i r="1">
      <x v="23"/>
    </i>
    <i r="1">
      <x v="24"/>
    </i>
    <i r="1">
      <x v="26"/>
    </i>
    <i r="1">
      <x v="41"/>
    </i>
    <i r="1">
      <x v="49"/>
    </i>
    <i r="1">
      <x v="52"/>
    </i>
    <i r="1">
      <x v="66"/>
    </i>
    <i t="default">
      <x v="2"/>
    </i>
    <i>
      <x v="3"/>
      <x v="1"/>
    </i>
    <i r="1">
      <x v="11"/>
    </i>
    <i r="1">
      <x v="15"/>
    </i>
    <i r="1">
      <x v="36"/>
    </i>
    <i r="1">
      <x v="46"/>
    </i>
    <i t="default">
      <x v="3"/>
    </i>
    <i>
      <x v="4"/>
      <x v="32"/>
    </i>
    <i t="default">
      <x v="4"/>
    </i>
    <i>
      <x v="5"/>
      <x v="6"/>
    </i>
    <i t="default">
      <x v="5"/>
    </i>
    <i>
      <x v="7"/>
      <x v="47"/>
    </i>
    <i t="default">
      <x v="7"/>
    </i>
    <i>
      <x v="8"/>
      <x v="17"/>
    </i>
    <i t="default">
      <x v="8"/>
    </i>
    <i>
      <x v="9"/>
      <x v="59"/>
    </i>
    <i t="default">
      <x v="9"/>
    </i>
    <i>
      <x v="11"/>
      <x v="18"/>
    </i>
    <i t="default">
      <x v="11"/>
    </i>
    <i>
      <x v="16"/>
      <x v="3"/>
    </i>
    <i t="default">
      <x v="16"/>
    </i>
    <i t="grand">
      <x/>
    </i>
  </rowItems>
  <colItems count="1">
    <i/>
  </colItems>
  <pageFields count="1">
    <pageField fld="51" hier="-1"/>
  </pageFields>
  <dataFields count="1">
    <dataField name="Cobro no realizado." fld="64" baseField="0" baseItem="0" numFmtId="168"/>
  </dataFields>
  <formats count="8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65" type="button" dataOnly="0" labelOnly="1" outline="0" axis="axisRow" fieldPosition="0"/>
    </format>
    <format dxfId="125">
      <pivotArea dataOnly="0" labelOnly="1" grandRow="1" outline="0" fieldPosition="0"/>
    </format>
    <format dxfId="124">
      <pivotArea outline="0" collapsedLevelsAreSubtotals="1" fieldPosition="0"/>
    </format>
    <format dxfId="123">
      <pivotArea field="65" type="button" dataOnly="0" labelOnly="1" outline="0" axis="axisRow" fieldPosition="0"/>
    </format>
    <format dxfId="122">
      <pivotArea field="0" type="button" dataOnly="0" labelOnly="1" outline="0" axis="axisRow" fieldPosition="1"/>
    </format>
    <format dxfId="121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4787A-8D63-46D4-9D5B-C335A7C6DFE1}" name="TablaDinámica1" cacheId="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outline="1" outlineData="1" compactData="0" multipleFieldFilters="0" rowHeaderCaption="Cuotas Atrasadas">
  <location ref="C6:E15" firstHeaderRow="1" firstDataRow="1" firstDataCol="2" rowPageCount="1" colPageCount="1"/>
  <pivotFields count="44">
    <pivotField axis="axisRow" compact="0" showAll="0" defaultSubtota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ubtotalTop="0" showAll="0" defaultSubtotal="0"/>
    <pivotField compact="0" showAll="0" defaultSubtotal="0"/>
    <pivotField compact="0" numFmtId="43" showAll="0" defaultSubtotal="0"/>
    <pivotField compact="0" numFmtId="43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numFmtId="43" showAll="0" defaultSubtotal="0"/>
    <pivotField compact="0" numFmtId="9" showAll="0" defaultSubtotal="0"/>
    <pivotField compact="0" numFmtId="43" showAll="0" defaultSubtotal="0"/>
    <pivotField compact="0" numFmtId="9" showAll="0" defaultSubtotal="0"/>
    <pivotField compact="0" numFmtId="43" showAll="0" defaultSubtotal="0"/>
    <pivotField compact="0" numFmtId="10" showAll="0" defaultSubtotal="0"/>
    <pivotField compact="0" numFmtId="43" showAll="0" defaultSubtotal="0"/>
    <pivotField compact="0" showAll="0" defaultSubtotal="0"/>
    <pivotField axis="axisPage" compact="0" showAll="0" defaultSubtotal="0">
      <items count="3">
        <item x="0"/>
        <item x="2"/>
        <item x="1"/>
      </items>
    </pivotField>
    <pivotField compact="0" showAll="0" defaultSubtotal="0"/>
    <pivotField compact="0" numFmtId="168" showAll="0" defaultSubtotal="0"/>
    <pivotField compact="0" numFmtId="168" showAll="0" defaultSubtotal="0"/>
    <pivotField compact="0" showAll="0" defaultSubtotal="0"/>
    <pivotField compact="0" showAll="0" defaultSubtotal="0"/>
    <pivotField compact="0" showAll="0" defaultSubtotal="0"/>
    <pivotField compact="0" numFmtId="168" showAll="0" defaultSubtotal="0"/>
    <pivotField compact="0" numFmtId="168" showAll="0" defaultSubtotal="0"/>
    <pivotField compact="0" numFmtId="168" showAll="0" defaultSubtotal="0"/>
    <pivotField compact="0" numFmtId="168" showAll="0" defaultSubtotal="0"/>
    <pivotField compact="0" numFmtId="168" showAll="0" defaultSubtotal="0"/>
    <pivotField compact="0" numFmtId="168" showAll="0" defaultSubtotal="0"/>
    <pivotField dataField="1" compact="0" showAll="0" defaultSubtotal="0"/>
    <pivotField axis="axisRow" compact="0" showAll="0" sortType="ascending" defaultSubtotal="0">
      <items count="3">
        <item x="0"/>
        <item x="2"/>
        <item x="1"/>
      </items>
    </pivotField>
    <pivotField compact="0" showAll="0" defaultSubtotal="0"/>
    <pivotField compact="0" showAll="0" defaultSubtotal="0"/>
  </pivotFields>
  <rowFields count="2">
    <field x="41"/>
    <field x="0"/>
  </rowFields>
  <rowItems count="9">
    <i>
      <x/>
    </i>
    <i r="1">
      <x v="64"/>
    </i>
    <i r="1">
      <x v="68"/>
    </i>
    <i r="1">
      <x v="79"/>
    </i>
    <i r="1">
      <x v="81"/>
    </i>
    <i>
      <x v="1"/>
    </i>
    <i r="1">
      <x v="75"/>
    </i>
    <i r="1">
      <x v="76"/>
    </i>
    <i t="grand">
      <x/>
    </i>
  </rowItems>
  <colItems count="1">
    <i/>
  </colItems>
  <pageFields count="1">
    <pageField fld="27" item="1" hier="-1"/>
  </pageFields>
  <dataFields count="1">
    <dataField name="Cobro no realizado." fld="40" baseField="0" baseItem="0" numFmtId="168"/>
  </dataFields>
  <formats count="8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41" type="button" dataOnly="0" labelOnly="1" outline="0" axis="axisRow" fieldPosition="0"/>
    </format>
    <format dxfId="117">
      <pivotArea dataOnly="0" labelOnly="1" grandRow="1" outline="0" fieldPosition="0"/>
    </format>
    <format dxfId="116">
      <pivotArea outline="0" collapsedLevelsAreSubtotals="1" fieldPosition="0"/>
    </format>
    <format dxfId="115">
      <pivotArea field="41" type="button" dataOnly="0" labelOnly="1" outline="0" axis="axisRow" fieldPosition="0"/>
    </format>
    <format dxfId="114">
      <pivotArea field="0" type="button" dataOnly="0" labelOnly="1" outline="0" axis="axisRow" fieldPosition="1"/>
    </format>
    <format dxfId="113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008F4-8061-42D0-BA0C-C4A2574C9F3E}" name="Tabla2" displayName="Tabla2" ref="A3:BL4" totalsRowShown="0">
  <autoFilter ref="A3:BL4" xr:uid="{C34008F4-8061-42D0-BA0C-C4A2574C9F3E}"/>
  <tableColumns count="64">
    <tableColumn id="1" xr3:uid="{80F99A1F-13A7-4D18-80A2-AFBEE5062DEC}" name="Apto"/>
    <tableColumn id="2" xr3:uid="{B2901DE2-AB6B-4189-B550-692409FD5FC9}" name="Tipo"/>
    <tableColumn id="3" xr3:uid="{4B062A51-F665-4AD5-9FCE-3A584CA2372A}" name="NOTAS"/>
    <tableColumn id="4" xr3:uid="{E0752A55-C448-4202-9E94-8829195BC3EA}" name="Vendedor"/>
    <tableColumn id="5" xr3:uid="{5D22A6C0-6556-4903-BA29-FB4939AC0CB3}" name="Cliente"/>
    <tableColumn id="6" xr3:uid="{B7AD4E0C-D969-4E76-B5DD-991A641F997A}" name="Reservado" dataDxfId="140"/>
    <tableColumn id="7" xr3:uid="{C40B3687-5961-4C7B-8C72-3015927B3361}" name="Estatus"/>
    <tableColumn id="8" xr3:uid="{71578642-941C-492B-B354-FE206A533C24}" name="Precio de Venta"/>
    <tableColumn id="9" xr3:uid="{812EE8E3-38CF-446F-8C7F-C940E17C8A6E}" name="Enganche"/>
    <tableColumn id="10" xr3:uid="{0D83C8A5-4F7A-4D81-B852-CD58CACD12EB}" name="mar-23"/>
    <tableColumn id="11" xr3:uid="{D228F1B2-8FC7-405F-A423-4EE3278FB6EA}" name="abr-23"/>
    <tableColumn id="12" xr3:uid="{7B629FEE-8923-4EAA-B418-CBBDB03B2372}" name="may-23"/>
    <tableColumn id="13" xr3:uid="{E58A37F6-EE75-4E73-9224-DA0A61037F4E}" name="jun-23"/>
    <tableColumn id="14" xr3:uid="{2746F4E5-DEEE-44C8-8154-6982F2B22892}" name="jul-23"/>
    <tableColumn id="15" xr3:uid="{ED900839-0498-4E4C-887F-30D834292F98}" name="ago-23"/>
    <tableColumn id="16" xr3:uid="{46F1679F-855D-4503-81F2-E983F90A4466}" name="sep-23"/>
    <tableColumn id="17" xr3:uid="{8381A303-31A3-40DD-83D7-F7E7707C136E}" name="oct-23"/>
    <tableColumn id="18" xr3:uid="{B0A88A92-0E5F-445D-8BDB-E40446A13041}" name="nov-23"/>
    <tableColumn id="19" xr3:uid="{CB6BEC08-C127-4D8E-9524-5C3DE645D8D6}" name="dic-23"/>
    <tableColumn id="20" xr3:uid="{7F79C04B-5296-4EC9-83F9-3A784A0D7EC0}" name="ene-24"/>
    <tableColumn id="21" xr3:uid="{1CFD17C4-3DF3-494E-8F98-323F584FC02D}" name="feb-24"/>
    <tableColumn id="22" xr3:uid="{ECB46A2D-83F8-4B45-BC5E-77772B959087}" name="mar-24"/>
    <tableColumn id="23" xr3:uid="{FC70F438-16C3-4DAF-ABC7-204A5E0A2CCE}" name="abr-24"/>
    <tableColumn id="24" xr3:uid="{2865296B-83B1-44BD-96B2-5E6D12B3492A}" name="may-24"/>
    <tableColumn id="25" xr3:uid="{C1F1E1F8-1C8B-40BE-B83B-482CB3C2437A}" name="jun-24"/>
    <tableColumn id="26" xr3:uid="{C5523C68-8ED7-4648-8642-32A49A462CF3}" name="jul-24"/>
    <tableColumn id="27" xr3:uid="{4D4C7BFA-AE48-41FE-9840-3099895DBC9E}" name="ago-24"/>
    <tableColumn id="28" xr3:uid="{85A67274-CFB2-45C5-B0A8-FD4FF4B5FE68}" name="sep-24"/>
    <tableColumn id="29" xr3:uid="{0FA71619-5A21-43F5-AFB0-3031B28840F9}" name="oct-24"/>
    <tableColumn id="30" xr3:uid="{DB4CCCEB-1197-4B13-99C7-921CC69560B0}" name="nov-24"/>
    <tableColumn id="31" xr3:uid="{B4CAD189-DE1F-4FDF-89B4-54AF5D46B1E5}" name="dic-24"/>
    <tableColumn id="32" xr3:uid="{DBBADF6A-8F2A-42CB-98C2-B5F41F09EAB8}" name="ene-25"/>
    <tableColumn id="33" xr3:uid="{BABEA6D5-D373-4EEF-8035-C6411D02FC62}" name="feb-25"/>
    <tableColumn id="34" xr3:uid="{17F99579-4E17-4ED9-B03E-4C758D4150DB}" name="mar-25"/>
    <tableColumn id="35" xr3:uid="{D8F10591-0487-4DBD-AB42-97A19E5A5F19}" name="abr-25"/>
    <tableColumn id="36" xr3:uid="{04705A5C-BB22-46E9-B214-7770E48F8E31}" name="may-25"/>
    <tableColumn id="37" xr3:uid="{527625B7-9627-4C9A-AA62-FEB8DF969DAC}" name="jun-25"/>
    <tableColumn id="38" xr3:uid="{58662DBE-E3E1-409B-A049-C84FF9F72A45}" name="jul-25"/>
    <tableColumn id="39" xr3:uid="{B00BD8EF-C333-4B92-873F-76B23BFBEA4E}" name="ago-25"/>
    <tableColumn id="40" xr3:uid="{9883F0C8-17B3-4172-AD00-15584CBE2CD5}" name="TOTAL COBROS Y RESERVAS"/>
    <tableColumn id="41" xr3:uid="{6C19B9F1-A0BF-4DA8-AC9F-22909E473016}" name="% Cobro"/>
    <tableColumn id="42" xr3:uid="{AAD0EF63-6A40-4FEF-A79D-D6A989B9A839}" name="SALDO PENDIENTE ENGANCHE"/>
    <tableColumn id="43" xr3:uid="{A3D6FB07-EAC2-456B-A3B8-12B9489D447B}" name="% Pendiente"/>
    <tableColumn id="44" xr3:uid="{78366D8A-3215-462C-8DB3-63496DB2DE1C}" name="Monto a Financiar por Banco"/>
    <tableColumn id="45" xr3:uid="{22182E5D-438B-4F36-BEC2-7D9EBED71F5B}" name="% a Financiar"/>
    <tableColumn id="46" xr3:uid="{62C3D6C8-4F9D-4B5E-9719-4FC435E3CE74}" name="Proyección de Cobros (S/ Modelo Financiero)"/>
    <tableColumn id="47" xr3:uid="{B6606139-0990-4BC2-A398-90A38893DA9A}" name="Status inmueble"/>
    <tableColumn id="48" xr3:uid="{AE5915A0-6D6F-4F54-A5A6-00BF9B8FC9A5}" name="ESTATUS CLIENTE"/>
    <tableColumn id="49" xr3:uid="{74392DD8-E939-4ECA-B74D-D48D24F6845E}" name="Cuotas Pactadas"/>
    <tableColumn id="50" xr3:uid="{53EEDC8C-AD1F-479D-A91F-0D0BD4641CCD}" name="Cuota de Enganche"/>
    <tableColumn id="51" xr3:uid="{4E879164-1F11-44CD-9DED-1E4AC4059027}" name="Total cuotas pactadas"/>
    <tableColumn id="52" xr3:uid="{99562FBF-D8B4-4798-9C8A-3D746C823DB3}" name="Monto de Reserva Pactado"/>
    <tableColumn id="53" xr3:uid="{9954BA0E-F44F-400B-A757-34BE482249A3}" name="Monto de Cuota Pactada"/>
    <tableColumn id="54" xr3:uid="{859C7539-E217-4615-A7C2-8984A71486B4}" name="Cuotas Pagadas"/>
    <tableColumn id="55" xr3:uid="{6389B68A-7F79-434E-8997-FAAD389B77B2}" name="Cantidad de cuotas que deben estar pagadas por el cliente"/>
    <tableColumn id="56" xr3:uid="{45247330-95F8-4334-90B2-2E64AC810444}" name="Monto que debe estar cancelado a la fecha"/>
    <tableColumn id="57" xr3:uid="{A9E0E6BD-F2D3-41F8-8731-8B5B94C82CDD}" name="Monto pagado de cuotas a la fecha"/>
    <tableColumn id="58" xr3:uid="{691977F2-CD07-4172-A098-71711609F3BE}" name="Enganche + Cuotas Extraordinarias Pagadas"/>
    <tableColumn id="59" xr3:uid="{9DF54505-04C4-463F-AE98-2B9458A2A25C}" name="Diferencia"/>
    <tableColumn id="60" xr3:uid="{1E1933AD-517D-4B54-A82D-552633A0ACAC}" name="Cobro adicional a lo pactado"/>
    <tableColumn id="61" xr3:uid="{40B3FC30-A7C5-41E4-A71B-B33BA645013B}" name="Cobro no realizado según lo pactado"/>
    <tableColumn id="62" xr3:uid="{93ED6747-231D-462B-ADF7-AA88B4A69641}" name="Cuotas"/>
    <tableColumn id="63" xr3:uid="{71FE6A27-51C5-4D84-B707-A31A003EBB46}" name="Caso Especial / F&amp;F"/>
    <tableColumn id="64" xr3:uid="{800F45D6-CB13-475C-8DEB-6EA65C6966D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6FB778-8959-4C64-8C18-3BCA4B6C0DD6}" name="Tabla3" displayName="Tabla3" ref="A3:BL4" totalsRowShown="0">
  <autoFilter ref="A3:BL4" xr:uid="{766FB778-8959-4C64-8C18-3BCA4B6C0DD6}"/>
  <tableColumns count="64">
    <tableColumn id="1" xr3:uid="{B519DD31-5414-42D2-97AB-B7A317FC0BCF}" name="Apto."/>
    <tableColumn id="2" xr3:uid="{5414BAA4-5F1F-47AD-9830-AB279CE61E40}" name="Tipo."/>
    <tableColumn id="3" xr3:uid="{7DF63A28-9C4F-478B-9BCE-00D206B72152}" name="NOTAS"/>
    <tableColumn id="4" xr3:uid="{FBAA33EC-1095-4871-9051-A7F680A4BD95}" name="Vendedor"/>
    <tableColumn id="5" xr3:uid="{6E0EE789-E931-4BB1-BBBC-A246697091BB}" name="Cliente"/>
    <tableColumn id="6" xr3:uid="{C8D5C991-EAFE-486E-9702-979D73A328AC}" name="Fecha Reserva" dataDxfId="139"/>
    <tableColumn id="7" xr3:uid="{5587B839-BBF9-4BD0-A6FE-78424C6CA486}" name="Estatus"/>
    <tableColumn id="8" xr3:uid="{9E99AEA6-58F7-4DAA-BF09-778E034A50DF}" name="Precio de Venta"/>
    <tableColumn id="9" xr3:uid="{556A21A4-2506-4737-9B7C-C1926DA1FC89}" name="Enganche"/>
    <tableColumn id="10" xr3:uid="{A0809A19-734D-4CF3-9E9A-456B45FF843B}" name="mar-23"/>
    <tableColumn id="11" xr3:uid="{E87B827A-98E3-4ED9-8E14-B21B0C1CFCF3}" name="abr-23"/>
    <tableColumn id="12" xr3:uid="{09CFE681-16E8-4C2A-AA64-416FFB494F3E}" name="may-23"/>
    <tableColumn id="13" xr3:uid="{11171E07-B029-42AE-B0BB-1464845350B4}" name="jun-23"/>
    <tableColumn id="14" xr3:uid="{5194B087-D7E3-44CA-9EF6-37EEEA7AF7E2}" name="jul-23"/>
    <tableColumn id="15" xr3:uid="{113AEB7B-D79F-41DD-B05D-92C10FA49F53}" name="ago-23"/>
    <tableColumn id="16" xr3:uid="{8A4B98E6-3963-4EE4-B2F7-B30F43266063}" name="sep-23"/>
    <tableColumn id="17" xr3:uid="{46663D54-993D-40B1-B9A6-CCC908FA0963}" name="oct-23"/>
    <tableColumn id="18" xr3:uid="{2010C0E0-E119-4218-83C9-18F400EFB58B}" name="nov-23"/>
    <tableColumn id="19" xr3:uid="{555AB040-B5FE-4920-AD76-3316F7864DBF}" name="dic-23"/>
    <tableColumn id="20" xr3:uid="{D21370F6-0B62-4B40-8BAE-29334165AB67}" name="ene-24"/>
    <tableColumn id="21" xr3:uid="{C9B80895-A9CC-4D33-A5DF-680224B0E8E8}" name="feb-24"/>
    <tableColumn id="22" xr3:uid="{7E82F90F-142C-47F7-A20E-F90693C7D78F}" name="mar-24"/>
    <tableColumn id="23" xr3:uid="{A0AB4C2C-4284-42F1-B5EB-E86F260912B9}" name="abr-24"/>
    <tableColumn id="24" xr3:uid="{CC13EA0D-B041-41B5-8C2D-C8AF291174BF}" name="may-24"/>
    <tableColumn id="25" xr3:uid="{78C9087C-F805-4042-BCF0-D5879AAAC301}" name="jun-24"/>
    <tableColumn id="26" xr3:uid="{6EC96A8C-DC8F-498F-918D-1277FEA493C8}" name="jul-24"/>
    <tableColumn id="27" xr3:uid="{6743DA9B-A2E7-4204-87CC-80D942D0035D}" name="ago-24"/>
    <tableColumn id="28" xr3:uid="{DA0C1340-067C-420D-AB6D-45E828E9227D}" name="sep-24"/>
    <tableColumn id="29" xr3:uid="{24EA67A4-ADB3-40AE-9E3B-5EFBEB325895}" name="oct-24"/>
    <tableColumn id="30" xr3:uid="{5ED8984D-DE29-4349-AA57-35849ABCCF6F}" name="nov-24"/>
    <tableColumn id="31" xr3:uid="{FF1E8EBD-4109-4128-9CB1-1446643E5BE9}" name="dic-24"/>
    <tableColumn id="32" xr3:uid="{31AE1FEB-E267-4956-B2BA-5726D598EE1C}" name="ene-25"/>
    <tableColumn id="33" xr3:uid="{A20C0BD8-86C7-4814-8622-F085D4369A0A}" name="feb-25"/>
    <tableColumn id="34" xr3:uid="{684D68F6-DFCE-4A9B-B2F6-DC68312FA5BD}" name="mar-25"/>
    <tableColumn id="35" xr3:uid="{E4E877D1-3EF4-4AA2-B4A8-A4E501386D93}" name="abr-25"/>
    <tableColumn id="36" xr3:uid="{2E82F940-8CC1-4824-9F3F-4172277C0FF0}" name="may-25"/>
    <tableColumn id="37" xr3:uid="{A01E25C5-AE9E-49F3-8ABE-06591FEE4B0B}" name="jun-25"/>
    <tableColumn id="38" xr3:uid="{14BDE589-F85E-4F4F-B151-265C6C5A2CBD}" name="jul-25"/>
    <tableColumn id="39" xr3:uid="{0E85F0FC-DD36-4497-A929-AAA8B0198DC9}" name="ago-25"/>
    <tableColumn id="40" xr3:uid="{24162830-DEA3-469B-97BF-3254FAD3DC5C}" name="TOTAL COBROS Y RESERVAS"/>
    <tableColumn id="41" xr3:uid="{FFB8CA60-2763-46B7-B3B1-8CE7D7A21EBB}" name="% Cobro"/>
    <tableColumn id="42" xr3:uid="{1BC58625-644A-4ED7-AA17-0B4F79C89626}" name="SALDO PENDIENTE ENGANCHE"/>
    <tableColumn id="43" xr3:uid="{7EFEEB61-6F82-44F1-B06A-DC99995D54CC}" name="% Pendiente"/>
    <tableColumn id="44" xr3:uid="{AF351DC6-A717-4F34-927F-104CA5F69B29}" name="Monto a Financiar por Banco"/>
    <tableColumn id="45" xr3:uid="{1A09CC77-0153-44F3-84F6-A0A1A97DFCE2}" name="% a Financiar"/>
    <tableColumn id="46" xr3:uid="{16C986DC-B655-4302-97E9-2FF25651A5A4}" name="Proyección de Cobros (S/ Modelo Financiero)"/>
    <tableColumn id="47" xr3:uid="{3CA56B59-B82D-48C7-8C43-3C22D2DE1C22}" name="Status inmueble"/>
    <tableColumn id="48" xr3:uid="{57058CE7-68C0-465B-95E6-B4221D617601}" name="ESTATUS CLIENTE"/>
    <tableColumn id="49" xr3:uid="{CB1120C0-D890-4B83-AB58-CCC73438F822}" name="Cuotas Pactadas"/>
    <tableColumn id="50" xr3:uid="{7CF2CD67-8B94-4EF8-90FF-EE174673C078}" name="Cuota de Enganche"/>
    <tableColumn id="51" xr3:uid="{FAA6E474-8C10-48C2-93FE-0904B94378E9}" name="Total cuotas pactadas"/>
    <tableColumn id="52" xr3:uid="{0E0585C6-EC3E-4802-92E7-FDE2092C21BC}" name="Monto de Reserva Pactado"/>
    <tableColumn id="53" xr3:uid="{962FD89A-922B-41C8-A5E2-2A6CA02CBEC7}" name="Monto de Cuota Pactada"/>
    <tableColumn id="54" xr3:uid="{03A64236-15B7-4722-827C-5CCEB24216EC}" name="Cuotas Pagadas"/>
    <tableColumn id="55" xr3:uid="{55C52941-617F-462F-83BD-7B074CE59E2E}" name="Cantidad de cuotas que deben estar pagadas por el cliente"/>
    <tableColumn id="56" xr3:uid="{3B67071B-C70A-435D-B855-7F652A62CCF0}" name="Monto que debe estar cancelado a la fecha"/>
    <tableColumn id="57" xr3:uid="{8B5CB102-E91E-45A2-983B-E3765CD8379F}" name="Monto pagado de cuotas a la fecha"/>
    <tableColumn id="58" xr3:uid="{F233075B-A1F1-4AF4-9FEE-604A9B2F9F09}" name="Enganche + Cuotas Extraordinarias Pagadas"/>
    <tableColumn id="59" xr3:uid="{E573F11E-2F05-43B3-B1C3-97B5E4912781}" name="Diferencia"/>
    <tableColumn id="60" xr3:uid="{064192E8-5A51-4E24-8720-9C4D35722FC4}" name="Cobro adicional a lo pactado"/>
    <tableColumn id="61" xr3:uid="{9E1C9F73-E525-47E7-B1F9-60DDA926CCB2}" name="Cobro no realizado según lo pactado"/>
    <tableColumn id="62" xr3:uid="{46FF1D98-23EB-46CC-9F8B-DEA3ECDE60D0}" name="Cuotas"/>
    <tableColumn id="63" xr3:uid="{3965376D-6FA4-4B3A-B603-D1FE5EBA3938}" name="Caso Especial / F&amp;F"/>
    <tableColumn id="64" xr3:uid="{991572E7-51CF-4AC5-AC7B-F1862C4030D1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DB70F-8256-4EE1-9DA9-170915FB11B1}" name="Tabla1" displayName="Tabla1" ref="A3:BL4" totalsRowShown="0">
  <autoFilter ref="A3:BL4" xr:uid="{77ADB70F-8256-4EE1-9DA9-170915FB11B1}"/>
  <tableColumns count="64">
    <tableColumn id="1" xr3:uid="{1B48A0CF-0ABE-4F3E-9F91-3C2C2D2E8562}" name="Apto"/>
    <tableColumn id="2" xr3:uid="{DC21C409-CD89-4502-83DA-F782A7AA41E2}" name="Torre"/>
    <tableColumn id="3" xr3:uid="{273CA3CA-8D2E-4F10-8E3C-5AD95854590F}" name="Tipo"/>
    <tableColumn id="4" xr3:uid="{6815EFD7-DD9C-4469-A628-541C94A9AA4D}" name="Vendedor"/>
    <tableColumn id="5" xr3:uid="{11CD764A-773F-4EB5-B374-D260FD95F6F9}" name="Cliente"/>
    <tableColumn id="6" xr3:uid="{EF43EEB6-F892-4AC5-B05F-469DF562B0DB}" name="Reservado" dataDxfId="129"/>
    <tableColumn id="7" xr3:uid="{26D4E648-5A78-4D6F-8485-0856B877E0D8}" name="Estatus"/>
    <tableColumn id="8" xr3:uid="{C9E5A265-502B-40B0-A143-96BFCBA0E15F}" name="Precio de Venta"/>
    <tableColumn id="9" xr3:uid="{6B07A8A7-8F86-47BC-A44E-2F51DC502901}" name="Enganche"/>
    <tableColumn id="10" xr3:uid="{3515A95E-4838-4BF7-84D5-2471C76546FB}" name="mar-23"/>
    <tableColumn id="11" xr3:uid="{484FC902-EFF4-4609-B10F-3D8325D0C3C4}" name="abr-23"/>
    <tableColumn id="12" xr3:uid="{31D19996-13DC-4CAB-B1BA-2EB535024D84}" name="may-23"/>
    <tableColumn id="13" xr3:uid="{55556402-DDAF-44BF-99D5-25DB5267D910}" name="jun-23"/>
    <tableColumn id="14" xr3:uid="{1F6F4F92-86CD-47FE-BB48-2182DC786BF8}" name="jul-23"/>
    <tableColumn id="15" xr3:uid="{BF0C27AB-F8BB-454A-AEBC-F9B3140027A8}" name="ago-23"/>
    <tableColumn id="16" xr3:uid="{5F6727C6-D0CD-4000-9E19-DB8E43B64FDB}" name="sep-23"/>
    <tableColumn id="17" xr3:uid="{2AF6AE8F-47E8-4CC9-99CA-28DCA4C47EEA}" name="oct-23"/>
    <tableColumn id="18" xr3:uid="{61692204-CE23-4E32-818B-606D36560725}" name="nov-23"/>
    <tableColumn id="19" xr3:uid="{DEEF6ACD-DC26-410D-B8E2-4B3945CE8C23}" name="dic-23"/>
    <tableColumn id="20" xr3:uid="{ABDE9E99-6984-4DC7-967B-DAEA4FB92D02}" name="ene-24"/>
    <tableColumn id="21" xr3:uid="{195A4C9F-E58D-4A88-920B-B843DC4A4EC8}" name="feb-24"/>
    <tableColumn id="22" xr3:uid="{8C584137-A4C7-413A-9C27-A732E2081AD9}" name="mar-24"/>
    <tableColumn id="23" xr3:uid="{36D5C3DB-BC79-4569-9CA1-091605C58729}" name="abr-24"/>
    <tableColumn id="24" xr3:uid="{53A02A7D-0929-4B23-8BC9-198987AA10AC}" name="may-24"/>
    <tableColumn id="25" xr3:uid="{5D9B32D6-7CF6-4E29-94CA-88B9F7A0BCC8}" name="jun-24"/>
    <tableColumn id="26" xr3:uid="{2EEABFFA-7D46-46C0-B6EF-A7190AEA44D7}" name="jul-24"/>
    <tableColumn id="27" xr3:uid="{A52C509F-568E-46BA-B430-0D8E14B8964D}" name="ago-24"/>
    <tableColumn id="28" xr3:uid="{5A1E0CB7-9F77-4BB5-B481-03063B7CF288}" name="sep-24"/>
    <tableColumn id="29" xr3:uid="{3C8EF35E-D742-4267-AC82-E89FFF3B7064}" name="oct-24"/>
    <tableColumn id="30" xr3:uid="{79C79B30-C3B3-4885-9487-4755F56BD2C7}" name="nov-24"/>
    <tableColumn id="31" xr3:uid="{5A2A6119-9965-4A4A-B4A3-E853FC92336C}" name="dic-24"/>
    <tableColumn id="32" xr3:uid="{FBCFF93F-D19B-478A-B5FF-F9B19E42B184}" name="ene-25"/>
    <tableColumn id="33" xr3:uid="{64D3DB08-F195-4A5A-8F04-773D8A6D2CFD}" name="feb-25"/>
    <tableColumn id="34" xr3:uid="{8AD21F78-4574-4565-9068-FE81623DD785}" name="mar-25"/>
    <tableColumn id="35" xr3:uid="{76AD164F-A880-4E44-B403-CA4CBCD47CD4}" name="abr-25"/>
    <tableColumn id="36" xr3:uid="{59FC9472-6528-42D2-BD18-B772CF822559}" name="may-25"/>
    <tableColumn id="37" xr3:uid="{D5DF7653-190E-48C4-8169-0ACF6F4D1D48}" name="jun-25"/>
    <tableColumn id="38" xr3:uid="{B8BF1092-9A31-4080-BC03-EA9FDD2607F7}" name="jul-25"/>
    <tableColumn id="39" xr3:uid="{7BE9E5E0-4D12-4D26-80C1-5F3DE43315CC}" name="ago-25"/>
    <tableColumn id="40" xr3:uid="{C1A911AE-1C24-479B-BF48-8B3D38E8CE7A}" name="TOTAL COBROS Y RESERVAS"/>
    <tableColumn id="41" xr3:uid="{9909E8F2-2C1A-4646-A330-F150A5665CE1}" name="% Cobro"/>
    <tableColumn id="42" xr3:uid="{DB8FA63A-D560-4C01-852C-CD10C87863D6}" name="SALDO PENDIENTE ENGANCHE"/>
    <tableColumn id="43" xr3:uid="{CBED930B-CDE2-42EC-977F-43BD0CBD4F8C}" name="% Pendiente"/>
    <tableColumn id="44" xr3:uid="{E0EA13B9-914C-4F3B-94F4-5892A5FFD663}" name="Monto a Financiar por Banco"/>
    <tableColumn id="45" xr3:uid="{A931A747-975A-4D5C-BB26-9F6F900FB861}" name="% a Financiar"/>
    <tableColumn id="46" xr3:uid="{08F58441-0955-41E4-A2B3-550BBF0887E6}" name="Proyección de Cobros (S/ Modelo Financiero)"/>
    <tableColumn id="47" xr3:uid="{2984F8A6-1452-4016-AD0F-16DA108E16FD}" name="Status inmueble"/>
    <tableColumn id="48" xr3:uid="{74E9C3C6-4483-4F78-8201-FE21A45D369A}" name="ESTATUS CLIENTE"/>
    <tableColumn id="49" xr3:uid="{812CD4B7-A76C-40C4-B805-B8F44EBD3232}" name="Cuotas Pactadas"/>
    <tableColumn id="50" xr3:uid="{97C83381-8AA2-4E42-B55D-F2FD8DCFA350}" name="Cuota de Enganche"/>
    <tableColumn id="51" xr3:uid="{3FE06464-7308-4C08-8BB9-998437A97971}" name="Total cuotas pactadas"/>
    <tableColumn id="52" xr3:uid="{D426A48D-E830-4284-87FE-81FE2AEFD539}" name="Monto de Reserva Pactado"/>
    <tableColumn id="53" xr3:uid="{BD23F018-B724-41B9-AB8B-6269EA45EAEF}" name="Monto de Cuota Pactada"/>
    <tableColumn id="54" xr3:uid="{940293BC-437D-4BAA-9FFF-FE3DAD58DBFD}" name="Cuotas Pagadas"/>
    <tableColumn id="55" xr3:uid="{4A90F97B-3A2B-4C7D-BBFE-49BA31082C0A}" name="Cantidad de cuotas que deben estar pagadas por el cliente"/>
    <tableColumn id="56" xr3:uid="{ACE93775-ECA9-4759-8839-FC20F6B86109}" name="Monto que debe estar cancelado a la fecha"/>
    <tableColumn id="57" xr3:uid="{69070B1D-1BBD-40FB-9325-C99B1709441B}" name="Monto pagado de cuotas a la fecha"/>
    <tableColumn id="58" xr3:uid="{FC1EE2EE-5895-4B92-B58C-CACD0E263EE3}" name="Enganche + Cuotas Extraordinarias Pagadas"/>
    <tableColumn id="59" xr3:uid="{0ACE66FC-1214-4D30-8B4B-2BB1E15F4E6F}" name="Diferencia"/>
    <tableColumn id="60" xr3:uid="{59800622-350F-4FF5-A8CA-EB1ECEDC478C}" name="Cobro adicional a lo pactado"/>
    <tableColumn id="61" xr3:uid="{F517DB77-C5B1-4BCE-B4D6-8E5D4CB7F223}" name="Cobro no realizado según lo pactado"/>
    <tableColumn id="62" xr3:uid="{288BED61-63F6-4A63-886F-5C8CA0433BEF}" name="Cuotas"/>
    <tableColumn id="63" xr3:uid="{F2F53441-984D-416A-95B5-E36C83E9AC27}" name="Caso Especial / F&amp;F"/>
    <tableColumn id="64" xr3:uid="{A2A1AF12-C568-4A9F-B3C9-A2E682D13C17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5" dT="2025-07-02T17:49:44.88" personId="{4AFF146B-9538-407C-8F96-AE93D5A62E1B}" id="{4FAC1C33-7BD6-4177-A915-777E4554DCD7}">
    <text>La firma de la promesa 29-11-2024 para control del momento en que inicio su plan de pagos se modifica la fecha a: 23/04/2025 ver plan de pagos actualizado.</text>
  </threadedComment>
  <threadedComment ref="G168" dT="2025-06-20T17:52:36.29" personId="{4AFF146B-9538-407C-8F96-AE93D5A62E1B}" id="{48A330FB-76C2-4D04-8D6E-5CD5049F0CA0}">
    <text>Reserva cobrada en agosto, la promesa inicia pagos hasta octubre 2023.</text>
  </threadedComment>
  <threadedComment ref="G171" dT="2025-06-20T17:59:33.45" personId="{4AFF146B-9538-407C-8F96-AE93D5A62E1B}" id="{B69B260B-D2A2-4549-AEB0-D43BEAFB87EE}">
    <text>Reserva en junio, inicio de cobro en agosto 2023.</text>
  </threadedComment>
  <threadedComment ref="G176" dT="2025-06-20T18:07:34.13" personId="{4AFF146B-9538-407C-8F96-AE93D5A62E1B}" id="{16EBE388-24DE-4C95-9EB4-69CCBB055A85}">
    <text>Reserva cobrada en abril, pagos iniciados en junio 2023.</text>
  </threadedComment>
  <threadedComment ref="G196" dT="2025-06-20T18:20:09.71" personId="{4AFF146B-9538-407C-8F96-AE93D5A62E1B}" id="{D2534FFC-FD3D-4023-87F2-CDF0C0CCF926}">
    <text>Reserva en abril, pago inicial en junio 2023.</text>
  </threadedComment>
  <threadedComment ref="F198" dT="2025-06-24T21:01:06.73" personId="{4AFF146B-9538-407C-8F96-AE93D5A62E1B}" id="{4C9C643D-91A6-46EF-A13B-106A266C4969}">
    <text>Se le sumo GTQ 28,000.00 pagados en el apartamento desistido 1901 por instrucciones de Junta Directiva.</text>
  </threadedComment>
  <threadedComment ref="G203" dT="2025-06-20T22:13:47.48" personId="{4AFF146B-9538-407C-8F96-AE93D5A62E1B}" id="{D955C930-763C-48CF-9B65-063B49C26A7A}">
    <text>Reserva pagada en junio, inicio con pagos a partir de septiembre 2024.</text>
  </threadedComment>
  <threadedComment ref="G276" dT="2025-07-01T03:07:19.78" personId="{4AFF146B-9538-407C-8F96-AE93D5A62E1B}" id="{6C0DFAEA-5120-4B09-9D43-443614A062A0}">
    <text>La fecha de la reserva 22/08/2024 no es real. La firma de la promesa 26-11-2024 el pago de la reserva fue en octubre 2024.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00" dT="2025-06-24T21:01:06.73" personId="{4AFF146B-9538-407C-8F96-AE93D5A62E1B}" id="{DE77BEB9-64E6-424E-9ADE-756DCCD4832A}">
    <text>Se le sumo GTQ 28,000.00 pagados en el apartamento desistido 1901 por instrucciones de Junta Directiva.</text>
  </threadedComment>
  <threadedComment ref="F505" dT="2025-06-24T21:01:06.73" personId="{4AFF146B-9538-407C-8F96-AE93D5A62E1B}" id="{74E0E0AD-2B6D-4C6F-9B7F-846B85242B6E}">
    <text>Se le sumo GTQ 28,000.00 pagados en el apartamento desistido 1901 por instrucciones de Junta Directiva.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27" dT="2025-07-02T17:49:44.88" personId="{4AFF146B-9538-407C-8F96-AE93D5A62E1B}" id="{8E334CB9-4BE8-4ED3-A1F9-183C3185A277}">
    <text>La firma de la promesa 29-11-2024 para control del momento en que inicio su plan de pagos se modifica la fecha a: 23/04/2025 ver plan de pagos actualizado.</text>
  </threadedComment>
  <threadedComment ref="H170" dT="2025-06-20T17:52:36.29" personId="{4AFF146B-9538-407C-8F96-AE93D5A62E1B}" id="{D67227AF-738B-4DC4-B4B2-BCD7ED5522CA}">
    <text>Reserva cobrada en agosto, la promesa inicia pagos hasta octubre 2023.</text>
  </threadedComment>
  <threadedComment ref="H173" dT="2025-06-20T17:59:33.45" personId="{4AFF146B-9538-407C-8F96-AE93D5A62E1B}" id="{A0B33B82-4350-4783-B2FD-64A8A7C9EB28}">
    <text>Reserva en junio, inicio de cobro en agosto 2023.</text>
  </threadedComment>
  <threadedComment ref="H178" dT="2025-06-20T18:07:34.13" personId="{4AFF146B-9538-407C-8F96-AE93D5A62E1B}" id="{56B14DBA-BA88-44D9-A3C2-6631828D33A6}">
    <text>Reserva cobrada en abril, pagos iniciados en junio 2023.</text>
  </threadedComment>
  <threadedComment ref="H198" dT="2025-06-20T18:20:09.71" personId="{4AFF146B-9538-407C-8F96-AE93D5A62E1B}" id="{3F255091-A1D8-4779-AE4B-647E3D53CC15}">
    <text>Reserva en abril, pago inicial en junio 2023.</text>
  </threadedComment>
  <threadedComment ref="G200" dT="2025-06-24T21:01:06.73" personId="{4AFF146B-9538-407C-8F96-AE93D5A62E1B}" id="{90E84790-A38A-46E5-898E-D53ED8F5816E}">
    <text>Se le sumo GTQ 28,000.00 pagados en el apartamento desistido 1901 por instrucciones de Junta Directiva.</text>
  </threadedComment>
  <threadedComment ref="H205" dT="2025-06-20T22:13:47.48" personId="{4AFF146B-9538-407C-8F96-AE93D5A62E1B}" id="{98052587-1503-4917-9003-7BFCF48D9D6D}">
    <text>Reserva pagada en junio, inicio con pagos a partir de septiembre 2024.</text>
  </threadedComment>
  <threadedComment ref="H278" dT="2025-07-01T03:07:19.78" personId="{4AFF146B-9538-407C-8F96-AE93D5A62E1B}" id="{B3D9CEBF-054D-42BB-86E2-DD225AB41071}">
    <text>La fecha de la reserva 22/08/2024 no es real. La firma de la promesa 26-11-2024 el pago de la reserva fue en octubre 2024.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00" dT="2025-06-24T21:01:06.73" personId="{4AFF146B-9538-407C-8F96-AE93D5A62E1B}" id="{084081DD-EFC1-4D7E-BCB8-9A383A0E9126}">
    <text>Se le sumo GTQ 28,000.00 pagados en el apartamento desistido 1901 por instrucciones de Junta Directiva.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T118" dT="2025-12-18T18:00:50.16" personId="{E324A88B-733D-4D59-9ACC-186E94EA6A43}" id="{46EF5E96-260A-4753-A192-94917A6186D7}">
    <text>Pago con Link recibido en banco 1338.39, resto deben ajustarse a gasto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9" dT="2026-01-14T16:58:25.01" personId="{E324A88B-733D-4D59-9ACC-186E94EA6A43}" id="{43D18394-20E1-49D3-A165-95095364B3FE}">
    <text xml:space="preserve">Libre por Desistimiento Darwin Amilcar Rolando Corzantes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EA59-7258-477A-8E11-AC94C51DBE7D}">
  <dimension ref="A3:R16"/>
  <sheetViews>
    <sheetView topLeftCell="N1" workbookViewId="0">
      <selection activeCell="M13" sqref="M13"/>
    </sheetView>
  </sheetViews>
  <sheetFormatPr defaultColWidth="11.42578125" defaultRowHeight="15" x14ac:dyDescent="0.25"/>
  <cols>
    <col min="1" max="1" width="19.140625" bestFit="1" customWidth="1"/>
    <col min="2" max="2" width="14.5703125" style="9" bestFit="1" customWidth="1"/>
    <col min="3" max="3" width="32" style="9" bestFit="1" customWidth="1"/>
    <col min="4" max="4" width="35" style="9" bestFit="1" customWidth="1"/>
    <col min="5" max="5" width="38.5703125" style="9" bestFit="1" customWidth="1"/>
    <col min="8" max="8" width="22.85546875" bestFit="1" customWidth="1"/>
    <col min="9" max="9" width="15.28515625" style="9" bestFit="1" customWidth="1"/>
    <col min="10" max="10" width="27.28515625" style="9" bestFit="1" customWidth="1"/>
    <col min="11" max="11" width="35" style="9" bestFit="1" customWidth="1"/>
    <col min="12" max="12" width="38.5703125" style="9" bestFit="1" customWidth="1"/>
    <col min="14" max="14" width="19.140625" bestFit="1" customWidth="1"/>
    <col min="15" max="15" width="14.5703125" style="9" bestFit="1" customWidth="1"/>
    <col min="16" max="16" width="32" style="9" bestFit="1" customWidth="1"/>
    <col min="17" max="17" width="35" style="9" bestFit="1" customWidth="1"/>
    <col min="18" max="18" width="38.5703125" style="9" bestFit="1" customWidth="1"/>
  </cols>
  <sheetData>
    <row r="3" spans="1:18" x14ac:dyDescent="0.25">
      <c r="A3" s="80" t="s">
        <v>0</v>
      </c>
      <c r="B3" t="s">
        <v>1</v>
      </c>
      <c r="C3" t="s">
        <v>2</v>
      </c>
      <c r="D3"/>
      <c r="E3"/>
      <c r="H3" s="80" t="s">
        <v>0</v>
      </c>
      <c r="I3" t="s">
        <v>1</v>
      </c>
      <c r="J3" t="s">
        <v>3</v>
      </c>
      <c r="K3" t="s">
        <v>2</v>
      </c>
      <c r="L3" t="s">
        <v>4</v>
      </c>
      <c r="N3" s="80" t="s">
        <v>0</v>
      </c>
      <c r="O3" t="s">
        <v>1</v>
      </c>
      <c r="P3" t="s">
        <v>2</v>
      </c>
      <c r="Q3"/>
      <c r="R3"/>
    </row>
    <row r="4" spans="1:18" x14ac:dyDescent="0.25">
      <c r="A4" s="8" t="s">
        <v>5</v>
      </c>
      <c r="B4" s="52">
        <v>25000</v>
      </c>
      <c r="C4" s="52">
        <v>1741825.55</v>
      </c>
      <c r="D4"/>
      <c r="E4"/>
      <c r="H4" s="8" t="s">
        <v>6</v>
      </c>
      <c r="I4" s="118">
        <v>15961.42</v>
      </c>
      <c r="J4" s="52">
        <v>199192.64</v>
      </c>
      <c r="K4" s="52">
        <v>199192.64</v>
      </c>
      <c r="L4" s="52">
        <v>0</v>
      </c>
      <c r="N4" s="8" t="s">
        <v>5</v>
      </c>
      <c r="O4" s="118">
        <v>943639.33</v>
      </c>
      <c r="P4" s="52">
        <v>14614694.530000001</v>
      </c>
      <c r="Q4"/>
      <c r="R4"/>
    </row>
    <row r="5" spans="1:18" x14ac:dyDescent="0.25">
      <c r="A5" s="8" t="s">
        <v>7</v>
      </c>
      <c r="B5" s="52">
        <v>20500</v>
      </c>
      <c r="C5" s="52">
        <v>3579629.0300000003</v>
      </c>
      <c r="D5"/>
      <c r="E5"/>
      <c r="H5" s="8" t="s">
        <v>8</v>
      </c>
      <c r="I5" s="118">
        <v>15293.08</v>
      </c>
      <c r="J5" s="52">
        <v>435504.98</v>
      </c>
      <c r="K5" s="52">
        <v>272644.18</v>
      </c>
      <c r="L5" s="52">
        <v>162860.79999999999</v>
      </c>
      <c r="N5" s="8" t="s">
        <v>7</v>
      </c>
      <c r="O5" s="118">
        <v>29962</v>
      </c>
      <c r="P5" s="52">
        <v>1202813.19</v>
      </c>
      <c r="Q5"/>
      <c r="R5"/>
    </row>
    <row r="6" spans="1:18" x14ac:dyDescent="0.25">
      <c r="A6" s="8" t="s">
        <v>9</v>
      </c>
      <c r="B6" s="52">
        <v>3740365.95</v>
      </c>
      <c r="C6" s="52">
        <v>10330693.460000001</v>
      </c>
      <c r="D6"/>
      <c r="E6"/>
      <c r="H6" s="8" t="s">
        <v>10</v>
      </c>
      <c r="I6" s="118"/>
      <c r="J6" s="52">
        <v>0</v>
      </c>
      <c r="K6" s="52">
        <v>0</v>
      </c>
      <c r="L6" s="52">
        <v>0</v>
      </c>
      <c r="N6" s="8" t="s">
        <v>11</v>
      </c>
      <c r="O6" s="118">
        <v>0</v>
      </c>
      <c r="P6" s="52">
        <v>0</v>
      </c>
      <c r="Q6"/>
      <c r="R6"/>
    </row>
    <row r="7" spans="1:18" x14ac:dyDescent="0.25">
      <c r="A7" s="8" t="s">
        <v>11</v>
      </c>
      <c r="B7" s="52">
        <v>0</v>
      </c>
      <c r="C7" s="52">
        <v>0</v>
      </c>
      <c r="D7"/>
      <c r="E7"/>
      <c r="H7" s="8" t="s">
        <v>12</v>
      </c>
      <c r="I7" s="118"/>
      <c r="J7" s="52">
        <v>0</v>
      </c>
      <c r="K7" s="52">
        <v>1500</v>
      </c>
      <c r="L7" s="52">
        <v>-1500</v>
      </c>
      <c r="N7" s="8" t="s">
        <v>9</v>
      </c>
      <c r="O7" s="118">
        <v>50500</v>
      </c>
      <c r="P7" s="52">
        <v>1330269</v>
      </c>
      <c r="Q7"/>
      <c r="R7"/>
    </row>
    <row r="8" spans="1:18" x14ac:dyDescent="0.25">
      <c r="A8" s="8" t="s">
        <v>13</v>
      </c>
      <c r="B8" s="52">
        <v>3785865.95</v>
      </c>
      <c r="C8" s="52">
        <v>15652148.040000001</v>
      </c>
      <c r="D8"/>
      <c r="E8"/>
      <c r="H8" s="8" t="s">
        <v>14</v>
      </c>
      <c r="I8" s="118">
        <v>15857.17</v>
      </c>
      <c r="J8" s="52">
        <v>146846.17000000001</v>
      </c>
      <c r="K8" s="52">
        <v>155646.01</v>
      </c>
      <c r="L8" s="52">
        <v>-8799.8399999999838</v>
      </c>
      <c r="N8" s="8" t="s">
        <v>13</v>
      </c>
      <c r="O8" s="118">
        <v>1024101.33</v>
      </c>
      <c r="P8" s="52">
        <v>17147776.719999999</v>
      </c>
      <c r="Q8"/>
      <c r="R8"/>
    </row>
    <row r="9" spans="1:18" x14ac:dyDescent="0.25">
      <c r="B9"/>
      <c r="C9"/>
      <c r="D9"/>
      <c r="E9"/>
      <c r="H9" s="8" t="s">
        <v>13</v>
      </c>
      <c r="I9" s="118">
        <v>47111.67</v>
      </c>
      <c r="J9" s="52">
        <v>781543.79</v>
      </c>
      <c r="K9" s="52">
        <v>628982.83000000007</v>
      </c>
      <c r="L9" s="52">
        <v>152560.95999999999</v>
      </c>
      <c r="O9"/>
      <c r="P9"/>
      <c r="Q9"/>
      <c r="R9"/>
    </row>
    <row r="10" spans="1:18" x14ac:dyDescent="0.25">
      <c r="O10"/>
      <c r="P10"/>
      <c r="Q10"/>
      <c r="R10"/>
    </row>
    <row r="11" spans="1:18" x14ac:dyDescent="0.25">
      <c r="O11"/>
      <c r="P11"/>
      <c r="Q11"/>
      <c r="R11"/>
    </row>
    <row r="16" spans="1:18" x14ac:dyDescent="0.25">
      <c r="A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5392-2948-43AA-8DE2-B53F3F2F9DE8}">
  <dimension ref="A3:T9"/>
  <sheetViews>
    <sheetView topLeftCell="S1" workbookViewId="0">
      <selection activeCell="M13" sqref="M13"/>
    </sheetView>
  </sheetViews>
  <sheetFormatPr defaultColWidth="11.42578125" defaultRowHeight="15" x14ac:dyDescent="0.25"/>
  <cols>
    <col min="1" max="1" width="19.140625" bestFit="1" customWidth="1"/>
    <col min="2" max="2" width="13.5703125" bestFit="1" customWidth="1"/>
    <col min="3" max="3" width="32" bestFit="1" customWidth="1"/>
    <col min="4" max="4" width="35" bestFit="1" customWidth="1"/>
    <col min="5" max="5" width="38.5703125" bestFit="1" customWidth="1"/>
    <col min="6" max="7" width="35.42578125" customWidth="1"/>
    <col min="9" max="9" width="22.85546875" bestFit="1" customWidth="1"/>
    <col min="10" max="11" width="14.85546875" bestFit="1" customWidth="1"/>
    <col min="12" max="12" width="27.28515625" bestFit="1" customWidth="1"/>
    <col min="13" max="13" width="35" bestFit="1" customWidth="1"/>
    <col min="14" max="14" width="38.5703125" bestFit="1" customWidth="1"/>
    <col min="15" max="16" width="35.42578125" customWidth="1"/>
    <col min="18" max="18" width="19.140625" bestFit="1" customWidth="1"/>
    <col min="19" max="19" width="13.5703125" bestFit="1" customWidth="1"/>
    <col min="20" max="20" width="32" bestFit="1" customWidth="1"/>
    <col min="21" max="21" width="35" bestFit="1" customWidth="1"/>
    <col min="22" max="22" width="38.5703125" bestFit="1" customWidth="1"/>
  </cols>
  <sheetData>
    <row r="3" spans="1:20" x14ac:dyDescent="0.25">
      <c r="A3" s="80" t="s">
        <v>0</v>
      </c>
      <c r="B3" t="s">
        <v>16</v>
      </c>
      <c r="C3" t="s">
        <v>2</v>
      </c>
      <c r="I3" s="80" t="s">
        <v>0</v>
      </c>
      <c r="J3" t="s">
        <v>17</v>
      </c>
      <c r="K3" t="s">
        <v>16</v>
      </c>
      <c r="L3" t="s">
        <v>3</v>
      </c>
      <c r="M3" t="s">
        <v>2</v>
      </c>
      <c r="N3" t="s">
        <v>4</v>
      </c>
      <c r="R3" s="80" t="s">
        <v>0</v>
      </c>
      <c r="S3" t="s">
        <v>16</v>
      </c>
      <c r="T3" t="s">
        <v>2</v>
      </c>
    </row>
    <row r="4" spans="1:20" x14ac:dyDescent="0.25">
      <c r="A4" s="8" t="s">
        <v>5</v>
      </c>
      <c r="B4">
        <v>11</v>
      </c>
      <c r="C4" s="52">
        <v>1741825.55</v>
      </c>
      <c r="G4" s="52"/>
      <c r="I4" s="8" t="s">
        <v>6</v>
      </c>
      <c r="J4" s="118">
        <v>17160.23</v>
      </c>
      <c r="K4">
        <v>11</v>
      </c>
      <c r="L4" s="52">
        <v>199192.64</v>
      </c>
      <c r="M4" s="52">
        <v>199192.64</v>
      </c>
      <c r="N4" s="52">
        <v>0</v>
      </c>
      <c r="O4" s="52"/>
      <c r="P4" s="52"/>
      <c r="R4" s="8" t="s">
        <v>5</v>
      </c>
      <c r="S4">
        <v>244</v>
      </c>
      <c r="T4" s="52">
        <v>14614694.530000001</v>
      </c>
    </row>
    <row r="5" spans="1:20" x14ac:dyDescent="0.25">
      <c r="A5" s="8" t="s">
        <v>7</v>
      </c>
      <c r="B5">
        <v>17</v>
      </c>
      <c r="C5" s="52">
        <v>3579629.0300000003</v>
      </c>
      <c r="G5" s="52"/>
      <c r="I5" s="8" t="s">
        <v>8</v>
      </c>
      <c r="J5" s="118">
        <v>16376.420000000002</v>
      </c>
      <c r="K5">
        <v>26</v>
      </c>
      <c r="L5" s="52">
        <v>435504.98</v>
      </c>
      <c r="M5" s="52">
        <v>272644.18</v>
      </c>
      <c r="N5" s="52">
        <v>162860.79999999999</v>
      </c>
      <c r="O5" s="52"/>
      <c r="P5" s="52"/>
      <c r="R5" s="8" t="s">
        <v>7</v>
      </c>
      <c r="S5">
        <v>4</v>
      </c>
      <c r="T5" s="52">
        <v>1202813.19</v>
      </c>
    </row>
    <row r="6" spans="1:20" x14ac:dyDescent="0.25">
      <c r="A6" s="8" t="s">
        <v>9</v>
      </c>
      <c r="B6">
        <v>46</v>
      </c>
      <c r="C6" s="52">
        <v>10330693.460000001</v>
      </c>
      <c r="G6" s="52"/>
      <c r="I6" s="8" t="s">
        <v>10</v>
      </c>
      <c r="J6" s="118">
        <v>0</v>
      </c>
      <c r="K6">
        <v>30</v>
      </c>
      <c r="L6" s="52">
        <v>0</v>
      </c>
      <c r="M6" s="52">
        <v>0</v>
      </c>
      <c r="N6" s="52">
        <v>0</v>
      </c>
      <c r="O6" s="52"/>
      <c r="P6" s="52"/>
      <c r="R6" s="8" t="s">
        <v>11</v>
      </c>
      <c r="S6">
        <v>46</v>
      </c>
      <c r="T6" s="52">
        <v>0</v>
      </c>
    </row>
    <row r="7" spans="1:20" x14ac:dyDescent="0.25">
      <c r="A7" s="8" t="s">
        <v>11</v>
      </c>
      <c r="B7">
        <v>1</v>
      </c>
      <c r="C7" s="52">
        <v>0</v>
      </c>
      <c r="G7" s="52"/>
      <c r="I7" s="8" t="s">
        <v>12</v>
      </c>
      <c r="J7" s="118">
        <v>1500</v>
      </c>
      <c r="K7">
        <v>1</v>
      </c>
      <c r="L7" s="52">
        <v>0</v>
      </c>
      <c r="M7" s="52">
        <v>1500</v>
      </c>
      <c r="N7" s="52">
        <v>-1500</v>
      </c>
      <c r="O7" s="52"/>
      <c r="P7" s="52"/>
      <c r="R7" s="8" t="s">
        <v>9</v>
      </c>
      <c r="S7">
        <v>4</v>
      </c>
      <c r="T7" s="52">
        <v>1330269</v>
      </c>
    </row>
    <row r="8" spans="1:20" x14ac:dyDescent="0.25">
      <c r="A8" s="8" t="s">
        <v>13</v>
      </c>
      <c r="B8">
        <v>75</v>
      </c>
      <c r="C8" s="52">
        <v>15652148.039999999</v>
      </c>
      <c r="G8" s="52"/>
      <c r="I8" s="8" t="s">
        <v>14</v>
      </c>
      <c r="J8" s="118">
        <v>16773.37</v>
      </c>
      <c r="K8">
        <v>10</v>
      </c>
      <c r="L8" s="52">
        <v>146846.17000000001</v>
      </c>
      <c r="M8" s="52">
        <v>155646.01</v>
      </c>
      <c r="N8" s="52">
        <v>-8799.8399999999838</v>
      </c>
      <c r="O8" s="52"/>
      <c r="P8" s="52"/>
      <c r="R8" s="8" t="s">
        <v>13</v>
      </c>
      <c r="S8">
        <v>298</v>
      </c>
      <c r="T8" s="52">
        <v>17147776.719999999</v>
      </c>
    </row>
    <row r="9" spans="1:20" x14ac:dyDescent="0.25">
      <c r="G9" s="52"/>
      <c r="I9" s="8" t="s">
        <v>13</v>
      </c>
      <c r="J9" s="118">
        <v>51810.020000000004</v>
      </c>
      <c r="K9">
        <v>78</v>
      </c>
      <c r="L9" s="52">
        <v>781543.79</v>
      </c>
      <c r="M9" s="52">
        <v>628982.82999999996</v>
      </c>
      <c r="N9" s="52">
        <v>152560.96000000005</v>
      </c>
      <c r="O9" s="52"/>
      <c r="P9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518C-9E30-4DE4-8725-AF46692FC9D2}">
  <dimension ref="A4:N76"/>
  <sheetViews>
    <sheetView topLeftCell="E1" zoomScale="80" zoomScaleNormal="80" workbookViewId="0">
      <selection activeCell="M13" sqref="M13"/>
    </sheetView>
  </sheetViews>
  <sheetFormatPr defaultColWidth="11.42578125" defaultRowHeight="15" x14ac:dyDescent="0.25"/>
  <cols>
    <col min="1" max="1" width="17.85546875" bestFit="1" customWidth="1"/>
    <col min="2" max="2" width="14.85546875" style="9" bestFit="1" customWidth="1"/>
    <col min="3" max="3" width="18.7109375" style="9" bestFit="1" customWidth="1"/>
    <col min="6" max="6" width="17.85546875" bestFit="1" customWidth="1"/>
    <col min="7" max="7" width="14.85546875" style="9" bestFit="1" customWidth="1"/>
    <col min="8" max="8" width="18.7109375" style="9" bestFit="1" customWidth="1"/>
    <col min="9" max="10" width="11.5703125" style="9"/>
    <col min="11" max="11" width="17.85546875" style="9" bestFit="1" customWidth="1"/>
    <col min="12" max="12" width="14.85546875" style="9" bestFit="1" customWidth="1"/>
    <col min="13" max="13" width="14" style="9" bestFit="1" customWidth="1"/>
    <col min="14" max="14" width="11.5703125" style="9"/>
  </cols>
  <sheetData>
    <row r="4" spans="1:13" x14ac:dyDescent="0.25">
      <c r="A4" s="80" t="s">
        <v>0</v>
      </c>
      <c r="B4" t="s">
        <v>1</v>
      </c>
      <c r="C4" t="s">
        <v>18</v>
      </c>
      <c r="F4" s="80" t="s">
        <v>0</v>
      </c>
      <c r="G4" t="s">
        <v>1</v>
      </c>
      <c r="H4" t="s">
        <v>18</v>
      </c>
      <c r="K4" s="80" t="s">
        <v>0</v>
      </c>
      <c r="L4" t="s">
        <v>1</v>
      </c>
      <c r="M4" t="s">
        <v>19</v>
      </c>
    </row>
    <row r="5" spans="1:13" x14ac:dyDescent="0.25">
      <c r="A5" s="8">
        <v>0</v>
      </c>
      <c r="B5"/>
      <c r="C5" s="52">
        <v>2322161.9300000002</v>
      </c>
      <c r="F5" s="8">
        <v>0</v>
      </c>
      <c r="G5">
        <v>2228.5700000000002</v>
      </c>
      <c r="H5" s="52">
        <v>27742.84</v>
      </c>
      <c r="K5" s="8">
        <v>0</v>
      </c>
      <c r="L5" s="52">
        <v>1346050.5499999998</v>
      </c>
      <c r="M5" s="52">
        <v>18963741.73</v>
      </c>
    </row>
    <row r="6" spans="1:13" x14ac:dyDescent="0.25">
      <c r="A6" s="8">
        <v>-5000</v>
      </c>
      <c r="B6"/>
      <c r="C6" s="52">
        <v>676200</v>
      </c>
      <c r="F6" s="8">
        <v>459835.32</v>
      </c>
      <c r="G6">
        <v>1022.73</v>
      </c>
      <c r="H6" s="52">
        <v>12750.029999999997</v>
      </c>
      <c r="K6" s="8" t="s">
        <v>13</v>
      </c>
      <c r="L6" s="52">
        <v>1346050.5499999998</v>
      </c>
      <c r="M6" s="52">
        <v>18963741.73</v>
      </c>
    </row>
    <row r="7" spans="1:13" x14ac:dyDescent="0.25">
      <c r="A7" s="8">
        <v>111875</v>
      </c>
      <c r="B7"/>
      <c r="C7" s="52">
        <v>900000</v>
      </c>
      <c r="F7" s="8">
        <v>463755.6</v>
      </c>
      <c r="G7">
        <v>1244.44</v>
      </c>
      <c r="H7" s="52">
        <v>12699.960000000003</v>
      </c>
      <c r="K7"/>
      <c r="L7"/>
      <c r="M7"/>
    </row>
    <row r="8" spans="1:13" x14ac:dyDescent="0.25">
      <c r="A8" s="8">
        <v>3520.4499999999534</v>
      </c>
      <c r="B8"/>
      <c r="C8" s="52">
        <v>770000</v>
      </c>
      <c r="F8" s="8">
        <v>458927.83</v>
      </c>
      <c r="G8">
        <v>1045.45</v>
      </c>
      <c r="H8" s="52">
        <v>14090.850000000004</v>
      </c>
      <c r="K8"/>
      <c r="L8"/>
      <c r="M8"/>
    </row>
    <row r="9" spans="1:13" x14ac:dyDescent="0.25">
      <c r="A9" s="8">
        <v>725400</v>
      </c>
      <c r="B9"/>
      <c r="C9" s="52">
        <v>80600</v>
      </c>
      <c r="F9" s="8">
        <v>494900</v>
      </c>
      <c r="G9"/>
      <c r="H9" s="52">
        <v>23899.94000000001</v>
      </c>
      <c r="K9"/>
      <c r="L9"/>
      <c r="M9"/>
    </row>
    <row r="10" spans="1:13" x14ac:dyDescent="0.25">
      <c r="A10" s="8">
        <v>652330.22</v>
      </c>
      <c r="B10"/>
      <c r="C10" s="52">
        <v>81400</v>
      </c>
      <c r="F10" s="8">
        <v>346215</v>
      </c>
      <c r="G10">
        <v>1784.29</v>
      </c>
      <c r="H10" s="52">
        <v>29548.64000000001</v>
      </c>
      <c r="K10"/>
      <c r="L10"/>
      <c r="M10"/>
    </row>
    <row r="11" spans="1:13" x14ac:dyDescent="0.25">
      <c r="A11" s="8">
        <v>1201700</v>
      </c>
      <c r="B11"/>
      <c r="C11" s="52">
        <v>63300</v>
      </c>
      <c r="F11" s="8" t="s">
        <v>20</v>
      </c>
      <c r="G11">
        <v>1875</v>
      </c>
      <c r="H11" s="52">
        <v>5250</v>
      </c>
      <c r="K11"/>
      <c r="L11"/>
      <c r="M11"/>
    </row>
    <row r="12" spans="1:13" x14ac:dyDescent="0.25">
      <c r="A12" s="8">
        <v>1045100</v>
      </c>
      <c r="B12"/>
      <c r="C12" s="52">
        <v>55100</v>
      </c>
      <c r="F12" s="8">
        <v>448214.94</v>
      </c>
      <c r="G12">
        <v>2434.7399999999998</v>
      </c>
      <c r="H12" s="52">
        <v>42185.839999999982</v>
      </c>
      <c r="K12"/>
    </row>
    <row r="13" spans="1:13" x14ac:dyDescent="0.25">
      <c r="A13" s="8">
        <v>575700</v>
      </c>
      <c r="B13"/>
      <c r="C13" s="52">
        <v>64000</v>
      </c>
      <c r="F13" s="8">
        <v>477700</v>
      </c>
      <c r="G13">
        <v>1125</v>
      </c>
      <c r="H13" s="52">
        <v>13875</v>
      </c>
    </row>
    <row r="14" spans="1:13" x14ac:dyDescent="0.25">
      <c r="A14" s="8">
        <v>645000</v>
      </c>
      <c r="B14">
        <v>645000</v>
      </c>
      <c r="C14" s="52">
        <v>650000</v>
      </c>
      <c r="F14" s="8">
        <v>461012</v>
      </c>
      <c r="G14">
        <v>1045.45</v>
      </c>
      <c r="H14" s="52">
        <v>12499.950000000003</v>
      </c>
    </row>
    <row r="15" spans="1:13" x14ac:dyDescent="0.25">
      <c r="A15" s="8">
        <v>705400</v>
      </c>
      <c r="B15"/>
      <c r="C15" s="52">
        <v>100000</v>
      </c>
      <c r="F15" s="8">
        <v>452581.8</v>
      </c>
      <c r="G15">
        <v>2240.91</v>
      </c>
      <c r="H15" s="52">
        <v>36354.559999999998</v>
      </c>
    </row>
    <row r="16" spans="1:13" x14ac:dyDescent="0.25">
      <c r="A16" s="8">
        <v>689591.49</v>
      </c>
      <c r="B16"/>
      <c r="C16" s="52">
        <v>83999.999999999985</v>
      </c>
      <c r="F16" s="8">
        <v>463588.23</v>
      </c>
      <c r="G16">
        <v>1323.53</v>
      </c>
      <c r="H16" s="52">
        <v>12088.24</v>
      </c>
    </row>
    <row r="17" spans="1:8" x14ac:dyDescent="0.25">
      <c r="A17" s="8">
        <v>445693.08999999997</v>
      </c>
      <c r="B17"/>
      <c r="C17" s="52">
        <v>37100</v>
      </c>
      <c r="F17" s="8">
        <v>460317.64</v>
      </c>
      <c r="G17">
        <v>1323.53</v>
      </c>
      <c r="H17" s="52">
        <v>12088.24</v>
      </c>
    </row>
    <row r="18" spans="1:8" x14ac:dyDescent="0.25">
      <c r="A18" s="8">
        <v>435029.72</v>
      </c>
      <c r="B18"/>
      <c r="C18" s="52">
        <v>173320</v>
      </c>
      <c r="F18" s="8">
        <v>349636.4</v>
      </c>
      <c r="G18">
        <v>1704.55</v>
      </c>
      <c r="H18" s="52">
        <v>28272.799999999992</v>
      </c>
    </row>
    <row r="19" spans="1:8" x14ac:dyDescent="0.25">
      <c r="A19" s="8">
        <v>923800</v>
      </c>
      <c r="B19"/>
      <c r="C19" s="52">
        <v>47500</v>
      </c>
      <c r="F19" s="8">
        <v>450159</v>
      </c>
      <c r="G19">
        <v>2374.5</v>
      </c>
      <c r="H19" s="52">
        <v>40866.5</v>
      </c>
    </row>
    <row r="20" spans="1:8" x14ac:dyDescent="0.25">
      <c r="A20" s="8">
        <v>468690.28</v>
      </c>
      <c r="B20"/>
      <c r="C20" s="52">
        <v>38500</v>
      </c>
      <c r="F20" s="8">
        <v>507200</v>
      </c>
      <c r="G20"/>
      <c r="H20" s="52">
        <v>0</v>
      </c>
    </row>
    <row r="21" spans="1:8" x14ac:dyDescent="0.25">
      <c r="A21" s="8">
        <v>650000</v>
      </c>
      <c r="B21"/>
      <c r="C21" s="52">
        <v>0</v>
      </c>
      <c r="F21" s="8">
        <v>474706</v>
      </c>
      <c r="G21"/>
      <c r="H21" s="52">
        <v>0</v>
      </c>
    </row>
    <row r="22" spans="1:8" x14ac:dyDescent="0.25">
      <c r="A22" s="8">
        <v>309477.87</v>
      </c>
      <c r="B22"/>
      <c r="C22" s="52">
        <v>58000</v>
      </c>
      <c r="F22" s="8">
        <v>474100</v>
      </c>
      <c r="G22"/>
      <c r="H22" s="52">
        <v>14100</v>
      </c>
    </row>
    <row r="23" spans="1:8" x14ac:dyDescent="0.25">
      <c r="A23" s="8">
        <v>717500</v>
      </c>
      <c r="B23"/>
      <c r="C23" s="52">
        <v>166000</v>
      </c>
      <c r="F23" s="8">
        <v>463438.44</v>
      </c>
      <c r="G23">
        <v>1723.08</v>
      </c>
      <c r="H23" s="52">
        <v>6669.24</v>
      </c>
    </row>
    <row r="24" spans="1:8" x14ac:dyDescent="0.25">
      <c r="A24" s="8">
        <v>546878.67999999993</v>
      </c>
      <c r="B24"/>
      <c r="C24" s="52">
        <v>48066</v>
      </c>
      <c r="F24" s="8">
        <v>461200</v>
      </c>
      <c r="G24">
        <v>1493.33</v>
      </c>
      <c r="H24" s="52">
        <v>10459.98</v>
      </c>
    </row>
    <row r="25" spans="1:8" x14ac:dyDescent="0.25">
      <c r="A25" s="8">
        <v>456605.45</v>
      </c>
      <c r="B25"/>
      <c r="C25" s="52">
        <v>130000</v>
      </c>
      <c r="F25" s="8">
        <v>486200</v>
      </c>
      <c r="G25"/>
      <c r="H25" s="52">
        <v>0</v>
      </c>
    </row>
    <row r="26" spans="1:8" x14ac:dyDescent="0.25">
      <c r="A26" s="8">
        <v>915700</v>
      </c>
      <c r="B26"/>
      <c r="C26" s="52">
        <v>47500</v>
      </c>
      <c r="F26" s="8">
        <v>956042</v>
      </c>
      <c r="G26"/>
      <c r="H26" s="52">
        <v>0</v>
      </c>
    </row>
    <row r="27" spans="1:8" x14ac:dyDescent="0.25">
      <c r="A27" s="8">
        <v>590900</v>
      </c>
      <c r="B27"/>
      <c r="C27" s="52">
        <v>40500</v>
      </c>
      <c r="F27" s="8">
        <v>486950</v>
      </c>
      <c r="G27">
        <v>1125</v>
      </c>
      <c r="H27" s="52">
        <v>13875</v>
      </c>
    </row>
    <row r="28" spans="1:8" x14ac:dyDescent="0.25">
      <c r="A28" s="8">
        <v>615000</v>
      </c>
      <c r="B28"/>
      <c r="C28" s="52">
        <v>68000</v>
      </c>
      <c r="F28" s="8">
        <v>505700</v>
      </c>
      <c r="G28"/>
      <c r="H28" s="52">
        <v>0</v>
      </c>
    </row>
    <row r="29" spans="1:8" x14ac:dyDescent="0.25">
      <c r="A29" s="8">
        <v>483000</v>
      </c>
      <c r="B29"/>
      <c r="C29" s="52">
        <v>54780</v>
      </c>
      <c r="F29" s="8">
        <v>459100</v>
      </c>
      <c r="G29"/>
      <c r="H29" s="52">
        <v>0</v>
      </c>
    </row>
    <row r="30" spans="1:8" x14ac:dyDescent="0.25">
      <c r="A30" s="8">
        <v>422900</v>
      </c>
      <c r="B30"/>
      <c r="C30" s="52">
        <v>70389.999999999985</v>
      </c>
      <c r="F30" s="8">
        <v>452400.06</v>
      </c>
      <c r="G30">
        <v>2333.33</v>
      </c>
      <c r="H30" s="52">
        <v>35499.950000000012</v>
      </c>
    </row>
    <row r="31" spans="1:8" x14ac:dyDescent="0.25">
      <c r="A31" s="8">
        <v>942821</v>
      </c>
      <c r="B31"/>
      <c r="C31" s="52">
        <v>0</v>
      </c>
      <c r="F31" s="8">
        <v>473200</v>
      </c>
      <c r="G31"/>
      <c r="H31" s="52">
        <v>23900</v>
      </c>
    </row>
    <row r="32" spans="1:8" x14ac:dyDescent="0.25">
      <c r="A32" s="8">
        <v>589500</v>
      </c>
      <c r="B32"/>
      <c r="C32" s="52">
        <v>65500</v>
      </c>
      <c r="F32" s="8">
        <v>462530</v>
      </c>
      <c r="G32">
        <v>1178.95</v>
      </c>
      <c r="H32" s="52">
        <v>13289.500000000002</v>
      </c>
    </row>
    <row r="33" spans="1:8" x14ac:dyDescent="0.25">
      <c r="A33" s="8">
        <v>175000</v>
      </c>
      <c r="B33"/>
      <c r="C33" s="52">
        <v>414500</v>
      </c>
      <c r="F33" s="8">
        <v>365237.5</v>
      </c>
      <c r="G33"/>
      <c r="H33" s="52">
        <v>0</v>
      </c>
    </row>
    <row r="34" spans="1:8" x14ac:dyDescent="0.25">
      <c r="A34" s="8">
        <v>899300</v>
      </c>
      <c r="B34"/>
      <c r="C34" s="52">
        <v>49500</v>
      </c>
      <c r="F34" s="8">
        <v>394300</v>
      </c>
      <c r="G34"/>
      <c r="H34" s="52">
        <v>0</v>
      </c>
    </row>
    <row r="35" spans="1:8" x14ac:dyDescent="0.25">
      <c r="A35" s="8">
        <v>488991.83</v>
      </c>
      <c r="B35"/>
      <c r="C35" s="52">
        <v>68000</v>
      </c>
      <c r="F35" s="8">
        <v>476200</v>
      </c>
      <c r="G35">
        <v>1229.5</v>
      </c>
      <c r="H35" s="52">
        <v>29124.5</v>
      </c>
    </row>
    <row r="36" spans="1:8" x14ac:dyDescent="0.25">
      <c r="A36" s="8">
        <v>492984.65</v>
      </c>
      <c r="B36"/>
      <c r="C36" s="52">
        <v>54780</v>
      </c>
      <c r="F36" s="8">
        <v>460275</v>
      </c>
      <c r="G36"/>
      <c r="H36" s="52">
        <v>24000.040000000008</v>
      </c>
    </row>
    <row r="37" spans="1:8" x14ac:dyDescent="0.25">
      <c r="A37" s="8">
        <v>335086.45</v>
      </c>
      <c r="B37"/>
      <c r="C37" s="52">
        <v>54700</v>
      </c>
      <c r="F37" s="8">
        <v>487200</v>
      </c>
      <c r="G37"/>
      <c r="H37" s="52">
        <v>0</v>
      </c>
    </row>
    <row r="38" spans="1:8" x14ac:dyDescent="0.25">
      <c r="A38" s="8">
        <v>497324.27</v>
      </c>
      <c r="B38"/>
      <c r="C38" s="52">
        <v>68800</v>
      </c>
      <c r="F38" s="8">
        <v>505237.5</v>
      </c>
      <c r="G38">
        <v>2323.81</v>
      </c>
      <c r="H38" s="52">
        <v>35857.15</v>
      </c>
    </row>
    <row r="39" spans="1:8" x14ac:dyDescent="0.25">
      <c r="A39" s="8">
        <v>930000</v>
      </c>
      <c r="B39"/>
      <c r="C39" s="52">
        <v>49500</v>
      </c>
      <c r="F39" s="8">
        <v>362637.5</v>
      </c>
      <c r="G39">
        <v>1062.5</v>
      </c>
      <c r="H39" s="52">
        <v>15312.5</v>
      </c>
    </row>
    <row r="40" spans="1:8" x14ac:dyDescent="0.25">
      <c r="A40" s="8">
        <v>403500</v>
      </c>
      <c r="B40"/>
      <c r="C40" s="52">
        <v>66500</v>
      </c>
      <c r="F40" s="8">
        <v>475500</v>
      </c>
      <c r="G40"/>
      <c r="H40" s="52">
        <v>0</v>
      </c>
    </row>
    <row r="41" spans="1:8" x14ac:dyDescent="0.25">
      <c r="A41" s="8">
        <v>764500</v>
      </c>
      <c r="B41"/>
      <c r="C41" s="52">
        <v>40500</v>
      </c>
      <c r="F41" s="8">
        <v>461526.16000000003</v>
      </c>
      <c r="G41">
        <v>2436.84</v>
      </c>
      <c r="H41" s="52">
        <v>39489.440000000002</v>
      </c>
    </row>
    <row r="42" spans="1:8" x14ac:dyDescent="0.25">
      <c r="A42" s="8">
        <v>869929.1</v>
      </c>
      <c r="B42"/>
      <c r="C42" s="52">
        <v>47500</v>
      </c>
      <c r="F42" s="8">
        <v>474700</v>
      </c>
      <c r="G42"/>
      <c r="H42" s="52">
        <v>0</v>
      </c>
    </row>
    <row r="43" spans="1:8" x14ac:dyDescent="0.25">
      <c r="A43" s="8">
        <v>445000</v>
      </c>
      <c r="B43"/>
      <c r="C43" s="52">
        <v>69000</v>
      </c>
      <c r="F43" s="8">
        <v>460805.27</v>
      </c>
      <c r="G43"/>
      <c r="H43" s="52">
        <v>0</v>
      </c>
    </row>
    <row r="44" spans="1:8" x14ac:dyDescent="0.25">
      <c r="A44" s="8">
        <v>333187.37</v>
      </c>
      <c r="B44"/>
      <c r="C44" s="52">
        <v>49800.000000000022</v>
      </c>
      <c r="F44" s="8">
        <v>356468.38</v>
      </c>
      <c r="G44"/>
      <c r="H44" s="52">
        <v>0</v>
      </c>
    </row>
    <row r="45" spans="1:8" x14ac:dyDescent="0.25">
      <c r="A45" s="8">
        <v>468282.11</v>
      </c>
      <c r="B45"/>
      <c r="C45" s="52">
        <v>69800</v>
      </c>
      <c r="F45" s="8">
        <v>459973.25</v>
      </c>
      <c r="G45">
        <v>1045.45</v>
      </c>
      <c r="H45" s="52">
        <v>14590.850000000004</v>
      </c>
    </row>
    <row r="46" spans="1:8" x14ac:dyDescent="0.25">
      <c r="A46" s="8">
        <v>671165.65</v>
      </c>
      <c r="B46"/>
      <c r="C46" s="52">
        <v>80682.399999999994</v>
      </c>
      <c r="F46" s="8" t="s">
        <v>21</v>
      </c>
      <c r="G46">
        <v>5378.95</v>
      </c>
      <c r="H46" s="52"/>
    </row>
    <row r="47" spans="1:8" x14ac:dyDescent="0.25">
      <c r="A47" s="8">
        <v>809100</v>
      </c>
      <c r="B47"/>
      <c r="C47" s="52">
        <v>40900</v>
      </c>
      <c r="F47" s="8">
        <v>471726.68</v>
      </c>
      <c r="G47">
        <v>1493.33</v>
      </c>
      <c r="H47" s="52">
        <v>8966.65</v>
      </c>
    </row>
    <row r="48" spans="1:8" x14ac:dyDescent="0.25">
      <c r="A48" s="8">
        <v>591706.96</v>
      </c>
      <c r="B48"/>
      <c r="C48" s="52">
        <v>49400</v>
      </c>
      <c r="F48" s="8">
        <v>470200</v>
      </c>
      <c r="G48">
        <v>1500</v>
      </c>
      <c r="H48" s="52">
        <v>1500</v>
      </c>
    </row>
    <row r="49" spans="1:8" x14ac:dyDescent="0.25">
      <c r="A49" s="8">
        <v>333014.03000000003</v>
      </c>
      <c r="B49"/>
      <c r="C49" s="52">
        <v>49800</v>
      </c>
      <c r="F49" s="8">
        <v>460412.5</v>
      </c>
      <c r="G49">
        <v>1462.5</v>
      </c>
      <c r="H49" s="52">
        <v>10737.5</v>
      </c>
    </row>
    <row r="50" spans="1:8" x14ac:dyDescent="0.25">
      <c r="A50" s="8">
        <v>248000</v>
      </c>
      <c r="B50"/>
      <c r="C50" s="52">
        <v>250000</v>
      </c>
      <c r="F50" s="8" t="s">
        <v>13</v>
      </c>
      <c r="G50">
        <v>48559.259999999995</v>
      </c>
      <c r="H50" s="52">
        <v>621585.68999999994</v>
      </c>
    </row>
    <row r="51" spans="1:8" x14ac:dyDescent="0.25">
      <c r="A51" s="8">
        <v>628200</v>
      </c>
      <c r="B51"/>
      <c r="C51" s="52">
        <v>69800</v>
      </c>
      <c r="G51"/>
      <c r="H51"/>
    </row>
    <row r="52" spans="1:8" x14ac:dyDescent="0.25">
      <c r="A52" s="8">
        <v>451104.27</v>
      </c>
      <c r="B52"/>
      <c r="C52" s="52">
        <v>66500</v>
      </c>
      <c r="G52"/>
      <c r="H52"/>
    </row>
    <row r="53" spans="1:8" x14ac:dyDescent="0.25">
      <c r="A53" s="8">
        <v>543500</v>
      </c>
      <c r="B53"/>
      <c r="C53" s="52">
        <v>66500</v>
      </c>
      <c r="G53"/>
      <c r="H53"/>
    </row>
    <row r="54" spans="1:8" x14ac:dyDescent="0.25">
      <c r="A54" s="8">
        <v>471723.22</v>
      </c>
      <c r="B54"/>
      <c r="C54" s="52">
        <v>76720</v>
      </c>
      <c r="G54"/>
      <c r="H54"/>
    </row>
    <row r="55" spans="1:8" x14ac:dyDescent="0.25">
      <c r="A55" s="8">
        <v>333353.52</v>
      </c>
      <c r="B55"/>
      <c r="C55" s="52">
        <v>49800</v>
      </c>
      <c r="G55"/>
      <c r="H55"/>
    </row>
    <row r="56" spans="1:8" x14ac:dyDescent="0.25">
      <c r="A56" s="8">
        <v>308362.91000000003</v>
      </c>
      <c r="B56"/>
      <c r="C56" s="52">
        <v>49800.000000000022</v>
      </c>
    </row>
    <row r="57" spans="1:8" x14ac:dyDescent="0.25">
      <c r="A57" s="8">
        <v>710550</v>
      </c>
      <c r="B57"/>
      <c r="C57" s="52">
        <v>78950</v>
      </c>
    </row>
    <row r="58" spans="1:8" x14ac:dyDescent="0.25">
      <c r="A58" s="8">
        <v>954300.00000000012</v>
      </c>
      <c r="B58"/>
      <c r="C58" s="52">
        <v>50317.1</v>
      </c>
    </row>
    <row r="59" spans="1:8" x14ac:dyDescent="0.25">
      <c r="A59" s="8">
        <v>446232.63</v>
      </c>
      <c r="B59"/>
      <c r="C59" s="52">
        <v>38900</v>
      </c>
    </row>
    <row r="60" spans="1:8" x14ac:dyDescent="0.25">
      <c r="A60" s="8">
        <v>642400</v>
      </c>
      <c r="B60"/>
      <c r="C60" s="52">
        <v>75400</v>
      </c>
    </row>
    <row r="61" spans="1:8" x14ac:dyDescent="0.25">
      <c r="A61" s="8">
        <v>602175.30000000005</v>
      </c>
      <c r="B61"/>
      <c r="C61" s="52">
        <v>51600</v>
      </c>
    </row>
    <row r="62" spans="1:8" x14ac:dyDescent="0.25">
      <c r="A62" s="8">
        <v>600000</v>
      </c>
      <c r="B62"/>
      <c r="C62" s="52">
        <v>250000</v>
      </c>
    </row>
    <row r="63" spans="1:8" x14ac:dyDescent="0.25">
      <c r="A63" s="8">
        <v>400000</v>
      </c>
      <c r="B63"/>
      <c r="C63" s="52">
        <v>49800.000000000022</v>
      </c>
    </row>
    <row r="64" spans="1:8" x14ac:dyDescent="0.25">
      <c r="A64" s="8">
        <v>337443.77</v>
      </c>
      <c r="B64"/>
      <c r="C64" s="52">
        <v>49800.000000000007</v>
      </c>
    </row>
    <row r="65" spans="1:3" x14ac:dyDescent="0.25">
      <c r="A65" s="8">
        <v>748900</v>
      </c>
      <c r="B65"/>
      <c r="C65" s="52">
        <v>39500</v>
      </c>
    </row>
    <row r="66" spans="1:3" x14ac:dyDescent="0.25">
      <c r="A66" s="8">
        <v>544782.29</v>
      </c>
      <c r="B66"/>
      <c r="C66" s="52">
        <v>200020</v>
      </c>
    </row>
    <row r="67" spans="1:3" x14ac:dyDescent="0.25">
      <c r="A67" s="8">
        <v>456537.04000000004</v>
      </c>
      <c r="B67"/>
      <c r="C67" s="52">
        <v>75400</v>
      </c>
    </row>
    <row r="68" spans="1:3" x14ac:dyDescent="0.25">
      <c r="A68" s="8">
        <v>910400</v>
      </c>
      <c r="B68"/>
      <c r="C68" s="52">
        <v>101160</v>
      </c>
    </row>
    <row r="69" spans="1:3" x14ac:dyDescent="0.25">
      <c r="A69" s="8">
        <v>690000</v>
      </c>
      <c r="B69"/>
      <c r="C69" s="52">
        <v>0</v>
      </c>
    </row>
    <row r="70" spans="1:3" x14ac:dyDescent="0.25">
      <c r="A70" s="8">
        <v>448197.81</v>
      </c>
      <c r="B70"/>
      <c r="C70" s="52">
        <v>49800.000000000022</v>
      </c>
    </row>
    <row r="71" spans="1:3" x14ac:dyDescent="0.25">
      <c r="A71" s="8">
        <v>473183.24</v>
      </c>
      <c r="B71"/>
      <c r="C71" s="52">
        <v>78900</v>
      </c>
    </row>
    <row r="72" spans="1:3" x14ac:dyDescent="0.25">
      <c r="A72" s="8">
        <v>1097500</v>
      </c>
      <c r="B72"/>
      <c r="C72" s="52">
        <v>63000</v>
      </c>
    </row>
    <row r="73" spans="1:3" x14ac:dyDescent="0.25">
      <c r="A73" s="8">
        <v>252560</v>
      </c>
      <c r="B73"/>
      <c r="C73" s="52">
        <v>0</v>
      </c>
    </row>
    <row r="74" spans="1:3" x14ac:dyDescent="0.25">
      <c r="A74" s="8">
        <v>316460</v>
      </c>
      <c r="B74"/>
      <c r="C74" s="52">
        <v>0</v>
      </c>
    </row>
    <row r="75" spans="1:3" x14ac:dyDescent="0.25">
      <c r="A75" s="8">
        <v>460000</v>
      </c>
      <c r="B75"/>
      <c r="C75" s="52">
        <v>0</v>
      </c>
    </row>
    <row r="76" spans="1:3" x14ac:dyDescent="0.25">
      <c r="A76" s="8" t="s">
        <v>13</v>
      </c>
      <c r="B76">
        <v>645000</v>
      </c>
      <c r="C76" s="52">
        <v>10097247.43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CA0F-EB17-4F63-AFDF-AD694B92465F}">
  <dimension ref="B1:AB6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defaultColWidth="11.5703125" defaultRowHeight="12.75" customHeight="1" x14ac:dyDescent="0.25"/>
  <cols>
    <col min="1" max="1" width="2.28515625" style="1" customWidth="1"/>
    <col min="2" max="2" width="11.5703125" style="1"/>
    <col min="3" max="3" width="13.7109375" style="1" customWidth="1"/>
    <col min="4" max="4" width="17.140625" style="1" customWidth="1"/>
    <col min="5" max="5" width="11.42578125" style="1" bestFit="1" customWidth="1"/>
    <col min="6" max="7" width="15" style="1" bestFit="1" customWidth="1"/>
    <col min="8" max="9" width="15" style="1" customWidth="1"/>
    <col min="10" max="10" width="12.7109375" style="1" customWidth="1"/>
    <col min="11" max="11" width="12.7109375" style="1" hidden="1" customWidth="1"/>
    <col min="12" max="12" width="14.42578125" style="1" hidden="1" customWidth="1"/>
    <col min="13" max="13" width="12.7109375" style="1" hidden="1" customWidth="1"/>
    <col min="14" max="14" width="2.28515625" style="1" hidden="1" customWidth="1"/>
    <col min="15" max="16" width="14.42578125" style="1" hidden="1" customWidth="1"/>
    <col min="17" max="17" width="2.28515625" style="1" hidden="1" customWidth="1"/>
    <col min="18" max="20" width="14.42578125" style="1" hidden="1" customWidth="1"/>
    <col min="21" max="21" width="2.28515625" style="1" hidden="1" customWidth="1"/>
    <col min="22" max="23" width="14.42578125" style="1" hidden="1" customWidth="1"/>
    <col min="24" max="24" width="2.28515625" style="1" hidden="1" customWidth="1"/>
    <col min="25" max="25" width="11.5703125" style="256" hidden="1" customWidth="1"/>
    <col min="26" max="26" width="15" style="1" bestFit="1" customWidth="1"/>
    <col min="27" max="27" width="14" style="1" bestFit="1" customWidth="1"/>
    <col min="28" max="16384" width="11.5703125" style="1"/>
  </cols>
  <sheetData>
    <row r="1" spans="2:28" ht="4.1500000000000004" customHeight="1" x14ac:dyDescent="0.25">
      <c r="Y1" s="779"/>
    </row>
    <row r="2" spans="2:28" ht="28.5" x14ac:dyDescent="0.45">
      <c r="B2" s="79" t="s">
        <v>22</v>
      </c>
      <c r="Y2" s="779"/>
    </row>
    <row r="3" spans="2:28" ht="15" x14ac:dyDescent="0.25">
      <c r="B3" s="292" t="s">
        <v>23</v>
      </c>
      <c r="Y3" s="779"/>
    </row>
    <row r="4" spans="2:28" ht="6.6" hidden="1" customHeight="1" x14ac:dyDescent="0.25">
      <c r="C4" s="293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</row>
    <row r="5" spans="2:28" ht="15" x14ac:dyDescent="0.25">
      <c r="B5" s="1" t="s">
        <v>24</v>
      </c>
      <c r="C5" s="294">
        <v>45900</v>
      </c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</row>
    <row r="6" spans="2:28" ht="14.45" customHeight="1" x14ac:dyDescent="0.25">
      <c r="C6" s="293"/>
      <c r="D6" s="295"/>
      <c r="E6" s="779"/>
      <c r="F6" s="780" t="s">
        <v>25</v>
      </c>
      <c r="G6" s="780" t="s">
        <v>26</v>
      </c>
      <c r="H6" s="780"/>
      <c r="I6" s="780"/>
      <c r="J6" s="779"/>
      <c r="K6" s="780" t="s">
        <v>27</v>
      </c>
      <c r="L6" s="780" t="s">
        <v>28</v>
      </c>
      <c r="M6" s="780" t="s">
        <v>29</v>
      </c>
      <c r="N6" s="248"/>
      <c r="O6" s="780" t="s">
        <v>30</v>
      </c>
      <c r="P6" s="780" t="s">
        <v>31</v>
      </c>
      <c r="Q6" s="248"/>
      <c r="R6" s="780" t="s">
        <v>32</v>
      </c>
      <c r="S6" s="779"/>
      <c r="T6" s="779"/>
      <c r="U6" s="248"/>
      <c r="V6" s="780" t="s">
        <v>25</v>
      </c>
      <c r="W6" s="780" t="s">
        <v>26</v>
      </c>
      <c r="X6" s="248"/>
      <c r="Y6" s="779"/>
    </row>
    <row r="7" spans="2:28" ht="51" x14ac:dyDescent="0.25">
      <c r="B7" s="296" t="s">
        <v>33</v>
      </c>
      <c r="C7" s="111" t="s">
        <v>34</v>
      </c>
      <c r="D7" s="111" t="s">
        <v>35</v>
      </c>
      <c r="E7" s="111" t="s">
        <v>36</v>
      </c>
      <c r="F7" s="111" t="s">
        <v>37</v>
      </c>
      <c r="G7" s="111" t="s">
        <v>38</v>
      </c>
      <c r="H7" s="111" t="s">
        <v>39</v>
      </c>
      <c r="I7" s="297" t="s">
        <v>40</v>
      </c>
      <c r="J7" s="779"/>
      <c r="K7" s="111" t="s">
        <v>41</v>
      </c>
      <c r="L7" s="111" t="s">
        <v>42</v>
      </c>
      <c r="M7" s="111" t="s">
        <v>43</v>
      </c>
      <c r="N7" s="248"/>
      <c r="O7" s="111" t="s">
        <v>44</v>
      </c>
      <c r="P7" s="111" t="s">
        <v>45</v>
      </c>
      <c r="Q7" s="248"/>
      <c r="R7" s="111" t="s">
        <v>46</v>
      </c>
      <c r="S7" s="111" t="s">
        <v>47</v>
      </c>
      <c r="T7" s="111" t="s">
        <v>48</v>
      </c>
      <c r="U7" s="248"/>
      <c r="V7" s="111" t="s">
        <v>49</v>
      </c>
      <c r="W7" s="111" t="s">
        <v>50</v>
      </c>
      <c r="X7" s="248"/>
      <c r="Y7" s="111" t="s">
        <v>51</v>
      </c>
    </row>
    <row r="8" spans="2:28" ht="15" x14ac:dyDescent="0.25">
      <c r="B8" s="1" t="s">
        <v>52</v>
      </c>
      <c r="C8" s="298">
        <f>+'SANTA ELISA PPTO'!AL80</f>
        <v>0</v>
      </c>
      <c r="D8" s="298">
        <f>+'SANTA ELISA'!AV80</f>
        <v>0</v>
      </c>
      <c r="E8" s="99">
        <f>IFERROR((+D8/C8),0)</f>
        <v>0</v>
      </c>
      <c r="F8" s="298">
        <f>+'SANTA ELISA PPTO'!AL81</f>
        <v>10097247.43</v>
      </c>
      <c r="G8" s="298">
        <f>+'SANTA ELISA PPTO'!AM80</f>
        <v>10097247.43</v>
      </c>
      <c r="H8" s="99">
        <f>IFERROR((+G8/F8),0)</f>
        <v>1</v>
      </c>
      <c r="I8" s="299">
        <f>+F8-G8</f>
        <v>0</v>
      </c>
      <c r="J8" s="779"/>
      <c r="K8" s="779"/>
      <c r="L8" s="779"/>
      <c r="M8" s="779"/>
      <c r="N8" s="248"/>
      <c r="O8" s="779"/>
      <c r="P8" s="779"/>
      <c r="Q8" s="248"/>
      <c r="R8" s="248"/>
      <c r="S8" s="779"/>
      <c r="T8" s="779"/>
      <c r="U8" s="248"/>
      <c r="V8" s="781"/>
      <c r="W8" s="779"/>
      <c r="X8" s="248"/>
      <c r="Y8" s="779"/>
    </row>
    <row r="9" spans="2:28" ht="15" x14ac:dyDescent="0.25">
      <c r="B9" s="1" t="s">
        <v>53</v>
      </c>
      <c r="C9" s="298">
        <f>+'BOULEVARD PPTO'!AE311</f>
        <v>2967923.49</v>
      </c>
      <c r="D9" s="298">
        <f>+'BOULEVARD 5'!AM305-'BOULEVARD 5'!AM254-'BOULEVARD 5'!AM266</f>
        <v>3072696.4279999998</v>
      </c>
      <c r="E9" s="99">
        <f t="shared" ref="E9:E12" si="0">IFERROR((+D9/C9),0)</f>
        <v>1.0353017651408527</v>
      </c>
      <c r="F9" s="298">
        <f>+'BOULEVARD PPTO'!AE313</f>
        <v>23321516.739999995</v>
      </c>
      <c r="G9" s="298">
        <f>+'BOULEVARD 5'!AT305-612138</f>
        <v>30721735.32799999</v>
      </c>
      <c r="H9" s="99">
        <f>IFERROR((+G9/F9),0)</f>
        <v>1.3173129205317715</v>
      </c>
      <c r="I9" s="299">
        <f>+F9-G9</f>
        <v>-7400218.5879999958</v>
      </c>
      <c r="J9" s="782"/>
      <c r="K9" s="298" t="e">
        <f>+'BOULEVARD 5'!BJ305</f>
        <v>#VALUE!</v>
      </c>
      <c r="L9" s="298">
        <f>+'BOULEVARD 5'!BO306</f>
        <v>2682559.02</v>
      </c>
      <c r="M9" s="298" t="e">
        <f>+K9-L9</f>
        <v>#VALUE!</v>
      </c>
      <c r="N9" s="248"/>
      <c r="O9" s="298">
        <f>+'BOULEVARD 5'!BK305+'BOULEVARD 5'!BL305+'BOULEVARD 5'!BM305</f>
        <v>31333873.328000005</v>
      </c>
      <c r="P9" s="298" t="e">
        <f>+'BOULEVARD 5'!BN305</f>
        <v>#VALUE!</v>
      </c>
      <c r="Q9" s="248"/>
      <c r="R9" s="300" t="e">
        <f>((M9)-(O9-P9))</f>
        <v>#VALUE!</v>
      </c>
      <c r="S9" s="298" t="e">
        <f>+'BOULEVARD 5'!BO305-+'BOULEVARD 5'!BO306</f>
        <v>#VALUE!</v>
      </c>
      <c r="T9" s="298" t="e">
        <f>+R9-S9</f>
        <v>#VALUE!</v>
      </c>
      <c r="U9" s="248"/>
      <c r="V9" s="298">
        <f>+'BOULEVARD 5'!AT306</f>
        <v>874279.14</v>
      </c>
      <c r="W9" s="301">
        <v>177175.45</v>
      </c>
      <c r="X9" s="248"/>
      <c r="Y9" s="298" t="e">
        <f>-R9+V9-W9</f>
        <v>#VALUE!</v>
      </c>
      <c r="Z9" s="252"/>
    </row>
    <row r="10" spans="2:28" ht="15" x14ac:dyDescent="0.25">
      <c r="B10" s="1" t="s">
        <v>54</v>
      </c>
      <c r="C10" s="298">
        <f>+'BENESTARE PPTO'!AE115</f>
        <v>105339.09000000001</v>
      </c>
      <c r="D10" s="298">
        <f>+'BENESTARE '!AQ174</f>
        <v>101165.69000000002</v>
      </c>
      <c r="E10" s="99">
        <f t="shared" si="0"/>
        <v>0.96038127916236993</v>
      </c>
      <c r="F10" s="298">
        <f>+'BENESTARE PPTO'!AE116</f>
        <v>957782.2699999999</v>
      </c>
      <c r="G10" s="298">
        <f>+'BENESTARE '!AX174</f>
        <v>1478044.6700000004</v>
      </c>
      <c r="H10" s="99">
        <f>IFERROR((+G10/F10),0)</f>
        <v>1.5431948536696138</v>
      </c>
      <c r="I10" s="299">
        <f>+F10-G10</f>
        <v>-520262.40000000049</v>
      </c>
      <c r="J10" s="779"/>
      <c r="K10" s="298" t="e">
        <f>+BENES!BD87</f>
        <v>#NUM!</v>
      </c>
      <c r="L10" s="298">
        <f>+BENES!BI88</f>
        <v>0</v>
      </c>
      <c r="M10" s="298" t="e">
        <f>+K10-L10</f>
        <v>#NUM!</v>
      </c>
      <c r="N10" s="248"/>
      <c r="O10" s="298">
        <f>+BENES!BE87+BENES!BF87+BENES!BG87</f>
        <v>841408.68</v>
      </c>
      <c r="P10" s="298" t="e">
        <f>+BENES!BH87</f>
        <v>#NUM!</v>
      </c>
      <c r="Q10" s="248"/>
      <c r="R10" s="300" t="e">
        <f>((M10)-(O10-P10))</f>
        <v>#NUM!</v>
      </c>
      <c r="S10" s="298" t="e">
        <f>+BENES!BI87</f>
        <v>#NUM!</v>
      </c>
      <c r="T10" s="298" t="e">
        <f>+R10-S10</f>
        <v>#NUM!</v>
      </c>
      <c r="U10" s="248"/>
      <c r="V10" s="298">
        <f>+BENES!AN88</f>
        <v>100416.23000000001</v>
      </c>
      <c r="W10" s="301"/>
      <c r="X10" s="248"/>
      <c r="Y10" s="298" t="e">
        <f>-R10+V10-W10</f>
        <v>#NUM!</v>
      </c>
    </row>
    <row r="11" spans="2:28" ht="15" x14ac:dyDescent="0.25">
      <c r="B11" s="1" t="s">
        <v>55</v>
      </c>
      <c r="C11" s="298">
        <f>+'BL PPTO'!AE120</f>
        <v>54685.15</v>
      </c>
      <c r="D11" s="298">
        <f>+'BL-TAPIAS'!O124</f>
        <v>53271.38</v>
      </c>
      <c r="E11" s="99">
        <f t="shared" ref="E11" si="1">IFERROR((+D11/C11),0)</f>
        <v>0.97414709477801553</v>
      </c>
      <c r="F11" s="298">
        <f>+'BL PPTO'!AE123</f>
        <v>95544.37</v>
      </c>
      <c r="G11" s="298">
        <f>+'BL-TAPIAS'!V124</f>
        <v>545624.27</v>
      </c>
      <c r="H11" s="99">
        <f>IFERROR((+G11/F11),0)</f>
        <v>5.7106899129692312</v>
      </c>
      <c r="I11" s="299">
        <f>+F11-G11</f>
        <v>-450079.9</v>
      </c>
      <c r="J11" s="779"/>
      <c r="K11" s="298">
        <f>+'BL-TAPIAS'!AL124</f>
        <v>163461.59</v>
      </c>
      <c r="L11" s="298">
        <f>+'BL-TAPIAS'!AQ125</f>
        <v>0</v>
      </c>
      <c r="M11" s="298">
        <f>+K11-L11</f>
        <v>163461.59</v>
      </c>
      <c r="N11" s="248"/>
      <c r="O11" s="298">
        <f>+'BL-TAPIAS'!AM124+'BL-TAPIAS'!AN124+'BL-TAPIAS'!AO124</f>
        <v>545624.27</v>
      </c>
      <c r="P11" s="298">
        <f>+'BL-TAPIAS'!AP124</f>
        <v>388329.36</v>
      </c>
      <c r="Q11" s="248"/>
      <c r="R11" s="300">
        <f>((M11)-(O11-P11))</f>
        <v>6166.6799999999639</v>
      </c>
      <c r="S11" s="298">
        <f>+'BL-TAPIAS'!AQ124</f>
        <v>6171.6799999999994</v>
      </c>
      <c r="T11" s="298">
        <f>+R11-S11</f>
        <v>-5.0000000000354703</v>
      </c>
      <c r="U11" s="248"/>
      <c r="V11" s="298">
        <f>+'BL-TAPIAS'!V125</f>
        <v>8000</v>
      </c>
      <c r="W11" s="301"/>
      <c r="X11" s="248"/>
      <c r="Y11" s="298">
        <f>-R11+V11-W11</f>
        <v>1833.3200000000361</v>
      </c>
    </row>
    <row r="12" spans="2:28" s="78" customFormat="1" ht="15" x14ac:dyDescent="0.25">
      <c r="B12" s="112"/>
      <c r="C12" s="302">
        <f>SUM(C8:C11)</f>
        <v>3127947.73</v>
      </c>
      <c r="D12" s="302">
        <f>SUM(D8:D11)</f>
        <v>3227133.4979999997</v>
      </c>
      <c r="E12" s="114">
        <f t="shared" si="0"/>
        <v>1.031709534992773</v>
      </c>
      <c r="F12" s="302">
        <f>SUM(F8:F11)</f>
        <v>34472090.809999995</v>
      </c>
      <c r="G12" s="302">
        <f>SUM(G8:G11)</f>
        <v>42842651.697999991</v>
      </c>
      <c r="H12" s="303">
        <f>IFERROR((+G12/F12),0)</f>
        <v>1.2428213865569124</v>
      </c>
      <c r="I12" s="304">
        <f>SUM(I8:I11)</f>
        <v>-8370560.8879999965</v>
      </c>
      <c r="J12" s="779"/>
      <c r="K12" s="302" t="e">
        <f>SUM(K8:K11)</f>
        <v>#VALUE!</v>
      </c>
      <c r="L12" s="302">
        <f>SUM(L8:L11)</f>
        <v>2682559.02</v>
      </c>
      <c r="M12" s="302" t="e">
        <f>SUM(M8:M11)</f>
        <v>#VALUE!</v>
      </c>
      <c r="N12" s="248"/>
      <c r="O12" s="302">
        <f>SUM(O8:O11)</f>
        <v>32720906.278000005</v>
      </c>
      <c r="P12" s="302" t="e">
        <f>SUM(P8:P11)</f>
        <v>#VALUE!</v>
      </c>
      <c r="Q12" s="248"/>
      <c r="R12" s="302" t="e">
        <f>SUM(R8:R11)</f>
        <v>#VALUE!</v>
      </c>
      <c r="S12" s="302" t="e">
        <f>SUM(S8:S11)</f>
        <v>#VALUE!</v>
      </c>
      <c r="T12" s="302" t="e">
        <f>SUM(T8:T11)</f>
        <v>#VALUE!</v>
      </c>
      <c r="U12" s="248"/>
      <c r="V12" s="302">
        <f>SUM(V8:V11)</f>
        <v>982695.37</v>
      </c>
      <c r="W12" s="302">
        <f>SUM(W8:W11)</f>
        <v>177175.45</v>
      </c>
      <c r="X12" s="248"/>
      <c r="Y12" s="302" t="e">
        <f>SUM(Y8:Y11)</f>
        <v>#VALUE!</v>
      </c>
      <c r="Z12" s="1"/>
      <c r="AA12" s="1"/>
      <c r="AB12" s="1"/>
    </row>
    <row r="13" spans="2:28" ht="15" x14ac:dyDescent="0.25">
      <c r="B13" s="305"/>
      <c r="C13" s="306"/>
      <c r="D13" s="306"/>
      <c r="E13" s="307"/>
      <c r="F13" s="306"/>
      <c r="G13" s="306"/>
      <c r="H13" s="306"/>
      <c r="I13" s="306"/>
      <c r="J13" s="779"/>
      <c r="K13" s="308"/>
      <c r="L13" s="309">
        <f>+I9-L9</f>
        <v>-10082777.607999995</v>
      </c>
      <c r="M13" s="308"/>
      <c r="N13" s="248"/>
      <c r="O13" s="308"/>
      <c r="P13" s="308"/>
      <c r="Q13" s="248"/>
      <c r="R13" s="308"/>
      <c r="S13" s="308"/>
      <c r="T13" s="308"/>
      <c r="U13" s="248"/>
      <c r="V13" s="309"/>
      <c r="W13" s="309"/>
      <c r="X13" s="248"/>
      <c r="Y13" s="1"/>
    </row>
    <row r="14" spans="2:28" s="109" customFormat="1" ht="25.5" x14ac:dyDescent="0.25">
      <c r="B14" s="110" t="s">
        <v>33</v>
      </c>
      <c r="C14" s="111" t="s">
        <v>56</v>
      </c>
      <c r="D14" s="111" t="s">
        <v>6</v>
      </c>
      <c r="E14" s="242" t="s">
        <v>8</v>
      </c>
      <c r="F14" s="111" t="s">
        <v>11</v>
      </c>
      <c r="G14" s="111" t="s">
        <v>57</v>
      </c>
      <c r="H14" s="111" t="s">
        <v>9</v>
      </c>
      <c r="I14" s="111" t="s">
        <v>58</v>
      </c>
      <c r="J14" s="779"/>
      <c r="L14" s="251"/>
      <c r="M14" s="248"/>
      <c r="N14" s="248"/>
      <c r="O14" s="1"/>
      <c r="P14" s="265"/>
      <c r="Q14" s="249"/>
      <c r="R14" s="248"/>
      <c r="S14" s="248"/>
      <c r="T14" s="248"/>
      <c r="U14" s="249"/>
      <c r="V14" s="249"/>
      <c r="W14" s="249"/>
      <c r="X14" s="249"/>
    </row>
    <row r="15" spans="2:28" x14ac:dyDescent="0.2">
      <c r="B15" s="1" t="s">
        <v>52</v>
      </c>
      <c r="C15" s="82">
        <f>COUNTA('SANTA ELISA'!B5:B79)</f>
        <v>75</v>
      </c>
      <c r="D15" s="82">
        <f>COUNTIF('SANTA ELISA'!$BG$5:$BG$79,D$14)</f>
        <v>0</v>
      </c>
      <c r="E15" s="243">
        <f>COUNTIF('SANTA ELISA'!$BG$5:$BG$79,E$14)</f>
        <v>11</v>
      </c>
      <c r="F15" s="82">
        <f>COUNTIF('SANTA ELISA'!$BG$5:$BG$79,F$14)</f>
        <v>1</v>
      </c>
      <c r="G15" s="82">
        <f>COUNTIF('SANTA ELISA'!$BG$5:$BG$79,G$14)</f>
        <v>17</v>
      </c>
      <c r="H15" s="82">
        <f>COUNTIF('SANTA ELISA'!$BG$5:$BG$79,H$14)</f>
        <v>46</v>
      </c>
      <c r="I15" s="82">
        <f>COUNTIF('SANTA ELISA'!$BG$5:$BG$79,I$14)</f>
        <v>0</v>
      </c>
      <c r="J15" s="109"/>
      <c r="L15" s="82"/>
      <c r="M15" s="82"/>
      <c r="N15" s="82"/>
      <c r="P15" s="249"/>
      <c r="Q15" s="249"/>
      <c r="R15" s="82"/>
      <c r="S15" s="82"/>
      <c r="T15" s="82"/>
      <c r="U15" s="249"/>
      <c r="V15" s="249"/>
      <c r="W15" s="249"/>
      <c r="X15" s="249"/>
      <c r="Y15" s="1"/>
    </row>
    <row r="16" spans="2:28" x14ac:dyDescent="0.2">
      <c r="B16" s="1" t="s">
        <v>53</v>
      </c>
      <c r="C16" s="82">
        <f>COUNTA('BOULEVARD 5'!B7:B304)</f>
        <v>298</v>
      </c>
      <c r="D16" s="82">
        <f>COUNTIF('BOULEVARD 5'!$BB:$BB,D$14)</f>
        <v>61</v>
      </c>
      <c r="E16" s="243">
        <f>COUNTIF('BOULEVARD 5'!BB:BB,E14)-I16</f>
        <v>159</v>
      </c>
      <c r="F16" s="82">
        <f>COUNTIF('BOULEVARD 5'!$BB:$BB,F$14)</f>
        <v>14</v>
      </c>
      <c r="G16" s="82">
        <f>COUNTIF('BOULEVARD 5'!$BB:$BB,G$14)</f>
        <v>7</v>
      </c>
      <c r="H16" s="82">
        <f>COUNTIF('BOULEVARD 5'!BB:BB,H$14)</f>
        <v>30</v>
      </c>
      <c r="I16" s="82">
        <f>COUNTIFS('BOULEVARD 5'!$BB:$BB,E$14,'BOULEVARD 5'!BQ:BQ,$I14)</f>
        <v>26</v>
      </c>
      <c r="J16" s="109"/>
      <c r="K16" s="252"/>
      <c r="L16" s="82"/>
      <c r="M16" s="82"/>
      <c r="N16" s="82"/>
      <c r="P16" s="265"/>
      <c r="Q16" s="249"/>
      <c r="R16" s="82"/>
      <c r="S16" s="82"/>
      <c r="T16" s="82"/>
      <c r="U16" s="249"/>
      <c r="V16" s="249"/>
      <c r="W16" s="249"/>
      <c r="X16" s="249"/>
      <c r="Y16" s="1"/>
    </row>
    <row r="17" spans="2:25" x14ac:dyDescent="0.2">
      <c r="B17" s="1" t="s">
        <v>54</v>
      </c>
      <c r="C17" s="82">
        <f>COUNTA(BENES!B7:B86)</f>
        <v>80</v>
      </c>
      <c r="D17" s="82">
        <f>COUNTIF(BENES!$AV:$AV,D$14)</f>
        <v>36</v>
      </c>
      <c r="E17" s="243">
        <f>COUNTIF(BENES!$AV:$AV,E$14)</f>
        <v>17</v>
      </c>
      <c r="F17" s="82">
        <f>COUNTIF(BENES!$AV:$AV,F$14)</f>
        <v>16</v>
      </c>
      <c r="G17" s="82">
        <f>COUNTIF(BENES!$AV:$AV,G$14)</f>
        <v>0</v>
      </c>
      <c r="H17" s="82">
        <f>COUNTIF(BENES!$AV:$AV,H$14)</f>
        <v>0</v>
      </c>
      <c r="I17" s="82">
        <f>COUNTIFS(BENES!$AV:$AV,E$14,BENES!BK:BK,$I14)</f>
        <v>0</v>
      </c>
      <c r="J17" s="109"/>
      <c r="L17" s="82"/>
      <c r="M17" s="82"/>
      <c r="N17" s="82"/>
      <c r="P17" s="249"/>
      <c r="Q17" s="249"/>
      <c r="R17" s="82"/>
      <c r="S17" s="82"/>
      <c r="T17" s="82"/>
      <c r="U17" s="249"/>
      <c r="V17" s="249"/>
      <c r="W17" s="265"/>
      <c r="X17" s="249"/>
      <c r="Y17" s="1"/>
    </row>
    <row r="18" spans="2:25" x14ac:dyDescent="0.2">
      <c r="B18" s="1" t="s">
        <v>55</v>
      </c>
      <c r="C18" s="82">
        <f>COUNTA('BL-TAPIAS'!B7:B123)</f>
        <v>117</v>
      </c>
      <c r="D18" s="82">
        <f>COUNTIF('BL-TAPIAS'!$AD:$AD,D$14)</f>
        <v>61</v>
      </c>
      <c r="E18" s="243">
        <f>COUNTIF('BL-TAPIAS'!$AD:$AD,E$14)</f>
        <v>5</v>
      </c>
      <c r="F18" s="82">
        <f>COUNTIF('BL-TAPIAS'!$AD:$AD,F$14)</f>
        <v>51</v>
      </c>
      <c r="G18" s="82">
        <f>COUNTIF('BL-TAPIAS'!$AD:$AD,G$14)</f>
        <v>0</v>
      </c>
      <c r="H18" s="82">
        <f>COUNTIF('BL-TAPIAS'!$AD:$AD,H$14)</f>
        <v>0</v>
      </c>
      <c r="I18" s="82">
        <f>COUNTIFS('BL-TAPIAS'!$AD:$AD,E$14,'BL-TAPIAS'!AS:AS,$I14)</f>
        <v>0</v>
      </c>
      <c r="J18" s="109"/>
      <c r="L18" s="82"/>
      <c r="M18" s="82"/>
      <c r="N18" s="82"/>
      <c r="O18" s="257"/>
      <c r="P18" s="249"/>
      <c r="Q18" s="249"/>
      <c r="R18" s="82"/>
      <c r="S18" s="82"/>
      <c r="T18" s="82"/>
      <c r="U18" s="249"/>
      <c r="V18" s="249"/>
      <c r="W18" s="249"/>
      <c r="X18" s="249"/>
      <c r="Y18" s="1"/>
    </row>
    <row r="19" spans="2:25" x14ac:dyDescent="0.2">
      <c r="B19" s="112"/>
      <c r="C19" s="113">
        <f>SUM(C15:C18)</f>
        <v>570</v>
      </c>
      <c r="D19" s="113">
        <f t="shared" ref="D19:E19" si="2">SUM(D15:D18)</f>
        <v>158</v>
      </c>
      <c r="E19" s="244">
        <f t="shared" si="2"/>
        <v>192</v>
      </c>
      <c r="F19" s="113">
        <f>SUM(F15:F18)</f>
        <v>82</v>
      </c>
      <c r="G19" s="113">
        <f>SUM(G15:G18)</f>
        <v>24</v>
      </c>
      <c r="H19" s="113">
        <f>SUM(H15:H18)</f>
        <v>76</v>
      </c>
      <c r="I19" s="113">
        <f>SUM(I15:I18)</f>
        <v>26</v>
      </c>
      <c r="J19" s="109"/>
      <c r="L19" s="249"/>
      <c r="M19" s="249"/>
      <c r="N19" s="249"/>
      <c r="O19" s="257"/>
      <c r="P19" s="249"/>
      <c r="Q19" s="249"/>
      <c r="R19" s="249"/>
      <c r="S19" s="249"/>
      <c r="T19" s="249"/>
      <c r="U19" s="249"/>
      <c r="V19" s="249"/>
      <c r="W19" s="249"/>
      <c r="X19" s="249"/>
      <c r="Y19" s="1"/>
    </row>
    <row r="20" spans="2:25" ht="6" hidden="1" customHeight="1" x14ac:dyDescent="0.2">
      <c r="D20" s="99"/>
      <c r="O20" s="257"/>
      <c r="Y20" s="1"/>
    </row>
    <row r="21" spans="2:25" ht="6" customHeight="1" x14ac:dyDescent="0.2">
      <c r="D21" s="99"/>
      <c r="O21" s="257"/>
      <c r="Y21" s="1"/>
    </row>
    <row r="22" spans="2:25" x14ac:dyDescent="0.2">
      <c r="B22" s="78" t="s">
        <v>59</v>
      </c>
      <c r="O22" s="257"/>
      <c r="Y22" s="1"/>
    </row>
    <row r="23" spans="2:25" ht="25.5" x14ac:dyDescent="0.2">
      <c r="B23" s="110" t="s">
        <v>33</v>
      </c>
      <c r="C23" s="111" t="s">
        <v>56</v>
      </c>
      <c r="D23" s="111" t="s">
        <v>6</v>
      </c>
      <c r="E23" s="111" t="s">
        <v>8</v>
      </c>
      <c r="F23" s="111" t="s">
        <v>60</v>
      </c>
      <c r="G23" s="111" t="s">
        <v>57</v>
      </c>
      <c r="H23" s="111" t="s">
        <v>9</v>
      </c>
      <c r="I23" s="111" t="s">
        <v>58</v>
      </c>
      <c r="M23" s="248"/>
      <c r="N23" s="248"/>
      <c r="O23" s="257"/>
      <c r="Q23" s="248"/>
      <c r="U23" s="248"/>
      <c r="X23" s="248"/>
      <c r="Y23" s="1"/>
    </row>
    <row r="24" spans="2:25" x14ac:dyDescent="0.2">
      <c r="B24" s="1" t="s">
        <v>52</v>
      </c>
      <c r="C24" s="99">
        <v>1</v>
      </c>
      <c r="D24" s="99">
        <f t="shared" ref="D24:I24" si="3">+D15/$C$15</f>
        <v>0</v>
      </c>
      <c r="E24" s="99">
        <f t="shared" si="3"/>
        <v>0.14666666666666667</v>
      </c>
      <c r="F24" s="99">
        <f t="shared" si="3"/>
        <v>1.3333333333333334E-2</v>
      </c>
      <c r="G24" s="99">
        <f t="shared" si="3"/>
        <v>0.22666666666666666</v>
      </c>
      <c r="H24" s="99">
        <f t="shared" si="3"/>
        <v>0.61333333333333329</v>
      </c>
      <c r="I24" s="99">
        <f t="shared" si="3"/>
        <v>0</v>
      </c>
      <c r="M24" s="99"/>
      <c r="N24" s="99"/>
      <c r="O24" s="257"/>
      <c r="Q24" s="99"/>
      <c r="U24" s="99"/>
      <c r="X24" s="99"/>
      <c r="Y24" s="1"/>
    </row>
    <row r="25" spans="2:25" x14ac:dyDescent="0.2">
      <c r="B25" s="1" t="s">
        <v>53</v>
      </c>
      <c r="C25" s="99">
        <v>1</v>
      </c>
      <c r="D25" s="99">
        <f t="shared" ref="D25:I25" si="4">+D16/$C$16</f>
        <v>0.20469798657718122</v>
      </c>
      <c r="E25" s="99">
        <f t="shared" si="4"/>
        <v>0.53355704697986572</v>
      </c>
      <c r="F25" s="99">
        <f t="shared" si="4"/>
        <v>4.6979865771812082E-2</v>
      </c>
      <c r="G25" s="99">
        <f t="shared" si="4"/>
        <v>2.3489932885906041E-2</v>
      </c>
      <c r="H25" s="99">
        <f t="shared" si="4"/>
        <v>0.10067114093959731</v>
      </c>
      <c r="I25" s="99">
        <f t="shared" si="4"/>
        <v>8.7248322147651006E-2</v>
      </c>
      <c r="M25" s="99"/>
      <c r="N25" s="99"/>
      <c r="O25" s="257"/>
      <c r="Q25" s="99"/>
      <c r="U25" s="99"/>
      <c r="X25" s="99"/>
      <c r="Y25" s="1"/>
    </row>
    <row r="26" spans="2:25" x14ac:dyDescent="0.2">
      <c r="B26" s="1" t="s">
        <v>54</v>
      </c>
      <c r="C26" s="99">
        <v>1</v>
      </c>
      <c r="D26" s="99">
        <f t="shared" ref="D26:I26" si="5">+D17/$C$17</f>
        <v>0.45</v>
      </c>
      <c r="E26" s="99">
        <f t="shared" si="5"/>
        <v>0.21249999999999999</v>
      </c>
      <c r="F26" s="99">
        <f t="shared" si="5"/>
        <v>0.2</v>
      </c>
      <c r="G26" s="99">
        <f t="shared" si="5"/>
        <v>0</v>
      </c>
      <c r="H26" s="99">
        <f t="shared" si="5"/>
        <v>0</v>
      </c>
      <c r="I26" s="99">
        <f t="shared" si="5"/>
        <v>0</v>
      </c>
      <c r="M26" s="99"/>
      <c r="N26" s="99"/>
      <c r="O26" s="257"/>
      <c r="Q26" s="99"/>
      <c r="U26" s="99"/>
      <c r="X26" s="99"/>
      <c r="Y26" s="1"/>
    </row>
    <row r="27" spans="2:25" x14ac:dyDescent="0.2">
      <c r="B27" s="1" t="s">
        <v>55</v>
      </c>
      <c r="C27" s="99">
        <v>1</v>
      </c>
      <c r="D27" s="99">
        <f t="shared" ref="D27:I27" si="6">+D18/$C$18</f>
        <v>0.5213675213675214</v>
      </c>
      <c r="E27" s="99">
        <f t="shared" si="6"/>
        <v>4.2735042735042736E-2</v>
      </c>
      <c r="F27" s="99">
        <f t="shared" si="6"/>
        <v>0.4358974358974359</v>
      </c>
      <c r="G27" s="99">
        <f t="shared" si="6"/>
        <v>0</v>
      </c>
      <c r="H27" s="99">
        <f t="shared" si="6"/>
        <v>0</v>
      </c>
      <c r="I27" s="99">
        <f t="shared" si="6"/>
        <v>0</v>
      </c>
      <c r="M27" s="99"/>
      <c r="N27" s="99"/>
      <c r="O27" s="257"/>
      <c r="Q27" s="99"/>
      <c r="U27" s="99"/>
      <c r="X27" s="99"/>
      <c r="Y27" s="1"/>
    </row>
    <row r="28" spans="2:25" x14ac:dyDescent="0.2">
      <c r="B28" s="112"/>
      <c r="C28" s="114">
        <f>AVERAGE(C24:C27)</f>
        <v>1</v>
      </c>
      <c r="D28" s="114">
        <f t="shared" ref="D28:G28" si="7">AVERAGE(D24:D27)</f>
        <v>0.29401637698617566</v>
      </c>
      <c r="E28" s="114">
        <f t="shared" si="7"/>
        <v>0.23386468909539376</v>
      </c>
      <c r="F28" s="114">
        <f t="shared" si="7"/>
        <v>0.17405265875064535</v>
      </c>
      <c r="G28" s="114">
        <f t="shared" si="7"/>
        <v>6.2539149888143172E-2</v>
      </c>
      <c r="H28" s="114">
        <f>AVERAGE(H24:H27)</f>
        <v>0.17850111856823264</v>
      </c>
      <c r="I28" s="114">
        <f>AVERAGE(I24:I27)</f>
        <v>2.1812080536912751E-2</v>
      </c>
      <c r="M28" s="250"/>
      <c r="N28" s="250"/>
      <c r="O28" s="257"/>
      <c r="Q28" s="266"/>
      <c r="U28" s="266"/>
      <c r="X28" s="266"/>
      <c r="Y28" s="1"/>
    </row>
    <row r="29" spans="2:25" x14ac:dyDescent="0.2">
      <c r="O29" s="257"/>
      <c r="Y29" s="1"/>
    </row>
    <row r="30" spans="2:25" x14ac:dyDescent="0.2">
      <c r="F30" s="81"/>
      <c r="O30" s="257"/>
      <c r="Y30" s="1"/>
    </row>
    <row r="31" spans="2:25" x14ac:dyDescent="0.2">
      <c r="Y31" s="1"/>
    </row>
    <row r="32" spans="2:25" x14ac:dyDescent="0.2">
      <c r="Y32" s="1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</sheetData>
  <hyperlinks>
    <hyperlink ref="E16" location="'ALERTA (B5)'!A1" display="'ALERTA (B5)'!A1" xr:uid="{B7649769-567E-461B-970F-ED725CE2B97E}"/>
    <hyperlink ref="E17" location="'ALERTA BEN'!A1" display="'ALERTA BEN'!A1" xr:uid="{9BF188D1-4AA2-4AAE-87D3-303D8C59D24C}"/>
    <hyperlink ref="E18" location="ALERTAS!A1" display="ALERTAS!A1" xr:uid="{F89AE25B-8AE3-45E7-9106-2A54F3122125}"/>
    <hyperlink ref="E15" location="ALERTAS!A1" display="ALERTAS!A1" xr:uid="{C9E7C22D-5260-47A8-8CA8-1BBD76131346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9B13-53BD-4500-809D-7425D21C019E}">
  <dimension ref="A1:BL4"/>
  <sheetViews>
    <sheetView topLeftCell="AD1" workbookViewId="0">
      <selection activeCell="AI4" sqref="AI4:AL4"/>
    </sheetView>
  </sheetViews>
  <sheetFormatPr defaultColWidth="11.42578125" defaultRowHeight="15" x14ac:dyDescent="0.25"/>
  <cols>
    <col min="1" max="3" width="11.7109375" bestFit="1" customWidth="1"/>
    <col min="4" max="4" width="12" bestFit="1" customWidth="1"/>
    <col min="5" max="5" width="24.140625" bestFit="1" customWidth="1"/>
    <col min="6" max="6" width="11.85546875" bestFit="1" customWidth="1"/>
    <col min="7" max="7" width="13.5703125" bestFit="1" customWidth="1"/>
    <col min="8" max="8" width="16.140625" bestFit="1" customWidth="1"/>
    <col min="9" max="39" width="11.7109375" bestFit="1" customWidth="1"/>
    <col min="40" max="40" width="26.42578125" bestFit="1" customWidth="1"/>
    <col min="41" max="41" width="11.7109375" bestFit="1" customWidth="1"/>
    <col min="42" max="42" width="29" bestFit="1" customWidth="1"/>
    <col min="43" max="43" width="13.5703125" bestFit="1" customWidth="1"/>
    <col min="44" max="44" width="26.5703125" bestFit="1" customWidth="1"/>
    <col min="45" max="45" width="14.28515625" bestFit="1" customWidth="1"/>
    <col min="46" max="46" width="40.7109375" bestFit="1" customWidth="1"/>
    <col min="47" max="47" width="16.7109375" bestFit="1" customWidth="1"/>
    <col min="48" max="48" width="17.7109375" bestFit="1" customWidth="1"/>
    <col min="49" max="49" width="17.140625" bestFit="1" customWidth="1"/>
    <col min="50" max="50" width="18.85546875" bestFit="1" customWidth="1"/>
    <col min="51" max="51" width="21.42578125" bestFit="1" customWidth="1"/>
    <col min="52" max="52" width="25.140625" bestFit="1" customWidth="1"/>
    <col min="53" max="53" width="23.42578125" bestFit="1" customWidth="1"/>
    <col min="54" max="54" width="16.28515625" bestFit="1" customWidth="1"/>
    <col min="55" max="55" width="52" bestFit="1" customWidth="1"/>
    <col min="56" max="56" width="38.42578125" bestFit="1" customWidth="1"/>
    <col min="57" max="57" width="31.5703125" bestFit="1" customWidth="1"/>
    <col min="58" max="58" width="39.42578125" bestFit="1" customWidth="1"/>
    <col min="59" max="59" width="11.7109375" bestFit="1" customWidth="1"/>
    <col min="60" max="60" width="27" bestFit="1" customWidth="1"/>
    <col min="61" max="61" width="33.28515625" bestFit="1" customWidth="1"/>
    <col min="62" max="62" width="11.7109375" bestFit="1" customWidth="1"/>
    <col min="63" max="63" width="19.42578125" bestFit="1" customWidth="1"/>
    <col min="64" max="64" width="15.5703125" bestFit="1" customWidth="1"/>
  </cols>
  <sheetData>
    <row r="1" spans="1:64" x14ac:dyDescent="0.25">
      <c r="A1" s="15" t="s">
        <v>61</v>
      </c>
    </row>
    <row r="3" spans="1:64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104</v>
      </c>
      <c r="AR3" t="s">
        <v>105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118</v>
      </c>
      <c r="BF3" t="s">
        <v>119</v>
      </c>
      <c r="BG3" t="s">
        <v>48</v>
      </c>
      <c r="BH3" t="s">
        <v>120</v>
      </c>
      <c r="BI3" t="s">
        <v>121</v>
      </c>
      <c r="BJ3" t="s">
        <v>122</v>
      </c>
      <c r="BK3" t="s">
        <v>123</v>
      </c>
      <c r="BL3" t="s">
        <v>124</v>
      </c>
    </row>
    <row r="4" spans="1:64" x14ac:dyDescent="0.25">
      <c r="A4">
        <v>315</v>
      </c>
      <c r="B4" t="s">
        <v>125</v>
      </c>
      <c r="D4" t="s">
        <v>126</v>
      </c>
      <c r="E4" t="s">
        <v>127</v>
      </c>
      <c r="F4" s="290">
        <v>45752</v>
      </c>
      <c r="G4" t="s">
        <v>128</v>
      </c>
      <c r="H4">
        <v>1543626.9723517401</v>
      </c>
      <c r="I4">
        <v>154426.97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10000</v>
      </c>
      <c r="AJ4">
        <v>10000</v>
      </c>
      <c r="AL4">
        <v>10024</v>
      </c>
      <c r="AN4">
        <v>30024</v>
      </c>
      <c r="AO4">
        <v>0.19442199766012375</v>
      </c>
      <c r="AP4">
        <v>-124402.97</v>
      </c>
      <c r="AQ4">
        <v>-0.80557800233987631</v>
      </c>
      <c r="AR4">
        <v>1513602.9723517401</v>
      </c>
      <c r="AS4">
        <v>0.9805497049884675</v>
      </c>
      <c r="AT4">
        <v>154426.97</v>
      </c>
      <c r="AU4" t="s">
        <v>129</v>
      </c>
      <c r="AV4" t="s">
        <v>5</v>
      </c>
      <c r="AW4">
        <v>13</v>
      </c>
      <c r="AX4">
        <v>1</v>
      </c>
      <c r="AY4">
        <v>14</v>
      </c>
      <c r="AZ4">
        <v>10000</v>
      </c>
      <c r="BA4">
        <v>11110</v>
      </c>
      <c r="BB4">
        <v>0</v>
      </c>
      <c r="BC4">
        <v>3</v>
      </c>
      <c r="BD4">
        <v>43330</v>
      </c>
      <c r="BE4">
        <v>30024</v>
      </c>
      <c r="BF4">
        <v>0</v>
      </c>
      <c r="BG4">
        <v>0</v>
      </c>
      <c r="BH4">
        <v>0</v>
      </c>
      <c r="BI4">
        <v>13306</v>
      </c>
      <c r="BJ4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CC31-D756-4B98-8D79-938EB1451E8D}">
  <dimension ref="A1:BL4"/>
  <sheetViews>
    <sheetView topLeftCell="W1" workbookViewId="0">
      <selection activeCell="AM3" sqref="AM3"/>
    </sheetView>
  </sheetViews>
  <sheetFormatPr defaultColWidth="11.42578125" defaultRowHeight="15" x14ac:dyDescent="0.25"/>
  <cols>
    <col min="1" max="3" width="11.7109375" bestFit="1" customWidth="1"/>
    <col min="4" max="4" width="13" bestFit="1" customWidth="1"/>
    <col min="5" max="5" width="32.7109375" bestFit="1" customWidth="1"/>
    <col min="6" max="6" width="15.140625" bestFit="1" customWidth="1"/>
    <col min="7" max="7" width="11.7109375" bestFit="1" customWidth="1"/>
    <col min="8" max="8" width="16.140625" bestFit="1" customWidth="1"/>
    <col min="9" max="39" width="11.7109375" bestFit="1" customWidth="1"/>
    <col min="40" max="40" width="26.42578125" bestFit="1" customWidth="1"/>
    <col min="41" max="41" width="11.7109375" bestFit="1" customWidth="1"/>
    <col min="42" max="42" width="29" bestFit="1" customWidth="1"/>
    <col min="43" max="43" width="13.5703125" bestFit="1" customWidth="1"/>
    <col min="44" max="44" width="26.5703125" bestFit="1" customWidth="1"/>
    <col min="45" max="45" width="14.28515625" bestFit="1" customWidth="1"/>
    <col min="46" max="46" width="40.7109375" bestFit="1" customWidth="1"/>
    <col min="47" max="47" width="16.7109375" bestFit="1" customWidth="1"/>
    <col min="48" max="48" width="17.7109375" bestFit="1" customWidth="1"/>
    <col min="49" max="49" width="17.140625" bestFit="1" customWidth="1"/>
    <col min="50" max="50" width="18.85546875" bestFit="1" customWidth="1"/>
    <col min="51" max="51" width="21.42578125" bestFit="1" customWidth="1"/>
    <col min="52" max="52" width="25.140625" bestFit="1" customWidth="1"/>
    <col min="53" max="53" width="23.42578125" bestFit="1" customWidth="1"/>
    <col min="54" max="54" width="16.28515625" bestFit="1" customWidth="1"/>
    <col min="55" max="55" width="52" bestFit="1" customWidth="1"/>
    <col min="56" max="56" width="38.42578125" bestFit="1" customWidth="1"/>
    <col min="57" max="57" width="31.5703125" bestFit="1" customWidth="1"/>
    <col min="58" max="58" width="39.42578125" bestFit="1" customWidth="1"/>
    <col min="59" max="59" width="11.7109375" bestFit="1" customWidth="1"/>
    <col min="60" max="60" width="27" bestFit="1" customWidth="1"/>
    <col min="61" max="61" width="33.28515625" bestFit="1" customWidth="1"/>
    <col min="62" max="62" width="11.7109375" bestFit="1" customWidth="1"/>
    <col min="63" max="63" width="19.42578125" bestFit="1" customWidth="1"/>
    <col min="64" max="64" width="15.5703125" bestFit="1" customWidth="1"/>
  </cols>
  <sheetData>
    <row r="1" spans="1:64" x14ac:dyDescent="0.25">
      <c r="A1" s="15" t="s">
        <v>130</v>
      </c>
    </row>
    <row r="3" spans="1:64" x14ac:dyDescent="0.25">
      <c r="A3" t="s">
        <v>131</v>
      </c>
      <c r="B3" t="s">
        <v>132</v>
      </c>
      <c r="C3" t="s">
        <v>64</v>
      </c>
      <c r="D3" t="s">
        <v>65</v>
      </c>
      <c r="E3" t="s">
        <v>66</v>
      </c>
      <c r="F3" t="s">
        <v>133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104</v>
      </c>
      <c r="AR3" t="s">
        <v>105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118</v>
      </c>
      <c r="BF3" t="s">
        <v>119</v>
      </c>
      <c r="BG3" t="s">
        <v>48</v>
      </c>
      <c r="BH3" t="s">
        <v>120</v>
      </c>
      <c r="BI3" t="s">
        <v>121</v>
      </c>
      <c r="BJ3" t="s">
        <v>122</v>
      </c>
      <c r="BK3" t="s">
        <v>123</v>
      </c>
      <c r="BL3" t="s">
        <v>124</v>
      </c>
    </row>
    <row r="4" spans="1:64" x14ac:dyDescent="0.25">
      <c r="A4">
        <v>602</v>
      </c>
      <c r="B4" t="s">
        <v>134</v>
      </c>
      <c r="D4" t="s">
        <v>135</v>
      </c>
      <c r="E4" t="s">
        <v>136</v>
      </c>
      <c r="F4" s="290">
        <v>45815</v>
      </c>
      <c r="G4" t="s">
        <v>137</v>
      </c>
      <c r="H4">
        <v>1529194.3266091</v>
      </c>
      <c r="I4">
        <v>152894.32999999999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10000</v>
      </c>
      <c r="AN4">
        <v>10000</v>
      </c>
      <c r="AO4">
        <v>6.5404649080184993E-2</v>
      </c>
      <c r="AP4">
        <v>-142894.32999999999</v>
      </c>
      <c r="AQ4">
        <v>-0.93459535091981505</v>
      </c>
      <c r="AR4">
        <v>1519194.3266091</v>
      </c>
      <c r="AS4">
        <v>0.99346060874933118</v>
      </c>
      <c r="AT4">
        <v>152894.32999999999</v>
      </c>
      <c r="AU4" t="s">
        <v>129</v>
      </c>
      <c r="AV4" t="s">
        <v>5</v>
      </c>
      <c r="AW4">
        <v>12</v>
      </c>
      <c r="AX4">
        <v>1</v>
      </c>
      <c r="AY4">
        <v>13</v>
      </c>
      <c r="AZ4">
        <v>10000</v>
      </c>
      <c r="BA4">
        <v>11908</v>
      </c>
      <c r="BB4">
        <v>0</v>
      </c>
      <c r="BC4">
        <v>2</v>
      </c>
      <c r="BD4">
        <v>33816</v>
      </c>
      <c r="BE4">
        <v>10000</v>
      </c>
      <c r="BF4">
        <v>0</v>
      </c>
      <c r="BG4">
        <v>0</v>
      </c>
      <c r="BH4">
        <v>0</v>
      </c>
      <c r="BI4">
        <v>23816</v>
      </c>
      <c r="BJ4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A2F8-7E25-4F78-AE9C-242C6CF1E630}">
  <sheetPr>
    <tabColor rgb="FFFFC000"/>
  </sheetPr>
  <dimension ref="B2:K251"/>
  <sheetViews>
    <sheetView showGridLines="0" zoomScale="130" zoomScaleNormal="130" workbookViewId="0">
      <pane xSplit="2" ySplit="6" topLeftCell="C17" activePane="bottomRight" state="frozen"/>
      <selection pane="topRight" activeCell="C1" sqref="C1"/>
      <selection pane="bottomLeft" activeCell="A7" sqref="A7"/>
      <selection pane="bottomRight" activeCell="F28" sqref="A28:XFD28"/>
    </sheetView>
  </sheetViews>
  <sheetFormatPr defaultColWidth="11.5703125" defaultRowHeight="11.25" x14ac:dyDescent="0.2"/>
  <cols>
    <col min="1" max="1" width="2.85546875" style="106" customWidth="1"/>
    <col min="2" max="2" width="2.85546875" style="241" customWidth="1"/>
    <col min="3" max="3" width="11.28515625" style="106" bestFit="1" customWidth="1"/>
    <col min="4" max="4" width="12.5703125" style="106" bestFit="1" customWidth="1"/>
    <col min="5" max="5" width="12.140625" style="106" bestFit="1" customWidth="1"/>
    <col min="6" max="6" width="14.85546875" style="106" bestFit="1" customWidth="1"/>
    <col min="7" max="16384" width="11.5703125" style="106"/>
  </cols>
  <sheetData>
    <row r="2" spans="3:11" ht="12" x14ac:dyDescent="0.2">
      <c r="F2" s="264" t="s">
        <v>138</v>
      </c>
    </row>
    <row r="3" spans="3:11" x14ac:dyDescent="0.2">
      <c r="C3" s="105" t="s">
        <v>139</v>
      </c>
      <c r="D3" s="105" t="s">
        <v>140</v>
      </c>
    </row>
    <row r="4" spans="3:11" x14ac:dyDescent="0.2">
      <c r="C4" s="107" t="s">
        <v>109</v>
      </c>
      <c r="D4" s="108" t="s">
        <v>5</v>
      </c>
    </row>
    <row r="6" spans="3:11" x14ac:dyDescent="0.2">
      <c r="C6" s="245" t="s">
        <v>122</v>
      </c>
      <c r="D6" s="107" t="s">
        <v>131</v>
      </c>
      <c r="E6" s="246" t="s">
        <v>141</v>
      </c>
    </row>
    <row r="7" spans="3:11" x14ac:dyDescent="0.2">
      <c r="C7" s="108">
        <v>1</v>
      </c>
      <c r="D7" s="108">
        <v>104</v>
      </c>
      <c r="E7" s="240">
        <v>1824</v>
      </c>
      <c r="K7" s="635"/>
    </row>
    <row r="8" spans="3:11" x14ac:dyDescent="0.2">
      <c r="C8" s="108"/>
      <c r="D8" s="108">
        <v>109</v>
      </c>
      <c r="E8" s="240">
        <v>7704</v>
      </c>
      <c r="K8" s="635"/>
    </row>
    <row r="9" spans="3:11" x14ac:dyDescent="0.2">
      <c r="C9" s="108"/>
      <c r="D9" s="108">
        <v>110</v>
      </c>
      <c r="E9" s="240">
        <v>2388</v>
      </c>
      <c r="K9" s="635"/>
    </row>
    <row r="10" spans="3:11" x14ac:dyDescent="0.2">
      <c r="C10" s="108"/>
      <c r="D10" s="108">
        <v>111</v>
      </c>
      <c r="E10" s="240">
        <v>820</v>
      </c>
      <c r="K10" s="635"/>
    </row>
    <row r="11" spans="3:11" x14ac:dyDescent="0.2">
      <c r="C11" s="108"/>
      <c r="D11" s="108">
        <v>312</v>
      </c>
      <c r="E11" s="240">
        <v>7851</v>
      </c>
      <c r="F11" s="108"/>
      <c r="K11" s="635"/>
    </row>
    <row r="12" spans="3:11" x14ac:dyDescent="0.2">
      <c r="C12" s="108"/>
      <c r="D12" s="108">
        <v>404</v>
      </c>
      <c r="E12" s="240">
        <v>2791</v>
      </c>
      <c r="F12" s="108"/>
      <c r="K12" s="635"/>
    </row>
    <row r="13" spans="3:11" x14ac:dyDescent="0.2">
      <c r="C13" s="108"/>
      <c r="D13" s="108">
        <v>410</v>
      </c>
      <c r="E13" s="240">
        <v>5.4599999999991269</v>
      </c>
      <c r="F13" s="108"/>
      <c r="K13" s="635"/>
    </row>
    <row r="14" spans="3:11" x14ac:dyDescent="0.2">
      <c r="C14" s="108"/>
      <c r="D14" s="108">
        <v>505</v>
      </c>
      <c r="E14" s="240">
        <v>7645</v>
      </c>
      <c r="F14" s="108"/>
      <c r="K14" s="635"/>
    </row>
    <row r="15" spans="3:11" x14ac:dyDescent="0.2">
      <c r="C15" s="108"/>
      <c r="D15" s="108">
        <v>506</v>
      </c>
      <c r="E15" s="240">
        <v>450</v>
      </c>
      <c r="F15" s="108"/>
      <c r="K15" s="635"/>
    </row>
    <row r="16" spans="3:11" x14ac:dyDescent="0.2">
      <c r="C16" s="108"/>
      <c r="D16" s="108">
        <v>508</v>
      </c>
      <c r="E16" s="240">
        <v>6404</v>
      </c>
      <c r="F16" s="108"/>
      <c r="K16" s="635"/>
    </row>
    <row r="17" spans="3:11" x14ac:dyDescent="0.2">
      <c r="C17" s="108"/>
      <c r="D17" s="108">
        <v>510</v>
      </c>
      <c r="E17" s="240">
        <v>1867.9999999999854</v>
      </c>
      <c r="F17" s="325"/>
      <c r="K17" s="635"/>
    </row>
    <row r="18" spans="3:11" x14ac:dyDescent="0.2">
      <c r="C18" s="108"/>
      <c r="D18" s="108">
        <v>512</v>
      </c>
      <c r="E18" s="240">
        <v>2477</v>
      </c>
      <c r="F18" s="108"/>
      <c r="K18" s="635"/>
    </row>
    <row r="19" spans="3:11" x14ac:dyDescent="0.2">
      <c r="C19" s="108"/>
      <c r="D19" s="108">
        <v>513</v>
      </c>
      <c r="E19" s="240">
        <v>2415</v>
      </c>
      <c r="F19" s="108"/>
      <c r="K19" s="635"/>
    </row>
    <row r="20" spans="3:11" x14ac:dyDescent="0.2">
      <c r="C20" s="108"/>
      <c r="D20" s="108">
        <v>517</v>
      </c>
      <c r="E20" s="240">
        <v>126</v>
      </c>
      <c r="F20" s="108"/>
      <c r="K20" s="635"/>
    </row>
    <row r="21" spans="3:11" x14ac:dyDescent="0.2">
      <c r="C21" s="108"/>
      <c r="D21" s="108">
        <v>603</v>
      </c>
      <c r="E21" s="240">
        <v>2417.5</v>
      </c>
      <c r="F21" s="108"/>
      <c r="K21" s="635"/>
    </row>
    <row r="22" spans="3:11" x14ac:dyDescent="0.2">
      <c r="C22" s="108"/>
      <c r="D22" s="108">
        <v>619</v>
      </c>
      <c r="E22" s="240">
        <v>10214</v>
      </c>
      <c r="F22" s="108"/>
      <c r="K22" s="635"/>
    </row>
    <row r="23" spans="3:11" x14ac:dyDescent="0.2">
      <c r="C23" s="108"/>
      <c r="D23" s="108">
        <v>707</v>
      </c>
      <c r="E23" s="240">
        <v>1515</v>
      </c>
      <c r="F23" s="108"/>
      <c r="K23" s="635"/>
    </row>
    <row r="24" spans="3:11" x14ac:dyDescent="0.2">
      <c r="C24" s="108"/>
      <c r="D24" s="108">
        <v>808</v>
      </c>
      <c r="E24" s="240">
        <v>51.440000000002328</v>
      </c>
      <c r="F24" s="108"/>
      <c r="K24" s="635"/>
    </row>
    <row r="25" spans="3:11" x14ac:dyDescent="0.2">
      <c r="C25" s="108"/>
      <c r="D25" s="108">
        <v>809</v>
      </c>
      <c r="E25" s="240">
        <v>7283</v>
      </c>
      <c r="F25" s="108"/>
      <c r="K25" s="635"/>
    </row>
    <row r="26" spans="3:11" x14ac:dyDescent="0.2">
      <c r="C26" s="108"/>
      <c r="D26" s="108">
        <v>817</v>
      </c>
      <c r="E26" s="240">
        <v>1500</v>
      </c>
      <c r="F26" s="108"/>
      <c r="K26" s="635"/>
    </row>
    <row r="27" spans="3:11" x14ac:dyDescent="0.2">
      <c r="C27" s="108"/>
      <c r="D27" s="108">
        <v>906</v>
      </c>
      <c r="E27" s="240">
        <v>6020</v>
      </c>
      <c r="F27" s="108"/>
      <c r="K27" s="635"/>
    </row>
    <row r="28" spans="3:11" x14ac:dyDescent="0.2">
      <c r="C28" s="108"/>
      <c r="D28" s="108">
        <v>909</v>
      </c>
      <c r="E28" s="240">
        <v>5000</v>
      </c>
      <c r="F28" s="108"/>
      <c r="K28" s="635"/>
    </row>
    <row r="29" spans="3:11" x14ac:dyDescent="0.2">
      <c r="C29" s="108"/>
      <c r="D29" s="108">
        <v>911</v>
      </c>
      <c r="E29" s="240">
        <v>22</v>
      </c>
      <c r="F29" s="108"/>
      <c r="K29" s="635"/>
    </row>
    <row r="30" spans="3:11" x14ac:dyDescent="0.2">
      <c r="C30" s="108"/>
      <c r="D30" s="108">
        <v>913</v>
      </c>
      <c r="E30" s="240">
        <v>32</v>
      </c>
      <c r="F30" s="108"/>
      <c r="K30" s="635"/>
    </row>
    <row r="31" spans="3:11" x14ac:dyDescent="0.2">
      <c r="C31" s="108"/>
      <c r="D31" s="108">
        <v>915</v>
      </c>
      <c r="E31" s="240">
        <v>5208</v>
      </c>
      <c r="F31" s="108"/>
      <c r="K31" s="635"/>
    </row>
    <row r="32" spans="3:11" x14ac:dyDescent="0.2">
      <c r="C32" s="108"/>
      <c r="D32" s="108">
        <v>918</v>
      </c>
      <c r="E32" s="240">
        <v>2477</v>
      </c>
      <c r="F32" s="108"/>
      <c r="K32" s="635"/>
    </row>
    <row r="33" spans="3:11" x14ac:dyDescent="0.2">
      <c r="C33" s="108"/>
      <c r="D33" s="108">
        <v>919</v>
      </c>
      <c r="E33" s="240">
        <v>2465</v>
      </c>
      <c r="F33" s="108"/>
      <c r="K33" s="635"/>
    </row>
    <row r="34" spans="3:11" x14ac:dyDescent="0.2">
      <c r="C34" s="108"/>
      <c r="D34" s="108">
        <v>1003</v>
      </c>
      <c r="E34" s="240">
        <v>1400</v>
      </c>
      <c r="F34" s="108"/>
      <c r="K34" s="635"/>
    </row>
    <row r="35" spans="3:11" x14ac:dyDescent="0.2">
      <c r="C35" s="108"/>
      <c r="D35" s="108">
        <v>1004</v>
      </c>
      <c r="E35" s="240">
        <v>26</v>
      </c>
      <c r="K35" s="635"/>
    </row>
    <row r="36" spans="3:11" ht="12" x14ac:dyDescent="0.2">
      <c r="C36" s="108"/>
      <c r="D36" s="108">
        <v>1007</v>
      </c>
      <c r="E36" s="240">
        <v>3368</v>
      </c>
      <c r="G36" s="168"/>
      <c r="H36" s="168"/>
      <c r="K36" s="635"/>
    </row>
    <row r="37" spans="3:11" x14ac:dyDescent="0.2">
      <c r="C37" s="108"/>
      <c r="D37" s="108">
        <v>1013</v>
      </c>
      <c r="E37" s="240">
        <v>3517</v>
      </c>
      <c r="K37" s="635"/>
    </row>
    <row r="38" spans="3:11" x14ac:dyDescent="0.2">
      <c r="C38" s="108"/>
      <c r="D38" s="108">
        <v>1102</v>
      </c>
      <c r="E38" s="240">
        <v>3215</v>
      </c>
      <c r="K38" s="635"/>
    </row>
    <row r="39" spans="3:11" x14ac:dyDescent="0.2">
      <c r="C39" s="108"/>
      <c r="D39" s="108">
        <v>1110</v>
      </c>
      <c r="E39" s="240">
        <v>3954</v>
      </c>
      <c r="K39" s="635"/>
    </row>
    <row r="40" spans="3:11" x14ac:dyDescent="0.2">
      <c r="C40" s="108"/>
      <c r="D40" s="108">
        <v>1111</v>
      </c>
      <c r="E40" s="240">
        <v>72</v>
      </c>
      <c r="K40" s="635"/>
    </row>
    <row r="41" spans="3:11" x14ac:dyDescent="0.2">
      <c r="C41" s="108"/>
      <c r="D41" s="108">
        <v>1112</v>
      </c>
      <c r="E41" s="240">
        <v>22799</v>
      </c>
      <c r="K41" s="635"/>
    </row>
    <row r="42" spans="3:11" x14ac:dyDescent="0.2">
      <c r="C42" s="108"/>
      <c r="D42" s="108">
        <v>1201</v>
      </c>
      <c r="E42" s="240">
        <v>6500</v>
      </c>
      <c r="K42" s="635"/>
    </row>
    <row r="43" spans="3:11" x14ac:dyDescent="0.2">
      <c r="C43" s="108"/>
      <c r="D43" s="108">
        <v>1203</v>
      </c>
      <c r="E43" s="240">
        <v>972</v>
      </c>
      <c r="K43" s="635"/>
    </row>
    <row r="44" spans="3:11" x14ac:dyDescent="0.2">
      <c r="C44" s="108"/>
      <c r="D44" s="108">
        <v>1302</v>
      </c>
      <c r="E44" s="240">
        <v>1</v>
      </c>
      <c r="K44" s="635"/>
    </row>
    <row r="45" spans="3:11" x14ac:dyDescent="0.2">
      <c r="C45" s="108"/>
      <c r="D45" s="108">
        <v>1306</v>
      </c>
      <c r="E45" s="240">
        <v>2250</v>
      </c>
      <c r="F45" s="108"/>
      <c r="K45" s="635"/>
    </row>
    <row r="46" spans="3:11" x14ac:dyDescent="0.2">
      <c r="C46" s="108"/>
      <c r="D46" s="108">
        <v>1311</v>
      </c>
      <c r="E46" s="240">
        <v>4096</v>
      </c>
      <c r="F46" s="108"/>
      <c r="K46" s="635"/>
    </row>
    <row r="47" spans="3:11" x14ac:dyDescent="0.2">
      <c r="C47" s="108"/>
      <c r="D47" s="108">
        <v>1504</v>
      </c>
      <c r="E47" s="240">
        <v>1000</v>
      </c>
      <c r="F47" s="291"/>
      <c r="K47" s="635"/>
    </row>
    <row r="48" spans="3:11" x14ac:dyDescent="0.2">
      <c r="C48" s="108"/>
      <c r="D48" s="108">
        <v>1510</v>
      </c>
      <c r="E48" s="240">
        <v>25</v>
      </c>
      <c r="F48" s="108"/>
      <c r="K48" s="635"/>
    </row>
    <row r="49" spans="3:11" x14ac:dyDescent="0.2">
      <c r="C49" s="108"/>
      <c r="D49" s="108">
        <v>1511</v>
      </c>
      <c r="E49" s="240">
        <v>5220</v>
      </c>
      <c r="F49" s="108"/>
      <c r="K49" s="635"/>
    </row>
    <row r="50" spans="3:11" x14ac:dyDescent="0.2">
      <c r="C50" s="108"/>
      <c r="D50" s="108">
        <v>1605</v>
      </c>
      <c r="E50" s="240">
        <v>7818.0220000000118</v>
      </c>
      <c r="F50" s="108"/>
      <c r="K50" s="635"/>
    </row>
    <row r="51" spans="3:11" x14ac:dyDescent="0.2">
      <c r="C51" s="108"/>
      <c r="D51" s="108">
        <v>1609</v>
      </c>
      <c r="E51" s="240">
        <v>2290</v>
      </c>
      <c r="F51" s="108"/>
      <c r="K51" s="635"/>
    </row>
    <row r="52" spans="3:11" x14ac:dyDescent="0.2">
      <c r="C52" s="108" t="s">
        <v>142</v>
      </c>
      <c r="D52" s="108"/>
      <c r="E52" s="240">
        <v>157496.42200000002</v>
      </c>
      <c r="F52" s="108"/>
      <c r="K52" s="635"/>
    </row>
    <row r="53" spans="3:11" x14ac:dyDescent="0.2">
      <c r="C53" s="326" t="s">
        <v>13</v>
      </c>
      <c r="D53" s="326"/>
      <c r="E53" s="327">
        <v>157496.42200000002</v>
      </c>
      <c r="F53" s="108"/>
      <c r="K53" s="635"/>
    </row>
    <row r="54" spans="3:11" ht="15" x14ac:dyDescent="0.25">
      <c r="C54"/>
      <c r="D54"/>
      <c r="E54"/>
      <c r="F54" s="108"/>
      <c r="K54" s="635"/>
    </row>
    <row r="55" spans="3:11" ht="15" x14ac:dyDescent="0.25">
      <c r="C55"/>
      <c r="D55"/>
      <c r="E55"/>
      <c r="F55" s="108"/>
      <c r="K55" s="635"/>
    </row>
    <row r="56" spans="3:11" ht="15" x14ac:dyDescent="0.25">
      <c r="C56"/>
      <c r="D56"/>
      <c r="E56"/>
      <c r="F56" s="108"/>
      <c r="K56" s="635"/>
    </row>
    <row r="57" spans="3:11" ht="15" x14ac:dyDescent="0.25">
      <c r="C57"/>
      <c r="D57"/>
      <c r="E57"/>
      <c r="F57" s="108"/>
      <c r="K57" s="635"/>
    </row>
    <row r="58" spans="3:11" ht="15" x14ac:dyDescent="0.25">
      <c r="C58"/>
      <c r="D58"/>
      <c r="E58"/>
      <c r="F58" s="108"/>
      <c r="K58" s="635"/>
    </row>
    <row r="59" spans="3:11" ht="15" x14ac:dyDescent="0.25">
      <c r="C59"/>
      <c r="D59"/>
      <c r="E59"/>
      <c r="F59" s="108"/>
      <c r="K59" s="635"/>
    </row>
    <row r="60" spans="3:11" ht="15" x14ac:dyDescent="0.25">
      <c r="C60"/>
      <c r="D60"/>
      <c r="E60"/>
      <c r="F60" s="108"/>
      <c r="K60" s="635"/>
    </row>
    <row r="61" spans="3:11" ht="15" x14ac:dyDescent="0.25">
      <c r="C61"/>
      <c r="D61"/>
      <c r="E61"/>
      <c r="F61" s="108"/>
      <c r="K61" s="635"/>
    </row>
    <row r="62" spans="3:11" ht="15" x14ac:dyDescent="0.25">
      <c r="C62"/>
      <c r="D62"/>
      <c r="E62"/>
      <c r="K62" s="635"/>
    </row>
    <row r="63" spans="3:11" ht="15" x14ac:dyDescent="0.25">
      <c r="C63"/>
      <c r="D63"/>
      <c r="E63"/>
      <c r="K63" s="635"/>
    </row>
    <row r="64" spans="3:11" ht="15" x14ac:dyDescent="0.25">
      <c r="C64"/>
      <c r="D64"/>
      <c r="E64"/>
      <c r="K64" s="635"/>
    </row>
    <row r="65" spans="3:11" ht="15" x14ac:dyDescent="0.25">
      <c r="C65"/>
      <c r="D65"/>
      <c r="E65"/>
      <c r="F65" s="108"/>
      <c r="K65" s="635"/>
    </row>
    <row r="66" spans="3:11" ht="15" x14ac:dyDescent="0.25">
      <c r="C66"/>
      <c r="D66"/>
      <c r="E66"/>
      <c r="F66" s="108"/>
      <c r="K66" s="635"/>
    </row>
    <row r="67" spans="3:11" ht="15" x14ac:dyDescent="0.25">
      <c r="C67"/>
      <c r="D67"/>
      <c r="E67"/>
      <c r="F67" s="108"/>
      <c r="K67" s="635"/>
    </row>
    <row r="68" spans="3:11" ht="15" x14ac:dyDescent="0.25">
      <c r="C68"/>
      <c r="D68"/>
      <c r="E68"/>
      <c r="F68" s="108"/>
      <c r="K68" s="635"/>
    </row>
    <row r="69" spans="3:11" ht="15" x14ac:dyDescent="0.25">
      <c r="C69"/>
      <c r="D69"/>
      <c r="E69"/>
      <c r="F69" s="108"/>
      <c r="K69" s="635"/>
    </row>
    <row r="70" spans="3:11" ht="15" x14ac:dyDescent="0.25">
      <c r="C70"/>
      <c r="D70"/>
      <c r="E70"/>
      <c r="F70" s="108"/>
      <c r="K70" s="635"/>
    </row>
    <row r="71" spans="3:11" ht="15" x14ac:dyDescent="0.25">
      <c r="C71"/>
      <c r="D71"/>
      <c r="E71"/>
      <c r="F71" s="108"/>
      <c r="K71" s="635"/>
    </row>
    <row r="72" spans="3:11" ht="15" x14ac:dyDescent="0.25">
      <c r="C72"/>
      <c r="D72"/>
      <c r="E72"/>
      <c r="F72" s="108"/>
      <c r="K72" s="635"/>
    </row>
    <row r="73" spans="3:11" ht="15" x14ac:dyDescent="0.25">
      <c r="C73"/>
      <c r="D73"/>
      <c r="E73"/>
      <c r="F73" s="108"/>
      <c r="K73" s="635"/>
    </row>
    <row r="74" spans="3:11" ht="15" x14ac:dyDescent="0.25">
      <c r="C74"/>
      <c r="D74"/>
      <c r="E74"/>
      <c r="F74" s="108"/>
      <c r="K74" s="635"/>
    </row>
    <row r="75" spans="3:11" ht="15" x14ac:dyDescent="0.25">
      <c r="C75"/>
      <c r="D75"/>
      <c r="E75"/>
      <c r="F75" s="108"/>
      <c r="K75" s="635"/>
    </row>
    <row r="76" spans="3:11" ht="15" x14ac:dyDescent="0.25">
      <c r="C76"/>
      <c r="D76"/>
      <c r="E76"/>
      <c r="K76" s="635"/>
    </row>
    <row r="77" spans="3:11" ht="15" x14ac:dyDescent="0.25">
      <c r="C77"/>
      <c r="D77"/>
      <c r="E77"/>
      <c r="F77"/>
      <c r="K77" s="635"/>
    </row>
    <row r="78" spans="3:11" ht="15" x14ac:dyDescent="0.25">
      <c r="C78"/>
      <c r="D78"/>
      <c r="E78"/>
      <c r="F78"/>
      <c r="K78" s="635"/>
    </row>
    <row r="79" spans="3:11" ht="15" x14ac:dyDescent="0.25">
      <c r="C79"/>
      <c r="D79"/>
      <c r="E79"/>
      <c r="F79"/>
      <c r="K79" s="635"/>
    </row>
    <row r="80" spans="3:11" ht="15" x14ac:dyDescent="0.25">
      <c r="C80"/>
      <c r="D80"/>
      <c r="E80"/>
      <c r="F80"/>
      <c r="K80" s="635"/>
    </row>
    <row r="81" spans="3:11" ht="15" x14ac:dyDescent="0.25">
      <c r="C81"/>
      <c r="D81"/>
      <c r="E81"/>
      <c r="K81" s="635"/>
    </row>
    <row r="82" spans="3:11" ht="15" x14ac:dyDescent="0.25">
      <c r="C82"/>
      <c r="D82"/>
      <c r="E82"/>
      <c r="K82" s="635"/>
    </row>
    <row r="83" spans="3:11" ht="15" x14ac:dyDescent="0.25">
      <c r="C83"/>
      <c r="D83"/>
      <c r="E83"/>
      <c r="F83" s="545"/>
      <c r="K83" s="635"/>
    </row>
    <row r="84" spans="3:11" ht="15" x14ac:dyDescent="0.25">
      <c r="C84"/>
      <c r="D84"/>
      <c r="E84"/>
      <c r="K84" s="635"/>
    </row>
    <row r="85" spans="3:11" ht="15" x14ac:dyDescent="0.25">
      <c r="C85"/>
      <c r="D85"/>
      <c r="E85"/>
      <c r="K85" s="635"/>
    </row>
    <row r="86" spans="3:11" ht="15" x14ac:dyDescent="0.25">
      <c r="C86"/>
      <c r="D86"/>
      <c r="E86"/>
      <c r="K86" s="635"/>
    </row>
    <row r="87" spans="3:11" ht="15" x14ac:dyDescent="0.25">
      <c r="C87"/>
      <c r="D87"/>
      <c r="E87"/>
      <c r="K87" s="635"/>
    </row>
    <row r="88" spans="3:11" ht="15" x14ac:dyDescent="0.25">
      <c r="C88"/>
      <c r="D88"/>
      <c r="E88"/>
      <c r="K88" s="635"/>
    </row>
    <row r="89" spans="3:11" ht="15" x14ac:dyDescent="0.25">
      <c r="C89"/>
      <c r="D89"/>
      <c r="E89"/>
      <c r="K89" s="635"/>
    </row>
    <row r="90" spans="3:11" ht="15" x14ac:dyDescent="0.25">
      <c r="C90"/>
      <c r="D90"/>
      <c r="E90"/>
      <c r="K90" s="635"/>
    </row>
    <row r="91" spans="3:11" ht="15" x14ac:dyDescent="0.25">
      <c r="C91"/>
      <c r="D91"/>
      <c r="E91"/>
      <c r="K91" s="635"/>
    </row>
    <row r="92" spans="3:11" ht="15" x14ac:dyDescent="0.25">
      <c r="C92"/>
      <c r="D92"/>
      <c r="E92"/>
      <c r="K92" s="635"/>
    </row>
    <row r="93" spans="3:11" ht="15" x14ac:dyDescent="0.25">
      <c r="C93"/>
      <c r="D93"/>
      <c r="E93"/>
      <c r="K93" s="635"/>
    </row>
    <row r="94" spans="3:11" ht="15" x14ac:dyDescent="0.25">
      <c r="C94"/>
      <c r="D94"/>
      <c r="E94"/>
      <c r="K94" s="635"/>
    </row>
    <row r="95" spans="3:11" ht="15" x14ac:dyDescent="0.25">
      <c r="C95"/>
      <c r="D95"/>
      <c r="E95"/>
      <c r="K95" s="635"/>
    </row>
    <row r="96" spans="3:11" ht="15" x14ac:dyDescent="0.25">
      <c r="C96"/>
      <c r="D96"/>
      <c r="E96"/>
      <c r="K96" s="635"/>
    </row>
    <row r="97" spans="3:11" ht="15" x14ac:dyDescent="0.25">
      <c r="C97"/>
      <c r="D97"/>
      <c r="E97"/>
      <c r="K97" s="635"/>
    </row>
    <row r="98" spans="3:11" ht="15" x14ac:dyDescent="0.25">
      <c r="C98"/>
      <c r="D98"/>
      <c r="E98"/>
      <c r="K98" s="635"/>
    </row>
    <row r="99" spans="3:11" ht="15" x14ac:dyDescent="0.25">
      <c r="C99"/>
      <c r="D99"/>
      <c r="E99"/>
      <c r="K99" s="635"/>
    </row>
    <row r="100" spans="3:11" ht="15" x14ac:dyDescent="0.25">
      <c r="C100"/>
      <c r="D100"/>
      <c r="E100"/>
      <c r="K100" s="635"/>
    </row>
    <row r="101" spans="3:11" ht="15" x14ac:dyDescent="0.25">
      <c r="C101"/>
      <c r="D101"/>
      <c r="E101"/>
      <c r="K101" s="635"/>
    </row>
    <row r="102" spans="3:11" ht="15" x14ac:dyDescent="0.25">
      <c r="C102"/>
      <c r="D102"/>
      <c r="E102"/>
      <c r="K102" s="635"/>
    </row>
    <row r="103" spans="3:11" ht="15" x14ac:dyDescent="0.25">
      <c r="C103"/>
      <c r="D103"/>
      <c r="E103"/>
      <c r="K103" s="635"/>
    </row>
    <row r="104" spans="3:11" ht="15" x14ac:dyDescent="0.25">
      <c r="C104"/>
      <c r="D104"/>
      <c r="E104"/>
      <c r="K104" s="635"/>
    </row>
    <row r="105" spans="3:11" ht="15" x14ac:dyDescent="0.25">
      <c r="C105"/>
      <c r="D105"/>
      <c r="E105"/>
      <c r="K105" s="635"/>
    </row>
    <row r="106" spans="3:11" ht="15" x14ac:dyDescent="0.25">
      <c r="C106"/>
      <c r="D106"/>
      <c r="E106"/>
      <c r="K106" s="635"/>
    </row>
    <row r="107" spans="3:11" ht="15" x14ac:dyDescent="0.25">
      <c r="C107"/>
      <c r="D107"/>
      <c r="E107"/>
      <c r="K107" s="635"/>
    </row>
    <row r="108" spans="3:11" ht="15" x14ac:dyDescent="0.25">
      <c r="C108"/>
      <c r="D108"/>
      <c r="E108"/>
    </row>
    <row r="109" spans="3:11" ht="15" x14ac:dyDescent="0.25">
      <c r="C109"/>
      <c r="D109"/>
      <c r="E109"/>
    </row>
    <row r="110" spans="3:11" ht="15" x14ac:dyDescent="0.25">
      <c r="C110"/>
      <c r="D110"/>
      <c r="E110"/>
    </row>
    <row r="111" spans="3:11" ht="15" x14ac:dyDescent="0.25">
      <c r="C111"/>
      <c r="D111"/>
      <c r="E111"/>
    </row>
    <row r="112" spans="3:11" ht="15" x14ac:dyDescent="0.25">
      <c r="C112"/>
      <c r="D112"/>
      <c r="E112"/>
    </row>
    <row r="113" spans="3:5" ht="15" x14ac:dyDescent="0.25">
      <c r="C113"/>
      <c r="D113"/>
      <c r="E113"/>
    </row>
    <row r="114" spans="3:5" ht="15" x14ac:dyDescent="0.25">
      <c r="C114"/>
      <c r="D114"/>
      <c r="E114"/>
    </row>
    <row r="115" spans="3:5" ht="15" x14ac:dyDescent="0.25">
      <c r="C115"/>
      <c r="D115"/>
      <c r="E115"/>
    </row>
    <row r="116" spans="3:5" ht="15" x14ac:dyDescent="0.25">
      <c r="C116"/>
      <c r="D116"/>
      <c r="E116"/>
    </row>
    <row r="117" spans="3:5" ht="15" x14ac:dyDescent="0.25">
      <c r="C117"/>
      <c r="D117"/>
      <c r="E117"/>
    </row>
    <row r="118" spans="3:5" ht="15" x14ac:dyDescent="0.25">
      <c r="C118"/>
      <c r="D118"/>
      <c r="E118"/>
    </row>
    <row r="119" spans="3:5" ht="15" x14ac:dyDescent="0.25">
      <c r="C119"/>
      <c r="D119"/>
      <c r="E119"/>
    </row>
    <row r="120" spans="3:5" ht="15" x14ac:dyDescent="0.25">
      <c r="C120"/>
      <c r="D120"/>
      <c r="E120"/>
    </row>
    <row r="121" spans="3:5" ht="15" x14ac:dyDescent="0.25">
      <c r="C121"/>
      <c r="D121"/>
      <c r="E121"/>
    </row>
    <row r="122" spans="3:5" ht="15" x14ac:dyDescent="0.25">
      <c r="C122"/>
      <c r="D122"/>
      <c r="E122"/>
    </row>
    <row r="123" spans="3:5" ht="15" x14ac:dyDescent="0.25">
      <c r="C123"/>
      <c r="D123"/>
      <c r="E123"/>
    </row>
    <row r="124" spans="3:5" ht="15" x14ac:dyDescent="0.25">
      <c r="C124"/>
      <c r="D124"/>
      <c r="E124"/>
    </row>
    <row r="125" spans="3:5" ht="15" x14ac:dyDescent="0.25">
      <c r="C125"/>
      <c r="D125"/>
      <c r="E125"/>
    </row>
    <row r="126" spans="3:5" ht="15" x14ac:dyDescent="0.25">
      <c r="C126"/>
      <c r="D126"/>
      <c r="E126"/>
    </row>
    <row r="127" spans="3:5" ht="15" x14ac:dyDescent="0.25">
      <c r="C127"/>
      <c r="D127"/>
      <c r="E127"/>
    </row>
    <row r="128" spans="3:5" ht="15" x14ac:dyDescent="0.25">
      <c r="C128"/>
      <c r="D128"/>
      <c r="E128"/>
    </row>
    <row r="129" spans="3:5" ht="15" x14ac:dyDescent="0.25">
      <c r="C129"/>
      <c r="D129"/>
      <c r="E129"/>
    </row>
    <row r="130" spans="3:5" ht="15" x14ac:dyDescent="0.25">
      <c r="C130"/>
      <c r="D130"/>
      <c r="E130"/>
    </row>
    <row r="131" spans="3:5" ht="15" x14ac:dyDescent="0.25">
      <c r="C131"/>
      <c r="D131"/>
      <c r="E131"/>
    </row>
    <row r="132" spans="3:5" ht="15" x14ac:dyDescent="0.25">
      <c r="C132"/>
      <c r="D132"/>
      <c r="E132"/>
    </row>
    <row r="133" spans="3:5" ht="15" x14ac:dyDescent="0.25">
      <c r="C133"/>
      <c r="D133"/>
      <c r="E133"/>
    </row>
    <row r="134" spans="3:5" ht="15" x14ac:dyDescent="0.25">
      <c r="C134"/>
      <c r="D134"/>
      <c r="E134"/>
    </row>
    <row r="135" spans="3:5" ht="15" x14ac:dyDescent="0.25">
      <c r="C135"/>
      <c r="D135"/>
      <c r="E135"/>
    </row>
    <row r="136" spans="3:5" ht="15" x14ac:dyDescent="0.25">
      <c r="C136"/>
      <c r="D136"/>
      <c r="E136"/>
    </row>
    <row r="137" spans="3:5" ht="15" x14ac:dyDescent="0.25">
      <c r="C137"/>
      <c r="D137"/>
      <c r="E137"/>
    </row>
    <row r="138" spans="3:5" ht="15" x14ac:dyDescent="0.25">
      <c r="C138"/>
      <c r="D138"/>
      <c r="E138"/>
    </row>
    <row r="139" spans="3:5" ht="15" x14ac:dyDescent="0.25">
      <c r="C139"/>
      <c r="D139"/>
      <c r="E139"/>
    </row>
    <row r="140" spans="3:5" ht="15" x14ac:dyDescent="0.25">
      <c r="C140"/>
      <c r="D140"/>
      <c r="E140"/>
    </row>
    <row r="141" spans="3:5" ht="15" x14ac:dyDescent="0.25">
      <c r="C141"/>
      <c r="D141"/>
      <c r="E141"/>
    </row>
    <row r="142" spans="3:5" ht="15" x14ac:dyDescent="0.25">
      <c r="C142"/>
      <c r="D142"/>
      <c r="E142"/>
    </row>
    <row r="143" spans="3:5" ht="15" x14ac:dyDescent="0.25">
      <c r="C143"/>
      <c r="D143"/>
      <c r="E143"/>
    </row>
    <row r="144" spans="3:5" ht="15" x14ac:dyDescent="0.25">
      <c r="C144"/>
      <c r="D144"/>
      <c r="E144"/>
    </row>
    <row r="145" spans="3:5" ht="15" x14ac:dyDescent="0.25">
      <c r="C145"/>
      <c r="D145"/>
      <c r="E145"/>
    </row>
    <row r="146" spans="3:5" ht="15" x14ac:dyDescent="0.25">
      <c r="C146"/>
      <c r="D146"/>
      <c r="E146"/>
    </row>
    <row r="147" spans="3:5" ht="15" x14ac:dyDescent="0.25">
      <c r="C147"/>
      <c r="D147"/>
      <c r="E147"/>
    </row>
    <row r="148" spans="3:5" ht="15" x14ac:dyDescent="0.25">
      <c r="C148"/>
      <c r="D148"/>
      <c r="E148"/>
    </row>
    <row r="149" spans="3:5" ht="15" x14ac:dyDescent="0.25">
      <c r="C149"/>
      <c r="D149"/>
      <c r="E149"/>
    </row>
    <row r="150" spans="3:5" ht="15" x14ac:dyDescent="0.25">
      <c r="C150"/>
      <c r="D150"/>
      <c r="E150"/>
    </row>
    <row r="151" spans="3:5" ht="15" x14ac:dyDescent="0.25">
      <c r="C151"/>
      <c r="D151"/>
      <c r="E151"/>
    </row>
    <row r="152" spans="3:5" ht="15" x14ac:dyDescent="0.25">
      <c r="C152"/>
      <c r="D152"/>
      <c r="E152"/>
    </row>
    <row r="153" spans="3:5" ht="15" x14ac:dyDescent="0.25">
      <c r="C153"/>
      <c r="D153"/>
      <c r="E153"/>
    </row>
    <row r="154" spans="3:5" ht="15" x14ac:dyDescent="0.25">
      <c r="C154"/>
      <c r="D154"/>
      <c r="E154"/>
    </row>
    <row r="155" spans="3:5" ht="15" x14ac:dyDescent="0.25">
      <c r="C155"/>
      <c r="D155"/>
      <c r="E155"/>
    </row>
    <row r="156" spans="3:5" ht="15" x14ac:dyDescent="0.25">
      <c r="C156"/>
      <c r="D156"/>
      <c r="E156"/>
    </row>
    <row r="157" spans="3:5" ht="15" x14ac:dyDescent="0.25">
      <c r="C157"/>
      <c r="D157"/>
      <c r="E157"/>
    </row>
    <row r="158" spans="3:5" ht="15" x14ac:dyDescent="0.25">
      <c r="C158"/>
      <c r="D158"/>
      <c r="E158"/>
    </row>
    <row r="159" spans="3:5" ht="15" x14ac:dyDescent="0.25">
      <c r="C159"/>
      <c r="D159"/>
      <c r="E159"/>
    </row>
    <row r="160" spans="3:5" ht="15" x14ac:dyDescent="0.25">
      <c r="C160"/>
      <c r="D160"/>
      <c r="E160"/>
    </row>
    <row r="161" spans="3:5" ht="15" x14ac:dyDescent="0.25">
      <c r="C161"/>
      <c r="D161"/>
      <c r="E161"/>
    </row>
    <row r="162" spans="3:5" ht="15" x14ac:dyDescent="0.25">
      <c r="C162"/>
      <c r="D162"/>
      <c r="E162"/>
    </row>
    <row r="163" spans="3:5" ht="15" x14ac:dyDescent="0.25">
      <c r="C163"/>
      <c r="D163"/>
      <c r="E163"/>
    </row>
    <row r="164" spans="3:5" ht="15" x14ac:dyDescent="0.25">
      <c r="C164"/>
      <c r="D164"/>
      <c r="E164"/>
    </row>
    <row r="165" spans="3:5" ht="15" x14ac:dyDescent="0.25">
      <c r="C165"/>
      <c r="D165"/>
      <c r="E165"/>
    </row>
    <row r="166" spans="3:5" ht="15" x14ac:dyDescent="0.25">
      <c r="C166"/>
      <c r="D166"/>
      <c r="E166"/>
    </row>
    <row r="167" spans="3:5" ht="15" x14ac:dyDescent="0.25">
      <c r="C167"/>
      <c r="D167"/>
      <c r="E167"/>
    </row>
    <row r="168" spans="3:5" ht="15" x14ac:dyDescent="0.25">
      <c r="C168"/>
      <c r="D168"/>
      <c r="E168"/>
    </row>
    <row r="169" spans="3:5" ht="15" x14ac:dyDescent="0.25">
      <c r="C169"/>
      <c r="D169"/>
      <c r="E169"/>
    </row>
    <row r="170" spans="3:5" ht="15" x14ac:dyDescent="0.25">
      <c r="C170"/>
      <c r="D170"/>
      <c r="E170"/>
    </row>
    <row r="171" spans="3:5" ht="15" x14ac:dyDescent="0.25">
      <c r="C171"/>
      <c r="D171"/>
      <c r="E171"/>
    </row>
    <row r="172" spans="3:5" ht="15" x14ac:dyDescent="0.25">
      <c r="C172"/>
      <c r="D172"/>
      <c r="E172"/>
    </row>
    <row r="173" spans="3:5" ht="15" x14ac:dyDescent="0.25">
      <c r="C173"/>
      <c r="D173"/>
      <c r="E173"/>
    </row>
    <row r="174" spans="3:5" ht="15" x14ac:dyDescent="0.25">
      <c r="C174"/>
      <c r="D174"/>
      <c r="E174"/>
    </row>
    <row r="175" spans="3:5" ht="15" x14ac:dyDescent="0.25">
      <c r="C175"/>
      <c r="D175"/>
      <c r="E175"/>
    </row>
    <row r="176" spans="3:5" ht="15" x14ac:dyDescent="0.25">
      <c r="C176"/>
      <c r="D176"/>
      <c r="E176"/>
    </row>
    <row r="177" spans="3:5" ht="15" x14ac:dyDescent="0.25">
      <c r="C177"/>
      <c r="D177"/>
      <c r="E177"/>
    </row>
    <row r="178" spans="3:5" ht="15" x14ac:dyDescent="0.25">
      <c r="C178"/>
      <c r="D178"/>
      <c r="E178"/>
    </row>
    <row r="179" spans="3:5" ht="15" x14ac:dyDescent="0.25">
      <c r="C179"/>
      <c r="D179"/>
      <c r="E179"/>
    </row>
    <row r="180" spans="3:5" ht="15" x14ac:dyDescent="0.25">
      <c r="C180"/>
      <c r="D180"/>
      <c r="E180"/>
    </row>
    <row r="181" spans="3:5" ht="15" x14ac:dyDescent="0.25">
      <c r="C181"/>
      <c r="D181"/>
      <c r="E181"/>
    </row>
    <row r="182" spans="3:5" ht="15" x14ac:dyDescent="0.25">
      <c r="C182"/>
      <c r="D182"/>
      <c r="E182"/>
    </row>
    <row r="183" spans="3:5" ht="15" x14ac:dyDescent="0.25">
      <c r="C183"/>
      <c r="D183"/>
      <c r="E183"/>
    </row>
    <row r="184" spans="3:5" ht="15" x14ac:dyDescent="0.25">
      <c r="C184"/>
      <c r="D184"/>
      <c r="E184"/>
    </row>
    <row r="185" spans="3:5" ht="15" x14ac:dyDescent="0.25">
      <c r="C185"/>
      <c r="D185"/>
      <c r="E185"/>
    </row>
    <row r="186" spans="3:5" ht="15" x14ac:dyDescent="0.25">
      <c r="C186"/>
      <c r="D186"/>
      <c r="E186"/>
    </row>
    <row r="187" spans="3:5" ht="15" x14ac:dyDescent="0.25">
      <c r="C187"/>
      <c r="D187"/>
      <c r="E187"/>
    </row>
    <row r="188" spans="3:5" ht="15" x14ac:dyDescent="0.25">
      <c r="C188"/>
      <c r="D188"/>
      <c r="E188"/>
    </row>
    <row r="189" spans="3:5" ht="15" x14ac:dyDescent="0.25">
      <c r="C189"/>
      <c r="D189"/>
      <c r="E189"/>
    </row>
    <row r="190" spans="3:5" ht="15" x14ac:dyDescent="0.25">
      <c r="C190"/>
      <c r="D190"/>
      <c r="E190"/>
    </row>
    <row r="191" spans="3:5" ht="15" x14ac:dyDescent="0.25">
      <c r="C191"/>
      <c r="D191"/>
      <c r="E191"/>
    </row>
    <row r="192" spans="3:5" ht="15" x14ac:dyDescent="0.25">
      <c r="C192"/>
      <c r="D192"/>
      <c r="E192"/>
    </row>
    <row r="193" spans="3:5" ht="15" x14ac:dyDescent="0.25">
      <c r="C193"/>
      <c r="D193"/>
      <c r="E193"/>
    </row>
    <row r="194" spans="3:5" ht="15" x14ac:dyDescent="0.25">
      <c r="C194"/>
      <c r="D194"/>
      <c r="E194"/>
    </row>
    <row r="195" spans="3:5" ht="15" x14ac:dyDescent="0.25">
      <c r="C195"/>
      <c r="D195"/>
      <c r="E195"/>
    </row>
    <row r="196" spans="3:5" ht="15" x14ac:dyDescent="0.25">
      <c r="C196"/>
      <c r="D196"/>
      <c r="E196"/>
    </row>
    <row r="197" spans="3:5" ht="15" x14ac:dyDescent="0.25">
      <c r="C197"/>
      <c r="D197"/>
      <c r="E197"/>
    </row>
    <row r="198" spans="3:5" ht="15" x14ac:dyDescent="0.25">
      <c r="C198"/>
      <c r="D198"/>
      <c r="E198"/>
    </row>
    <row r="199" spans="3:5" ht="15" x14ac:dyDescent="0.25">
      <c r="C199"/>
      <c r="D199"/>
      <c r="E199"/>
    </row>
    <row r="200" spans="3:5" x14ac:dyDescent="0.2">
      <c r="C200" s="108"/>
      <c r="D200" s="108"/>
      <c r="E200" s="108"/>
    </row>
    <row r="201" spans="3:5" x14ac:dyDescent="0.2">
      <c r="C201" s="108"/>
      <c r="D201" s="108"/>
      <c r="E201" s="108"/>
    </row>
    <row r="202" spans="3:5" x14ac:dyDescent="0.2">
      <c r="C202" s="108"/>
      <c r="D202" s="108"/>
      <c r="E202" s="108"/>
    </row>
    <row r="203" spans="3:5" x14ac:dyDescent="0.2">
      <c r="C203" s="108"/>
      <c r="D203" s="108"/>
      <c r="E203" s="108"/>
    </row>
    <row r="204" spans="3:5" x14ac:dyDescent="0.2">
      <c r="C204" s="108"/>
      <c r="D204" s="108"/>
      <c r="E204" s="108"/>
    </row>
    <row r="205" spans="3:5" x14ac:dyDescent="0.2">
      <c r="C205" s="108"/>
      <c r="D205" s="108"/>
      <c r="E205" s="108"/>
    </row>
    <row r="206" spans="3:5" x14ac:dyDescent="0.2">
      <c r="C206" s="108"/>
      <c r="D206" s="108"/>
      <c r="E206" s="108"/>
    </row>
    <row r="207" spans="3:5" x14ac:dyDescent="0.2">
      <c r="C207" s="108"/>
      <c r="D207" s="108"/>
      <c r="E207" s="108"/>
    </row>
    <row r="208" spans="3:5" x14ac:dyDescent="0.2">
      <c r="C208" s="108"/>
      <c r="D208" s="108"/>
      <c r="E208" s="108"/>
    </row>
    <row r="209" spans="3:5" x14ac:dyDescent="0.2">
      <c r="C209" s="108"/>
      <c r="D209" s="108"/>
      <c r="E209" s="108"/>
    </row>
    <row r="210" spans="3:5" x14ac:dyDescent="0.2">
      <c r="C210" s="108"/>
      <c r="D210" s="108"/>
      <c r="E210" s="108"/>
    </row>
    <row r="211" spans="3:5" x14ac:dyDescent="0.2">
      <c r="C211" s="108"/>
      <c r="D211" s="108"/>
      <c r="E211" s="108"/>
    </row>
    <row r="212" spans="3:5" x14ac:dyDescent="0.2">
      <c r="C212" s="108"/>
      <c r="D212" s="108"/>
      <c r="E212" s="108"/>
    </row>
    <row r="213" spans="3:5" x14ac:dyDescent="0.2">
      <c r="C213" s="108"/>
      <c r="D213" s="108"/>
      <c r="E213" s="108"/>
    </row>
    <row r="214" spans="3:5" x14ac:dyDescent="0.2">
      <c r="C214" s="108"/>
      <c r="D214" s="108"/>
      <c r="E214" s="108"/>
    </row>
    <row r="215" spans="3:5" x14ac:dyDescent="0.2">
      <c r="C215" s="108"/>
      <c r="D215" s="108"/>
      <c r="E215" s="108"/>
    </row>
    <row r="216" spans="3:5" x14ac:dyDescent="0.2">
      <c r="C216" s="108"/>
      <c r="D216" s="108"/>
      <c r="E216" s="108"/>
    </row>
    <row r="217" spans="3:5" x14ac:dyDescent="0.2">
      <c r="C217" s="108"/>
      <c r="D217" s="108"/>
      <c r="E217" s="108"/>
    </row>
    <row r="218" spans="3:5" x14ac:dyDescent="0.2">
      <c r="C218" s="108"/>
      <c r="D218" s="108"/>
      <c r="E218" s="108"/>
    </row>
    <row r="219" spans="3:5" x14ac:dyDescent="0.2">
      <c r="C219" s="108"/>
      <c r="D219" s="108"/>
      <c r="E219" s="108"/>
    </row>
    <row r="220" spans="3:5" x14ac:dyDescent="0.2">
      <c r="C220" s="108"/>
      <c r="D220" s="108"/>
      <c r="E220" s="108"/>
    </row>
    <row r="221" spans="3:5" x14ac:dyDescent="0.2">
      <c r="C221" s="108"/>
      <c r="D221" s="108"/>
      <c r="E221" s="108"/>
    </row>
    <row r="222" spans="3:5" x14ac:dyDescent="0.2">
      <c r="C222" s="108"/>
      <c r="D222" s="108"/>
      <c r="E222" s="108"/>
    </row>
    <row r="223" spans="3:5" x14ac:dyDescent="0.2">
      <c r="C223" s="108"/>
      <c r="D223" s="108"/>
      <c r="E223" s="108"/>
    </row>
    <row r="224" spans="3:5" x14ac:dyDescent="0.2">
      <c r="C224" s="108"/>
      <c r="D224" s="108"/>
      <c r="E224" s="108"/>
    </row>
    <row r="225" spans="3:5" x14ac:dyDescent="0.2">
      <c r="C225" s="108"/>
      <c r="D225" s="108"/>
      <c r="E225" s="108"/>
    </row>
    <row r="226" spans="3:5" x14ac:dyDescent="0.2">
      <c r="C226" s="108"/>
      <c r="D226" s="108"/>
      <c r="E226" s="108"/>
    </row>
    <row r="227" spans="3:5" x14ac:dyDescent="0.2">
      <c r="C227" s="108"/>
      <c r="D227" s="108"/>
      <c r="E227" s="108"/>
    </row>
    <row r="228" spans="3:5" x14ac:dyDescent="0.2">
      <c r="C228" s="108"/>
      <c r="D228" s="108"/>
      <c r="E228" s="108"/>
    </row>
    <row r="229" spans="3:5" x14ac:dyDescent="0.2">
      <c r="C229" s="108"/>
      <c r="D229" s="108"/>
      <c r="E229" s="108"/>
    </row>
    <row r="230" spans="3:5" x14ac:dyDescent="0.2">
      <c r="C230" s="108"/>
      <c r="D230" s="108"/>
      <c r="E230" s="108"/>
    </row>
    <row r="231" spans="3:5" x14ac:dyDescent="0.2">
      <c r="C231" s="108"/>
      <c r="D231" s="108"/>
      <c r="E231" s="108"/>
    </row>
    <row r="232" spans="3:5" x14ac:dyDescent="0.2">
      <c r="C232" s="108"/>
      <c r="D232" s="108"/>
      <c r="E232" s="108"/>
    </row>
    <row r="233" spans="3:5" x14ac:dyDescent="0.2">
      <c r="C233" s="108"/>
      <c r="D233" s="108"/>
      <c r="E233" s="108"/>
    </row>
    <row r="234" spans="3:5" x14ac:dyDescent="0.2">
      <c r="C234" s="108"/>
      <c r="D234" s="108"/>
      <c r="E234" s="108"/>
    </row>
    <row r="235" spans="3:5" x14ac:dyDescent="0.2">
      <c r="C235" s="108"/>
      <c r="D235" s="108"/>
      <c r="E235" s="108"/>
    </row>
    <row r="236" spans="3:5" x14ac:dyDescent="0.2">
      <c r="C236" s="108"/>
      <c r="D236" s="108"/>
      <c r="E236" s="108"/>
    </row>
    <row r="237" spans="3:5" x14ac:dyDescent="0.2">
      <c r="C237" s="108"/>
      <c r="D237" s="108"/>
      <c r="E237" s="108"/>
    </row>
    <row r="238" spans="3:5" x14ac:dyDescent="0.2">
      <c r="C238" s="108"/>
      <c r="D238" s="108"/>
      <c r="E238" s="108"/>
    </row>
    <row r="239" spans="3:5" x14ac:dyDescent="0.2">
      <c r="C239" s="108"/>
      <c r="D239" s="108"/>
      <c r="E239" s="108"/>
    </row>
    <row r="240" spans="3:5" x14ac:dyDescent="0.2">
      <c r="C240" s="108"/>
      <c r="D240" s="108"/>
      <c r="E240" s="108"/>
    </row>
    <row r="241" spans="3:5" x14ac:dyDescent="0.2">
      <c r="C241" s="108"/>
      <c r="D241" s="108"/>
      <c r="E241" s="108"/>
    </row>
    <row r="242" spans="3:5" x14ac:dyDescent="0.2">
      <c r="C242" s="108"/>
      <c r="D242" s="108"/>
      <c r="E242" s="108"/>
    </row>
    <row r="243" spans="3:5" x14ac:dyDescent="0.2">
      <c r="C243" s="108"/>
      <c r="D243" s="108"/>
      <c r="E243" s="108"/>
    </row>
    <row r="244" spans="3:5" x14ac:dyDescent="0.2">
      <c r="C244" s="108"/>
      <c r="D244" s="108"/>
      <c r="E244" s="108"/>
    </row>
    <row r="245" spans="3:5" x14ac:dyDescent="0.2">
      <c r="C245" s="108"/>
      <c r="D245" s="108"/>
      <c r="E245" s="108"/>
    </row>
    <row r="246" spans="3:5" x14ac:dyDescent="0.2">
      <c r="C246" s="108"/>
      <c r="D246" s="108"/>
      <c r="E246" s="108"/>
    </row>
    <row r="247" spans="3:5" x14ac:dyDescent="0.2">
      <c r="C247" s="108"/>
      <c r="D247" s="108"/>
      <c r="E247" s="108"/>
    </row>
    <row r="248" spans="3:5" x14ac:dyDescent="0.2">
      <c r="C248" s="108"/>
      <c r="D248" s="108"/>
      <c r="E248" s="108"/>
    </row>
    <row r="249" spans="3:5" x14ac:dyDescent="0.2">
      <c r="C249" s="108"/>
      <c r="D249" s="108"/>
      <c r="E249" s="108"/>
    </row>
    <row r="250" spans="3:5" x14ac:dyDescent="0.2">
      <c r="C250" s="108"/>
      <c r="D250" s="108"/>
      <c r="E250" s="108"/>
    </row>
    <row r="251" spans="3:5" x14ac:dyDescent="0.2">
      <c r="C251" s="108"/>
      <c r="D251" s="108"/>
      <c r="E251" s="108"/>
    </row>
  </sheetData>
  <phoneticPr fontId="60" type="noConversion"/>
  <hyperlinks>
    <hyperlink ref="F2" location="RESUMEN!A1" display="RESUMEN" xr:uid="{1D709228-77AF-4D2E-A167-035E4B3AE39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3547-353F-4FDE-A0E9-F2D2780C4E63}">
  <dimension ref="A1:BL4"/>
  <sheetViews>
    <sheetView workbookViewId="0">
      <selection activeCell="G20" sqref="G20"/>
    </sheetView>
  </sheetViews>
  <sheetFormatPr defaultColWidth="8.85546875" defaultRowHeight="15" x14ac:dyDescent="0.25"/>
  <cols>
    <col min="4" max="4" width="12.85546875" bestFit="1" customWidth="1"/>
    <col min="5" max="5" width="28.42578125" bestFit="1" customWidth="1"/>
    <col min="6" max="6" width="12.85546875" bestFit="1" customWidth="1"/>
    <col min="7" max="7" width="14.85546875" bestFit="1" customWidth="1"/>
    <col min="8" max="8" width="17.42578125" bestFit="1" customWidth="1"/>
    <col min="9" max="9" width="12.140625" bestFit="1" customWidth="1"/>
    <col min="10" max="10" width="9.7109375" bestFit="1" customWidth="1"/>
    <col min="12" max="12" width="10" bestFit="1" customWidth="1"/>
    <col min="15" max="16" width="9.42578125" bestFit="1" customWidth="1"/>
    <col min="18" max="18" width="9.42578125" bestFit="1" customWidth="1"/>
    <col min="20" max="20" width="9.5703125" bestFit="1" customWidth="1"/>
    <col min="22" max="22" width="9.7109375" bestFit="1" customWidth="1"/>
    <col min="24" max="24" width="10" bestFit="1" customWidth="1"/>
    <col min="27" max="28" width="9.42578125" bestFit="1" customWidth="1"/>
    <col min="30" max="30" width="9.42578125" bestFit="1" customWidth="1"/>
    <col min="32" max="32" width="9.5703125" bestFit="1" customWidth="1"/>
    <col min="34" max="34" width="9.7109375" bestFit="1" customWidth="1"/>
    <col min="36" max="36" width="10" bestFit="1" customWidth="1"/>
    <col min="39" max="39" width="9.42578125" bestFit="1" customWidth="1"/>
    <col min="40" max="40" width="28.85546875" bestFit="1" customWidth="1"/>
    <col min="41" max="41" width="10.85546875" bestFit="1" customWidth="1"/>
    <col min="42" max="42" width="31.28515625" bestFit="1" customWidth="1"/>
    <col min="43" max="43" width="14.42578125" bestFit="1" customWidth="1"/>
    <col min="44" max="44" width="29" bestFit="1" customWidth="1"/>
    <col min="45" max="45" width="15.140625" bestFit="1" customWidth="1"/>
    <col min="46" max="46" width="44" bestFit="1" customWidth="1"/>
    <col min="47" max="47" width="18" bestFit="1" customWidth="1"/>
    <col min="48" max="48" width="19.28515625" bestFit="1" customWidth="1"/>
    <col min="49" max="49" width="18.5703125" bestFit="1" customWidth="1"/>
    <col min="50" max="50" width="20.7109375" bestFit="1" customWidth="1"/>
    <col min="51" max="51" width="23.140625" bestFit="1" customWidth="1"/>
    <col min="52" max="52" width="27.28515625" bestFit="1" customWidth="1"/>
    <col min="53" max="53" width="25.42578125" bestFit="1" customWidth="1"/>
    <col min="54" max="54" width="17.7109375" bestFit="1" customWidth="1"/>
    <col min="55" max="55" width="56.42578125" bestFit="1" customWidth="1"/>
    <col min="56" max="56" width="42.140625" bestFit="1" customWidth="1"/>
    <col min="57" max="57" width="34.5703125" bestFit="1" customWidth="1"/>
    <col min="58" max="58" width="43.140625" bestFit="1" customWidth="1"/>
    <col min="59" max="59" width="12.7109375" bestFit="1" customWidth="1"/>
    <col min="60" max="60" width="29.28515625" bestFit="1" customWidth="1"/>
    <col min="61" max="61" width="36.28515625" bestFit="1" customWidth="1"/>
    <col min="62" max="62" width="9.7109375" bestFit="1" customWidth="1"/>
    <col min="63" max="63" width="21.140625" bestFit="1" customWidth="1"/>
    <col min="64" max="64" width="16.85546875" bestFit="1" customWidth="1"/>
  </cols>
  <sheetData>
    <row r="1" spans="1:64" x14ac:dyDescent="0.25">
      <c r="A1" s="15" t="s">
        <v>143</v>
      </c>
    </row>
    <row r="3" spans="1:64" x14ac:dyDescent="0.25">
      <c r="A3" t="s">
        <v>62</v>
      </c>
      <c r="B3" t="s">
        <v>144</v>
      </c>
      <c r="C3" t="s">
        <v>63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104</v>
      </c>
      <c r="AR3" t="s">
        <v>105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118</v>
      </c>
      <c r="BF3" t="s">
        <v>119</v>
      </c>
      <c r="BG3" t="s">
        <v>48</v>
      </c>
      <c r="BH3" t="s">
        <v>120</v>
      </c>
      <c r="BI3" t="s">
        <v>121</v>
      </c>
      <c r="BJ3" t="s">
        <v>122</v>
      </c>
      <c r="BK3" t="s">
        <v>123</v>
      </c>
      <c r="BL3" t="s">
        <v>124</v>
      </c>
    </row>
    <row r="4" spans="1:64" x14ac:dyDescent="0.25">
      <c r="A4">
        <v>104</v>
      </c>
      <c r="B4" t="s">
        <v>145</v>
      </c>
      <c r="C4" t="s">
        <v>146</v>
      </c>
      <c r="D4" t="s">
        <v>147</v>
      </c>
      <c r="E4" t="s">
        <v>148</v>
      </c>
      <c r="F4" s="290">
        <v>45258</v>
      </c>
      <c r="G4" t="s">
        <v>128</v>
      </c>
      <c r="H4">
        <v>494900</v>
      </c>
      <c r="I4">
        <v>23900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300</v>
      </c>
      <c r="AE4">
        <v>500</v>
      </c>
      <c r="AF4">
        <v>0</v>
      </c>
      <c r="AG4">
        <v>0</v>
      </c>
      <c r="AH4">
        <v>1000</v>
      </c>
      <c r="AJ4">
        <v>500</v>
      </c>
      <c r="AL4">
        <v>500</v>
      </c>
      <c r="AN4">
        <v>2800</v>
      </c>
      <c r="AO4">
        <v>0.11715481171548117</v>
      </c>
      <c r="AP4">
        <v>-21100</v>
      </c>
      <c r="AQ4">
        <v>-0.88284518828451886</v>
      </c>
      <c r="AR4">
        <v>492100</v>
      </c>
      <c r="AS4">
        <v>0.99434229137199437</v>
      </c>
      <c r="AT4">
        <v>23900</v>
      </c>
      <c r="AU4" t="s">
        <v>129</v>
      </c>
      <c r="AV4" t="s">
        <v>5</v>
      </c>
      <c r="AW4">
        <v>13</v>
      </c>
      <c r="AX4">
        <v>1</v>
      </c>
      <c r="AY4">
        <v>14</v>
      </c>
      <c r="AZ4">
        <v>300</v>
      </c>
      <c r="BA4">
        <v>1815.38</v>
      </c>
      <c r="BB4">
        <v>0</v>
      </c>
      <c r="BC4">
        <v>20</v>
      </c>
      <c r="BD4">
        <v>36607.600000000006</v>
      </c>
      <c r="BE4">
        <v>2300</v>
      </c>
      <c r="BF4">
        <v>0</v>
      </c>
      <c r="BG4">
        <v>500</v>
      </c>
      <c r="BH4">
        <v>0</v>
      </c>
      <c r="BI4">
        <v>33807.600000000006</v>
      </c>
      <c r="BJ4">
        <v>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2B81-CEC9-4D0E-8379-B9E1EF114781}">
  <sheetPr>
    <tabColor rgb="FFFFC000"/>
  </sheetPr>
  <dimension ref="C2:N251"/>
  <sheetViews>
    <sheetView showGridLines="0" zoomScale="130" zoomScaleNormal="130" workbookViewId="0">
      <pane xSplit="2" ySplit="6" topLeftCell="E66" activePane="bottomRight" state="frozen"/>
      <selection pane="topRight" activeCell="C1" sqref="C1"/>
      <selection pane="bottomLeft" activeCell="A7" sqref="A7"/>
      <selection pane="bottomRight" activeCell="E66" sqref="E66"/>
    </sheetView>
  </sheetViews>
  <sheetFormatPr defaultColWidth="11.5703125" defaultRowHeight="11.25" customHeight="1" x14ac:dyDescent="0.2"/>
  <cols>
    <col min="1" max="2" width="2.85546875" style="241" customWidth="1"/>
    <col min="3" max="3" width="14.85546875" style="241" bestFit="1" customWidth="1"/>
    <col min="4" max="4" width="12.5703125" style="241" bestFit="1" customWidth="1"/>
    <col min="5" max="5" width="12.140625" style="241" bestFit="1" customWidth="1"/>
    <col min="6" max="6" width="14.85546875" style="241" bestFit="1" customWidth="1"/>
    <col min="7" max="13" width="11.5703125" style="241" bestFit="1" customWidth="1"/>
    <col min="14" max="16384" width="11.5703125" style="241"/>
  </cols>
  <sheetData>
    <row r="2" spans="3:14" ht="11.25" customHeight="1" x14ac:dyDescent="0.2">
      <c r="C2" s="106"/>
      <c r="D2" s="106"/>
      <c r="E2" s="106"/>
      <c r="F2" s="264" t="s">
        <v>138</v>
      </c>
      <c r="G2" s="106"/>
      <c r="H2" s="106"/>
      <c r="I2" s="106"/>
      <c r="J2" s="106"/>
      <c r="K2" s="106"/>
      <c r="L2" s="106"/>
      <c r="M2" s="106"/>
      <c r="N2" s="106"/>
    </row>
    <row r="3" spans="3:14" x14ac:dyDescent="0.2">
      <c r="C3" s="105" t="s">
        <v>139</v>
      </c>
      <c r="D3" s="105" t="s">
        <v>149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3:14" x14ac:dyDescent="0.2">
      <c r="C4" s="107" t="s">
        <v>109</v>
      </c>
      <c r="D4" s="108" t="s">
        <v>5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6" spans="3:14" x14ac:dyDescent="0.2">
      <c r="C6" s="245" t="s">
        <v>122</v>
      </c>
      <c r="D6" s="245" t="s">
        <v>62</v>
      </c>
      <c r="E6" s="246" t="s">
        <v>141</v>
      </c>
      <c r="F6" s="106"/>
      <c r="G6" s="106"/>
      <c r="H6" s="106"/>
      <c r="I6" s="106"/>
      <c r="J6" s="106"/>
      <c r="K6" s="106"/>
      <c r="L6" s="106"/>
      <c r="M6" s="106"/>
      <c r="N6" s="106"/>
    </row>
    <row r="7" spans="3:14" x14ac:dyDescent="0.2">
      <c r="C7" s="108">
        <v>0</v>
      </c>
      <c r="D7" s="108">
        <v>108</v>
      </c>
      <c r="E7" s="240">
        <v>0</v>
      </c>
      <c r="F7" s="106"/>
      <c r="G7" s="106"/>
      <c r="H7" s="106"/>
      <c r="I7" s="106"/>
      <c r="J7" s="106"/>
      <c r="K7" s="106"/>
      <c r="L7" s="106"/>
      <c r="M7" s="106"/>
      <c r="N7" s="106"/>
    </row>
    <row r="8" spans="3:14" x14ac:dyDescent="0.2">
      <c r="C8" s="108"/>
      <c r="D8" s="108">
        <v>305</v>
      </c>
      <c r="E8" s="240">
        <v>0</v>
      </c>
      <c r="F8" s="106"/>
      <c r="G8" s="106"/>
      <c r="H8" s="106"/>
      <c r="I8" s="106"/>
      <c r="J8" s="106"/>
      <c r="K8" s="106"/>
      <c r="L8" s="106"/>
      <c r="M8" s="106"/>
      <c r="N8" s="106"/>
    </row>
    <row r="9" spans="3:14" x14ac:dyDescent="0.2">
      <c r="C9" s="108"/>
      <c r="D9" s="108">
        <v>403</v>
      </c>
      <c r="E9" s="240">
        <v>0</v>
      </c>
      <c r="F9" s="106"/>
      <c r="G9" s="106"/>
      <c r="H9" s="106"/>
      <c r="I9" s="106"/>
      <c r="J9" s="106"/>
      <c r="K9" s="106"/>
      <c r="L9" s="106"/>
      <c r="M9" s="106"/>
      <c r="N9" s="106"/>
    </row>
    <row r="10" spans="3:14" x14ac:dyDescent="0.2">
      <c r="C10" s="108"/>
      <c r="D10" s="108">
        <v>502</v>
      </c>
      <c r="E10" s="240">
        <v>0</v>
      </c>
      <c r="F10" s="106"/>
      <c r="G10" s="106"/>
      <c r="H10" s="106"/>
      <c r="I10" s="106"/>
      <c r="J10" s="106"/>
      <c r="K10" s="106"/>
      <c r="L10" s="106"/>
      <c r="M10" s="106"/>
      <c r="N10" s="106"/>
    </row>
    <row r="11" spans="3:14" ht="15" x14ac:dyDescent="0.25">
      <c r="C11" s="108"/>
      <c r="D11" s="108">
        <v>211</v>
      </c>
      <c r="E11" s="240">
        <v>0</v>
      </c>
      <c r="F11"/>
      <c r="G11" s="106"/>
      <c r="H11" s="106"/>
      <c r="I11" s="106"/>
      <c r="J11" s="106"/>
      <c r="K11" s="106"/>
      <c r="L11" s="106"/>
      <c r="M11" s="106"/>
      <c r="N11" s="106"/>
    </row>
    <row r="12" spans="3:14" ht="15" x14ac:dyDescent="0.25">
      <c r="C12" s="108"/>
      <c r="D12" s="108">
        <v>412</v>
      </c>
      <c r="E12" s="240">
        <v>500</v>
      </c>
      <c r="F12"/>
      <c r="G12" s="106"/>
      <c r="H12" s="106"/>
      <c r="I12" s="106"/>
      <c r="J12" s="106"/>
      <c r="K12" s="106"/>
      <c r="L12" s="106"/>
      <c r="M12" s="106"/>
      <c r="N12" s="106"/>
    </row>
    <row r="13" spans="3:14" ht="15" x14ac:dyDescent="0.25">
      <c r="C13" s="108"/>
      <c r="D13" s="108">
        <v>609</v>
      </c>
      <c r="E13" s="240">
        <v>0</v>
      </c>
      <c r="F13"/>
      <c r="G13" s="106"/>
      <c r="H13" s="106"/>
      <c r="I13" s="106"/>
      <c r="J13" s="106"/>
      <c r="K13" s="106"/>
      <c r="L13" s="106"/>
      <c r="M13" s="106"/>
      <c r="N13" s="106"/>
    </row>
    <row r="14" spans="3:14" ht="15" x14ac:dyDescent="0.25">
      <c r="C14" s="108" t="s">
        <v>150</v>
      </c>
      <c r="D14" s="108"/>
      <c r="E14" s="240">
        <v>500</v>
      </c>
      <c r="F14"/>
      <c r="G14" s="106"/>
      <c r="H14" s="106"/>
      <c r="I14" s="106"/>
      <c r="J14" s="106"/>
      <c r="K14" s="106"/>
      <c r="L14" s="106"/>
      <c r="M14" s="106"/>
      <c r="N14" s="106"/>
    </row>
    <row r="15" spans="3:14" ht="15" x14ac:dyDescent="0.25">
      <c r="C15" s="108">
        <v>1</v>
      </c>
      <c r="D15" s="108">
        <v>105</v>
      </c>
      <c r="E15" s="240">
        <v>1769.3799999999974</v>
      </c>
      <c r="F15"/>
      <c r="G15" s="106"/>
      <c r="H15" s="106"/>
      <c r="I15" s="106"/>
      <c r="J15" s="106"/>
      <c r="K15" s="106"/>
      <c r="L15" s="106"/>
      <c r="M15" s="106"/>
      <c r="N15" s="106"/>
    </row>
    <row r="16" spans="3:14" ht="15" x14ac:dyDescent="0.25">
      <c r="C16" s="108"/>
      <c r="D16" s="108">
        <v>106</v>
      </c>
      <c r="E16" s="240">
        <v>2228.5699999999997</v>
      </c>
      <c r="F16"/>
      <c r="G16" s="106"/>
      <c r="H16" s="106"/>
      <c r="I16" s="106"/>
      <c r="J16" s="106"/>
      <c r="K16" s="106"/>
      <c r="L16" s="106"/>
      <c r="M16" s="106"/>
      <c r="N16" s="106"/>
    </row>
    <row r="17" spans="3:14" ht="15" x14ac:dyDescent="0.25">
      <c r="C17" s="108"/>
      <c r="D17" s="108">
        <v>109</v>
      </c>
      <c r="E17" s="240">
        <v>1874.5</v>
      </c>
      <c r="F17"/>
      <c r="G17" s="106"/>
      <c r="H17" s="106"/>
      <c r="I17" s="106"/>
      <c r="J17" s="106"/>
      <c r="K17" s="106"/>
      <c r="L17" s="106"/>
      <c r="M17" s="106"/>
      <c r="N17" s="106"/>
    </row>
    <row r="18" spans="3:14" ht="15" x14ac:dyDescent="0.25">
      <c r="C18" s="108"/>
      <c r="D18" s="108">
        <v>205</v>
      </c>
      <c r="E18" s="240">
        <v>28.769999999989523</v>
      </c>
      <c r="F18"/>
      <c r="G18" s="106"/>
      <c r="H18" s="106"/>
      <c r="I18" s="106"/>
      <c r="J18" s="106"/>
      <c r="K18" s="106"/>
      <c r="L18" s="106"/>
      <c r="M18" s="106"/>
      <c r="N18" s="106"/>
    </row>
    <row r="19" spans="3:14" ht="15" x14ac:dyDescent="0.25">
      <c r="C19" s="108"/>
      <c r="D19" s="108">
        <v>213</v>
      </c>
      <c r="E19" s="240">
        <v>750</v>
      </c>
      <c r="F19"/>
      <c r="G19" s="106"/>
      <c r="H19" s="106"/>
      <c r="I19" s="106"/>
      <c r="J19" s="106"/>
      <c r="K19" s="106"/>
      <c r="L19" s="106"/>
      <c r="M19" s="106"/>
      <c r="N19" s="106"/>
    </row>
    <row r="20" spans="3:14" ht="15" x14ac:dyDescent="0.25">
      <c r="C20" s="108"/>
      <c r="D20" s="108">
        <v>304</v>
      </c>
      <c r="E20" s="240">
        <v>1426.6299999999974</v>
      </c>
      <c r="F20"/>
      <c r="G20" s="106"/>
      <c r="H20" s="106"/>
      <c r="I20" s="106"/>
      <c r="J20" s="106"/>
      <c r="K20" s="106"/>
      <c r="L20" s="106"/>
      <c r="M20" s="106"/>
      <c r="N20" s="106"/>
    </row>
    <row r="21" spans="3:14" ht="15" x14ac:dyDescent="0.25">
      <c r="C21" s="108"/>
      <c r="D21" s="108">
        <v>306</v>
      </c>
      <c r="E21" s="240">
        <v>34842</v>
      </c>
      <c r="F21"/>
      <c r="G21" s="106"/>
      <c r="H21" s="106"/>
      <c r="I21" s="106"/>
      <c r="J21" s="106"/>
      <c r="K21" s="106"/>
      <c r="L21" s="106"/>
      <c r="M21" s="106"/>
      <c r="N21" s="106"/>
    </row>
    <row r="22" spans="3:14" ht="15" x14ac:dyDescent="0.25">
      <c r="C22" s="108"/>
      <c r="D22" s="108">
        <v>308</v>
      </c>
      <c r="E22" s="240">
        <v>750.00000000000023</v>
      </c>
      <c r="F22"/>
      <c r="G22" s="106"/>
      <c r="H22" s="106"/>
      <c r="I22" s="106"/>
      <c r="J22" s="106"/>
      <c r="K22" s="106"/>
      <c r="L22" s="106"/>
      <c r="M22" s="106"/>
      <c r="N22" s="106"/>
    </row>
    <row r="23" spans="3:14" ht="15" x14ac:dyDescent="0.25">
      <c r="C23" s="108"/>
      <c r="D23" s="108">
        <v>311</v>
      </c>
      <c r="E23" s="240">
        <v>84.25</v>
      </c>
      <c r="F23"/>
      <c r="G23" s="106"/>
      <c r="H23" s="106"/>
      <c r="I23" s="106"/>
      <c r="J23" s="106"/>
      <c r="K23" s="106"/>
      <c r="L23" s="106"/>
      <c r="M23" s="106"/>
      <c r="N23" s="106"/>
    </row>
    <row r="24" spans="3:14" ht="15" x14ac:dyDescent="0.25">
      <c r="C24" s="108"/>
      <c r="D24" s="108">
        <v>312</v>
      </c>
      <c r="E24" s="240">
        <v>1272.2200000000003</v>
      </c>
      <c r="F24"/>
      <c r="G24" s="106"/>
      <c r="H24" s="106"/>
      <c r="I24" s="106"/>
      <c r="J24" s="106"/>
      <c r="K24" s="106"/>
      <c r="L24" s="106"/>
      <c r="M24" s="106"/>
      <c r="N24" s="106"/>
    </row>
    <row r="25" spans="3:14" ht="15" x14ac:dyDescent="0.25">
      <c r="C25" s="108"/>
      <c r="D25" s="108">
        <v>401</v>
      </c>
      <c r="E25" s="240">
        <v>2333.3299999999799</v>
      </c>
      <c r="F25"/>
      <c r="G25" s="106"/>
      <c r="H25" s="106"/>
      <c r="I25" s="106"/>
      <c r="J25" s="106"/>
      <c r="K25" s="106"/>
      <c r="L25" s="106"/>
      <c r="M25" s="106"/>
      <c r="N25" s="106"/>
    </row>
    <row r="26" spans="3:14" ht="15" x14ac:dyDescent="0.25">
      <c r="C26" s="108"/>
      <c r="D26" s="108">
        <v>405</v>
      </c>
      <c r="E26" s="240">
        <v>1800</v>
      </c>
      <c r="F26"/>
      <c r="G26" s="106"/>
      <c r="H26" s="106"/>
      <c r="I26" s="106"/>
      <c r="J26" s="106"/>
      <c r="K26" s="106"/>
      <c r="L26" s="106"/>
      <c r="M26" s="106"/>
      <c r="N26" s="106"/>
    </row>
    <row r="27" spans="3:14" ht="15" x14ac:dyDescent="0.25">
      <c r="C27" s="108"/>
      <c r="D27" s="108">
        <v>407</v>
      </c>
      <c r="E27" s="240">
        <v>451.01000000000022</v>
      </c>
      <c r="F27"/>
      <c r="G27" s="106"/>
      <c r="H27" s="106"/>
      <c r="I27" s="106"/>
      <c r="J27" s="106"/>
      <c r="K27" s="106"/>
      <c r="L27" s="106"/>
      <c r="M27" s="106"/>
      <c r="N27" s="106"/>
    </row>
    <row r="28" spans="3:14" ht="15" x14ac:dyDescent="0.25">
      <c r="C28" s="108"/>
      <c r="D28" s="108">
        <v>501</v>
      </c>
      <c r="E28" s="240">
        <v>1000.0000000000002</v>
      </c>
      <c r="F28"/>
      <c r="G28" s="106"/>
      <c r="H28" s="106"/>
      <c r="I28" s="106"/>
      <c r="J28" s="106"/>
      <c r="K28" s="106"/>
      <c r="L28" s="106"/>
      <c r="M28" s="106"/>
      <c r="N28" s="106"/>
    </row>
    <row r="29" spans="3:14" ht="15" x14ac:dyDescent="0.25">
      <c r="C29" s="108"/>
      <c r="D29" s="108">
        <v>505</v>
      </c>
      <c r="E29" s="240">
        <v>500</v>
      </c>
      <c r="F29"/>
      <c r="G29" s="106"/>
      <c r="H29" s="106"/>
      <c r="I29" s="106"/>
      <c r="J29" s="106"/>
      <c r="K29" s="106"/>
      <c r="L29" s="106"/>
      <c r="M29" s="106"/>
      <c r="N29" s="106"/>
    </row>
    <row r="30" spans="3:14" ht="15" x14ac:dyDescent="0.25">
      <c r="C30" s="108"/>
      <c r="D30" s="108">
        <v>510</v>
      </c>
      <c r="E30" s="240">
        <v>1000</v>
      </c>
      <c r="F30" s="230"/>
      <c r="G30" s="106"/>
      <c r="H30" s="106"/>
      <c r="I30" s="106"/>
      <c r="J30" s="106"/>
      <c r="K30" s="106"/>
      <c r="L30" s="106"/>
      <c r="M30" s="106"/>
      <c r="N30" s="106"/>
    </row>
    <row r="31" spans="3:14" ht="15" x14ac:dyDescent="0.25">
      <c r="C31" s="108"/>
      <c r="D31" s="108">
        <v>604</v>
      </c>
      <c r="E31" s="240">
        <v>2572.2200000000003</v>
      </c>
      <c r="F31"/>
      <c r="G31" s="106"/>
      <c r="H31" s="106"/>
      <c r="I31" s="106"/>
      <c r="J31" s="106"/>
      <c r="K31" s="106"/>
      <c r="L31" s="106"/>
      <c r="M31" s="106"/>
      <c r="N31" s="106"/>
    </row>
    <row r="32" spans="3:14" ht="15" x14ac:dyDescent="0.25">
      <c r="C32" s="108"/>
      <c r="D32" s="108">
        <v>607</v>
      </c>
      <c r="E32" s="240">
        <v>894.74000000000342</v>
      </c>
      <c r="F32" s="230"/>
      <c r="G32" s="106"/>
      <c r="H32" s="106"/>
      <c r="I32" s="106"/>
      <c r="J32" s="106"/>
      <c r="K32" s="106"/>
      <c r="L32" s="106"/>
      <c r="M32" s="106"/>
      <c r="N32" s="106"/>
    </row>
    <row r="33" spans="3:14" ht="15" x14ac:dyDescent="0.25">
      <c r="C33" s="108"/>
      <c r="D33" s="108">
        <v>613</v>
      </c>
      <c r="E33" s="240">
        <v>1045.4499999999971</v>
      </c>
      <c r="F33"/>
      <c r="G33" s="106"/>
      <c r="H33" s="106"/>
      <c r="I33" s="106"/>
      <c r="J33" s="106"/>
      <c r="K33" s="106"/>
      <c r="L33" s="106"/>
      <c r="M33" s="106"/>
      <c r="N33" s="106"/>
    </row>
    <row r="34" spans="3:14" ht="15" x14ac:dyDescent="0.25">
      <c r="C34" s="108"/>
      <c r="D34" s="108">
        <v>111</v>
      </c>
      <c r="E34" s="240">
        <v>750</v>
      </c>
      <c r="F34"/>
      <c r="G34" s="106"/>
      <c r="H34" s="106"/>
      <c r="I34" s="106"/>
      <c r="J34" s="106"/>
      <c r="K34" s="106"/>
      <c r="L34" s="106"/>
      <c r="M34" s="106"/>
      <c r="N34" s="106"/>
    </row>
    <row r="35" spans="3:14" ht="15" x14ac:dyDescent="0.25">
      <c r="C35" s="108" t="s">
        <v>142</v>
      </c>
      <c r="D35" s="108"/>
      <c r="E35" s="240">
        <v>57373.069999999971</v>
      </c>
      <c r="F35"/>
      <c r="G35" s="106"/>
      <c r="H35" s="106"/>
      <c r="I35" s="106"/>
      <c r="J35" s="106"/>
      <c r="K35" s="106"/>
      <c r="L35" s="106"/>
      <c r="M35" s="106"/>
      <c r="N35" s="106"/>
    </row>
    <row r="36" spans="3:14" ht="15" x14ac:dyDescent="0.25">
      <c r="C36" s="108">
        <v>2</v>
      </c>
      <c r="D36" s="108">
        <v>301</v>
      </c>
      <c r="E36" s="240">
        <v>2986.1400000000003</v>
      </c>
      <c r="F36"/>
      <c r="G36" s="106"/>
      <c r="H36" s="106"/>
      <c r="I36" s="106"/>
      <c r="J36" s="106"/>
      <c r="K36" s="106"/>
      <c r="L36" s="106"/>
      <c r="M36" s="106"/>
      <c r="N36" s="106"/>
    </row>
    <row r="37" spans="3:14" ht="15" x14ac:dyDescent="0.25">
      <c r="C37" s="108"/>
      <c r="D37" s="108">
        <v>302</v>
      </c>
      <c r="E37" s="240">
        <v>2800</v>
      </c>
      <c r="F37"/>
      <c r="G37" s="106"/>
      <c r="H37" s="106"/>
      <c r="I37" s="106"/>
      <c r="J37" s="106"/>
      <c r="K37" s="106"/>
      <c r="L37" s="106"/>
      <c r="M37" s="106"/>
      <c r="N37" s="106"/>
    </row>
    <row r="38" spans="3:14" ht="15" x14ac:dyDescent="0.25">
      <c r="C38" s="108"/>
      <c r="D38" s="108">
        <v>305</v>
      </c>
      <c r="E38" s="240">
        <v>2125</v>
      </c>
      <c r="F38" s="230"/>
      <c r="G38" s="106"/>
      <c r="H38" s="106"/>
      <c r="I38" s="106"/>
      <c r="J38" s="106"/>
      <c r="K38" s="106"/>
      <c r="L38" s="106"/>
      <c r="M38" s="106"/>
      <c r="N38" s="106"/>
    </row>
    <row r="39" spans="3:14" ht="15" x14ac:dyDescent="0.25">
      <c r="C39" s="108"/>
      <c r="D39" s="108">
        <v>306</v>
      </c>
      <c r="E39" s="240">
        <v>44800</v>
      </c>
      <c r="F39"/>
      <c r="G39" s="106"/>
      <c r="H39" s="106"/>
      <c r="I39" s="106"/>
      <c r="J39" s="106"/>
      <c r="K39" s="106"/>
      <c r="L39" s="106"/>
      <c r="M39" s="106"/>
      <c r="N39" s="106"/>
    </row>
    <row r="40" spans="3:14" ht="15" x14ac:dyDescent="0.25">
      <c r="C40" s="108"/>
      <c r="D40" s="108">
        <v>309</v>
      </c>
      <c r="E40" s="240">
        <v>2800</v>
      </c>
      <c r="F40" s="230"/>
      <c r="G40" s="106"/>
      <c r="H40" s="106"/>
      <c r="I40" s="106"/>
      <c r="J40" s="106"/>
      <c r="K40" s="106"/>
      <c r="L40" s="106"/>
      <c r="M40" s="106"/>
      <c r="N40" s="106"/>
    </row>
    <row r="41" spans="3:14" ht="15" x14ac:dyDescent="0.25">
      <c r="C41" s="108"/>
      <c r="D41" s="108">
        <v>504</v>
      </c>
      <c r="E41" s="240">
        <v>2800</v>
      </c>
      <c r="F41"/>
      <c r="G41" s="106"/>
      <c r="H41" s="106"/>
      <c r="I41" s="106"/>
      <c r="J41" s="106"/>
      <c r="K41" s="106"/>
      <c r="L41" s="106"/>
      <c r="M41" s="106"/>
      <c r="N41" s="106"/>
    </row>
    <row r="42" spans="3:14" ht="15" x14ac:dyDescent="0.25">
      <c r="C42" s="108"/>
      <c r="D42" s="108">
        <v>606</v>
      </c>
      <c r="E42" s="240">
        <v>1184.2100000000064</v>
      </c>
      <c r="F42" s="230"/>
      <c r="G42" s="106"/>
      <c r="H42" s="106"/>
      <c r="I42" s="106"/>
      <c r="J42" s="106"/>
      <c r="K42" s="106"/>
      <c r="L42" s="106"/>
      <c r="M42" s="106"/>
      <c r="N42" s="106"/>
    </row>
    <row r="43" spans="3:14" ht="15" x14ac:dyDescent="0.25">
      <c r="C43" s="108"/>
      <c r="D43" s="108">
        <v>610</v>
      </c>
      <c r="E43" s="240">
        <v>1045.8999999999942</v>
      </c>
      <c r="F43"/>
      <c r="G43" s="106"/>
      <c r="H43" s="106"/>
      <c r="I43" s="106"/>
      <c r="J43" s="106"/>
      <c r="K43" s="106"/>
      <c r="L43" s="106"/>
      <c r="M43" s="106"/>
      <c r="N43" s="106"/>
    </row>
    <row r="44" spans="3:14" ht="15" x14ac:dyDescent="0.25">
      <c r="C44" s="108"/>
      <c r="D44" s="108" t="s">
        <v>21</v>
      </c>
      <c r="E44" s="240">
        <v>1500</v>
      </c>
      <c r="F44"/>
      <c r="G44" s="106"/>
      <c r="H44" s="106"/>
      <c r="I44" s="106"/>
      <c r="J44" s="106"/>
      <c r="K44" s="106"/>
      <c r="L44" s="106"/>
      <c r="M44" s="106"/>
      <c r="N44" s="106"/>
    </row>
    <row r="45" spans="3:14" ht="15" x14ac:dyDescent="0.25">
      <c r="C45" s="108" t="s">
        <v>151</v>
      </c>
      <c r="D45" s="108"/>
      <c r="E45" s="240">
        <v>62041.25</v>
      </c>
      <c r="F45"/>
      <c r="G45" s="106"/>
      <c r="H45" s="106"/>
      <c r="I45" s="106"/>
      <c r="J45" s="106"/>
      <c r="K45" s="106"/>
      <c r="L45" s="106"/>
      <c r="M45" s="106"/>
      <c r="N45" s="106"/>
    </row>
    <row r="46" spans="3:14" ht="15" x14ac:dyDescent="0.25">
      <c r="C46" s="108">
        <v>3</v>
      </c>
      <c r="D46" s="108">
        <v>102</v>
      </c>
      <c r="E46" s="240">
        <v>3733.3199999999979</v>
      </c>
      <c r="F46"/>
      <c r="G46" s="106"/>
      <c r="H46" s="106"/>
      <c r="I46" s="106"/>
      <c r="J46" s="106"/>
      <c r="K46" s="106"/>
      <c r="L46" s="106"/>
      <c r="M46" s="106"/>
      <c r="N46" s="106"/>
    </row>
    <row r="47" spans="3:14" ht="15" x14ac:dyDescent="0.25">
      <c r="C47" s="108"/>
      <c r="D47" s="108">
        <v>203</v>
      </c>
      <c r="E47" s="240">
        <v>3970.5899999999983</v>
      </c>
      <c r="F47"/>
      <c r="G47" s="106"/>
      <c r="H47" s="106"/>
      <c r="I47" s="106"/>
      <c r="J47" s="106"/>
      <c r="K47" s="106"/>
      <c r="L47" s="106"/>
      <c r="M47" s="106"/>
      <c r="N47" s="106"/>
    </row>
    <row r="48" spans="3:14" ht="15" x14ac:dyDescent="0.25">
      <c r="C48" s="108"/>
      <c r="D48" s="108">
        <v>207</v>
      </c>
      <c r="E48" s="240">
        <v>5623.5</v>
      </c>
      <c r="F48"/>
      <c r="G48" s="106"/>
      <c r="H48" s="106"/>
      <c r="I48" s="106"/>
      <c r="J48" s="106"/>
      <c r="K48" s="106"/>
      <c r="L48" s="106"/>
      <c r="M48" s="106"/>
      <c r="N48" s="106"/>
    </row>
    <row r="49" spans="3:6" ht="15" x14ac:dyDescent="0.25">
      <c r="C49" s="108"/>
      <c r="D49" s="108">
        <v>410</v>
      </c>
      <c r="E49" s="240">
        <v>2194.0800000000017</v>
      </c>
      <c r="F49"/>
    </row>
    <row r="50" spans="3:6" ht="15" x14ac:dyDescent="0.25">
      <c r="C50" s="108"/>
      <c r="D50" s="108">
        <v>601</v>
      </c>
      <c r="E50" s="240">
        <v>3418</v>
      </c>
      <c r="F50"/>
    </row>
    <row r="51" spans="3:6" ht="15" x14ac:dyDescent="0.25">
      <c r="C51" s="108" t="s">
        <v>152</v>
      </c>
      <c r="D51" s="108"/>
      <c r="E51" s="240">
        <v>18939.489999999998</v>
      </c>
      <c r="F51"/>
    </row>
    <row r="52" spans="3:6" ht="15" x14ac:dyDescent="0.25">
      <c r="C52" s="108">
        <v>4</v>
      </c>
      <c r="D52" s="108">
        <v>403</v>
      </c>
      <c r="E52" s="240">
        <v>4714.25</v>
      </c>
      <c r="F52"/>
    </row>
    <row r="53" spans="3:6" ht="15" x14ac:dyDescent="0.25">
      <c r="C53" s="108" t="s">
        <v>153</v>
      </c>
      <c r="D53" s="108"/>
      <c r="E53" s="240">
        <v>4714.25</v>
      </c>
      <c r="F53"/>
    </row>
    <row r="54" spans="3:6" ht="15" x14ac:dyDescent="0.25">
      <c r="C54" s="108">
        <v>5</v>
      </c>
      <c r="D54" s="108">
        <v>108</v>
      </c>
      <c r="E54" s="240">
        <v>10109.220000000023</v>
      </c>
      <c r="F54"/>
    </row>
    <row r="55" spans="3:6" ht="15" x14ac:dyDescent="0.25">
      <c r="C55" s="108" t="s">
        <v>154</v>
      </c>
      <c r="D55" s="108"/>
      <c r="E55" s="240">
        <v>10109.220000000023</v>
      </c>
      <c r="F55"/>
    </row>
    <row r="56" spans="3:6" ht="15" x14ac:dyDescent="0.25">
      <c r="C56" s="108">
        <v>7</v>
      </c>
      <c r="D56" s="108">
        <v>602</v>
      </c>
      <c r="E56" s="240">
        <v>15299.800000000003</v>
      </c>
      <c r="F56"/>
    </row>
    <row r="57" spans="3:6" ht="15" x14ac:dyDescent="0.25">
      <c r="C57" s="108" t="s">
        <v>155</v>
      </c>
      <c r="D57" s="108"/>
      <c r="E57" s="240">
        <v>15299.800000000003</v>
      </c>
      <c r="F57"/>
    </row>
    <row r="58" spans="3:6" ht="15" x14ac:dyDescent="0.25">
      <c r="C58" s="108">
        <v>8</v>
      </c>
      <c r="D58" s="108">
        <v>210</v>
      </c>
      <c r="E58" s="240">
        <v>10459.98</v>
      </c>
      <c r="F58"/>
    </row>
    <row r="59" spans="3:6" ht="15" x14ac:dyDescent="0.25">
      <c r="C59" s="108" t="s">
        <v>156</v>
      </c>
      <c r="D59" s="108"/>
      <c r="E59" s="240">
        <v>10459.98</v>
      </c>
      <c r="F59"/>
    </row>
    <row r="60" spans="3:6" ht="15" x14ac:dyDescent="0.25">
      <c r="C60" s="108">
        <v>12</v>
      </c>
      <c r="D60" s="108">
        <v>212</v>
      </c>
      <c r="E60" s="240">
        <v>17919.96</v>
      </c>
      <c r="F60"/>
    </row>
    <row r="61" spans="3:6" ht="15" x14ac:dyDescent="0.25">
      <c r="C61" s="108" t="s">
        <v>157</v>
      </c>
      <c r="D61" s="108"/>
      <c r="E61" s="240">
        <v>17919.96</v>
      </c>
      <c r="F61"/>
    </row>
    <row r="62" spans="3:6" ht="15" x14ac:dyDescent="0.25">
      <c r="C62" s="108">
        <v>14</v>
      </c>
      <c r="D62" s="108">
        <v>213</v>
      </c>
      <c r="E62" s="240">
        <v>19419.96</v>
      </c>
      <c r="F62"/>
    </row>
    <row r="63" spans="3:6" ht="15" x14ac:dyDescent="0.25">
      <c r="C63" s="108" t="s">
        <v>158</v>
      </c>
      <c r="D63" s="108"/>
      <c r="E63" s="240">
        <v>19419.96</v>
      </c>
      <c r="F63"/>
    </row>
    <row r="64" spans="3:6" ht="15" x14ac:dyDescent="0.25">
      <c r="C64" s="108">
        <v>20</v>
      </c>
      <c r="D64" s="108">
        <v>104</v>
      </c>
      <c r="E64" s="240">
        <v>35622.980000000003</v>
      </c>
      <c r="F64"/>
    </row>
    <row r="65" spans="3:6" ht="15" x14ac:dyDescent="0.25">
      <c r="C65" s="108" t="s">
        <v>159</v>
      </c>
      <c r="D65" s="108"/>
      <c r="E65" s="240">
        <v>35622.980000000003</v>
      </c>
      <c r="F65"/>
    </row>
    <row r="66" spans="3:6" ht="15" x14ac:dyDescent="0.25">
      <c r="C66" s="108" t="s">
        <v>13</v>
      </c>
      <c r="D66" s="108"/>
      <c r="E66" s="240">
        <v>252399.95999999996</v>
      </c>
      <c r="F66"/>
    </row>
    <row r="67" spans="3:6" ht="15" x14ac:dyDescent="0.25">
      <c r="C67"/>
      <c r="D67"/>
      <c r="E67"/>
      <c r="F67"/>
    </row>
    <row r="68" spans="3:6" ht="15" x14ac:dyDescent="0.25">
      <c r="C68"/>
      <c r="D68"/>
      <c r="E68"/>
      <c r="F68"/>
    </row>
    <row r="69" spans="3:6" ht="15" x14ac:dyDescent="0.25">
      <c r="C69"/>
      <c r="D69"/>
      <c r="E69"/>
      <c r="F69"/>
    </row>
    <row r="70" spans="3:6" ht="15" x14ac:dyDescent="0.25">
      <c r="C70"/>
      <c r="D70"/>
      <c r="E70"/>
      <c r="F70"/>
    </row>
    <row r="71" spans="3:6" ht="15" x14ac:dyDescent="0.25">
      <c r="C71"/>
      <c r="D71"/>
      <c r="E71"/>
      <c r="F71"/>
    </row>
    <row r="72" spans="3:6" ht="15" x14ac:dyDescent="0.25">
      <c r="C72"/>
      <c r="D72"/>
      <c r="E72"/>
      <c r="F72"/>
    </row>
    <row r="73" spans="3:6" ht="15" x14ac:dyDescent="0.25">
      <c r="C73"/>
      <c r="D73"/>
      <c r="E73"/>
      <c r="F73"/>
    </row>
    <row r="74" spans="3:6" ht="15" x14ac:dyDescent="0.25">
      <c r="C74"/>
      <c r="D74"/>
      <c r="E74"/>
      <c r="F74"/>
    </row>
    <row r="75" spans="3:6" ht="15" x14ac:dyDescent="0.25">
      <c r="C75"/>
      <c r="D75"/>
      <c r="E75"/>
      <c r="F75"/>
    </row>
    <row r="76" spans="3:6" ht="15" x14ac:dyDescent="0.25">
      <c r="C76"/>
      <c r="D76"/>
      <c r="E76"/>
      <c r="F76"/>
    </row>
    <row r="77" spans="3:6" ht="15" x14ac:dyDescent="0.25">
      <c r="C77"/>
      <c r="D77"/>
      <c r="E77"/>
      <c r="F77"/>
    </row>
    <row r="78" spans="3:6" ht="15" x14ac:dyDescent="0.25">
      <c r="C78"/>
      <c r="D78"/>
      <c r="E78"/>
      <c r="F78"/>
    </row>
    <row r="79" spans="3:6" ht="15" x14ac:dyDescent="0.25">
      <c r="C79"/>
      <c r="D79"/>
      <c r="E79"/>
      <c r="F79"/>
    </row>
    <row r="80" spans="3:6" ht="15" x14ac:dyDescent="0.25">
      <c r="C80"/>
      <c r="D80"/>
      <c r="E80"/>
      <c r="F80"/>
    </row>
    <row r="81" spans="3:6" ht="15" x14ac:dyDescent="0.25">
      <c r="C81"/>
      <c r="D81"/>
      <c r="E81"/>
      <c r="F81"/>
    </row>
    <row r="82" spans="3:6" ht="15" x14ac:dyDescent="0.25">
      <c r="C82"/>
      <c r="D82"/>
      <c r="E82"/>
      <c r="F82"/>
    </row>
    <row r="83" spans="3:6" ht="15" x14ac:dyDescent="0.25">
      <c r="C83"/>
      <c r="D83"/>
      <c r="E83"/>
      <c r="F83"/>
    </row>
    <row r="84" spans="3:6" ht="15" x14ac:dyDescent="0.25">
      <c r="C84"/>
      <c r="D84"/>
      <c r="E84"/>
      <c r="F84"/>
    </row>
    <row r="85" spans="3:6" ht="15" x14ac:dyDescent="0.25">
      <c r="C85"/>
      <c r="D85"/>
      <c r="E85"/>
      <c r="F85"/>
    </row>
    <row r="86" spans="3:6" ht="15" x14ac:dyDescent="0.25">
      <c r="C86"/>
      <c r="D86"/>
      <c r="E86"/>
      <c r="F86"/>
    </row>
    <row r="87" spans="3:6" ht="15" x14ac:dyDescent="0.25">
      <c r="C87"/>
      <c r="D87"/>
      <c r="E87"/>
      <c r="F87"/>
    </row>
    <row r="88" spans="3:6" ht="15" x14ac:dyDescent="0.25">
      <c r="C88"/>
      <c r="D88"/>
      <c r="E88"/>
      <c r="F88" s="106"/>
    </row>
    <row r="89" spans="3:6" ht="15" x14ac:dyDescent="0.25">
      <c r="C89"/>
      <c r="D89"/>
      <c r="E89"/>
      <c r="F89" s="106"/>
    </row>
    <row r="90" spans="3:6" ht="15" x14ac:dyDescent="0.25">
      <c r="C90"/>
      <c r="D90"/>
      <c r="E90"/>
      <c r="F90" s="106"/>
    </row>
    <row r="91" spans="3:6" ht="15" x14ac:dyDescent="0.25">
      <c r="C91"/>
      <c r="D91"/>
      <c r="E91"/>
      <c r="F91" s="106"/>
    </row>
    <row r="92" spans="3:6" ht="15" x14ac:dyDescent="0.25">
      <c r="C92"/>
      <c r="D92"/>
      <c r="E92"/>
      <c r="F92" s="106"/>
    </row>
    <row r="93" spans="3:6" ht="15" x14ac:dyDescent="0.25">
      <c r="C93"/>
      <c r="D93"/>
      <c r="E93"/>
      <c r="F93" s="106"/>
    </row>
    <row r="94" spans="3:6" ht="15" x14ac:dyDescent="0.25">
      <c r="C94"/>
      <c r="D94"/>
      <c r="E94"/>
      <c r="F94" s="106"/>
    </row>
    <row r="95" spans="3:6" ht="15" x14ac:dyDescent="0.25">
      <c r="C95"/>
      <c r="D95"/>
      <c r="E95"/>
      <c r="F95" s="106"/>
    </row>
    <row r="96" spans="3:6" ht="15" x14ac:dyDescent="0.25">
      <c r="C96"/>
      <c r="D96"/>
      <c r="E96"/>
      <c r="F96" s="106"/>
    </row>
    <row r="97" spans="3:5" ht="15" x14ac:dyDescent="0.25">
      <c r="C97"/>
      <c r="D97"/>
      <c r="E97"/>
    </row>
    <row r="98" spans="3:5" ht="15" x14ac:dyDescent="0.25">
      <c r="C98"/>
      <c r="D98"/>
      <c r="E98"/>
    </row>
    <row r="99" spans="3:5" ht="15" x14ac:dyDescent="0.25">
      <c r="C99"/>
      <c r="D99"/>
      <c r="E99"/>
    </row>
    <row r="100" spans="3:5" ht="15" x14ac:dyDescent="0.25">
      <c r="C100"/>
      <c r="D100"/>
      <c r="E100"/>
    </row>
    <row r="101" spans="3:5" ht="15" x14ac:dyDescent="0.25">
      <c r="C101"/>
      <c r="D101"/>
      <c r="E101"/>
    </row>
    <row r="102" spans="3:5" ht="15" x14ac:dyDescent="0.25">
      <c r="C102"/>
      <c r="D102"/>
      <c r="E102"/>
    </row>
    <row r="103" spans="3:5" ht="15" x14ac:dyDescent="0.25">
      <c r="C103"/>
      <c r="D103"/>
      <c r="E103"/>
    </row>
    <row r="104" spans="3:5" ht="15" x14ac:dyDescent="0.25">
      <c r="C104"/>
      <c r="D104"/>
      <c r="E104"/>
    </row>
    <row r="105" spans="3:5" ht="15" x14ac:dyDescent="0.25">
      <c r="C105"/>
      <c r="D105"/>
      <c r="E105"/>
    </row>
    <row r="106" spans="3:5" ht="15" x14ac:dyDescent="0.25">
      <c r="C106"/>
      <c r="D106"/>
      <c r="E106"/>
    </row>
    <row r="107" spans="3:5" ht="15" x14ac:dyDescent="0.25">
      <c r="C107"/>
      <c r="D107"/>
      <c r="E107"/>
    </row>
    <row r="108" spans="3:5" ht="15" x14ac:dyDescent="0.25">
      <c r="C108"/>
      <c r="D108"/>
      <c r="E108"/>
    </row>
    <row r="109" spans="3:5" ht="15" x14ac:dyDescent="0.25">
      <c r="C109"/>
      <c r="D109"/>
      <c r="E109"/>
    </row>
    <row r="110" spans="3:5" ht="15" x14ac:dyDescent="0.25">
      <c r="C110"/>
      <c r="D110"/>
      <c r="E110"/>
    </row>
    <row r="111" spans="3:5" ht="15" x14ac:dyDescent="0.25">
      <c r="C111"/>
      <c r="D111"/>
      <c r="E111"/>
    </row>
    <row r="112" spans="3:5" ht="15" x14ac:dyDescent="0.25">
      <c r="C112"/>
      <c r="D112"/>
      <c r="E112"/>
    </row>
    <row r="113" spans="3:5" ht="15" x14ac:dyDescent="0.25">
      <c r="C113"/>
      <c r="D113"/>
      <c r="E113"/>
    </row>
    <row r="114" spans="3:5" ht="15" x14ac:dyDescent="0.25">
      <c r="C114"/>
      <c r="D114"/>
      <c r="E114"/>
    </row>
    <row r="115" spans="3:5" ht="15" x14ac:dyDescent="0.25">
      <c r="C115"/>
      <c r="D115"/>
      <c r="E115"/>
    </row>
    <row r="116" spans="3:5" ht="15" x14ac:dyDescent="0.25">
      <c r="C116"/>
      <c r="D116"/>
      <c r="E116"/>
    </row>
    <row r="117" spans="3:5" ht="15" x14ac:dyDescent="0.25">
      <c r="C117"/>
      <c r="D117"/>
      <c r="E117"/>
    </row>
    <row r="118" spans="3:5" ht="15" x14ac:dyDescent="0.25">
      <c r="C118"/>
      <c r="D118"/>
      <c r="E118"/>
    </row>
    <row r="119" spans="3:5" ht="15" x14ac:dyDescent="0.25">
      <c r="C119"/>
      <c r="D119"/>
      <c r="E119"/>
    </row>
    <row r="120" spans="3:5" ht="15" x14ac:dyDescent="0.25">
      <c r="C120"/>
      <c r="D120"/>
      <c r="E120"/>
    </row>
    <row r="121" spans="3:5" ht="15" x14ac:dyDescent="0.25">
      <c r="C121"/>
      <c r="D121"/>
      <c r="E121"/>
    </row>
    <row r="122" spans="3:5" ht="15" x14ac:dyDescent="0.25">
      <c r="C122"/>
      <c r="D122"/>
      <c r="E122"/>
    </row>
    <row r="123" spans="3:5" ht="15" x14ac:dyDescent="0.25">
      <c r="C123"/>
      <c r="D123"/>
      <c r="E123"/>
    </row>
    <row r="124" spans="3:5" ht="15" x14ac:dyDescent="0.25">
      <c r="C124"/>
      <c r="D124"/>
      <c r="E124"/>
    </row>
    <row r="125" spans="3:5" ht="15" x14ac:dyDescent="0.25">
      <c r="C125"/>
      <c r="D125"/>
      <c r="E125"/>
    </row>
    <row r="126" spans="3:5" ht="15" x14ac:dyDescent="0.25">
      <c r="C126"/>
      <c r="D126"/>
      <c r="E126"/>
    </row>
    <row r="127" spans="3:5" ht="15" x14ac:dyDescent="0.25">
      <c r="C127"/>
      <c r="D127"/>
      <c r="E127"/>
    </row>
    <row r="128" spans="3:5" ht="15" x14ac:dyDescent="0.25">
      <c r="C128"/>
      <c r="D128"/>
      <c r="E128"/>
    </row>
    <row r="129" spans="3:5" ht="15" x14ac:dyDescent="0.25">
      <c r="C129"/>
      <c r="D129"/>
      <c r="E129"/>
    </row>
    <row r="130" spans="3:5" ht="15" x14ac:dyDescent="0.25">
      <c r="C130"/>
      <c r="D130"/>
      <c r="E130"/>
    </row>
    <row r="131" spans="3:5" ht="15" x14ac:dyDescent="0.25">
      <c r="C131"/>
      <c r="D131"/>
      <c r="E131"/>
    </row>
    <row r="132" spans="3:5" ht="15" x14ac:dyDescent="0.25">
      <c r="C132"/>
      <c r="D132"/>
      <c r="E132"/>
    </row>
    <row r="133" spans="3:5" ht="15" x14ac:dyDescent="0.25">
      <c r="C133"/>
      <c r="D133"/>
      <c r="E133"/>
    </row>
    <row r="134" spans="3:5" ht="15" x14ac:dyDescent="0.25">
      <c r="C134"/>
      <c r="D134"/>
      <c r="E134"/>
    </row>
    <row r="135" spans="3:5" ht="15" x14ac:dyDescent="0.25">
      <c r="C135"/>
      <c r="D135"/>
      <c r="E135"/>
    </row>
    <row r="136" spans="3:5" ht="15" x14ac:dyDescent="0.25">
      <c r="C136"/>
      <c r="D136"/>
      <c r="E136"/>
    </row>
    <row r="137" spans="3:5" ht="15" x14ac:dyDescent="0.25">
      <c r="C137"/>
      <c r="D137"/>
      <c r="E137"/>
    </row>
    <row r="138" spans="3:5" ht="15" x14ac:dyDescent="0.25">
      <c r="C138"/>
      <c r="D138"/>
      <c r="E138"/>
    </row>
    <row r="139" spans="3:5" ht="15" x14ac:dyDescent="0.25">
      <c r="C139"/>
      <c r="D139"/>
      <c r="E139"/>
    </row>
    <row r="140" spans="3:5" ht="15" x14ac:dyDescent="0.25">
      <c r="C140"/>
      <c r="D140"/>
      <c r="E140"/>
    </row>
    <row r="141" spans="3:5" ht="15" x14ac:dyDescent="0.25">
      <c r="C141"/>
      <c r="D141"/>
      <c r="E141"/>
    </row>
    <row r="142" spans="3:5" ht="15" x14ac:dyDescent="0.25">
      <c r="C142"/>
      <c r="D142"/>
      <c r="E142"/>
    </row>
    <row r="143" spans="3:5" x14ac:dyDescent="0.2">
      <c r="C143" s="108"/>
      <c r="D143" s="108"/>
      <c r="E143" s="108"/>
    </row>
    <row r="144" spans="3:5" x14ac:dyDescent="0.2">
      <c r="C144" s="108"/>
      <c r="D144" s="108"/>
      <c r="E144" s="108"/>
    </row>
    <row r="145" spans="3:5" x14ac:dyDescent="0.2">
      <c r="C145" s="108"/>
      <c r="D145" s="108"/>
      <c r="E145" s="108"/>
    </row>
    <row r="146" spans="3:5" x14ac:dyDescent="0.2">
      <c r="C146" s="108"/>
      <c r="D146" s="108"/>
      <c r="E146" s="108"/>
    </row>
    <row r="147" spans="3:5" x14ac:dyDescent="0.2">
      <c r="C147" s="108"/>
      <c r="D147" s="108"/>
      <c r="E147" s="108"/>
    </row>
    <row r="148" spans="3:5" x14ac:dyDescent="0.2">
      <c r="C148" s="108"/>
      <c r="D148" s="108"/>
      <c r="E148" s="108"/>
    </row>
    <row r="149" spans="3:5" x14ac:dyDescent="0.2">
      <c r="C149" s="108"/>
      <c r="D149" s="108"/>
      <c r="E149" s="108"/>
    </row>
    <row r="150" spans="3:5" x14ac:dyDescent="0.2">
      <c r="C150" s="108"/>
      <c r="D150" s="108"/>
      <c r="E150" s="108"/>
    </row>
    <row r="151" spans="3:5" x14ac:dyDescent="0.2">
      <c r="C151" s="108"/>
      <c r="D151" s="108"/>
      <c r="E151" s="108"/>
    </row>
    <row r="152" spans="3:5" x14ac:dyDescent="0.2">
      <c r="C152" s="108"/>
      <c r="D152" s="108"/>
      <c r="E152" s="108"/>
    </row>
    <row r="153" spans="3:5" x14ac:dyDescent="0.2">
      <c r="C153" s="108"/>
      <c r="D153" s="108"/>
      <c r="E153" s="108"/>
    </row>
    <row r="154" spans="3:5" x14ac:dyDescent="0.2">
      <c r="C154" s="108"/>
      <c r="D154" s="108"/>
      <c r="E154" s="108"/>
    </row>
    <row r="155" spans="3:5" x14ac:dyDescent="0.2">
      <c r="C155" s="108"/>
      <c r="D155" s="108"/>
      <c r="E155" s="108"/>
    </row>
    <row r="156" spans="3:5" x14ac:dyDescent="0.2">
      <c r="C156" s="108"/>
      <c r="D156" s="108"/>
      <c r="E156" s="108"/>
    </row>
    <row r="157" spans="3:5" x14ac:dyDescent="0.2">
      <c r="C157" s="108"/>
      <c r="D157" s="108"/>
      <c r="E157" s="108"/>
    </row>
    <row r="158" spans="3:5" x14ac:dyDescent="0.2">
      <c r="C158" s="108"/>
      <c r="D158" s="108"/>
      <c r="E158" s="108"/>
    </row>
    <row r="159" spans="3:5" x14ac:dyDescent="0.2">
      <c r="C159" s="108"/>
      <c r="D159" s="108"/>
      <c r="E159" s="108"/>
    </row>
    <row r="160" spans="3:5" x14ac:dyDescent="0.2">
      <c r="C160" s="108"/>
      <c r="D160" s="108"/>
      <c r="E160" s="108"/>
    </row>
    <row r="161" spans="3:5" x14ac:dyDescent="0.2">
      <c r="C161" s="108"/>
      <c r="D161" s="108"/>
      <c r="E161" s="108"/>
    </row>
    <row r="162" spans="3:5" x14ac:dyDescent="0.2">
      <c r="C162" s="108"/>
      <c r="D162" s="108"/>
      <c r="E162" s="108"/>
    </row>
    <row r="163" spans="3:5" x14ac:dyDescent="0.2">
      <c r="C163" s="108"/>
      <c r="D163" s="108"/>
      <c r="E163" s="108"/>
    </row>
    <row r="164" spans="3:5" x14ac:dyDescent="0.2">
      <c r="C164" s="108"/>
      <c r="D164" s="108"/>
      <c r="E164" s="108"/>
    </row>
    <row r="165" spans="3:5" x14ac:dyDescent="0.2">
      <c r="C165" s="108"/>
      <c r="D165" s="108"/>
      <c r="E165" s="108"/>
    </row>
    <row r="166" spans="3:5" x14ac:dyDescent="0.2">
      <c r="C166" s="108"/>
      <c r="D166" s="108"/>
      <c r="E166" s="108"/>
    </row>
    <row r="167" spans="3:5" x14ac:dyDescent="0.2">
      <c r="C167" s="108"/>
      <c r="D167" s="108"/>
      <c r="E167" s="108"/>
    </row>
    <row r="168" spans="3:5" x14ac:dyDescent="0.2">
      <c r="C168" s="108"/>
      <c r="D168" s="108"/>
      <c r="E168" s="108"/>
    </row>
    <row r="169" spans="3:5" x14ac:dyDescent="0.2">
      <c r="C169" s="108"/>
      <c r="D169" s="108"/>
      <c r="E169" s="108"/>
    </row>
    <row r="170" spans="3:5" x14ac:dyDescent="0.2">
      <c r="C170" s="108"/>
      <c r="D170" s="108"/>
      <c r="E170" s="108"/>
    </row>
    <row r="171" spans="3:5" x14ac:dyDescent="0.2">
      <c r="C171" s="108"/>
      <c r="D171" s="108"/>
      <c r="E171" s="108"/>
    </row>
    <row r="172" spans="3:5" x14ac:dyDescent="0.2">
      <c r="C172" s="108"/>
      <c r="D172" s="108"/>
      <c r="E172" s="108"/>
    </row>
    <row r="173" spans="3:5" x14ac:dyDescent="0.2">
      <c r="C173" s="108"/>
      <c r="D173" s="108"/>
      <c r="E173" s="108"/>
    </row>
    <row r="174" spans="3:5" x14ac:dyDescent="0.2">
      <c r="C174" s="108"/>
      <c r="D174" s="108"/>
      <c r="E174" s="108"/>
    </row>
    <row r="175" spans="3:5" x14ac:dyDescent="0.2">
      <c r="C175" s="108"/>
      <c r="D175" s="108"/>
      <c r="E175" s="108"/>
    </row>
    <row r="176" spans="3:5" x14ac:dyDescent="0.2">
      <c r="C176" s="108"/>
      <c r="D176" s="108"/>
      <c r="E176" s="108"/>
    </row>
    <row r="177" spans="3:5" x14ac:dyDescent="0.2">
      <c r="C177" s="108"/>
      <c r="D177" s="108"/>
      <c r="E177" s="108"/>
    </row>
    <row r="178" spans="3:5" x14ac:dyDescent="0.2">
      <c r="C178" s="108"/>
      <c r="D178" s="108"/>
      <c r="E178" s="108"/>
    </row>
    <row r="179" spans="3:5" x14ac:dyDescent="0.2">
      <c r="C179" s="108"/>
      <c r="D179" s="108"/>
      <c r="E179" s="108"/>
    </row>
    <row r="180" spans="3:5" x14ac:dyDescent="0.2">
      <c r="C180" s="108"/>
      <c r="D180" s="108"/>
      <c r="E180" s="108"/>
    </row>
    <row r="181" spans="3:5" x14ac:dyDescent="0.2">
      <c r="C181" s="108"/>
      <c r="D181" s="108"/>
      <c r="E181" s="108"/>
    </row>
    <row r="182" spans="3:5" x14ac:dyDescent="0.2">
      <c r="C182" s="108"/>
      <c r="D182" s="108"/>
      <c r="E182" s="108"/>
    </row>
    <row r="183" spans="3:5" x14ac:dyDescent="0.2">
      <c r="C183" s="108"/>
      <c r="D183" s="108"/>
      <c r="E183" s="108"/>
    </row>
    <row r="184" spans="3:5" x14ac:dyDescent="0.2">
      <c r="C184" s="108"/>
      <c r="D184" s="108"/>
      <c r="E184" s="108"/>
    </row>
    <row r="185" spans="3:5" x14ac:dyDescent="0.2">
      <c r="C185" s="108"/>
      <c r="D185" s="108"/>
      <c r="E185" s="108"/>
    </row>
    <row r="186" spans="3:5" x14ac:dyDescent="0.2">
      <c r="C186" s="108"/>
      <c r="D186" s="108"/>
      <c r="E186" s="108"/>
    </row>
    <row r="187" spans="3:5" x14ac:dyDescent="0.2">
      <c r="C187" s="108"/>
      <c r="D187" s="108"/>
      <c r="E187" s="108"/>
    </row>
    <row r="188" spans="3:5" x14ac:dyDescent="0.2">
      <c r="C188" s="108"/>
      <c r="D188" s="108"/>
      <c r="E188" s="108"/>
    </row>
    <row r="189" spans="3:5" x14ac:dyDescent="0.2">
      <c r="C189" s="108"/>
      <c r="D189" s="108"/>
      <c r="E189" s="108"/>
    </row>
    <row r="190" spans="3:5" x14ac:dyDescent="0.2">
      <c r="C190" s="108"/>
      <c r="D190" s="108"/>
      <c r="E190" s="108"/>
    </row>
    <row r="191" spans="3:5" x14ac:dyDescent="0.2">
      <c r="C191" s="108"/>
      <c r="D191" s="108"/>
      <c r="E191" s="108"/>
    </row>
    <row r="192" spans="3:5" x14ac:dyDescent="0.2">
      <c r="C192" s="108"/>
      <c r="D192" s="108"/>
      <c r="E192" s="108"/>
    </row>
    <row r="193" spans="3:5" x14ac:dyDescent="0.2">
      <c r="C193" s="108"/>
      <c r="D193" s="108"/>
      <c r="E193" s="108"/>
    </row>
    <row r="194" spans="3:5" x14ac:dyDescent="0.2">
      <c r="C194" s="108"/>
      <c r="D194" s="108"/>
      <c r="E194" s="108"/>
    </row>
    <row r="195" spans="3:5" x14ac:dyDescent="0.2">
      <c r="C195" s="108"/>
      <c r="D195" s="108"/>
      <c r="E195" s="108"/>
    </row>
    <row r="196" spans="3:5" x14ac:dyDescent="0.2">
      <c r="C196" s="108"/>
      <c r="D196" s="108"/>
      <c r="E196" s="108"/>
    </row>
    <row r="197" spans="3:5" x14ac:dyDescent="0.2">
      <c r="C197" s="108"/>
      <c r="D197" s="108"/>
      <c r="E197" s="108"/>
    </row>
    <row r="198" spans="3:5" x14ac:dyDescent="0.2">
      <c r="C198" s="108"/>
      <c r="D198" s="108"/>
      <c r="E198" s="108"/>
    </row>
    <row r="199" spans="3:5" x14ac:dyDescent="0.2">
      <c r="C199" s="108"/>
      <c r="D199" s="108"/>
      <c r="E199" s="108"/>
    </row>
    <row r="200" spans="3:5" x14ac:dyDescent="0.2">
      <c r="C200" s="108"/>
      <c r="D200" s="108"/>
      <c r="E200" s="108"/>
    </row>
    <row r="201" spans="3:5" x14ac:dyDescent="0.2">
      <c r="C201" s="108"/>
      <c r="D201" s="108"/>
      <c r="E201" s="108"/>
    </row>
    <row r="202" spans="3:5" x14ac:dyDescent="0.2">
      <c r="C202" s="108"/>
      <c r="D202" s="108"/>
      <c r="E202" s="108"/>
    </row>
    <row r="203" spans="3:5" x14ac:dyDescent="0.2">
      <c r="C203" s="108"/>
      <c r="D203" s="108"/>
      <c r="E203" s="108"/>
    </row>
    <row r="204" spans="3:5" x14ac:dyDescent="0.2">
      <c r="C204" s="108"/>
      <c r="D204" s="108"/>
      <c r="E204" s="108"/>
    </row>
    <row r="205" spans="3:5" x14ac:dyDescent="0.2">
      <c r="C205" s="108"/>
      <c r="D205" s="108"/>
      <c r="E205" s="108"/>
    </row>
    <row r="206" spans="3:5" x14ac:dyDescent="0.2">
      <c r="C206" s="108"/>
      <c r="D206" s="108"/>
      <c r="E206" s="108"/>
    </row>
    <row r="207" spans="3:5" x14ac:dyDescent="0.2">
      <c r="C207" s="108"/>
      <c r="D207" s="108"/>
      <c r="E207" s="108"/>
    </row>
    <row r="208" spans="3:5" x14ac:dyDescent="0.2">
      <c r="C208" s="108"/>
      <c r="D208" s="108"/>
      <c r="E208" s="108"/>
    </row>
    <row r="209" spans="3:5" x14ac:dyDescent="0.2">
      <c r="C209" s="108"/>
      <c r="D209" s="108"/>
      <c r="E209" s="108"/>
    </row>
    <row r="210" spans="3:5" x14ac:dyDescent="0.2">
      <c r="C210" s="108"/>
      <c r="D210" s="108"/>
      <c r="E210" s="108"/>
    </row>
    <row r="211" spans="3:5" x14ac:dyDescent="0.2">
      <c r="C211" s="108"/>
      <c r="D211" s="108"/>
      <c r="E211" s="108"/>
    </row>
    <row r="212" spans="3:5" x14ac:dyDescent="0.2">
      <c r="C212" s="108"/>
      <c r="D212" s="108"/>
      <c r="E212" s="108"/>
    </row>
    <row r="213" spans="3:5" x14ac:dyDescent="0.2">
      <c r="C213" s="108"/>
      <c r="D213" s="108"/>
      <c r="E213" s="108"/>
    </row>
    <row r="214" spans="3:5" x14ac:dyDescent="0.2">
      <c r="C214" s="108"/>
      <c r="D214" s="108"/>
      <c r="E214" s="108"/>
    </row>
    <row r="215" spans="3:5" x14ac:dyDescent="0.2">
      <c r="C215" s="108"/>
      <c r="D215" s="108"/>
      <c r="E215" s="108"/>
    </row>
    <row r="216" spans="3:5" x14ac:dyDescent="0.2">
      <c r="C216" s="108"/>
      <c r="D216" s="108"/>
      <c r="E216" s="108"/>
    </row>
    <row r="217" spans="3:5" x14ac:dyDescent="0.2">
      <c r="C217" s="108"/>
      <c r="D217" s="108"/>
      <c r="E217" s="108"/>
    </row>
    <row r="218" spans="3:5" x14ac:dyDescent="0.2">
      <c r="C218" s="108"/>
      <c r="D218" s="108"/>
      <c r="E218" s="108"/>
    </row>
    <row r="219" spans="3:5" x14ac:dyDescent="0.2">
      <c r="C219" s="108"/>
      <c r="D219" s="108"/>
      <c r="E219" s="108"/>
    </row>
    <row r="220" spans="3:5" x14ac:dyDescent="0.2">
      <c r="C220" s="108"/>
      <c r="D220" s="108"/>
      <c r="E220" s="108"/>
    </row>
    <row r="221" spans="3:5" x14ac:dyDescent="0.2">
      <c r="C221" s="108"/>
      <c r="D221" s="108"/>
      <c r="E221" s="108"/>
    </row>
    <row r="222" spans="3:5" x14ac:dyDescent="0.2">
      <c r="C222" s="108"/>
      <c r="D222" s="108"/>
      <c r="E222" s="108"/>
    </row>
    <row r="223" spans="3:5" x14ac:dyDescent="0.2">
      <c r="C223" s="108"/>
      <c r="D223" s="108"/>
      <c r="E223" s="108"/>
    </row>
    <row r="224" spans="3:5" x14ac:dyDescent="0.2">
      <c r="C224" s="108"/>
      <c r="D224" s="108"/>
      <c r="E224" s="108"/>
    </row>
    <row r="225" spans="3:5" x14ac:dyDescent="0.2">
      <c r="C225" s="108"/>
      <c r="D225" s="108"/>
      <c r="E225" s="108"/>
    </row>
    <row r="226" spans="3:5" x14ac:dyDescent="0.2">
      <c r="C226" s="108"/>
      <c r="D226" s="108"/>
      <c r="E226" s="108"/>
    </row>
    <row r="227" spans="3:5" x14ac:dyDescent="0.2">
      <c r="C227" s="108"/>
      <c r="D227" s="108"/>
      <c r="E227" s="108"/>
    </row>
    <row r="228" spans="3:5" x14ac:dyDescent="0.2">
      <c r="C228" s="108"/>
      <c r="D228" s="108"/>
      <c r="E228" s="108"/>
    </row>
    <row r="229" spans="3:5" x14ac:dyDescent="0.2">
      <c r="C229" s="108"/>
      <c r="D229" s="108"/>
      <c r="E229" s="108"/>
    </row>
    <row r="230" spans="3:5" x14ac:dyDescent="0.2">
      <c r="C230" s="108"/>
      <c r="D230" s="108"/>
      <c r="E230" s="108"/>
    </row>
    <row r="231" spans="3:5" x14ac:dyDescent="0.2">
      <c r="C231" s="108"/>
      <c r="D231" s="108"/>
      <c r="E231" s="108"/>
    </row>
    <row r="232" spans="3:5" x14ac:dyDescent="0.2">
      <c r="C232" s="108"/>
      <c r="D232" s="108"/>
      <c r="E232" s="108"/>
    </row>
    <row r="233" spans="3:5" x14ac:dyDescent="0.2">
      <c r="C233" s="108"/>
      <c r="D233" s="108"/>
      <c r="E233" s="108"/>
    </row>
    <row r="234" spans="3:5" x14ac:dyDescent="0.2">
      <c r="C234" s="108"/>
      <c r="D234" s="108"/>
      <c r="E234" s="108"/>
    </row>
    <row r="235" spans="3:5" x14ac:dyDescent="0.2">
      <c r="C235" s="108"/>
      <c r="D235" s="108"/>
      <c r="E235" s="108"/>
    </row>
    <row r="236" spans="3:5" x14ac:dyDescent="0.2">
      <c r="C236" s="108"/>
      <c r="D236" s="108"/>
      <c r="E236" s="108"/>
    </row>
    <row r="237" spans="3:5" x14ac:dyDescent="0.2">
      <c r="C237" s="108"/>
      <c r="D237" s="108"/>
      <c r="E237" s="108"/>
    </row>
    <row r="238" spans="3:5" x14ac:dyDescent="0.2">
      <c r="C238" s="108"/>
      <c r="D238" s="108"/>
      <c r="E238" s="108"/>
    </row>
    <row r="239" spans="3:5" x14ac:dyDescent="0.2">
      <c r="C239" s="108"/>
      <c r="D239" s="108"/>
      <c r="E239" s="108"/>
    </row>
    <row r="240" spans="3:5" x14ac:dyDescent="0.2">
      <c r="C240" s="108"/>
      <c r="D240" s="108"/>
      <c r="E240" s="108"/>
    </row>
    <row r="241" spans="3:5" x14ac:dyDescent="0.2">
      <c r="C241" s="108"/>
      <c r="D241" s="108"/>
      <c r="E241" s="108"/>
    </row>
    <row r="242" spans="3:5" x14ac:dyDescent="0.2">
      <c r="C242" s="108"/>
      <c r="D242" s="108"/>
      <c r="E242" s="108"/>
    </row>
    <row r="243" spans="3:5" x14ac:dyDescent="0.2">
      <c r="C243" s="108"/>
      <c r="D243" s="108"/>
      <c r="E243" s="108"/>
    </row>
    <row r="244" spans="3:5" x14ac:dyDescent="0.2">
      <c r="C244" s="108"/>
      <c r="D244" s="108"/>
      <c r="E244" s="108"/>
    </row>
    <row r="245" spans="3:5" x14ac:dyDescent="0.2">
      <c r="C245" s="108"/>
      <c r="D245" s="108"/>
      <c r="E245" s="108"/>
    </row>
    <row r="246" spans="3:5" x14ac:dyDescent="0.2">
      <c r="C246" s="108"/>
      <c r="D246" s="108"/>
      <c r="E246" s="108"/>
    </row>
    <row r="247" spans="3:5" x14ac:dyDescent="0.2">
      <c r="C247" s="108"/>
      <c r="D247" s="108"/>
      <c r="E247" s="108"/>
    </row>
    <row r="248" spans="3:5" x14ac:dyDescent="0.2">
      <c r="C248" s="108"/>
      <c r="D248" s="108"/>
      <c r="E248" s="108"/>
    </row>
    <row r="249" spans="3:5" x14ac:dyDescent="0.2">
      <c r="C249" s="108"/>
      <c r="D249" s="108"/>
      <c r="E249" s="108"/>
    </row>
    <row r="250" spans="3:5" x14ac:dyDescent="0.2">
      <c r="C250" s="108"/>
      <c r="D250" s="108"/>
      <c r="E250" s="108"/>
    </row>
    <row r="251" spans="3:5" x14ac:dyDescent="0.2">
      <c r="C251" s="108"/>
      <c r="D251" s="108"/>
      <c r="E251" s="108"/>
    </row>
  </sheetData>
  <hyperlinks>
    <hyperlink ref="F2" location="RESUMEN!A1" display="RESUMEN" xr:uid="{BE9E8356-70E6-4343-9227-41CD99D801B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59CD-CE21-4AB2-908F-4F98D26B28F8}">
  <sheetPr>
    <tabColor rgb="FFFFC000"/>
  </sheetPr>
  <dimension ref="A1:G251"/>
  <sheetViews>
    <sheetView showGridLines="0" workbookViewId="0">
      <selection activeCell="F12" sqref="F12"/>
    </sheetView>
  </sheetViews>
  <sheetFormatPr defaultColWidth="11.42578125" defaultRowHeight="15" x14ac:dyDescent="0.25"/>
  <cols>
    <col min="1" max="1" width="2.85546875" style="106" customWidth="1"/>
    <col min="2" max="2" width="2.85546875" style="241" customWidth="1"/>
    <col min="3" max="3" width="15.42578125" bestFit="1" customWidth="1"/>
    <col min="4" max="4" width="12.5703125" bestFit="1" customWidth="1"/>
    <col min="5" max="5" width="12" bestFit="1" customWidth="1"/>
  </cols>
  <sheetData>
    <row r="1" spans="3:7" x14ac:dyDescent="0.25">
      <c r="C1" s="106"/>
      <c r="D1" s="106"/>
      <c r="E1" s="106"/>
      <c r="F1" s="106"/>
      <c r="G1" s="106"/>
    </row>
    <row r="2" spans="3:7" x14ac:dyDescent="0.25">
      <c r="C2" s="106"/>
      <c r="D2" s="106"/>
      <c r="E2" s="106"/>
      <c r="F2" s="264" t="s">
        <v>138</v>
      </c>
      <c r="G2" s="106"/>
    </row>
    <row r="3" spans="3:7" x14ac:dyDescent="0.25">
      <c r="C3" s="105" t="s">
        <v>139</v>
      </c>
      <c r="D3" s="105" t="s">
        <v>160</v>
      </c>
      <c r="E3" s="106"/>
      <c r="F3" s="106"/>
      <c r="G3" s="106"/>
    </row>
    <row r="4" spans="3:7" x14ac:dyDescent="0.25">
      <c r="C4" s="107" t="s">
        <v>161</v>
      </c>
      <c r="D4" s="108" t="s">
        <v>5</v>
      </c>
      <c r="E4" s="106"/>
      <c r="F4" s="106"/>
      <c r="G4" s="106"/>
    </row>
    <row r="5" spans="3:7" x14ac:dyDescent="0.25">
      <c r="C5" s="106"/>
      <c r="D5" s="106"/>
      <c r="E5" s="106"/>
      <c r="F5" s="106"/>
      <c r="G5" s="106"/>
    </row>
    <row r="6" spans="3:7" x14ac:dyDescent="0.25">
      <c r="C6" s="245" t="s">
        <v>122</v>
      </c>
      <c r="D6" s="245" t="s">
        <v>62</v>
      </c>
      <c r="E6" s="246" t="s">
        <v>141</v>
      </c>
      <c r="F6" s="106"/>
      <c r="G6" s="106"/>
    </row>
    <row r="7" spans="3:7" x14ac:dyDescent="0.25">
      <c r="C7" s="108">
        <v>0</v>
      </c>
      <c r="D7" s="108"/>
      <c r="E7" s="240"/>
      <c r="F7" s="106"/>
      <c r="G7" s="106"/>
    </row>
    <row r="8" spans="3:7" x14ac:dyDescent="0.25">
      <c r="C8" s="108"/>
      <c r="D8" s="108">
        <v>802</v>
      </c>
      <c r="E8" s="240">
        <v>0</v>
      </c>
      <c r="F8" s="106"/>
      <c r="G8" s="106"/>
    </row>
    <row r="9" spans="3:7" x14ac:dyDescent="0.25">
      <c r="C9" s="108"/>
      <c r="D9" s="108">
        <v>806</v>
      </c>
      <c r="E9" s="240">
        <v>0</v>
      </c>
      <c r="F9" s="106"/>
      <c r="G9" s="106"/>
    </row>
    <row r="10" spans="3:7" x14ac:dyDescent="0.25">
      <c r="C10" s="108"/>
      <c r="D10" s="108">
        <v>908</v>
      </c>
      <c r="E10" s="240">
        <v>0</v>
      </c>
      <c r="F10" s="106"/>
      <c r="G10" s="106"/>
    </row>
    <row r="11" spans="3:7" x14ac:dyDescent="0.25">
      <c r="C11" s="108"/>
      <c r="D11" s="108">
        <v>1001</v>
      </c>
      <c r="E11" s="240">
        <v>0</v>
      </c>
      <c r="F11" s="108"/>
      <c r="G11" s="106"/>
    </row>
    <row r="12" spans="3:7" x14ac:dyDescent="0.25">
      <c r="C12" s="108">
        <v>2</v>
      </c>
      <c r="D12" s="108"/>
      <c r="E12" s="240"/>
      <c r="F12" s="108"/>
      <c r="G12" s="106"/>
    </row>
    <row r="13" spans="3:7" x14ac:dyDescent="0.25">
      <c r="C13" s="108"/>
      <c r="D13" s="108">
        <v>904</v>
      </c>
      <c r="E13" s="240">
        <v>3111.12</v>
      </c>
      <c r="F13" s="108"/>
      <c r="G13" s="106"/>
    </row>
    <row r="14" spans="3:7" x14ac:dyDescent="0.25">
      <c r="C14" s="108"/>
      <c r="D14" s="108">
        <v>905</v>
      </c>
      <c r="E14" s="240">
        <v>3055.5599999999995</v>
      </c>
      <c r="F14" s="108"/>
      <c r="G14" s="106"/>
    </row>
    <row r="15" spans="3:7" x14ac:dyDescent="0.25">
      <c r="C15" s="108" t="s">
        <v>13</v>
      </c>
      <c r="D15" s="108"/>
      <c r="E15" s="240">
        <v>6166.6799999999994</v>
      </c>
      <c r="F15" s="108"/>
      <c r="G15" s="106"/>
    </row>
    <row r="16" spans="3:7" x14ac:dyDescent="0.25">
      <c r="F16" s="108"/>
      <c r="G16" s="106"/>
    </row>
    <row r="17" spans="6:7" x14ac:dyDescent="0.25">
      <c r="F17" s="108"/>
      <c r="G17" s="106"/>
    </row>
    <row r="18" spans="6:7" x14ac:dyDescent="0.25">
      <c r="F18" s="108"/>
      <c r="G18" s="106"/>
    </row>
    <row r="19" spans="6:7" x14ac:dyDescent="0.25">
      <c r="F19" s="108"/>
      <c r="G19" s="106"/>
    </row>
    <row r="20" spans="6:7" x14ac:dyDescent="0.25">
      <c r="F20" s="108"/>
      <c r="G20" s="106"/>
    </row>
    <row r="21" spans="6:7" x14ac:dyDescent="0.25">
      <c r="F21" s="108"/>
      <c r="G21" s="106"/>
    </row>
    <row r="22" spans="6:7" x14ac:dyDescent="0.25">
      <c r="F22" s="108"/>
      <c r="G22" s="106"/>
    </row>
    <row r="23" spans="6:7" x14ac:dyDescent="0.25">
      <c r="F23" s="108"/>
      <c r="G23" s="106"/>
    </row>
    <row r="24" spans="6:7" x14ac:dyDescent="0.25">
      <c r="F24" s="108"/>
      <c r="G24" s="106"/>
    </row>
    <row r="25" spans="6:7" x14ac:dyDescent="0.25">
      <c r="F25" s="108"/>
      <c r="G25" s="106"/>
    </row>
    <row r="26" spans="6:7" x14ac:dyDescent="0.25">
      <c r="F26" s="108"/>
      <c r="G26" s="106"/>
    </row>
    <row r="27" spans="6:7" x14ac:dyDescent="0.25">
      <c r="F27" s="108"/>
      <c r="G27" s="106"/>
    </row>
    <row r="28" spans="6:7" x14ac:dyDescent="0.25">
      <c r="F28" s="108"/>
      <c r="G28" s="106"/>
    </row>
    <row r="29" spans="6:7" x14ac:dyDescent="0.25">
      <c r="F29" s="108"/>
      <c r="G29" s="106"/>
    </row>
    <row r="30" spans="6:7" x14ac:dyDescent="0.25">
      <c r="F30" s="108"/>
      <c r="G30" s="106"/>
    </row>
    <row r="31" spans="6:7" x14ac:dyDescent="0.25">
      <c r="F31" s="108"/>
      <c r="G31" s="106"/>
    </row>
    <row r="32" spans="6:7" x14ac:dyDescent="0.25">
      <c r="F32" s="108"/>
      <c r="G32" s="106"/>
    </row>
    <row r="33" spans="6:7" x14ac:dyDescent="0.25">
      <c r="F33" s="108"/>
      <c r="G33" s="106"/>
    </row>
    <row r="34" spans="6:7" x14ac:dyDescent="0.25">
      <c r="F34" s="108"/>
      <c r="G34" s="106"/>
    </row>
    <row r="35" spans="6:7" x14ac:dyDescent="0.25">
      <c r="F35" s="106"/>
      <c r="G35" s="106"/>
    </row>
    <row r="36" spans="6:7" x14ac:dyDescent="0.25">
      <c r="F36" s="108"/>
      <c r="G36" s="168"/>
    </row>
    <row r="37" spans="6:7" x14ac:dyDescent="0.25">
      <c r="F37" s="108"/>
      <c r="G37" s="106"/>
    </row>
    <row r="38" spans="6:7" x14ac:dyDescent="0.25">
      <c r="F38" s="108"/>
      <c r="G38" s="106"/>
    </row>
    <row r="39" spans="6:7" x14ac:dyDescent="0.25">
      <c r="F39" s="108"/>
      <c r="G39" s="106"/>
    </row>
    <row r="40" spans="6:7" x14ac:dyDescent="0.25">
      <c r="F40" s="108"/>
      <c r="G40" s="106"/>
    </row>
    <row r="41" spans="6:7" x14ac:dyDescent="0.25">
      <c r="F41" s="108"/>
      <c r="G41" s="106"/>
    </row>
    <row r="42" spans="6:7" x14ac:dyDescent="0.25">
      <c r="F42" s="108"/>
      <c r="G42" s="106"/>
    </row>
    <row r="43" spans="6:7" x14ac:dyDescent="0.25">
      <c r="F43" s="108"/>
      <c r="G43" s="106"/>
    </row>
    <row r="44" spans="6:7" x14ac:dyDescent="0.25">
      <c r="F44" s="108"/>
      <c r="G44" s="106"/>
    </row>
    <row r="45" spans="6:7" x14ac:dyDescent="0.25">
      <c r="F45" s="108"/>
      <c r="G45" s="106"/>
    </row>
    <row r="46" spans="6:7" x14ac:dyDescent="0.25">
      <c r="F46" s="108"/>
      <c r="G46" s="106"/>
    </row>
    <row r="47" spans="6:7" x14ac:dyDescent="0.25">
      <c r="F47" s="108"/>
      <c r="G47" s="106"/>
    </row>
    <row r="48" spans="6:7" x14ac:dyDescent="0.25">
      <c r="F48" s="108"/>
      <c r="G48" s="106"/>
    </row>
    <row r="49" spans="6:7" x14ac:dyDescent="0.25">
      <c r="F49" s="108"/>
      <c r="G49" s="106"/>
    </row>
    <row r="50" spans="6:7" x14ac:dyDescent="0.25">
      <c r="F50" s="108"/>
      <c r="G50" s="106"/>
    </row>
    <row r="51" spans="6:7" x14ac:dyDescent="0.25">
      <c r="F51" s="108"/>
      <c r="G51" s="106"/>
    </row>
    <row r="52" spans="6:7" x14ac:dyDescent="0.25">
      <c r="F52" s="108"/>
      <c r="G52" s="106"/>
    </row>
    <row r="53" spans="6:7" x14ac:dyDescent="0.25">
      <c r="F53" s="108"/>
      <c r="G53" s="106"/>
    </row>
    <row r="54" spans="6:7" x14ac:dyDescent="0.25">
      <c r="F54" s="108"/>
      <c r="G54" s="106"/>
    </row>
    <row r="55" spans="6:7" x14ac:dyDescent="0.25">
      <c r="F55" s="108"/>
      <c r="G55" s="106"/>
    </row>
    <row r="56" spans="6:7" x14ac:dyDescent="0.25">
      <c r="F56" s="108"/>
      <c r="G56" s="106"/>
    </row>
    <row r="57" spans="6:7" x14ac:dyDescent="0.25">
      <c r="F57" s="108"/>
      <c r="G57" s="106"/>
    </row>
    <row r="58" spans="6:7" x14ac:dyDescent="0.25">
      <c r="F58" s="108"/>
      <c r="G58" s="106"/>
    </row>
    <row r="59" spans="6:7" x14ac:dyDescent="0.25">
      <c r="F59" s="108"/>
      <c r="G59" s="106"/>
    </row>
    <row r="60" spans="6:7" x14ac:dyDescent="0.25">
      <c r="F60" s="108"/>
      <c r="G60" s="106"/>
    </row>
    <row r="61" spans="6:7" x14ac:dyDescent="0.25">
      <c r="F61" s="108"/>
      <c r="G61" s="106"/>
    </row>
    <row r="62" spans="6:7" x14ac:dyDescent="0.25">
      <c r="F62" s="106"/>
      <c r="G62" s="106"/>
    </row>
    <row r="63" spans="6:7" x14ac:dyDescent="0.25">
      <c r="F63" s="108"/>
      <c r="G63" s="106"/>
    </row>
    <row r="64" spans="6:7" x14ac:dyDescent="0.25">
      <c r="F64" s="108"/>
      <c r="G64" s="106"/>
    </row>
    <row r="65" spans="6:7" x14ac:dyDescent="0.25">
      <c r="F65" s="108"/>
      <c r="G65" s="106"/>
    </row>
    <row r="66" spans="6:7" x14ac:dyDescent="0.25">
      <c r="F66" s="108"/>
      <c r="G66" s="106"/>
    </row>
    <row r="67" spans="6:7" x14ac:dyDescent="0.25">
      <c r="F67" s="108"/>
      <c r="G67" s="106"/>
    </row>
    <row r="68" spans="6:7" x14ac:dyDescent="0.25">
      <c r="F68" s="108"/>
      <c r="G68" s="106"/>
    </row>
    <row r="69" spans="6:7" x14ac:dyDescent="0.25">
      <c r="F69" s="108"/>
      <c r="G69" s="106"/>
    </row>
    <row r="70" spans="6:7" x14ac:dyDescent="0.25">
      <c r="F70" s="108"/>
      <c r="G70" s="106"/>
    </row>
    <row r="71" spans="6:7" x14ac:dyDescent="0.25">
      <c r="F71" s="108"/>
      <c r="G71" s="106"/>
    </row>
    <row r="72" spans="6:7" x14ac:dyDescent="0.25">
      <c r="F72" s="108"/>
      <c r="G72" s="106"/>
    </row>
    <row r="73" spans="6:7" x14ac:dyDescent="0.25">
      <c r="F73" s="108"/>
      <c r="G73" s="106"/>
    </row>
    <row r="74" spans="6:7" x14ac:dyDescent="0.25">
      <c r="F74" s="108"/>
      <c r="G74" s="106"/>
    </row>
    <row r="75" spans="6:7" x14ac:dyDescent="0.25">
      <c r="F75" s="108"/>
      <c r="G75" s="106"/>
    </row>
    <row r="76" spans="6:7" x14ac:dyDescent="0.25">
      <c r="F76" s="106"/>
      <c r="G76" s="106"/>
    </row>
    <row r="77" spans="6:7" x14ac:dyDescent="0.25">
      <c r="G77" s="106"/>
    </row>
    <row r="78" spans="6:7" x14ac:dyDescent="0.25">
      <c r="G78" s="106"/>
    </row>
    <row r="79" spans="6:7" x14ac:dyDescent="0.25">
      <c r="G79" s="106"/>
    </row>
    <row r="80" spans="6:7" x14ac:dyDescent="0.25">
      <c r="G80" s="106"/>
    </row>
    <row r="81" spans="6:7" x14ac:dyDescent="0.25">
      <c r="G81" s="106"/>
    </row>
    <row r="82" spans="6:7" x14ac:dyDescent="0.25">
      <c r="G82" s="106"/>
    </row>
    <row r="83" spans="6:7" x14ac:dyDescent="0.25">
      <c r="G83" s="106"/>
    </row>
    <row r="84" spans="6:7" x14ac:dyDescent="0.25">
      <c r="G84" s="106"/>
    </row>
    <row r="85" spans="6:7" x14ac:dyDescent="0.25">
      <c r="G85" s="106"/>
    </row>
    <row r="86" spans="6:7" x14ac:dyDescent="0.25">
      <c r="G86" s="106"/>
    </row>
    <row r="87" spans="6:7" x14ac:dyDescent="0.25">
      <c r="G87" s="106"/>
    </row>
    <row r="88" spans="6:7" x14ac:dyDescent="0.25">
      <c r="F88" s="106"/>
      <c r="G88" s="106"/>
    </row>
    <row r="89" spans="6:7" x14ac:dyDescent="0.25">
      <c r="F89" s="106"/>
      <c r="G89" s="106"/>
    </row>
    <row r="90" spans="6:7" x14ac:dyDescent="0.25">
      <c r="F90" s="106"/>
      <c r="G90" s="106"/>
    </row>
    <row r="91" spans="6:7" x14ac:dyDescent="0.25">
      <c r="F91" s="106"/>
      <c r="G91" s="106"/>
    </row>
    <row r="92" spans="6:7" x14ac:dyDescent="0.25">
      <c r="F92" s="106"/>
      <c r="G92" s="106"/>
    </row>
    <row r="93" spans="6:7" x14ac:dyDescent="0.25">
      <c r="F93" s="106"/>
      <c r="G93" s="106"/>
    </row>
    <row r="94" spans="6:7" x14ac:dyDescent="0.25">
      <c r="F94" s="106"/>
      <c r="G94" s="106"/>
    </row>
    <row r="95" spans="6:7" x14ac:dyDescent="0.25">
      <c r="F95" s="106"/>
      <c r="G95" s="106"/>
    </row>
    <row r="96" spans="6:7" x14ac:dyDescent="0.25">
      <c r="F96" s="106"/>
      <c r="G96" s="106"/>
    </row>
    <row r="97" spans="6:7" x14ac:dyDescent="0.25">
      <c r="F97" s="106"/>
      <c r="G97" s="106"/>
    </row>
    <row r="98" spans="6:7" x14ac:dyDescent="0.25">
      <c r="F98" s="106"/>
      <c r="G98" s="106"/>
    </row>
    <row r="99" spans="6:7" x14ac:dyDescent="0.25">
      <c r="F99" s="106"/>
      <c r="G99" s="106"/>
    </row>
    <row r="100" spans="6:7" x14ac:dyDescent="0.25">
      <c r="F100" s="106"/>
      <c r="G100" s="106"/>
    </row>
    <row r="101" spans="6:7" x14ac:dyDescent="0.25">
      <c r="F101" s="106"/>
      <c r="G101" s="106"/>
    </row>
    <row r="102" spans="6:7" x14ac:dyDescent="0.25">
      <c r="F102" s="106"/>
      <c r="G102" s="106"/>
    </row>
    <row r="103" spans="6:7" x14ac:dyDescent="0.25">
      <c r="F103" s="106"/>
      <c r="G103" s="106"/>
    </row>
    <row r="104" spans="6:7" x14ac:dyDescent="0.25">
      <c r="F104" s="106"/>
      <c r="G104" s="106"/>
    </row>
    <row r="105" spans="6:7" x14ac:dyDescent="0.25">
      <c r="F105" s="106"/>
      <c r="G105" s="106"/>
    </row>
    <row r="106" spans="6:7" x14ac:dyDescent="0.25">
      <c r="F106" s="106"/>
      <c r="G106" s="106"/>
    </row>
    <row r="107" spans="6:7" x14ac:dyDescent="0.25">
      <c r="F107" s="106"/>
      <c r="G107" s="106"/>
    </row>
    <row r="108" spans="6:7" x14ac:dyDescent="0.25">
      <c r="F108" s="106"/>
      <c r="G108" s="106"/>
    </row>
    <row r="109" spans="6:7" x14ac:dyDescent="0.25">
      <c r="F109" s="106"/>
      <c r="G109" s="106"/>
    </row>
    <row r="110" spans="6:7" x14ac:dyDescent="0.25">
      <c r="F110" s="106"/>
      <c r="G110" s="106"/>
    </row>
    <row r="111" spans="6:7" x14ac:dyDescent="0.25">
      <c r="F111" s="106"/>
      <c r="G111" s="106"/>
    </row>
    <row r="112" spans="6:7" x14ac:dyDescent="0.25">
      <c r="F112" s="106"/>
      <c r="G112" s="106"/>
    </row>
    <row r="113" spans="6:7" x14ac:dyDescent="0.25">
      <c r="F113" s="106"/>
      <c r="G113" s="106"/>
    </row>
    <row r="114" spans="6:7" x14ac:dyDescent="0.25">
      <c r="F114" s="106"/>
      <c r="G114" s="106"/>
    </row>
    <row r="115" spans="6:7" x14ac:dyDescent="0.25">
      <c r="F115" s="106"/>
      <c r="G115" s="106"/>
    </row>
    <row r="116" spans="6:7" x14ac:dyDescent="0.25">
      <c r="F116" s="106"/>
      <c r="G116" s="106"/>
    </row>
    <row r="117" spans="6:7" x14ac:dyDescent="0.25">
      <c r="F117" s="106"/>
      <c r="G117" s="106"/>
    </row>
    <row r="118" spans="6:7" x14ac:dyDescent="0.25">
      <c r="F118" s="106"/>
      <c r="G118" s="106"/>
    </row>
    <row r="119" spans="6:7" x14ac:dyDescent="0.25">
      <c r="F119" s="106"/>
      <c r="G119" s="106"/>
    </row>
    <row r="120" spans="6:7" x14ac:dyDescent="0.25">
      <c r="F120" s="106"/>
      <c r="G120" s="106"/>
    </row>
    <row r="121" spans="6:7" x14ac:dyDescent="0.25">
      <c r="F121" s="106"/>
      <c r="G121" s="106"/>
    </row>
    <row r="122" spans="6:7" x14ac:dyDescent="0.25">
      <c r="F122" s="106"/>
      <c r="G122" s="106"/>
    </row>
    <row r="123" spans="6:7" x14ac:dyDescent="0.25">
      <c r="F123" s="106"/>
      <c r="G123" s="106"/>
    </row>
    <row r="124" spans="6:7" x14ac:dyDescent="0.25">
      <c r="F124" s="106"/>
      <c r="G124" s="106"/>
    </row>
    <row r="125" spans="6:7" x14ac:dyDescent="0.25">
      <c r="F125" s="106"/>
      <c r="G125" s="106"/>
    </row>
    <row r="126" spans="6:7" x14ac:dyDescent="0.25">
      <c r="F126" s="106"/>
      <c r="G126" s="106"/>
    </row>
    <row r="127" spans="6:7" x14ac:dyDescent="0.25">
      <c r="F127" s="106"/>
      <c r="G127" s="106"/>
    </row>
    <row r="128" spans="6:7" x14ac:dyDescent="0.25">
      <c r="F128" s="106"/>
      <c r="G128" s="106"/>
    </row>
    <row r="129" spans="6:7" x14ac:dyDescent="0.25">
      <c r="F129" s="106"/>
      <c r="G129" s="106"/>
    </row>
    <row r="130" spans="6:7" x14ac:dyDescent="0.25">
      <c r="F130" s="106"/>
      <c r="G130" s="106"/>
    </row>
    <row r="131" spans="6:7" x14ac:dyDescent="0.25">
      <c r="F131" s="106"/>
      <c r="G131" s="106"/>
    </row>
    <row r="132" spans="6:7" x14ac:dyDescent="0.25">
      <c r="F132" s="106"/>
      <c r="G132" s="106"/>
    </row>
    <row r="133" spans="6:7" x14ac:dyDescent="0.25">
      <c r="F133" s="106"/>
      <c r="G133" s="106"/>
    </row>
    <row r="134" spans="6:7" x14ac:dyDescent="0.25">
      <c r="F134" s="106"/>
      <c r="G134" s="106"/>
    </row>
    <row r="135" spans="6:7" x14ac:dyDescent="0.25">
      <c r="F135" s="106"/>
      <c r="G135" s="106"/>
    </row>
    <row r="136" spans="6:7" x14ac:dyDescent="0.25">
      <c r="F136" s="106"/>
      <c r="G136" s="106"/>
    </row>
    <row r="137" spans="6:7" x14ac:dyDescent="0.25">
      <c r="F137" s="106"/>
      <c r="G137" s="106"/>
    </row>
    <row r="138" spans="6:7" x14ac:dyDescent="0.25">
      <c r="F138" s="106"/>
      <c r="G138" s="106"/>
    </row>
    <row r="139" spans="6:7" x14ac:dyDescent="0.25">
      <c r="F139" s="106"/>
      <c r="G139" s="106"/>
    </row>
    <row r="140" spans="6:7" x14ac:dyDescent="0.25">
      <c r="F140" s="106"/>
      <c r="G140" s="106"/>
    </row>
    <row r="141" spans="6:7" x14ac:dyDescent="0.25">
      <c r="F141" s="106"/>
      <c r="G141" s="106"/>
    </row>
    <row r="142" spans="6:7" x14ac:dyDescent="0.25">
      <c r="F142" s="106"/>
      <c r="G142" s="106"/>
    </row>
    <row r="143" spans="6:7" x14ac:dyDescent="0.25">
      <c r="F143" s="106"/>
      <c r="G143" s="106"/>
    </row>
    <row r="144" spans="6:7" x14ac:dyDescent="0.25">
      <c r="F144" s="106"/>
      <c r="G144" s="106"/>
    </row>
    <row r="145" spans="6:7" x14ac:dyDescent="0.25">
      <c r="F145" s="106"/>
      <c r="G145" s="106"/>
    </row>
    <row r="146" spans="6:7" x14ac:dyDescent="0.25">
      <c r="F146" s="106"/>
      <c r="G146" s="106"/>
    </row>
    <row r="147" spans="6:7" x14ac:dyDescent="0.25">
      <c r="F147" s="106"/>
      <c r="G147" s="106"/>
    </row>
    <row r="148" spans="6:7" x14ac:dyDescent="0.25">
      <c r="F148" s="106"/>
      <c r="G148" s="106"/>
    </row>
    <row r="149" spans="6:7" x14ac:dyDescent="0.25">
      <c r="F149" s="106"/>
      <c r="G149" s="106"/>
    </row>
    <row r="150" spans="6:7" x14ac:dyDescent="0.25">
      <c r="F150" s="106"/>
      <c r="G150" s="106"/>
    </row>
    <row r="151" spans="6:7" x14ac:dyDescent="0.25">
      <c r="F151" s="106"/>
      <c r="G151" s="106"/>
    </row>
    <row r="152" spans="6:7" x14ac:dyDescent="0.25">
      <c r="F152" s="106"/>
      <c r="G152" s="106"/>
    </row>
    <row r="153" spans="6:7" x14ac:dyDescent="0.25">
      <c r="F153" s="106"/>
      <c r="G153" s="106"/>
    </row>
    <row r="154" spans="6:7" x14ac:dyDescent="0.25">
      <c r="F154" s="106"/>
      <c r="G154" s="106"/>
    </row>
    <row r="155" spans="6:7" x14ac:dyDescent="0.25">
      <c r="F155" s="106"/>
      <c r="G155" s="106"/>
    </row>
    <row r="156" spans="6:7" x14ac:dyDescent="0.25">
      <c r="F156" s="106"/>
      <c r="G156" s="106"/>
    </row>
    <row r="157" spans="6:7" x14ac:dyDescent="0.25">
      <c r="F157" s="106"/>
      <c r="G157" s="106"/>
    </row>
    <row r="158" spans="6:7" x14ac:dyDescent="0.25">
      <c r="F158" s="106"/>
      <c r="G158" s="106"/>
    </row>
    <row r="159" spans="6:7" x14ac:dyDescent="0.25">
      <c r="F159" s="106"/>
      <c r="G159" s="106"/>
    </row>
    <row r="160" spans="6:7" x14ac:dyDescent="0.25">
      <c r="F160" s="106"/>
      <c r="G160" s="106"/>
    </row>
    <row r="161" spans="6:7" x14ac:dyDescent="0.25">
      <c r="F161" s="106"/>
      <c r="G161" s="106"/>
    </row>
    <row r="162" spans="6:7" x14ac:dyDescent="0.25">
      <c r="F162" s="106"/>
      <c r="G162" s="106"/>
    </row>
    <row r="163" spans="6:7" x14ac:dyDescent="0.25">
      <c r="F163" s="106"/>
      <c r="G163" s="106"/>
    </row>
    <row r="164" spans="6:7" x14ac:dyDescent="0.25">
      <c r="F164" s="106"/>
      <c r="G164" s="106"/>
    </row>
    <row r="165" spans="6:7" x14ac:dyDescent="0.25">
      <c r="F165" s="106"/>
      <c r="G165" s="106"/>
    </row>
    <row r="166" spans="6:7" x14ac:dyDescent="0.25">
      <c r="F166" s="106"/>
      <c r="G166" s="106"/>
    </row>
    <row r="167" spans="6:7" x14ac:dyDescent="0.25">
      <c r="F167" s="106"/>
      <c r="G167" s="106"/>
    </row>
    <row r="168" spans="6:7" x14ac:dyDescent="0.25">
      <c r="F168" s="106"/>
      <c r="G168" s="106"/>
    </row>
    <row r="169" spans="6:7" x14ac:dyDescent="0.25">
      <c r="F169" s="106"/>
      <c r="G169" s="106"/>
    </row>
    <row r="170" spans="6:7" x14ac:dyDescent="0.25">
      <c r="F170" s="106"/>
      <c r="G170" s="106"/>
    </row>
    <row r="171" spans="6:7" x14ac:dyDescent="0.25">
      <c r="F171" s="106"/>
      <c r="G171" s="106"/>
    </row>
    <row r="172" spans="6:7" x14ac:dyDescent="0.25">
      <c r="F172" s="106"/>
      <c r="G172" s="106"/>
    </row>
    <row r="173" spans="6:7" x14ac:dyDescent="0.25">
      <c r="F173" s="106"/>
      <c r="G173" s="106"/>
    </row>
    <row r="174" spans="6:7" x14ac:dyDescent="0.25">
      <c r="F174" s="106"/>
      <c r="G174" s="106"/>
    </row>
    <row r="175" spans="6:7" x14ac:dyDescent="0.25">
      <c r="F175" s="106"/>
      <c r="G175" s="106"/>
    </row>
    <row r="176" spans="6:7" x14ac:dyDescent="0.25">
      <c r="F176" s="106"/>
      <c r="G176" s="106"/>
    </row>
    <row r="177" spans="6:7" x14ac:dyDescent="0.25">
      <c r="F177" s="106"/>
      <c r="G177" s="106"/>
    </row>
    <row r="178" spans="6:7" x14ac:dyDescent="0.25">
      <c r="F178" s="106"/>
      <c r="G178" s="106"/>
    </row>
    <row r="179" spans="6:7" x14ac:dyDescent="0.25">
      <c r="F179" s="106"/>
      <c r="G179" s="106"/>
    </row>
    <row r="180" spans="6:7" x14ac:dyDescent="0.25">
      <c r="F180" s="106"/>
      <c r="G180" s="106"/>
    </row>
    <row r="181" spans="6:7" x14ac:dyDescent="0.25">
      <c r="F181" s="106"/>
      <c r="G181" s="106"/>
    </row>
    <row r="182" spans="6:7" x14ac:dyDescent="0.25">
      <c r="F182" s="106"/>
      <c r="G182" s="106"/>
    </row>
    <row r="183" spans="6:7" x14ac:dyDescent="0.25">
      <c r="F183" s="106"/>
      <c r="G183" s="106"/>
    </row>
    <row r="184" spans="6:7" x14ac:dyDescent="0.25">
      <c r="F184" s="106"/>
      <c r="G184" s="106"/>
    </row>
    <row r="185" spans="6:7" x14ac:dyDescent="0.25">
      <c r="F185" s="106"/>
      <c r="G185" s="106"/>
    </row>
    <row r="186" spans="6:7" x14ac:dyDescent="0.25">
      <c r="F186" s="106"/>
      <c r="G186" s="106"/>
    </row>
    <row r="187" spans="6:7" x14ac:dyDescent="0.25">
      <c r="F187" s="106"/>
      <c r="G187" s="106"/>
    </row>
    <row r="188" spans="6:7" x14ac:dyDescent="0.25">
      <c r="F188" s="106"/>
      <c r="G188" s="106"/>
    </row>
    <row r="189" spans="6:7" x14ac:dyDescent="0.25">
      <c r="F189" s="106"/>
      <c r="G189" s="106"/>
    </row>
    <row r="190" spans="6:7" x14ac:dyDescent="0.25">
      <c r="F190" s="106"/>
      <c r="G190" s="106"/>
    </row>
    <row r="191" spans="6:7" x14ac:dyDescent="0.25">
      <c r="F191" s="106"/>
      <c r="G191" s="106"/>
    </row>
    <row r="192" spans="6:7" x14ac:dyDescent="0.25">
      <c r="F192" s="106"/>
      <c r="G192" s="106"/>
    </row>
    <row r="193" spans="6:7" x14ac:dyDescent="0.25">
      <c r="F193" s="106"/>
      <c r="G193" s="106"/>
    </row>
    <row r="194" spans="6:7" x14ac:dyDescent="0.25">
      <c r="F194" s="106"/>
      <c r="G194" s="106"/>
    </row>
    <row r="195" spans="6:7" x14ac:dyDescent="0.25">
      <c r="F195" s="106"/>
      <c r="G195" s="106"/>
    </row>
    <row r="196" spans="6:7" x14ac:dyDescent="0.25">
      <c r="F196" s="106"/>
      <c r="G196" s="106"/>
    </row>
    <row r="197" spans="6:7" x14ac:dyDescent="0.25">
      <c r="F197" s="106"/>
      <c r="G197" s="106"/>
    </row>
    <row r="198" spans="6:7" x14ac:dyDescent="0.25">
      <c r="F198" s="106"/>
      <c r="G198" s="106"/>
    </row>
    <row r="199" spans="6:7" x14ac:dyDescent="0.25">
      <c r="F199" s="106"/>
      <c r="G199" s="106"/>
    </row>
    <row r="200" spans="6:7" x14ac:dyDescent="0.25">
      <c r="F200" s="106"/>
      <c r="G200" s="106"/>
    </row>
    <row r="201" spans="6:7" x14ac:dyDescent="0.25">
      <c r="F201" s="106"/>
      <c r="G201" s="106"/>
    </row>
    <row r="202" spans="6:7" x14ac:dyDescent="0.25">
      <c r="F202" s="106"/>
      <c r="G202" s="106"/>
    </row>
    <row r="203" spans="6:7" x14ac:dyDescent="0.25">
      <c r="F203" s="106"/>
      <c r="G203" s="106"/>
    </row>
    <row r="204" spans="6:7" x14ac:dyDescent="0.25">
      <c r="F204" s="106"/>
      <c r="G204" s="106"/>
    </row>
    <row r="205" spans="6:7" x14ac:dyDescent="0.25">
      <c r="F205" s="106"/>
      <c r="G205" s="106"/>
    </row>
    <row r="206" spans="6:7" x14ac:dyDescent="0.25">
      <c r="F206" s="106"/>
      <c r="G206" s="106"/>
    </row>
    <row r="207" spans="6:7" x14ac:dyDescent="0.25">
      <c r="F207" s="106"/>
      <c r="G207" s="106"/>
    </row>
    <row r="208" spans="6:7" x14ac:dyDescent="0.25">
      <c r="F208" s="106"/>
      <c r="G208" s="106"/>
    </row>
    <row r="209" spans="6:7" x14ac:dyDescent="0.25">
      <c r="F209" s="106"/>
      <c r="G209" s="106"/>
    </row>
    <row r="210" spans="6:7" x14ac:dyDescent="0.25">
      <c r="F210" s="106"/>
      <c r="G210" s="106"/>
    </row>
    <row r="211" spans="6:7" x14ac:dyDescent="0.25">
      <c r="F211" s="106"/>
      <c r="G211" s="106"/>
    </row>
    <row r="212" spans="6:7" x14ac:dyDescent="0.25">
      <c r="F212" s="106"/>
      <c r="G212" s="106"/>
    </row>
    <row r="213" spans="6:7" x14ac:dyDescent="0.25">
      <c r="F213" s="106"/>
      <c r="G213" s="106"/>
    </row>
    <row r="214" spans="6:7" x14ac:dyDescent="0.25">
      <c r="F214" s="106"/>
      <c r="G214" s="106"/>
    </row>
    <row r="215" spans="6:7" x14ac:dyDescent="0.25">
      <c r="F215" s="106"/>
      <c r="G215" s="106"/>
    </row>
    <row r="216" spans="6:7" x14ac:dyDescent="0.25">
      <c r="F216" s="106"/>
      <c r="G216" s="106"/>
    </row>
    <row r="217" spans="6:7" x14ac:dyDescent="0.25">
      <c r="F217" s="106"/>
      <c r="G217" s="106"/>
    </row>
    <row r="218" spans="6:7" x14ac:dyDescent="0.25">
      <c r="F218" s="106"/>
      <c r="G218" s="106"/>
    </row>
    <row r="219" spans="6:7" x14ac:dyDescent="0.25">
      <c r="F219" s="106"/>
      <c r="G219" s="106"/>
    </row>
    <row r="220" spans="6:7" x14ac:dyDescent="0.25">
      <c r="F220" s="106"/>
      <c r="G220" s="106"/>
    </row>
    <row r="221" spans="6:7" x14ac:dyDescent="0.25">
      <c r="F221" s="106"/>
      <c r="G221" s="106"/>
    </row>
    <row r="222" spans="6:7" x14ac:dyDescent="0.25">
      <c r="F222" s="106"/>
      <c r="G222" s="106"/>
    </row>
    <row r="223" spans="6:7" x14ac:dyDescent="0.25">
      <c r="F223" s="106"/>
      <c r="G223" s="106"/>
    </row>
    <row r="224" spans="6:7" x14ac:dyDescent="0.25">
      <c r="F224" s="106"/>
      <c r="G224" s="106"/>
    </row>
    <row r="225" spans="6:7" x14ac:dyDescent="0.25">
      <c r="F225" s="106"/>
      <c r="G225" s="106"/>
    </row>
    <row r="226" spans="6:7" x14ac:dyDescent="0.25">
      <c r="F226" s="106"/>
      <c r="G226" s="106"/>
    </row>
    <row r="227" spans="6:7" x14ac:dyDescent="0.25">
      <c r="F227" s="106"/>
      <c r="G227" s="106"/>
    </row>
    <row r="228" spans="6:7" x14ac:dyDescent="0.25">
      <c r="F228" s="106"/>
      <c r="G228" s="106"/>
    </row>
    <row r="229" spans="6:7" x14ac:dyDescent="0.25">
      <c r="F229" s="106"/>
      <c r="G229" s="106"/>
    </row>
    <row r="230" spans="6:7" x14ac:dyDescent="0.25">
      <c r="F230" s="106"/>
      <c r="G230" s="106"/>
    </row>
    <row r="231" spans="6:7" x14ac:dyDescent="0.25">
      <c r="F231" s="106"/>
      <c r="G231" s="106"/>
    </row>
    <row r="232" spans="6:7" x14ac:dyDescent="0.25">
      <c r="F232" s="106"/>
      <c r="G232" s="106"/>
    </row>
    <row r="233" spans="6:7" x14ac:dyDescent="0.25">
      <c r="F233" s="106"/>
      <c r="G233" s="106"/>
    </row>
    <row r="234" spans="6:7" x14ac:dyDescent="0.25">
      <c r="F234" s="106"/>
      <c r="G234" s="106"/>
    </row>
    <row r="235" spans="6:7" x14ac:dyDescent="0.25">
      <c r="F235" s="106"/>
      <c r="G235" s="106"/>
    </row>
    <row r="236" spans="6:7" x14ac:dyDescent="0.25">
      <c r="F236" s="106"/>
      <c r="G236" s="106"/>
    </row>
    <row r="237" spans="6:7" x14ac:dyDescent="0.25">
      <c r="F237" s="106"/>
      <c r="G237" s="106"/>
    </row>
    <row r="238" spans="6:7" x14ac:dyDescent="0.25">
      <c r="F238" s="106"/>
      <c r="G238" s="106"/>
    </row>
    <row r="239" spans="6:7" x14ac:dyDescent="0.25">
      <c r="F239" s="106"/>
      <c r="G239" s="106"/>
    </row>
    <row r="240" spans="6:7" x14ac:dyDescent="0.25">
      <c r="F240" s="106"/>
      <c r="G240" s="106"/>
    </row>
    <row r="241" spans="3:7" x14ac:dyDescent="0.25">
      <c r="F241" s="106"/>
      <c r="G241" s="106"/>
    </row>
    <row r="242" spans="3:7" x14ac:dyDescent="0.25">
      <c r="C242" s="108"/>
      <c r="D242" s="108"/>
      <c r="E242" s="108"/>
      <c r="F242" s="106"/>
      <c r="G242" s="106"/>
    </row>
    <row r="243" spans="3:7" x14ac:dyDescent="0.25">
      <c r="C243" s="108"/>
      <c r="D243" s="108"/>
      <c r="E243" s="108"/>
      <c r="F243" s="106"/>
      <c r="G243" s="106"/>
    </row>
    <row r="244" spans="3:7" x14ac:dyDescent="0.25">
      <c r="C244" s="108"/>
      <c r="D244" s="108"/>
      <c r="E244" s="108"/>
      <c r="F244" s="106"/>
      <c r="G244" s="106"/>
    </row>
    <row r="245" spans="3:7" x14ac:dyDescent="0.25">
      <c r="C245" s="108"/>
      <c r="D245" s="108"/>
      <c r="E245" s="108"/>
      <c r="F245" s="106"/>
      <c r="G245" s="106"/>
    </row>
    <row r="246" spans="3:7" x14ac:dyDescent="0.25">
      <c r="C246" s="108"/>
      <c r="D246" s="108"/>
      <c r="E246" s="108"/>
      <c r="F246" s="106"/>
      <c r="G246" s="106"/>
    </row>
    <row r="247" spans="3:7" x14ac:dyDescent="0.25">
      <c r="C247" s="108"/>
      <c r="D247" s="108"/>
      <c r="E247" s="108"/>
      <c r="F247" s="106"/>
      <c r="G247" s="106"/>
    </row>
    <row r="248" spans="3:7" x14ac:dyDescent="0.25">
      <c r="C248" s="108"/>
      <c r="D248" s="108"/>
      <c r="E248" s="108"/>
      <c r="F248" s="106"/>
      <c r="G248" s="106"/>
    </row>
    <row r="249" spans="3:7" x14ac:dyDescent="0.25">
      <c r="C249" s="108"/>
      <c r="D249" s="108"/>
      <c r="E249" s="108"/>
      <c r="F249" s="106"/>
      <c r="G249" s="106"/>
    </row>
    <row r="250" spans="3:7" x14ac:dyDescent="0.25">
      <c r="C250" s="108"/>
      <c r="D250" s="108"/>
      <c r="E250" s="108"/>
      <c r="F250" s="106"/>
      <c r="G250" s="106"/>
    </row>
    <row r="251" spans="3:7" x14ac:dyDescent="0.25">
      <c r="C251" s="108"/>
      <c r="D251" s="108"/>
      <c r="E251" s="108"/>
      <c r="F251" s="106"/>
      <c r="G251" s="106"/>
    </row>
  </sheetData>
  <hyperlinks>
    <hyperlink ref="F2" location="RESUMEN!A1" display="RESUMEN" xr:uid="{609B5B67-E15B-41E5-AA30-F68159E2C44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C551-8E7D-4984-86F5-5A867172CCEF}">
  <sheetPr>
    <tabColor rgb="FFC00000"/>
  </sheetPr>
  <dimension ref="A1:BM111"/>
  <sheetViews>
    <sheetView showGridLines="0" zoomScale="80" zoomScaleNormal="80" workbookViewId="0">
      <pane xSplit="2" ySplit="4" topLeftCell="BA5" activePane="bottomRight" state="frozen"/>
      <selection pane="topRight" activeCell="C1" sqref="C1"/>
      <selection pane="bottomLeft" activeCell="A4" sqref="A4"/>
      <selection pane="bottomRight" activeCell="BA1" sqref="BA1"/>
    </sheetView>
  </sheetViews>
  <sheetFormatPr defaultColWidth="11.42578125" defaultRowHeight="18.75" customHeight="1" outlineLevelRow="1" outlineLevelCol="1" x14ac:dyDescent="0.3"/>
  <cols>
    <col min="1" max="1" width="2.140625" style="7" customWidth="1"/>
    <col min="2" max="2" width="7.28515625" customWidth="1"/>
    <col min="3" max="3" width="11.5703125" style="8"/>
    <col min="4" max="4" width="57.5703125" bestFit="1" customWidth="1"/>
    <col min="5" max="5" width="13" customWidth="1"/>
    <col min="6" max="6" width="10.140625" style="12" bestFit="1" customWidth="1"/>
    <col min="7" max="7" width="16.7109375" hidden="1" customWidth="1"/>
    <col min="8" max="8" width="20.85546875" customWidth="1"/>
    <col min="9" max="9" width="21" hidden="1" customWidth="1"/>
    <col min="10" max="10" width="18.140625" customWidth="1"/>
    <col min="11" max="11" width="15.28515625" bestFit="1" customWidth="1"/>
    <col min="12" max="14" width="12.7109375" customWidth="1" outlineLevel="1"/>
    <col min="15" max="16" width="13.7109375" customWidth="1" outlineLevel="1"/>
    <col min="17" max="17" width="12.7109375" customWidth="1" outlineLevel="1"/>
    <col min="18" max="18" width="13.7109375" customWidth="1" outlineLevel="1"/>
    <col min="19" max="19" width="12.7109375" customWidth="1" outlineLevel="1"/>
    <col min="20" max="34" width="13.7109375" customWidth="1" outlineLevel="1"/>
    <col min="35" max="35" width="15.5703125" customWidth="1" outlineLevel="1"/>
    <col min="36" max="36" width="13.7109375" customWidth="1" outlineLevel="1"/>
    <col min="37" max="37" width="15.5703125" customWidth="1" outlineLevel="1"/>
    <col min="38" max="40" width="13.7109375" customWidth="1" outlineLevel="1"/>
    <col min="41" max="42" width="13.7109375" bestFit="1" customWidth="1"/>
    <col min="43" max="49" width="16.42578125" customWidth="1"/>
    <col min="50" max="50" width="17.28515625" bestFit="1" customWidth="1"/>
    <col min="51" max="51" width="13.42578125" bestFit="1" customWidth="1"/>
    <col min="52" max="52" width="18.7109375" bestFit="1" customWidth="1"/>
    <col min="53" max="53" width="14.85546875" bestFit="1" customWidth="1"/>
    <col min="54" max="54" width="18.28515625" bestFit="1" customWidth="1"/>
    <col min="55" max="55" width="14.140625" bestFit="1" customWidth="1"/>
    <col min="56" max="56" width="18" style="9" bestFit="1" customWidth="1"/>
    <col min="57" max="57" width="23.28515625" style="9" bestFit="1" customWidth="1"/>
    <col min="58" max="58" width="25.5703125" customWidth="1"/>
    <col min="59" max="59" width="27.42578125" bestFit="1" customWidth="1"/>
    <col min="60" max="60" width="11.42578125" customWidth="1"/>
  </cols>
  <sheetData>
    <row r="1" spans="1:63" x14ac:dyDescent="0.3">
      <c r="B1">
        <v>1</v>
      </c>
      <c r="C1" s="8">
        <f>+B1+1</f>
        <v>2</v>
      </c>
      <c r="D1" s="8">
        <f t="shared" ref="D1:AP1" si="0">+C1+1</f>
        <v>3</v>
      </c>
      <c r="E1" s="8">
        <f t="shared" si="0"/>
        <v>4</v>
      </c>
      <c r="F1" s="8">
        <f t="shared" si="0"/>
        <v>5</v>
      </c>
      <c r="G1" s="8">
        <f t="shared" si="0"/>
        <v>6</v>
      </c>
      <c r="H1" s="8">
        <f t="shared" si="0"/>
        <v>7</v>
      </c>
      <c r="I1" s="8">
        <f t="shared" si="0"/>
        <v>8</v>
      </c>
      <c r="J1" s="8">
        <f t="shared" si="0"/>
        <v>9</v>
      </c>
      <c r="K1" s="8">
        <f t="shared" si="0"/>
        <v>10</v>
      </c>
      <c r="L1" s="8">
        <f t="shared" si="0"/>
        <v>11</v>
      </c>
      <c r="M1" s="8">
        <f t="shared" si="0"/>
        <v>12</v>
      </c>
      <c r="N1" s="8">
        <f t="shared" si="0"/>
        <v>13</v>
      </c>
      <c r="O1" s="8">
        <f t="shared" si="0"/>
        <v>14</v>
      </c>
      <c r="P1" s="8">
        <f t="shared" si="0"/>
        <v>15</v>
      </c>
      <c r="Q1" s="8">
        <f t="shared" si="0"/>
        <v>16</v>
      </c>
      <c r="R1" s="8">
        <f t="shared" si="0"/>
        <v>17</v>
      </c>
      <c r="S1" s="8">
        <f t="shared" si="0"/>
        <v>18</v>
      </c>
      <c r="T1" s="8">
        <f t="shared" si="0"/>
        <v>19</v>
      </c>
      <c r="U1" s="8">
        <f t="shared" si="0"/>
        <v>20</v>
      </c>
      <c r="V1" s="8">
        <f t="shared" si="0"/>
        <v>21</v>
      </c>
      <c r="W1" s="8">
        <f t="shared" si="0"/>
        <v>22</v>
      </c>
      <c r="X1" s="8">
        <f t="shared" si="0"/>
        <v>23</v>
      </c>
      <c r="Y1" s="8">
        <f t="shared" si="0"/>
        <v>24</v>
      </c>
      <c r="Z1" s="8">
        <f t="shared" si="0"/>
        <v>25</v>
      </c>
      <c r="AA1" s="8">
        <f t="shared" si="0"/>
        <v>26</v>
      </c>
      <c r="AB1" s="8">
        <f t="shared" si="0"/>
        <v>27</v>
      </c>
      <c r="AC1" s="8">
        <f t="shared" si="0"/>
        <v>28</v>
      </c>
      <c r="AD1" s="8">
        <f t="shared" si="0"/>
        <v>29</v>
      </c>
      <c r="AE1" s="8">
        <f t="shared" si="0"/>
        <v>30</v>
      </c>
      <c r="AF1" s="8">
        <f t="shared" si="0"/>
        <v>31</v>
      </c>
      <c r="AG1" s="8">
        <f t="shared" si="0"/>
        <v>32</v>
      </c>
      <c r="AH1" s="8">
        <f t="shared" si="0"/>
        <v>33</v>
      </c>
      <c r="AI1" s="8">
        <f t="shared" si="0"/>
        <v>34</v>
      </c>
      <c r="AJ1" s="8">
        <f t="shared" si="0"/>
        <v>35</v>
      </c>
      <c r="AK1" s="8">
        <f t="shared" si="0"/>
        <v>36</v>
      </c>
      <c r="AL1" s="8">
        <f t="shared" si="0"/>
        <v>37</v>
      </c>
      <c r="AM1" s="8">
        <f t="shared" si="0"/>
        <v>38</v>
      </c>
      <c r="AN1" s="8">
        <f t="shared" si="0"/>
        <v>39</v>
      </c>
      <c r="AO1" s="8">
        <f t="shared" si="0"/>
        <v>40</v>
      </c>
      <c r="AP1" s="8">
        <f t="shared" si="0"/>
        <v>41</v>
      </c>
      <c r="AQ1" s="8">
        <f t="shared" ref="AQ1" si="1">+AP1+1</f>
        <v>42</v>
      </c>
      <c r="AR1" s="8">
        <f t="shared" ref="AR1" si="2">+AQ1+1</f>
        <v>43</v>
      </c>
      <c r="AS1" s="8">
        <f t="shared" ref="AS1" si="3">+AR1+1</f>
        <v>44</v>
      </c>
      <c r="AT1" s="8"/>
      <c r="AU1" s="8"/>
      <c r="AV1" s="8"/>
      <c r="AW1" s="8"/>
    </row>
    <row r="2" spans="1:63" ht="24" x14ac:dyDescent="0.4">
      <c r="B2" s="10" t="s">
        <v>162</v>
      </c>
      <c r="E2" s="11"/>
      <c r="G2" s="13"/>
      <c r="H2" s="14"/>
      <c r="I2" s="14"/>
      <c r="J2" s="14"/>
      <c r="K2" s="8"/>
    </row>
    <row r="3" spans="1:63" x14ac:dyDescent="0.3">
      <c r="B3" s="15" t="s">
        <v>163</v>
      </c>
      <c r="E3" s="11"/>
      <c r="G3" s="13"/>
      <c r="H3" s="906" t="s">
        <v>164</v>
      </c>
      <c r="I3" s="906"/>
      <c r="J3" s="906"/>
      <c r="K3" s="8"/>
    </row>
    <row r="4" spans="1:63" s="19" customFormat="1" ht="47.25" x14ac:dyDescent="0.25">
      <c r="A4" s="16"/>
      <c r="B4" s="132" t="s">
        <v>62</v>
      </c>
      <c r="C4" s="132" t="s">
        <v>65</v>
      </c>
      <c r="D4" s="132" t="s">
        <v>66</v>
      </c>
      <c r="E4" s="132" t="s">
        <v>67</v>
      </c>
      <c r="F4" s="132" t="s">
        <v>63</v>
      </c>
      <c r="G4" s="17" t="s">
        <v>165</v>
      </c>
      <c r="H4" s="132" t="s">
        <v>166</v>
      </c>
      <c r="I4" s="18" t="s">
        <v>167</v>
      </c>
      <c r="J4" s="132" t="s">
        <v>70</v>
      </c>
      <c r="K4" s="132" t="s">
        <v>68</v>
      </c>
      <c r="L4" s="133">
        <v>44742</v>
      </c>
      <c r="M4" s="133">
        <v>44773</v>
      </c>
      <c r="N4" s="133">
        <v>44804</v>
      </c>
      <c r="O4" s="133">
        <v>44834</v>
      </c>
      <c r="P4" s="133">
        <v>44865</v>
      </c>
      <c r="Q4" s="133">
        <v>44895</v>
      </c>
      <c r="R4" s="133">
        <v>44926</v>
      </c>
      <c r="S4" s="133">
        <v>44957</v>
      </c>
      <c r="T4" s="133">
        <v>44985</v>
      </c>
      <c r="U4" s="133">
        <v>45016</v>
      </c>
      <c r="V4" s="133">
        <v>45046</v>
      </c>
      <c r="W4" s="133">
        <v>45077</v>
      </c>
      <c r="X4" s="133">
        <v>45107</v>
      </c>
      <c r="Y4" s="133">
        <v>45138</v>
      </c>
      <c r="Z4" s="133">
        <v>45169</v>
      </c>
      <c r="AA4" s="133">
        <v>45199</v>
      </c>
      <c r="AB4" s="133">
        <v>45230</v>
      </c>
      <c r="AC4" s="133">
        <v>45260</v>
      </c>
      <c r="AD4" s="133">
        <v>45291</v>
      </c>
      <c r="AE4" s="133">
        <v>45322</v>
      </c>
      <c r="AF4" s="133">
        <v>45351</v>
      </c>
      <c r="AG4" s="133">
        <v>45382</v>
      </c>
      <c r="AH4" s="133">
        <v>45412</v>
      </c>
      <c r="AI4" s="133">
        <v>45443</v>
      </c>
      <c r="AJ4" s="133">
        <v>45473</v>
      </c>
      <c r="AK4" s="133">
        <v>45504</v>
      </c>
      <c r="AL4" s="133">
        <v>45535</v>
      </c>
      <c r="AM4" s="133">
        <v>45565</v>
      </c>
      <c r="AN4" s="133">
        <v>45596</v>
      </c>
      <c r="AO4" s="133">
        <v>45626</v>
      </c>
      <c r="AP4" s="133">
        <v>45657</v>
      </c>
      <c r="AQ4" s="133">
        <v>45688</v>
      </c>
      <c r="AR4" s="133">
        <v>45716</v>
      </c>
      <c r="AS4" s="133">
        <v>45747</v>
      </c>
      <c r="AT4" s="133">
        <v>45777</v>
      </c>
      <c r="AU4" s="133">
        <v>45808</v>
      </c>
      <c r="AV4" s="133">
        <v>45838</v>
      </c>
      <c r="AW4" s="133">
        <v>45869</v>
      </c>
      <c r="AX4" s="132" t="s">
        <v>101</v>
      </c>
      <c r="AY4" s="132" t="s">
        <v>102</v>
      </c>
      <c r="AZ4" s="132" t="s">
        <v>103</v>
      </c>
      <c r="BA4" s="132" t="s">
        <v>104</v>
      </c>
      <c r="BB4" s="132" t="s">
        <v>105</v>
      </c>
      <c r="BC4" s="132" t="s">
        <v>106</v>
      </c>
      <c r="BD4" s="148" t="s">
        <v>107</v>
      </c>
      <c r="BE4" s="132" t="s">
        <v>168</v>
      </c>
      <c r="BF4" s="132" t="s">
        <v>108</v>
      </c>
      <c r="BG4" s="132" t="s">
        <v>109</v>
      </c>
      <c r="BH4" s="132" t="s">
        <v>110</v>
      </c>
      <c r="BI4" s="132" t="s">
        <v>115</v>
      </c>
      <c r="BJ4" s="132" t="s">
        <v>169</v>
      </c>
    </row>
    <row r="5" spans="1:63" x14ac:dyDescent="0.3">
      <c r="A5" s="35"/>
      <c r="B5" s="140">
        <v>101</v>
      </c>
      <c r="C5" s="141" t="s">
        <v>170</v>
      </c>
      <c r="D5" s="142" t="s">
        <v>171</v>
      </c>
      <c r="E5" s="143">
        <v>44797</v>
      </c>
      <c r="F5" s="140" t="s">
        <v>172</v>
      </c>
      <c r="G5" s="144">
        <v>806000</v>
      </c>
      <c r="H5" s="145">
        <v>806000</v>
      </c>
      <c r="I5" s="145">
        <f t="shared" ref="I5:I68" si="4">+G5-H5</f>
        <v>0</v>
      </c>
      <c r="J5" s="145">
        <v>80600</v>
      </c>
      <c r="K5" s="141" t="s">
        <v>173</v>
      </c>
      <c r="L5" s="121">
        <v>0</v>
      </c>
      <c r="M5" s="121">
        <v>0</v>
      </c>
      <c r="N5" s="121">
        <v>5000</v>
      </c>
      <c r="O5" s="121">
        <v>3285</v>
      </c>
      <c r="P5" s="121">
        <v>3285</v>
      </c>
      <c r="Q5" s="121">
        <v>3285</v>
      </c>
      <c r="R5" s="121">
        <v>3285</v>
      </c>
      <c r="S5" s="121">
        <v>3285</v>
      </c>
      <c r="T5" s="121">
        <v>3285</v>
      </c>
      <c r="U5" s="121">
        <v>3285</v>
      </c>
      <c r="V5" s="121">
        <v>3285</v>
      </c>
      <c r="W5" s="121">
        <v>3285</v>
      </c>
      <c r="X5" s="121">
        <v>3285</v>
      </c>
      <c r="Y5" s="121">
        <v>3285</v>
      </c>
      <c r="Z5" s="121">
        <v>3285</v>
      </c>
      <c r="AA5" s="121">
        <v>3285</v>
      </c>
      <c r="AB5" s="121">
        <v>3285</v>
      </c>
      <c r="AC5" s="121">
        <v>3285</v>
      </c>
      <c r="AD5" s="121">
        <v>3285</v>
      </c>
      <c r="AE5" s="121">
        <v>3285</v>
      </c>
      <c r="AF5" s="121">
        <v>3285</v>
      </c>
      <c r="AG5" s="121">
        <v>3285</v>
      </c>
      <c r="AH5" s="121">
        <v>3285</v>
      </c>
      <c r="AI5" s="121">
        <v>3285</v>
      </c>
      <c r="AJ5" s="121">
        <v>3285</v>
      </c>
      <c r="AK5" s="121">
        <v>3330</v>
      </c>
      <c r="AL5" s="121">
        <v>0</v>
      </c>
      <c r="AM5" s="121">
        <v>0</v>
      </c>
      <c r="AN5" s="121">
        <v>0</v>
      </c>
      <c r="AO5" s="121">
        <v>0</v>
      </c>
      <c r="AP5" s="121">
        <v>0</v>
      </c>
      <c r="AQ5" s="121">
        <v>0</v>
      </c>
      <c r="AR5" s="121">
        <v>0</v>
      </c>
      <c r="AS5" s="121">
        <v>0</v>
      </c>
      <c r="AT5" s="121">
        <v>0</v>
      </c>
      <c r="AU5" s="122"/>
      <c r="AV5" s="122"/>
      <c r="AW5" s="122"/>
      <c r="AX5" s="122">
        <f>SUM(L5:AV5)</f>
        <v>80600</v>
      </c>
      <c r="AY5" s="783">
        <f t="shared" ref="AY5:AY36" si="5">IFERROR((+AX5/BD5),0)</f>
        <v>1</v>
      </c>
      <c r="AZ5" s="784">
        <f t="shared" ref="AZ5:AZ36" si="6">+AX5-BD5</f>
        <v>0</v>
      </c>
      <c r="BA5" s="783">
        <f t="shared" ref="BA5:BA36" si="7">IFERROR((+AZ5/BD5),0)</f>
        <v>0</v>
      </c>
      <c r="BB5" s="784">
        <f t="shared" ref="BB5:BB36" si="8">+H5-AX5</f>
        <v>725400</v>
      </c>
      <c r="BC5" s="783">
        <f t="shared" ref="BC5:BC36" si="9">+BB5/H5</f>
        <v>0.9</v>
      </c>
      <c r="BD5" s="785">
        <f t="shared" ref="BD5:BD36" si="10">IF(BF5="Vendido",J5*1,IF(BF5="Disponible",J5*0,IF(BF5="Enganche Completado",J5*1,IF(BF5="Superávit de Enganche",J5*1,0))))</f>
        <v>80600</v>
      </c>
      <c r="BE5" s="785">
        <f t="shared" ref="BE5:BE36" si="11">IF(D5=0,J5*0,BD5-AX5)</f>
        <v>0</v>
      </c>
      <c r="BF5" s="786" t="str">
        <f t="shared" ref="BF5:BF36" si="12">IF(D5=0,"Apartamento Disponible",IF(D5&gt;1,"Vendido",0))</f>
        <v>Vendido</v>
      </c>
      <c r="BG5" s="786" t="str">
        <f t="shared" ref="BG5:BG36" si="13">IF(AND(BF5="Vendido",E5&gt;=0,AZ5=0),"Enganche Completado",IF(AND(BF5="Vendido",E5&gt;=0,AZ5&gt;0),"Superávit de Enganche",IF(AND(BF5="Apartamento Disponible",E5=0,AZ5=0),"Disponible","Cliente Atrasado")))</f>
        <v>Enganche Completado</v>
      </c>
      <c r="BH5" s="786"/>
      <c r="BI5" s="786">
        <f t="shared" ref="BI5:BI36" si="14">COUNTIF(L5:AT5,"&gt;0.01")</f>
        <v>24</v>
      </c>
      <c r="BJ5" s="786">
        <f t="shared" ref="BJ5:BJ14" si="15">IF(AND(BG5="Cliente Atrasado",COUNTIF(L5:AT5,"&lt;0.01")),DATEDIF(E5,AT$4+1,"m"),0)</f>
        <v>0</v>
      </c>
      <c r="BK5" s="52"/>
    </row>
    <row r="6" spans="1:63" x14ac:dyDescent="0.3">
      <c r="A6" s="35"/>
      <c r="B6" s="135">
        <v>102</v>
      </c>
      <c r="C6" s="136" t="s">
        <v>170</v>
      </c>
      <c r="D6" s="137" t="s">
        <v>174</v>
      </c>
      <c r="E6" s="138">
        <v>44934</v>
      </c>
      <c r="F6" s="135" t="s">
        <v>175</v>
      </c>
      <c r="G6" s="123">
        <v>814000</v>
      </c>
      <c r="H6" s="139">
        <v>814000</v>
      </c>
      <c r="I6" s="139">
        <f t="shared" si="4"/>
        <v>0</v>
      </c>
      <c r="J6" s="139">
        <v>81400</v>
      </c>
      <c r="K6" s="136" t="s">
        <v>173</v>
      </c>
      <c r="L6" s="121">
        <v>0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5000</v>
      </c>
      <c r="T6" s="121">
        <v>8480</v>
      </c>
      <c r="U6" s="121">
        <v>0</v>
      </c>
      <c r="V6" s="121">
        <v>8480</v>
      </c>
      <c r="W6" s="121">
        <v>0</v>
      </c>
      <c r="X6" s="121">
        <v>4240</v>
      </c>
      <c r="Y6" s="121">
        <v>8480</v>
      </c>
      <c r="Z6" s="121">
        <v>0</v>
      </c>
      <c r="AA6" s="121">
        <v>4240</v>
      </c>
      <c r="AB6" s="121">
        <v>8480</v>
      </c>
      <c r="AC6" s="121">
        <v>0</v>
      </c>
      <c r="AD6" s="121">
        <v>8480</v>
      </c>
      <c r="AE6" s="121">
        <v>4240</v>
      </c>
      <c r="AF6" s="121">
        <v>0</v>
      </c>
      <c r="AG6" s="121">
        <v>4240</v>
      </c>
      <c r="AH6" s="121">
        <v>8480</v>
      </c>
      <c r="AI6" s="121">
        <v>4240</v>
      </c>
      <c r="AJ6" s="121">
        <v>0</v>
      </c>
      <c r="AK6" s="121">
        <v>4320</v>
      </c>
      <c r="AL6" s="121">
        <v>500</v>
      </c>
      <c r="AM6" s="121">
        <v>0</v>
      </c>
      <c r="AN6" s="121">
        <v>0</v>
      </c>
      <c r="AO6" s="121">
        <v>0</v>
      </c>
      <c r="AP6" s="121">
        <v>0</v>
      </c>
      <c r="AQ6" s="121">
        <v>0</v>
      </c>
      <c r="AR6" s="121">
        <v>0</v>
      </c>
      <c r="AS6" s="121">
        <v>0</v>
      </c>
      <c r="AT6" s="121">
        <v>79769.78</v>
      </c>
      <c r="AU6" s="122"/>
      <c r="AV6" s="122"/>
      <c r="AW6" s="122"/>
      <c r="AX6" s="122">
        <f t="shared" ref="AX6:AX69" si="16">SUM(L6:AV6)</f>
        <v>161669.78</v>
      </c>
      <c r="AY6" s="783">
        <f t="shared" si="5"/>
        <v>1.9861152334152334</v>
      </c>
      <c r="AZ6" s="784">
        <f>+AX6-BD6</f>
        <v>80269.78</v>
      </c>
      <c r="BA6" s="783">
        <f t="shared" si="7"/>
        <v>0.98611523341523344</v>
      </c>
      <c r="BB6" s="784">
        <f t="shared" si="8"/>
        <v>652330.22</v>
      </c>
      <c r="BC6" s="783">
        <f t="shared" si="9"/>
        <v>0.80138847665847668</v>
      </c>
      <c r="BD6" s="785">
        <f t="shared" si="10"/>
        <v>81400</v>
      </c>
      <c r="BE6" s="785">
        <f t="shared" si="11"/>
        <v>-80269.78</v>
      </c>
      <c r="BF6" s="786" t="str">
        <f t="shared" si="12"/>
        <v>Vendido</v>
      </c>
      <c r="BG6" s="786" t="str">
        <f t="shared" si="13"/>
        <v>Superávit de Enganche</v>
      </c>
      <c r="BH6" s="786"/>
      <c r="BI6" s="786">
        <f t="shared" si="14"/>
        <v>15</v>
      </c>
      <c r="BJ6" s="786">
        <f t="shared" si="15"/>
        <v>0</v>
      </c>
      <c r="BK6" s="52"/>
    </row>
    <row r="7" spans="1:63" x14ac:dyDescent="0.3">
      <c r="A7" s="35"/>
      <c r="B7" s="135">
        <v>103</v>
      </c>
      <c r="C7" s="136" t="s">
        <v>176</v>
      </c>
      <c r="D7" s="137" t="s">
        <v>177</v>
      </c>
      <c r="E7" s="138">
        <v>44895</v>
      </c>
      <c r="F7" s="135" t="s">
        <v>178</v>
      </c>
      <c r="G7" s="123">
        <v>1265000</v>
      </c>
      <c r="H7" s="139">
        <v>1265000</v>
      </c>
      <c r="I7" s="139">
        <f t="shared" si="4"/>
        <v>0</v>
      </c>
      <c r="J7" s="139">
        <v>63300</v>
      </c>
      <c r="K7" s="136" t="s">
        <v>173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0</v>
      </c>
      <c r="X7" s="121">
        <v>0</v>
      </c>
      <c r="Y7" s="121">
        <v>0</v>
      </c>
      <c r="Z7" s="121">
        <v>0</v>
      </c>
      <c r="AA7" s="121">
        <v>0</v>
      </c>
      <c r="AB7" s="121">
        <v>0</v>
      </c>
      <c r="AC7" s="121">
        <v>0</v>
      </c>
      <c r="AD7" s="121">
        <v>0</v>
      </c>
      <c r="AE7" s="121">
        <v>0</v>
      </c>
      <c r="AF7" s="121">
        <v>0</v>
      </c>
      <c r="AG7" s="121">
        <v>0</v>
      </c>
      <c r="AH7" s="121">
        <v>0</v>
      </c>
      <c r="AI7" s="121">
        <v>0</v>
      </c>
      <c r="AJ7" s="121">
        <v>0</v>
      </c>
      <c r="AK7" s="121">
        <v>0</v>
      </c>
      <c r="AL7" s="121">
        <v>0</v>
      </c>
      <c r="AM7" s="121">
        <v>5000</v>
      </c>
      <c r="AN7" s="121">
        <f>5000</f>
        <v>5000</v>
      </c>
      <c r="AO7" s="121">
        <v>5000</v>
      </c>
      <c r="AP7" s="122">
        <v>5000</v>
      </c>
      <c r="AQ7" s="122">
        <f>1650+20000</f>
        <v>21650</v>
      </c>
      <c r="AR7" s="122">
        <f>20000+1650</f>
        <v>21650</v>
      </c>
      <c r="AS7" s="121">
        <v>0</v>
      </c>
      <c r="AT7" s="122"/>
      <c r="AU7" s="122"/>
      <c r="AV7" s="122"/>
      <c r="AW7" s="122"/>
      <c r="AX7" s="122">
        <f t="shared" si="16"/>
        <v>63300</v>
      </c>
      <c r="AY7" s="783">
        <f t="shared" si="5"/>
        <v>1</v>
      </c>
      <c r="AZ7" s="784">
        <f t="shared" si="6"/>
        <v>0</v>
      </c>
      <c r="BA7" s="783">
        <f t="shared" si="7"/>
        <v>0</v>
      </c>
      <c r="BB7" s="784">
        <f t="shared" si="8"/>
        <v>1201700</v>
      </c>
      <c r="BC7" s="783">
        <f t="shared" si="9"/>
        <v>0.94996047430830044</v>
      </c>
      <c r="BD7" s="785">
        <f t="shared" si="10"/>
        <v>63300</v>
      </c>
      <c r="BE7" s="785">
        <f t="shared" si="11"/>
        <v>0</v>
      </c>
      <c r="BF7" s="786" t="str">
        <f t="shared" si="12"/>
        <v>Vendido</v>
      </c>
      <c r="BG7" s="786" t="str">
        <f t="shared" si="13"/>
        <v>Enganche Completado</v>
      </c>
      <c r="BH7" s="786"/>
      <c r="BI7" s="786">
        <f t="shared" si="14"/>
        <v>6</v>
      </c>
      <c r="BJ7" s="786">
        <f t="shared" si="15"/>
        <v>0</v>
      </c>
      <c r="BK7" s="52"/>
    </row>
    <row r="8" spans="1:63" x14ac:dyDescent="0.3">
      <c r="A8" s="35"/>
      <c r="B8" s="135">
        <v>104</v>
      </c>
      <c r="C8" s="136" t="s">
        <v>179</v>
      </c>
      <c r="D8" s="137" t="s">
        <v>180</v>
      </c>
      <c r="E8" s="138">
        <v>45614</v>
      </c>
      <c r="F8" s="135" t="s">
        <v>181</v>
      </c>
      <c r="G8" s="123">
        <v>1100200</v>
      </c>
      <c r="H8" s="139">
        <v>1100200</v>
      </c>
      <c r="I8" s="139">
        <f t="shared" si="4"/>
        <v>0</v>
      </c>
      <c r="J8" s="139">
        <v>55100</v>
      </c>
      <c r="K8" s="136" t="s">
        <v>173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  <c r="X8" s="121">
        <v>0</v>
      </c>
      <c r="Y8" s="121">
        <v>0</v>
      </c>
      <c r="Z8" s="121"/>
      <c r="AA8" s="121">
        <v>0</v>
      </c>
      <c r="AB8" s="121">
        <v>0</v>
      </c>
      <c r="AC8" s="121">
        <v>0</v>
      </c>
      <c r="AD8" s="121">
        <v>0</v>
      </c>
      <c r="AE8" s="121">
        <v>0</v>
      </c>
      <c r="AF8" s="121">
        <v>0</v>
      </c>
      <c r="AG8" s="121">
        <v>0</v>
      </c>
      <c r="AH8" s="121">
        <v>0</v>
      </c>
      <c r="AI8" s="121">
        <v>0</v>
      </c>
      <c r="AJ8" s="121">
        <v>0</v>
      </c>
      <c r="AK8" s="121">
        <v>0</v>
      </c>
      <c r="AL8" s="121">
        <v>0</v>
      </c>
      <c r="AM8" s="121">
        <v>0</v>
      </c>
      <c r="AN8" s="121">
        <v>0</v>
      </c>
      <c r="AO8" s="121">
        <v>5000</v>
      </c>
      <c r="AP8" s="121">
        <f>90+50010</f>
        <v>50100</v>
      </c>
      <c r="AQ8" s="121">
        <v>0</v>
      </c>
      <c r="AR8" s="121">
        <v>0</v>
      </c>
      <c r="AS8" s="121">
        <v>0</v>
      </c>
      <c r="AT8" s="122"/>
      <c r="AU8" s="122"/>
      <c r="AV8" s="122"/>
      <c r="AW8" s="122"/>
      <c r="AX8" s="122">
        <f t="shared" si="16"/>
        <v>55100</v>
      </c>
      <c r="AY8" s="783">
        <f t="shared" si="5"/>
        <v>1</v>
      </c>
      <c r="AZ8" s="784">
        <f t="shared" si="6"/>
        <v>0</v>
      </c>
      <c r="BA8" s="783">
        <f t="shared" si="7"/>
        <v>0</v>
      </c>
      <c r="BB8" s="784">
        <f t="shared" si="8"/>
        <v>1045100</v>
      </c>
      <c r="BC8" s="783">
        <f t="shared" si="9"/>
        <v>0.94991819669151067</v>
      </c>
      <c r="BD8" s="785">
        <f t="shared" si="10"/>
        <v>55100</v>
      </c>
      <c r="BE8" s="785">
        <f t="shared" si="11"/>
        <v>0</v>
      </c>
      <c r="BF8" s="786" t="str">
        <f t="shared" si="12"/>
        <v>Vendido</v>
      </c>
      <c r="BG8" s="786" t="str">
        <f t="shared" si="13"/>
        <v>Enganche Completado</v>
      </c>
      <c r="BH8" s="786"/>
      <c r="BI8" s="786">
        <f t="shared" si="14"/>
        <v>2</v>
      </c>
      <c r="BJ8" s="786">
        <f t="shared" si="15"/>
        <v>0</v>
      </c>
      <c r="BK8" s="52"/>
    </row>
    <row r="9" spans="1:63" x14ac:dyDescent="0.3">
      <c r="A9" s="35"/>
      <c r="B9" s="135">
        <v>105</v>
      </c>
      <c r="C9" s="136" t="s">
        <v>182</v>
      </c>
      <c r="D9" s="137" t="s">
        <v>183</v>
      </c>
      <c r="E9" s="138">
        <v>44972</v>
      </c>
      <c r="F9" s="135" t="s">
        <v>184</v>
      </c>
      <c r="G9" s="123">
        <v>639700</v>
      </c>
      <c r="H9" s="139">
        <v>639700</v>
      </c>
      <c r="I9" s="139">
        <f t="shared" si="4"/>
        <v>0</v>
      </c>
      <c r="J9" s="139">
        <v>64000</v>
      </c>
      <c r="K9" s="136" t="s">
        <v>173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5000</v>
      </c>
      <c r="U9" s="121">
        <v>0</v>
      </c>
      <c r="V9" s="121">
        <v>5000</v>
      </c>
      <c r="W9" s="121">
        <v>0</v>
      </c>
      <c r="X9" s="121">
        <v>0</v>
      </c>
      <c r="Y9" s="121">
        <v>5000</v>
      </c>
      <c r="Z9" s="121">
        <v>0</v>
      </c>
      <c r="AA9" s="121">
        <v>0</v>
      </c>
      <c r="AB9" s="121">
        <v>0</v>
      </c>
      <c r="AC9" s="121">
        <v>0</v>
      </c>
      <c r="AD9" s="121">
        <v>0</v>
      </c>
      <c r="AE9" s="121">
        <v>0</v>
      </c>
      <c r="AF9" s="121">
        <v>8000</v>
      </c>
      <c r="AG9" s="121">
        <v>0</v>
      </c>
      <c r="AH9" s="121">
        <v>2000</v>
      </c>
      <c r="AI9" s="121">
        <v>0</v>
      </c>
      <c r="AJ9" s="121">
        <v>2000</v>
      </c>
      <c r="AK9" s="121">
        <v>14500</v>
      </c>
      <c r="AL9" s="121">
        <v>0</v>
      </c>
      <c r="AM9" s="121">
        <v>2000</v>
      </c>
      <c r="AN9" s="121">
        <v>0</v>
      </c>
      <c r="AO9" s="121">
        <v>0</v>
      </c>
      <c r="AP9" s="121">
        <v>0</v>
      </c>
      <c r="AQ9" s="121">
        <v>0</v>
      </c>
      <c r="AR9" s="121">
        <v>0</v>
      </c>
      <c r="AS9" s="122">
        <v>20500</v>
      </c>
      <c r="AT9" s="122"/>
      <c r="AU9" s="122"/>
      <c r="AV9" s="122"/>
      <c r="AW9" s="122"/>
      <c r="AX9" s="122">
        <f t="shared" si="16"/>
        <v>64000</v>
      </c>
      <c r="AY9" s="783">
        <f t="shared" si="5"/>
        <v>1</v>
      </c>
      <c r="AZ9" s="784">
        <f t="shared" si="6"/>
        <v>0</v>
      </c>
      <c r="BA9" s="783">
        <f t="shared" si="7"/>
        <v>0</v>
      </c>
      <c r="BB9" s="784">
        <f t="shared" si="8"/>
        <v>575700</v>
      </c>
      <c r="BC9" s="783">
        <f t="shared" si="9"/>
        <v>0.89995310301703924</v>
      </c>
      <c r="BD9" s="785">
        <f t="shared" si="10"/>
        <v>64000</v>
      </c>
      <c r="BE9" s="785">
        <f t="shared" si="11"/>
        <v>0</v>
      </c>
      <c r="BF9" s="786" t="str">
        <f t="shared" si="12"/>
        <v>Vendido</v>
      </c>
      <c r="BG9" s="786" t="str">
        <f t="shared" si="13"/>
        <v>Enganche Completado</v>
      </c>
      <c r="BH9" s="786"/>
      <c r="BI9" s="786">
        <f t="shared" si="14"/>
        <v>9</v>
      </c>
      <c r="BJ9" s="786">
        <f t="shared" si="15"/>
        <v>0</v>
      </c>
      <c r="BK9" s="52"/>
    </row>
    <row r="10" spans="1:63" x14ac:dyDescent="0.3">
      <c r="A10" s="20"/>
      <c r="B10" s="135">
        <v>201</v>
      </c>
      <c r="C10" s="136" t="s">
        <v>176</v>
      </c>
      <c r="D10" s="137" t="s">
        <v>185</v>
      </c>
      <c r="E10" s="138">
        <v>45701</v>
      </c>
      <c r="F10" s="135" t="s">
        <v>186</v>
      </c>
      <c r="G10" s="123">
        <v>650000</v>
      </c>
      <c r="H10" s="139">
        <v>650000</v>
      </c>
      <c r="I10" s="139">
        <f t="shared" si="4"/>
        <v>0</v>
      </c>
      <c r="J10" s="139">
        <v>650000</v>
      </c>
      <c r="K10" s="136" t="s">
        <v>187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  <c r="Y10" s="121">
        <v>0</v>
      </c>
      <c r="Z10" s="121"/>
      <c r="AA10" s="121">
        <v>0</v>
      </c>
      <c r="AB10" s="121">
        <v>0</v>
      </c>
      <c r="AC10" s="121">
        <v>0</v>
      </c>
      <c r="AD10" s="121">
        <v>0</v>
      </c>
      <c r="AE10" s="121">
        <v>0</v>
      </c>
      <c r="AF10" s="121">
        <v>0</v>
      </c>
      <c r="AG10" s="121">
        <v>0</v>
      </c>
      <c r="AH10" s="121">
        <v>0</v>
      </c>
      <c r="AI10" s="121">
        <v>0</v>
      </c>
      <c r="AJ10" s="121">
        <v>0</v>
      </c>
      <c r="AK10" s="121">
        <v>0</v>
      </c>
      <c r="AL10" s="121">
        <v>0</v>
      </c>
      <c r="AM10" s="121">
        <v>0</v>
      </c>
      <c r="AN10" s="121">
        <v>0</v>
      </c>
      <c r="AO10" s="121">
        <v>0</v>
      </c>
      <c r="AP10" s="121">
        <v>0</v>
      </c>
      <c r="AQ10" s="121">
        <v>0</v>
      </c>
      <c r="AR10" s="122">
        <v>5000</v>
      </c>
      <c r="AS10" s="121">
        <v>0</v>
      </c>
      <c r="AT10" s="121"/>
      <c r="AU10" s="122"/>
      <c r="AV10" s="122"/>
      <c r="AW10" s="122"/>
      <c r="AX10" s="122">
        <f t="shared" si="16"/>
        <v>5000</v>
      </c>
      <c r="AY10" s="783">
        <f t="shared" si="5"/>
        <v>7.6923076923076927E-3</v>
      </c>
      <c r="AZ10" s="784">
        <f t="shared" si="6"/>
        <v>-645000</v>
      </c>
      <c r="BA10" s="783">
        <f t="shared" si="7"/>
        <v>-0.99230769230769234</v>
      </c>
      <c r="BB10" s="784">
        <f t="shared" si="8"/>
        <v>645000</v>
      </c>
      <c r="BC10" s="783">
        <f t="shared" si="9"/>
        <v>0.99230769230769234</v>
      </c>
      <c r="BD10" s="785">
        <f t="shared" si="10"/>
        <v>650000</v>
      </c>
      <c r="BE10" s="785">
        <f t="shared" si="11"/>
        <v>645000</v>
      </c>
      <c r="BF10" s="786" t="str">
        <f t="shared" si="12"/>
        <v>Vendido</v>
      </c>
      <c r="BG10" s="786" t="str">
        <f t="shared" si="13"/>
        <v>Cliente Atrasado</v>
      </c>
      <c r="BH10" s="786"/>
      <c r="BI10" s="786">
        <f t="shared" si="14"/>
        <v>1</v>
      </c>
      <c r="BJ10" s="786">
        <f t="shared" si="15"/>
        <v>2</v>
      </c>
      <c r="BK10" s="52"/>
    </row>
    <row r="11" spans="1:63" x14ac:dyDescent="0.3">
      <c r="A11" s="20"/>
      <c r="B11" s="135">
        <v>202</v>
      </c>
      <c r="C11" s="136" t="s">
        <v>176</v>
      </c>
      <c r="D11" s="137" t="s">
        <v>188</v>
      </c>
      <c r="E11" s="138">
        <v>45398</v>
      </c>
      <c r="F11" s="135" t="s">
        <v>189</v>
      </c>
      <c r="G11" s="123">
        <v>805400</v>
      </c>
      <c r="H11" s="139">
        <v>805400</v>
      </c>
      <c r="I11" s="139">
        <f t="shared" si="4"/>
        <v>0</v>
      </c>
      <c r="J11" s="139">
        <v>100000</v>
      </c>
      <c r="K11" s="136" t="s">
        <v>173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1">
        <v>0</v>
      </c>
      <c r="AA11" s="121">
        <v>0</v>
      </c>
      <c r="AB11" s="121">
        <v>0</v>
      </c>
      <c r="AC11" s="121">
        <v>0</v>
      </c>
      <c r="AD11" s="121">
        <v>0</v>
      </c>
      <c r="AE11" s="121">
        <v>0</v>
      </c>
      <c r="AF11" s="121">
        <v>0</v>
      </c>
      <c r="AG11" s="121">
        <v>0</v>
      </c>
      <c r="AH11" s="121">
        <v>5000</v>
      </c>
      <c r="AI11" s="121">
        <v>3500</v>
      </c>
      <c r="AJ11" s="121">
        <v>3500</v>
      </c>
      <c r="AK11" s="121">
        <v>3500</v>
      </c>
      <c r="AL11" s="121">
        <v>3500</v>
      </c>
      <c r="AM11" s="121">
        <v>3500</v>
      </c>
      <c r="AN11" s="121">
        <v>3500</v>
      </c>
      <c r="AO11" s="121">
        <v>74000</v>
      </c>
      <c r="AP11" s="121">
        <v>0</v>
      </c>
      <c r="AQ11" s="121">
        <v>0</v>
      </c>
      <c r="AR11" s="121">
        <v>0</v>
      </c>
      <c r="AS11" s="121">
        <v>0</v>
      </c>
      <c r="AT11" s="122"/>
      <c r="AU11" s="122"/>
      <c r="AV11" s="122"/>
      <c r="AW11" s="122"/>
      <c r="AX11" s="122">
        <f t="shared" si="16"/>
        <v>100000</v>
      </c>
      <c r="AY11" s="783">
        <f t="shared" si="5"/>
        <v>1</v>
      </c>
      <c r="AZ11" s="784">
        <f t="shared" si="6"/>
        <v>0</v>
      </c>
      <c r="BA11" s="783">
        <f t="shared" si="7"/>
        <v>0</v>
      </c>
      <c r="BB11" s="784">
        <f t="shared" si="8"/>
        <v>705400</v>
      </c>
      <c r="BC11" s="783">
        <f t="shared" si="9"/>
        <v>0.87583809287310654</v>
      </c>
      <c r="BD11" s="785">
        <f t="shared" si="10"/>
        <v>100000</v>
      </c>
      <c r="BE11" s="785">
        <f t="shared" si="11"/>
        <v>0</v>
      </c>
      <c r="BF11" s="786" t="str">
        <f t="shared" si="12"/>
        <v>Vendido</v>
      </c>
      <c r="BG11" s="786" t="str">
        <f t="shared" si="13"/>
        <v>Enganche Completado</v>
      </c>
      <c r="BH11" s="786"/>
      <c r="BI11" s="786">
        <f t="shared" si="14"/>
        <v>8</v>
      </c>
      <c r="BJ11" s="786">
        <f t="shared" si="15"/>
        <v>0</v>
      </c>
      <c r="BK11" s="52"/>
    </row>
    <row r="12" spans="1:63" x14ac:dyDescent="0.3">
      <c r="A12" s="20"/>
      <c r="B12" s="135">
        <v>203</v>
      </c>
      <c r="C12" s="136" t="s">
        <v>190</v>
      </c>
      <c r="D12" s="137" t="s">
        <v>191</v>
      </c>
      <c r="E12" s="138">
        <v>44740</v>
      </c>
      <c r="F12" s="135" t="s">
        <v>192</v>
      </c>
      <c r="G12" s="123">
        <v>840000</v>
      </c>
      <c r="H12" s="139">
        <v>840000</v>
      </c>
      <c r="I12" s="139">
        <f t="shared" si="4"/>
        <v>0</v>
      </c>
      <c r="J12" s="139">
        <v>84000</v>
      </c>
      <c r="K12" s="136" t="s">
        <v>173</v>
      </c>
      <c r="L12" s="121">
        <v>5000</v>
      </c>
      <c r="M12" s="121">
        <v>3434.78</v>
      </c>
      <c r="N12" s="121">
        <v>3434.78</v>
      </c>
      <c r="O12" s="121">
        <v>3434.78</v>
      </c>
      <c r="P12" s="121">
        <v>3434.78</v>
      </c>
      <c r="Q12" s="121">
        <v>3434.78</v>
      </c>
      <c r="R12" s="121">
        <v>3434.78</v>
      </c>
      <c r="S12" s="121">
        <v>3434.78</v>
      </c>
      <c r="T12" s="121">
        <v>3434.78</v>
      </c>
      <c r="U12" s="121">
        <v>3434.78</v>
      </c>
      <c r="V12" s="121">
        <v>3434.78</v>
      </c>
      <c r="W12" s="121">
        <v>3434.78</v>
      </c>
      <c r="X12" s="121">
        <v>3434.78</v>
      </c>
      <c r="Y12" s="121">
        <v>3434.78</v>
      </c>
      <c r="Z12" s="121">
        <v>3434.78</v>
      </c>
      <c r="AA12" s="121">
        <v>3434.78</v>
      </c>
      <c r="AB12" s="121">
        <v>3434.78</v>
      </c>
      <c r="AC12" s="121">
        <v>3434.78</v>
      </c>
      <c r="AD12" s="121">
        <v>3434.78</v>
      </c>
      <c r="AE12" s="121">
        <v>3434.78</v>
      </c>
      <c r="AF12" s="121">
        <v>3434.78</v>
      </c>
      <c r="AG12" s="121">
        <v>3434.78</v>
      </c>
      <c r="AH12" s="121">
        <v>3434.78</v>
      </c>
      <c r="AI12" s="121">
        <v>3434.78</v>
      </c>
      <c r="AJ12" s="121">
        <v>0</v>
      </c>
      <c r="AK12" s="121">
        <v>0.06</v>
      </c>
      <c r="AL12" s="121">
        <v>0</v>
      </c>
      <c r="AM12" s="121">
        <v>0</v>
      </c>
      <c r="AN12" s="121">
        <v>0</v>
      </c>
      <c r="AO12" s="121">
        <v>0</v>
      </c>
      <c r="AP12" s="121">
        <v>0</v>
      </c>
      <c r="AQ12" s="121">
        <v>0</v>
      </c>
      <c r="AR12" s="121">
        <v>0</v>
      </c>
      <c r="AS12" s="122">
        <v>66408.509999999995</v>
      </c>
      <c r="AT12" s="122"/>
      <c r="AU12" s="122"/>
      <c r="AV12" s="122"/>
      <c r="AW12" s="122"/>
      <c r="AX12" s="122">
        <f t="shared" si="16"/>
        <v>150408.50999999998</v>
      </c>
      <c r="AY12" s="783">
        <f t="shared" si="5"/>
        <v>1.7905774999999997</v>
      </c>
      <c r="AZ12" s="784">
        <f t="shared" si="6"/>
        <v>66408.50999999998</v>
      </c>
      <c r="BA12" s="783">
        <f t="shared" si="7"/>
        <v>0.79057749999999971</v>
      </c>
      <c r="BB12" s="784">
        <f t="shared" si="8"/>
        <v>689591.49</v>
      </c>
      <c r="BC12" s="783">
        <f t="shared" si="9"/>
        <v>0.82094224999999998</v>
      </c>
      <c r="BD12" s="785">
        <f t="shared" si="10"/>
        <v>84000</v>
      </c>
      <c r="BE12" s="785">
        <f t="shared" si="11"/>
        <v>-66408.50999999998</v>
      </c>
      <c r="BF12" s="786" t="str">
        <f t="shared" si="12"/>
        <v>Vendido</v>
      </c>
      <c r="BG12" s="786" t="str">
        <f t="shared" si="13"/>
        <v>Superávit de Enganche</v>
      </c>
      <c r="BH12" s="786"/>
      <c r="BI12" s="786">
        <f t="shared" si="14"/>
        <v>26</v>
      </c>
      <c r="BJ12" s="786">
        <f t="shared" si="15"/>
        <v>0</v>
      </c>
      <c r="BK12" s="52"/>
    </row>
    <row r="13" spans="1:63" x14ac:dyDescent="0.3">
      <c r="A13" s="20"/>
      <c r="B13" s="135">
        <v>204</v>
      </c>
      <c r="C13" s="136" t="s">
        <v>176</v>
      </c>
      <c r="D13" s="137" t="s">
        <v>193</v>
      </c>
      <c r="E13" s="138">
        <v>45376</v>
      </c>
      <c r="F13" s="135" t="s">
        <v>194</v>
      </c>
      <c r="G13" s="123">
        <v>742700</v>
      </c>
      <c r="H13" s="139">
        <v>742700</v>
      </c>
      <c r="I13" s="139">
        <f t="shared" si="4"/>
        <v>0</v>
      </c>
      <c r="J13" s="139">
        <v>37100</v>
      </c>
      <c r="K13" s="136" t="s">
        <v>173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  <c r="Y13" s="121">
        <v>0</v>
      </c>
      <c r="Z13" s="121">
        <v>0</v>
      </c>
      <c r="AA13" s="121">
        <v>0</v>
      </c>
      <c r="AB13" s="121">
        <v>0</v>
      </c>
      <c r="AC13" s="121">
        <v>0</v>
      </c>
      <c r="AD13" s="121">
        <v>0</v>
      </c>
      <c r="AE13" s="121">
        <v>0</v>
      </c>
      <c r="AF13" s="121">
        <v>0</v>
      </c>
      <c r="AG13" s="121">
        <v>3000</v>
      </c>
      <c r="AH13" s="121">
        <v>3000</v>
      </c>
      <c r="AI13" s="121">
        <v>3000</v>
      </c>
      <c r="AJ13" s="121">
        <v>3000</v>
      </c>
      <c r="AK13" s="121">
        <v>0</v>
      </c>
      <c r="AL13" s="121">
        <v>3000</v>
      </c>
      <c r="AM13" s="121">
        <v>3000</v>
      </c>
      <c r="AN13" s="121">
        <v>0</v>
      </c>
      <c r="AO13" s="121">
        <v>0</v>
      </c>
      <c r="AP13" s="122">
        <v>3000</v>
      </c>
      <c r="AQ13" s="122">
        <v>16200</v>
      </c>
      <c r="AR13" s="121">
        <v>0</v>
      </c>
      <c r="AS13" s="122">
        <v>259806.91</v>
      </c>
      <c r="AT13" s="122"/>
      <c r="AU13" s="122"/>
      <c r="AV13" s="122"/>
      <c r="AW13" s="122"/>
      <c r="AX13" s="122">
        <f t="shared" si="16"/>
        <v>297006.91000000003</v>
      </c>
      <c r="AY13" s="783">
        <f t="shared" si="5"/>
        <v>8.0055770889487885</v>
      </c>
      <c r="AZ13" s="784">
        <f t="shared" si="6"/>
        <v>259906.91000000003</v>
      </c>
      <c r="BA13" s="783">
        <f t="shared" si="7"/>
        <v>7.0055770889487876</v>
      </c>
      <c r="BB13" s="784">
        <f t="shared" si="8"/>
        <v>445693.08999999997</v>
      </c>
      <c r="BC13" s="783">
        <f t="shared" si="9"/>
        <v>0.60009841120236973</v>
      </c>
      <c r="BD13" s="785">
        <f t="shared" si="10"/>
        <v>37100</v>
      </c>
      <c r="BE13" s="785">
        <f t="shared" si="11"/>
        <v>-259906.91000000003</v>
      </c>
      <c r="BF13" s="786" t="str">
        <f t="shared" si="12"/>
        <v>Vendido</v>
      </c>
      <c r="BG13" s="786" t="str">
        <f t="shared" si="13"/>
        <v>Superávit de Enganche</v>
      </c>
      <c r="BH13" s="786"/>
      <c r="BI13" s="786">
        <f t="shared" si="14"/>
        <v>9</v>
      </c>
      <c r="BJ13" s="786">
        <f t="shared" si="15"/>
        <v>0</v>
      </c>
      <c r="BK13" s="52"/>
    </row>
    <row r="14" spans="1:63" x14ac:dyDescent="0.3">
      <c r="A14" s="20"/>
      <c r="B14" s="135">
        <v>205</v>
      </c>
      <c r="C14" s="136" t="s">
        <v>176</v>
      </c>
      <c r="D14" s="137" t="s">
        <v>195</v>
      </c>
      <c r="E14" s="138">
        <v>45152</v>
      </c>
      <c r="F14" s="135" t="s">
        <v>194</v>
      </c>
      <c r="G14" s="123">
        <v>718200</v>
      </c>
      <c r="H14" s="139">
        <v>733200</v>
      </c>
      <c r="I14" s="139">
        <f t="shared" si="4"/>
        <v>-15000</v>
      </c>
      <c r="J14" s="139">
        <v>73320</v>
      </c>
      <c r="K14" s="136" t="s">
        <v>173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1">
        <v>6000</v>
      </c>
      <c r="AA14" s="121">
        <v>6000</v>
      </c>
      <c r="AB14" s="121">
        <v>6000</v>
      </c>
      <c r="AC14" s="121">
        <v>6000</v>
      </c>
      <c r="AD14" s="121">
        <v>6000</v>
      </c>
      <c r="AE14" s="121">
        <v>8000</v>
      </c>
      <c r="AF14" s="121">
        <v>8000</v>
      </c>
      <c r="AG14" s="121">
        <v>7000</v>
      </c>
      <c r="AH14" s="121">
        <v>6000</v>
      </c>
      <c r="AI14" s="121">
        <v>5700</v>
      </c>
      <c r="AJ14" s="121">
        <v>6000</v>
      </c>
      <c r="AK14" s="121">
        <v>8000</v>
      </c>
      <c r="AL14" s="121">
        <v>10000</v>
      </c>
      <c r="AM14" s="121">
        <v>12000</v>
      </c>
      <c r="AN14" s="121">
        <v>12000</v>
      </c>
      <c r="AO14" s="121">
        <v>10250</v>
      </c>
      <c r="AP14" s="122">
        <v>10250</v>
      </c>
      <c r="AQ14" s="121">
        <v>0</v>
      </c>
      <c r="AR14" s="121">
        <v>0</v>
      </c>
      <c r="AS14" s="122">
        <v>164970.28</v>
      </c>
      <c r="AT14" s="122"/>
      <c r="AU14" s="122"/>
      <c r="AV14" s="122"/>
      <c r="AW14" s="122"/>
      <c r="AX14" s="122">
        <f t="shared" si="16"/>
        <v>298170.28000000003</v>
      </c>
      <c r="AY14" s="783">
        <f t="shared" si="5"/>
        <v>4.0666977632296781</v>
      </c>
      <c r="AZ14" s="784">
        <f t="shared" si="6"/>
        <v>224850.28000000003</v>
      </c>
      <c r="BA14" s="783">
        <f t="shared" si="7"/>
        <v>3.0666977632296786</v>
      </c>
      <c r="BB14" s="784">
        <f t="shared" si="8"/>
        <v>435029.72</v>
      </c>
      <c r="BC14" s="783">
        <f t="shared" si="9"/>
        <v>0.59333022367703214</v>
      </c>
      <c r="BD14" s="785">
        <f t="shared" si="10"/>
        <v>73320</v>
      </c>
      <c r="BE14" s="785">
        <f t="shared" si="11"/>
        <v>-224850.28000000003</v>
      </c>
      <c r="BF14" s="786" t="str">
        <f t="shared" si="12"/>
        <v>Vendido</v>
      </c>
      <c r="BG14" s="786" t="str">
        <f t="shared" si="13"/>
        <v>Superávit de Enganche</v>
      </c>
      <c r="BH14" s="786"/>
      <c r="BI14" s="786">
        <f t="shared" si="14"/>
        <v>18</v>
      </c>
      <c r="BJ14" s="786">
        <f t="shared" si="15"/>
        <v>0</v>
      </c>
      <c r="BK14" s="52"/>
    </row>
    <row r="15" spans="1:63" x14ac:dyDescent="0.3">
      <c r="A15" s="20"/>
      <c r="B15" s="135">
        <v>206</v>
      </c>
      <c r="C15" s="136" t="s">
        <v>196</v>
      </c>
      <c r="D15" s="137" t="s">
        <v>197</v>
      </c>
      <c r="E15" s="138">
        <v>45636</v>
      </c>
      <c r="F15" s="135" t="s">
        <v>198</v>
      </c>
      <c r="G15" s="123">
        <v>948800</v>
      </c>
      <c r="H15" s="139">
        <f>680566.51+268233.49</f>
        <v>948800</v>
      </c>
      <c r="I15" s="139">
        <f t="shared" si="4"/>
        <v>0</v>
      </c>
      <c r="J15" s="139">
        <v>47500</v>
      </c>
      <c r="K15" s="136" t="s">
        <v>187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  <c r="Y15" s="121">
        <v>0</v>
      </c>
      <c r="Z15" s="121"/>
      <c r="AA15" s="121">
        <v>0</v>
      </c>
      <c r="AB15" s="121">
        <v>0</v>
      </c>
      <c r="AC15" s="121">
        <v>0</v>
      </c>
      <c r="AD15" s="121">
        <v>0</v>
      </c>
      <c r="AE15" s="121">
        <v>0</v>
      </c>
      <c r="AF15" s="121">
        <v>0</v>
      </c>
      <c r="AG15" s="121">
        <v>0</v>
      </c>
      <c r="AH15" s="121">
        <v>0</v>
      </c>
      <c r="AI15" s="121">
        <v>0</v>
      </c>
      <c r="AJ15" s="121">
        <v>0</v>
      </c>
      <c r="AK15" s="121">
        <v>0</v>
      </c>
      <c r="AL15" s="121">
        <v>0</v>
      </c>
      <c r="AM15" s="121">
        <v>0</v>
      </c>
      <c r="AN15" s="121">
        <v>0</v>
      </c>
      <c r="AO15" s="121">
        <v>0</v>
      </c>
      <c r="AP15" s="122">
        <f>2500+2500</f>
        <v>5000</v>
      </c>
      <c r="AQ15" s="122">
        <v>0</v>
      </c>
      <c r="AR15" s="121">
        <v>0</v>
      </c>
      <c r="AS15" s="122">
        <v>20000</v>
      </c>
      <c r="AT15" s="122"/>
      <c r="AU15" s="122"/>
      <c r="AV15" s="122"/>
      <c r="AW15" s="122"/>
      <c r="AX15" s="122">
        <f t="shared" si="16"/>
        <v>25000</v>
      </c>
      <c r="AY15" s="783">
        <f t="shared" si="5"/>
        <v>0.52631578947368418</v>
      </c>
      <c r="AZ15" s="784">
        <f t="shared" si="6"/>
        <v>-22500</v>
      </c>
      <c r="BA15" s="783">
        <f t="shared" si="7"/>
        <v>-0.47368421052631576</v>
      </c>
      <c r="BB15" s="784">
        <f t="shared" si="8"/>
        <v>923800</v>
      </c>
      <c r="BC15" s="783">
        <f t="shared" si="9"/>
        <v>0.97365092748735249</v>
      </c>
      <c r="BD15" s="785">
        <f t="shared" si="10"/>
        <v>47500</v>
      </c>
      <c r="BE15" s="785">
        <f t="shared" si="11"/>
        <v>22500</v>
      </c>
      <c r="BF15" s="786" t="str">
        <f t="shared" si="12"/>
        <v>Vendido</v>
      </c>
      <c r="BG15" s="786" t="str">
        <f t="shared" si="13"/>
        <v>Cliente Atrasado</v>
      </c>
      <c r="BH15" s="786"/>
      <c r="BI15" s="786">
        <f t="shared" si="14"/>
        <v>2</v>
      </c>
      <c r="BJ15" s="786">
        <v>3</v>
      </c>
      <c r="BK15" s="52"/>
    </row>
    <row r="16" spans="1:63" x14ac:dyDescent="0.3">
      <c r="A16" s="20"/>
      <c r="B16" s="135">
        <v>207</v>
      </c>
      <c r="C16" s="136" t="s">
        <v>176</v>
      </c>
      <c r="D16" s="137" t="s">
        <v>199</v>
      </c>
      <c r="E16" s="138">
        <v>45347</v>
      </c>
      <c r="F16" s="135" t="s">
        <v>200</v>
      </c>
      <c r="G16" s="123">
        <v>769700</v>
      </c>
      <c r="H16" s="139">
        <v>769700</v>
      </c>
      <c r="I16" s="139">
        <f t="shared" si="4"/>
        <v>0</v>
      </c>
      <c r="J16" s="139">
        <v>38500</v>
      </c>
      <c r="K16" s="136" t="s">
        <v>173</v>
      </c>
      <c r="L16" s="121">
        <v>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0</v>
      </c>
      <c r="W16" s="121">
        <v>0</v>
      </c>
      <c r="X16" s="121">
        <v>0</v>
      </c>
      <c r="Y16" s="121">
        <v>0</v>
      </c>
      <c r="Z16" s="121">
        <v>0</v>
      </c>
      <c r="AA16" s="121">
        <v>0</v>
      </c>
      <c r="AB16" s="121">
        <v>0</v>
      </c>
      <c r="AC16" s="121">
        <v>0</v>
      </c>
      <c r="AD16" s="121">
        <v>0</v>
      </c>
      <c r="AE16" s="121">
        <v>0</v>
      </c>
      <c r="AF16" s="121">
        <v>5000</v>
      </c>
      <c r="AG16" s="121">
        <v>3700</v>
      </c>
      <c r="AH16" s="121">
        <v>7420.56</v>
      </c>
      <c r="AI16" s="121">
        <v>3700</v>
      </c>
      <c r="AJ16" s="121">
        <v>3700</v>
      </c>
      <c r="AK16" s="121">
        <v>3700</v>
      </c>
      <c r="AL16" s="121">
        <v>3700</v>
      </c>
      <c r="AM16" s="121">
        <v>3700</v>
      </c>
      <c r="AN16" s="121">
        <v>3700</v>
      </c>
      <c r="AO16" s="121">
        <v>3700</v>
      </c>
      <c r="AP16" s="122">
        <f>10000+10000+8500</f>
        <v>28500</v>
      </c>
      <c r="AQ16" s="122">
        <v>10000</v>
      </c>
      <c r="AR16" s="122">
        <v>220489.16</v>
      </c>
      <c r="AS16" s="121">
        <v>0</v>
      </c>
      <c r="AT16" s="122"/>
      <c r="AU16" s="122"/>
      <c r="AV16" s="122"/>
      <c r="AW16" s="122"/>
      <c r="AX16" s="122">
        <f t="shared" si="16"/>
        <v>301009.71999999997</v>
      </c>
      <c r="AY16" s="783">
        <f t="shared" si="5"/>
        <v>7.818434285714285</v>
      </c>
      <c r="AZ16" s="784">
        <f t="shared" si="6"/>
        <v>262509.71999999997</v>
      </c>
      <c r="BA16" s="783">
        <f t="shared" si="7"/>
        <v>6.818434285714285</v>
      </c>
      <c r="BB16" s="784">
        <f t="shared" si="8"/>
        <v>468690.28</v>
      </c>
      <c r="BC16" s="783">
        <f t="shared" si="9"/>
        <v>0.60892591918929462</v>
      </c>
      <c r="BD16" s="785">
        <f t="shared" si="10"/>
        <v>38500</v>
      </c>
      <c r="BE16" s="785">
        <f t="shared" si="11"/>
        <v>-262509.71999999997</v>
      </c>
      <c r="BF16" s="786" t="str">
        <f t="shared" si="12"/>
        <v>Vendido</v>
      </c>
      <c r="BG16" s="786" t="str">
        <f t="shared" si="13"/>
        <v>Superávit de Enganche</v>
      </c>
      <c r="BH16" s="786"/>
      <c r="BI16" s="786">
        <f t="shared" si="14"/>
        <v>13</v>
      </c>
      <c r="BJ16" s="786">
        <f>IF(AND(BG16="Cliente Atrasado",COUNTIF(L16:AT16,"&lt;0.01")),DATEDIF(E16,AT$4+1,"m"),0)</f>
        <v>0</v>
      </c>
      <c r="BK16" s="52"/>
    </row>
    <row r="17" spans="1:65" x14ac:dyDescent="0.3">
      <c r="A17" s="20"/>
      <c r="B17" s="135">
        <v>208</v>
      </c>
      <c r="C17" s="136"/>
      <c r="D17" s="137"/>
      <c r="E17" s="146"/>
      <c r="F17" s="135" t="s">
        <v>186</v>
      </c>
      <c r="G17" s="123">
        <v>650000</v>
      </c>
      <c r="H17" s="139">
        <v>650000</v>
      </c>
      <c r="I17" s="139">
        <f t="shared" si="4"/>
        <v>0</v>
      </c>
      <c r="J17" s="139">
        <v>65000</v>
      </c>
      <c r="K17" s="136" t="s">
        <v>201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  <c r="Y17" s="121">
        <v>0</v>
      </c>
      <c r="Z17" s="121">
        <v>0</v>
      </c>
      <c r="AA17" s="121">
        <v>0</v>
      </c>
      <c r="AB17" s="121">
        <v>0</v>
      </c>
      <c r="AC17" s="121">
        <v>0</v>
      </c>
      <c r="AD17" s="121">
        <v>0</v>
      </c>
      <c r="AE17" s="121">
        <v>0</v>
      </c>
      <c r="AF17" s="121">
        <v>0</v>
      </c>
      <c r="AG17" s="121">
        <v>0</v>
      </c>
      <c r="AH17" s="121">
        <v>0</v>
      </c>
      <c r="AI17" s="121">
        <v>0</v>
      </c>
      <c r="AJ17" s="121">
        <v>0</v>
      </c>
      <c r="AK17" s="121">
        <v>0</v>
      </c>
      <c r="AL17" s="121">
        <v>0</v>
      </c>
      <c r="AM17" s="121">
        <v>0</v>
      </c>
      <c r="AN17" s="121">
        <v>0</v>
      </c>
      <c r="AO17" s="121">
        <v>0</v>
      </c>
      <c r="AP17" s="121">
        <v>0</v>
      </c>
      <c r="AQ17" s="121">
        <v>0</v>
      </c>
      <c r="AR17" s="121">
        <v>0</v>
      </c>
      <c r="AS17" s="121">
        <v>0</v>
      </c>
      <c r="AT17" s="122"/>
      <c r="AU17" s="122"/>
      <c r="AV17" s="122"/>
      <c r="AW17" s="122"/>
      <c r="AX17" s="122">
        <f t="shared" si="16"/>
        <v>0</v>
      </c>
      <c r="AY17" s="783">
        <f t="shared" si="5"/>
        <v>0</v>
      </c>
      <c r="AZ17" s="784">
        <f t="shared" si="6"/>
        <v>0</v>
      </c>
      <c r="BA17" s="783">
        <f t="shared" si="7"/>
        <v>0</v>
      </c>
      <c r="BB17" s="784">
        <f t="shared" si="8"/>
        <v>650000</v>
      </c>
      <c r="BC17" s="783">
        <f t="shared" si="9"/>
        <v>1</v>
      </c>
      <c r="BD17" s="785">
        <f t="shared" si="10"/>
        <v>0</v>
      </c>
      <c r="BE17" s="785">
        <f t="shared" si="11"/>
        <v>0</v>
      </c>
      <c r="BF17" s="786" t="str">
        <f t="shared" si="12"/>
        <v>Apartamento Disponible</v>
      </c>
      <c r="BG17" s="786" t="str">
        <f t="shared" si="13"/>
        <v>Disponible</v>
      </c>
      <c r="BH17" s="786"/>
      <c r="BI17" s="786">
        <f t="shared" si="14"/>
        <v>0</v>
      </c>
      <c r="BJ17" s="786">
        <f>IF(AND(BG17="Cliente Atrasado",COUNTIF(L17:AT17,"&lt;0.01")),DATEDIF(E17,AT$4+1,"m"),0)</f>
        <v>0</v>
      </c>
      <c r="BK17" s="52"/>
    </row>
    <row r="18" spans="1:65" x14ac:dyDescent="0.3">
      <c r="A18" s="20"/>
      <c r="B18" s="135">
        <v>301</v>
      </c>
      <c r="C18" s="136" t="s">
        <v>170</v>
      </c>
      <c r="D18" s="137" t="s">
        <v>202</v>
      </c>
      <c r="E18" s="138">
        <v>44996</v>
      </c>
      <c r="F18" s="135" t="s">
        <v>186</v>
      </c>
      <c r="G18" s="123">
        <v>572700</v>
      </c>
      <c r="H18" s="139">
        <v>572700</v>
      </c>
      <c r="I18" s="139">
        <f t="shared" si="4"/>
        <v>0</v>
      </c>
      <c r="J18" s="139">
        <v>58000</v>
      </c>
      <c r="K18" s="136" t="s">
        <v>173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7500</v>
      </c>
      <c r="V18" s="121">
        <v>10000</v>
      </c>
      <c r="W18" s="121">
        <v>20000</v>
      </c>
      <c r="X18" s="121">
        <v>0</v>
      </c>
      <c r="Y18" s="121">
        <v>10000</v>
      </c>
      <c r="Z18" s="121">
        <v>20000</v>
      </c>
      <c r="AA18" s="121">
        <v>12500</v>
      </c>
      <c r="AB18" s="121">
        <v>0</v>
      </c>
      <c r="AC18" s="121">
        <v>0</v>
      </c>
      <c r="AD18" s="121">
        <v>0</v>
      </c>
      <c r="AE18" s="121">
        <v>0</v>
      </c>
      <c r="AF18" s="121">
        <v>10000</v>
      </c>
      <c r="AG18" s="121">
        <v>0</v>
      </c>
      <c r="AH18" s="121">
        <v>30000</v>
      </c>
      <c r="AI18" s="121">
        <v>5000</v>
      </c>
      <c r="AJ18" s="121">
        <v>15000</v>
      </c>
      <c r="AK18" s="121">
        <v>0</v>
      </c>
      <c r="AL18" s="121">
        <v>0</v>
      </c>
      <c r="AM18" s="121">
        <v>20000</v>
      </c>
      <c r="AN18" s="121">
        <v>40000</v>
      </c>
      <c r="AO18" s="121">
        <v>0</v>
      </c>
      <c r="AP18" s="121">
        <v>0</v>
      </c>
      <c r="AQ18" s="121">
        <v>0</v>
      </c>
      <c r="AR18" s="122">
        <v>5000</v>
      </c>
      <c r="AS18" s="121">
        <v>0</v>
      </c>
      <c r="AT18" s="122">
        <v>58222.13</v>
      </c>
      <c r="AU18" s="122"/>
      <c r="AV18" s="122"/>
      <c r="AW18" s="122"/>
      <c r="AX18" s="122">
        <f t="shared" si="16"/>
        <v>263222.13</v>
      </c>
      <c r="AY18" s="783">
        <f t="shared" si="5"/>
        <v>4.5383125862068967</v>
      </c>
      <c r="AZ18" s="784">
        <f t="shared" si="6"/>
        <v>205222.13</v>
      </c>
      <c r="BA18" s="783">
        <f t="shared" si="7"/>
        <v>3.5383125862068967</v>
      </c>
      <c r="BB18" s="784">
        <f t="shared" si="8"/>
        <v>309477.87</v>
      </c>
      <c r="BC18" s="783">
        <f t="shared" si="9"/>
        <v>0.54038391828182297</v>
      </c>
      <c r="BD18" s="785">
        <f t="shared" si="10"/>
        <v>58000</v>
      </c>
      <c r="BE18" s="785">
        <f t="shared" si="11"/>
        <v>-205222.13</v>
      </c>
      <c r="BF18" s="786" t="str">
        <f t="shared" si="12"/>
        <v>Vendido</v>
      </c>
      <c r="BG18" s="786" t="str">
        <f t="shared" si="13"/>
        <v>Superávit de Enganche</v>
      </c>
      <c r="BH18" s="786"/>
      <c r="BI18" s="786">
        <f t="shared" si="14"/>
        <v>14</v>
      </c>
      <c r="BJ18" s="786">
        <f>IF(AND(BG18="Cliente Atrasado",COUNTIF(L18:AT18,"&lt;0.01")),DATEDIF(E18,AT$4+1,"m"),0)</f>
        <v>0</v>
      </c>
      <c r="BK18" s="52"/>
    </row>
    <row r="19" spans="1:65" x14ac:dyDescent="0.3">
      <c r="A19" s="20"/>
      <c r="B19" s="135">
        <v>302</v>
      </c>
      <c r="C19" s="136" t="s">
        <v>203</v>
      </c>
      <c r="D19" s="137" t="s">
        <v>204</v>
      </c>
      <c r="E19" s="182">
        <v>45763</v>
      </c>
      <c r="F19" s="135" t="s">
        <v>200</v>
      </c>
      <c r="G19" s="123">
        <v>698000</v>
      </c>
      <c r="H19" s="139">
        <v>815000</v>
      </c>
      <c r="I19" s="139">
        <f t="shared" si="4"/>
        <v>-117000</v>
      </c>
      <c r="J19" s="139">
        <v>200000</v>
      </c>
      <c r="K19" s="136" t="s">
        <v>205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  <c r="Y19" s="121">
        <v>0</v>
      </c>
      <c r="Z19" s="121">
        <v>0</v>
      </c>
      <c r="AA19" s="121">
        <v>0</v>
      </c>
      <c r="AB19" s="121">
        <v>0</v>
      </c>
      <c r="AC19" s="121">
        <v>0</v>
      </c>
      <c r="AD19" s="121">
        <v>0</v>
      </c>
      <c r="AE19" s="121">
        <v>0</v>
      </c>
      <c r="AF19" s="121">
        <v>0</v>
      </c>
      <c r="AG19" s="121">
        <v>0</v>
      </c>
      <c r="AH19" s="121">
        <v>0</v>
      </c>
      <c r="AI19" s="121">
        <v>0</v>
      </c>
      <c r="AJ19" s="121">
        <v>0</v>
      </c>
      <c r="AK19" s="121">
        <v>0</v>
      </c>
      <c r="AL19" s="121">
        <v>0</v>
      </c>
      <c r="AM19" s="121">
        <v>0</v>
      </c>
      <c r="AN19" s="121">
        <v>0</v>
      </c>
      <c r="AO19" s="121">
        <v>0</v>
      </c>
      <c r="AP19" s="121">
        <v>0</v>
      </c>
      <c r="AQ19" s="121">
        <v>0</v>
      </c>
      <c r="AR19" s="121">
        <v>0</v>
      </c>
      <c r="AS19" s="121">
        <v>0</v>
      </c>
      <c r="AT19" s="121">
        <v>0</v>
      </c>
      <c r="AU19" s="122">
        <v>97500</v>
      </c>
      <c r="AV19" s="122"/>
      <c r="AW19" s="122"/>
      <c r="AX19" s="122">
        <f t="shared" si="16"/>
        <v>97500</v>
      </c>
      <c r="AY19" s="783">
        <f t="shared" si="5"/>
        <v>0.48749999999999999</v>
      </c>
      <c r="AZ19" s="784">
        <f t="shared" si="6"/>
        <v>-102500</v>
      </c>
      <c r="BA19" s="783">
        <f t="shared" si="7"/>
        <v>-0.51249999999999996</v>
      </c>
      <c r="BB19" s="784">
        <f t="shared" si="8"/>
        <v>717500</v>
      </c>
      <c r="BC19" s="783">
        <f t="shared" si="9"/>
        <v>0.88036809815950923</v>
      </c>
      <c r="BD19" s="785">
        <f t="shared" si="10"/>
        <v>200000</v>
      </c>
      <c r="BE19" s="785">
        <f t="shared" si="11"/>
        <v>102500</v>
      </c>
      <c r="BF19" s="786" t="str">
        <f t="shared" si="12"/>
        <v>Vendido</v>
      </c>
      <c r="BG19" s="786" t="str">
        <f t="shared" si="13"/>
        <v>Cliente Atrasado</v>
      </c>
      <c r="BH19" s="786"/>
      <c r="BI19" s="786">
        <f t="shared" si="14"/>
        <v>0</v>
      </c>
      <c r="BJ19" s="786">
        <v>20</v>
      </c>
      <c r="BK19" s="52" t="s">
        <v>206</v>
      </c>
      <c r="BM19" t="s">
        <v>207</v>
      </c>
    </row>
    <row r="20" spans="1:65" x14ac:dyDescent="0.3">
      <c r="A20" s="20"/>
      <c r="B20" s="135">
        <v>303</v>
      </c>
      <c r="C20" s="136" t="s">
        <v>176</v>
      </c>
      <c r="D20" s="137" t="s">
        <v>208</v>
      </c>
      <c r="E20" s="138">
        <v>45572</v>
      </c>
      <c r="F20" s="135" t="s">
        <v>198</v>
      </c>
      <c r="G20" s="123">
        <v>960966</v>
      </c>
      <c r="H20" s="139">
        <v>960966</v>
      </c>
      <c r="I20" s="139">
        <f t="shared" si="4"/>
        <v>0</v>
      </c>
      <c r="J20" s="139">
        <v>48066</v>
      </c>
      <c r="K20" s="136" t="s">
        <v>173</v>
      </c>
      <c r="L20" s="121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  <c r="Y20" s="121">
        <v>0</v>
      </c>
      <c r="Z20" s="121"/>
      <c r="AA20" s="121">
        <v>0</v>
      </c>
      <c r="AB20" s="121">
        <v>0</v>
      </c>
      <c r="AC20" s="121">
        <v>0</v>
      </c>
      <c r="AD20" s="121">
        <v>0</v>
      </c>
      <c r="AE20" s="121">
        <v>0</v>
      </c>
      <c r="AF20" s="121">
        <v>0</v>
      </c>
      <c r="AG20" s="121">
        <v>0</v>
      </c>
      <c r="AH20" s="121">
        <v>0</v>
      </c>
      <c r="AI20" s="121">
        <v>0</v>
      </c>
      <c r="AJ20" s="121">
        <v>0</v>
      </c>
      <c r="AK20" s="121">
        <v>0</v>
      </c>
      <c r="AL20" s="121">
        <v>0</v>
      </c>
      <c r="AM20" s="121">
        <v>0</v>
      </c>
      <c r="AN20" s="121">
        <v>48066</v>
      </c>
      <c r="AO20" s="121">
        <v>0</v>
      </c>
      <c r="AP20" s="121">
        <v>0</v>
      </c>
      <c r="AQ20" s="121">
        <v>0</v>
      </c>
      <c r="AR20" s="121">
        <v>0</v>
      </c>
      <c r="AS20" s="122">
        <v>366021.32</v>
      </c>
      <c r="AT20" s="122"/>
      <c r="AU20" s="122"/>
      <c r="AV20" s="122"/>
      <c r="AW20" s="122"/>
      <c r="AX20" s="122">
        <f t="shared" si="16"/>
        <v>414087.32</v>
      </c>
      <c r="AY20" s="783">
        <f t="shared" si="5"/>
        <v>8.6149735779969205</v>
      </c>
      <c r="AZ20" s="784">
        <f t="shared" si="6"/>
        <v>366021.32</v>
      </c>
      <c r="BA20" s="783">
        <f t="shared" si="7"/>
        <v>7.6149735779969214</v>
      </c>
      <c r="BB20" s="784">
        <f t="shared" si="8"/>
        <v>546878.67999999993</v>
      </c>
      <c r="BC20" s="783">
        <f t="shared" si="9"/>
        <v>0.56909264219545741</v>
      </c>
      <c r="BD20" s="785">
        <f t="shared" si="10"/>
        <v>48066</v>
      </c>
      <c r="BE20" s="785">
        <f t="shared" si="11"/>
        <v>-366021.32</v>
      </c>
      <c r="BF20" s="786" t="str">
        <f t="shared" si="12"/>
        <v>Vendido</v>
      </c>
      <c r="BG20" s="786" t="str">
        <f t="shared" si="13"/>
        <v>Superávit de Enganche</v>
      </c>
      <c r="BH20" s="786"/>
      <c r="BI20" s="786">
        <f t="shared" si="14"/>
        <v>2</v>
      </c>
      <c r="BJ20" s="786">
        <f>IF(AND(BG20="Cliente Atrasado",COUNTIF(L20:AT20,"&lt;0.01")),DATEDIF(E20,AT$4+1,"m"),0)</f>
        <v>0</v>
      </c>
      <c r="BK20" s="52"/>
    </row>
    <row r="21" spans="1:65" x14ac:dyDescent="0.3">
      <c r="A21" s="20"/>
      <c r="B21" s="135">
        <v>304</v>
      </c>
      <c r="C21" s="136" t="s">
        <v>182</v>
      </c>
      <c r="D21" s="137" t="s">
        <v>209</v>
      </c>
      <c r="E21" s="138">
        <v>44963</v>
      </c>
      <c r="F21" s="135" t="s">
        <v>194</v>
      </c>
      <c r="G21" s="123">
        <v>655000</v>
      </c>
      <c r="H21" s="139">
        <v>655000</v>
      </c>
      <c r="I21" s="139">
        <f t="shared" si="4"/>
        <v>0</v>
      </c>
      <c r="J21" s="139">
        <v>130000</v>
      </c>
      <c r="K21" s="136" t="s">
        <v>173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70500</v>
      </c>
      <c r="U21" s="121">
        <v>3500</v>
      </c>
      <c r="V21" s="121">
        <v>3500</v>
      </c>
      <c r="W21" s="121">
        <v>3500</v>
      </c>
      <c r="X21" s="121">
        <v>3500</v>
      </c>
      <c r="Y21" s="121">
        <v>3500</v>
      </c>
      <c r="Z21" s="121">
        <v>3500</v>
      </c>
      <c r="AA21" s="121">
        <v>3500</v>
      </c>
      <c r="AB21" s="121">
        <v>3500</v>
      </c>
      <c r="AC21" s="121">
        <v>3500</v>
      </c>
      <c r="AD21" s="121">
        <v>3500</v>
      </c>
      <c r="AE21" s="121">
        <v>3500</v>
      </c>
      <c r="AF21" s="121">
        <v>3500</v>
      </c>
      <c r="AG21" s="121">
        <v>3500</v>
      </c>
      <c r="AH21" s="121">
        <v>3500</v>
      </c>
      <c r="AI21" s="121">
        <v>3500</v>
      </c>
      <c r="AJ21" s="121">
        <v>3500</v>
      </c>
      <c r="AK21" s="121">
        <v>3500</v>
      </c>
      <c r="AL21" s="121">
        <v>3500</v>
      </c>
      <c r="AM21" s="121">
        <v>0</v>
      </c>
      <c r="AN21" s="121">
        <v>0</v>
      </c>
      <c r="AO21" s="121">
        <v>0</v>
      </c>
      <c r="AP21" s="121">
        <v>0</v>
      </c>
      <c r="AQ21" s="121">
        <v>0</v>
      </c>
      <c r="AR21" s="121">
        <v>0</v>
      </c>
      <c r="AS21" s="122">
        <v>64894.55</v>
      </c>
      <c r="AT21" s="122"/>
      <c r="AU21" s="122"/>
      <c r="AV21" s="122"/>
      <c r="AW21" s="122"/>
      <c r="AX21" s="122">
        <f t="shared" si="16"/>
        <v>198394.55</v>
      </c>
      <c r="AY21" s="783">
        <f t="shared" si="5"/>
        <v>1.5261119230769229</v>
      </c>
      <c r="AZ21" s="784">
        <f t="shared" si="6"/>
        <v>68394.549999999988</v>
      </c>
      <c r="BA21" s="783">
        <f t="shared" si="7"/>
        <v>0.526111923076923</v>
      </c>
      <c r="BB21" s="784">
        <f t="shared" si="8"/>
        <v>456605.45</v>
      </c>
      <c r="BC21" s="783">
        <f t="shared" si="9"/>
        <v>0.69710755725190843</v>
      </c>
      <c r="BD21" s="785">
        <f t="shared" si="10"/>
        <v>130000</v>
      </c>
      <c r="BE21" s="785">
        <f t="shared" si="11"/>
        <v>-68394.549999999988</v>
      </c>
      <c r="BF21" s="786" t="str">
        <f t="shared" si="12"/>
        <v>Vendido</v>
      </c>
      <c r="BG21" s="786" t="str">
        <f t="shared" si="13"/>
        <v>Superávit de Enganche</v>
      </c>
      <c r="BH21" s="786"/>
      <c r="BI21" s="786">
        <f t="shared" si="14"/>
        <v>20</v>
      </c>
      <c r="BJ21" s="786">
        <f>IF(AND(BG21="Cliente Atrasado",COUNTIF(L21:AT21,"&lt;0.01")),DATEDIF(E21,AT$4+1,"m"),0)</f>
        <v>0</v>
      </c>
      <c r="BK21" s="52"/>
    </row>
    <row r="22" spans="1:65" x14ac:dyDescent="0.3">
      <c r="A22" s="20"/>
      <c r="B22" s="135">
        <v>305</v>
      </c>
      <c r="C22" s="136" t="s">
        <v>182</v>
      </c>
      <c r="D22" s="137" t="s">
        <v>210</v>
      </c>
      <c r="E22" s="138">
        <v>44957</v>
      </c>
      <c r="F22" s="135" t="s">
        <v>194</v>
      </c>
      <c r="G22" s="123">
        <v>655000</v>
      </c>
      <c r="H22" s="139">
        <v>655000</v>
      </c>
      <c r="I22" s="139">
        <f t="shared" si="4"/>
        <v>0</v>
      </c>
      <c r="J22" s="139">
        <v>100000</v>
      </c>
      <c r="K22" s="136" t="s">
        <v>173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5000</v>
      </c>
      <c r="T22" s="121">
        <v>5275</v>
      </c>
      <c r="U22" s="121">
        <v>5275</v>
      </c>
      <c r="V22" s="121">
        <v>5275</v>
      </c>
      <c r="W22" s="121">
        <v>5275</v>
      </c>
      <c r="X22" s="121">
        <v>5275</v>
      </c>
      <c r="Y22" s="121">
        <v>5275</v>
      </c>
      <c r="Z22" s="121">
        <v>5275</v>
      </c>
      <c r="AA22" s="121">
        <v>5275</v>
      </c>
      <c r="AB22" s="121">
        <v>5275</v>
      </c>
      <c r="AC22" s="121">
        <v>5275</v>
      </c>
      <c r="AD22" s="121">
        <v>5275</v>
      </c>
      <c r="AE22" s="121">
        <v>5275</v>
      </c>
      <c r="AF22" s="121">
        <v>5275</v>
      </c>
      <c r="AG22" s="121">
        <v>5275</v>
      </c>
      <c r="AH22" s="121">
        <v>5275</v>
      </c>
      <c r="AI22" s="121">
        <v>5275</v>
      </c>
      <c r="AJ22" s="121">
        <v>5275</v>
      </c>
      <c r="AK22" s="121">
        <v>5275</v>
      </c>
      <c r="AL22" s="121">
        <v>5275</v>
      </c>
      <c r="AM22" s="121">
        <v>105275</v>
      </c>
      <c r="AN22" s="121">
        <v>0</v>
      </c>
      <c r="AO22" s="121">
        <v>0</v>
      </c>
      <c r="AP22" s="121">
        <v>0</v>
      </c>
      <c r="AQ22" s="121">
        <v>0</v>
      </c>
      <c r="AR22" s="121">
        <v>0</v>
      </c>
      <c r="AS22" s="122">
        <v>9470.2800000000007</v>
      </c>
      <c r="AT22" s="122"/>
      <c r="AU22" s="122"/>
      <c r="AV22" s="122"/>
      <c r="AW22" s="122"/>
      <c r="AX22" s="122">
        <f t="shared" si="16"/>
        <v>219970.28</v>
      </c>
      <c r="AY22" s="783">
        <f t="shared" si="5"/>
        <v>2.1997027999999998</v>
      </c>
      <c r="AZ22" s="784">
        <f t="shared" si="6"/>
        <v>119970.28</v>
      </c>
      <c r="BA22" s="783">
        <f t="shared" si="7"/>
        <v>1.1997028000000001</v>
      </c>
      <c r="BB22" s="784">
        <f t="shared" si="8"/>
        <v>435029.72</v>
      </c>
      <c r="BC22" s="783">
        <f t="shared" si="9"/>
        <v>0.66416751145038166</v>
      </c>
      <c r="BD22" s="785">
        <f t="shared" si="10"/>
        <v>100000</v>
      </c>
      <c r="BE22" s="785">
        <f t="shared" si="11"/>
        <v>-119970.28</v>
      </c>
      <c r="BF22" s="786" t="str">
        <f t="shared" si="12"/>
        <v>Vendido</v>
      </c>
      <c r="BG22" s="786" t="str">
        <f t="shared" si="13"/>
        <v>Superávit de Enganche</v>
      </c>
      <c r="BH22" s="786"/>
      <c r="BI22" s="786">
        <f t="shared" si="14"/>
        <v>22</v>
      </c>
      <c r="BJ22" s="786">
        <f>IF(AND(BG22="Cliente Atrasado",COUNTIF(L22:AT22,"&lt;0.01")),DATEDIF(E22,AT$4+1,"m"),0)</f>
        <v>0</v>
      </c>
      <c r="BK22" s="52"/>
    </row>
    <row r="23" spans="1:65" x14ac:dyDescent="0.3">
      <c r="A23" s="20"/>
      <c r="B23" s="135">
        <v>306</v>
      </c>
      <c r="C23" s="136" t="s">
        <v>211</v>
      </c>
      <c r="D23" s="137" t="s">
        <v>212</v>
      </c>
      <c r="E23" s="138">
        <v>45632</v>
      </c>
      <c r="F23" s="135" t="s">
        <v>198</v>
      </c>
      <c r="G23" s="123">
        <v>948800</v>
      </c>
      <c r="H23" s="139">
        <v>948800</v>
      </c>
      <c r="I23" s="139">
        <f t="shared" si="4"/>
        <v>0</v>
      </c>
      <c r="J23" s="139">
        <v>47500</v>
      </c>
      <c r="K23" s="136" t="s">
        <v>173</v>
      </c>
      <c r="L23" s="121">
        <v>0</v>
      </c>
      <c r="M23" s="121">
        <v>0</v>
      </c>
      <c r="N23" s="121">
        <v>0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  <c r="Y23" s="121">
        <v>0</v>
      </c>
      <c r="Z23" s="121">
        <v>0</v>
      </c>
      <c r="AA23" s="121">
        <v>0</v>
      </c>
      <c r="AB23" s="121">
        <v>0</v>
      </c>
      <c r="AC23" s="121">
        <v>0</v>
      </c>
      <c r="AD23" s="121">
        <v>0</v>
      </c>
      <c r="AE23" s="121">
        <v>0</v>
      </c>
      <c r="AF23" s="121">
        <v>0</v>
      </c>
      <c r="AG23" s="121">
        <v>0</v>
      </c>
      <c r="AH23" s="121">
        <v>0</v>
      </c>
      <c r="AI23" s="121">
        <v>0</v>
      </c>
      <c r="AJ23" s="121">
        <v>0</v>
      </c>
      <c r="AK23" s="121">
        <v>0</v>
      </c>
      <c r="AL23" s="121">
        <v>0</v>
      </c>
      <c r="AM23" s="121">
        <v>0</v>
      </c>
      <c r="AN23" s="121">
        <v>0</v>
      </c>
      <c r="AO23" s="121">
        <v>0</v>
      </c>
      <c r="AP23" s="122">
        <v>5000</v>
      </c>
      <c r="AQ23" s="122">
        <v>28100</v>
      </c>
      <c r="AR23" s="122">
        <v>0</v>
      </c>
      <c r="AS23" s="122">
        <v>0</v>
      </c>
      <c r="AT23" s="122">
        <v>0</v>
      </c>
      <c r="AU23" s="122"/>
      <c r="AV23" s="122"/>
      <c r="AW23" s="122"/>
      <c r="AX23" s="122">
        <f t="shared" si="16"/>
        <v>33100</v>
      </c>
      <c r="AY23" s="783">
        <f t="shared" si="5"/>
        <v>0.69684210526315793</v>
      </c>
      <c r="AZ23" s="784">
        <f t="shared" si="6"/>
        <v>-14400</v>
      </c>
      <c r="BA23" s="783">
        <f t="shared" si="7"/>
        <v>-0.30315789473684213</v>
      </c>
      <c r="BB23" s="784">
        <f t="shared" si="8"/>
        <v>915700</v>
      </c>
      <c r="BC23" s="783">
        <f t="shared" si="9"/>
        <v>0.96511382799325462</v>
      </c>
      <c r="BD23" s="785">
        <f t="shared" si="10"/>
        <v>47500</v>
      </c>
      <c r="BE23" s="785">
        <f t="shared" si="11"/>
        <v>14400</v>
      </c>
      <c r="BF23" s="786" t="str">
        <f t="shared" si="12"/>
        <v>Vendido</v>
      </c>
      <c r="BG23" s="786" t="str">
        <f t="shared" si="13"/>
        <v>Cliente Atrasado</v>
      </c>
      <c r="BH23" s="786"/>
      <c r="BI23" s="786">
        <f t="shared" si="14"/>
        <v>2</v>
      </c>
      <c r="BJ23" s="786">
        <v>3</v>
      </c>
      <c r="BK23" s="52"/>
    </row>
    <row r="24" spans="1:65" x14ac:dyDescent="0.3">
      <c r="A24" s="20"/>
      <c r="B24" s="135">
        <v>307</v>
      </c>
      <c r="C24" s="136" t="s">
        <v>213</v>
      </c>
      <c r="D24" s="137" t="s">
        <v>214</v>
      </c>
      <c r="E24" s="138">
        <v>45635</v>
      </c>
      <c r="F24" s="135" t="s">
        <v>200</v>
      </c>
      <c r="G24" s="123">
        <v>810000</v>
      </c>
      <c r="H24" s="139">
        <f>581006.4+228993.6</f>
        <v>810000</v>
      </c>
      <c r="I24" s="139">
        <f t="shared" si="4"/>
        <v>0</v>
      </c>
      <c r="J24" s="139">
        <v>40500</v>
      </c>
      <c r="K24" s="136" t="s">
        <v>173</v>
      </c>
      <c r="L24" s="121">
        <v>0</v>
      </c>
      <c r="M24" s="121">
        <v>0</v>
      </c>
      <c r="N24" s="121">
        <v>0</v>
      </c>
      <c r="O24" s="121">
        <v>0</v>
      </c>
      <c r="P24" s="121">
        <v>0</v>
      </c>
      <c r="Q24" s="121">
        <v>0</v>
      </c>
      <c r="R24" s="121">
        <v>0</v>
      </c>
      <c r="S24" s="121">
        <v>0</v>
      </c>
      <c r="T24" s="121">
        <v>0</v>
      </c>
      <c r="U24" s="121">
        <v>0</v>
      </c>
      <c r="V24" s="121">
        <v>0</v>
      </c>
      <c r="W24" s="121">
        <v>0</v>
      </c>
      <c r="X24" s="121">
        <v>0</v>
      </c>
      <c r="Y24" s="121">
        <v>0</v>
      </c>
      <c r="Z24" s="121">
        <v>0</v>
      </c>
      <c r="AA24" s="121">
        <v>0</v>
      </c>
      <c r="AB24" s="121">
        <v>0</v>
      </c>
      <c r="AC24" s="121">
        <v>0</v>
      </c>
      <c r="AD24" s="121">
        <v>0</v>
      </c>
      <c r="AE24" s="121">
        <v>0</v>
      </c>
      <c r="AF24" s="121">
        <v>0</v>
      </c>
      <c r="AG24" s="121">
        <v>0</v>
      </c>
      <c r="AH24" s="121">
        <v>0</v>
      </c>
      <c r="AI24" s="121">
        <v>0</v>
      </c>
      <c r="AJ24" s="121">
        <v>0</v>
      </c>
      <c r="AK24" s="121">
        <v>0</v>
      </c>
      <c r="AL24" s="121">
        <v>0</v>
      </c>
      <c r="AM24" s="121">
        <v>0</v>
      </c>
      <c r="AN24" s="121">
        <v>0</v>
      </c>
      <c r="AO24" s="121">
        <v>0</v>
      </c>
      <c r="AP24" s="122">
        <v>5000</v>
      </c>
      <c r="AQ24" s="121">
        <v>0</v>
      </c>
      <c r="AR24" s="121">
        <v>0</v>
      </c>
      <c r="AS24" s="122">
        <v>35500</v>
      </c>
      <c r="AT24" s="122"/>
      <c r="AU24" s="122">
        <f>40500+138100</f>
        <v>178600</v>
      </c>
      <c r="AV24" s="122"/>
      <c r="AW24" s="122"/>
      <c r="AX24" s="122">
        <f t="shared" si="16"/>
        <v>219100</v>
      </c>
      <c r="AY24" s="783">
        <f t="shared" si="5"/>
        <v>5.4098765432098768</v>
      </c>
      <c r="AZ24" s="784">
        <f t="shared" si="6"/>
        <v>178600</v>
      </c>
      <c r="BA24" s="783">
        <f t="shared" si="7"/>
        <v>4.4098765432098768</v>
      </c>
      <c r="BB24" s="784">
        <f t="shared" si="8"/>
        <v>590900</v>
      </c>
      <c r="BC24" s="783">
        <f t="shared" si="9"/>
        <v>0.72950617283950614</v>
      </c>
      <c r="BD24" s="785">
        <f t="shared" si="10"/>
        <v>40500</v>
      </c>
      <c r="BE24" s="785">
        <f t="shared" si="11"/>
        <v>-178600</v>
      </c>
      <c r="BF24" s="786" t="str">
        <f t="shared" si="12"/>
        <v>Vendido</v>
      </c>
      <c r="BG24" s="786" t="str">
        <f t="shared" si="13"/>
        <v>Superávit de Enganche</v>
      </c>
      <c r="BH24" s="786"/>
      <c r="BI24" s="786">
        <f t="shared" si="14"/>
        <v>2</v>
      </c>
      <c r="BJ24" s="786">
        <f t="shared" ref="BJ24:BJ50" si="17">IF(AND(BG24="Cliente Atrasado",COUNTIF(L24:AT24,"&lt;0.01")),DATEDIF(E24,AT$4+1,"m"),0)</f>
        <v>0</v>
      </c>
      <c r="BK24" s="52"/>
    </row>
    <row r="25" spans="1:65" x14ac:dyDescent="0.3">
      <c r="A25" s="35"/>
      <c r="B25" s="135">
        <v>308</v>
      </c>
      <c r="C25" s="136" t="s">
        <v>176</v>
      </c>
      <c r="D25" s="137" t="s">
        <v>215</v>
      </c>
      <c r="E25" s="138">
        <v>45653</v>
      </c>
      <c r="F25" s="135" t="s">
        <v>186</v>
      </c>
      <c r="G25" s="123">
        <v>650000</v>
      </c>
      <c r="H25" s="139">
        <v>680000</v>
      </c>
      <c r="I25" s="139">
        <f t="shared" si="4"/>
        <v>-30000</v>
      </c>
      <c r="J25" s="139">
        <v>34000</v>
      </c>
      <c r="K25" s="136" t="s">
        <v>173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>
        <v>0</v>
      </c>
      <c r="AH25" s="121">
        <v>0</v>
      </c>
      <c r="AI25" s="121">
        <v>0</v>
      </c>
      <c r="AJ25" s="121">
        <v>0</v>
      </c>
      <c r="AK25" s="121">
        <v>0</v>
      </c>
      <c r="AL25" s="121">
        <v>0</v>
      </c>
      <c r="AM25" s="121"/>
      <c r="AN25" s="121"/>
      <c r="AO25" s="121">
        <v>0</v>
      </c>
      <c r="AP25" s="122">
        <v>5000</v>
      </c>
      <c r="AQ25" s="121">
        <v>0</v>
      </c>
      <c r="AR25" s="121">
        <v>0</v>
      </c>
      <c r="AS25" s="122">
        <v>60000</v>
      </c>
      <c r="AT25" s="122"/>
      <c r="AU25" s="122"/>
      <c r="AV25" s="122"/>
      <c r="AW25" s="122"/>
      <c r="AX25" s="122">
        <f t="shared" si="16"/>
        <v>65000</v>
      </c>
      <c r="AY25" s="783">
        <f t="shared" si="5"/>
        <v>1.911764705882353</v>
      </c>
      <c r="AZ25" s="784">
        <f t="shared" si="6"/>
        <v>31000</v>
      </c>
      <c r="BA25" s="783">
        <f t="shared" si="7"/>
        <v>0.91176470588235292</v>
      </c>
      <c r="BB25" s="784">
        <f t="shared" si="8"/>
        <v>615000</v>
      </c>
      <c r="BC25" s="783">
        <f t="shared" si="9"/>
        <v>0.90441176470588236</v>
      </c>
      <c r="BD25" s="785">
        <f t="shared" si="10"/>
        <v>34000</v>
      </c>
      <c r="BE25" s="785">
        <f t="shared" si="11"/>
        <v>-31000</v>
      </c>
      <c r="BF25" s="786" t="str">
        <f t="shared" si="12"/>
        <v>Vendido</v>
      </c>
      <c r="BG25" s="786" t="str">
        <f t="shared" si="13"/>
        <v>Superávit de Enganche</v>
      </c>
      <c r="BH25" s="786"/>
      <c r="BI25" s="786">
        <f t="shared" si="14"/>
        <v>2</v>
      </c>
      <c r="BJ25" s="786">
        <f t="shared" si="17"/>
        <v>0</v>
      </c>
      <c r="BK25" s="52"/>
    </row>
    <row r="26" spans="1:65" x14ac:dyDescent="0.3">
      <c r="A26" s="20"/>
      <c r="B26" s="135">
        <v>401</v>
      </c>
      <c r="C26" s="136" t="s">
        <v>170</v>
      </c>
      <c r="D26" s="137" t="s">
        <v>216</v>
      </c>
      <c r="E26" s="138">
        <v>44880</v>
      </c>
      <c r="F26" s="135" t="s">
        <v>186</v>
      </c>
      <c r="G26" s="123">
        <v>547800</v>
      </c>
      <c r="H26" s="139">
        <v>547800</v>
      </c>
      <c r="I26" s="139">
        <f t="shared" si="4"/>
        <v>0</v>
      </c>
      <c r="J26" s="139">
        <v>54780</v>
      </c>
      <c r="K26" s="136" t="s">
        <v>173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5000</v>
      </c>
      <c r="R26" s="121">
        <v>2480</v>
      </c>
      <c r="S26" s="121">
        <v>2480</v>
      </c>
      <c r="T26" s="121">
        <v>2480</v>
      </c>
      <c r="U26" s="121">
        <v>2480</v>
      </c>
      <c r="V26" s="121">
        <v>2480</v>
      </c>
      <c r="W26" s="121">
        <v>2480</v>
      </c>
      <c r="X26" s="121">
        <v>2480</v>
      </c>
      <c r="Y26" s="121">
        <v>2480</v>
      </c>
      <c r="Z26" s="121">
        <v>2480</v>
      </c>
      <c r="AA26" s="121">
        <v>2480</v>
      </c>
      <c r="AB26" s="121">
        <v>2480</v>
      </c>
      <c r="AC26" s="121">
        <v>2480</v>
      </c>
      <c r="AD26" s="121">
        <v>2480</v>
      </c>
      <c r="AE26" s="121">
        <v>2480</v>
      </c>
      <c r="AF26" s="121">
        <v>2480</v>
      </c>
      <c r="AG26" s="121">
        <v>2480</v>
      </c>
      <c r="AH26" s="121">
        <v>2480</v>
      </c>
      <c r="AI26" s="121">
        <v>2480</v>
      </c>
      <c r="AJ26" s="121">
        <v>2480</v>
      </c>
      <c r="AK26" s="121">
        <v>2660</v>
      </c>
      <c r="AL26" s="121">
        <v>0</v>
      </c>
      <c r="AM26" s="121">
        <v>0</v>
      </c>
      <c r="AN26" s="121">
        <v>2505</v>
      </c>
      <c r="AO26" s="121">
        <v>2505</v>
      </c>
      <c r="AP26" s="122">
        <v>2505</v>
      </c>
      <c r="AQ26" s="122">
        <v>2505</v>
      </c>
      <c r="AR26" s="121">
        <v>0</v>
      </c>
      <c r="AS26" s="121">
        <v>0</v>
      </c>
      <c r="AT26" s="122"/>
      <c r="AU26" s="122"/>
      <c r="AV26" s="122"/>
      <c r="AW26" s="122"/>
      <c r="AX26" s="122">
        <f t="shared" si="16"/>
        <v>64800</v>
      </c>
      <c r="AY26" s="783">
        <f t="shared" si="5"/>
        <v>1.1829134720700987</v>
      </c>
      <c r="AZ26" s="784">
        <f t="shared" si="6"/>
        <v>10020</v>
      </c>
      <c r="BA26" s="783">
        <f t="shared" si="7"/>
        <v>0.18291347207009859</v>
      </c>
      <c r="BB26" s="784">
        <f t="shared" si="8"/>
        <v>483000</v>
      </c>
      <c r="BC26" s="783">
        <f t="shared" si="9"/>
        <v>0.88170865279299016</v>
      </c>
      <c r="BD26" s="785">
        <f t="shared" si="10"/>
        <v>54780</v>
      </c>
      <c r="BE26" s="785">
        <f t="shared" si="11"/>
        <v>-10020</v>
      </c>
      <c r="BF26" s="786" t="str">
        <f t="shared" si="12"/>
        <v>Vendido</v>
      </c>
      <c r="BG26" s="786" t="str">
        <f t="shared" si="13"/>
        <v>Superávit de Enganche</v>
      </c>
      <c r="BH26" s="786"/>
      <c r="BI26" s="786">
        <f t="shared" si="14"/>
        <v>25</v>
      </c>
      <c r="BJ26" s="786">
        <f t="shared" si="17"/>
        <v>0</v>
      </c>
      <c r="BK26" s="52"/>
    </row>
    <row r="27" spans="1:65" x14ac:dyDescent="0.3">
      <c r="A27" s="20"/>
      <c r="B27" s="135">
        <v>402</v>
      </c>
      <c r="C27" s="136" t="s">
        <v>176</v>
      </c>
      <c r="D27" s="137" t="s">
        <v>217</v>
      </c>
      <c r="E27" s="138">
        <v>45125</v>
      </c>
      <c r="F27" s="135" t="s">
        <v>200</v>
      </c>
      <c r="G27" s="123">
        <v>703900</v>
      </c>
      <c r="H27" s="139">
        <v>703900</v>
      </c>
      <c r="I27" s="139">
        <f t="shared" si="4"/>
        <v>0</v>
      </c>
      <c r="J27" s="139">
        <v>70390</v>
      </c>
      <c r="K27" s="136" t="s">
        <v>173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  <c r="R27" s="121">
        <v>0</v>
      </c>
      <c r="S27" s="121">
        <v>0</v>
      </c>
      <c r="T27" s="121">
        <v>0</v>
      </c>
      <c r="U27" s="121">
        <v>0</v>
      </c>
      <c r="V27" s="121">
        <v>0</v>
      </c>
      <c r="W27" s="121">
        <v>0</v>
      </c>
      <c r="X27" s="121">
        <v>0</v>
      </c>
      <c r="Y27" s="121">
        <v>5000</v>
      </c>
      <c r="Z27" s="121">
        <v>9500</v>
      </c>
      <c r="AA27" s="121">
        <v>5500</v>
      </c>
      <c r="AB27" s="121">
        <v>5500</v>
      </c>
      <c r="AC27" s="121">
        <v>5500</v>
      </c>
      <c r="AD27" s="121">
        <v>5500</v>
      </c>
      <c r="AE27" s="121">
        <v>1500</v>
      </c>
      <c r="AF27" s="121">
        <v>5500</v>
      </c>
      <c r="AG27" s="121">
        <v>5500</v>
      </c>
      <c r="AH27" s="121">
        <v>5500</v>
      </c>
      <c r="AI27" s="121">
        <v>5500</v>
      </c>
      <c r="AJ27" s="121">
        <v>35500</v>
      </c>
      <c r="AK27" s="121">
        <v>35500</v>
      </c>
      <c r="AL27" s="121">
        <v>30000</v>
      </c>
      <c r="AM27" s="121">
        <v>30000</v>
      </c>
      <c r="AN27" s="121">
        <v>0</v>
      </c>
      <c r="AO27" s="121">
        <v>60000</v>
      </c>
      <c r="AP27" s="122">
        <v>30000</v>
      </c>
      <c r="AQ27" s="122"/>
      <c r="AR27" s="121">
        <v>0</v>
      </c>
      <c r="AS27" s="121">
        <v>0</v>
      </c>
      <c r="AT27" s="122"/>
      <c r="AU27" s="122"/>
      <c r="AV27" s="122"/>
      <c r="AW27" s="122"/>
      <c r="AX27" s="122">
        <f t="shared" si="16"/>
        <v>281000</v>
      </c>
      <c r="AY27" s="783">
        <f t="shared" si="5"/>
        <v>3.9920443244779089</v>
      </c>
      <c r="AZ27" s="784">
        <f t="shared" si="6"/>
        <v>210610</v>
      </c>
      <c r="BA27" s="783">
        <f t="shared" si="7"/>
        <v>2.9920443244779089</v>
      </c>
      <c r="BB27" s="784">
        <f t="shared" si="8"/>
        <v>422900</v>
      </c>
      <c r="BC27" s="783">
        <f t="shared" si="9"/>
        <v>0.60079556755220909</v>
      </c>
      <c r="BD27" s="785">
        <f t="shared" si="10"/>
        <v>70390</v>
      </c>
      <c r="BE27" s="785">
        <f t="shared" si="11"/>
        <v>-210610</v>
      </c>
      <c r="BF27" s="786" t="str">
        <f t="shared" si="12"/>
        <v>Vendido</v>
      </c>
      <c r="BG27" s="786" t="str">
        <f t="shared" si="13"/>
        <v>Superávit de Enganche</v>
      </c>
      <c r="BH27" s="786"/>
      <c r="BI27" s="786">
        <f t="shared" si="14"/>
        <v>17</v>
      </c>
      <c r="BJ27" s="786">
        <f t="shared" si="17"/>
        <v>0</v>
      </c>
      <c r="BK27" s="52"/>
    </row>
    <row r="28" spans="1:65" x14ac:dyDescent="0.3">
      <c r="A28" s="20"/>
      <c r="B28" s="135">
        <v>403</v>
      </c>
      <c r="C28" s="136" t="s">
        <v>176</v>
      </c>
      <c r="D28" s="137" t="s">
        <v>218</v>
      </c>
      <c r="E28" s="182">
        <v>45761</v>
      </c>
      <c r="F28" s="135" t="s">
        <v>198</v>
      </c>
      <c r="G28" s="123">
        <v>948800</v>
      </c>
      <c r="H28" s="139">
        <f>691786.39+272655.61</f>
        <v>964442</v>
      </c>
      <c r="I28" s="139">
        <f t="shared" si="4"/>
        <v>-15642</v>
      </c>
      <c r="J28" s="139">
        <v>48242</v>
      </c>
      <c r="K28" s="136" t="s">
        <v>205</v>
      </c>
      <c r="L28" s="122">
        <v>0</v>
      </c>
      <c r="M28" s="122">
        <v>0</v>
      </c>
      <c r="N28" s="122">
        <v>0</v>
      </c>
      <c r="O28" s="122">
        <v>0</v>
      </c>
      <c r="P28" s="122">
        <v>0</v>
      </c>
      <c r="Q28" s="122">
        <v>0</v>
      </c>
      <c r="R28" s="122">
        <v>0</v>
      </c>
      <c r="S28" s="122">
        <v>0</v>
      </c>
      <c r="T28" s="122">
        <v>0</v>
      </c>
      <c r="U28" s="122">
        <v>0</v>
      </c>
      <c r="V28" s="122">
        <v>0</v>
      </c>
      <c r="W28" s="122">
        <v>0</v>
      </c>
      <c r="X28" s="122">
        <v>0</v>
      </c>
      <c r="Y28" s="122">
        <v>0</v>
      </c>
      <c r="Z28" s="122">
        <v>0</v>
      </c>
      <c r="AA28" s="122">
        <v>0</v>
      </c>
      <c r="AB28" s="122">
        <v>0</v>
      </c>
      <c r="AC28" s="122">
        <v>0</v>
      </c>
      <c r="AD28" s="122">
        <v>0</v>
      </c>
      <c r="AE28" s="122">
        <v>0</v>
      </c>
      <c r="AF28" s="122">
        <v>0</v>
      </c>
      <c r="AG28" s="122">
        <v>0</v>
      </c>
      <c r="AH28" s="122">
        <v>0</v>
      </c>
      <c r="AI28" s="122">
        <v>0</v>
      </c>
      <c r="AJ28" s="122">
        <v>0</v>
      </c>
      <c r="AK28" s="122">
        <v>0</v>
      </c>
      <c r="AL28" s="122">
        <v>0</v>
      </c>
      <c r="AM28" s="122">
        <v>0</v>
      </c>
      <c r="AN28" s="122">
        <v>0</v>
      </c>
      <c r="AO28" s="122">
        <v>0</v>
      </c>
      <c r="AP28" s="122">
        <v>0</v>
      </c>
      <c r="AQ28" s="122">
        <v>0</v>
      </c>
      <c r="AR28" s="121">
        <v>0</v>
      </c>
      <c r="AS28" s="121">
        <v>0</v>
      </c>
      <c r="AT28" s="122"/>
      <c r="AU28" s="122">
        <v>21621</v>
      </c>
      <c r="AV28" s="122"/>
      <c r="AW28" s="122"/>
      <c r="AX28" s="122">
        <f t="shared" si="16"/>
        <v>21621</v>
      </c>
      <c r="AY28" s="783">
        <f t="shared" si="5"/>
        <v>0.44817793623813273</v>
      </c>
      <c r="AZ28" s="784">
        <f t="shared" si="6"/>
        <v>-26621</v>
      </c>
      <c r="BA28" s="783">
        <f t="shared" si="7"/>
        <v>-0.55182206376186727</v>
      </c>
      <c r="BB28" s="784">
        <f t="shared" si="8"/>
        <v>942821</v>
      </c>
      <c r="BC28" s="783">
        <f t="shared" si="9"/>
        <v>0.97758185562221467</v>
      </c>
      <c r="BD28" s="785">
        <f t="shared" si="10"/>
        <v>48242</v>
      </c>
      <c r="BE28" s="785">
        <f t="shared" si="11"/>
        <v>26621</v>
      </c>
      <c r="BF28" s="786" t="str">
        <f t="shared" si="12"/>
        <v>Vendido</v>
      </c>
      <c r="BG28" s="786" t="str">
        <f t="shared" si="13"/>
        <v>Cliente Atrasado</v>
      </c>
      <c r="BH28" s="786"/>
      <c r="BI28" s="786">
        <f t="shared" si="14"/>
        <v>0</v>
      </c>
      <c r="BJ28" s="786">
        <f t="shared" si="17"/>
        <v>0</v>
      </c>
      <c r="BK28" s="52" t="s">
        <v>206</v>
      </c>
      <c r="BM28" t="s">
        <v>207</v>
      </c>
    </row>
    <row r="29" spans="1:65" x14ac:dyDescent="0.3">
      <c r="A29" s="20"/>
      <c r="B29" s="135">
        <v>404</v>
      </c>
      <c r="C29" s="136" t="s">
        <v>182</v>
      </c>
      <c r="D29" s="137" t="s">
        <v>219</v>
      </c>
      <c r="E29" s="138">
        <v>44963</v>
      </c>
      <c r="F29" s="135" t="s">
        <v>194</v>
      </c>
      <c r="G29" s="123">
        <v>655000</v>
      </c>
      <c r="H29" s="139">
        <v>655000</v>
      </c>
      <c r="I29" s="139">
        <f t="shared" si="4"/>
        <v>0</v>
      </c>
      <c r="J29" s="139">
        <v>65500</v>
      </c>
      <c r="K29" s="136" t="s">
        <v>173</v>
      </c>
      <c r="L29" s="121">
        <v>0</v>
      </c>
      <c r="M29" s="121">
        <v>0</v>
      </c>
      <c r="N29" s="121">
        <v>0</v>
      </c>
      <c r="O29" s="121">
        <v>0</v>
      </c>
      <c r="P29" s="121">
        <v>0</v>
      </c>
      <c r="Q29" s="121">
        <v>0</v>
      </c>
      <c r="R29" s="121">
        <v>0</v>
      </c>
      <c r="S29" s="121">
        <v>0</v>
      </c>
      <c r="T29" s="121">
        <v>5000</v>
      </c>
      <c r="U29" s="121">
        <v>3500</v>
      </c>
      <c r="V29" s="121">
        <v>3617.76</v>
      </c>
      <c r="W29" s="121">
        <v>3500</v>
      </c>
      <c r="X29" s="121">
        <v>3500</v>
      </c>
      <c r="Y29" s="121">
        <v>3500</v>
      </c>
      <c r="Z29" s="121">
        <v>3500</v>
      </c>
      <c r="AA29" s="121">
        <v>7000</v>
      </c>
      <c r="AB29" s="121">
        <v>0</v>
      </c>
      <c r="AC29" s="121">
        <v>7000</v>
      </c>
      <c r="AD29" s="121">
        <v>3500</v>
      </c>
      <c r="AE29" s="121">
        <v>3500</v>
      </c>
      <c r="AF29" s="121">
        <v>0</v>
      </c>
      <c r="AG29" s="121">
        <v>3500</v>
      </c>
      <c r="AH29" s="121">
        <v>3500</v>
      </c>
      <c r="AI29" s="121">
        <v>3500</v>
      </c>
      <c r="AJ29" s="121">
        <v>3500</v>
      </c>
      <c r="AK29" s="121">
        <v>3500</v>
      </c>
      <c r="AL29" s="121">
        <v>882.24</v>
      </c>
      <c r="AM29" s="121">
        <v>0</v>
      </c>
      <c r="AN29" s="121">
        <v>0</v>
      </c>
      <c r="AO29" s="121">
        <v>0</v>
      </c>
      <c r="AP29" s="121">
        <v>0</v>
      </c>
      <c r="AQ29" s="121">
        <v>0</v>
      </c>
      <c r="AR29" s="121">
        <v>0</v>
      </c>
      <c r="AS29" s="121">
        <v>0</v>
      </c>
      <c r="AT29" s="122"/>
      <c r="AU29" s="122"/>
      <c r="AV29" s="122"/>
      <c r="AW29" s="122"/>
      <c r="AX29" s="122">
        <f t="shared" si="16"/>
        <v>65500</v>
      </c>
      <c r="AY29" s="783">
        <f t="shared" si="5"/>
        <v>1</v>
      </c>
      <c r="AZ29" s="784">
        <f t="shared" si="6"/>
        <v>0</v>
      </c>
      <c r="BA29" s="783">
        <f t="shared" si="7"/>
        <v>0</v>
      </c>
      <c r="BB29" s="784">
        <f t="shared" si="8"/>
        <v>589500</v>
      </c>
      <c r="BC29" s="783">
        <f t="shared" si="9"/>
        <v>0.9</v>
      </c>
      <c r="BD29" s="785">
        <f t="shared" si="10"/>
        <v>65500</v>
      </c>
      <c r="BE29" s="785">
        <f t="shared" si="11"/>
        <v>0</v>
      </c>
      <c r="BF29" s="786" t="str">
        <f t="shared" si="12"/>
        <v>Vendido</v>
      </c>
      <c r="BG29" s="786" t="str">
        <f t="shared" si="13"/>
        <v>Enganche Completado</v>
      </c>
      <c r="BH29" s="786"/>
      <c r="BI29" s="786">
        <f t="shared" si="14"/>
        <v>17</v>
      </c>
      <c r="BJ29" s="786">
        <f t="shared" si="17"/>
        <v>0</v>
      </c>
      <c r="BK29" s="52"/>
    </row>
    <row r="30" spans="1:65" x14ac:dyDescent="0.3">
      <c r="A30" s="20"/>
      <c r="B30" s="135">
        <v>405</v>
      </c>
      <c r="C30" s="136" t="s">
        <v>170</v>
      </c>
      <c r="D30" s="137" t="s">
        <v>220</v>
      </c>
      <c r="E30" s="138">
        <v>44956</v>
      </c>
      <c r="F30" s="135" t="s">
        <v>194</v>
      </c>
      <c r="G30" s="123">
        <v>655000</v>
      </c>
      <c r="H30" s="139">
        <v>655000</v>
      </c>
      <c r="I30" s="139">
        <f t="shared" si="4"/>
        <v>0</v>
      </c>
      <c r="J30" s="139">
        <v>414500</v>
      </c>
      <c r="K30" s="136" t="s">
        <v>173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21">
        <v>0</v>
      </c>
      <c r="R30" s="121">
        <v>0</v>
      </c>
      <c r="S30" s="121">
        <v>5000</v>
      </c>
      <c r="T30" s="121">
        <v>3500</v>
      </c>
      <c r="U30" s="121">
        <v>3500</v>
      </c>
      <c r="V30" s="121">
        <v>3500</v>
      </c>
      <c r="W30" s="121">
        <v>3500</v>
      </c>
      <c r="X30" s="121">
        <v>3500</v>
      </c>
      <c r="Y30" s="121">
        <v>3500</v>
      </c>
      <c r="Z30" s="121">
        <v>3500</v>
      </c>
      <c r="AA30" s="121">
        <v>3500</v>
      </c>
      <c r="AB30" s="121">
        <v>3500</v>
      </c>
      <c r="AC30" s="121">
        <v>3500</v>
      </c>
      <c r="AD30" s="121">
        <v>3500</v>
      </c>
      <c r="AE30" s="121">
        <v>3500</v>
      </c>
      <c r="AF30" s="121">
        <v>3500</v>
      </c>
      <c r="AG30" s="121">
        <v>3500</v>
      </c>
      <c r="AH30" s="121">
        <v>3500</v>
      </c>
      <c r="AI30" s="121">
        <v>3500</v>
      </c>
      <c r="AJ30" s="121">
        <v>3500</v>
      </c>
      <c r="AK30" s="121">
        <v>0</v>
      </c>
      <c r="AL30" s="121">
        <v>0</v>
      </c>
      <c r="AM30" s="121">
        <v>0</v>
      </c>
      <c r="AN30" s="121">
        <v>0</v>
      </c>
      <c r="AO30" s="121">
        <v>0</v>
      </c>
      <c r="AP30" s="121">
        <v>0</v>
      </c>
      <c r="AQ30" s="122">
        <f>252200+88000+74800+500</f>
        <v>415500</v>
      </c>
      <c r="AR30" s="121">
        <v>0</v>
      </c>
      <c r="AS30" s="121">
        <v>0</v>
      </c>
      <c r="AT30" s="122"/>
      <c r="AU30" s="122"/>
      <c r="AV30" s="122"/>
      <c r="AW30" s="122"/>
      <c r="AX30" s="122">
        <f t="shared" si="16"/>
        <v>480000</v>
      </c>
      <c r="AY30" s="783">
        <f t="shared" si="5"/>
        <v>1.1580217129071171</v>
      </c>
      <c r="AZ30" s="784">
        <f t="shared" si="6"/>
        <v>65500</v>
      </c>
      <c r="BA30" s="783">
        <f t="shared" si="7"/>
        <v>0.158021712907117</v>
      </c>
      <c r="BB30" s="784">
        <f t="shared" si="8"/>
        <v>175000</v>
      </c>
      <c r="BC30" s="783">
        <f t="shared" si="9"/>
        <v>0.26717557251908397</v>
      </c>
      <c r="BD30" s="785">
        <f t="shared" si="10"/>
        <v>414500</v>
      </c>
      <c r="BE30" s="785">
        <f t="shared" si="11"/>
        <v>-65500</v>
      </c>
      <c r="BF30" s="786" t="str">
        <f t="shared" si="12"/>
        <v>Vendido</v>
      </c>
      <c r="BG30" s="786" t="str">
        <f t="shared" si="13"/>
        <v>Superávit de Enganche</v>
      </c>
      <c r="BH30" s="786"/>
      <c r="BI30" s="786">
        <f t="shared" si="14"/>
        <v>19</v>
      </c>
      <c r="BJ30" s="786">
        <f t="shared" si="17"/>
        <v>0</v>
      </c>
      <c r="BK30" s="52"/>
    </row>
    <row r="31" spans="1:65" x14ac:dyDescent="0.3">
      <c r="A31" s="20"/>
      <c r="B31" s="135">
        <v>406</v>
      </c>
      <c r="C31" s="136" t="s">
        <v>176</v>
      </c>
      <c r="D31" s="137" t="s">
        <v>221</v>
      </c>
      <c r="E31" s="138">
        <v>45625</v>
      </c>
      <c r="F31" s="135" t="s">
        <v>198</v>
      </c>
      <c r="G31" s="123">
        <v>964442</v>
      </c>
      <c r="H31" s="139">
        <v>948800</v>
      </c>
      <c r="I31" s="139">
        <f t="shared" si="4"/>
        <v>15642</v>
      </c>
      <c r="J31" s="139">
        <v>49500</v>
      </c>
      <c r="K31" s="136" t="s">
        <v>173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/>
      <c r="AA31" s="121">
        <v>0</v>
      </c>
      <c r="AB31" s="121">
        <v>0</v>
      </c>
      <c r="AC31" s="121">
        <v>0</v>
      </c>
      <c r="AD31" s="121">
        <v>0</v>
      </c>
      <c r="AE31" s="121">
        <v>0</v>
      </c>
      <c r="AF31" s="121">
        <v>0</v>
      </c>
      <c r="AG31" s="121">
        <v>0</v>
      </c>
      <c r="AH31" s="121">
        <v>0</v>
      </c>
      <c r="AI31" s="121">
        <v>0</v>
      </c>
      <c r="AJ31" s="121">
        <v>0</v>
      </c>
      <c r="AK31" s="121">
        <v>0</v>
      </c>
      <c r="AL31" s="121">
        <v>0</v>
      </c>
      <c r="AM31" s="121"/>
      <c r="AN31" s="121">
        <v>0</v>
      </c>
      <c r="AO31" s="121">
        <f>5000+22250</f>
        <v>27250</v>
      </c>
      <c r="AP31" s="122">
        <v>22250</v>
      </c>
      <c r="AQ31" s="121">
        <v>0</v>
      </c>
      <c r="AR31" s="121">
        <v>0</v>
      </c>
      <c r="AS31" s="121">
        <v>0</v>
      </c>
      <c r="AT31" s="122"/>
      <c r="AU31" s="122"/>
      <c r="AV31" s="122"/>
      <c r="AW31" s="122"/>
      <c r="AX31" s="122">
        <f t="shared" si="16"/>
        <v>49500</v>
      </c>
      <c r="AY31" s="783">
        <f t="shared" si="5"/>
        <v>1</v>
      </c>
      <c r="AZ31" s="784">
        <f t="shared" si="6"/>
        <v>0</v>
      </c>
      <c r="BA31" s="783">
        <f t="shared" si="7"/>
        <v>0</v>
      </c>
      <c r="BB31" s="784">
        <f t="shared" si="8"/>
        <v>899300</v>
      </c>
      <c r="BC31" s="783">
        <f t="shared" si="9"/>
        <v>0.94782883642495785</v>
      </c>
      <c r="BD31" s="785">
        <f t="shared" si="10"/>
        <v>49500</v>
      </c>
      <c r="BE31" s="785">
        <f t="shared" si="11"/>
        <v>0</v>
      </c>
      <c r="BF31" s="786" t="str">
        <f t="shared" si="12"/>
        <v>Vendido</v>
      </c>
      <c r="BG31" s="786" t="str">
        <f t="shared" si="13"/>
        <v>Enganche Completado</v>
      </c>
      <c r="BH31" s="786"/>
      <c r="BI31" s="786">
        <f t="shared" si="14"/>
        <v>2</v>
      </c>
      <c r="BJ31" s="786">
        <f t="shared" si="17"/>
        <v>0</v>
      </c>
      <c r="BK31" s="52"/>
    </row>
    <row r="32" spans="1:65" x14ac:dyDescent="0.3">
      <c r="A32" s="20"/>
      <c r="B32" s="135">
        <v>407</v>
      </c>
      <c r="C32" s="136" t="s">
        <v>170</v>
      </c>
      <c r="D32" s="137" t="s">
        <v>222</v>
      </c>
      <c r="E32" s="138">
        <v>44945</v>
      </c>
      <c r="F32" s="135" t="s">
        <v>200</v>
      </c>
      <c r="G32" s="123">
        <v>680000</v>
      </c>
      <c r="H32" s="139">
        <v>680000</v>
      </c>
      <c r="I32" s="139">
        <f t="shared" si="4"/>
        <v>0</v>
      </c>
      <c r="J32" s="139">
        <v>68000</v>
      </c>
      <c r="K32" s="136" t="s">
        <v>173</v>
      </c>
      <c r="L32" s="121">
        <v>0</v>
      </c>
      <c r="M32" s="121">
        <v>0</v>
      </c>
      <c r="N32" s="121">
        <v>0</v>
      </c>
      <c r="O32" s="121">
        <v>0</v>
      </c>
      <c r="P32" s="121">
        <v>0</v>
      </c>
      <c r="Q32" s="121">
        <v>0</v>
      </c>
      <c r="R32" s="121">
        <v>0</v>
      </c>
      <c r="S32" s="121">
        <v>5000</v>
      </c>
      <c r="T32" s="121">
        <v>3500</v>
      </c>
      <c r="U32" s="121">
        <v>3500</v>
      </c>
      <c r="V32" s="121">
        <v>3500</v>
      </c>
      <c r="W32" s="121">
        <v>3500</v>
      </c>
      <c r="X32" s="121">
        <v>3500</v>
      </c>
      <c r="Y32" s="121">
        <v>3500</v>
      </c>
      <c r="Z32" s="121">
        <v>3500</v>
      </c>
      <c r="AA32" s="121">
        <v>3500</v>
      </c>
      <c r="AB32" s="121">
        <v>3500</v>
      </c>
      <c r="AC32" s="121">
        <v>0</v>
      </c>
      <c r="AD32" s="121">
        <v>7000</v>
      </c>
      <c r="AE32" s="121">
        <v>3500</v>
      </c>
      <c r="AF32" s="121">
        <v>3500</v>
      </c>
      <c r="AG32" s="121">
        <v>3500</v>
      </c>
      <c r="AH32" s="121">
        <v>3500</v>
      </c>
      <c r="AI32" s="121">
        <v>3500</v>
      </c>
      <c r="AJ32" s="121">
        <v>3500</v>
      </c>
      <c r="AK32" s="121">
        <v>3500</v>
      </c>
      <c r="AL32" s="121">
        <v>0</v>
      </c>
      <c r="AM32" s="121">
        <v>0</v>
      </c>
      <c r="AN32" s="121">
        <v>0</v>
      </c>
      <c r="AO32" s="121">
        <v>0</v>
      </c>
      <c r="AP32" s="121">
        <v>0</v>
      </c>
      <c r="AQ32" s="121">
        <v>0</v>
      </c>
      <c r="AR32" s="121">
        <v>0</v>
      </c>
      <c r="AS32" s="122">
        <v>123008.17</v>
      </c>
      <c r="AT32" s="122"/>
      <c r="AU32" s="122"/>
      <c r="AV32" s="122"/>
      <c r="AW32" s="122"/>
      <c r="AX32" s="122">
        <f t="shared" si="16"/>
        <v>191008.16999999998</v>
      </c>
      <c r="AY32" s="783">
        <f t="shared" si="5"/>
        <v>2.8089436764705882</v>
      </c>
      <c r="AZ32" s="784">
        <f t="shared" si="6"/>
        <v>123008.16999999998</v>
      </c>
      <c r="BA32" s="783">
        <f t="shared" si="7"/>
        <v>1.808943676470588</v>
      </c>
      <c r="BB32" s="784">
        <f t="shared" si="8"/>
        <v>488991.83</v>
      </c>
      <c r="BC32" s="783">
        <f t="shared" si="9"/>
        <v>0.71910563235294123</v>
      </c>
      <c r="BD32" s="785">
        <f t="shared" si="10"/>
        <v>68000</v>
      </c>
      <c r="BE32" s="785">
        <f t="shared" si="11"/>
        <v>-123008.16999999998</v>
      </c>
      <c r="BF32" s="786" t="str">
        <f t="shared" si="12"/>
        <v>Vendido</v>
      </c>
      <c r="BG32" s="786" t="str">
        <f t="shared" si="13"/>
        <v>Superávit de Enganche</v>
      </c>
      <c r="BH32" s="786"/>
      <c r="BI32" s="786">
        <f t="shared" si="14"/>
        <v>19</v>
      </c>
      <c r="BJ32" s="786">
        <f t="shared" si="17"/>
        <v>0</v>
      </c>
      <c r="BK32" s="52"/>
    </row>
    <row r="33" spans="1:63" x14ac:dyDescent="0.3">
      <c r="A33" s="20"/>
      <c r="B33" s="135">
        <v>408</v>
      </c>
      <c r="C33" s="136" t="s">
        <v>223</v>
      </c>
      <c r="D33" s="137" t="s">
        <v>224</v>
      </c>
      <c r="E33" s="138">
        <v>44887</v>
      </c>
      <c r="F33" s="135" t="s">
        <v>186</v>
      </c>
      <c r="G33" s="123">
        <v>547800</v>
      </c>
      <c r="H33" s="139">
        <v>547800</v>
      </c>
      <c r="I33" s="139">
        <f t="shared" si="4"/>
        <v>0</v>
      </c>
      <c r="J33" s="139">
        <v>54780</v>
      </c>
      <c r="K33" s="136" t="s">
        <v>173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5000</v>
      </c>
      <c r="R33" s="121">
        <v>2480.35</v>
      </c>
      <c r="S33" s="121">
        <v>2480</v>
      </c>
      <c r="T33" s="121">
        <v>2480</v>
      </c>
      <c r="U33" s="121">
        <v>2480</v>
      </c>
      <c r="V33" s="121">
        <v>2480</v>
      </c>
      <c r="W33" s="121">
        <v>2480</v>
      </c>
      <c r="X33" s="121">
        <v>2480</v>
      </c>
      <c r="Y33" s="121">
        <v>2480</v>
      </c>
      <c r="Z33" s="121">
        <v>2480</v>
      </c>
      <c r="AA33" s="121">
        <v>2480</v>
      </c>
      <c r="AB33" s="121">
        <v>2480</v>
      </c>
      <c r="AC33" s="121">
        <v>0</v>
      </c>
      <c r="AD33" s="121">
        <v>0</v>
      </c>
      <c r="AE33" s="121">
        <v>2480</v>
      </c>
      <c r="AF33" s="121">
        <v>0</v>
      </c>
      <c r="AG33" s="121">
        <v>2480</v>
      </c>
      <c r="AH33" s="121">
        <v>2480</v>
      </c>
      <c r="AI33" s="121">
        <v>2480</v>
      </c>
      <c r="AJ33" s="121">
        <v>4960</v>
      </c>
      <c r="AK33" s="121">
        <v>2480</v>
      </c>
      <c r="AL33" s="121">
        <v>2480</v>
      </c>
      <c r="AM33" s="121">
        <v>0</v>
      </c>
      <c r="AN33" s="147">
        <v>2695</v>
      </c>
      <c r="AO33" s="121">
        <v>0</v>
      </c>
      <c r="AP33" s="121">
        <v>0</v>
      </c>
      <c r="AQ33" s="121">
        <v>0</v>
      </c>
      <c r="AR33" s="121">
        <v>0</v>
      </c>
      <c r="AS33" s="121">
        <v>0</v>
      </c>
      <c r="AT33" s="134"/>
      <c r="AU33" s="134"/>
      <c r="AV33" s="134"/>
      <c r="AW33" s="134"/>
      <c r="AX33" s="122">
        <f t="shared" si="16"/>
        <v>54815.35</v>
      </c>
      <c r="AY33" s="783">
        <f t="shared" si="5"/>
        <v>1.0006453085067544</v>
      </c>
      <c r="AZ33" s="784">
        <f t="shared" si="6"/>
        <v>35.349999999998545</v>
      </c>
      <c r="BA33" s="783">
        <f t="shared" si="7"/>
        <v>6.4530850675426337E-4</v>
      </c>
      <c r="BB33" s="784">
        <f t="shared" si="8"/>
        <v>492984.65</v>
      </c>
      <c r="BC33" s="783">
        <f t="shared" si="9"/>
        <v>0.89993546914932465</v>
      </c>
      <c r="BD33" s="785">
        <f t="shared" si="10"/>
        <v>54780</v>
      </c>
      <c r="BE33" s="785">
        <f t="shared" si="11"/>
        <v>-35.349999999998545</v>
      </c>
      <c r="BF33" s="786" t="str">
        <f t="shared" si="12"/>
        <v>Vendido</v>
      </c>
      <c r="BG33" s="786" t="str">
        <f t="shared" si="13"/>
        <v>Superávit de Enganche</v>
      </c>
      <c r="BH33" s="786"/>
      <c r="BI33" s="786">
        <f t="shared" si="14"/>
        <v>20</v>
      </c>
      <c r="BJ33" s="786">
        <f t="shared" si="17"/>
        <v>0</v>
      </c>
      <c r="BK33" s="52"/>
    </row>
    <row r="34" spans="1:63" x14ac:dyDescent="0.3">
      <c r="A34" s="20"/>
      <c r="B34" s="135">
        <v>501</v>
      </c>
      <c r="C34" s="136" t="s">
        <v>170</v>
      </c>
      <c r="D34" s="137" t="s">
        <v>225</v>
      </c>
      <c r="E34" s="138">
        <v>44820</v>
      </c>
      <c r="F34" s="135" t="s">
        <v>186</v>
      </c>
      <c r="G34" s="123">
        <v>547000</v>
      </c>
      <c r="H34" s="139">
        <v>547000</v>
      </c>
      <c r="I34" s="139">
        <f t="shared" si="4"/>
        <v>0</v>
      </c>
      <c r="J34" s="139">
        <v>54700</v>
      </c>
      <c r="K34" s="136" t="s">
        <v>173</v>
      </c>
      <c r="L34" s="121">
        <v>0</v>
      </c>
      <c r="M34" s="121">
        <v>0</v>
      </c>
      <c r="N34" s="121">
        <v>0</v>
      </c>
      <c r="O34" s="121">
        <v>5000</v>
      </c>
      <c r="P34" s="121">
        <v>2260</v>
      </c>
      <c r="Q34" s="121">
        <v>2260</v>
      </c>
      <c r="R34" s="121">
        <v>4520</v>
      </c>
      <c r="S34" s="121">
        <v>0</v>
      </c>
      <c r="T34" s="121">
        <v>2260</v>
      </c>
      <c r="U34" s="121">
        <v>3000</v>
      </c>
      <c r="V34" s="121">
        <v>3000</v>
      </c>
      <c r="W34" s="121">
        <v>3000</v>
      </c>
      <c r="X34" s="121">
        <v>3000</v>
      </c>
      <c r="Y34" s="121">
        <v>3000</v>
      </c>
      <c r="Z34" s="121">
        <v>3000</v>
      </c>
      <c r="AA34" s="121">
        <v>3000</v>
      </c>
      <c r="AB34" s="121">
        <v>0</v>
      </c>
      <c r="AC34" s="121">
        <v>2500</v>
      </c>
      <c r="AD34" s="121">
        <v>2500</v>
      </c>
      <c r="AE34" s="121">
        <v>0</v>
      </c>
      <c r="AF34" s="121">
        <v>0</v>
      </c>
      <c r="AG34" s="121">
        <v>0</v>
      </c>
      <c r="AH34" s="121">
        <v>7000</v>
      </c>
      <c r="AI34" s="121">
        <v>5000</v>
      </c>
      <c r="AJ34" s="121">
        <v>0</v>
      </c>
      <c r="AK34" s="121">
        <v>3500</v>
      </c>
      <c r="AL34" s="121">
        <v>0</v>
      </c>
      <c r="AM34" s="121">
        <v>0</v>
      </c>
      <c r="AN34" s="121">
        <v>0</v>
      </c>
      <c r="AO34" s="121">
        <v>0</v>
      </c>
      <c r="AP34" s="121">
        <v>0</v>
      </c>
      <c r="AQ34" s="121">
        <v>0</v>
      </c>
      <c r="AR34" s="122">
        <v>154113.54999999999</v>
      </c>
      <c r="AS34" s="121">
        <v>0</v>
      </c>
      <c r="AT34" s="122"/>
      <c r="AU34" s="122"/>
      <c r="AV34" s="122"/>
      <c r="AW34" s="122"/>
      <c r="AX34" s="122">
        <f t="shared" si="16"/>
        <v>211913.55</v>
      </c>
      <c r="AY34" s="783">
        <f t="shared" si="5"/>
        <v>3.8741051188299815</v>
      </c>
      <c r="AZ34" s="784">
        <f t="shared" si="6"/>
        <v>157213.54999999999</v>
      </c>
      <c r="BA34" s="783">
        <f t="shared" si="7"/>
        <v>2.8741051188299815</v>
      </c>
      <c r="BB34" s="784">
        <f t="shared" si="8"/>
        <v>335086.45</v>
      </c>
      <c r="BC34" s="783">
        <f t="shared" si="9"/>
        <v>0.61258948811700187</v>
      </c>
      <c r="BD34" s="785">
        <f t="shared" si="10"/>
        <v>54700</v>
      </c>
      <c r="BE34" s="785">
        <f t="shared" si="11"/>
        <v>-157213.54999999999</v>
      </c>
      <c r="BF34" s="786" t="str">
        <f t="shared" si="12"/>
        <v>Vendido</v>
      </c>
      <c r="BG34" s="786" t="str">
        <f t="shared" si="13"/>
        <v>Superávit de Enganche</v>
      </c>
      <c r="BH34" s="786"/>
      <c r="BI34" s="786">
        <f t="shared" si="14"/>
        <v>18</v>
      </c>
      <c r="BJ34" s="786">
        <f t="shared" si="17"/>
        <v>0</v>
      </c>
      <c r="BK34" s="52"/>
    </row>
    <row r="35" spans="1:63" x14ac:dyDescent="0.3">
      <c r="A35" s="20"/>
      <c r="B35" s="135">
        <v>502</v>
      </c>
      <c r="C35" s="136" t="s">
        <v>170</v>
      </c>
      <c r="D35" s="137" t="s">
        <v>226</v>
      </c>
      <c r="E35" s="138">
        <v>44949</v>
      </c>
      <c r="F35" s="135" t="s">
        <v>200</v>
      </c>
      <c r="G35" s="123">
        <v>688000</v>
      </c>
      <c r="H35" s="139">
        <v>688000</v>
      </c>
      <c r="I35" s="139">
        <f t="shared" si="4"/>
        <v>0</v>
      </c>
      <c r="J35" s="139">
        <v>68800</v>
      </c>
      <c r="K35" s="136" t="s">
        <v>173</v>
      </c>
      <c r="L35" s="121">
        <v>0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21">
        <v>0</v>
      </c>
      <c r="S35" s="121">
        <v>5000</v>
      </c>
      <c r="T35" s="121">
        <v>5000</v>
      </c>
      <c r="U35" s="121">
        <v>5000</v>
      </c>
      <c r="V35" s="121">
        <v>5000</v>
      </c>
      <c r="W35" s="121">
        <v>5000</v>
      </c>
      <c r="X35" s="121">
        <v>5000</v>
      </c>
      <c r="Y35" s="121">
        <v>5000</v>
      </c>
      <c r="Z35" s="121">
        <v>5000</v>
      </c>
      <c r="AA35" s="121">
        <v>5000</v>
      </c>
      <c r="AB35" s="121">
        <v>5000</v>
      </c>
      <c r="AC35" s="121">
        <v>5000</v>
      </c>
      <c r="AD35" s="121">
        <v>5000</v>
      </c>
      <c r="AE35" s="121">
        <v>5000</v>
      </c>
      <c r="AF35" s="121">
        <v>5000</v>
      </c>
      <c r="AG35" s="121">
        <v>5000</v>
      </c>
      <c r="AH35" s="121">
        <v>5000</v>
      </c>
      <c r="AI35" s="121">
        <v>0</v>
      </c>
      <c r="AJ35" s="121">
        <v>0</v>
      </c>
      <c r="AK35" s="121">
        <v>0</v>
      </c>
      <c r="AL35" s="121">
        <v>0</v>
      </c>
      <c r="AM35" s="121">
        <v>0</v>
      </c>
      <c r="AN35" s="121">
        <v>0</v>
      </c>
      <c r="AO35" s="121">
        <v>0</v>
      </c>
      <c r="AP35" s="121">
        <v>0</v>
      </c>
      <c r="AQ35" s="121">
        <v>0</v>
      </c>
      <c r="AR35" s="121">
        <v>0</v>
      </c>
      <c r="AS35" s="122">
        <v>110675.73</v>
      </c>
      <c r="AT35" s="122"/>
      <c r="AU35" s="122"/>
      <c r="AV35" s="122"/>
      <c r="AW35" s="122"/>
      <c r="AX35" s="122">
        <f t="shared" si="16"/>
        <v>190675.72999999998</v>
      </c>
      <c r="AY35" s="783">
        <f t="shared" si="5"/>
        <v>2.771449563953488</v>
      </c>
      <c r="AZ35" s="784">
        <f t="shared" si="6"/>
        <v>121875.72999999998</v>
      </c>
      <c r="BA35" s="783">
        <f t="shared" si="7"/>
        <v>1.7714495639534882</v>
      </c>
      <c r="BB35" s="784">
        <f t="shared" si="8"/>
        <v>497324.27</v>
      </c>
      <c r="BC35" s="783">
        <f t="shared" si="9"/>
        <v>0.72285504360465114</v>
      </c>
      <c r="BD35" s="785">
        <f t="shared" si="10"/>
        <v>68800</v>
      </c>
      <c r="BE35" s="785">
        <f t="shared" si="11"/>
        <v>-121875.72999999998</v>
      </c>
      <c r="BF35" s="786" t="str">
        <f t="shared" si="12"/>
        <v>Vendido</v>
      </c>
      <c r="BG35" s="786" t="str">
        <f t="shared" si="13"/>
        <v>Superávit de Enganche</v>
      </c>
      <c r="BH35" s="786"/>
      <c r="BI35" s="786">
        <f t="shared" si="14"/>
        <v>17</v>
      </c>
      <c r="BJ35" s="786">
        <f t="shared" si="17"/>
        <v>0</v>
      </c>
      <c r="BK35" s="52"/>
    </row>
    <row r="36" spans="1:63" x14ac:dyDescent="0.3">
      <c r="A36" s="20"/>
      <c r="B36" s="135">
        <v>503</v>
      </c>
      <c r="C36" s="136" t="s">
        <v>176</v>
      </c>
      <c r="D36" s="137" t="s">
        <v>227</v>
      </c>
      <c r="E36" s="138">
        <v>45341</v>
      </c>
      <c r="F36" s="135" t="s">
        <v>198</v>
      </c>
      <c r="G36" s="123">
        <v>989600</v>
      </c>
      <c r="H36" s="139">
        <v>989600</v>
      </c>
      <c r="I36" s="139">
        <f t="shared" si="4"/>
        <v>0</v>
      </c>
      <c r="J36" s="139">
        <v>49500</v>
      </c>
      <c r="K36" s="136" t="s">
        <v>173</v>
      </c>
      <c r="L36" s="121">
        <v>0</v>
      </c>
      <c r="M36" s="121">
        <v>0</v>
      </c>
      <c r="N36" s="121">
        <v>0</v>
      </c>
      <c r="O36" s="121">
        <v>0</v>
      </c>
      <c r="P36" s="121">
        <v>0</v>
      </c>
      <c r="Q36" s="121">
        <v>0</v>
      </c>
      <c r="R36" s="121">
        <v>0</v>
      </c>
      <c r="S36" s="121">
        <v>0</v>
      </c>
      <c r="T36" s="121">
        <v>0</v>
      </c>
      <c r="U36" s="121">
        <v>0</v>
      </c>
      <c r="V36" s="121">
        <v>0</v>
      </c>
      <c r="W36" s="121">
        <v>0</v>
      </c>
      <c r="X36" s="121">
        <v>0</v>
      </c>
      <c r="Y36" s="121">
        <v>0</v>
      </c>
      <c r="Z36" s="121">
        <v>0</v>
      </c>
      <c r="AA36" s="121">
        <v>0</v>
      </c>
      <c r="AB36" s="121">
        <v>0</v>
      </c>
      <c r="AC36" s="121">
        <v>0</v>
      </c>
      <c r="AD36" s="121">
        <v>0</v>
      </c>
      <c r="AE36" s="121">
        <v>0</v>
      </c>
      <c r="AF36" s="121">
        <v>5000</v>
      </c>
      <c r="AG36" s="121">
        <v>0</v>
      </c>
      <c r="AH36" s="121">
        <v>4900</v>
      </c>
      <c r="AI36" s="121">
        <v>0</v>
      </c>
      <c r="AJ36" s="121">
        <v>4900</v>
      </c>
      <c r="AK36" s="121">
        <v>9800</v>
      </c>
      <c r="AL36" s="121">
        <v>0</v>
      </c>
      <c r="AM36" s="121">
        <v>4900</v>
      </c>
      <c r="AN36" s="121">
        <v>0</v>
      </c>
      <c r="AO36" s="121">
        <v>0</v>
      </c>
      <c r="AP36" s="122">
        <f>4900+4900+4900</f>
        <v>14700</v>
      </c>
      <c r="AQ36" s="121">
        <v>0</v>
      </c>
      <c r="AR36" s="121">
        <v>0</v>
      </c>
      <c r="AS36" s="122">
        <v>15400</v>
      </c>
      <c r="AT36" s="122"/>
      <c r="AU36" s="122"/>
      <c r="AV36" s="122"/>
      <c r="AW36" s="122"/>
      <c r="AX36" s="122">
        <f t="shared" si="16"/>
        <v>59600</v>
      </c>
      <c r="AY36" s="783">
        <f t="shared" si="5"/>
        <v>1.204040404040404</v>
      </c>
      <c r="AZ36" s="784">
        <f t="shared" si="6"/>
        <v>10100</v>
      </c>
      <c r="BA36" s="783">
        <f t="shared" si="7"/>
        <v>0.20404040404040405</v>
      </c>
      <c r="BB36" s="784">
        <f t="shared" si="8"/>
        <v>930000</v>
      </c>
      <c r="BC36" s="783">
        <f t="shared" si="9"/>
        <v>0.93977364591754242</v>
      </c>
      <c r="BD36" s="785">
        <f t="shared" si="10"/>
        <v>49500</v>
      </c>
      <c r="BE36" s="785">
        <f t="shared" si="11"/>
        <v>-10100</v>
      </c>
      <c r="BF36" s="786" t="str">
        <f t="shared" si="12"/>
        <v>Vendido</v>
      </c>
      <c r="BG36" s="786" t="str">
        <f t="shared" si="13"/>
        <v>Superávit de Enganche</v>
      </c>
      <c r="BH36" s="786"/>
      <c r="BI36" s="786">
        <f t="shared" si="14"/>
        <v>7</v>
      </c>
      <c r="BJ36" s="786">
        <f t="shared" si="17"/>
        <v>0</v>
      </c>
      <c r="BK36" s="52"/>
    </row>
    <row r="37" spans="1:63" x14ac:dyDescent="0.3">
      <c r="A37" s="20"/>
      <c r="B37" s="135">
        <v>504</v>
      </c>
      <c r="C37" s="136" t="s">
        <v>223</v>
      </c>
      <c r="D37" s="137" t="s">
        <v>228</v>
      </c>
      <c r="E37" s="138">
        <v>44840</v>
      </c>
      <c r="F37" s="135" t="s">
        <v>194</v>
      </c>
      <c r="G37" s="123">
        <v>665000</v>
      </c>
      <c r="H37" s="139">
        <v>665000</v>
      </c>
      <c r="I37" s="139">
        <f t="shared" si="4"/>
        <v>0</v>
      </c>
      <c r="J37" s="139">
        <v>66500</v>
      </c>
      <c r="K37" s="136" t="s">
        <v>173</v>
      </c>
      <c r="L37" s="121">
        <v>0</v>
      </c>
      <c r="M37" s="121">
        <v>0</v>
      </c>
      <c r="N37" s="121">
        <v>0</v>
      </c>
      <c r="O37" s="121">
        <v>0</v>
      </c>
      <c r="P37" s="121">
        <v>5000</v>
      </c>
      <c r="Q37" s="121">
        <v>2673</v>
      </c>
      <c r="R37" s="121">
        <v>2673</v>
      </c>
      <c r="S37" s="121">
        <v>2673</v>
      </c>
      <c r="T37" s="121">
        <v>5350</v>
      </c>
      <c r="U37" s="121">
        <v>2675</v>
      </c>
      <c r="V37" s="121">
        <v>0</v>
      </c>
      <c r="W37" s="121">
        <v>2675</v>
      </c>
      <c r="X37" s="121">
        <v>2675</v>
      </c>
      <c r="Y37" s="121">
        <v>2675</v>
      </c>
      <c r="Z37" s="121">
        <v>5350</v>
      </c>
      <c r="AA37" s="121">
        <v>0</v>
      </c>
      <c r="AB37" s="121">
        <v>2675</v>
      </c>
      <c r="AC37" s="121">
        <v>2675</v>
      </c>
      <c r="AD37" s="121">
        <v>2675</v>
      </c>
      <c r="AE37" s="121">
        <v>2675</v>
      </c>
      <c r="AF37" s="121">
        <v>2675</v>
      </c>
      <c r="AG37" s="121">
        <v>2675</v>
      </c>
      <c r="AH37" s="121">
        <v>0</v>
      </c>
      <c r="AI37" s="121">
        <v>5350</v>
      </c>
      <c r="AJ37" s="121">
        <v>2675</v>
      </c>
      <c r="AK37" s="121">
        <v>2675</v>
      </c>
      <c r="AL37" s="121">
        <v>0</v>
      </c>
      <c r="AM37" s="121">
        <v>2675</v>
      </c>
      <c r="AN37" s="121">
        <v>2656</v>
      </c>
      <c r="AO37" s="121">
        <v>0</v>
      </c>
      <c r="AP37" s="122"/>
      <c r="AQ37" s="121">
        <v>0</v>
      </c>
      <c r="AR37" s="121">
        <v>0</v>
      </c>
      <c r="AS37" s="121">
        <v>0</v>
      </c>
      <c r="AT37" s="122"/>
      <c r="AU37" s="122">
        <v>195000</v>
      </c>
      <c r="AV37" s="122"/>
      <c r="AW37" s="122"/>
      <c r="AX37" s="122">
        <f t="shared" si="16"/>
        <v>261500</v>
      </c>
      <c r="AY37" s="783">
        <f t="shared" ref="AY37:AY68" si="18">IFERROR((+AX37/BD37),0)</f>
        <v>3.9323308270676693</v>
      </c>
      <c r="AZ37" s="784">
        <f t="shared" ref="AZ37:AZ68" si="19">+AX37-BD37</f>
        <v>195000</v>
      </c>
      <c r="BA37" s="783">
        <f t="shared" ref="BA37:BA68" si="20">IFERROR((+AZ37/BD37),0)</f>
        <v>2.9323308270676693</v>
      </c>
      <c r="BB37" s="784">
        <f t="shared" ref="BB37:BB68" si="21">+H37-AX37</f>
        <v>403500</v>
      </c>
      <c r="BC37" s="783">
        <f t="shared" ref="BC37:BC68" si="22">+BB37/H37</f>
        <v>0.60676691729323307</v>
      </c>
      <c r="BD37" s="785">
        <f t="shared" ref="BD37:BD68" si="23">IF(BF37="Vendido",J37*1,IF(BF37="Disponible",J37*0,IF(BF37="Enganche Completado",J37*1,IF(BF37="Superávit de Enganche",J37*1,0))))</f>
        <v>66500</v>
      </c>
      <c r="BE37" s="785">
        <f t="shared" ref="BE37:BE68" si="24">IF(D37=0,J37*0,BD37-AX37)</f>
        <v>-195000</v>
      </c>
      <c r="BF37" s="786" t="str">
        <f t="shared" ref="BF37:BF68" si="25">IF(D37=0,"Apartamento Disponible",IF(D37&gt;1,"Vendido",0))</f>
        <v>Vendido</v>
      </c>
      <c r="BG37" s="786" t="str">
        <f t="shared" ref="BG37:BG68" si="26">IF(AND(BF37="Vendido",E37&gt;=0,AZ37=0),"Enganche Completado",IF(AND(BF37="Vendido",E37&gt;=0,AZ37&gt;0),"Superávit de Enganche",IF(AND(BF37="Apartamento Disponible",E37=0,AZ37=0),"Disponible","Cliente Atrasado")))</f>
        <v>Superávit de Enganche</v>
      </c>
      <c r="BH37" s="786"/>
      <c r="BI37" s="786">
        <f t="shared" ref="BI37:BI68" si="27">COUNTIF(L37:AT37,"&gt;0.01")</f>
        <v>21</v>
      </c>
      <c r="BJ37" s="786">
        <f t="shared" si="17"/>
        <v>0</v>
      </c>
      <c r="BK37" s="52"/>
    </row>
    <row r="38" spans="1:63" x14ac:dyDescent="0.3">
      <c r="A38" s="35"/>
      <c r="B38" s="135">
        <v>505</v>
      </c>
      <c r="C38" s="136" t="s">
        <v>213</v>
      </c>
      <c r="D38" s="137" t="s">
        <v>214</v>
      </c>
      <c r="E38" s="138">
        <v>45614</v>
      </c>
      <c r="F38" s="135" t="s">
        <v>194</v>
      </c>
      <c r="G38" s="123">
        <v>815000</v>
      </c>
      <c r="H38" s="123">
        <f>581006.4+228993.6</f>
        <v>810000</v>
      </c>
      <c r="I38" s="139">
        <f t="shared" si="4"/>
        <v>5000</v>
      </c>
      <c r="J38" s="139">
        <v>40500</v>
      </c>
      <c r="K38" s="136" t="s">
        <v>173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21">
        <v>0</v>
      </c>
      <c r="S38" s="121">
        <v>0</v>
      </c>
      <c r="T38" s="121">
        <v>0</v>
      </c>
      <c r="U38" s="121">
        <v>0</v>
      </c>
      <c r="V38" s="121">
        <v>0</v>
      </c>
      <c r="W38" s="121">
        <v>0</v>
      </c>
      <c r="X38" s="121">
        <v>0</v>
      </c>
      <c r="Y38" s="121">
        <v>0</v>
      </c>
      <c r="Z38" s="121">
        <v>0</v>
      </c>
      <c r="AA38" s="121">
        <v>0</v>
      </c>
      <c r="AB38" s="121">
        <v>0</v>
      </c>
      <c r="AC38" s="121">
        <v>0</v>
      </c>
      <c r="AD38" s="121">
        <v>0</v>
      </c>
      <c r="AE38" s="121">
        <v>0</v>
      </c>
      <c r="AF38" s="121">
        <v>0</v>
      </c>
      <c r="AG38" s="121">
        <v>0</v>
      </c>
      <c r="AH38" s="121">
        <v>0</v>
      </c>
      <c r="AI38" s="121">
        <v>0</v>
      </c>
      <c r="AJ38" s="121">
        <v>0</v>
      </c>
      <c r="AK38" s="121">
        <v>0</v>
      </c>
      <c r="AL38" s="121">
        <v>0</v>
      </c>
      <c r="AM38" s="121">
        <v>0</v>
      </c>
      <c r="AN38" s="121">
        <v>0</v>
      </c>
      <c r="AO38" s="121">
        <v>0</v>
      </c>
      <c r="AP38" s="122">
        <v>5000</v>
      </c>
      <c r="AQ38" s="121">
        <v>0</v>
      </c>
      <c r="AR38" s="121">
        <v>0</v>
      </c>
      <c r="AS38" s="122">
        <v>35500</v>
      </c>
      <c r="AT38" s="122"/>
      <c r="AU38" s="122">
        <v>5000</v>
      </c>
      <c r="AV38" s="122"/>
      <c r="AW38" s="122"/>
      <c r="AX38" s="122">
        <f t="shared" si="16"/>
        <v>45500</v>
      </c>
      <c r="AY38" s="783">
        <f t="shared" si="18"/>
        <v>1.1234567901234569</v>
      </c>
      <c r="AZ38" s="784">
        <f t="shared" si="19"/>
        <v>5000</v>
      </c>
      <c r="BA38" s="783">
        <f t="shared" si="20"/>
        <v>0.12345679012345678</v>
      </c>
      <c r="BB38" s="784">
        <f t="shared" si="21"/>
        <v>764500</v>
      </c>
      <c r="BC38" s="783">
        <f t="shared" si="22"/>
        <v>0.9438271604938272</v>
      </c>
      <c r="BD38" s="785">
        <f t="shared" si="23"/>
        <v>40500</v>
      </c>
      <c r="BE38" s="785">
        <f t="shared" si="24"/>
        <v>-5000</v>
      </c>
      <c r="BF38" s="786" t="str">
        <f t="shared" si="25"/>
        <v>Vendido</v>
      </c>
      <c r="BG38" s="786" t="str">
        <f t="shared" si="26"/>
        <v>Superávit de Enganche</v>
      </c>
      <c r="BH38" s="786"/>
      <c r="BI38" s="786">
        <f t="shared" si="27"/>
        <v>2</v>
      </c>
      <c r="BJ38" s="786">
        <f t="shared" si="17"/>
        <v>0</v>
      </c>
      <c r="BK38" s="52"/>
    </row>
    <row r="39" spans="1:63" x14ac:dyDescent="0.3">
      <c r="A39" s="20"/>
      <c r="B39" s="135">
        <v>506</v>
      </c>
      <c r="C39" s="136" t="s">
        <v>176</v>
      </c>
      <c r="D39" s="137" t="s">
        <v>229</v>
      </c>
      <c r="E39" s="138">
        <v>45461</v>
      </c>
      <c r="F39" s="135" t="s">
        <v>198</v>
      </c>
      <c r="G39" s="123">
        <v>980170.9</v>
      </c>
      <c r="H39" s="139">
        <v>948800</v>
      </c>
      <c r="I39" s="139">
        <f t="shared" si="4"/>
        <v>31370.900000000023</v>
      </c>
      <c r="J39" s="139">
        <v>47500</v>
      </c>
      <c r="K39" s="136" t="s">
        <v>173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1">
        <v>0</v>
      </c>
      <c r="R39" s="121">
        <v>0</v>
      </c>
      <c r="S39" s="121">
        <v>0</v>
      </c>
      <c r="T39" s="121">
        <v>0</v>
      </c>
      <c r="U39" s="121">
        <v>0</v>
      </c>
      <c r="V39" s="121">
        <v>0</v>
      </c>
      <c r="W39" s="121">
        <v>0</v>
      </c>
      <c r="X39" s="121">
        <v>0</v>
      </c>
      <c r="Y39" s="121">
        <v>0</v>
      </c>
      <c r="Z39" s="121">
        <v>0</v>
      </c>
      <c r="AA39" s="121">
        <v>0</v>
      </c>
      <c r="AB39" s="121">
        <v>0</v>
      </c>
      <c r="AC39" s="121">
        <v>0</v>
      </c>
      <c r="AD39" s="121">
        <v>0</v>
      </c>
      <c r="AE39" s="121">
        <v>0</v>
      </c>
      <c r="AF39" s="121">
        <v>0</v>
      </c>
      <c r="AG39" s="121">
        <v>0</v>
      </c>
      <c r="AH39" s="121">
        <v>0</v>
      </c>
      <c r="AI39" s="121">
        <v>0</v>
      </c>
      <c r="AJ39" s="121">
        <v>5000</v>
      </c>
      <c r="AK39" s="121">
        <v>8500</v>
      </c>
      <c r="AL39" s="121">
        <v>8500</v>
      </c>
      <c r="AM39" s="121">
        <v>8500</v>
      </c>
      <c r="AN39" s="121">
        <v>8550</v>
      </c>
      <c r="AO39" s="121">
        <f>8450+31370.9</f>
        <v>39820.9</v>
      </c>
      <c r="AP39" s="122"/>
      <c r="AQ39" s="121">
        <v>0</v>
      </c>
      <c r="AR39" s="121">
        <v>0</v>
      </c>
      <c r="AS39" s="121">
        <v>0</v>
      </c>
      <c r="AT39" s="122"/>
      <c r="AU39" s="122"/>
      <c r="AV39" s="122"/>
      <c r="AW39" s="122"/>
      <c r="AX39" s="122">
        <f t="shared" si="16"/>
        <v>78870.899999999994</v>
      </c>
      <c r="AY39" s="783">
        <f t="shared" si="18"/>
        <v>1.6604399999999999</v>
      </c>
      <c r="AZ39" s="784">
        <f t="shared" si="19"/>
        <v>31370.899999999994</v>
      </c>
      <c r="BA39" s="783">
        <f t="shared" si="20"/>
        <v>0.66043999999999992</v>
      </c>
      <c r="BB39" s="784">
        <f t="shared" si="21"/>
        <v>869929.1</v>
      </c>
      <c r="BC39" s="783">
        <f t="shared" si="22"/>
        <v>0.916872997470489</v>
      </c>
      <c r="BD39" s="785">
        <f t="shared" si="23"/>
        <v>47500</v>
      </c>
      <c r="BE39" s="785">
        <f t="shared" si="24"/>
        <v>-31370.899999999994</v>
      </c>
      <c r="BF39" s="786" t="str">
        <f t="shared" si="25"/>
        <v>Vendido</v>
      </c>
      <c r="BG39" s="786" t="str">
        <f t="shared" si="26"/>
        <v>Superávit de Enganche</v>
      </c>
      <c r="BH39" s="786"/>
      <c r="BI39" s="786">
        <f t="shared" si="27"/>
        <v>6</v>
      </c>
      <c r="BJ39" s="786">
        <f t="shared" si="17"/>
        <v>0</v>
      </c>
      <c r="BK39" s="52"/>
    </row>
    <row r="40" spans="1:63" x14ac:dyDescent="0.3">
      <c r="A40" s="20"/>
      <c r="B40" s="135">
        <v>507</v>
      </c>
      <c r="C40" s="136" t="s">
        <v>170</v>
      </c>
      <c r="D40" s="137" t="s">
        <v>230</v>
      </c>
      <c r="E40" s="138">
        <v>44939</v>
      </c>
      <c r="F40" s="135" t="s">
        <v>200</v>
      </c>
      <c r="G40" s="123">
        <v>690000</v>
      </c>
      <c r="H40" s="139">
        <v>690000</v>
      </c>
      <c r="I40" s="139">
        <f t="shared" si="4"/>
        <v>0</v>
      </c>
      <c r="J40" s="139">
        <v>69000</v>
      </c>
      <c r="K40" s="136" t="s">
        <v>173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5000</v>
      </c>
      <c r="T40" s="121">
        <v>10000</v>
      </c>
      <c r="U40" s="121">
        <v>20000</v>
      </c>
      <c r="V40" s="121">
        <v>0</v>
      </c>
      <c r="W40" s="121">
        <v>10000</v>
      </c>
      <c r="X40" s="121">
        <v>10000</v>
      </c>
      <c r="Y40" s="121">
        <v>0</v>
      </c>
      <c r="Z40" s="121">
        <v>0</v>
      </c>
      <c r="AA40" s="121">
        <v>0</v>
      </c>
      <c r="AB40" s="121">
        <v>40000</v>
      </c>
      <c r="AC40" s="1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50000</v>
      </c>
      <c r="AJ40" s="121">
        <v>0</v>
      </c>
      <c r="AK40" s="121">
        <v>0</v>
      </c>
      <c r="AL40" s="121">
        <v>0</v>
      </c>
      <c r="AM40" s="121">
        <v>0</v>
      </c>
      <c r="AN40" s="121">
        <v>50000</v>
      </c>
      <c r="AO40" s="121">
        <v>50000</v>
      </c>
      <c r="AP40" s="122"/>
      <c r="AQ40" s="121">
        <v>0</v>
      </c>
      <c r="AR40" s="121">
        <v>0</v>
      </c>
      <c r="AS40" s="121">
        <v>0</v>
      </c>
      <c r="AT40" s="122"/>
      <c r="AU40" s="122"/>
      <c r="AV40" s="122"/>
      <c r="AW40" s="122"/>
      <c r="AX40" s="122">
        <f t="shared" si="16"/>
        <v>245000</v>
      </c>
      <c r="AY40" s="783">
        <f t="shared" si="18"/>
        <v>3.5507246376811592</v>
      </c>
      <c r="AZ40" s="784">
        <f t="shared" si="19"/>
        <v>176000</v>
      </c>
      <c r="BA40" s="783">
        <f t="shared" si="20"/>
        <v>2.5507246376811592</v>
      </c>
      <c r="BB40" s="784">
        <f t="shared" si="21"/>
        <v>445000</v>
      </c>
      <c r="BC40" s="783">
        <f t="shared" si="22"/>
        <v>0.64492753623188404</v>
      </c>
      <c r="BD40" s="785">
        <f t="shared" si="23"/>
        <v>69000</v>
      </c>
      <c r="BE40" s="785">
        <f t="shared" si="24"/>
        <v>-176000</v>
      </c>
      <c r="BF40" s="786" t="str">
        <f t="shared" si="25"/>
        <v>Vendido</v>
      </c>
      <c r="BG40" s="786" t="str">
        <f t="shared" si="26"/>
        <v>Superávit de Enganche</v>
      </c>
      <c r="BH40" s="786"/>
      <c r="BI40" s="786">
        <f t="shared" si="27"/>
        <v>9</v>
      </c>
      <c r="BJ40" s="786">
        <f t="shared" si="17"/>
        <v>0</v>
      </c>
      <c r="BK40" s="52"/>
    </row>
    <row r="41" spans="1:63" x14ac:dyDescent="0.3">
      <c r="A41" s="35"/>
      <c r="B41" s="135">
        <v>508</v>
      </c>
      <c r="C41" s="136" t="s">
        <v>176</v>
      </c>
      <c r="D41" s="137" t="s">
        <v>231</v>
      </c>
      <c r="E41" s="138">
        <v>45653</v>
      </c>
      <c r="F41" s="135" t="s">
        <v>186</v>
      </c>
      <c r="G41" s="123">
        <v>660000</v>
      </c>
      <c r="H41" s="139">
        <v>680000</v>
      </c>
      <c r="I41" s="139">
        <f t="shared" si="4"/>
        <v>-20000</v>
      </c>
      <c r="J41" s="139">
        <v>34000</v>
      </c>
      <c r="K41" s="136" t="s">
        <v>173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121">
        <v>0</v>
      </c>
      <c r="R41" s="121">
        <v>0</v>
      </c>
      <c r="S41" s="121">
        <v>0</v>
      </c>
      <c r="T41" s="121">
        <v>0</v>
      </c>
      <c r="U41" s="121">
        <v>0</v>
      </c>
      <c r="V41" s="121">
        <v>0</v>
      </c>
      <c r="W41" s="121">
        <v>0</v>
      </c>
      <c r="X41" s="121">
        <v>0</v>
      </c>
      <c r="Y41" s="121">
        <v>0</v>
      </c>
      <c r="Z41" s="121">
        <v>0</v>
      </c>
      <c r="AA41" s="121">
        <v>0</v>
      </c>
      <c r="AB41" s="121">
        <v>0</v>
      </c>
      <c r="AC41" s="121">
        <v>0</v>
      </c>
      <c r="AD41" s="121">
        <v>0</v>
      </c>
      <c r="AE41" s="121">
        <v>0</v>
      </c>
      <c r="AF41" s="121">
        <v>0</v>
      </c>
      <c r="AG41" s="121">
        <v>0</v>
      </c>
      <c r="AH41" s="121">
        <v>0</v>
      </c>
      <c r="AI41" s="121">
        <v>0</v>
      </c>
      <c r="AJ41" s="121">
        <v>0</v>
      </c>
      <c r="AK41" s="121">
        <v>0</v>
      </c>
      <c r="AL41" s="121">
        <v>0</v>
      </c>
      <c r="AM41" s="121">
        <v>0</v>
      </c>
      <c r="AN41" s="121">
        <v>0</v>
      </c>
      <c r="AO41" s="121">
        <v>0</v>
      </c>
      <c r="AP41" s="122">
        <v>5000</v>
      </c>
      <c r="AQ41" s="121">
        <v>0</v>
      </c>
      <c r="AR41" s="121">
        <v>0</v>
      </c>
      <c r="AS41" s="122">
        <v>60000</v>
      </c>
      <c r="AT41" s="122"/>
      <c r="AU41" s="122"/>
      <c r="AV41" s="122"/>
      <c r="AW41" s="122"/>
      <c r="AX41" s="122">
        <f t="shared" si="16"/>
        <v>65000</v>
      </c>
      <c r="AY41" s="783">
        <f t="shared" si="18"/>
        <v>1.911764705882353</v>
      </c>
      <c r="AZ41" s="784">
        <f t="shared" si="19"/>
        <v>31000</v>
      </c>
      <c r="BA41" s="783">
        <f t="shared" si="20"/>
        <v>0.91176470588235292</v>
      </c>
      <c r="BB41" s="784">
        <f t="shared" si="21"/>
        <v>615000</v>
      </c>
      <c r="BC41" s="783">
        <f t="shared" si="22"/>
        <v>0.90441176470588236</v>
      </c>
      <c r="BD41" s="785">
        <f t="shared" si="23"/>
        <v>34000</v>
      </c>
      <c r="BE41" s="785">
        <f t="shared" si="24"/>
        <v>-31000</v>
      </c>
      <c r="BF41" s="786" t="str">
        <f t="shared" si="25"/>
        <v>Vendido</v>
      </c>
      <c r="BG41" s="786" t="str">
        <f t="shared" si="26"/>
        <v>Superávit de Enganche</v>
      </c>
      <c r="BH41" s="786"/>
      <c r="BI41" s="786">
        <f t="shared" si="27"/>
        <v>2</v>
      </c>
      <c r="BJ41" s="786">
        <f t="shared" si="17"/>
        <v>0</v>
      </c>
      <c r="BK41" s="52"/>
    </row>
    <row r="42" spans="1:63" x14ac:dyDescent="0.3">
      <c r="A42" s="20"/>
      <c r="B42" s="135">
        <v>601</v>
      </c>
      <c r="C42" s="136" t="s">
        <v>190</v>
      </c>
      <c r="D42" s="137" t="s">
        <v>232</v>
      </c>
      <c r="E42" s="138">
        <v>44827</v>
      </c>
      <c r="F42" s="135" t="s">
        <v>186</v>
      </c>
      <c r="G42" s="123">
        <v>498000</v>
      </c>
      <c r="H42" s="139">
        <v>498000</v>
      </c>
      <c r="I42" s="139">
        <f t="shared" si="4"/>
        <v>0</v>
      </c>
      <c r="J42" s="139">
        <v>49800</v>
      </c>
      <c r="K42" s="136" t="s">
        <v>173</v>
      </c>
      <c r="L42" s="121">
        <v>0</v>
      </c>
      <c r="M42" s="121">
        <v>0</v>
      </c>
      <c r="N42" s="121">
        <v>0</v>
      </c>
      <c r="O42" s="121">
        <v>5000</v>
      </c>
      <c r="P42" s="121">
        <v>1947.83</v>
      </c>
      <c r="Q42" s="121">
        <v>1947.85</v>
      </c>
      <c r="R42" s="121">
        <v>1947.85</v>
      </c>
      <c r="S42" s="121">
        <v>1947.85</v>
      </c>
      <c r="T42" s="121">
        <v>1947.83</v>
      </c>
      <c r="U42" s="121">
        <v>1947.83</v>
      </c>
      <c r="V42" s="121">
        <v>1947.83</v>
      </c>
      <c r="W42" s="121">
        <v>1947.83</v>
      </c>
      <c r="X42" s="121">
        <v>1947.83</v>
      </c>
      <c r="Y42" s="121">
        <v>1947.83</v>
      </c>
      <c r="Z42" s="121">
        <v>1947.83</v>
      </c>
      <c r="AA42" s="121">
        <v>1947.83</v>
      </c>
      <c r="AB42" s="121">
        <v>1947.83</v>
      </c>
      <c r="AC42" s="121">
        <v>1947.83</v>
      </c>
      <c r="AD42" s="121">
        <v>1947.83</v>
      </c>
      <c r="AE42" s="121">
        <v>1947.83</v>
      </c>
      <c r="AF42" s="121">
        <v>1947.83</v>
      </c>
      <c r="AG42" s="121">
        <v>1947.83</v>
      </c>
      <c r="AH42" s="121">
        <v>1947.83</v>
      </c>
      <c r="AI42" s="121">
        <v>1947.83</v>
      </c>
      <c r="AJ42" s="121">
        <v>1947.83</v>
      </c>
      <c r="AK42" s="121">
        <v>1947.83</v>
      </c>
      <c r="AL42" s="121">
        <v>1947.83</v>
      </c>
      <c r="AM42" s="121">
        <v>2007.83</v>
      </c>
      <c r="AN42" s="121">
        <v>0</v>
      </c>
      <c r="AO42" s="121">
        <v>0</v>
      </c>
      <c r="AP42" s="122">
        <v>3192.02</v>
      </c>
      <c r="AQ42" s="121">
        <v>0</v>
      </c>
      <c r="AR42" s="122">
        <v>109812.63</v>
      </c>
      <c r="AS42" s="121">
        <v>0</v>
      </c>
      <c r="AT42" s="122"/>
      <c r="AU42" s="122"/>
      <c r="AV42" s="122"/>
      <c r="AW42" s="122"/>
      <c r="AX42" s="122">
        <f t="shared" si="16"/>
        <v>164812.63000000003</v>
      </c>
      <c r="AY42" s="783">
        <f t="shared" si="18"/>
        <v>3.3094905622489965</v>
      </c>
      <c r="AZ42" s="784">
        <f t="shared" si="19"/>
        <v>115012.63000000003</v>
      </c>
      <c r="BA42" s="783">
        <f t="shared" si="20"/>
        <v>2.3094905622489965</v>
      </c>
      <c r="BB42" s="784">
        <f t="shared" si="21"/>
        <v>333187.37</v>
      </c>
      <c r="BC42" s="783">
        <f t="shared" si="22"/>
        <v>0.66905094377510044</v>
      </c>
      <c r="BD42" s="785">
        <f t="shared" si="23"/>
        <v>49800</v>
      </c>
      <c r="BE42" s="785">
        <f t="shared" si="24"/>
        <v>-115012.63000000003</v>
      </c>
      <c r="BF42" s="786" t="str">
        <f t="shared" si="25"/>
        <v>Vendido</v>
      </c>
      <c r="BG42" s="786" t="str">
        <f t="shared" si="26"/>
        <v>Superávit de Enganche</v>
      </c>
      <c r="BH42" s="786"/>
      <c r="BI42" s="786">
        <f t="shared" si="27"/>
        <v>27</v>
      </c>
      <c r="BJ42" s="786">
        <f t="shared" si="17"/>
        <v>0</v>
      </c>
      <c r="BK42" s="52"/>
    </row>
    <row r="43" spans="1:63" x14ac:dyDescent="0.3">
      <c r="A43" s="20"/>
      <c r="B43" s="135">
        <v>602</v>
      </c>
      <c r="C43" s="136" t="s">
        <v>190</v>
      </c>
      <c r="D43" s="137" t="s">
        <v>233</v>
      </c>
      <c r="E43" s="138">
        <v>44880</v>
      </c>
      <c r="F43" s="135" t="s">
        <v>200</v>
      </c>
      <c r="G43" s="123">
        <v>698000</v>
      </c>
      <c r="H43" s="139">
        <v>698000</v>
      </c>
      <c r="I43" s="139">
        <f t="shared" si="4"/>
        <v>0</v>
      </c>
      <c r="J43" s="139">
        <v>69800</v>
      </c>
      <c r="K43" s="136" t="s">
        <v>173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5000</v>
      </c>
      <c r="R43" s="121">
        <v>3240</v>
      </c>
      <c r="S43" s="121">
        <v>3240</v>
      </c>
      <c r="T43" s="121">
        <v>3240</v>
      </c>
      <c r="U43" s="121">
        <v>3240</v>
      </c>
      <c r="V43" s="121">
        <v>3240</v>
      </c>
      <c r="W43" s="121">
        <v>3240</v>
      </c>
      <c r="X43" s="121">
        <v>3240</v>
      </c>
      <c r="Y43" s="121">
        <v>3240</v>
      </c>
      <c r="Z43" s="121">
        <v>3240</v>
      </c>
      <c r="AA43" s="121">
        <v>3240</v>
      </c>
      <c r="AB43" s="121">
        <v>3240</v>
      </c>
      <c r="AC43" s="121">
        <v>3240</v>
      </c>
      <c r="AD43" s="121">
        <v>3240</v>
      </c>
      <c r="AE43" s="121">
        <v>3240</v>
      </c>
      <c r="AF43" s="121">
        <v>3240</v>
      </c>
      <c r="AG43" s="121">
        <v>3240</v>
      </c>
      <c r="AH43" s="121">
        <v>3240</v>
      </c>
      <c r="AI43" s="121">
        <v>3240</v>
      </c>
      <c r="AJ43" s="121">
        <v>3240</v>
      </c>
      <c r="AK43" s="121">
        <v>3240</v>
      </c>
      <c r="AL43" s="121">
        <v>3240</v>
      </c>
      <c r="AM43" s="121">
        <v>3240</v>
      </c>
      <c r="AN43" s="121">
        <v>3240</v>
      </c>
      <c r="AO43" s="121">
        <v>3240</v>
      </c>
      <c r="AP43" s="121">
        <v>0</v>
      </c>
      <c r="AQ43" s="122">
        <v>40</v>
      </c>
      <c r="AR43" s="121">
        <v>0</v>
      </c>
      <c r="AS43" s="122">
        <v>146917.89000000001</v>
      </c>
      <c r="AT43" s="122"/>
      <c r="AU43" s="122"/>
      <c r="AV43" s="122"/>
      <c r="AW43" s="122"/>
      <c r="AX43" s="122">
        <f t="shared" si="16"/>
        <v>229717.89</v>
      </c>
      <c r="AY43" s="783">
        <f t="shared" si="18"/>
        <v>3.291087249283668</v>
      </c>
      <c r="AZ43" s="784">
        <f t="shared" si="19"/>
        <v>159917.89000000001</v>
      </c>
      <c r="BA43" s="783">
        <f t="shared" si="20"/>
        <v>2.291087249283668</v>
      </c>
      <c r="BB43" s="784">
        <f t="shared" si="21"/>
        <v>468282.11</v>
      </c>
      <c r="BC43" s="783">
        <f t="shared" si="22"/>
        <v>0.67089127507163326</v>
      </c>
      <c r="BD43" s="785">
        <f t="shared" si="23"/>
        <v>69800</v>
      </c>
      <c r="BE43" s="785">
        <f t="shared" si="24"/>
        <v>-159917.89000000001</v>
      </c>
      <c r="BF43" s="786" t="str">
        <f t="shared" si="25"/>
        <v>Vendido</v>
      </c>
      <c r="BG43" s="786" t="str">
        <f t="shared" si="26"/>
        <v>Superávit de Enganche</v>
      </c>
      <c r="BH43" s="786"/>
      <c r="BI43" s="786">
        <f t="shared" si="27"/>
        <v>27</v>
      </c>
      <c r="BJ43" s="786">
        <f t="shared" si="17"/>
        <v>0</v>
      </c>
      <c r="BK43" s="52"/>
    </row>
    <row r="44" spans="1:63" x14ac:dyDescent="0.3">
      <c r="A44" s="20"/>
      <c r="B44" s="135">
        <v>603</v>
      </c>
      <c r="C44" s="136" t="s">
        <v>190</v>
      </c>
      <c r="D44" s="137" t="s">
        <v>234</v>
      </c>
      <c r="E44" s="138">
        <v>45614</v>
      </c>
      <c r="F44" s="135" t="s">
        <v>198</v>
      </c>
      <c r="G44" s="123">
        <v>961882.4</v>
      </c>
      <c r="H44" s="139">
        <v>1002682.4</v>
      </c>
      <c r="I44" s="139">
        <f t="shared" si="4"/>
        <v>-40800</v>
      </c>
      <c r="J44" s="139">
        <v>80682.399999999994</v>
      </c>
      <c r="K44" s="136" t="s">
        <v>173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1">
        <v>0</v>
      </c>
      <c r="AC44" s="121">
        <v>0</v>
      </c>
      <c r="AD44" s="121">
        <v>0</v>
      </c>
      <c r="AE44" s="121">
        <v>0</v>
      </c>
      <c r="AF44" s="121">
        <v>0</v>
      </c>
      <c r="AG44" s="121">
        <v>0</v>
      </c>
      <c r="AH44" s="121">
        <v>0</v>
      </c>
      <c r="AI44" s="121">
        <v>0</v>
      </c>
      <c r="AJ44" s="121">
        <v>0</v>
      </c>
      <c r="AK44" s="121">
        <v>0</v>
      </c>
      <c r="AL44" s="121">
        <v>0</v>
      </c>
      <c r="AM44" s="121">
        <v>0</v>
      </c>
      <c r="AN44" s="121">
        <v>0</v>
      </c>
      <c r="AO44" s="121">
        <v>0</v>
      </c>
      <c r="AP44" s="122">
        <v>7050</v>
      </c>
      <c r="AQ44" s="122">
        <v>82.4</v>
      </c>
      <c r="AR44" s="122">
        <v>324384.34999999998</v>
      </c>
      <c r="AS44" s="121">
        <v>0</v>
      </c>
      <c r="AT44" s="122"/>
      <c r="AU44" s="122"/>
      <c r="AV44" s="122"/>
      <c r="AW44" s="122"/>
      <c r="AX44" s="122">
        <f t="shared" si="16"/>
        <v>331516.75</v>
      </c>
      <c r="AY44" s="783">
        <f t="shared" si="18"/>
        <v>4.1089103695477576</v>
      </c>
      <c r="AZ44" s="784">
        <f t="shared" si="19"/>
        <v>250834.35</v>
      </c>
      <c r="BA44" s="783">
        <f t="shared" si="20"/>
        <v>3.108910369547758</v>
      </c>
      <c r="BB44" s="784">
        <f t="shared" si="21"/>
        <v>671165.65</v>
      </c>
      <c r="BC44" s="783">
        <f t="shared" si="22"/>
        <v>0.66937013155910585</v>
      </c>
      <c r="BD44" s="785">
        <f t="shared" si="23"/>
        <v>80682.399999999994</v>
      </c>
      <c r="BE44" s="785">
        <f t="shared" si="24"/>
        <v>-250834.35</v>
      </c>
      <c r="BF44" s="786" t="str">
        <f t="shared" si="25"/>
        <v>Vendido</v>
      </c>
      <c r="BG44" s="786" t="str">
        <f t="shared" si="26"/>
        <v>Superávit de Enganche</v>
      </c>
      <c r="BH44" s="786"/>
      <c r="BI44" s="786">
        <f t="shared" si="27"/>
        <v>3</v>
      </c>
      <c r="BJ44" s="786">
        <f t="shared" si="17"/>
        <v>0</v>
      </c>
      <c r="BK44" s="52"/>
    </row>
    <row r="45" spans="1:63" x14ac:dyDescent="0.3">
      <c r="A45" s="20"/>
      <c r="B45" s="135">
        <v>604</v>
      </c>
      <c r="C45" s="136" t="s">
        <v>176</v>
      </c>
      <c r="D45" s="137" t="s">
        <v>235</v>
      </c>
      <c r="E45" s="138">
        <v>45322</v>
      </c>
      <c r="F45" s="135" t="s">
        <v>194</v>
      </c>
      <c r="G45" s="123">
        <v>747264</v>
      </c>
      <c r="H45" s="139">
        <v>747264</v>
      </c>
      <c r="I45" s="139">
        <f t="shared" si="4"/>
        <v>0</v>
      </c>
      <c r="J45" s="139">
        <v>747264</v>
      </c>
      <c r="K45" s="136" t="s">
        <v>173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1">
        <v>0</v>
      </c>
      <c r="R45" s="121">
        <v>0</v>
      </c>
      <c r="S45" s="121">
        <v>0</v>
      </c>
      <c r="T45" s="121">
        <v>0</v>
      </c>
      <c r="U45" s="121">
        <v>0</v>
      </c>
      <c r="V45" s="121">
        <v>0</v>
      </c>
      <c r="W45" s="121">
        <v>0</v>
      </c>
      <c r="X45" s="121">
        <v>0</v>
      </c>
      <c r="Y45" s="121">
        <v>0</v>
      </c>
      <c r="Z45" s="121">
        <v>0</v>
      </c>
      <c r="AA45" s="121">
        <v>0</v>
      </c>
      <c r="AB45" s="121">
        <v>0</v>
      </c>
      <c r="AC45" s="121">
        <v>0</v>
      </c>
      <c r="AD45" s="121">
        <v>0</v>
      </c>
      <c r="AE45" s="121">
        <v>5000</v>
      </c>
      <c r="AF45" s="121">
        <v>0</v>
      </c>
      <c r="AG45" s="121">
        <v>3500</v>
      </c>
      <c r="AH45" s="121">
        <v>3500</v>
      </c>
      <c r="AI45" s="121">
        <v>3500</v>
      </c>
      <c r="AJ45" s="121">
        <v>3500</v>
      </c>
      <c r="AK45" s="121">
        <v>728264</v>
      </c>
      <c r="AL45" s="121">
        <v>0</v>
      </c>
      <c r="AM45" s="121">
        <v>0</v>
      </c>
      <c r="AN45" s="121">
        <v>0</v>
      </c>
      <c r="AO45" s="121">
        <v>0</v>
      </c>
      <c r="AP45" s="121">
        <v>0</v>
      </c>
      <c r="AQ45" s="121">
        <v>0</v>
      </c>
      <c r="AR45" s="121">
        <v>0</v>
      </c>
      <c r="AS45" s="121">
        <v>0</v>
      </c>
      <c r="AT45" s="122"/>
      <c r="AU45" s="122"/>
      <c r="AV45" s="122"/>
      <c r="AW45" s="122"/>
      <c r="AX45" s="122">
        <f t="shared" si="16"/>
        <v>747264</v>
      </c>
      <c r="AY45" s="783">
        <f t="shared" si="18"/>
        <v>1</v>
      </c>
      <c r="AZ45" s="784">
        <f t="shared" si="19"/>
        <v>0</v>
      </c>
      <c r="BA45" s="783">
        <f t="shared" si="20"/>
        <v>0</v>
      </c>
      <c r="BB45" s="784">
        <f t="shared" si="21"/>
        <v>0</v>
      </c>
      <c r="BC45" s="783">
        <f t="shared" si="22"/>
        <v>0</v>
      </c>
      <c r="BD45" s="785">
        <f t="shared" si="23"/>
        <v>747264</v>
      </c>
      <c r="BE45" s="785">
        <f t="shared" si="24"/>
        <v>0</v>
      </c>
      <c r="BF45" s="786" t="str">
        <f t="shared" si="25"/>
        <v>Vendido</v>
      </c>
      <c r="BG45" s="786" t="str">
        <f t="shared" si="26"/>
        <v>Enganche Completado</v>
      </c>
      <c r="BH45" s="786"/>
      <c r="BI45" s="786">
        <f t="shared" si="27"/>
        <v>6</v>
      </c>
      <c r="BJ45" s="786">
        <f t="shared" si="17"/>
        <v>0</v>
      </c>
      <c r="BK45" s="52"/>
    </row>
    <row r="46" spans="1:63" x14ac:dyDescent="0.3">
      <c r="A46" s="20"/>
      <c r="B46" s="135">
        <v>605</v>
      </c>
      <c r="C46" s="136" t="s">
        <v>211</v>
      </c>
      <c r="D46" s="137" t="s">
        <v>236</v>
      </c>
      <c r="E46" s="138">
        <v>45647</v>
      </c>
      <c r="F46" s="135" t="s">
        <v>194</v>
      </c>
      <c r="G46" s="123">
        <v>665000</v>
      </c>
      <c r="H46" s="139">
        <v>850000</v>
      </c>
      <c r="I46" s="139">
        <f t="shared" si="4"/>
        <v>-185000</v>
      </c>
      <c r="J46" s="139">
        <v>40900</v>
      </c>
      <c r="K46" s="136" t="s">
        <v>173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1">
        <v>0</v>
      </c>
      <c r="S46" s="121">
        <v>0</v>
      </c>
      <c r="T46" s="121">
        <v>0</v>
      </c>
      <c r="U46" s="121">
        <v>0</v>
      </c>
      <c r="V46" s="121">
        <v>0</v>
      </c>
      <c r="W46" s="121">
        <v>0</v>
      </c>
      <c r="X46" s="121">
        <v>0</v>
      </c>
      <c r="Y46" s="121">
        <v>0</v>
      </c>
      <c r="Z46" s="121">
        <v>0</v>
      </c>
      <c r="AA46" s="121">
        <v>0</v>
      </c>
      <c r="AB46" s="121">
        <v>0</v>
      </c>
      <c r="AC46" s="121">
        <v>0</v>
      </c>
      <c r="AD46" s="121">
        <v>0</v>
      </c>
      <c r="AE46" s="121">
        <v>0</v>
      </c>
      <c r="AF46" s="121">
        <v>0</v>
      </c>
      <c r="AG46" s="121">
        <v>0</v>
      </c>
      <c r="AH46" s="121">
        <v>0</v>
      </c>
      <c r="AI46" s="121">
        <v>0</v>
      </c>
      <c r="AJ46" s="121">
        <v>0</v>
      </c>
      <c r="AK46" s="121">
        <v>0</v>
      </c>
      <c r="AL46" s="121">
        <v>0</v>
      </c>
      <c r="AM46" s="121">
        <v>0</v>
      </c>
      <c r="AN46" s="121">
        <v>0</v>
      </c>
      <c r="AO46" s="121">
        <v>0</v>
      </c>
      <c r="AP46" s="122">
        <v>5000</v>
      </c>
      <c r="AQ46" s="121">
        <v>0</v>
      </c>
      <c r="AR46" s="122">
        <v>35900</v>
      </c>
      <c r="AS46" s="121">
        <v>0</v>
      </c>
      <c r="AT46" s="122"/>
      <c r="AU46" s="122"/>
      <c r="AV46" s="122"/>
      <c r="AW46" s="122"/>
      <c r="AX46" s="122">
        <f t="shared" si="16"/>
        <v>40900</v>
      </c>
      <c r="AY46" s="783">
        <f t="shared" si="18"/>
        <v>1</v>
      </c>
      <c r="AZ46" s="784">
        <f t="shared" si="19"/>
        <v>0</v>
      </c>
      <c r="BA46" s="783">
        <f t="shared" si="20"/>
        <v>0</v>
      </c>
      <c r="BB46" s="784">
        <f t="shared" si="21"/>
        <v>809100</v>
      </c>
      <c r="BC46" s="783">
        <f t="shared" si="22"/>
        <v>0.95188235294117651</v>
      </c>
      <c r="BD46" s="785">
        <f t="shared" si="23"/>
        <v>40900</v>
      </c>
      <c r="BE46" s="785">
        <f t="shared" si="24"/>
        <v>0</v>
      </c>
      <c r="BF46" s="786" t="str">
        <f t="shared" si="25"/>
        <v>Vendido</v>
      </c>
      <c r="BG46" s="786" t="str">
        <f t="shared" si="26"/>
        <v>Enganche Completado</v>
      </c>
      <c r="BH46" s="786"/>
      <c r="BI46" s="786">
        <f t="shared" si="27"/>
        <v>2</v>
      </c>
      <c r="BJ46" s="786">
        <f t="shared" si="17"/>
        <v>0</v>
      </c>
      <c r="BK46" s="52"/>
    </row>
    <row r="47" spans="1:63" x14ac:dyDescent="0.3">
      <c r="A47" s="20"/>
      <c r="B47" s="135">
        <v>606</v>
      </c>
      <c r="C47" s="136" t="s">
        <v>176</v>
      </c>
      <c r="D47" s="137" t="s">
        <v>237</v>
      </c>
      <c r="E47" s="138">
        <v>45521</v>
      </c>
      <c r="F47" s="135" t="s">
        <v>198</v>
      </c>
      <c r="G47" s="123">
        <v>989600</v>
      </c>
      <c r="H47" s="139">
        <f>49400+940200</f>
        <v>989600</v>
      </c>
      <c r="I47" s="139">
        <f t="shared" si="4"/>
        <v>0</v>
      </c>
      <c r="J47" s="139">
        <v>49400</v>
      </c>
      <c r="K47" s="136" t="s">
        <v>173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1">
        <v>0</v>
      </c>
      <c r="W47" s="121">
        <v>0</v>
      </c>
      <c r="X47" s="121">
        <v>0</v>
      </c>
      <c r="Y47" s="121">
        <v>0</v>
      </c>
      <c r="Z47" s="121">
        <v>0</v>
      </c>
      <c r="AA47" s="121">
        <v>0</v>
      </c>
      <c r="AB47" s="121">
        <v>0</v>
      </c>
      <c r="AC47" s="121">
        <v>0</v>
      </c>
      <c r="AD47" s="121">
        <v>0</v>
      </c>
      <c r="AE47" s="121">
        <v>0</v>
      </c>
      <c r="AF47" s="121">
        <v>0</v>
      </c>
      <c r="AG47" s="121">
        <v>0</v>
      </c>
      <c r="AH47" s="121">
        <v>0</v>
      </c>
      <c r="AI47" s="121">
        <v>0</v>
      </c>
      <c r="AJ47" s="121">
        <v>0</v>
      </c>
      <c r="AK47" s="121">
        <v>0</v>
      </c>
      <c r="AL47" s="121">
        <v>5000</v>
      </c>
      <c r="AM47" s="121">
        <v>0</v>
      </c>
      <c r="AN47" s="121">
        <v>0</v>
      </c>
      <c r="AO47" s="121">
        <f>38000+32000+19900</f>
        <v>89900</v>
      </c>
      <c r="AP47" s="121">
        <v>0</v>
      </c>
      <c r="AQ47" s="121">
        <v>0</v>
      </c>
      <c r="AR47" s="121">
        <v>0</v>
      </c>
      <c r="AS47" s="122">
        <v>302993.03999999998</v>
      </c>
      <c r="AT47" s="122"/>
      <c r="AU47" s="122"/>
      <c r="AV47" s="122"/>
      <c r="AW47" s="122"/>
      <c r="AX47" s="122">
        <f t="shared" si="16"/>
        <v>397893.04</v>
      </c>
      <c r="AY47" s="783">
        <f t="shared" si="18"/>
        <v>8.0545149797570854</v>
      </c>
      <c r="AZ47" s="784">
        <f t="shared" si="19"/>
        <v>348493.04</v>
      </c>
      <c r="BA47" s="783">
        <f t="shared" si="20"/>
        <v>7.0545149797570845</v>
      </c>
      <c r="BB47" s="784">
        <f t="shared" si="21"/>
        <v>591706.96</v>
      </c>
      <c r="BC47" s="783">
        <f t="shared" si="22"/>
        <v>0.59792538399353268</v>
      </c>
      <c r="BD47" s="785">
        <f t="shared" si="23"/>
        <v>49400</v>
      </c>
      <c r="BE47" s="785">
        <f t="shared" si="24"/>
        <v>-348493.04</v>
      </c>
      <c r="BF47" s="786" t="str">
        <f t="shared" si="25"/>
        <v>Vendido</v>
      </c>
      <c r="BG47" s="786" t="str">
        <f t="shared" si="26"/>
        <v>Superávit de Enganche</v>
      </c>
      <c r="BH47" s="786"/>
      <c r="BI47" s="786">
        <f t="shared" si="27"/>
        <v>3</v>
      </c>
      <c r="BJ47" s="786">
        <f t="shared" si="17"/>
        <v>0</v>
      </c>
      <c r="BK47" s="52"/>
    </row>
    <row r="48" spans="1:63" x14ac:dyDescent="0.3">
      <c r="A48" s="20"/>
      <c r="B48" s="135">
        <v>607</v>
      </c>
      <c r="C48" s="136" t="s">
        <v>170</v>
      </c>
      <c r="D48" s="137" t="s">
        <v>238</v>
      </c>
      <c r="E48" s="138">
        <v>44859</v>
      </c>
      <c r="F48" s="135" t="s">
        <v>200</v>
      </c>
      <c r="G48" s="123">
        <v>690000</v>
      </c>
      <c r="H48" s="139">
        <v>676200</v>
      </c>
      <c r="I48" s="139">
        <f t="shared" si="4"/>
        <v>13800</v>
      </c>
      <c r="J48" s="139">
        <v>676200</v>
      </c>
      <c r="K48" s="136" t="s">
        <v>173</v>
      </c>
      <c r="L48" s="121">
        <v>0</v>
      </c>
      <c r="M48" s="121">
        <v>0</v>
      </c>
      <c r="N48" s="121">
        <v>0</v>
      </c>
      <c r="O48" s="121">
        <v>0</v>
      </c>
      <c r="P48" s="121">
        <v>338100</v>
      </c>
      <c r="Q48" s="121">
        <v>0</v>
      </c>
      <c r="R48" s="121">
        <v>0</v>
      </c>
      <c r="S48" s="121">
        <v>0</v>
      </c>
      <c r="T48" s="121">
        <v>0</v>
      </c>
      <c r="U48" s="121">
        <v>0</v>
      </c>
      <c r="V48" s="121">
        <v>0</v>
      </c>
      <c r="W48" s="121">
        <v>0</v>
      </c>
      <c r="X48" s="121">
        <v>0</v>
      </c>
      <c r="Y48" s="121">
        <v>0</v>
      </c>
      <c r="Z48" s="121">
        <v>0</v>
      </c>
      <c r="AA48" s="121">
        <v>0</v>
      </c>
      <c r="AB48" s="121">
        <v>0</v>
      </c>
      <c r="AC48" s="121">
        <v>0</v>
      </c>
      <c r="AD48" s="121">
        <v>0</v>
      </c>
      <c r="AE48" s="121">
        <v>0</v>
      </c>
      <c r="AF48" s="121">
        <v>0</v>
      </c>
      <c r="AG48" s="121">
        <v>0</v>
      </c>
      <c r="AH48" s="121">
        <v>0</v>
      </c>
      <c r="AI48" s="121">
        <v>0</v>
      </c>
      <c r="AJ48" s="121">
        <v>0</v>
      </c>
      <c r="AK48" s="121">
        <v>0</v>
      </c>
      <c r="AL48" s="121">
        <v>0</v>
      </c>
      <c r="AM48" s="121">
        <v>0</v>
      </c>
      <c r="AN48" s="121">
        <v>0</v>
      </c>
      <c r="AO48" s="121">
        <v>0</v>
      </c>
      <c r="AP48" s="121">
        <v>0</v>
      </c>
      <c r="AQ48" s="122">
        <f>89050+89050+100000+65000</f>
        <v>343100</v>
      </c>
      <c r="AR48" s="121">
        <v>0</v>
      </c>
      <c r="AS48" s="122"/>
      <c r="AT48" s="122"/>
      <c r="AU48" s="122"/>
      <c r="AV48" s="122"/>
      <c r="AW48" s="122"/>
      <c r="AX48" s="122">
        <f t="shared" si="16"/>
        <v>681200</v>
      </c>
      <c r="AY48" s="783">
        <f t="shared" si="18"/>
        <v>1.007394262052647</v>
      </c>
      <c r="AZ48" s="784">
        <f t="shared" si="19"/>
        <v>5000</v>
      </c>
      <c r="BA48" s="783">
        <f t="shared" si="20"/>
        <v>7.3942620526471457E-3</v>
      </c>
      <c r="BB48" s="784">
        <f t="shared" si="21"/>
        <v>-5000</v>
      </c>
      <c r="BC48" s="783">
        <f t="shared" si="22"/>
        <v>-7.3942620526471457E-3</v>
      </c>
      <c r="BD48" s="785">
        <f t="shared" si="23"/>
        <v>676200</v>
      </c>
      <c r="BE48" s="785">
        <f t="shared" si="24"/>
        <v>-5000</v>
      </c>
      <c r="BF48" s="786" t="str">
        <f t="shared" si="25"/>
        <v>Vendido</v>
      </c>
      <c r="BG48" s="786" t="str">
        <f t="shared" si="26"/>
        <v>Superávit de Enganche</v>
      </c>
      <c r="BH48" s="786"/>
      <c r="BI48" s="786">
        <f t="shared" si="27"/>
        <v>2</v>
      </c>
      <c r="BJ48" s="786">
        <f t="shared" si="17"/>
        <v>0</v>
      </c>
      <c r="BK48" s="52"/>
    </row>
    <row r="49" spans="1:63" x14ac:dyDescent="0.3">
      <c r="A49" s="20"/>
      <c r="B49" s="135">
        <v>608</v>
      </c>
      <c r="C49" s="136" t="s">
        <v>170</v>
      </c>
      <c r="D49" s="137" t="s">
        <v>239</v>
      </c>
      <c r="E49" s="138">
        <v>44801</v>
      </c>
      <c r="F49" s="135" t="s">
        <v>186</v>
      </c>
      <c r="G49" s="123">
        <v>498000</v>
      </c>
      <c r="H49" s="139">
        <v>498000</v>
      </c>
      <c r="I49" s="139">
        <f t="shared" si="4"/>
        <v>0</v>
      </c>
      <c r="J49" s="139">
        <v>49800</v>
      </c>
      <c r="K49" s="136" t="s">
        <v>173</v>
      </c>
      <c r="L49" s="121">
        <v>0</v>
      </c>
      <c r="M49" s="121">
        <v>0</v>
      </c>
      <c r="N49" s="121">
        <v>5000</v>
      </c>
      <c r="O49" s="121">
        <v>2000</v>
      </c>
      <c r="P49" s="121">
        <v>2000</v>
      </c>
      <c r="Q49" s="121">
        <v>2000</v>
      </c>
      <c r="R49" s="121">
        <v>2000</v>
      </c>
      <c r="S49" s="121">
        <v>2000</v>
      </c>
      <c r="T49" s="121">
        <v>2000</v>
      </c>
      <c r="U49" s="121">
        <v>2000</v>
      </c>
      <c r="V49" s="121">
        <v>2000</v>
      </c>
      <c r="W49" s="121">
        <v>2000</v>
      </c>
      <c r="X49" s="121">
        <v>2000</v>
      </c>
      <c r="Y49" s="121">
        <v>2000</v>
      </c>
      <c r="Z49" s="121">
        <v>2000</v>
      </c>
      <c r="AA49" s="121">
        <v>2000</v>
      </c>
      <c r="AB49" s="121">
        <v>2000</v>
      </c>
      <c r="AC49" s="121">
        <v>2000</v>
      </c>
      <c r="AD49" s="121">
        <v>2000</v>
      </c>
      <c r="AE49" s="121">
        <v>2000</v>
      </c>
      <c r="AF49" s="121">
        <v>2000</v>
      </c>
      <c r="AG49" s="121">
        <v>2000</v>
      </c>
      <c r="AH49" s="121">
        <v>2000</v>
      </c>
      <c r="AI49" s="121">
        <v>2000</v>
      </c>
      <c r="AJ49" s="121">
        <v>2800</v>
      </c>
      <c r="AK49" s="121">
        <v>2000</v>
      </c>
      <c r="AL49" s="121">
        <v>2000</v>
      </c>
      <c r="AM49" s="121">
        <v>2000</v>
      </c>
      <c r="AN49" s="121">
        <v>2000</v>
      </c>
      <c r="AO49" s="121">
        <v>2000</v>
      </c>
      <c r="AP49" s="122">
        <v>2000</v>
      </c>
      <c r="AQ49" s="121">
        <v>0</v>
      </c>
      <c r="AR49" s="121">
        <v>0</v>
      </c>
      <c r="AS49" s="122">
        <v>103185.97</v>
      </c>
      <c r="AT49" s="122"/>
      <c r="AU49" s="122"/>
      <c r="AV49" s="122"/>
      <c r="AW49" s="122"/>
      <c r="AX49" s="122">
        <f t="shared" si="16"/>
        <v>164985.97</v>
      </c>
      <c r="AY49" s="783">
        <f t="shared" si="18"/>
        <v>3.3129712851405624</v>
      </c>
      <c r="AZ49" s="784">
        <f t="shared" si="19"/>
        <v>115185.97</v>
      </c>
      <c r="BA49" s="783">
        <f t="shared" si="20"/>
        <v>2.3129712851405624</v>
      </c>
      <c r="BB49" s="784">
        <f t="shared" si="21"/>
        <v>333014.03000000003</v>
      </c>
      <c r="BC49" s="783">
        <f t="shared" si="22"/>
        <v>0.66870287148594387</v>
      </c>
      <c r="BD49" s="785">
        <f t="shared" si="23"/>
        <v>49800</v>
      </c>
      <c r="BE49" s="785">
        <f t="shared" si="24"/>
        <v>-115185.97</v>
      </c>
      <c r="BF49" s="786" t="str">
        <f t="shared" si="25"/>
        <v>Vendido</v>
      </c>
      <c r="BG49" s="786" t="str">
        <f t="shared" si="26"/>
        <v>Superávit de Enganche</v>
      </c>
      <c r="BH49" s="786"/>
      <c r="BI49" s="786">
        <f t="shared" si="27"/>
        <v>30</v>
      </c>
      <c r="BJ49" s="786">
        <f t="shared" si="17"/>
        <v>0</v>
      </c>
      <c r="BK49" s="52"/>
    </row>
    <row r="50" spans="1:63" x14ac:dyDescent="0.3">
      <c r="A50" s="35"/>
      <c r="B50" s="135">
        <v>701</v>
      </c>
      <c r="C50" s="136" t="s">
        <v>170</v>
      </c>
      <c r="D50" s="137" t="s">
        <v>240</v>
      </c>
      <c r="E50" s="138">
        <v>44802</v>
      </c>
      <c r="F50" s="135" t="s">
        <v>186</v>
      </c>
      <c r="G50" s="123">
        <v>498000</v>
      </c>
      <c r="H50" s="139">
        <v>498000</v>
      </c>
      <c r="I50" s="139">
        <f t="shared" si="4"/>
        <v>0</v>
      </c>
      <c r="J50" s="139">
        <v>250000</v>
      </c>
      <c r="K50" s="136" t="s">
        <v>173</v>
      </c>
      <c r="L50" s="121">
        <v>0</v>
      </c>
      <c r="M50" s="121">
        <v>0</v>
      </c>
      <c r="N50" s="121">
        <v>5000</v>
      </c>
      <c r="O50" s="121">
        <v>187725</v>
      </c>
      <c r="P50" s="121">
        <v>8175</v>
      </c>
      <c r="Q50" s="121">
        <v>0</v>
      </c>
      <c r="R50" s="121">
        <v>2725</v>
      </c>
      <c r="S50" s="121">
        <v>5450</v>
      </c>
      <c r="T50" s="121">
        <v>2725</v>
      </c>
      <c r="U50" s="121">
        <v>2725</v>
      </c>
      <c r="V50" s="121">
        <v>2725</v>
      </c>
      <c r="W50" s="121">
        <v>2725</v>
      </c>
      <c r="X50" s="121">
        <v>2725</v>
      </c>
      <c r="Y50" s="121">
        <v>2725</v>
      </c>
      <c r="Z50" s="121">
        <v>2725</v>
      </c>
      <c r="AA50" s="121">
        <v>2725</v>
      </c>
      <c r="AB50" s="121">
        <v>2725</v>
      </c>
      <c r="AC50" s="121">
        <v>0</v>
      </c>
      <c r="AD50" s="121">
        <v>5450</v>
      </c>
      <c r="AE50" s="121">
        <v>0</v>
      </c>
      <c r="AF50" s="121">
        <v>2725</v>
      </c>
      <c r="AG50" s="121">
        <v>2725</v>
      </c>
      <c r="AH50" s="121">
        <v>2725</v>
      </c>
      <c r="AI50" s="121">
        <v>2775</v>
      </c>
      <c r="AJ50" s="121">
        <v>0</v>
      </c>
      <c r="AK50" s="121">
        <v>0</v>
      </c>
      <c r="AL50" s="121">
        <v>0</v>
      </c>
      <c r="AM50" s="121">
        <v>0</v>
      </c>
      <c r="AN50" s="121">
        <v>0</v>
      </c>
      <c r="AO50" s="121">
        <v>0</v>
      </c>
      <c r="AP50" s="121">
        <v>0</v>
      </c>
      <c r="AQ50" s="121">
        <v>0</v>
      </c>
      <c r="AR50" s="121">
        <v>0</v>
      </c>
      <c r="AS50" s="121">
        <v>0</v>
      </c>
      <c r="AT50" s="122"/>
      <c r="AU50" s="122"/>
      <c r="AV50" s="122"/>
      <c r="AW50" s="122"/>
      <c r="AX50" s="122">
        <f t="shared" si="16"/>
        <v>250000</v>
      </c>
      <c r="AY50" s="783">
        <f t="shared" si="18"/>
        <v>1</v>
      </c>
      <c r="AZ50" s="784">
        <f t="shared" si="19"/>
        <v>0</v>
      </c>
      <c r="BA50" s="783">
        <f t="shared" si="20"/>
        <v>0</v>
      </c>
      <c r="BB50" s="784">
        <f t="shared" si="21"/>
        <v>248000</v>
      </c>
      <c r="BC50" s="783">
        <f t="shared" si="22"/>
        <v>0.49799196787148592</v>
      </c>
      <c r="BD50" s="785">
        <f t="shared" si="23"/>
        <v>250000</v>
      </c>
      <c r="BE50" s="785">
        <f t="shared" si="24"/>
        <v>0</v>
      </c>
      <c r="BF50" s="786" t="str">
        <f t="shared" si="25"/>
        <v>Vendido</v>
      </c>
      <c r="BG50" s="786" t="str">
        <f t="shared" si="26"/>
        <v>Enganche Completado</v>
      </c>
      <c r="BH50" s="786"/>
      <c r="BI50" s="786">
        <f t="shared" si="27"/>
        <v>19</v>
      </c>
      <c r="BJ50" s="786">
        <f t="shared" si="17"/>
        <v>0</v>
      </c>
      <c r="BK50" s="52"/>
    </row>
    <row r="51" spans="1:63" x14ac:dyDescent="0.3">
      <c r="A51" s="20"/>
      <c r="B51" s="135">
        <v>702</v>
      </c>
      <c r="C51" s="136" t="s">
        <v>170</v>
      </c>
      <c r="D51" s="137" t="s">
        <v>241</v>
      </c>
      <c r="E51" s="138">
        <v>44861</v>
      </c>
      <c r="F51" s="135" t="s">
        <v>200</v>
      </c>
      <c r="G51" s="123">
        <v>698000</v>
      </c>
      <c r="H51" s="139">
        <v>698000</v>
      </c>
      <c r="I51" s="139">
        <f t="shared" si="4"/>
        <v>0</v>
      </c>
      <c r="J51" s="139">
        <v>69800</v>
      </c>
      <c r="K51" s="136" t="s">
        <v>173</v>
      </c>
      <c r="L51" s="121">
        <v>0</v>
      </c>
      <c r="M51" s="121">
        <v>0</v>
      </c>
      <c r="N51" s="121">
        <v>0</v>
      </c>
      <c r="O51" s="121">
        <v>0</v>
      </c>
      <c r="P51" s="121">
        <v>5000</v>
      </c>
      <c r="Q51" s="121">
        <v>3085.71</v>
      </c>
      <c r="R51" s="121">
        <v>3085.71</v>
      </c>
      <c r="S51" s="121">
        <v>3085.71</v>
      </c>
      <c r="T51" s="121">
        <v>0</v>
      </c>
      <c r="U51" s="121">
        <v>6171.42</v>
      </c>
      <c r="V51" s="121">
        <v>3085.71</v>
      </c>
      <c r="W51" s="121">
        <v>3085.71</v>
      </c>
      <c r="X51" s="121">
        <v>0</v>
      </c>
      <c r="Y51" s="121">
        <v>3085.71</v>
      </c>
      <c r="Z51" s="121">
        <v>3085.71</v>
      </c>
      <c r="AA51" s="121">
        <v>0</v>
      </c>
      <c r="AB51" s="121">
        <v>0</v>
      </c>
      <c r="AC51" s="121">
        <v>6171.42</v>
      </c>
      <c r="AD51" s="121">
        <v>0</v>
      </c>
      <c r="AE51" s="121">
        <v>6171.42</v>
      </c>
      <c r="AF51" s="121">
        <v>3085.71</v>
      </c>
      <c r="AG51" s="121">
        <v>3085.71</v>
      </c>
      <c r="AH51" s="121">
        <v>0</v>
      </c>
      <c r="AI51" s="121">
        <v>6171.42</v>
      </c>
      <c r="AJ51" s="121">
        <v>3085.71</v>
      </c>
      <c r="AK51" s="121">
        <v>3085.71</v>
      </c>
      <c r="AL51" s="121">
        <v>0</v>
      </c>
      <c r="AM51" s="121">
        <v>0</v>
      </c>
      <c r="AN51" s="121">
        <v>0</v>
      </c>
      <c r="AO51" s="121">
        <v>0</v>
      </c>
      <c r="AP51" s="122">
        <v>0</v>
      </c>
      <c r="AQ51" s="122">
        <v>0</v>
      </c>
      <c r="AR51" s="122">
        <v>3085.71</v>
      </c>
      <c r="AS51" s="122">
        <v>0</v>
      </c>
      <c r="AT51" s="122">
        <v>0</v>
      </c>
      <c r="AU51" s="122">
        <v>3085.8</v>
      </c>
      <c r="AV51" s="122"/>
      <c r="AW51" s="122"/>
      <c r="AX51" s="122">
        <f t="shared" si="16"/>
        <v>69800</v>
      </c>
      <c r="AY51" s="783">
        <f t="shared" si="18"/>
        <v>1</v>
      </c>
      <c r="AZ51" s="784">
        <f t="shared" si="19"/>
        <v>0</v>
      </c>
      <c r="BA51" s="783">
        <f t="shared" si="20"/>
        <v>0</v>
      </c>
      <c r="BB51" s="784">
        <f t="shared" si="21"/>
        <v>628200</v>
      </c>
      <c r="BC51" s="783">
        <f t="shared" si="22"/>
        <v>0.9</v>
      </c>
      <c r="BD51" s="785">
        <f t="shared" si="23"/>
        <v>69800</v>
      </c>
      <c r="BE51" s="785">
        <f t="shared" si="24"/>
        <v>0</v>
      </c>
      <c r="BF51" s="786" t="str">
        <f t="shared" si="25"/>
        <v>Vendido</v>
      </c>
      <c r="BG51" s="786" t="str">
        <f t="shared" si="26"/>
        <v>Enganche Completado</v>
      </c>
      <c r="BH51" s="786"/>
      <c r="BI51" s="786">
        <f t="shared" si="27"/>
        <v>17</v>
      </c>
      <c r="BJ51" s="786">
        <v>14</v>
      </c>
      <c r="BK51" s="52"/>
    </row>
    <row r="52" spans="1:63" x14ac:dyDescent="0.3">
      <c r="A52" s="20"/>
      <c r="B52" s="135">
        <v>703</v>
      </c>
      <c r="C52" s="136" t="s">
        <v>176</v>
      </c>
      <c r="D52" s="137" t="s">
        <v>242</v>
      </c>
      <c r="E52" s="138">
        <v>45418</v>
      </c>
      <c r="F52" s="135" t="s">
        <v>198</v>
      </c>
      <c r="G52" s="123">
        <v>896715.83</v>
      </c>
      <c r="H52" s="139">
        <v>896715.83</v>
      </c>
      <c r="I52" s="139">
        <f t="shared" si="4"/>
        <v>0</v>
      </c>
      <c r="J52" s="139">
        <v>896715.83</v>
      </c>
      <c r="K52" s="136" t="s">
        <v>173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1">
        <v>0</v>
      </c>
      <c r="AA52" s="121">
        <v>0</v>
      </c>
      <c r="AB52" s="121">
        <v>0</v>
      </c>
      <c r="AC52" s="121">
        <v>0</v>
      </c>
      <c r="AD52" s="121">
        <v>0</v>
      </c>
      <c r="AE52" s="121">
        <v>0</v>
      </c>
      <c r="AF52" s="121">
        <v>0</v>
      </c>
      <c r="AG52" s="121">
        <v>0</v>
      </c>
      <c r="AH52" s="121">
        <v>0</v>
      </c>
      <c r="AI52" s="121">
        <v>896715.83</v>
      </c>
      <c r="AJ52" s="121">
        <v>0</v>
      </c>
      <c r="AK52" s="121">
        <v>0</v>
      </c>
      <c r="AL52" s="121">
        <v>0</v>
      </c>
      <c r="AM52" s="121">
        <v>0</v>
      </c>
      <c r="AN52" s="121">
        <v>0</v>
      </c>
      <c r="AO52" s="121">
        <v>0</v>
      </c>
      <c r="AP52" s="121">
        <v>0</v>
      </c>
      <c r="AQ52" s="121">
        <v>0</v>
      </c>
      <c r="AR52" s="122"/>
      <c r="AS52" s="121">
        <v>0</v>
      </c>
      <c r="AT52" s="122"/>
      <c r="AU52" s="122"/>
      <c r="AV52" s="122"/>
      <c r="AW52" s="122"/>
      <c r="AX52" s="122">
        <f t="shared" si="16"/>
        <v>896715.83</v>
      </c>
      <c r="AY52" s="783">
        <f t="shared" si="18"/>
        <v>1</v>
      </c>
      <c r="AZ52" s="784">
        <f t="shared" si="19"/>
        <v>0</v>
      </c>
      <c r="BA52" s="783">
        <f t="shared" si="20"/>
        <v>0</v>
      </c>
      <c r="BB52" s="784">
        <f t="shared" si="21"/>
        <v>0</v>
      </c>
      <c r="BC52" s="783">
        <f t="shared" si="22"/>
        <v>0</v>
      </c>
      <c r="BD52" s="785">
        <f t="shared" si="23"/>
        <v>896715.83</v>
      </c>
      <c r="BE52" s="785">
        <f t="shared" si="24"/>
        <v>0</v>
      </c>
      <c r="BF52" s="786" t="str">
        <f t="shared" si="25"/>
        <v>Vendido</v>
      </c>
      <c r="BG52" s="786" t="str">
        <f t="shared" si="26"/>
        <v>Enganche Completado</v>
      </c>
      <c r="BH52" s="786"/>
      <c r="BI52" s="786">
        <f t="shared" si="27"/>
        <v>1</v>
      </c>
      <c r="BJ52" s="786">
        <f>IF(AND(BG52="Cliente Atrasado",COUNTIF(L52:AT52,"&lt;0.01")),DATEDIF(E52,AT$4+1,"m"),0)</f>
        <v>0</v>
      </c>
      <c r="BK52" s="52"/>
    </row>
    <row r="53" spans="1:63" x14ac:dyDescent="0.3">
      <c r="A53" s="20"/>
      <c r="B53" s="135">
        <v>704</v>
      </c>
      <c r="C53" s="136" t="s">
        <v>223</v>
      </c>
      <c r="D53" s="137" t="s">
        <v>243</v>
      </c>
      <c r="E53" s="138">
        <v>44742</v>
      </c>
      <c r="F53" s="135" t="s">
        <v>194</v>
      </c>
      <c r="G53" s="123">
        <v>665000</v>
      </c>
      <c r="H53" s="139">
        <v>665000</v>
      </c>
      <c r="I53" s="139">
        <f t="shared" si="4"/>
        <v>0</v>
      </c>
      <c r="J53" s="139">
        <v>66500</v>
      </c>
      <c r="K53" s="136" t="s">
        <v>173</v>
      </c>
      <c r="L53" s="121">
        <v>5000</v>
      </c>
      <c r="M53" s="121">
        <v>1000</v>
      </c>
      <c r="N53" s="121">
        <v>1000</v>
      </c>
      <c r="O53" s="121">
        <v>1000</v>
      </c>
      <c r="P53" s="121">
        <v>1000</v>
      </c>
      <c r="Q53" s="121">
        <v>2738</v>
      </c>
      <c r="R53" s="121">
        <v>2738</v>
      </c>
      <c r="S53" s="121">
        <v>2738</v>
      </c>
      <c r="T53" s="121">
        <v>2738</v>
      </c>
      <c r="U53" s="121">
        <v>5476</v>
      </c>
      <c r="V53" s="121">
        <v>0</v>
      </c>
      <c r="W53" s="121">
        <v>2738</v>
      </c>
      <c r="X53" s="121">
        <v>2738</v>
      </c>
      <c r="Y53" s="121">
        <v>2738</v>
      </c>
      <c r="Z53" s="121">
        <v>2738</v>
      </c>
      <c r="AA53" s="121">
        <v>2738</v>
      </c>
      <c r="AB53" s="121">
        <v>2738</v>
      </c>
      <c r="AC53" s="121">
        <v>2738</v>
      </c>
      <c r="AD53" s="121">
        <v>2738</v>
      </c>
      <c r="AE53" s="121">
        <v>2738</v>
      </c>
      <c r="AF53" s="121">
        <v>2738</v>
      </c>
      <c r="AG53" s="121">
        <v>2738</v>
      </c>
      <c r="AH53" s="121">
        <v>2738</v>
      </c>
      <c r="AI53" s="121">
        <v>2738</v>
      </c>
      <c r="AJ53" s="121">
        <v>2738</v>
      </c>
      <c r="AK53" s="121">
        <v>2740</v>
      </c>
      <c r="AL53" s="121">
        <v>0</v>
      </c>
      <c r="AM53" s="121">
        <v>0</v>
      </c>
      <c r="AN53" s="121">
        <v>0</v>
      </c>
      <c r="AO53" s="121">
        <v>0</v>
      </c>
      <c r="AP53" s="121">
        <v>0</v>
      </c>
      <c r="AQ53" s="121">
        <v>0</v>
      </c>
      <c r="AR53" s="122">
        <v>147395.73000000001</v>
      </c>
      <c r="AS53" s="121">
        <v>0</v>
      </c>
      <c r="AT53" s="122"/>
      <c r="AU53" s="122"/>
      <c r="AV53" s="122"/>
      <c r="AW53" s="122"/>
      <c r="AX53" s="122">
        <f t="shared" si="16"/>
        <v>213895.73</v>
      </c>
      <c r="AY53" s="783">
        <f t="shared" si="18"/>
        <v>3.2164771428571428</v>
      </c>
      <c r="AZ53" s="784">
        <f t="shared" si="19"/>
        <v>147395.73000000001</v>
      </c>
      <c r="BA53" s="783">
        <f t="shared" si="20"/>
        <v>2.2164771428571428</v>
      </c>
      <c r="BB53" s="784">
        <f t="shared" si="21"/>
        <v>451104.27</v>
      </c>
      <c r="BC53" s="783">
        <f t="shared" si="22"/>
        <v>0.67835228571428574</v>
      </c>
      <c r="BD53" s="785">
        <f t="shared" si="23"/>
        <v>66500</v>
      </c>
      <c r="BE53" s="785">
        <f t="shared" si="24"/>
        <v>-147395.73000000001</v>
      </c>
      <c r="BF53" s="786" t="str">
        <f t="shared" si="25"/>
        <v>Vendido</v>
      </c>
      <c r="BG53" s="786" t="str">
        <f t="shared" si="26"/>
        <v>Superávit de Enganche</v>
      </c>
      <c r="BH53" s="786"/>
      <c r="BI53" s="786">
        <f t="shared" si="27"/>
        <v>26</v>
      </c>
      <c r="BJ53" s="786">
        <f>IF(AND(BG53="Cliente Atrasado",COUNTIF(L53:AT53,"&lt;0.01")),DATEDIF(E53,AT$4+1,"m"),0)</f>
        <v>0</v>
      </c>
      <c r="BK53" s="52"/>
    </row>
    <row r="54" spans="1:63" x14ac:dyDescent="0.3">
      <c r="A54" s="20"/>
      <c r="B54" s="135">
        <v>705</v>
      </c>
      <c r="C54" s="136" t="s">
        <v>223</v>
      </c>
      <c r="D54" s="137" t="s">
        <v>244</v>
      </c>
      <c r="E54" s="138">
        <v>44750</v>
      </c>
      <c r="F54" s="135" t="s">
        <v>194</v>
      </c>
      <c r="G54" s="123">
        <v>665000</v>
      </c>
      <c r="H54" s="139">
        <v>665000</v>
      </c>
      <c r="I54" s="139">
        <f t="shared" si="4"/>
        <v>0</v>
      </c>
      <c r="J54" s="139">
        <v>66500</v>
      </c>
      <c r="K54" s="136" t="s">
        <v>173</v>
      </c>
      <c r="L54" s="121">
        <v>0</v>
      </c>
      <c r="M54" s="121">
        <v>5000</v>
      </c>
      <c r="N54" s="121">
        <v>2562.5</v>
      </c>
      <c r="O54" s="121">
        <v>2562.5</v>
      </c>
      <c r="P54" s="121">
        <v>2562.5</v>
      </c>
      <c r="Q54" s="121">
        <v>2562.5</v>
      </c>
      <c r="R54" s="121">
        <v>2562.5</v>
      </c>
      <c r="S54" s="121">
        <v>2562.5</v>
      </c>
      <c r="T54" s="121">
        <v>2562.5</v>
      </c>
      <c r="U54" s="121">
        <v>2562.5</v>
      </c>
      <c r="V54" s="121">
        <v>2562.5</v>
      </c>
      <c r="W54" s="121">
        <v>2562.5</v>
      </c>
      <c r="X54" s="121">
        <v>2562.5</v>
      </c>
      <c r="Y54" s="121">
        <v>2562.5</v>
      </c>
      <c r="Z54" s="121">
        <v>2562.5</v>
      </c>
      <c r="AA54" s="121">
        <v>2562.5</v>
      </c>
      <c r="AB54" s="121">
        <v>2562.5</v>
      </c>
      <c r="AC54" s="121">
        <v>2562.5</v>
      </c>
      <c r="AD54" s="121">
        <v>2562.5</v>
      </c>
      <c r="AE54" s="121">
        <v>2562.5</v>
      </c>
      <c r="AF54" s="121">
        <v>2562.5</v>
      </c>
      <c r="AG54" s="121">
        <v>2562.5</v>
      </c>
      <c r="AH54" s="121">
        <v>2562.5</v>
      </c>
      <c r="AI54" s="121">
        <v>2562.5</v>
      </c>
      <c r="AJ54" s="121">
        <v>2562.5</v>
      </c>
      <c r="AK54" s="121">
        <v>2562.5</v>
      </c>
      <c r="AL54" s="121">
        <v>0</v>
      </c>
      <c r="AM54" s="121">
        <v>0</v>
      </c>
      <c r="AN54" s="121">
        <v>0</v>
      </c>
      <c r="AO54" s="121">
        <v>0</v>
      </c>
      <c r="AP54" s="122">
        <v>11000</v>
      </c>
      <c r="AQ54" s="122">
        <v>11000</v>
      </c>
      <c r="AR54" s="122">
        <v>11000</v>
      </c>
      <c r="AS54" s="122">
        <f>11000+11000</f>
        <v>22000</v>
      </c>
      <c r="AT54" s="122"/>
      <c r="AU54" s="122"/>
      <c r="AV54" s="122"/>
      <c r="AW54" s="122"/>
      <c r="AX54" s="122">
        <f t="shared" si="16"/>
        <v>121500</v>
      </c>
      <c r="AY54" s="783">
        <f t="shared" si="18"/>
        <v>1.8270676691729324</v>
      </c>
      <c r="AZ54" s="784">
        <f t="shared" si="19"/>
        <v>55000</v>
      </c>
      <c r="BA54" s="783">
        <f t="shared" si="20"/>
        <v>0.82706766917293228</v>
      </c>
      <c r="BB54" s="784">
        <f t="shared" si="21"/>
        <v>543500</v>
      </c>
      <c r="BC54" s="783">
        <f t="shared" si="22"/>
        <v>0.81729323308270674</v>
      </c>
      <c r="BD54" s="785">
        <f t="shared" si="23"/>
        <v>66500</v>
      </c>
      <c r="BE54" s="785">
        <f t="shared" si="24"/>
        <v>-55000</v>
      </c>
      <c r="BF54" s="786" t="str">
        <f t="shared" si="25"/>
        <v>Vendido</v>
      </c>
      <c r="BG54" s="786" t="str">
        <f t="shared" si="26"/>
        <v>Superávit de Enganche</v>
      </c>
      <c r="BH54" s="786"/>
      <c r="BI54" s="786">
        <f t="shared" si="27"/>
        <v>29</v>
      </c>
      <c r="BJ54" s="786">
        <f>IF(AND(BG54="Cliente Atrasado",COUNTIF(L54:AT54,"&lt;0.01")),DATEDIF(E54,AT$4+1,"m"),0)</f>
        <v>0</v>
      </c>
      <c r="BK54" s="52"/>
    </row>
    <row r="55" spans="1:63" x14ac:dyDescent="0.3">
      <c r="A55" s="20"/>
      <c r="B55" s="135">
        <v>706</v>
      </c>
      <c r="C55" s="136" t="s">
        <v>176</v>
      </c>
      <c r="D55" s="137" t="s">
        <v>245</v>
      </c>
      <c r="E55" s="138">
        <v>45367</v>
      </c>
      <c r="F55" s="135" t="s">
        <v>198</v>
      </c>
      <c r="G55" s="123">
        <v>900000</v>
      </c>
      <c r="H55" s="139">
        <v>900000</v>
      </c>
      <c r="I55" s="139">
        <f t="shared" si="4"/>
        <v>0</v>
      </c>
      <c r="J55" s="139">
        <v>900000</v>
      </c>
      <c r="K55" s="136" t="s">
        <v>173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1">
        <v>0</v>
      </c>
      <c r="W55" s="121">
        <v>0</v>
      </c>
      <c r="X55" s="121">
        <v>0</v>
      </c>
      <c r="Y55" s="121">
        <v>0</v>
      </c>
      <c r="Z55" s="121">
        <v>0</v>
      </c>
      <c r="AA55" s="121">
        <v>0</v>
      </c>
      <c r="AB55" s="121">
        <v>0</v>
      </c>
      <c r="AC55" s="121">
        <v>0</v>
      </c>
      <c r="AD55" s="121">
        <v>0</v>
      </c>
      <c r="AE55" s="121">
        <v>0</v>
      </c>
      <c r="AF55" s="121">
        <v>0</v>
      </c>
      <c r="AG55" s="121">
        <v>5000</v>
      </c>
      <c r="AH55" s="121">
        <v>0</v>
      </c>
      <c r="AI55" s="121">
        <v>111875</v>
      </c>
      <c r="AJ55" s="121">
        <v>111875</v>
      </c>
      <c r="AK55" s="121">
        <v>111875</v>
      </c>
      <c r="AL55" s="121">
        <v>111875</v>
      </c>
      <c r="AM55" s="121">
        <v>0</v>
      </c>
      <c r="AN55" s="121">
        <v>111875</v>
      </c>
      <c r="AO55" s="121">
        <v>0</v>
      </c>
      <c r="AP55" s="122">
        <v>0</v>
      </c>
      <c r="AQ55" s="122">
        <v>111875</v>
      </c>
      <c r="AR55" s="122">
        <v>111875</v>
      </c>
      <c r="AS55" s="122">
        <v>0</v>
      </c>
      <c r="AT55" s="122">
        <v>0</v>
      </c>
      <c r="AU55" s="122"/>
      <c r="AV55" s="122"/>
      <c r="AW55" s="122"/>
      <c r="AX55" s="122">
        <f t="shared" si="16"/>
        <v>788125</v>
      </c>
      <c r="AY55" s="783">
        <f t="shared" si="18"/>
        <v>0.87569444444444444</v>
      </c>
      <c r="AZ55" s="784">
        <f t="shared" si="19"/>
        <v>-111875</v>
      </c>
      <c r="BA55" s="783">
        <f t="shared" si="20"/>
        <v>-0.12430555555555556</v>
      </c>
      <c r="BB55" s="784">
        <f t="shared" si="21"/>
        <v>111875</v>
      </c>
      <c r="BC55" s="783">
        <f t="shared" si="22"/>
        <v>0.12430555555555556</v>
      </c>
      <c r="BD55" s="785">
        <f t="shared" si="23"/>
        <v>900000</v>
      </c>
      <c r="BE55" s="785">
        <f t="shared" si="24"/>
        <v>111875</v>
      </c>
      <c r="BF55" s="786" t="str">
        <f t="shared" si="25"/>
        <v>Vendido</v>
      </c>
      <c r="BG55" s="786" t="str">
        <f t="shared" si="26"/>
        <v>Cliente Atrasado</v>
      </c>
      <c r="BH55" s="786"/>
      <c r="BI55" s="786">
        <f t="shared" si="27"/>
        <v>8</v>
      </c>
      <c r="BJ55" s="786">
        <v>6</v>
      </c>
      <c r="BK55" s="52"/>
    </row>
    <row r="56" spans="1:63" x14ac:dyDescent="0.3">
      <c r="A56" s="20"/>
      <c r="B56" s="135">
        <v>707</v>
      </c>
      <c r="C56" s="136" t="s">
        <v>170</v>
      </c>
      <c r="D56" s="137" t="s">
        <v>246</v>
      </c>
      <c r="E56" s="138">
        <v>44830</v>
      </c>
      <c r="F56" s="135" t="s">
        <v>200</v>
      </c>
      <c r="G56" s="123">
        <v>697720</v>
      </c>
      <c r="H56" s="139">
        <v>697720</v>
      </c>
      <c r="I56" s="139">
        <f t="shared" si="4"/>
        <v>0</v>
      </c>
      <c r="J56" s="139">
        <v>76720</v>
      </c>
      <c r="K56" s="136" t="s">
        <v>173</v>
      </c>
      <c r="L56" s="121">
        <v>0</v>
      </c>
      <c r="M56" s="121">
        <v>0</v>
      </c>
      <c r="N56" s="121">
        <v>0</v>
      </c>
      <c r="O56" s="121">
        <v>5000</v>
      </c>
      <c r="P56" s="121">
        <v>3000</v>
      </c>
      <c r="Q56" s="121">
        <v>3000</v>
      </c>
      <c r="R56" s="121">
        <v>3000</v>
      </c>
      <c r="S56" s="121">
        <v>3000</v>
      </c>
      <c r="T56" s="121">
        <v>3000</v>
      </c>
      <c r="U56" s="121">
        <v>3000</v>
      </c>
      <c r="V56" s="121">
        <v>3000</v>
      </c>
      <c r="W56" s="121">
        <v>3000</v>
      </c>
      <c r="X56" s="121">
        <v>3000</v>
      </c>
      <c r="Y56" s="121">
        <v>3000</v>
      </c>
      <c r="Z56" s="121">
        <v>3000</v>
      </c>
      <c r="AA56" s="121">
        <v>3000</v>
      </c>
      <c r="AB56" s="121">
        <v>3000</v>
      </c>
      <c r="AC56" s="121">
        <v>3000</v>
      </c>
      <c r="AD56" s="121">
        <v>3000</v>
      </c>
      <c r="AE56" s="121">
        <v>3000</v>
      </c>
      <c r="AF56" s="121">
        <v>6000</v>
      </c>
      <c r="AG56" s="121">
        <v>0</v>
      </c>
      <c r="AH56" s="121">
        <v>3000</v>
      </c>
      <c r="AI56" s="121">
        <v>3000</v>
      </c>
      <c r="AJ56" s="121">
        <v>3000</v>
      </c>
      <c r="AK56" s="121">
        <v>8720</v>
      </c>
      <c r="AL56" s="121">
        <v>0</v>
      </c>
      <c r="AM56" s="121">
        <v>0</v>
      </c>
      <c r="AN56" s="121">
        <v>0</v>
      </c>
      <c r="AO56" s="121">
        <v>0</v>
      </c>
      <c r="AP56" s="121">
        <v>0</v>
      </c>
      <c r="AQ56" s="121">
        <v>0</v>
      </c>
      <c r="AR56" s="122">
        <v>149276.78</v>
      </c>
      <c r="AS56" s="122"/>
      <c r="AT56" s="122"/>
      <c r="AU56" s="122"/>
      <c r="AV56" s="122"/>
      <c r="AW56" s="122"/>
      <c r="AX56" s="122">
        <f t="shared" si="16"/>
        <v>225996.78</v>
      </c>
      <c r="AY56" s="783">
        <f t="shared" si="18"/>
        <v>2.9457348800834202</v>
      </c>
      <c r="AZ56" s="784">
        <f t="shared" si="19"/>
        <v>149276.78</v>
      </c>
      <c r="BA56" s="783">
        <f t="shared" si="20"/>
        <v>1.9457348800834202</v>
      </c>
      <c r="BB56" s="784">
        <f t="shared" si="21"/>
        <v>471723.22</v>
      </c>
      <c r="BC56" s="783">
        <f t="shared" si="22"/>
        <v>0.67609244396032786</v>
      </c>
      <c r="BD56" s="785">
        <f t="shared" si="23"/>
        <v>76720</v>
      </c>
      <c r="BE56" s="785">
        <f t="shared" si="24"/>
        <v>-149276.78</v>
      </c>
      <c r="BF56" s="786" t="str">
        <f t="shared" si="25"/>
        <v>Vendido</v>
      </c>
      <c r="BG56" s="786" t="str">
        <f t="shared" si="26"/>
        <v>Superávit de Enganche</v>
      </c>
      <c r="BH56" s="786"/>
      <c r="BI56" s="786">
        <f t="shared" si="27"/>
        <v>23</v>
      </c>
      <c r="BJ56" s="786">
        <f>IF(AND(BG56="Cliente Atrasado",COUNTIF(L56:AT56,"&lt;0.01")),DATEDIF(E56,AT$4+1,"m"),0)</f>
        <v>0</v>
      </c>
      <c r="BK56" s="52"/>
    </row>
    <row r="57" spans="1:63" x14ac:dyDescent="0.3">
      <c r="A57" s="20"/>
      <c r="B57" s="135">
        <v>708</v>
      </c>
      <c r="C57" s="136" t="s">
        <v>170</v>
      </c>
      <c r="D57" s="137" t="s">
        <v>247</v>
      </c>
      <c r="E57" s="138">
        <v>44801</v>
      </c>
      <c r="F57" s="135" t="s">
        <v>186</v>
      </c>
      <c r="G57" s="123">
        <v>498000</v>
      </c>
      <c r="H57" s="139">
        <v>498000</v>
      </c>
      <c r="I57" s="139">
        <f t="shared" si="4"/>
        <v>0</v>
      </c>
      <c r="J57" s="139">
        <v>49800</v>
      </c>
      <c r="K57" s="136" t="s">
        <v>173</v>
      </c>
      <c r="L57" s="121">
        <v>0</v>
      </c>
      <c r="M57" s="121">
        <v>0</v>
      </c>
      <c r="N57" s="121">
        <v>5000</v>
      </c>
      <c r="O57" s="121">
        <v>2000</v>
      </c>
      <c r="P57" s="121">
        <v>2000</v>
      </c>
      <c r="Q57" s="121">
        <v>2000</v>
      </c>
      <c r="R57" s="121">
        <v>2000</v>
      </c>
      <c r="S57" s="121">
        <v>2000</v>
      </c>
      <c r="T57" s="121">
        <v>2000</v>
      </c>
      <c r="U57" s="121">
        <v>2000</v>
      </c>
      <c r="V57" s="121">
        <v>2000</v>
      </c>
      <c r="W57" s="121">
        <v>2000</v>
      </c>
      <c r="X57" s="121">
        <v>2000</v>
      </c>
      <c r="Y57" s="121">
        <v>2000</v>
      </c>
      <c r="Z57" s="121">
        <v>2000</v>
      </c>
      <c r="AA57" s="121">
        <v>2000</v>
      </c>
      <c r="AB57" s="121">
        <v>2000</v>
      </c>
      <c r="AC57" s="121">
        <v>2000</v>
      </c>
      <c r="AD57" s="121">
        <v>2000</v>
      </c>
      <c r="AE57" s="121">
        <v>2000</v>
      </c>
      <c r="AF57" s="121">
        <v>2000</v>
      </c>
      <c r="AG57" s="121">
        <v>2000</v>
      </c>
      <c r="AH57" s="121">
        <v>2000</v>
      </c>
      <c r="AI57" s="121">
        <v>2000</v>
      </c>
      <c r="AJ57" s="121">
        <v>2800</v>
      </c>
      <c r="AK57" s="121">
        <v>2000</v>
      </c>
      <c r="AL57" s="121">
        <v>2000</v>
      </c>
      <c r="AM57" s="121">
        <v>2000</v>
      </c>
      <c r="AN57" s="121">
        <v>2000</v>
      </c>
      <c r="AO57" s="121">
        <v>2000</v>
      </c>
      <c r="AP57" s="122">
        <v>2000</v>
      </c>
      <c r="AQ57" s="121">
        <v>0</v>
      </c>
      <c r="AR57" s="121">
        <v>0</v>
      </c>
      <c r="AS57" s="122">
        <v>102846.48</v>
      </c>
      <c r="AT57" s="122"/>
      <c r="AU57" s="122"/>
      <c r="AV57" s="122"/>
      <c r="AW57" s="122"/>
      <c r="AX57" s="122">
        <f t="shared" si="16"/>
        <v>164646.47999999998</v>
      </c>
      <c r="AY57" s="783">
        <f t="shared" si="18"/>
        <v>3.3061542168674696</v>
      </c>
      <c r="AZ57" s="784">
        <f t="shared" si="19"/>
        <v>114846.47999999998</v>
      </c>
      <c r="BA57" s="783">
        <f t="shared" si="20"/>
        <v>2.3061542168674696</v>
      </c>
      <c r="BB57" s="784">
        <f t="shared" si="21"/>
        <v>333353.52</v>
      </c>
      <c r="BC57" s="783">
        <f t="shared" si="22"/>
        <v>0.66938457831325304</v>
      </c>
      <c r="BD57" s="785">
        <f t="shared" si="23"/>
        <v>49800</v>
      </c>
      <c r="BE57" s="785">
        <f t="shared" si="24"/>
        <v>-114846.47999999998</v>
      </c>
      <c r="BF57" s="786" t="str">
        <f t="shared" si="25"/>
        <v>Vendido</v>
      </c>
      <c r="BG57" s="786" t="str">
        <f t="shared" si="26"/>
        <v>Superávit de Enganche</v>
      </c>
      <c r="BH57" s="786"/>
      <c r="BI57" s="786">
        <f t="shared" si="27"/>
        <v>30</v>
      </c>
      <c r="BJ57" s="786">
        <f>IF(AND(BG57="Cliente Atrasado",COUNTIF(L57:AT57,"&lt;0.01")),DATEDIF(E57,AT$4+1,"m"),0)</f>
        <v>0</v>
      </c>
      <c r="BK57" s="52"/>
    </row>
    <row r="58" spans="1:63" x14ac:dyDescent="0.3">
      <c r="A58" s="20"/>
      <c r="B58" s="135">
        <v>801</v>
      </c>
      <c r="C58" s="136" t="s">
        <v>190</v>
      </c>
      <c r="D58" s="137" t="s">
        <v>248</v>
      </c>
      <c r="E58" s="138">
        <v>44739</v>
      </c>
      <c r="F58" s="135" t="s">
        <v>186</v>
      </c>
      <c r="G58" s="123">
        <v>498000</v>
      </c>
      <c r="H58" s="139">
        <v>498000</v>
      </c>
      <c r="I58" s="139">
        <f t="shared" si="4"/>
        <v>0</v>
      </c>
      <c r="J58" s="139">
        <v>49800</v>
      </c>
      <c r="K58" s="136" t="s">
        <v>173</v>
      </c>
      <c r="L58" s="121">
        <v>5000</v>
      </c>
      <c r="M58" s="121">
        <v>1943.83</v>
      </c>
      <c r="N58" s="121">
        <v>1947.83</v>
      </c>
      <c r="O58" s="121">
        <v>1951.83</v>
      </c>
      <c r="P58" s="121">
        <v>1947.83</v>
      </c>
      <c r="Q58" s="121">
        <v>1947.83</v>
      </c>
      <c r="R58" s="121">
        <v>1947.83</v>
      </c>
      <c r="S58" s="121">
        <v>1947.83</v>
      </c>
      <c r="T58" s="121">
        <v>1947.83</v>
      </c>
      <c r="U58" s="121">
        <v>1947.83</v>
      </c>
      <c r="V58" s="121">
        <v>1947.83</v>
      </c>
      <c r="W58" s="121">
        <v>1947.83</v>
      </c>
      <c r="X58" s="121">
        <v>2000</v>
      </c>
      <c r="Y58" s="121">
        <v>2000</v>
      </c>
      <c r="Z58" s="121">
        <v>1947.83</v>
      </c>
      <c r="AA58" s="121">
        <v>2000</v>
      </c>
      <c r="AB58" s="121">
        <v>2000</v>
      </c>
      <c r="AC58" s="121">
        <v>2000</v>
      </c>
      <c r="AD58" s="121">
        <v>2000</v>
      </c>
      <c r="AE58" s="121">
        <v>2000</v>
      </c>
      <c r="AF58" s="121">
        <v>2000</v>
      </c>
      <c r="AG58" s="121">
        <v>2000</v>
      </c>
      <c r="AH58" s="121">
        <v>2000</v>
      </c>
      <c r="AI58" s="121">
        <v>2000</v>
      </c>
      <c r="AJ58" s="121">
        <v>0</v>
      </c>
      <c r="AK58" s="121">
        <v>4000</v>
      </c>
      <c r="AL58" s="121">
        <v>6000</v>
      </c>
      <c r="AM58" s="121">
        <v>7000</v>
      </c>
      <c r="AN58" s="121">
        <f>30000+20626.04</f>
        <v>50626.04</v>
      </c>
      <c r="AO58" s="121">
        <v>0</v>
      </c>
      <c r="AP58" s="121">
        <v>0</v>
      </c>
      <c r="AQ58" s="121">
        <v>0</v>
      </c>
      <c r="AR58" s="121">
        <v>0</v>
      </c>
      <c r="AS58" s="122">
        <v>71637.09</v>
      </c>
      <c r="AT58" s="122"/>
      <c r="AU58" s="122"/>
      <c r="AV58" s="122"/>
      <c r="AW58" s="122"/>
      <c r="AX58" s="122">
        <f t="shared" si="16"/>
        <v>189637.09</v>
      </c>
      <c r="AY58" s="783">
        <f t="shared" si="18"/>
        <v>3.8079736947791165</v>
      </c>
      <c r="AZ58" s="784">
        <f t="shared" si="19"/>
        <v>139837.09</v>
      </c>
      <c r="BA58" s="783">
        <f t="shared" si="20"/>
        <v>2.8079736947791165</v>
      </c>
      <c r="BB58" s="784">
        <f t="shared" si="21"/>
        <v>308362.91000000003</v>
      </c>
      <c r="BC58" s="783">
        <f t="shared" si="22"/>
        <v>0.61920263052208846</v>
      </c>
      <c r="BD58" s="785">
        <f t="shared" si="23"/>
        <v>49800</v>
      </c>
      <c r="BE58" s="785">
        <f t="shared" si="24"/>
        <v>-139837.09</v>
      </c>
      <c r="BF58" s="786" t="str">
        <f t="shared" si="25"/>
        <v>Vendido</v>
      </c>
      <c r="BG58" s="786" t="str">
        <f t="shared" si="26"/>
        <v>Superávit de Enganche</v>
      </c>
      <c r="BH58" s="786"/>
      <c r="BI58" s="786">
        <f t="shared" si="27"/>
        <v>29</v>
      </c>
      <c r="BJ58" s="786">
        <f>IF(AND(BG58="Cliente Atrasado",COUNTIF(L58:AT58,"&lt;0.01")),DATEDIF(E58,AT$4+1,"m"),0)</f>
        <v>0</v>
      </c>
      <c r="BK58" s="52"/>
    </row>
    <row r="59" spans="1:63" x14ac:dyDescent="0.3">
      <c r="A59" s="20"/>
      <c r="B59" s="135">
        <v>802</v>
      </c>
      <c r="C59" s="136" t="s">
        <v>176</v>
      </c>
      <c r="D59" s="137" t="s">
        <v>249</v>
      </c>
      <c r="E59" s="138">
        <v>45136</v>
      </c>
      <c r="F59" s="135" t="s">
        <v>200</v>
      </c>
      <c r="G59" s="123">
        <v>789500</v>
      </c>
      <c r="H59" s="139">
        <v>789500</v>
      </c>
      <c r="I59" s="139">
        <f t="shared" si="4"/>
        <v>0</v>
      </c>
      <c r="J59" s="139">
        <v>78950</v>
      </c>
      <c r="K59" s="136" t="s">
        <v>173</v>
      </c>
      <c r="L59" s="121">
        <v>0</v>
      </c>
      <c r="M59" s="121">
        <v>0</v>
      </c>
      <c r="N59" s="121">
        <v>0</v>
      </c>
      <c r="O59" s="121">
        <v>0</v>
      </c>
      <c r="P59" s="121">
        <v>0</v>
      </c>
      <c r="Q59" s="121">
        <v>0</v>
      </c>
      <c r="R59" s="121">
        <v>0</v>
      </c>
      <c r="S59" s="121">
        <v>0</v>
      </c>
      <c r="T59" s="121">
        <v>0</v>
      </c>
      <c r="U59" s="121">
        <v>0</v>
      </c>
      <c r="V59" s="121">
        <v>0</v>
      </c>
      <c r="W59" s="121">
        <v>0</v>
      </c>
      <c r="X59" s="121">
        <v>0</v>
      </c>
      <c r="Y59" s="121">
        <v>5000</v>
      </c>
      <c r="Z59" s="121">
        <v>5688.46</v>
      </c>
      <c r="AA59" s="121">
        <v>5688.46</v>
      </c>
      <c r="AB59" s="121">
        <v>5688.46</v>
      </c>
      <c r="AC59" s="121">
        <v>5688.46</v>
      </c>
      <c r="AD59" s="121">
        <v>5688.46</v>
      </c>
      <c r="AE59" s="121">
        <v>5688.46</v>
      </c>
      <c r="AF59" s="121">
        <v>5688.46</v>
      </c>
      <c r="AG59" s="121">
        <v>0</v>
      </c>
      <c r="AH59" s="121">
        <v>11376.92</v>
      </c>
      <c r="AI59" s="121">
        <v>5688.46</v>
      </c>
      <c r="AJ59" s="121">
        <v>5688.46</v>
      </c>
      <c r="AK59" s="121">
        <v>0</v>
      </c>
      <c r="AL59" s="121">
        <v>11376.94</v>
      </c>
      <c r="AM59" s="121">
        <v>0</v>
      </c>
      <c r="AN59" s="121">
        <v>0</v>
      </c>
      <c r="AO59" s="121">
        <v>0</v>
      </c>
      <c r="AP59" s="121">
        <v>0</v>
      </c>
      <c r="AQ59" s="121">
        <v>0</v>
      </c>
      <c r="AR59" s="121">
        <v>0</v>
      </c>
      <c r="AS59" s="121">
        <v>0</v>
      </c>
      <c r="AT59" s="122"/>
      <c r="AU59" s="122"/>
      <c r="AV59" s="122"/>
      <c r="AW59" s="122"/>
      <c r="AX59" s="122">
        <f t="shared" si="16"/>
        <v>78950</v>
      </c>
      <c r="AY59" s="783">
        <f t="shared" si="18"/>
        <v>1</v>
      </c>
      <c r="AZ59" s="784">
        <f t="shared" si="19"/>
        <v>0</v>
      </c>
      <c r="BA59" s="783">
        <f t="shared" si="20"/>
        <v>0</v>
      </c>
      <c r="BB59" s="784">
        <f t="shared" si="21"/>
        <v>710550</v>
      </c>
      <c r="BC59" s="783">
        <f t="shared" si="22"/>
        <v>0.9</v>
      </c>
      <c r="BD59" s="785">
        <f t="shared" si="23"/>
        <v>78950</v>
      </c>
      <c r="BE59" s="785">
        <f t="shared" si="24"/>
        <v>0</v>
      </c>
      <c r="BF59" s="786" t="str">
        <f t="shared" si="25"/>
        <v>Vendido</v>
      </c>
      <c r="BG59" s="786" t="str">
        <f t="shared" si="26"/>
        <v>Enganche Completado</v>
      </c>
      <c r="BH59" s="786"/>
      <c r="BI59" s="786">
        <f t="shared" si="27"/>
        <v>12</v>
      </c>
      <c r="BJ59" s="786">
        <f>IF(AND(BG59="Cliente Atrasado",COUNTIF(L59:AT59,"&lt;0.01")),DATEDIF(E59,AT$4+1,"m"),0)</f>
        <v>0</v>
      </c>
      <c r="BK59" s="52"/>
    </row>
    <row r="60" spans="1:63" x14ac:dyDescent="0.3">
      <c r="A60" s="20"/>
      <c r="B60" s="135">
        <v>803</v>
      </c>
      <c r="C60" s="136" t="s">
        <v>176</v>
      </c>
      <c r="D60" s="137" t="s">
        <v>250</v>
      </c>
      <c r="E60" s="138">
        <v>45630</v>
      </c>
      <c r="F60" s="135" t="s">
        <v>198</v>
      </c>
      <c r="G60" s="123">
        <v>1004617.1</v>
      </c>
      <c r="H60" s="139">
        <f>720603.67+284013.43</f>
        <v>1004617.1000000001</v>
      </c>
      <c r="I60" s="139">
        <f t="shared" si="4"/>
        <v>0</v>
      </c>
      <c r="J60" s="139">
        <v>50317.1</v>
      </c>
      <c r="K60" s="136" t="s">
        <v>173</v>
      </c>
      <c r="L60" s="121">
        <v>0</v>
      </c>
      <c r="M60" s="121">
        <v>0</v>
      </c>
      <c r="N60" s="121">
        <v>0</v>
      </c>
      <c r="O60" s="121">
        <v>0</v>
      </c>
      <c r="P60" s="121">
        <v>0</v>
      </c>
      <c r="Q60" s="121">
        <v>0</v>
      </c>
      <c r="R60" s="121">
        <v>0</v>
      </c>
      <c r="S60" s="121">
        <v>0</v>
      </c>
      <c r="T60" s="121">
        <v>0</v>
      </c>
      <c r="U60" s="121">
        <v>0</v>
      </c>
      <c r="V60" s="121">
        <v>0</v>
      </c>
      <c r="W60" s="121">
        <v>0</v>
      </c>
      <c r="X60" s="121">
        <v>0</v>
      </c>
      <c r="Y60" s="121">
        <v>0</v>
      </c>
      <c r="Z60" s="121">
        <v>0</v>
      </c>
      <c r="AA60" s="121">
        <v>0</v>
      </c>
      <c r="AB60" s="121">
        <v>0</v>
      </c>
      <c r="AC60" s="121">
        <v>0</v>
      </c>
      <c r="AD60" s="121">
        <v>0</v>
      </c>
      <c r="AE60" s="121">
        <v>0</v>
      </c>
      <c r="AF60" s="121">
        <v>0</v>
      </c>
      <c r="AG60" s="121">
        <v>0</v>
      </c>
      <c r="AH60" s="121">
        <v>0</v>
      </c>
      <c r="AI60" s="121">
        <v>0</v>
      </c>
      <c r="AJ60" s="121">
        <v>0</v>
      </c>
      <c r="AK60" s="121">
        <v>0</v>
      </c>
      <c r="AL60" s="121">
        <v>0</v>
      </c>
      <c r="AM60" s="121">
        <v>0</v>
      </c>
      <c r="AN60" s="121">
        <v>0</v>
      </c>
      <c r="AO60" s="121">
        <v>0</v>
      </c>
      <c r="AP60" s="122">
        <f>5000+6611.05+7500</f>
        <v>19111.05</v>
      </c>
      <c r="AQ60" s="122">
        <v>7500</v>
      </c>
      <c r="AR60" s="122">
        <v>0</v>
      </c>
      <c r="AS60" s="122">
        <v>0</v>
      </c>
      <c r="AT60" s="122">
        <v>0</v>
      </c>
      <c r="AU60" s="122">
        <v>23706.05</v>
      </c>
      <c r="AV60" s="122"/>
      <c r="AW60" s="122"/>
      <c r="AX60" s="122">
        <f t="shared" si="16"/>
        <v>50317.1</v>
      </c>
      <c r="AY60" s="783">
        <f t="shared" si="18"/>
        <v>1</v>
      </c>
      <c r="AZ60" s="784">
        <f t="shared" si="19"/>
        <v>0</v>
      </c>
      <c r="BA60" s="783">
        <f t="shared" si="20"/>
        <v>0</v>
      </c>
      <c r="BB60" s="784">
        <f t="shared" si="21"/>
        <v>954300.00000000012</v>
      </c>
      <c r="BC60" s="783">
        <f t="shared" si="22"/>
        <v>0.94991415137170176</v>
      </c>
      <c r="BD60" s="785">
        <f t="shared" si="23"/>
        <v>50317.1</v>
      </c>
      <c r="BE60" s="785">
        <f t="shared" si="24"/>
        <v>0</v>
      </c>
      <c r="BF60" s="786" t="str">
        <f t="shared" si="25"/>
        <v>Vendido</v>
      </c>
      <c r="BG60" s="786" t="str">
        <f t="shared" si="26"/>
        <v>Enganche Completado</v>
      </c>
      <c r="BH60" s="786"/>
      <c r="BI60" s="786">
        <f t="shared" si="27"/>
        <v>2</v>
      </c>
      <c r="BJ60" s="786">
        <f>IF(AND(BG60="Cliente Atrasado",COUNTIF(L60:AT60,"&lt;0.01")),DATEDIF(E60,AT$4,"m"),0)-1</f>
        <v>-1</v>
      </c>
      <c r="BK60" s="52"/>
    </row>
    <row r="61" spans="1:63" x14ac:dyDescent="0.3">
      <c r="A61" s="20"/>
      <c r="B61" s="135">
        <v>804</v>
      </c>
      <c r="C61" s="136" t="s">
        <v>176</v>
      </c>
      <c r="D61" s="137" t="s">
        <v>251</v>
      </c>
      <c r="E61" s="138">
        <v>45348</v>
      </c>
      <c r="F61" s="135" t="s">
        <v>194</v>
      </c>
      <c r="G61" s="123">
        <v>778400</v>
      </c>
      <c r="H61" s="139">
        <v>778400</v>
      </c>
      <c r="I61" s="139">
        <f t="shared" si="4"/>
        <v>0</v>
      </c>
      <c r="J61" s="139">
        <v>38900</v>
      </c>
      <c r="K61" s="136" t="s">
        <v>173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1">
        <v>0</v>
      </c>
      <c r="AF61" s="121">
        <v>5000</v>
      </c>
      <c r="AG61" s="121">
        <v>3769</v>
      </c>
      <c r="AH61" s="121">
        <v>7538</v>
      </c>
      <c r="AI61" s="121">
        <v>3769</v>
      </c>
      <c r="AJ61" s="121">
        <v>3769</v>
      </c>
      <c r="AK61" s="121">
        <v>15155</v>
      </c>
      <c r="AL61" s="121">
        <v>0</v>
      </c>
      <c r="AM61" s="121">
        <v>0</v>
      </c>
      <c r="AN61" s="121">
        <v>0</v>
      </c>
      <c r="AO61" s="121">
        <v>0</v>
      </c>
      <c r="AP61" s="121">
        <v>0</v>
      </c>
      <c r="AQ61" s="121">
        <v>0</v>
      </c>
      <c r="AR61" s="121">
        <v>0</v>
      </c>
      <c r="AS61" s="122">
        <v>293167.37</v>
      </c>
      <c r="AT61" s="122"/>
      <c r="AU61" s="122"/>
      <c r="AV61" s="122"/>
      <c r="AW61" s="122"/>
      <c r="AX61" s="122">
        <f t="shared" si="16"/>
        <v>332167.37</v>
      </c>
      <c r="AY61" s="783">
        <f t="shared" si="18"/>
        <v>8.5390069408740352</v>
      </c>
      <c r="AZ61" s="784">
        <f t="shared" si="19"/>
        <v>293267.37</v>
      </c>
      <c r="BA61" s="783">
        <f t="shared" si="20"/>
        <v>7.5390069408740361</v>
      </c>
      <c r="BB61" s="784">
        <f t="shared" si="21"/>
        <v>446232.63</v>
      </c>
      <c r="BC61" s="783">
        <f t="shared" si="22"/>
        <v>0.57326905190133604</v>
      </c>
      <c r="BD61" s="785">
        <f t="shared" si="23"/>
        <v>38900</v>
      </c>
      <c r="BE61" s="785">
        <f t="shared" si="24"/>
        <v>-293267.37</v>
      </c>
      <c r="BF61" s="786" t="str">
        <f t="shared" si="25"/>
        <v>Vendido</v>
      </c>
      <c r="BG61" s="786" t="str">
        <f t="shared" si="26"/>
        <v>Superávit de Enganche</v>
      </c>
      <c r="BH61" s="786"/>
      <c r="BI61" s="786">
        <f t="shared" si="27"/>
        <v>7</v>
      </c>
      <c r="BJ61" s="786">
        <f t="shared" ref="BJ61:BJ68" si="28">IF(AND(BG61="Cliente Atrasado",COUNTIF(L61:AT61,"&lt;0.01")),DATEDIF(E61,AT$4+1,"m"),0)</f>
        <v>0</v>
      </c>
      <c r="BK61" s="52"/>
    </row>
    <row r="62" spans="1:63" x14ac:dyDescent="0.3">
      <c r="A62" s="20"/>
      <c r="B62" s="135">
        <v>805</v>
      </c>
      <c r="C62" s="136" t="s">
        <v>170</v>
      </c>
      <c r="D62" s="137" t="s">
        <v>252</v>
      </c>
      <c r="E62" s="138">
        <v>45017</v>
      </c>
      <c r="F62" s="135" t="s">
        <v>194</v>
      </c>
      <c r="G62" s="123">
        <v>753900</v>
      </c>
      <c r="H62" s="139">
        <v>753900</v>
      </c>
      <c r="I62" s="139">
        <f t="shared" si="4"/>
        <v>0</v>
      </c>
      <c r="J62" s="139">
        <v>75400</v>
      </c>
      <c r="K62" s="136" t="s">
        <v>173</v>
      </c>
      <c r="L62" s="121">
        <v>0</v>
      </c>
      <c r="M62" s="121">
        <v>0</v>
      </c>
      <c r="N62" s="121">
        <v>0</v>
      </c>
      <c r="O62" s="121">
        <v>0</v>
      </c>
      <c r="P62" s="121">
        <v>0</v>
      </c>
      <c r="Q62" s="121">
        <v>0</v>
      </c>
      <c r="R62" s="121">
        <v>0</v>
      </c>
      <c r="S62" s="121">
        <v>0</v>
      </c>
      <c r="T62" s="121">
        <v>0</v>
      </c>
      <c r="U62" s="121">
        <v>0</v>
      </c>
      <c r="V62" s="121">
        <v>10000</v>
      </c>
      <c r="W62" s="121">
        <v>5000</v>
      </c>
      <c r="X62" s="121">
        <v>6000</v>
      </c>
      <c r="Y62" s="121">
        <v>8500</v>
      </c>
      <c r="Z62" s="121">
        <v>5000</v>
      </c>
      <c r="AA62" s="121">
        <v>5000</v>
      </c>
      <c r="AB62" s="121">
        <v>5000</v>
      </c>
      <c r="AC62" s="121">
        <v>5000</v>
      </c>
      <c r="AD62" s="121">
        <v>5000</v>
      </c>
      <c r="AE62" s="121">
        <v>5000</v>
      </c>
      <c r="AF62" s="121">
        <v>6000</v>
      </c>
      <c r="AG62" s="121">
        <v>6000</v>
      </c>
      <c r="AH62" s="121">
        <v>6000</v>
      </c>
      <c r="AI62" s="121">
        <v>6000</v>
      </c>
      <c r="AJ62" s="121">
        <v>6000</v>
      </c>
      <c r="AK62" s="121">
        <v>10000</v>
      </c>
      <c r="AL62" s="121">
        <v>6000</v>
      </c>
      <c r="AM62" s="121">
        <v>6000</v>
      </c>
      <c r="AN62" s="121">
        <v>0</v>
      </c>
      <c r="AO62" s="121">
        <v>0</v>
      </c>
      <c r="AP62" s="121">
        <v>0</v>
      </c>
      <c r="AQ62" s="121">
        <v>0</v>
      </c>
      <c r="AR62" s="121">
        <v>0</v>
      </c>
      <c r="AS62" s="121">
        <v>0</v>
      </c>
      <c r="AT62" s="122"/>
      <c r="AU62" s="122"/>
      <c r="AV62" s="122"/>
      <c r="AW62" s="122"/>
      <c r="AX62" s="122">
        <f t="shared" si="16"/>
        <v>111500</v>
      </c>
      <c r="AY62" s="783">
        <f t="shared" si="18"/>
        <v>1.4787798408488064</v>
      </c>
      <c r="AZ62" s="784">
        <f t="shared" si="19"/>
        <v>36100</v>
      </c>
      <c r="BA62" s="783">
        <f t="shared" si="20"/>
        <v>0.47877984084880637</v>
      </c>
      <c r="BB62" s="784">
        <f t="shared" si="21"/>
        <v>642400</v>
      </c>
      <c r="BC62" s="783">
        <f t="shared" si="22"/>
        <v>0.85210240084891897</v>
      </c>
      <c r="BD62" s="785">
        <f t="shared" si="23"/>
        <v>75400</v>
      </c>
      <c r="BE62" s="785">
        <f t="shared" si="24"/>
        <v>-36100</v>
      </c>
      <c r="BF62" s="786" t="str">
        <f t="shared" si="25"/>
        <v>Vendido</v>
      </c>
      <c r="BG62" s="786" t="str">
        <f t="shared" si="26"/>
        <v>Superávit de Enganche</v>
      </c>
      <c r="BH62" s="786"/>
      <c r="BI62" s="786">
        <f t="shared" si="27"/>
        <v>18</v>
      </c>
      <c r="BJ62" s="786">
        <f t="shared" si="28"/>
        <v>0</v>
      </c>
      <c r="BK62" s="52"/>
    </row>
    <row r="63" spans="1:63" x14ac:dyDescent="0.3">
      <c r="A63" s="20"/>
      <c r="B63" s="135">
        <v>806</v>
      </c>
      <c r="C63" s="136" t="s">
        <v>176</v>
      </c>
      <c r="D63" s="137" t="s">
        <v>253</v>
      </c>
      <c r="E63" s="138">
        <v>45267</v>
      </c>
      <c r="F63" s="135" t="s">
        <v>198</v>
      </c>
      <c r="G63" s="123">
        <v>990800</v>
      </c>
      <c r="H63" s="139">
        <v>1031600</v>
      </c>
      <c r="I63" s="139">
        <f t="shared" si="4"/>
        <v>-40800</v>
      </c>
      <c r="J63" s="139">
        <v>51600</v>
      </c>
      <c r="K63" s="136" t="s">
        <v>173</v>
      </c>
      <c r="L63" s="121">
        <v>0</v>
      </c>
      <c r="M63" s="121">
        <v>0</v>
      </c>
      <c r="N63" s="121">
        <v>0</v>
      </c>
      <c r="O63" s="121">
        <v>0</v>
      </c>
      <c r="P63" s="121">
        <v>0</v>
      </c>
      <c r="Q63" s="121">
        <v>0</v>
      </c>
      <c r="R63" s="121">
        <v>0</v>
      </c>
      <c r="S63" s="121">
        <v>0</v>
      </c>
      <c r="T63" s="121">
        <v>0</v>
      </c>
      <c r="U63" s="121">
        <v>0</v>
      </c>
      <c r="V63" s="121">
        <v>0</v>
      </c>
      <c r="W63" s="121">
        <v>0</v>
      </c>
      <c r="X63" s="121">
        <v>0</v>
      </c>
      <c r="Y63" s="121">
        <v>0</v>
      </c>
      <c r="Z63" s="121">
        <v>0</v>
      </c>
      <c r="AA63" s="121">
        <v>0</v>
      </c>
      <c r="AB63" s="121">
        <v>0</v>
      </c>
      <c r="AC63" s="121">
        <v>0</v>
      </c>
      <c r="AD63" s="121">
        <v>5000</v>
      </c>
      <c r="AE63" s="121">
        <v>0</v>
      </c>
      <c r="AF63" s="121">
        <v>46600</v>
      </c>
      <c r="AG63" s="121">
        <v>0</v>
      </c>
      <c r="AH63" s="121">
        <v>0</v>
      </c>
      <c r="AI63" s="121">
        <v>0</v>
      </c>
      <c r="AJ63" s="121">
        <v>0</v>
      </c>
      <c r="AK63" s="121">
        <v>0</v>
      </c>
      <c r="AL63" s="121">
        <v>0</v>
      </c>
      <c r="AM63" s="121">
        <v>0</v>
      </c>
      <c r="AN63" s="121">
        <v>0</v>
      </c>
      <c r="AO63" s="121">
        <v>0</v>
      </c>
      <c r="AP63" s="121">
        <v>0</v>
      </c>
      <c r="AQ63" s="121">
        <v>0</v>
      </c>
      <c r="AR63" s="121">
        <v>0</v>
      </c>
      <c r="AS63" s="122">
        <v>377824.7</v>
      </c>
      <c r="AT63" s="122"/>
      <c r="AU63" s="122"/>
      <c r="AV63" s="122"/>
      <c r="AW63" s="122"/>
      <c r="AX63" s="122">
        <f t="shared" si="16"/>
        <v>429424.7</v>
      </c>
      <c r="AY63" s="783">
        <f t="shared" si="18"/>
        <v>8.3221841085271322</v>
      </c>
      <c r="AZ63" s="784">
        <f t="shared" si="19"/>
        <v>377824.7</v>
      </c>
      <c r="BA63" s="783">
        <f t="shared" si="20"/>
        <v>7.3221841085271322</v>
      </c>
      <c r="BB63" s="784">
        <f t="shared" si="21"/>
        <v>602175.30000000005</v>
      </c>
      <c r="BC63" s="783">
        <f t="shared" si="22"/>
        <v>0.58372944939899185</v>
      </c>
      <c r="BD63" s="785">
        <f t="shared" si="23"/>
        <v>51600</v>
      </c>
      <c r="BE63" s="785">
        <f t="shared" si="24"/>
        <v>-377824.7</v>
      </c>
      <c r="BF63" s="786" t="str">
        <f t="shared" si="25"/>
        <v>Vendido</v>
      </c>
      <c r="BG63" s="786" t="str">
        <f t="shared" si="26"/>
        <v>Superávit de Enganche</v>
      </c>
      <c r="BH63" s="786"/>
      <c r="BI63" s="786">
        <f t="shared" si="27"/>
        <v>3</v>
      </c>
      <c r="BJ63" s="786">
        <f t="shared" si="28"/>
        <v>0</v>
      </c>
      <c r="BK63" s="52"/>
    </row>
    <row r="64" spans="1:63" x14ac:dyDescent="0.3">
      <c r="A64" s="35"/>
      <c r="B64" s="135">
        <v>807</v>
      </c>
      <c r="C64" s="136" t="s">
        <v>211</v>
      </c>
      <c r="D64" s="137" t="s">
        <v>254</v>
      </c>
      <c r="E64" s="138">
        <v>45672</v>
      </c>
      <c r="F64" s="135" t="s">
        <v>200</v>
      </c>
      <c r="G64" s="123">
        <v>850000</v>
      </c>
      <c r="H64" s="123">
        <v>850000</v>
      </c>
      <c r="I64" s="139">
        <f t="shared" si="4"/>
        <v>0</v>
      </c>
      <c r="J64" s="139">
        <v>250000</v>
      </c>
      <c r="K64" s="136" t="s">
        <v>173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1">
        <v>0</v>
      </c>
      <c r="AF64" s="121">
        <v>0</v>
      </c>
      <c r="AG64" s="121">
        <v>0</v>
      </c>
      <c r="AH64" s="121">
        <v>0</v>
      </c>
      <c r="AI64" s="121">
        <v>0</v>
      </c>
      <c r="AJ64" s="121">
        <v>0</v>
      </c>
      <c r="AK64" s="121">
        <v>0</v>
      </c>
      <c r="AL64" s="121">
        <v>0</v>
      </c>
      <c r="AM64" s="121">
        <v>0</v>
      </c>
      <c r="AN64" s="121">
        <v>0</v>
      </c>
      <c r="AO64" s="121">
        <v>0</v>
      </c>
      <c r="AP64" s="122">
        <v>0</v>
      </c>
      <c r="AQ64" s="122">
        <v>5000</v>
      </c>
      <c r="AR64" s="122">
        <v>245000</v>
      </c>
      <c r="AS64" s="121">
        <v>0</v>
      </c>
      <c r="AT64" s="122"/>
      <c r="AU64" s="122"/>
      <c r="AV64" s="122"/>
      <c r="AW64" s="122"/>
      <c r="AX64" s="122">
        <f t="shared" si="16"/>
        <v>250000</v>
      </c>
      <c r="AY64" s="783">
        <f t="shared" si="18"/>
        <v>1</v>
      </c>
      <c r="AZ64" s="784">
        <f t="shared" si="19"/>
        <v>0</v>
      </c>
      <c r="BA64" s="783">
        <f t="shared" si="20"/>
        <v>0</v>
      </c>
      <c r="BB64" s="784">
        <f t="shared" si="21"/>
        <v>600000</v>
      </c>
      <c r="BC64" s="783">
        <f t="shared" si="22"/>
        <v>0.70588235294117652</v>
      </c>
      <c r="BD64" s="785">
        <f t="shared" si="23"/>
        <v>250000</v>
      </c>
      <c r="BE64" s="785">
        <f t="shared" si="24"/>
        <v>0</v>
      </c>
      <c r="BF64" s="786" t="str">
        <f t="shared" si="25"/>
        <v>Vendido</v>
      </c>
      <c r="BG64" s="786" t="str">
        <f t="shared" si="26"/>
        <v>Enganche Completado</v>
      </c>
      <c r="BH64" s="786"/>
      <c r="BI64" s="786">
        <f t="shared" si="27"/>
        <v>2</v>
      </c>
      <c r="BJ64" s="786">
        <f t="shared" si="28"/>
        <v>0</v>
      </c>
      <c r="BK64" s="52"/>
    </row>
    <row r="65" spans="1:65" x14ac:dyDescent="0.3">
      <c r="A65" s="20"/>
      <c r="B65" s="135">
        <v>808</v>
      </c>
      <c r="C65" s="136" t="s">
        <v>190</v>
      </c>
      <c r="D65" s="137" t="s">
        <v>255</v>
      </c>
      <c r="E65" s="138">
        <v>44771</v>
      </c>
      <c r="F65" s="135" t="s">
        <v>186</v>
      </c>
      <c r="G65" s="123">
        <v>498000</v>
      </c>
      <c r="H65" s="139">
        <v>498000</v>
      </c>
      <c r="I65" s="139">
        <f t="shared" si="4"/>
        <v>0</v>
      </c>
      <c r="J65" s="139">
        <v>49800</v>
      </c>
      <c r="K65" s="136" t="s">
        <v>173</v>
      </c>
      <c r="L65" s="121">
        <v>0</v>
      </c>
      <c r="M65" s="121">
        <v>5000</v>
      </c>
      <c r="N65" s="121">
        <v>1948</v>
      </c>
      <c r="O65" s="121">
        <v>1948</v>
      </c>
      <c r="P65" s="121">
        <v>1948</v>
      </c>
      <c r="Q65" s="121">
        <v>1948</v>
      </c>
      <c r="R65" s="121">
        <v>1948</v>
      </c>
      <c r="S65" s="121">
        <v>1948</v>
      </c>
      <c r="T65" s="121">
        <v>1948</v>
      </c>
      <c r="U65" s="121">
        <v>1948</v>
      </c>
      <c r="V65" s="121">
        <v>0</v>
      </c>
      <c r="W65" s="121">
        <v>3896</v>
      </c>
      <c r="X65" s="121">
        <v>1948</v>
      </c>
      <c r="Y65" s="121">
        <v>1948</v>
      </c>
      <c r="Z65" s="121">
        <v>1948</v>
      </c>
      <c r="AA65" s="121">
        <v>1948</v>
      </c>
      <c r="AB65" s="121">
        <v>0</v>
      </c>
      <c r="AC65" s="121">
        <v>1948</v>
      </c>
      <c r="AD65" s="121">
        <v>3896</v>
      </c>
      <c r="AE65" s="121">
        <v>0</v>
      </c>
      <c r="AF65" s="121">
        <v>0</v>
      </c>
      <c r="AG65" s="121">
        <v>1948</v>
      </c>
      <c r="AH65" s="121">
        <v>1948</v>
      </c>
      <c r="AI65" s="121">
        <v>0</v>
      </c>
      <c r="AJ65" s="121">
        <v>7788</v>
      </c>
      <c r="AK65" s="121">
        <v>0</v>
      </c>
      <c r="AL65" s="121">
        <v>0</v>
      </c>
      <c r="AM65" s="121">
        <v>0</v>
      </c>
      <c r="AN65" s="121">
        <v>48200</v>
      </c>
      <c r="AO65" s="121">
        <v>0</v>
      </c>
      <c r="AP65" s="121">
        <v>0</v>
      </c>
      <c r="AQ65" s="121">
        <v>0</v>
      </c>
      <c r="AR65" s="121">
        <v>0</v>
      </c>
      <c r="AS65" s="121">
        <v>0</v>
      </c>
      <c r="AT65" s="122"/>
      <c r="AU65" s="122"/>
      <c r="AV65" s="122"/>
      <c r="AW65" s="122"/>
      <c r="AX65" s="122">
        <f t="shared" si="16"/>
        <v>98000</v>
      </c>
      <c r="AY65" s="783">
        <f t="shared" si="18"/>
        <v>1.9678714859437751</v>
      </c>
      <c r="AZ65" s="784">
        <f t="shared" si="19"/>
        <v>48200</v>
      </c>
      <c r="BA65" s="783">
        <f t="shared" si="20"/>
        <v>0.96787148594377514</v>
      </c>
      <c r="BB65" s="784">
        <f t="shared" si="21"/>
        <v>400000</v>
      </c>
      <c r="BC65" s="783">
        <f t="shared" si="22"/>
        <v>0.80321285140562249</v>
      </c>
      <c r="BD65" s="785">
        <f t="shared" si="23"/>
        <v>49800</v>
      </c>
      <c r="BE65" s="785">
        <f t="shared" si="24"/>
        <v>-48200</v>
      </c>
      <c r="BF65" s="786" t="str">
        <f t="shared" si="25"/>
        <v>Vendido</v>
      </c>
      <c r="BG65" s="786" t="str">
        <f t="shared" si="26"/>
        <v>Superávit de Enganche</v>
      </c>
      <c r="BH65" s="786"/>
      <c r="BI65" s="786">
        <f t="shared" si="27"/>
        <v>20</v>
      </c>
      <c r="BJ65" s="786">
        <f t="shared" si="28"/>
        <v>0</v>
      </c>
      <c r="BK65" s="52"/>
    </row>
    <row r="66" spans="1:65" x14ac:dyDescent="0.3">
      <c r="A66" s="20"/>
      <c r="B66" s="135">
        <v>901</v>
      </c>
      <c r="C66" s="136" t="s">
        <v>170</v>
      </c>
      <c r="D66" s="137" t="s">
        <v>256</v>
      </c>
      <c r="E66" s="138">
        <v>44783</v>
      </c>
      <c r="F66" s="135" t="s">
        <v>186</v>
      </c>
      <c r="G66" s="123">
        <v>498000</v>
      </c>
      <c r="H66" s="139">
        <v>498000</v>
      </c>
      <c r="I66" s="139">
        <f t="shared" si="4"/>
        <v>0</v>
      </c>
      <c r="J66" s="139">
        <v>49800</v>
      </c>
      <c r="K66" s="136" t="s">
        <v>173</v>
      </c>
      <c r="L66" s="121">
        <v>0</v>
      </c>
      <c r="M66" s="121">
        <v>0</v>
      </c>
      <c r="N66" s="121">
        <v>2000</v>
      </c>
      <c r="O66" s="121">
        <v>3000</v>
      </c>
      <c r="P66" s="121">
        <v>3000</v>
      </c>
      <c r="Q66" s="121">
        <v>3000</v>
      </c>
      <c r="R66" s="121">
        <v>109.08</v>
      </c>
      <c r="S66" s="121">
        <v>3000</v>
      </c>
      <c r="T66" s="121">
        <v>2000</v>
      </c>
      <c r="U66" s="121">
        <v>3000</v>
      </c>
      <c r="V66" s="121">
        <v>3000</v>
      </c>
      <c r="W66" s="121">
        <v>0</v>
      </c>
      <c r="X66" s="121">
        <v>3000</v>
      </c>
      <c r="Y66" s="121">
        <v>3000</v>
      </c>
      <c r="Z66" s="121">
        <v>0</v>
      </c>
      <c r="AA66" s="121">
        <v>3000</v>
      </c>
      <c r="AB66" s="121">
        <v>3000</v>
      </c>
      <c r="AC66" s="121">
        <v>3000</v>
      </c>
      <c r="AD66" s="121">
        <v>3000</v>
      </c>
      <c r="AE66" s="121">
        <v>3000</v>
      </c>
      <c r="AF66" s="121">
        <v>5000</v>
      </c>
      <c r="AG66" s="121">
        <v>5000</v>
      </c>
      <c r="AH66" s="121">
        <v>21170.41</v>
      </c>
      <c r="AI66" s="121">
        <v>5400</v>
      </c>
      <c r="AJ66" s="121">
        <v>4000</v>
      </c>
      <c r="AK66" s="121">
        <v>4045</v>
      </c>
      <c r="AL66" s="121">
        <v>9775.51</v>
      </c>
      <c r="AM66" s="121">
        <v>2500</v>
      </c>
      <c r="AN66" s="121">
        <v>0</v>
      </c>
      <c r="AO66" s="121">
        <v>0</v>
      </c>
      <c r="AP66" s="121">
        <v>0</v>
      </c>
      <c r="AQ66" s="121">
        <v>0</v>
      </c>
      <c r="AR66" s="121">
        <v>0</v>
      </c>
      <c r="AS66" s="122">
        <v>60556.23</v>
      </c>
      <c r="AT66" s="122"/>
      <c r="AU66" s="122"/>
      <c r="AV66" s="122"/>
      <c r="AW66" s="122"/>
      <c r="AX66" s="122">
        <f t="shared" si="16"/>
        <v>160556.23000000001</v>
      </c>
      <c r="AY66" s="783">
        <f t="shared" si="18"/>
        <v>3.2240206827309241</v>
      </c>
      <c r="AZ66" s="784">
        <f t="shared" si="19"/>
        <v>110756.23000000001</v>
      </c>
      <c r="BA66" s="783">
        <f t="shared" si="20"/>
        <v>2.2240206827309241</v>
      </c>
      <c r="BB66" s="784">
        <f t="shared" si="21"/>
        <v>337443.77</v>
      </c>
      <c r="BC66" s="783">
        <f t="shared" si="22"/>
        <v>0.67759793172690763</v>
      </c>
      <c r="BD66" s="785">
        <f t="shared" si="23"/>
        <v>49800</v>
      </c>
      <c r="BE66" s="785">
        <f t="shared" si="24"/>
        <v>-110756.23000000001</v>
      </c>
      <c r="BF66" s="786" t="str">
        <f t="shared" si="25"/>
        <v>Vendido</v>
      </c>
      <c r="BG66" s="786" t="str">
        <f t="shared" si="26"/>
        <v>Superávit de Enganche</v>
      </c>
      <c r="BH66" s="786"/>
      <c r="BI66" s="786">
        <f t="shared" si="27"/>
        <v>25</v>
      </c>
      <c r="BJ66" s="786">
        <f t="shared" si="28"/>
        <v>0</v>
      </c>
      <c r="BK66" s="52"/>
    </row>
    <row r="67" spans="1:65" x14ac:dyDescent="0.3">
      <c r="A67" s="20"/>
      <c r="B67" s="135">
        <v>902</v>
      </c>
      <c r="C67" s="136" t="s">
        <v>176</v>
      </c>
      <c r="D67" s="137" t="s">
        <v>257</v>
      </c>
      <c r="E67" s="138">
        <v>45254</v>
      </c>
      <c r="F67" s="135" t="s">
        <v>200</v>
      </c>
      <c r="G67" s="123">
        <v>788400</v>
      </c>
      <c r="H67" s="139">
        <v>788400</v>
      </c>
      <c r="I67" s="139">
        <f t="shared" si="4"/>
        <v>0</v>
      </c>
      <c r="J67" s="139">
        <v>39500</v>
      </c>
      <c r="K67" s="136" t="s">
        <v>173</v>
      </c>
      <c r="L67" s="121">
        <v>0</v>
      </c>
      <c r="M67" s="121">
        <v>0</v>
      </c>
      <c r="N67" s="121">
        <v>0</v>
      </c>
      <c r="O67" s="121">
        <v>0</v>
      </c>
      <c r="P67" s="121">
        <v>0</v>
      </c>
      <c r="Q67" s="121">
        <v>0</v>
      </c>
      <c r="R67" s="121">
        <v>0</v>
      </c>
      <c r="S67" s="121">
        <v>0</v>
      </c>
      <c r="T67" s="121">
        <v>0</v>
      </c>
      <c r="U67" s="121">
        <v>0</v>
      </c>
      <c r="V67" s="121">
        <v>0</v>
      </c>
      <c r="W67" s="121">
        <v>0</v>
      </c>
      <c r="X67" s="121">
        <v>0</v>
      </c>
      <c r="Y67" s="121">
        <v>0</v>
      </c>
      <c r="Z67" s="121">
        <v>0</v>
      </c>
      <c r="AA67" s="121">
        <v>0</v>
      </c>
      <c r="AB67" s="121">
        <v>0</v>
      </c>
      <c r="AC67" s="121">
        <v>3000</v>
      </c>
      <c r="AD67" s="121">
        <v>3041</v>
      </c>
      <c r="AE67" s="121">
        <v>3041</v>
      </c>
      <c r="AF67" s="121">
        <v>3041</v>
      </c>
      <c r="AG67" s="121">
        <v>3041</v>
      </c>
      <c r="AH67" s="121">
        <v>3041</v>
      </c>
      <c r="AI67" s="121">
        <v>0</v>
      </c>
      <c r="AJ67" s="121">
        <v>3041</v>
      </c>
      <c r="AK67" s="121">
        <v>0</v>
      </c>
      <c r="AL67" s="121">
        <v>6082</v>
      </c>
      <c r="AM67" s="121">
        <v>3041</v>
      </c>
      <c r="AN67" s="121">
        <v>6082</v>
      </c>
      <c r="AO67" s="121">
        <v>0</v>
      </c>
      <c r="AP67" s="121">
        <v>3041</v>
      </c>
      <c r="AQ67" s="122">
        <v>8</v>
      </c>
      <c r="AR67" s="121">
        <v>0</v>
      </c>
      <c r="AS67" s="121">
        <v>0</v>
      </c>
      <c r="AT67" s="122"/>
      <c r="AU67" s="122"/>
      <c r="AV67" s="122"/>
      <c r="AW67" s="122"/>
      <c r="AX67" s="122">
        <f t="shared" si="16"/>
        <v>39500</v>
      </c>
      <c r="AY67" s="783">
        <f t="shared" si="18"/>
        <v>1</v>
      </c>
      <c r="AZ67" s="784">
        <f t="shared" si="19"/>
        <v>0</v>
      </c>
      <c r="BA67" s="783">
        <f t="shared" si="20"/>
        <v>0</v>
      </c>
      <c r="BB67" s="784">
        <f t="shared" si="21"/>
        <v>748900</v>
      </c>
      <c r="BC67" s="783">
        <f t="shared" si="22"/>
        <v>0.94989852866565194</v>
      </c>
      <c r="BD67" s="785">
        <f t="shared" si="23"/>
        <v>39500</v>
      </c>
      <c r="BE67" s="785">
        <f t="shared" si="24"/>
        <v>0</v>
      </c>
      <c r="BF67" s="786" t="str">
        <f t="shared" si="25"/>
        <v>Vendido</v>
      </c>
      <c r="BG67" s="786" t="str">
        <f t="shared" si="26"/>
        <v>Enganche Completado</v>
      </c>
      <c r="BH67" s="786"/>
      <c r="BI67" s="786">
        <f t="shared" si="27"/>
        <v>12</v>
      </c>
      <c r="BJ67" s="786">
        <f t="shared" si="28"/>
        <v>0</v>
      </c>
      <c r="BK67" s="52"/>
    </row>
    <row r="68" spans="1:65" x14ac:dyDescent="0.3">
      <c r="A68" s="20"/>
      <c r="B68" s="135">
        <v>903</v>
      </c>
      <c r="C68" s="136" t="s">
        <v>176</v>
      </c>
      <c r="D68" s="137" t="s">
        <v>258</v>
      </c>
      <c r="E68" s="138">
        <v>45321</v>
      </c>
      <c r="F68" s="135" t="s">
        <v>198</v>
      </c>
      <c r="G68" s="123">
        <v>1033420</v>
      </c>
      <c r="H68" s="139">
        <v>1074220</v>
      </c>
      <c r="I68" s="139">
        <f t="shared" si="4"/>
        <v>-40800</v>
      </c>
      <c r="J68" s="139">
        <v>200020</v>
      </c>
      <c r="K68" s="136" t="s">
        <v>173</v>
      </c>
      <c r="L68" s="121">
        <v>0</v>
      </c>
      <c r="M68" s="121">
        <v>0</v>
      </c>
      <c r="N68" s="121">
        <v>0</v>
      </c>
      <c r="O68" s="121">
        <v>0</v>
      </c>
      <c r="P68" s="121">
        <v>0</v>
      </c>
      <c r="Q68" s="121">
        <v>0</v>
      </c>
      <c r="R68" s="121">
        <v>0</v>
      </c>
      <c r="S68" s="121">
        <v>0</v>
      </c>
      <c r="T68" s="121">
        <v>0</v>
      </c>
      <c r="U68" s="121">
        <v>0</v>
      </c>
      <c r="V68" s="121">
        <v>0</v>
      </c>
      <c r="W68" s="121">
        <v>0</v>
      </c>
      <c r="X68" s="121">
        <v>0</v>
      </c>
      <c r="Y68" s="121">
        <v>0</v>
      </c>
      <c r="Z68" s="121">
        <v>0</v>
      </c>
      <c r="AA68" s="121">
        <v>0</v>
      </c>
      <c r="AB68" s="121">
        <v>0</v>
      </c>
      <c r="AC68" s="121">
        <v>0</v>
      </c>
      <c r="AD68" s="121">
        <v>0</v>
      </c>
      <c r="AE68" s="121">
        <v>5000</v>
      </c>
      <c r="AF68" s="121">
        <v>3564.5</v>
      </c>
      <c r="AG68" s="121">
        <v>3575.5</v>
      </c>
      <c r="AH68" s="121">
        <v>3575</v>
      </c>
      <c r="AI68" s="121">
        <v>3575</v>
      </c>
      <c r="AJ68" s="121">
        <v>3575</v>
      </c>
      <c r="AK68" s="121">
        <v>3691</v>
      </c>
      <c r="AL68" s="121">
        <v>6000</v>
      </c>
      <c r="AM68" s="121">
        <v>6000</v>
      </c>
      <c r="AN68" s="121">
        <v>6000</v>
      </c>
      <c r="AO68" s="121">
        <v>6000</v>
      </c>
      <c r="AP68" s="122">
        <v>149580</v>
      </c>
      <c r="AQ68" s="122"/>
      <c r="AR68" s="121">
        <v>0</v>
      </c>
      <c r="AS68" s="122">
        <v>329301.71000000002</v>
      </c>
      <c r="AT68" s="122"/>
      <c r="AU68" s="122"/>
      <c r="AV68" s="122"/>
      <c r="AW68" s="122"/>
      <c r="AX68" s="122">
        <f t="shared" si="16"/>
        <v>529437.71</v>
      </c>
      <c r="AY68" s="783">
        <f t="shared" si="18"/>
        <v>2.6469238576142384</v>
      </c>
      <c r="AZ68" s="784">
        <f t="shared" si="19"/>
        <v>329417.70999999996</v>
      </c>
      <c r="BA68" s="783">
        <f t="shared" si="20"/>
        <v>1.6469238576142384</v>
      </c>
      <c r="BB68" s="784">
        <f t="shared" si="21"/>
        <v>544782.29</v>
      </c>
      <c r="BC68" s="783">
        <f t="shared" si="22"/>
        <v>0.50714219619817169</v>
      </c>
      <c r="BD68" s="785">
        <f t="shared" si="23"/>
        <v>200020</v>
      </c>
      <c r="BE68" s="785">
        <f t="shared" si="24"/>
        <v>-329417.70999999996</v>
      </c>
      <c r="BF68" s="786" t="str">
        <f t="shared" si="25"/>
        <v>Vendido</v>
      </c>
      <c r="BG68" s="786" t="str">
        <f t="shared" si="26"/>
        <v>Superávit de Enganche</v>
      </c>
      <c r="BH68" s="786"/>
      <c r="BI68" s="786">
        <f t="shared" si="27"/>
        <v>13</v>
      </c>
      <c r="BJ68" s="786">
        <f t="shared" si="28"/>
        <v>0</v>
      </c>
      <c r="BK68" s="52"/>
    </row>
    <row r="69" spans="1:65" x14ac:dyDescent="0.3">
      <c r="A69" s="20"/>
      <c r="B69" s="135">
        <v>904</v>
      </c>
      <c r="C69" s="136" t="s">
        <v>176</v>
      </c>
      <c r="D69" s="137" t="s">
        <v>259</v>
      </c>
      <c r="E69" s="138">
        <v>45434</v>
      </c>
      <c r="F69" s="135" t="s">
        <v>194</v>
      </c>
      <c r="G69" s="123">
        <v>770000</v>
      </c>
      <c r="H69" s="139">
        <v>770000</v>
      </c>
      <c r="I69" s="139">
        <f t="shared" ref="I69:I79" si="29">+G69-H69</f>
        <v>0</v>
      </c>
      <c r="J69" s="139">
        <v>770000</v>
      </c>
      <c r="K69" s="136" t="s">
        <v>173</v>
      </c>
      <c r="L69" s="121">
        <v>0</v>
      </c>
      <c r="M69" s="121">
        <v>0</v>
      </c>
      <c r="N69" s="121">
        <v>0</v>
      </c>
      <c r="O69" s="121">
        <v>0</v>
      </c>
      <c r="P69" s="121">
        <v>0</v>
      </c>
      <c r="Q69" s="121">
        <v>0</v>
      </c>
      <c r="R69" s="121">
        <v>0</v>
      </c>
      <c r="S69" s="121">
        <v>0</v>
      </c>
      <c r="T69" s="121">
        <v>0</v>
      </c>
      <c r="U69" s="121">
        <v>0</v>
      </c>
      <c r="V69" s="121">
        <v>0</v>
      </c>
      <c r="W69" s="121">
        <v>0</v>
      </c>
      <c r="X69" s="121">
        <v>0</v>
      </c>
      <c r="Y69" s="121">
        <v>0</v>
      </c>
      <c r="Z69" s="121">
        <v>0</v>
      </c>
      <c r="AA69" s="121">
        <v>0</v>
      </c>
      <c r="AB69" s="121">
        <v>0</v>
      </c>
      <c r="AC69" s="121">
        <v>0</v>
      </c>
      <c r="AD69" s="121">
        <v>0</v>
      </c>
      <c r="AE69" s="121">
        <v>0</v>
      </c>
      <c r="AF69" s="121">
        <v>0</v>
      </c>
      <c r="AG69" s="121">
        <v>0</v>
      </c>
      <c r="AH69" s="121">
        <v>0</v>
      </c>
      <c r="AI69" s="121">
        <v>5000</v>
      </c>
      <c r="AJ69" s="121">
        <v>20000</v>
      </c>
      <c r="AK69" s="121">
        <v>0</v>
      </c>
      <c r="AL69" s="121">
        <v>0</v>
      </c>
      <c r="AM69" s="121">
        <v>0</v>
      </c>
      <c r="AN69" s="121">
        <v>0</v>
      </c>
      <c r="AO69" s="121">
        <v>0</v>
      </c>
      <c r="AP69" s="121">
        <v>0</v>
      </c>
      <c r="AQ69" s="122">
        <v>741479.55</v>
      </c>
      <c r="AR69" s="122">
        <v>0</v>
      </c>
      <c r="AS69" s="122">
        <v>0</v>
      </c>
      <c r="AT69" s="122">
        <v>0</v>
      </c>
      <c r="AU69" s="122"/>
      <c r="AV69" s="122"/>
      <c r="AW69" s="122"/>
      <c r="AX69" s="122">
        <f t="shared" si="16"/>
        <v>766479.55</v>
      </c>
      <c r="AY69" s="783">
        <f t="shared" ref="AY69:AY80" si="30">IFERROR((+AX69/BD69),0)</f>
        <v>0.99542798701298707</v>
      </c>
      <c r="AZ69" s="784">
        <f t="shared" ref="AZ69:AZ79" si="31">+AX69-BD69</f>
        <v>-3520.4499999999534</v>
      </c>
      <c r="BA69" s="783">
        <f t="shared" ref="BA69:BA80" si="32">IFERROR((+AZ69/BD69),0)</f>
        <v>-4.5720129870129265E-3</v>
      </c>
      <c r="BB69" s="784">
        <f t="shared" ref="BB69:BB79" si="33">+H69-AX69</f>
        <v>3520.4499999999534</v>
      </c>
      <c r="BC69" s="783">
        <f t="shared" ref="BC69:BC80" si="34">+BB69/H69</f>
        <v>4.5720129870129265E-3</v>
      </c>
      <c r="BD69" s="785">
        <f t="shared" ref="BD69:BD79" si="35">IF(BF69="Vendido",J69*1,IF(BF69="Disponible",J69*0,IF(BF69="Enganche Completado",J69*1,IF(BF69="Superávit de Enganche",J69*1,0))))</f>
        <v>770000</v>
      </c>
      <c r="BE69" s="785">
        <f t="shared" ref="BE69:BE79" si="36">IF(D69=0,J69*0,BD69-AX69)</f>
        <v>3520.4499999999534</v>
      </c>
      <c r="BF69" s="786" t="str">
        <f t="shared" ref="BF69:BF79" si="37">IF(D69=0,"Apartamento Disponible",IF(D69&gt;1,"Vendido",0))</f>
        <v>Vendido</v>
      </c>
      <c r="BG69" s="786" t="str">
        <f t="shared" ref="BG69:BG79" si="38">IF(AND(BF69="Vendido",E69&gt;=0,AZ69=0),"Enganche Completado",IF(AND(BF69="Vendido",E69&gt;=0,AZ69&gt;0),"Superávit de Enganche",IF(AND(BF69="Apartamento Disponible",E69=0,AZ69=0),"Disponible","Cliente Atrasado")))</f>
        <v>Cliente Atrasado</v>
      </c>
      <c r="BH69" s="786"/>
      <c r="BI69" s="786">
        <f t="shared" ref="BI69:BI79" si="39">COUNTIF(L69:AT69,"&gt;0.01")</f>
        <v>3</v>
      </c>
      <c r="BJ69" s="786">
        <v>1</v>
      </c>
      <c r="BK69" s="52"/>
    </row>
    <row r="70" spans="1:65" x14ac:dyDescent="0.3">
      <c r="A70" s="20"/>
      <c r="B70" s="135">
        <v>905</v>
      </c>
      <c r="C70" s="136" t="s">
        <v>170</v>
      </c>
      <c r="D70" s="137" t="s">
        <v>260</v>
      </c>
      <c r="E70" s="138">
        <v>44992</v>
      </c>
      <c r="F70" s="135" t="s">
        <v>194</v>
      </c>
      <c r="G70" s="123">
        <v>753900</v>
      </c>
      <c r="H70" s="139">
        <v>753900</v>
      </c>
      <c r="I70" s="139">
        <f t="shared" si="29"/>
        <v>0</v>
      </c>
      <c r="J70" s="139">
        <v>75400</v>
      </c>
      <c r="K70" s="136" t="s">
        <v>173</v>
      </c>
      <c r="L70" s="121">
        <v>0</v>
      </c>
      <c r="M70" s="121">
        <v>0</v>
      </c>
      <c r="N70" s="121">
        <v>0</v>
      </c>
      <c r="O70" s="121">
        <v>0</v>
      </c>
      <c r="P70" s="121">
        <v>0</v>
      </c>
      <c r="Q70" s="121">
        <v>0</v>
      </c>
      <c r="R70" s="121">
        <v>0</v>
      </c>
      <c r="S70" s="121">
        <v>0</v>
      </c>
      <c r="T70" s="121">
        <v>0</v>
      </c>
      <c r="U70" s="121">
        <v>5000</v>
      </c>
      <c r="V70" s="121">
        <v>4400</v>
      </c>
      <c r="W70" s="121">
        <v>4400</v>
      </c>
      <c r="X70" s="121">
        <v>4400</v>
      </c>
      <c r="Y70" s="121">
        <v>13200</v>
      </c>
      <c r="Z70" s="121">
        <v>0</v>
      </c>
      <c r="AA70" s="121">
        <v>0</v>
      </c>
      <c r="AB70" s="121">
        <v>4400</v>
      </c>
      <c r="AC70" s="121">
        <v>0</v>
      </c>
      <c r="AD70" s="121">
        <v>17600</v>
      </c>
      <c r="AE70" s="121">
        <v>4400</v>
      </c>
      <c r="AF70" s="121">
        <v>0</v>
      </c>
      <c r="AG70" s="121">
        <v>4400</v>
      </c>
      <c r="AH70" s="121">
        <v>0</v>
      </c>
      <c r="AI70" s="121">
        <v>4400</v>
      </c>
      <c r="AJ70" s="121">
        <v>8800</v>
      </c>
      <c r="AK70" s="121">
        <v>0</v>
      </c>
      <c r="AL70" s="121">
        <v>0</v>
      </c>
      <c r="AM70" s="121">
        <v>0</v>
      </c>
      <c r="AN70" s="121">
        <v>0</v>
      </c>
      <c r="AO70" s="121">
        <v>0</v>
      </c>
      <c r="AP70" s="121">
        <v>0</v>
      </c>
      <c r="AQ70" s="121">
        <v>0</v>
      </c>
      <c r="AR70" s="121">
        <v>0</v>
      </c>
      <c r="AS70" s="122">
        <v>221962.96</v>
      </c>
      <c r="AT70" s="122"/>
      <c r="AU70" s="122"/>
      <c r="AV70" s="122"/>
      <c r="AW70" s="122"/>
      <c r="AX70" s="122">
        <f t="shared" ref="AX70:AX80" si="40">SUM(L70:AV70)</f>
        <v>297362.95999999996</v>
      </c>
      <c r="AY70" s="783">
        <f t="shared" si="30"/>
        <v>3.943805835543766</v>
      </c>
      <c r="AZ70" s="784">
        <f t="shared" si="31"/>
        <v>221962.95999999996</v>
      </c>
      <c r="BA70" s="783">
        <f t="shared" si="32"/>
        <v>2.943805835543766</v>
      </c>
      <c r="BB70" s="784">
        <f t="shared" si="33"/>
        <v>456537.04000000004</v>
      </c>
      <c r="BC70" s="783">
        <f t="shared" si="34"/>
        <v>0.60556710439050276</v>
      </c>
      <c r="BD70" s="785">
        <f t="shared" si="35"/>
        <v>75400</v>
      </c>
      <c r="BE70" s="785">
        <f t="shared" si="36"/>
        <v>-221962.95999999996</v>
      </c>
      <c r="BF70" s="786" t="str">
        <f t="shared" si="37"/>
        <v>Vendido</v>
      </c>
      <c r="BG70" s="786" t="str">
        <f t="shared" si="38"/>
        <v>Superávit de Enganche</v>
      </c>
      <c r="BH70" s="786"/>
      <c r="BI70" s="786">
        <f t="shared" si="39"/>
        <v>12</v>
      </c>
      <c r="BJ70" s="786">
        <f t="shared" ref="BJ70:BJ79" si="41">IF(AND(BG70="Cliente Atrasado",COUNTIF(L70:AT70,"&lt;0.01")),DATEDIF(E70,AT$4+1,"m"),0)</f>
        <v>0</v>
      </c>
      <c r="BK70" s="52"/>
    </row>
    <row r="71" spans="1:65" x14ac:dyDescent="0.3">
      <c r="A71" s="20"/>
      <c r="B71" s="135">
        <v>906</v>
      </c>
      <c r="C71" s="136" t="s">
        <v>176</v>
      </c>
      <c r="D71" s="137" t="s">
        <v>261</v>
      </c>
      <c r="E71" s="138">
        <v>45166</v>
      </c>
      <c r="F71" s="135" t="s">
        <v>198</v>
      </c>
      <c r="G71" s="123">
        <v>1011600</v>
      </c>
      <c r="H71" s="139">
        <v>1011600</v>
      </c>
      <c r="I71" s="139">
        <f t="shared" si="29"/>
        <v>0</v>
      </c>
      <c r="J71" s="139">
        <v>101160</v>
      </c>
      <c r="K71" s="136" t="s">
        <v>173</v>
      </c>
      <c r="L71" s="121">
        <v>0</v>
      </c>
      <c r="M71" s="121">
        <v>0</v>
      </c>
      <c r="N71" s="121">
        <v>0</v>
      </c>
      <c r="O71" s="121">
        <v>0</v>
      </c>
      <c r="P71" s="121">
        <v>0</v>
      </c>
      <c r="Q71" s="121">
        <v>0</v>
      </c>
      <c r="R71" s="121">
        <v>0</v>
      </c>
      <c r="S71" s="121">
        <v>0</v>
      </c>
      <c r="T71" s="121">
        <v>0</v>
      </c>
      <c r="U71" s="121">
        <v>0</v>
      </c>
      <c r="V71" s="121">
        <v>0</v>
      </c>
      <c r="W71" s="121">
        <v>0</v>
      </c>
      <c r="X71" s="121">
        <v>0</v>
      </c>
      <c r="Y71" s="121">
        <v>0</v>
      </c>
      <c r="Z71" s="121">
        <v>5000</v>
      </c>
      <c r="AA71" s="121">
        <v>8741</v>
      </c>
      <c r="AB71" s="121">
        <v>8741</v>
      </c>
      <c r="AC71" s="121">
        <v>8741</v>
      </c>
      <c r="AD71" s="121">
        <v>8741</v>
      </c>
      <c r="AE71" s="121">
        <v>8741</v>
      </c>
      <c r="AF71" s="121">
        <v>8741</v>
      </c>
      <c r="AG71" s="121">
        <v>8741</v>
      </c>
      <c r="AH71" s="121">
        <v>8741</v>
      </c>
      <c r="AI71" s="121">
        <v>8741</v>
      </c>
      <c r="AJ71" s="121">
        <v>8741</v>
      </c>
      <c r="AK71" s="121">
        <v>8741</v>
      </c>
      <c r="AL71" s="121">
        <v>9</v>
      </c>
      <c r="AM71" s="121">
        <v>0</v>
      </c>
      <c r="AN71" s="121">
        <v>0</v>
      </c>
      <c r="AO71" s="121">
        <v>0</v>
      </c>
      <c r="AP71" s="121">
        <v>0</v>
      </c>
      <c r="AQ71" s="121">
        <v>0</v>
      </c>
      <c r="AR71" s="121">
        <v>0</v>
      </c>
      <c r="AS71" s="121">
        <v>0</v>
      </c>
      <c r="AT71" s="122"/>
      <c r="AU71" s="122">
        <v>40</v>
      </c>
      <c r="AV71" s="122"/>
      <c r="AW71" s="122"/>
      <c r="AX71" s="122">
        <f t="shared" si="40"/>
        <v>101200</v>
      </c>
      <c r="AY71" s="783">
        <f t="shared" si="30"/>
        <v>1.0003954132068011</v>
      </c>
      <c r="AZ71" s="784">
        <f t="shared" si="31"/>
        <v>40</v>
      </c>
      <c r="BA71" s="783">
        <f t="shared" si="32"/>
        <v>3.9541320680110717E-4</v>
      </c>
      <c r="BB71" s="784">
        <f t="shared" si="33"/>
        <v>910400</v>
      </c>
      <c r="BC71" s="783">
        <f t="shared" si="34"/>
        <v>0.89996045867931984</v>
      </c>
      <c r="BD71" s="785">
        <f t="shared" si="35"/>
        <v>101160</v>
      </c>
      <c r="BE71" s="785">
        <f t="shared" si="36"/>
        <v>-40</v>
      </c>
      <c r="BF71" s="786" t="str">
        <f t="shared" si="37"/>
        <v>Vendido</v>
      </c>
      <c r="BG71" s="786" t="str">
        <f t="shared" si="38"/>
        <v>Superávit de Enganche</v>
      </c>
      <c r="BH71" s="786"/>
      <c r="BI71" s="786">
        <f t="shared" si="39"/>
        <v>13</v>
      </c>
      <c r="BJ71" s="786">
        <f t="shared" si="41"/>
        <v>0</v>
      </c>
      <c r="BK71" s="52"/>
    </row>
    <row r="72" spans="1:65" x14ac:dyDescent="0.3">
      <c r="A72" s="20"/>
      <c r="B72" s="135">
        <v>907</v>
      </c>
      <c r="C72" s="136" t="s">
        <v>223</v>
      </c>
      <c r="D72" s="137" t="s">
        <v>262</v>
      </c>
      <c r="E72" s="138">
        <v>44890</v>
      </c>
      <c r="F72" s="135" t="s">
        <v>200</v>
      </c>
      <c r="G72" s="123">
        <v>678182.1</v>
      </c>
      <c r="H72" s="139">
        <v>678182.1</v>
      </c>
      <c r="I72" s="139">
        <f t="shared" si="29"/>
        <v>0</v>
      </c>
      <c r="J72" s="139">
        <v>678182.1</v>
      </c>
      <c r="K72" s="136" t="s">
        <v>173</v>
      </c>
      <c r="L72" s="121">
        <v>0</v>
      </c>
      <c r="M72" s="121">
        <v>0</v>
      </c>
      <c r="N72" s="121">
        <v>0</v>
      </c>
      <c r="O72" s="121">
        <v>0</v>
      </c>
      <c r="P72" s="121">
        <v>0</v>
      </c>
      <c r="Q72" s="121">
        <v>0</v>
      </c>
      <c r="R72" s="121">
        <v>678182.1</v>
      </c>
      <c r="S72" s="121">
        <v>0</v>
      </c>
      <c r="T72" s="121">
        <v>0</v>
      </c>
      <c r="U72" s="121">
        <v>0</v>
      </c>
      <c r="V72" s="121">
        <v>0</v>
      </c>
      <c r="W72" s="121">
        <v>0</v>
      </c>
      <c r="X72" s="121">
        <v>0</v>
      </c>
      <c r="Y72" s="121">
        <v>0</v>
      </c>
      <c r="Z72" s="121">
        <v>0</v>
      </c>
      <c r="AA72" s="121">
        <v>0</v>
      </c>
      <c r="AB72" s="121">
        <v>0</v>
      </c>
      <c r="AC72" s="121">
        <v>0</v>
      </c>
      <c r="AD72" s="121">
        <v>0</v>
      </c>
      <c r="AE72" s="121">
        <v>0</v>
      </c>
      <c r="AF72" s="121">
        <v>0</v>
      </c>
      <c r="AG72" s="121">
        <v>0</v>
      </c>
      <c r="AH72" s="121">
        <v>0</v>
      </c>
      <c r="AI72" s="121">
        <v>0</v>
      </c>
      <c r="AJ72" s="121">
        <v>0</v>
      </c>
      <c r="AK72" s="121">
        <v>0</v>
      </c>
      <c r="AL72" s="121">
        <v>0</v>
      </c>
      <c r="AM72" s="121">
        <v>0</v>
      </c>
      <c r="AN72" s="121">
        <v>0</v>
      </c>
      <c r="AO72" s="121">
        <v>0</v>
      </c>
      <c r="AP72" s="121">
        <v>0</v>
      </c>
      <c r="AQ72" s="121">
        <v>0</v>
      </c>
      <c r="AR72" s="121">
        <v>0</v>
      </c>
      <c r="AS72" s="121">
        <v>0</v>
      </c>
      <c r="AT72" s="122"/>
      <c r="AU72" s="122"/>
      <c r="AV72" s="122"/>
      <c r="AW72" s="122"/>
      <c r="AX72" s="122">
        <f t="shared" si="40"/>
        <v>678182.1</v>
      </c>
      <c r="AY72" s="783">
        <f t="shared" si="30"/>
        <v>1</v>
      </c>
      <c r="AZ72" s="784">
        <f t="shared" si="31"/>
        <v>0</v>
      </c>
      <c r="BA72" s="783">
        <f t="shared" si="32"/>
        <v>0</v>
      </c>
      <c r="BB72" s="784">
        <f t="shared" si="33"/>
        <v>0</v>
      </c>
      <c r="BC72" s="783">
        <f t="shared" si="34"/>
        <v>0</v>
      </c>
      <c r="BD72" s="785">
        <f t="shared" si="35"/>
        <v>678182.1</v>
      </c>
      <c r="BE72" s="785">
        <f t="shared" si="36"/>
        <v>0</v>
      </c>
      <c r="BF72" s="786" t="str">
        <f t="shared" si="37"/>
        <v>Vendido</v>
      </c>
      <c r="BG72" s="786" t="str">
        <f t="shared" si="38"/>
        <v>Enganche Completado</v>
      </c>
      <c r="BH72" s="786"/>
      <c r="BI72" s="786">
        <f t="shared" si="39"/>
        <v>1</v>
      </c>
      <c r="BJ72" s="786">
        <f t="shared" si="41"/>
        <v>0</v>
      </c>
      <c r="BK72" s="52"/>
    </row>
    <row r="73" spans="1:65" x14ac:dyDescent="0.3">
      <c r="A73" s="20"/>
      <c r="B73" s="135">
        <v>908</v>
      </c>
      <c r="C73" s="136" t="s">
        <v>176</v>
      </c>
      <c r="D73" s="137" t="s">
        <v>263</v>
      </c>
      <c r="E73" s="182">
        <v>45760</v>
      </c>
      <c r="F73" s="135" t="s">
        <v>186</v>
      </c>
      <c r="G73" s="123">
        <v>498000</v>
      </c>
      <c r="H73" s="139">
        <v>690000</v>
      </c>
      <c r="I73" s="139">
        <f t="shared" si="29"/>
        <v>-192000</v>
      </c>
      <c r="J73" s="139">
        <v>49800</v>
      </c>
      <c r="K73" s="136" t="s">
        <v>187</v>
      </c>
      <c r="L73" s="121">
        <v>0</v>
      </c>
      <c r="M73" s="121">
        <v>0</v>
      </c>
      <c r="N73" s="121">
        <v>0</v>
      </c>
      <c r="O73" s="121">
        <v>0</v>
      </c>
      <c r="P73" s="121">
        <v>0</v>
      </c>
      <c r="Q73" s="121">
        <v>0</v>
      </c>
      <c r="R73" s="121">
        <v>0</v>
      </c>
      <c r="S73" s="121">
        <v>0</v>
      </c>
      <c r="T73" s="121">
        <v>0</v>
      </c>
      <c r="U73" s="121">
        <v>0</v>
      </c>
      <c r="V73" s="121">
        <v>0</v>
      </c>
      <c r="W73" s="121">
        <v>0</v>
      </c>
      <c r="X73" s="121">
        <v>0</v>
      </c>
      <c r="Y73" s="121">
        <v>0</v>
      </c>
      <c r="Z73" s="121">
        <v>0</v>
      </c>
      <c r="AA73" s="121">
        <v>0</v>
      </c>
      <c r="AB73" s="121">
        <v>0</v>
      </c>
      <c r="AC73" s="121">
        <v>0</v>
      </c>
      <c r="AD73" s="121">
        <v>0</v>
      </c>
      <c r="AE73" s="121">
        <v>0</v>
      </c>
      <c r="AF73" s="121">
        <v>0</v>
      </c>
      <c r="AG73" s="121">
        <v>0</v>
      </c>
      <c r="AH73" s="121">
        <v>0</v>
      </c>
      <c r="AI73" s="121">
        <v>0</v>
      </c>
      <c r="AJ73" s="121">
        <v>0</v>
      </c>
      <c r="AK73" s="121">
        <v>0</v>
      </c>
      <c r="AL73" s="121">
        <v>0</v>
      </c>
      <c r="AM73" s="121">
        <v>0</v>
      </c>
      <c r="AN73" s="121">
        <v>0</v>
      </c>
      <c r="AO73" s="121">
        <v>0</v>
      </c>
      <c r="AP73" s="121">
        <v>0</v>
      </c>
      <c r="AQ73" s="121">
        <v>0</v>
      </c>
      <c r="AR73" s="121">
        <v>0</v>
      </c>
      <c r="AS73" s="121">
        <v>0</v>
      </c>
      <c r="AT73" s="122"/>
      <c r="AU73" s="122"/>
      <c r="AV73" s="122"/>
      <c r="AW73" s="122"/>
      <c r="AX73" s="122">
        <f t="shared" si="40"/>
        <v>0</v>
      </c>
      <c r="AY73" s="783">
        <f t="shared" si="30"/>
        <v>0</v>
      </c>
      <c r="AZ73" s="784">
        <f t="shared" si="31"/>
        <v>-49800</v>
      </c>
      <c r="BA73" s="783">
        <f t="shared" si="32"/>
        <v>-1</v>
      </c>
      <c r="BB73" s="784">
        <f t="shared" si="33"/>
        <v>690000</v>
      </c>
      <c r="BC73" s="783">
        <f t="shared" si="34"/>
        <v>1</v>
      </c>
      <c r="BD73" s="785">
        <f t="shared" si="35"/>
        <v>49800</v>
      </c>
      <c r="BE73" s="785">
        <f t="shared" si="36"/>
        <v>49800</v>
      </c>
      <c r="BF73" s="786" t="str">
        <f t="shared" si="37"/>
        <v>Vendido</v>
      </c>
      <c r="BG73" s="786" t="str">
        <f t="shared" si="38"/>
        <v>Cliente Atrasado</v>
      </c>
      <c r="BH73" s="786"/>
      <c r="BI73" s="786">
        <f t="shared" si="39"/>
        <v>0</v>
      </c>
      <c r="BJ73" s="786">
        <f t="shared" si="41"/>
        <v>0</v>
      </c>
      <c r="BK73" s="52" t="s">
        <v>206</v>
      </c>
      <c r="BM73" t="s">
        <v>207</v>
      </c>
    </row>
    <row r="74" spans="1:65" x14ac:dyDescent="0.3">
      <c r="A74" s="20"/>
      <c r="B74" s="135">
        <v>1001</v>
      </c>
      <c r="C74" s="136" t="s">
        <v>190</v>
      </c>
      <c r="D74" s="137" t="s">
        <v>264</v>
      </c>
      <c r="E74" s="138">
        <v>44760</v>
      </c>
      <c r="F74" s="135" t="s">
        <v>186</v>
      </c>
      <c r="G74" s="123">
        <v>498000</v>
      </c>
      <c r="H74" s="139">
        <v>498000</v>
      </c>
      <c r="I74" s="139">
        <v>0</v>
      </c>
      <c r="J74" s="139">
        <v>49800</v>
      </c>
      <c r="K74" s="136" t="s">
        <v>173</v>
      </c>
      <c r="L74" s="121">
        <v>0</v>
      </c>
      <c r="M74" s="121">
        <v>6947.93</v>
      </c>
      <c r="N74" s="121">
        <v>1947.93</v>
      </c>
      <c r="O74" s="121">
        <v>1947.93</v>
      </c>
      <c r="P74" s="121">
        <v>1947.93</v>
      </c>
      <c r="Q74" s="121">
        <v>1947.93</v>
      </c>
      <c r="R74" s="121">
        <v>1947.93</v>
      </c>
      <c r="S74" s="121">
        <v>1947.93</v>
      </c>
      <c r="T74" s="121">
        <v>1947.93</v>
      </c>
      <c r="U74" s="121">
        <v>1947.93</v>
      </c>
      <c r="V74" s="121">
        <v>1947.93</v>
      </c>
      <c r="W74" s="121">
        <v>1947.93</v>
      </c>
      <c r="X74" s="121">
        <v>1947.93</v>
      </c>
      <c r="Y74" s="121">
        <v>1947.93</v>
      </c>
      <c r="Z74" s="121">
        <v>1947.93</v>
      </c>
      <c r="AA74" s="121">
        <v>1947.93</v>
      </c>
      <c r="AB74" s="121">
        <v>1947.93</v>
      </c>
      <c r="AC74" s="121">
        <v>0</v>
      </c>
      <c r="AD74" s="121">
        <v>3895.86</v>
      </c>
      <c r="AE74" s="121">
        <v>1947.93</v>
      </c>
      <c r="AF74" s="121">
        <v>1947.93</v>
      </c>
      <c r="AG74" s="121">
        <v>1947.93</v>
      </c>
      <c r="AH74" s="121">
        <v>1947.83</v>
      </c>
      <c r="AI74" s="121">
        <v>1947.83</v>
      </c>
      <c r="AJ74" s="121">
        <v>0</v>
      </c>
      <c r="AK74" s="121">
        <v>0</v>
      </c>
      <c r="AL74" s="121">
        <v>0</v>
      </c>
      <c r="AM74" s="121">
        <v>0</v>
      </c>
      <c r="AN74" s="121">
        <v>0</v>
      </c>
      <c r="AO74" s="121">
        <v>0</v>
      </c>
      <c r="AP74" s="121">
        <v>0</v>
      </c>
      <c r="AQ74" s="121">
        <v>0</v>
      </c>
      <c r="AR74" s="121">
        <v>0</v>
      </c>
      <c r="AS74" s="121">
        <v>0</v>
      </c>
      <c r="AT74" s="122"/>
      <c r="AU74" s="122"/>
      <c r="AV74" s="122"/>
      <c r="AW74" s="122"/>
      <c r="AX74" s="122">
        <f t="shared" si="40"/>
        <v>49802.19000000001</v>
      </c>
      <c r="AY74" s="783">
        <f t="shared" si="30"/>
        <v>1.0000439759036146</v>
      </c>
      <c r="AZ74" s="784">
        <f t="shared" si="31"/>
        <v>2.1900000000096043</v>
      </c>
      <c r="BA74" s="783">
        <f t="shared" si="32"/>
        <v>4.3975903614650686E-5</v>
      </c>
      <c r="BB74" s="784">
        <f t="shared" si="33"/>
        <v>448197.81</v>
      </c>
      <c r="BC74" s="783">
        <f t="shared" si="34"/>
        <v>0.8999956024096385</v>
      </c>
      <c r="BD74" s="785">
        <f t="shared" si="35"/>
        <v>49800</v>
      </c>
      <c r="BE74" s="785">
        <f t="shared" si="36"/>
        <v>-2.1900000000096043</v>
      </c>
      <c r="BF74" s="786" t="str">
        <f t="shared" si="37"/>
        <v>Vendido</v>
      </c>
      <c r="BG74" s="786" t="str">
        <f t="shared" si="38"/>
        <v>Superávit de Enganche</v>
      </c>
      <c r="BH74" s="786"/>
      <c r="BI74" s="786">
        <f t="shared" si="39"/>
        <v>22</v>
      </c>
      <c r="BJ74" s="786">
        <f t="shared" si="41"/>
        <v>0</v>
      </c>
      <c r="BK74" s="52"/>
    </row>
    <row r="75" spans="1:65" x14ac:dyDescent="0.3">
      <c r="A75" s="20"/>
      <c r="B75" s="135">
        <v>1002</v>
      </c>
      <c r="C75" s="136" t="s">
        <v>170</v>
      </c>
      <c r="D75" s="137" t="s">
        <v>265</v>
      </c>
      <c r="E75" s="138">
        <v>44997</v>
      </c>
      <c r="F75" s="135" t="s">
        <v>200</v>
      </c>
      <c r="G75" s="123">
        <v>788400</v>
      </c>
      <c r="H75" s="139">
        <v>788400</v>
      </c>
      <c r="I75" s="139">
        <f t="shared" si="29"/>
        <v>0</v>
      </c>
      <c r="J75" s="139">
        <v>78900</v>
      </c>
      <c r="K75" s="136" t="s">
        <v>173</v>
      </c>
      <c r="L75" s="121">
        <v>0</v>
      </c>
      <c r="M75" s="121">
        <v>0</v>
      </c>
      <c r="N75" s="121">
        <v>0</v>
      </c>
      <c r="O75" s="121">
        <v>0</v>
      </c>
      <c r="P75" s="121">
        <v>0</v>
      </c>
      <c r="Q75" s="121">
        <v>0</v>
      </c>
      <c r="R75" s="121">
        <v>0</v>
      </c>
      <c r="S75" s="121">
        <v>0</v>
      </c>
      <c r="T75" s="121">
        <v>0</v>
      </c>
      <c r="U75" s="121">
        <v>78900</v>
      </c>
      <c r="V75" s="121">
        <v>0</v>
      </c>
      <c r="W75" s="121">
        <v>0</v>
      </c>
      <c r="X75" s="121">
        <v>0</v>
      </c>
      <c r="Y75" s="121">
        <v>0</v>
      </c>
      <c r="Z75" s="121">
        <v>0</v>
      </c>
      <c r="AA75" s="121">
        <v>0</v>
      </c>
      <c r="AB75" s="121">
        <v>0</v>
      </c>
      <c r="AC75" s="121">
        <v>0</v>
      </c>
      <c r="AD75" s="121">
        <v>0</v>
      </c>
      <c r="AE75" s="121">
        <v>0</v>
      </c>
      <c r="AF75" s="121">
        <v>0</v>
      </c>
      <c r="AG75" s="121">
        <v>0</v>
      </c>
      <c r="AH75" s="121">
        <v>0</v>
      </c>
      <c r="AI75" s="121">
        <v>0</v>
      </c>
      <c r="AJ75" s="121">
        <v>0</v>
      </c>
      <c r="AK75" s="121">
        <v>0</v>
      </c>
      <c r="AL75" s="121">
        <v>0</v>
      </c>
      <c r="AM75" s="121">
        <v>0</v>
      </c>
      <c r="AN75" s="121">
        <v>0</v>
      </c>
      <c r="AO75" s="121">
        <v>0</v>
      </c>
      <c r="AP75" s="121">
        <v>0</v>
      </c>
      <c r="AQ75" s="121">
        <v>0</v>
      </c>
      <c r="AR75" s="121">
        <v>0</v>
      </c>
      <c r="AS75" s="122">
        <v>236316.76</v>
      </c>
      <c r="AT75" s="122"/>
      <c r="AU75" s="122"/>
      <c r="AV75" s="122"/>
      <c r="AW75" s="122"/>
      <c r="AX75" s="122">
        <f t="shared" si="40"/>
        <v>315216.76</v>
      </c>
      <c r="AY75" s="783">
        <f t="shared" si="30"/>
        <v>3.9951427122940433</v>
      </c>
      <c r="AZ75" s="784">
        <f t="shared" si="31"/>
        <v>236316.76</v>
      </c>
      <c r="BA75" s="783">
        <f t="shared" si="32"/>
        <v>2.9951427122940433</v>
      </c>
      <c r="BB75" s="784">
        <f t="shared" si="33"/>
        <v>473183.24</v>
      </c>
      <c r="BC75" s="783">
        <f t="shared" si="34"/>
        <v>0.60018168442415021</v>
      </c>
      <c r="BD75" s="785">
        <f t="shared" si="35"/>
        <v>78900</v>
      </c>
      <c r="BE75" s="785">
        <f t="shared" si="36"/>
        <v>-236316.76</v>
      </c>
      <c r="BF75" s="786" t="str">
        <f t="shared" si="37"/>
        <v>Vendido</v>
      </c>
      <c r="BG75" s="786" t="str">
        <f t="shared" si="38"/>
        <v>Superávit de Enganche</v>
      </c>
      <c r="BH75" s="786"/>
      <c r="BI75" s="786">
        <f t="shared" si="39"/>
        <v>2</v>
      </c>
      <c r="BJ75" s="786">
        <f t="shared" si="41"/>
        <v>0</v>
      </c>
      <c r="BK75" s="52"/>
    </row>
    <row r="76" spans="1:65" x14ac:dyDescent="0.3">
      <c r="A76" s="35"/>
      <c r="B76" s="135">
        <v>1003</v>
      </c>
      <c r="C76" s="136" t="s">
        <v>176</v>
      </c>
      <c r="D76" s="137" t="s">
        <v>266</v>
      </c>
      <c r="E76" s="138">
        <v>45626</v>
      </c>
      <c r="F76" s="135" t="s">
        <v>267</v>
      </c>
      <c r="G76" s="123">
        <v>498000</v>
      </c>
      <c r="H76" s="139">
        <v>1300000</v>
      </c>
      <c r="I76" s="139">
        <f t="shared" si="29"/>
        <v>-802000</v>
      </c>
      <c r="J76" s="139">
        <v>63000</v>
      </c>
      <c r="K76" s="136" t="s">
        <v>173</v>
      </c>
      <c r="L76" s="121">
        <v>0</v>
      </c>
      <c r="M76" s="121">
        <v>0</v>
      </c>
      <c r="N76" s="121">
        <v>0</v>
      </c>
      <c r="O76" s="121">
        <v>0</v>
      </c>
      <c r="P76" s="121">
        <v>0</v>
      </c>
      <c r="Q76" s="121">
        <v>0</v>
      </c>
      <c r="R76" s="121">
        <v>0</v>
      </c>
      <c r="S76" s="121">
        <v>0</v>
      </c>
      <c r="T76" s="121">
        <v>0</v>
      </c>
      <c r="U76" s="121">
        <v>0</v>
      </c>
      <c r="V76" s="121">
        <v>0</v>
      </c>
      <c r="W76" s="121">
        <v>0</v>
      </c>
      <c r="X76" s="121">
        <v>0</v>
      </c>
      <c r="Y76" s="121">
        <v>0</v>
      </c>
      <c r="Z76" s="121">
        <v>0</v>
      </c>
      <c r="AA76" s="121">
        <v>0</v>
      </c>
      <c r="AB76" s="121">
        <v>0</v>
      </c>
      <c r="AC76" s="121">
        <v>0</v>
      </c>
      <c r="AD76" s="121">
        <v>0</v>
      </c>
      <c r="AE76" s="121">
        <v>0</v>
      </c>
      <c r="AF76" s="121">
        <v>0</v>
      </c>
      <c r="AG76" s="121">
        <v>0</v>
      </c>
      <c r="AH76" s="121">
        <v>0</v>
      </c>
      <c r="AI76" s="121">
        <v>0</v>
      </c>
      <c r="AJ76" s="121">
        <v>0</v>
      </c>
      <c r="AK76" s="121">
        <v>0</v>
      </c>
      <c r="AL76" s="121">
        <v>0</v>
      </c>
      <c r="AM76" s="121">
        <v>0</v>
      </c>
      <c r="AN76" s="121">
        <v>0</v>
      </c>
      <c r="AO76" s="121">
        <v>2500</v>
      </c>
      <c r="AP76" s="121">
        <v>0</v>
      </c>
      <c r="AQ76" s="121">
        <v>0</v>
      </c>
      <c r="AR76" s="121">
        <v>0</v>
      </c>
      <c r="AS76" s="122">
        <v>100000</v>
      </c>
      <c r="AT76" s="122">
        <v>100000</v>
      </c>
      <c r="AU76" s="122"/>
      <c r="AV76" s="122"/>
      <c r="AW76" s="122"/>
      <c r="AX76" s="122">
        <f t="shared" si="40"/>
        <v>202500</v>
      </c>
      <c r="AY76" s="783">
        <f t="shared" si="30"/>
        <v>3.2142857142857144</v>
      </c>
      <c r="AZ76" s="784">
        <f t="shared" si="31"/>
        <v>139500</v>
      </c>
      <c r="BA76" s="783">
        <f t="shared" si="32"/>
        <v>2.2142857142857144</v>
      </c>
      <c r="BB76" s="784">
        <f t="shared" si="33"/>
        <v>1097500</v>
      </c>
      <c r="BC76" s="783">
        <f t="shared" si="34"/>
        <v>0.84423076923076923</v>
      </c>
      <c r="BD76" s="785">
        <f t="shared" si="35"/>
        <v>63000</v>
      </c>
      <c r="BE76" s="785">
        <f t="shared" si="36"/>
        <v>-139500</v>
      </c>
      <c r="BF76" s="786" t="str">
        <f t="shared" si="37"/>
        <v>Vendido</v>
      </c>
      <c r="BG76" s="786" t="str">
        <f t="shared" si="38"/>
        <v>Superávit de Enganche</v>
      </c>
      <c r="BH76" s="786"/>
      <c r="BI76" s="786">
        <f t="shared" si="39"/>
        <v>3</v>
      </c>
      <c r="BJ76" s="786">
        <f t="shared" si="41"/>
        <v>0</v>
      </c>
      <c r="BK76" s="52"/>
    </row>
    <row r="77" spans="1:65" x14ac:dyDescent="0.3">
      <c r="B77" s="135" t="s">
        <v>268</v>
      </c>
      <c r="C77" s="136" t="s">
        <v>176</v>
      </c>
      <c r="D77" s="137" t="s">
        <v>269</v>
      </c>
      <c r="E77" s="138">
        <v>45723</v>
      </c>
      <c r="F77" s="135"/>
      <c r="G77" s="123">
        <v>255060</v>
      </c>
      <c r="H77" s="139">
        <v>255060</v>
      </c>
      <c r="I77" s="139">
        <f t="shared" si="29"/>
        <v>0</v>
      </c>
      <c r="J77" s="139">
        <v>25506</v>
      </c>
      <c r="K77" s="136" t="s">
        <v>187</v>
      </c>
      <c r="L77" s="121">
        <v>0</v>
      </c>
      <c r="M77" s="121">
        <v>0</v>
      </c>
      <c r="N77" s="121">
        <v>0</v>
      </c>
      <c r="O77" s="121">
        <v>0</v>
      </c>
      <c r="P77" s="121">
        <v>0</v>
      </c>
      <c r="Q77" s="121">
        <v>0</v>
      </c>
      <c r="R77" s="121">
        <v>0</v>
      </c>
      <c r="S77" s="121">
        <v>0</v>
      </c>
      <c r="T77" s="121">
        <v>0</v>
      </c>
      <c r="U77" s="121">
        <v>0</v>
      </c>
      <c r="V77" s="121">
        <v>0</v>
      </c>
      <c r="W77" s="121">
        <v>0</v>
      </c>
      <c r="X77" s="121">
        <v>0</v>
      </c>
      <c r="Y77" s="121">
        <v>0</v>
      </c>
      <c r="Z77" s="121">
        <v>0</v>
      </c>
      <c r="AA77" s="121">
        <v>0</v>
      </c>
      <c r="AB77" s="121">
        <v>0</v>
      </c>
      <c r="AC77" s="121">
        <v>0</v>
      </c>
      <c r="AD77" s="121">
        <v>0</v>
      </c>
      <c r="AE77" s="121">
        <v>0</v>
      </c>
      <c r="AF77" s="121">
        <v>0</v>
      </c>
      <c r="AG77" s="121">
        <v>0</v>
      </c>
      <c r="AH77" s="121">
        <v>0</v>
      </c>
      <c r="AI77" s="121">
        <v>0</v>
      </c>
      <c r="AJ77" s="121">
        <v>0</v>
      </c>
      <c r="AK77" s="121">
        <v>0</v>
      </c>
      <c r="AL77" s="121">
        <v>0</v>
      </c>
      <c r="AM77" s="121">
        <v>0</v>
      </c>
      <c r="AN77" s="121">
        <v>0</v>
      </c>
      <c r="AO77" s="121">
        <v>0</v>
      </c>
      <c r="AP77" s="121">
        <v>0</v>
      </c>
      <c r="AQ77" s="121">
        <v>0</v>
      </c>
      <c r="AR77" s="121">
        <v>0</v>
      </c>
      <c r="AS77" s="122">
        <v>2500</v>
      </c>
      <c r="AT77" s="121">
        <v>0</v>
      </c>
      <c r="AU77" s="122"/>
      <c r="AV77" s="122"/>
      <c r="AW77" s="122"/>
      <c r="AX77" s="122">
        <f t="shared" si="40"/>
        <v>2500</v>
      </c>
      <c r="AY77" s="783">
        <f t="shared" si="30"/>
        <v>9.8016153062024616E-2</v>
      </c>
      <c r="AZ77" s="784">
        <f t="shared" si="31"/>
        <v>-23006</v>
      </c>
      <c r="BA77" s="783">
        <f t="shared" si="32"/>
        <v>-0.9019838469379754</v>
      </c>
      <c r="BB77" s="784">
        <f t="shared" si="33"/>
        <v>252560</v>
      </c>
      <c r="BC77" s="783">
        <f t="shared" si="34"/>
        <v>0.99019838469379751</v>
      </c>
      <c r="BD77" s="785">
        <f t="shared" si="35"/>
        <v>25506</v>
      </c>
      <c r="BE77" s="785">
        <f t="shared" si="36"/>
        <v>23006</v>
      </c>
      <c r="BF77" s="786" t="str">
        <f t="shared" si="37"/>
        <v>Vendido</v>
      </c>
      <c r="BG77" s="786" t="str">
        <f t="shared" si="38"/>
        <v>Cliente Atrasado</v>
      </c>
      <c r="BH77" s="786"/>
      <c r="BI77" s="786">
        <f t="shared" si="39"/>
        <v>1</v>
      </c>
      <c r="BJ77" s="786">
        <f t="shared" si="41"/>
        <v>1</v>
      </c>
      <c r="BK77" s="52"/>
    </row>
    <row r="78" spans="1:65" x14ac:dyDescent="0.3">
      <c r="B78" s="135" t="s">
        <v>270</v>
      </c>
      <c r="C78" s="136" t="s">
        <v>176</v>
      </c>
      <c r="D78" s="137" t="s">
        <v>269</v>
      </c>
      <c r="E78" s="138">
        <v>45723</v>
      </c>
      <c r="F78" s="135"/>
      <c r="G78" s="123">
        <v>318960</v>
      </c>
      <c r="H78" s="139">
        <v>318960</v>
      </c>
      <c r="I78" s="139">
        <f t="shared" si="29"/>
        <v>0</v>
      </c>
      <c r="J78" s="139">
        <v>31896</v>
      </c>
      <c r="K78" s="136" t="s">
        <v>187</v>
      </c>
      <c r="L78" s="121">
        <v>0</v>
      </c>
      <c r="M78" s="121">
        <v>0</v>
      </c>
      <c r="N78" s="121">
        <v>0</v>
      </c>
      <c r="O78" s="121">
        <v>0</v>
      </c>
      <c r="P78" s="121">
        <v>0</v>
      </c>
      <c r="Q78" s="121">
        <v>0</v>
      </c>
      <c r="R78" s="121">
        <v>0</v>
      </c>
      <c r="S78" s="121">
        <v>0</v>
      </c>
      <c r="T78" s="121">
        <v>0</v>
      </c>
      <c r="U78" s="121">
        <v>0</v>
      </c>
      <c r="V78" s="121">
        <v>0</v>
      </c>
      <c r="W78" s="121">
        <v>0</v>
      </c>
      <c r="X78" s="121">
        <v>0</v>
      </c>
      <c r="Y78" s="121">
        <v>0</v>
      </c>
      <c r="Z78" s="121">
        <v>0</v>
      </c>
      <c r="AA78" s="121">
        <v>0</v>
      </c>
      <c r="AB78" s="121">
        <v>0</v>
      </c>
      <c r="AC78" s="121">
        <v>0</v>
      </c>
      <c r="AD78" s="121">
        <v>0</v>
      </c>
      <c r="AE78" s="121">
        <v>0</v>
      </c>
      <c r="AF78" s="121">
        <v>0</v>
      </c>
      <c r="AG78" s="121">
        <v>0</v>
      </c>
      <c r="AH78" s="121">
        <v>0</v>
      </c>
      <c r="AI78" s="121">
        <v>0</v>
      </c>
      <c r="AJ78" s="121">
        <v>0</v>
      </c>
      <c r="AK78" s="121">
        <v>0</v>
      </c>
      <c r="AL78" s="121">
        <v>0</v>
      </c>
      <c r="AM78" s="121">
        <v>0</v>
      </c>
      <c r="AN78" s="121">
        <v>0</v>
      </c>
      <c r="AO78" s="121">
        <v>0</v>
      </c>
      <c r="AP78" s="121">
        <v>0</v>
      </c>
      <c r="AQ78" s="121">
        <v>0</v>
      </c>
      <c r="AR78" s="121">
        <v>0</v>
      </c>
      <c r="AS78" s="122">
        <v>2500</v>
      </c>
      <c r="AT78" s="121">
        <v>0</v>
      </c>
      <c r="AU78" s="122"/>
      <c r="AV78" s="122"/>
      <c r="AW78" s="122"/>
      <c r="AX78" s="122">
        <f t="shared" si="40"/>
        <v>2500</v>
      </c>
      <c r="AY78" s="783">
        <f t="shared" si="30"/>
        <v>7.8379734135941806E-2</v>
      </c>
      <c r="AZ78" s="784">
        <f t="shared" si="31"/>
        <v>-29396</v>
      </c>
      <c r="BA78" s="783">
        <f t="shared" si="32"/>
        <v>-0.92162026586405821</v>
      </c>
      <c r="BB78" s="784">
        <f t="shared" si="33"/>
        <v>316460</v>
      </c>
      <c r="BC78" s="783">
        <f t="shared" si="34"/>
        <v>0.99216202658640584</v>
      </c>
      <c r="BD78" s="785">
        <f t="shared" si="35"/>
        <v>31896</v>
      </c>
      <c r="BE78" s="785">
        <f t="shared" si="36"/>
        <v>29396</v>
      </c>
      <c r="BF78" s="786" t="str">
        <f t="shared" si="37"/>
        <v>Vendido</v>
      </c>
      <c r="BG78" s="786" t="str">
        <f t="shared" si="38"/>
        <v>Cliente Atrasado</v>
      </c>
      <c r="BH78" s="786"/>
      <c r="BI78" s="786">
        <f t="shared" si="39"/>
        <v>1</v>
      </c>
      <c r="BJ78" s="786">
        <f t="shared" si="41"/>
        <v>1</v>
      </c>
      <c r="BK78" s="52"/>
    </row>
    <row r="79" spans="1:65" x14ac:dyDescent="0.3">
      <c r="B79" s="135" t="s">
        <v>271</v>
      </c>
      <c r="C79" s="136" t="s">
        <v>203</v>
      </c>
      <c r="D79" s="137" t="s">
        <v>272</v>
      </c>
      <c r="E79" s="182">
        <v>45761</v>
      </c>
      <c r="F79" s="135"/>
      <c r="G79" s="123">
        <v>457740</v>
      </c>
      <c r="H79" s="139">
        <v>460000</v>
      </c>
      <c r="I79" s="139">
        <f t="shared" si="29"/>
        <v>-2260</v>
      </c>
      <c r="J79" s="139">
        <v>92000</v>
      </c>
      <c r="K79" s="136" t="s">
        <v>187</v>
      </c>
      <c r="L79" s="121">
        <v>0</v>
      </c>
      <c r="M79" s="121">
        <v>0</v>
      </c>
      <c r="N79" s="121">
        <v>0</v>
      </c>
      <c r="O79" s="121">
        <v>0</v>
      </c>
      <c r="P79" s="121">
        <v>0</v>
      </c>
      <c r="Q79" s="121">
        <v>0</v>
      </c>
      <c r="R79" s="121">
        <v>0</v>
      </c>
      <c r="S79" s="121">
        <v>0</v>
      </c>
      <c r="T79" s="121">
        <v>0</v>
      </c>
      <c r="U79" s="121">
        <v>0</v>
      </c>
      <c r="V79" s="121">
        <v>0</v>
      </c>
      <c r="W79" s="121">
        <v>0</v>
      </c>
      <c r="X79" s="121">
        <v>0</v>
      </c>
      <c r="Y79" s="121">
        <v>0</v>
      </c>
      <c r="Z79" s="121">
        <v>0</v>
      </c>
      <c r="AA79" s="121">
        <v>0</v>
      </c>
      <c r="AB79" s="121">
        <v>0</v>
      </c>
      <c r="AC79" s="121">
        <v>0</v>
      </c>
      <c r="AD79" s="121">
        <v>0</v>
      </c>
      <c r="AE79" s="121">
        <v>0</v>
      </c>
      <c r="AF79" s="121">
        <v>0</v>
      </c>
      <c r="AG79" s="121">
        <v>0</v>
      </c>
      <c r="AH79" s="121">
        <v>0</v>
      </c>
      <c r="AI79" s="121">
        <v>0</v>
      </c>
      <c r="AJ79" s="121">
        <v>0</v>
      </c>
      <c r="AK79" s="121">
        <v>0</v>
      </c>
      <c r="AL79" s="121">
        <v>0</v>
      </c>
      <c r="AM79" s="121">
        <v>0</v>
      </c>
      <c r="AN79" s="121">
        <v>0</v>
      </c>
      <c r="AO79" s="121">
        <v>0</v>
      </c>
      <c r="AP79" s="121">
        <v>0</v>
      </c>
      <c r="AQ79" s="121">
        <v>0</v>
      </c>
      <c r="AR79" s="121">
        <v>0</v>
      </c>
      <c r="AS79" s="121">
        <v>0</v>
      </c>
      <c r="AT79" s="121">
        <v>0</v>
      </c>
      <c r="AU79" s="122"/>
      <c r="AV79" s="122"/>
      <c r="AW79" s="122"/>
      <c r="AX79" s="122">
        <f t="shared" si="40"/>
        <v>0</v>
      </c>
      <c r="AY79" s="783">
        <f t="shared" si="30"/>
        <v>0</v>
      </c>
      <c r="AZ79" s="784">
        <f t="shared" si="31"/>
        <v>-92000</v>
      </c>
      <c r="BA79" s="783">
        <f t="shared" si="32"/>
        <v>-1</v>
      </c>
      <c r="BB79" s="784">
        <f t="shared" si="33"/>
        <v>460000</v>
      </c>
      <c r="BC79" s="783">
        <f t="shared" si="34"/>
        <v>1</v>
      </c>
      <c r="BD79" s="785">
        <f t="shared" si="35"/>
        <v>92000</v>
      </c>
      <c r="BE79" s="785">
        <f t="shared" si="36"/>
        <v>92000</v>
      </c>
      <c r="BF79" s="786" t="str">
        <f t="shared" si="37"/>
        <v>Vendido</v>
      </c>
      <c r="BG79" s="786" t="str">
        <f t="shared" si="38"/>
        <v>Cliente Atrasado</v>
      </c>
      <c r="BH79" s="786"/>
      <c r="BI79" s="786">
        <f t="shared" si="39"/>
        <v>0</v>
      </c>
      <c r="BJ79" s="786">
        <f t="shared" si="41"/>
        <v>0</v>
      </c>
      <c r="BK79" s="52" t="s">
        <v>206</v>
      </c>
      <c r="BM79" t="s">
        <v>207</v>
      </c>
    </row>
    <row r="80" spans="1:65" x14ac:dyDescent="0.3">
      <c r="B80" s="124" t="s">
        <v>273</v>
      </c>
      <c r="C80" s="125"/>
      <c r="D80" s="126"/>
      <c r="E80" s="127"/>
      <c r="F80" s="128"/>
      <c r="G80" s="129">
        <f>SUM(G5:G79)</f>
        <v>54714740.329999998</v>
      </c>
      <c r="H80" s="129">
        <f>SUM(H5:H79)</f>
        <v>56150229.43</v>
      </c>
      <c r="I80" s="129">
        <f>SUM(I5:I79)</f>
        <v>-1435489.1</v>
      </c>
      <c r="J80" s="129">
        <f>SUM(J5:J79)</f>
        <v>10443691.43</v>
      </c>
      <c r="K80" s="130"/>
      <c r="L80" s="129">
        <f t="shared" ref="L80:AO80" si="42">SUM(L5:L79)</f>
        <v>15000</v>
      </c>
      <c r="M80" s="129">
        <f t="shared" si="42"/>
        <v>23326.54</v>
      </c>
      <c r="N80" s="129">
        <f t="shared" si="42"/>
        <v>34841.040000000001</v>
      </c>
      <c r="O80" s="129">
        <f t="shared" si="42"/>
        <v>225855.03999999998</v>
      </c>
      <c r="P80" s="129">
        <f t="shared" si="42"/>
        <v>386608.87</v>
      </c>
      <c r="Q80" s="129">
        <f t="shared" si="42"/>
        <v>52830.6</v>
      </c>
      <c r="R80" s="129">
        <f t="shared" si="42"/>
        <v>726307.13</v>
      </c>
      <c r="S80" s="129">
        <f t="shared" si="42"/>
        <v>79220.599999999991</v>
      </c>
      <c r="T80" s="129">
        <f t="shared" si="42"/>
        <v>163601.86999999997</v>
      </c>
      <c r="U80" s="129">
        <f t="shared" si="42"/>
        <v>190996.28999999998</v>
      </c>
      <c r="V80" s="129">
        <f t="shared" si="42"/>
        <v>104409.34</v>
      </c>
      <c r="W80" s="129">
        <f t="shared" si="42"/>
        <v>112120.58</v>
      </c>
      <c r="X80" s="129">
        <f t="shared" si="42"/>
        <v>95379.04</v>
      </c>
      <c r="Y80" s="129">
        <f t="shared" si="42"/>
        <v>129004.75</v>
      </c>
      <c r="Z80" s="129">
        <f t="shared" si="42"/>
        <v>124636.04000000001</v>
      </c>
      <c r="AA80" s="129">
        <f t="shared" si="42"/>
        <v>119233.5</v>
      </c>
      <c r="AB80" s="129">
        <f t="shared" si="42"/>
        <v>146100.5</v>
      </c>
      <c r="AC80" s="129">
        <f t="shared" si="42"/>
        <v>103186.99</v>
      </c>
      <c r="AD80" s="129">
        <f t="shared" si="42"/>
        <v>142930.43</v>
      </c>
      <c r="AE80" s="129">
        <f t="shared" si="42"/>
        <v>119847.92</v>
      </c>
      <c r="AF80" s="129">
        <f t="shared" si="42"/>
        <v>188031.71000000002</v>
      </c>
      <c r="AG80" s="129">
        <f t="shared" si="42"/>
        <v>131291.25</v>
      </c>
      <c r="AH80" s="129">
        <f t="shared" si="42"/>
        <v>206306.83</v>
      </c>
      <c r="AI80" s="129">
        <f t="shared" si="42"/>
        <v>1206991.6499999999</v>
      </c>
      <c r="AJ80" s="129">
        <f t="shared" si="42"/>
        <v>320226.5</v>
      </c>
      <c r="AK80" s="129">
        <f t="shared" si="42"/>
        <v>1030307.1</v>
      </c>
      <c r="AL80" s="129">
        <f t="shared" si="42"/>
        <v>242643.52000000002</v>
      </c>
      <c r="AM80" s="129">
        <f t="shared" si="42"/>
        <v>234338.83</v>
      </c>
      <c r="AN80" s="129">
        <f t="shared" si="42"/>
        <v>408695.03999999998</v>
      </c>
      <c r="AO80" s="129">
        <f t="shared" si="42"/>
        <v>383165.9</v>
      </c>
      <c r="AP80" s="129">
        <f>SUM(AP5:AP79)</f>
        <v>398279.06999999995</v>
      </c>
      <c r="AQ80" s="129">
        <f t="shared" ref="AQ80:AV80" si="43">SUM(AQ5:AQ79)</f>
        <v>1714039.9500000002</v>
      </c>
      <c r="AR80" s="129">
        <f t="shared" si="43"/>
        <v>1543982.91</v>
      </c>
      <c r="AS80" s="129">
        <f t="shared" si="43"/>
        <v>3785865.95</v>
      </c>
      <c r="AT80" s="129">
        <f t="shared" si="43"/>
        <v>237991.91</v>
      </c>
      <c r="AU80" s="129">
        <f t="shared" si="43"/>
        <v>524552.85</v>
      </c>
      <c r="AV80" s="129">
        <f t="shared" si="43"/>
        <v>0</v>
      </c>
      <c r="AW80" s="129"/>
      <c r="AX80" s="232">
        <f t="shared" si="40"/>
        <v>15652148.040000001</v>
      </c>
      <c r="AY80" s="131">
        <f t="shared" si="30"/>
        <v>1.5081041907418959</v>
      </c>
      <c r="AZ80" s="129">
        <f>SUM(AZ5:AZ79)</f>
        <v>5273456.6100000003</v>
      </c>
      <c r="BA80" s="131">
        <f t="shared" si="32"/>
        <v>0.50810419074189594</v>
      </c>
      <c r="BB80" s="129">
        <f>SUM(BB5:BB79)</f>
        <v>40498081.390000001</v>
      </c>
      <c r="BC80" s="131">
        <f t="shared" si="34"/>
        <v>0.72124516321856103</v>
      </c>
      <c r="BD80" s="129">
        <f>SUM(BD5:BD79)</f>
        <v>10378691.43</v>
      </c>
      <c r="BE80" s="129">
        <f>SUM(BE5:BE79)</f>
        <v>-5273456.6100000003</v>
      </c>
      <c r="BG80" s="43"/>
    </row>
    <row r="81" spans="1:59" x14ac:dyDescent="0.3">
      <c r="B81" s="115"/>
      <c r="C81" s="115"/>
      <c r="D81" s="15"/>
      <c r="E81" s="116"/>
      <c r="F81" s="117"/>
      <c r="G81" s="43"/>
      <c r="H81" s="43"/>
      <c r="I81" s="43"/>
      <c r="J81" s="43"/>
      <c r="K81" s="115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>
        <v>3765865.95</v>
      </c>
      <c r="AT81" s="43"/>
      <c r="AU81" s="43"/>
      <c r="AV81" s="43"/>
      <c r="AW81" s="43"/>
      <c r="AX81" s="43"/>
      <c r="AY81" s="42"/>
      <c r="AZ81" s="43"/>
      <c r="BA81" s="42"/>
      <c r="BB81" s="43"/>
      <c r="BC81" s="42"/>
      <c r="BD81" s="43"/>
      <c r="BE81" s="43"/>
      <c r="BG81" s="43"/>
    </row>
    <row r="82" spans="1:59" x14ac:dyDescent="0.3">
      <c r="B82" s="115"/>
      <c r="C82" s="115"/>
      <c r="D82" s="15"/>
      <c r="E82" s="116"/>
      <c r="F82" s="117"/>
      <c r="G82" s="43"/>
      <c r="H82" s="43"/>
      <c r="I82" s="43"/>
      <c r="J82" s="43"/>
      <c r="K82" s="115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>
        <f>+AS80-AS81</f>
        <v>20000</v>
      </c>
      <c r="AT82" s="43"/>
      <c r="AU82" s="43"/>
      <c r="AV82" s="43"/>
      <c r="AW82" s="43"/>
      <c r="AX82" s="43" t="e">
        <f>+AX80-RESUMEN!#REF!</f>
        <v>#REF!</v>
      </c>
      <c r="AY82" s="42"/>
      <c r="AZ82" s="43"/>
      <c r="BA82" s="42"/>
      <c r="BB82" s="43"/>
      <c r="BC82" s="42"/>
      <c r="BD82" s="43" t="e">
        <f>+BD80-RESUMEN!#REF!</f>
        <v>#REF!</v>
      </c>
      <c r="BE82" s="43" t="e">
        <f>+BE80-RESUMEN!#REF!</f>
        <v>#REF!</v>
      </c>
      <c r="BG82" s="43"/>
    </row>
    <row r="83" spans="1:59" x14ac:dyDescent="0.3">
      <c r="B83" s="115"/>
      <c r="C83" s="115"/>
      <c r="D83" s="15"/>
      <c r="E83" s="116"/>
      <c r="F83" s="117"/>
      <c r="G83" s="43"/>
      <c r="H83" s="43"/>
      <c r="I83" s="43"/>
      <c r="J83" s="43"/>
      <c r="K83" s="115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2"/>
      <c r="AZ83" s="43"/>
      <c r="BA83" s="42"/>
      <c r="BB83" s="43"/>
      <c r="BC83" s="42"/>
      <c r="BD83" s="43"/>
      <c r="BE83" s="43"/>
      <c r="BG83" s="43"/>
    </row>
    <row r="84" spans="1:59" x14ac:dyDescent="0.3">
      <c r="B84" s="77" t="s">
        <v>274</v>
      </c>
      <c r="C84" s="44"/>
      <c r="D84" s="26"/>
      <c r="E84" s="45"/>
      <c r="F84" s="46"/>
      <c r="G84" s="47"/>
      <c r="H84" s="48"/>
      <c r="I84" s="48"/>
      <c r="J84" s="48"/>
      <c r="K84" s="49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BD84"/>
      <c r="BE84"/>
    </row>
    <row r="85" spans="1:59" x14ac:dyDescent="0.3">
      <c r="A85" s="20"/>
      <c r="B85" s="135">
        <v>302</v>
      </c>
      <c r="C85" s="136" t="s">
        <v>170</v>
      </c>
      <c r="D85" s="137" t="s">
        <v>275</v>
      </c>
      <c r="E85" s="138">
        <v>44846</v>
      </c>
      <c r="F85" s="135" t="s">
        <v>200</v>
      </c>
      <c r="G85" s="123">
        <v>698000</v>
      </c>
      <c r="H85" s="139">
        <v>698000</v>
      </c>
      <c r="I85" s="139">
        <f t="shared" ref="I85" si="44">+G85-H85</f>
        <v>0</v>
      </c>
      <c r="J85" s="139">
        <v>166000</v>
      </c>
      <c r="K85" s="136" t="s">
        <v>173</v>
      </c>
      <c r="L85" s="121">
        <v>0</v>
      </c>
      <c r="M85" s="121">
        <v>0</v>
      </c>
      <c r="N85" s="121">
        <v>0</v>
      </c>
      <c r="O85" s="121">
        <v>0</v>
      </c>
      <c r="P85" s="121">
        <v>40000</v>
      </c>
      <c r="Q85" s="121">
        <v>6000</v>
      </c>
      <c r="R85" s="121">
        <v>6000</v>
      </c>
      <c r="S85" s="121">
        <v>6000</v>
      </c>
      <c r="T85" s="121">
        <v>6000</v>
      </c>
      <c r="U85" s="121">
        <v>6000</v>
      </c>
      <c r="V85" s="121">
        <v>6000</v>
      </c>
      <c r="W85" s="121">
        <v>0</v>
      </c>
      <c r="X85" s="121">
        <v>6000</v>
      </c>
      <c r="Y85" s="121">
        <v>6000</v>
      </c>
      <c r="Z85" s="121">
        <v>0</v>
      </c>
      <c r="AA85" s="121">
        <v>0</v>
      </c>
      <c r="AB85" s="121">
        <v>0</v>
      </c>
      <c r="AC85" s="121">
        <v>0</v>
      </c>
      <c r="AD85" s="121">
        <v>6000</v>
      </c>
      <c r="AE85" s="121">
        <v>0</v>
      </c>
      <c r="AF85" s="121">
        <v>0</v>
      </c>
      <c r="AG85" s="121">
        <v>0</v>
      </c>
      <c r="AH85" s="121">
        <v>3000</v>
      </c>
      <c r="AI85" s="121">
        <v>0</v>
      </c>
      <c r="AJ85" s="121">
        <v>0</v>
      </c>
      <c r="AK85" s="121">
        <v>0</v>
      </c>
      <c r="AL85" s="121">
        <v>0</v>
      </c>
      <c r="AM85" s="121">
        <v>0</v>
      </c>
      <c r="AN85" s="121">
        <v>0</v>
      </c>
      <c r="AO85" s="121">
        <v>0</v>
      </c>
      <c r="AP85" s="122">
        <v>0</v>
      </c>
      <c r="AQ85" s="122">
        <v>0</v>
      </c>
      <c r="AR85" s="122">
        <v>0</v>
      </c>
      <c r="AS85" s="122">
        <v>0</v>
      </c>
      <c r="AT85" s="122">
        <v>0</v>
      </c>
      <c r="AU85" s="122"/>
      <c r="AV85" s="122"/>
      <c r="AW85" s="122"/>
      <c r="AX85" s="122">
        <f>SUM(L85:AT85)</f>
        <v>97000</v>
      </c>
      <c r="BD85"/>
      <c r="BE85"/>
    </row>
    <row r="86" spans="1:59" outlineLevel="1" x14ac:dyDescent="0.3">
      <c r="B86" s="27">
        <v>308</v>
      </c>
      <c r="C86" s="28" t="s">
        <v>276</v>
      </c>
      <c r="D86" s="29" t="s">
        <v>277</v>
      </c>
      <c r="E86" s="29"/>
      <c r="F86" s="27"/>
      <c r="G86" s="22"/>
      <c r="H86" s="29"/>
      <c r="I86" s="29"/>
      <c r="J86" s="29"/>
      <c r="K86" s="29"/>
      <c r="L86" s="21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5000</v>
      </c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/>
      <c r="AN86" s="22"/>
      <c r="AO86" s="22"/>
      <c r="AP86" s="22"/>
      <c r="AQ86" s="23"/>
      <c r="AR86" s="23"/>
      <c r="AS86" s="23"/>
      <c r="AT86" s="23"/>
      <c r="AU86" s="23"/>
      <c r="AV86" s="23"/>
      <c r="AW86" s="23"/>
      <c r="AX86" s="24">
        <f t="shared" ref="AX86:AX94" si="45">SUM(L86:AP86)</f>
        <v>5000</v>
      </c>
      <c r="BD86" s="50"/>
      <c r="BE86" s="50"/>
    </row>
    <row r="87" spans="1:59" outlineLevel="1" x14ac:dyDescent="0.3">
      <c r="B87" s="27">
        <v>604</v>
      </c>
      <c r="C87" s="28" t="s">
        <v>176</v>
      </c>
      <c r="D87" s="29" t="s">
        <v>278</v>
      </c>
      <c r="E87" s="30">
        <v>45322</v>
      </c>
      <c r="F87" s="27" t="s">
        <v>194</v>
      </c>
      <c r="G87" s="31"/>
      <c r="H87" s="33">
        <v>665000</v>
      </c>
      <c r="I87" s="33"/>
      <c r="J87" s="33">
        <v>66500</v>
      </c>
      <c r="K87" s="28" t="s">
        <v>173</v>
      </c>
      <c r="L87" s="21">
        <v>0</v>
      </c>
      <c r="M87" s="22">
        <v>0</v>
      </c>
      <c r="N87" s="22">
        <v>0</v>
      </c>
      <c r="O87" s="22">
        <v>5000</v>
      </c>
      <c r="P87" s="22">
        <v>1500</v>
      </c>
      <c r="Q87" s="22">
        <v>1500</v>
      </c>
      <c r="R87" s="22">
        <v>1500</v>
      </c>
      <c r="S87" s="22">
        <v>5500</v>
      </c>
      <c r="T87" s="22">
        <v>4500</v>
      </c>
      <c r="U87" s="22">
        <v>5000</v>
      </c>
      <c r="V87" s="22">
        <v>3000</v>
      </c>
      <c r="W87" s="22">
        <v>1500</v>
      </c>
      <c r="X87" s="22">
        <v>3000</v>
      </c>
      <c r="Y87" s="22">
        <v>4500</v>
      </c>
      <c r="Z87" s="22">
        <v>3000</v>
      </c>
      <c r="AA87" s="22">
        <v>0</v>
      </c>
      <c r="AB87" s="22">
        <v>0</v>
      </c>
      <c r="AC87" s="22">
        <v>0</v>
      </c>
      <c r="AD87" s="22">
        <v>0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3"/>
      <c r="AR87" s="23"/>
      <c r="AS87" s="23"/>
      <c r="AT87" s="23"/>
      <c r="AU87" s="23"/>
      <c r="AV87" s="23"/>
      <c r="AW87" s="23"/>
      <c r="AX87" s="24">
        <f t="shared" si="45"/>
        <v>39500</v>
      </c>
      <c r="BD87" s="50"/>
      <c r="BE87" s="50"/>
    </row>
    <row r="88" spans="1:59" outlineLevel="1" x14ac:dyDescent="0.3">
      <c r="B88" s="27">
        <v>508</v>
      </c>
      <c r="C88" s="28" t="s">
        <v>176</v>
      </c>
      <c r="D88" s="29" t="s">
        <v>279</v>
      </c>
      <c r="E88" s="30">
        <v>45438</v>
      </c>
      <c r="F88" s="27" t="s">
        <v>186</v>
      </c>
      <c r="G88" s="31"/>
      <c r="H88" s="33">
        <v>547800</v>
      </c>
      <c r="I88" s="33"/>
      <c r="J88" s="33">
        <v>54780</v>
      </c>
      <c r="K88" s="28" t="s">
        <v>173</v>
      </c>
      <c r="L88" s="21">
        <v>0</v>
      </c>
      <c r="M88" s="22">
        <v>0</v>
      </c>
      <c r="N88" s="22">
        <v>0</v>
      </c>
      <c r="O88" s="22">
        <v>0</v>
      </c>
      <c r="P88" s="22">
        <v>0</v>
      </c>
      <c r="Q88" s="22">
        <v>5000</v>
      </c>
      <c r="R88" s="22">
        <v>1000</v>
      </c>
      <c r="S88" s="22">
        <v>1000</v>
      </c>
      <c r="T88" s="22">
        <v>1000</v>
      </c>
      <c r="U88" s="22">
        <v>1000</v>
      </c>
      <c r="V88" s="22">
        <v>1000</v>
      </c>
      <c r="W88" s="22">
        <v>1000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/>
      <c r="AO88" s="22"/>
      <c r="AP88" s="22"/>
      <c r="AQ88" s="23"/>
      <c r="AR88" s="23"/>
      <c r="AS88" s="23"/>
      <c r="AT88" s="23"/>
      <c r="AU88" s="23"/>
      <c r="AV88" s="23"/>
      <c r="AW88" s="23"/>
      <c r="AX88" s="24">
        <f t="shared" si="45"/>
        <v>11000</v>
      </c>
      <c r="BD88" s="50"/>
      <c r="BE88" s="50"/>
    </row>
    <row r="89" spans="1:59" outlineLevel="1" x14ac:dyDescent="0.3">
      <c r="B89" s="27">
        <v>606</v>
      </c>
      <c r="C89" s="28" t="s">
        <v>176</v>
      </c>
      <c r="D89" s="29" t="s">
        <v>280</v>
      </c>
      <c r="E89" s="30">
        <v>45384</v>
      </c>
      <c r="F89" s="27" t="s">
        <v>198</v>
      </c>
      <c r="G89" s="31"/>
      <c r="H89" s="33">
        <v>948800</v>
      </c>
      <c r="I89" s="33"/>
      <c r="J89" s="33">
        <v>49400</v>
      </c>
      <c r="K89" s="28" t="s">
        <v>173</v>
      </c>
      <c r="L89" s="21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5000</v>
      </c>
      <c r="AI89" s="22">
        <v>6000</v>
      </c>
      <c r="AJ89" s="22">
        <v>6000</v>
      </c>
      <c r="AK89" s="22">
        <v>0</v>
      </c>
      <c r="AL89" s="22">
        <v>0</v>
      </c>
      <c r="AM89" s="22">
        <v>0</v>
      </c>
      <c r="AN89" s="22"/>
      <c r="AO89" s="22"/>
      <c r="AP89" s="22"/>
      <c r="AQ89" s="23"/>
      <c r="AR89" s="23"/>
      <c r="AS89" s="23"/>
      <c r="AT89" s="23"/>
      <c r="AU89" s="23"/>
      <c r="AV89" s="23"/>
      <c r="AW89" s="23"/>
      <c r="AX89" s="24">
        <f t="shared" si="45"/>
        <v>17000</v>
      </c>
      <c r="BD89" s="50"/>
      <c r="BE89" s="50"/>
    </row>
    <row r="90" spans="1:59" outlineLevel="1" x14ac:dyDescent="0.3">
      <c r="B90" s="27">
        <v>605</v>
      </c>
      <c r="C90" s="28" t="s">
        <v>170</v>
      </c>
      <c r="D90" s="29" t="s">
        <v>281</v>
      </c>
      <c r="E90" s="30">
        <v>44778</v>
      </c>
      <c r="F90" s="27" t="s">
        <v>194</v>
      </c>
      <c r="G90" s="31"/>
      <c r="H90" s="33">
        <v>665000</v>
      </c>
      <c r="I90" s="33"/>
      <c r="J90" s="33">
        <v>66500</v>
      </c>
      <c r="K90" s="28" t="s">
        <v>173</v>
      </c>
      <c r="L90" s="21">
        <v>0</v>
      </c>
      <c r="M90" s="22">
        <v>0</v>
      </c>
      <c r="N90" s="22">
        <v>7673.91</v>
      </c>
      <c r="O90" s="22">
        <v>2673.9130434782601</v>
      </c>
      <c r="P90" s="22">
        <v>2673.9130434782601</v>
      </c>
      <c r="Q90" s="22">
        <v>2673.9130434782601</v>
      </c>
      <c r="R90" s="22">
        <v>2673.9130434782601</v>
      </c>
      <c r="S90" s="22">
        <v>2673.9130434782601</v>
      </c>
      <c r="T90" s="22">
        <v>2673.9130434782601</v>
      </c>
      <c r="U90" s="22">
        <v>2673.91</v>
      </c>
      <c r="V90" s="22">
        <v>0</v>
      </c>
      <c r="W90" s="22">
        <v>5347.82</v>
      </c>
      <c r="X90" s="22">
        <v>2673.91</v>
      </c>
      <c r="Y90" s="22">
        <v>2673.91</v>
      </c>
      <c r="Z90" s="22">
        <v>2673.91</v>
      </c>
      <c r="AA90" s="22">
        <v>2673.91</v>
      </c>
      <c r="AB90" s="22">
        <v>2673.91</v>
      </c>
      <c r="AC90" s="22">
        <v>2673.91</v>
      </c>
      <c r="AD90" s="22">
        <v>2673.91</v>
      </c>
      <c r="AE90" s="22">
        <v>2673.91</v>
      </c>
      <c r="AF90" s="22">
        <v>2673.91</v>
      </c>
      <c r="AG90" s="22">
        <v>0</v>
      </c>
      <c r="AH90" s="22">
        <v>2673.91</v>
      </c>
      <c r="AI90" s="22">
        <v>5347.82</v>
      </c>
      <c r="AJ90" s="22">
        <v>2673.98</v>
      </c>
      <c r="AK90" s="22">
        <v>0</v>
      </c>
      <c r="AL90" s="22">
        <v>0</v>
      </c>
      <c r="AM90" s="22">
        <v>0</v>
      </c>
      <c r="AN90" s="22"/>
      <c r="AO90" s="22"/>
      <c r="AP90" s="22"/>
      <c r="AQ90" s="23"/>
      <c r="AR90" s="23"/>
      <c r="AS90" s="23"/>
      <c r="AT90" s="23"/>
      <c r="AU90" s="23"/>
      <c r="AV90" s="23"/>
      <c r="AW90" s="23"/>
      <c r="AX90" s="24">
        <f t="shared" si="45"/>
        <v>66500.01826086959</v>
      </c>
      <c r="BD90" s="50"/>
      <c r="BE90" s="50"/>
    </row>
    <row r="91" spans="1:59" outlineLevel="1" x14ac:dyDescent="0.3">
      <c r="B91" s="27">
        <v>508</v>
      </c>
      <c r="C91" s="28" t="s">
        <v>176</v>
      </c>
      <c r="D91" s="29" t="s">
        <v>282</v>
      </c>
      <c r="E91" s="30">
        <v>45438</v>
      </c>
      <c r="F91" s="27" t="s">
        <v>186</v>
      </c>
      <c r="G91" s="31"/>
      <c r="H91" s="33">
        <f>627000+33000</f>
        <v>660000</v>
      </c>
      <c r="I91" s="33"/>
      <c r="J91" s="33">
        <v>33000</v>
      </c>
      <c r="K91" s="28" t="s">
        <v>173</v>
      </c>
      <c r="L91" s="21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5000</v>
      </c>
      <c r="AJ91" s="22">
        <v>0</v>
      </c>
      <c r="AK91" s="22">
        <v>5000</v>
      </c>
      <c r="AL91" s="22">
        <v>0</v>
      </c>
      <c r="AM91" s="22">
        <v>0</v>
      </c>
      <c r="AN91" s="22"/>
      <c r="AO91" s="22"/>
      <c r="AP91" s="22"/>
      <c r="AQ91" s="23"/>
      <c r="AR91" s="23"/>
      <c r="AS91" s="23"/>
      <c r="AT91" s="23"/>
      <c r="AU91" s="23"/>
      <c r="AV91" s="23"/>
      <c r="AW91" s="23"/>
      <c r="AX91" s="24">
        <f t="shared" si="45"/>
        <v>10000</v>
      </c>
      <c r="BD91" s="50"/>
      <c r="BE91" s="50"/>
    </row>
    <row r="92" spans="1:59" outlineLevel="1" x14ac:dyDescent="0.3">
      <c r="B92" s="27">
        <v>908</v>
      </c>
      <c r="C92" s="28" t="s">
        <v>190</v>
      </c>
      <c r="D92" s="29" t="s">
        <v>283</v>
      </c>
      <c r="E92" s="30">
        <v>44803</v>
      </c>
      <c r="F92" s="27" t="s">
        <v>186</v>
      </c>
      <c r="G92" s="31"/>
      <c r="H92" s="33">
        <v>498000</v>
      </c>
      <c r="I92" s="33"/>
      <c r="J92" s="33">
        <v>49800</v>
      </c>
      <c r="K92" s="28" t="s">
        <v>173</v>
      </c>
      <c r="L92" s="21">
        <v>0</v>
      </c>
      <c r="M92" s="22">
        <v>0</v>
      </c>
      <c r="N92" s="22">
        <v>20000</v>
      </c>
      <c r="O92" s="22">
        <v>1300</v>
      </c>
      <c r="P92" s="22">
        <v>1300</v>
      </c>
      <c r="Q92" s="22">
        <v>0</v>
      </c>
      <c r="R92" s="22">
        <v>1300</v>
      </c>
      <c r="S92" s="22">
        <v>1300</v>
      </c>
      <c r="T92" s="22">
        <v>0</v>
      </c>
      <c r="U92" s="22">
        <v>1300</v>
      </c>
      <c r="V92" s="22">
        <v>1300</v>
      </c>
      <c r="W92" s="22">
        <v>0</v>
      </c>
      <c r="X92" s="22">
        <v>1350</v>
      </c>
      <c r="Y92" s="22">
        <v>0</v>
      </c>
      <c r="Z92" s="22">
        <v>1350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2700</v>
      </c>
      <c r="AH92" s="22">
        <v>2371.4299999999998</v>
      </c>
      <c r="AI92" s="22">
        <v>2371.4299999999998</v>
      </c>
      <c r="AJ92" s="22">
        <v>0</v>
      </c>
      <c r="AK92" s="22">
        <v>0</v>
      </c>
      <c r="AL92" s="22">
        <v>0</v>
      </c>
      <c r="AM92" s="22">
        <v>0</v>
      </c>
      <c r="AN92" s="22"/>
      <c r="AO92" s="22"/>
      <c r="AP92" s="22"/>
      <c r="AQ92" s="23"/>
      <c r="AR92" s="23"/>
      <c r="AS92" s="23"/>
      <c r="AT92" s="23"/>
      <c r="AU92" s="23"/>
      <c r="AV92" s="23"/>
      <c r="AW92" s="23"/>
      <c r="AX92" s="24">
        <f t="shared" si="45"/>
        <v>37942.86</v>
      </c>
      <c r="BD92" s="50"/>
      <c r="BE92" s="50"/>
    </row>
    <row r="93" spans="1:59" outlineLevel="1" x14ac:dyDescent="0.3">
      <c r="B93" s="27">
        <v>307</v>
      </c>
      <c r="C93" s="28" t="s">
        <v>170</v>
      </c>
      <c r="D93" s="29" t="s">
        <v>284</v>
      </c>
      <c r="E93" s="30">
        <v>44958</v>
      </c>
      <c r="F93" s="27" t="s">
        <v>200</v>
      </c>
      <c r="G93" s="31"/>
      <c r="H93" s="33">
        <v>680000</v>
      </c>
      <c r="I93" s="33"/>
      <c r="J93" s="33">
        <v>68000</v>
      </c>
      <c r="K93" s="28" t="s">
        <v>173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5000</v>
      </c>
      <c r="U93" s="21">
        <v>0</v>
      </c>
      <c r="V93" s="21">
        <v>7400</v>
      </c>
      <c r="W93" s="21">
        <v>0</v>
      </c>
      <c r="X93" s="21">
        <v>7400</v>
      </c>
      <c r="Y93" s="21">
        <v>3700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4900</v>
      </c>
      <c r="AH93" s="21">
        <v>0</v>
      </c>
      <c r="AI93" s="21">
        <v>0</v>
      </c>
      <c r="AJ93" s="21">
        <v>9800</v>
      </c>
      <c r="AK93" s="21">
        <v>0</v>
      </c>
      <c r="AL93" s="21">
        <v>0</v>
      </c>
      <c r="AM93" s="21">
        <v>0</v>
      </c>
      <c r="AN93" s="21"/>
      <c r="AO93" s="21"/>
      <c r="AP93" s="21"/>
      <c r="AQ93" s="34"/>
      <c r="AR93" s="34"/>
      <c r="AS93" s="34"/>
      <c r="AT93" s="34"/>
      <c r="AU93" s="34"/>
      <c r="AV93" s="34"/>
      <c r="AW93" s="34"/>
      <c r="AX93" s="24">
        <f t="shared" si="45"/>
        <v>38200</v>
      </c>
      <c r="BD93" s="50"/>
      <c r="BE93" s="50"/>
    </row>
    <row r="94" spans="1:59" outlineLevel="1" x14ac:dyDescent="0.3">
      <c r="B94" s="27">
        <v>807</v>
      </c>
      <c r="C94" s="28" t="s">
        <v>176</v>
      </c>
      <c r="D94" s="29" t="s">
        <v>285</v>
      </c>
      <c r="E94" s="30">
        <v>45514</v>
      </c>
      <c r="F94" s="27" t="s">
        <v>200</v>
      </c>
      <c r="G94" s="31"/>
      <c r="H94" s="33">
        <v>812900</v>
      </c>
      <c r="I94" s="33"/>
      <c r="J94" s="33">
        <v>40645</v>
      </c>
      <c r="K94" s="28" t="s">
        <v>173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5000</v>
      </c>
      <c r="AM94" s="21">
        <v>0</v>
      </c>
      <c r="AN94" s="21"/>
      <c r="AO94" s="21"/>
      <c r="AP94" s="34"/>
      <c r="AQ94" s="34"/>
      <c r="AR94" s="34"/>
      <c r="AS94" s="34"/>
      <c r="AT94" s="34"/>
      <c r="AU94" s="34"/>
      <c r="AV94" s="34"/>
      <c r="AW94" s="34"/>
      <c r="AX94" s="24">
        <f t="shared" si="45"/>
        <v>5000</v>
      </c>
      <c r="BD94" s="50"/>
      <c r="BE94" s="50"/>
    </row>
    <row r="95" spans="1:59" outlineLevel="1" x14ac:dyDescent="0.3">
      <c r="B95" s="27">
        <v>403</v>
      </c>
      <c r="C95" s="28" t="s">
        <v>196</v>
      </c>
      <c r="D95" s="29" t="s">
        <v>286</v>
      </c>
      <c r="E95" s="30">
        <v>45635</v>
      </c>
      <c r="F95" s="27" t="s">
        <v>198</v>
      </c>
      <c r="G95" s="31">
        <v>948800</v>
      </c>
      <c r="H95" s="33">
        <v>964442</v>
      </c>
      <c r="I95" s="33">
        <v>-15642</v>
      </c>
      <c r="J95" s="33">
        <v>48242</v>
      </c>
      <c r="K95" s="28" t="s">
        <v>187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/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/>
      <c r="AN95" s="21"/>
      <c r="AO95" s="21"/>
      <c r="AP95" s="34">
        <v>5000</v>
      </c>
      <c r="AQ95" s="34"/>
      <c r="AR95" s="34"/>
      <c r="AS95" s="34"/>
      <c r="AT95" s="34"/>
      <c r="AU95" s="34"/>
      <c r="AV95" s="34"/>
      <c r="AW95" s="34"/>
      <c r="AX95" s="24">
        <v>5000</v>
      </c>
      <c r="BD95" s="50"/>
      <c r="BE95" s="50"/>
    </row>
    <row r="96" spans="1:59" outlineLevel="1" x14ac:dyDescent="0.3">
      <c r="B96" s="27">
        <v>807</v>
      </c>
      <c r="C96" s="28" t="s">
        <v>287</v>
      </c>
      <c r="D96" s="29" t="s">
        <v>288</v>
      </c>
      <c r="E96" s="30">
        <v>45635</v>
      </c>
      <c r="F96" s="27" t="s">
        <v>200</v>
      </c>
      <c r="G96" s="31">
        <v>850000</v>
      </c>
      <c r="H96" s="33">
        <v>850000</v>
      </c>
      <c r="I96" s="33">
        <v>0</v>
      </c>
      <c r="J96" s="33">
        <v>85000</v>
      </c>
      <c r="K96" s="28" t="s">
        <v>187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/>
      <c r="AO96" s="21"/>
      <c r="AP96" s="34">
        <v>5000</v>
      </c>
      <c r="AQ96" s="34"/>
      <c r="AR96" s="34"/>
      <c r="AS96" s="34"/>
      <c r="AT96" s="34"/>
      <c r="AU96" s="34"/>
      <c r="AV96" s="34"/>
      <c r="AW96" s="34"/>
      <c r="AX96" s="24">
        <v>5000</v>
      </c>
      <c r="BD96" s="50"/>
      <c r="BE96" s="50"/>
    </row>
    <row r="97" spans="1:59" outlineLevel="1" x14ac:dyDescent="0.3">
      <c r="B97" s="27">
        <v>904</v>
      </c>
      <c r="C97" s="28" t="s">
        <v>176</v>
      </c>
      <c r="D97" s="29" t="s">
        <v>289</v>
      </c>
      <c r="E97" s="30">
        <v>45434</v>
      </c>
      <c r="F97" s="27" t="s">
        <v>194</v>
      </c>
      <c r="G97" s="31"/>
      <c r="H97" s="33">
        <v>753900</v>
      </c>
      <c r="I97" s="33"/>
      <c r="J97" s="33">
        <v>37700</v>
      </c>
      <c r="K97" s="28" t="s">
        <v>173</v>
      </c>
      <c r="L97" s="21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1018.45</v>
      </c>
      <c r="AE97" s="22">
        <v>0</v>
      </c>
      <c r="AF97" s="22">
        <v>0</v>
      </c>
      <c r="AG97" s="22">
        <v>0</v>
      </c>
      <c r="AH97" s="22">
        <v>2502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/>
      <c r="AO97" s="22"/>
      <c r="AP97" s="22"/>
      <c r="AQ97" s="23"/>
      <c r="AR97" s="23"/>
      <c r="AS97" s="23"/>
      <c r="AT97" s="23"/>
      <c r="AU97" s="23"/>
      <c r="AV97" s="23"/>
      <c r="AW97" s="23"/>
      <c r="AX97" s="24">
        <f>SUM(L97:AP97)</f>
        <v>3520.45</v>
      </c>
      <c r="BD97" s="50"/>
      <c r="BE97" s="50"/>
    </row>
    <row r="98" spans="1:59" outlineLevel="1" x14ac:dyDescent="0.3">
      <c r="B98" s="27">
        <v>1003</v>
      </c>
      <c r="C98" s="28" t="s">
        <v>176</v>
      </c>
      <c r="D98" s="29" t="s">
        <v>290</v>
      </c>
      <c r="E98" s="30">
        <v>45649</v>
      </c>
      <c r="F98" s="27" t="s">
        <v>267</v>
      </c>
      <c r="G98" s="31">
        <v>498000</v>
      </c>
      <c r="H98" s="33">
        <v>1300000</v>
      </c>
      <c r="I98" s="32">
        <f t="shared" ref="I98" si="46">+G98-H98</f>
        <v>-802000</v>
      </c>
      <c r="J98" s="33">
        <v>63000</v>
      </c>
      <c r="K98" s="28" t="s">
        <v>201</v>
      </c>
      <c r="L98" s="21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/>
      <c r="AO98" s="22">
        <v>2500</v>
      </c>
      <c r="AP98" s="34"/>
      <c r="AQ98" s="34"/>
      <c r="AR98" s="34"/>
      <c r="AS98" s="34"/>
      <c r="AT98" s="34"/>
      <c r="AU98" s="34"/>
      <c r="AV98" s="34"/>
      <c r="AW98" s="34"/>
      <c r="AX98" s="24">
        <f>SUM(L98:AR98)</f>
        <v>2500</v>
      </c>
      <c r="BD98" s="50"/>
      <c r="BE98" s="50"/>
    </row>
    <row r="99" spans="1:59" outlineLevel="1" x14ac:dyDescent="0.3">
      <c r="B99" s="27">
        <v>1001</v>
      </c>
      <c r="C99" s="28" t="s">
        <v>190</v>
      </c>
      <c r="D99" s="29" t="s">
        <v>264</v>
      </c>
      <c r="E99" s="30">
        <v>44760</v>
      </c>
      <c r="F99" s="27" t="s">
        <v>186</v>
      </c>
      <c r="G99" s="31">
        <v>1132000</v>
      </c>
      <c r="H99" s="33">
        <v>1132000</v>
      </c>
      <c r="I99" s="32">
        <f t="shared" ref="I99:I100" si="47">+G99-H99</f>
        <v>0</v>
      </c>
      <c r="J99" s="33">
        <v>113200</v>
      </c>
      <c r="K99" s="28" t="s">
        <v>173</v>
      </c>
      <c r="L99" s="21">
        <v>0</v>
      </c>
      <c r="M99" s="22">
        <v>0</v>
      </c>
      <c r="N99" s="22">
        <v>0</v>
      </c>
      <c r="O99" s="22">
        <v>5000</v>
      </c>
      <c r="P99" s="22">
        <v>4918</v>
      </c>
      <c r="Q99" s="22">
        <v>4922</v>
      </c>
      <c r="R99" s="22">
        <v>4920</v>
      </c>
      <c r="S99" s="22">
        <v>4918.18</v>
      </c>
      <c r="T99" s="22">
        <v>4920</v>
      </c>
      <c r="U99" s="22">
        <v>4918.18</v>
      </c>
      <c r="V99" s="22">
        <v>4918</v>
      </c>
      <c r="W99" s="22">
        <v>4918</v>
      </c>
      <c r="X99" s="22">
        <v>4918</v>
      </c>
      <c r="Y99" s="22">
        <v>4918.18</v>
      </c>
      <c r="Z99" s="22">
        <v>4919</v>
      </c>
      <c r="AA99" s="22">
        <v>4919</v>
      </c>
      <c r="AB99" s="22">
        <v>4919</v>
      </c>
      <c r="AC99" s="22">
        <v>4919</v>
      </c>
      <c r="AD99" s="22">
        <v>4919</v>
      </c>
      <c r="AE99" s="22">
        <v>4919</v>
      </c>
      <c r="AF99" s="22">
        <v>4919</v>
      </c>
      <c r="AG99" s="22">
        <v>4919</v>
      </c>
      <c r="AH99" s="22">
        <v>4919</v>
      </c>
      <c r="AI99" s="22">
        <v>4919</v>
      </c>
      <c r="AJ99" s="22">
        <v>4919</v>
      </c>
      <c r="AK99" s="22">
        <v>4919</v>
      </c>
      <c r="AL99" s="22">
        <v>0</v>
      </c>
      <c r="AM99" s="22">
        <v>0</v>
      </c>
      <c r="AN99" s="22"/>
      <c r="AO99" s="22"/>
      <c r="AP99" s="34"/>
      <c r="AQ99" s="34"/>
      <c r="AR99" s="34"/>
      <c r="AS99" s="34"/>
      <c r="AT99" s="34"/>
      <c r="AU99" s="34"/>
      <c r="AV99" s="34"/>
      <c r="AW99" s="34"/>
      <c r="AX99" s="24">
        <f>SUM(L99:AQ99)</f>
        <v>113216.54000000001</v>
      </c>
      <c r="AY99" s="51"/>
      <c r="AZ99" s="52"/>
      <c r="BA99" s="51"/>
      <c r="BB99" s="52"/>
      <c r="BC99" s="51"/>
      <c r="BD99" s="50"/>
      <c r="BE99" s="50"/>
    </row>
    <row r="100" spans="1:59" x14ac:dyDescent="0.3">
      <c r="B100" s="135" t="s">
        <v>271</v>
      </c>
      <c r="C100" s="136" t="s">
        <v>203</v>
      </c>
      <c r="D100" s="137" t="s">
        <v>291</v>
      </c>
      <c r="E100" s="138">
        <v>45709</v>
      </c>
      <c r="F100" s="135"/>
      <c r="G100" s="123">
        <v>457740</v>
      </c>
      <c r="H100" s="139">
        <v>457740</v>
      </c>
      <c r="I100" s="139">
        <f t="shared" si="47"/>
        <v>0</v>
      </c>
      <c r="J100" s="139">
        <v>45774</v>
      </c>
      <c r="K100" s="136" t="s">
        <v>187</v>
      </c>
      <c r="L100" s="121">
        <v>0</v>
      </c>
      <c r="M100" s="121">
        <v>0</v>
      </c>
      <c r="N100" s="121">
        <v>0</v>
      </c>
      <c r="O100" s="121">
        <v>0</v>
      </c>
      <c r="P100" s="121">
        <v>0</v>
      </c>
      <c r="Q100" s="121">
        <v>0</v>
      </c>
      <c r="R100" s="121">
        <v>0</v>
      </c>
      <c r="S100" s="121">
        <v>0</v>
      </c>
      <c r="T100" s="121">
        <v>0</v>
      </c>
      <c r="U100" s="121">
        <v>0</v>
      </c>
      <c r="V100" s="121">
        <v>0</v>
      </c>
      <c r="W100" s="121">
        <v>0</v>
      </c>
      <c r="X100" s="121">
        <v>0</v>
      </c>
      <c r="Y100" s="121">
        <v>0</v>
      </c>
      <c r="Z100" s="121">
        <v>0</v>
      </c>
      <c r="AA100" s="121">
        <v>0</v>
      </c>
      <c r="AB100" s="121">
        <v>0</v>
      </c>
      <c r="AC100" s="121">
        <v>0</v>
      </c>
      <c r="AD100" s="121">
        <v>0</v>
      </c>
      <c r="AE100" s="121">
        <v>0</v>
      </c>
      <c r="AF100" s="121">
        <v>0</v>
      </c>
      <c r="AG100" s="121">
        <v>0</v>
      </c>
      <c r="AH100" s="121">
        <v>0</v>
      </c>
      <c r="AI100" s="121">
        <v>0</v>
      </c>
      <c r="AJ100" s="121">
        <v>0</v>
      </c>
      <c r="AK100" s="121">
        <v>0</v>
      </c>
      <c r="AL100" s="121">
        <v>0</v>
      </c>
      <c r="AM100" s="121">
        <v>0</v>
      </c>
      <c r="AN100" s="121">
        <v>0</v>
      </c>
      <c r="AO100" s="121">
        <v>0</v>
      </c>
      <c r="AP100" s="121">
        <v>0</v>
      </c>
      <c r="AQ100" s="121">
        <v>0</v>
      </c>
      <c r="AR100" s="122">
        <v>5000</v>
      </c>
      <c r="AS100" s="121">
        <v>0</v>
      </c>
      <c r="AT100" s="121">
        <v>0</v>
      </c>
      <c r="AU100" s="122"/>
      <c r="AV100" s="122"/>
      <c r="AW100" s="122"/>
      <c r="AX100" s="122">
        <f>SUM(L100:AT100)</f>
        <v>5000</v>
      </c>
      <c r="AY100" s="51"/>
      <c r="AZ100" s="52"/>
      <c r="BA100" s="51"/>
      <c r="BB100" s="52"/>
      <c r="BC100" s="51"/>
      <c r="BD100" s="50"/>
      <c r="BE100" s="50"/>
    </row>
    <row r="101" spans="1:59" x14ac:dyDescent="0.3">
      <c r="B101" s="37" t="s">
        <v>292</v>
      </c>
      <c r="C101" s="36"/>
      <c r="D101" s="37"/>
      <c r="E101" s="38"/>
      <c r="F101" s="39"/>
      <c r="G101" s="53"/>
      <c r="H101" s="40"/>
      <c r="I101" s="40"/>
      <c r="J101" s="40"/>
      <c r="K101" s="36"/>
      <c r="L101" s="54">
        <f>SUM(L85:L100)</f>
        <v>0</v>
      </c>
      <c r="M101" s="54">
        <f t="shared" ref="M101:AR101" si="48">SUM(M85:M100)</f>
        <v>0</v>
      </c>
      <c r="N101" s="54">
        <f t="shared" si="48"/>
        <v>27673.91</v>
      </c>
      <c r="O101" s="54">
        <f t="shared" si="48"/>
        <v>13973.91304347826</v>
      </c>
      <c r="P101" s="54">
        <f t="shared" si="48"/>
        <v>50391.913043478256</v>
      </c>
      <c r="Q101" s="54">
        <f t="shared" si="48"/>
        <v>20095.91304347826</v>
      </c>
      <c r="R101" s="54">
        <f t="shared" si="48"/>
        <v>17393.91304347826</v>
      </c>
      <c r="S101" s="54">
        <f t="shared" si="48"/>
        <v>21392.09304347826</v>
      </c>
      <c r="T101" s="54">
        <f t="shared" si="48"/>
        <v>29093.91304347826</v>
      </c>
      <c r="U101" s="54">
        <f t="shared" si="48"/>
        <v>20892.09</v>
      </c>
      <c r="V101" s="54">
        <f t="shared" si="48"/>
        <v>23618</v>
      </c>
      <c r="W101" s="54">
        <f t="shared" si="48"/>
        <v>12765.82</v>
      </c>
      <c r="X101" s="54">
        <f t="shared" si="48"/>
        <v>25341.91</v>
      </c>
      <c r="Y101" s="54">
        <f t="shared" si="48"/>
        <v>21792.09</v>
      </c>
      <c r="Z101" s="54">
        <f t="shared" si="48"/>
        <v>11942.91</v>
      </c>
      <c r="AA101" s="54">
        <f t="shared" si="48"/>
        <v>7592.91</v>
      </c>
      <c r="AB101" s="54">
        <f t="shared" si="48"/>
        <v>7592.91</v>
      </c>
      <c r="AC101" s="54">
        <f t="shared" si="48"/>
        <v>7592.91</v>
      </c>
      <c r="AD101" s="54">
        <f t="shared" si="48"/>
        <v>14611.36</v>
      </c>
      <c r="AE101" s="54">
        <f t="shared" si="48"/>
        <v>7592.91</v>
      </c>
      <c r="AF101" s="54">
        <f t="shared" si="48"/>
        <v>7592.91</v>
      </c>
      <c r="AG101" s="54">
        <f t="shared" si="48"/>
        <v>12519</v>
      </c>
      <c r="AH101" s="54">
        <f t="shared" si="48"/>
        <v>20466.34</v>
      </c>
      <c r="AI101" s="54">
        <f t="shared" si="48"/>
        <v>23638.25</v>
      </c>
      <c r="AJ101" s="54">
        <f t="shared" si="48"/>
        <v>23392.98</v>
      </c>
      <c r="AK101" s="54">
        <f t="shared" si="48"/>
        <v>9919</v>
      </c>
      <c r="AL101" s="54">
        <f t="shared" si="48"/>
        <v>5000</v>
      </c>
      <c r="AM101" s="54">
        <f t="shared" si="48"/>
        <v>0</v>
      </c>
      <c r="AN101" s="54">
        <f t="shared" si="48"/>
        <v>0</v>
      </c>
      <c r="AO101" s="54">
        <f t="shared" si="48"/>
        <v>2500</v>
      </c>
      <c r="AP101" s="54">
        <f t="shared" si="48"/>
        <v>10000</v>
      </c>
      <c r="AQ101" s="54">
        <f t="shared" si="48"/>
        <v>0</v>
      </c>
      <c r="AR101" s="54">
        <f t="shared" si="48"/>
        <v>5000</v>
      </c>
      <c r="AS101" s="54"/>
      <c r="AT101" s="54"/>
      <c r="AU101" s="54"/>
      <c r="AV101" s="54"/>
      <c r="AW101" s="54"/>
      <c r="AX101" s="54">
        <f t="shared" ref="AX101" si="49">SUM(AX85:AX100)</f>
        <v>461379.86826086964</v>
      </c>
      <c r="BD101" s="55"/>
      <c r="BE101" s="50"/>
    </row>
    <row r="102" spans="1:59" x14ac:dyDescent="0.3">
      <c r="B102" s="77" t="s">
        <v>293</v>
      </c>
      <c r="C102" s="44"/>
      <c r="D102" s="26"/>
      <c r="E102" s="45"/>
      <c r="F102" s="46"/>
      <c r="G102" s="47"/>
      <c r="H102" s="48"/>
      <c r="I102" s="48"/>
      <c r="J102" s="48"/>
      <c r="K102" s="49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BD102" s="50"/>
      <c r="BE102" s="50"/>
    </row>
    <row r="103" spans="1:59" outlineLevel="1" x14ac:dyDescent="0.3">
      <c r="B103" s="27">
        <v>508</v>
      </c>
      <c r="C103" s="28" t="s">
        <v>176</v>
      </c>
      <c r="D103" s="29" t="s">
        <v>282</v>
      </c>
      <c r="E103" s="56"/>
      <c r="F103" s="57"/>
      <c r="G103" s="58"/>
      <c r="H103" s="41"/>
      <c r="I103" s="41"/>
      <c r="J103" s="41"/>
      <c r="K103" s="59"/>
      <c r="L103" s="25"/>
      <c r="M103" s="25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>
        <v>11000</v>
      </c>
      <c r="AJ103" s="60"/>
      <c r="AK103" s="60"/>
      <c r="AL103" s="60"/>
      <c r="AM103" s="60"/>
      <c r="AN103" s="60"/>
      <c r="AO103" s="60"/>
      <c r="AP103" s="60"/>
      <c r="AQ103" s="61"/>
      <c r="AR103" s="61"/>
      <c r="AS103" s="61"/>
      <c r="AT103" s="61"/>
      <c r="AU103" s="61"/>
      <c r="AV103" s="61"/>
      <c r="AW103" s="61"/>
      <c r="AX103" s="24">
        <f>SUM(L103:AP103)</f>
        <v>11000</v>
      </c>
      <c r="BD103" s="50"/>
      <c r="BE103" s="50"/>
    </row>
    <row r="104" spans="1:59" outlineLevel="1" x14ac:dyDescent="0.3">
      <c r="B104" s="27">
        <v>605</v>
      </c>
      <c r="C104" s="28" t="s">
        <v>170</v>
      </c>
      <c r="D104" s="29" t="s">
        <v>281</v>
      </c>
      <c r="E104" s="56"/>
      <c r="F104" s="57"/>
      <c r="G104" s="58"/>
      <c r="H104" s="41"/>
      <c r="I104" s="41"/>
      <c r="J104" s="41"/>
      <c r="K104" s="59"/>
      <c r="L104" s="25"/>
      <c r="M104" s="25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>
        <f>66500+1330</f>
        <v>67830</v>
      </c>
      <c r="AO104" s="60"/>
      <c r="AP104" s="60"/>
      <c r="AQ104" s="61"/>
      <c r="AR104" s="61"/>
      <c r="AS104" s="61"/>
      <c r="AT104" s="61"/>
      <c r="AU104" s="61"/>
      <c r="AV104" s="61"/>
      <c r="AW104" s="61"/>
      <c r="AX104" s="24">
        <f>SUM(L104:AP104)</f>
        <v>67830</v>
      </c>
      <c r="BD104" s="50"/>
      <c r="BE104" s="50"/>
    </row>
    <row r="105" spans="1:59" outlineLevel="1" x14ac:dyDescent="0.3">
      <c r="B105" s="27">
        <v>908</v>
      </c>
      <c r="C105" s="28" t="s">
        <v>190</v>
      </c>
      <c r="D105" s="29" t="s">
        <v>283</v>
      </c>
      <c r="E105" s="56"/>
      <c r="F105" s="57"/>
      <c r="G105" s="58"/>
      <c r="H105" s="41"/>
      <c r="I105" s="41"/>
      <c r="J105" s="41"/>
      <c r="K105" s="59"/>
      <c r="L105" s="25"/>
      <c r="M105" s="25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>
        <v>37942.86</v>
      </c>
      <c r="AO105" s="60"/>
      <c r="AP105" s="60"/>
      <c r="AQ105" s="61"/>
      <c r="AR105" s="61"/>
      <c r="AS105" s="61"/>
      <c r="AT105" s="61"/>
      <c r="AU105" s="61"/>
      <c r="AV105" s="61"/>
      <c r="AW105" s="61"/>
      <c r="AX105" s="24">
        <f>SUM(L105:AP105)</f>
        <v>37942.86</v>
      </c>
      <c r="BD105" s="50"/>
      <c r="BE105" s="50"/>
    </row>
    <row r="106" spans="1:59" outlineLevel="1" x14ac:dyDescent="0.3">
      <c r="B106" s="27">
        <v>103</v>
      </c>
      <c r="C106" s="28" t="s">
        <v>223</v>
      </c>
      <c r="D106" s="29" t="s">
        <v>294</v>
      </c>
      <c r="E106" s="30">
        <v>44895</v>
      </c>
      <c r="F106" s="27" t="s">
        <v>178</v>
      </c>
      <c r="G106" s="31"/>
      <c r="H106" s="33">
        <v>1265000</v>
      </c>
      <c r="I106" s="33"/>
      <c r="J106" s="33">
        <v>126500</v>
      </c>
      <c r="K106" s="28" t="s">
        <v>173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5000</v>
      </c>
      <c r="R106" s="21">
        <v>0</v>
      </c>
      <c r="S106" s="21">
        <v>6300</v>
      </c>
      <c r="T106" s="21">
        <v>6300</v>
      </c>
      <c r="U106" s="21">
        <v>12600</v>
      </c>
      <c r="V106" s="21">
        <v>0</v>
      </c>
      <c r="W106" s="21">
        <v>0</v>
      </c>
      <c r="X106" s="21">
        <v>12600</v>
      </c>
      <c r="Y106" s="21">
        <v>0</v>
      </c>
      <c r="Z106" s="21">
        <v>0</v>
      </c>
      <c r="AA106" s="21">
        <v>18900</v>
      </c>
      <c r="AB106" s="21">
        <v>0</v>
      </c>
      <c r="AC106" s="21">
        <v>0</v>
      </c>
      <c r="AD106" s="21">
        <v>0</v>
      </c>
      <c r="AE106" s="21">
        <v>25200</v>
      </c>
      <c r="AF106" s="21">
        <v>0</v>
      </c>
      <c r="AG106" s="21">
        <v>0</v>
      </c>
      <c r="AH106" s="21">
        <v>18900</v>
      </c>
      <c r="AI106" s="21">
        <v>0</v>
      </c>
      <c r="AJ106" s="21">
        <v>12600</v>
      </c>
      <c r="AK106" s="21">
        <v>0</v>
      </c>
      <c r="AL106" s="21">
        <v>0</v>
      </c>
      <c r="AM106" s="21"/>
      <c r="AN106" s="21">
        <v>8100</v>
      </c>
      <c r="AO106" s="21"/>
      <c r="AP106" s="21"/>
      <c r="AQ106" s="34"/>
      <c r="AR106" s="34"/>
      <c r="AS106" s="34"/>
      <c r="AT106" s="34"/>
      <c r="AU106" s="34"/>
      <c r="AV106" s="34"/>
      <c r="AW106" s="34"/>
      <c r="AX106" s="24">
        <f>SUM(L106:AP106)</f>
        <v>126500</v>
      </c>
      <c r="BD106" s="50"/>
      <c r="BE106" s="50"/>
    </row>
    <row r="107" spans="1:59" x14ac:dyDescent="0.3">
      <c r="B107" s="37" t="s">
        <v>295</v>
      </c>
      <c r="C107" s="36"/>
      <c r="D107" s="37"/>
      <c r="E107" s="38"/>
      <c r="F107" s="39"/>
      <c r="G107" s="53"/>
      <c r="H107" s="40"/>
      <c r="I107" s="40"/>
      <c r="J107" s="40"/>
      <c r="K107" s="36"/>
      <c r="L107" s="54">
        <f>SUM(L102:L106)</f>
        <v>0</v>
      </c>
      <c r="M107" s="54">
        <f t="shared" ref="M107:AQ107" si="50">SUM(M102:M106)</f>
        <v>0</v>
      </c>
      <c r="N107" s="54">
        <f t="shared" si="50"/>
        <v>0</v>
      </c>
      <c r="O107" s="54">
        <f t="shared" si="50"/>
        <v>0</v>
      </c>
      <c r="P107" s="54">
        <f t="shared" si="50"/>
        <v>0</v>
      </c>
      <c r="Q107" s="54">
        <f t="shared" si="50"/>
        <v>5000</v>
      </c>
      <c r="R107" s="54">
        <f t="shared" si="50"/>
        <v>0</v>
      </c>
      <c r="S107" s="54">
        <f t="shared" si="50"/>
        <v>6300</v>
      </c>
      <c r="T107" s="54">
        <f t="shared" si="50"/>
        <v>6300</v>
      </c>
      <c r="U107" s="54">
        <f t="shared" si="50"/>
        <v>12600</v>
      </c>
      <c r="V107" s="54">
        <f t="shared" si="50"/>
        <v>0</v>
      </c>
      <c r="W107" s="54">
        <f t="shared" si="50"/>
        <v>0</v>
      </c>
      <c r="X107" s="54">
        <f t="shared" si="50"/>
        <v>12600</v>
      </c>
      <c r="Y107" s="54">
        <f t="shared" si="50"/>
        <v>0</v>
      </c>
      <c r="Z107" s="54">
        <f t="shared" si="50"/>
        <v>0</v>
      </c>
      <c r="AA107" s="54">
        <f t="shared" si="50"/>
        <v>18900</v>
      </c>
      <c r="AB107" s="54">
        <f t="shared" si="50"/>
        <v>0</v>
      </c>
      <c r="AC107" s="54">
        <f t="shared" si="50"/>
        <v>0</v>
      </c>
      <c r="AD107" s="54">
        <f t="shared" si="50"/>
        <v>0</v>
      </c>
      <c r="AE107" s="54">
        <f t="shared" si="50"/>
        <v>25200</v>
      </c>
      <c r="AF107" s="54">
        <f t="shared" si="50"/>
        <v>0</v>
      </c>
      <c r="AG107" s="54">
        <f t="shared" si="50"/>
        <v>0</v>
      </c>
      <c r="AH107" s="54">
        <f t="shared" si="50"/>
        <v>18900</v>
      </c>
      <c r="AI107" s="54">
        <f t="shared" si="50"/>
        <v>11000</v>
      </c>
      <c r="AJ107" s="54">
        <f t="shared" si="50"/>
        <v>12600</v>
      </c>
      <c r="AK107" s="54">
        <f t="shared" si="50"/>
        <v>0</v>
      </c>
      <c r="AL107" s="54">
        <f t="shared" si="50"/>
        <v>0</v>
      </c>
      <c r="AM107" s="54">
        <f t="shared" si="50"/>
        <v>0</v>
      </c>
      <c r="AN107" s="54">
        <f t="shared" si="50"/>
        <v>113872.86</v>
      </c>
      <c r="AO107" s="54">
        <f t="shared" si="50"/>
        <v>0</v>
      </c>
      <c r="AP107" s="54">
        <f t="shared" si="50"/>
        <v>0</v>
      </c>
      <c r="AQ107" s="54">
        <f t="shared" si="50"/>
        <v>0</v>
      </c>
      <c r="AR107" s="54"/>
      <c r="AS107" s="54"/>
      <c r="AT107" s="54"/>
      <c r="AU107" s="54"/>
      <c r="AV107" s="54"/>
      <c r="AW107" s="54"/>
      <c r="AX107" s="62">
        <f>SUM(AX102:AX106)</f>
        <v>243272.86</v>
      </c>
      <c r="BD107" s="50"/>
      <c r="BE107" s="50"/>
    </row>
    <row r="108" spans="1:59" x14ac:dyDescent="0.3">
      <c r="B108" s="63" t="s">
        <v>296</v>
      </c>
      <c r="C108" s="64"/>
      <c r="D108" s="63"/>
      <c r="E108" s="65"/>
      <c r="F108" s="66"/>
      <c r="G108" s="67"/>
      <c r="H108" s="68"/>
      <c r="I108" s="68"/>
      <c r="J108" s="68"/>
      <c r="K108" s="64"/>
      <c r="L108" s="69">
        <f t="shared" ref="L108:AO108" si="51">+L101+L80-L107</f>
        <v>15000</v>
      </c>
      <c r="M108" s="69">
        <f t="shared" si="51"/>
        <v>23326.54</v>
      </c>
      <c r="N108" s="69">
        <f t="shared" si="51"/>
        <v>62514.95</v>
      </c>
      <c r="O108" s="69">
        <f t="shared" si="51"/>
        <v>239828.95304347825</v>
      </c>
      <c r="P108" s="69">
        <f t="shared" si="51"/>
        <v>437000.78304347827</v>
      </c>
      <c r="Q108" s="69">
        <f t="shared" si="51"/>
        <v>67926.513043478262</v>
      </c>
      <c r="R108" s="69">
        <f t="shared" si="51"/>
        <v>743701.04304347828</v>
      </c>
      <c r="S108" s="69">
        <f t="shared" si="51"/>
        <v>94312.693043478255</v>
      </c>
      <c r="T108" s="69">
        <f t="shared" si="51"/>
        <v>186395.78304347824</v>
      </c>
      <c r="U108" s="69">
        <f t="shared" si="51"/>
        <v>199288.37999999998</v>
      </c>
      <c r="V108" s="69">
        <f t="shared" si="51"/>
        <v>128027.34</v>
      </c>
      <c r="W108" s="69">
        <f t="shared" si="51"/>
        <v>124886.39999999999</v>
      </c>
      <c r="X108" s="69">
        <f t="shared" si="51"/>
        <v>108120.95</v>
      </c>
      <c r="Y108" s="69">
        <f t="shared" si="51"/>
        <v>150796.84</v>
      </c>
      <c r="Z108" s="69">
        <f t="shared" si="51"/>
        <v>136578.95000000001</v>
      </c>
      <c r="AA108" s="69">
        <f t="shared" si="51"/>
        <v>107926.41</v>
      </c>
      <c r="AB108" s="69">
        <f t="shared" si="51"/>
        <v>153693.41</v>
      </c>
      <c r="AC108" s="69">
        <f t="shared" si="51"/>
        <v>110779.90000000001</v>
      </c>
      <c r="AD108" s="69">
        <f t="shared" si="51"/>
        <v>157541.78999999998</v>
      </c>
      <c r="AE108" s="69">
        <f t="shared" si="51"/>
        <v>102240.83</v>
      </c>
      <c r="AF108" s="69">
        <f t="shared" si="51"/>
        <v>195624.62000000002</v>
      </c>
      <c r="AG108" s="69">
        <f t="shared" si="51"/>
        <v>143810.25</v>
      </c>
      <c r="AH108" s="69">
        <f t="shared" si="51"/>
        <v>207873.16999999998</v>
      </c>
      <c r="AI108" s="69">
        <f t="shared" si="51"/>
        <v>1219629.8999999999</v>
      </c>
      <c r="AJ108" s="69">
        <f t="shared" si="51"/>
        <v>331019.48</v>
      </c>
      <c r="AK108" s="69">
        <f t="shared" si="51"/>
        <v>1040226.1</v>
      </c>
      <c r="AL108" s="69">
        <f t="shared" si="51"/>
        <v>247643.52000000002</v>
      </c>
      <c r="AM108" s="69">
        <f t="shared" si="51"/>
        <v>234338.83</v>
      </c>
      <c r="AN108" s="69">
        <f t="shared" si="51"/>
        <v>294822.18</v>
      </c>
      <c r="AO108" s="69">
        <f t="shared" si="51"/>
        <v>385665.9</v>
      </c>
      <c r="AP108" s="69"/>
      <c r="AQ108" s="69"/>
      <c r="AR108" s="69"/>
      <c r="AS108" s="69"/>
      <c r="AT108" s="69"/>
      <c r="AU108" s="69"/>
      <c r="AV108" s="69"/>
      <c r="AW108" s="69"/>
      <c r="AX108" s="70">
        <f>+AX101+AX80-AX107</f>
        <v>15870255.048260871</v>
      </c>
      <c r="AY108" s="71"/>
      <c r="AZ108" s="71"/>
      <c r="BA108" s="71"/>
      <c r="BB108" s="71"/>
      <c r="BC108" s="71"/>
      <c r="BD108" s="72"/>
      <c r="BE108" s="72"/>
      <c r="BG108" s="71"/>
    </row>
    <row r="109" spans="1:59" s="12" customFormat="1" x14ac:dyDescent="0.3">
      <c r="A109" s="7"/>
      <c r="E109" s="11"/>
      <c r="G109" s="73"/>
      <c r="H109" s="74"/>
      <c r="I109" s="74"/>
      <c r="J109" s="74"/>
      <c r="L109" s="73"/>
      <c r="M109" s="73"/>
      <c r="N109" s="73"/>
      <c r="O109" s="73"/>
      <c r="P109" s="73"/>
      <c r="Q109" s="73"/>
      <c r="BD109" s="75"/>
      <c r="BE109" s="75"/>
    </row>
    <row r="111" spans="1:59" x14ac:dyDescent="0.3">
      <c r="AO111" s="76"/>
      <c r="AP111" s="76"/>
      <c r="AQ111" s="76"/>
      <c r="AR111" s="76"/>
      <c r="AS111" s="76"/>
      <c r="AT111" s="76"/>
      <c r="AU111" s="76"/>
      <c r="AV111" s="76"/>
      <c r="AW111" s="76"/>
    </row>
  </sheetData>
  <autoFilter ref="A4:BG82" xr:uid="{47162932-9333-4925-B20D-9B18091A8B83}"/>
  <mergeCells count="1">
    <mergeCell ref="H3:J3"/>
  </mergeCells>
  <conditionalFormatting sqref="L100:AQ100">
    <cfRule type="cellIs" dxfId="112" priority="8" operator="lessThan">
      <formula>0.01</formula>
    </cfRule>
  </conditionalFormatting>
  <conditionalFormatting sqref="L77:AR78">
    <cfRule type="cellIs" dxfId="111" priority="24" operator="lessThan">
      <formula>0.01</formula>
    </cfRule>
  </conditionalFormatting>
  <conditionalFormatting sqref="L5:AT76">
    <cfRule type="cellIs" dxfId="110" priority="32" operator="lessThan">
      <formula>0.01</formula>
    </cfRule>
  </conditionalFormatting>
  <conditionalFormatting sqref="L79:AT79">
    <cfRule type="cellIs" dxfId="109" priority="29" operator="lessThan">
      <formula>0.01</formula>
    </cfRule>
  </conditionalFormatting>
  <conditionalFormatting sqref="L85:AW85">
    <cfRule type="cellIs" dxfId="108" priority="2" operator="lessThan">
      <formula>0.01</formula>
    </cfRule>
  </conditionalFormatting>
  <conditionalFormatting sqref="AS100:AW100">
    <cfRule type="cellIs" dxfId="107" priority="1" operator="lessThan">
      <formula>0.01</formula>
    </cfRule>
  </conditionalFormatting>
  <conditionalFormatting sqref="AT77:AT78">
    <cfRule type="cellIs" dxfId="106" priority="21" operator="lessThan">
      <formula>0.01</formula>
    </cfRule>
  </conditionalFormatting>
  <conditionalFormatting sqref="AU5:AW79">
    <cfRule type="cellIs" dxfId="105" priority="3" operator="lessThan">
      <formula>0.01</formula>
    </cfRule>
  </conditionalFormatting>
  <conditionalFormatting sqref="AZ5:AZ79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{80C90B65-FB24-4AF3-B14B-CDB957350D56}</x14:id>
        </ext>
      </extLst>
    </cfRule>
  </conditionalFormatting>
  <conditionalFormatting sqref="BG5:BG79">
    <cfRule type="containsText" dxfId="104" priority="33" operator="containsText" text="Superávit de Enganche">
      <formula>NOT(ISERROR(SEARCH("Superávit de Enganche",BG5)))</formula>
    </cfRule>
    <cfRule type="containsText" dxfId="103" priority="34" operator="containsText" text="Enganche Completado">
      <formula>NOT(ISERROR(SEARCH("Enganche Completado",BG5)))</formula>
    </cfRule>
    <cfRule type="containsText" dxfId="102" priority="35" operator="containsText" text="Cliente Atrasado">
      <formula>NOT(ISERROR(SEARCH("Cliente Atrasado",BG5)))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90B65-FB24-4AF3-B14B-CDB957350D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AZ5:AZ79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BCF4-4D22-418B-BB7B-6F4855011BB3}">
  <dimension ref="A2:AP119"/>
  <sheetViews>
    <sheetView topLeftCell="A2" workbookViewId="0">
      <pane xSplit="1" ySplit="3" topLeftCell="AF76" activePane="bottomRight" state="frozen"/>
      <selection pane="topRight" activeCell="B2" sqref="B2"/>
      <selection pane="bottomLeft" activeCell="A5" sqref="A5"/>
      <selection pane="bottomRight" activeCell="AF76" sqref="AF76"/>
    </sheetView>
  </sheetViews>
  <sheetFormatPr defaultColWidth="11.42578125" defaultRowHeight="15" x14ac:dyDescent="0.25"/>
  <cols>
    <col min="1" max="1" width="9.28515625" style="2" bestFit="1" customWidth="1"/>
    <col min="2" max="2" width="10.5703125" style="2" bestFit="1" customWidth="1"/>
    <col min="3" max="3" width="10.42578125" style="2" bestFit="1" customWidth="1"/>
    <col min="4" max="4" width="10.85546875" style="2" bestFit="1" customWidth="1"/>
    <col min="5" max="5" width="11.42578125" style="2" bestFit="1" customWidth="1"/>
    <col min="6" max="6" width="11.42578125" style="2" bestFit="1"/>
    <col min="7" max="24" width="13" style="2" bestFit="1" customWidth="1"/>
    <col min="25" max="25" width="13" style="2" customWidth="1"/>
    <col min="26" max="26" width="13" style="2" bestFit="1" customWidth="1"/>
    <col min="27" max="27" width="13" style="2" customWidth="1"/>
    <col min="28" max="30" width="13" style="2" bestFit="1" customWidth="1"/>
    <col min="31" max="31" width="13" style="2" customWidth="1"/>
    <col min="32" max="34" width="13" style="2" bestFit="1" customWidth="1"/>
    <col min="35" max="35" width="14" style="2" bestFit="1" customWidth="1"/>
    <col min="36" max="38" width="14.28515625" style="2" customWidth="1"/>
    <col min="39" max="39" width="14" style="2" bestFit="1" customWidth="1"/>
    <col min="40" max="40" width="13.28515625" style="2" bestFit="1" customWidth="1"/>
    <col min="41" max="41" width="13.28515625" style="2" customWidth="1"/>
    <col min="42" max="42" width="20.42578125" style="2" bestFit="1" customWidth="1"/>
    <col min="43" max="16384" width="11.42578125" style="2"/>
  </cols>
  <sheetData>
    <row r="2" spans="1:42" x14ac:dyDescent="0.25">
      <c r="A2" s="2">
        <v>1</v>
      </c>
      <c r="B2" s="2">
        <f>+A2+1</f>
        <v>2</v>
      </c>
      <c r="C2" s="2">
        <f t="shared" ref="C2:AN2" si="0">+B2+1</f>
        <v>3</v>
      </c>
      <c r="D2" s="2">
        <f t="shared" si="0"/>
        <v>4</v>
      </c>
      <c r="E2" s="2">
        <f t="shared" si="0"/>
        <v>5</v>
      </c>
      <c r="F2" s="2">
        <f t="shared" si="0"/>
        <v>6</v>
      </c>
      <c r="G2" s="2">
        <f t="shared" si="0"/>
        <v>7</v>
      </c>
      <c r="H2" s="2">
        <f t="shared" si="0"/>
        <v>8</v>
      </c>
      <c r="I2" s="2">
        <f t="shared" si="0"/>
        <v>9</v>
      </c>
      <c r="J2" s="2">
        <f t="shared" si="0"/>
        <v>10</v>
      </c>
      <c r="K2" s="2">
        <f t="shared" si="0"/>
        <v>11</v>
      </c>
      <c r="L2" s="2">
        <f t="shared" si="0"/>
        <v>12</v>
      </c>
      <c r="M2" s="2">
        <f t="shared" si="0"/>
        <v>13</v>
      </c>
      <c r="N2" s="2">
        <f t="shared" si="0"/>
        <v>14</v>
      </c>
      <c r="O2" s="2">
        <f t="shared" si="0"/>
        <v>15</v>
      </c>
      <c r="P2" s="2">
        <f t="shared" si="0"/>
        <v>16</v>
      </c>
      <c r="Q2" s="2">
        <f t="shared" si="0"/>
        <v>17</v>
      </c>
      <c r="R2" s="2">
        <f t="shared" si="0"/>
        <v>18</v>
      </c>
      <c r="S2" s="2">
        <f t="shared" si="0"/>
        <v>19</v>
      </c>
      <c r="T2" s="2">
        <f t="shared" si="0"/>
        <v>20</v>
      </c>
      <c r="U2" s="2">
        <f t="shared" si="0"/>
        <v>21</v>
      </c>
      <c r="V2" s="2">
        <f t="shared" si="0"/>
        <v>22</v>
      </c>
      <c r="W2" s="2">
        <f t="shared" si="0"/>
        <v>23</v>
      </c>
      <c r="X2" s="2">
        <f t="shared" si="0"/>
        <v>24</v>
      </c>
      <c r="Y2" s="2">
        <f t="shared" si="0"/>
        <v>25</v>
      </c>
      <c r="Z2" s="2">
        <f t="shared" si="0"/>
        <v>26</v>
      </c>
      <c r="AA2" s="2">
        <f t="shared" si="0"/>
        <v>27</v>
      </c>
      <c r="AB2" s="2">
        <f t="shared" si="0"/>
        <v>28</v>
      </c>
      <c r="AC2" s="2">
        <f t="shared" si="0"/>
        <v>29</v>
      </c>
      <c r="AD2" s="2">
        <f t="shared" si="0"/>
        <v>30</v>
      </c>
      <c r="AE2" s="2">
        <f t="shared" si="0"/>
        <v>31</v>
      </c>
      <c r="AF2" s="2">
        <f t="shared" si="0"/>
        <v>32</v>
      </c>
      <c r="AG2" s="2">
        <f t="shared" si="0"/>
        <v>33</v>
      </c>
      <c r="AH2" s="2">
        <f t="shared" si="0"/>
        <v>34</v>
      </c>
      <c r="AI2" s="2">
        <f t="shared" si="0"/>
        <v>35</v>
      </c>
      <c r="AM2" s="2">
        <f>+AI2+1</f>
        <v>36</v>
      </c>
      <c r="AN2" s="2">
        <f t="shared" si="0"/>
        <v>37</v>
      </c>
    </row>
    <row r="4" spans="1:42" s="4" customFormat="1" x14ac:dyDescent="0.25">
      <c r="A4" s="3" t="s">
        <v>62</v>
      </c>
      <c r="B4" s="3" t="s">
        <v>297</v>
      </c>
      <c r="C4" s="3" t="s">
        <v>298</v>
      </c>
      <c r="D4" s="3" t="s">
        <v>299</v>
      </c>
      <c r="E4" s="3" t="s">
        <v>300</v>
      </c>
      <c r="F4" s="3" t="s">
        <v>301</v>
      </c>
      <c r="G4" s="3" t="s">
        <v>302</v>
      </c>
      <c r="H4" s="3" t="s">
        <v>303</v>
      </c>
      <c r="I4" s="3" t="s">
        <v>304</v>
      </c>
      <c r="J4" s="3" t="s">
        <v>305</v>
      </c>
      <c r="K4" s="3" t="s">
        <v>306</v>
      </c>
      <c r="L4" s="3" t="s">
        <v>307</v>
      </c>
      <c r="M4" s="3" t="s">
        <v>308</v>
      </c>
      <c r="N4" s="3" t="s">
        <v>309</v>
      </c>
      <c r="O4" s="3" t="s">
        <v>310</v>
      </c>
      <c r="P4" s="3" t="s">
        <v>311</v>
      </c>
      <c r="Q4" s="3" t="s">
        <v>312</v>
      </c>
      <c r="R4" s="3" t="s">
        <v>313</v>
      </c>
      <c r="S4" s="3" t="s">
        <v>314</v>
      </c>
      <c r="T4" s="3" t="s">
        <v>315</v>
      </c>
      <c r="U4" s="3" t="s">
        <v>316</v>
      </c>
      <c r="V4" s="3" t="s">
        <v>317</v>
      </c>
      <c r="W4" s="3" t="s">
        <v>318</v>
      </c>
      <c r="X4" s="3" t="s">
        <v>319</v>
      </c>
      <c r="Y4" s="3" t="s">
        <v>320</v>
      </c>
      <c r="Z4" s="3" t="s">
        <v>321</v>
      </c>
      <c r="AA4" s="3" t="s">
        <v>322</v>
      </c>
      <c r="AB4" s="3" t="s">
        <v>323</v>
      </c>
      <c r="AC4" s="3" t="s">
        <v>324</v>
      </c>
      <c r="AD4" s="3" t="s">
        <v>325</v>
      </c>
      <c r="AE4" s="3" t="s">
        <v>326</v>
      </c>
      <c r="AF4" s="3" t="s">
        <v>327</v>
      </c>
      <c r="AG4" s="3">
        <v>45658</v>
      </c>
      <c r="AH4" s="3">
        <v>45689</v>
      </c>
      <c r="AI4" s="3">
        <v>45717</v>
      </c>
      <c r="AJ4" s="3">
        <v>45748</v>
      </c>
      <c r="AK4" s="3">
        <v>45778</v>
      </c>
      <c r="AL4" s="3">
        <v>45809</v>
      </c>
      <c r="AM4" s="4" t="s">
        <v>328</v>
      </c>
      <c r="AN4" s="4" t="s">
        <v>329</v>
      </c>
      <c r="AO4" s="4" t="s">
        <v>330</v>
      </c>
      <c r="AP4" s="4" t="s">
        <v>68</v>
      </c>
    </row>
    <row r="5" spans="1:42" x14ac:dyDescent="0.25">
      <c r="A5" s="5">
        <v>101</v>
      </c>
      <c r="B5" s="6"/>
      <c r="C5" s="6"/>
      <c r="D5" s="6">
        <v>5000</v>
      </c>
      <c r="E5" s="6">
        <v>3285</v>
      </c>
      <c r="F5" s="6">
        <v>3285</v>
      </c>
      <c r="G5" s="6">
        <v>3285</v>
      </c>
      <c r="H5" s="6">
        <v>3285</v>
      </c>
      <c r="I5" s="6">
        <v>3285</v>
      </c>
      <c r="J5" s="6">
        <v>3285</v>
      </c>
      <c r="K5" s="6">
        <v>3285</v>
      </c>
      <c r="L5" s="6">
        <v>3285</v>
      </c>
      <c r="M5" s="6">
        <v>3285</v>
      </c>
      <c r="N5" s="6">
        <v>3285</v>
      </c>
      <c r="O5" s="6">
        <v>3285</v>
      </c>
      <c r="P5" s="6">
        <v>3285</v>
      </c>
      <c r="Q5" s="6">
        <v>3285</v>
      </c>
      <c r="R5" s="6">
        <v>3285</v>
      </c>
      <c r="S5" s="6">
        <v>3285</v>
      </c>
      <c r="T5" s="6">
        <v>3285</v>
      </c>
      <c r="U5" s="6">
        <v>3285</v>
      </c>
      <c r="V5" s="6">
        <v>3285</v>
      </c>
      <c r="W5" s="6">
        <v>3285</v>
      </c>
      <c r="X5" s="6">
        <v>3285</v>
      </c>
      <c r="Y5" s="6">
        <v>3285</v>
      </c>
      <c r="Z5" s="6">
        <v>3285</v>
      </c>
      <c r="AA5" s="6">
        <v>3330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f>SUM(B5:AL5)</f>
        <v>80600</v>
      </c>
      <c r="AN5" s="6">
        <f>+AM5-'SANTA ELISA'!J5</f>
        <v>0</v>
      </c>
      <c r="AO5" s="6">
        <f>SUM(B5:AI5)</f>
        <v>80600</v>
      </c>
      <c r="AP5" s="2">
        <f>VLOOKUP(A5,'SANTA ELISA'!$B$4:$BG$79,53,0)</f>
        <v>725400</v>
      </c>
    </row>
    <row r="6" spans="1:42" x14ac:dyDescent="0.25">
      <c r="A6" s="5">
        <v>102</v>
      </c>
      <c r="B6" s="6"/>
      <c r="C6" s="6"/>
      <c r="D6" s="6"/>
      <c r="E6" s="6"/>
      <c r="F6" s="6"/>
      <c r="G6" s="6"/>
      <c r="H6" s="6"/>
      <c r="I6" s="6">
        <v>5000</v>
      </c>
      <c r="J6" s="6">
        <v>4240</v>
      </c>
      <c r="K6" s="6">
        <v>4240</v>
      </c>
      <c r="L6" s="6">
        <v>4240</v>
      </c>
      <c r="M6" s="6">
        <v>4240</v>
      </c>
      <c r="N6" s="6">
        <v>4240</v>
      </c>
      <c r="O6" s="6">
        <v>4240</v>
      </c>
      <c r="P6" s="6">
        <v>4240</v>
      </c>
      <c r="Q6" s="6">
        <v>4240</v>
      </c>
      <c r="R6" s="6">
        <v>4240</v>
      </c>
      <c r="S6" s="6">
        <v>4240</v>
      </c>
      <c r="T6" s="6">
        <v>4240</v>
      </c>
      <c r="U6" s="6">
        <v>4240</v>
      </c>
      <c r="V6" s="6">
        <v>4240</v>
      </c>
      <c r="W6" s="6">
        <v>4240</v>
      </c>
      <c r="X6" s="6">
        <v>4240</v>
      </c>
      <c r="Y6" s="6">
        <v>4240</v>
      </c>
      <c r="Z6" s="6">
        <v>4240</v>
      </c>
      <c r="AA6" s="6">
        <v>4320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f t="shared" ref="AM6:AM69" si="1">SUM(B6:AL6)</f>
        <v>81400</v>
      </c>
      <c r="AN6" s="6">
        <f>+AM6-'SANTA ELISA'!J6</f>
        <v>0</v>
      </c>
      <c r="AO6" s="6">
        <f t="shared" ref="AO6:AO69" si="2">SUM(B6:AI6)</f>
        <v>81400</v>
      </c>
      <c r="AP6" s="2">
        <f>VLOOKUP(A6,'SANTA ELISA'!$B$4:$BG$79,53,0)</f>
        <v>652330.22</v>
      </c>
    </row>
    <row r="7" spans="1:42" x14ac:dyDescent="0.25">
      <c r="A7" s="5">
        <v>103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5000</v>
      </c>
      <c r="AD7" s="6">
        <v>5000</v>
      </c>
      <c r="AE7" s="6">
        <v>5000</v>
      </c>
      <c r="AF7" s="6">
        <v>5000</v>
      </c>
      <c r="AG7" s="6">
        <v>21650</v>
      </c>
      <c r="AH7" s="6">
        <v>21650</v>
      </c>
      <c r="AI7" s="6"/>
      <c r="AJ7" s="6"/>
      <c r="AK7" s="6"/>
      <c r="AL7" s="6"/>
      <c r="AM7" s="6">
        <f t="shared" si="1"/>
        <v>63300</v>
      </c>
      <c r="AN7" s="6">
        <f>+AM7-'SANTA ELISA'!J7</f>
        <v>0</v>
      </c>
      <c r="AO7" s="6">
        <f t="shared" si="2"/>
        <v>63300</v>
      </c>
      <c r="AP7" s="2">
        <f>VLOOKUP(A7,'SANTA ELISA'!$B$4:$BG$79,53,0)</f>
        <v>1201700</v>
      </c>
    </row>
    <row r="8" spans="1:42" x14ac:dyDescent="0.25">
      <c r="A8" s="5">
        <v>104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5000</v>
      </c>
      <c r="AF8" s="6">
        <v>50100</v>
      </c>
      <c r="AG8" s="6"/>
      <c r="AH8" s="6"/>
      <c r="AI8" s="6"/>
      <c r="AJ8" s="6"/>
      <c r="AK8" s="6"/>
      <c r="AL8" s="6"/>
      <c r="AM8" s="6">
        <f t="shared" si="1"/>
        <v>55100</v>
      </c>
      <c r="AN8" s="6">
        <f>+AM8-'SANTA ELISA'!J8</f>
        <v>0</v>
      </c>
      <c r="AO8" s="6">
        <f t="shared" si="2"/>
        <v>55100</v>
      </c>
      <c r="AP8" s="2">
        <f>VLOOKUP(A8,'SANTA ELISA'!$B$4:$BG$79,53,0)</f>
        <v>1045100</v>
      </c>
    </row>
    <row r="9" spans="1:42" x14ac:dyDescent="0.25">
      <c r="A9" s="5">
        <v>105</v>
      </c>
      <c r="B9" s="6"/>
      <c r="C9" s="6"/>
      <c r="D9" s="6"/>
      <c r="E9" s="6"/>
      <c r="F9" s="6"/>
      <c r="G9" s="6"/>
      <c r="H9" s="6"/>
      <c r="I9" s="6"/>
      <c r="J9" s="6">
        <v>5000</v>
      </c>
      <c r="K9" s="6">
        <v>2500</v>
      </c>
      <c r="L9" s="6">
        <v>2500</v>
      </c>
      <c r="M9" s="6">
        <v>3000</v>
      </c>
      <c r="N9" s="6">
        <v>1000</v>
      </c>
      <c r="O9" s="6">
        <v>1000</v>
      </c>
      <c r="P9" s="6">
        <v>2500</v>
      </c>
      <c r="Q9" s="6">
        <v>2500</v>
      </c>
      <c r="R9" s="6">
        <v>6000</v>
      </c>
      <c r="S9" s="6">
        <v>6000</v>
      </c>
      <c r="T9" s="6">
        <v>6000</v>
      </c>
      <c r="U9" s="6">
        <v>6000</v>
      </c>
      <c r="V9" s="6">
        <v>2500</v>
      </c>
      <c r="W9" s="6">
        <v>2500</v>
      </c>
      <c r="X9" s="6">
        <v>2500</v>
      </c>
      <c r="Y9" s="6">
        <v>2500</v>
      </c>
      <c r="Z9" s="6">
        <v>5000</v>
      </c>
      <c r="AA9" s="6">
        <v>5000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f t="shared" si="1"/>
        <v>64000</v>
      </c>
      <c r="AN9" s="6">
        <f>+AM9-'SANTA ELISA'!J9</f>
        <v>0</v>
      </c>
      <c r="AO9" s="6">
        <f t="shared" si="2"/>
        <v>64000</v>
      </c>
      <c r="AP9" s="2">
        <f>VLOOKUP(A9,'SANTA ELISA'!$B$4:$BG$79,53,0)</f>
        <v>575700</v>
      </c>
    </row>
    <row r="10" spans="1:42" x14ac:dyDescent="0.25">
      <c r="A10" s="5">
        <v>201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5000</v>
      </c>
      <c r="AI10" s="6">
        <v>645000</v>
      </c>
      <c r="AJ10" s="6"/>
      <c r="AK10" s="6"/>
      <c r="AL10" s="6"/>
      <c r="AM10" s="6">
        <f t="shared" si="1"/>
        <v>650000</v>
      </c>
      <c r="AN10" s="6">
        <f>+AM10-'SANTA ELISA'!J10</f>
        <v>0</v>
      </c>
      <c r="AO10" s="6">
        <f t="shared" si="2"/>
        <v>650000</v>
      </c>
      <c r="AP10" s="2">
        <f>VLOOKUP(A10,'SANTA ELISA'!$B$4:$BG$79,53,0)</f>
        <v>645000</v>
      </c>
    </row>
    <row r="11" spans="1:42" x14ac:dyDescent="0.25">
      <c r="A11" s="5">
        <v>202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5000</v>
      </c>
      <c r="Y11" s="6">
        <v>3500</v>
      </c>
      <c r="Z11" s="6">
        <v>3500</v>
      </c>
      <c r="AA11" s="6">
        <v>3500</v>
      </c>
      <c r="AB11" s="6">
        <v>3500</v>
      </c>
      <c r="AC11" s="6">
        <v>3500</v>
      </c>
      <c r="AD11" s="6">
        <v>3500</v>
      </c>
      <c r="AE11" s="6">
        <v>74000</v>
      </c>
      <c r="AF11" s="6"/>
      <c r="AG11" s="6"/>
      <c r="AH11" s="6"/>
      <c r="AI11" s="6"/>
      <c r="AJ11" s="6"/>
      <c r="AK11" s="6"/>
      <c r="AL11" s="6"/>
      <c r="AM11" s="6">
        <f t="shared" si="1"/>
        <v>100000</v>
      </c>
      <c r="AN11" s="6">
        <f>+AM11-'SANTA ELISA'!J11</f>
        <v>0</v>
      </c>
      <c r="AO11" s="6">
        <f t="shared" si="2"/>
        <v>100000</v>
      </c>
      <c r="AP11" s="2">
        <f>VLOOKUP(A11,'SANTA ELISA'!$B$4:$BG$79,53,0)</f>
        <v>705400</v>
      </c>
    </row>
    <row r="12" spans="1:42" x14ac:dyDescent="0.25">
      <c r="A12" s="5">
        <v>203</v>
      </c>
      <c r="B12" s="6">
        <v>5000</v>
      </c>
      <c r="C12" s="6">
        <v>3434.78</v>
      </c>
      <c r="D12" s="6">
        <v>3434.78</v>
      </c>
      <c r="E12" s="6">
        <v>3434.78</v>
      </c>
      <c r="F12" s="6">
        <v>3434.78</v>
      </c>
      <c r="G12" s="6">
        <v>3434.78</v>
      </c>
      <c r="H12" s="6">
        <v>3434.78</v>
      </c>
      <c r="I12" s="6">
        <v>3434.78</v>
      </c>
      <c r="J12" s="6">
        <v>3434.78</v>
      </c>
      <c r="K12" s="6">
        <v>3434.78</v>
      </c>
      <c r="L12" s="6">
        <v>3434.78</v>
      </c>
      <c r="M12" s="6">
        <v>3434.78</v>
      </c>
      <c r="N12" s="6">
        <v>3434.78</v>
      </c>
      <c r="O12" s="6">
        <v>3434.78</v>
      </c>
      <c r="P12" s="6">
        <v>3434.78</v>
      </c>
      <c r="Q12" s="6">
        <v>3434.78</v>
      </c>
      <c r="R12" s="6">
        <v>3434.78</v>
      </c>
      <c r="S12" s="6">
        <v>3434.78</v>
      </c>
      <c r="T12" s="6">
        <v>3434.78</v>
      </c>
      <c r="U12" s="6">
        <v>3434.78</v>
      </c>
      <c r="V12" s="6">
        <v>3434.78</v>
      </c>
      <c r="W12" s="6">
        <v>3434.78</v>
      </c>
      <c r="X12" s="6">
        <v>3434.78</v>
      </c>
      <c r="Y12" s="6">
        <v>3434.84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>
        <f t="shared" si="1"/>
        <v>83999.999999999985</v>
      </c>
      <c r="AN12" s="6">
        <f>+AM12-'SANTA ELISA'!J12</f>
        <v>0</v>
      </c>
      <c r="AO12" s="6">
        <f t="shared" si="2"/>
        <v>83999.999999999985</v>
      </c>
      <c r="AP12" s="2">
        <f>VLOOKUP(A12,'SANTA ELISA'!$B$4:$BG$79,53,0)</f>
        <v>689591.49</v>
      </c>
    </row>
    <row r="13" spans="1:42" x14ac:dyDescent="0.25">
      <c r="A13" s="5">
        <v>204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3000</v>
      </c>
      <c r="X13" s="6">
        <v>4500</v>
      </c>
      <c r="Y13" s="6">
        <v>2500</v>
      </c>
      <c r="Z13" s="6">
        <v>2500</v>
      </c>
      <c r="AA13" s="6">
        <v>2500</v>
      </c>
      <c r="AB13" s="6">
        <v>2500</v>
      </c>
      <c r="AC13" s="6">
        <v>6500</v>
      </c>
      <c r="AD13" s="6">
        <v>6500</v>
      </c>
      <c r="AE13" s="6">
        <v>6600</v>
      </c>
      <c r="AF13" s="6"/>
      <c r="AG13" s="6"/>
      <c r="AH13" s="6"/>
      <c r="AI13" s="6"/>
      <c r="AJ13" s="6"/>
      <c r="AK13" s="6"/>
      <c r="AL13" s="6"/>
      <c r="AM13" s="6">
        <f t="shared" si="1"/>
        <v>37100</v>
      </c>
      <c r="AN13" s="6">
        <f>+AM13-'SANTA ELISA'!J13</f>
        <v>0</v>
      </c>
      <c r="AO13" s="6">
        <f t="shared" si="2"/>
        <v>37100</v>
      </c>
      <c r="AP13" s="2">
        <f>VLOOKUP(A13,'SANTA ELISA'!$B$4:$BG$79,53,0)</f>
        <v>445693.08999999997</v>
      </c>
    </row>
    <row r="14" spans="1:42" x14ac:dyDescent="0.25">
      <c r="A14" s="5">
        <v>205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6000</v>
      </c>
      <c r="Q14" s="6">
        <v>5610</v>
      </c>
      <c r="R14" s="6">
        <v>5610</v>
      </c>
      <c r="S14" s="6">
        <v>5610</v>
      </c>
      <c r="T14" s="6">
        <v>5610</v>
      </c>
      <c r="U14" s="6">
        <v>5610</v>
      </c>
      <c r="V14" s="6">
        <v>5610</v>
      </c>
      <c r="W14" s="6">
        <v>5610</v>
      </c>
      <c r="X14" s="6">
        <v>5610</v>
      </c>
      <c r="Y14" s="6">
        <v>5610</v>
      </c>
      <c r="Z14" s="6">
        <v>5610</v>
      </c>
      <c r="AA14" s="6">
        <v>5610</v>
      </c>
      <c r="AB14" s="6">
        <v>5610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>
        <f t="shared" si="1"/>
        <v>73320</v>
      </c>
      <c r="AN14" s="6">
        <f>+AM14-'SANTA ELISA'!J14</f>
        <v>0</v>
      </c>
      <c r="AO14" s="6">
        <f t="shared" si="2"/>
        <v>73320</v>
      </c>
      <c r="AP14" s="2">
        <f>VLOOKUP(A14,'SANTA ELISA'!$B$4:$BG$79,53,0)</f>
        <v>435029.72</v>
      </c>
    </row>
    <row r="15" spans="1:42" x14ac:dyDescent="0.25">
      <c r="A15" s="5">
        <v>206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>
        <v>5000</v>
      </c>
      <c r="AG15" s="6">
        <v>21250</v>
      </c>
      <c r="AH15" s="6">
        <v>21250</v>
      </c>
      <c r="AI15" s="6"/>
      <c r="AJ15" s="6"/>
      <c r="AK15" s="6"/>
      <c r="AL15" s="6"/>
      <c r="AM15" s="6">
        <f t="shared" si="1"/>
        <v>47500</v>
      </c>
      <c r="AN15" s="6">
        <f>+AM15-'SANTA ELISA'!J15</f>
        <v>0</v>
      </c>
      <c r="AO15" s="6">
        <f t="shared" si="2"/>
        <v>47500</v>
      </c>
      <c r="AP15" s="2">
        <f>VLOOKUP(A15,'SANTA ELISA'!$B$4:$BG$79,53,0)</f>
        <v>923800</v>
      </c>
    </row>
    <row r="16" spans="1:42" x14ac:dyDescent="0.25">
      <c r="A16" s="5">
        <v>207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5000</v>
      </c>
      <c r="W16" s="6">
        <v>3700</v>
      </c>
      <c r="X16" s="6">
        <v>3700</v>
      </c>
      <c r="Y16" s="6">
        <v>3700</v>
      </c>
      <c r="Z16" s="6">
        <v>3700</v>
      </c>
      <c r="AA16" s="6">
        <v>3700</v>
      </c>
      <c r="AB16" s="6">
        <v>3700</v>
      </c>
      <c r="AC16" s="6">
        <v>3700</v>
      </c>
      <c r="AD16" s="6">
        <v>3700</v>
      </c>
      <c r="AE16" s="6">
        <v>3900</v>
      </c>
      <c r="AF16" s="6"/>
      <c r="AG16" s="6"/>
      <c r="AH16" s="6"/>
      <c r="AI16" s="6"/>
      <c r="AJ16" s="6"/>
      <c r="AK16" s="6"/>
      <c r="AL16" s="6"/>
      <c r="AM16" s="6">
        <f t="shared" si="1"/>
        <v>38500</v>
      </c>
      <c r="AN16" s="6">
        <f>+AM16-'SANTA ELISA'!J16</f>
        <v>0</v>
      </c>
      <c r="AO16" s="6">
        <f t="shared" si="2"/>
        <v>38500</v>
      </c>
      <c r="AP16" s="2">
        <f>VLOOKUP(A16,'SANTA ELISA'!$B$4:$BG$79,53,0)</f>
        <v>468690.28</v>
      </c>
    </row>
    <row r="17" spans="1:42" x14ac:dyDescent="0.25">
      <c r="A17" s="5">
        <v>208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f t="shared" si="1"/>
        <v>0</v>
      </c>
      <c r="AN17" s="6">
        <f>+AM17-'SANTA ELISA'!J17</f>
        <v>-65000</v>
      </c>
      <c r="AO17" s="6">
        <f t="shared" si="2"/>
        <v>0</v>
      </c>
      <c r="AP17" s="2">
        <f>VLOOKUP(A17,'SANTA ELISA'!$B$4:$BG$79,53,0)</f>
        <v>650000</v>
      </c>
    </row>
    <row r="18" spans="1:42" x14ac:dyDescent="0.25">
      <c r="A18" s="5">
        <v>301</v>
      </c>
      <c r="B18" s="6"/>
      <c r="C18" s="6"/>
      <c r="D18" s="6"/>
      <c r="E18" s="6"/>
      <c r="F18" s="6"/>
      <c r="G18" s="6"/>
      <c r="H18" s="6"/>
      <c r="I18" s="6"/>
      <c r="J18" s="6"/>
      <c r="K18" s="6">
        <v>5000</v>
      </c>
      <c r="L18" s="6">
        <v>2500</v>
      </c>
      <c r="M18" s="6">
        <v>3365</v>
      </c>
      <c r="N18" s="6">
        <v>3365</v>
      </c>
      <c r="O18" s="6">
        <v>3365</v>
      </c>
      <c r="P18" s="6">
        <v>3365</v>
      </c>
      <c r="Q18" s="6">
        <v>3365</v>
      </c>
      <c r="R18" s="6">
        <v>3365</v>
      </c>
      <c r="S18" s="6">
        <v>3365</v>
      </c>
      <c r="T18" s="6">
        <v>3365</v>
      </c>
      <c r="U18" s="6">
        <v>3365</v>
      </c>
      <c r="V18" s="6">
        <v>3365</v>
      </c>
      <c r="W18" s="6">
        <v>3365</v>
      </c>
      <c r="X18" s="6">
        <v>3365</v>
      </c>
      <c r="Y18" s="6">
        <v>3365</v>
      </c>
      <c r="Z18" s="6">
        <v>3365</v>
      </c>
      <c r="AA18" s="6">
        <v>3390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f t="shared" si="1"/>
        <v>58000</v>
      </c>
      <c r="AN18" s="6">
        <f>+AM18-'SANTA ELISA'!J18</f>
        <v>0</v>
      </c>
      <c r="AO18" s="6">
        <f t="shared" si="2"/>
        <v>58000</v>
      </c>
      <c r="AP18" s="2">
        <f>VLOOKUP(A18,'SANTA ELISA'!$B$4:$BG$79,53,0)</f>
        <v>309477.87</v>
      </c>
    </row>
    <row r="19" spans="1:42" x14ac:dyDescent="0.25">
      <c r="A19" s="5">
        <v>302</v>
      </c>
      <c r="B19" s="6"/>
      <c r="C19" s="6"/>
      <c r="D19" s="6"/>
      <c r="E19" s="6"/>
      <c r="F19" s="6">
        <v>40000</v>
      </c>
      <c r="G19" s="6">
        <v>6000</v>
      </c>
      <c r="H19" s="6">
        <v>6000</v>
      </c>
      <c r="I19" s="6">
        <v>6000</v>
      </c>
      <c r="J19" s="6">
        <v>6000</v>
      </c>
      <c r="K19" s="6">
        <v>6000</v>
      </c>
      <c r="L19" s="6">
        <v>6000</v>
      </c>
      <c r="M19" s="6">
        <v>6000</v>
      </c>
      <c r="N19" s="6">
        <v>6000</v>
      </c>
      <c r="O19" s="6">
        <v>6000</v>
      </c>
      <c r="P19" s="6">
        <v>6000</v>
      </c>
      <c r="Q19" s="6">
        <v>6000</v>
      </c>
      <c r="R19" s="6">
        <v>6000</v>
      </c>
      <c r="S19" s="6">
        <v>6000</v>
      </c>
      <c r="T19" s="6">
        <v>6000</v>
      </c>
      <c r="U19" s="6">
        <v>6000</v>
      </c>
      <c r="V19" s="6">
        <v>6000</v>
      </c>
      <c r="W19" s="6">
        <v>6000</v>
      </c>
      <c r="X19" s="6">
        <v>6000</v>
      </c>
      <c r="Y19" s="6">
        <v>6000</v>
      </c>
      <c r="Z19" s="6">
        <v>6000</v>
      </c>
      <c r="AA19" s="6">
        <v>6000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>
        <f t="shared" si="1"/>
        <v>166000</v>
      </c>
      <c r="AN19" s="6">
        <f>+AM19-'SANTA ELISA'!J19</f>
        <v>-34000</v>
      </c>
      <c r="AO19" s="6">
        <f t="shared" si="2"/>
        <v>166000</v>
      </c>
      <c r="AP19" s="2">
        <f>VLOOKUP(A19,'SANTA ELISA'!$B$4:$BG$79,53,0)</f>
        <v>717500</v>
      </c>
    </row>
    <row r="20" spans="1:42" x14ac:dyDescent="0.25">
      <c r="A20" s="5">
        <v>303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5000</v>
      </c>
      <c r="AE20" s="6">
        <v>21533</v>
      </c>
      <c r="AF20" s="6">
        <v>21533</v>
      </c>
      <c r="AG20" s="6"/>
      <c r="AH20" s="6"/>
      <c r="AI20" s="6"/>
      <c r="AJ20" s="6"/>
      <c r="AK20" s="6"/>
      <c r="AL20" s="6"/>
      <c r="AM20" s="6">
        <f t="shared" si="1"/>
        <v>48066</v>
      </c>
      <c r="AN20" s="6">
        <f>+AM20-'SANTA ELISA'!J20</f>
        <v>0</v>
      </c>
      <c r="AO20" s="6">
        <f t="shared" si="2"/>
        <v>48066</v>
      </c>
      <c r="AP20" s="2">
        <f>VLOOKUP(A20,'SANTA ELISA'!$B$4:$BG$79,53,0)</f>
        <v>546878.67999999993</v>
      </c>
    </row>
    <row r="21" spans="1:42" x14ac:dyDescent="0.25">
      <c r="A21" s="5">
        <v>304</v>
      </c>
      <c r="B21" s="6"/>
      <c r="C21" s="6"/>
      <c r="D21" s="6"/>
      <c r="E21" s="6"/>
      <c r="F21" s="6"/>
      <c r="G21" s="6"/>
      <c r="H21" s="6"/>
      <c r="I21" s="6"/>
      <c r="J21" s="6">
        <v>70500</v>
      </c>
      <c r="K21" s="6">
        <v>3500</v>
      </c>
      <c r="L21" s="6">
        <v>3500</v>
      </c>
      <c r="M21" s="6">
        <v>3500</v>
      </c>
      <c r="N21" s="6">
        <v>3500</v>
      </c>
      <c r="O21" s="6">
        <v>3500</v>
      </c>
      <c r="P21" s="6">
        <v>3500</v>
      </c>
      <c r="Q21" s="6">
        <v>3500</v>
      </c>
      <c r="R21" s="6">
        <v>3500</v>
      </c>
      <c r="S21" s="6">
        <v>3500</v>
      </c>
      <c r="T21" s="6">
        <v>3500</v>
      </c>
      <c r="U21" s="6">
        <v>3500</v>
      </c>
      <c r="V21" s="6">
        <v>3500</v>
      </c>
      <c r="W21" s="6">
        <v>3500</v>
      </c>
      <c r="X21" s="6">
        <v>3500</v>
      </c>
      <c r="Y21" s="6">
        <v>3500</v>
      </c>
      <c r="Z21" s="6">
        <v>3500</v>
      </c>
      <c r="AA21" s="6">
        <v>3500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f t="shared" si="1"/>
        <v>130000</v>
      </c>
      <c r="AN21" s="6">
        <f>+AM21-'SANTA ELISA'!J21</f>
        <v>0</v>
      </c>
      <c r="AO21" s="6">
        <f t="shared" si="2"/>
        <v>130000</v>
      </c>
      <c r="AP21" s="2">
        <f>VLOOKUP(A21,'SANTA ELISA'!$B$4:$BG$79,53,0)</f>
        <v>456605.45</v>
      </c>
    </row>
    <row r="22" spans="1:42" x14ac:dyDescent="0.25">
      <c r="A22" s="5">
        <v>305</v>
      </c>
      <c r="B22" s="6"/>
      <c r="C22" s="6"/>
      <c r="D22" s="6"/>
      <c r="E22" s="6"/>
      <c r="F22" s="6"/>
      <c r="G22" s="6"/>
      <c r="H22" s="6"/>
      <c r="I22" s="6">
        <v>5000</v>
      </c>
      <c r="J22" s="6">
        <v>5275</v>
      </c>
      <c r="K22" s="6">
        <v>5275</v>
      </c>
      <c r="L22" s="6">
        <v>5275</v>
      </c>
      <c r="M22" s="6">
        <v>5275</v>
      </c>
      <c r="N22" s="6">
        <v>5275</v>
      </c>
      <c r="O22" s="6">
        <v>5275</v>
      </c>
      <c r="P22" s="6">
        <v>5275</v>
      </c>
      <c r="Q22" s="6">
        <v>5275</v>
      </c>
      <c r="R22" s="6">
        <v>5275</v>
      </c>
      <c r="S22" s="6">
        <v>5275</v>
      </c>
      <c r="T22" s="6">
        <v>5275</v>
      </c>
      <c r="U22" s="6">
        <v>5275</v>
      </c>
      <c r="V22" s="6">
        <v>5275</v>
      </c>
      <c r="W22" s="6">
        <v>5275</v>
      </c>
      <c r="X22" s="6">
        <v>5275</v>
      </c>
      <c r="Y22" s="6">
        <v>5275</v>
      </c>
      <c r="Z22" s="6">
        <v>5275</v>
      </c>
      <c r="AA22" s="6">
        <v>5325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>
        <f t="shared" si="1"/>
        <v>100000</v>
      </c>
      <c r="AN22" s="6">
        <f>+AM22-'SANTA ELISA'!J22</f>
        <v>0</v>
      </c>
      <c r="AO22" s="6">
        <f t="shared" si="2"/>
        <v>100000</v>
      </c>
      <c r="AP22" s="2">
        <f>VLOOKUP(A22,'SANTA ELISA'!$B$4:$BG$79,53,0)</f>
        <v>435029.72</v>
      </c>
    </row>
    <row r="23" spans="1:42" x14ac:dyDescent="0.25">
      <c r="A23" s="5">
        <v>306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5000</v>
      </c>
      <c r="AG23" s="6">
        <v>42500</v>
      </c>
      <c r="AH23" s="6"/>
      <c r="AI23" s="6"/>
      <c r="AJ23" s="6"/>
      <c r="AK23" s="6"/>
      <c r="AL23" s="6"/>
      <c r="AM23" s="6">
        <f t="shared" si="1"/>
        <v>47500</v>
      </c>
      <c r="AN23" s="6">
        <f>+AM23-'SANTA ELISA'!J23</f>
        <v>0</v>
      </c>
      <c r="AO23" s="6">
        <f t="shared" si="2"/>
        <v>47500</v>
      </c>
      <c r="AP23" s="2">
        <f>VLOOKUP(A23,'SANTA ELISA'!$B$4:$BG$79,53,0)</f>
        <v>915700</v>
      </c>
    </row>
    <row r="24" spans="1:42" x14ac:dyDescent="0.25">
      <c r="A24" s="5">
        <v>307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5000</v>
      </c>
      <c r="AG24" s="6">
        <v>17750</v>
      </c>
      <c r="AH24" s="6">
        <v>17750</v>
      </c>
      <c r="AI24" s="6"/>
      <c r="AJ24" s="6"/>
      <c r="AK24" s="6"/>
      <c r="AL24" s="6"/>
      <c r="AM24" s="6">
        <f t="shared" si="1"/>
        <v>40500</v>
      </c>
      <c r="AN24" s="6">
        <f>+AM24-'SANTA ELISA'!J24</f>
        <v>0</v>
      </c>
      <c r="AO24" s="6">
        <f t="shared" si="2"/>
        <v>40500</v>
      </c>
      <c r="AP24" s="2">
        <f>VLOOKUP(A24,'SANTA ELISA'!$B$4:$BG$79,53,0)</f>
        <v>590900</v>
      </c>
    </row>
    <row r="25" spans="1:42" x14ac:dyDescent="0.25">
      <c r="A25" s="5">
        <v>308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5000</v>
      </c>
      <c r="AG25" s="6">
        <v>29000</v>
      </c>
      <c r="AH25" s="6"/>
      <c r="AI25" s="6"/>
      <c r="AJ25" s="6"/>
      <c r="AK25" s="6"/>
      <c r="AL25" s="6"/>
      <c r="AM25" s="6">
        <f t="shared" si="1"/>
        <v>34000</v>
      </c>
      <c r="AN25" s="6">
        <f>+AM25-'SANTA ELISA'!J25</f>
        <v>0</v>
      </c>
      <c r="AO25" s="6">
        <f t="shared" si="2"/>
        <v>34000</v>
      </c>
      <c r="AP25" s="2">
        <f>VLOOKUP(A25,'SANTA ELISA'!$B$4:$BG$79,53,0)</f>
        <v>615000</v>
      </c>
    </row>
    <row r="26" spans="1:42" x14ac:dyDescent="0.25">
      <c r="A26" s="5">
        <v>401</v>
      </c>
      <c r="B26" s="6"/>
      <c r="C26" s="6"/>
      <c r="D26" s="6"/>
      <c r="E26" s="6"/>
      <c r="F26" s="6"/>
      <c r="G26" s="6">
        <v>5000</v>
      </c>
      <c r="H26" s="6">
        <v>2480</v>
      </c>
      <c r="I26" s="6">
        <v>2480</v>
      </c>
      <c r="J26" s="6">
        <v>2480</v>
      </c>
      <c r="K26" s="6">
        <v>2480</v>
      </c>
      <c r="L26" s="6">
        <v>2480</v>
      </c>
      <c r="M26" s="6">
        <v>2480</v>
      </c>
      <c r="N26" s="6">
        <v>2480</v>
      </c>
      <c r="O26" s="6">
        <v>2480</v>
      </c>
      <c r="P26" s="6">
        <v>2480</v>
      </c>
      <c r="Q26" s="6">
        <v>2480</v>
      </c>
      <c r="R26" s="6">
        <v>2480</v>
      </c>
      <c r="S26" s="6">
        <v>2480</v>
      </c>
      <c r="T26" s="6">
        <v>2480</v>
      </c>
      <c r="U26" s="6">
        <v>2480</v>
      </c>
      <c r="V26" s="6">
        <v>2480</v>
      </c>
      <c r="W26" s="6">
        <v>2480</v>
      </c>
      <c r="X26" s="6">
        <v>2480</v>
      </c>
      <c r="Y26" s="6">
        <v>2480</v>
      </c>
      <c r="Z26" s="6">
        <v>2480</v>
      </c>
      <c r="AA26" s="6">
        <v>2660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f t="shared" si="1"/>
        <v>54780</v>
      </c>
      <c r="AN26" s="6">
        <f>+AM26-'SANTA ELISA'!J26</f>
        <v>0</v>
      </c>
      <c r="AO26" s="6">
        <f t="shared" si="2"/>
        <v>54780</v>
      </c>
      <c r="AP26" s="2">
        <f>VLOOKUP(A26,'SANTA ELISA'!$B$4:$BG$79,53,0)</f>
        <v>483000</v>
      </c>
    </row>
    <row r="27" spans="1:42" x14ac:dyDescent="0.25">
      <c r="A27" s="5">
        <v>402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5000</v>
      </c>
      <c r="P27" s="6">
        <v>5449.17</v>
      </c>
      <c r="Q27" s="6">
        <v>5449.17</v>
      </c>
      <c r="R27" s="6">
        <v>5449.17</v>
      </c>
      <c r="S27" s="6">
        <v>5449.17</v>
      </c>
      <c r="T27" s="6">
        <v>5449.17</v>
      </c>
      <c r="U27" s="6">
        <v>5449.17</v>
      </c>
      <c r="V27" s="6">
        <v>5449.17</v>
      </c>
      <c r="W27" s="6">
        <v>5449.17</v>
      </c>
      <c r="X27" s="6">
        <v>5449.17</v>
      </c>
      <c r="Y27" s="6">
        <v>5449.17</v>
      </c>
      <c r="Z27" s="6">
        <v>5449.17</v>
      </c>
      <c r="AA27" s="6">
        <v>5449.13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>
        <f t="shared" si="1"/>
        <v>70389.999999999985</v>
      </c>
      <c r="AN27" s="6">
        <f>+AM27-'SANTA ELISA'!J27</f>
        <v>0</v>
      </c>
      <c r="AO27" s="6">
        <f t="shared" si="2"/>
        <v>70389.999999999985</v>
      </c>
      <c r="AP27" s="2">
        <f>VLOOKUP(A27,'SANTA ELISA'!$B$4:$BG$79,53,0)</f>
        <v>422900</v>
      </c>
    </row>
    <row r="28" spans="1:42" x14ac:dyDescent="0.25">
      <c r="A28" s="5">
        <v>403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>
        <f t="shared" si="1"/>
        <v>0</v>
      </c>
      <c r="AN28" s="6">
        <f>+AM28-'SANTA ELISA'!J28</f>
        <v>-48242</v>
      </c>
      <c r="AO28" s="6">
        <f t="shared" si="2"/>
        <v>0</v>
      </c>
      <c r="AP28" s="2">
        <f>VLOOKUP(A28,'SANTA ELISA'!$B$4:$BG$79,53,0)</f>
        <v>942821</v>
      </c>
    </row>
    <row r="29" spans="1:42" x14ac:dyDescent="0.25">
      <c r="A29" s="5">
        <v>404</v>
      </c>
      <c r="B29" s="6"/>
      <c r="C29" s="6"/>
      <c r="D29" s="6"/>
      <c r="E29" s="6"/>
      <c r="F29" s="6"/>
      <c r="G29" s="6"/>
      <c r="H29" s="6"/>
      <c r="I29" s="6"/>
      <c r="J29" s="6">
        <v>5000</v>
      </c>
      <c r="K29" s="6">
        <v>3500</v>
      </c>
      <c r="L29" s="6">
        <v>3500</v>
      </c>
      <c r="M29" s="6">
        <v>3500</v>
      </c>
      <c r="N29" s="6">
        <v>3500</v>
      </c>
      <c r="O29" s="6">
        <v>3500</v>
      </c>
      <c r="P29" s="6">
        <v>3500</v>
      </c>
      <c r="Q29" s="6">
        <v>3500</v>
      </c>
      <c r="R29" s="6">
        <v>3500</v>
      </c>
      <c r="S29" s="6">
        <v>3500</v>
      </c>
      <c r="T29" s="6">
        <v>3500</v>
      </c>
      <c r="U29" s="6">
        <v>3500</v>
      </c>
      <c r="V29" s="6">
        <v>3500</v>
      </c>
      <c r="W29" s="6">
        <v>3500</v>
      </c>
      <c r="X29" s="6">
        <v>3500</v>
      </c>
      <c r="Y29" s="6">
        <v>3500</v>
      </c>
      <c r="Z29" s="6">
        <v>3500</v>
      </c>
      <c r="AA29" s="6">
        <v>4500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f t="shared" si="1"/>
        <v>65500</v>
      </c>
      <c r="AN29" s="6">
        <f>+AM29-'SANTA ELISA'!J29</f>
        <v>0</v>
      </c>
      <c r="AO29" s="6">
        <f t="shared" si="2"/>
        <v>65500</v>
      </c>
      <c r="AP29" s="2">
        <f>VLOOKUP(A29,'SANTA ELISA'!$B$4:$BG$79,53,0)</f>
        <v>589500</v>
      </c>
    </row>
    <row r="30" spans="1:42" x14ac:dyDescent="0.25">
      <c r="A30" s="5">
        <v>405</v>
      </c>
      <c r="B30" s="6"/>
      <c r="C30" s="6"/>
      <c r="D30" s="6"/>
      <c r="E30" s="6"/>
      <c r="F30" s="6"/>
      <c r="G30" s="6"/>
      <c r="H30" s="6"/>
      <c r="I30" s="6">
        <v>5000</v>
      </c>
      <c r="J30" s="6">
        <v>3500</v>
      </c>
      <c r="K30" s="6">
        <v>3500</v>
      </c>
      <c r="L30" s="6">
        <v>3500</v>
      </c>
      <c r="M30" s="6">
        <v>3500</v>
      </c>
      <c r="N30" s="6">
        <v>3500</v>
      </c>
      <c r="O30" s="6">
        <v>3500</v>
      </c>
      <c r="P30" s="6">
        <v>3500</v>
      </c>
      <c r="Q30" s="6">
        <v>3500</v>
      </c>
      <c r="R30" s="6">
        <v>3500</v>
      </c>
      <c r="S30" s="6">
        <v>3500</v>
      </c>
      <c r="T30" s="6">
        <v>3500</v>
      </c>
      <c r="U30" s="6">
        <v>3500</v>
      </c>
      <c r="V30" s="6">
        <v>3500</v>
      </c>
      <c r="W30" s="6">
        <v>3500</v>
      </c>
      <c r="X30" s="6">
        <v>3500</v>
      </c>
      <c r="Y30" s="6">
        <v>3500</v>
      </c>
      <c r="Z30" s="6">
        <v>3500</v>
      </c>
      <c r="AA30" s="6">
        <v>350000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>
        <f t="shared" si="1"/>
        <v>414500</v>
      </c>
      <c r="AN30" s="6">
        <f>+AM30-'SANTA ELISA'!J30</f>
        <v>0</v>
      </c>
      <c r="AO30" s="6">
        <f t="shared" si="2"/>
        <v>414500</v>
      </c>
      <c r="AP30" s="2">
        <f>VLOOKUP(A30,'SANTA ELISA'!$B$4:$BG$79,53,0)</f>
        <v>175000</v>
      </c>
    </row>
    <row r="31" spans="1:42" x14ac:dyDescent="0.25">
      <c r="A31" s="5">
        <v>406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f>5000+22250</f>
        <v>27250</v>
      </c>
      <c r="AF31" s="6">
        <v>22250</v>
      </c>
      <c r="AG31" s="6"/>
      <c r="AH31" s="6"/>
      <c r="AI31" s="6"/>
      <c r="AJ31" s="6"/>
      <c r="AK31" s="6"/>
      <c r="AL31" s="6"/>
      <c r="AM31" s="6">
        <f t="shared" si="1"/>
        <v>49500</v>
      </c>
      <c r="AN31" s="6">
        <f>+AM31-'SANTA ELISA'!J31</f>
        <v>0</v>
      </c>
      <c r="AO31" s="6">
        <f t="shared" si="2"/>
        <v>49500</v>
      </c>
      <c r="AP31" s="2">
        <f>VLOOKUP(A31,'SANTA ELISA'!$B$4:$BG$79,53,0)</f>
        <v>899300</v>
      </c>
    </row>
    <row r="32" spans="1:42" x14ac:dyDescent="0.25">
      <c r="A32" s="5">
        <v>407</v>
      </c>
      <c r="B32" s="6"/>
      <c r="C32" s="6"/>
      <c r="D32" s="6"/>
      <c r="E32" s="6"/>
      <c r="F32" s="6"/>
      <c r="G32" s="6"/>
      <c r="H32" s="6"/>
      <c r="I32" s="6">
        <v>5000</v>
      </c>
      <c r="J32" s="6">
        <v>3500</v>
      </c>
      <c r="K32" s="6">
        <v>3500</v>
      </c>
      <c r="L32" s="6">
        <v>3500</v>
      </c>
      <c r="M32" s="6">
        <v>3500</v>
      </c>
      <c r="N32" s="6">
        <v>3500</v>
      </c>
      <c r="O32" s="6">
        <v>3500</v>
      </c>
      <c r="P32" s="6">
        <v>3500</v>
      </c>
      <c r="Q32" s="6">
        <v>3500</v>
      </c>
      <c r="R32" s="6">
        <v>3500</v>
      </c>
      <c r="S32" s="6">
        <v>3500</v>
      </c>
      <c r="T32" s="6">
        <v>3500</v>
      </c>
      <c r="U32" s="6">
        <v>3500</v>
      </c>
      <c r="V32" s="6">
        <v>3500</v>
      </c>
      <c r="W32" s="6">
        <v>3500</v>
      </c>
      <c r="X32" s="6">
        <v>3500</v>
      </c>
      <c r="Y32" s="6">
        <v>3500</v>
      </c>
      <c r="Z32" s="6">
        <v>3500</v>
      </c>
      <c r="AA32" s="6">
        <v>3500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>
        <f t="shared" si="1"/>
        <v>68000</v>
      </c>
      <c r="AN32" s="6">
        <f>+AM32-'SANTA ELISA'!J32</f>
        <v>0</v>
      </c>
      <c r="AO32" s="6">
        <f t="shared" si="2"/>
        <v>68000</v>
      </c>
      <c r="AP32" s="2">
        <f>VLOOKUP(A32,'SANTA ELISA'!$B$4:$BG$79,53,0)</f>
        <v>488991.83</v>
      </c>
    </row>
    <row r="33" spans="1:42" x14ac:dyDescent="0.25">
      <c r="A33" s="5">
        <v>408</v>
      </c>
      <c r="B33" s="6"/>
      <c r="C33" s="6"/>
      <c r="D33" s="6"/>
      <c r="E33" s="6"/>
      <c r="F33" s="6"/>
      <c r="G33" s="6">
        <v>5000</v>
      </c>
      <c r="H33" s="6">
        <v>2480</v>
      </c>
      <c r="I33" s="6">
        <v>2480</v>
      </c>
      <c r="J33" s="6">
        <v>2480</v>
      </c>
      <c r="K33" s="6">
        <v>2480</v>
      </c>
      <c r="L33" s="6">
        <v>2480</v>
      </c>
      <c r="M33" s="6">
        <v>2480</v>
      </c>
      <c r="N33" s="6">
        <v>2480</v>
      </c>
      <c r="O33" s="6">
        <v>2480</v>
      </c>
      <c r="P33" s="6">
        <v>2480</v>
      </c>
      <c r="Q33" s="6">
        <v>2480</v>
      </c>
      <c r="R33" s="6">
        <v>2480</v>
      </c>
      <c r="S33" s="6">
        <v>2480</v>
      </c>
      <c r="T33" s="6">
        <v>2480</v>
      </c>
      <c r="U33" s="6">
        <v>2480</v>
      </c>
      <c r="V33" s="6">
        <v>2480</v>
      </c>
      <c r="W33" s="6">
        <v>2480</v>
      </c>
      <c r="X33" s="6">
        <v>2480</v>
      </c>
      <c r="Y33" s="6">
        <v>2480</v>
      </c>
      <c r="Z33" s="6">
        <v>2480</v>
      </c>
      <c r="AA33" s="6">
        <v>2660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f t="shared" si="1"/>
        <v>54780</v>
      </c>
      <c r="AN33" s="6">
        <f>+AM33-'SANTA ELISA'!J33</f>
        <v>0</v>
      </c>
      <c r="AO33" s="6">
        <f t="shared" si="2"/>
        <v>54780</v>
      </c>
      <c r="AP33" s="2">
        <f>VLOOKUP(A33,'SANTA ELISA'!$B$4:$BG$79,53,0)</f>
        <v>492984.65</v>
      </c>
    </row>
    <row r="34" spans="1:42" x14ac:dyDescent="0.25">
      <c r="A34" s="5">
        <v>501</v>
      </c>
      <c r="B34" s="6"/>
      <c r="C34" s="6"/>
      <c r="D34" s="6"/>
      <c r="E34" s="6">
        <v>5000</v>
      </c>
      <c r="F34" s="6">
        <v>2260</v>
      </c>
      <c r="G34" s="6">
        <v>2260</v>
      </c>
      <c r="H34" s="6">
        <v>2260</v>
      </c>
      <c r="I34" s="6">
        <v>2260</v>
      </c>
      <c r="J34" s="6">
        <v>2260</v>
      </c>
      <c r="K34" s="6">
        <v>2260</v>
      </c>
      <c r="L34" s="6">
        <v>2260</v>
      </c>
      <c r="M34" s="6">
        <v>2260</v>
      </c>
      <c r="N34" s="6">
        <v>2260</v>
      </c>
      <c r="O34" s="6">
        <v>2260</v>
      </c>
      <c r="P34" s="6">
        <v>2260</v>
      </c>
      <c r="Q34" s="6">
        <v>2260</v>
      </c>
      <c r="R34" s="6">
        <v>2260</v>
      </c>
      <c r="S34" s="6">
        <v>2260</v>
      </c>
      <c r="T34" s="6">
        <v>2260</v>
      </c>
      <c r="U34" s="6">
        <v>2260</v>
      </c>
      <c r="V34" s="6">
        <v>2260</v>
      </c>
      <c r="W34" s="6">
        <v>2260</v>
      </c>
      <c r="X34" s="6">
        <v>2260</v>
      </c>
      <c r="Y34" s="6">
        <v>2260</v>
      </c>
      <c r="Z34" s="6">
        <v>2260</v>
      </c>
      <c r="AA34" s="6">
        <v>2240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si="1"/>
        <v>54700</v>
      </c>
      <c r="AN34" s="6">
        <f>+AM34-'SANTA ELISA'!J34</f>
        <v>0</v>
      </c>
      <c r="AO34" s="6">
        <f t="shared" si="2"/>
        <v>54700</v>
      </c>
      <c r="AP34" s="2">
        <f>VLOOKUP(A34,'SANTA ELISA'!$B$4:$BG$79,53,0)</f>
        <v>335086.45</v>
      </c>
    </row>
    <row r="35" spans="1:42" x14ac:dyDescent="0.25">
      <c r="A35" s="5">
        <v>502</v>
      </c>
      <c r="B35" s="6"/>
      <c r="C35" s="6"/>
      <c r="D35" s="6"/>
      <c r="E35" s="6"/>
      <c r="F35" s="6"/>
      <c r="G35" s="6"/>
      <c r="H35" s="6"/>
      <c r="I35" s="6">
        <v>5000</v>
      </c>
      <c r="J35" s="6">
        <v>3555</v>
      </c>
      <c r="K35" s="6">
        <v>3555</v>
      </c>
      <c r="L35" s="6">
        <v>3555</v>
      </c>
      <c r="M35" s="6">
        <v>3555</v>
      </c>
      <c r="N35" s="6">
        <v>3555</v>
      </c>
      <c r="O35" s="6">
        <v>3555</v>
      </c>
      <c r="P35" s="6">
        <v>3555</v>
      </c>
      <c r="Q35" s="6">
        <v>3555</v>
      </c>
      <c r="R35" s="6">
        <v>3555</v>
      </c>
      <c r="S35" s="6">
        <v>3555</v>
      </c>
      <c r="T35" s="6">
        <v>3555</v>
      </c>
      <c r="U35" s="6">
        <v>3555</v>
      </c>
      <c r="V35" s="6">
        <v>3555</v>
      </c>
      <c r="W35" s="6">
        <v>3555</v>
      </c>
      <c r="X35" s="6">
        <v>3555</v>
      </c>
      <c r="Y35" s="6">
        <v>3555</v>
      </c>
      <c r="Z35" s="6">
        <v>3555</v>
      </c>
      <c r="AA35" s="6">
        <v>3365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f t="shared" si="1"/>
        <v>68800</v>
      </c>
      <c r="AN35" s="6">
        <f>+AM35-'SANTA ELISA'!J35</f>
        <v>0</v>
      </c>
      <c r="AO35" s="6">
        <f t="shared" si="2"/>
        <v>68800</v>
      </c>
      <c r="AP35" s="2">
        <f>VLOOKUP(A35,'SANTA ELISA'!$B$4:$BG$79,53,0)</f>
        <v>497324.27</v>
      </c>
    </row>
    <row r="36" spans="1:42" x14ac:dyDescent="0.25">
      <c r="A36" s="5">
        <v>503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5000</v>
      </c>
      <c r="W36" s="6">
        <v>4900</v>
      </c>
      <c r="X36" s="6">
        <v>4900</v>
      </c>
      <c r="Y36" s="6">
        <v>4900</v>
      </c>
      <c r="Z36" s="6">
        <v>4900</v>
      </c>
      <c r="AA36" s="6">
        <v>4900</v>
      </c>
      <c r="AB36" s="6">
        <v>4900</v>
      </c>
      <c r="AC36" s="6">
        <v>4900</v>
      </c>
      <c r="AD36" s="6">
        <v>4900</v>
      </c>
      <c r="AE36" s="6">
        <v>5300</v>
      </c>
      <c r="AF36" s="6"/>
      <c r="AG36" s="6"/>
      <c r="AH36" s="6"/>
      <c r="AI36" s="6"/>
      <c r="AJ36" s="6"/>
      <c r="AK36" s="6"/>
      <c r="AL36" s="6"/>
      <c r="AM36" s="6">
        <f t="shared" si="1"/>
        <v>49500</v>
      </c>
      <c r="AN36" s="6">
        <f>+AM36-'SANTA ELISA'!J36</f>
        <v>0</v>
      </c>
      <c r="AO36" s="6">
        <f t="shared" si="2"/>
        <v>49500</v>
      </c>
      <c r="AP36" s="2">
        <f>VLOOKUP(A36,'SANTA ELISA'!$B$4:$BG$79,53,0)</f>
        <v>930000</v>
      </c>
    </row>
    <row r="37" spans="1:42" x14ac:dyDescent="0.25">
      <c r="A37" s="5">
        <v>504</v>
      </c>
      <c r="B37" s="6"/>
      <c r="C37" s="6"/>
      <c r="D37" s="6"/>
      <c r="E37" s="6"/>
      <c r="F37" s="6">
        <v>5000</v>
      </c>
      <c r="G37" s="6">
        <v>2673</v>
      </c>
      <c r="H37" s="6">
        <v>2673</v>
      </c>
      <c r="I37" s="6">
        <v>2673</v>
      </c>
      <c r="J37" s="6">
        <v>2673</v>
      </c>
      <c r="K37" s="6">
        <v>2673</v>
      </c>
      <c r="L37" s="6">
        <v>2673</v>
      </c>
      <c r="M37" s="6">
        <v>2673</v>
      </c>
      <c r="N37" s="6">
        <v>2673</v>
      </c>
      <c r="O37" s="6">
        <v>2673</v>
      </c>
      <c r="P37" s="6">
        <v>2673</v>
      </c>
      <c r="Q37" s="6">
        <v>2673</v>
      </c>
      <c r="R37" s="6">
        <v>2673</v>
      </c>
      <c r="S37" s="6">
        <v>2673</v>
      </c>
      <c r="T37" s="6">
        <v>2673</v>
      </c>
      <c r="U37" s="6">
        <v>2673</v>
      </c>
      <c r="V37" s="6">
        <v>2673</v>
      </c>
      <c r="W37" s="6">
        <v>2673</v>
      </c>
      <c r="X37" s="6">
        <v>2673</v>
      </c>
      <c r="Y37" s="6">
        <v>2673</v>
      </c>
      <c r="Z37" s="6">
        <v>2673</v>
      </c>
      <c r="AA37" s="6">
        <v>2673</v>
      </c>
      <c r="AB37" s="6">
        <v>2673</v>
      </c>
      <c r="AC37" s="6">
        <v>2694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f t="shared" si="1"/>
        <v>66500</v>
      </c>
      <c r="AN37" s="6">
        <f>+AM37-'SANTA ELISA'!J37</f>
        <v>0</v>
      </c>
      <c r="AO37" s="6">
        <f t="shared" si="2"/>
        <v>66500</v>
      </c>
      <c r="AP37" s="2">
        <f>VLOOKUP(A37,'SANTA ELISA'!$B$4:$BG$79,53,0)</f>
        <v>403500</v>
      </c>
    </row>
    <row r="38" spans="1:42" x14ac:dyDescent="0.25">
      <c r="A38" s="5">
        <v>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>
        <v>5000</v>
      </c>
      <c r="AG38" s="6">
        <v>17750</v>
      </c>
      <c r="AH38" s="6">
        <v>17750</v>
      </c>
      <c r="AI38" s="6"/>
      <c r="AJ38" s="6"/>
      <c r="AK38" s="6"/>
      <c r="AL38" s="6"/>
      <c r="AM38" s="6">
        <f t="shared" si="1"/>
        <v>40500</v>
      </c>
      <c r="AN38" s="6">
        <f>+AM38-'SANTA ELISA'!J38</f>
        <v>0</v>
      </c>
      <c r="AO38" s="6">
        <f t="shared" si="2"/>
        <v>40500</v>
      </c>
      <c r="AP38" s="2">
        <f>VLOOKUP(A38,'SANTA ELISA'!$B$4:$BG$79,53,0)</f>
        <v>764500</v>
      </c>
    </row>
    <row r="39" spans="1:42" x14ac:dyDescent="0.25">
      <c r="A39" s="5">
        <v>506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>
        <v>5000</v>
      </c>
      <c r="AA39" s="6">
        <v>8500</v>
      </c>
      <c r="AB39" s="6">
        <v>8500</v>
      </c>
      <c r="AC39" s="6">
        <v>8500</v>
      </c>
      <c r="AD39" s="6">
        <v>8500</v>
      </c>
      <c r="AE39" s="6">
        <v>8500</v>
      </c>
      <c r="AF39" s="6"/>
      <c r="AG39" s="6"/>
      <c r="AH39" s="6"/>
      <c r="AI39" s="6"/>
      <c r="AJ39" s="6"/>
      <c r="AK39" s="6"/>
      <c r="AL39" s="6"/>
      <c r="AM39" s="6">
        <f t="shared" si="1"/>
        <v>47500</v>
      </c>
      <c r="AN39" s="6">
        <f>+AM39-'SANTA ELISA'!J39</f>
        <v>0</v>
      </c>
      <c r="AO39" s="6">
        <f t="shared" si="2"/>
        <v>47500</v>
      </c>
      <c r="AP39" s="2">
        <f>VLOOKUP(A39,'SANTA ELISA'!$B$4:$BG$79,53,0)</f>
        <v>869929.1</v>
      </c>
    </row>
    <row r="40" spans="1:42" x14ac:dyDescent="0.25">
      <c r="A40" s="5">
        <v>507</v>
      </c>
      <c r="B40" s="6"/>
      <c r="C40" s="6"/>
      <c r="D40" s="6"/>
      <c r="E40" s="6"/>
      <c r="F40" s="6"/>
      <c r="G40" s="6"/>
      <c r="H40" s="6"/>
      <c r="I40" s="6">
        <v>5000</v>
      </c>
      <c r="J40" s="6">
        <v>3550</v>
      </c>
      <c r="K40" s="6">
        <v>3550</v>
      </c>
      <c r="L40" s="6">
        <v>3550</v>
      </c>
      <c r="M40" s="6">
        <v>3550</v>
      </c>
      <c r="N40" s="6">
        <v>3550</v>
      </c>
      <c r="O40" s="6">
        <v>3550</v>
      </c>
      <c r="P40" s="6">
        <v>3550</v>
      </c>
      <c r="Q40" s="6">
        <v>3550</v>
      </c>
      <c r="R40" s="6">
        <v>3550</v>
      </c>
      <c r="S40" s="6">
        <v>3550</v>
      </c>
      <c r="T40" s="6">
        <v>3550</v>
      </c>
      <c r="U40" s="6">
        <v>3550</v>
      </c>
      <c r="V40" s="6">
        <v>3550</v>
      </c>
      <c r="W40" s="6">
        <v>3550</v>
      </c>
      <c r="X40" s="6">
        <v>3550</v>
      </c>
      <c r="Y40" s="6">
        <v>3550</v>
      </c>
      <c r="Z40" s="6">
        <v>3550</v>
      </c>
      <c r="AA40" s="6">
        <v>3650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f t="shared" si="1"/>
        <v>69000</v>
      </c>
      <c r="AN40" s="6">
        <f>+AM40-'SANTA ELISA'!J40</f>
        <v>0</v>
      </c>
      <c r="AO40" s="6">
        <f t="shared" si="2"/>
        <v>69000</v>
      </c>
      <c r="AP40" s="2">
        <f>VLOOKUP(A40,'SANTA ELISA'!$B$4:$BG$79,53,0)</f>
        <v>445000</v>
      </c>
    </row>
    <row r="41" spans="1:42" x14ac:dyDescent="0.25">
      <c r="A41" s="5">
        <v>508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5000</v>
      </c>
      <c r="AG41" s="6">
        <v>29000</v>
      </c>
      <c r="AH41" s="6"/>
      <c r="AI41" s="6"/>
      <c r="AJ41" s="6"/>
      <c r="AK41" s="6"/>
      <c r="AL41" s="6"/>
      <c r="AM41" s="6">
        <f t="shared" si="1"/>
        <v>34000</v>
      </c>
      <c r="AN41" s="6">
        <f>+AM41-'SANTA ELISA'!J41</f>
        <v>0</v>
      </c>
      <c r="AO41" s="6">
        <f t="shared" si="2"/>
        <v>34000</v>
      </c>
      <c r="AP41" s="2">
        <f>VLOOKUP(A41,'SANTA ELISA'!$B$4:$BG$79,53,0)</f>
        <v>615000</v>
      </c>
    </row>
    <row r="42" spans="1:42" x14ac:dyDescent="0.25">
      <c r="A42" s="5">
        <v>601</v>
      </c>
      <c r="B42" s="6"/>
      <c r="C42" s="6"/>
      <c r="D42" s="6"/>
      <c r="E42" s="6">
        <v>5000</v>
      </c>
      <c r="F42" s="6">
        <v>1947.83</v>
      </c>
      <c r="G42" s="6">
        <v>1947.83</v>
      </c>
      <c r="H42" s="6">
        <v>1947.83</v>
      </c>
      <c r="I42" s="6">
        <v>1947.83</v>
      </c>
      <c r="J42" s="6">
        <v>1947.83</v>
      </c>
      <c r="K42" s="6">
        <v>1947.83</v>
      </c>
      <c r="L42" s="6">
        <v>1947.83</v>
      </c>
      <c r="M42" s="6">
        <v>1947.83</v>
      </c>
      <c r="N42" s="6">
        <v>1947.83</v>
      </c>
      <c r="O42" s="6">
        <v>1947.83</v>
      </c>
      <c r="P42" s="6">
        <v>1947.83</v>
      </c>
      <c r="Q42" s="6">
        <v>1947.83</v>
      </c>
      <c r="R42" s="6">
        <v>1947.83</v>
      </c>
      <c r="S42" s="6">
        <v>1947.83</v>
      </c>
      <c r="T42" s="6">
        <v>1947.83</v>
      </c>
      <c r="U42" s="6">
        <v>1947.83</v>
      </c>
      <c r="V42" s="6">
        <v>1947.83</v>
      </c>
      <c r="W42" s="6">
        <v>1947.83</v>
      </c>
      <c r="X42" s="6">
        <v>1947.83</v>
      </c>
      <c r="Y42" s="6">
        <v>1947.83</v>
      </c>
      <c r="Z42" s="6">
        <v>1947.83</v>
      </c>
      <c r="AA42" s="6">
        <v>1947.83</v>
      </c>
      <c r="AB42" s="6">
        <v>1947.74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 t="shared" si="1"/>
        <v>49800.000000000022</v>
      </c>
      <c r="AN42" s="6">
        <f>+AM42-'SANTA ELISA'!J42</f>
        <v>0</v>
      </c>
      <c r="AO42" s="6">
        <f t="shared" si="2"/>
        <v>49800.000000000022</v>
      </c>
      <c r="AP42" s="2">
        <f>VLOOKUP(A42,'SANTA ELISA'!$B$4:$BG$79,53,0)</f>
        <v>333187.37</v>
      </c>
    </row>
    <row r="43" spans="1:42" x14ac:dyDescent="0.25">
      <c r="A43" s="5">
        <v>602</v>
      </c>
      <c r="B43" s="6"/>
      <c r="C43" s="6"/>
      <c r="D43" s="6"/>
      <c r="E43" s="6"/>
      <c r="F43" s="6"/>
      <c r="G43" s="6">
        <v>5000</v>
      </c>
      <c r="H43" s="6">
        <v>3240</v>
      </c>
      <c r="I43" s="6">
        <v>3240</v>
      </c>
      <c r="J43" s="6">
        <v>3240</v>
      </c>
      <c r="K43" s="6">
        <v>3240</v>
      </c>
      <c r="L43" s="6">
        <v>3240</v>
      </c>
      <c r="M43" s="6">
        <v>3240</v>
      </c>
      <c r="N43" s="6">
        <v>3240</v>
      </c>
      <c r="O43" s="6">
        <v>3240</v>
      </c>
      <c r="P43" s="6">
        <v>3240</v>
      </c>
      <c r="Q43" s="6">
        <v>3240</v>
      </c>
      <c r="R43" s="6">
        <v>3240</v>
      </c>
      <c r="S43" s="6">
        <v>3240</v>
      </c>
      <c r="T43" s="6">
        <v>3240</v>
      </c>
      <c r="U43" s="6">
        <v>3240</v>
      </c>
      <c r="V43" s="6">
        <v>3240</v>
      </c>
      <c r="W43" s="6">
        <v>3240</v>
      </c>
      <c r="X43" s="6">
        <v>3240</v>
      </c>
      <c r="Y43" s="6">
        <v>3240</v>
      </c>
      <c r="Z43" s="6">
        <v>3240</v>
      </c>
      <c r="AA43" s="6">
        <v>3240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si="1"/>
        <v>69800</v>
      </c>
      <c r="AN43" s="6">
        <f>+AM43-'SANTA ELISA'!J43</f>
        <v>0</v>
      </c>
      <c r="AO43" s="6">
        <f t="shared" si="2"/>
        <v>69800</v>
      </c>
      <c r="AP43" s="2">
        <f>VLOOKUP(A43,'SANTA ELISA'!$B$4:$BG$79,53,0)</f>
        <v>468282.11</v>
      </c>
    </row>
    <row r="44" spans="1:42" x14ac:dyDescent="0.25">
      <c r="A44" s="5">
        <v>603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>
        <v>66582.399999999994</v>
      </c>
      <c r="AE44" s="6">
        <v>7050</v>
      </c>
      <c r="AF44" s="6">
        <v>7050</v>
      </c>
      <c r="AG44" s="6"/>
      <c r="AH44" s="6"/>
      <c r="AI44" s="6"/>
      <c r="AJ44" s="6"/>
      <c r="AK44" s="6"/>
      <c r="AL44" s="6"/>
      <c r="AM44" s="6">
        <f t="shared" si="1"/>
        <v>80682.399999999994</v>
      </c>
      <c r="AN44" s="6">
        <f>+AM44-'SANTA ELISA'!J44</f>
        <v>0</v>
      </c>
      <c r="AO44" s="6">
        <f t="shared" si="2"/>
        <v>80682.399999999994</v>
      </c>
      <c r="AP44" s="2">
        <f>VLOOKUP(A44,'SANTA ELISA'!$B$4:$BG$79,53,0)</f>
        <v>671165.65</v>
      </c>
    </row>
    <row r="45" spans="1:42" x14ac:dyDescent="0.25">
      <c r="A45" s="5">
        <v>604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5000</v>
      </c>
      <c r="W45" s="6">
        <v>3500</v>
      </c>
      <c r="X45" s="6">
        <v>3500</v>
      </c>
      <c r="Y45" s="6">
        <v>3500</v>
      </c>
      <c r="Z45" s="6">
        <v>3500</v>
      </c>
      <c r="AA45" s="6">
        <v>728264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f t="shared" si="1"/>
        <v>747264</v>
      </c>
      <c r="AN45" s="6">
        <f>+AM45-'SANTA ELISA'!J45</f>
        <v>0</v>
      </c>
      <c r="AO45" s="6">
        <f t="shared" si="2"/>
        <v>747264</v>
      </c>
      <c r="AP45" s="2">
        <f>VLOOKUP(A45,'SANTA ELISA'!$B$4:$BG$79,53,0)</f>
        <v>0</v>
      </c>
    </row>
    <row r="46" spans="1:42" x14ac:dyDescent="0.25">
      <c r="A46" s="5">
        <v>605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>
        <v>5000</v>
      </c>
      <c r="AG46" s="6">
        <v>35900</v>
      </c>
      <c r="AH46" s="6"/>
      <c r="AI46" s="6"/>
      <c r="AJ46" s="6"/>
      <c r="AK46" s="6"/>
      <c r="AL46" s="6"/>
      <c r="AM46" s="6">
        <f t="shared" si="1"/>
        <v>40900</v>
      </c>
      <c r="AN46" s="6">
        <f>+AM46-'SANTA ELISA'!J46</f>
        <v>0</v>
      </c>
      <c r="AO46" s="6">
        <f t="shared" si="2"/>
        <v>40900</v>
      </c>
      <c r="AP46" s="2">
        <f>VLOOKUP(A46,'SANTA ELISA'!$B$4:$BG$79,53,0)</f>
        <v>809100</v>
      </c>
    </row>
    <row r="47" spans="1:42" x14ac:dyDescent="0.25">
      <c r="A47" s="5">
        <v>606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5000</v>
      </c>
      <c r="AC47" s="6">
        <v>14800</v>
      </c>
      <c r="AD47" s="6">
        <v>14800</v>
      </c>
      <c r="AE47" s="6">
        <v>14800</v>
      </c>
      <c r="AF47" s="6"/>
      <c r="AG47" s="6"/>
      <c r="AH47" s="6"/>
      <c r="AI47" s="6"/>
      <c r="AJ47" s="6"/>
      <c r="AK47" s="6"/>
      <c r="AL47" s="6"/>
      <c r="AM47" s="6">
        <f t="shared" si="1"/>
        <v>49400</v>
      </c>
      <c r="AN47" s="6">
        <f>+AM47-'SANTA ELISA'!J47</f>
        <v>0</v>
      </c>
      <c r="AO47" s="6">
        <f t="shared" si="2"/>
        <v>49400</v>
      </c>
      <c r="AP47" s="2">
        <f>VLOOKUP(A47,'SANTA ELISA'!$B$4:$BG$79,53,0)</f>
        <v>591706.96</v>
      </c>
    </row>
    <row r="48" spans="1:42" x14ac:dyDescent="0.25">
      <c r="A48" s="5">
        <v>607</v>
      </c>
      <c r="B48" s="6"/>
      <c r="C48" s="6"/>
      <c r="D48" s="6"/>
      <c r="E48" s="6"/>
      <c r="F48" s="6">
        <v>338100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338100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>
        <f t="shared" si="1"/>
        <v>676200</v>
      </c>
      <c r="AN48" s="6">
        <f>+AM48-'SANTA ELISA'!J48</f>
        <v>0</v>
      </c>
      <c r="AO48" s="6">
        <f t="shared" si="2"/>
        <v>676200</v>
      </c>
      <c r="AP48" s="2">
        <f>VLOOKUP(A48,'SANTA ELISA'!$B$4:$BG$79,53,0)</f>
        <v>-5000</v>
      </c>
    </row>
    <row r="49" spans="1:42" x14ac:dyDescent="0.25">
      <c r="A49" s="5">
        <v>608</v>
      </c>
      <c r="B49" s="6"/>
      <c r="C49" s="6"/>
      <c r="D49" s="6">
        <v>5000</v>
      </c>
      <c r="E49" s="6">
        <v>2000</v>
      </c>
      <c r="F49" s="6">
        <v>2000</v>
      </c>
      <c r="G49" s="6">
        <v>2000</v>
      </c>
      <c r="H49" s="6">
        <v>2000</v>
      </c>
      <c r="I49" s="6">
        <v>2000</v>
      </c>
      <c r="J49" s="6">
        <v>2000</v>
      </c>
      <c r="K49" s="6">
        <v>2000</v>
      </c>
      <c r="L49" s="6">
        <v>2000</v>
      </c>
      <c r="M49" s="6">
        <v>2000</v>
      </c>
      <c r="N49" s="6">
        <v>2000</v>
      </c>
      <c r="O49" s="6">
        <v>2000</v>
      </c>
      <c r="P49" s="6">
        <v>2000</v>
      </c>
      <c r="Q49" s="6">
        <v>2000</v>
      </c>
      <c r="R49" s="6">
        <v>2000</v>
      </c>
      <c r="S49" s="6">
        <v>2000</v>
      </c>
      <c r="T49" s="6">
        <v>2000</v>
      </c>
      <c r="U49" s="6">
        <v>2000</v>
      </c>
      <c r="V49" s="6">
        <v>2000</v>
      </c>
      <c r="W49" s="6">
        <v>2000</v>
      </c>
      <c r="X49" s="6">
        <v>2000</v>
      </c>
      <c r="Y49" s="6">
        <v>2000</v>
      </c>
      <c r="Z49" s="6">
        <v>2800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>
        <f t="shared" si="1"/>
        <v>49800</v>
      </c>
      <c r="AN49" s="6">
        <f>+AM49-'SANTA ELISA'!J49</f>
        <v>0</v>
      </c>
      <c r="AO49" s="6">
        <f t="shared" si="2"/>
        <v>49800</v>
      </c>
      <c r="AP49" s="2">
        <f>VLOOKUP(A49,'SANTA ELISA'!$B$4:$BG$79,53,0)</f>
        <v>333014.03000000003</v>
      </c>
    </row>
    <row r="50" spans="1:42" x14ac:dyDescent="0.25">
      <c r="A50" s="5">
        <v>701</v>
      </c>
      <c r="B50" s="6"/>
      <c r="C50" s="6"/>
      <c r="D50" s="6">
        <v>5000</v>
      </c>
      <c r="E50" s="6">
        <v>2725</v>
      </c>
      <c r="F50" s="6">
        <v>185000</v>
      </c>
      <c r="G50" s="6">
        <v>2725</v>
      </c>
      <c r="H50" s="6">
        <v>2725</v>
      </c>
      <c r="I50" s="6">
        <v>2725</v>
      </c>
      <c r="J50" s="6">
        <v>2725</v>
      </c>
      <c r="K50" s="6">
        <v>2725</v>
      </c>
      <c r="L50" s="6">
        <v>2725</v>
      </c>
      <c r="M50" s="6">
        <v>2725</v>
      </c>
      <c r="N50" s="6">
        <v>2725</v>
      </c>
      <c r="O50" s="6">
        <v>2725</v>
      </c>
      <c r="P50" s="6">
        <v>2725</v>
      </c>
      <c r="Q50" s="6">
        <v>2725</v>
      </c>
      <c r="R50" s="6">
        <v>2725</v>
      </c>
      <c r="S50" s="6">
        <v>2725</v>
      </c>
      <c r="T50" s="6">
        <v>2725</v>
      </c>
      <c r="U50" s="6">
        <v>2725</v>
      </c>
      <c r="V50" s="6">
        <v>2725</v>
      </c>
      <c r="W50" s="6">
        <v>2725</v>
      </c>
      <c r="X50" s="6">
        <v>2725</v>
      </c>
      <c r="Y50" s="6">
        <v>2725</v>
      </c>
      <c r="Z50" s="6">
        <v>2725</v>
      </c>
      <c r="AA50" s="6">
        <v>2775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>
        <f t="shared" si="1"/>
        <v>250000</v>
      </c>
      <c r="AN50" s="6">
        <f>+AM50-'SANTA ELISA'!J50</f>
        <v>0</v>
      </c>
      <c r="AO50" s="6">
        <f t="shared" si="2"/>
        <v>250000</v>
      </c>
      <c r="AP50" s="2">
        <f>VLOOKUP(A50,'SANTA ELISA'!$B$4:$BG$79,53,0)</f>
        <v>248000</v>
      </c>
    </row>
    <row r="51" spans="1:42" x14ac:dyDescent="0.25">
      <c r="A51" s="5">
        <v>702</v>
      </c>
      <c r="B51" s="6"/>
      <c r="C51" s="6"/>
      <c r="D51" s="6"/>
      <c r="E51" s="6"/>
      <c r="F51" s="6">
        <v>5000</v>
      </c>
      <c r="G51" s="6">
        <v>3085</v>
      </c>
      <c r="H51" s="6">
        <v>3085</v>
      </c>
      <c r="I51" s="6">
        <v>3085</v>
      </c>
      <c r="J51" s="6">
        <v>3085</v>
      </c>
      <c r="K51" s="6">
        <v>3085</v>
      </c>
      <c r="L51" s="6">
        <v>3085</v>
      </c>
      <c r="M51" s="6">
        <v>3085</v>
      </c>
      <c r="N51" s="6">
        <v>3085</v>
      </c>
      <c r="O51" s="6">
        <v>3085</v>
      </c>
      <c r="P51" s="6">
        <v>3085</v>
      </c>
      <c r="Q51" s="6">
        <v>3085</v>
      </c>
      <c r="R51" s="6">
        <v>3085</v>
      </c>
      <c r="S51" s="6">
        <v>3085</v>
      </c>
      <c r="T51" s="6">
        <v>3085</v>
      </c>
      <c r="U51" s="6">
        <v>3085</v>
      </c>
      <c r="V51" s="6">
        <v>3085</v>
      </c>
      <c r="W51" s="6">
        <v>3085</v>
      </c>
      <c r="X51" s="6">
        <v>3085</v>
      </c>
      <c r="Y51" s="6">
        <v>3085</v>
      </c>
      <c r="Z51" s="6">
        <v>3085</v>
      </c>
      <c r="AA51" s="6">
        <v>3100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>
        <f t="shared" si="1"/>
        <v>69800</v>
      </c>
      <c r="AN51" s="6">
        <f>+AM51-'SANTA ELISA'!J51</f>
        <v>0</v>
      </c>
      <c r="AO51" s="6">
        <f t="shared" si="2"/>
        <v>69800</v>
      </c>
      <c r="AP51" s="2">
        <f>VLOOKUP(A51,'SANTA ELISA'!$B$4:$BG$79,53,0)</f>
        <v>628200</v>
      </c>
    </row>
    <row r="52" spans="1:42" x14ac:dyDescent="0.25">
      <c r="A52" s="5">
        <v>703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896715.83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>
        <f t="shared" si="1"/>
        <v>896715.83</v>
      </c>
      <c r="AN52" s="6">
        <f>+AM52-'SANTA ELISA'!J52</f>
        <v>0</v>
      </c>
      <c r="AO52" s="6">
        <f t="shared" si="2"/>
        <v>896715.83</v>
      </c>
      <c r="AP52" s="2">
        <f>VLOOKUP(A52,'SANTA ELISA'!$B$4:$BG$79,53,0)</f>
        <v>0</v>
      </c>
    </row>
    <row r="53" spans="1:42" x14ac:dyDescent="0.25">
      <c r="A53" s="5">
        <v>704</v>
      </c>
      <c r="B53" s="6">
        <v>5000</v>
      </c>
      <c r="C53" s="6">
        <v>1000</v>
      </c>
      <c r="D53" s="6">
        <v>1000</v>
      </c>
      <c r="E53" s="6">
        <v>1000</v>
      </c>
      <c r="F53" s="6">
        <v>1000</v>
      </c>
      <c r="G53" s="6">
        <v>2738</v>
      </c>
      <c r="H53" s="6">
        <v>2738</v>
      </c>
      <c r="I53" s="6">
        <v>2738</v>
      </c>
      <c r="J53" s="6">
        <v>2738</v>
      </c>
      <c r="K53" s="6">
        <v>2738</v>
      </c>
      <c r="L53" s="6">
        <v>2738</v>
      </c>
      <c r="M53" s="6">
        <v>2738</v>
      </c>
      <c r="N53" s="6">
        <v>2738</v>
      </c>
      <c r="O53" s="6">
        <v>2738</v>
      </c>
      <c r="P53" s="6">
        <v>2738</v>
      </c>
      <c r="Q53" s="6">
        <v>2738</v>
      </c>
      <c r="R53" s="6">
        <v>2738</v>
      </c>
      <c r="S53" s="6">
        <v>2738</v>
      </c>
      <c r="T53" s="6">
        <v>2738</v>
      </c>
      <c r="U53" s="6">
        <v>2738</v>
      </c>
      <c r="V53" s="6">
        <v>2738</v>
      </c>
      <c r="W53" s="6">
        <v>2738</v>
      </c>
      <c r="X53" s="6">
        <v>2738</v>
      </c>
      <c r="Y53" s="6">
        <v>2738</v>
      </c>
      <c r="Z53" s="6">
        <v>2738</v>
      </c>
      <c r="AA53" s="6">
        <v>2740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>
        <f t="shared" si="1"/>
        <v>66500</v>
      </c>
      <c r="AN53" s="6">
        <f>+AM53-'SANTA ELISA'!J53</f>
        <v>0</v>
      </c>
      <c r="AO53" s="6">
        <f t="shared" si="2"/>
        <v>66500</v>
      </c>
      <c r="AP53" s="2">
        <f>VLOOKUP(A53,'SANTA ELISA'!$B$4:$BG$79,53,0)</f>
        <v>451104.27</v>
      </c>
    </row>
    <row r="54" spans="1:42" x14ac:dyDescent="0.25">
      <c r="A54" s="5">
        <v>705</v>
      </c>
      <c r="B54" s="6"/>
      <c r="C54" s="6">
        <v>5000</v>
      </c>
      <c r="D54" s="6">
        <v>2562.5</v>
      </c>
      <c r="E54" s="6">
        <v>2562.5</v>
      </c>
      <c r="F54" s="6">
        <v>2562.5</v>
      </c>
      <c r="G54" s="6">
        <v>2562.5</v>
      </c>
      <c r="H54" s="6">
        <v>2562.5</v>
      </c>
      <c r="I54" s="6">
        <v>2562.5</v>
      </c>
      <c r="J54" s="6">
        <v>2562.5</v>
      </c>
      <c r="K54" s="6">
        <v>2562.5</v>
      </c>
      <c r="L54" s="6">
        <v>2562.5</v>
      </c>
      <c r="M54" s="6">
        <v>2562.5</v>
      </c>
      <c r="N54" s="6">
        <v>2562.5</v>
      </c>
      <c r="O54" s="6">
        <v>2562.5</v>
      </c>
      <c r="P54" s="6">
        <v>2562.5</v>
      </c>
      <c r="Q54" s="6">
        <v>2562.5</v>
      </c>
      <c r="R54" s="6">
        <v>2562.5</v>
      </c>
      <c r="S54" s="6">
        <v>2562.5</v>
      </c>
      <c r="T54" s="6">
        <v>2562.5</v>
      </c>
      <c r="U54" s="6">
        <v>2562.5</v>
      </c>
      <c r="V54" s="6">
        <v>2562.5</v>
      </c>
      <c r="W54" s="6">
        <v>2562.5</v>
      </c>
      <c r="X54" s="6">
        <v>2562.5</v>
      </c>
      <c r="Y54" s="6">
        <v>2562.5</v>
      </c>
      <c r="Z54" s="6">
        <v>2562.5</v>
      </c>
      <c r="AA54" s="6">
        <v>2562.5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>
        <f t="shared" si="1"/>
        <v>66500</v>
      </c>
      <c r="AN54" s="6">
        <f>+AM54-'SANTA ELISA'!J54</f>
        <v>0</v>
      </c>
      <c r="AO54" s="6">
        <f t="shared" si="2"/>
        <v>66500</v>
      </c>
      <c r="AP54" s="2">
        <f>VLOOKUP(A54,'SANTA ELISA'!$B$4:$BG$79,53,0)</f>
        <v>543500</v>
      </c>
    </row>
    <row r="55" spans="1:42" x14ac:dyDescent="0.25">
      <c r="A55" s="5">
        <v>706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5000</v>
      </c>
      <c r="X55" s="6">
        <v>111875</v>
      </c>
      <c r="Y55" s="6">
        <v>111875</v>
      </c>
      <c r="Z55" s="6">
        <v>111875</v>
      </c>
      <c r="AA55" s="6">
        <v>111875</v>
      </c>
      <c r="AB55" s="6">
        <v>111875</v>
      </c>
      <c r="AC55" s="6">
        <v>111875</v>
      </c>
      <c r="AD55" s="6">
        <v>111875</v>
      </c>
      <c r="AE55" s="6">
        <v>111875</v>
      </c>
      <c r="AF55" s="6"/>
      <c r="AG55" s="6"/>
      <c r="AH55" s="6"/>
      <c r="AI55" s="6"/>
      <c r="AJ55" s="6"/>
      <c r="AK55" s="6"/>
      <c r="AL55" s="6"/>
      <c r="AM55" s="6">
        <f t="shared" si="1"/>
        <v>900000</v>
      </c>
      <c r="AN55" s="6">
        <f>+AM55-'SANTA ELISA'!J55</f>
        <v>0</v>
      </c>
      <c r="AO55" s="6">
        <f t="shared" si="2"/>
        <v>900000</v>
      </c>
      <c r="AP55" s="2">
        <f>VLOOKUP(A55,'SANTA ELISA'!$B$4:$BG$79,53,0)</f>
        <v>111875</v>
      </c>
    </row>
    <row r="56" spans="1:42" x14ac:dyDescent="0.25">
      <c r="A56" s="5">
        <v>707</v>
      </c>
      <c r="B56" s="6"/>
      <c r="C56" s="6"/>
      <c r="D56" s="6"/>
      <c r="E56" s="6">
        <v>5000</v>
      </c>
      <c r="F56" s="6">
        <v>3000</v>
      </c>
      <c r="G56" s="6">
        <v>3000</v>
      </c>
      <c r="H56" s="6">
        <v>3000</v>
      </c>
      <c r="I56" s="6">
        <v>3000</v>
      </c>
      <c r="J56" s="6">
        <v>3000</v>
      </c>
      <c r="K56" s="6">
        <v>3000</v>
      </c>
      <c r="L56" s="6">
        <v>3000</v>
      </c>
      <c r="M56" s="6">
        <v>3000</v>
      </c>
      <c r="N56" s="6">
        <v>3000</v>
      </c>
      <c r="O56" s="6">
        <v>3000</v>
      </c>
      <c r="P56" s="6">
        <v>3000</v>
      </c>
      <c r="Q56" s="6">
        <v>3000</v>
      </c>
      <c r="R56" s="6">
        <v>3000</v>
      </c>
      <c r="S56" s="6">
        <v>3000</v>
      </c>
      <c r="T56" s="6">
        <v>3000</v>
      </c>
      <c r="U56" s="6">
        <v>3000</v>
      </c>
      <c r="V56" s="6">
        <v>3000</v>
      </c>
      <c r="W56" s="6">
        <v>3000</v>
      </c>
      <c r="X56" s="6">
        <v>3000</v>
      </c>
      <c r="Y56" s="6">
        <v>3000</v>
      </c>
      <c r="Z56" s="6">
        <v>3000</v>
      </c>
      <c r="AA56" s="6">
        <v>8720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f t="shared" si="1"/>
        <v>76720</v>
      </c>
      <c r="AN56" s="6">
        <f>+AM56-'SANTA ELISA'!J56</f>
        <v>0</v>
      </c>
      <c r="AO56" s="6">
        <f t="shared" si="2"/>
        <v>76720</v>
      </c>
      <c r="AP56" s="2">
        <f>VLOOKUP(A56,'SANTA ELISA'!$B$4:$BG$79,53,0)</f>
        <v>471723.22</v>
      </c>
    </row>
    <row r="57" spans="1:42" x14ac:dyDescent="0.25">
      <c r="A57" s="5">
        <v>708</v>
      </c>
      <c r="B57" s="6"/>
      <c r="C57" s="6"/>
      <c r="D57" s="6">
        <v>5000</v>
      </c>
      <c r="E57" s="6">
        <v>2000</v>
      </c>
      <c r="F57" s="6">
        <v>2000</v>
      </c>
      <c r="G57" s="6">
        <v>2000</v>
      </c>
      <c r="H57" s="6">
        <v>2000</v>
      </c>
      <c r="I57" s="6">
        <v>2000</v>
      </c>
      <c r="J57" s="6">
        <v>2000</v>
      </c>
      <c r="K57" s="6">
        <v>2000</v>
      </c>
      <c r="L57" s="6">
        <v>2000</v>
      </c>
      <c r="M57" s="6">
        <v>2000</v>
      </c>
      <c r="N57" s="6">
        <v>2000</v>
      </c>
      <c r="O57" s="6">
        <v>2000</v>
      </c>
      <c r="P57" s="6">
        <v>2000</v>
      </c>
      <c r="Q57" s="6">
        <v>2000</v>
      </c>
      <c r="R57" s="6">
        <v>2000</v>
      </c>
      <c r="S57" s="6">
        <v>2000</v>
      </c>
      <c r="T57" s="6">
        <v>2000</v>
      </c>
      <c r="U57" s="6">
        <v>2000</v>
      </c>
      <c r="V57" s="6">
        <v>2000</v>
      </c>
      <c r="W57" s="6">
        <v>2000</v>
      </c>
      <c r="X57" s="6">
        <v>2000</v>
      </c>
      <c r="Y57" s="6">
        <v>2000</v>
      </c>
      <c r="Z57" s="6">
        <v>2800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f t="shared" si="1"/>
        <v>49800</v>
      </c>
      <c r="AN57" s="6">
        <f>+AM57-'SANTA ELISA'!J57</f>
        <v>0</v>
      </c>
      <c r="AO57" s="6">
        <f t="shared" si="2"/>
        <v>49800</v>
      </c>
      <c r="AP57" s="2">
        <f>VLOOKUP(A57,'SANTA ELISA'!$B$4:$BG$79,53,0)</f>
        <v>333353.52</v>
      </c>
    </row>
    <row r="58" spans="1:42" x14ac:dyDescent="0.25">
      <c r="A58" s="5">
        <v>801</v>
      </c>
      <c r="B58" s="6">
        <v>5000</v>
      </c>
      <c r="C58" s="6">
        <v>1947.83</v>
      </c>
      <c r="D58" s="6">
        <v>1947.83</v>
      </c>
      <c r="E58" s="6">
        <v>1947.83</v>
      </c>
      <c r="F58" s="6">
        <v>1947.83</v>
      </c>
      <c r="G58" s="6">
        <v>1947.83</v>
      </c>
      <c r="H58" s="6">
        <v>1947.83</v>
      </c>
      <c r="I58" s="6">
        <v>1947.83</v>
      </c>
      <c r="J58" s="6">
        <v>1947.83</v>
      </c>
      <c r="K58" s="6">
        <v>1947.83</v>
      </c>
      <c r="L58" s="6">
        <v>1947.83</v>
      </c>
      <c r="M58" s="6">
        <v>1947.83</v>
      </c>
      <c r="N58" s="6">
        <v>1947.83</v>
      </c>
      <c r="O58" s="6">
        <v>1947.83</v>
      </c>
      <c r="P58" s="6">
        <v>1947.83</v>
      </c>
      <c r="Q58" s="6">
        <v>1947.83</v>
      </c>
      <c r="R58" s="6">
        <v>1947.83</v>
      </c>
      <c r="S58" s="6">
        <v>1947.83</v>
      </c>
      <c r="T58" s="6">
        <v>1947.83</v>
      </c>
      <c r="U58" s="6">
        <v>1947.83</v>
      </c>
      <c r="V58" s="6">
        <v>1947.83</v>
      </c>
      <c r="W58" s="6">
        <v>1947.83</v>
      </c>
      <c r="X58" s="6">
        <v>1947.83</v>
      </c>
      <c r="Y58" s="6">
        <v>1947.74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f t="shared" si="1"/>
        <v>49800.000000000022</v>
      </c>
      <c r="AN58" s="6">
        <f>+AM58-'SANTA ELISA'!J58</f>
        <v>0</v>
      </c>
      <c r="AO58" s="6">
        <f t="shared" si="2"/>
        <v>49800.000000000022</v>
      </c>
      <c r="AP58" s="2">
        <f>VLOOKUP(A58,'SANTA ELISA'!$B$4:$BG$79,53,0)</f>
        <v>308362.91000000003</v>
      </c>
    </row>
    <row r="59" spans="1:42" x14ac:dyDescent="0.25">
      <c r="A59" s="5">
        <v>802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5000</v>
      </c>
      <c r="P59" s="6">
        <v>5688.46</v>
      </c>
      <c r="Q59" s="6">
        <v>5688.46</v>
      </c>
      <c r="R59" s="6">
        <v>5688.46</v>
      </c>
      <c r="S59" s="6">
        <v>5688.46</v>
      </c>
      <c r="T59" s="6">
        <v>5688.46</v>
      </c>
      <c r="U59" s="6">
        <v>5688.46</v>
      </c>
      <c r="V59" s="6">
        <v>5688.46</v>
      </c>
      <c r="W59" s="6">
        <v>5688.46</v>
      </c>
      <c r="X59" s="6">
        <v>5688.46</v>
      </c>
      <c r="Y59" s="6">
        <v>5688.46</v>
      </c>
      <c r="Z59" s="6">
        <v>5688.46</v>
      </c>
      <c r="AA59" s="6">
        <v>5688.46</v>
      </c>
      <c r="AB59" s="6">
        <v>5688.48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f t="shared" si="1"/>
        <v>78950</v>
      </c>
      <c r="AN59" s="6">
        <f>+AM59-'SANTA ELISA'!J59</f>
        <v>0</v>
      </c>
      <c r="AO59" s="6">
        <f t="shared" si="2"/>
        <v>78950</v>
      </c>
      <c r="AP59" s="2">
        <f>VLOOKUP(A59,'SANTA ELISA'!$B$4:$BG$79,53,0)</f>
        <v>710550</v>
      </c>
    </row>
    <row r="60" spans="1:42" x14ac:dyDescent="0.25">
      <c r="A60" s="5">
        <v>803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5000</v>
      </c>
      <c r="AF60" s="6">
        <v>22658.55</v>
      </c>
      <c r="AG60" s="6">
        <v>22658.55</v>
      </c>
      <c r="AH60" s="6"/>
      <c r="AI60" s="6"/>
      <c r="AJ60" s="6"/>
      <c r="AK60" s="6"/>
      <c r="AL60" s="6"/>
      <c r="AM60" s="6">
        <f t="shared" si="1"/>
        <v>50317.1</v>
      </c>
      <c r="AN60" s="6">
        <f>+AM60-'SANTA ELISA'!J60</f>
        <v>0</v>
      </c>
      <c r="AO60" s="6">
        <f t="shared" si="2"/>
        <v>50317.1</v>
      </c>
      <c r="AP60" s="2">
        <f>VLOOKUP(A60,'SANTA ELISA'!$B$4:$BG$79,53,0)</f>
        <v>954300.00000000012</v>
      </c>
    </row>
    <row r="61" spans="1:42" x14ac:dyDescent="0.25">
      <c r="A61" s="5">
        <v>804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5000</v>
      </c>
      <c r="W61" s="6">
        <v>3760</v>
      </c>
      <c r="X61" s="6">
        <v>3760</v>
      </c>
      <c r="Y61" s="6">
        <v>3760</v>
      </c>
      <c r="Z61" s="6">
        <v>3760</v>
      </c>
      <c r="AA61" s="6">
        <v>3760</v>
      </c>
      <c r="AB61" s="6">
        <v>3760</v>
      </c>
      <c r="AC61" s="6">
        <v>3760</v>
      </c>
      <c r="AD61" s="6">
        <v>3760</v>
      </c>
      <c r="AE61" s="6">
        <v>3820</v>
      </c>
      <c r="AF61" s="6"/>
      <c r="AG61" s="6"/>
      <c r="AH61" s="6"/>
      <c r="AI61" s="6"/>
      <c r="AJ61" s="6"/>
      <c r="AK61" s="6"/>
      <c r="AL61" s="6"/>
      <c r="AM61" s="6">
        <f t="shared" si="1"/>
        <v>38900</v>
      </c>
      <c r="AN61" s="6">
        <f>+AM61-'SANTA ELISA'!J61</f>
        <v>0</v>
      </c>
      <c r="AO61" s="6">
        <f t="shared" si="2"/>
        <v>38900</v>
      </c>
      <c r="AP61" s="2">
        <f>VLOOKUP(A61,'SANTA ELISA'!$B$4:$BG$79,53,0)</f>
        <v>446232.63</v>
      </c>
    </row>
    <row r="62" spans="1:42" x14ac:dyDescent="0.25">
      <c r="A62" s="5">
        <v>805</v>
      </c>
      <c r="B62" s="6"/>
      <c r="C62" s="6"/>
      <c r="D62" s="6"/>
      <c r="E62" s="6"/>
      <c r="F62" s="6"/>
      <c r="G62" s="6"/>
      <c r="H62" s="6"/>
      <c r="I62" s="6"/>
      <c r="J62" s="6"/>
      <c r="K62" s="6">
        <v>5000</v>
      </c>
      <c r="L62" s="6">
        <v>4400</v>
      </c>
      <c r="M62" s="6">
        <v>4400</v>
      </c>
      <c r="N62" s="6">
        <v>4400</v>
      </c>
      <c r="O62" s="6">
        <v>4400</v>
      </c>
      <c r="P62" s="6">
        <v>4400</v>
      </c>
      <c r="Q62" s="6">
        <v>4400</v>
      </c>
      <c r="R62" s="6">
        <v>4400</v>
      </c>
      <c r="S62" s="6">
        <v>4400</v>
      </c>
      <c r="T62" s="6">
        <v>4400</v>
      </c>
      <c r="U62" s="6">
        <v>4400</v>
      </c>
      <c r="V62" s="6">
        <v>4400</v>
      </c>
      <c r="W62" s="6">
        <v>4400</v>
      </c>
      <c r="X62" s="6">
        <v>4400</v>
      </c>
      <c r="Y62" s="6">
        <v>4400</v>
      </c>
      <c r="Z62" s="6">
        <v>4400</v>
      </c>
      <c r="AA62" s="6">
        <v>4400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>
        <f t="shared" si="1"/>
        <v>75400</v>
      </c>
      <c r="AN62" s="6">
        <f>+AM62-'SANTA ELISA'!J62</f>
        <v>0</v>
      </c>
      <c r="AO62" s="6">
        <f t="shared" si="2"/>
        <v>75400</v>
      </c>
      <c r="AP62" s="2">
        <f>VLOOKUP(A62,'SANTA ELISA'!$B$4:$BG$79,53,0)</f>
        <v>642400</v>
      </c>
    </row>
    <row r="63" spans="1:42" x14ac:dyDescent="0.25">
      <c r="A63" s="5">
        <v>806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5000</v>
      </c>
      <c r="U63" s="6">
        <v>4236</v>
      </c>
      <c r="V63" s="6">
        <v>4236</v>
      </c>
      <c r="W63" s="6">
        <v>4236</v>
      </c>
      <c r="X63" s="6">
        <v>4236</v>
      </c>
      <c r="Y63" s="6">
        <v>4236</v>
      </c>
      <c r="Z63" s="6">
        <v>4236</v>
      </c>
      <c r="AA63" s="6">
        <v>4236</v>
      </c>
      <c r="AB63" s="6">
        <v>4236</v>
      </c>
      <c r="AC63" s="6">
        <v>4236</v>
      </c>
      <c r="AD63" s="6">
        <v>4236</v>
      </c>
      <c r="AE63" s="6">
        <v>4240</v>
      </c>
      <c r="AF63" s="6"/>
      <c r="AG63" s="6"/>
      <c r="AH63" s="6"/>
      <c r="AI63" s="6"/>
      <c r="AJ63" s="6"/>
      <c r="AK63" s="6"/>
      <c r="AL63" s="6"/>
      <c r="AM63" s="6">
        <f t="shared" si="1"/>
        <v>51600</v>
      </c>
      <c r="AN63" s="6">
        <f>+AM63-'SANTA ELISA'!J63</f>
        <v>0</v>
      </c>
      <c r="AO63" s="6">
        <f t="shared" si="2"/>
        <v>51600</v>
      </c>
      <c r="AP63" s="2">
        <f>VLOOKUP(A63,'SANTA ELISA'!$B$4:$BG$79,53,0)</f>
        <v>602175.30000000005</v>
      </c>
    </row>
    <row r="64" spans="1:42" x14ac:dyDescent="0.25">
      <c r="A64" s="5">
        <v>807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>
        <v>5000</v>
      </c>
      <c r="AH64" s="6">
        <v>245000</v>
      </c>
      <c r="AI64" s="6"/>
      <c r="AJ64" s="6"/>
      <c r="AK64" s="6"/>
      <c r="AL64" s="6"/>
      <c r="AM64" s="6">
        <f t="shared" si="1"/>
        <v>250000</v>
      </c>
      <c r="AN64" s="6">
        <f>+AM64-'SANTA ELISA'!J64</f>
        <v>0</v>
      </c>
      <c r="AO64" s="6">
        <f t="shared" si="2"/>
        <v>250000</v>
      </c>
      <c r="AP64" s="2">
        <f>VLOOKUP(A64,'SANTA ELISA'!$B$4:$BG$79,53,0)</f>
        <v>600000</v>
      </c>
    </row>
    <row r="65" spans="1:42" x14ac:dyDescent="0.25">
      <c r="A65" s="5">
        <v>808</v>
      </c>
      <c r="B65" s="6"/>
      <c r="C65" s="6">
        <v>3000</v>
      </c>
      <c r="D65" s="6">
        <v>3947.83</v>
      </c>
      <c r="E65" s="6">
        <v>1947.83</v>
      </c>
      <c r="F65" s="6">
        <v>1947.83</v>
      </c>
      <c r="G65" s="6">
        <v>1947.83</v>
      </c>
      <c r="H65" s="6">
        <v>1947.83</v>
      </c>
      <c r="I65" s="6">
        <v>1947.83</v>
      </c>
      <c r="J65" s="6">
        <v>1947.83</v>
      </c>
      <c r="K65" s="6">
        <v>1947.83</v>
      </c>
      <c r="L65" s="6">
        <v>1947.83</v>
      </c>
      <c r="M65" s="6">
        <v>1947.83</v>
      </c>
      <c r="N65" s="6">
        <v>1947.83</v>
      </c>
      <c r="O65" s="6">
        <v>1947.83</v>
      </c>
      <c r="P65" s="6">
        <v>1947.83</v>
      </c>
      <c r="Q65" s="6">
        <v>1947.83</v>
      </c>
      <c r="R65" s="6">
        <v>1947.83</v>
      </c>
      <c r="S65" s="6">
        <v>1947.83</v>
      </c>
      <c r="T65" s="6">
        <v>1947.83</v>
      </c>
      <c r="U65" s="6">
        <v>1947.83</v>
      </c>
      <c r="V65" s="6">
        <v>1947.83</v>
      </c>
      <c r="W65" s="6">
        <v>1947.83</v>
      </c>
      <c r="X65" s="6">
        <v>1947.83</v>
      </c>
      <c r="Y65" s="6">
        <v>1947.83</v>
      </c>
      <c r="Z65" s="6">
        <v>1947.74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>
        <f t="shared" si="1"/>
        <v>49800.000000000022</v>
      </c>
      <c r="AN65" s="6">
        <f>+AM65-'SANTA ELISA'!J65</f>
        <v>0</v>
      </c>
      <c r="AO65" s="6">
        <f t="shared" si="2"/>
        <v>49800.000000000022</v>
      </c>
      <c r="AP65" s="2">
        <f>VLOOKUP(A65,'SANTA ELISA'!$B$4:$BG$79,53,0)</f>
        <v>400000</v>
      </c>
    </row>
    <row r="66" spans="1:42" x14ac:dyDescent="0.25">
      <c r="A66" s="5">
        <v>901</v>
      </c>
      <c r="B66" s="6"/>
      <c r="C66" s="6"/>
      <c r="D66" s="6">
        <v>2000</v>
      </c>
      <c r="E66" s="6">
        <v>3000</v>
      </c>
      <c r="F66" s="6">
        <v>2036.36</v>
      </c>
      <c r="G66" s="6">
        <v>2036.36</v>
      </c>
      <c r="H66" s="6">
        <v>2036.36</v>
      </c>
      <c r="I66" s="6">
        <v>2036.36</v>
      </c>
      <c r="J66" s="6">
        <v>2036.36</v>
      </c>
      <c r="K66" s="6">
        <v>2036.36</v>
      </c>
      <c r="L66" s="6">
        <v>2036.36</v>
      </c>
      <c r="M66" s="6">
        <v>2036.36</v>
      </c>
      <c r="N66" s="6">
        <v>2036.36</v>
      </c>
      <c r="O66" s="6">
        <v>2036.36</v>
      </c>
      <c r="P66" s="6">
        <v>2036.36</v>
      </c>
      <c r="Q66" s="6">
        <v>2036.36</v>
      </c>
      <c r="R66" s="6">
        <v>2036.36</v>
      </c>
      <c r="S66" s="6">
        <v>2036.36</v>
      </c>
      <c r="T66" s="6">
        <v>2036.36</v>
      </c>
      <c r="U66" s="6">
        <v>2036.36</v>
      </c>
      <c r="V66" s="6">
        <v>2036.36</v>
      </c>
      <c r="W66" s="6">
        <v>2036.36</v>
      </c>
      <c r="X66" s="6">
        <v>2036.36</v>
      </c>
      <c r="Y66" s="6">
        <v>2036.36</v>
      </c>
      <c r="Z66" s="6">
        <v>2036.36</v>
      </c>
      <c r="AA66" s="6">
        <v>2036.44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>
        <f t="shared" si="1"/>
        <v>49800.000000000007</v>
      </c>
      <c r="AN66" s="6">
        <f>+AM66-'SANTA ELISA'!J66</f>
        <v>0</v>
      </c>
      <c r="AO66" s="6">
        <f t="shared" si="2"/>
        <v>49800.000000000007</v>
      </c>
      <c r="AP66" s="2">
        <f>VLOOKUP(A66,'SANTA ELISA'!$B$4:$BG$79,53,0)</f>
        <v>337443.77</v>
      </c>
    </row>
    <row r="67" spans="1:42" x14ac:dyDescent="0.25">
      <c r="A67" s="5">
        <v>902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3000</v>
      </c>
      <c r="T67" s="6">
        <v>3041</v>
      </c>
      <c r="U67" s="6">
        <v>3041</v>
      </c>
      <c r="V67" s="6">
        <v>3041</v>
      </c>
      <c r="W67" s="6">
        <v>3041</v>
      </c>
      <c r="X67" s="6">
        <v>3041</v>
      </c>
      <c r="Y67" s="6">
        <v>3041</v>
      </c>
      <c r="Z67" s="6">
        <v>3041</v>
      </c>
      <c r="AA67" s="6">
        <v>3041</v>
      </c>
      <c r="AB67" s="6">
        <v>3041</v>
      </c>
      <c r="AC67" s="6">
        <v>3041</v>
      </c>
      <c r="AD67" s="6">
        <v>3041</v>
      </c>
      <c r="AE67" s="6">
        <v>3049</v>
      </c>
      <c r="AF67" s="6"/>
      <c r="AG67" s="6"/>
      <c r="AH67" s="6"/>
      <c r="AI67" s="6"/>
      <c r="AJ67" s="6"/>
      <c r="AK67" s="6"/>
      <c r="AL67" s="6"/>
      <c r="AM67" s="6">
        <f t="shared" si="1"/>
        <v>39500</v>
      </c>
      <c r="AN67" s="6">
        <f>+AM67-'SANTA ELISA'!J67</f>
        <v>0</v>
      </c>
      <c r="AO67" s="6">
        <f t="shared" si="2"/>
        <v>39500</v>
      </c>
      <c r="AP67" s="2">
        <f>VLOOKUP(A67,'SANTA ELISA'!$B$4:$BG$79,53,0)</f>
        <v>748900</v>
      </c>
    </row>
    <row r="68" spans="1:42" x14ac:dyDescent="0.25">
      <c r="A68" s="5">
        <v>903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26440</v>
      </c>
      <c r="AB68" s="6">
        <v>6000</v>
      </c>
      <c r="AC68" s="6">
        <v>6000</v>
      </c>
      <c r="AD68" s="6">
        <v>6000</v>
      </c>
      <c r="AE68" s="6">
        <v>155580</v>
      </c>
      <c r="AF68" s="6"/>
      <c r="AG68" s="6"/>
      <c r="AH68" s="6"/>
      <c r="AI68" s="6"/>
      <c r="AJ68" s="6"/>
      <c r="AK68" s="6"/>
      <c r="AL68" s="6"/>
      <c r="AM68" s="6">
        <f t="shared" si="1"/>
        <v>200020</v>
      </c>
      <c r="AN68" s="6">
        <f>+AM68-'SANTA ELISA'!J68</f>
        <v>0</v>
      </c>
      <c r="AO68" s="6">
        <f t="shared" si="2"/>
        <v>200020</v>
      </c>
      <c r="AP68" s="2">
        <f>VLOOKUP(A68,'SANTA ELISA'!$B$4:$BG$79,53,0)</f>
        <v>544782.29</v>
      </c>
    </row>
    <row r="69" spans="1:42" x14ac:dyDescent="0.25">
      <c r="A69" s="5">
        <v>904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5000</v>
      </c>
      <c r="Z69" s="6">
        <v>4000</v>
      </c>
      <c r="AA69" s="6">
        <v>4000</v>
      </c>
      <c r="AB69" s="6">
        <v>4000</v>
      </c>
      <c r="AC69" s="6">
        <v>4000</v>
      </c>
      <c r="AD69" s="6">
        <v>4000</v>
      </c>
      <c r="AE69" s="6">
        <v>745000</v>
      </c>
      <c r="AF69" s="6"/>
      <c r="AG69" s="6"/>
      <c r="AH69" s="6"/>
      <c r="AI69" s="6"/>
      <c r="AJ69" s="6"/>
      <c r="AK69" s="6"/>
      <c r="AL69" s="6"/>
      <c r="AM69" s="6">
        <f t="shared" si="1"/>
        <v>770000</v>
      </c>
      <c r="AN69" s="6">
        <f>+AM69-'SANTA ELISA'!J69</f>
        <v>0</v>
      </c>
      <c r="AO69" s="6">
        <f t="shared" si="2"/>
        <v>770000</v>
      </c>
      <c r="AP69" s="2">
        <f>VLOOKUP(A69,'SANTA ELISA'!$B$4:$BG$79,53,0)</f>
        <v>3520.4499999999534</v>
      </c>
    </row>
    <row r="70" spans="1:42" x14ac:dyDescent="0.25">
      <c r="A70" s="5">
        <v>905</v>
      </c>
      <c r="B70" s="6"/>
      <c r="C70" s="6"/>
      <c r="D70" s="6"/>
      <c r="E70" s="6"/>
      <c r="F70" s="6"/>
      <c r="G70" s="6"/>
      <c r="H70" s="6"/>
      <c r="I70" s="6"/>
      <c r="J70" s="6"/>
      <c r="K70" s="6">
        <v>5000</v>
      </c>
      <c r="L70" s="6">
        <v>4400</v>
      </c>
      <c r="M70" s="6">
        <v>4400</v>
      </c>
      <c r="N70" s="6">
        <v>4400</v>
      </c>
      <c r="O70" s="6">
        <v>4400</v>
      </c>
      <c r="P70" s="6">
        <v>4400</v>
      </c>
      <c r="Q70" s="6">
        <v>4400</v>
      </c>
      <c r="R70" s="6">
        <v>4400</v>
      </c>
      <c r="S70" s="6">
        <v>4400</v>
      </c>
      <c r="T70" s="6">
        <v>4400</v>
      </c>
      <c r="U70" s="6">
        <v>4400</v>
      </c>
      <c r="V70" s="6">
        <v>4400</v>
      </c>
      <c r="W70" s="6">
        <v>4400</v>
      </c>
      <c r="X70" s="6">
        <v>4400</v>
      </c>
      <c r="Y70" s="6">
        <v>4400</v>
      </c>
      <c r="Z70" s="6">
        <v>4400</v>
      </c>
      <c r="AA70" s="6">
        <v>4400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f t="shared" ref="AM70:AM79" si="3">SUM(B70:AL70)</f>
        <v>75400</v>
      </c>
      <c r="AN70" s="6">
        <f>+AM70-'SANTA ELISA'!J70</f>
        <v>0</v>
      </c>
      <c r="AO70" s="6">
        <f t="shared" ref="AO70:AO79" si="4">SUM(B70:AI70)</f>
        <v>75400</v>
      </c>
      <c r="AP70" s="2">
        <f>VLOOKUP(A70,'SANTA ELISA'!$B$4:$BG$79,53,0)</f>
        <v>456537.04000000004</v>
      </c>
    </row>
    <row r="71" spans="1:42" x14ac:dyDescent="0.25">
      <c r="A71" s="5">
        <v>906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5000</v>
      </c>
      <c r="Q71" s="6">
        <v>8741</v>
      </c>
      <c r="R71" s="6">
        <v>8741</v>
      </c>
      <c r="S71" s="6">
        <v>8741</v>
      </c>
      <c r="T71" s="6">
        <v>8741</v>
      </c>
      <c r="U71" s="6">
        <v>8741</v>
      </c>
      <c r="V71" s="6">
        <v>8741</v>
      </c>
      <c r="W71" s="6">
        <v>8741</v>
      </c>
      <c r="X71" s="6">
        <v>8741</v>
      </c>
      <c r="Y71" s="6">
        <v>8741</v>
      </c>
      <c r="Z71" s="6">
        <v>8741</v>
      </c>
      <c r="AA71" s="6">
        <v>8750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>
        <f t="shared" si="3"/>
        <v>101160</v>
      </c>
      <c r="AN71" s="6">
        <f>+AM71-'SANTA ELISA'!J71</f>
        <v>0</v>
      </c>
      <c r="AO71" s="6">
        <f t="shared" si="4"/>
        <v>101160</v>
      </c>
      <c r="AP71" s="2">
        <f>VLOOKUP(A71,'SANTA ELISA'!$B$4:$BG$79,53,0)</f>
        <v>910400</v>
      </c>
    </row>
    <row r="72" spans="1:42" x14ac:dyDescent="0.25">
      <c r="A72" s="5">
        <v>907</v>
      </c>
      <c r="B72" s="6"/>
      <c r="C72" s="6"/>
      <c r="D72" s="6"/>
      <c r="E72" s="6"/>
      <c r="F72" s="6"/>
      <c r="G72" s="6">
        <v>678182.1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f t="shared" si="3"/>
        <v>678182.1</v>
      </c>
      <c r="AN72" s="6">
        <f>+AM72-'SANTA ELISA'!J72</f>
        <v>0</v>
      </c>
      <c r="AO72" s="6">
        <f t="shared" si="4"/>
        <v>678182.1</v>
      </c>
      <c r="AP72" s="2">
        <f>VLOOKUP(A72,'SANTA ELISA'!$B$4:$BG$79,53,0)</f>
        <v>0</v>
      </c>
    </row>
    <row r="73" spans="1:42" x14ac:dyDescent="0.25">
      <c r="A73" s="5">
        <v>908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>
        <f t="shared" si="3"/>
        <v>0</v>
      </c>
      <c r="AN73" s="6">
        <f>+AM73-'SANTA ELISA'!J73</f>
        <v>-49800</v>
      </c>
      <c r="AO73" s="6">
        <f t="shared" si="4"/>
        <v>0</v>
      </c>
      <c r="AP73" s="2">
        <f>VLOOKUP(A73,'SANTA ELISA'!$B$4:$BG$79,53,0)</f>
        <v>690000</v>
      </c>
    </row>
    <row r="74" spans="1:42" x14ac:dyDescent="0.25">
      <c r="A74" s="5">
        <v>1001</v>
      </c>
      <c r="B74" s="6">
        <v>5000</v>
      </c>
      <c r="C74" s="6">
        <v>1947.83</v>
      </c>
      <c r="D74" s="6">
        <v>1947.83</v>
      </c>
      <c r="E74" s="6">
        <v>1947.83</v>
      </c>
      <c r="F74" s="6">
        <v>1947.83</v>
      </c>
      <c r="G74" s="6">
        <v>1947.83</v>
      </c>
      <c r="H74" s="6">
        <v>1947.83</v>
      </c>
      <c r="I74" s="6">
        <v>1947.83</v>
      </c>
      <c r="J74" s="6">
        <v>1947.83</v>
      </c>
      <c r="K74" s="6">
        <v>1947.83</v>
      </c>
      <c r="L74" s="6">
        <v>1947.83</v>
      </c>
      <c r="M74" s="6">
        <v>1947.83</v>
      </c>
      <c r="N74" s="6">
        <v>1947.83</v>
      </c>
      <c r="O74" s="6">
        <v>1947.83</v>
      </c>
      <c r="P74" s="6">
        <v>1947.83</v>
      </c>
      <c r="Q74" s="6">
        <v>1947.83</v>
      </c>
      <c r="R74" s="6">
        <v>1947.83</v>
      </c>
      <c r="S74" s="6">
        <v>1947.83</v>
      </c>
      <c r="T74" s="6">
        <v>1947.83</v>
      </c>
      <c r="U74" s="6">
        <v>1947.83</v>
      </c>
      <c r="V74" s="6">
        <v>1947.83</v>
      </c>
      <c r="W74" s="6">
        <v>1947.83</v>
      </c>
      <c r="X74" s="6">
        <v>1947.83</v>
      </c>
      <c r="Y74" s="6">
        <v>1947.74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f t="shared" si="3"/>
        <v>49800.000000000022</v>
      </c>
      <c r="AN74" s="6">
        <f>+AM74-'SANTA ELISA'!J74</f>
        <v>0</v>
      </c>
      <c r="AO74" s="6">
        <f t="shared" si="4"/>
        <v>49800.000000000022</v>
      </c>
      <c r="AP74" s="2">
        <f>VLOOKUP(A74,'SANTA ELISA'!$B$4:$BG$79,53,0)</f>
        <v>448197.81</v>
      </c>
    </row>
    <row r="75" spans="1:42" x14ac:dyDescent="0.25">
      <c r="A75" s="5">
        <v>1002</v>
      </c>
      <c r="B75" s="6"/>
      <c r="C75" s="6"/>
      <c r="D75" s="6"/>
      <c r="E75" s="6"/>
      <c r="F75" s="6"/>
      <c r="G75" s="6"/>
      <c r="H75" s="6"/>
      <c r="I75" s="6"/>
      <c r="J75" s="6"/>
      <c r="K75" s="6">
        <v>5000</v>
      </c>
      <c r="L75" s="6">
        <v>4620</v>
      </c>
      <c r="M75" s="6">
        <v>4620</v>
      </c>
      <c r="N75" s="6">
        <v>4620</v>
      </c>
      <c r="O75" s="6">
        <v>4620</v>
      </c>
      <c r="P75" s="6">
        <v>4620</v>
      </c>
      <c r="Q75" s="6">
        <v>4620</v>
      </c>
      <c r="R75" s="6">
        <v>4620</v>
      </c>
      <c r="S75" s="6">
        <v>4620</v>
      </c>
      <c r="T75" s="6">
        <v>4620</v>
      </c>
      <c r="U75" s="6">
        <v>4620</v>
      </c>
      <c r="V75" s="6">
        <v>4620</v>
      </c>
      <c r="W75" s="6">
        <v>4620</v>
      </c>
      <c r="X75" s="6">
        <v>4620</v>
      </c>
      <c r="Y75" s="6">
        <v>4620</v>
      </c>
      <c r="Z75" s="6">
        <v>4620</v>
      </c>
      <c r="AA75" s="6">
        <v>4600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f t="shared" si="3"/>
        <v>78900</v>
      </c>
      <c r="AN75" s="6">
        <f>+AM75-'SANTA ELISA'!J75</f>
        <v>0</v>
      </c>
      <c r="AO75" s="6">
        <f t="shared" si="4"/>
        <v>78900</v>
      </c>
      <c r="AP75" s="2">
        <f>VLOOKUP(A75,'SANTA ELISA'!$B$4:$BG$79,53,0)</f>
        <v>473183.24</v>
      </c>
    </row>
    <row r="76" spans="1:42" x14ac:dyDescent="0.25">
      <c r="A76" s="5">
        <v>1003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>
        <v>5000</v>
      </c>
      <c r="AF76" s="6">
        <v>29000</v>
      </c>
      <c r="AG76" s="6">
        <v>29000</v>
      </c>
      <c r="AH76" s="6"/>
      <c r="AI76" s="6"/>
      <c r="AJ76" s="6"/>
      <c r="AK76" s="6"/>
      <c r="AL76" s="6"/>
      <c r="AM76" s="6">
        <f t="shared" si="3"/>
        <v>63000</v>
      </c>
      <c r="AN76" s="6">
        <f>+AM76-'SANTA ELISA'!J76</f>
        <v>0</v>
      </c>
      <c r="AO76" s="6">
        <f t="shared" si="4"/>
        <v>63000</v>
      </c>
      <c r="AP76" s="2">
        <f>VLOOKUP(A76,'SANTA ELISA'!$B$4:$BG$79,53,0)</f>
        <v>1097500</v>
      </c>
    </row>
    <row r="77" spans="1:42" x14ac:dyDescent="0.25">
      <c r="A77" s="5" t="s">
        <v>268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>
        <f t="shared" si="3"/>
        <v>0</v>
      </c>
      <c r="AN77" s="6">
        <f>+AM77-'SANTA ELISA'!J77</f>
        <v>-25506</v>
      </c>
      <c r="AO77" s="6">
        <f t="shared" si="4"/>
        <v>0</v>
      </c>
      <c r="AP77" s="2">
        <f>VLOOKUP(A77,'SANTA ELISA'!$B$4:$BG$79,53,0)</f>
        <v>252560</v>
      </c>
    </row>
    <row r="78" spans="1:42" x14ac:dyDescent="0.25">
      <c r="A78" s="5" t="s">
        <v>270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>
        <f t="shared" si="3"/>
        <v>0</v>
      </c>
      <c r="AN78" s="6">
        <f>+AM78-'SANTA ELISA'!J78</f>
        <v>-31896</v>
      </c>
      <c r="AO78" s="6">
        <f t="shared" si="4"/>
        <v>0</v>
      </c>
      <c r="AP78" s="2">
        <f>VLOOKUP(A78,'SANTA ELISA'!$B$4:$BG$79,53,0)</f>
        <v>316460</v>
      </c>
    </row>
    <row r="79" spans="1:42" x14ac:dyDescent="0.25">
      <c r="A79" s="5" t="s">
        <v>271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>
        <f t="shared" si="3"/>
        <v>0</v>
      </c>
      <c r="AN79" s="6">
        <f>+AM79-'SANTA ELISA'!J79</f>
        <v>-92000</v>
      </c>
      <c r="AO79" s="6">
        <f t="shared" si="4"/>
        <v>0</v>
      </c>
      <c r="AP79" s="2">
        <f>VLOOKUP(A79,'SANTA ELISA'!$B$4:$BG$79,53,0)</f>
        <v>460000</v>
      </c>
    </row>
    <row r="80" spans="1:42" x14ac:dyDescent="0.25">
      <c r="B80" s="6">
        <f>SUM(B5:B79)</f>
        <v>20000</v>
      </c>
      <c r="C80" s="6">
        <f t="shared" ref="C80:AL80" si="5">SUM(C5:C79)</f>
        <v>16330.44</v>
      </c>
      <c r="D80" s="6">
        <f t="shared" si="5"/>
        <v>36840.770000000004</v>
      </c>
      <c r="E80" s="6">
        <f t="shared" si="5"/>
        <v>40850.770000000004</v>
      </c>
      <c r="F80" s="6">
        <f t="shared" si="5"/>
        <v>602469.95999999985</v>
      </c>
      <c r="G80" s="6">
        <f t="shared" si="5"/>
        <v>738773.05999999994</v>
      </c>
      <c r="H80" s="6">
        <f t="shared" si="5"/>
        <v>53790.960000000006</v>
      </c>
      <c r="I80" s="6">
        <f t="shared" si="5"/>
        <v>83790.960000000006</v>
      </c>
      <c r="J80" s="6">
        <f t="shared" si="5"/>
        <v>157910.95999999993</v>
      </c>
      <c r="K80" s="6">
        <f t="shared" si="5"/>
        <v>106910.96</v>
      </c>
      <c r="L80" s="6">
        <f t="shared" si="5"/>
        <v>102830.96</v>
      </c>
      <c r="M80" s="6">
        <f t="shared" si="5"/>
        <v>104195.96</v>
      </c>
      <c r="N80" s="6">
        <f t="shared" si="5"/>
        <v>102195.96</v>
      </c>
      <c r="O80" s="6">
        <f t="shared" si="5"/>
        <v>112195.96</v>
      </c>
      <c r="P80" s="6">
        <f t="shared" si="5"/>
        <v>125833.59000000001</v>
      </c>
      <c r="Q80" s="6">
        <f t="shared" si="5"/>
        <v>129184.59000000001</v>
      </c>
      <c r="R80" s="6">
        <f t="shared" si="5"/>
        <v>132684.59000000003</v>
      </c>
      <c r="S80" s="6">
        <f t="shared" si="5"/>
        <v>135684.59000000003</v>
      </c>
      <c r="T80" s="6">
        <f t="shared" si="5"/>
        <v>140725.59</v>
      </c>
      <c r="U80" s="6">
        <f t="shared" si="5"/>
        <v>139961.59</v>
      </c>
      <c r="V80" s="6">
        <f t="shared" si="5"/>
        <v>156461.58999999997</v>
      </c>
      <c r="W80" s="6">
        <f t="shared" si="5"/>
        <v>160321.58999999997</v>
      </c>
      <c r="X80" s="6">
        <f t="shared" si="5"/>
        <v>273696.58999999997</v>
      </c>
      <c r="Y80" s="6">
        <f t="shared" si="5"/>
        <v>1171912.3</v>
      </c>
      <c r="Z80" s="6">
        <f t="shared" si="5"/>
        <v>614066.05999999994</v>
      </c>
      <c r="AA80" s="6">
        <f t="shared" si="5"/>
        <v>1376848.3599999999</v>
      </c>
      <c r="AB80" s="6">
        <f t="shared" si="5"/>
        <v>176931.22</v>
      </c>
      <c r="AC80" s="6">
        <f t="shared" si="5"/>
        <v>182506</v>
      </c>
      <c r="AD80" s="6">
        <f t="shared" si="5"/>
        <v>251394.4</v>
      </c>
      <c r="AE80" s="6">
        <f t="shared" si="5"/>
        <v>1212497</v>
      </c>
      <c r="AF80" s="6">
        <f t="shared" si="5"/>
        <v>192591.55</v>
      </c>
      <c r="AG80" s="6">
        <f t="shared" si="5"/>
        <v>271458.55</v>
      </c>
      <c r="AH80" s="6">
        <f t="shared" si="5"/>
        <v>328400</v>
      </c>
      <c r="AI80" s="6">
        <f t="shared" si="5"/>
        <v>645000</v>
      </c>
      <c r="AJ80" s="6">
        <f t="shared" si="5"/>
        <v>0</v>
      </c>
      <c r="AK80" s="6">
        <f t="shared" si="5"/>
        <v>0</v>
      </c>
      <c r="AL80" s="6">
        <f t="shared" si="5"/>
        <v>0</v>
      </c>
      <c r="AM80" s="6">
        <f>SUM(AM5:AM79)</f>
        <v>10097247.43</v>
      </c>
      <c r="AN80" s="6">
        <f>SUM(AN5:AN79)</f>
        <v>-346444</v>
      </c>
      <c r="AO80" s="6"/>
    </row>
    <row r="81" spans="2:41" x14ac:dyDescent="0.25">
      <c r="B81" s="6">
        <f>+B80</f>
        <v>20000</v>
      </c>
      <c r="C81" s="6">
        <f>+C80+B81</f>
        <v>36330.44</v>
      </c>
      <c r="D81" s="6">
        <f t="shared" ref="D81:AL81" si="6">+D80+C81</f>
        <v>73171.210000000006</v>
      </c>
      <c r="E81" s="6">
        <f t="shared" si="6"/>
        <v>114021.98000000001</v>
      </c>
      <c r="F81" s="6">
        <f t="shared" si="6"/>
        <v>716491.93999999983</v>
      </c>
      <c r="G81" s="6">
        <f t="shared" si="6"/>
        <v>1455264.9999999998</v>
      </c>
      <c r="H81" s="6">
        <f t="shared" si="6"/>
        <v>1509055.9599999997</v>
      </c>
      <c r="I81" s="6">
        <f t="shared" si="6"/>
        <v>1592846.9199999997</v>
      </c>
      <c r="J81" s="6">
        <f t="shared" si="6"/>
        <v>1750757.8799999997</v>
      </c>
      <c r="K81" s="6">
        <f t="shared" si="6"/>
        <v>1857668.8399999996</v>
      </c>
      <c r="L81" s="6">
        <f t="shared" si="6"/>
        <v>1960499.7999999996</v>
      </c>
      <c r="M81" s="6">
        <f t="shared" si="6"/>
        <v>2064695.7599999995</v>
      </c>
      <c r="N81" s="6">
        <f t="shared" si="6"/>
        <v>2166891.7199999997</v>
      </c>
      <c r="O81" s="6">
        <f t="shared" si="6"/>
        <v>2279087.6799999997</v>
      </c>
      <c r="P81" s="6">
        <f t="shared" si="6"/>
        <v>2404921.2699999996</v>
      </c>
      <c r="Q81" s="6">
        <f t="shared" si="6"/>
        <v>2534105.8599999994</v>
      </c>
      <c r="R81" s="6">
        <f t="shared" si="6"/>
        <v>2666790.4499999993</v>
      </c>
      <c r="S81" s="6">
        <f t="shared" si="6"/>
        <v>2802475.0399999991</v>
      </c>
      <c r="T81" s="6">
        <f t="shared" si="6"/>
        <v>2943200.629999999</v>
      </c>
      <c r="U81" s="6">
        <f t="shared" si="6"/>
        <v>3083162.2199999988</v>
      </c>
      <c r="V81" s="6">
        <f t="shared" si="6"/>
        <v>3239623.8099999987</v>
      </c>
      <c r="W81" s="6">
        <f t="shared" si="6"/>
        <v>3399945.3999999985</v>
      </c>
      <c r="X81" s="6">
        <f t="shared" si="6"/>
        <v>3673641.9899999984</v>
      </c>
      <c r="Y81" s="6">
        <f t="shared" si="6"/>
        <v>4845554.2899999982</v>
      </c>
      <c r="Z81" s="6">
        <f t="shared" si="6"/>
        <v>5459620.3499999978</v>
      </c>
      <c r="AA81" s="6">
        <f t="shared" si="6"/>
        <v>6836468.7099999972</v>
      </c>
      <c r="AB81" s="6">
        <f t="shared" si="6"/>
        <v>7013399.9299999969</v>
      </c>
      <c r="AC81" s="6">
        <f t="shared" si="6"/>
        <v>7195905.9299999969</v>
      </c>
      <c r="AD81" s="6">
        <f t="shared" si="6"/>
        <v>7447300.3299999973</v>
      </c>
      <c r="AE81" s="6">
        <f t="shared" si="6"/>
        <v>8659797.3299999982</v>
      </c>
      <c r="AF81" s="6">
        <f t="shared" si="6"/>
        <v>8852388.879999999</v>
      </c>
      <c r="AG81" s="6">
        <f t="shared" si="6"/>
        <v>9123847.4299999997</v>
      </c>
      <c r="AH81" s="6">
        <f t="shared" si="6"/>
        <v>9452247.4299999997</v>
      </c>
      <c r="AI81" s="6">
        <f>+AI80+AH81</f>
        <v>10097247.43</v>
      </c>
      <c r="AJ81" s="6">
        <f t="shared" si="6"/>
        <v>10097247.43</v>
      </c>
      <c r="AK81" s="6">
        <f t="shared" si="6"/>
        <v>10097247.43</v>
      </c>
      <c r="AL81" s="6">
        <f t="shared" si="6"/>
        <v>10097247.43</v>
      </c>
      <c r="AM81" s="6"/>
      <c r="AN81" s="6"/>
      <c r="AO81" s="6"/>
    </row>
    <row r="82" spans="2:41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2:41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2:41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2:41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2:41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2:41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2:41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2:41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2:41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2:41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2:41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2:41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2:41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2:41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2:41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2:41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2:41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2:41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2:41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2:41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2:41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2:41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2:41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2:41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2:41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2:41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2:41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2:41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2:41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2:41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2:41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2:41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2:41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2:41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2:41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2:41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2:41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2:41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</sheetData>
  <autoFilter ref="A4:AP81" xr:uid="{F771BCF4-4D22-418B-BB7B-6F4855011BB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5714-FDAA-4CA4-80C1-F7E98051C10D}">
  <dimension ref="A1:M3"/>
  <sheetViews>
    <sheetView showGridLines="0" workbookViewId="0">
      <selection activeCell="J2" sqref="J2"/>
    </sheetView>
  </sheetViews>
  <sheetFormatPr defaultColWidth="11.5703125" defaultRowHeight="12" x14ac:dyDescent="0.2"/>
  <cols>
    <col min="1" max="1" width="6.7109375" style="646" customWidth="1"/>
    <col min="2" max="2" width="26.28515625" style="646" customWidth="1"/>
    <col min="3" max="3" width="30.42578125" style="646" customWidth="1"/>
    <col min="4" max="9" width="12.7109375" style="646" customWidth="1"/>
    <col min="10" max="10" width="8.85546875" style="646" bestFit="1" customWidth="1"/>
    <col min="11" max="13" width="12.7109375" style="646" customWidth="1"/>
    <col min="14" max="16384" width="11.5703125" style="646"/>
  </cols>
  <sheetData>
    <row r="1" spans="1:13" ht="48" x14ac:dyDescent="0.2">
      <c r="A1" s="629" t="s">
        <v>131</v>
      </c>
      <c r="B1" s="629" t="s">
        <v>331</v>
      </c>
      <c r="C1" s="629" t="s">
        <v>66</v>
      </c>
      <c r="D1" s="629" t="s">
        <v>133</v>
      </c>
      <c r="E1" s="629" t="s">
        <v>68</v>
      </c>
      <c r="F1" s="629" t="s">
        <v>69</v>
      </c>
      <c r="G1" s="629" t="s">
        <v>70</v>
      </c>
      <c r="H1" s="629" t="s">
        <v>332</v>
      </c>
      <c r="I1" s="629" t="s">
        <v>103</v>
      </c>
      <c r="J1" s="629" t="s">
        <v>333</v>
      </c>
      <c r="K1" s="629" t="s">
        <v>334</v>
      </c>
      <c r="L1" s="629" t="s">
        <v>335</v>
      </c>
      <c r="M1" s="629" t="s">
        <v>107</v>
      </c>
    </row>
    <row r="2" spans="1:13" x14ac:dyDescent="0.2">
      <c r="A2" s="564">
        <v>608</v>
      </c>
      <c r="B2" s="647" t="s">
        <v>336</v>
      </c>
      <c r="C2" s="581" t="s">
        <v>337</v>
      </c>
      <c r="D2" s="566">
        <v>45324</v>
      </c>
      <c r="E2" s="564" t="s">
        <v>128</v>
      </c>
      <c r="F2" s="648">
        <v>1183693</v>
      </c>
      <c r="G2" s="648">
        <v>118393</v>
      </c>
      <c r="H2" s="649">
        <v>85000</v>
      </c>
      <c r="I2" s="650">
        <v>-33393</v>
      </c>
      <c r="J2" s="651">
        <v>-0.28205214835336551</v>
      </c>
      <c r="K2" s="652">
        <v>1098693</v>
      </c>
      <c r="L2" s="653">
        <v>0.92819084002355345</v>
      </c>
      <c r="M2" s="652">
        <v>118393</v>
      </c>
    </row>
    <row r="3" spans="1:13" x14ac:dyDescent="0.2">
      <c r="A3" s="564">
        <v>708</v>
      </c>
      <c r="B3" s="647" t="s">
        <v>336</v>
      </c>
      <c r="C3" s="581" t="s">
        <v>338</v>
      </c>
      <c r="D3" s="566">
        <v>45321</v>
      </c>
      <c r="E3" s="564" t="s">
        <v>128</v>
      </c>
      <c r="F3" s="648">
        <v>1183693</v>
      </c>
      <c r="G3" s="648">
        <v>118393</v>
      </c>
      <c r="H3" s="649">
        <v>84600</v>
      </c>
      <c r="I3" s="650">
        <v>-33793</v>
      </c>
      <c r="J3" s="651">
        <v>-0.28543072647876139</v>
      </c>
      <c r="K3" s="652">
        <v>1099093</v>
      </c>
      <c r="L3" s="653">
        <v>0.92852876548226615</v>
      </c>
      <c r="M3" s="652">
        <v>118393</v>
      </c>
    </row>
  </sheetData>
  <conditionalFormatting sqref="J2:J3">
    <cfRule type="expression" dxfId="101" priority="1">
      <formula>J2&lt;0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F94B-45BD-43CE-8E9C-F45AB01E0CF8}">
  <sheetPr>
    <tabColor rgb="FF92D050"/>
  </sheetPr>
  <dimension ref="A1:CF374"/>
  <sheetViews>
    <sheetView showGridLines="0" tabSelected="1" topLeftCell="B1" zoomScaleNormal="100" workbookViewId="0">
      <pane ySplit="6" topLeftCell="A289" activePane="bottomLeft" state="frozen"/>
      <selection activeCell="A7" sqref="A7"/>
      <selection pane="bottomLeft" activeCell="F2" sqref="F2"/>
    </sheetView>
  </sheetViews>
  <sheetFormatPr defaultColWidth="11" defaultRowHeight="15" customHeight="1" outlineLevelCol="1" x14ac:dyDescent="0.25"/>
  <cols>
    <col min="1" max="1" width="0.85546875" style="316" hidden="1" customWidth="1" outlineLevel="1"/>
    <col min="2" max="2" width="7.7109375" style="318" customWidth="1" collapsed="1"/>
    <col min="3" max="4" width="11.7109375" style="315" customWidth="1" outlineLevel="1"/>
    <col min="5" max="5" width="13.7109375" style="315" customWidth="1" outlineLevel="1"/>
    <col min="6" max="6" width="45.7109375" style="315" customWidth="1"/>
    <col min="7" max="7" width="14.7109375" style="318" customWidth="1"/>
    <col min="8" max="8" width="14.7109375" style="318" customWidth="1" outlineLevel="1"/>
    <col min="9" max="9" width="15.7109375" style="316" customWidth="1" outlineLevel="1"/>
    <col min="10" max="10" width="12.7109375" style="316" bestFit="1" customWidth="1"/>
    <col min="11" max="11" width="9.42578125" style="316" bestFit="1" customWidth="1" outlineLevel="1"/>
    <col min="12" max="15" width="9.42578125" style="315" bestFit="1" customWidth="1" outlineLevel="1"/>
    <col min="16" max="17" width="10.28515625" style="315" bestFit="1" customWidth="1" outlineLevel="1"/>
    <col min="18" max="19" width="9.42578125" style="315" bestFit="1" customWidth="1" outlineLevel="1"/>
    <col min="20" max="20" width="9.42578125" style="315" bestFit="1" customWidth="1"/>
    <col min="21" max="29" width="13.7109375" style="315" customWidth="1" outlineLevel="1"/>
    <col min="30" max="30" width="13.7109375" style="315" customWidth="1" outlineLevel="1" collapsed="1"/>
    <col min="31" max="31" width="13.7109375" style="315" customWidth="1" outlineLevel="1"/>
    <col min="32" max="32" width="13.7109375" style="315" customWidth="1"/>
    <col min="33" max="37" width="13.7109375" style="315" customWidth="1" outlineLevel="1"/>
    <col min="38" max="38" width="13.7109375" style="315" customWidth="1"/>
    <col min="39" max="43" width="13.7109375" style="315" customWidth="1" outlineLevel="1"/>
    <col min="44" max="45" width="13.7109375" style="315" customWidth="1"/>
    <col min="46" max="46" width="15.7109375" style="315" customWidth="1"/>
    <col min="47" max="47" width="9.7109375" style="315" customWidth="1" outlineLevel="1"/>
    <col min="48" max="48" width="15.7109375" style="315" customWidth="1" outlineLevel="1"/>
    <col min="49" max="49" width="11.7109375" style="318" customWidth="1" outlineLevel="1"/>
    <col min="50" max="50" width="15.7109375" style="315" customWidth="1" outlineLevel="1"/>
    <col min="51" max="51" width="11.7109375" style="315" customWidth="1" outlineLevel="1"/>
    <col min="52" max="52" width="15.7109375" style="315" customWidth="1" outlineLevel="1" collapsed="1"/>
    <col min="53" max="53" width="13.7109375" style="315" customWidth="1" outlineLevel="1"/>
    <col min="54" max="54" width="19.85546875" style="315" customWidth="1"/>
    <col min="55" max="56" width="8.7109375" style="318" hidden="1" customWidth="1" outlineLevel="1"/>
    <col min="57" max="57" width="13.7109375" style="318" hidden="1" customWidth="1" outlineLevel="1"/>
    <col min="58" max="59" width="13.7109375" style="315" hidden="1" customWidth="1" outlineLevel="1"/>
    <col min="60" max="60" width="8.7109375" style="320" hidden="1" customWidth="1" outlineLevel="1"/>
    <col min="61" max="61" width="18" style="320" hidden="1" customWidth="1" outlineLevel="1"/>
    <col min="62" max="62" width="15" style="320" hidden="1" customWidth="1" outlineLevel="1"/>
    <col min="63" max="64" width="15.7109375" style="320" hidden="1" customWidth="1" outlineLevel="1"/>
    <col min="65" max="67" width="14.7109375" style="320" hidden="1" customWidth="1" outlineLevel="1"/>
    <col min="68" max="68" width="14.7109375" style="315" hidden="1" customWidth="1" outlineLevel="1"/>
    <col min="69" max="69" width="14.7109375" style="318" hidden="1" customWidth="1" outlineLevel="1"/>
    <col min="70" max="70" width="55.85546875" style="315" customWidth="1" collapsed="1"/>
    <col min="71" max="74" width="11" style="315" customWidth="1"/>
    <col min="75" max="76" width="11" style="315"/>
    <col min="77" max="80" width="11.7109375" style="422" customWidth="1"/>
    <col min="81" max="81" width="12.7109375" style="422" customWidth="1"/>
    <col min="82" max="84" width="12.7109375" style="315" customWidth="1"/>
    <col min="85" max="16384" width="11" style="315"/>
  </cols>
  <sheetData>
    <row r="1" spans="1:84" ht="15" customHeight="1" x14ac:dyDescent="0.25">
      <c r="AT1" s="452" t="s">
        <v>339</v>
      </c>
      <c r="AU1" s="660"/>
      <c r="AV1" s="660"/>
      <c r="AW1" s="661"/>
      <c r="AX1" s="660"/>
      <c r="AY1" s="660"/>
      <c r="AZ1" s="660"/>
      <c r="BA1" s="660"/>
      <c r="BB1" s="660" t="s">
        <v>340</v>
      </c>
    </row>
    <row r="2" spans="1:84" ht="22.5" customHeight="1" x14ac:dyDescent="0.25">
      <c r="B2" s="314" t="s">
        <v>341</v>
      </c>
      <c r="E2" s="314"/>
      <c r="AL2" s="317"/>
      <c r="AM2" s="317"/>
      <c r="AN2" s="317"/>
      <c r="AO2" s="317"/>
      <c r="AP2" s="317"/>
      <c r="AQ2" s="317"/>
      <c r="AR2" s="317"/>
      <c r="AS2" s="317"/>
      <c r="AT2" s="452"/>
      <c r="AU2" s="662"/>
      <c r="AV2" s="660"/>
      <c r="AW2" s="661"/>
      <c r="AX2" s="660"/>
      <c r="AY2" s="660"/>
      <c r="AZ2" s="660"/>
      <c r="BA2" s="660"/>
      <c r="BB2" s="660"/>
    </row>
    <row r="3" spans="1:84" ht="16.5" customHeight="1" x14ac:dyDescent="0.25">
      <c r="A3" s="421"/>
      <c r="B3" s="426" t="s">
        <v>342</v>
      </c>
      <c r="D3" s="671">
        <v>46048</v>
      </c>
      <c r="AT3" s="903">
        <v>61140</v>
      </c>
      <c r="AU3" s="662"/>
      <c r="AV3" s="660"/>
      <c r="AW3" s="661"/>
      <c r="AX3" s="660"/>
      <c r="AY3" s="660"/>
      <c r="AZ3" s="660"/>
      <c r="BA3" s="660"/>
      <c r="BB3" s="660"/>
    </row>
    <row r="4" spans="1:84" ht="15" customHeight="1" x14ac:dyDescent="0.25">
      <c r="A4" s="423"/>
      <c r="B4" s="427" t="e">
        <f>"REPORTE DE RESERVAS Y COBROS AL "&amp;UPPER(TEXT(_xlfn.XLOOKUP(D3,J6:AS6,J6:AS6),"dd mmmm yyyy"))</f>
        <v>#N/A</v>
      </c>
      <c r="AT4" s="904">
        <f>+AT3-AT7</f>
        <v>-1670</v>
      </c>
      <c r="AU4" s="662"/>
      <c r="AV4" s="662"/>
      <c r="AW4" s="661"/>
      <c r="AX4" s="660"/>
      <c r="AY4" s="660"/>
      <c r="AZ4" s="660"/>
      <c r="BA4" s="660"/>
      <c r="BB4" s="660"/>
    </row>
    <row r="5" spans="1:84" ht="12.75" customHeight="1" x14ac:dyDescent="0.25">
      <c r="A5" s="423"/>
      <c r="B5" s="664">
        <v>1</v>
      </c>
      <c r="C5" s="664">
        <f>B5+1</f>
        <v>2</v>
      </c>
      <c r="D5" s="664">
        <f t="shared" ref="D5:AQ5" si="0">C5+1</f>
        <v>3</v>
      </c>
      <c r="E5" s="664">
        <f t="shared" si="0"/>
        <v>4</v>
      </c>
      <c r="F5" s="664">
        <f t="shared" si="0"/>
        <v>5</v>
      </c>
      <c r="G5" s="664">
        <f t="shared" si="0"/>
        <v>6</v>
      </c>
      <c r="H5" s="664">
        <f t="shared" si="0"/>
        <v>7</v>
      </c>
      <c r="I5" s="664">
        <f t="shared" si="0"/>
        <v>8</v>
      </c>
      <c r="J5" s="664">
        <f t="shared" si="0"/>
        <v>9</v>
      </c>
      <c r="K5" s="664">
        <f t="shared" si="0"/>
        <v>10</v>
      </c>
      <c r="L5" s="664">
        <f t="shared" si="0"/>
        <v>11</v>
      </c>
      <c r="M5" s="664">
        <f t="shared" si="0"/>
        <v>12</v>
      </c>
      <c r="N5" s="664">
        <f t="shared" si="0"/>
        <v>13</v>
      </c>
      <c r="O5" s="664">
        <f t="shared" si="0"/>
        <v>14</v>
      </c>
      <c r="P5" s="664">
        <f t="shared" si="0"/>
        <v>15</v>
      </c>
      <c r="Q5" s="664">
        <f t="shared" si="0"/>
        <v>16</v>
      </c>
      <c r="R5" s="664">
        <f t="shared" si="0"/>
        <v>17</v>
      </c>
      <c r="S5" s="664">
        <f t="shared" si="0"/>
        <v>18</v>
      </c>
      <c r="T5" s="664">
        <f t="shared" si="0"/>
        <v>19</v>
      </c>
      <c r="U5" s="664">
        <f t="shared" si="0"/>
        <v>20</v>
      </c>
      <c r="V5" s="664">
        <f t="shared" si="0"/>
        <v>21</v>
      </c>
      <c r="W5" s="664">
        <f t="shared" si="0"/>
        <v>22</v>
      </c>
      <c r="X5" s="664">
        <f t="shared" si="0"/>
        <v>23</v>
      </c>
      <c r="Y5" s="664">
        <f t="shared" si="0"/>
        <v>24</v>
      </c>
      <c r="Z5" s="664">
        <f t="shared" si="0"/>
        <v>25</v>
      </c>
      <c r="AA5" s="664">
        <f t="shared" si="0"/>
        <v>26</v>
      </c>
      <c r="AB5" s="664">
        <f t="shared" si="0"/>
        <v>27</v>
      </c>
      <c r="AC5" s="664">
        <f t="shared" si="0"/>
        <v>28</v>
      </c>
      <c r="AD5" s="664">
        <f t="shared" si="0"/>
        <v>29</v>
      </c>
      <c r="AE5" s="664">
        <f t="shared" si="0"/>
        <v>30</v>
      </c>
      <c r="AF5" s="664">
        <f t="shared" si="0"/>
        <v>31</v>
      </c>
      <c r="AG5" s="664">
        <f t="shared" si="0"/>
        <v>32</v>
      </c>
      <c r="AH5" s="664">
        <f t="shared" si="0"/>
        <v>33</v>
      </c>
      <c r="AI5" s="664">
        <f t="shared" si="0"/>
        <v>34</v>
      </c>
      <c r="AJ5" s="664">
        <f t="shared" si="0"/>
        <v>35</v>
      </c>
      <c r="AK5" s="664">
        <f t="shared" si="0"/>
        <v>36</v>
      </c>
      <c r="AL5" s="664">
        <f t="shared" si="0"/>
        <v>37</v>
      </c>
      <c r="AM5" s="664">
        <f t="shared" si="0"/>
        <v>38</v>
      </c>
      <c r="AN5" s="664">
        <f t="shared" si="0"/>
        <v>39</v>
      </c>
      <c r="AO5" s="664">
        <f t="shared" si="0"/>
        <v>40</v>
      </c>
      <c r="AP5" s="664">
        <f t="shared" si="0"/>
        <v>41</v>
      </c>
      <c r="AQ5" s="664">
        <f t="shared" si="0"/>
        <v>42</v>
      </c>
      <c r="AR5" s="664">
        <f t="shared" ref="AR5" si="1">AQ5+1</f>
        <v>43</v>
      </c>
      <c r="AS5" s="664">
        <f t="shared" ref="AS5" si="2">AR5+1</f>
        <v>44</v>
      </c>
      <c r="AT5" s="660"/>
      <c r="AU5" s="660" t="s">
        <v>7</v>
      </c>
      <c r="AV5" s="660"/>
      <c r="AW5" s="661"/>
      <c r="AX5" s="660"/>
      <c r="AY5" s="660"/>
      <c r="AZ5" s="660"/>
      <c r="BA5" s="660"/>
      <c r="BB5" s="660"/>
      <c r="BF5" s="680" t="s">
        <v>343</v>
      </c>
      <c r="BG5" s="680" t="s">
        <v>343</v>
      </c>
      <c r="BH5" s="680" t="s">
        <v>343</v>
      </c>
      <c r="BI5" s="680" t="s">
        <v>343</v>
      </c>
      <c r="BY5" s="907" t="s">
        <v>344</v>
      </c>
      <c r="BZ5" s="907"/>
      <c r="CA5" s="907"/>
      <c r="CB5" s="907"/>
      <c r="CC5" s="907"/>
      <c r="CD5" s="907"/>
      <c r="CE5" s="907"/>
      <c r="CF5" s="907"/>
    </row>
    <row r="6" spans="1:84" ht="45" customHeight="1" x14ac:dyDescent="0.25">
      <c r="B6" s="425" t="s">
        <v>131</v>
      </c>
      <c r="C6" s="425" t="s">
        <v>132</v>
      </c>
      <c r="D6" s="425" t="s">
        <v>331</v>
      </c>
      <c r="E6" s="425" t="s">
        <v>65</v>
      </c>
      <c r="F6" s="425" t="s">
        <v>66</v>
      </c>
      <c r="G6" s="425" t="s">
        <v>133</v>
      </c>
      <c r="H6" s="425" t="s">
        <v>68</v>
      </c>
      <c r="I6" s="425" t="s">
        <v>69</v>
      </c>
      <c r="J6" s="425" t="s">
        <v>70</v>
      </c>
      <c r="K6" s="501">
        <v>45016</v>
      </c>
      <c r="L6" s="501">
        <v>45046</v>
      </c>
      <c r="M6" s="501">
        <v>45077</v>
      </c>
      <c r="N6" s="501">
        <v>45107</v>
      </c>
      <c r="O6" s="501">
        <v>45138</v>
      </c>
      <c r="P6" s="501">
        <v>45169</v>
      </c>
      <c r="Q6" s="501">
        <v>45199</v>
      </c>
      <c r="R6" s="501">
        <v>45230</v>
      </c>
      <c r="S6" s="501">
        <v>45260</v>
      </c>
      <c r="T6" s="501">
        <v>45291</v>
      </c>
      <c r="U6" s="501">
        <v>45322</v>
      </c>
      <c r="V6" s="501">
        <v>45351</v>
      </c>
      <c r="W6" s="501">
        <v>45382</v>
      </c>
      <c r="X6" s="501">
        <v>45412</v>
      </c>
      <c r="Y6" s="501">
        <v>45443</v>
      </c>
      <c r="Z6" s="501">
        <v>45473</v>
      </c>
      <c r="AA6" s="501">
        <v>45504</v>
      </c>
      <c r="AB6" s="501">
        <v>45535</v>
      </c>
      <c r="AC6" s="501">
        <v>45565</v>
      </c>
      <c r="AD6" s="501">
        <v>45596</v>
      </c>
      <c r="AE6" s="501">
        <v>45626</v>
      </c>
      <c r="AF6" s="501">
        <v>45657</v>
      </c>
      <c r="AG6" s="501">
        <v>45688</v>
      </c>
      <c r="AH6" s="501">
        <v>45716</v>
      </c>
      <c r="AI6" s="501">
        <v>45747</v>
      </c>
      <c r="AJ6" s="501">
        <v>45777</v>
      </c>
      <c r="AK6" s="501">
        <v>45808</v>
      </c>
      <c r="AL6" s="501">
        <v>45838</v>
      </c>
      <c r="AM6" s="501">
        <v>45869</v>
      </c>
      <c r="AN6" s="501">
        <v>45900</v>
      </c>
      <c r="AO6" s="501">
        <v>45930</v>
      </c>
      <c r="AP6" s="501">
        <v>45961</v>
      </c>
      <c r="AQ6" s="501">
        <v>45991</v>
      </c>
      <c r="AR6" s="501">
        <v>46022</v>
      </c>
      <c r="AS6" s="501">
        <v>46053</v>
      </c>
      <c r="AT6" s="502" t="s">
        <v>332</v>
      </c>
      <c r="AU6" s="502" t="s">
        <v>345</v>
      </c>
      <c r="AV6" s="502" t="s">
        <v>103</v>
      </c>
      <c r="AW6" s="502" t="s">
        <v>346</v>
      </c>
      <c r="AX6" s="502" t="s">
        <v>334</v>
      </c>
      <c r="AY6" s="502" t="s">
        <v>335</v>
      </c>
      <c r="AZ6" s="502" t="s">
        <v>107</v>
      </c>
      <c r="BA6" s="502" t="s">
        <v>108</v>
      </c>
      <c r="BB6" s="501" t="s">
        <v>109</v>
      </c>
      <c r="BC6" s="502" t="s">
        <v>110</v>
      </c>
      <c r="BD6" s="502" t="s">
        <v>111</v>
      </c>
      <c r="BE6" s="502" t="s">
        <v>112</v>
      </c>
      <c r="BF6" s="502" t="s">
        <v>113</v>
      </c>
      <c r="BG6" s="502" t="s">
        <v>114</v>
      </c>
      <c r="BH6" s="503" t="s">
        <v>115</v>
      </c>
      <c r="BI6" s="503" t="s">
        <v>116</v>
      </c>
      <c r="BJ6" s="503" t="s">
        <v>117</v>
      </c>
      <c r="BK6" s="503" t="s">
        <v>118</v>
      </c>
      <c r="BL6" s="503" t="s">
        <v>119</v>
      </c>
      <c r="BM6" s="503" t="s">
        <v>48</v>
      </c>
      <c r="BN6" s="503" t="s">
        <v>120</v>
      </c>
      <c r="BO6" s="504" t="s">
        <v>121</v>
      </c>
      <c r="BP6" s="503" t="s">
        <v>122</v>
      </c>
      <c r="BQ6" s="503" t="s">
        <v>123</v>
      </c>
      <c r="BR6" s="503" t="s">
        <v>124</v>
      </c>
      <c r="BY6" s="859" t="s">
        <v>347</v>
      </c>
      <c r="BZ6" s="859" t="s">
        <v>348</v>
      </c>
      <c r="CA6" s="859" t="s">
        <v>349</v>
      </c>
      <c r="CB6" s="859" t="s">
        <v>350</v>
      </c>
      <c r="CC6" s="861" t="s">
        <v>351</v>
      </c>
      <c r="CD6" s="861" t="s">
        <v>352</v>
      </c>
      <c r="CE6" s="860" t="s">
        <v>353</v>
      </c>
      <c r="CF6" s="859" t="s">
        <v>354</v>
      </c>
    </row>
    <row r="7" spans="1:84" s="429" customFormat="1" ht="13.9" customHeight="1" x14ac:dyDescent="0.25">
      <c r="A7" s="472"/>
      <c r="B7" s="436">
        <v>101</v>
      </c>
      <c r="C7" s="436" t="s">
        <v>355</v>
      </c>
      <c r="D7" s="436"/>
      <c r="E7" s="436" t="s">
        <v>356</v>
      </c>
      <c r="F7" s="429" t="s">
        <v>357</v>
      </c>
      <c r="G7" s="473">
        <v>45012</v>
      </c>
      <c r="H7" s="436" t="s">
        <v>128</v>
      </c>
      <c r="I7" s="472">
        <v>644800</v>
      </c>
      <c r="J7" s="472">
        <v>64500</v>
      </c>
      <c r="K7" s="507">
        <v>6000</v>
      </c>
      <c r="L7" s="507">
        <v>1670</v>
      </c>
      <c r="M7" s="507">
        <v>1670</v>
      </c>
      <c r="N7" s="507">
        <v>1670</v>
      </c>
      <c r="O7" s="507">
        <v>1700</v>
      </c>
      <c r="P7" s="507">
        <v>1670</v>
      </c>
      <c r="Q7" s="507">
        <v>1670</v>
      </c>
      <c r="R7" s="507">
        <v>1670</v>
      </c>
      <c r="S7" s="507">
        <v>1670</v>
      </c>
      <c r="T7" s="507">
        <v>1670</v>
      </c>
      <c r="U7" s="507">
        <v>1670</v>
      </c>
      <c r="V7" s="507">
        <v>1670</v>
      </c>
      <c r="W7" s="507">
        <v>1670</v>
      </c>
      <c r="X7" s="507">
        <v>1670</v>
      </c>
      <c r="Y7" s="507">
        <v>1670</v>
      </c>
      <c r="Z7" s="507">
        <v>1670</v>
      </c>
      <c r="AA7" s="507">
        <v>1670</v>
      </c>
      <c r="AB7" s="507">
        <v>1670</v>
      </c>
      <c r="AC7" s="507">
        <v>1670</v>
      </c>
      <c r="AD7" s="507">
        <v>1670</v>
      </c>
      <c r="AE7" s="507">
        <v>1670</v>
      </c>
      <c r="AF7" s="507">
        <v>1670</v>
      </c>
      <c r="AG7" s="507">
        <v>1670</v>
      </c>
      <c r="AH7" s="507">
        <v>1670</v>
      </c>
      <c r="AI7" s="507">
        <v>1670</v>
      </c>
      <c r="AJ7" s="507">
        <v>1670</v>
      </c>
      <c r="AK7" s="508">
        <v>1670</v>
      </c>
      <c r="AL7" s="508">
        <v>1670</v>
      </c>
      <c r="AM7" s="509">
        <v>1670</v>
      </c>
      <c r="AN7" s="509">
        <v>1670</v>
      </c>
      <c r="AO7" s="509">
        <v>1670</v>
      </c>
      <c r="AP7" s="509">
        <v>1670</v>
      </c>
      <c r="AQ7" s="509">
        <v>1670</v>
      </c>
      <c r="AR7" s="509">
        <v>1670</v>
      </c>
      <c r="AS7" s="509">
        <v>1670</v>
      </c>
      <c r="AT7" s="510">
        <f>SUM(K7:AS7)</f>
        <v>62810</v>
      </c>
      <c r="AU7" s="512">
        <f t="shared" ref="AU7:AU70" si="3">IFERROR((+AT7/J7),0)</f>
        <v>0.97379844961240314</v>
      </c>
      <c r="AV7" s="511">
        <f t="shared" ref="AV7:AV70" si="4">+AT7-AZ7</f>
        <v>-1690</v>
      </c>
      <c r="AW7" s="558">
        <f t="shared" ref="AW7:AW70" si="5">+AV7/J7</f>
        <v>-2.62015503875969E-2</v>
      </c>
      <c r="AX7" s="513">
        <f t="shared" ref="AX7:AX70" si="6">+I7-AT7</f>
        <v>581990</v>
      </c>
      <c r="AY7" s="514">
        <f t="shared" ref="AY7:AY70" si="7">+AX7/I7</f>
        <v>0.90258995037220846</v>
      </c>
      <c r="AZ7" s="513">
        <f t="shared" ref="AZ7:AZ70" si="8">IF(BA7="Vendido",J7*1,IF(BA7="Disponible",J7*0,IF(BA7="Enganche Completado",J7*1,IF(BA7="Superávit de Enganche",J7*1,0))))</f>
        <v>64500</v>
      </c>
      <c r="BA7" s="515" t="str">
        <f t="shared" ref="BA7:BA70" si="9">IF(F7=0,"Disponible",IF(F7&gt;1,"Vendido",0))</f>
        <v>Vendido</v>
      </c>
      <c r="BB7" s="516" t="str">
        <f t="shared" ref="BB7:BB70" si="10">IF(AND(BA7="Vendido",G7&gt;=0,BJ7&lt;=AT7,AT7&lt;AZ7),"Cliente al día",IF(AND(BA7="Vendido",G7&gt;=0,BJ7&lt;=AT7,AT7=AZ7),"Enganche Completado",IF(AND(BA7="Vendido",G7&gt;=0,BJ7&lt;AT7,AT7&gt;AZ7),"Superávit de Enganche",IF(AND(BA7="Disponible",G7=0,AV7=0),"Disponible","Cliente Atrasado"))))</f>
        <v>Cliente al día</v>
      </c>
      <c r="BC7" s="551">
        <v>35</v>
      </c>
      <c r="BD7" s="693">
        <f t="shared" ref="BD7:BD70" si="11">IF(BC7&gt;1,1,0)</f>
        <v>1</v>
      </c>
      <c r="BE7" s="693">
        <f t="shared" ref="BE7:BE70" si="12">+BC7+BD7</f>
        <v>36</v>
      </c>
      <c r="BF7" s="517">
        <v>6000</v>
      </c>
      <c r="BG7" s="517">
        <v>1670</v>
      </c>
      <c r="BH7" s="693">
        <f t="shared" ref="BH7:BH70" si="13">COUNTIFS(K7:AS7,"&gt;0.01",K7:AS7,"&lt;" &amp; BF7)</f>
        <v>34</v>
      </c>
      <c r="BI7" s="693">
        <f t="shared" ref="BI7:BI70" si="14">IF($G7&gt;0,DATEDIF($G7,$D$3,"M"),0)</f>
        <v>33</v>
      </c>
      <c r="BJ7" s="655">
        <f t="shared" ref="BJ7:BJ38" si="15">(BI7*BG7)+BF7</f>
        <v>61110</v>
      </c>
      <c r="BK7" s="518">
        <f t="shared" ref="BK7:BK70" si="16">SUMIF(K7:AS7,"&lt;=" &amp; BG7,K7:AS7)</f>
        <v>55110</v>
      </c>
      <c r="BL7" s="518">
        <f t="shared" ref="BL7:BL70" si="17">SUMIF(K7:AS7,"&gt;" &amp; BG7,K7:AS7)</f>
        <v>7700</v>
      </c>
      <c r="BM7" s="518">
        <f t="shared" ref="BM7:BM70" si="18">AT7-BK7-BL7</f>
        <v>0</v>
      </c>
      <c r="BN7" s="518">
        <f t="shared" ref="BN7:BN70" si="19">IF(AT7&gt;BJ7,AT7-BJ7,0)</f>
        <v>1700</v>
      </c>
      <c r="BO7" s="655">
        <f t="shared" ref="BO7:BO18" si="20">IF(AT7&lt;BJ7,BJ7-AT7,0)</f>
        <v>0</v>
      </c>
      <c r="BP7" s="693">
        <f t="shared" ref="BP7:BP70" si="21">IFERROR(IF(AND(BQ7="F&amp;F","CE"),"",ROUNDUP(IF(G7="",0,SUM(BO7/BG7)),0)),"")</f>
        <v>0</v>
      </c>
      <c r="BQ7" s="694"/>
      <c r="BR7" s="519"/>
      <c r="BT7" s="439">
        <f t="shared" ref="BT7:BT70" si="22">+AT7-BJ7</f>
        <v>1700</v>
      </c>
      <c r="BU7" s="439">
        <f t="shared" ref="BU7:BU70" si="23">+BN7-BO7</f>
        <v>1700</v>
      </c>
      <c r="BV7" s="439">
        <f t="shared" ref="BV7:BV70" si="24">+BT7-BU7</f>
        <v>0</v>
      </c>
      <c r="BY7" s="862">
        <f t="shared" ref="BY7:BY70" si="25">ROUND(I7/1.093*70%,3)</f>
        <v>412955.16899999999</v>
      </c>
      <c r="BZ7" s="862">
        <f t="shared" ref="BZ7:BZ70" si="26">ROUND(I7/1.093*30%,3)</f>
        <v>176980.78700000001</v>
      </c>
      <c r="CA7" s="862">
        <f t="shared" ref="CA7:CA70" si="27">ROUND(BY7*12%,2)</f>
        <v>49554.62</v>
      </c>
      <c r="CB7" s="862">
        <f t="shared" ref="CB7:CB70" si="28">ROUND(BZ7*3%,2)</f>
        <v>5309.42</v>
      </c>
      <c r="CC7" s="863">
        <f t="shared" ref="CC7:CC70" si="29">ROUND(BY7+CA7,2)</f>
        <v>462509.79</v>
      </c>
      <c r="CD7" s="863">
        <f t="shared" ref="CD7:CD70" si="30">ROUND(BZ7+CB7,2)</f>
        <v>182290.21</v>
      </c>
      <c r="CE7" s="864">
        <f t="shared" ref="CE7:CE70" si="31">ROUND(CC7+CD7,2)</f>
        <v>644800</v>
      </c>
      <c r="CF7" s="862">
        <f t="shared" ref="CF7:CF70" si="32">CE7-I7</f>
        <v>0</v>
      </c>
    </row>
    <row r="8" spans="1:84" s="429" customFormat="1" ht="13.9" customHeight="1" x14ac:dyDescent="0.25">
      <c r="B8" s="436">
        <v>102</v>
      </c>
      <c r="C8" s="436" t="s">
        <v>358</v>
      </c>
      <c r="D8" s="436"/>
      <c r="E8" s="436" t="s">
        <v>359</v>
      </c>
      <c r="F8" s="429" t="s">
        <v>360</v>
      </c>
      <c r="G8" s="473">
        <v>46012</v>
      </c>
      <c r="H8" s="436" t="s">
        <v>361</v>
      </c>
      <c r="I8" s="472">
        <v>1154100</v>
      </c>
      <c r="J8" s="472">
        <v>80800</v>
      </c>
      <c r="K8" s="507">
        <v>0</v>
      </c>
      <c r="L8" s="507">
        <v>0</v>
      </c>
      <c r="M8" s="507">
        <v>0</v>
      </c>
      <c r="N8" s="507">
        <v>0</v>
      </c>
      <c r="O8" s="507">
        <v>0</v>
      </c>
      <c r="P8" s="507">
        <v>0</v>
      </c>
      <c r="Q8" s="507">
        <v>0</v>
      </c>
      <c r="R8" s="507">
        <v>0</v>
      </c>
      <c r="S8" s="507">
        <v>0</v>
      </c>
      <c r="T8" s="507">
        <v>0</v>
      </c>
      <c r="U8" s="507">
        <v>0</v>
      </c>
      <c r="V8" s="507">
        <v>0</v>
      </c>
      <c r="W8" s="507">
        <v>0</v>
      </c>
      <c r="X8" s="507">
        <v>0</v>
      </c>
      <c r="Y8" s="507">
        <v>0</v>
      </c>
      <c r="Z8" s="507">
        <v>0</v>
      </c>
      <c r="AA8" s="507">
        <v>0</v>
      </c>
      <c r="AB8" s="507">
        <v>0</v>
      </c>
      <c r="AC8" s="507">
        <v>0</v>
      </c>
      <c r="AD8" s="507">
        <v>0</v>
      </c>
      <c r="AE8" s="507">
        <v>0</v>
      </c>
      <c r="AF8" s="507">
        <v>0</v>
      </c>
      <c r="AG8" s="507">
        <v>0</v>
      </c>
      <c r="AH8" s="507">
        <v>0</v>
      </c>
      <c r="AI8" s="507">
        <v>0</v>
      </c>
      <c r="AJ8" s="507">
        <v>0</v>
      </c>
      <c r="AK8" s="508"/>
      <c r="AL8" s="508"/>
      <c r="AM8" s="508"/>
      <c r="AN8" s="509">
        <v>0</v>
      </c>
      <c r="AO8" s="509">
        <v>0</v>
      </c>
      <c r="AP8" s="509">
        <v>0</v>
      </c>
      <c r="AQ8" s="509">
        <v>0</v>
      </c>
      <c r="AR8" s="508">
        <v>9589.2900000000009</v>
      </c>
      <c r="AS8" s="508"/>
      <c r="AT8" s="510">
        <f t="shared" ref="AT8:AT71" si="33">SUM(K8:AS8)</f>
        <v>9589.2900000000009</v>
      </c>
      <c r="AU8" s="512">
        <f t="shared" si="3"/>
        <v>0.11867933168316833</v>
      </c>
      <c r="AV8" s="511">
        <f t="shared" si="4"/>
        <v>-71210.709999999992</v>
      </c>
      <c r="AW8" s="558">
        <f t="shared" si="5"/>
        <v>-0.88132066831683153</v>
      </c>
      <c r="AX8" s="513">
        <f t="shared" si="6"/>
        <v>1144510.71</v>
      </c>
      <c r="AY8" s="514">
        <f t="shared" si="7"/>
        <v>0.99169110995580967</v>
      </c>
      <c r="AZ8" s="513">
        <f t="shared" si="8"/>
        <v>80800</v>
      </c>
      <c r="BA8" s="515" t="str">
        <f t="shared" si="9"/>
        <v>Vendido</v>
      </c>
      <c r="BB8" s="516" t="str">
        <f t="shared" si="10"/>
        <v>Cliente al día</v>
      </c>
      <c r="BC8" s="551"/>
      <c r="BD8" s="693">
        <f t="shared" si="11"/>
        <v>0</v>
      </c>
      <c r="BE8" s="693">
        <f t="shared" si="12"/>
        <v>0</v>
      </c>
      <c r="BF8" s="517"/>
      <c r="BG8" s="517"/>
      <c r="BH8" s="693">
        <f t="shared" si="13"/>
        <v>0</v>
      </c>
      <c r="BI8" s="693">
        <f t="shared" si="14"/>
        <v>1</v>
      </c>
      <c r="BJ8" s="655">
        <f t="shared" si="15"/>
        <v>0</v>
      </c>
      <c r="BK8" s="518">
        <f t="shared" si="16"/>
        <v>0</v>
      </c>
      <c r="BL8" s="518">
        <f t="shared" si="17"/>
        <v>0</v>
      </c>
      <c r="BM8" s="518">
        <f t="shared" si="18"/>
        <v>9589.2900000000009</v>
      </c>
      <c r="BN8" s="518">
        <f t="shared" si="19"/>
        <v>9589.2900000000009</v>
      </c>
      <c r="BO8" s="655">
        <f t="shared" si="20"/>
        <v>0</v>
      </c>
      <c r="BP8" s="693" t="str">
        <f t="shared" si="21"/>
        <v/>
      </c>
      <c r="BQ8" s="694"/>
      <c r="BR8" s="519"/>
      <c r="BT8" s="439">
        <f t="shared" si="22"/>
        <v>9589.2900000000009</v>
      </c>
      <c r="BU8" s="439">
        <f t="shared" si="23"/>
        <v>9589.2900000000009</v>
      </c>
      <c r="BV8" s="439">
        <f t="shared" si="24"/>
        <v>0</v>
      </c>
      <c r="BY8" s="862">
        <f t="shared" si="25"/>
        <v>739130.83299999998</v>
      </c>
      <c r="BZ8" s="862">
        <f t="shared" si="26"/>
        <v>316770.35700000002</v>
      </c>
      <c r="CA8" s="862">
        <f t="shared" si="27"/>
        <v>88695.7</v>
      </c>
      <c r="CB8" s="862">
        <f t="shared" si="28"/>
        <v>9503.11</v>
      </c>
      <c r="CC8" s="863">
        <f t="shared" si="29"/>
        <v>827826.53</v>
      </c>
      <c r="CD8" s="863">
        <f t="shared" si="30"/>
        <v>326273.46999999997</v>
      </c>
      <c r="CE8" s="864">
        <f t="shared" si="31"/>
        <v>1154100</v>
      </c>
      <c r="CF8" s="862">
        <f t="shared" si="32"/>
        <v>0</v>
      </c>
    </row>
    <row r="9" spans="1:84" s="429" customFormat="1" ht="13.9" customHeight="1" x14ac:dyDescent="0.25">
      <c r="A9" s="472" t="s">
        <v>58</v>
      </c>
      <c r="B9" s="475">
        <v>103</v>
      </c>
      <c r="C9" s="475" t="s">
        <v>362</v>
      </c>
      <c r="D9" s="475"/>
      <c r="E9" s="475" t="s">
        <v>363</v>
      </c>
      <c r="F9" s="476" t="s">
        <v>364</v>
      </c>
      <c r="G9" s="473">
        <v>45300</v>
      </c>
      <c r="H9" s="436" t="s">
        <v>128</v>
      </c>
      <c r="I9" s="472">
        <v>1533200</v>
      </c>
      <c r="J9" s="472">
        <f>+I9*0.1</f>
        <v>153320</v>
      </c>
      <c r="K9" s="507">
        <v>0</v>
      </c>
      <c r="L9" s="507">
        <v>0</v>
      </c>
      <c r="M9" s="507">
        <v>0</v>
      </c>
      <c r="N9" s="507">
        <v>0</v>
      </c>
      <c r="O9" s="507">
        <v>0</v>
      </c>
      <c r="P9" s="507">
        <v>0</v>
      </c>
      <c r="Q9" s="507">
        <v>0</v>
      </c>
      <c r="R9" s="507">
        <v>0</v>
      </c>
      <c r="S9" s="507">
        <v>0</v>
      </c>
      <c r="T9" s="507">
        <v>0</v>
      </c>
      <c r="U9" s="507">
        <v>0</v>
      </c>
      <c r="V9" s="507">
        <v>0</v>
      </c>
      <c r="W9" s="507">
        <v>0</v>
      </c>
      <c r="X9" s="507">
        <v>0</v>
      </c>
      <c r="Y9" s="507">
        <v>0</v>
      </c>
      <c r="Z9" s="507">
        <v>0</v>
      </c>
      <c r="AA9" s="507">
        <v>0</v>
      </c>
      <c r="AB9" s="507">
        <v>0</v>
      </c>
      <c r="AC9" s="507">
        <v>0</v>
      </c>
      <c r="AD9" s="507">
        <v>0</v>
      </c>
      <c r="AE9" s="507">
        <v>0</v>
      </c>
      <c r="AF9" s="507">
        <v>0</v>
      </c>
      <c r="AG9" s="507">
        <v>0</v>
      </c>
      <c r="AH9" s="507">
        <v>0</v>
      </c>
      <c r="AI9" s="507">
        <v>0</v>
      </c>
      <c r="AJ9" s="507">
        <v>0</v>
      </c>
      <c r="AK9" s="508"/>
      <c r="AL9" s="508"/>
      <c r="AM9" s="508"/>
      <c r="AN9" s="509">
        <v>0</v>
      </c>
      <c r="AO9" s="509">
        <v>0</v>
      </c>
      <c r="AP9" s="509">
        <v>0</v>
      </c>
      <c r="AQ9" s="509">
        <v>0</v>
      </c>
      <c r="AR9" s="508"/>
      <c r="AS9" s="508"/>
      <c r="AT9" s="510">
        <f t="shared" si="33"/>
        <v>0</v>
      </c>
      <c r="AU9" s="512">
        <f t="shared" si="3"/>
        <v>0</v>
      </c>
      <c r="AV9" s="511">
        <f t="shared" si="4"/>
        <v>-153320</v>
      </c>
      <c r="AW9" s="558">
        <f t="shared" si="5"/>
        <v>-1</v>
      </c>
      <c r="AX9" s="513">
        <f t="shared" si="6"/>
        <v>1533200</v>
      </c>
      <c r="AY9" s="514">
        <f t="shared" si="7"/>
        <v>1</v>
      </c>
      <c r="AZ9" s="513">
        <f t="shared" si="8"/>
        <v>153320</v>
      </c>
      <c r="BA9" s="515" t="str">
        <f t="shared" si="9"/>
        <v>Vendido</v>
      </c>
      <c r="BB9" s="516" t="str">
        <f t="shared" si="10"/>
        <v>Cliente Atrasado</v>
      </c>
      <c r="BC9" s="551">
        <v>27</v>
      </c>
      <c r="BD9" s="693">
        <f t="shared" si="11"/>
        <v>1</v>
      </c>
      <c r="BE9" s="693">
        <f t="shared" si="12"/>
        <v>28</v>
      </c>
      <c r="BF9" s="517">
        <v>6000</v>
      </c>
      <c r="BG9" s="517">
        <v>5261</v>
      </c>
      <c r="BH9" s="693">
        <f t="shared" si="13"/>
        <v>0</v>
      </c>
      <c r="BI9" s="693">
        <f t="shared" si="14"/>
        <v>24</v>
      </c>
      <c r="BJ9" s="655">
        <f t="shared" si="15"/>
        <v>132264</v>
      </c>
      <c r="BK9" s="518">
        <f t="shared" si="16"/>
        <v>0</v>
      </c>
      <c r="BL9" s="518">
        <f t="shared" si="17"/>
        <v>0</v>
      </c>
      <c r="BM9" s="518">
        <f t="shared" si="18"/>
        <v>0</v>
      </c>
      <c r="BN9" s="518">
        <f t="shared" si="19"/>
        <v>0</v>
      </c>
      <c r="BO9" s="655">
        <f t="shared" si="20"/>
        <v>132264</v>
      </c>
      <c r="BP9" s="693" t="str">
        <f t="shared" si="21"/>
        <v/>
      </c>
      <c r="BQ9" s="695" t="s">
        <v>58</v>
      </c>
      <c r="BR9" s="519"/>
      <c r="BT9" s="439">
        <f t="shared" si="22"/>
        <v>-132264</v>
      </c>
      <c r="BU9" s="439">
        <f t="shared" si="23"/>
        <v>-132264</v>
      </c>
      <c r="BV9" s="439">
        <f t="shared" si="24"/>
        <v>0</v>
      </c>
      <c r="BY9" s="862">
        <f t="shared" si="25"/>
        <v>981921.31700000004</v>
      </c>
      <c r="BZ9" s="862">
        <f t="shared" si="26"/>
        <v>420823.42200000002</v>
      </c>
      <c r="CA9" s="862">
        <f t="shared" si="27"/>
        <v>117830.56</v>
      </c>
      <c r="CB9" s="862">
        <f t="shared" si="28"/>
        <v>12624.7</v>
      </c>
      <c r="CC9" s="863">
        <f t="shared" si="29"/>
        <v>1099751.8799999999</v>
      </c>
      <c r="CD9" s="863">
        <f t="shared" si="30"/>
        <v>433448.12</v>
      </c>
      <c r="CE9" s="864">
        <f t="shared" si="31"/>
        <v>1533200</v>
      </c>
      <c r="CF9" s="862">
        <f t="shared" si="32"/>
        <v>0</v>
      </c>
    </row>
    <row r="10" spans="1:84" s="429" customFormat="1" ht="13.9" customHeight="1" x14ac:dyDescent="0.25">
      <c r="A10" s="472"/>
      <c r="B10" s="436">
        <v>104</v>
      </c>
      <c r="C10" s="436" t="s">
        <v>365</v>
      </c>
      <c r="D10" s="436"/>
      <c r="E10" s="436" t="s">
        <v>366</v>
      </c>
      <c r="F10" s="429" t="s">
        <v>367</v>
      </c>
      <c r="G10" s="473">
        <v>45140</v>
      </c>
      <c r="H10" s="436" t="s">
        <v>128</v>
      </c>
      <c r="I10" s="472">
        <v>727800</v>
      </c>
      <c r="J10" s="472">
        <v>145600</v>
      </c>
      <c r="K10" s="507">
        <v>0</v>
      </c>
      <c r="L10" s="507">
        <v>0</v>
      </c>
      <c r="M10" s="507">
        <v>0</v>
      </c>
      <c r="N10" s="507">
        <v>0</v>
      </c>
      <c r="O10" s="507">
        <v>0</v>
      </c>
      <c r="P10" s="507">
        <v>6000</v>
      </c>
      <c r="Q10" s="507">
        <v>94000</v>
      </c>
      <c r="R10" s="507">
        <v>1824</v>
      </c>
      <c r="S10" s="507">
        <v>1824</v>
      </c>
      <c r="T10" s="507">
        <v>1824</v>
      </c>
      <c r="U10" s="507">
        <v>1824</v>
      </c>
      <c r="V10" s="507">
        <v>1824</v>
      </c>
      <c r="W10" s="507">
        <v>1824</v>
      </c>
      <c r="X10" s="507">
        <v>1824</v>
      </c>
      <c r="Y10" s="507">
        <v>1824</v>
      </c>
      <c r="Z10" s="507">
        <v>1824</v>
      </c>
      <c r="AA10" s="507">
        <v>1824</v>
      </c>
      <c r="AB10" s="507">
        <v>1824</v>
      </c>
      <c r="AC10" s="507">
        <v>1824</v>
      </c>
      <c r="AD10" s="507">
        <v>1824</v>
      </c>
      <c r="AE10" s="507">
        <v>1824</v>
      </c>
      <c r="AF10" s="507">
        <v>1824</v>
      </c>
      <c r="AG10" s="507">
        <v>1824</v>
      </c>
      <c r="AH10" s="507">
        <v>1824</v>
      </c>
      <c r="AI10" s="507">
        <v>1824</v>
      </c>
      <c r="AJ10" s="507">
        <v>1824</v>
      </c>
      <c r="AK10" s="508">
        <v>1824</v>
      </c>
      <c r="AL10" s="508">
        <v>1824</v>
      </c>
      <c r="AM10" s="509">
        <v>1824</v>
      </c>
      <c r="AN10" s="509">
        <v>1824</v>
      </c>
      <c r="AO10" s="509">
        <v>1824</v>
      </c>
      <c r="AP10" s="509">
        <v>1824</v>
      </c>
      <c r="AQ10" s="509">
        <v>0</v>
      </c>
      <c r="AR10" s="509"/>
      <c r="AS10" s="509"/>
      <c r="AT10" s="510">
        <f t="shared" si="33"/>
        <v>145600</v>
      </c>
      <c r="AU10" s="512">
        <f t="shared" si="3"/>
        <v>1</v>
      </c>
      <c r="AV10" s="511">
        <f t="shared" si="4"/>
        <v>0</v>
      </c>
      <c r="AW10" s="558">
        <f t="shared" si="5"/>
        <v>0</v>
      </c>
      <c r="AX10" s="513">
        <f t="shared" si="6"/>
        <v>582200</v>
      </c>
      <c r="AY10" s="514">
        <f t="shared" si="7"/>
        <v>0.79994503984611154</v>
      </c>
      <c r="AZ10" s="513">
        <f t="shared" si="8"/>
        <v>145600</v>
      </c>
      <c r="BA10" s="515" t="str">
        <f t="shared" si="9"/>
        <v>Vendido</v>
      </c>
      <c r="BB10" s="516" t="str">
        <f t="shared" si="10"/>
        <v>Cliente Atrasado</v>
      </c>
      <c r="BC10" s="551">
        <v>25</v>
      </c>
      <c r="BD10" s="693">
        <f t="shared" si="11"/>
        <v>1</v>
      </c>
      <c r="BE10" s="693">
        <f t="shared" si="12"/>
        <v>26</v>
      </c>
      <c r="BF10" s="517">
        <v>100000</v>
      </c>
      <c r="BG10" s="517">
        <v>1824</v>
      </c>
      <c r="BH10" s="693">
        <f t="shared" si="13"/>
        <v>27</v>
      </c>
      <c r="BI10" s="693">
        <f t="shared" si="14"/>
        <v>29</v>
      </c>
      <c r="BJ10" s="655">
        <f t="shared" si="15"/>
        <v>152896</v>
      </c>
      <c r="BK10" s="518">
        <f t="shared" si="16"/>
        <v>45600</v>
      </c>
      <c r="BL10" s="518">
        <f t="shared" si="17"/>
        <v>100000</v>
      </c>
      <c r="BM10" s="518">
        <f t="shared" si="18"/>
        <v>0</v>
      </c>
      <c r="BN10" s="518">
        <f t="shared" si="19"/>
        <v>0</v>
      </c>
      <c r="BO10" s="655">
        <f t="shared" si="20"/>
        <v>7296</v>
      </c>
      <c r="BP10" s="693">
        <f t="shared" si="21"/>
        <v>4</v>
      </c>
      <c r="BQ10" s="696"/>
      <c r="BR10" s="519" t="s">
        <v>368</v>
      </c>
      <c r="BT10" s="439">
        <f t="shared" si="22"/>
        <v>-7296</v>
      </c>
      <c r="BU10" s="439">
        <f t="shared" si="23"/>
        <v>-7296</v>
      </c>
      <c r="BV10" s="439">
        <f t="shared" si="24"/>
        <v>0</v>
      </c>
      <c r="BY10" s="862">
        <f t="shared" si="25"/>
        <v>466111.61900000001</v>
      </c>
      <c r="BZ10" s="862">
        <f t="shared" si="26"/>
        <v>199762.12299999999</v>
      </c>
      <c r="CA10" s="862">
        <f t="shared" si="27"/>
        <v>55933.39</v>
      </c>
      <c r="CB10" s="862">
        <f t="shared" si="28"/>
        <v>5992.86</v>
      </c>
      <c r="CC10" s="863">
        <f t="shared" si="29"/>
        <v>522045.01</v>
      </c>
      <c r="CD10" s="863">
        <f t="shared" si="30"/>
        <v>205754.98</v>
      </c>
      <c r="CE10" s="864">
        <f t="shared" si="31"/>
        <v>727799.99</v>
      </c>
      <c r="CF10" s="862">
        <f t="shared" si="32"/>
        <v>-1.0000000009313226E-2</v>
      </c>
    </row>
    <row r="11" spans="1:84" s="429" customFormat="1" ht="13.9" customHeight="1" x14ac:dyDescent="0.25">
      <c r="A11" s="472"/>
      <c r="B11" s="436">
        <v>105</v>
      </c>
      <c r="C11" s="436" t="s">
        <v>369</v>
      </c>
      <c r="D11" s="436"/>
      <c r="E11" s="436" t="s">
        <v>359</v>
      </c>
      <c r="F11" s="429" t="s">
        <v>370</v>
      </c>
      <c r="G11" s="473">
        <v>46000</v>
      </c>
      <c r="H11" s="436" t="s">
        <v>361</v>
      </c>
      <c r="I11" s="472">
        <v>1192700</v>
      </c>
      <c r="J11" s="472">
        <v>83500</v>
      </c>
      <c r="K11" s="507">
        <v>0</v>
      </c>
      <c r="L11" s="507">
        <v>0</v>
      </c>
      <c r="M11" s="507">
        <v>0</v>
      </c>
      <c r="N11" s="507">
        <v>0</v>
      </c>
      <c r="O11" s="507">
        <v>0</v>
      </c>
      <c r="P11" s="507">
        <v>0</v>
      </c>
      <c r="Q11" s="507">
        <v>0</v>
      </c>
      <c r="R11" s="507">
        <v>0</v>
      </c>
      <c r="S11" s="507">
        <v>0</v>
      </c>
      <c r="T11" s="507">
        <v>0</v>
      </c>
      <c r="U11" s="507">
        <v>0</v>
      </c>
      <c r="V11" s="507">
        <v>0</v>
      </c>
      <c r="W11" s="507">
        <v>0</v>
      </c>
      <c r="X11" s="507">
        <v>0</v>
      </c>
      <c r="Y11" s="507">
        <v>0</v>
      </c>
      <c r="Z11" s="507">
        <v>0</v>
      </c>
      <c r="AA11" s="507">
        <v>0</v>
      </c>
      <c r="AB11" s="507">
        <v>0</v>
      </c>
      <c r="AC11" s="507">
        <v>0</v>
      </c>
      <c r="AD11" s="507">
        <v>0</v>
      </c>
      <c r="AE11" s="507">
        <v>0</v>
      </c>
      <c r="AF11" s="507">
        <v>0</v>
      </c>
      <c r="AG11" s="507">
        <v>0</v>
      </c>
      <c r="AH11" s="507">
        <v>0</v>
      </c>
      <c r="AI11" s="507">
        <v>0</v>
      </c>
      <c r="AJ11" s="507">
        <v>0</v>
      </c>
      <c r="AK11" s="508"/>
      <c r="AL11" s="508"/>
      <c r="AM11" s="508"/>
      <c r="AN11" s="509">
        <v>0</v>
      </c>
      <c r="AO11" s="509">
        <v>0</v>
      </c>
      <c r="AP11" s="509">
        <v>0</v>
      </c>
      <c r="AQ11" s="509">
        <v>0</v>
      </c>
      <c r="AR11" s="508">
        <v>10000</v>
      </c>
      <c r="AS11" s="508"/>
      <c r="AT11" s="510">
        <f t="shared" si="33"/>
        <v>10000</v>
      </c>
      <c r="AU11" s="512">
        <f t="shared" si="3"/>
        <v>0.11976047904191617</v>
      </c>
      <c r="AV11" s="511">
        <f t="shared" si="4"/>
        <v>-73500</v>
      </c>
      <c r="AW11" s="558">
        <f t="shared" si="5"/>
        <v>-0.88023952095808389</v>
      </c>
      <c r="AX11" s="513">
        <f t="shared" si="6"/>
        <v>1182700</v>
      </c>
      <c r="AY11" s="514">
        <f t="shared" si="7"/>
        <v>0.9916156619434896</v>
      </c>
      <c r="AZ11" s="513">
        <f t="shared" si="8"/>
        <v>83500</v>
      </c>
      <c r="BA11" s="515" t="str">
        <f t="shared" si="9"/>
        <v>Vendido</v>
      </c>
      <c r="BB11" s="516" t="str">
        <f t="shared" si="10"/>
        <v>Cliente al día</v>
      </c>
      <c r="BC11" s="551"/>
      <c r="BD11" s="693">
        <f t="shared" si="11"/>
        <v>0</v>
      </c>
      <c r="BE11" s="693">
        <f t="shared" si="12"/>
        <v>0</v>
      </c>
      <c r="BF11" s="517"/>
      <c r="BG11" s="517"/>
      <c r="BH11" s="693">
        <f t="shared" si="13"/>
        <v>0</v>
      </c>
      <c r="BI11" s="693">
        <f t="shared" si="14"/>
        <v>1</v>
      </c>
      <c r="BJ11" s="655">
        <f t="shared" si="15"/>
        <v>0</v>
      </c>
      <c r="BK11" s="518">
        <f t="shared" si="16"/>
        <v>0</v>
      </c>
      <c r="BL11" s="518">
        <f t="shared" si="17"/>
        <v>0</v>
      </c>
      <c r="BM11" s="518">
        <f t="shared" si="18"/>
        <v>10000</v>
      </c>
      <c r="BN11" s="518">
        <f t="shared" si="19"/>
        <v>10000</v>
      </c>
      <c r="BO11" s="655">
        <f t="shared" si="20"/>
        <v>0</v>
      </c>
      <c r="BP11" s="693" t="str">
        <f t="shared" si="21"/>
        <v/>
      </c>
      <c r="BQ11" s="694"/>
      <c r="BR11" s="519"/>
      <c r="BT11" s="439">
        <f t="shared" si="22"/>
        <v>10000</v>
      </c>
      <c r="BU11" s="439">
        <f t="shared" si="23"/>
        <v>10000</v>
      </c>
      <c r="BV11" s="439">
        <f t="shared" si="24"/>
        <v>0</v>
      </c>
      <c r="BY11" s="862">
        <f t="shared" si="25"/>
        <v>763851.78399999999</v>
      </c>
      <c r="BZ11" s="862">
        <f t="shared" si="26"/>
        <v>327365.05</v>
      </c>
      <c r="CA11" s="862">
        <f t="shared" si="27"/>
        <v>91662.21</v>
      </c>
      <c r="CB11" s="862">
        <f t="shared" si="28"/>
        <v>9820.9500000000007</v>
      </c>
      <c r="CC11" s="863">
        <f t="shared" si="29"/>
        <v>855513.99</v>
      </c>
      <c r="CD11" s="863">
        <f t="shared" si="30"/>
        <v>337186</v>
      </c>
      <c r="CE11" s="864">
        <f t="shared" si="31"/>
        <v>1192699.99</v>
      </c>
      <c r="CF11" s="862">
        <f t="shared" si="32"/>
        <v>-1.0000000009313226E-2</v>
      </c>
    </row>
    <row r="12" spans="1:84" s="429" customFormat="1" ht="13.9" customHeight="1" x14ac:dyDescent="0.25">
      <c r="A12" s="472"/>
      <c r="B12" s="436">
        <v>106</v>
      </c>
      <c r="C12" s="436" t="s">
        <v>371</v>
      </c>
      <c r="D12" s="436"/>
      <c r="E12" s="436" t="s">
        <v>359</v>
      </c>
      <c r="F12" s="429" t="s">
        <v>372</v>
      </c>
      <c r="G12" s="473">
        <v>46013</v>
      </c>
      <c r="H12" s="436" t="s">
        <v>361</v>
      </c>
      <c r="I12" s="472">
        <v>1348900</v>
      </c>
      <c r="J12" s="472">
        <v>94400</v>
      </c>
      <c r="K12" s="507">
        <v>0</v>
      </c>
      <c r="L12" s="507">
        <v>0</v>
      </c>
      <c r="M12" s="507">
        <v>0</v>
      </c>
      <c r="N12" s="507">
        <v>0</v>
      </c>
      <c r="O12" s="507">
        <v>0</v>
      </c>
      <c r="P12" s="507">
        <v>0</v>
      </c>
      <c r="Q12" s="507">
        <v>0</v>
      </c>
      <c r="R12" s="507">
        <v>0</v>
      </c>
      <c r="S12" s="507">
        <v>0</v>
      </c>
      <c r="T12" s="507">
        <v>0</v>
      </c>
      <c r="U12" s="507">
        <v>0</v>
      </c>
      <c r="V12" s="507">
        <v>0</v>
      </c>
      <c r="W12" s="507">
        <v>0</v>
      </c>
      <c r="X12" s="507">
        <v>0</v>
      </c>
      <c r="Y12" s="507">
        <v>0</v>
      </c>
      <c r="Z12" s="507">
        <v>0</v>
      </c>
      <c r="AA12" s="507">
        <v>0</v>
      </c>
      <c r="AB12" s="507">
        <v>0</v>
      </c>
      <c r="AC12" s="507">
        <v>0</v>
      </c>
      <c r="AD12" s="507">
        <v>0</v>
      </c>
      <c r="AE12" s="507">
        <v>0</v>
      </c>
      <c r="AF12" s="507">
        <v>0</v>
      </c>
      <c r="AG12" s="507">
        <v>0</v>
      </c>
      <c r="AH12" s="507">
        <v>0</v>
      </c>
      <c r="AI12" s="507">
        <v>0</v>
      </c>
      <c r="AJ12" s="507">
        <v>0</v>
      </c>
      <c r="AK12" s="508"/>
      <c r="AL12" s="508"/>
      <c r="AM12" s="508"/>
      <c r="AN12" s="509">
        <v>0</v>
      </c>
      <c r="AO12" s="509">
        <v>0</v>
      </c>
      <c r="AP12" s="509">
        <v>0</v>
      </c>
      <c r="AQ12" s="509">
        <v>0</v>
      </c>
      <c r="AR12" s="508">
        <v>10000</v>
      </c>
      <c r="AS12" s="508">
        <v>14100</v>
      </c>
      <c r="AT12" s="510">
        <f t="shared" si="33"/>
        <v>24100</v>
      </c>
      <c r="AU12" s="512">
        <f t="shared" si="3"/>
        <v>0.25529661016949151</v>
      </c>
      <c r="AV12" s="511">
        <f t="shared" si="4"/>
        <v>-70300</v>
      </c>
      <c r="AW12" s="558">
        <f t="shared" si="5"/>
        <v>-0.74470338983050843</v>
      </c>
      <c r="AX12" s="513">
        <f t="shared" si="6"/>
        <v>1324800</v>
      </c>
      <c r="AY12" s="514">
        <f t="shared" si="7"/>
        <v>0.98213359033286385</v>
      </c>
      <c r="AZ12" s="513">
        <f t="shared" si="8"/>
        <v>94400</v>
      </c>
      <c r="BA12" s="515" t="str">
        <f t="shared" si="9"/>
        <v>Vendido</v>
      </c>
      <c r="BB12" s="516" t="str">
        <f t="shared" si="10"/>
        <v>Cliente al día</v>
      </c>
      <c r="BC12" s="551"/>
      <c r="BD12" s="693">
        <f t="shared" si="11"/>
        <v>0</v>
      </c>
      <c r="BE12" s="693">
        <f t="shared" si="12"/>
        <v>0</v>
      </c>
      <c r="BF12" s="517"/>
      <c r="BG12" s="517"/>
      <c r="BH12" s="693">
        <f t="shared" si="13"/>
        <v>0</v>
      </c>
      <c r="BI12" s="693">
        <f t="shared" si="14"/>
        <v>1</v>
      </c>
      <c r="BJ12" s="655">
        <f t="shared" si="15"/>
        <v>0</v>
      </c>
      <c r="BK12" s="518">
        <f t="shared" si="16"/>
        <v>0</v>
      </c>
      <c r="BL12" s="518">
        <f t="shared" si="17"/>
        <v>0</v>
      </c>
      <c r="BM12" s="518">
        <f t="shared" si="18"/>
        <v>24100</v>
      </c>
      <c r="BN12" s="518">
        <f t="shared" si="19"/>
        <v>24100</v>
      </c>
      <c r="BO12" s="655">
        <f t="shared" si="20"/>
        <v>0</v>
      </c>
      <c r="BP12" s="693" t="str">
        <f t="shared" si="21"/>
        <v/>
      </c>
      <c r="BQ12" s="694"/>
      <c r="BR12" s="519"/>
      <c r="BT12" s="439">
        <f t="shared" si="22"/>
        <v>24100</v>
      </c>
      <c r="BU12" s="439">
        <f t="shared" si="23"/>
        <v>24100</v>
      </c>
      <c r="BV12" s="439">
        <f t="shared" si="24"/>
        <v>0</v>
      </c>
      <c r="BY12" s="862">
        <f t="shared" si="25"/>
        <v>863888.38100000005</v>
      </c>
      <c r="BZ12" s="862">
        <f t="shared" si="26"/>
        <v>370237.87699999998</v>
      </c>
      <c r="CA12" s="862">
        <f t="shared" si="27"/>
        <v>103666.61</v>
      </c>
      <c r="CB12" s="862">
        <f t="shared" si="28"/>
        <v>11107.14</v>
      </c>
      <c r="CC12" s="863">
        <f t="shared" si="29"/>
        <v>967554.99</v>
      </c>
      <c r="CD12" s="863">
        <f t="shared" si="30"/>
        <v>381345.02</v>
      </c>
      <c r="CE12" s="864">
        <f t="shared" si="31"/>
        <v>1348900.01</v>
      </c>
      <c r="CF12" s="862">
        <f t="shared" si="32"/>
        <v>1.0000000009313226E-2</v>
      </c>
    </row>
    <row r="13" spans="1:84" s="429" customFormat="1" ht="13.9" customHeight="1" x14ac:dyDescent="0.25">
      <c r="A13" s="472"/>
      <c r="B13" s="905">
        <v>107</v>
      </c>
      <c r="C13" s="436" t="s">
        <v>373</v>
      </c>
      <c r="D13" s="436"/>
      <c r="E13" s="436"/>
      <c r="G13" s="473"/>
      <c r="H13" s="436" t="s">
        <v>374</v>
      </c>
      <c r="I13" s="472">
        <v>1135500</v>
      </c>
      <c r="J13" s="472">
        <v>79500</v>
      </c>
      <c r="K13" s="507">
        <v>0</v>
      </c>
      <c r="L13" s="507">
        <v>0</v>
      </c>
      <c r="M13" s="507">
        <v>0</v>
      </c>
      <c r="N13" s="507">
        <v>0</v>
      </c>
      <c r="O13" s="507">
        <v>0</v>
      </c>
      <c r="P13" s="507">
        <v>0</v>
      </c>
      <c r="Q13" s="507">
        <v>0</v>
      </c>
      <c r="R13" s="507">
        <v>0</v>
      </c>
      <c r="S13" s="507">
        <v>0</v>
      </c>
      <c r="T13" s="507">
        <v>0</v>
      </c>
      <c r="U13" s="507">
        <v>0</v>
      </c>
      <c r="V13" s="507">
        <v>0</v>
      </c>
      <c r="W13" s="507">
        <v>0</v>
      </c>
      <c r="X13" s="507">
        <v>0</v>
      </c>
      <c r="Y13" s="507">
        <v>0</v>
      </c>
      <c r="Z13" s="507">
        <v>0</v>
      </c>
      <c r="AA13" s="507">
        <v>0</v>
      </c>
      <c r="AB13" s="507">
        <v>0</v>
      </c>
      <c r="AC13" s="507">
        <v>0</v>
      </c>
      <c r="AD13" s="507">
        <v>0</v>
      </c>
      <c r="AE13" s="507">
        <v>0</v>
      </c>
      <c r="AF13" s="507">
        <v>0</v>
      </c>
      <c r="AG13" s="507">
        <v>0</v>
      </c>
      <c r="AH13" s="507">
        <v>0</v>
      </c>
      <c r="AI13" s="507">
        <v>0</v>
      </c>
      <c r="AJ13" s="507">
        <v>0</v>
      </c>
      <c r="AK13" s="508"/>
      <c r="AL13" s="508"/>
      <c r="AM13" s="508"/>
      <c r="AN13" s="509">
        <v>0</v>
      </c>
      <c r="AO13" s="509">
        <v>0</v>
      </c>
      <c r="AP13" s="509">
        <v>0</v>
      </c>
      <c r="AQ13" s="509">
        <v>0</v>
      </c>
      <c r="AR13" s="508"/>
      <c r="AS13" s="508"/>
      <c r="AT13" s="510">
        <f t="shared" si="33"/>
        <v>0</v>
      </c>
      <c r="AU13" s="512">
        <f t="shared" si="3"/>
        <v>0</v>
      </c>
      <c r="AV13" s="511">
        <f t="shared" si="4"/>
        <v>0</v>
      </c>
      <c r="AW13" s="558">
        <f t="shared" si="5"/>
        <v>0</v>
      </c>
      <c r="AX13" s="513">
        <f t="shared" si="6"/>
        <v>1135500</v>
      </c>
      <c r="AY13" s="514">
        <f t="shared" si="7"/>
        <v>1</v>
      </c>
      <c r="AZ13" s="513">
        <f t="shared" si="8"/>
        <v>0</v>
      </c>
      <c r="BA13" s="515" t="str">
        <f t="shared" si="9"/>
        <v>Disponible</v>
      </c>
      <c r="BB13" s="516" t="str">
        <f t="shared" si="10"/>
        <v>Disponible</v>
      </c>
      <c r="BC13" s="551"/>
      <c r="BD13" s="693">
        <f t="shared" si="11"/>
        <v>0</v>
      </c>
      <c r="BE13" s="693">
        <f t="shared" si="12"/>
        <v>0</v>
      </c>
      <c r="BF13" s="517"/>
      <c r="BG13" s="517"/>
      <c r="BH13" s="693">
        <f t="shared" si="13"/>
        <v>0</v>
      </c>
      <c r="BI13" s="693">
        <f t="shared" si="14"/>
        <v>0</v>
      </c>
      <c r="BJ13" s="655">
        <f t="shared" si="15"/>
        <v>0</v>
      </c>
      <c r="BK13" s="518">
        <f t="shared" si="16"/>
        <v>0</v>
      </c>
      <c r="BL13" s="518">
        <f t="shared" si="17"/>
        <v>0</v>
      </c>
      <c r="BM13" s="518">
        <f t="shared" si="18"/>
        <v>0</v>
      </c>
      <c r="BN13" s="518">
        <f t="shared" si="19"/>
        <v>0</v>
      </c>
      <c r="BO13" s="655">
        <f t="shared" si="20"/>
        <v>0</v>
      </c>
      <c r="BP13" s="693">
        <f t="shared" si="21"/>
        <v>0</v>
      </c>
      <c r="BQ13" s="694"/>
      <c r="BR13" s="519"/>
      <c r="BT13" s="439">
        <f t="shared" si="22"/>
        <v>0</v>
      </c>
      <c r="BU13" s="439">
        <f t="shared" si="23"/>
        <v>0</v>
      </c>
      <c r="BV13" s="439">
        <f t="shared" si="24"/>
        <v>0</v>
      </c>
      <c r="BY13" s="862">
        <f t="shared" si="25"/>
        <v>727218.66399999999</v>
      </c>
      <c r="BZ13" s="862">
        <f t="shared" si="26"/>
        <v>311665.14199999999</v>
      </c>
      <c r="CA13" s="862">
        <f t="shared" si="27"/>
        <v>87266.240000000005</v>
      </c>
      <c r="CB13" s="862">
        <f t="shared" si="28"/>
        <v>9349.9500000000007</v>
      </c>
      <c r="CC13" s="863">
        <f t="shared" si="29"/>
        <v>814484.9</v>
      </c>
      <c r="CD13" s="863">
        <f t="shared" si="30"/>
        <v>321015.09000000003</v>
      </c>
      <c r="CE13" s="864">
        <f t="shared" si="31"/>
        <v>1135499.99</v>
      </c>
      <c r="CF13" s="862">
        <f t="shared" si="32"/>
        <v>-1.0000000009313226E-2</v>
      </c>
    </row>
    <row r="14" spans="1:84" s="429" customFormat="1" ht="13.9" customHeight="1" x14ac:dyDescent="0.25">
      <c r="A14" s="472"/>
      <c r="B14" s="436">
        <v>108</v>
      </c>
      <c r="C14" s="436" t="s">
        <v>375</v>
      </c>
      <c r="D14" s="436"/>
      <c r="E14" s="436"/>
      <c r="G14" s="473"/>
      <c r="H14" s="436" t="s">
        <v>374</v>
      </c>
      <c r="I14" s="472">
        <v>1319300</v>
      </c>
      <c r="J14" s="472">
        <v>92400</v>
      </c>
      <c r="K14" s="507">
        <v>0</v>
      </c>
      <c r="L14" s="507">
        <v>0</v>
      </c>
      <c r="M14" s="507">
        <v>0</v>
      </c>
      <c r="N14" s="507">
        <v>0</v>
      </c>
      <c r="O14" s="507">
        <v>0</v>
      </c>
      <c r="P14" s="507">
        <v>0</v>
      </c>
      <c r="Q14" s="507">
        <v>0</v>
      </c>
      <c r="R14" s="507">
        <v>0</v>
      </c>
      <c r="S14" s="507">
        <v>0</v>
      </c>
      <c r="T14" s="507">
        <v>0</v>
      </c>
      <c r="U14" s="507">
        <v>0</v>
      </c>
      <c r="V14" s="507">
        <v>0</v>
      </c>
      <c r="W14" s="507">
        <v>0</v>
      </c>
      <c r="X14" s="507">
        <v>0</v>
      </c>
      <c r="Y14" s="507">
        <v>0</v>
      </c>
      <c r="Z14" s="507">
        <v>0</v>
      </c>
      <c r="AA14" s="507">
        <v>0</v>
      </c>
      <c r="AB14" s="507">
        <v>0</v>
      </c>
      <c r="AC14" s="507">
        <v>0</v>
      </c>
      <c r="AD14" s="507">
        <v>0</v>
      </c>
      <c r="AE14" s="507">
        <v>0</v>
      </c>
      <c r="AF14" s="507">
        <v>0</v>
      </c>
      <c r="AG14" s="507">
        <v>0</v>
      </c>
      <c r="AH14" s="507">
        <v>0</v>
      </c>
      <c r="AI14" s="507">
        <v>0</v>
      </c>
      <c r="AJ14" s="507">
        <v>0</v>
      </c>
      <c r="AK14" s="508"/>
      <c r="AL14" s="508"/>
      <c r="AM14" s="508"/>
      <c r="AN14" s="509">
        <v>0</v>
      </c>
      <c r="AO14" s="509">
        <v>0</v>
      </c>
      <c r="AP14" s="509">
        <v>0</v>
      </c>
      <c r="AQ14" s="509">
        <v>0</v>
      </c>
      <c r="AR14" s="508"/>
      <c r="AS14" s="508"/>
      <c r="AT14" s="510">
        <f t="shared" si="33"/>
        <v>0</v>
      </c>
      <c r="AU14" s="512">
        <f t="shared" si="3"/>
        <v>0</v>
      </c>
      <c r="AV14" s="511">
        <f t="shared" si="4"/>
        <v>0</v>
      </c>
      <c r="AW14" s="558">
        <f t="shared" si="5"/>
        <v>0</v>
      </c>
      <c r="AX14" s="513">
        <f t="shared" si="6"/>
        <v>1319300</v>
      </c>
      <c r="AY14" s="514">
        <f t="shared" si="7"/>
        <v>1</v>
      </c>
      <c r="AZ14" s="513">
        <f t="shared" si="8"/>
        <v>0</v>
      </c>
      <c r="BA14" s="515" t="str">
        <f t="shared" si="9"/>
        <v>Disponible</v>
      </c>
      <c r="BB14" s="516" t="str">
        <f t="shared" si="10"/>
        <v>Disponible</v>
      </c>
      <c r="BC14" s="551"/>
      <c r="BD14" s="693">
        <f t="shared" si="11"/>
        <v>0</v>
      </c>
      <c r="BE14" s="693">
        <f t="shared" si="12"/>
        <v>0</v>
      </c>
      <c r="BF14" s="517"/>
      <c r="BG14" s="517"/>
      <c r="BH14" s="693">
        <f t="shared" si="13"/>
        <v>0</v>
      </c>
      <c r="BI14" s="693">
        <f t="shared" si="14"/>
        <v>0</v>
      </c>
      <c r="BJ14" s="655">
        <f t="shared" si="15"/>
        <v>0</v>
      </c>
      <c r="BK14" s="518">
        <f t="shared" si="16"/>
        <v>0</v>
      </c>
      <c r="BL14" s="518">
        <f t="shared" si="17"/>
        <v>0</v>
      </c>
      <c r="BM14" s="518">
        <f t="shared" si="18"/>
        <v>0</v>
      </c>
      <c r="BN14" s="518">
        <f t="shared" si="19"/>
        <v>0</v>
      </c>
      <c r="BO14" s="655">
        <f t="shared" si="20"/>
        <v>0</v>
      </c>
      <c r="BP14" s="693">
        <f t="shared" si="21"/>
        <v>0</v>
      </c>
      <c r="BQ14" s="696"/>
      <c r="BR14" s="519"/>
      <c r="BT14" s="439">
        <f t="shared" si="22"/>
        <v>0</v>
      </c>
      <c r="BU14" s="439">
        <f t="shared" si="23"/>
        <v>0</v>
      </c>
      <c r="BV14" s="439">
        <f t="shared" si="24"/>
        <v>0</v>
      </c>
      <c r="BY14" s="862">
        <f t="shared" si="25"/>
        <v>844931.38199999998</v>
      </c>
      <c r="BZ14" s="862">
        <f t="shared" si="26"/>
        <v>362113.44900000002</v>
      </c>
      <c r="CA14" s="862">
        <f t="shared" si="27"/>
        <v>101391.77</v>
      </c>
      <c r="CB14" s="862">
        <f t="shared" si="28"/>
        <v>10863.4</v>
      </c>
      <c r="CC14" s="863">
        <f t="shared" si="29"/>
        <v>946323.15</v>
      </c>
      <c r="CD14" s="863">
        <f t="shared" si="30"/>
        <v>372976.85</v>
      </c>
      <c r="CE14" s="864">
        <f t="shared" si="31"/>
        <v>1319300</v>
      </c>
      <c r="CF14" s="862">
        <f t="shared" si="32"/>
        <v>0</v>
      </c>
    </row>
    <row r="15" spans="1:84" s="429" customFormat="1" ht="13.9" customHeight="1" x14ac:dyDescent="0.25">
      <c r="A15" s="472"/>
      <c r="B15" s="436">
        <v>109</v>
      </c>
      <c r="C15" s="436" t="s">
        <v>376</v>
      </c>
      <c r="D15" s="436"/>
      <c r="E15" s="436" t="s">
        <v>366</v>
      </c>
      <c r="F15" s="429" t="s">
        <v>377</v>
      </c>
      <c r="G15" s="473">
        <v>45471</v>
      </c>
      <c r="H15" s="436" t="s">
        <v>128</v>
      </c>
      <c r="I15" s="472">
        <v>1486576</v>
      </c>
      <c r="J15" s="472">
        <v>148676</v>
      </c>
      <c r="K15" s="507">
        <v>0</v>
      </c>
      <c r="L15" s="507">
        <v>0</v>
      </c>
      <c r="M15" s="507">
        <v>0</v>
      </c>
      <c r="N15" s="507">
        <v>0</v>
      </c>
      <c r="O15" s="507">
        <v>0</v>
      </c>
      <c r="P15" s="507">
        <v>0</v>
      </c>
      <c r="Q15" s="507">
        <v>0</v>
      </c>
      <c r="R15" s="507">
        <v>0</v>
      </c>
      <c r="S15" s="507">
        <v>0</v>
      </c>
      <c r="T15" s="507">
        <v>0</v>
      </c>
      <c r="U15" s="507">
        <v>0</v>
      </c>
      <c r="V15" s="507">
        <v>0</v>
      </c>
      <c r="W15" s="507">
        <v>0</v>
      </c>
      <c r="X15" s="507">
        <v>0</v>
      </c>
      <c r="Y15" s="507">
        <v>0</v>
      </c>
      <c r="Z15" s="507">
        <v>5000</v>
      </c>
      <c r="AA15" s="507">
        <v>5000</v>
      </c>
      <c r="AB15" s="507">
        <v>7704</v>
      </c>
      <c r="AC15" s="507">
        <v>7704</v>
      </c>
      <c r="AD15" s="507">
        <v>7704</v>
      </c>
      <c r="AE15" s="507">
        <v>7704</v>
      </c>
      <c r="AF15" s="507">
        <v>7704</v>
      </c>
      <c r="AG15" s="507">
        <v>7704</v>
      </c>
      <c r="AH15" s="507">
        <v>7704</v>
      </c>
      <c r="AI15" s="507">
        <v>7704</v>
      </c>
      <c r="AJ15" s="507">
        <v>7704</v>
      </c>
      <c r="AK15" s="508">
        <v>7704</v>
      </c>
      <c r="AL15" s="508">
        <v>7704</v>
      </c>
      <c r="AM15" s="509">
        <v>7704</v>
      </c>
      <c r="AN15" s="509">
        <v>7704</v>
      </c>
      <c r="AO15" s="509">
        <v>7704</v>
      </c>
      <c r="AP15" s="509">
        <v>0</v>
      </c>
      <c r="AQ15" s="509">
        <v>7704</v>
      </c>
      <c r="AR15" s="509">
        <f>7704+7704</f>
        <v>15408</v>
      </c>
      <c r="AS15" s="509">
        <v>7704</v>
      </c>
      <c r="AT15" s="510">
        <f t="shared" si="33"/>
        <v>148672</v>
      </c>
      <c r="AU15" s="512">
        <f t="shared" si="3"/>
        <v>0.99997309585945282</v>
      </c>
      <c r="AV15" s="511">
        <f t="shared" si="4"/>
        <v>-4</v>
      </c>
      <c r="AW15" s="558">
        <f t="shared" si="5"/>
        <v>-2.6904140547230218E-5</v>
      </c>
      <c r="AX15" s="513">
        <f t="shared" si="6"/>
        <v>1337904</v>
      </c>
      <c r="AY15" s="514">
        <f t="shared" si="7"/>
        <v>0.89999031331058754</v>
      </c>
      <c r="AZ15" s="513">
        <f t="shared" si="8"/>
        <v>148676</v>
      </c>
      <c r="BA15" s="515" t="str">
        <f t="shared" si="9"/>
        <v>Vendido</v>
      </c>
      <c r="BB15" s="516" t="str">
        <f t="shared" si="10"/>
        <v>Cliente al día</v>
      </c>
      <c r="BC15" s="551">
        <v>18</v>
      </c>
      <c r="BD15" s="693">
        <f t="shared" si="11"/>
        <v>1</v>
      </c>
      <c r="BE15" s="693">
        <f t="shared" si="12"/>
        <v>19</v>
      </c>
      <c r="BF15" s="517">
        <v>10000</v>
      </c>
      <c r="BG15" s="517">
        <v>7704</v>
      </c>
      <c r="BH15" s="693">
        <f t="shared" si="13"/>
        <v>18</v>
      </c>
      <c r="BI15" s="693">
        <f t="shared" si="14"/>
        <v>18</v>
      </c>
      <c r="BJ15" s="655">
        <f t="shared" si="15"/>
        <v>148672</v>
      </c>
      <c r="BK15" s="518">
        <f t="shared" si="16"/>
        <v>133264</v>
      </c>
      <c r="BL15" s="518">
        <f t="shared" si="17"/>
        <v>15408</v>
      </c>
      <c r="BM15" s="518">
        <f t="shared" si="18"/>
        <v>0</v>
      </c>
      <c r="BN15" s="518">
        <f t="shared" si="19"/>
        <v>0</v>
      </c>
      <c r="BO15" s="655">
        <f t="shared" si="20"/>
        <v>0</v>
      </c>
      <c r="BP15" s="693">
        <f t="shared" si="21"/>
        <v>0</v>
      </c>
      <c r="BQ15" s="696"/>
      <c r="BR15" s="519" t="s">
        <v>368</v>
      </c>
      <c r="BT15" s="439">
        <f t="shared" si="22"/>
        <v>0</v>
      </c>
      <c r="BU15" s="439">
        <f t="shared" si="23"/>
        <v>0</v>
      </c>
      <c r="BV15" s="439">
        <f t="shared" si="24"/>
        <v>0</v>
      </c>
      <c r="BY15" s="862">
        <f t="shared" si="25"/>
        <v>952061.48199999996</v>
      </c>
      <c r="BZ15" s="862">
        <f t="shared" si="26"/>
        <v>408026.34899999999</v>
      </c>
      <c r="CA15" s="862">
        <f t="shared" si="27"/>
        <v>114247.38</v>
      </c>
      <c r="CB15" s="862">
        <f t="shared" si="28"/>
        <v>12240.79</v>
      </c>
      <c r="CC15" s="863">
        <f t="shared" si="29"/>
        <v>1066308.8600000001</v>
      </c>
      <c r="CD15" s="863">
        <f t="shared" si="30"/>
        <v>420267.14</v>
      </c>
      <c r="CE15" s="864">
        <f t="shared" si="31"/>
        <v>1486576</v>
      </c>
      <c r="CF15" s="862">
        <f t="shared" si="32"/>
        <v>0</v>
      </c>
    </row>
    <row r="16" spans="1:84" s="429" customFormat="1" ht="13.9" customHeight="1" x14ac:dyDescent="0.25">
      <c r="A16" s="472"/>
      <c r="B16" s="436">
        <v>110</v>
      </c>
      <c r="C16" s="436" t="s">
        <v>378</v>
      </c>
      <c r="D16" s="436"/>
      <c r="E16" s="436" t="s">
        <v>366</v>
      </c>
      <c r="F16" s="429" t="s">
        <v>379</v>
      </c>
      <c r="G16" s="473">
        <v>45088</v>
      </c>
      <c r="H16" s="436" t="s">
        <v>128</v>
      </c>
      <c r="I16" s="472">
        <v>680900</v>
      </c>
      <c r="J16" s="472">
        <v>68100</v>
      </c>
      <c r="K16" s="507">
        <v>0</v>
      </c>
      <c r="L16" s="507">
        <v>0</v>
      </c>
      <c r="M16" s="507">
        <v>0</v>
      </c>
      <c r="N16" s="507">
        <v>6000</v>
      </c>
      <c r="O16" s="507">
        <v>0</v>
      </c>
      <c r="P16" s="507">
        <v>2388</v>
      </c>
      <c r="Q16" s="507">
        <v>2388</v>
      </c>
      <c r="R16" s="507">
        <v>2388</v>
      </c>
      <c r="S16" s="507">
        <v>2388</v>
      </c>
      <c r="T16" s="507">
        <v>2388</v>
      </c>
      <c r="U16" s="507">
        <v>2388</v>
      </c>
      <c r="V16" s="507">
        <v>2388</v>
      </c>
      <c r="W16" s="507">
        <v>2388</v>
      </c>
      <c r="X16" s="507">
        <v>2388</v>
      </c>
      <c r="Y16" s="507">
        <v>2388</v>
      </c>
      <c r="Z16" s="507">
        <v>2388</v>
      </c>
      <c r="AA16" s="507">
        <v>2388</v>
      </c>
      <c r="AB16" s="507">
        <v>2388</v>
      </c>
      <c r="AC16" s="507">
        <v>2388</v>
      </c>
      <c r="AD16" s="507">
        <v>2388</v>
      </c>
      <c r="AE16" s="507">
        <v>2388</v>
      </c>
      <c r="AF16" s="507">
        <v>2388</v>
      </c>
      <c r="AG16" s="507">
        <v>2388</v>
      </c>
      <c r="AH16" s="507">
        <v>2388</v>
      </c>
      <c r="AI16" s="507">
        <v>2388</v>
      </c>
      <c r="AJ16" s="507">
        <v>2388</v>
      </c>
      <c r="AK16" s="508">
        <v>2388</v>
      </c>
      <c r="AL16" s="508">
        <v>2388</v>
      </c>
      <c r="AM16" s="509">
        <v>2388</v>
      </c>
      <c r="AN16" s="509">
        <v>2388</v>
      </c>
      <c r="AO16" s="509">
        <v>2388</v>
      </c>
      <c r="AP16" s="509">
        <v>2388</v>
      </c>
      <c r="AQ16" s="509">
        <v>2388</v>
      </c>
      <c r="AR16" s="509">
        <v>2388</v>
      </c>
      <c r="AS16" s="509"/>
      <c r="AT16" s="510">
        <f t="shared" si="33"/>
        <v>75252</v>
      </c>
      <c r="AU16" s="512">
        <f t="shared" si="3"/>
        <v>1.1050220264317181</v>
      </c>
      <c r="AV16" s="511">
        <f t="shared" si="4"/>
        <v>7152</v>
      </c>
      <c r="AW16" s="558">
        <f t="shared" si="5"/>
        <v>0.10502202643171807</v>
      </c>
      <c r="AX16" s="513">
        <f t="shared" si="6"/>
        <v>605648</v>
      </c>
      <c r="AY16" s="514">
        <f t="shared" si="7"/>
        <v>0.88948156851226323</v>
      </c>
      <c r="AZ16" s="513">
        <f t="shared" si="8"/>
        <v>68100</v>
      </c>
      <c r="BA16" s="515" t="str">
        <f t="shared" si="9"/>
        <v>Vendido</v>
      </c>
      <c r="BB16" s="516" t="str">
        <f t="shared" si="10"/>
        <v>Cliente Atrasado</v>
      </c>
      <c r="BC16" s="551">
        <v>26</v>
      </c>
      <c r="BD16" s="693">
        <f t="shared" si="11"/>
        <v>1</v>
      </c>
      <c r="BE16" s="693">
        <f t="shared" si="12"/>
        <v>27</v>
      </c>
      <c r="BF16" s="517">
        <v>6000</v>
      </c>
      <c r="BG16" s="517">
        <v>2388</v>
      </c>
      <c r="BH16" s="693">
        <f t="shared" si="13"/>
        <v>29</v>
      </c>
      <c r="BI16" s="693">
        <f t="shared" si="14"/>
        <v>31</v>
      </c>
      <c r="BJ16" s="655">
        <f t="shared" si="15"/>
        <v>80028</v>
      </c>
      <c r="BK16" s="518">
        <f t="shared" si="16"/>
        <v>69252</v>
      </c>
      <c r="BL16" s="518">
        <f t="shared" si="17"/>
        <v>6000</v>
      </c>
      <c r="BM16" s="518">
        <f t="shared" si="18"/>
        <v>0</v>
      </c>
      <c r="BN16" s="518">
        <f t="shared" si="19"/>
        <v>0</v>
      </c>
      <c r="BO16" s="655">
        <f t="shared" si="20"/>
        <v>4776</v>
      </c>
      <c r="BP16" s="693">
        <f t="shared" si="21"/>
        <v>2</v>
      </c>
      <c r="BQ16" s="696"/>
      <c r="BR16" s="519" t="s">
        <v>368</v>
      </c>
      <c r="BT16" s="439">
        <f t="shared" si="22"/>
        <v>-4776</v>
      </c>
      <c r="BU16" s="439">
        <f t="shared" si="23"/>
        <v>-4776</v>
      </c>
      <c r="BV16" s="439">
        <f t="shared" si="24"/>
        <v>0</v>
      </c>
      <c r="BY16" s="862">
        <f t="shared" si="25"/>
        <v>436075.02299999999</v>
      </c>
      <c r="BZ16" s="862">
        <f t="shared" si="26"/>
        <v>186889.296</v>
      </c>
      <c r="CA16" s="862">
        <f t="shared" si="27"/>
        <v>52329</v>
      </c>
      <c r="CB16" s="862">
        <f t="shared" si="28"/>
        <v>5606.68</v>
      </c>
      <c r="CC16" s="863">
        <f t="shared" si="29"/>
        <v>488404.02</v>
      </c>
      <c r="CD16" s="863">
        <f t="shared" si="30"/>
        <v>192495.98</v>
      </c>
      <c r="CE16" s="864">
        <f t="shared" si="31"/>
        <v>680900</v>
      </c>
      <c r="CF16" s="862">
        <f t="shared" si="32"/>
        <v>0</v>
      </c>
    </row>
    <row r="17" spans="1:84" s="429" customFormat="1" ht="13.9" customHeight="1" x14ac:dyDescent="0.25">
      <c r="A17" s="472"/>
      <c r="B17" s="436">
        <v>111</v>
      </c>
      <c r="C17" s="436" t="s">
        <v>380</v>
      </c>
      <c r="D17" s="436"/>
      <c r="E17" s="436" t="s">
        <v>356</v>
      </c>
      <c r="F17" s="429" t="s">
        <v>381</v>
      </c>
      <c r="G17" s="473">
        <v>45012</v>
      </c>
      <c r="H17" s="436" t="s">
        <v>128</v>
      </c>
      <c r="I17" s="472">
        <v>696700</v>
      </c>
      <c r="J17" s="472">
        <v>69700</v>
      </c>
      <c r="K17" s="507">
        <v>6000</v>
      </c>
      <c r="L17" s="507">
        <v>0</v>
      </c>
      <c r="M17" s="507">
        <v>2820</v>
      </c>
      <c r="N17" s="507">
        <v>1820</v>
      </c>
      <c r="O17" s="507">
        <v>1820</v>
      </c>
      <c r="P17" s="507">
        <v>1820</v>
      </c>
      <c r="Q17" s="507">
        <v>1820</v>
      </c>
      <c r="R17" s="507">
        <v>1820</v>
      </c>
      <c r="S17" s="507">
        <v>1820</v>
      </c>
      <c r="T17" s="507">
        <v>1820</v>
      </c>
      <c r="U17" s="507">
        <v>1820</v>
      </c>
      <c r="V17" s="507">
        <v>1820</v>
      </c>
      <c r="W17" s="507">
        <v>1820</v>
      </c>
      <c r="X17" s="507">
        <v>1820</v>
      </c>
      <c r="Y17" s="507">
        <v>1820</v>
      </c>
      <c r="Z17" s="507">
        <v>1820</v>
      </c>
      <c r="AA17" s="507">
        <v>1820</v>
      </c>
      <c r="AB17" s="507">
        <v>1820</v>
      </c>
      <c r="AC17" s="507">
        <v>1820</v>
      </c>
      <c r="AD17" s="507">
        <v>1820</v>
      </c>
      <c r="AE17" s="507">
        <v>1820</v>
      </c>
      <c r="AF17" s="507">
        <v>1820</v>
      </c>
      <c r="AG17" s="507">
        <v>1820</v>
      </c>
      <c r="AH17" s="507">
        <v>1820</v>
      </c>
      <c r="AI17" s="507">
        <v>1820</v>
      </c>
      <c r="AJ17" s="507">
        <v>1820</v>
      </c>
      <c r="AK17" s="508">
        <v>1820</v>
      </c>
      <c r="AL17" s="508">
        <v>1820</v>
      </c>
      <c r="AM17" s="509">
        <v>1820</v>
      </c>
      <c r="AN17" s="509">
        <v>1820</v>
      </c>
      <c r="AO17" s="509">
        <v>1820</v>
      </c>
      <c r="AP17" s="509">
        <v>1820</v>
      </c>
      <c r="AQ17" s="509">
        <v>1820</v>
      </c>
      <c r="AR17" s="509">
        <v>1820</v>
      </c>
      <c r="AS17" s="509">
        <v>1820</v>
      </c>
      <c r="AT17" s="510">
        <f t="shared" si="33"/>
        <v>67060</v>
      </c>
      <c r="AU17" s="512">
        <f t="shared" si="3"/>
        <v>0.96212338593974178</v>
      </c>
      <c r="AV17" s="511">
        <f t="shared" si="4"/>
        <v>-2640</v>
      </c>
      <c r="AW17" s="558">
        <f t="shared" si="5"/>
        <v>-3.7876614060258253E-2</v>
      </c>
      <c r="AX17" s="513">
        <f t="shared" si="6"/>
        <v>629640</v>
      </c>
      <c r="AY17" s="514">
        <f t="shared" si="7"/>
        <v>0.90374623223769202</v>
      </c>
      <c r="AZ17" s="513">
        <f t="shared" si="8"/>
        <v>69700</v>
      </c>
      <c r="BA17" s="515" t="str">
        <f t="shared" si="9"/>
        <v>Vendido</v>
      </c>
      <c r="BB17" s="516" t="str">
        <f t="shared" si="10"/>
        <v>Cliente al día</v>
      </c>
      <c r="BC17" s="551">
        <v>35</v>
      </c>
      <c r="BD17" s="693">
        <f t="shared" si="11"/>
        <v>1</v>
      </c>
      <c r="BE17" s="693">
        <f t="shared" si="12"/>
        <v>36</v>
      </c>
      <c r="BF17" s="517">
        <v>6000</v>
      </c>
      <c r="BG17" s="517">
        <v>1820</v>
      </c>
      <c r="BH17" s="693">
        <f t="shared" si="13"/>
        <v>33</v>
      </c>
      <c r="BI17" s="693">
        <f t="shared" si="14"/>
        <v>33</v>
      </c>
      <c r="BJ17" s="655">
        <f t="shared" si="15"/>
        <v>66060</v>
      </c>
      <c r="BK17" s="518">
        <f t="shared" si="16"/>
        <v>58240</v>
      </c>
      <c r="BL17" s="518">
        <f t="shared" si="17"/>
        <v>8820</v>
      </c>
      <c r="BM17" s="518">
        <f t="shared" si="18"/>
        <v>0</v>
      </c>
      <c r="BN17" s="518">
        <f t="shared" si="19"/>
        <v>1000</v>
      </c>
      <c r="BO17" s="655">
        <f t="shared" si="20"/>
        <v>0</v>
      </c>
      <c r="BP17" s="693">
        <f t="shared" si="21"/>
        <v>0</v>
      </c>
      <c r="BQ17" s="696"/>
      <c r="BR17" s="519"/>
      <c r="BT17" s="439">
        <f t="shared" si="22"/>
        <v>1000</v>
      </c>
      <c r="BU17" s="439">
        <f t="shared" si="23"/>
        <v>1000</v>
      </c>
      <c r="BV17" s="439">
        <f t="shared" si="24"/>
        <v>0</v>
      </c>
      <c r="BY17" s="862">
        <f t="shared" si="25"/>
        <v>446193.962</v>
      </c>
      <c r="BZ17" s="862">
        <f t="shared" si="26"/>
        <v>191225.984</v>
      </c>
      <c r="CA17" s="862">
        <f t="shared" si="27"/>
        <v>53543.28</v>
      </c>
      <c r="CB17" s="862">
        <f t="shared" si="28"/>
        <v>5736.78</v>
      </c>
      <c r="CC17" s="863">
        <f t="shared" si="29"/>
        <v>499737.24</v>
      </c>
      <c r="CD17" s="863">
        <f t="shared" si="30"/>
        <v>196962.76</v>
      </c>
      <c r="CE17" s="864">
        <f t="shared" si="31"/>
        <v>696700</v>
      </c>
      <c r="CF17" s="862">
        <f t="shared" si="32"/>
        <v>0</v>
      </c>
    </row>
    <row r="18" spans="1:84" s="429" customFormat="1" ht="13.9" customHeight="1" x14ac:dyDescent="0.25">
      <c r="A18" s="472"/>
      <c r="B18" s="436">
        <v>112</v>
      </c>
      <c r="C18" s="436" t="s">
        <v>382</v>
      </c>
      <c r="D18" s="436"/>
      <c r="E18" s="436" t="s">
        <v>383</v>
      </c>
      <c r="F18" s="429" t="s">
        <v>384</v>
      </c>
      <c r="G18" s="473">
        <v>45006</v>
      </c>
      <c r="H18" s="436" t="s">
        <v>128</v>
      </c>
      <c r="I18" s="472">
        <v>698900</v>
      </c>
      <c r="J18" s="472">
        <v>69900</v>
      </c>
      <c r="K18" s="507">
        <v>6000</v>
      </c>
      <c r="L18" s="507">
        <v>1826</v>
      </c>
      <c r="M18" s="507">
        <v>1826</v>
      </c>
      <c r="N18" s="507">
        <v>1826</v>
      </c>
      <c r="O18" s="507">
        <v>1826</v>
      </c>
      <c r="P18" s="507">
        <v>1826</v>
      </c>
      <c r="Q18" s="507">
        <v>1826</v>
      </c>
      <c r="R18" s="507">
        <v>1826</v>
      </c>
      <c r="S18" s="507">
        <v>1826</v>
      </c>
      <c r="T18" s="507">
        <v>1826</v>
      </c>
      <c r="U18" s="507">
        <v>1826</v>
      </c>
      <c r="V18" s="507">
        <v>1826</v>
      </c>
      <c r="W18" s="507">
        <v>1826</v>
      </c>
      <c r="X18" s="507">
        <v>1826</v>
      </c>
      <c r="Y18" s="507">
        <v>1826</v>
      </c>
      <c r="Z18" s="507">
        <v>1826</v>
      </c>
      <c r="AA18" s="507">
        <v>1826</v>
      </c>
      <c r="AB18" s="507">
        <v>1826</v>
      </c>
      <c r="AC18" s="507">
        <v>1826</v>
      </c>
      <c r="AD18" s="507">
        <v>1826</v>
      </c>
      <c r="AE18" s="507">
        <v>1826</v>
      </c>
      <c r="AF18" s="507">
        <v>1826</v>
      </c>
      <c r="AG18" s="507">
        <f>1826+150</f>
        <v>1976</v>
      </c>
      <c r="AH18" s="507">
        <f>1676+1826</f>
        <v>3502</v>
      </c>
      <c r="AI18" s="507"/>
      <c r="AJ18" s="507">
        <v>1826</v>
      </c>
      <c r="AK18" s="509">
        <v>1826</v>
      </c>
      <c r="AL18" s="509">
        <f>1826+1826</f>
        <v>3652</v>
      </c>
      <c r="AM18" s="509"/>
      <c r="AN18" s="509">
        <v>1826</v>
      </c>
      <c r="AO18" s="509">
        <v>1826</v>
      </c>
      <c r="AP18" s="509">
        <v>1826</v>
      </c>
      <c r="AQ18" s="509">
        <v>1826</v>
      </c>
      <c r="AR18" s="509">
        <v>1826</v>
      </c>
      <c r="AS18" s="509">
        <v>1826</v>
      </c>
      <c r="AT18" s="510">
        <f t="shared" si="33"/>
        <v>68084</v>
      </c>
      <c r="AU18" s="512">
        <f t="shared" si="3"/>
        <v>0.9740200286123033</v>
      </c>
      <c r="AV18" s="511">
        <f t="shared" si="4"/>
        <v>-1816</v>
      </c>
      <c r="AW18" s="558">
        <f t="shared" si="5"/>
        <v>-2.5979971387696709E-2</v>
      </c>
      <c r="AX18" s="513">
        <f t="shared" si="6"/>
        <v>630816</v>
      </c>
      <c r="AY18" s="514">
        <f t="shared" si="7"/>
        <v>0.902584060666762</v>
      </c>
      <c r="AZ18" s="513">
        <f t="shared" si="8"/>
        <v>69900</v>
      </c>
      <c r="BA18" s="515" t="str">
        <f t="shared" si="9"/>
        <v>Vendido</v>
      </c>
      <c r="BB18" s="516" t="str">
        <f t="shared" si="10"/>
        <v>Cliente al día</v>
      </c>
      <c r="BC18" s="551">
        <v>35</v>
      </c>
      <c r="BD18" s="693">
        <f t="shared" si="11"/>
        <v>1</v>
      </c>
      <c r="BE18" s="693">
        <f t="shared" si="12"/>
        <v>36</v>
      </c>
      <c r="BF18" s="517">
        <v>6000</v>
      </c>
      <c r="BG18" s="517">
        <v>1826</v>
      </c>
      <c r="BH18" s="693">
        <f t="shared" si="13"/>
        <v>32</v>
      </c>
      <c r="BI18" s="693">
        <f t="shared" si="14"/>
        <v>34</v>
      </c>
      <c r="BJ18" s="655">
        <f t="shared" si="15"/>
        <v>68084</v>
      </c>
      <c r="BK18" s="518">
        <f t="shared" si="16"/>
        <v>52954</v>
      </c>
      <c r="BL18" s="518">
        <f t="shared" si="17"/>
        <v>15130</v>
      </c>
      <c r="BM18" s="518">
        <f t="shared" si="18"/>
        <v>0</v>
      </c>
      <c r="BN18" s="518">
        <f t="shared" si="19"/>
        <v>0</v>
      </c>
      <c r="BO18" s="655">
        <f t="shared" si="20"/>
        <v>0</v>
      </c>
      <c r="BP18" s="693">
        <f t="shared" si="21"/>
        <v>0</v>
      </c>
      <c r="BQ18" s="696"/>
      <c r="BR18" s="519"/>
      <c r="BT18" s="439">
        <f t="shared" si="22"/>
        <v>0</v>
      </c>
      <c r="BU18" s="439">
        <f t="shared" si="23"/>
        <v>0</v>
      </c>
      <c r="BV18" s="439">
        <f t="shared" si="24"/>
        <v>0</v>
      </c>
      <c r="BY18" s="862">
        <f t="shared" si="25"/>
        <v>447602.92800000001</v>
      </c>
      <c r="BZ18" s="862">
        <f t="shared" si="26"/>
        <v>191829.826</v>
      </c>
      <c r="CA18" s="862">
        <f t="shared" si="27"/>
        <v>53712.35</v>
      </c>
      <c r="CB18" s="862">
        <f t="shared" si="28"/>
        <v>5754.89</v>
      </c>
      <c r="CC18" s="863">
        <f t="shared" si="29"/>
        <v>501315.28</v>
      </c>
      <c r="CD18" s="863">
        <f t="shared" si="30"/>
        <v>197584.72</v>
      </c>
      <c r="CE18" s="864">
        <f t="shared" si="31"/>
        <v>698900</v>
      </c>
      <c r="CF18" s="862">
        <f t="shared" si="32"/>
        <v>0</v>
      </c>
    </row>
    <row r="19" spans="1:84" s="429" customFormat="1" ht="13.9" customHeight="1" x14ac:dyDescent="0.25">
      <c r="A19" s="472"/>
      <c r="B19" s="477">
        <v>113</v>
      </c>
      <c r="C19" s="436" t="s">
        <v>385</v>
      </c>
      <c r="D19" s="641" t="s">
        <v>386</v>
      </c>
      <c r="E19" s="436" t="s">
        <v>366</v>
      </c>
      <c r="F19" s="429" t="s">
        <v>387</v>
      </c>
      <c r="G19" s="473">
        <v>45616</v>
      </c>
      <c r="H19" s="436" t="s">
        <v>128</v>
      </c>
      <c r="I19" s="472">
        <f>922656.85+363649.19</f>
        <v>1286306.04</v>
      </c>
      <c r="J19" s="472">
        <v>480000</v>
      </c>
      <c r="K19" s="507">
        <v>0</v>
      </c>
      <c r="L19" s="507">
        <v>0</v>
      </c>
      <c r="M19" s="507">
        <v>0</v>
      </c>
      <c r="N19" s="507">
        <v>0</v>
      </c>
      <c r="O19" s="507">
        <v>0</v>
      </c>
      <c r="P19" s="507">
        <v>0</v>
      </c>
      <c r="Q19" s="507">
        <v>0</v>
      </c>
      <c r="R19" s="507">
        <v>0</v>
      </c>
      <c r="S19" s="507">
        <v>0</v>
      </c>
      <c r="T19" s="507">
        <v>0</v>
      </c>
      <c r="U19" s="507">
        <v>0</v>
      </c>
      <c r="V19" s="507">
        <v>0</v>
      </c>
      <c r="W19" s="507">
        <v>0</v>
      </c>
      <c r="X19" s="507">
        <v>0</v>
      </c>
      <c r="Y19" s="507">
        <v>0</v>
      </c>
      <c r="Z19" s="507">
        <v>0</v>
      </c>
      <c r="AA19" s="507">
        <v>0</v>
      </c>
      <c r="AB19" s="507">
        <v>0</v>
      </c>
      <c r="AC19" s="507">
        <v>0</v>
      </c>
      <c r="AD19" s="507">
        <v>0</v>
      </c>
      <c r="AE19" s="507">
        <v>10000</v>
      </c>
      <c r="AF19" s="507">
        <f>20000+450000</f>
        <v>470000</v>
      </c>
      <c r="AG19" s="507">
        <v>0</v>
      </c>
      <c r="AH19" s="507">
        <v>0</v>
      </c>
      <c r="AI19" s="507">
        <v>0</v>
      </c>
      <c r="AJ19" s="507">
        <v>0</v>
      </c>
      <c r="AK19" s="508"/>
      <c r="AL19" s="508"/>
      <c r="AM19" s="508"/>
      <c r="AN19" s="509">
        <v>0</v>
      </c>
      <c r="AO19" s="509">
        <v>0</v>
      </c>
      <c r="AP19" s="509">
        <v>0</v>
      </c>
      <c r="AQ19" s="509">
        <v>0</v>
      </c>
      <c r="AR19" s="508"/>
      <c r="AS19" s="508"/>
      <c r="AT19" s="510">
        <f t="shared" si="33"/>
        <v>480000</v>
      </c>
      <c r="AU19" s="512">
        <f t="shared" si="3"/>
        <v>1</v>
      </c>
      <c r="AV19" s="511">
        <f t="shared" si="4"/>
        <v>0</v>
      </c>
      <c r="AW19" s="558">
        <f t="shared" si="5"/>
        <v>0</v>
      </c>
      <c r="AX19" s="513">
        <f t="shared" si="6"/>
        <v>806306.04</v>
      </c>
      <c r="AY19" s="514">
        <f t="shared" si="7"/>
        <v>0.62683841552979103</v>
      </c>
      <c r="AZ19" s="513">
        <f t="shared" si="8"/>
        <v>480000</v>
      </c>
      <c r="BA19" s="515" t="str">
        <f t="shared" si="9"/>
        <v>Vendido</v>
      </c>
      <c r="BB19" s="516" t="str">
        <f t="shared" si="10"/>
        <v>Cliente Atrasado</v>
      </c>
      <c r="BC19" s="643">
        <v>1</v>
      </c>
      <c r="BD19" s="693">
        <f t="shared" si="11"/>
        <v>0</v>
      </c>
      <c r="BE19" s="693">
        <f t="shared" si="12"/>
        <v>1</v>
      </c>
      <c r="BF19" s="644">
        <v>10000</v>
      </c>
      <c r="BG19" s="645">
        <v>470000</v>
      </c>
      <c r="BH19" s="693">
        <f t="shared" si="13"/>
        <v>0</v>
      </c>
      <c r="BI19" s="693">
        <f t="shared" si="14"/>
        <v>14</v>
      </c>
      <c r="BJ19" s="667">
        <f t="shared" si="15"/>
        <v>6590000</v>
      </c>
      <c r="BK19" s="518">
        <f t="shared" si="16"/>
        <v>480000</v>
      </c>
      <c r="BL19" s="518">
        <f t="shared" si="17"/>
        <v>0</v>
      </c>
      <c r="BM19" s="518">
        <f t="shared" si="18"/>
        <v>0</v>
      </c>
      <c r="BN19" s="518">
        <f t="shared" si="19"/>
        <v>0</v>
      </c>
      <c r="BO19" s="655">
        <v>0</v>
      </c>
      <c r="BP19" s="693">
        <f t="shared" si="21"/>
        <v>0</v>
      </c>
      <c r="BQ19" s="696" t="s">
        <v>388</v>
      </c>
      <c r="BR19" s="519"/>
      <c r="BT19" s="439">
        <f t="shared" si="22"/>
        <v>-6110000</v>
      </c>
      <c r="BU19" s="439">
        <f t="shared" si="23"/>
        <v>0</v>
      </c>
      <c r="BV19" s="439">
        <f t="shared" si="24"/>
        <v>-6110000</v>
      </c>
      <c r="BY19" s="862">
        <f t="shared" si="25"/>
        <v>823800.75800000003</v>
      </c>
      <c r="BZ19" s="862">
        <f t="shared" si="26"/>
        <v>353057.46799999999</v>
      </c>
      <c r="CA19" s="862">
        <f t="shared" si="27"/>
        <v>98856.09</v>
      </c>
      <c r="CB19" s="862">
        <f t="shared" si="28"/>
        <v>10591.72</v>
      </c>
      <c r="CC19" s="863">
        <f t="shared" si="29"/>
        <v>922656.85</v>
      </c>
      <c r="CD19" s="863">
        <f t="shared" si="30"/>
        <v>363649.19</v>
      </c>
      <c r="CE19" s="864">
        <f t="shared" si="31"/>
        <v>1286306.04</v>
      </c>
      <c r="CF19" s="862">
        <f t="shared" si="32"/>
        <v>0</v>
      </c>
    </row>
    <row r="20" spans="1:84" s="429" customFormat="1" ht="13.9" customHeight="1" x14ac:dyDescent="0.25">
      <c r="A20" s="472" t="s">
        <v>58</v>
      </c>
      <c r="B20" s="475">
        <v>114</v>
      </c>
      <c r="C20" s="475" t="s">
        <v>389</v>
      </c>
      <c r="D20" s="475"/>
      <c r="E20" s="475" t="s">
        <v>366</v>
      </c>
      <c r="F20" s="476" t="s">
        <v>390</v>
      </c>
      <c r="G20" s="473">
        <v>45012</v>
      </c>
      <c r="H20" s="436" t="s">
        <v>128</v>
      </c>
      <c r="I20" s="472">
        <v>993625.74667999998</v>
      </c>
      <c r="J20" s="472">
        <v>99425.75</v>
      </c>
      <c r="K20" s="507">
        <v>6000</v>
      </c>
      <c r="L20" s="507">
        <v>2669</v>
      </c>
      <c r="M20" s="507">
        <v>2669</v>
      </c>
      <c r="N20" s="507">
        <v>2669</v>
      </c>
      <c r="O20" s="507">
        <v>2669</v>
      </c>
      <c r="P20" s="507">
        <v>2669</v>
      </c>
      <c r="Q20" s="507">
        <v>2669</v>
      </c>
      <c r="R20" s="507">
        <v>2669</v>
      </c>
      <c r="S20" s="507">
        <v>2669</v>
      </c>
      <c r="T20" s="507">
        <v>2669</v>
      </c>
      <c r="U20" s="507">
        <v>2669</v>
      </c>
      <c r="V20" s="507">
        <v>2669</v>
      </c>
      <c r="W20" s="507">
        <v>2669</v>
      </c>
      <c r="X20" s="507">
        <v>2669</v>
      </c>
      <c r="Y20" s="507">
        <v>2669</v>
      </c>
      <c r="Z20" s="507">
        <v>2669</v>
      </c>
      <c r="AA20" s="507">
        <v>2669</v>
      </c>
      <c r="AB20" s="507">
        <v>2669</v>
      </c>
      <c r="AC20" s="507">
        <v>5338</v>
      </c>
      <c r="AD20" s="507">
        <v>0</v>
      </c>
      <c r="AE20" s="507">
        <v>2669</v>
      </c>
      <c r="AF20" s="507">
        <v>2669</v>
      </c>
      <c r="AG20" s="507">
        <v>2669</v>
      </c>
      <c r="AH20" s="507">
        <v>0</v>
      </c>
      <c r="AI20" s="507">
        <v>0</v>
      </c>
      <c r="AJ20" s="507">
        <v>0</v>
      </c>
      <c r="AK20" s="508"/>
      <c r="AL20" s="508"/>
      <c r="AM20" s="508"/>
      <c r="AN20" s="509">
        <v>0</v>
      </c>
      <c r="AO20" s="509">
        <v>0</v>
      </c>
      <c r="AP20" s="509">
        <v>0</v>
      </c>
      <c r="AQ20" s="509">
        <v>0</v>
      </c>
      <c r="AR20" s="508"/>
      <c r="AS20" s="508"/>
      <c r="AT20" s="510">
        <f t="shared" si="33"/>
        <v>64718</v>
      </c>
      <c r="AU20" s="512">
        <f t="shared" si="3"/>
        <v>0.65091789601788275</v>
      </c>
      <c r="AV20" s="511">
        <f t="shared" si="4"/>
        <v>-34707.75</v>
      </c>
      <c r="AW20" s="558">
        <f t="shared" si="5"/>
        <v>-0.34908210398211731</v>
      </c>
      <c r="AX20" s="513">
        <f t="shared" si="6"/>
        <v>928907.74667999998</v>
      </c>
      <c r="AY20" s="514">
        <f t="shared" si="7"/>
        <v>0.93486682464072401</v>
      </c>
      <c r="AZ20" s="513">
        <f t="shared" si="8"/>
        <v>99425.75</v>
      </c>
      <c r="BA20" s="515" t="str">
        <f t="shared" si="9"/>
        <v>Vendido</v>
      </c>
      <c r="BB20" s="516" t="str">
        <f t="shared" si="10"/>
        <v>Cliente Atrasado</v>
      </c>
      <c r="BC20" s="551">
        <v>35</v>
      </c>
      <c r="BD20" s="693">
        <f t="shared" si="11"/>
        <v>1</v>
      </c>
      <c r="BE20" s="693">
        <f t="shared" si="12"/>
        <v>36</v>
      </c>
      <c r="BF20" s="517">
        <v>6000</v>
      </c>
      <c r="BG20" s="517">
        <v>2669</v>
      </c>
      <c r="BH20" s="693">
        <f t="shared" si="13"/>
        <v>21</v>
      </c>
      <c r="BI20" s="693">
        <f t="shared" si="14"/>
        <v>33</v>
      </c>
      <c r="BJ20" s="655">
        <f t="shared" si="15"/>
        <v>94077</v>
      </c>
      <c r="BK20" s="518">
        <f t="shared" si="16"/>
        <v>53380</v>
      </c>
      <c r="BL20" s="518">
        <f t="shared" si="17"/>
        <v>11338</v>
      </c>
      <c r="BM20" s="518">
        <f t="shared" si="18"/>
        <v>0</v>
      </c>
      <c r="BN20" s="518">
        <f t="shared" si="19"/>
        <v>0</v>
      </c>
      <c r="BO20" s="655">
        <f t="shared" ref="BO20:BO46" si="34">IF(AT20&lt;BJ20,BJ20-AT20,0)</f>
        <v>29359</v>
      </c>
      <c r="BP20" s="693" t="str">
        <f t="shared" si="21"/>
        <v/>
      </c>
      <c r="BQ20" s="695" t="s">
        <v>58</v>
      </c>
      <c r="BR20" s="519"/>
      <c r="BT20" s="439">
        <f t="shared" si="22"/>
        <v>-29359</v>
      </c>
      <c r="BU20" s="439">
        <f t="shared" si="23"/>
        <v>-29359</v>
      </c>
      <c r="BV20" s="439">
        <f t="shared" si="24"/>
        <v>0</v>
      </c>
      <c r="BY20" s="862">
        <f t="shared" si="25"/>
        <v>636356.83700000006</v>
      </c>
      <c r="BZ20" s="862">
        <f t="shared" si="26"/>
        <v>272724.359</v>
      </c>
      <c r="CA20" s="862">
        <f t="shared" si="27"/>
        <v>76362.820000000007</v>
      </c>
      <c r="CB20" s="862">
        <f t="shared" si="28"/>
        <v>8181.73</v>
      </c>
      <c r="CC20" s="863">
        <f t="shared" si="29"/>
        <v>712719.66</v>
      </c>
      <c r="CD20" s="863">
        <f t="shared" si="30"/>
        <v>280906.09000000003</v>
      </c>
      <c r="CE20" s="864">
        <f t="shared" si="31"/>
        <v>993625.75</v>
      </c>
      <c r="CF20" s="862">
        <f t="shared" si="32"/>
        <v>3.3200000179931521E-3</v>
      </c>
    </row>
    <row r="21" spans="1:84" s="429" customFormat="1" ht="13.9" customHeight="1" x14ac:dyDescent="0.25">
      <c r="A21" s="472"/>
      <c r="B21" s="436">
        <v>201</v>
      </c>
      <c r="C21" s="436" t="s">
        <v>391</v>
      </c>
      <c r="D21" s="436"/>
      <c r="E21" s="436"/>
      <c r="G21" s="473"/>
      <c r="H21" s="436" t="s">
        <v>374</v>
      </c>
      <c r="I21" s="472">
        <v>1295000</v>
      </c>
      <c r="J21" s="472">
        <v>90700</v>
      </c>
      <c r="K21" s="507">
        <v>0</v>
      </c>
      <c r="L21" s="507">
        <v>0</v>
      </c>
      <c r="M21" s="507">
        <v>0</v>
      </c>
      <c r="N21" s="507">
        <v>0</v>
      </c>
      <c r="O21" s="507">
        <v>0</v>
      </c>
      <c r="P21" s="507">
        <v>0</v>
      </c>
      <c r="Q21" s="507">
        <v>0</v>
      </c>
      <c r="R21" s="507">
        <v>0</v>
      </c>
      <c r="S21" s="507">
        <v>0</v>
      </c>
      <c r="T21" s="507">
        <v>0</v>
      </c>
      <c r="U21" s="507">
        <v>0</v>
      </c>
      <c r="V21" s="507">
        <v>0</v>
      </c>
      <c r="W21" s="507">
        <v>0</v>
      </c>
      <c r="X21" s="507">
        <v>0</v>
      </c>
      <c r="Y21" s="507">
        <v>0</v>
      </c>
      <c r="Z21" s="507">
        <v>0</v>
      </c>
      <c r="AA21" s="507">
        <v>0</v>
      </c>
      <c r="AB21" s="507">
        <v>0</v>
      </c>
      <c r="AC21" s="507">
        <v>0</v>
      </c>
      <c r="AD21" s="507">
        <v>0</v>
      </c>
      <c r="AE21" s="507">
        <v>0</v>
      </c>
      <c r="AF21" s="507">
        <v>0</v>
      </c>
      <c r="AG21" s="507">
        <v>0</v>
      </c>
      <c r="AH21" s="507">
        <v>0</v>
      </c>
      <c r="AI21" s="507">
        <v>0</v>
      </c>
      <c r="AJ21" s="507">
        <v>0</v>
      </c>
      <c r="AK21" s="508"/>
      <c r="AL21" s="508"/>
      <c r="AM21" s="508"/>
      <c r="AN21" s="509">
        <v>0</v>
      </c>
      <c r="AO21" s="509">
        <v>0</v>
      </c>
      <c r="AP21" s="509">
        <v>0</v>
      </c>
      <c r="AQ21" s="509">
        <v>0</v>
      </c>
      <c r="AR21" s="508"/>
      <c r="AS21" s="508"/>
      <c r="AT21" s="510">
        <f t="shared" si="33"/>
        <v>0</v>
      </c>
      <c r="AU21" s="512">
        <f t="shared" si="3"/>
        <v>0</v>
      </c>
      <c r="AV21" s="511">
        <f t="shared" si="4"/>
        <v>0</v>
      </c>
      <c r="AW21" s="558">
        <f t="shared" si="5"/>
        <v>0</v>
      </c>
      <c r="AX21" s="513">
        <f t="shared" si="6"/>
        <v>1295000</v>
      </c>
      <c r="AY21" s="514">
        <f t="shared" si="7"/>
        <v>1</v>
      </c>
      <c r="AZ21" s="513">
        <f t="shared" si="8"/>
        <v>0</v>
      </c>
      <c r="BA21" s="515" t="str">
        <f t="shared" si="9"/>
        <v>Disponible</v>
      </c>
      <c r="BB21" s="516" t="str">
        <f t="shared" si="10"/>
        <v>Disponible</v>
      </c>
      <c r="BC21" s="551"/>
      <c r="BD21" s="693">
        <f t="shared" si="11"/>
        <v>0</v>
      </c>
      <c r="BE21" s="693">
        <f t="shared" si="12"/>
        <v>0</v>
      </c>
      <c r="BF21" s="517"/>
      <c r="BG21" s="517"/>
      <c r="BH21" s="693">
        <f t="shared" si="13"/>
        <v>0</v>
      </c>
      <c r="BI21" s="693">
        <f t="shared" si="14"/>
        <v>0</v>
      </c>
      <c r="BJ21" s="655">
        <f t="shared" si="15"/>
        <v>0</v>
      </c>
      <c r="BK21" s="518">
        <f t="shared" si="16"/>
        <v>0</v>
      </c>
      <c r="BL21" s="518">
        <f t="shared" si="17"/>
        <v>0</v>
      </c>
      <c r="BM21" s="518">
        <f t="shared" si="18"/>
        <v>0</v>
      </c>
      <c r="BN21" s="518">
        <f t="shared" si="19"/>
        <v>0</v>
      </c>
      <c r="BO21" s="655">
        <f t="shared" si="34"/>
        <v>0</v>
      </c>
      <c r="BP21" s="693">
        <f t="shared" si="21"/>
        <v>0</v>
      </c>
      <c r="BQ21" s="696"/>
      <c r="BR21" s="519"/>
      <c r="BT21" s="439">
        <f t="shared" si="22"/>
        <v>0</v>
      </c>
      <c r="BU21" s="439">
        <f t="shared" si="23"/>
        <v>0</v>
      </c>
      <c r="BV21" s="439">
        <f t="shared" si="24"/>
        <v>0</v>
      </c>
      <c r="BY21" s="862">
        <f t="shared" si="25"/>
        <v>829368.71</v>
      </c>
      <c r="BZ21" s="862">
        <f t="shared" si="26"/>
        <v>355443.73300000001</v>
      </c>
      <c r="CA21" s="862">
        <f t="shared" si="27"/>
        <v>99524.25</v>
      </c>
      <c r="CB21" s="862">
        <f t="shared" si="28"/>
        <v>10663.31</v>
      </c>
      <c r="CC21" s="863">
        <f t="shared" si="29"/>
        <v>928892.96</v>
      </c>
      <c r="CD21" s="863">
        <f t="shared" si="30"/>
        <v>366107.04</v>
      </c>
      <c r="CE21" s="864">
        <f t="shared" si="31"/>
        <v>1295000</v>
      </c>
      <c r="CF21" s="862">
        <f t="shared" si="32"/>
        <v>0</v>
      </c>
    </row>
    <row r="22" spans="1:84" s="429" customFormat="1" ht="13.9" customHeight="1" x14ac:dyDescent="0.25">
      <c r="A22" s="472"/>
      <c r="B22" s="436">
        <v>202</v>
      </c>
      <c r="C22" s="436" t="s">
        <v>194</v>
      </c>
      <c r="D22" s="436"/>
      <c r="E22" s="436" t="s">
        <v>366</v>
      </c>
      <c r="F22" s="429" t="s">
        <v>392</v>
      </c>
      <c r="G22" s="473">
        <v>45736</v>
      </c>
      <c r="H22" s="436" t="s">
        <v>128</v>
      </c>
      <c r="I22" s="472">
        <v>1321630.18875795</v>
      </c>
      <c r="J22" s="472">
        <v>132230.19</v>
      </c>
      <c r="K22" s="507">
        <v>0</v>
      </c>
      <c r="L22" s="507">
        <v>0</v>
      </c>
      <c r="M22" s="507">
        <v>0</v>
      </c>
      <c r="N22" s="507">
        <v>0</v>
      </c>
      <c r="O22" s="507">
        <v>0</v>
      </c>
      <c r="P22" s="507">
        <v>0</v>
      </c>
      <c r="Q22" s="507">
        <v>0</v>
      </c>
      <c r="R22" s="507">
        <v>0</v>
      </c>
      <c r="S22" s="507">
        <v>0</v>
      </c>
      <c r="T22" s="507">
        <v>0</v>
      </c>
      <c r="U22" s="507">
        <v>0</v>
      </c>
      <c r="V22" s="507">
        <v>0</v>
      </c>
      <c r="W22" s="507">
        <v>0</v>
      </c>
      <c r="X22" s="507">
        <v>0</v>
      </c>
      <c r="Y22" s="507">
        <v>0</v>
      </c>
      <c r="Z22" s="507">
        <v>0</v>
      </c>
      <c r="AA22" s="507">
        <v>0</v>
      </c>
      <c r="AB22" s="507">
        <v>0</v>
      </c>
      <c r="AC22" s="507">
        <v>0</v>
      </c>
      <c r="AD22" s="507">
        <v>0</v>
      </c>
      <c r="AE22" s="507">
        <v>0</v>
      </c>
      <c r="AF22" s="507">
        <v>0</v>
      </c>
      <c r="AG22" s="507">
        <v>0</v>
      </c>
      <c r="AH22" s="507">
        <v>0</v>
      </c>
      <c r="AI22" s="531">
        <v>10000</v>
      </c>
      <c r="AJ22" s="507">
        <v>10000</v>
      </c>
      <c r="AK22" s="508">
        <v>10000</v>
      </c>
      <c r="AL22" s="508">
        <v>8500</v>
      </c>
      <c r="AM22" s="509">
        <v>10000</v>
      </c>
      <c r="AN22" s="509">
        <v>8000</v>
      </c>
      <c r="AO22" s="509">
        <v>8000</v>
      </c>
      <c r="AP22" s="509">
        <v>8000</v>
      </c>
      <c r="AQ22" s="509">
        <v>8500</v>
      </c>
      <c r="AR22" s="509">
        <v>10000</v>
      </c>
      <c r="AS22" s="509">
        <v>9000</v>
      </c>
      <c r="AT22" s="510">
        <f t="shared" si="33"/>
        <v>100000</v>
      </c>
      <c r="AU22" s="512">
        <f t="shared" si="3"/>
        <v>0.75625694858337567</v>
      </c>
      <c r="AV22" s="511">
        <f t="shared" si="4"/>
        <v>-32230.190000000002</v>
      </c>
      <c r="AW22" s="558">
        <f t="shared" si="5"/>
        <v>-0.24374305141662431</v>
      </c>
      <c r="AX22" s="513">
        <f t="shared" si="6"/>
        <v>1221630.18875795</v>
      </c>
      <c r="AY22" s="514">
        <f t="shared" si="7"/>
        <v>0.92433586880004714</v>
      </c>
      <c r="AZ22" s="513">
        <f t="shared" si="8"/>
        <v>132230.19</v>
      </c>
      <c r="BA22" s="515" t="str">
        <f t="shared" si="9"/>
        <v>Vendido</v>
      </c>
      <c r="BB22" s="516" t="str">
        <f t="shared" si="10"/>
        <v>Cliente al día</v>
      </c>
      <c r="BC22" s="551">
        <v>14</v>
      </c>
      <c r="BD22" s="693">
        <f t="shared" si="11"/>
        <v>1</v>
      </c>
      <c r="BE22" s="693">
        <f t="shared" si="12"/>
        <v>15</v>
      </c>
      <c r="BF22" s="517">
        <v>10000</v>
      </c>
      <c r="BG22" s="517">
        <v>8731</v>
      </c>
      <c r="BH22" s="693">
        <f t="shared" si="13"/>
        <v>6</v>
      </c>
      <c r="BI22" s="693">
        <f t="shared" si="14"/>
        <v>10</v>
      </c>
      <c r="BJ22" s="655">
        <f t="shared" si="15"/>
        <v>97310</v>
      </c>
      <c r="BK22" s="518">
        <f t="shared" si="16"/>
        <v>41000</v>
      </c>
      <c r="BL22" s="518">
        <f t="shared" si="17"/>
        <v>59000</v>
      </c>
      <c r="BM22" s="518">
        <f t="shared" si="18"/>
        <v>0</v>
      </c>
      <c r="BN22" s="518">
        <f t="shared" si="19"/>
        <v>2690</v>
      </c>
      <c r="BO22" s="655">
        <f t="shared" si="34"/>
        <v>0</v>
      </c>
      <c r="BP22" s="693">
        <f t="shared" si="21"/>
        <v>0</v>
      </c>
      <c r="BQ22" s="696"/>
      <c r="BR22" s="519"/>
      <c r="BT22" s="439">
        <f t="shared" si="22"/>
        <v>2690</v>
      </c>
      <c r="BU22" s="439">
        <f t="shared" si="23"/>
        <v>2690</v>
      </c>
      <c r="BV22" s="439">
        <f t="shared" si="24"/>
        <v>0</v>
      </c>
      <c r="BY22" s="862">
        <f t="shared" si="25"/>
        <v>846423.72600000002</v>
      </c>
      <c r="BZ22" s="862">
        <f t="shared" si="26"/>
        <v>362753.02500000002</v>
      </c>
      <c r="CA22" s="862">
        <f t="shared" si="27"/>
        <v>101570.85</v>
      </c>
      <c r="CB22" s="862">
        <f t="shared" si="28"/>
        <v>10882.59</v>
      </c>
      <c r="CC22" s="863">
        <f t="shared" si="29"/>
        <v>947994.58</v>
      </c>
      <c r="CD22" s="863">
        <f t="shared" si="30"/>
        <v>373635.62</v>
      </c>
      <c r="CE22" s="864">
        <f t="shared" si="31"/>
        <v>1321630.2</v>
      </c>
      <c r="CF22" s="862">
        <f t="shared" si="32"/>
        <v>1.1242049979045987E-2</v>
      </c>
    </row>
    <row r="23" spans="1:84" s="429" customFormat="1" ht="13.9" customHeight="1" x14ac:dyDescent="0.25">
      <c r="A23" s="472"/>
      <c r="B23" s="436">
        <v>203</v>
      </c>
      <c r="C23" s="436" t="s">
        <v>393</v>
      </c>
      <c r="D23" s="436"/>
      <c r="E23" s="436"/>
      <c r="G23" s="473"/>
      <c r="H23" s="436" t="s">
        <v>374</v>
      </c>
      <c r="I23" s="472">
        <v>1250000</v>
      </c>
      <c r="J23" s="472">
        <v>87500</v>
      </c>
      <c r="K23" s="507">
        <v>0</v>
      </c>
      <c r="L23" s="507">
        <v>0</v>
      </c>
      <c r="M23" s="507">
        <v>0</v>
      </c>
      <c r="N23" s="507">
        <v>0</v>
      </c>
      <c r="O23" s="507">
        <v>0</v>
      </c>
      <c r="P23" s="507">
        <v>0</v>
      </c>
      <c r="Q23" s="507">
        <v>0</v>
      </c>
      <c r="R23" s="507">
        <v>0</v>
      </c>
      <c r="S23" s="507">
        <v>0</v>
      </c>
      <c r="T23" s="507">
        <v>0</v>
      </c>
      <c r="U23" s="507">
        <v>0</v>
      </c>
      <c r="V23" s="507">
        <v>0</v>
      </c>
      <c r="W23" s="507">
        <v>0</v>
      </c>
      <c r="X23" s="507">
        <v>0</v>
      </c>
      <c r="Y23" s="507">
        <v>0</v>
      </c>
      <c r="Z23" s="507">
        <v>0</v>
      </c>
      <c r="AA23" s="507">
        <v>0</v>
      </c>
      <c r="AB23" s="507">
        <v>0</v>
      </c>
      <c r="AC23" s="507">
        <v>0</v>
      </c>
      <c r="AD23" s="507">
        <v>0</v>
      </c>
      <c r="AE23" s="507">
        <v>0</v>
      </c>
      <c r="AF23" s="507">
        <v>0</v>
      </c>
      <c r="AG23" s="507">
        <v>0</v>
      </c>
      <c r="AH23" s="507">
        <v>0</v>
      </c>
      <c r="AI23" s="507">
        <v>0</v>
      </c>
      <c r="AJ23" s="507">
        <v>0</v>
      </c>
      <c r="AK23" s="508"/>
      <c r="AL23" s="508"/>
      <c r="AM23" s="508"/>
      <c r="AN23" s="509">
        <v>0</v>
      </c>
      <c r="AO23" s="509">
        <v>0</v>
      </c>
      <c r="AP23" s="509">
        <v>0</v>
      </c>
      <c r="AQ23" s="509">
        <v>0</v>
      </c>
      <c r="AR23" s="508"/>
      <c r="AS23" s="508"/>
      <c r="AT23" s="510">
        <f t="shared" si="33"/>
        <v>0</v>
      </c>
      <c r="AU23" s="512">
        <f t="shared" si="3"/>
        <v>0</v>
      </c>
      <c r="AV23" s="511">
        <f t="shared" si="4"/>
        <v>0</v>
      </c>
      <c r="AW23" s="558">
        <f t="shared" si="5"/>
        <v>0</v>
      </c>
      <c r="AX23" s="513">
        <f t="shared" si="6"/>
        <v>1250000</v>
      </c>
      <c r="AY23" s="514">
        <f t="shared" si="7"/>
        <v>1</v>
      </c>
      <c r="AZ23" s="513">
        <f t="shared" si="8"/>
        <v>0</v>
      </c>
      <c r="BA23" s="515" t="str">
        <f t="shared" si="9"/>
        <v>Disponible</v>
      </c>
      <c r="BB23" s="516" t="str">
        <f t="shared" si="10"/>
        <v>Disponible</v>
      </c>
      <c r="BC23" s="551"/>
      <c r="BD23" s="693">
        <f t="shared" si="11"/>
        <v>0</v>
      </c>
      <c r="BE23" s="693">
        <f t="shared" si="12"/>
        <v>0</v>
      </c>
      <c r="BF23" s="517"/>
      <c r="BG23" s="517"/>
      <c r="BH23" s="693">
        <f t="shared" si="13"/>
        <v>0</v>
      </c>
      <c r="BI23" s="693">
        <f t="shared" si="14"/>
        <v>0</v>
      </c>
      <c r="BJ23" s="655">
        <f t="shared" si="15"/>
        <v>0</v>
      </c>
      <c r="BK23" s="518">
        <f t="shared" si="16"/>
        <v>0</v>
      </c>
      <c r="BL23" s="518">
        <f t="shared" si="17"/>
        <v>0</v>
      </c>
      <c r="BM23" s="518">
        <f t="shared" si="18"/>
        <v>0</v>
      </c>
      <c r="BN23" s="518">
        <f t="shared" si="19"/>
        <v>0</v>
      </c>
      <c r="BO23" s="655">
        <f t="shared" si="34"/>
        <v>0</v>
      </c>
      <c r="BP23" s="693">
        <f t="shared" si="21"/>
        <v>0</v>
      </c>
      <c r="BQ23" s="696"/>
      <c r="BR23" s="519"/>
      <c r="BT23" s="439">
        <f t="shared" si="22"/>
        <v>0</v>
      </c>
      <c r="BU23" s="439">
        <f t="shared" si="23"/>
        <v>0</v>
      </c>
      <c r="BV23" s="439">
        <f t="shared" si="24"/>
        <v>0</v>
      </c>
      <c r="BY23" s="862">
        <f t="shared" si="25"/>
        <v>800548.94799999997</v>
      </c>
      <c r="BZ23" s="862">
        <f t="shared" si="26"/>
        <v>343092.40600000002</v>
      </c>
      <c r="CA23" s="862">
        <f t="shared" si="27"/>
        <v>96065.87</v>
      </c>
      <c r="CB23" s="862">
        <f t="shared" si="28"/>
        <v>10292.77</v>
      </c>
      <c r="CC23" s="863">
        <f t="shared" si="29"/>
        <v>896614.82</v>
      </c>
      <c r="CD23" s="863">
        <f t="shared" si="30"/>
        <v>353385.18</v>
      </c>
      <c r="CE23" s="864">
        <f t="shared" si="31"/>
        <v>1250000</v>
      </c>
      <c r="CF23" s="862">
        <f t="shared" si="32"/>
        <v>0</v>
      </c>
    </row>
    <row r="24" spans="1:84" s="429" customFormat="1" ht="13.9" customHeight="1" x14ac:dyDescent="0.25">
      <c r="A24" s="472"/>
      <c r="B24" s="436">
        <v>204</v>
      </c>
      <c r="C24" s="436" t="s">
        <v>172</v>
      </c>
      <c r="D24" s="436"/>
      <c r="E24" s="436" t="s">
        <v>366</v>
      </c>
      <c r="F24" s="429" t="s">
        <v>394</v>
      </c>
      <c r="G24" s="473">
        <v>45596</v>
      </c>
      <c r="H24" s="436" t="s">
        <v>128</v>
      </c>
      <c r="I24" s="472">
        <f>728621.48+287173.52</f>
        <v>1015795</v>
      </c>
      <c r="J24" s="472">
        <v>101595</v>
      </c>
      <c r="K24" s="507">
        <v>0</v>
      </c>
      <c r="L24" s="507">
        <v>0</v>
      </c>
      <c r="M24" s="507">
        <v>0</v>
      </c>
      <c r="N24" s="507">
        <v>0</v>
      </c>
      <c r="O24" s="507">
        <v>0</v>
      </c>
      <c r="P24" s="507">
        <v>0</v>
      </c>
      <c r="Q24" s="507">
        <v>0</v>
      </c>
      <c r="R24" s="507">
        <v>0</v>
      </c>
      <c r="S24" s="507">
        <v>0</v>
      </c>
      <c r="T24" s="507">
        <v>0</v>
      </c>
      <c r="U24" s="507">
        <v>0</v>
      </c>
      <c r="V24" s="507">
        <v>0</v>
      </c>
      <c r="W24" s="507">
        <v>0</v>
      </c>
      <c r="X24" s="507">
        <v>0</v>
      </c>
      <c r="Y24" s="507">
        <v>0</v>
      </c>
      <c r="Z24" s="507">
        <v>0</v>
      </c>
      <c r="AA24" s="507">
        <v>0</v>
      </c>
      <c r="AB24" s="507">
        <v>0</v>
      </c>
      <c r="AC24" s="507">
        <v>0</v>
      </c>
      <c r="AD24" s="507">
        <v>5000</v>
      </c>
      <c r="AE24" s="507">
        <v>0</v>
      </c>
      <c r="AF24" s="507">
        <f>5000+10000</f>
        <v>15000</v>
      </c>
      <c r="AG24" s="507">
        <v>7500</v>
      </c>
      <c r="AH24" s="507">
        <v>5000</v>
      </c>
      <c r="AI24" s="507">
        <v>10000</v>
      </c>
      <c r="AJ24" s="507">
        <v>10000</v>
      </c>
      <c r="AK24" s="508">
        <v>7500</v>
      </c>
      <c r="AL24" s="508">
        <v>10000</v>
      </c>
      <c r="AM24" s="509">
        <v>10000</v>
      </c>
      <c r="AN24" s="509">
        <v>10000</v>
      </c>
      <c r="AO24" s="509">
        <v>5000</v>
      </c>
      <c r="AP24" s="509">
        <v>5000</v>
      </c>
      <c r="AQ24" s="509">
        <v>5000</v>
      </c>
      <c r="AR24" s="509">
        <v>5000</v>
      </c>
      <c r="AS24" s="509">
        <v>5000</v>
      </c>
      <c r="AT24" s="510">
        <f t="shared" si="33"/>
        <v>115000</v>
      </c>
      <c r="AU24" s="512">
        <f t="shared" si="3"/>
        <v>1.1319454697573699</v>
      </c>
      <c r="AV24" s="511">
        <f t="shared" si="4"/>
        <v>13405</v>
      </c>
      <c r="AW24" s="558">
        <f t="shared" si="5"/>
        <v>0.13194546975736995</v>
      </c>
      <c r="AX24" s="513">
        <f t="shared" si="6"/>
        <v>900795</v>
      </c>
      <c r="AY24" s="514">
        <f t="shared" si="7"/>
        <v>0.88678818068606358</v>
      </c>
      <c r="AZ24" s="513">
        <f t="shared" si="8"/>
        <v>101595</v>
      </c>
      <c r="BA24" s="515" t="str">
        <f t="shared" si="9"/>
        <v>Vendido</v>
      </c>
      <c r="BB24" s="516" t="str">
        <f t="shared" si="10"/>
        <v>Superávit de Enganche</v>
      </c>
      <c r="BC24" s="551">
        <v>19</v>
      </c>
      <c r="BD24" s="693">
        <f t="shared" si="11"/>
        <v>1</v>
      </c>
      <c r="BE24" s="693">
        <f t="shared" si="12"/>
        <v>20</v>
      </c>
      <c r="BF24" s="517">
        <v>10000</v>
      </c>
      <c r="BG24" s="517">
        <v>4821</v>
      </c>
      <c r="BH24" s="693">
        <f t="shared" si="13"/>
        <v>9</v>
      </c>
      <c r="BI24" s="693">
        <f t="shared" si="14"/>
        <v>14</v>
      </c>
      <c r="BJ24" s="655">
        <f t="shared" si="15"/>
        <v>77494</v>
      </c>
      <c r="BK24" s="518">
        <f t="shared" si="16"/>
        <v>0</v>
      </c>
      <c r="BL24" s="518">
        <f t="shared" si="17"/>
        <v>115000</v>
      </c>
      <c r="BM24" s="518">
        <f t="shared" si="18"/>
        <v>0</v>
      </c>
      <c r="BN24" s="518">
        <f t="shared" si="19"/>
        <v>37506</v>
      </c>
      <c r="BO24" s="655">
        <f t="shared" si="34"/>
        <v>0</v>
      </c>
      <c r="BP24" s="693">
        <f t="shared" si="21"/>
        <v>0</v>
      </c>
      <c r="BQ24" s="696"/>
      <c r="BR24" s="519"/>
      <c r="BT24" s="439">
        <f t="shared" si="22"/>
        <v>37506</v>
      </c>
      <c r="BU24" s="439">
        <f t="shared" si="23"/>
        <v>37506</v>
      </c>
      <c r="BV24" s="439">
        <f t="shared" si="24"/>
        <v>0</v>
      </c>
      <c r="BY24" s="862">
        <f t="shared" si="25"/>
        <v>650554.89500000002</v>
      </c>
      <c r="BZ24" s="862">
        <f t="shared" si="26"/>
        <v>278809.24099999998</v>
      </c>
      <c r="CA24" s="862">
        <f t="shared" si="27"/>
        <v>78066.59</v>
      </c>
      <c r="CB24" s="862">
        <f t="shared" si="28"/>
        <v>8364.2800000000007</v>
      </c>
      <c r="CC24" s="863">
        <f t="shared" si="29"/>
        <v>728621.49</v>
      </c>
      <c r="CD24" s="863">
        <f t="shared" si="30"/>
        <v>287173.52</v>
      </c>
      <c r="CE24" s="864">
        <f t="shared" si="31"/>
        <v>1015795.01</v>
      </c>
      <c r="CF24" s="862">
        <f t="shared" si="32"/>
        <v>1.0000000009313226E-2</v>
      </c>
    </row>
    <row r="25" spans="1:84" s="429" customFormat="1" ht="13.9" customHeight="1" x14ac:dyDescent="0.25">
      <c r="B25" s="436">
        <v>205</v>
      </c>
      <c r="C25" s="436" t="s">
        <v>395</v>
      </c>
      <c r="D25" s="436"/>
      <c r="E25" s="436" t="s">
        <v>126</v>
      </c>
      <c r="F25" s="429" t="s">
        <v>396</v>
      </c>
      <c r="G25" s="473">
        <v>45706</v>
      </c>
      <c r="H25" s="436" t="s">
        <v>128</v>
      </c>
      <c r="I25" s="472">
        <v>1364055.8232212199</v>
      </c>
      <c r="J25" s="472">
        <v>136455.82</v>
      </c>
      <c r="K25" s="507">
        <v>0</v>
      </c>
      <c r="L25" s="507">
        <v>0</v>
      </c>
      <c r="M25" s="507">
        <v>0</v>
      </c>
      <c r="N25" s="507">
        <v>0</v>
      </c>
      <c r="O25" s="507">
        <v>0</v>
      </c>
      <c r="P25" s="507">
        <v>0</v>
      </c>
      <c r="Q25" s="507">
        <v>0</v>
      </c>
      <c r="R25" s="507">
        <v>0</v>
      </c>
      <c r="S25" s="507">
        <v>0</v>
      </c>
      <c r="T25" s="507">
        <v>0</v>
      </c>
      <c r="U25" s="507">
        <v>0</v>
      </c>
      <c r="V25" s="507">
        <v>0</v>
      </c>
      <c r="W25" s="507">
        <v>0</v>
      </c>
      <c r="X25" s="507">
        <v>0</v>
      </c>
      <c r="Y25" s="507">
        <v>0</v>
      </c>
      <c r="Z25" s="507">
        <v>0</v>
      </c>
      <c r="AA25" s="507">
        <v>0</v>
      </c>
      <c r="AB25" s="507">
        <v>0</v>
      </c>
      <c r="AC25" s="507">
        <v>0</v>
      </c>
      <c r="AD25" s="507">
        <v>0</v>
      </c>
      <c r="AE25" s="507">
        <v>0</v>
      </c>
      <c r="AF25" s="507">
        <v>0</v>
      </c>
      <c r="AG25" s="507">
        <v>0</v>
      </c>
      <c r="AH25" s="507">
        <v>10000</v>
      </c>
      <c r="AI25" s="507">
        <v>7903</v>
      </c>
      <c r="AJ25" s="507">
        <v>7903</v>
      </c>
      <c r="AK25" s="508">
        <v>7903</v>
      </c>
      <c r="AL25" s="508">
        <v>7903</v>
      </c>
      <c r="AM25" s="509">
        <v>7903</v>
      </c>
      <c r="AN25" s="509">
        <v>7903</v>
      </c>
      <c r="AO25" s="509">
        <v>7903</v>
      </c>
      <c r="AP25" s="509">
        <v>7903</v>
      </c>
      <c r="AQ25" s="509">
        <v>7903</v>
      </c>
      <c r="AR25" s="509">
        <v>7903</v>
      </c>
      <c r="AS25" s="509">
        <v>7903</v>
      </c>
      <c r="AT25" s="510">
        <f t="shared" si="33"/>
        <v>96933</v>
      </c>
      <c r="AU25" s="512">
        <f t="shared" si="3"/>
        <v>0.7103617859611997</v>
      </c>
      <c r="AV25" s="511">
        <f t="shared" si="4"/>
        <v>-39522.820000000007</v>
      </c>
      <c r="AW25" s="558">
        <f t="shared" si="5"/>
        <v>-0.2896382140388003</v>
      </c>
      <c r="AX25" s="513">
        <f t="shared" si="6"/>
        <v>1267122.8232212199</v>
      </c>
      <c r="AY25" s="514">
        <f t="shared" si="7"/>
        <v>0.92893765903869496</v>
      </c>
      <c r="AZ25" s="513">
        <f t="shared" si="8"/>
        <v>136455.82</v>
      </c>
      <c r="BA25" s="515" t="str">
        <f t="shared" si="9"/>
        <v>Vendido</v>
      </c>
      <c r="BB25" s="516" t="str">
        <f t="shared" si="10"/>
        <v>Cliente al día</v>
      </c>
      <c r="BC25" s="551">
        <v>16</v>
      </c>
      <c r="BD25" s="693">
        <f t="shared" si="11"/>
        <v>1</v>
      </c>
      <c r="BE25" s="693">
        <f t="shared" si="12"/>
        <v>17</v>
      </c>
      <c r="BF25" s="517">
        <v>10000</v>
      </c>
      <c r="BG25" s="517">
        <v>7903</v>
      </c>
      <c r="BH25" s="693">
        <f t="shared" si="13"/>
        <v>11</v>
      </c>
      <c r="BI25" s="693">
        <f t="shared" si="14"/>
        <v>11</v>
      </c>
      <c r="BJ25" s="655">
        <f t="shared" si="15"/>
        <v>96933</v>
      </c>
      <c r="BK25" s="518">
        <f t="shared" si="16"/>
        <v>86933</v>
      </c>
      <c r="BL25" s="518">
        <f t="shared" si="17"/>
        <v>10000</v>
      </c>
      <c r="BM25" s="518">
        <f t="shared" si="18"/>
        <v>0</v>
      </c>
      <c r="BN25" s="518">
        <f t="shared" si="19"/>
        <v>0</v>
      </c>
      <c r="BO25" s="655">
        <f t="shared" si="34"/>
        <v>0</v>
      </c>
      <c r="BP25" s="693">
        <f t="shared" si="21"/>
        <v>0</v>
      </c>
      <c r="BQ25" s="696"/>
      <c r="BR25" s="519"/>
      <c r="BT25" s="439">
        <f t="shared" si="22"/>
        <v>0</v>
      </c>
      <c r="BU25" s="439">
        <f t="shared" si="23"/>
        <v>0</v>
      </c>
      <c r="BV25" s="439">
        <f t="shared" si="24"/>
        <v>0</v>
      </c>
      <c r="BY25" s="862">
        <f t="shared" si="25"/>
        <v>873594.76300000004</v>
      </c>
      <c r="BZ25" s="862">
        <f t="shared" si="26"/>
        <v>374397.75599999999</v>
      </c>
      <c r="CA25" s="862">
        <f t="shared" si="27"/>
        <v>104831.37</v>
      </c>
      <c r="CB25" s="862">
        <f t="shared" si="28"/>
        <v>11231.93</v>
      </c>
      <c r="CC25" s="863">
        <f t="shared" si="29"/>
        <v>978426.13</v>
      </c>
      <c r="CD25" s="863">
        <f t="shared" si="30"/>
        <v>385629.69</v>
      </c>
      <c r="CE25" s="864">
        <f t="shared" si="31"/>
        <v>1364055.82</v>
      </c>
      <c r="CF25" s="862">
        <f t="shared" si="32"/>
        <v>-3.2212198711931705E-3</v>
      </c>
    </row>
    <row r="26" spans="1:84" s="429" customFormat="1" ht="13.9" customHeight="1" x14ac:dyDescent="0.25">
      <c r="A26" s="472"/>
      <c r="B26" s="436">
        <v>206</v>
      </c>
      <c r="C26" s="436" t="s">
        <v>397</v>
      </c>
      <c r="D26" s="436"/>
      <c r="E26" s="436"/>
      <c r="G26" s="473"/>
      <c r="H26" s="436" t="s">
        <v>374</v>
      </c>
      <c r="I26" s="472">
        <v>1009200</v>
      </c>
      <c r="J26" s="472">
        <v>70600</v>
      </c>
      <c r="K26" s="507">
        <v>0</v>
      </c>
      <c r="L26" s="507">
        <v>0</v>
      </c>
      <c r="M26" s="507">
        <v>0</v>
      </c>
      <c r="N26" s="507">
        <v>0</v>
      </c>
      <c r="O26" s="507">
        <v>0</v>
      </c>
      <c r="P26" s="507">
        <v>0</v>
      </c>
      <c r="Q26" s="507">
        <v>0</v>
      </c>
      <c r="R26" s="507">
        <v>0</v>
      </c>
      <c r="S26" s="507">
        <v>0</v>
      </c>
      <c r="T26" s="507">
        <v>0</v>
      </c>
      <c r="U26" s="507">
        <v>0</v>
      </c>
      <c r="V26" s="507">
        <v>0</v>
      </c>
      <c r="W26" s="507">
        <v>0</v>
      </c>
      <c r="X26" s="507">
        <v>0</v>
      </c>
      <c r="Y26" s="507">
        <v>0</v>
      </c>
      <c r="Z26" s="507">
        <v>0</v>
      </c>
      <c r="AA26" s="507">
        <v>0</v>
      </c>
      <c r="AB26" s="507">
        <v>0</v>
      </c>
      <c r="AC26" s="507">
        <v>0</v>
      </c>
      <c r="AD26" s="507">
        <v>0</v>
      </c>
      <c r="AE26" s="507">
        <v>0</v>
      </c>
      <c r="AF26" s="507">
        <v>0</v>
      </c>
      <c r="AG26" s="507">
        <v>0</v>
      </c>
      <c r="AH26" s="507">
        <v>0</v>
      </c>
      <c r="AI26" s="507">
        <v>0</v>
      </c>
      <c r="AJ26" s="507">
        <v>0</v>
      </c>
      <c r="AK26" s="508"/>
      <c r="AL26" s="508"/>
      <c r="AM26" s="508"/>
      <c r="AN26" s="509">
        <v>0</v>
      </c>
      <c r="AO26" s="509">
        <v>0</v>
      </c>
      <c r="AP26" s="509">
        <v>0</v>
      </c>
      <c r="AQ26" s="509">
        <v>0</v>
      </c>
      <c r="AR26" s="508"/>
      <c r="AS26" s="508"/>
      <c r="AT26" s="510">
        <f t="shared" si="33"/>
        <v>0</v>
      </c>
      <c r="AU26" s="512">
        <f t="shared" si="3"/>
        <v>0</v>
      </c>
      <c r="AV26" s="511">
        <f t="shared" si="4"/>
        <v>0</v>
      </c>
      <c r="AW26" s="558">
        <f t="shared" si="5"/>
        <v>0</v>
      </c>
      <c r="AX26" s="513">
        <f t="shared" si="6"/>
        <v>1009200</v>
      </c>
      <c r="AY26" s="514">
        <f t="shared" si="7"/>
        <v>1</v>
      </c>
      <c r="AZ26" s="513">
        <f t="shared" si="8"/>
        <v>0</v>
      </c>
      <c r="BA26" s="515" t="str">
        <f t="shared" si="9"/>
        <v>Disponible</v>
      </c>
      <c r="BB26" s="516" t="str">
        <f t="shared" si="10"/>
        <v>Disponible</v>
      </c>
      <c r="BC26" s="551"/>
      <c r="BD26" s="693">
        <f t="shared" si="11"/>
        <v>0</v>
      </c>
      <c r="BE26" s="693">
        <f t="shared" si="12"/>
        <v>0</v>
      </c>
      <c r="BF26" s="517"/>
      <c r="BG26" s="517"/>
      <c r="BH26" s="693">
        <f t="shared" si="13"/>
        <v>0</v>
      </c>
      <c r="BI26" s="693">
        <f t="shared" si="14"/>
        <v>0</v>
      </c>
      <c r="BJ26" s="655">
        <f t="shared" si="15"/>
        <v>0</v>
      </c>
      <c r="BK26" s="518">
        <f t="shared" si="16"/>
        <v>0</v>
      </c>
      <c r="BL26" s="518">
        <f t="shared" si="17"/>
        <v>0</v>
      </c>
      <c r="BM26" s="518">
        <f t="shared" si="18"/>
        <v>0</v>
      </c>
      <c r="BN26" s="518">
        <f t="shared" si="19"/>
        <v>0</v>
      </c>
      <c r="BO26" s="655">
        <f t="shared" si="34"/>
        <v>0</v>
      </c>
      <c r="BP26" s="693">
        <f t="shared" si="21"/>
        <v>0</v>
      </c>
      <c r="BQ26" s="696"/>
      <c r="BR26" s="519"/>
      <c r="BT26" s="439">
        <f t="shared" si="22"/>
        <v>0</v>
      </c>
      <c r="BU26" s="439">
        <f t="shared" si="23"/>
        <v>0</v>
      </c>
      <c r="BV26" s="439">
        <f t="shared" si="24"/>
        <v>0</v>
      </c>
      <c r="BY26" s="862">
        <f t="shared" si="25"/>
        <v>646331.19900000002</v>
      </c>
      <c r="BZ26" s="862">
        <f t="shared" si="26"/>
        <v>276999.08500000002</v>
      </c>
      <c r="CA26" s="862">
        <f t="shared" si="27"/>
        <v>77559.740000000005</v>
      </c>
      <c r="CB26" s="862">
        <f t="shared" si="28"/>
        <v>8309.9699999999993</v>
      </c>
      <c r="CC26" s="863">
        <f t="shared" si="29"/>
        <v>723890.94</v>
      </c>
      <c r="CD26" s="863">
        <f t="shared" si="30"/>
        <v>285309.06</v>
      </c>
      <c r="CE26" s="864">
        <f t="shared" si="31"/>
        <v>1009200</v>
      </c>
      <c r="CF26" s="862">
        <f t="shared" si="32"/>
        <v>0</v>
      </c>
    </row>
    <row r="27" spans="1:84" s="429" customFormat="1" ht="13.9" customHeight="1" x14ac:dyDescent="0.25">
      <c r="A27" s="472"/>
      <c r="B27" s="436">
        <v>207</v>
      </c>
      <c r="C27" s="436" t="s">
        <v>398</v>
      </c>
      <c r="D27" s="436"/>
      <c r="E27" s="436" t="s">
        <v>135</v>
      </c>
      <c r="G27" s="473"/>
      <c r="H27" s="436" t="s">
        <v>374</v>
      </c>
      <c r="I27" s="472">
        <v>1509100</v>
      </c>
      <c r="J27" s="472">
        <v>105600</v>
      </c>
      <c r="K27" s="507">
        <v>0</v>
      </c>
      <c r="L27" s="507">
        <v>0</v>
      </c>
      <c r="M27" s="507">
        <v>0</v>
      </c>
      <c r="N27" s="507">
        <v>0</v>
      </c>
      <c r="O27" s="507">
        <v>0</v>
      </c>
      <c r="P27" s="507">
        <v>0</v>
      </c>
      <c r="Q27" s="507">
        <v>0</v>
      </c>
      <c r="R27" s="507">
        <v>0</v>
      </c>
      <c r="S27" s="507">
        <v>0</v>
      </c>
      <c r="T27" s="507">
        <v>0</v>
      </c>
      <c r="U27" s="507">
        <v>0</v>
      </c>
      <c r="V27" s="507">
        <v>0</v>
      </c>
      <c r="W27" s="507">
        <v>0</v>
      </c>
      <c r="X27" s="507">
        <v>0</v>
      </c>
      <c r="Y27" s="507">
        <v>0</v>
      </c>
      <c r="Z27" s="507">
        <v>0</v>
      </c>
      <c r="AA27" s="507">
        <v>0</v>
      </c>
      <c r="AB27" s="507">
        <v>0</v>
      </c>
      <c r="AC27" s="507">
        <v>0</v>
      </c>
      <c r="AD27" s="507">
        <v>0</v>
      </c>
      <c r="AE27" s="507">
        <v>0</v>
      </c>
      <c r="AF27" s="507">
        <v>0</v>
      </c>
      <c r="AG27" s="507">
        <v>0</v>
      </c>
      <c r="AH27" s="507">
        <v>0</v>
      </c>
      <c r="AI27" s="507">
        <v>0</v>
      </c>
      <c r="AJ27" s="507">
        <v>0</v>
      </c>
      <c r="AK27" s="508"/>
      <c r="AL27" s="508"/>
      <c r="AM27" s="508"/>
      <c r="AN27" s="509">
        <v>0</v>
      </c>
      <c r="AO27" s="509">
        <v>0</v>
      </c>
      <c r="AP27" s="509">
        <v>0</v>
      </c>
      <c r="AQ27" s="509">
        <v>0</v>
      </c>
      <c r="AR27" s="508"/>
      <c r="AS27" s="508"/>
      <c r="AT27" s="510">
        <f t="shared" si="33"/>
        <v>0</v>
      </c>
      <c r="AU27" s="512">
        <f t="shared" si="3"/>
        <v>0</v>
      </c>
      <c r="AV27" s="511">
        <f t="shared" si="4"/>
        <v>0</v>
      </c>
      <c r="AW27" s="558">
        <f t="shared" si="5"/>
        <v>0</v>
      </c>
      <c r="AX27" s="513">
        <f t="shared" si="6"/>
        <v>1509100</v>
      </c>
      <c r="AY27" s="514">
        <f t="shared" si="7"/>
        <v>1</v>
      </c>
      <c r="AZ27" s="513">
        <f t="shared" si="8"/>
        <v>0</v>
      </c>
      <c r="BA27" s="515" t="str">
        <f t="shared" si="9"/>
        <v>Disponible</v>
      </c>
      <c r="BB27" s="516" t="str">
        <f t="shared" si="10"/>
        <v>Disponible</v>
      </c>
      <c r="BC27" s="551"/>
      <c r="BD27" s="693">
        <f t="shared" si="11"/>
        <v>0</v>
      </c>
      <c r="BE27" s="693">
        <f t="shared" si="12"/>
        <v>0</v>
      </c>
      <c r="BF27" s="517"/>
      <c r="BG27" s="517"/>
      <c r="BH27" s="693">
        <f t="shared" si="13"/>
        <v>0</v>
      </c>
      <c r="BI27" s="693">
        <f t="shared" si="14"/>
        <v>0</v>
      </c>
      <c r="BJ27" s="655">
        <f t="shared" si="15"/>
        <v>0</v>
      </c>
      <c r="BK27" s="518">
        <f t="shared" si="16"/>
        <v>0</v>
      </c>
      <c r="BL27" s="518">
        <f t="shared" si="17"/>
        <v>0</v>
      </c>
      <c r="BM27" s="518">
        <f t="shared" si="18"/>
        <v>0</v>
      </c>
      <c r="BN27" s="518">
        <f t="shared" si="19"/>
        <v>0</v>
      </c>
      <c r="BO27" s="655">
        <f t="shared" si="34"/>
        <v>0</v>
      </c>
      <c r="BP27" s="693">
        <f t="shared" si="21"/>
        <v>0</v>
      </c>
      <c r="BQ27" s="696"/>
      <c r="BR27" s="519"/>
      <c r="BT27" s="439">
        <f t="shared" si="22"/>
        <v>0</v>
      </c>
      <c r="BU27" s="439">
        <f t="shared" si="23"/>
        <v>0</v>
      </c>
      <c r="BV27" s="439">
        <f t="shared" si="24"/>
        <v>0</v>
      </c>
      <c r="BY27" s="862">
        <f t="shared" si="25"/>
        <v>966486.73400000005</v>
      </c>
      <c r="BZ27" s="862">
        <f t="shared" si="26"/>
        <v>414208.6</v>
      </c>
      <c r="CA27" s="862">
        <f t="shared" si="27"/>
        <v>115978.41</v>
      </c>
      <c r="CB27" s="862">
        <f t="shared" si="28"/>
        <v>12426.26</v>
      </c>
      <c r="CC27" s="863">
        <f t="shared" si="29"/>
        <v>1082465.1399999999</v>
      </c>
      <c r="CD27" s="863">
        <f t="shared" si="30"/>
        <v>426634.86</v>
      </c>
      <c r="CE27" s="864">
        <f t="shared" si="31"/>
        <v>1509100</v>
      </c>
      <c r="CF27" s="862">
        <f t="shared" si="32"/>
        <v>0</v>
      </c>
    </row>
    <row r="28" spans="1:84" s="429" customFormat="1" ht="13.9" customHeight="1" x14ac:dyDescent="0.25">
      <c r="A28" s="472"/>
      <c r="B28" s="436">
        <v>208</v>
      </c>
      <c r="C28" s="436" t="s">
        <v>399</v>
      </c>
      <c r="D28" s="436"/>
      <c r="E28" s="436"/>
      <c r="G28" s="473"/>
      <c r="H28" s="436" t="s">
        <v>374</v>
      </c>
      <c r="I28" s="472">
        <v>1356400</v>
      </c>
      <c r="J28" s="472">
        <v>94900</v>
      </c>
      <c r="K28" s="507">
        <v>0</v>
      </c>
      <c r="L28" s="507">
        <v>0</v>
      </c>
      <c r="M28" s="507">
        <v>0</v>
      </c>
      <c r="N28" s="507">
        <v>0</v>
      </c>
      <c r="O28" s="507">
        <v>0</v>
      </c>
      <c r="P28" s="507">
        <v>0</v>
      </c>
      <c r="Q28" s="507">
        <v>0</v>
      </c>
      <c r="R28" s="507">
        <v>0</v>
      </c>
      <c r="S28" s="507">
        <v>0</v>
      </c>
      <c r="T28" s="507">
        <v>0</v>
      </c>
      <c r="U28" s="507">
        <v>0</v>
      </c>
      <c r="V28" s="507">
        <v>0</v>
      </c>
      <c r="W28" s="507">
        <v>0</v>
      </c>
      <c r="X28" s="507">
        <v>0</v>
      </c>
      <c r="Y28" s="507">
        <v>0</v>
      </c>
      <c r="Z28" s="507">
        <v>0</v>
      </c>
      <c r="AA28" s="507">
        <v>0</v>
      </c>
      <c r="AB28" s="507">
        <v>0</v>
      </c>
      <c r="AC28" s="507">
        <v>0</v>
      </c>
      <c r="AD28" s="507">
        <v>0</v>
      </c>
      <c r="AE28" s="507">
        <v>0</v>
      </c>
      <c r="AF28" s="507">
        <v>0</v>
      </c>
      <c r="AG28" s="507">
        <v>0</v>
      </c>
      <c r="AH28" s="507">
        <v>0</v>
      </c>
      <c r="AI28" s="507">
        <v>0</v>
      </c>
      <c r="AJ28" s="507">
        <v>0</v>
      </c>
      <c r="AK28" s="508"/>
      <c r="AL28" s="508"/>
      <c r="AM28" s="508"/>
      <c r="AN28" s="509">
        <v>0</v>
      </c>
      <c r="AO28" s="509">
        <v>0</v>
      </c>
      <c r="AP28" s="509">
        <v>0</v>
      </c>
      <c r="AQ28" s="509">
        <v>0</v>
      </c>
      <c r="AR28" s="508"/>
      <c r="AS28" s="508"/>
      <c r="AT28" s="510">
        <f t="shared" si="33"/>
        <v>0</v>
      </c>
      <c r="AU28" s="512">
        <f t="shared" si="3"/>
        <v>0</v>
      </c>
      <c r="AV28" s="511">
        <f t="shared" si="4"/>
        <v>0</v>
      </c>
      <c r="AW28" s="558">
        <f t="shared" si="5"/>
        <v>0</v>
      </c>
      <c r="AX28" s="513">
        <f t="shared" si="6"/>
        <v>1356400</v>
      </c>
      <c r="AY28" s="514">
        <f t="shared" si="7"/>
        <v>1</v>
      </c>
      <c r="AZ28" s="513">
        <f t="shared" si="8"/>
        <v>0</v>
      </c>
      <c r="BA28" s="515" t="str">
        <f t="shared" si="9"/>
        <v>Disponible</v>
      </c>
      <c r="BB28" s="516" t="str">
        <f t="shared" si="10"/>
        <v>Disponible</v>
      </c>
      <c r="BC28" s="551"/>
      <c r="BD28" s="693">
        <f t="shared" si="11"/>
        <v>0</v>
      </c>
      <c r="BE28" s="693">
        <f t="shared" si="12"/>
        <v>0</v>
      </c>
      <c r="BF28" s="517"/>
      <c r="BG28" s="517"/>
      <c r="BH28" s="693">
        <f t="shared" si="13"/>
        <v>0</v>
      </c>
      <c r="BI28" s="693">
        <f t="shared" si="14"/>
        <v>0</v>
      </c>
      <c r="BJ28" s="655">
        <f t="shared" si="15"/>
        <v>0</v>
      </c>
      <c r="BK28" s="518">
        <f t="shared" si="16"/>
        <v>0</v>
      </c>
      <c r="BL28" s="518">
        <f t="shared" si="17"/>
        <v>0</v>
      </c>
      <c r="BM28" s="518">
        <f t="shared" si="18"/>
        <v>0</v>
      </c>
      <c r="BN28" s="518">
        <f t="shared" si="19"/>
        <v>0</v>
      </c>
      <c r="BO28" s="655">
        <f t="shared" si="34"/>
        <v>0</v>
      </c>
      <c r="BP28" s="693">
        <f t="shared" si="21"/>
        <v>0</v>
      </c>
      <c r="BQ28" s="696"/>
      <c r="BR28" s="519"/>
      <c r="BT28" s="439">
        <f t="shared" si="22"/>
        <v>0</v>
      </c>
      <c r="BU28" s="439">
        <f t="shared" si="23"/>
        <v>0</v>
      </c>
      <c r="BV28" s="439">
        <f t="shared" si="24"/>
        <v>0</v>
      </c>
      <c r="BY28" s="862">
        <f t="shared" si="25"/>
        <v>868691.674</v>
      </c>
      <c r="BZ28" s="862">
        <f t="shared" si="26"/>
        <v>372296.43199999997</v>
      </c>
      <c r="CA28" s="862">
        <f t="shared" si="27"/>
        <v>104243</v>
      </c>
      <c r="CB28" s="862">
        <f t="shared" si="28"/>
        <v>11168.89</v>
      </c>
      <c r="CC28" s="863">
        <f t="shared" si="29"/>
        <v>972934.67</v>
      </c>
      <c r="CD28" s="863">
        <f t="shared" si="30"/>
        <v>383465.32</v>
      </c>
      <c r="CE28" s="864">
        <f t="shared" si="31"/>
        <v>1356399.99</v>
      </c>
      <c r="CF28" s="862">
        <f t="shared" si="32"/>
        <v>-1.0000000009313226E-2</v>
      </c>
    </row>
    <row r="29" spans="1:84" s="429" customFormat="1" ht="13.9" customHeight="1" x14ac:dyDescent="0.25">
      <c r="A29" s="472"/>
      <c r="B29" s="436">
        <v>209</v>
      </c>
      <c r="C29" s="436" t="s">
        <v>400</v>
      </c>
      <c r="D29" s="641" t="s">
        <v>386</v>
      </c>
      <c r="E29" s="436" t="s">
        <v>366</v>
      </c>
      <c r="F29" s="429" t="s">
        <v>401</v>
      </c>
      <c r="G29" s="473">
        <v>45838</v>
      </c>
      <c r="H29" s="436" t="s">
        <v>128</v>
      </c>
      <c r="I29" s="472">
        <v>1333707.58</v>
      </c>
      <c r="J29" s="472">
        <v>200104.18</v>
      </c>
      <c r="K29" s="507">
        <v>0</v>
      </c>
      <c r="L29" s="507">
        <v>0</v>
      </c>
      <c r="M29" s="507">
        <v>0</v>
      </c>
      <c r="N29" s="507">
        <v>0</v>
      </c>
      <c r="O29" s="507">
        <v>0</v>
      </c>
      <c r="P29" s="507">
        <v>0</v>
      </c>
      <c r="Q29" s="507">
        <v>0</v>
      </c>
      <c r="R29" s="507">
        <v>0</v>
      </c>
      <c r="S29" s="507">
        <v>0</v>
      </c>
      <c r="T29" s="507">
        <v>0</v>
      </c>
      <c r="U29" s="507">
        <v>0</v>
      </c>
      <c r="V29" s="507">
        <v>0</v>
      </c>
      <c r="W29" s="507">
        <v>0</v>
      </c>
      <c r="X29" s="507">
        <v>0</v>
      </c>
      <c r="Y29" s="507">
        <v>0</v>
      </c>
      <c r="Z29" s="507">
        <v>0</v>
      </c>
      <c r="AA29" s="507">
        <v>0</v>
      </c>
      <c r="AB29" s="507">
        <v>0</v>
      </c>
      <c r="AC29" s="507">
        <v>0</v>
      </c>
      <c r="AD29" s="507">
        <v>0</v>
      </c>
      <c r="AE29" s="507">
        <v>0</v>
      </c>
      <c r="AF29" s="507">
        <v>0</v>
      </c>
      <c r="AG29" s="507">
        <v>0</v>
      </c>
      <c r="AH29" s="507">
        <v>0</v>
      </c>
      <c r="AI29" s="507">
        <v>0</v>
      </c>
      <c r="AJ29" s="507">
        <v>0</v>
      </c>
      <c r="AK29" s="508"/>
      <c r="AL29" s="508">
        <v>15000</v>
      </c>
      <c r="AM29" s="509">
        <v>185104.18</v>
      </c>
      <c r="AN29" s="509">
        <v>0</v>
      </c>
      <c r="AO29" s="509">
        <v>0</v>
      </c>
      <c r="AP29" s="509">
        <v>0</v>
      </c>
      <c r="AQ29" s="509">
        <v>0</v>
      </c>
      <c r="AR29" s="509"/>
      <c r="AS29" s="509"/>
      <c r="AT29" s="510">
        <f t="shared" si="33"/>
        <v>200104.18</v>
      </c>
      <c r="AU29" s="512">
        <f t="shared" si="3"/>
        <v>1</v>
      </c>
      <c r="AV29" s="511">
        <f t="shared" si="4"/>
        <v>0</v>
      </c>
      <c r="AW29" s="558">
        <f t="shared" si="5"/>
        <v>0</v>
      </c>
      <c r="AX29" s="513">
        <f t="shared" si="6"/>
        <v>1133603.4000000001</v>
      </c>
      <c r="AY29" s="514">
        <f t="shared" si="7"/>
        <v>0.84996397786087419</v>
      </c>
      <c r="AZ29" s="513">
        <f t="shared" si="8"/>
        <v>200104.18</v>
      </c>
      <c r="BA29" s="515" t="str">
        <f t="shared" si="9"/>
        <v>Vendido</v>
      </c>
      <c r="BB29" s="516" t="str">
        <f t="shared" si="10"/>
        <v>Cliente Atrasado</v>
      </c>
      <c r="BC29" s="643">
        <v>1</v>
      </c>
      <c r="BD29" s="693">
        <f t="shared" si="11"/>
        <v>0</v>
      </c>
      <c r="BE29" s="693">
        <f t="shared" si="12"/>
        <v>1</v>
      </c>
      <c r="BF29" s="644">
        <v>15000</v>
      </c>
      <c r="BG29" s="644">
        <v>185104</v>
      </c>
      <c r="BH29" s="693">
        <f t="shared" si="13"/>
        <v>0</v>
      </c>
      <c r="BI29" s="693">
        <f t="shared" si="14"/>
        <v>6</v>
      </c>
      <c r="BJ29" s="655">
        <f t="shared" si="15"/>
        <v>1125624</v>
      </c>
      <c r="BK29" s="518">
        <f t="shared" si="16"/>
        <v>15000</v>
      </c>
      <c r="BL29" s="518">
        <f t="shared" si="17"/>
        <v>185104.18</v>
      </c>
      <c r="BM29" s="518">
        <f t="shared" si="18"/>
        <v>0</v>
      </c>
      <c r="BN29" s="518">
        <f t="shared" si="19"/>
        <v>0</v>
      </c>
      <c r="BO29" s="655">
        <f t="shared" si="34"/>
        <v>925519.82000000007</v>
      </c>
      <c r="BP29" s="693">
        <f t="shared" si="21"/>
        <v>5</v>
      </c>
      <c r="BQ29" s="696" t="s">
        <v>388</v>
      </c>
      <c r="BR29" s="519" t="s">
        <v>402</v>
      </c>
      <c r="BT29" s="439">
        <f t="shared" si="22"/>
        <v>-925519.82000000007</v>
      </c>
      <c r="BU29" s="439">
        <f t="shared" si="23"/>
        <v>-925519.82000000007</v>
      </c>
      <c r="BV29" s="439">
        <f t="shared" si="24"/>
        <v>0</v>
      </c>
      <c r="BY29" s="862">
        <f t="shared" si="25"/>
        <v>854158.56</v>
      </c>
      <c r="BZ29" s="862">
        <f t="shared" si="26"/>
        <v>366067.95400000003</v>
      </c>
      <c r="CA29" s="862">
        <f t="shared" si="27"/>
        <v>102499.03</v>
      </c>
      <c r="CB29" s="862">
        <f t="shared" si="28"/>
        <v>10982.04</v>
      </c>
      <c r="CC29" s="863">
        <f t="shared" si="29"/>
        <v>956657.59</v>
      </c>
      <c r="CD29" s="863">
        <f t="shared" si="30"/>
        <v>377049.99</v>
      </c>
      <c r="CE29" s="864">
        <f t="shared" si="31"/>
        <v>1333707.58</v>
      </c>
      <c r="CF29" s="862">
        <f t="shared" si="32"/>
        <v>0</v>
      </c>
    </row>
    <row r="30" spans="1:84" s="429" customFormat="1" ht="13.9" customHeight="1" x14ac:dyDescent="0.25">
      <c r="A30" s="472"/>
      <c r="B30" s="436">
        <v>210</v>
      </c>
      <c r="C30" s="436" t="s">
        <v>175</v>
      </c>
      <c r="D30" s="436"/>
      <c r="E30" s="436" t="s">
        <v>403</v>
      </c>
      <c r="F30" s="429" t="s">
        <v>404</v>
      </c>
      <c r="G30" s="473">
        <v>45859</v>
      </c>
      <c r="H30" s="436" t="s">
        <v>128</v>
      </c>
      <c r="I30" s="472">
        <v>1110148.31</v>
      </c>
      <c r="J30" s="472">
        <v>111048.31</v>
      </c>
      <c r="K30" s="507">
        <v>0</v>
      </c>
      <c r="L30" s="507">
        <v>0</v>
      </c>
      <c r="M30" s="507">
        <v>0</v>
      </c>
      <c r="N30" s="507">
        <v>0</v>
      </c>
      <c r="O30" s="507">
        <v>0</v>
      </c>
      <c r="P30" s="507">
        <v>0</v>
      </c>
      <c r="Q30" s="507">
        <v>0</v>
      </c>
      <c r="R30" s="507">
        <v>0</v>
      </c>
      <c r="S30" s="507">
        <v>0</v>
      </c>
      <c r="T30" s="507">
        <v>0</v>
      </c>
      <c r="U30" s="507">
        <v>0</v>
      </c>
      <c r="V30" s="507">
        <v>0</v>
      </c>
      <c r="W30" s="507">
        <v>0</v>
      </c>
      <c r="X30" s="507">
        <v>0</v>
      </c>
      <c r="Y30" s="507">
        <v>0</v>
      </c>
      <c r="Z30" s="507">
        <v>0</v>
      </c>
      <c r="AA30" s="507">
        <v>0</v>
      </c>
      <c r="AB30" s="507">
        <v>0</v>
      </c>
      <c r="AC30" s="507">
        <v>0</v>
      </c>
      <c r="AD30" s="507">
        <v>0</v>
      </c>
      <c r="AE30" s="507">
        <v>0</v>
      </c>
      <c r="AF30" s="507">
        <v>0</v>
      </c>
      <c r="AG30" s="507">
        <v>0</v>
      </c>
      <c r="AH30" s="507">
        <v>0</v>
      </c>
      <c r="AI30" s="507">
        <v>0</v>
      </c>
      <c r="AJ30" s="507">
        <v>0</v>
      </c>
      <c r="AK30" s="508"/>
      <c r="AL30" s="508"/>
      <c r="AM30" s="509">
        <v>15000</v>
      </c>
      <c r="AN30" s="509">
        <v>8731.66</v>
      </c>
      <c r="AO30" s="509">
        <v>8731.66</v>
      </c>
      <c r="AP30" s="509">
        <v>8731.66</v>
      </c>
      <c r="AQ30" s="509">
        <v>8731.66</v>
      </c>
      <c r="AR30" s="509">
        <v>8731.66</v>
      </c>
      <c r="AS30" s="509">
        <v>8731.66</v>
      </c>
      <c r="AT30" s="510">
        <f t="shared" si="33"/>
        <v>67389.960000000006</v>
      </c>
      <c r="AU30" s="512">
        <f t="shared" si="3"/>
        <v>0.60685263918019106</v>
      </c>
      <c r="AV30" s="511">
        <f t="shared" si="4"/>
        <v>-43658.349999999991</v>
      </c>
      <c r="AW30" s="558">
        <f t="shared" si="5"/>
        <v>-0.39314736081980889</v>
      </c>
      <c r="AX30" s="513">
        <f t="shared" si="6"/>
        <v>1042758.3500000001</v>
      </c>
      <c r="AY30" s="514">
        <f t="shared" si="7"/>
        <v>0.9392964350862274</v>
      </c>
      <c r="AZ30" s="513">
        <f t="shared" si="8"/>
        <v>111048.31</v>
      </c>
      <c r="BA30" s="515" t="str">
        <f t="shared" si="9"/>
        <v>Vendido</v>
      </c>
      <c r="BB30" s="516" t="str">
        <f t="shared" si="10"/>
        <v>Cliente al día</v>
      </c>
      <c r="BC30" s="551">
        <v>11</v>
      </c>
      <c r="BD30" s="693">
        <f t="shared" si="11"/>
        <v>1</v>
      </c>
      <c r="BE30" s="693">
        <f t="shared" si="12"/>
        <v>12</v>
      </c>
      <c r="BF30" s="517">
        <v>15000</v>
      </c>
      <c r="BG30" s="517">
        <v>8731.66</v>
      </c>
      <c r="BH30" s="693">
        <f t="shared" si="13"/>
        <v>6</v>
      </c>
      <c r="BI30" s="693">
        <f t="shared" si="14"/>
        <v>6</v>
      </c>
      <c r="BJ30" s="655">
        <f t="shared" si="15"/>
        <v>67389.959999999992</v>
      </c>
      <c r="BK30" s="518">
        <f t="shared" si="16"/>
        <v>52389.960000000006</v>
      </c>
      <c r="BL30" s="518">
        <f t="shared" si="17"/>
        <v>15000</v>
      </c>
      <c r="BM30" s="518">
        <f t="shared" si="18"/>
        <v>0</v>
      </c>
      <c r="BN30" s="518">
        <f t="shared" si="19"/>
        <v>0</v>
      </c>
      <c r="BO30" s="655">
        <f t="shared" si="34"/>
        <v>0</v>
      </c>
      <c r="BP30" s="693">
        <f t="shared" si="21"/>
        <v>0</v>
      </c>
      <c r="BQ30" s="696"/>
      <c r="BR30" s="519"/>
      <c r="BT30" s="439">
        <f t="shared" si="22"/>
        <v>0</v>
      </c>
      <c r="BU30" s="439">
        <f t="shared" si="23"/>
        <v>0</v>
      </c>
      <c r="BV30" s="439">
        <f t="shared" si="24"/>
        <v>0</v>
      </c>
      <c r="BY30" s="862">
        <f t="shared" si="25"/>
        <v>710982.44900000002</v>
      </c>
      <c r="BZ30" s="862">
        <f t="shared" si="26"/>
        <v>304706.76400000002</v>
      </c>
      <c r="CA30" s="862">
        <f t="shared" si="27"/>
        <v>85317.89</v>
      </c>
      <c r="CB30" s="862">
        <f t="shared" si="28"/>
        <v>9141.2000000000007</v>
      </c>
      <c r="CC30" s="863">
        <f t="shared" si="29"/>
        <v>796300.34</v>
      </c>
      <c r="CD30" s="863">
        <f t="shared" si="30"/>
        <v>313847.96000000002</v>
      </c>
      <c r="CE30" s="864">
        <f t="shared" si="31"/>
        <v>1110148.3</v>
      </c>
      <c r="CF30" s="862">
        <f t="shared" si="32"/>
        <v>-1.0000000009313226E-2</v>
      </c>
    </row>
    <row r="31" spans="1:84" s="429" customFormat="1" ht="13.9" customHeight="1" x14ac:dyDescent="0.25">
      <c r="A31" s="472"/>
      <c r="B31" s="436">
        <v>211</v>
      </c>
      <c r="C31" s="436" t="s">
        <v>125</v>
      </c>
      <c r="D31" s="436"/>
      <c r="E31" s="436"/>
      <c r="G31" s="473"/>
      <c r="H31" s="436" t="s">
        <v>374</v>
      </c>
      <c r="I31" s="472">
        <v>1615400</v>
      </c>
      <c r="J31" s="472">
        <v>113100</v>
      </c>
      <c r="K31" s="507">
        <v>0</v>
      </c>
      <c r="L31" s="507">
        <v>0</v>
      </c>
      <c r="M31" s="507">
        <v>0</v>
      </c>
      <c r="N31" s="507">
        <v>0</v>
      </c>
      <c r="O31" s="507">
        <v>0</v>
      </c>
      <c r="P31" s="507">
        <v>0</v>
      </c>
      <c r="Q31" s="507">
        <v>0</v>
      </c>
      <c r="R31" s="507">
        <v>0</v>
      </c>
      <c r="S31" s="507">
        <v>0</v>
      </c>
      <c r="T31" s="507">
        <v>0</v>
      </c>
      <c r="U31" s="507">
        <v>0</v>
      </c>
      <c r="V31" s="507">
        <v>0</v>
      </c>
      <c r="W31" s="507">
        <v>0</v>
      </c>
      <c r="X31" s="507">
        <v>0</v>
      </c>
      <c r="Y31" s="507">
        <v>0</v>
      </c>
      <c r="Z31" s="507">
        <v>0</v>
      </c>
      <c r="AA31" s="507">
        <v>0</v>
      </c>
      <c r="AB31" s="507">
        <v>0</v>
      </c>
      <c r="AC31" s="507">
        <v>0</v>
      </c>
      <c r="AD31" s="507">
        <v>0</v>
      </c>
      <c r="AE31" s="507">
        <v>0</v>
      </c>
      <c r="AF31" s="507">
        <v>0</v>
      </c>
      <c r="AG31" s="507">
        <v>0</v>
      </c>
      <c r="AH31" s="507">
        <v>0</v>
      </c>
      <c r="AI31" s="507">
        <v>0</v>
      </c>
      <c r="AJ31" s="507">
        <v>0</v>
      </c>
      <c r="AK31" s="508"/>
      <c r="AL31" s="508"/>
      <c r="AM31" s="508"/>
      <c r="AN31" s="509">
        <v>0</v>
      </c>
      <c r="AO31" s="509">
        <v>0</v>
      </c>
      <c r="AP31" s="509">
        <v>0</v>
      </c>
      <c r="AQ31" s="509">
        <v>0</v>
      </c>
      <c r="AR31" s="508"/>
      <c r="AS31" s="508"/>
      <c r="AT31" s="510">
        <f t="shared" si="33"/>
        <v>0</v>
      </c>
      <c r="AU31" s="512">
        <f t="shared" si="3"/>
        <v>0</v>
      </c>
      <c r="AV31" s="511">
        <f t="shared" si="4"/>
        <v>0</v>
      </c>
      <c r="AW31" s="558">
        <f t="shared" si="5"/>
        <v>0</v>
      </c>
      <c r="AX31" s="513">
        <f t="shared" si="6"/>
        <v>1615400</v>
      </c>
      <c r="AY31" s="514">
        <f t="shared" si="7"/>
        <v>1</v>
      </c>
      <c r="AZ31" s="513">
        <f t="shared" si="8"/>
        <v>0</v>
      </c>
      <c r="BA31" s="515" t="str">
        <f t="shared" si="9"/>
        <v>Disponible</v>
      </c>
      <c r="BB31" s="516" t="str">
        <f t="shared" si="10"/>
        <v>Disponible</v>
      </c>
      <c r="BC31" s="551"/>
      <c r="BD31" s="693">
        <f t="shared" si="11"/>
        <v>0</v>
      </c>
      <c r="BE31" s="693">
        <f t="shared" si="12"/>
        <v>0</v>
      </c>
      <c r="BF31" s="517"/>
      <c r="BG31" s="517"/>
      <c r="BH31" s="693">
        <f t="shared" si="13"/>
        <v>0</v>
      </c>
      <c r="BI31" s="693">
        <f t="shared" si="14"/>
        <v>0</v>
      </c>
      <c r="BJ31" s="655">
        <f t="shared" si="15"/>
        <v>0</v>
      </c>
      <c r="BK31" s="518">
        <f t="shared" si="16"/>
        <v>0</v>
      </c>
      <c r="BL31" s="518">
        <f t="shared" si="17"/>
        <v>0</v>
      </c>
      <c r="BM31" s="518">
        <f t="shared" si="18"/>
        <v>0</v>
      </c>
      <c r="BN31" s="518">
        <f t="shared" si="19"/>
        <v>0</v>
      </c>
      <c r="BO31" s="655">
        <f t="shared" si="34"/>
        <v>0</v>
      </c>
      <c r="BP31" s="693">
        <f t="shared" si="21"/>
        <v>0</v>
      </c>
      <c r="BQ31" s="696"/>
      <c r="BR31" s="519"/>
      <c r="BT31" s="439">
        <f t="shared" si="22"/>
        <v>0</v>
      </c>
      <c r="BU31" s="439">
        <f t="shared" si="23"/>
        <v>0</v>
      </c>
      <c r="BV31" s="439">
        <f t="shared" si="24"/>
        <v>0</v>
      </c>
      <c r="BY31" s="862">
        <f t="shared" si="25"/>
        <v>1034565.416</v>
      </c>
      <c r="BZ31" s="862">
        <f t="shared" si="26"/>
        <v>443385.17800000001</v>
      </c>
      <c r="CA31" s="862">
        <f t="shared" si="27"/>
        <v>124147.85</v>
      </c>
      <c r="CB31" s="862">
        <f t="shared" si="28"/>
        <v>13301.56</v>
      </c>
      <c r="CC31" s="863">
        <f t="shared" si="29"/>
        <v>1158713.27</v>
      </c>
      <c r="CD31" s="863">
        <f t="shared" si="30"/>
        <v>456686.74</v>
      </c>
      <c r="CE31" s="864">
        <f t="shared" si="31"/>
        <v>1615400.01</v>
      </c>
      <c r="CF31" s="862">
        <f t="shared" si="32"/>
        <v>1.0000000009313226E-2</v>
      </c>
    </row>
    <row r="32" spans="1:84" s="429" customFormat="1" ht="13.9" customHeight="1" x14ac:dyDescent="0.25">
      <c r="A32" s="472"/>
      <c r="B32" s="436">
        <v>212</v>
      </c>
      <c r="C32" s="436" t="s">
        <v>178</v>
      </c>
      <c r="D32" s="436"/>
      <c r="E32" s="436" t="s">
        <v>366</v>
      </c>
      <c r="F32" s="429" t="s">
        <v>405</v>
      </c>
      <c r="G32" s="473">
        <v>45244</v>
      </c>
      <c r="H32" s="436" t="s">
        <v>128</v>
      </c>
      <c r="I32" s="472">
        <v>714937.5</v>
      </c>
      <c r="J32" s="472">
        <v>71537.5</v>
      </c>
      <c r="K32" s="507">
        <v>0</v>
      </c>
      <c r="L32" s="507">
        <v>0</v>
      </c>
      <c r="M32" s="507">
        <v>0</v>
      </c>
      <c r="N32" s="507">
        <v>0</v>
      </c>
      <c r="O32" s="507">
        <v>0</v>
      </c>
      <c r="P32" s="507">
        <v>0</v>
      </c>
      <c r="Q32" s="507">
        <v>0</v>
      </c>
      <c r="R32" s="507">
        <v>0</v>
      </c>
      <c r="S32" s="507">
        <v>8000</v>
      </c>
      <c r="T32" s="507">
        <v>2888</v>
      </c>
      <c r="U32" s="507">
        <v>2888</v>
      </c>
      <c r="V32" s="507">
        <v>2888</v>
      </c>
      <c r="W32" s="507">
        <v>2888</v>
      </c>
      <c r="X32" s="507">
        <v>2888</v>
      </c>
      <c r="Y32" s="507">
        <v>2888</v>
      </c>
      <c r="Z32" s="507">
        <v>2888</v>
      </c>
      <c r="AA32" s="507">
        <v>2888</v>
      </c>
      <c r="AB32" s="507">
        <v>2888</v>
      </c>
      <c r="AC32" s="507">
        <v>2888</v>
      </c>
      <c r="AD32" s="507">
        <v>2888</v>
      </c>
      <c r="AE32" s="507">
        <v>2888</v>
      </c>
      <c r="AF32" s="507">
        <v>2888</v>
      </c>
      <c r="AG32" s="507">
        <v>2888</v>
      </c>
      <c r="AH32" s="507">
        <v>2888</v>
      </c>
      <c r="AI32" s="507">
        <v>2888</v>
      </c>
      <c r="AJ32" s="507">
        <v>2888</v>
      </c>
      <c r="AK32" s="508">
        <v>2888</v>
      </c>
      <c r="AL32" s="508">
        <v>2888</v>
      </c>
      <c r="AM32" s="509">
        <v>2888</v>
      </c>
      <c r="AN32" s="509">
        <v>2888</v>
      </c>
      <c r="AO32" s="509">
        <v>2888</v>
      </c>
      <c r="AP32" s="509">
        <v>0</v>
      </c>
      <c r="AQ32" s="509">
        <v>0</v>
      </c>
      <c r="AR32" s="509"/>
      <c r="AS32" s="509"/>
      <c r="AT32" s="510">
        <f t="shared" si="33"/>
        <v>71536</v>
      </c>
      <c r="AU32" s="512">
        <f t="shared" si="3"/>
        <v>0.99997903197623628</v>
      </c>
      <c r="AV32" s="511">
        <f t="shared" si="4"/>
        <v>-1.5</v>
      </c>
      <c r="AW32" s="558">
        <f t="shared" si="5"/>
        <v>-2.0968023763760267E-5</v>
      </c>
      <c r="AX32" s="513">
        <f t="shared" si="6"/>
        <v>643401.5</v>
      </c>
      <c r="AY32" s="514">
        <f t="shared" si="7"/>
        <v>0.89994090392516823</v>
      </c>
      <c r="AZ32" s="513">
        <f t="shared" si="8"/>
        <v>71537.5</v>
      </c>
      <c r="BA32" s="515" t="str">
        <f t="shared" si="9"/>
        <v>Vendido</v>
      </c>
      <c r="BB32" s="516" t="str">
        <f t="shared" si="10"/>
        <v>Cliente Atrasado</v>
      </c>
      <c r="BC32" s="551">
        <v>22</v>
      </c>
      <c r="BD32" s="693">
        <f t="shared" si="11"/>
        <v>1</v>
      </c>
      <c r="BE32" s="693">
        <f t="shared" si="12"/>
        <v>23</v>
      </c>
      <c r="BF32" s="517">
        <v>8000</v>
      </c>
      <c r="BG32" s="517">
        <v>2888</v>
      </c>
      <c r="BH32" s="693">
        <f t="shared" si="13"/>
        <v>22</v>
      </c>
      <c r="BI32" s="693">
        <f t="shared" si="14"/>
        <v>26</v>
      </c>
      <c r="BJ32" s="655">
        <f t="shared" si="15"/>
        <v>83088</v>
      </c>
      <c r="BK32" s="518">
        <f t="shared" si="16"/>
        <v>63536</v>
      </c>
      <c r="BL32" s="518">
        <f t="shared" si="17"/>
        <v>8000</v>
      </c>
      <c r="BM32" s="518">
        <f t="shared" si="18"/>
        <v>0</v>
      </c>
      <c r="BN32" s="518">
        <f t="shared" si="19"/>
        <v>0</v>
      </c>
      <c r="BO32" s="655">
        <f t="shared" si="34"/>
        <v>11552</v>
      </c>
      <c r="BP32" s="693">
        <f t="shared" si="21"/>
        <v>4</v>
      </c>
      <c r="BQ32" s="696"/>
      <c r="BR32" s="519"/>
      <c r="BT32" s="439">
        <f t="shared" si="22"/>
        <v>-11552</v>
      </c>
      <c r="BU32" s="439">
        <f t="shared" si="23"/>
        <v>-11552</v>
      </c>
      <c r="BV32" s="439">
        <f t="shared" si="24"/>
        <v>0</v>
      </c>
      <c r="BY32" s="862">
        <f t="shared" si="25"/>
        <v>457873.97100000002</v>
      </c>
      <c r="BZ32" s="862">
        <f t="shared" si="26"/>
        <v>196231.70199999999</v>
      </c>
      <c r="CA32" s="862">
        <f t="shared" si="27"/>
        <v>54944.88</v>
      </c>
      <c r="CB32" s="862">
        <f t="shared" si="28"/>
        <v>5886.95</v>
      </c>
      <c r="CC32" s="863">
        <f t="shared" si="29"/>
        <v>512818.85</v>
      </c>
      <c r="CD32" s="863">
        <f t="shared" si="30"/>
        <v>202118.65</v>
      </c>
      <c r="CE32" s="864">
        <f t="shared" si="31"/>
        <v>714937.5</v>
      </c>
      <c r="CF32" s="862">
        <f t="shared" si="32"/>
        <v>0</v>
      </c>
    </row>
    <row r="33" spans="1:84" s="429" customFormat="1" ht="13.9" customHeight="1" x14ac:dyDescent="0.25">
      <c r="B33" s="436">
        <v>213</v>
      </c>
      <c r="C33" s="436" t="s">
        <v>406</v>
      </c>
      <c r="D33" s="436"/>
      <c r="E33" s="436" t="s">
        <v>126</v>
      </c>
      <c r="F33" s="429" t="s">
        <v>407</v>
      </c>
      <c r="G33" s="473">
        <v>45695</v>
      </c>
      <c r="H33" s="436" t="s">
        <v>128</v>
      </c>
      <c r="I33" s="472">
        <v>806418.74335333402</v>
      </c>
      <c r="J33" s="472">
        <v>80718.740000000005</v>
      </c>
      <c r="K33" s="507">
        <v>0</v>
      </c>
      <c r="L33" s="507">
        <v>0</v>
      </c>
      <c r="M33" s="507">
        <v>0</v>
      </c>
      <c r="N33" s="507">
        <v>0</v>
      </c>
      <c r="O33" s="507">
        <v>0</v>
      </c>
      <c r="P33" s="507">
        <v>0</v>
      </c>
      <c r="Q33" s="507">
        <v>0</v>
      </c>
      <c r="R33" s="507">
        <v>0</v>
      </c>
      <c r="S33" s="507">
        <v>0</v>
      </c>
      <c r="T33" s="507">
        <v>0</v>
      </c>
      <c r="U33" s="507">
        <v>0</v>
      </c>
      <c r="V33" s="507">
        <v>0</v>
      </c>
      <c r="W33" s="507">
        <v>0</v>
      </c>
      <c r="X33" s="507">
        <v>0</v>
      </c>
      <c r="Y33" s="507">
        <v>0</v>
      </c>
      <c r="Z33" s="507">
        <v>0</v>
      </c>
      <c r="AA33" s="507">
        <v>0</v>
      </c>
      <c r="AB33" s="507">
        <v>0</v>
      </c>
      <c r="AC33" s="507">
        <v>0</v>
      </c>
      <c r="AD33" s="507">
        <v>0</v>
      </c>
      <c r="AE33" s="507">
        <v>0</v>
      </c>
      <c r="AF33" s="507">
        <v>0</v>
      </c>
      <c r="AG33" s="507">
        <v>0</v>
      </c>
      <c r="AH33" s="507">
        <v>10000</v>
      </c>
      <c r="AI33" s="507">
        <v>0</v>
      </c>
      <c r="AJ33" s="507">
        <v>11539.72</v>
      </c>
      <c r="AK33" s="508">
        <v>5000</v>
      </c>
      <c r="AL33" s="508"/>
      <c r="AM33" s="509">
        <f>5000+5000</f>
        <v>10000</v>
      </c>
      <c r="AN33" s="509">
        <v>0</v>
      </c>
      <c r="AO33" s="509">
        <v>5000</v>
      </c>
      <c r="AP33" s="509">
        <v>5000</v>
      </c>
      <c r="AQ33" s="509">
        <v>5000</v>
      </c>
      <c r="AR33" s="509">
        <v>5000</v>
      </c>
      <c r="AS33" s="509"/>
      <c r="AT33" s="510">
        <f t="shared" si="33"/>
        <v>56539.72</v>
      </c>
      <c r="AU33" s="512">
        <f t="shared" si="3"/>
        <v>0.70045345108211543</v>
      </c>
      <c r="AV33" s="511">
        <f t="shared" si="4"/>
        <v>-24179.020000000004</v>
      </c>
      <c r="AW33" s="558">
        <f t="shared" si="5"/>
        <v>-0.29954654891788451</v>
      </c>
      <c r="AX33" s="513">
        <f t="shared" si="6"/>
        <v>749879.02335333405</v>
      </c>
      <c r="AY33" s="514">
        <f t="shared" si="7"/>
        <v>0.92988788955364476</v>
      </c>
      <c r="AZ33" s="513">
        <f t="shared" si="8"/>
        <v>80718.740000000005</v>
      </c>
      <c r="BA33" s="515" t="str">
        <f t="shared" si="9"/>
        <v>Vendido</v>
      </c>
      <c r="BB33" s="516" t="str">
        <f t="shared" si="10"/>
        <v>Cliente Atrasado</v>
      </c>
      <c r="BC33" s="551">
        <v>16</v>
      </c>
      <c r="BD33" s="693">
        <f t="shared" si="11"/>
        <v>1</v>
      </c>
      <c r="BE33" s="693">
        <f t="shared" si="12"/>
        <v>17</v>
      </c>
      <c r="BF33" s="517">
        <v>10000</v>
      </c>
      <c r="BG33" s="517">
        <v>4420</v>
      </c>
      <c r="BH33" s="693">
        <f t="shared" si="13"/>
        <v>5</v>
      </c>
      <c r="BI33" s="693">
        <f t="shared" si="14"/>
        <v>11</v>
      </c>
      <c r="BJ33" s="655">
        <f t="shared" si="15"/>
        <v>58620</v>
      </c>
      <c r="BK33" s="518">
        <f t="shared" si="16"/>
        <v>0</v>
      </c>
      <c r="BL33" s="518">
        <f t="shared" si="17"/>
        <v>56539.72</v>
      </c>
      <c r="BM33" s="518">
        <f t="shared" si="18"/>
        <v>0</v>
      </c>
      <c r="BN33" s="518">
        <f t="shared" si="19"/>
        <v>0</v>
      </c>
      <c r="BO33" s="655">
        <f t="shared" si="34"/>
        <v>2080.2799999999988</v>
      </c>
      <c r="BP33" s="693">
        <f t="shared" si="21"/>
        <v>1</v>
      </c>
      <c r="BQ33" s="696"/>
      <c r="BR33" s="519"/>
      <c r="BT33" s="439">
        <f t="shared" si="22"/>
        <v>-2080.2799999999988</v>
      </c>
      <c r="BU33" s="439">
        <f t="shared" si="23"/>
        <v>-2080.2799999999988</v>
      </c>
      <c r="BV33" s="439">
        <f t="shared" si="24"/>
        <v>0</v>
      </c>
      <c r="BY33" s="862">
        <f t="shared" si="25"/>
        <v>516462.141</v>
      </c>
      <c r="BZ33" s="862">
        <f t="shared" si="26"/>
        <v>221340.91800000001</v>
      </c>
      <c r="CA33" s="862">
        <f t="shared" si="27"/>
        <v>61975.46</v>
      </c>
      <c r="CB33" s="862">
        <f t="shared" si="28"/>
        <v>6640.23</v>
      </c>
      <c r="CC33" s="863">
        <f t="shared" si="29"/>
        <v>578437.6</v>
      </c>
      <c r="CD33" s="863">
        <f t="shared" si="30"/>
        <v>227981.15</v>
      </c>
      <c r="CE33" s="864">
        <f t="shared" si="31"/>
        <v>806418.75</v>
      </c>
      <c r="CF33" s="862">
        <f t="shared" si="32"/>
        <v>6.6466659773141146E-3</v>
      </c>
    </row>
    <row r="34" spans="1:84" s="429" customFormat="1" ht="13.9" customHeight="1" x14ac:dyDescent="0.25">
      <c r="A34" s="472"/>
      <c r="B34" s="436">
        <v>214</v>
      </c>
      <c r="C34" s="436" t="s">
        <v>200</v>
      </c>
      <c r="D34" s="436"/>
      <c r="E34" s="436" t="s">
        <v>366</v>
      </c>
      <c r="F34" s="429" t="s">
        <v>408</v>
      </c>
      <c r="G34" s="473">
        <v>45259</v>
      </c>
      <c r="H34" s="436" t="s">
        <v>128</v>
      </c>
      <c r="I34" s="472">
        <v>720472.5</v>
      </c>
      <c r="J34" s="472">
        <v>72072.5</v>
      </c>
      <c r="K34" s="507">
        <v>0</v>
      </c>
      <c r="L34" s="507">
        <v>0</v>
      </c>
      <c r="M34" s="507">
        <v>0</v>
      </c>
      <c r="N34" s="507">
        <v>0</v>
      </c>
      <c r="O34" s="507">
        <v>0</v>
      </c>
      <c r="P34" s="507">
        <v>0</v>
      </c>
      <c r="Q34" s="507">
        <v>0</v>
      </c>
      <c r="R34" s="507">
        <v>0</v>
      </c>
      <c r="S34" s="507">
        <v>5500</v>
      </c>
      <c r="T34" s="507">
        <v>3025</v>
      </c>
      <c r="U34" s="507">
        <v>3025</v>
      </c>
      <c r="V34" s="507">
        <v>0</v>
      </c>
      <c r="W34" s="507">
        <v>0</v>
      </c>
      <c r="X34" s="507">
        <v>0</v>
      </c>
      <c r="Y34" s="507">
        <v>0</v>
      </c>
      <c r="Z34" s="507">
        <v>6050</v>
      </c>
      <c r="AA34" s="507">
        <v>0</v>
      </c>
      <c r="AB34" s="507">
        <v>0</v>
      </c>
      <c r="AC34" s="507">
        <v>15130</v>
      </c>
      <c r="AD34" s="507">
        <v>0</v>
      </c>
      <c r="AE34" s="507">
        <v>9078</v>
      </c>
      <c r="AF34" s="507"/>
      <c r="AG34" s="507">
        <v>0</v>
      </c>
      <c r="AH34" s="507">
        <v>9078</v>
      </c>
      <c r="AI34" s="507">
        <v>0</v>
      </c>
      <c r="AJ34" s="507">
        <v>6056</v>
      </c>
      <c r="AK34" s="509">
        <v>3025</v>
      </c>
      <c r="AL34" s="509">
        <f>12100+5.5</f>
        <v>12105.5</v>
      </c>
      <c r="AM34" s="509"/>
      <c r="AN34" s="509">
        <v>0</v>
      </c>
      <c r="AO34" s="509">
        <v>0</v>
      </c>
      <c r="AP34" s="509">
        <v>0</v>
      </c>
      <c r="AQ34" s="509">
        <v>0</v>
      </c>
      <c r="AR34" s="509"/>
      <c r="AS34" s="509"/>
      <c r="AT34" s="510">
        <f t="shared" si="33"/>
        <v>72072.5</v>
      </c>
      <c r="AU34" s="512">
        <f t="shared" si="3"/>
        <v>1</v>
      </c>
      <c r="AV34" s="511">
        <f t="shared" si="4"/>
        <v>0</v>
      </c>
      <c r="AW34" s="558">
        <f t="shared" si="5"/>
        <v>0</v>
      </c>
      <c r="AX34" s="513">
        <f t="shared" si="6"/>
        <v>648400</v>
      </c>
      <c r="AY34" s="514">
        <f t="shared" si="7"/>
        <v>0.89996495355478523</v>
      </c>
      <c r="AZ34" s="513">
        <f t="shared" si="8"/>
        <v>72072.5</v>
      </c>
      <c r="BA34" s="515" t="str">
        <f t="shared" si="9"/>
        <v>Vendido</v>
      </c>
      <c r="BB34" s="516" t="str">
        <f t="shared" si="10"/>
        <v>Cliente Atrasado</v>
      </c>
      <c r="BC34" s="552">
        <v>22</v>
      </c>
      <c r="BD34" s="693">
        <f t="shared" si="11"/>
        <v>1</v>
      </c>
      <c r="BE34" s="693">
        <f t="shared" si="12"/>
        <v>23</v>
      </c>
      <c r="BF34" s="517">
        <v>5500</v>
      </c>
      <c r="BG34" s="517">
        <v>3026</v>
      </c>
      <c r="BH34" s="693">
        <f t="shared" si="13"/>
        <v>3</v>
      </c>
      <c r="BI34" s="693">
        <f t="shared" si="14"/>
        <v>25</v>
      </c>
      <c r="BJ34" s="655">
        <f t="shared" si="15"/>
        <v>81150</v>
      </c>
      <c r="BK34" s="518">
        <f t="shared" si="16"/>
        <v>9075</v>
      </c>
      <c r="BL34" s="518">
        <f t="shared" si="17"/>
        <v>62997.5</v>
      </c>
      <c r="BM34" s="518">
        <f t="shared" si="18"/>
        <v>0</v>
      </c>
      <c r="BN34" s="518">
        <f t="shared" si="19"/>
        <v>0</v>
      </c>
      <c r="BO34" s="655">
        <f t="shared" si="34"/>
        <v>9077.5</v>
      </c>
      <c r="BP34" s="693">
        <f t="shared" si="21"/>
        <v>3</v>
      </c>
      <c r="BQ34" s="696"/>
      <c r="BR34" s="519"/>
      <c r="BT34" s="439">
        <f t="shared" si="22"/>
        <v>-9077.5</v>
      </c>
      <c r="BU34" s="439">
        <f t="shared" si="23"/>
        <v>-9077.5</v>
      </c>
      <c r="BV34" s="439">
        <f t="shared" si="24"/>
        <v>0</v>
      </c>
      <c r="BY34" s="862">
        <f t="shared" si="25"/>
        <v>461418.80099999998</v>
      </c>
      <c r="BZ34" s="862">
        <f t="shared" si="26"/>
        <v>197750.91500000001</v>
      </c>
      <c r="CA34" s="862">
        <f t="shared" si="27"/>
        <v>55370.26</v>
      </c>
      <c r="CB34" s="862">
        <f t="shared" si="28"/>
        <v>5932.53</v>
      </c>
      <c r="CC34" s="863">
        <f t="shared" si="29"/>
        <v>516789.06</v>
      </c>
      <c r="CD34" s="863">
        <f t="shared" si="30"/>
        <v>203683.45</v>
      </c>
      <c r="CE34" s="864">
        <f t="shared" si="31"/>
        <v>720472.51</v>
      </c>
      <c r="CF34" s="862">
        <f t="shared" si="32"/>
        <v>1.0000000009313226E-2</v>
      </c>
    </row>
    <row r="35" spans="1:84" s="429" customFormat="1" ht="13.9" customHeight="1" x14ac:dyDescent="0.25">
      <c r="A35" s="472"/>
      <c r="B35" s="436">
        <v>215</v>
      </c>
      <c r="C35" s="436" t="s">
        <v>409</v>
      </c>
      <c r="D35" s="436"/>
      <c r="E35" s="436" t="s">
        <v>366</v>
      </c>
      <c r="F35" s="429" t="s">
        <v>410</v>
      </c>
      <c r="G35" s="473">
        <v>45353</v>
      </c>
      <c r="H35" s="436" t="s">
        <v>128</v>
      </c>
      <c r="I35" s="472">
        <v>965900</v>
      </c>
      <c r="J35" s="472">
        <v>96600</v>
      </c>
      <c r="K35" s="507">
        <v>0</v>
      </c>
      <c r="L35" s="507">
        <v>0</v>
      </c>
      <c r="M35" s="507">
        <v>0</v>
      </c>
      <c r="N35" s="507">
        <v>0</v>
      </c>
      <c r="O35" s="507">
        <v>0</v>
      </c>
      <c r="P35" s="507">
        <v>0</v>
      </c>
      <c r="Q35" s="507">
        <v>0</v>
      </c>
      <c r="R35" s="507">
        <v>0</v>
      </c>
      <c r="S35" s="507">
        <v>0</v>
      </c>
      <c r="T35" s="507">
        <v>0</v>
      </c>
      <c r="U35" s="507">
        <v>0</v>
      </c>
      <c r="V35" s="507">
        <v>0</v>
      </c>
      <c r="W35" s="507">
        <v>8000</v>
      </c>
      <c r="X35" s="507">
        <v>5000</v>
      </c>
      <c r="Y35" s="507">
        <v>5000</v>
      </c>
      <c r="Z35" s="507">
        <v>5000</v>
      </c>
      <c r="AA35" s="507">
        <v>5000</v>
      </c>
      <c r="AB35" s="507">
        <v>5000</v>
      </c>
      <c r="AC35" s="507">
        <v>5000</v>
      </c>
      <c r="AD35" s="507">
        <f>2500+2000</f>
        <v>4500</v>
      </c>
      <c r="AE35" s="507">
        <f>500+5000</f>
        <v>5500</v>
      </c>
      <c r="AF35" s="507">
        <v>5000</v>
      </c>
      <c r="AG35" s="507">
        <v>5000</v>
      </c>
      <c r="AH35" s="507">
        <v>5000</v>
      </c>
      <c r="AI35" s="507">
        <v>5000</v>
      </c>
      <c r="AJ35" s="507">
        <v>5000</v>
      </c>
      <c r="AK35" s="508">
        <v>5000</v>
      </c>
      <c r="AL35" s="508">
        <v>5000</v>
      </c>
      <c r="AM35" s="509">
        <v>5000</v>
      </c>
      <c r="AN35" s="509">
        <v>5000</v>
      </c>
      <c r="AO35" s="509">
        <v>5000</v>
      </c>
      <c r="AP35" s="509">
        <v>0</v>
      </c>
      <c r="AQ35" s="509">
        <v>0</v>
      </c>
      <c r="AR35" s="509">
        <v>2000</v>
      </c>
      <c r="AS35" s="509"/>
      <c r="AT35" s="510">
        <f t="shared" si="33"/>
        <v>100000</v>
      </c>
      <c r="AU35" s="512">
        <f t="shared" si="3"/>
        <v>1.0351966873706004</v>
      </c>
      <c r="AV35" s="511">
        <f t="shared" si="4"/>
        <v>3400</v>
      </c>
      <c r="AW35" s="558">
        <f t="shared" si="5"/>
        <v>3.5196687370600416E-2</v>
      </c>
      <c r="AX35" s="513">
        <f t="shared" si="6"/>
        <v>865900</v>
      </c>
      <c r="AY35" s="514">
        <f t="shared" si="7"/>
        <v>0.89646961383165957</v>
      </c>
      <c r="AZ35" s="513">
        <f t="shared" si="8"/>
        <v>96600</v>
      </c>
      <c r="BA35" s="515" t="str">
        <f t="shared" si="9"/>
        <v>Vendido</v>
      </c>
      <c r="BB35" s="516" t="str">
        <f t="shared" si="10"/>
        <v>Cliente Atrasado</v>
      </c>
      <c r="BC35" s="551">
        <v>18</v>
      </c>
      <c r="BD35" s="693">
        <f t="shared" si="11"/>
        <v>1</v>
      </c>
      <c r="BE35" s="693">
        <f t="shared" si="12"/>
        <v>19</v>
      </c>
      <c r="BF35" s="517">
        <v>8000</v>
      </c>
      <c r="BG35" s="517">
        <v>4922</v>
      </c>
      <c r="BH35" s="693">
        <f t="shared" si="13"/>
        <v>19</v>
      </c>
      <c r="BI35" s="693">
        <f t="shared" si="14"/>
        <v>22</v>
      </c>
      <c r="BJ35" s="655">
        <f t="shared" si="15"/>
        <v>116284</v>
      </c>
      <c r="BK35" s="518">
        <f t="shared" si="16"/>
        <v>6500</v>
      </c>
      <c r="BL35" s="518">
        <f t="shared" si="17"/>
        <v>93500</v>
      </c>
      <c r="BM35" s="518">
        <f t="shared" si="18"/>
        <v>0</v>
      </c>
      <c r="BN35" s="518">
        <f t="shared" si="19"/>
        <v>0</v>
      </c>
      <c r="BO35" s="655">
        <f t="shared" si="34"/>
        <v>16284</v>
      </c>
      <c r="BP35" s="693">
        <f t="shared" si="21"/>
        <v>4</v>
      </c>
      <c r="BQ35" s="696"/>
      <c r="BR35" s="519"/>
      <c r="BT35" s="439">
        <f t="shared" si="22"/>
        <v>-16284</v>
      </c>
      <c r="BU35" s="439">
        <f t="shared" si="23"/>
        <v>-16284</v>
      </c>
      <c r="BV35" s="439">
        <f t="shared" si="24"/>
        <v>0</v>
      </c>
      <c r="BY35" s="862">
        <f t="shared" si="25"/>
        <v>618600.18299999996</v>
      </c>
      <c r="BZ35" s="862">
        <f t="shared" si="26"/>
        <v>265114.364</v>
      </c>
      <c r="CA35" s="862">
        <f t="shared" si="27"/>
        <v>74232.02</v>
      </c>
      <c r="CB35" s="862">
        <f t="shared" si="28"/>
        <v>7953.43</v>
      </c>
      <c r="CC35" s="863">
        <f t="shared" si="29"/>
        <v>692832.2</v>
      </c>
      <c r="CD35" s="863">
        <f t="shared" si="30"/>
        <v>273067.78999999998</v>
      </c>
      <c r="CE35" s="864">
        <f t="shared" si="31"/>
        <v>965899.99</v>
      </c>
      <c r="CF35" s="862">
        <f t="shared" si="32"/>
        <v>-1.0000000009313226E-2</v>
      </c>
    </row>
    <row r="36" spans="1:84" s="429" customFormat="1" ht="13.9" customHeight="1" x14ac:dyDescent="0.25">
      <c r="A36" s="472"/>
      <c r="B36" s="436">
        <v>216</v>
      </c>
      <c r="C36" s="436" t="s">
        <v>184</v>
      </c>
      <c r="D36" s="641" t="s">
        <v>386</v>
      </c>
      <c r="E36" s="436" t="s">
        <v>366</v>
      </c>
      <c r="F36" s="429" t="s">
        <v>411</v>
      </c>
      <c r="G36" s="473">
        <v>45360</v>
      </c>
      <c r="H36" s="436" t="s">
        <v>128</v>
      </c>
      <c r="I36" s="472">
        <v>980700</v>
      </c>
      <c r="J36" s="472">
        <v>98100</v>
      </c>
      <c r="K36" s="507">
        <v>0</v>
      </c>
      <c r="L36" s="507">
        <v>0</v>
      </c>
      <c r="M36" s="507">
        <v>0</v>
      </c>
      <c r="N36" s="507">
        <v>0</v>
      </c>
      <c r="O36" s="507">
        <v>0</v>
      </c>
      <c r="P36" s="507">
        <v>0</v>
      </c>
      <c r="Q36" s="507">
        <v>0</v>
      </c>
      <c r="R36" s="507">
        <v>0</v>
      </c>
      <c r="S36" s="507">
        <v>0</v>
      </c>
      <c r="T36" s="507">
        <v>0</v>
      </c>
      <c r="U36" s="507">
        <v>0</v>
      </c>
      <c r="V36" s="507">
        <v>0</v>
      </c>
      <c r="W36" s="507">
        <v>8000</v>
      </c>
      <c r="X36" s="507">
        <v>5006</v>
      </c>
      <c r="Y36" s="507">
        <v>5006</v>
      </c>
      <c r="Z36" s="507">
        <v>5006</v>
      </c>
      <c r="AA36" s="507">
        <v>10012</v>
      </c>
      <c r="AB36" s="507">
        <v>15018</v>
      </c>
      <c r="AC36" s="507">
        <v>20024</v>
      </c>
      <c r="AD36" s="507">
        <v>25030</v>
      </c>
      <c r="AE36" s="507">
        <v>30000</v>
      </c>
      <c r="AF36" s="507">
        <v>35000</v>
      </c>
      <c r="AG36" s="507">
        <v>40000</v>
      </c>
      <c r="AH36" s="507">
        <v>40000</v>
      </c>
      <c r="AI36" s="507">
        <v>40000</v>
      </c>
      <c r="AJ36" s="507">
        <v>50000</v>
      </c>
      <c r="AK36" s="508">
        <v>50000</v>
      </c>
      <c r="AL36" s="508">
        <v>50000</v>
      </c>
      <c r="AM36" s="509">
        <v>52000</v>
      </c>
      <c r="AN36" s="509">
        <v>60000</v>
      </c>
      <c r="AO36" s="509">
        <v>44000</v>
      </c>
      <c r="AP36" s="509">
        <v>45000</v>
      </c>
      <c r="AQ36" s="509">
        <v>51598</v>
      </c>
      <c r="AR36" s="509">
        <v>50000</v>
      </c>
      <c r="AS36" s="509">
        <v>50000</v>
      </c>
      <c r="AT36" s="510">
        <f t="shared" si="33"/>
        <v>780700</v>
      </c>
      <c r="AU36" s="512">
        <f t="shared" si="3"/>
        <v>7.9582059123343525</v>
      </c>
      <c r="AV36" s="511">
        <f t="shared" si="4"/>
        <v>682600</v>
      </c>
      <c r="AW36" s="558">
        <f t="shared" si="5"/>
        <v>6.9582059123343525</v>
      </c>
      <c r="AX36" s="513">
        <f t="shared" si="6"/>
        <v>200000</v>
      </c>
      <c r="AY36" s="514">
        <f t="shared" si="7"/>
        <v>0.20393596410727033</v>
      </c>
      <c r="AZ36" s="513">
        <f t="shared" si="8"/>
        <v>98100</v>
      </c>
      <c r="BA36" s="515" t="str">
        <f t="shared" si="9"/>
        <v>Vendido</v>
      </c>
      <c r="BB36" s="516" t="str">
        <f t="shared" si="10"/>
        <v>Superávit de Enganche</v>
      </c>
      <c r="BC36" s="551">
        <v>18</v>
      </c>
      <c r="BD36" s="693">
        <f t="shared" si="11"/>
        <v>1</v>
      </c>
      <c r="BE36" s="693">
        <f t="shared" si="12"/>
        <v>19</v>
      </c>
      <c r="BF36" s="644">
        <v>8000</v>
      </c>
      <c r="BG36" s="644">
        <v>5006</v>
      </c>
      <c r="BH36" s="693">
        <f t="shared" si="13"/>
        <v>3</v>
      </c>
      <c r="BI36" s="693">
        <f t="shared" si="14"/>
        <v>22</v>
      </c>
      <c r="BJ36" s="655">
        <f t="shared" si="15"/>
        <v>118132</v>
      </c>
      <c r="BK36" s="518">
        <f t="shared" si="16"/>
        <v>15018</v>
      </c>
      <c r="BL36" s="518">
        <f t="shared" si="17"/>
        <v>765682</v>
      </c>
      <c r="BM36" s="518">
        <f t="shared" si="18"/>
        <v>0</v>
      </c>
      <c r="BN36" s="518">
        <f t="shared" si="19"/>
        <v>662568</v>
      </c>
      <c r="BO36" s="655">
        <f t="shared" si="34"/>
        <v>0</v>
      </c>
      <c r="BP36" s="693">
        <f t="shared" si="21"/>
        <v>0</v>
      </c>
      <c r="BQ36" s="696"/>
      <c r="BR36" s="519"/>
      <c r="BT36" s="439">
        <f t="shared" si="22"/>
        <v>662568</v>
      </c>
      <c r="BU36" s="439">
        <f t="shared" si="23"/>
        <v>662568</v>
      </c>
      <c r="BV36" s="439">
        <f t="shared" si="24"/>
        <v>0</v>
      </c>
      <c r="BY36" s="862">
        <f t="shared" si="25"/>
        <v>628078.68299999996</v>
      </c>
      <c r="BZ36" s="862">
        <f t="shared" si="26"/>
        <v>269176.57799999998</v>
      </c>
      <c r="CA36" s="862">
        <f t="shared" si="27"/>
        <v>75369.440000000002</v>
      </c>
      <c r="CB36" s="862">
        <f t="shared" si="28"/>
        <v>8075.3</v>
      </c>
      <c r="CC36" s="863">
        <f t="shared" si="29"/>
        <v>703448.12</v>
      </c>
      <c r="CD36" s="863">
        <f t="shared" si="30"/>
        <v>277251.88</v>
      </c>
      <c r="CE36" s="864">
        <f t="shared" si="31"/>
        <v>980700</v>
      </c>
      <c r="CF36" s="862">
        <f t="shared" si="32"/>
        <v>0</v>
      </c>
    </row>
    <row r="37" spans="1:84" s="429" customFormat="1" ht="13.9" customHeight="1" x14ac:dyDescent="0.25">
      <c r="A37" s="472"/>
      <c r="B37" s="436">
        <v>301</v>
      </c>
      <c r="C37" s="436" t="s">
        <v>412</v>
      </c>
      <c r="D37" s="436"/>
      <c r="E37" s="436" t="s">
        <v>366</v>
      </c>
      <c r="F37" s="429" t="s">
        <v>413</v>
      </c>
      <c r="G37" s="473">
        <v>45494</v>
      </c>
      <c r="H37" s="436" t="s">
        <v>128</v>
      </c>
      <c r="I37" s="472">
        <v>1273000</v>
      </c>
      <c r="J37" s="472">
        <f t="shared" ref="J37:J41" si="35">+I37*0.1</f>
        <v>127300</v>
      </c>
      <c r="K37" s="507">
        <v>0</v>
      </c>
      <c r="L37" s="507">
        <v>0</v>
      </c>
      <c r="M37" s="507">
        <v>0</v>
      </c>
      <c r="N37" s="507">
        <v>0</v>
      </c>
      <c r="O37" s="507">
        <v>0</v>
      </c>
      <c r="P37" s="507">
        <v>0</v>
      </c>
      <c r="Q37" s="507">
        <v>0</v>
      </c>
      <c r="R37" s="507">
        <v>0</v>
      </c>
      <c r="S37" s="507">
        <v>0</v>
      </c>
      <c r="T37" s="507">
        <v>0</v>
      </c>
      <c r="U37" s="507">
        <v>0</v>
      </c>
      <c r="V37" s="507">
        <v>0</v>
      </c>
      <c r="W37" s="507">
        <v>0</v>
      </c>
      <c r="X37" s="507">
        <v>0</v>
      </c>
      <c r="Y37" s="507">
        <v>0</v>
      </c>
      <c r="Z37" s="507">
        <v>0</v>
      </c>
      <c r="AA37" s="507">
        <v>10000</v>
      </c>
      <c r="AB37" s="507">
        <v>13800</v>
      </c>
      <c r="AC37" s="507">
        <v>6900</v>
      </c>
      <c r="AD37" s="507">
        <v>0</v>
      </c>
      <c r="AE37" s="507">
        <v>6900</v>
      </c>
      <c r="AF37" s="507">
        <v>6900</v>
      </c>
      <c r="AG37" s="507">
        <v>6900</v>
      </c>
      <c r="AH37" s="507">
        <v>6900</v>
      </c>
      <c r="AI37" s="507">
        <v>6900</v>
      </c>
      <c r="AJ37" s="507">
        <v>6900</v>
      </c>
      <c r="AK37" s="508">
        <v>6900</v>
      </c>
      <c r="AL37" s="508">
        <v>6900</v>
      </c>
      <c r="AM37" s="509">
        <v>6900</v>
      </c>
      <c r="AN37" s="509">
        <v>6900</v>
      </c>
      <c r="AO37" s="509">
        <v>6900</v>
      </c>
      <c r="AP37" s="509">
        <v>6900</v>
      </c>
      <c r="AQ37" s="509">
        <v>6900</v>
      </c>
      <c r="AR37" s="509">
        <v>6900</v>
      </c>
      <c r="AS37" s="509"/>
      <c r="AT37" s="510">
        <f t="shared" si="33"/>
        <v>127300</v>
      </c>
      <c r="AU37" s="512">
        <f t="shared" si="3"/>
        <v>1</v>
      </c>
      <c r="AV37" s="511">
        <f t="shared" si="4"/>
        <v>0</v>
      </c>
      <c r="AW37" s="558">
        <f t="shared" si="5"/>
        <v>0</v>
      </c>
      <c r="AX37" s="513">
        <f t="shared" si="6"/>
        <v>1145700</v>
      </c>
      <c r="AY37" s="514">
        <f t="shared" si="7"/>
        <v>0.9</v>
      </c>
      <c r="AZ37" s="513">
        <f t="shared" si="8"/>
        <v>127300</v>
      </c>
      <c r="BA37" s="515" t="str">
        <f t="shared" si="9"/>
        <v>Vendido</v>
      </c>
      <c r="BB37" s="516" t="str">
        <f t="shared" si="10"/>
        <v>Cliente Atrasado</v>
      </c>
      <c r="BC37" s="551">
        <v>17</v>
      </c>
      <c r="BD37" s="693">
        <f t="shared" si="11"/>
        <v>1</v>
      </c>
      <c r="BE37" s="693">
        <f t="shared" si="12"/>
        <v>18</v>
      </c>
      <c r="BF37" s="517">
        <v>10000</v>
      </c>
      <c r="BG37" s="517">
        <v>6900</v>
      </c>
      <c r="BH37" s="693">
        <f t="shared" si="13"/>
        <v>15</v>
      </c>
      <c r="BI37" s="693">
        <f t="shared" si="14"/>
        <v>18</v>
      </c>
      <c r="BJ37" s="655">
        <f t="shared" si="15"/>
        <v>134200</v>
      </c>
      <c r="BK37" s="518">
        <f t="shared" si="16"/>
        <v>103500</v>
      </c>
      <c r="BL37" s="518">
        <f t="shared" si="17"/>
        <v>23800</v>
      </c>
      <c r="BM37" s="518">
        <f t="shared" si="18"/>
        <v>0</v>
      </c>
      <c r="BN37" s="518">
        <f t="shared" si="19"/>
        <v>0</v>
      </c>
      <c r="BO37" s="655">
        <f t="shared" si="34"/>
        <v>6900</v>
      </c>
      <c r="BP37" s="693">
        <f t="shared" si="21"/>
        <v>1</v>
      </c>
      <c r="BQ37" s="696"/>
      <c r="BR37" s="519"/>
      <c r="BT37" s="439">
        <f t="shared" si="22"/>
        <v>-6900</v>
      </c>
      <c r="BU37" s="439">
        <f t="shared" si="23"/>
        <v>-6900</v>
      </c>
      <c r="BV37" s="439">
        <f t="shared" si="24"/>
        <v>0</v>
      </c>
      <c r="BY37" s="862">
        <f t="shared" si="25"/>
        <v>815279.04799999995</v>
      </c>
      <c r="BZ37" s="862">
        <f t="shared" si="26"/>
        <v>349405.30599999998</v>
      </c>
      <c r="CA37" s="862">
        <f t="shared" si="27"/>
        <v>97833.49</v>
      </c>
      <c r="CB37" s="862">
        <f t="shared" si="28"/>
        <v>10482.16</v>
      </c>
      <c r="CC37" s="863">
        <f t="shared" si="29"/>
        <v>913112.54</v>
      </c>
      <c r="CD37" s="863">
        <f t="shared" si="30"/>
        <v>359887.47</v>
      </c>
      <c r="CE37" s="864">
        <f t="shared" si="31"/>
        <v>1273000.01</v>
      </c>
      <c r="CF37" s="862">
        <f t="shared" si="32"/>
        <v>1.0000000009313226E-2</v>
      </c>
    </row>
    <row r="38" spans="1:84" s="429" customFormat="1" ht="13.9" customHeight="1" x14ac:dyDescent="0.25">
      <c r="A38" s="472"/>
      <c r="B38" s="436">
        <v>302</v>
      </c>
      <c r="C38" s="436" t="s">
        <v>186</v>
      </c>
      <c r="D38" s="436"/>
      <c r="E38" s="436" t="s">
        <v>135</v>
      </c>
      <c r="F38" s="429" t="s">
        <v>414</v>
      </c>
      <c r="G38" s="473">
        <v>45898</v>
      </c>
      <c r="H38" s="436" t="s">
        <v>128</v>
      </c>
      <c r="I38" s="472">
        <v>1455900</v>
      </c>
      <c r="J38" s="472">
        <f>+I38*0.07</f>
        <v>101913.00000000001</v>
      </c>
      <c r="K38" s="507">
        <v>0</v>
      </c>
      <c r="L38" s="507">
        <v>0</v>
      </c>
      <c r="M38" s="507">
        <v>0</v>
      </c>
      <c r="N38" s="507">
        <v>0</v>
      </c>
      <c r="O38" s="507">
        <v>0</v>
      </c>
      <c r="P38" s="507">
        <v>0</v>
      </c>
      <c r="Q38" s="507">
        <v>0</v>
      </c>
      <c r="R38" s="507">
        <v>0</v>
      </c>
      <c r="S38" s="507">
        <v>0</v>
      </c>
      <c r="T38" s="507">
        <v>0</v>
      </c>
      <c r="U38" s="507">
        <v>0</v>
      </c>
      <c r="V38" s="507">
        <v>0</v>
      </c>
      <c r="W38" s="507">
        <v>0</v>
      </c>
      <c r="X38" s="507">
        <v>0</v>
      </c>
      <c r="Y38" s="507">
        <v>0</v>
      </c>
      <c r="Z38" s="507">
        <v>0</v>
      </c>
      <c r="AA38" s="507">
        <v>0</v>
      </c>
      <c r="AB38" s="507">
        <v>0</v>
      </c>
      <c r="AC38" s="507">
        <v>0</v>
      </c>
      <c r="AD38" s="507">
        <v>0</v>
      </c>
      <c r="AE38" s="507">
        <v>0</v>
      </c>
      <c r="AF38" s="507">
        <v>0</v>
      </c>
      <c r="AG38" s="507">
        <v>0</v>
      </c>
      <c r="AH38" s="507">
        <v>0</v>
      </c>
      <c r="AI38" s="507">
        <v>0</v>
      </c>
      <c r="AJ38" s="507">
        <v>0</v>
      </c>
      <c r="AK38" s="508"/>
      <c r="AL38" s="508"/>
      <c r="AM38" s="508"/>
      <c r="AN38" s="509">
        <v>10000</v>
      </c>
      <c r="AO38" s="509">
        <v>9200</v>
      </c>
      <c r="AP38" s="509">
        <v>9200</v>
      </c>
      <c r="AQ38" s="509">
        <v>9200</v>
      </c>
      <c r="AR38" s="509">
        <v>9200</v>
      </c>
      <c r="AS38" s="509"/>
      <c r="AT38" s="510">
        <f t="shared" si="33"/>
        <v>46800</v>
      </c>
      <c r="AU38" s="512">
        <f t="shared" si="3"/>
        <v>0.45921521297577339</v>
      </c>
      <c r="AV38" s="511">
        <f t="shared" si="4"/>
        <v>-55113.000000000015</v>
      </c>
      <c r="AW38" s="558">
        <f t="shared" si="5"/>
        <v>-0.54078478702422661</v>
      </c>
      <c r="AX38" s="513">
        <f t="shared" si="6"/>
        <v>1409100</v>
      </c>
      <c r="AY38" s="514">
        <f t="shared" si="7"/>
        <v>0.96785493509169584</v>
      </c>
      <c r="AZ38" s="513">
        <f t="shared" si="8"/>
        <v>101913.00000000001</v>
      </c>
      <c r="BA38" s="515" t="str">
        <f t="shared" si="9"/>
        <v>Vendido</v>
      </c>
      <c r="BB38" s="516" t="str">
        <f t="shared" si="10"/>
        <v>Cliente al día</v>
      </c>
      <c r="BC38" s="551">
        <v>10</v>
      </c>
      <c r="BD38" s="693">
        <f t="shared" si="11"/>
        <v>1</v>
      </c>
      <c r="BE38" s="693">
        <f t="shared" si="12"/>
        <v>11</v>
      </c>
      <c r="BF38" s="531">
        <v>10000</v>
      </c>
      <c r="BG38" s="531">
        <v>9200</v>
      </c>
      <c r="BH38" s="693">
        <f t="shared" si="13"/>
        <v>4</v>
      </c>
      <c r="BI38" s="693">
        <f t="shared" si="14"/>
        <v>4</v>
      </c>
      <c r="BJ38" s="655">
        <f t="shared" si="15"/>
        <v>46800</v>
      </c>
      <c r="BK38" s="518">
        <f t="shared" si="16"/>
        <v>36800</v>
      </c>
      <c r="BL38" s="518">
        <f t="shared" si="17"/>
        <v>10000</v>
      </c>
      <c r="BM38" s="518">
        <f t="shared" si="18"/>
        <v>0</v>
      </c>
      <c r="BN38" s="518">
        <f t="shared" si="19"/>
        <v>0</v>
      </c>
      <c r="BO38" s="655">
        <f t="shared" si="34"/>
        <v>0</v>
      </c>
      <c r="BP38" s="693">
        <f t="shared" si="21"/>
        <v>0</v>
      </c>
      <c r="BQ38" s="696"/>
      <c r="BR38" s="519"/>
      <c r="BT38" s="439">
        <f t="shared" si="22"/>
        <v>0</v>
      </c>
      <c r="BU38" s="439">
        <f t="shared" si="23"/>
        <v>0</v>
      </c>
      <c r="BV38" s="439">
        <f t="shared" si="24"/>
        <v>0</v>
      </c>
      <c r="BY38" s="862">
        <f t="shared" si="25"/>
        <v>932415.37100000004</v>
      </c>
      <c r="BZ38" s="862">
        <f t="shared" si="26"/>
        <v>399606.587</v>
      </c>
      <c r="CA38" s="862">
        <f t="shared" si="27"/>
        <v>111889.84</v>
      </c>
      <c r="CB38" s="862">
        <f t="shared" si="28"/>
        <v>11988.2</v>
      </c>
      <c r="CC38" s="863">
        <f t="shared" si="29"/>
        <v>1044305.21</v>
      </c>
      <c r="CD38" s="863">
        <f t="shared" si="30"/>
        <v>411594.79</v>
      </c>
      <c r="CE38" s="864">
        <f t="shared" si="31"/>
        <v>1455900</v>
      </c>
      <c r="CF38" s="862">
        <f t="shared" si="32"/>
        <v>0</v>
      </c>
    </row>
    <row r="39" spans="1:84" s="429" customFormat="1" ht="13.9" customHeight="1" x14ac:dyDescent="0.25">
      <c r="B39" s="893">
        <v>303</v>
      </c>
      <c r="C39" s="893" t="s">
        <v>192</v>
      </c>
      <c r="D39" s="893"/>
      <c r="E39" s="893" t="s">
        <v>359</v>
      </c>
      <c r="F39" s="894" t="s">
        <v>415</v>
      </c>
      <c r="G39" s="895" t="s">
        <v>416</v>
      </c>
      <c r="H39" s="893" t="s">
        <v>137</v>
      </c>
      <c r="I39" s="896">
        <v>946500</v>
      </c>
      <c r="J39" s="896">
        <v>66300</v>
      </c>
      <c r="K39" s="507">
        <v>0</v>
      </c>
      <c r="L39" s="507">
        <v>0</v>
      </c>
      <c r="M39" s="507">
        <v>0</v>
      </c>
      <c r="N39" s="507">
        <v>0</v>
      </c>
      <c r="O39" s="507">
        <v>0</v>
      </c>
      <c r="P39" s="507">
        <v>0</v>
      </c>
      <c r="Q39" s="507">
        <v>0</v>
      </c>
      <c r="R39" s="507">
        <v>0</v>
      </c>
      <c r="S39" s="507">
        <v>0</v>
      </c>
      <c r="T39" s="507">
        <v>0</v>
      </c>
      <c r="U39" s="507">
        <v>0</v>
      </c>
      <c r="V39" s="507">
        <v>0</v>
      </c>
      <c r="W39" s="507">
        <v>0</v>
      </c>
      <c r="X39" s="507">
        <v>0</v>
      </c>
      <c r="Y39" s="507">
        <v>0</v>
      </c>
      <c r="Z39" s="507">
        <v>0</v>
      </c>
      <c r="AA39" s="507">
        <v>0</v>
      </c>
      <c r="AB39" s="507">
        <v>0</v>
      </c>
      <c r="AC39" s="507">
        <v>0</v>
      </c>
      <c r="AD39" s="507">
        <v>0</v>
      </c>
      <c r="AE39" s="507">
        <v>0</v>
      </c>
      <c r="AF39" s="507">
        <v>0</v>
      </c>
      <c r="AG39" s="507">
        <v>0</v>
      </c>
      <c r="AH39" s="507">
        <v>0</v>
      </c>
      <c r="AI39" s="507">
        <v>0</v>
      </c>
      <c r="AJ39" s="507">
        <v>0</v>
      </c>
      <c r="AK39" s="507">
        <v>0</v>
      </c>
      <c r="AL39" s="507">
        <v>0</v>
      </c>
      <c r="AM39" s="507">
        <v>0</v>
      </c>
      <c r="AN39" s="509">
        <v>0</v>
      </c>
      <c r="AO39" s="509">
        <v>0</v>
      </c>
      <c r="AP39" s="509">
        <v>0</v>
      </c>
      <c r="AQ39" s="509">
        <v>0</v>
      </c>
      <c r="AR39" s="507"/>
      <c r="AS39" s="507"/>
      <c r="AT39" s="510">
        <f t="shared" si="33"/>
        <v>0</v>
      </c>
      <c r="AU39" s="512">
        <f t="shared" si="3"/>
        <v>0</v>
      </c>
      <c r="AV39" s="511">
        <f t="shared" si="4"/>
        <v>-66300</v>
      </c>
      <c r="AW39" s="558">
        <f t="shared" si="5"/>
        <v>-1</v>
      </c>
      <c r="AX39" s="513">
        <f t="shared" si="6"/>
        <v>946500</v>
      </c>
      <c r="AY39" s="514">
        <f t="shared" si="7"/>
        <v>1</v>
      </c>
      <c r="AZ39" s="513">
        <f t="shared" si="8"/>
        <v>66300</v>
      </c>
      <c r="BA39" s="515" t="str">
        <f t="shared" si="9"/>
        <v>Vendido</v>
      </c>
      <c r="BB39" s="516" t="e">
        <f t="shared" si="10"/>
        <v>#VALUE!</v>
      </c>
      <c r="BC39" s="551"/>
      <c r="BD39" s="693">
        <f t="shared" si="11"/>
        <v>0</v>
      </c>
      <c r="BE39" s="693">
        <f t="shared" si="12"/>
        <v>0</v>
      </c>
      <c r="BF39" s="517"/>
      <c r="BG39" s="517"/>
      <c r="BH39" s="693">
        <f t="shared" si="13"/>
        <v>0</v>
      </c>
      <c r="BI39" s="693" t="e">
        <f t="shared" si="14"/>
        <v>#VALUE!</v>
      </c>
      <c r="BJ39" s="655" t="e">
        <f t="shared" ref="BJ39:BJ70" si="36">(BI39*BG39)+BF39</f>
        <v>#VALUE!</v>
      </c>
      <c r="BK39" s="518">
        <f t="shared" si="16"/>
        <v>0</v>
      </c>
      <c r="BL39" s="518">
        <f t="shared" si="17"/>
        <v>0</v>
      </c>
      <c r="BM39" s="518">
        <f t="shared" si="18"/>
        <v>0</v>
      </c>
      <c r="BN39" s="518" t="e">
        <f t="shared" si="19"/>
        <v>#VALUE!</v>
      </c>
      <c r="BO39" s="655" t="e">
        <f t="shared" si="34"/>
        <v>#VALUE!</v>
      </c>
      <c r="BP39" s="693" t="str">
        <f t="shared" si="21"/>
        <v/>
      </c>
      <c r="BQ39" s="696"/>
      <c r="BR39" s="519"/>
      <c r="BT39" s="439" t="e">
        <f t="shared" si="22"/>
        <v>#VALUE!</v>
      </c>
      <c r="BU39" s="439" t="e">
        <f t="shared" si="23"/>
        <v>#VALUE!</v>
      </c>
      <c r="BV39" s="439" t="e">
        <f t="shared" si="24"/>
        <v>#VALUE!</v>
      </c>
      <c r="BY39" s="862">
        <f t="shared" si="25"/>
        <v>606175.66299999994</v>
      </c>
      <c r="BZ39" s="862">
        <f t="shared" si="26"/>
        <v>259789.57</v>
      </c>
      <c r="CA39" s="862">
        <f t="shared" si="27"/>
        <v>72741.08</v>
      </c>
      <c r="CB39" s="862">
        <f t="shared" si="28"/>
        <v>7793.69</v>
      </c>
      <c r="CC39" s="863">
        <f t="shared" si="29"/>
        <v>678916.74</v>
      </c>
      <c r="CD39" s="863">
        <f t="shared" si="30"/>
        <v>267583.26</v>
      </c>
      <c r="CE39" s="864">
        <f t="shared" si="31"/>
        <v>946500</v>
      </c>
      <c r="CF39" s="862">
        <f t="shared" si="32"/>
        <v>0</v>
      </c>
    </row>
    <row r="40" spans="1:84" s="429" customFormat="1" ht="13.9" customHeight="1" x14ac:dyDescent="0.25">
      <c r="A40" s="472"/>
      <c r="B40" s="436">
        <v>304</v>
      </c>
      <c r="C40" s="436" t="s">
        <v>198</v>
      </c>
      <c r="D40" s="436"/>
      <c r="E40" s="436" t="s">
        <v>366</v>
      </c>
      <c r="F40" s="429" t="s">
        <v>417</v>
      </c>
      <c r="G40" s="473">
        <v>45719</v>
      </c>
      <c r="H40" s="436" t="s">
        <v>128</v>
      </c>
      <c r="I40" s="472">
        <v>833815.20101665298</v>
      </c>
      <c r="J40" s="472">
        <v>83415.199999999997</v>
      </c>
      <c r="K40" s="507">
        <v>0</v>
      </c>
      <c r="L40" s="507">
        <v>0</v>
      </c>
      <c r="M40" s="507">
        <v>0</v>
      </c>
      <c r="N40" s="507">
        <v>0</v>
      </c>
      <c r="O40" s="507">
        <v>0</v>
      </c>
      <c r="P40" s="507">
        <v>0</v>
      </c>
      <c r="Q40" s="507">
        <v>0</v>
      </c>
      <c r="R40" s="507">
        <v>0</v>
      </c>
      <c r="S40" s="507">
        <v>0</v>
      </c>
      <c r="T40" s="507">
        <v>0</v>
      </c>
      <c r="U40" s="507">
        <v>0</v>
      </c>
      <c r="V40" s="507">
        <v>0</v>
      </c>
      <c r="W40" s="507">
        <v>0</v>
      </c>
      <c r="X40" s="507">
        <v>0</v>
      </c>
      <c r="Y40" s="507">
        <v>0</v>
      </c>
      <c r="Z40" s="507">
        <v>0</v>
      </c>
      <c r="AA40" s="507">
        <v>0</v>
      </c>
      <c r="AB40" s="507">
        <v>0</v>
      </c>
      <c r="AC40" s="507">
        <v>0</v>
      </c>
      <c r="AD40" s="507">
        <v>0</v>
      </c>
      <c r="AE40" s="507">
        <v>0</v>
      </c>
      <c r="AF40" s="507">
        <v>0</v>
      </c>
      <c r="AG40" s="507">
        <v>0</v>
      </c>
      <c r="AH40" s="507">
        <v>0</v>
      </c>
      <c r="AI40" s="507">
        <v>10000</v>
      </c>
      <c r="AJ40" s="507">
        <v>5244</v>
      </c>
      <c r="AK40" s="508">
        <v>5244</v>
      </c>
      <c r="AL40" s="508">
        <v>5244</v>
      </c>
      <c r="AM40" s="509">
        <v>5244</v>
      </c>
      <c r="AN40" s="509">
        <v>5244</v>
      </c>
      <c r="AO40" s="509">
        <v>5244</v>
      </c>
      <c r="AP40" s="509">
        <v>5244</v>
      </c>
      <c r="AQ40" s="509">
        <v>5244</v>
      </c>
      <c r="AR40" s="509">
        <v>5244</v>
      </c>
      <c r="AS40" s="509">
        <v>5244</v>
      </c>
      <c r="AT40" s="510">
        <f t="shared" si="33"/>
        <v>62440</v>
      </c>
      <c r="AU40" s="512">
        <f t="shared" si="3"/>
        <v>0.748544629755728</v>
      </c>
      <c r="AV40" s="511">
        <f t="shared" si="4"/>
        <v>-20975.199999999997</v>
      </c>
      <c r="AW40" s="558">
        <f t="shared" si="5"/>
        <v>-0.251455370244272</v>
      </c>
      <c r="AX40" s="513">
        <f t="shared" si="6"/>
        <v>771375.20101665298</v>
      </c>
      <c r="AY40" s="514">
        <f t="shared" si="7"/>
        <v>0.9251153014194653</v>
      </c>
      <c r="AZ40" s="513">
        <f t="shared" si="8"/>
        <v>83415.199999999997</v>
      </c>
      <c r="BA40" s="515" t="str">
        <f t="shared" si="9"/>
        <v>Vendido</v>
      </c>
      <c r="BB40" s="516" t="str">
        <f t="shared" si="10"/>
        <v>Cliente al día</v>
      </c>
      <c r="BC40" s="551">
        <v>14</v>
      </c>
      <c r="BD40" s="693">
        <f t="shared" si="11"/>
        <v>1</v>
      </c>
      <c r="BE40" s="693">
        <f t="shared" si="12"/>
        <v>15</v>
      </c>
      <c r="BF40" s="517">
        <v>10000</v>
      </c>
      <c r="BG40" s="517">
        <v>5244</v>
      </c>
      <c r="BH40" s="693">
        <f t="shared" si="13"/>
        <v>10</v>
      </c>
      <c r="BI40" s="693">
        <f t="shared" si="14"/>
        <v>10</v>
      </c>
      <c r="BJ40" s="655">
        <f t="shared" si="36"/>
        <v>62440</v>
      </c>
      <c r="BK40" s="518">
        <f t="shared" si="16"/>
        <v>52440</v>
      </c>
      <c r="BL40" s="518">
        <f t="shared" si="17"/>
        <v>10000</v>
      </c>
      <c r="BM40" s="518">
        <f t="shared" si="18"/>
        <v>0</v>
      </c>
      <c r="BN40" s="518">
        <f t="shared" si="19"/>
        <v>0</v>
      </c>
      <c r="BO40" s="655">
        <f t="shared" si="34"/>
        <v>0</v>
      </c>
      <c r="BP40" s="693">
        <f t="shared" si="21"/>
        <v>0</v>
      </c>
      <c r="BQ40" s="696"/>
      <c r="BR40" s="519"/>
      <c r="BT40" s="439">
        <f t="shared" si="22"/>
        <v>0</v>
      </c>
      <c r="BU40" s="439">
        <f t="shared" si="23"/>
        <v>0</v>
      </c>
      <c r="BV40" s="439">
        <f t="shared" si="24"/>
        <v>0</v>
      </c>
      <c r="BY40" s="862">
        <f t="shared" si="25"/>
        <v>534007.90599999996</v>
      </c>
      <c r="BZ40" s="862">
        <f t="shared" si="26"/>
        <v>228860.53099999999</v>
      </c>
      <c r="CA40" s="862">
        <f t="shared" si="27"/>
        <v>64080.95</v>
      </c>
      <c r="CB40" s="862">
        <f t="shared" si="28"/>
        <v>6865.82</v>
      </c>
      <c r="CC40" s="863">
        <f t="shared" si="29"/>
        <v>598088.86</v>
      </c>
      <c r="CD40" s="863">
        <f t="shared" si="30"/>
        <v>235726.35</v>
      </c>
      <c r="CE40" s="864">
        <f t="shared" si="31"/>
        <v>833815.21</v>
      </c>
      <c r="CF40" s="862">
        <f t="shared" si="32"/>
        <v>8.9833469828590751E-3</v>
      </c>
    </row>
    <row r="41" spans="1:84" s="429" customFormat="1" ht="13.9" customHeight="1" x14ac:dyDescent="0.25">
      <c r="A41" s="472"/>
      <c r="B41" s="436">
        <v>305</v>
      </c>
      <c r="C41" s="436" t="s">
        <v>391</v>
      </c>
      <c r="D41" s="436"/>
      <c r="E41" s="436" t="s">
        <v>366</v>
      </c>
      <c r="F41" s="429" t="s">
        <v>418</v>
      </c>
      <c r="G41" s="473">
        <v>45748</v>
      </c>
      <c r="H41" s="436" t="s">
        <v>128</v>
      </c>
      <c r="I41" s="472">
        <v>1112465.60916772</v>
      </c>
      <c r="J41" s="472">
        <f t="shared" si="35"/>
        <v>111246.560916772</v>
      </c>
      <c r="K41" s="507">
        <v>0</v>
      </c>
      <c r="L41" s="507">
        <v>0</v>
      </c>
      <c r="M41" s="507">
        <v>0</v>
      </c>
      <c r="N41" s="507">
        <v>0</v>
      </c>
      <c r="O41" s="507">
        <v>0</v>
      </c>
      <c r="P41" s="507">
        <v>0</v>
      </c>
      <c r="Q41" s="507">
        <v>0</v>
      </c>
      <c r="R41" s="507">
        <v>0</v>
      </c>
      <c r="S41" s="507">
        <v>0</v>
      </c>
      <c r="T41" s="507">
        <v>0</v>
      </c>
      <c r="U41" s="507">
        <v>0</v>
      </c>
      <c r="V41" s="507">
        <v>0</v>
      </c>
      <c r="W41" s="507">
        <v>0</v>
      </c>
      <c r="X41" s="507">
        <v>0</v>
      </c>
      <c r="Y41" s="507">
        <v>0</v>
      </c>
      <c r="Z41" s="507">
        <v>0</v>
      </c>
      <c r="AA41" s="507">
        <v>0</v>
      </c>
      <c r="AB41" s="507">
        <v>0</v>
      </c>
      <c r="AC41" s="507">
        <v>0</v>
      </c>
      <c r="AD41" s="507">
        <v>0</v>
      </c>
      <c r="AE41" s="507">
        <v>0</v>
      </c>
      <c r="AF41" s="507">
        <v>0</v>
      </c>
      <c r="AG41" s="507">
        <v>0</v>
      </c>
      <c r="AH41" s="507">
        <v>0</v>
      </c>
      <c r="AI41" s="507">
        <v>0</v>
      </c>
      <c r="AJ41" s="507">
        <f>10000+5000</f>
        <v>15000</v>
      </c>
      <c r="AK41" s="508">
        <v>3500</v>
      </c>
      <c r="AL41" s="508">
        <v>3500</v>
      </c>
      <c r="AM41" s="509">
        <v>15000</v>
      </c>
      <c r="AN41" s="509">
        <v>3500</v>
      </c>
      <c r="AO41" s="509">
        <v>3500</v>
      </c>
      <c r="AP41" s="509">
        <v>0</v>
      </c>
      <c r="AQ41" s="509">
        <v>7000</v>
      </c>
      <c r="AR41" s="509">
        <v>10000</v>
      </c>
      <c r="AS41" s="509"/>
      <c r="AT41" s="510">
        <f t="shared" si="33"/>
        <v>61000</v>
      </c>
      <c r="AU41" s="512">
        <f t="shared" si="3"/>
        <v>0.5483315573740436</v>
      </c>
      <c r="AV41" s="511">
        <f t="shared" si="4"/>
        <v>-50246.560916771996</v>
      </c>
      <c r="AW41" s="558">
        <f t="shared" si="5"/>
        <v>-0.4516684426259564</v>
      </c>
      <c r="AX41" s="513">
        <f t="shared" si="6"/>
        <v>1051465.60916772</v>
      </c>
      <c r="AY41" s="514">
        <f t="shared" si="7"/>
        <v>0.94516684426259567</v>
      </c>
      <c r="AZ41" s="513">
        <f t="shared" si="8"/>
        <v>111246.560916772</v>
      </c>
      <c r="BA41" s="515" t="str">
        <f t="shared" si="9"/>
        <v>Vendido</v>
      </c>
      <c r="BB41" s="516" t="str">
        <f t="shared" si="10"/>
        <v>Cliente al día</v>
      </c>
      <c r="BC41" s="551">
        <v>13</v>
      </c>
      <c r="BD41" s="693">
        <f t="shared" si="11"/>
        <v>1</v>
      </c>
      <c r="BE41" s="693">
        <f t="shared" si="12"/>
        <v>14</v>
      </c>
      <c r="BF41" s="517">
        <v>15000</v>
      </c>
      <c r="BG41" s="517">
        <v>3500</v>
      </c>
      <c r="BH41" s="693">
        <f t="shared" si="13"/>
        <v>6</v>
      </c>
      <c r="BI41" s="693">
        <f t="shared" si="14"/>
        <v>9</v>
      </c>
      <c r="BJ41" s="655">
        <f t="shared" si="36"/>
        <v>46500</v>
      </c>
      <c r="BK41" s="518">
        <f t="shared" si="16"/>
        <v>14000</v>
      </c>
      <c r="BL41" s="518">
        <f t="shared" si="17"/>
        <v>47000</v>
      </c>
      <c r="BM41" s="518">
        <f t="shared" si="18"/>
        <v>0</v>
      </c>
      <c r="BN41" s="518">
        <f t="shared" si="19"/>
        <v>14500</v>
      </c>
      <c r="BO41" s="655">
        <f t="shared" si="34"/>
        <v>0</v>
      </c>
      <c r="BP41" s="693">
        <f t="shared" si="21"/>
        <v>0</v>
      </c>
      <c r="BQ41" s="696"/>
      <c r="BR41" s="519"/>
      <c r="BT41" s="439">
        <f t="shared" si="22"/>
        <v>14500</v>
      </c>
      <c r="BU41" s="439">
        <f t="shared" si="23"/>
        <v>14500</v>
      </c>
      <c r="BV41" s="439">
        <f t="shared" si="24"/>
        <v>0</v>
      </c>
      <c r="BY41" s="862">
        <f t="shared" si="25"/>
        <v>712466.53799999994</v>
      </c>
      <c r="BZ41" s="862">
        <f t="shared" si="26"/>
        <v>305342.80200000003</v>
      </c>
      <c r="CA41" s="862">
        <f t="shared" si="27"/>
        <v>85495.98</v>
      </c>
      <c r="CB41" s="862">
        <f t="shared" si="28"/>
        <v>9160.2800000000007</v>
      </c>
      <c r="CC41" s="863">
        <f t="shared" si="29"/>
        <v>797962.52</v>
      </c>
      <c r="CD41" s="863">
        <f t="shared" si="30"/>
        <v>314503.08</v>
      </c>
      <c r="CE41" s="864">
        <f t="shared" si="31"/>
        <v>1112465.6000000001</v>
      </c>
      <c r="CF41" s="862">
        <f t="shared" si="32"/>
        <v>-9.1677198652178049E-3</v>
      </c>
    </row>
    <row r="42" spans="1:84" s="429" customFormat="1" ht="13.9" customHeight="1" x14ac:dyDescent="0.25">
      <c r="A42" s="472"/>
      <c r="B42" s="436">
        <v>306</v>
      </c>
      <c r="C42" s="436" t="s">
        <v>194</v>
      </c>
      <c r="D42" s="436"/>
      <c r="E42" s="436" t="s">
        <v>135</v>
      </c>
      <c r="F42" s="429" t="s">
        <v>419</v>
      </c>
      <c r="G42" s="473">
        <v>46033</v>
      </c>
      <c r="H42" s="436" t="s">
        <v>361</v>
      </c>
      <c r="I42" s="472">
        <v>1106500</v>
      </c>
      <c r="J42" s="472">
        <v>77500</v>
      </c>
      <c r="K42" s="507">
        <v>0</v>
      </c>
      <c r="L42" s="507">
        <v>0</v>
      </c>
      <c r="M42" s="507">
        <v>0</v>
      </c>
      <c r="N42" s="507">
        <v>0</v>
      </c>
      <c r="O42" s="507">
        <v>0</v>
      </c>
      <c r="P42" s="507">
        <v>0</v>
      </c>
      <c r="Q42" s="507">
        <v>0</v>
      </c>
      <c r="R42" s="507">
        <v>0</v>
      </c>
      <c r="S42" s="507">
        <v>0</v>
      </c>
      <c r="T42" s="507">
        <v>0</v>
      </c>
      <c r="U42" s="507">
        <v>0</v>
      </c>
      <c r="V42" s="507">
        <v>0</v>
      </c>
      <c r="W42" s="507">
        <v>0</v>
      </c>
      <c r="X42" s="507">
        <v>0</v>
      </c>
      <c r="Y42" s="507">
        <v>0</v>
      </c>
      <c r="Z42" s="507">
        <v>0</v>
      </c>
      <c r="AA42" s="507">
        <v>0</v>
      </c>
      <c r="AB42" s="507">
        <v>0</v>
      </c>
      <c r="AC42" s="507">
        <v>0</v>
      </c>
      <c r="AD42" s="507">
        <v>0</v>
      </c>
      <c r="AE42" s="507">
        <v>0</v>
      </c>
      <c r="AF42" s="507">
        <v>0</v>
      </c>
      <c r="AG42" s="507">
        <v>0</v>
      </c>
      <c r="AH42" s="507">
        <v>0</v>
      </c>
      <c r="AI42" s="507">
        <v>0</v>
      </c>
      <c r="AJ42" s="507">
        <v>0</v>
      </c>
      <c r="AK42" s="508"/>
      <c r="AL42" s="508"/>
      <c r="AM42" s="508"/>
      <c r="AN42" s="509">
        <v>0</v>
      </c>
      <c r="AO42" s="509">
        <v>0</v>
      </c>
      <c r="AP42" s="509">
        <v>0</v>
      </c>
      <c r="AQ42" s="509">
        <v>0</v>
      </c>
      <c r="AR42" s="508"/>
      <c r="AS42" s="508">
        <v>10000</v>
      </c>
      <c r="AT42" s="510">
        <f t="shared" si="33"/>
        <v>10000</v>
      </c>
      <c r="AU42" s="512">
        <f t="shared" si="3"/>
        <v>0.12903225806451613</v>
      </c>
      <c r="AV42" s="511">
        <f t="shared" si="4"/>
        <v>-67500</v>
      </c>
      <c r="AW42" s="558">
        <f t="shared" si="5"/>
        <v>-0.87096774193548387</v>
      </c>
      <c r="AX42" s="513">
        <f t="shared" si="6"/>
        <v>1096500</v>
      </c>
      <c r="AY42" s="514">
        <f t="shared" si="7"/>
        <v>0.99096249435155892</v>
      </c>
      <c r="AZ42" s="513">
        <f t="shared" si="8"/>
        <v>77500</v>
      </c>
      <c r="BA42" s="515" t="str">
        <f t="shared" si="9"/>
        <v>Vendido</v>
      </c>
      <c r="BB42" s="516" t="str">
        <f t="shared" si="10"/>
        <v>Cliente al día</v>
      </c>
      <c r="BC42" s="551"/>
      <c r="BD42" s="693">
        <f t="shared" si="11"/>
        <v>0</v>
      </c>
      <c r="BE42" s="693">
        <f t="shared" si="12"/>
        <v>0</v>
      </c>
      <c r="BF42" s="517"/>
      <c r="BG42" s="517"/>
      <c r="BH42" s="693">
        <f t="shared" si="13"/>
        <v>0</v>
      </c>
      <c r="BI42" s="693">
        <f t="shared" si="14"/>
        <v>0</v>
      </c>
      <c r="BJ42" s="655">
        <f t="shared" si="36"/>
        <v>0</v>
      </c>
      <c r="BK42" s="518">
        <f t="shared" si="16"/>
        <v>0</v>
      </c>
      <c r="BL42" s="518">
        <f t="shared" si="17"/>
        <v>0</v>
      </c>
      <c r="BM42" s="518">
        <f t="shared" si="18"/>
        <v>10000</v>
      </c>
      <c r="BN42" s="518">
        <f t="shared" si="19"/>
        <v>10000</v>
      </c>
      <c r="BO42" s="655">
        <f t="shared" si="34"/>
        <v>0</v>
      </c>
      <c r="BP42" s="693" t="str">
        <f t="shared" si="21"/>
        <v/>
      </c>
      <c r="BQ42" s="696"/>
      <c r="BR42" s="519"/>
      <c r="BT42" s="439">
        <f t="shared" si="22"/>
        <v>10000</v>
      </c>
      <c r="BU42" s="439">
        <f t="shared" si="23"/>
        <v>10000</v>
      </c>
      <c r="BV42" s="439">
        <f t="shared" si="24"/>
        <v>0</v>
      </c>
      <c r="BY42" s="862">
        <f t="shared" si="25"/>
        <v>708645.929</v>
      </c>
      <c r="BZ42" s="862">
        <f t="shared" si="26"/>
        <v>303705.39799999999</v>
      </c>
      <c r="CA42" s="862">
        <f t="shared" si="27"/>
        <v>85037.51</v>
      </c>
      <c r="CB42" s="862">
        <f t="shared" si="28"/>
        <v>9111.16</v>
      </c>
      <c r="CC42" s="863">
        <f t="shared" si="29"/>
        <v>793683.44</v>
      </c>
      <c r="CD42" s="863">
        <f t="shared" si="30"/>
        <v>312816.56</v>
      </c>
      <c r="CE42" s="864">
        <f t="shared" si="31"/>
        <v>1106500</v>
      </c>
      <c r="CF42" s="862">
        <f t="shared" si="32"/>
        <v>0</v>
      </c>
    </row>
    <row r="43" spans="1:84" s="429" customFormat="1" ht="13.9" customHeight="1" x14ac:dyDescent="0.25">
      <c r="A43" s="472"/>
      <c r="B43" s="436">
        <v>307</v>
      </c>
      <c r="C43" s="436" t="s">
        <v>393</v>
      </c>
      <c r="D43" s="436"/>
      <c r="E43" s="436" t="s">
        <v>359</v>
      </c>
      <c r="F43" s="429" t="s">
        <v>420</v>
      </c>
      <c r="G43" s="473">
        <v>45999</v>
      </c>
      <c r="H43" s="436" t="s">
        <v>361</v>
      </c>
      <c r="I43" s="472">
        <v>1055600</v>
      </c>
      <c r="J43" s="472">
        <v>73900</v>
      </c>
      <c r="K43" s="507">
        <v>0</v>
      </c>
      <c r="L43" s="507">
        <v>0</v>
      </c>
      <c r="M43" s="507">
        <v>0</v>
      </c>
      <c r="N43" s="507">
        <v>0</v>
      </c>
      <c r="O43" s="507">
        <v>0</v>
      </c>
      <c r="P43" s="507">
        <v>0</v>
      </c>
      <c r="Q43" s="507">
        <v>0</v>
      </c>
      <c r="R43" s="507">
        <v>0</v>
      </c>
      <c r="S43" s="507">
        <v>0</v>
      </c>
      <c r="T43" s="507">
        <v>0</v>
      </c>
      <c r="U43" s="507">
        <v>0</v>
      </c>
      <c r="V43" s="507">
        <v>0</v>
      </c>
      <c r="W43" s="507">
        <v>0</v>
      </c>
      <c r="X43" s="507">
        <v>0</v>
      </c>
      <c r="Y43" s="507">
        <v>0</v>
      </c>
      <c r="Z43" s="507">
        <v>0</v>
      </c>
      <c r="AA43" s="507">
        <v>0</v>
      </c>
      <c r="AB43" s="507">
        <v>0</v>
      </c>
      <c r="AC43" s="507">
        <v>0</v>
      </c>
      <c r="AD43" s="507">
        <v>0</v>
      </c>
      <c r="AE43" s="507">
        <v>0</v>
      </c>
      <c r="AF43" s="507">
        <v>0</v>
      </c>
      <c r="AG43" s="507">
        <v>0</v>
      </c>
      <c r="AH43" s="507">
        <v>0</v>
      </c>
      <c r="AI43" s="507">
        <v>0</v>
      </c>
      <c r="AJ43" s="507">
        <v>0</v>
      </c>
      <c r="AK43" s="508"/>
      <c r="AL43" s="508"/>
      <c r="AM43" s="508"/>
      <c r="AN43" s="509">
        <v>0</v>
      </c>
      <c r="AO43" s="509">
        <v>0</v>
      </c>
      <c r="AP43" s="509">
        <v>0</v>
      </c>
      <c r="AQ43" s="509">
        <v>0</v>
      </c>
      <c r="AR43" s="508">
        <f>10000+3000</f>
        <v>13000</v>
      </c>
      <c r="AS43" s="508">
        <v>7000</v>
      </c>
      <c r="AT43" s="510">
        <f t="shared" si="33"/>
        <v>20000</v>
      </c>
      <c r="AU43" s="512">
        <f t="shared" si="3"/>
        <v>0.2706359945872801</v>
      </c>
      <c r="AV43" s="511">
        <f t="shared" si="4"/>
        <v>-53900</v>
      </c>
      <c r="AW43" s="558">
        <f t="shared" si="5"/>
        <v>-0.72936400541271984</v>
      </c>
      <c r="AX43" s="513">
        <f t="shared" si="6"/>
        <v>1035600</v>
      </c>
      <c r="AY43" s="514">
        <f t="shared" si="7"/>
        <v>0.9810534293292914</v>
      </c>
      <c r="AZ43" s="513">
        <f t="shared" si="8"/>
        <v>73900</v>
      </c>
      <c r="BA43" s="515" t="str">
        <f t="shared" si="9"/>
        <v>Vendido</v>
      </c>
      <c r="BB43" s="516" t="str">
        <f t="shared" si="10"/>
        <v>Cliente al día</v>
      </c>
      <c r="BC43" s="551"/>
      <c r="BD43" s="693">
        <f t="shared" si="11"/>
        <v>0</v>
      </c>
      <c r="BE43" s="693">
        <f t="shared" si="12"/>
        <v>0</v>
      </c>
      <c r="BF43" s="517"/>
      <c r="BG43" s="517"/>
      <c r="BH43" s="693">
        <f t="shared" si="13"/>
        <v>0</v>
      </c>
      <c r="BI43" s="693">
        <f t="shared" si="14"/>
        <v>1</v>
      </c>
      <c r="BJ43" s="655">
        <f t="shared" si="36"/>
        <v>0</v>
      </c>
      <c r="BK43" s="518">
        <f t="shared" si="16"/>
        <v>0</v>
      </c>
      <c r="BL43" s="518">
        <f t="shared" si="17"/>
        <v>0</v>
      </c>
      <c r="BM43" s="518">
        <f t="shared" si="18"/>
        <v>20000</v>
      </c>
      <c r="BN43" s="518">
        <f t="shared" si="19"/>
        <v>20000</v>
      </c>
      <c r="BO43" s="655">
        <f t="shared" si="34"/>
        <v>0</v>
      </c>
      <c r="BP43" s="693" t="str">
        <f t="shared" si="21"/>
        <v/>
      </c>
      <c r="BQ43" s="696"/>
      <c r="BR43" s="519"/>
      <c r="BT43" s="439">
        <f t="shared" si="22"/>
        <v>20000</v>
      </c>
      <c r="BU43" s="439">
        <f t="shared" si="23"/>
        <v>20000</v>
      </c>
      <c r="BV43" s="439">
        <f t="shared" si="24"/>
        <v>0</v>
      </c>
      <c r="BY43" s="862">
        <f t="shared" si="25"/>
        <v>676047.57499999995</v>
      </c>
      <c r="BZ43" s="862">
        <f t="shared" si="26"/>
        <v>289734.67499999999</v>
      </c>
      <c r="CA43" s="862">
        <f t="shared" si="27"/>
        <v>81125.710000000006</v>
      </c>
      <c r="CB43" s="862">
        <f t="shared" si="28"/>
        <v>8692.0400000000009</v>
      </c>
      <c r="CC43" s="863">
        <f t="shared" si="29"/>
        <v>757173.29</v>
      </c>
      <c r="CD43" s="863">
        <f t="shared" si="30"/>
        <v>298426.71999999997</v>
      </c>
      <c r="CE43" s="864">
        <f t="shared" si="31"/>
        <v>1055600.01</v>
      </c>
      <c r="CF43" s="862">
        <f t="shared" si="32"/>
        <v>1.0000000009313226E-2</v>
      </c>
    </row>
    <row r="44" spans="1:84" s="429" customFormat="1" ht="13.9" customHeight="1" x14ac:dyDescent="0.25">
      <c r="A44" s="472"/>
      <c r="B44" s="436">
        <v>308</v>
      </c>
      <c r="C44" s="436" t="s">
        <v>172</v>
      </c>
      <c r="D44" s="436"/>
      <c r="E44" s="436" t="s">
        <v>366</v>
      </c>
      <c r="F44" s="429" t="s">
        <v>417</v>
      </c>
      <c r="G44" s="473">
        <v>45719</v>
      </c>
      <c r="H44" s="436" t="s">
        <v>128</v>
      </c>
      <c r="I44" s="472">
        <v>1032728.18978229</v>
      </c>
      <c r="J44" s="472">
        <v>103328.19</v>
      </c>
      <c r="K44" s="507">
        <v>0</v>
      </c>
      <c r="L44" s="507">
        <v>0</v>
      </c>
      <c r="M44" s="507">
        <v>0</v>
      </c>
      <c r="N44" s="507">
        <v>0</v>
      </c>
      <c r="O44" s="507">
        <v>0</v>
      </c>
      <c r="P44" s="507">
        <v>0</v>
      </c>
      <c r="Q44" s="507">
        <v>0</v>
      </c>
      <c r="R44" s="507">
        <v>0</v>
      </c>
      <c r="S44" s="507">
        <v>0</v>
      </c>
      <c r="T44" s="507">
        <v>0</v>
      </c>
      <c r="U44" s="507">
        <v>0</v>
      </c>
      <c r="V44" s="507">
        <v>0</v>
      </c>
      <c r="W44" s="507">
        <v>0</v>
      </c>
      <c r="X44" s="507">
        <v>0</v>
      </c>
      <c r="Y44" s="507">
        <v>0</v>
      </c>
      <c r="Z44" s="507">
        <v>0</v>
      </c>
      <c r="AA44" s="507">
        <v>0</v>
      </c>
      <c r="AB44" s="507">
        <v>0</v>
      </c>
      <c r="AC44" s="507">
        <v>0</v>
      </c>
      <c r="AD44" s="507">
        <v>0</v>
      </c>
      <c r="AE44" s="507">
        <v>0</v>
      </c>
      <c r="AF44" s="507">
        <v>0</v>
      </c>
      <c r="AG44" s="507">
        <v>0</v>
      </c>
      <c r="AH44" s="507">
        <v>0</v>
      </c>
      <c r="AI44" s="507">
        <v>10000</v>
      </c>
      <c r="AJ44" s="507">
        <v>6666</v>
      </c>
      <c r="AK44" s="508">
        <v>6666</v>
      </c>
      <c r="AL44" s="508">
        <v>6666</v>
      </c>
      <c r="AM44" s="509">
        <v>6666</v>
      </c>
      <c r="AN44" s="509">
        <v>6666</v>
      </c>
      <c r="AO44" s="509">
        <v>6666</v>
      </c>
      <c r="AP44" s="509">
        <v>6666</v>
      </c>
      <c r="AQ44" s="509">
        <v>6666</v>
      </c>
      <c r="AR44" s="509">
        <v>6666</v>
      </c>
      <c r="AS44" s="509">
        <v>6666</v>
      </c>
      <c r="AT44" s="510">
        <f t="shared" si="33"/>
        <v>76660</v>
      </c>
      <c r="AU44" s="512">
        <f t="shared" si="3"/>
        <v>0.74190789560912662</v>
      </c>
      <c r="AV44" s="511">
        <f t="shared" si="4"/>
        <v>-26668.190000000002</v>
      </c>
      <c r="AW44" s="558">
        <f t="shared" si="5"/>
        <v>-0.25809210439087343</v>
      </c>
      <c r="AX44" s="513">
        <f t="shared" si="6"/>
        <v>956068.18978229002</v>
      </c>
      <c r="AY44" s="514">
        <f t="shared" si="7"/>
        <v>0.92576943211343854</v>
      </c>
      <c r="AZ44" s="513">
        <f t="shared" si="8"/>
        <v>103328.19</v>
      </c>
      <c r="BA44" s="515" t="str">
        <f t="shared" si="9"/>
        <v>Vendido</v>
      </c>
      <c r="BB44" s="516" t="str">
        <f t="shared" si="10"/>
        <v>Cliente al día</v>
      </c>
      <c r="BC44" s="551">
        <v>14</v>
      </c>
      <c r="BD44" s="693">
        <f t="shared" si="11"/>
        <v>1</v>
      </c>
      <c r="BE44" s="693">
        <f t="shared" si="12"/>
        <v>15</v>
      </c>
      <c r="BF44" s="517">
        <v>10000</v>
      </c>
      <c r="BG44" s="517">
        <v>6666</v>
      </c>
      <c r="BH44" s="693">
        <f t="shared" si="13"/>
        <v>10</v>
      </c>
      <c r="BI44" s="693">
        <f t="shared" si="14"/>
        <v>10</v>
      </c>
      <c r="BJ44" s="655">
        <f t="shared" si="36"/>
        <v>76660</v>
      </c>
      <c r="BK44" s="518">
        <f t="shared" si="16"/>
        <v>66660</v>
      </c>
      <c r="BL44" s="518">
        <f t="shared" si="17"/>
        <v>10000</v>
      </c>
      <c r="BM44" s="518">
        <f t="shared" si="18"/>
        <v>0</v>
      </c>
      <c r="BN44" s="518">
        <f t="shared" si="19"/>
        <v>0</v>
      </c>
      <c r="BO44" s="655">
        <f t="shared" si="34"/>
        <v>0</v>
      </c>
      <c r="BP44" s="693">
        <f t="shared" si="21"/>
        <v>0</v>
      </c>
      <c r="BQ44" s="696"/>
      <c r="BR44" s="519"/>
      <c r="BT44" s="439">
        <f t="shared" si="22"/>
        <v>0</v>
      </c>
      <c r="BU44" s="439">
        <f t="shared" si="23"/>
        <v>0</v>
      </c>
      <c r="BV44" s="439">
        <f t="shared" si="24"/>
        <v>0</v>
      </c>
      <c r="BY44" s="862">
        <f t="shared" si="25"/>
        <v>661399.57299999997</v>
      </c>
      <c r="BZ44" s="862">
        <f t="shared" si="26"/>
        <v>283456.96000000002</v>
      </c>
      <c r="CA44" s="862">
        <f t="shared" si="27"/>
        <v>79367.95</v>
      </c>
      <c r="CB44" s="862">
        <f t="shared" si="28"/>
        <v>8503.7099999999991</v>
      </c>
      <c r="CC44" s="863">
        <f t="shared" si="29"/>
        <v>740767.52</v>
      </c>
      <c r="CD44" s="863">
        <f t="shared" si="30"/>
        <v>291960.67</v>
      </c>
      <c r="CE44" s="864">
        <f t="shared" si="31"/>
        <v>1032728.19</v>
      </c>
      <c r="CF44" s="862">
        <f t="shared" si="32"/>
        <v>2.1770992316305637E-4</v>
      </c>
    </row>
    <row r="45" spans="1:84" s="429" customFormat="1" ht="13.9" customHeight="1" x14ac:dyDescent="0.25">
      <c r="A45" s="472"/>
      <c r="B45" s="436">
        <v>309</v>
      </c>
      <c r="C45" s="436" t="s">
        <v>395</v>
      </c>
      <c r="D45" s="436"/>
      <c r="E45" s="436" t="s">
        <v>366</v>
      </c>
      <c r="F45" s="429" t="s">
        <v>421</v>
      </c>
      <c r="G45" s="473">
        <v>45516</v>
      </c>
      <c r="H45" s="436" t="s">
        <v>128</v>
      </c>
      <c r="I45" s="472">
        <v>1341690</v>
      </c>
      <c r="J45" s="472">
        <v>135090</v>
      </c>
      <c r="K45" s="507">
        <v>0</v>
      </c>
      <c r="L45" s="507">
        <v>0</v>
      </c>
      <c r="M45" s="507">
        <v>0</v>
      </c>
      <c r="N45" s="507">
        <v>0</v>
      </c>
      <c r="O45" s="507">
        <v>0</v>
      </c>
      <c r="P45" s="507">
        <v>0</v>
      </c>
      <c r="Q45" s="507">
        <v>0</v>
      </c>
      <c r="R45" s="507">
        <v>0</v>
      </c>
      <c r="S45" s="507">
        <v>0</v>
      </c>
      <c r="T45" s="507">
        <v>0</v>
      </c>
      <c r="U45" s="507">
        <v>0</v>
      </c>
      <c r="V45" s="507">
        <v>0</v>
      </c>
      <c r="W45" s="507">
        <v>0</v>
      </c>
      <c r="X45" s="507">
        <v>0</v>
      </c>
      <c r="Y45" s="507">
        <v>0</v>
      </c>
      <c r="Z45" s="507">
        <v>0</v>
      </c>
      <c r="AA45" s="507">
        <v>0</v>
      </c>
      <c r="AB45" s="507">
        <v>5000</v>
      </c>
      <c r="AC45" s="507">
        <v>2500</v>
      </c>
      <c r="AD45" s="507">
        <v>2500</v>
      </c>
      <c r="AE45" s="507">
        <v>2500</v>
      </c>
      <c r="AF45" s="507">
        <v>2500</v>
      </c>
      <c r="AG45" s="507">
        <v>0</v>
      </c>
      <c r="AH45" s="507">
        <v>2500</v>
      </c>
      <c r="AI45" s="507">
        <v>0</v>
      </c>
      <c r="AJ45" s="507">
        <f>5000+2500</f>
        <v>7500</v>
      </c>
      <c r="AK45" s="508">
        <v>2500</v>
      </c>
      <c r="AL45" s="508">
        <v>2500</v>
      </c>
      <c r="AM45" s="509">
        <v>5000</v>
      </c>
      <c r="AN45" s="509">
        <v>5000</v>
      </c>
      <c r="AO45" s="509">
        <v>2500</v>
      </c>
      <c r="AP45" s="509">
        <v>5000</v>
      </c>
      <c r="AQ45" s="509">
        <v>5000</v>
      </c>
      <c r="AR45" s="509">
        <v>5000</v>
      </c>
      <c r="AS45" s="509"/>
      <c r="AT45" s="510">
        <f t="shared" si="33"/>
        <v>57500</v>
      </c>
      <c r="AU45" s="512">
        <f t="shared" si="3"/>
        <v>0.42564216448293729</v>
      </c>
      <c r="AV45" s="511">
        <f t="shared" si="4"/>
        <v>-77590</v>
      </c>
      <c r="AW45" s="558">
        <f t="shared" si="5"/>
        <v>-0.57435783551706265</v>
      </c>
      <c r="AX45" s="513">
        <f t="shared" si="6"/>
        <v>1284190</v>
      </c>
      <c r="AY45" s="514">
        <f t="shared" si="7"/>
        <v>0.95714360247150976</v>
      </c>
      <c r="AZ45" s="513">
        <f t="shared" si="8"/>
        <v>135090</v>
      </c>
      <c r="BA45" s="515" t="str">
        <f t="shared" si="9"/>
        <v>Vendido</v>
      </c>
      <c r="BB45" s="516" t="str">
        <f t="shared" si="10"/>
        <v>Cliente al día</v>
      </c>
      <c r="BC45" s="551">
        <v>16</v>
      </c>
      <c r="BD45" s="693">
        <f t="shared" si="11"/>
        <v>1</v>
      </c>
      <c r="BE45" s="693">
        <f t="shared" si="12"/>
        <v>17</v>
      </c>
      <c r="BF45" s="517">
        <v>5000</v>
      </c>
      <c r="BG45" s="517">
        <v>2500</v>
      </c>
      <c r="BH45" s="693">
        <f t="shared" si="13"/>
        <v>8</v>
      </c>
      <c r="BI45" s="693">
        <f t="shared" si="14"/>
        <v>17</v>
      </c>
      <c r="BJ45" s="655">
        <f t="shared" si="36"/>
        <v>47500</v>
      </c>
      <c r="BK45" s="518">
        <f t="shared" si="16"/>
        <v>20000</v>
      </c>
      <c r="BL45" s="518">
        <f t="shared" si="17"/>
        <v>37500</v>
      </c>
      <c r="BM45" s="518">
        <f t="shared" si="18"/>
        <v>0</v>
      </c>
      <c r="BN45" s="518">
        <f t="shared" si="19"/>
        <v>10000</v>
      </c>
      <c r="BO45" s="655">
        <f t="shared" si="34"/>
        <v>0</v>
      </c>
      <c r="BP45" s="693">
        <f t="shared" si="21"/>
        <v>0</v>
      </c>
      <c r="BQ45" s="696"/>
      <c r="BR45" s="519"/>
      <c r="BT45" s="439">
        <f t="shared" si="22"/>
        <v>10000</v>
      </c>
      <c r="BU45" s="439">
        <f t="shared" si="23"/>
        <v>10000</v>
      </c>
      <c r="BV45" s="439">
        <f t="shared" si="24"/>
        <v>0</v>
      </c>
      <c r="BY45" s="862">
        <f t="shared" si="25"/>
        <v>859270.81400000001</v>
      </c>
      <c r="BZ45" s="862">
        <f t="shared" si="26"/>
        <v>368258.92</v>
      </c>
      <c r="CA45" s="862">
        <f t="shared" si="27"/>
        <v>103112.5</v>
      </c>
      <c r="CB45" s="862">
        <f t="shared" si="28"/>
        <v>11047.77</v>
      </c>
      <c r="CC45" s="863">
        <f t="shared" si="29"/>
        <v>962383.31</v>
      </c>
      <c r="CD45" s="863">
        <f t="shared" si="30"/>
        <v>379306.69</v>
      </c>
      <c r="CE45" s="864">
        <f t="shared" si="31"/>
        <v>1341690</v>
      </c>
      <c r="CF45" s="862">
        <f t="shared" si="32"/>
        <v>0</v>
      </c>
    </row>
    <row r="46" spans="1:84" s="429" customFormat="1" ht="13.9" customHeight="1" x14ac:dyDescent="0.25">
      <c r="A46" s="472"/>
      <c r="B46" s="436">
        <v>310</v>
      </c>
      <c r="C46" s="436" t="s">
        <v>397</v>
      </c>
      <c r="D46" s="436"/>
      <c r="E46" s="436" t="s">
        <v>359</v>
      </c>
      <c r="F46" s="429" t="s">
        <v>422</v>
      </c>
      <c r="G46" s="473">
        <v>46000</v>
      </c>
      <c r="H46" s="436" t="s">
        <v>361</v>
      </c>
      <c r="I46" s="472">
        <v>1009200</v>
      </c>
      <c r="J46" s="472">
        <v>70600</v>
      </c>
      <c r="K46" s="507">
        <v>0</v>
      </c>
      <c r="L46" s="507">
        <v>0</v>
      </c>
      <c r="M46" s="507">
        <v>0</v>
      </c>
      <c r="N46" s="507">
        <v>0</v>
      </c>
      <c r="O46" s="507">
        <v>0</v>
      </c>
      <c r="P46" s="507">
        <v>0</v>
      </c>
      <c r="Q46" s="507">
        <v>0</v>
      </c>
      <c r="R46" s="507">
        <v>0</v>
      </c>
      <c r="S46" s="507">
        <v>0</v>
      </c>
      <c r="T46" s="507">
        <v>0</v>
      </c>
      <c r="U46" s="507">
        <v>0</v>
      </c>
      <c r="V46" s="507">
        <v>0</v>
      </c>
      <c r="W46" s="507">
        <v>0</v>
      </c>
      <c r="X46" s="507">
        <v>0</v>
      </c>
      <c r="Y46" s="507">
        <v>0</v>
      </c>
      <c r="Z46" s="507">
        <v>0</v>
      </c>
      <c r="AA46" s="507">
        <v>0</v>
      </c>
      <c r="AB46" s="507">
        <v>0</v>
      </c>
      <c r="AC46" s="507">
        <v>0</v>
      </c>
      <c r="AD46" s="507">
        <v>0</v>
      </c>
      <c r="AE46" s="507">
        <v>0</v>
      </c>
      <c r="AF46" s="507">
        <v>0</v>
      </c>
      <c r="AG46" s="507">
        <v>0</v>
      </c>
      <c r="AH46" s="507">
        <v>0</v>
      </c>
      <c r="AI46" s="507">
        <v>0</v>
      </c>
      <c r="AJ46" s="507">
        <v>0</v>
      </c>
      <c r="AK46" s="508"/>
      <c r="AL46" s="508"/>
      <c r="AM46" s="508"/>
      <c r="AN46" s="509">
        <v>0</v>
      </c>
      <c r="AO46" s="509">
        <v>0</v>
      </c>
      <c r="AP46" s="509">
        <v>0</v>
      </c>
      <c r="AQ46" s="509">
        <v>0</v>
      </c>
      <c r="AR46" s="508">
        <v>10000</v>
      </c>
      <c r="AS46" s="508"/>
      <c r="AT46" s="510">
        <f t="shared" si="33"/>
        <v>10000</v>
      </c>
      <c r="AU46" s="512">
        <f t="shared" si="3"/>
        <v>0.14164305949008499</v>
      </c>
      <c r="AV46" s="511">
        <f t="shared" si="4"/>
        <v>-60600</v>
      </c>
      <c r="AW46" s="558">
        <f t="shared" si="5"/>
        <v>-0.85835694050991507</v>
      </c>
      <c r="AX46" s="513">
        <f t="shared" si="6"/>
        <v>999200</v>
      </c>
      <c r="AY46" s="514">
        <f t="shared" si="7"/>
        <v>0.99009116131589381</v>
      </c>
      <c r="AZ46" s="513">
        <f t="shared" si="8"/>
        <v>70600</v>
      </c>
      <c r="BA46" s="515" t="str">
        <f t="shared" si="9"/>
        <v>Vendido</v>
      </c>
      <c r="BB46" s="516" t="str">
        <f t="shared" si="10"/>
        <v>Cliente al día</v>
      </c>
      <c r="BC46" s="551"/>
      <c r="BD46" s="693">
        <f t="shared" si="11"/>
        <v>0</v>
      </c>
      <c r="BE46" s="693">
        <f t="shared" si="12"/>
        <v>0</v>
      </c>
      <c r="BF46" s="517"/>
      <c r="BG46" s="517"/>
      <c r="BH46" s="693">
        <f t="shared" si="13"/>
        <v>0</v>
      </c>
      <c r="BI46" s="693">
        <f t="shared" si="14"/>
        <v>1</v>
      </c>
      <c r="BJ46" s="655">
        <f t="shared" si="36"/>
        <v>0</v>
      </c>
      <c r="BK46" s="518">
        <f t="shared" si="16"/>
        <v>0</v>
      </c>
      <c r="BL46" s="518">
        <f t="shared" si="17"/>
        <v>0</v>
      </c>
      <c r="BM46" s="518">
        <f t="shared" si="18"/>
        <v>10000</v>
      </c>
      <c r="BN46" s="518">
        <f t="shared" si="19"/>
        <v>10000</v>
      </c>
      <c r="BO46" s="655">
        <f t="shared" si="34"/>
        <v>0</v>
      </c>
      <c r="BP46" s="693" t="str">
        <f t="shared" si="21"/>
        <v/>
      </c>
      <c r="BQ46" s="696"/>
      <c r="BR46" s="519"/>
      <c r="BT46" s="439">
        <f t="shared" si="22"/>
        <v>10000</v>
      </c>
      <c r="BU46" s="439">
        <f t="shared" si="23"/>
        <v>10000</v>
      </c>
      <c r="BV46" s="439">
        <f t="shared" si="24"/>
        <v>0</v>
      </c>
      <c r="BY46" s="862">
        <f t="shared" si="25"/>
        <v>646331.19900000002</v>
      </c>
      <c r="BZ46" s="862">
        <f t="shared" si="26"/>
        <v>276999.08500000002</v>
      </c>
      <c r="CA46" s="862">
        <f t="shared" si="27"/>
        <v>77559.740000000005</v>
      </c>
      <c r="CB46" s="862">
        <f t="shared" si="28"/>
        <v>8309.9699999999993</v>
      </c>
      <c r="CC46" s="863">
        <f t="shared" si="29"/>
        <v>723890.94</v>
      </c>
      <c r="CD46" s="863">
        <f t="shared" si="30"/>
        <v>285309.06</v>
      </c>
      <c r="CE46" s="864">
        <f t="shared" si="31"/>
        <v>1009200</v>
      </c>
      <c r="CF46" s="862">
        <f t="shared" si="32"/>
        <v>0</v>
      </c>
    </row>
    <row r="47" spans="1:84" s="429" customFormat="1" ht="13.9" customHeight="1" x14ac:dyDescent="0.25">
      <c r="A47" s="472"/>
      <c r="B47" s="436">
        <v>311</v>
      </c>
      <c r="C47" s="436" t="s">
        <v>398</v>
      </c>
      <c r="D47" s="641" t="s">
        <v>386</v>
      </c>
      <c r="E47" s="436" t="s">
        <v>423</v>
      </c>
      <c r="F47" s="429" t="s">
        <v>424</v>
      </c>
      <c r="G47" s="473">
        <v>45562</v>
      </c>
      <c r="H47" s="436" t="s">
        <v>128</v>
      </c>
      <c r="I47" s="472">
        <v>1391040</v>
      </c>
      <c r="J47" s="472">
        <v>139140</v>
      </c>
      <c r="K47" s="507">
        <v>0</v>
      </c>
      <c r="L47" s="507">
        <v>0</v>
      </c>
      <c r="M47" s="507">
        <v>0</v>
      </c>
      <c r="N47" s="507">
        <v>0</v>
      </c>
      <c r="O47" s="507">
        <v>0</v>
      </c>
      <c r="P47" s="507">
        <v>0</v>
      </c>
      <c r="Q47" s="507">
        <v>0</v>
      </c>
      <c r="R47" s="507">
        <v>0</v>
      </c>
      <c r="S47" s="507">
        <v>0</v>
      </c>
      <c r="T47" s="507">
        <v>0</v>
      </c>
      <c r="U47" s="507">
        <v>0</v>
      </c>
      <c r="V47" s="507">
        <v>0</v>
      </c>
      <c r="W47" s="507">
        <v>0</v>
      </c>
      <c r="X47" s="507">
        <v>0</v>
      </c>
      <c r="Y47" s="507">
        <v>0</v>
      </c>
      <c r="Z47" s="507">
        <v>0</v>
      </c>
      <c r="AA47" s="507">
        <v>0</v>
      </c>
      <c r="AB47" s="507">
        <v>0</v>
      </c>
      <c r="AC47" s="507">
        <v>0</v>
      </c>
      <c r="AD47" s="507">
        <v>10000</v>
      </c>
      <c r="AE47" s="507">
        <v>129140</v>
      </c>
      <c r="AF47" s="507">
        <v>0</v>
      </c>
      <c r="AG47" s="507">
        <v>0</v>
      </c>
      <c r="AH47" s="507">
        <v>0</v>
      </c>
      <c r="AI47" s="507">
        <v>0</v>
      </c>
      <c r="AJ47" s="507">
        <v>0</v>
      </c>
      <c r="AK47" s="508"/>
      <c r="AL47" s="508"/>
      <c r="AM47" s="508"/>
      <c r="AN47" s="509">
        <v>0</v>
      </c>
      <c r="AO47" s="509">
        <v>0</v>
      </c>
      <c r="AP47" s="509">
        <v>0</v>
      </c>
      <c r="AQ47" s="509">
        <v>0</v>
      </c>
      <c r="AR47" s="508"/>
      <c r="AS47" s="508"/>
      <c r="AT47" s="510">
        <f t="shared" si="33"/>
        <v>139140</v>
      </c>
      <c r="AU47" s="512">
        <f t="shared" si="3"/>
        <v>1</v>
      </c>
      <c r="AV47" s="511">
        <f t="shared" si="4"/>
        <v>0</v>
      </c>
      <c r="AW47" s="558">
        <f t="shared" si="5"/>
        <v>0</v>
      </c>
      <c r="AX47" s="513">
        <f t="shared" si="6"/>
        <v>1251900</v>
      </c>
      <c r="AY47" s="514">
        <f t="shared" si="7"/>
        <v>0.89997412008281574</v>
      </c>
      <c r="AZ47" s="513">
        <f t="shared" si="8"/>
        <v>139140</v>
      </c>
      <c r="BA47" s="515" t="str">
        <f t="shared" si="9"/>
        <v>Vendido</v>
      </c>
      <c r="BB47" s="516" t="str">
        <f t="shared" si="10"/>
        <v>Cliente Atrasado</v>
      </c>
      <c r="BC47" s="643">
        <v>2</v>
      </c>
      <c r="BD47" s="693">
        <f t="shared" si="11"/>
        <v>1</v>
      </c>
      <c r="BE47" s="693">
        <f t="shared" si="12"/>
        <v>3</v>
      </c>
      <c r="BF47" s="644">
        <v>10000</v>
      </c>
      <c r="BG47" s="644">
        <v>129140</v>
      </c>
      <c r="BH47" s="693">
        <f t="shared" si="13"/>
        <v>0</v>
      </c>
      <c r="BI47" s="693">
        <f t="shared" si="14"/>
        <v>15</v>
      </c>
      <c r="BJ47" s="667">
        <f t="shared" si="36"/>
        <v>1947100</v>
      </c>
      <c r="BK47" s="518">
        <f t="shared" si="16"/>
        <v>139140</v>
      </c>
      <c r="BL47" s="518">
        <f t="shared" si="17"/>
        <v>0</v>
      </c>
      <c r="BM47" s="518">
        <f t="shared" si="18"/>
        <v>0</v>
      </c>
      <c r="BN47" s="518">
        <f t="shared" si="19"/>
        <v>0</v>
      </c>
      <c r="BO47" s="655">
        <v>0</v>
      </c>
      <c r="BP47" s="693">
        <f t="shared" si="21"/>
        <v>0</v>
      </c>
      <c r="BQ47" s="696" t="s">
        <v>388</v>
      </c>
      <c r="BR47" s="519"/>
      <c r="BT47" s="439">
        <f t="shared" si="22"/>
        <v>-1807960</v>
      </c>
      <c r="BU47" s="439">
        <f t="shared" si="23"/>
        <v>0</v>
      </c>
      <c r="BV47" s="439">
        <f t="shared" si="24"/>
        <v>-1807960</v>
      </c>
      <c r="BY47" s="862">
        <f t="shared" si="25"/>
        <v>890876.48699999996</v>
      </c>
      <c r="BZ47" s="862">
        <f t="shared" si="26"/>
        <v>381804.20899999997</v>
      </c>
      <c r="CA47" s="862">
        <f t="shared" si="27"/>
        <v>106905.18</v>
      </c>
      <c r="CB47" s="862">
        <f t="shared" si="28"/>
        <v>11454.13</v>
      </c>
      <c r="CC47" s="863">
        <f t="shared" si="29"/>
        <v>997781.67</v>
      </c>
      <c r="CD47" s="863">
        <f t="shared" si="30"/>
        <v>393258.34</v>
      </c>
      <c r="CE47" s="864">
        <f t="shared" si="31"/>
        <v>1391040.01</v>
      </c>
      <c r="CF47" s="862">
        <f t="shared" si="32"/>
        <v>1.0000000009313226E-2</v>
      </c>
    </row>
    <row r="48" spans="1:84" s="429" customFormat="1" ht="13.9" customHeight="1" x14ac:dyDescent="0.25">
      <c r="A48" s="472"/>
      <c r="B48" s="436">
        <v>312</v>
      </c>
      <c r="C48" s="436" t="s">
        <v>399</v>
      </c>
      <c r="D48" s="436"/>
      <c r="E48" s="436" t="s">
        <v>366</v>
      </c>
      <c r="F48" s="429" t="s">
        <v>425</v>
      </c>
      <c r="G48" s="480">
        <v>45650</v>
      </c>
      <c r="H48" s="436" t="s">
        <v>128</v>
      </c>
      <c r="I48" s="472">
        <v>1414462.31631225</v>
      </c>
      <c r="J48" s="472">
        <v>141462.32</v>
      </c>
      <c r="K48" s="507">
        <v>0</v>
      </c>
      <c r="L48" s="507">
        <v>0</v>
      </c>
      <c r="M48" s="507">
        <v>0</v>
      </c>
      <c r="N48" s="507">
        <v>0</v>
      </c>
      <c r="O48" s="507">
        <v>0</v>
      </c>
      <c r="P48" s="507">
        <v>0</v>
      </c>
      <c r="Q48" s="507">
        <v>0</v>
      </c>
      <c r="R48" s="507">
        <v>0</v>
      </c>
      <c r="S48" s="507">
        <v>0</v>
      </c>
      <c r="T48" s="507">
        <v>0</v>
      </c>
      <c r="U48" s="507">
        <v>0</v>
      </c>
      <c r="V48" s="507">
        <v>0</v>
      </c>
      <c r="W48" s="507">
        <v>0</v>
      </c>
      <c r="X48" s="507">
        <v>0</v>
      </c>
      <c r="Y48" s="507">
        <v>0</v>
      </c>
      <c r="Z48" s="507">
        <v>0</v>
      </c>
      <c r="AA48" s="507">
        <v>0</v>
      </c>
      <c r="AB48" s="507">
        <v>0</v>
      </c>
      <c r="AC48" s="507">
        <v>0</v>
      </c>
      <c r="AD48" s="507">
        <v>0</v>
      </c>
      <c r="AE48" s="507">
        <v>0</v>
      </c>
      <c r="AF48" s="507">
        <v>8000</v>
      </c>
      <c r="AG48" s="507">
        <v>0</v>
      </c>
      <c r="AH48" s="507">
        <v>7851</v>
      </c>
      <c r="AI48" s="507">
        <v>7851</v>
      </c>
      <c r="AJ48" s="507">
        <v>7851</v>
      </c>
      <c r="AK48" s="508">
        <v>7851</v>
      </c>
      <c r="AL48" s="508">
        <v>7851</v>
      </c>
      <c r="AM48" s="509">
        <v>7851</v>
      </c>
      <c r="AN48" s="509">
        <v>7851</v>
      </c>
      <c r="AO48" s="509">
        <v>7851</v>
      </c>
      <c r="AP48" s="509">
        <v>7851</v>
      </c>
      <c r="AQ48" s="509">
        <v>7851</v>
      </c>
      <c r="AR48" s="509">
        <v>7851</v>
      </c>
      <c r="AS48" s="509">
        <v>7851</v>
      </c>
      <c r="AT48" s="510">
        <f t="shared" si="33"/>
        <v>102212</v>
      </c>
      <c r="AU48" s="512">
        <f t="shared" si="3"/>
        <v>0.72253869440286289</v>
      </c>
      <c r="AV48" s="511">
        <f t="shared" si="4"/>
        <v>-39250.320000000007</v>
      </c>
      <c r="AW48" s="558">
        <f t="shared" si="5"/>
        <v>-0.27746130559713716</v>
      </c>
      <c r="AX48" s="513">
        <f t="shared" si="6"/>
        <v>1312250.31631225</v>
      </c>
      <c r="AY48" s="514">
        <f t="shared" si="7"/>
        <v>0.92773791226443947</v>
      </c>
      <c r="AZ48" s="513">
        <f t="shared" si="8"/>
        <v>141462.32</v>
      </c>
      <c r="BA48" s="515" t="str">
        <f t="shared" si="9"/>
        <v>Vendido</v>
      </c>
      <c r="BB48" s="516" t="str">
        <f>IF(AND(BA48="Vendido",G48&gt;=0,BJ48&lt;=AT48,AT48&lt;AZ48),"Cliente al día",IF(AND(BA48="Vendido",G48&gt;=0,BJ48&lt;=AT48,AT48=AZ48),"Enganche Completado",IF(AND(BA48="Vendido",G48&gt;=0,BJ48&lt;AT48,AT48&gt;AZ48),"Superávit de Enganche",IF(AND(BA48="Disponible",G48=0,AV48=0),"Disponible","Cliente Atrasado"))))</f>
        <v>Cliente Atrasado</v>
      </c>
      <c r="BC48" s="551">
        <v>17</v>
      </c>
      <c r="BD48" s="693">
        <f t="shared" si="11"/>
        <v>1</v>
      </c>
      <c r="BE48" s="693">
        <f t="shared" si="12"/>
        <v>18</v>
      </c>
      <c r="BF48" s="517">
        <v>8000</v>
      </c>
      <c r="BG48" s="517">
        <v>7851</v>
      </c>
      <c r="BH48" s="693">
        <f t="shared" si="13"/>
        <v>12</v>
      </c>
      <c r="BI48" s="693">
        <f t="shared" si="14"/>
        <v>13</v>
      </c>
      <c r="BJ48" s="655">
        <f t="shared" si="36"/>
        <v>110063</v>
      </c>
      <c r="BK48" s="518">
        <f t="shared" si="16"/>
        <v>94212</v>
      </c>
      <c r="BL48" s="518">
        <f t="shared" si="17"/>
        <v>8000</v>
      </c>
      <c r="BM48" s="518">
        <f t="shared" si="18"/>
        <v>0</v>
      </c>
      <c r="BN48" s="518">
        <f t="shared" si="19"/>
        <v>0</v>
      </c>
      <c r="BO48" s="655">
        <f t="shared" ref="BO48:BO79" si="37">IF(AT48&lt;BJ48,BJ48-AT48,0)</f>
        <v>7851</v>
      </c>
      <c r="BP48" s="693">
        <f t="shared" si="21"/>
        <v>1</v>
      </c>
      <c r="BQ48" s="696"/>
      <c r="BR48" s="519" t="s">
        <v>426</v>
      </c>
      <c r="BT48" s="439">
        <f t="shared" si="22"/>
        <v>-7851</v>
      </c>
      <c r="BU48" s="439">
        <f t="shared" si="23"/>
        <v>-7851</v>
      </c>
      <c r="BV48" s="439">
        <f t="shared" si="24"/>
        <v>0</v>
      </c>
      <c r="BY48" s="862">
        <f t="shared" si="25"/>
        <v>905877.05500000005</v>
      </c>
      <c r="BZ48" s="862">
        <f t="shared" si="26"/>
        <v>388233.02399999998</v>
      </c>
      <c r="CA48" s="862">
        <f t="shared" si="27"/>
        <v>108705.25</v>
      </c>
      <c r="CB48" s="862">
        <f t="shared" si="28"/>
        <v>11646.99</v>
      </c>
      <c r="CC48" s="863">
        <f t="shared" si="29"/>
        <v>1014582.31</v>
      </c>
      <c r="CD48" s="863">
        <f t="shared" si="30"/>
        <v>399880.01</v>
      </c>
      <c r="CE48" s="864">
        <f t="shared" si="31"/>
        <v>1414462.32</v>
      </c>
      <c r="CF48" s="862">
        <f t="shared" si="32"/>
        <v>3.687750082463026E-3</v>
      </c>
    </row>
    <row r="49" spans="1:84" s="429" customFormat="1" ht="13.9" customHeight="1" x14ac:dyDescent="0.25">
      <c r="A49" s="472"/>
      <c r="B49" s="436">
        <v>313</v>
      </c>
      <c r="C49" s="436" t="s">
        <v>400</v>
      </c>
      <c r="D49" s="436"/>
      <c r="E49" s="436" t="s">
        <v>366</v>
      </c>
      <c r="F49" s="429" t="s">
        <v>427</v>
      </c>
      <c r="G49" s="473">
        <v>45419</v>
      </c>
      <c r="H49" s="436" t="s">
        <v>128</v>
      </c>
      <c r="I49" s="472">
        <v>1087400</v>
      </c>
      <c r="J49" s="472">
        <v>108800</v>
      </c>
      <c r="K49" s="507">
        <v>0</v>
      </c>
      <c r="L49" s="507">
        <v>0</v>
      </c>
      <c r="M49" s="507">
        <v>0</v>
      </c>
      <c r="N49" s="507">
        <v>0</v>
      </c>
      <c r="O49" s="507">
        <v>0</v>
      </c>
      <c r="P49" s="507">
        <v>0</v>
      </c>
      <c r="Q49" s="507">
        <v>0</v>
      </c>
      <c r="R49" s="507">
        <v>0</v>
      </c>
      <c r="S49" s="507">
        <v>0</v>
      </c>
      <c r="T49" s="507">
        <v>0</v>
      </c>
      <c r="U49" s="507">
        <v>0</v>
      </c>
      <c r="V49" s="507">
        <v>0</v>
      </c>
      <c r="W49" s="507">
        <v>0</v>
      </c>
      <c r="X49" s="507">
        <v>0</v>
      </c>
      <c r="Y49" s="507">
        <v>8000</v>
      </c>
      <c r="Z49" s="507">
        <v>4253</v>
      </c>
      <c r="AA49" s="507">
        <v>24253</v>
      </c>
      <c r="AB49" s="507">
        <v>4253</v>
      </c>
      <c r="AC49" s="507">
        <v>4253</v>
      </c>
      <c r="AD49" s="507">
        <f>4253+4253</f>
        <v>8506</v>
      </c>
      <c r="AE49" s="507">
        <v>0</v>
      </c>
      <c r="AF49" s="507">
        <v>4253</v>
      </c>
      <c r="AG49" s="507">
        <v>4253</v>
      </c>
      <c r="AH49" s="507">
        <v>4253</v>
      </c>
      <c r="AI49" s="507">
        <v>4253</v>
      </c>
      <c r="AJ49" s="507">
        <f>4253+4253</f>
        <v>8506</v>
      </c>
      <c r="AK49" s="508"/>
      <c r="AL49" s="508">
        <v>4253</v>
      </c>
      <c r="AM49" s="509">
        <v>4253</v>
      </c>
      <c r="AN49" s="509">
        <f>4253+4253</f>
        <v>8506</v>
      </c>
      <c r="AO49" s="509">
        <v>0</v>
      </c>
      <c r="AP49" s="509">
        <v>8506</v>
      </c>
      <c r="AQ49" s="509">
        <v>0</v>
      </c>
      <c r="AR49" s="509">
        <v>4253</v>
      </c>
      <c r="AS49" s="509"/>
      <c r="AT49" s="510">
        <f t="shared" si="33"/>
        <v>108807</v>
      </c>
      <c r="AU49" s="512">
        <f t="shared" si="3"/>
        <v>1.0000643382352941</v>
      </c>
      <c r="AV49" s="511">
        <f t="shared" si="4"/>
        <v>7</v>
      </c>
      <c r="AW49" s="558">
        <f t="shared" si="5"/>
        <v>6.4338235294117652E-5</v>
      </c>
      <c r="AX49" s="513">
        <f t="shared" si="6"/>
        <v>978593</v>
      </c>
      <c r="AY49" s="514">
        <f t="shared" si="7"/>
        <v>0.89993838513886337</v>
      </c>
      <c r="AZ49" s="513">
        <f t="shared" si="8"/>
        <v>108800</v>
      </c>
      <c r="BA49" s="515" t="str">
        <f t="shared" si="9"/>
        <v>Vendido</v>
      </c>
      <c r="BB49" s="516" t="str">
        <f t="shared" si="10"/>
        <v>Cliente Atrasado</v>
      </c>
      <c r="BC49" s="551">
        <v>19</v>
      </c>
      <c r="BD49" s="693">
        <f t="shared" si="11"/>
        <v>1</v>
      </c>
      <c r="BE49" s="693">
        <f t="shared" si="12"/>
        <v>20</v>
      </c>
      <c r="BF49" s="517">
        <v>28000</v>
      </c>
      <c r="BG49" s="517">
        <v>4253</v>
      </c>
      <c r="BH49" s="693">
        <f t="shared" si="13"/>
        <v>16</v>
      </c>
      <c r="BI49" s="693">
        <f t="shared" si="14"/>
        <v>20</v>
      </c>
      <c r="BJ49" s="655">
        <f t="shared" si="36"/>
        <v>113060</v>
      </c>
      <c r="BK49" s="518">
        <f t="shared" si="16"/>
        <v>42530</v>
      </c>
      <c r="BL49" s="518">
        <f t="shared" si="17"/>
        <v>66277</v>
      </c>
      <c r="BM49" s="518">
        <f t="shared" si="18"/>
        <v>0</v>
      </c>
      <c r="BN49" s="518">
        <f t="shared" si="19"/>
        <v>0</v>
      </c>
      <c r="BO49" s="655">
        <f t="shared" si="37"/>
        <v>4253</v>
      </c>
      <c r="BP49" s="693">
        <f t="shared" si="21"/>
        <v>1</v>
      </c>
      <c r="BQ49" s="696"/>
      <c r="BR49" s="519"/>
      <c r="BT49" s="439">
        <f t="shared" si="22"/>
        <v>-4253</v>
      </c>
      <c r="BU49" s="439">
        <f t="shared" si="23"/>
        <v>-4253</v>
      </c>
      <c r="BV49" s="439">
        <f t="shared" si="24"/>
        <v>0</v>
      </c>
      <c r="BY49" s="862">
        <f t="shared" si="25"/>
        <v>696413.54099999997</v>
      </c>
      <c r="BZ49" s="862">
        <f t="shared" si="26"/>
        <v>298462.946</v>
      </c>
      <c r="CA49" s="862">
        <f t="shared" si="27"/>
        <v>83569.62</v>
      </c>
      <c r="CB49" s="862">
        <f t="shared" si="28"/>
        <v>8953.89</v>
      </c>
      <c r="CC49" s="863">
        <f t="shared" si="29"/>
        <v>779983.16</v>
      </c>
      <c r="CD49" s="863">
        <f t="shared" si="30"/>
        <v>307416.84000000003</v>
      </c>
      <c r="CE49" s="864">
        <f t="shared" si="31"/>
        <v>1087400</v>
      </c>
      <c r="CF49" s="862">
        <f t="shared" si="32"/>
        <v>0</v>
      </c>
    </row>
    <row r="50" spans="1:84" s="429" customFormat="1" ht="13.9" customHeight="1" x14ac:dyDescent="0.25">
      <c r="A50" s="472"/>
      <c r="B50" s="436">
        <v>314</v>
      </c>
      <c r="C50" s="436" t="s">
        <v>175</v>
      </c>
      <c r="D50" s="436"/>
      <c r="E50" s="681" t="s">
        <v>403</v>
      </c>
      <c r="F50" s="429" t="s">
        <v>428</v>
      </c>
      <c r="G50" s="480">
        <v>45880</v>
      </c>
      <c r="H50" s="436" t="s">
        <v>128</v>
      </c>
      <c r="I50" s="472">
        <v>1037521.78830839</v>
      </c>
      <c r="J50" s="472">
        <f>+I50*0.1</f>
        <v>103752.178830839</v>
      </c>
      <c r="K50" s="507">
        <v>0</v>
      </c>
      <c r="L50" s="507">
        <v>0</v>
      </c>
      <c r="M50" s="507">
        <v>0</v>
      </c>
      <c r="N50" s="507">
        <v>0</v>
      </c>
      <c r="O50" s="507">
        <v>0</v>
      </c>
      <c r="P50" s="507">
        <v>0</v>
      </c>
      <c r="Q50" s="507">
        <v>0</v>
      </c>
      <c r="R50" s="507">
        <v>0</v>
      </c>
      <c r="S50" s="507">
        <v>0</v>
      </c>
      <c r="T50" s="507">
        <v>0</v>
      </c>
      <c r="U50" s="507">
        <v>0</v>
      </c>
      <c r="V50" s="507">
        <v>0</v>
      </c>
      <c r="W50" s="507">
        <v>0</v>
      </c>
      <c r="X50" s="507">
        <v>0</v>
      </c>
      <c r="Y50" s="507">
        <v>0</v>
      </c>
      <c r="Z50" s="507">
        <v>0</v>
      </c>
      <c r="AA50" s="507">
        <v>0</v>
      </c>
      <c r="AB50" s="507">
        <v>0</v>
      </c>
      <c r="AC50" s="507">
        <v>0</v>
      </c>
      <c r="AD50" s="507">
        <v>0</v>
      </c>
      <c r="AE50" s="507">
        <v>0</v>
      </c>
      <c r="AF50" s="507">
        <v>0</v>
      </c>
      <c r="AG50" s="507">
        <v>0</v>
      </c>
      <c r="AH50" s="507">
        <v>0</v>
      </c>
      <c r="AI50" s="507">
        <v>0</v>
      </c>
      <c r="AJ50" s="507">
        <v>0</v>
      </c>
      <c r="AK50" s="508"/>
      <c r="AL50" s="508"/>
      <c r="AM50" s="508"/>
      <c r="AN50" s="509">
        <v>10000</v>
      </c>
      <c r="AO50" s="509">
        <v>6774.83</v>
      </c>
      <c r="AP50" s="509">
        <v>6774.83</v>
      </c>
      <c r="AQ50" s="509">
        <v>6774.83</v>
      </c>
      <c r="AR50" s="509">
        <v>6774.83</v>
      </c>
      <c r="AS50" s="509">
        <v>6774.83</v>
      </c>
      <c r="AT50" s="510">
        <f t="shared" si="33"/>
        <v>43874.150000000009</v>
      </c>
      <c r="AU50" s="512">
        <f t="shared" si="3"/>
        <v>0.42287449280013562</v>
      </c>
      <c r="AV50" s="511">
        <f t="shared" si="4"/>
        <v>-59878.028830838986</v>
      </c>
      <c r="AW50" s="558">
        <f t="shared" si="5"/>
        <v>-0.57712550719986433</v>
      </c>
      <c r="AX50" s="513">
        <f t="shared" si="6"/>
        <v>993647.63830838993</v>
      </c>
      <c r="AY50" s="514">
        <f t="shared" si="7"/>
        <v>0.9577125507199864</v>
      </c>
      <c r="AZ50" s="513">
        <f t="shared" si="8"/>
        <v>103752.178830839</v>
      </c>
      <c r="BA50" s="515" t="str">
        <f t="shared" si="9"/>
        <v>Vendido</v>
      </c>
      <c r="BB50" s="516" t="str">
        <f t="shared" si="10"/>
        <v>Cliente al día</v>
      </c>
      <c r="BC50" s="551">
        <v>10</v>
      </c>
      <c r="BD50" s="693">
        <f t="shared" si="11"/>
        <v>1</v>
      </c>
      <c r="BE50" s="693">
        <f t="shared" si="12"/>
        <v>11</v>
      </c>
      <c r="BF50" s="517">
        <v>10000</v>
      </c>
      <c r="BG50" s="517">
        <v>6774.83</v>
      </c>
      <c r="BH50" s="693">
        <f t="shared" si="13"/>
        <v>5</v>
      </c>
      <c r="BI50" s="693">
        <f t="shared" si="14"/>
        <v>5</v>
      </c>
      <c r="BJ50" s="655">
        <f t="shared" si="36"/>
        <v>43874.15</v>
      </c>
      <c r="BK50" s="518">
        <f t="shared" si="16"/>
        <v>33874.15</v>
      </c>
      <c r="BL50" s="518">
        <f t="shared" si="17"/>
        <v>10000</v>
      </c>
      <c r="BM50" s="518">
        <f t="shared" si="18"/>
        <v>0</v>
      </c>
      <c r="BN50" s="518">
        <f t="shared" si="19"/>
        <v>0</v>
      </c>
      <c r="BO50" s="655">
        <f t="shared" si="37"/>
        <v>0</v>
      </c>
      <c r="BP50" s="693">
        <f t="shared" si="21"/>
        <v>0</v>
      </c>
      <c r="BQ50" s="696"/>
      <c r="BR50" s="519"/>
      <c r="BT50" s="439">
        <f t="shared" si="22"/>
        <v>0</v>
      </c>
      <c r="BU50" s="439">
        <f t="shared" si="23"/>
        <v>0</v>
      </c>
      <c r="BV50" s="439">
        <f t="shared" si="24"/>
        <v>0</v>
      </c>
      <c r="BY50" s="862">
        <f t="shared" si="25"/>
        <v>664469.58100000001</v>
      </c>
      <c r="BZ50" s="862">
        <f t="shared" si="26"/>
        <v>284772.67700000003</v>
      </c>
      <c r="CA50" s="862">
        <f t="shared" si="27"/>
        <v>79736.350000000006</v>
      </c>
      <c r="CB50" s="862">
        <f t="shared" si="28"/>
        <v>8543.18</v>
      </c>
      <c r="CC50" s="863">
        <f t="shared" si="29"/>
        <v>744205.93</v>
      </c>
      <c r="CD50" s="863">
        <f t="shared" si="30"/>
        <v>293315.86</v>
      </c>
      <c r="CE50" s="864">
        <f t="shared" si="31"/>
        <v>1037521.79</v>
      </c>
      <c r="CF50" s="862">
        <f t="shared" si="32"/>
        <v>1.6916100867092609E-3</v>
      </c>
    </row>
    <row r="51" spans="1:84" s="429" customFormat="1" ht="13.9" customHeight="1" x14ac:dyDescent="0.25">
      <c r="A51" s="472"/>
      <c r="B51" s="436">
        <v>315</v>
      </c>
      <c r="C51" s="436" t="s">
        <v>125</v>
      </c>
      <c r="D51" s="436"/>
      <c r="E51" s="436" t="s">
        <v>126</v>
      </c>
      <c r="F51" s="429" t="s">
        <v>127</v>
      </c>
      <c r="G51" s="473">
        <v>45752</v>
      </c>
      <c r="H51" s="436" t="s">
        <v>128</v>
      </c>
      <c r="I51" s="472">
        <v>1543626.9723517401</v>
      </c>
      <c r="J51" s="472">
        <v>154426.97</v>
      </c>
      <c r="K51" s="507">
        <v>0</v>
      </c>
      <c r="L51" s="507">
        <v>0</v>
      </c>
      <c r="M51" s="507">
        <v>0</v>
      </c>
      <c r="N51" s="507">
        <v>0</v>
      </c>
      <c r="O51" s="507">
        <v>0</v>
      </c>
      <c r="P51" s="507">
        <v>0</v>
      </c>
      <c r="Q51" s="507">
        <v>0</v>
      </c>
      <c r="R51" s="507">
        <v>0</v>
      </c>
      <c r="S51" s="507">
        <v>0</v>
      </c>
      <c r="T51" s="507">
        <v>0</v>
      </c>
      <c r="U51" s="507">
        <v>0</v>
      </c>
      <c r="V51" s="507">
        <v>0</v>
      </c>
      <c r="W51" s="507">
        <v>0</v>
      </c>
      <c r="X51" s="507">
        <v>0</v>
      </c>
      <c r="Y51" s="507">
        <v>0</v>
      </c>
      <c r="Z51" s="507">
        <v>0</v>
      </c>
      <c r="AA51" s="507">
        <v>0</v>
      </c>
      <c r="AB51" s="507">
        <v>0</v>
      </c>
      <c r="AC51" s="507">
        <v>0</v>
      </c>
      <c r="AD51" s="507">
        <v>0</v>
      </c>
      <c r="AE51" s="507">
        <v>0</v>
      </c>
      <c r="AF51" s="507">
        <v>0</v>
      </c>
      <c r="AG51" s="507">
        <v>0</v>
      </c>
      <c r="AH51" s="507">
        <v>0</v>
      </c>
      <c r="AI51" s="507">
        <v>0</v>
      </c>
      <c r="AJ51" s="507">
        <v>10000</v>
      </c>
      <c r="AK51" s="508">
        <v>10000</v>
      </c>
      <c r="AL51" s="508"/>
      <c r="AM51" s="509">
        <v>10024</v>
      </c>
      <c r="AN51" s="509">
        <v>12000</v>
      </c>
      <c r="AO51" s="509">
        <v>12000</v>
      </c>
      <c r="AP51" s="509">
        <v>22000</v>
      </c>
      <c r="AQ51" s="509">
        <v>11000</v>
      </c>
      <c r="AR51" s="509">
        <v>11000</v>
      </c>
      <c r="AS51" s="509"/>
      <c r="AT51" s="510">
        <f t="shared" si="33"/>
        <v>98024</v>
      </c>
      <c r="AU51" s="512">
        <f t="shared" si="3"/>
        <v>0.63475958895003892</v>
      </c>
      <c r="AV51" s="511">
        <f t="shared" si="4"/>
        <v>-56402.97</v>
      </c>
      <c r="AW51" s="558">
        <f t="shared" si="5"/>
        <v>-0.36524041104996102</v>
      </c>
      <c r="AX51" s="513">
        <f t="shared" si="6"/>
        <v>1445602.9723517401</v>
      </c>
      <c r="AY51" s="514">
        <f t="shared" si="7"/>
        <v>0.9364976113039416</v>
      </c>
      <c r="AZ51" s="513">
        <f t="shared" si="8"/>
        <v>154426.97</v>
      </c>
      <c r="BA51" s="515" t="str">
        <f t="shared" si="9"/>
        <v>Vendido</v>
      </c>
      <c r="BB51" s="516" t="str">
        <f t="shared" si="10"/>
        <v>Cliente Atrasado</v>
      </c>
      <c r="BC51" s="551">
        <v>13</v>
      </c>
      <c r="BD51" s="693">
        <f t="shared" si="11"/>
        <v>1</v>
      </c>
      <c r="BE51" s="693">
        <f t="shared" si="12"/>
        <v>14</v>
      </c>
      <c r="BF51" s="517">
        <v>10000</v>
      </c>
      <c r="BG51" s="517">
        <v>11110</v>
      </c>
      <c r="BH51" s="693">
        <f t="shared" si="13"/>
        <v>0</v>
      </c>
      <c r="BI51" s="693">
        <f t="shared" si="14"/>
        <v>9</v>
      </c>
      <c r="BJ51" s="655">
        <f t="shared" si="36"/>
        <v>109990</v>
      </c>
      <c r="BK51" s="518">
        <f t="shared" si="16"/>
        <v>52024</v>
      </c>
      <c r="BL51" s="518">
        <f t="shared" si="17"/>
        <v>46000</v>
      </c>
      <c r="BM51" s="518">
        <f t="shared" si="18"/>
        <v>0</v>
      </c>
      <c r="BN51" s="518">
        <f t="shared" si="19"/>
        <v>0</v>
      </c>
      <c r="BO51" s="655">
        <f t="shared" si="37"/>
        <v>11966</v>
      </c>
      <c r="BP51" s="693">
        <f t="shared" si="21"/>
        <v>2</v>
      </c>
      <c r="BQ51" s="696"/>
      <c r="BR51" s="519"/>
      <c r="BT51" s="439">
        <f t="shared" si="22"/>
        <v>-11966</v>
      </c>
      <c r="BU51" s="439">
        <f t="shared" si="23"/>
        <v>-11966</v>
      </c>
      <c r="BV51" s="439">
        <f t="shared" si="24"/>
        <v>0</v>
      </c>
      <c r="BY51" s="862">
        <f t="shared" si="25"/>
        <v>988599.15899999999</v>
      </c>
      <c r="BZ51" s="862">
        <f t="shared" si="26"/>
        <v>423685.35399999999</v>
      </c>
      <c r="CA51" s="862">
        <f t="shared" si="27"/>
        <v>118631.9</v>
      </c>
      <c r="CB51" s="862">
        <f t="shared" si="28"/>
        <v>12710.56</v>
      </c>
      <c r="CC51" s="863">
        <f t="shared" si="29"/>
        <v>1107231.06</v>
      </c>
      <c r="CD51" s="863">
        <f t="shared" si="30"/>
        <v>436395.91</v>
      </c>
      <c r="CE51" s="864">
        <f t="shared" si="31"/>
        <v>1543626.97</v>
      </c>
      <c r="CF51" s="862">
        <f t="shared" si="32"/>
        <v>-2.3517401423305273E-3</v>
      </c>
    </row>
    <row r="52" spans="1:84" s="429" customFormat="1" ht="13.9" customHeight="1" x14ac:dyDescent="0.25">
      <c r="A52" s="472"/>
      <c r="B52" s="436">
        <v>316</v>
      </c>
      <c r="C52" s="436" t="s">
        <v>178</v>
      </c>
      <c r="D52" s="436"/>
      <c r="E52" s="436" t="s">
        <v>366</v>
      </c>
      <c r="F52" s="429" t="s">
        <v>429</v>
      </c>
      <c r="G52" s="473">
        <v>45228</v>
      </c>
      <c r="H52" s="436" t="s">
        <v>128</v>
      </c>
      <c r="I52" s="472">
        <v>708396.44</v>
      </c>
      <c r="J52" s="472">
        <v>70896.44</v>
      </c>
      <c r="K52" s="507">
        <v>0</v>
      </c>
      <c r="L52" s="507">
        <v>0</v>
      </c>
      <c r="M52" s="507">
        <v>0</v>
      </c>
      <c r="N52" s="507">
        <v>0</v>
      </c>
      <c r="O52" s="507">
        <v>0</v>
      </c>
      <c r="P52" s="507">
        <v>0</v>
      </c>
      <c r="Q52" s="507">
        <v>0</v>
      </c>
      <c r="R52" s="507">
        <v>8000</v>
      </c>
      <c r="S52" s="507">
        <v>2735</v>
      </c>
      <c r="T52" s="507">
        <v>2735</v>
      </c>
      <c r="U52" s="507">
        <v>2735</v>
      </c>
      <c r="V52" s="507">
        <v>2735</v>
      </c>
      <c r="W52" s="507">
        <v>2735</v>
      </c>
      <c r="X52" s="507">
        <v>2735</v>
      </c>
      <c r="Y52" s="507">
        <v>5470</v>
      </c>
      <c r="Z52" s="507">
        <v>2735</v>
      </c>
      <c r="AA52" s="507">
        <v>0</v>
      </c>
      <c r="AB52" s="507">
        <v>2735</v>
      </c>
      <c r="AC52" s="507">
        <v>2735</v>
      </c>
      <c r="AD52" s="507">
        <v>2735</v>
      </c>
      <c r="AE52" s="507">
        <v>2735</v>
      </c>
      <c r="AF52" s="507">
        <v>2735</v>
      </c>
      <c r="AG52" s="507">
        <v>2735</v>
      </c>
      <c r="AH52" s="507">
        <v>2735</v>
      </c>
      <c r="AI52" s="507">
        <v>2735</v>
      </c>
      <c r="AJ52" s="507">
        <v>2735</v>
      </c>
      <c r="AK52" s="508">
        <v>2735</v>
      </c>
      <c r="AL52" s="508">
        <v>2735</v>
      </c>
      <c r="AM52" s="509">
        <v>2735</v>
      </c>
      <c r="AN52" s="509">
        <v>2735</v>
      </c>
      <c r="AO52" s="509">
        <v>0</v>
      </c>
      <c r="AP52" s="509">
        <v>2735</v>
      </c>
      <c r="AQ52" s="509">
        <v>0</v>
      </c>
      <c r="AR52" s="509"/>
      <c r="AS52" s="509"/>
      <c r="AT52" s="510">
        <f t="shared" si="33"/>
        <v>70905</v>
      </c>
      <c r="AU52" s="512">
        <f t="shared" si="3"/>
        <v>1.0001207394898812</v>
      </c>
      <c r="AV52" s="511">
        <f t="shared" si="4"/>
        <v>8.5599999999976717</v>
      </c>
      <c r="AW52" s="558">
        <f t="shared" si="5"/>
        <v>1.2073948988126444E-4</v>
      </c>
      <c r="AX52" s="513">
        <f t="shared" si="6"/>
        <v>637491.43999999994</v>
      </c>
      <c r="AY52" s="514">
        <f t="shared" si="7"/>
        <v>0.89990774092540615</v>
      </c>
      <c r="AZ52" s="513">
        <f t="shared" si="8"/>
        <v>70896.44</v>
      </c>
      <c r="BA52" s="515" t="str">
        <f t="shared" si="9"/>
        <v>Vendido</v>
      </c>
      <c r="BB52" s="516" t="str">
        <f t="shared" si="10"/>
        <v>Cliente Atrasado</v>
      </c>
      <c r="BC52" s="551">
        <v>23</v>
      </c>
      <c r="BD52" s="693">
        <f t="shared" si="11"/>
        <v>1</v>
      </c>
      <c r="BE52" s="693">
        <f t="shared" si="12"/>
        <v>24</v>
      </c>
      <c r="BF52" s="517">
        <v>8000</v>
      </c>
      <c r="BG52" s="517">
        <v>2735</v>
      </c>
      <c r="BH52" s="693">
        <f t="shared" si="13"/>
        <v>22</v>
      </c>
      <c r="BI52" s="693">
        <f t="shared" si="14"/>
        <v>26</v>
      </c>
      <c r="BJ52" s="655">
        <f t="shared" si="36"/>
        <v>79110</v>
      </c>
      <c r="BK52" s="518">
        <f t="shared" si="16"/>
        <v>57435</v>
      </c>
      <c r="BL52" s="518">
        <f t="shared" si="17"/>
        <v>13470</v>
      </c>
      <c r="BM52" s="518">
        <f t="shared" si="18"/>
        <v>0</v>
      </c>
      <c r="BN52" s="518">
        <f t="shared" si="19"/>
        <v>0</v>
      </c>
      <c r="BO52" s="655">
        <f t="shared" si="37"/>
        <v>8205</v>
      </c>
      <c r="BP52" s="693">
        <f t="shared" si="21"/>
        <v>3</v>
      </c>
      <c r="BQ52" s="696"/>
      <c r="BR52" s="519"/>
      <c r="BT52" s="439">
        <f t="shared" si="22"/>
        <v>-8205</v>
      </c>
      <c r="BU52" s="439">
        <f t="shared" si="23"/>
        <v>-8205</v>
      </c>
      <c r="BV52" s="439">
        <f t="shared" si="24"/>
        <v>0</v>
      </c>
      <c r="BY52" s="862">
        <f t="shared" si="25"/>
        <v>453684.82</v>
      </c>
      <c r="BZ52" s="862">
        <f t="shared" si="26"/>
        <v>194436.351</v>
      </c>
      <c r="CA52" s="862">
        <f t="shared" si="27"/>
        <v>54442.18</v>
      </c>
      <c r="CB52" s="862">
        <f t="shared" si="28"/>
        <v>5833.09</v>
      </c>
      <c r="CC52" s="863">
        <f t="shared" si="29"/>
        <v>508127</v>
      </c>
      <c r="CD52" s="863">
        <f t="shared" si="30"/>
        <v>200269.44</v>
      </c>
      <c r="CE52" s="864">
        <f t="shared" si="31"/>
        <v>708396.44</v>
      </c>
      <c r="CF52" s="862">
        <f t="shared" si="32"/>
        <v>0</v>
      </c>
    </row>
    <row r="53" spans="1:84" s="429" customFormat="1" ht="13.9" customHeight="1" x14ac:dyDescent="0.25">
      <c r="A53" s="472"/>
      <c r="B53" s="436">
        <v>317</v>
      </c>
      <c r="C53" s="436" t="s">
        <v>406</v>
      </c>
      <c r="D53" s="436"/>
      <c r="E53" s="436" t="s">
        <v>366</v>
      </c>
      <c r="F53" s="429" t="s">
        <v>430</v>
      </c>
      <c r="G53" s="473">
        <v>45258</v>
      </c>
      <c r="H53" s="436" t="s">
        <v>128</v>
      </c>
      <c r="I53" s="472">
        <v>721087.5</v>
      </c>
      <c r="J53" s="472">
        <v>72187.5</v>
      </c>
      <c r="K53" s="507">
        <v>0</v>
      </c>
      <c r="L53" s="507">
        <v>0</v>
      </c>
      <c r="M53" s="507">
        <v>0</v>
      </c>
      <c r="N53" s="507">
        <v>0</v>
      </c>
      <c r="O53" s="507">
        <v>0</v>
      </c>
      <c r="P53" s="507">
        <v>0</v>
      </c>
      <c r="Q53" s="507">
        <v>0</v>
      </c>
      <c r="R53" s="507">
        <v>0</v>
      </c>
      <c r="S53" s="507">
        <v>5500</v>
      </c>
      <c r="T53" s="507">
        <v>3031</v>
      </c>
      <c r="U53" s="507">
        <v>3031</v>
      </c>
      <c r="V53" s="507">
        <v>3031</v>
      </c>
      <c r="W53" s="507">
        <v>3031</v>
      </c>
      <c r="X53" s="507">
        <v>3031</v>
      </c>
      <c r="Y53" s="507">
        <v>3031</v>
      </c>
      <c r="Z53" s="507">
        <v>3031</v>
      </c>
      <c r="AA53" s="507">
        <v>3031</v>
      </c>
      <c r="AB53" s="507">
        <v>3031</v>
      </c>
      <c r="AC53" s="507">
        <v>3031</v>
      </c>
      <c r="AD53" s="507">
        <v>3031</v>
      </c>
      <c r="AE53" s="507">
        <v>3031</v>
      </c>
      <c r="AF53" s="507">
        <v>3031</v>
      </c>
      <c r="AG53" s="507">
        <v>3031</v>
      </c>
      <c r="AH53" s="507">
        <v>3031</v>
      </c>
      <c r="AI53" s="507">
        <v>3031</v>
      </c>
      <c r="AJ53" s="507">
        <v>3031</v>
      </c>
      <c r="AK53" s="508">
        <v>3031</v>
      </c>
      <c r="AL53" s="508">
        <v>3031</v>
      </c>
      <c r="AM53" s="509">
        <v>3031</v>
      </c>
      <c r="AN53" s="509">
        <v>3031</v>
      </c>
      <c r="AO53" s="509">
        <v>3036.5</v>
      </c>
      <c r="AP53" s="509">
        <v>3031</v>
      </c>
      <c r="AQ53" s="509">
        <v>0</v>
      </c>
      <c r="AR53" s="509"/>
      <c r="AS53" s="509"/>
      <c r="AT53" s="510">
        <f t="shared" si="33"/>
        <v>75218.5</v>
      </c>
      <c r="AU53" s="512">
        <f t="shared" si="3"/>
        <v>1.0419878787878787</v>
      </c>
      <c r="AV53" s="511">
        <f t="shared" si="4"/>
        <v>3031</v>
      </c>
      <c r="AW53" s="558">
        <f t="shared" si="5"/>
        <v>4.1987878787878789E-2</v>
      </c>
      <c r="AX53" s="513">
        <f t="shared" si="6"/>
        <v>645869</v>
      </c>
      <c r="AY53" s="514">
        <f t="shared" si="7"/>
        <v>0.89568741657565831</v>
      </c>
      <c r="AZ53" s="513">
        <f t="shared" si="8"/>
        <v>72187.5</v>
      </c>
      <c r="BA53" s="515" t="str">
        <f t="shared" si="9"/>
        <v>Vendido</v>
      </c>
      <c r="BB53" s="516" t="str">
        <f t="shared" si="10"/>
        <v>Cliente Atrasado</v>
      </c>
      <c r="BC53" s="551">
        <v>22</v>
      </c>
      <c r="BD53" s="693">
        <f t="shared" si="11"/>
        <v>1</v>
      </c>
      <c r="BE53" s="693">
        <f t="shared" si="12"/>
        <v>23</v>
      </c>
      <c r="BF53" s="517">
        <v>5500</v>
      </c>
      <c r="BG53" s="517">
        <v>3031</v>
      </c>
      <c r="BH53" s="693">
        <f t="shared" si="13"/>
        <v>23</v>
      </c>
      <c r="BI53" s="693">
        <f t="shared" si="14"/>
        <v>25</v>
      </c>
      <c r="BJ53" s="655">
        <f t="shared" si="36"/>
        <v>81275</v>
      </c>
      <c r="BK53" s="518">
        <f t="shared" si="16"/>
        <v>66682</v>
      </c>
      <c r="BL53" s="518">
        <f t="shared" si="17"/>
        <v>8536.5</v>
      </c>
      <c r="BM53" s="518">
        <f t="shared" si="18"/>
        <v>0</v>
      </c>
      <c r="BN53" s="518">
        <f t="shared" si="19"/>
        <v>0</v>
      </c>
      <c r="BO53" s="655">
        <f t="shared" si="37"/>
        <v>6056.5</v>
      </c>
      <c r="BP53" s="693">
        <f t="shared" si="21"/>
        <v>2</v>
      </c>
      <c r="BQ53" s="696"/>
      <c r="BR53" s="519"/>
      <c r="BT53" s="439">
        <f t="shared" si="22"/>
        <v>-6056.5</v>
      </c>
      <c r="BU53" s="439">
        <f t="shared" si="23"/>
        <v>-6056.5</v>
      </c>
      <c r="BV53" s="439">
        <f t="shared" si="24"/>
        <v>0</v>
      </c>
      <c r="BY53" s="862">
        <f t="shared" si="25"/>
        <v>461812.67200000002</v>
      </c>
      <c r="BZ53" s="862">
        <f t="shared" si="26"/>
        <v>197919.71599999999</v>
      </c>
      <c r="CA53" s="862">
        <f t="shared" si="27"/>
        <v>55417.52</v>
      </c>
      <c r="CB53" s="862">
        <f t="shared" si="28"/>
        <v>5937.59</v>
      </c>
      <c r="CC53" s="863">
        <f t="shared" si="29"/>
        <v>517230.19</v>
      </c>
      <c r="CD53" s="863">
        <f t="shared" si="30"/>
        <v>203857.31</v>
      </c>
      <c r="CE53" s="864">
        <f t="shared" si="31"/>
        <v>721087.5</v>
      </c>
      <c r="CF53" s="862">
        <f t="shared" si="32"/>
        <v>0</v>
      </c>
    </row>
    <row r="54" spans="1:84" s="429" customFormat="1" ht="13.9" customHeight="1" x14ac:dyDescent="0.25">
      <c r="A54" s="472"/>
      <c r="B54" s="436">
        <v>318</v>
      </c>
      <c r="C54" s="436" t="s">
        <v>200</v>
      </c>
      <c r="D54" s="436"/>
      <c r="E54" s="436" t="s">
        <v>366</v>
      </c>
      <c r="F54" s="429" t="s">
        <v>431</v>
      </c>
      <c r="G54" s="473">
        <v>45242</v>
      </c>
      <c r="H54" s="436" t="s">
        <v>128</v>
      </c>
      <c r="I54" s="472">
        <v>720472.5</v>
      </c>
      <c r="J54" s="472">
        <v>72072.5</v>
      </c>
      <c r="K54" s="507">
        <v>0</v>
      </c>
      <c r="L54" s="507">
        <v>0</v>
      </c>
      <c r="M54" s="507">
        <v>0</v>
      </c>
      <c r="N54" s="507">
        <v>0</v>
      </c>
      <c r="O54" s="507">
        <v>0</v>
      </c>
      <c r="P54" s="507">
        <v>0</v>
      </c>
      <c r="Q54" s="507">
        <v>0</v>
      </c>
      <c r="R54" s="507">
        <v>0</v>
      </c>
      <c r="S54" s="507">
        <v>5500</v>
      </c>
      <c r="T54" s="507">
        <v>3026</v>
      </c>
      <c r="U54" s="507">
        <v>3026</v>
      </c>
      <c r="V54" s="507">
        <v>3026</v>
      </c>
      <c r="W54" s="507">
        <v>3026</v>
      </c>
      <c r="X54" s="507">
        <v>3026</v>
      </c>
      <c r="Y54" s="507">
        <v>3026</v>
      </c>
      <c r="Z54" s="507">
        <v>3026</v>
      </c>
      <c r="AA54" s="507">
        <v>3026</v>
      </c>
      <c r="AB54" s="507">
        <v>3026</v>
      </c>
      <c r="AC54" s="507">
        <v>3026</v>
      </c>
      <c r="AD54" s="507">
        <v>3026</v>
      </c>
      <c r="AE54" s="507">
        <v>3026</v>
      </c>
      <c r="AF54" s="507">
        <v>3026</v>
      </c>
      <c r="AG54" s="507">
        <v>3026</v>
      </c>
      <c r="AH54" s="507">
        <v>3026</v>
      </c>
      <c r="AI54" s="507">
        <v>3026</v>
      </c>
      <c r="AJ54" s="507">
        <v>3026</v>
      </c>
      <c r="AK54" s="508">
        <v>3026</v>
      </c>
      <c r="AL54" s="508">
        <v>3026</v>
      </c>
      <c r="AM54" s="509">
        <v>3026</v>
      </c>
      <c r="AN54" s="509">
        <v>3026</v>
      </c>
      <c r="AO54" s="509">
        <v>3026.5</v>
      </c>
      <c r="AP54" s="509">
        <v>0</v>
      </c>
      <c r="AQ54" s="509">
        <v>0</v>
      </c>
      <c r="AR54" s="509"/>
      <c r="AS54" s="509"/>
      <c r="AT54" s="510">
        <f t="shared" si="33"/>
        <v>72072.5</v>
      </c>
      <c r="AU54" s="512">
        <f t="shared" si="3"/>
        <v>1</v>
      </c>
      <c r="AV54" s="511">
        <f t="shared" si="4"/>
        <v>0</v>
      </c>
      <c r="AW54" s="558">
        <f t="shared" si="5"/>
        <v>0</v>
      </c>
      <c r="AX54" s="513">
        <f t="shared" si="6"/>
        <v>648400</v>
      </c>
      <c r="AY54" s="514">
        <f t="shared" si="7"/>
        <v>0.89996495355478523</v>
      </c>
      <c r="AZ54" s="513">
        <f t="shared" si="8"/>
        <v>72072.5</v>
      </c>
      <c r="BA54" s="515" t="str">
        <f t="shared" si="9"/>
        <v>Vendido</v>
      </c>
      <c r="BB54" s="516" t="str">
        <f t="shared" si="10"/>
        <v>Cliente Atrasado</v>
      </c>
      <c r="BC54" s="551">
        <v>22</v>
      </c>
      <c r="BD54" s="693">
        <f t="shared" si="11"/>
        <v>1</v>
      </c>
      <c r="BE54" s="693">
        <f t="shared" si="12"/>
        <v>23</v>
      </c>
      <c r="BF54" s="517">
        <v>5500</v>
      </c>
      <c r="BG54" s="517">
        <v>3026</v>
      </c>
      <c r="BH54" s="693">
        <f t="shared" si="13"/>
        <v>22</v>
      </c>
      <c r="BI54" s="693">
        <f t="shared" si="14"/>
        <v>26</v>
      </c>
      <c r="BJ54" s="655">
        <f t="shared" si="36"/>
        <v>84176</v>
      </c>
      <c r="BK54" s="518">
        <f t="shared" si="16"/>
        <v>63546</v>
      </c>
      <c r="BL54" s="518">
        <f t="shared" si="17"/>
        <v>8526.5</v>
      </c>
      <c r="BM54" s="518">
        <f t="shared" si="18"/>
        <v>0</v>
      </c>
      <c r="BN54" s="518">
        <f t="shared" si="19"/>
        <v>0</v>
      </c>
      <c r="BO54" s="655">
        <f t="shared" si="37"/>
        <v>12103.5</v>
      </c>
      <c r="BP54" s="693">
        <f t="shared" si="21"/>
        <v>4</v>
      </c>
      <c r="BQ54" s="696"/>
      <c r="BR54" s="519"/>
      <c r="BT54" s="439">
        <f t="shared" si="22"/>
        <v>-12103.5</v>
      </c>
      <c r="BU54" s="439">
        <f t="shared" si="23"/>
        <v>-12103.5</v>
      </c>
      <c r="BV54" s="439">
        <f t="shared" si="24"/>
        <v>0</v>
      </c>
      <c r="BY54" s="862">
        <f t="shared" si="25"/>
        <v>461418.80099999998</v>
      </c>
      <c r="BZ54" s="862">
        <f t="shared" si="26"/>
        <v>197750.91500000001</v>
      </c>
      <c r="CA54" s="862">
        <f t="shared" si="27"/>
        <v>55370.26</v>
      </c>
      <c r="CB54" s="862">
        <f t="shared" si="28"/>
        <v>5932.53</v>
      </c>
      <c r="CC54" s="863">
        <f t="shared" si="29"/>
        <v>516789.06</v>
      </c>
      <c r="CD54" s="863">
        <f t="shared" si="30"/>
        <v>203683.45</v>
      </c>
      <c r="CE54" s="864">
        <f t="shared" si="31"/>
        <v>720472.51</v>
      </c>
      <c r="CF54" s="862">
        <f t="shared" si="32"/>
        <v>1.0000000009313226E-2</v>
      </c>
    </row>
    <row r="55" spans="1:84" s="429" customFormat="1" ht="13.9" customHeight="1" x14ac:dyDescent="0.25">
      <c r="A55" s="472"/>
      <c r="B55" s="436">
        <v>319</v>
      </c>
      <c r="C55" s="436" t="s">
        <v>409</v>
      </c>
      <c r="D55" s="436"/>
      <c r="E55" s="436" t="s">
        <v>366</v>
      </c>
      <c r="F55" s="429" t="s">
        <v>432</v>
      </c>
      <c r="G55" s="473">
        <v>45340</v>
      </c>
      <c r="H55" s="436" t="s">
        <v>128</v>
      </c>
      <c r="I55" s="472">
        <v>965900</v>
      </c>
      <c r="J55" s="472">
        <v>96600</v>
      </c>
      <c r="K55" s="507">
        <v>0</v>
      </c>
      <c r="L55" s="507">
        <v>0</v>
      </c>
      <c r="M55" s="507">
        <v>0</v>
      </c>
      <c r="N55" s="507">
        <v>0</v>
      </c>
      <c r="O55" s="507">
        <v>0</v>
      </c>
      <c r="P55" s="507">
        <v>0</v>
      </c>
      <c r="Q55" s="507">
        <v>0</v>
      </c>
      <c r="R55" s="507">
        <v>0</v>
      </c>
      <c r="S55" s="507">
        <v>0</v>
      </c>
      <c r="T55" s="507">
        <v>0</v>
      </c>
      <c r="U55" s="507">
        <v>0</v>
      </c>
      <c r="V55" s="507">
        <v>8000</v>
      </c>
      <c r="W55" s="507">
        <v>7000</v>
      </c>
      <c r="X55" s="507">
        <v>7000</v>
      </c>
      <c r="Y55" s="507">
        <v>7000</v>
      </c>
      <c r="Z55" s="507">
        <v>7000</v>
      </c>
      <c r="AA55" s="507">
        <v>14000</v>
      </c>
      <c r="AB55" s="507">
        <v>7000</v>
      </c>
      <c r="AC55" s="507">
        <v>7000</v>
      </c>
      <c r="AD55" s="507">
        <v>7000</v>
      </c>
      <c r="AE55" s="507">
        <v>7000</v>
      </c>
      <c r="AF55" s="507">
        <v>7000</v>
      </c>
      <c r="AG55" s="507">
        <f>7000+10000</f>
        <v>17000</v>
      </c>
      <c r="AH55" s="507">
        <v>7000</v>
      </c>
      <c r="AI55" s="507">
        <v>7000</v>
      </c>
      <c r="AJ55" s="507">
        <v>7000</v>
      </c>
      <c r="AK55" s="508">
        <v>7000</v>
      </c>
      <c r="AL55" s="508">
        <v>7000</v>
      </c>
      <c r="AM55" s="509">
        <v>7000</v>
      </c>
      <c r="AN55" s="509">
        <v>7000</v>
      </c>
      <c r="AO55" s="509">
        <v>7000</v>
      </c>
      <c r="AP55" s="509">
        <v>7000</v>
      </c>
      <c r="AQ55" s="509">
        <v>7000</v>
      </c>
      <c r="AR55" s="509">
        <f>7000+7000+7000</f>
        <v>21000</v>
      </c>
      <c r="AS55" s="509"/>
      <c r="AT55" s="510">
        <f t="shared" si="33"/>
        <v>193000</v>
      </c>
      <c r="AU55" s="512">
        <f t="shared" si="3"/>
        <v>1.9979296066252588</v>
      </c>
      <c r="AV55" s="511">
        <f t="shared" si="4"/>
        <v>96400</v>
      </c>
      <c r="AW55" s="558">
        <f t="shared" si="5"/>
        <v>0.99792960662525876</v>
      </c>
      <c r="AX55" s="513">
        <f t="shared" si="6"/>
        <v>772900</v>
      </c>
      <c r="AY55" s="514">
        <f t="shared" si="7"/>
        <v>0.80018635469510302</v>
      </c>
      <c r="AZ55" s="513">
        <f t="shared" si="8"/>
        <v>96600</v>
      </c>
      <c r="BA55" s="515" t="str">
        <f t="shared" si="9"/>
        <v>Vendido</v>
      </c>
      <c r="BB55" s="516" t="str">
        <f t="shared" si="10"/>
        <v>Superávit de Enganche</v>
      </c>
      <c r="BC55" s="551">
        <v>19</v>
      </c>
      <c r="BD55" s="693">
        <f t="shared" si="11"/>
        <v>1</v>
      </c>
      <c r="BE55" s="693">
        <f t="shared" si="12"/>
        <v>20</v>
      </c>
      <c r="BF55" s="517">
        <v>8000</v>
      </c>
      <c r="BG55" s="517">
        <v>4663</v>
      </c>
      <c r="BH55" s="693">
        <f t="shared" si="13"/>
        <v>19</v>
      </c>
      <c r="BI55" s="693">
        <f t="shared" si="14"/>
        <v>23</v>
      </c>
      <c r="BJ55" s="655">
        <f t="shared" si="36"/>
        <v>115249</v>
      </c>
      <c r="BK55" s="518">
        <f t="shared" si="16"/>
        <v>0</v>
      </c>
      <c r="BL55" s="518">
        <f t="shared" si="17"/>
        <v>193000</v>
      </c>
      <c r="BM55" s="518">
        <f t="shared" si="18"/>
        <v>0</v>
      </c>
      <c r="BN55" s="518">
        <f t="shared" si="19"/>
        <v>77751</v>
      </c>
      <c r="BO55" s="655">
        <f t="shared" si="37"/>
        <v>0</v>
      </c>
      <c r="BP55" s="693">
        <f t="shared" si="21"/>
        <v>0</v>
      </c>
      <c r="BQ55" s="696"/>
      <c r="BR55" s="519"/>
      <c r="BT55" s="439">
        <f t="shared" si="22"/>
        <v>77751</v>
      </c>
      <c r="BU55" s="439">
        <f t="shared" si="23"/>
        <v>77751</v>
      </c>
      <c r="BV55" s="439">
        <f t="shared" si="24"/>
        <v>0</v>
      </c>
      <c r="BY55" s="862">
        <f t="shared" si="25"/>
        <v>618600.18299999996</v>
      </c>
      <c r="BZ55" s="862">
        <f t="shared" si="26"/>
        <v>265114.364</v>
      </c>
      <c r="CA55" s="862">
        <f t="shared" si="27"/>
        <v>74232.02</v>
      </c>
      <c r="CB55" s="862">
        <f t="shared" si="28"/>
        <v>7953.43</v>
      </c>
      <c r="CC55" s="863">
        <f t="shared" si="29"/>
        <v>692832.2</v>
      </c>
      <c r="CD55" s="863">
        <f t="shared" si="30"/>
        <v>273067.78999999998</v>
      </c>
      <c r="CE55" s="864">
        <f t="shared" si="31"/>
        <v>965899.99</v>
      </c>
      <c r="CF55" s="862">
        <f t="shared" si="32"/>
        <v>-1.0000000009313226E-2</v>
      </c>
    </row>
    <row r="56" spans="1:84" s="429" customFormat="1" ht="13.9" customHeight="1" x14ac:dyDescent="0.25">
      <c r="A56" s="472"/>
      <c r="B56" s="436">
        <v>320</v>
      </c>
      <c r="C56" s="436" t="s">
        <v>184</v>
      </c>
      <c r="D56" s="436"/>
      <c r="E56" s="436" t="s">
        <v>366</v>
      </c>
      <c r="F56" s="429" t="s">
        <v>433</v>
      </c>
      <c r="G56" s="473">
        <v>45150</v>
      </c>
      <c r="H56" s="436" t="s">
        <v>128</v>
      </c>
      <c r="I56" s="472">
        <v>980700</v>
      </c>
      <c r="J56" s="472">
        <v>98100</v>
      </c>
      <c r="K56" s="507">
        <v>0</v>
      </c>
      <c r="L56" s="507">
        <v>0</v>
      </c>
      <c r="M56" s="507">
        <v>0</v>
      </c>
      <c r="N56" s="507">
        <v>0</v>
      </c>
      <c r="O56" s="507">
        <v>0</v>
      </c>
      <c r="P56" s="507">
        <v>6000</v>
      </c>
      <c r="Q56" s="507">
        <v>3684</v>
      </c>
      <c r="R56" s="507">
        <v>3684</v>
      </c>
      <c r="S56" s="507">
        <v>3684</v>
      </c>
      <c r="T56" s="507">
        <v>3684</v>
      </c>
      <c r="U56" s="507">
        <v>3684</v>
      </c>
      <c r="V56" s="507">
        <v>3684</v>
      </c>
      <c r="W56" s="507">
        <v>3684</v>
      </c>
      <c r="X56" s="507">
        <v>3684</v>
      </c>
      <c r="Y56" s="507">
        <v>3684</v>
      </c>
      <c r="Z56" s="507">
        <v>3684</v>
      </c>
      <c r="AA56" s="507">
        <v>3684</v>
      </c>
      <c r="AB56" s="507">
        <v>3684</v>
      </c>
      <c r="AC56" s="507">
        <v>3684</v>
      </c>
      <c r="AD56" s="507">
        <v>3684</v>
      </c>
      <c r="AE56" s="507">
        <v>3684</v>
      </c>
      <c r="AF56" s="507">
        <v>3684</v>
      </c>
      <c r="AG56" s="507">
        <v>3684</v>
      </c>
      <c r="AH56" s="507">
        <v>3684</v>
      </c>
      <c r="AI56" s="507">
        <v>3684</v>
      </c>
      <c r="AJ56" s="507">
        <v>3684</v>
      </c>
      <c r="AK56" s="508">
        <v>3684</v>
      </c>
      <c r="AL56" s="508">
        <v>3684</v>
      </c>
      <c r="AM56" s="509">
        <v>3684</v>
      </c>
      <c r="AN56" s="509">
        <v>3684</v>
      </c>
      <c r="AO56" s="509">
        <v>3684</v>
      </c>
      <c r="AP56" s="509">
        <v>0</v>
      </c>
      <c r="AQ56" s="509">
        <v>0</v>
      </c>
      <c r="AR56" s="509"/>
      <c r="AS56" s="509"/>
      <c r="AT56" s="510">
        <f t="shared" si="33"/>
        <v>98100</v>
      </c>
      <c r="AU56" s="512">
        <f t="shared" si="3"/>
        <v>1</v>
      </c>
      <c r="AV56" s="511">
        <f t="shared" si="4"/>
        <v>0</v>
      </c>
      <c r="AW56" s="558">
        <f t="shared" si="5"/>
        <v>0</v>
      </c>
      <c r="AX56" s="513">
        <f t="shared" si="6"/>
        <v>882600</v>
      </c>
      <c r="AY56" s="514">
        <f t="shared" si="7"/>
        <v>0.89996940960538396</v>
      </c>
      <c r="AZ56" s="513">
        <f t="shared" si="8"/>
        <v>98100</v>
      </c>
      <c r="BA56" s="515" t="str">
        <f t="shared" si="9"/>
        <v>Vendido</v>
      </c>
      <c r="BB56" s="516" t="str">
        <f t="shared" si="10"/>
        <v>Cliente Atrasado</v>
      </c>
      <c r="BC56" s="551">
        <v>25</v>
      </c>
      <c r="BD56" s="693">
        <f t="shared" si="11"/>
        <v>1</v>
      </c>
      <c r="BE56" s="693">
        <f t="shared" si="12"/>
        <v>26</v>
      </c>
      <c r="BF56" s="517">
        <v>6000</v>
      </c>
      <c r="BG56" s="517">
        <v>3684</v>
      </c>
      <c r="BH56" s="693">
        <f t="shared" si="13"/>
        <v>25</v>
      </c>
      <c r="BI56" s="693">
        <f t="shared" si="14"/>
        <v>29</v>
      </c>
      <c r="BJ56" s="655">
        <f t="shared" si="36"/>
        <v>112836</v>
      </c>
      <c r="BK56" s="518">
        <f t="shared" si="16"/>
        <v>92100</v>
      </c>
      <c r="BL56" s="518">
        <f t="shared" si="17"/>
        <v>6000</v>
      </c>
      <c r="BM56" s="518">
        <f t="shared" si="18"/>
        <v>0</v>
      </c>
      <c r="BN56" s="518">
        <f t="shared" si="19"/>
        <v>0</v>
      </c>
      <c r="BO56" s="655">
        <f t="shared" si="37"/>
        <v>14736</v>
      </c>
      <c r="BP56" s="693">
        <f t="shared" si="21"/>
        <v>4</v>
      </c>
      <c r="BQ56" s="696"/>
      <c r="BR56" s="519"/>
      <c r="BT56" s="439">
        <f t="shared" si="22"/>
        <v>-14736</v>
      </c>
      <c r="BU56" s="439">
        <f t="shared" si="23"/>
        <v>-14736</v>
      </c>
      <c r="BV56" s="439">
        <f t="shared" si="24"/>
        <v>0</v>
      </c>
      <c r="BY56" s="862">
        <f t="shared" si="25"/>
        <v>628078.68299999996</v>
      </c>
      <c r="BZ56" s="862">
        <f t="shared" si="26"/>
        <v>269176.57799999998</v>
      </c>
      <c r="CA56" s="862">
        <f t="shared" si="27"/>
        <v>75369.440000000002</v>
      </c>
      <c r="CB56" s="862">
        <f t="shared" si="28"/>
        <v>8075.3</v>
      </c>
      <c r="CC56" s="863">
        <f t="shared" si="29"/>
        <v>703448.12</v>
      </c>
      <c r="CD56" s="863">
        <f t="shared" si="30"/>
        <v>277251.88</v>
      </c>
      <c r="CE56" s="864">
        <f t="shared" si="31"/>
        <v>980700</v>
      </c>
      <c r="CF56" s="862">
        <f t="shared" si="32"/>
        <v>0</v>
      </c>
    </row>
    <row r="57" spans="1:84" s="429" customFormat="1" ht="13.9" customHeight="1" x14ac:dyDescent="0.25">
      <c r="A57" s="472"/>
      <c r="B57" s="436">
        <v>401</v>
      </c>
      <c r="C57" s="436" t="s">
        <v>412</v>
      </c>
      <c r="D57" s="436"/>
      <c r="E57" s="436" t="s">
        <v>366</v>
      </c>
      <c r="F57" s="429" t="s">
        <v>434</v>
      </c>
      <c r="G57" s="473">
        <v>45320</v>
      </c>
      <c r="H57" s="436" t="s">
        <v>128</v>
      </c>
      <c r="I57" s="472">
        <v>1153800</v>
      </c>
      <c r="J57" s="472">
        <v>115400</v>
      </c>
      <c r="K57" s="507">
        <v>0</v>
      </c>
      <c r="L57" s="507">
        <v>0</v>
      </c>
      <c r="M57" s="507">
        <v>0</v>
      </c>
      <c r="N57" s="507">
        <v>0</v>
      </c>
      <c r="O57" s="507">
        <v>0</v>
      </c>
      <c r="P57" s="507">
        <v>0</v>
      </c>
      <c r="Q57" s="507">
        <v>0</v>
      </c>
      <c r="R57" s="507">
        <v>0</v>
      </c>
      <c r="S57" s="507">
        <v>0</v>
      </c>
      <c r="T57" s="507">
        <v>0</v>
      </c>
      <c r="U57" s="507">
        <v>8000</v>
      </c>
      <c r="V57" s="507">
        <v>5370</v>
      </c>
      <c r="W57" s="507">
        <v>5370</v>
      </c>
      <c r="X57" s="507">
        <v>10740</v>
      </c>
      <c r="Y57" s="507">
        <v>0</v>
      </c>
      <c r="Z57" s="507">
        <v>5370</v>
      </c>
      <c r="AA57" s="507">
        <v>5370</v>
      </c>
      <c r="AB57" s="507">
        <v>5370</v>
      </c>
      <c r="AC57" s="507">
        <v>5370</v>
      </c>
      <c r="AD57" s="507">
        <v>5370</v>
      </c>
      <c r="AE57" s="507">
        <v>5370</v>
      </c>
      <c r="AF57" s="507">
        <v>5370</v>
      </c>
      <c r="AG57" s="507">
        <v>5370</v>
      </c>
      <c r="AH57" s="507">
        <v>5370</v>
      </c>
      <c r="AI57" s="507">
        <v>5370</v>
      </c>
      <c r="AJ57" s="507">
        <v>5370</v>
      </c>
      <c r="AK57" s="508">
        <v>5370</v>
      </c>
      <c r="AL57" s="508">
        <v>5370</v>
      </c>
      <c r="AM57" s="509">
        <v>5370</v>
      </c>
      <c r="AN57" s="509">
        <v>5370</v>
      </c>
      <c r="AO57" s="509">
        <v>5370</v>
      </c>
      <c r="AP57" s="509">
        <v>5370</v>
      </c>
      <c r="AQ57" s="509">
        <v>0</v>
      </c>
      <c r="AR57" s="509"/>
      <c r="AS57" s="509"/>
      <c r="AT57" s="510">
        <f t="shared" si="33"/>
        <v>120770</v>
      </c>
      <c r="AU57" s="512">
        <f t="shared" si="3"/>
        <v>1.0465337954939342</v>
      </c>
      <c r="AV57" s="511">
        <f t="shared" si="4"/>
        <v>5370</v>
      </c>
      <c r="AW57" s="558">
        <f t="shared" si="5"/>
        <v>4.6533795493934139E-2</v>
      </c>
      <c r="AX57" s="513">
        <f t="shared" si="6"/>
        <v>1033030</v>
      </c>
      <c r="AY57" s="514">
        <f t="shared" si="7"/>
        <v>0.89532847980585895</v>
      </c>
      <c r="AZ57" s="513">
        <f t="shared" si="8"/>
        <v>115400</v>
      </c>
      <c r="BA57" s="515" t="str">
        <f t="shared" si="9"/>
        <v>Vendido</v>
      </c>
      <c r="BB57" s="516" t="str">
        <f t="shared" si="10"/>
        <v>Cliente Atrasado</v>
      </c>
      <c r="BC57" s="551">
        <v>20</v>
      </c>
      <c r="BD57" s="693">
        <f t="shared" si="11"/>
        <v>1</v>
      </c>
      <c r="BE57" s="693">
        <f t="shared" si="12"/>
        <v>21</v>
      </c>
      <c r="BF57" s="517">
        <v>8000</v>
      </c>
      <c r="BG57" s="517">
        <v>5370</v>
      </c>
      <c r="BH57" s="693">
        <f t="shared" si="13"/>
        <v>19</v>
      </c>
      <c r="BI57" s="693">
        <f t="shared" si="14"/>
        <v>23</v>
      </c>
      <c r="BJ57" s="655">
        <f t="shared" si="36"/>
        <v>131510</v>
      </c>
      <c r="BK57" s="518">
        <f t="shared" si="16"/>
        <v>102030</v>
      </c>
      <c r="BL57" s="518">
        <f t="shared" si="17"/>
        <v>18740</v>
      </c>
      <c r="BM57" s="518">
        <f t="shared" si="18"/>
        <v>0</v>
      </c>
      <c r="BN57" s="518">
        <f t="shared" si="19"/>
        <v>0</v>
      </c>
      <c r="BO57" s="655">
        <f t="shared" si="37"/>
        <v>10740</v>
      </c>
      <c r="BP57" s="693">
        <f t="shared" si="21"/>
        <v>2</v>
      </c>
      <c r="BQ57" s="696"/>
      <c r="BR57" s="519"/>
      <c r="BT57" s="439">
        <f t="shared" si="22"/>
        <v>-10740</v>
      </c>
      <c r="BU57" s="439">
        <f t="shared" si="23"/>
        <v>-10740</v>
      </c>
      <c r="BV57" s="439">
        <f t="shared" si="24"/>
        <v>0</v>
      </c>
      <c r="BY57" s="862">
        <f t="shared" si="25"/>
        <v>738938.701</v>
      </c>
      <c r="BZ57" s="862">
        <f t="shared" si="26"/>
        <v>316688.01500000001</v>
      </c>
      <c r="CA57" s="862">
        <f t="shared" si="27"/>
        <v>88672.639999999999</v>
      </c>
      <c r="CB57" s="862">
        <f t="shared" si="28"/>
        <v>9500.64</v>
      </c>
      <c r="CC57" s="863">
        <f t="shared" si="29"/>
        <v>827611.34</v>
      </c>
      <c r="CD57" s="863">
        <f t="shared" si="30"/>
        <v>326188.65999999997</v>
      </c>
      <c r="CE57" s="864">
        <f t="shared" si="31"/>
        <v>1153800</v>
      </c>
      <c r="CF57" s="862">
        <f t="shared" si="32"/>
        <v>0</v>
      </c>
    </row>
    <row r="58" spans="1:84" s="429" customFormat="1" ht="13.9" customHeight="1" x14ac:dyDescent="0.25">
      <c r="A58" s="472"/>
      <c r="B58" s="436">
        <v>402</v>
      </c>
      <c r="C58" s="436" t="s">
        <v>186</v>
      </c>
      <c r="D58" s="436"/>
      <c r="E58" s="436" t="s">
        <v>366</v>
      </c>
      <c r="F58" s="429" t="s">
        <v>435</v>
      </c>
      <c r="G58" s="473">
        <v>45263</v>
      </c>
      <c r="H58" s="436" t="s">
        <v>128</v>
      </c>
      <c r="I58" s="472">
        <v>1151071.45</v>
      </c>
      <c r="J58" s="472">
        <v>115171.45</v>
      </c>
      <c r="K58" s="507">
        <v>0</v>
      </c>
      <c r="L58" s="507">
        <v>0</v>
      </c>
      <c r="M58" s="507">
        <v>0</v>
      </c>
      <c r="N58" s="507">
        <v>0</v>
      </c>
      <c r="O58" s="507">
        <v>0</v>
      </c>
      <c r="P58" s="507">
        <v>0</v>
      </c>
      <c r="Q58" s="507">
        <v>0</v>
      </c>
      <c r="R58" s="507">
        <v>0</v>
      </c>
      <c r="S58" s="507">
        <v>0</v>
      </c>
      <c r="T58" s="507">
        <v>5500</v>
      </c>
      <c r="U58" s="507">
        <v>5219</v>
      </c>
      <c r="V58" s="507">
        <v>5225</v>
      </c>
      <c r="W58" s="507">
        <v>5222</v>
      </c>
      <c r="X58" s="507">
        <v>5222</v>
      </c>
      <c r="Y58" s="507">
        <v>5222</v>
      </c>
      <c r="Z58" s="507">
        <v>5222</v>
      </c>
      <c r="AA58" s="507">
        <v>5222</v>
      </c>
      <c r="AB58" s="507">
        <v>5222</v>
      </c>
      <c r="AC58" s="507">
        <v>5222</v>
      </c>
      <c r="AD58" s="507">
        <v>5222</v>
      </c>
      <c r="AE58" s="507">
        <v>5222</v>
      </c>
      <c r="AF58" s="507">
        <v>5222</v>
      </c>
      <c r="AG58" s="507">
        <v>5222</v>
      </c>
      <c r="AH58" s="507">
        <v>5222</v>
      </c>
      <c r="AI58" s="507">
        <v>5222</v>
      </c>
      <c r="AJ58" s="507">
        <v>5222</v>
      </c>
      <c r="AK58" s="508">
        <v>5222</v>
      </c>
      <c r="AL58" s="508">
        <v>5222</v>
      </c>
      <c r="AM58" s="509">
        <v>5222</v>
      </c>
      <c r="AN58" s="509">
        <v>5222</v>
      </c>
      <c r="AO58" s="509">
        <v>5231.45</v>
      </c>
      <c r="AP58" s="509">
        <v>0</v>
      </c>
      <c r="AQ58" s="509">
        <v>0</v>
      </c>
      <c r="AR58" s="509"/>
      <c r="AS58" s="509"/>
      <c r="AT58" s="510">
        <f t="shared" si="33"/>
        <v>115171.45</v>
      </c>
      <c r="AU58" s="512">
        <f t="shared" si="3"/>
        <v>1</v>
      </c>
      <c r="AV58" s="511">
        <f t="shared" si="4"/>
        <v>0</v>
      </c>
      <c r="AW58" s="558">
        <f t="shared" si="5"/>
        <v>0</v>
      </c>
      <c r="AX58" s="513">
        <f t="shared" si="6"/>
        <v>1035900</v>
      </c>
      <c r="AY58" s="514">
        <f t="shared" si="7"/>
        <v>0.89994413465819179</v>
      </c>
      <c r="AZ58" s="513">
        <f t="shared" si="8"/>
        <v>115171.45</v>
      </c>
      <c r="BA58" s="515" t="str">
        <f t="shared" si="9"/>
        <v>Vendido</v>
      </c>
      <c r="BB58" s="516" t="str">
        <f t="shared" si="10"/>
        <v>Cliente Atrasado</v>
      </c>
      <c r="BC58" s="551">
        <v>21</v>
      </c>
      <c r="BD58" s="693">
        <f t="shared" si="11"/>
        <v>1</v>
      </c>
      <c r="BE58" s="693">
        <f t="shared" si="12"/>
        <v>22</v>
      </c>
      <c r="BF58" s="517">
        <v>5500</v>
      </c>
      <c r="BG58" s="517">
        <v>5222</v>
      </c>
      <c r="BH58" s="693">
        <f t="shared" si="13"/>
        <v>21</v>
      </c>
      <c r="BI58" s="693">
        <f t="shared" si="14"/>
        <v>25</v>
      </c>
      <c r="BJ58" s="655">
        <f t="shared" si="36"/>
        <v>136050</v>
      </c>
      <c r="BK58" s="518">
        <f t="shared" si="16"/>
        <v>99215</v>
      </c>
      <c r="BL58" s="518">
        <f t="shared" si="17"/>
        <v>15956.45</v>
      </c>
      <c r="BM58" s="518">
        <f t="shared" si="18"/>
        <v>0</v>
      </c>
      <c r="BN58" s="518">
        <f t="shared" si="19"/>
        <v>0</v>
      </c>
      <c r="BO58" s="655">
        <f t="shared" si="37"/>
        <v>20878.550000000003</v>
      </c>
      <c r="BP58" s="693">
        <f t="shared" si="21"/>
        <v>4</v>
      </c>
      <c r="BQ58" s="696"/>
      <c r="BR58" s="519"/>
      <c r="BT58" s="439">
        <f t="shared" si="22"/>
        <v>-20878.550000000003</v>
      </c>
      <c r="BU58" s="439">
        <f t="shared" si="23"/>
        <v>-20878.550000000003</v>
      </c>
      <c r="BV58" s="439">
        <f t="shared" si="24"/>
        <v>0</v>
      </c>
      <c r="BY58" s="862">
        <f t="shared" si="25"/>
        <v>737191.23100000003</v>
      </c>
      <c r="BZ58" s="862">
        <f t="shared" si="26"/>
        <v>315939.09899999999</v>
      </c>
      <c r="CA58" s="862">
        <f t="shared" si="27"/>
        <v>88462.95</v>
      </c>
      <c r="CB58" s="862">
        <f t="shared" si="28"/>
        <v>9478.17</v>
      </c>
      <c r="CC58" s="863">
        <f t="shared" si="29"/>
        <v>825654.18</v>
      </c>
      <c r="CD58" s="863">
        <f t="shared" si="30"/>
        <v>325417.27</v>
      </c>
      <c r="CE58" s="864">
        <f t="shared" si="31"/>
        <v>1151071.45</v>
      </c>
      <c r="CF58" s="862">
        <f t="shared" si="32"/>
        <v>0</v>
      </c>
    </row>
    <row r="59" spans="1:84" s="429" customFormat="1" ht="13.9" customHeight="1" x14ac:dyDescent="0.25">
      <c r="A59" s="472"/>
      <c r="B59" s="436">
        <v>403</v>
      </c>
      <c r="C59" s="436" t="s">
        <v>192</v>
      </c>
      <c r="D59" s="436"/>
      <c r="E59" s="436" t="s">
        <v>366</v>
      </c>
      <c r="F59" s="429" t="s">
        <v>436</v>
      </c>
      <c r="G59" s="473">
        <v>45158</v>
      </c>
      <c r="H59" s="436" t="s">
        <v>128</v>
      </c>
      <c r="I59" s="472">
        <v>699700</v>
      </c>
      <c r="J59" s="472">
        <v>70000</v>
      </c>
      <c r="K59" s="507">
        <v>0</v>
      </c>
      <c r="L59" s="507">
        <v>0</v>
      </c>
      <c r="M59" s="507">
        <v>0</v>
      </c>
      <c r="N59" s="507">
        <v>0</v>
      </c>
      <c r="O59" s="507">
        <v>0</v>
      </c>
      <c r="P59" s="507">
        <v>6000</v>
      </c>
      <c r="Q59" s="507">
        <v>2560</v>
      </c>
      <c r="R59" s="507">
        <v>2560</v>
      </c>
      <c r="S59" s="507">
        <v>2560</v>
      </c>
      <c r="T59" s="507">
        <v>2560</v>
      </c>
      <c r="U59" s="507">
        <v>2560</v>
      </c>
      <c r="V59" s="507">
        <v>2560</v>
      </c>
      <c r="W59" s="507">
        <v>2560</v>
      </c>
      <c r="X59" s="507">
        <v>2560</v>
      </c>
      <c r="Y59" s="507">
        <v>2560</v>
      </c>
      <c r="Z59" s="507">
        <v>2560</v>
      </c>
      <c r="AA59" s="507">
        <v>2560</v>
      </c>
      <c r="AB59" s="507">
        <v>2560</v>
      </c>
      <c r="AC59" s="507">
        <v>2560</v>
      </c>
      <c r="AD59" s="507">
        <v>2560</v>
      </c>
      <c r="AE59" s="507">
        <v>2560</v>
      </c>
      <c r="AF59" s="507">
        <v>2560</v>
      </c>
      <c r="AG59" s="507">
        <v>2560</v>
      </c>
      <c r="AH59" s="507">
        <v>2560</v>
      </c>
      <c r="AI59" s="507">
        <v>2560</v>
      </c>
      <c r="AJ59" s="507">
        <v>2560</v>
      </c>
      <c r="AK59" s="509">
        <v>2560</v>
      </c>
      <c r="AL59" s="509">
        <v>2560</v>
      </c>
      <c r="AM59" s="509"/>
      <c r="AN59" s="509">
        <v>0</v>
      </c>
      <c r="AO59" s="509">
        <v>0</v>
      </c>
      <c r="AP59" s="509">
        <v>0</v>
      </c>
      <c r="AQ59" s="509">
        <v>0</v>
      </c>
      <c r="AR59" s="509"/>
      <c r="AS59" s="509"/>
      <c r="AT59" s="510">
        <f t="shared" si="33"/>
        <v>62320</v>
      </c>
      <c r="AU59" s="512">
        <f t="shared" si="3"/>
        <v>0.89028571428571424</v>
      </c>
      <c r="AV59" s="511">
        <f t="shared" si="4"/>
        <v>-7680</v>
      </c>
      <c r="AW59" s="558">
        <f t="shared" si="5"/>
        <v>-0.10971428571428571</v>
      </c>
      <c r="AX59" s="513">
        <f t="shared" si="6"/>
        <v>637380</v>
      </c>
      <c r="AY59" s="514">
        <f t="shared" si="7"/>
        <v>0.91093325711019013</v>
      </c>
      <c r="AZ59" s="513">
        <f t="shared" si="8"/>
        <v>70000</v>
      </c>
      <c r="BA59" s="515" t="str">
        <f t="shared" si="9"/>
        <v>Vendido</v>
      </c>
      <c r="BB59" s="516" t="str">
        <f t="shared" si="10"/>
        <v>Cliente Atrasado</v>
      </c>
      <c r="BC59" s="551">
        <v>25</v>
      </c>
      <c r="BD59" s="693">
        <f t="shared" si="11"/>
        <v>1</v>
      </c>
      <c r="BE59" s="693">
        <f t="shared" si="12"/>
        <v>26</v>
      </c>
      <c r="BF59" s="517">
        <v>6000</v>
      </c>
      <c r="BG59" s="517">
        <v>2560</v>
      </c>
      <c r="BH59" s="693">
        <f t="shared" si="13"/>
        <v>22</v>
      </c>
      <c r="BI59" s="693">
        <f t="shared" si="14"/>
        <v>29</v>
      </c>
      <c r="BJ59" s="655">
        <f t="shared" si="36"/>
        <v>80240</v>
      </c>
      <c r="BK59" s="518">
        <f t="shared" si="16"/>
        <v>56320</v>
      </c>
      <c r="BL59" s="518">
        <f t="shared" si="17"/>
        <v>6000</v>
      </c>
      <c r="BM59" s="518">
        <f t="shared" si="18"/>
        <v>0</v>
      </c>
      <c r="BN59" s="518">
        <f t="shared" si="19"/>
        <v>0</v>
      </c>
      <c r="BO59" s="655">
        <f t="shared" si="37"/>
        <v>17920</v>
      </c>
      <c r="BP59" s="693">
        <f t="shared" si="21"/>
        <v>7</v>
      </c>
      <c r="BQ59" s="696"/>
      <c r="BR59" s="519"/>
      <c r="BT59" s="439">
        <f t="shared" si="22"/>
        <v>-17920</v>
      </c>
      <c r="BU59" s="439">
        <f t="shared" si="23"/>
        <v>-17920</v>
      </c>
      <c r="BV59" s="439">
        <f t="shared" si="24"/>
        <v>0</v>
      </c>
      <c r="BY59" s="862">
        <f t="shared" si="25"/>
        <v>448115.27899999998</v>
      </c>
      <c r="BZ59" s="862">
        <f t="shared" si="26"/>
        <v>192049.405</v>
      </c>
      <c r="CA59" s="862">
        <f t="shared" si="27"/>
        <v>53773.83</v>
      </c>
      <c r="CB59" s="862">
        <f t="shared" si="28"/>
        <v>5761.48</v>
      </c>
      <c r="CC59" s="863">
        <f t="shared" si="29"/>
        <v>501889.11</v>
      </c>
      <c r="CD59" s="863">
        <f t="shared" si="30"/>
        <v>197810.89</v>
      </c>
      <c r="CE59" s="864">
        <f t="shared" si="31"/>
        <v>699700</v>
      </c>
      <c r="CF59" s="862">
        <f t="shared" si="32"/>
        <v>0</v>
      </c>
    </row>
    <row r="60" spans="1:84" s="429" customFormat="1" ht="13.9" customHeight="1" x14ac:dyDescent="0.25">
      <c r="A60" s="472"/>
      <c r="B60" s="436">
        <v>404</v>
      </c>
      <c r="C60" s="436" t="s">
        <v>198</v>
      </c>
      <c r="D60" s="436"/>
      <c r="E60" s="436" t="s">
        <v>383</v>
      </c>
      <c r="F60" s="429" t="s">
        <v>437</v>
      </c>
      <c r="G60" s="473">
        <v>45230</v>
      </c>
      <c r="H60" s="436" t="s">
        <v>128</v>
      </c>
      <c r="I60" s="472">
        <v>721100</v>
      </c>
      <c r="J60" s="472">
        <v>72200</v>
      </c>
      <c r="K60" s="507">
        <v>0</v>
      </c>
      <c r="L60" s="507">
        <v>0</v>
      </c>
      <c r="M60" s="507">
        <v>0</v>
      </c>
      <c r="N60" s="507">
        <v>0</v>
      </c>
      <c r="O60" s="507">
        <v>0</v>
      </c>
      <c r="P60" s="507">
        <v>0</v>
      </c>
      <c r="Q60" s="507">
        <v>0</v>
      </c>
      <c r="R60" s="507">
        <v>8000</v>
      </c>
      <c r="S60" s="507">
        <v>2791</v>
      </c>
      <c r="T60" s="507">
        <v>2791</v>
      </c>
      <c r="U60" s="507">
        <v>2791</v>
      </c>
      <c r="V60" s="507">
        <v>2791</v>
      </c>
      <c r="W60" s="507">
        <v>2791</v>
      </c>
      <c r="X60" s="507">
        <v>5582</v>
      </c>
      <c r="Y60" s="507">
        <v>0</v>
      </c>
      <c r="Z60" s="507">
        <v>2791</v>
      </c>
      <c r="AA60" s="507">
        <v>2791</v>
      </c>
      <c r="AB60" s="507">
        <v>5582</v>
      </c>
      <c r="AC60" s="507">
        <v>0</v>
      </c>
      <c r="AD60" s="507">
        <v>2791</v>
      </c>
      <c r="AE60" s="507">
        <v>2791</v>
      </c>
      <c r="AF60" s="507">
        <v>0</v>
      </c>
      <c r="AG60" s="507">
        <v>2791</v>
      </c>
      <c r="AH60" s="507">
        <v>2791</v>
      </c>
      <c r="AI60" s="507">
        <v>2791</v>
      </c>
      <c r="AJ60" s="507">
        <v>2791</v>
      </c>
      <c r="AK60" s="508">
        <v>2791</v>
      </c>
      <c r="AL60" s="508">
        <v>2791</v>
      </c>
      <c r="AM60" s="509">
        <v>2791</v>
      </c>
      <c r="AN60" s="509">
        <v>2791</v>
      </c>
      <c r="AO60" s="509">
        <f>2791+2798</f>
        <v>5589</v>
      </c>
      <c r="AP60" s="509">
        <v>0</v>
      </c>
      <c r="AQ60" s="509">
        <v>23000</v>
      </c>
      <c r="AR60" s="509"/>
      <c r="AS60" s="509"/>
      <c r="AT60" s="510">
        <f t="shared" si="33"/>
        <v>95200</v>
      </c>
      <c r="AU60" s="512">
        <f t="shared" si="3"/>
        <v>1.3185595567867037</v>
      </c>
      <c r="AV60" s="511">
        <f t="shared" si="4"/>
        <v>23000</v>
      </c>
      <c r="AW60" s="558">
        <f t="shared" si="5"/>
        <v>0.31855955678670361</v>
      </c>
      <c r="AX60" s="513">
        <f t="shared" si="6"/>
        <v>625900</v>
      </c>
      <c r="AY60" s="514">
        <f t="shared" si="7"/>
        <v>0.86797947580085977</v>
      </c>
      <c r="AZ60" s="513">
        <f t="shared" si="8"/>
        <v>72200</v>
      </c>
      <c r="BA60" s="515" t="str">
        <f t="shared" si="9"/>
        <v>Vendido</v>
      </c>
      <c r="BB60" s="516" t="str">
        <f t="shared" si="10"/>
        <v>Superávit de Enganche</v>
      </c>
      <c r="BC60" s="551">
        <v>23</v>
      </c>
      <c r="BD60" s="693">
        <f t="shared" si="11"/>
        <v>1</v>
      </c>
      <c r="BE60" s="693">
        <f t="shared" si="12"/>
        <v>24</v>
      </c>
      <c r="BF60" s="517">
        <v>8000</v>
      </c>
      <c r="BG60" s="517">
        <v>2791</v>
      </c>
      <c r="BH60" s="693">
        <f t="shared" si="13"/>
        <v>20</v>
      </c>
      <c r="BI60" s="693">
        <f t="shared" si="14"/>
        <v>26</v>
      </c>
      <c r="BJ60" s="655">
        <f t="shared" si="36"/>
        <v>80566</v>
      </c>
      <c r="BK60" s="518">
        <f t="shared" si="16"/>
        <v>47447</v>
      </c>
      <c r="BL60" s="518">
        <f t="shared" si="17"/>
        <v>47753</v>
      </c>
      <c r="BM60" s="518">
        <f t="shared" si="18"/>
        <v>0</v>
      </c>
      <c r="BN60" s="518">
        <f t="shared" si="19"/>
        <v>14634</v>
      </c>
      <c r="BO60" s="655">
        <f t="shared" si="37"/>
        <v>0</v>
      </c>
      <c r="BP60" s="693">
        <f t="shared" si="21"/>
        <v>0</v>
      </c>
      <c r="BQ60" s="696"/>
      <c r="BR60" s="519"/>
      <c r="BT60" s="439">
        <f t="shared" si="22"/>
        <v>14634</v>
      </c>
      <c r="BU60" s="439">
        <f t="shared" si="23"/>
        <v>14634</v>
      </c>
      <c r="BV60" s="439">
        <f t="shared" si="24"/>
        <v>0</v>
      </c>
      <c r="BY60" s="862">
        <f t="shared" si="25"/>
        <v>461820.67700000003</v>
      </c>
      <c r="BZ60" s="862">
        <f t="shared" si="26"/>
        <v>197923.147</v>
      </c>
      <c r="CA60" s="862">
        <f t="shared" si="27"/>
        <v>55418.48</v>
      </c>
      <c r="CB60" s="862">
        <f t="shared" si="28"/>
        <v>5937.69</v>
      </c>
      <c r="CC60" s="863">
        <f t="shared" si="29"/>
        <v>517239.16</v>
      </c>
      <c r="CD60" s="863">
        <f t="shared" si="30"/>
        <v>203860.84</v>
      </c>
      <c r="CE60" s="864">
        <f t="shared" si="31"/>
        <v>721100</v>
      </c>
      <c r="CF60" s="862">
        <f t="shared" si="32"/>
        <v>0</v>
      </c>
    </row>
    <row r="61" spans="1:84" s="429" customFormat="1" ht="13.9" customHeight="1" x14ac:dyDescent="0.25">
      <c r="A61" s="472"/>
      <c r="B61" s="436">
        <v>405</v>
      </c>
      <c r="C61" s="436" t="s">
        <v>391</v>
      </c>
      <c r="D61" s="436"/>
      <c r="E61" s="436"/>
      <c r="F61" s="429" t="s">
        <v>438</v>
      </c>
      <c r="G61" s="473">
        <v>45995</v>
      </c>
      <c r="H61" s="436" t="s">
        <v>361</v>
      </c>
      <c r="I61" s="472">
        <v>1115500</v>
      </c>
      <c r="J61" s="472">
        <v>78100</v>
      </c>
      <c r="K61" s="507">
        <v>0</v>
      </c>
      <c r="L61" s="507">
        <v>0</v>
      </c>
      <c r="M61" s="507">
        <v>0</v>
      </c>
      <c r="N61" s="507">
        <v>0</v>
      </c>
      <c r="O61" s="507">
        <v>0</v>
      </c>
      <c r="P61" s="507">
        <v>0</v>
      </c>
      <c r="Q61" s="507">
        <v>0</v>
      </c>
      <c r="R61" s="507">
        <v>0</v>
      </c>
      <c r="S61" s="507">
        <v>0</v>
      </c>
      <c r="T61" s="507">
        <v>0</v>
      </c>
      <c r="U61" s="507">
        <v>0</v>
      </c>
      <c r="V61" s="507">
        <v>0</v>
      </c>
      <c r="W61" s="507">
        <v>0</v>
      </c>
      <c r="X61" s="507">
        <v>0</v>
      </c>
      <c r="Y61" s="507">
        <v>0</v>
      </c>
      <c r="Z61" s="507">
        <v>0</v>
      </c>
      <c r="AA61" s="507">
        <v>0</v>
      </c>
      <c r="AB61" s="507">
        <v>0</v>
      </c>
      <c r="AC61" s="507">
        <v>0</v>
      </c>
      <c r="AD61" s="507">
        <v>0</v>
      </c>
      <c r="AE61" s="507">
        <v>0</v>
      </c>
      <c r="AF61" s="507">
        <v>0</v>
      </c>
      <c r="AG61" s="507">
        <v>0</v>
      </c>
      <c r="AH61" s="507">
        <v>0</v>
      </c>
      <c r="AI61" s="507">
        <v>0</v>
      </c>
      <c r="AJ61" s="507">
        <v>0</v>
      </c>
      <c r="AK61" s="508"/>
      <c r="AL61" s="508"/>
      <c r="AM61" s="508"/>
      <c r="AN61" s="509">
        <v>0</v>
      </c>
      <c r="AO61" s="509">
        <v>0</v>
      </c>
      <c r="AP61" s="509">
        <v>0</v>
      </c>
      <c r="AQ61" s="509">
        <v>0</v>
      </c>
      <c r="AR61" s="508">
        <v>10000</v>
      </c>
      <c r="AS61" s="508"/>
      <c r="AT61" s="510">
        <f t="shared" si="33"/>
        <v>10000</v>
      </c>
      <c r="AU61" s="512">
        <f t="shared" si="3"/>
        <v>0.12804097311139565</v>
      </c>
      <c r="AV61" s="511">
        <f t="shared" si="4"/>
        <v>-68100</v>
      </c>
      <c r="AW61" s="558">
        <f t="shared" si="5"/>
        <v>-0.87195902688860438</v>
      </c>
      <c r="AX61" s="513">
        <f t="shared" si="6"/>
        <v>1105500</v>
      </c>
      <c r="AY61" s="514">
        <f t="shared" si="7"/>
        <v>0.99103541012998653</v>
      </c>
      <c r="AZ61" s="513">
        <f t="shared" si="8"/>
        <v>78100</v>
      </c>
      <c r="BA61" s="515" t="str">
        <f t="shared" si="9"/>
        <v>Vendido</v>
      </c>
      <c r="BB61" s="516" t="str">
        <f t="shared" si="10"/>
        <v>Cliente al día</v>
      </c>
      <c r="BC61" s="551"/>
      <c r="BD61" s="693">
        <f t="shared" si="11"/>
        <v>0</v>
      </c>
      <c r="BE61" s="693">
        <f t="shared" si="12"/>
        <v>0</v>
      </c>
      <c r="BF61" s="517"/>
      <c r="BG61" s="517"/>
      <c r="BH61" s="693">
        <f t="shared" si="13"/>
        <v>0</v>
      </c>
      <c r="BI61" s="693">
        <f t="shared" si="14"/>
        <v>1</v>
      </c>
      <c r="BJ61" s="655">
        <f t="shared" si="36"/>
        <v>0</v>
      </c>
      <c r="BK61" s="518">
        <f t="shared" si="16"/>
        <v>0</v>
      </c>
      <c r="BL61" s="518">
        <f t="shared" si="17"/>
        <v>0</v>
      </c>
      <c r="BM61" s="518">
        <f t="shared" si="18"/>
        <v>10000</v>
      </c>
      <c r="BN61" s="518">
        <f t="shared" si="19"/>
        <v>10000</v>
      </c>
      <c r="BO61" s="655">
        <f t="shared" si="37"/>
        <v>0</v>
      </c>
      <c r="BP61" s="693" t="str">
        <f t="shared" si="21"/>
        <v/>
      </c>
      <c r="BQ61" s="696"/>
      <c r="BR61" s="519"/>
      <c r="BT61" s="439">
        <f t="shared" si="22"/>
        <v>10000</v>
      </c>
      <c r="BU61" s="439">
        <f t="shared" si="23"/>
        <v>10000</v>
      </c>
      <c r="BV61" s="439">
        <f t="shared" si="24"/>
        <v>0</v>
      </c>
      <c r="BY61" s="862">
        <f t="shared" si="25"/>
        <v>714409.88100000005</v>
      </c>
      <c r="BZ61" s="862">
        <f t="shared" si="26"/>
        <v>306175.663</v>
      </c>
      <c r="CA61" s="862">
        <f t="shared" si="27"/>
        <v>85729.19</v>
      </c>
      <c r="CB61" s="862">
        <f t="shared" si="28"/>
        <v>9185.27</v>
      </c>
      <c r="CC61" s="863">
        <f t="shared" si="29"/>
        <v>800139.07</v>
      </c>
      <c r="CD61" s="863">
        <f t="shared" si="30"/>
        <v>315360.93</v>
      </c>
      <c r="CE61" s="864">
        <f t="shared" si="31"/>
        <v>1115500</v>
      </c>
      <c r="CF61" s="862">
        <f t="shared" si="32"/>
        <v>0</v>
      </c>
    </row>
    <row r="62" spans="1:84" s="429" customFormat="1" ht="13.9" customHeight="1" x14ac:dyDescent="0.25">
      <c r="A62" s="472"/>
      <c r="B62" s="436">
        <v>406</v>
      </c>
      <c r="C62" s="436" t="s">
        <v>194</v>
      </c>
      <c r="D62" s="436"/>
      <c r="E62" s="436" t="s">
        <v>439</v>
      </c>
      <c r="F62" s="429" t="s">
        <v>440</v>
      </c>
      <c r="G62" s="473">
        <v>45800</v>
      </c>
      <c r="H62" s="436" t="s">
        <v>128</v>
      </c>
      <c r="I62" s="472">
        <v>1104047.5824877301</v>
      </c>
      <c r="J62" s="472">
        <f>+I62*0.1</f>
        <v>110404.75824877301</v>
      </c>
      <c r="K62" s="507">
        <v>0</v>
      </c>
      <c r="L62" s="507">
        <v>0</v>
      </c>
      <c r="M62" s="507">
        <v>0</v>
      </c>
      <c r="N62" s="507">
        <v>0</v>
      </c>
      <c r="O62" s="507">
        <v>0</v>
      </c>
      <c r="P62" s="507">
        <v>0</v>
      </c>
      <c r="Q62" s="507">
        <v>0</v>
      </c>
      <c r="R62" s="507">
        <v>0</v>
      </c>
      <c r="S62" s="507">
        <v>0</v>
      </c>
      <c r="T62" s="507">
        <v>0</v>
      </c>
      <c r="U62" s="507">
        <v>0</v>
      </c>
      <c r="V62" s="507">
        <v>0</v>
      </c>
      <c r="W62" s="507">
        <v>0</v>
      </c>
      <c r="X62" s="507">
        <v>0</v>
      </c>
      <c r="Y62" s="507">
        <v>0</v>
      </c>
      <c r="Z62" s="507">
        <v>0</v>
      </c>
      <c r="AA62" s="507">
        <v>0</v>
      </c>
      <c r="AB62" s="507">
        <v>0</v>
      </c>
      <c r="AC62" s="507">
        <v>0</v>
      </c>
      <c r="AD62" s="507">
        <v>0</v>
      </c>
      <c r="AE62" s="507">
        <v>0</v>
      </c>
      <c r="AF62" s="507">
        <v>0</v>
      </c>
      <c r="AG62" s="507">
        <v>0</v>
      </c>
      <c r="AH62" s="507">
        <v>0</v>
      </c>
      <c r="AI62" s="507">
        <v>0</v>
      </c>
      <c r="AJ62" s="507">
        <v>0</v>
      </c>
      <c r="AK62" s="508">
        <v>10000</v>
      </c>
      <c r="AL62" s="508">
        <v>16734</v>
      </c>
      <c r="AM62" s="509">
        <v>16734</v>
      </c>
      <c r="AN62" s="509">
        <v>0</v>
      </c>
      <c r="AO62" s="509">
        <v>0</v>
      </c>
      <c r="AP62" s="509">
        <v>8367</v>
      </c>
      <c r="AQ62" s="509">
        <v>8367</v>
      </c>
      <c r="AR62" s="509">
        <v>8367</v>
      </c>
      <c r="AS62" s="509">
        <v>8367</v>
      </c>
      <c r="AT62" s="510">
        <f t="shared" si="33"/>
        <v>76936</v>
      </c>
      <c r="AU62" s="512">
        <f t="shared" si="3"/>
        <v>0.69685402350722536</v>
      </c>
      <c r="AV62" s="511">
        <f t="shared" si="4"/>
        <v>-33468.758248773011</v>
      </c>
      <c r="AW62" s="558">
        <f t="shared" si="5"/>
        <v>-0.30314597649277464</v>
      </c>
      <c r="AX62" s="513">
        <f t="shared" si="6"/>
        <v>1027111.5824877301</v>
      </c>
      <c r="AY62" s="514">
        <f t="shared" si="7"/>
        <v>0.93031459764927749</v>
      </c>
      <c r="AZ62" s="513">
        <f t="shared" si="8"/>
        <v>110404.75824877301</v>
      </c>
      <c r="BA62" s="515" t="str">
        <f t="shared" si="9"/>
        <v>Vendido</v>
      </c>
      <c r="BB62" s="516" t="str">
        <f t="shared" si="10"/>
        <v>Cliente Atrasado</v>
      </c>
      <c r="BC62" s="551">
        <v>12</v>
      </c>
      <c r="BD62" s="693">
        <f t="shared" si="11"/>
        <v>1</v>
      </c>
      <c r="BE62" s="693">
        <f t="shared" si="12"/>
        <v>13</v>
      </c>
      <c r="BF62" s="517">
        <v>10000</v>
      </c>
      <c r="BG62" s="517">
        <v>8371</v>
      </c>
      <c r="BH62" s="693">
        <f t="shared" si="13"/>
        <v>4</v>
      </c>
      <c r="BI62" s="693">
        <f t="shared" si="14"/>
        <v>8</v>
      </c>
      <c r="BJ62" s="655">
        <f t="shared" si="36"/>
        <v>76968</v>
      </c>
      <c r="BK62" s="518">
        <f t="shared" si="16"/>
        <v>33468</v>
      </c>
      <c r="BL62" s="518">
        <f t="shared" si="17"/>
        <v>43468</v>
      </c>
      <c r="BM62" s="518">
        <f t="shared" si="18"/>
        <v>0</v>
      </c>
      <c r="BN62" s="518">
        <f t="shared" si="19"/>
        <v>0</v>
      </c>
      <c r="BO62" s="655">
        <f t="shared" si="37"/>
        <v>32</v>
      </c>
      <c r="BP62" s="693">
        <f t="shared" si="21"/>
        <v>1</v>
      </c>
      <c r="BQ62" s="696"/>
      <c r="BR62" s="519"/>
      <c r="BT62" s="439">
        <f t="shared" si="22"/>
        <v>-32</v>
      </c>
      <c r="BU62" s="439">
        <f t="shared" si="23"/>
        <v>-32</v>
      </c>
      <c r="BV62" s="439">
        <f t="shared" si="24"/>
        <v>0</v>
      </c>
      <c r="BY62" s="862">
        <f t="shared" si="25"/>
        <v>707075.304</v>
      </c>
      <c r="BZ62" s="862">
        <f t="shared" si="26"/>
        <v>303032.27299999999</v>
      </c>
      <c r="CA62" s="862">
        <f t="shared" si="27"/>
        <v>84849.04</v>
      </c>
      <c r="CB62" s="862">
        <f t="shared" si="28"/>
        <v>9090.9699999999993</v>
      </c>
      <c r="CC62" s="863">
        <f t="shared" si="29"/>
        <v>791924.34</v>
      </c>
      <c r="CD62" s="863">
        <f t="shared" si="30"/>
        <v>312123.24</v>
      </c>
      <c r="CE62" s="864">
        <f t="shared" si="31"/>
        <v>1104047.58</v>
      </c>
      <c r="CF62" s="862">
        <f t="shared" si="32"/>
        <v>-2.4877300020307302E-3</v>
      </c>
    </row>
    <row r="63" spans="1:84" s="429" customFormat="1" ht="13.9" customHeight="1" x14ac:dyDescent="0.25">
      <c r="A63" s="472"/>
      <c r="B63" s="436">
        <v>407</v>
      </c>
      <c r="C63" s="436" t="s">
        <v>393</v>
      </c>
      <c r="D63" s="436"/>
      <c r="E63" s="436" t="s">
        <v>403</v>
      </c>
      <c r="F63" s="429" t="s">
        <v>441</v>
      </c>
      <c r="G63" s="473">
        <v>45883</v>
      </c>
      <c r="H63" s="436" t="s">
        <v>128</v>
      </c>
      <c r="I63" s="472">
        <v>1056462.34833836</v>
      </c>
      <c r="J63" s="472">
        <f>+I63*0.1</f>
        <v>105646.234833836</v>
      </c>
      <c r="K63" s="507">
        <v>0</v>
      </c>
      <c r="L63" s="507">
        <v>0</v>
      </c>
      <c r="M63" s="507">
        <v>0</v>
      </c>
      <c r="N63" s="507">
        <v>0</v>
      </c>
      <c r="O63" s="507">
        <v>0</v>
      </c>
      <c r="P63" s="507">
        <v>0</v>
      </c>
      <c r="Q63" s="507">
        <v>0</v>
      </c>
      <c r="R63" s="507">
        <v>0</v>
      </c>
      <c r="S63" s="507">
        <v>0</v>
      </c>
      <c r="T63" s="507">
        <v>0</v>
      </c>
      <c r="U63" s="507">
        <v>0</v>
      </c>
      <c r="V63" s="507">
        <v>0</v>
      </c>
      <c r="W63" s="507">
        <v>0</v>
      </c>
      <c r="X63" s="507">
        <v>0</v>
      </c>
      <c r="Y63" s="507">
        <v>0</v>
      </c>
      <c r="Z63" s="507">
        <v>0</v>
      </c>
      <c r="AA63" s="507">
        <v>0</v>
      </c>
      <c r="AB63" s="507">
        <v>0</v>
      </c>
      <c r="AC63" s="507">
        <v>0</v>
      </c>
      <c r="AD63" s="507">
        <v>0</v>
      </c>
      <c r="AE63" s="507">
        <v>0</v>
      </c>
      <c r="AF63" s="507">
        <v>0</v>
      </c>
      <c r="AG63" s="507">
        <v>0</v>
      </c>
      <c r="AH63" s="507">
        <v>0</v>
      </c>
      <c r="AI63" s="507">
        <v>0</v>
      </c>
      <c r="AJ63" s="507">
        <v>0</v>
      </c>
      <c r="AK63" s="508"/>
      <c r="AL63" s="508"/>
      <c r="AM63" s="508"/>
      <c r="AN63" s="509">
        <v>10000</v>
      </c>
      <c r="AO63" s="509">
        <v>7041.47</v>
      </c>
      <c r="AP63" s="509">
        <v>7041.47</v>
      </c>
      <c r="AQ63" s="509">
        <v>7041.47</v>
      </c>
      <c r="AR63" s="509">
        <v>7041.47</v>
      </c>
      <c r="AS63" s="509">
        <v>7041.47</v>
      </c>
      <c r="AT63" s="510">
        <f t="shared" si="33"/>
        <v>45207.350000000006</v>
      </c>
      <c r="AU63" s="512">
        <f t="shared" si="3"/>
        <v>0.42791255240760512</v>
      </c>
      <c r="AV63" s="511">
        <f t="shared" si="4"/>
        <v>-60438.884833835997</v>
      </c>
      <c r="AW63" s="558">
        <f t="shared" si="5"/>
        <v>-0.57208744759239483</v>
      </c>
      <c r="AX63" s="513">
        <f t="shared" si="6"/>
        <v>1011254.99833836</v>
      </c>
      <c r="AY63" s="514">
        <f t="shared" si="7"/>
        <v>0.95720874475923956</v>
      </c>
      <c r="AZ63" s="513">
        <f t="shared" si="8"/>
        <v>105646.234833836</v>
      </c>
      <c r="BA63" s="515" t="str">
        <f t="shared" si="9"/>
        <v>Vendido</v>
      </c>
      <c r="BB63" s="516" t="str">
        <f t="shared" si="10"/>
        <v>Cliente al día</v>
      </c>
      <c r="BC63" s="551">
        <v>10</v>
      </c>
      <c r="BD63" s="693">
        <f t="shared" si="11"/>
        <v>1</v>
      </c>
      <c r="BE63" s="693">
        <f t="shared" si="12"/>
        <v>11</v>
      </c>
      <c r="BF63" s="517">
        <v>10000</v>
      </c>
      <c r="BG63" s="517">
        <v>7041.47</v>
      </c>
      <c r="BH63" s="693">
        <f t="shared" si="13"/>
        <v>5</v>
      </c>
      <c r="BI63" s="693">
        <f t="shared" si="14"/>
        <v>5</v>
      </c>
      <c r="BJ63" s="655">
        <f t="shared" si="36"/>
        <v>45207.35</v>
      </c>
      <c r="BK63" s="518">
        <f t="shared" si="16"/>
        <v>35207.35</v>
      </c>
      <c r="BL63" s="518">
        <f t="shared" si="17"/>
        <v>10000</v>
      </c>
      <c r="BM63" s="518">
        <f t="shared" si="18"/>
        <v>0</v>
      </c>
      <c r="BN63" s="518">
        <f t="shared" si="19"/>
        <v>0</v>
      </c>
      <c r="BO63" s="655">
        <f t="shared" si="37"/>
        <v>0</v>
      </c>
      <c r="BP63" s="693">
        <f t="shared" si="21"/>
        <v>0</v>
      </c>
      <c r="BQ63" s="696"/>
      <c r="BR63" s="519"/>
      <c r="BT63" s="439">
        <f t="shared" si="22"/>
        <v>0</v>
      </c>
      <c r="BU63" s="439">
        <f t="shared" si="23"/>
        <v>0</v>
      </c>
      <c r="BV63" s="439">
        <f t="shared" si="24"/>
        <v>0</v>
      </c>
      <c r="BY63" s="862">
        <f t="shared" si="25"/>
        <v>676599.85699999996</v>
      </c>
      <c r="BZ63" s="862">
        <f t="shared" si="26"/>
        <v>289971.36700000003</v>
      </c>
      <c r="CA63" s="862">
        <f t="shared" si="27"/>
        <v>81191.98</v>
      </c>
      <c r="CB63" s="862">
        <f t="shared" si="28"/>
        <v>8699.14</v>
      </c>
      <c r="CC63" s="863">
        <f t="shared" si="29"/>
        <v>757791.84</v>
      </c>
      <c r="CD63" s="863">
        <f t="shared" si="30"/>
        <v>298670.51</v>
      </c>
      <c r="CE63" s="864">
        <f t="shared" si="31"/>
        <v>1056462.3500000001</v>
      </c>
      <c r="CF63" s="862">
        <f t="shared" si="32"/>
        <v>1.6616401262581348E-3</v>
      </c>
    </row>
    <row r="64" spans="1:84" s="429" customFormat="1" ht="13.9" customHeight="1" x14ac:dyDescent="0.25">
      <c r="A64" s="472"/>
      <c r="B64" s="436">
        <v>408</v>
      </c>
      <c r="C64" s="436" t="s">
        <v>172</v>
      </c>
      <c r="D64" s="642" t="s">
        <v>336</v>
      </c>
      <c r="E64" s="436" t="s">
        <v>366</v>
      </c>
      <c r="F64" s="429" t="s">
        <v>442</v>
      </c>
      <c r="G64" s="473">
        <v>45335</v>
      </c>
      <c r="H64" s="436" t="s">
        <v>128</v>
      </c>
      <c r="I64" s="472">
        <v>883300</v>
      </c>
      <c r="J64" s="472">
        <v>88400</v>
      </c>
      <c r="K64" s="507">
        <v>0</v>
      </c>
      <c r="L64" s="507">
        <v>0</v>
      </c>
      <c r="M64" s="507">
        <v>0</v>
      </c>
      <c r="N64" s="507">
        <v>0</v>
      </c>
      <c r="O64" s="507">
        <v>0</v>
      </c>
      <c r="P64" s="507">
        <v>0</v>
      </c>
      <c r="Q64" s="507">
        <v>0</v>
      </c>
      <c r="R64" s="507">
        <v>0</v>
      </c>
      <c r="S64" s="507">
        <v>0</v>
      </c>
      <c r="T64" s="507">
        <v>0</v>
      </c>
      <c r="U64" s="507">
        <v>0</v>
      </c>
      <c r="V64" s="507">
        <v>8000</v>
      </c>
      <c r="W64" s="507">
        <v>0</v>
      </c>
      <c r="X64" s="507">
        <v>0</v>
      </c>
      <c r="Y64" s="507">
        <v>0</v>
      </c>
      <c r="Z64" s="507">
        <v>0</v>
      </c>
      <c r="AA64" s="507">
        <v>0</v>
      </c>
      <c r="AB64" s="507">
        <v>0</v>
      </c>
      <c r="AC64" s="507">
        <v>0</v>
      </c>
      <c r="AD64" s="507">
        <v>0</v>
      </c>
      <c r="AE64" s="507">
        <v>0</v>
      </c>
      <c r="AF64" s="507">
        <v>0</v>
      </c>
      <c r="AG64" s="507">
        <v>0</v>
      </c>
      <c r="AH64" s="507">
        <v>0</v>
      </c>
      <c r="AI64" s="507">
        <v>0</v>
      </c>
      <c r="AJ64" s="507">
        <v>0</v>
      </c>
      <c r="AK64" s="508"/>
      <c r="AL64" s="509">
        <v>30000</v>
      </c>
      <c r="AM64" s="509"/>
      <c r="AN64" s="509">
        <v>0</v>
      </c>
      <c r="AO64" s="509">
        <v>0</v>
      </c>
      <c r="AP64" s="509">
        <v>0</v>
      </c>
      <c r="AQ64" s="509">
        <v>10000</v>
      </c>
      <c r="AR64" s="509"/>
      <c r="AS64" s="509">
        <v>10000</v>
      </c>
      <c r="AT64" s="510">
        <f t="shared" si="33"/>
        <v>58000</v>
      </c>
      <c r="AU64" s="512">
        <f t="shared" si="3"/>
        <v>0.65610859728506787</v>
      </c>
      <c r="AV64" s="511">
        <f t="shared" si="4"/>
        <v>-30400</v>
      </c>
      <c r="AW64" s="558">
        <f t="shared" si="5"/>
        <v>-0.34389140271493213</v>
      </c>
      <c r="AX64" s="513">
        <f t="shared" si="6"/>
        <v>825300</v>
      </c>
      <c r="AY64" s="514">
        <f t="shared" si="7"/>
        <v>0.93433714479791685</v>
      </c>
      <c r="AZ64" s="513">
        <f t="shared" si="8"/>
        <v>88400</v>
      </c>
      <c r="BA64" s="515" t="str">
        <f t="shared" si="9"/>
        <v>Vendido</v>
      </c>
      <c r="BB64" s="516" t="str">
        <f t="shared" si="10"/>
        <v>Cliente Atrasado</v>
      </c>
      <c r="BC64" s="551">
        <v>19</v>
      </c>
      <c r="BD64" s="693">
        <f t="shared" si="11"/>
        <v>1</v>
      </c>
      <c r="BE64" s="693">
        <f t="shared" si="12"/>
        <v>20</v>
      </c>
      <c r="BF64" s="644">
        <v>8000</v>
      </c>
      <c r="BG64" s="644">
        <v>4232</v>
      </c>
      <c r="BH64" s="693">
        <f t="shared" si="13"/>
        <v>0</v>
      </c>
      <c r="BI64" s="693">
        <f t="shared" si="14"/>
        <v>23</v>
      </c>
      <c r="BJ64" s="655">
        <f t="shared" si="36"/>
        <v>105336</v>
      </c>
      <c r="BK64" s="518">
        <f t="shared" si="16"/>
        <v>0</v>
      </c>
      <c r="BL64" s="518">
        <f t="shared" si="17"/>
        <v>58000</v>
      </c>
      <c r="BM64" s="518">
        <f t="shared" si="18"/>
        <v>0</v>
      </c>
      <c r="BN64" s="518">
        <f t="shared" si="19"/>
        <v>0</v>
      </c>
      <c r="BO64" s="655">
        <f t="shared" si="37"/>
        <v>47336</v>
      </c>
      <c r="BP64" s="693">
        <f t="shared" si="21"/>
        <v>12</v>
      </c>
      <c r="BQ64" s="696" t="s">
        <v>388</v>
      </c>
      <c r="BR64" s="519" t="s">
        <v>443</v>
      </c>
      <c r="BT64" s="439">
        <f t="shared" si="22"/>
        <v>-47336</v>
      </c>
      <c r="BU64" s="439">
        <f t="shared" si="23"/>
        <v>-47336</v>
      </c>
      <c r="BV64" s="439">
        <f t="shared" si="24"/>
        <v>0</v>
      </c>
      <c r="BY64" s="862">
        <f t="shared" si="25"/>
        <v>565699.90899999999</v>
      </c>
      <c r="BZ64" s="862">
        <f t="shared" si="26"/>
        <v>242442.818</v>
      </c>
      <c r="CA64" s="862">
        <f t="shared" si="27"/>
        <v>67883.990000000005</v>
      </c>
      <c r="CB64" s="862">
        <f t="shared" si="28"/>
        <v>7273.28</v>
      </c>
      <c r="CC64" s="863">
        <f t="shared" si="29"/>
        <v>633583.9</v>
      </c>
      <c r="CD64" s="863">
        <f t="shared" si="30"/>
        <v>249716.1</v>
      </c>
      <c r="CE64" s="864">
        <f t="shared" si="31"/>
        <v>883300</v>
      </c>
      <c r="CF64" s="862">
        <f t="shared" si="32"/>
        <v>0</v>
      </c>
    </row>
    <row r="65" spans="1:84" s="429" customFormat="1" ht="13.9" customHeight="1" x14ac:dyDescent="0.25">
      <c r="A65" s="472"/>
      <c r="B65" s="436">
        <v>409</v>
      </c>
      <c r="C65" s="436" t="s">
        <v>395</v>
      </c>
      <c r="D65" s="436"/>
      <c r="E65" s="436" t="s">
        <v>366</v>
      </c>
      <c r="F65" s="429" t="s">
        <v>444</v>
      </c>
      <c r="G65" s="473">
        <v>45512</v>
      </c>
      <c r="H65" s="436" t="s">
        <v>128</v>
      </c>
      <c r="I65" s="472">
        <v>1341690</v>
      </c>
      <c r="J65" s="472">
        <v>134190</v>
      </c>
      <c r="K65" s="507">
        <v>0</v>
      </c>
      <c r="L65" s="507">
        <v>0</v>
      </c>
      <c r="M65" s="507">
        <v>0</v>
      </c>
      <c r="N65" s="507">
        <v>0</v>
      </c>
      <c r="O65" s="507">
        <v>0</v>
      </c>
      <c r="P65" s="507">
        <v>0</v>
      </c>
      <c r="Q65" s="507">
        <v>0</v>
      </c>
      <c r="R65" s="507">
        <v>0</v>
      </c>
      <c r="S65" s="507">
        <v>0</v>
      </c>
      <c r="T65" s="507">
        <v>0</v>
      </c>
      <c r="U65" s="507">
        <v>0</v>
      </c>
      <c r="V65" s="507">
        <v>0</v>
      </c>
      <c r="W65" s="507">
        <v>0</v>
      </c>
      <c r="X65" s="507">
        <v>0</v>
      </c>
      <c r="Y65" s="507">
        <v>0</v>
      </c>
      <c r="Z65" s="507">
        <v>0</v>
      </c>
      <c r="AA65" s="507">
        <v>0</v>
      </c>
      <c r="AB65" s="507">
        <v>10000</v>
      </c>
      <c r="AC65" s="507">
        <v>7800</v>
      </c>
      <c r="AD65" s="507">
        <v>8000</v>
      </c>
      <c r="AE65" s="507">
        <v>8200</v>
      </c>
      <c r="AF65" s="507">
        <f>8000+8000</f>
        <v>16000</v>
      </c>
      <c r="AG65" s="507">
        <v>0</v>
      </c>
      <c r="AH65" s="507">
        <v>8000</v>
      </c>
      <c r="AI65" s="507">
        <v>8000</v>
      </c>
      <c r="AJ65" s="507">
        <v>8000</v>
      </c>
      <c r="AK65" s="508">
        <v>8000</v>
      </c>
      <c r="AL65" s="508">
        <v>8000</v>
      </c>
      <c r="AM65" s="509">
        <v>8000</v>
      </c>
      <c r="AN65" s="509">
        <v>8000</v>
      </c>
      <c r="AO65" s="509">
        <v>8000</v>
      </c>
      <c r="AP65" s="509">
        <v>8000</v>
      </c>
      <c r="AQ65" s="509">
        <v>8000</v>
      </c>
      <c r="AR65" s="509">
        <v>8000</v>
      </c>
      <c r="AS65" s="509"/>
      <c r="AT65" s="510">
        <f t="shared" si="33"/>
        <v>138000</v>
      </c>
      <c r="AU65" s="512">
        <f t="shared" si="3"/>
        <v>1.0283925776883522</v>
      </c>
      <c r="AV65" s="511">
        <f t="shared" si="4"/>
        <v>3810</v>
      </c>
      <c r="AW65" s="558">
        <f t="shared" si="5"/>
        <v>2.8392577688352336E-2</v>
      </c>
      <c r="AX65" s="513">
        <f t="shared" si="6"/>
        <v>1203690</v>
      </c>
      <c r="AY65" s="514">
        <f t="shared" si="7"/>
        <v>0.89714464593162357</v>
      </c>
      <c r="AZ65" s="513">
        <f t="shared" si="8"/>
        <v>134190</v>
      </c>
      <c r="BA65" s="515" t="str">
        <f t="shared" si="9"/>
        <v>Vendido</v>
      </c>
      <c r="BB65" s="516" t="str">
        <f t="shared" si="10"/>
        <v>Cliente Atrasado</v>
      </c>
      <c r="BC65" s="551">
        <v>16</v>
      </c>
      <c r="BD65" s="693">
        <f t="shared" si="11"/>
        <v>1</v>
      </c>
      <c r="BE65" s="693">
        <f t="shared" si="12"/>
        <v>17</v>
      </c>
      <c r="BF65" s="517">
        <v>10000</v>
      </c>
      <c r="BG65" s="517">
        <v>8000</v>
      </c>
      <c r="BH65" s="693">
        <f t="shared" si="13"/>
        <v>14</v>
      </c>
      <c r="BI65" s="693">
        <f t="shared" si="14"/>
        <v>17</v>
      </c>
      <c r="BJ65" s="655">
        <f t="shared" si="36"/>
        <v>146000</v>
      </c>
      <c r="BK65" s="518">
        <f t="shared" si="16"/>
        <v>103800</v>
      </c>
      <c r="BL65" s="518">
        <f t="shared" si="17"/>
        <v>34200</v>
      </c>
      <c r="BM65" s="518">
        <f t="shared" si="18"/>
        <v>0</v>
      </c>
      <c r="BN65" s="518">
        <f t="shared" si="19"/>
        <v>0</v>
      </c>
      <c r="BO65" s="655">
        <f t="shared" si="37"/>
        <v>8000</v>
      </c>
      <c r="BP65" s="693">
        <f t="shared" si="21"/>
        <v>1</v>
      </c>
      <c r="BQ65" s="696"/>
      <c r="BR65" s="519"/>
      <c r="BT65" s="439">
        <f t="shared" si="22"/>
        <v>-8000</v>
      </c>
      <c r="BU65" s="439">
        <f t="shared" si="23"/>
        <v>-8000</v>
      </c>
      <c r="BV65" s="439">
        <f t="shared" si="24"/>
        <v>0</v>
      </c>
      <c r="BY65" s="862">
        <f t="shared" si="25"/>
        <v>859270.81400000001</v>
      </c>
      <c r="BZ65" s="862">
        <f t="shared" si="26"/>
        <v>368258.92</v>
      </c>
      <c r="CA65" s="862">
        <f t="shared" si="27"/>
        <v>103112.5</v>
      </c>
      <c r="CB65" s="862">
        <f t="shared" si="28"/>
        <v>11047.77</v>
      </c>
      <c r="CC65" s="863">
        <f t="shared" si="29"/>
        <v>962383.31</v>
      </c>
      <c r="CD65" s="863">
        <f t="shared" si="30"/>
        <v>379306.69</v>
      </c>
      <c r="CE65" s="864">
        <f t="shared" si="31"/>
        <v>1341690</v>
      </c>
      <c r="CF65" s="862">
        <f t="shared" si="32"/>
        <v>0</v>
      </c>
    </row>
    <row r="66" spans="1:84" s="429" customFormat="1" ht="13.9" customHeight="1" x14ac:dyDescent="0.25">
      <c r="A66" s="472"/>
      <c r="B66" s="436">
        <v>410</v>
      </c>
      <c r="C66" s="436" t="s">
        <v>397</v>
      </c>
      <c r="D66" s="436"/>
      <c r="E66" s="436" t="s">
        <v>135</v>
      </c>
      <c r="F66" s="429" t="s">
        <v>445</v>
      </c>
      <c r="G66" s="473">
        <v>45849</v>
      </c>
      <c r="H66" s="436" t="s">
        <v>128</v>
      </c>
      <c r="I66" s="472">
        <v>1194844.3400000001</v>
      </c>
      <c r="J66" s="472">
        <v>119544.43</v>
      </c>
      <c r="K66" s="507">
        <v>0</v>
      </c>
      <c r="L66" s="507">
        <v>0</v>
      </c>
      <c r="M66" s="507">
        <v>0</v>
      </c>
      <c r="N66" s="507">
        <v>0</v>
      </c>
      <c r="O66" s="507">
        <v>0</v>
      </c>
      <c r="P66" s="507">
        <v>0</v>
      </c>
      <c r="Q66" s="507">
        <v>0</v>
      </c>
      <c r="R66" s="507">
        <v>0</v>
      </c>
      <c r="S66" s="507">
        <v>0</v>
      </c>
      <c r="T66" s="507">
        <v>0</v>
      </c>
      <c r="U66" s="507">
        <v>0</v>
      </c>
      <c r="V66" s="507">
        <v>0</v>
      </c>
      <c r="W66" s="507">
        <v>0</v>
      </c>
      <c r="X66" s="507">
        <v>0</v>
      </c>
      <c r="Y66" s="507">
        <v>0</v>
      </c>
      <c r="Z66" s="507">
        <v>0</v>
      </c>
      <c r="AA66" s="507">
        <v>0</v>
      </c>
      <c r="AB66" s="507">
        <v>0</v>
      </c>
      <c r="AC66" s="507">
        <v>0</v>
      </c>
      <c r="AD66" s="507">
        <v>0</v>
      </c>
      <c r="AE66" s="507">
        <v>0</v>
      </c>
      <c r="AF66" s="507">
        <v>0</v>
      </c>
      <c r="AG66" s="507">
        <v>0</v>
      </c>
      <c r="AH66" s="507">
        <v>0</v>
      </c>
      <c r="AI66" s="507">
        <v>0</v>
      </c>
      <c r="AJ66" s="507">
        <v>0</v>
      </c>
      <c r="AK66" s="508"/>
      <c r="AL66" s="508"/>
      <c r="AM66" s="509">
        <v>15000</v>
      </c>
      <c r="AN66" s="509">
        <v>9498.58</v>
      </c>
      <c r="AO66" s="509">
        <v>9498.58</v>
      </c>
      <c r="AP66" s="509">
        <v>9498.58</v>
      </c>
      <c r="AQ66" s="509">
        <v>9498.58</v>
      </c>
      <c r="AR66" s="509">
        <v>9498.58</v>
      </c>
      <c r="AS66" s="509">
        <v>9498.58</v>
      </c>
      <c r="AT66" s="510">
        <f t="shared" si="33"/>
        <v>71991.48000000001</v>
      </c>
      <c r="AU66" s="512">
        <f t="shared" si="3"/>
        <v>0.60221526005017556</v>
      </c>
      <c r="AV66" s="511">
        <f t="shared" si="4"/>
        <v>-47552.949999999983</v>
      </c>
      <c r="AW66" s="558">
        <f t="shared" si="5"/>
        <v>-0.39778473994982438</v>
      </c>
      <c r="AX66" s="513">
        <f t="shared" si="6"/>
        <v>1122852.8600000001</v>
      </c>
      <c r="AY66" s="514">
        <f t="shared" si="7"/>
        <v>0.93974823532243545</v>
      </c>
      <c r="AZ66" s="513">
        <f t="shared" si="8"/>
        <v>119544.43</v>
      </c>
      <c r="BA66" s="515" t="str">
        <f t="shared" si="9"/>
        <v>Vendido</v>
      </c>
      <c r="BB66" s="516" t="str">
        <f t="shared" si="10"/>
        <v>Cliente Atrasado</v>
      </c>
      <c r="BC66" s="551">
        <v>11</v>
      </c>
      <c r="BD66" s="693">
        <f t="shared" si="11"/>
        <v>1</v>
      </c>
      <c r="BE66" s="693">
        <f t="shared" si="12"/>
        <v>12</v>
      </c>
      <c r="BF66" s="517">
        <v>15000</v>
      </c>
      <c r="BG66" s="517">
        <v>9504.0400000000009</v>
      </c>
      <c r="BH66" s="693">
        <f t="shared" si="13"/>
        <v>6</v>
      </c>
      <c r="BI66" s="693">
        <f t="shared" si="14"/>
        <v>6</v>
      </c>
      <c r="BJ66" s="655">
        <f t="shared" si="36"/>
        <v>72024.240000000005</v>
      </c>
      <c r="BK66" s="518">
        <f t="shared" si="16"/>
        <v>56991.48</v>
      </c>
      <c r="BL66" s="518">
        <f t="shared" si="17"/>
        <v>15000</v>
      </c>
      <c r="BM66" s="518">
        <f t="shared" si="18"/>
        <v>0</v>
      </c>
      <c r="BN66" s="518">
        <f t="shared" si="19"/>
        <v>0</v>
      </c>
      <c r="BO66" s="655">
        <f t="shared" si="37"/>
        <v>32.759999999994761</v>
      </c>
      <c r="BP66" s="693">
        <f t="shared" si="21"/>
        <v>1</v>
      </c>
      <c r="BQ66" s="696"/>
      <c r="BR66" s="519"/>
      <c r="BT66" s="439">
        <f t="shared" si="22"/>
        <v>-32.759999999994761</v>
      </c>
      <c r="BU66" s="439">
        <f t="shared" si="23"/>
        <v>-32.759999999994761</v>
      </c>
      <c r="BV66" s="439">
        <f t="shared" si="24"/>
        <v>0</v>
      </c>
      <c r="BY66" s="862">
        <f t="shared" si="25"/>
        <v>765225.103</v>
      </c>
      <c r="BZ66" s="862">
        <f t="shared" si="26"/>
        <v>327953.61599999998</v>
      </c>
      <c r="CA66" s="862">
        <f t="shared" si="27"/>
        <v>91827.01</v>
      </c>
      <c r="CB66" s="862">
        <f t="shared" si="28"/>
        <v>9838.61</v>
      </c>
      <c r="CC66" s="863">
        <f t="shared" si="29"/>
        <v>857052.11</v>
      </c>
      <c r="CD66" s="863">
        <f t="shared" si="30"/>
        <v>337792.23</v>
      </c>
      <c r="CE66" s="864">
        <f t="shared" si="31"/>
        <v>1194844.3400000001</v>
      </c>
      <c r="CF66" s="862">
        <f t="shared" si="32"/>
        <v>0</v>
      </c>
    </row>
    <row r="67" spans="1:84" s="429" customFormat="1" ht="13.9" customHeight="1" x14ac:dyDescent="0.25">
      <c r="A67" s="472"/>
      <c r="B67" s="436">
        <v>411</v>
      </c>
      <c r="C67" s="436" t="s">
        <v>398</v>
      </c>
      <c r="D67" s="436"/>
      <c r="E67" s="436" t="s">
        <v>135</v>
      </c>
      <c r="F67" s="429" t="s">
        <v>446</v>
      </c>
      <c r="G67" s="473">
        <v>45971</v>
      </c>
      <c r="H67" s="436" t="s">
        <v>137</v>
      </c>
      <c r="I67" s="472">
        <v>1116400</v>
      </c>
      <c r="J67" s="472">
        <v>78148</v>
      </c>
      <c r="K67" s="507">
        <v>0</v>
      </c>
      <c r="L67" s="507">
        <v>0</v>
      </c>
      <c r="M67" s="507">
        <v>0</v>
      </c>
      <c r="N67" s="507">
        <v>0</v>
      </c>
      <c r="O67" s="507">
        <v>0</v>
      </c>
      <c r="P67" s="507">
        <v>0</v>
      </c>
      <c r="Q67" s="507">
        <v>0</v>
      </c>
      <c r="R67" s="507">
        <v>0</v>
      </c>
      <c r="S67" s="507">
        <v>0</v>
      </c>
      <c r="T67" s="507">
        <v>0</v>
      </c>
      <c r="U67" s="507">
        <v>0</v>
      </c>
      <c r="V67" s="507">
        <v>0</v>
      </c>
      <c r="W67" s="507">
        <v>0</v>
      </c>
      <c r="X67" s="507">
        <v>0</v>
      </c>
      <c r="Y67" s="507">
        <v>0</v>
      </c>
      <c r="Z67" s="507">
        <v>0</v>
      </c>
      <c r="AA67" s="507">
        <v>0</v>
      </c>
      <c r="AB67" s="507">
        <v>0</v>
      </c>
      <c r="AC67" s="507">
        <v>0</v>
      </c>
      <c r="AD67" s="507">
        <v>0</v>
      </c>
      <c r="AE67" s="507">
        <v>0</v>
      </c>
      <c r="AF67" s="507">
        <v>0</v>
      </c>
      <c r="AG67" s="507">
        <v>0</v>
      </c>
      <c r="AH67" s="507">
        <v>0</v>
      </c>
      <c r="AI67" s="507">
        <v>0</v>
      </c>
      <c r="AJ67" s="507">
        <v>0</v>
      </c>
      <c r="AK67" s="508"/>
      <c r="AL67" s="508"/>
      <c r="AM67" s="508"/>
      <c r="AN67" s="509">
        <v>0</v>
      </c>
      <c r="AO67" s="509">
        <v>0</v>
      </c>
      <c r="AP67" s="509">
        <v>0</v>
      </c>
      <c r="AQ67" s="897">
        <v>0</v>
      </c>
      <c r="AR67" s="508">
        <v>9589.2900000000009</v>
      </c>
      <c r="AS67" s="508"/>
      <c r="AT67" s="510">
        <f t="shared" si="33"/>
        <v>9589.2900000000009</v>
      </c>
      <c r="AU67" s="512">
        <f t="shared" si="3"/>
        <v>0.12270678712187133</v>
      </c>
      <c r="AV67" s="511">
        <f t="shared" si="4"/>
        <v>-68558.709999999992</v>
      </c>
      <c r="AW67" s="558">
        <f t="shared" si="5"/>
        <v>-0.87729321287812856</v>
      </c>
      <c r="AX67" s="513">
        <f t="shared" si="6"/>
        <v>1106810.71</v>
      </c>
      <c r="AY67" s="514">
        <f t="shared" si="7"/>
        <v>0.99141052490146897</v>
      </c>
      <c r="AZ67" s="513">
        <f t="shared" si="8"/>
        <v>78148</v>
      </c>
      <c r="BA67" s="515" t="str">
        <f t="shared" si="9"/>
        <v>Vendido</v>
      </c>
      <c r="BB67" s="516" t="str">
        <f t="shared" si="10"/>
        <v>Cliente al día</v>
      </c>
      <c r="BC67" s="551"/>
      <c r="BD67" s="693">
        <f t="shared" si="11"/>
        <v>0</v>
      </c>
      <c r="BE67" s="693">
        <f t="shared" si="12"/>
        <v>0</v>
      </c>
      <c r="BF67" s="517"/>
      <c r="BG67" s="517"/>
      <c r="BH67" s="693">
        <f t="shared" si="13"/>
        <v>0</v>
      </c>
      <c r="BI67" s="693">
        <f t="shared" si="14"/>
        <v>2</v>
      </c>
      <c r="BJ67" s="655">
        <f t="shared" si="36"/>
        <v>0</v>
      </c>
      <c r="BK67" s="518">
        <f t="shared" si="16"/>
        <v>0</v>
      </c>
      <c r="BL67" s="518">
        <f t="shared" si="17"/>
        <v>0</v>
      </c>
      <c r="BM67" s="518">
        <f t="shared" si="18"/>
        <v>9589.2900000000009</v>
      </c>
      <c r="BN67" s="518">
        <f t="shared" si="19"/>
        <v>9589.2900000000009</v>
      </c>
      <c r="BO67" s="655">
        <f t="shared" si="37"/>
        <v>0</v>
      </c>
      <c r="BP67" s="693" t="str">
        <f t="shared" si="21"/>
        <v/>
      </c>
      <c r="BQ67" s="696"/>
      <c r="BR67" s="519"/>
      <c r="BT67" s="439">
        <f t="shared" si="22"/>
        <v>9589.2900000000009</v>
      </c>
      <c r="BU67" s="439">
        <f t="shared" si="23"/>
        <v>9589.2900000000009</v>
      </c>
      <c r="BV67" s="439">
        <f t="shared" si="24"/>
        <v>0</v>
      </c>
      <c r="BY67" s="862">
        <f t="shared" si="25"/>
        <v>714986.27599999995</v>
      </c>
      <c r="BZ67" s="862">
        <f t="shared" si="26"/>
        <v>306422.69</v>
      </c>
      <c r="CA67" s="862">
        <f t="shared" si="27"/>
        <v>85798.35</v>
      </c>
      <c r="CB67" s="862">
        <f t="shared" si="28"/>
        <v>9192.68</v>
      </c>
      <c r="CC67" s="863">
        <f t="shared" si="29"/>
        <v>800784.63</v>
      </c>
      <c r="CD67" s="863">
        <f t="shared" si="30"/>
        <v>315615.37</v>
      </c>
      <c r="CE67" s="864">
        <f t="shared" si="31"/>
        <v>1116400</v>
      </c>
      <c r="CF67" s="862">
        <f t="shared" si="32"/>
        <v>0</v>
      </c>
    </row>
    <row r="68" spans="1:84" s="429" customFormat="1" ht="13.9" customHeight="1" x14ac:dyDescent="0.25">
      <c r="A68" s="472"/>
      <c r="B68" s="436">
        <v>412</v>
      </c>
      <c r="C68" s="436" t="s">
        <v>399</v>
      </c>
      <c r="D68" s="436"/>
      <c r="E68" s="436" t="s">
        <v>135</v>
      </c>
      <c r="F68" s="429" t="s">
        <v>447</v>
      </c>
      <c r="G68" s="473">
        <v>45971</v>
      </c>
      <c r="H68" s="436" t="s">
        <v>137</v>
      </c>
      <c r="I68" s="472">
        <v>1141400</v>
      </c>
      <c r="J68" s="472">
        <v>79900</v>
      </c>
      <c r="K68" s="507">
        <v>0</v>
      </c>
      <c r="L68" s="507">
        <v>0</v>
      </c>
      <c r="M68" s="507">
        <v>0</v>
      </c>
      <c r="N68" s="507">
        <v>0</v>
      </c>
      <c r="O68" s="507">
        <v>0</v>
      </c>
      <c r="P68" s="507">
        <v>0</v>
      </c>
      <c r="Q68" s="507">
        <v>0</v>
      </c>
      <c r="R68" s="507">
        <v>0</v>
      </c>
      <c r="S68" s="507">
        <v>0</v>
      </c>
      <c r="T68" s="507">
        <v>0</v>
      </c>
      <c r="U68" s="507">
        <v>0</v>
      </c>
      <c r="V68" s="507">
        <v>0</v>
      </c>
      <c r="W68" s="507">
        <v>0</v>
      </c>
      <c r="X68" s="507">
        <v>0</v>
      </c>
      <c r="Y68" s="507">
        <v>0</v>
      </c>
      <c r="Z68" s="507">
        <v>0</v>
      </c>
      <c r="AA68" s="507">
        <v>0</v>
      </c>
      <c r="AB68" s="507">
        <v>0</v>
      </c>
      <c r="AC68" s="507">
        <v>0</v>
      </c>
      <c r="AD68" s="507">
        <v>0</v>
      </c>
      <c r="AE68" s="507">
        <v>0</v>
      </c>
      <c r="AF68" s="507">
        <v>0</v>
      </c>
      <c r="AG68" s="507">
        <v>0</v>
      </c>
      <c r="AH68" s="507">
        <v>0</v>
      </c>
      <c r="AI68" s="507">
        <v>0</v>
      </c>
      <c r="AJ68" s="507">
        <v>0</v>
      </c>
      <c r="AK68" s="508"/>
      <c r="AL68" s="508"/>
      <c r="AM68" s="508"/>
      <c r="AN68" s="509">
        <v>0</v>
      </c>
      <c r="AO68" s="509">
        <v>0</v>
      </c>
      <c r="AP68" s="509">
        <v>0</v>
      </c>
      <c r="AQ68" s="509">
        <v>10000</v>
      </c>
      <c r="AR68" s="508"/>
      <c r="AS68" s="508">
        <v>68148</v>
      </c>
      <c r="AT68" s="510">
        <f t="shared" si="33"/>
        <v>78148</v>
      </c>
      <c r="AU68" s="512">
        <f t="shared" si="3"/>
        <v>0.97807259073842301</v>
      </c>
      <c r="AV68" s="511">
        <f t="shared" si="4"/>
        <v>-1752</v>
      </c>
      <c r="AW68" s="558">
        <f t="shared" si="5"/>
        <v>-2.192740926157697E-2</v>
      </c>
      <c r="AX68" s="513">
        <f t="shared" si="6"/>
        <v>1063252</v>
      </c>
      <c r="AY68" s="514">
        <f t="shared" si="7"/>
        <v>0.93153320483616608</v>
      </c>
      <c r="AZ68" s="513">
        <f t="shared" si="8"/>
        <v>79900</v>
      </c>
      <c r="BA68" s="515" t="str">
        <f t="shared" si="9"/>
        <v>Vendido</v>
      </c>
      <c r="BB68" s="516" t="str">
        <f t="shared" si="10"/>
        <v>Cliente al día</v>
      </c>
      <c r="BC68" s="551"/>
      <c r="BD68" s="693">
        <f t="shared" si="11"/>
        <v>0</v>
      </c>
      <c r="BE68" s="693">
        <f t="shared" si="12"/>
        <v>0</v>
      </c>
      <c r="BF68" s="517"/>
      <c r="BG68" s="517"/>
      <c r="BH68" s="693">
        <f t="shared" si="13"/>
        <v>0</v>
      </c>
      <c r="BI68" s="693">
        <f t="shared" si="14"/>
        <v>2</v>
      </c>
      <c r="BJ68" s="655">
        <f t="shared" si="36"/>
        <v>0</v>
      </c>
      <c r="BK68" s="518">
        <f t="shared" si="16"/>
        <v>0</v>
      </c>
      <c r="BL68" s="518">
        <f t="shared" si="17"/>
        <v>0</v>
      </c>
      <c r="BM68" s="518">
        <f t="shared" si="18"/>
        <v>78148</v>
      </c>
      <c r="BN68" s="518">
        <f t="shared" si="19"/>
        <v>78148</v>
      </c>
      <c r="BO68" s="655">
        <f t="shared" si="37"/>
        <v>0</v>
      </c>
      <c r="BP68" s="693" t="str">
        <f t="shared" si="21"/>
        <v/>
      </c>
      <c r="BQ68" s="696"/>
      <c r="BR68" s="519"/>
      <c r="BT68" s="439">
        <f t="shared" si="22"/>
        <v>78148</v>
      </c>
      <c r="BU68" s="439">
        <f t="shared" si="23"/>
        <v>78148</v>
      </c>
      <c r="BV68" s="439">
        <f t="shared" si="24"/>
        <v>0</v>
      </c>
      <c r="BY68" s="862">
        <f t="shared" si="25"/>
        <v>730997.255</v>
      </c>
      <c r="BZ68" s="862">
        <f t="shared" si="26"/>
        <v>313284.538</v>
      </c>
      <c r="CA68" s="862">
        <f t="shared" si="27"/>
        <v>87719.67</v>
      </c>
      <c r="CB68" s="862">
        <f t="shared" si="28"/>
        <v>9398.5400000000009</v>
      </c>
      <c r="CC68" s="863">
        <f t="shared" si="29"/>
        <v>818716.93</v>
      </c>
      <c r="CD68" s="863">
        <f t="shared" si="30"/>
        <v>322683.08</v>
      </c>
      <c r="CE68" s="864">
        <f t="shared" si="31"/>
        <v>1141400.01</v>
      </c>
      <c r="CF68" s="862">
        <f t="shared" si="32"/>
        <v>1.0000000009313226E-2</v>
      </c>
    </row>
    <row r="69" spans="1:84" s="429" customFormat="1" ht="13.9" customHeight="1" x14ac:dyDescent="0.25">
      <c r="B69" s="436">
        <v>413</v>
      </c>
      <c r="C69" s="436" t="s">
        <v>400</v>
      </c>
      <c r="D69" s="436"/>
      <c r="E69" s="436" t="s">
        <v>126</v>
      </c>
      <c r="F69" s="429" t="s">
        <v>448</v>
      </c>
      <c r="G69" s="473">
        <v>45688</v>
      </c>
      <c r="H69" s="436" t="s">
        <v>128</v>
      </c>
      <c r="I69" s="472">
        <v>1063054.43589791</v>
      </c>
      <c r="J69" s="472">
        <v>106354.43</v>
      </c>
      <c r="K69" s="507">
        <v>0</v>
      </c>
      <c r="L69" s="507">
        <v>0</v>
      </c>
      <c r="M69" s="507">
        <v>0</v>
      </c>
      <c r="N69" s="507">
        <v>0</v>
      </c>
      <c r="O69" s="507">
        <v>0</v>
      </c>
      <c r="P69" s="507">
        <v>0</v>
      </c>
      <c r="Q69" s="507">
        <v>0</v>
      </c>
      <c r="R69" s="507">
        <v>0</v>
      </c>
      <c r="S69" s="507">
        <v>0</v>
      </c>
      <c r="T69" s="507">
        <v>0</v>
      </c>
      <c r="U69" s="507">
        <v>0</v>
      </c>
      <c r="V69" s="507">
        <v>0</v>
      </c>
      <c r="W69" s="507">
        <v>0</v>
      </c>
      <c r="X69" s="507">
        <v>0</v>
      </c>
      <c r="Y69" s="507">
        <v>0</v>
      </c>
      <c r="Z69" s="507">
        <v>0</v>
      </c>
      <c r="AA69" s="507">
        <v>0</v>
      </c>
      <c r="AB69" s="507">
        <v>0</v>
      </c>
      <c r="AC69" s="507">
        <v>0</v>
      </c>
      <c r="AD69" s="507">
        <v>0</v>
      </c>
      <c r="AE69" s="507">
        <v>0</v>
      </c>
      <c r="AF69" s="507">
        <v>0</v>
      </c>
      <c r="AG69" s="507">
        <v>10000</v>
      </c>
      <c r="AH69" s="507">
        <v>6022</v>
      </c>
      <c r="AI69" s="507">
        <v>6022</v>
      </c>
      <c r="AJ69" s="507">
        <v>6022</v>
      </c>
      <c r="AK69" s="508">
        <v>6022</v>
      </c>
      <c r="AL69" s="508">
        <v>6022</v>
      </c>
      <c r="AM69" s="509">
        <v>6022</v>
      </c>
      <c r="AN69" s="509">
        <v>6022</v>
      </c>
      <c r="AO69" s="509">
        <v>6022</v>
      </c>
      <c r="AP69" s="509">
        <v>6022</v>
      </c>
      <c r="AQ69" s="509">
        <v>6022</v>
      </c>
      <c r="AR69" s="509">
        <v>6022</v>
      </c>
      <c r="AS69" s="509">
        <v>6022</v>
      </c>
      <c r="AT69" s="510">
        <f t="shared" si="33"/>
        <v>82264</v>
      </c>
      <c r="AU69" s="512">
        <f t="shared" si="3"/>
        <v>0.77348917200722156</v>
      </c>
      <c r="AV69" s="511">
        <f t="shared" si="4"/>
        <v>-24090.429999999993</v>
      </c>
      <c r="AW69" s="558">
        <f t="shared" si="5"/>
        <v>-0.22651082799277844</v>
      </c>
      <c r="AX69" s="513">
        <f t="shared" si="6"/>
        <v>980790.43589791004</v>
      </c>
      <c r="AY69" s="514">
        <f t="shared" si="7"/>
        <v>0.92261543979117533</v>
      </c>
      <c r="AZ69" s="513">
        <f t="shared" si="8"/>
        <v>106354.43</v>
      </c>
      <c r="BA69" s="515" t="str">
        <f t="shared" si="9"/>
        <v>Vendido</v>
      </c>
      <c r="BB69" s="516" t="str">
        <f t="shared" si="10"/>
        <v>Cliente al día</v>
      </c>
      <c r="BC69" s="551">
        <v>16</v>
      </c>
      <c r="BD69" s="693">
        <f t="shared" si="11"/>
        <v>1</v>
      </c>
      <c r="BE69" s="693">
        <f t="shared" si="12"/>
        <v>17</v>
      </c>
      <c r="BF69" s="517">
        <v>10000</v>
      </c>
      <c r="BG69" s="517">
        <v>6022</v>
      </c>
      <c r="BH69" s="693">
        <f t="shared" si="13"/>
        <v>12</v>
      </c>
      <c r="BI69" s="693">
        <f t="shared" si="14"/>
        <v>11</v>
      </c>
      <c r="BJ69" s="655">
        <f t="shared" si="36"/>
        <v>76242</v>
      </c>
      <c r="BK69" s="518">
        <f t="shared" si="16"/>
        <v>72264</v>
      </c>
      <c r="BL69" s="518">
        <f t="shared" si="17"/>
        <v>10000</v>
      </c>
      <c r="BM69" s="518">
        <f t="shared" si="18"/>
        <v>0</v>
      </c>
      <c r="BN69" s="518">
        <f t="shared" si="19"/>
        <v>6022</v>
      </c>
      <c r="BO69" s="655">
        <f t="shared" si="37"/>
        <v>0</v>
      </c>
      <c r="BP69" s="693">
        <f t="shared" si="21"/>
        <v>0</v>
      </c>
      <c r="BQ69" s="696"/>
      <c r="BR69" s="519"/>
      <c r="BT69" s="439">
        <f t="shared" si="22"/>
        <v>6022</v>
      </c>
      <c r="BU69" s="439">
        <f t="shared" si="23"/>
        <v>6022</v>
      </c>
      <c r="BV69" s="439">
        <f t="shared" si="24"/>
        <v>0</v>
      </c>
      <c r="BY69" s="862">
        <f t="shared" si="25"/>
        <v>680821.68799999997</v>
      </c>
      <c r="BZ69" s="862">
        <f t="shared" si="26"/>
        <v>291780.723</v>
      </c>
      <c r="CA69" s="862">
        <f t="shared" si="27"/>
        <v>81698.600000000006</v>
      </c>
      <c r="CB69" s="862">
        <f t="shared" si="28"/>
        <v>8753.42</v>
      </c>
      <c r="CC69" s="863">
        <f t="shared" si="29"/>
        <v>762520.29</v>
      </c>
      <c r="CD69" s="863">
        <f t="shared" si="30"/>
        <v>300534.14</v>
      </c>
      <c r="CE69" s="864">
        <f t="shared" si="31"/>
        <v>1063054.43</v>
      </c>
      <c r="CF69" s="862">
        <f t="shared" si="32"/>
        <v>-5.897910101339221E-3</v>
      </c>
    </row>
    <row r="70" spans="1:84" s="429" customFormat="1" ht="13.9" customHeight="1" x14ac:dyDescent="0.25">
      <c r="A70" s="472"/>
      <c r="B70" s="436">
        <v>414</v>
      </c>
      <c r="C70" s="436" t="s">
        <v>175</v>
      </c>
      <c r="D70" s="436" t="s">
        <v>449</v>
      </c>
      <c r="E70" s="436" t="s">
        <v>366</v>
      </c>
      <c r="F70" s="429" t="s">
        <v>450</v>
      </c>
      <c r="G70" s="473">
        <v>45439</v>
      </c>
      <c r="H70" s="436" t="s">
        <v>128</v>
      </c>
      <c r="I70" s="472">
        <v>887400</v>
      </c>
      <c r="J70" s="472">
        <v>88800</v>
      </c>
      <c r="K70" s="507">
        <v>0</v>
      </c>
      <c r="L70" s="507">
        <v>0</v>
      </c>
      <c r="M70" s="507">
        <v>0</v>
      </c>
      <c r="N70" s="507">
        <v>0</v>
      </c>
      <c r="O70" s="507">
        <v>0</v>
      </c>
      <c r="P70" s="507">
        <v>0</v>
      </c>
      <c r="Q70" s="507">
        <v>0</v>
      </c>
      <c r="R70" s="507">
        <v>0</v>
      </c>
      <c r="S70" s="507">
        <v>0</v>
      </c>
      <c r="T70" s="507">
        <v>0</v>
      </c>
      <c r="U70" s="507">
        <v>0</v>
      </c>
      <c r="V70" s="507">
        <v>0</v>
      </c>
      <c r="W70" s="507">
        <v>0</v>
      </c>
      <c r="X70" s="507">
        <v>0</v>
      </c>
      <c r="Y70" s="507">
        <v>10000</v>
      </c>
      <c r="Z70" s="507">
        <v>4147</v>
      </c>
      <c r="AA70" s="507">
        <v>4147</v>
      </c>
      <c r="AB70" s="507">
        <v>4147</v>
      </c>
      <c r="AC70" s="507">
        <v>4147</v>
      </c>
      <c r="AD70" s="507">
        <v>4147</v>
      </c>
      <c r="AE70" s="507">
        <v>4147</v>
      </c>
      <c r="AF70" s="507">
        <v>4147</v>
      </c>
      <c r="AG70" s="507">
        <v>4147</v>
      </c>
      <c r="AH70" s="507">
        <v>4147</v>
      </c>
      <c r="AI70" s="507">
        <v>4147</v>
      </c>
      <c r="AJ70" s="507">
        <v>4147</v>
      </c>
      <c r="AK70" s="508">
        <v>4147</v>
      </c>
      <c r="AL70" s="508">
        <v>4147</v>
      </c>
      <c r="AM70" s="509">
        <v>4147</v>
      </c>
      <c r="AN70" s="509">
        <v>4147</v>
      </c>
      <c r="AO70" s="509">
        <v>4147</v>
      </c>
      <c r="AP70" s="509">
        <v>4147</v>
      </c>
      <c r="AQ70" s="509">
        <v>4147</v>
      </c>
      <c r="AR70" s="509">
        <f>20000+10000+4147+20000+20000</f>
        <v>74147</v>
      </c>
      <c r="AS70" s="509">
        <f>5000+5000</f>
        <v>10000</v>
      </c>
      <c r="AT70" s="510">
        <f t="shared" si="33"/>
        <v>168793</v>
      </c>
      <c r="AU70" s="512">
        <f t="shared" si="3"/>
        <v>1.9008220720720721</v>
      </c>
      <c r="AV70" s="511">
        <f t="shared" si="4"/>
        <v>79993</v>
      </c>
      <c r="AW70" s="558">
        <f t="shared" si="5"/>
        <v>0.9008220720720721</v>
      </c>
      <c r="AX70" s="513">
        <f t="shared" si="6"/>
        <v>718607</v>
      </c>
      <c r="AY70" s="514">
        <f t="shared" si="7"/>
        <v>0.80978927203065132</v>
      </c>
      <c r="AZ70" s="513">
        <f t="shared" si="8"/>
        <v>88800</v>
      </c>
      <c r="BA70" s="515" t="str">
        <f t="shared" si="9"/>
        <v>Vendido</v>
      </c>
      <c r="BB70" s="516" t="str">
        <f t="shared" si="10"/>
        <v>Superávit de Enganche</v>
      </c>
      <c r="BC70" s="551">
        <v>19</v>
      </c>
      <c r="BD70" s="693">
        <f t="shared" si="11"/>
        <v>1</v>
      </c>
      <c r="BE70" s="693">
        <f t="shared" si="12"/>
        <v>20</v>
      </c>
      <c r="BF70" s="517">
        <v>10000</v>
      </c>
      <c r="BG70" s="517">
        <v>4147</v>
      </c>
      <c r="BH70" s="693">
        <f t="shared" si="13"/>
        <v>18</v>
      </c>
      <c r="BI70" s="693">
        <f t="shared" si="14"/>
        <v>19</v>
      </c>
      <c r="BJ70" s="655">
        <f t="shared" si="36"/>
        <v>88793</v>
      </c>
      <c r="BK70" s="518">
        <f t="shared" si="16"/>
        <v>74646</v>
      </c>
      <c r="BL70" s="518">
        <f t="shared" si="17"/>
        <v>94147</v>
      </c>
      <c r="BM70" s="518">
        <f t="shared" si="18"/>
        <v>0</v>
      </c>
      <c r="BN70" s="518">
        <f t="shared" si="19"/>
        <v>80000</v>
      </c>
      <c r="BO70" s="655">
        <f t="shared" si="37"/>
        <v>0</v>
      </c>
      <c r="BP70" s="693">
        <f t="shared" si="21"/>
        <v>0</v>
      </c>
      <c r="BQ70" s="696"/>
      <c r="BR70" s="519"/>
      <c r="BT70" s="439">
        <f t="shared" si="22"/>
        <v>80000</v>
      </c>
      <c r="BU70" s="439">
        <f t="shared" si="23"/>
        <v>80000</v>
      </c>
      <c r="BV70" s="439">
        <f t="shared" si="24"/>
        <v>0</v>
      </c>
      <c r="BY70" s="862">
        <f t="shared" si="25"/>
        <v>568325.70900000003</v>
      </c>
      <c r="BZ70" s="862">
        <f t="shared" si="26"/>
        <v>243568.16099999999</v>
      </c>
      <c r="CA70" s="862">
        <f t="shared" si="27"/>
        <v>68199.09</v>
      </c>
      <c r="CB70" s="862">
        <f t="shared" si="28"/>
        <v>7307.04</v>
      </c>
      <c r="CC70" s="863">
        <f t="shared" si="29"/>
        <v>636524.80000000005</v>
      </c>
      <c r="CD70" s="863">
        <f t="shared" si="30"/>
        <v>250875.2</v>
      </c>
      <c r="CE70" s="864">
        <f t="shared" si="31"/>
        <v>887400</v>
      </c>
      <c r="CF70" s="862">
        <f t="shared" si="32"/>
        <v>0</v>
      </c>
    </row>
    <row r="71" spans="1:84" s="429" customFormat="1" ht="13.9" customHeight="1" x14ac:dyDescent="0.25">
      <c r="A71" s="472"/>
      <c r="B71" s="436">
        <v>415</v>
      </c>
      <c r="C71" s="436" t="s">
        <v>125</v>
      </c>
      <c r="D71" s="436"/>
      <c r="E71" s="436" t="s">
        <v>135</v>
      </c>
      <c r="F71" s="429" t="s">
        <v>451</v>
      </c>
      <c r="G71" s="473">
        <v>45818</v>
      </c>
      <c r="H71" s="436" t="s">
        <v>128</v>
      </c>
      <c r="I71" s="472">
        <v>1543626.9723517401</v>
      </c>
      <c r="J71" s="472">
        <v>231526.97</v>
      </c>
      <c r="K71" s="507">
        <v>0</v>
      </c>
      <c r="L71" s="507">
        <v>0</v>
      </c>
      <c r="M71" s="507">
        <v>0</v>
      </c>
      <c r="N71" s="507">
        <v>0</v>
      </c>
      <c r="O71" s="507">
        <v>0</v>
      </c>
      <c r="P71" s="507">
        <v>0</v>
      </c>
      <c r="Q71" s="507">
        <v>0</v>
      </c>
      <c r="R71" s="507">
        <v>0</v>
      </c>
      <c r="S71" s="507">
        <v>0</v>
      </c>
      <c r="T71" s="507">
        <v>0</v>
      </c>
      <c r="U71" s="507">
        <v>0</v>
      </c>
      <c r="V71" s="507">
        <v>0</v>
      </c>
      <c r="W71" s="507">
        <v>0</v>
      </c>
      <c r="X71" s="507">
        <v>0</v>
      </c>
      <c r="Y71" s="507">
        <v>0</v>
      </c>
      <c r="Z71" s="507">
        <v>0</v>
      </c>
      <c r="AA71" s="507">
        <v>0</v>
      </c>
      <c r="AB71" s="507">
        <v>0</v>
      </c>
      <c r="AC71" s="507">
        <v>0</v>
      </c>
      <c r="AD71" s="507">
        <v>0</v>
      </c>
      <c r="AE71" s="507">
        <v>0</v>
      </c>
      <c r="AF71" s="507">
        <v>0</v>
      </c>
      <c r="AG71" s="507">
        <v>0</v>
      </c>
      <c r="AH71" s="507">
        <v>0</v>
      </c>
      <c r="AI71" s="507">
        <v>0</v>
      </c>
      <c r="AJ71" s="507">
        <v>0</v>
      </c>
      <c r="AK71" s="508"/>
      <c r="AL71" s="508">
        <v>15000</v>
      </c>
      <c r="AM71" s="509">
        <v>18044</v>
      </c>
      <c r="AN71" s="509">
        <v>18044</v>
      </c>
      <c r="AO71" s="509">
        <v>18044</v>
      </c>
      <c r="AP71" s="509">
        <v>18044</v>
      </c>
      <c r="AQ71" s="509">
        <v>18044</v>
      </c>
      <c r="AR71" s="509">
        <v>18044</v>
      </c>
      <c r="AS71" s="509">
        <v>18044</v>
      </c>
      <c r="AT71" s="510">
        <f t="shared" si="33"/>
        <v>141308</v>
      </c>
      <c r="AU71" s="512">
        <f t="shared" ref="AU71:AU134" si="38">IFERROR((+AT71/J71),0)</f>
        <v>0.61033062368500746</v>
      </c>
      <c r="AV71" s="511">
        <f t="shared" ref="AV71:AV134" si="39">+AT71-AZ71</f>
        <v>-90218.97</v>
      </c>
      <c r="AW71" s="558">
        <f t="shared" ref="AW71:AW134" si="40">+AV71/J71</f>
        <v>-0.3896693763149926</v>
      </c>
      <c r="AX71" s="513">
        <f t="shared" ref="AX71:AX134" si="41">+I71-AT71</f>
        <v>1402318.9723517401</v>
      </c>
      <c r="AY71" s="514">
        <f t="shared" ref="AY71:AY134" si="42">+AX71/I71</f>
        <v>0.90845715802392657</v>
      </c>
      <c r="AZ71" s="513">
        <f t="shared" ref="AZ71:AZ134" si="43">IF(BA71="Vendido",J71*1,IF(BA71="Disponible",J71*0,IF(BA71="Enganche Completado",J71*1,IF(BA71="Superávit de Enganche",J71*1,0))))</f>
        <v>231526.97</v>
      </c>
      <c r="BA71" s="515" t="str">
        <f t="shared" ref="BA71:BA134" si="44">IF(F71=0,"Disponible",IF(F71&gt;1,"Vendido",0))</f>
        <v>Vendido</v>
      </c>
      <c r="BB71" s="516" t="str">
        <f t="shared" ref="BB71:BB134" si="45">IF(AND(BA71="Vendido",G71&gt;=0,BJ71&lt;=AT71,AT71&lt;AZ71),"Cliente al día",IF(AND(BA71="Vendido",G71&gt;=0,BJ71&lt;=AT71,AT71=AZ71),"Enganche Completado",IF(AND(BA71="Vendido",G71&gt;=0,BJ71&lt;AT71,AT71&gt;AZ71),"Superávit de Enganche",IF(AND(BA71="Disponible",G71=0,AV71=0),"Disponible","Cliente Atrasado"))))</f>
        <v>Cliente al día</v>
      </c>
      <c r="BC71" s="551">
        <v>12</v>
      </c>
      <c r="BD71" s="693">
        <f t="shared" ref="BD71:BD134" si="46">IF(BC71&gt;1,1,0)</f>
        <v>1</v>
      </c>
      <c r="BE71" s="693">
        <f t="shared" ref="BE71:BE134" si="47">+BC71+BD71</f>
        <v>13</v>
      </c>
      <c r="BF71" s="517">
        <v>15000</v>
      </c>
      <c r="BG71" s="517">
        <v>18044</v>
      </c>
      <c r="BH71" s="693">
        <f t="shared" ref="BH71:BH134" si="48">COUNTIFS(K71:AS71,"&gt;0.01",K71:AS71,"&lt;" &amp; BF71)</f>
        <v>0</v>
      </c>
      <c r="BI71" s="693">
        <f t="shared" ref="BI71:BI134" si="49">IF($G71&gt;0,DATEDIF($G71,$D$3,"M"),0)</f>
        <v>7</v>
      </c>
      <c r="BJ71" s="655">
        <f t="shared" ref="BJ71:BJ102" si="50">(BI71*BG71)+BF71</f>
        <v>141308</v>
      </c>
      <c r="BK71" s="518">
        <f t="shared" ref="BK71:BK134" si="51">SUMIF(K71:AS71,"&lt;=" &amp; BG71,K71:AS71)</f>
        <v>141308</v>
      </c>
      <c r="BL71" s="518">
        <f t="shared" ref="BL71:BL134" si="52">SUMIF(K71:AS71,"&gt;" &amp; BG71,K71:AS71)</f>
        <v>0</v>
      </c>
      <c r="BM71" s="518">
        <f t="shared" ref="BM71:BM134" si="53">AT71-BK71-BL71</f>
        <v>0</v>
      </c>
      <c r="BN71" s="518">
        <f t="shared" ref="BN71:BN134" si="54">IF(AT71&gt;BJ71,AT71-BJ71,0)</f>
        <v>0</v>
      </c>
      <c r="BO71" s="655">
        <f t="shared" si="37"/>
        <v>0</v>
      </c>
      <c r="BP71" s="693">
        <f t="shared" ref="BP71:BP134" si="55">IFERROR(IF(AND(BQ71="F&amp;F","CE"),"",ROUNDUP(IF(G71="",0,SUM(BO71/BG71)),0)),"")</f>
        <v>0</v>
      </c>
      <c r="BQ71" s="696"/>
      <c r="BR71" s="519"/>
      <c r="BT71" s="439">
        <f t="shared" ref="BT71:BT134" si="56">+AT71-BJ71</f>
        <v>0</v>
      </c>
      <c r="BU71" s="439">
        <f t="shared" ref="BU71:BU134" si="57">+BN71-BO71</f>
        <v>0</v>
      </c>
      <c r="BV71" s="439">
        <f t="shared" ref="BV71:BV134" si="58">+BT71-BU71</f>
        <v>0</v>
      </c>
      <c r="BY71" s="862">
        <f t="shared" ref="BY71:BY134" si="59">ROUND(I71/1.093*70%,3)</f>
        <v>988599.15899999999</v>
      </c>
      <c r="BZ71" s="862">
        <f t="shared" ref="BZ71:BZ134" si="60">ROUND(I71/1.093*30%,3)</f>
        <v>423685.35399999999</v>
      </c>
      <c r="CA71" s="862">
        <f t="shared" ref="CA71:CA134" si="61">ROUND(BY71*12%,2)</f>
        <v>118631.9</v>
      </c>
      <c r="CB71" s="862">
        <f t="shared" ref="CB71:CB134" si="62">ROUND(BZ71*3%,2)</f>
        <v>12710.56</v>
      </c>
      <c r="CC71" s="863">
        <f t="shared" ref="CC71:CC134" si="63">ROUND(BY71+CA71,2)</f>
        <v>1107231.06</v>
      </c>
      <c r="CD71" s="863">
        <f t="shared" ref="CD71:CD134" si="64">ROUND(BZ71+CB71,2)</f>
        <v>436395.91</v>
      </c>
      <c r="CE71" s="864">
        <f t="shared" ref="CE71:CE134" si="65">ROUND(CC71+CD71,2)</f>
        <v>1543626.97</v>
      </c>
      <c r="CF71" s="862">
        <f t="shared" ref="CF71:CF134" si="66">CE71-I71</f>
        <v>-2.3517401423305273E-3</v>
      </c>
    </row>
    <row r="72" spans="1:84" s="466" customFormat="1" ht="13.9" customHeight="1" x14ac:dyDescent="0.25">
      <c r="B72" s="477">
        <v>416</v>
      </c>
      <c r="C72" s="477" t="s">
        <v>178</v>
      </c>
      <c r="D72" s="477"/>
      <c r="E72" s="477" t="s">
        <v>126</v>
      </c>
      <c r="F72" s="466" t="s">
        <v>407</v>
      </c>
      <c r="G72" s="478">
        <v>45695</v>
      </c>
      <c r="H72" s="436" t="s">
        <v>128</v>
      </c>
      <c r="I72" s="479">
        <v>798331.19</v>
      </c>
      <c r="J72" s="479">
        <v>79931.179999999993</v>
      </c>
      <c r="K72" s="508">
        <v>0</v>
      </c>
      <c r="L72" s="508">
        <v>0</v>
      </c>
      <c r="M72" s="508">
        <v>0</v>
      </c>
      <c r="N72" s="508">
        <v>0</v>
      </c>
      <c r="O72" s="508">
        <v>0</v>
      </c>
      <c r="P72" s="508">
        <v>0</v>
      </c>
      <c r="Q72" s="508">
        <v>0</v>
      </c>
      <c r="R72" s="508">
        <v>0</v>
      </c>
      <c r="S72" s="508">
        <v>0</v>
      </c>
      <c r="T72" s="508">
        <v>0</v>
      </c>
      <c r="U72" s="508">
        <v>0</v>
      </c>
      <c r="V72" s="508">
        <v>0</v>
      </c>
      <c r="W72" s="508">
        <v>0</v>
      </c>
      <c r="X72" s="508">
        <v>0</v>
      </c>
      <c r="Y72" s="508">
        <v>0</v>
      </c>
      <c r="Z72" s="508">
        <v>0</v>
      </c>
      <c r="AA72" s="508">
        <v>0</v>
      </c>
      <c r="AB72" s="508">
        <v>0</v>
      </c>
      <c r="AC72" s="508">
        <v>0</v>
      </c>
      <c r="AD72" s="508">
        <v>0</v>
      </c>
      <c r="AE72" s="508">
        <v>0</v>
      </c>
      <c r="AF72" s="508">
        <v>0</v>
      </c>
      <c r="AG72" s="508">
        <v>0</v>
      </c>
      <c r="AH72" s="508">
        <v>10000</v>
      </c>
      <c r="AI72" s="508">
        <v>0</v>
      </c>
      <c r="AJ72" s="508">
        <v>11539.72</v>
      </c>
      <c r="AK72" s="508">
        <v>5000</v>
      </c>
      <c r="AL72" s="508"/>
      <c r="AM72" s="509">
        <f>5000+5000</f>
        <v>10000</v>
      </c>
      <c r="AN72" s="509">
        <v>0</v>
      </c>
      <c r="AO72" s="509">
        <v>5000</v>
      </c>
      <c r="AP72" s="509">
        <v>5000</v>
      </c>
      <c r="AQ72" s="509">
        <v>5000</v>
      </c>
      <c r="AR72" s="509">
        <v>5000</v>
      </c>
      <c r="AS72" s="509"/>
      <c r="AT72" s="510">
        <f t="shared" ref="AT72:AT135" si="67">SUM(K72:AS72)</f>
        <v>56539.72</v>
      </c>
      <c r="AU72" s="521">
        <f t="shared" si="38"/>
        <v>0.70735500214059155</v>
      </c>
      <c r="AV72" s="520">
        <f t="shared" si="39"/>
        <v>-23391.459999999992</v>
      </c>
      <c r="AW72" s="559">
        <f t="shared" si="40"/>
        <v>-0.29264499785940851</v>
      </c>
      <c r="AX72" s="522">
        <f t="shared" si="41"/>
        <v>741791.47</v>
      </c>
      <c r="AY72" s="523">
        <f t="shared" si="42"/>
        <v>0.92917761361672468</v>
      </c>
      <c r="AZ72" s="513">
        <f t="shared" si="43"/>
        <v>79931.179999999993</v>
      </c>
      <c r="BA72" s="515" t="str">
        <f t="shared" si="44"/>
        <v>Vendido</v>
      </c>
      <c r="BB72" s="516" t="str">
        <f t="shared" si="45"/>
        <v>Cliente Atrasado</v>
      </c>
      <c r="BC72" s="553">
        <v>16</v>
      </c>
      <c r="BD72" s="693">
        <f t="shared" si="46"/>
        <v>1</v>
      </c>
      <c r="BE72" s="693">
        <f t="shared" si="47"/>
        <v>17</v>
      </c>
      <c r="BF72" s="517">
        <v>10000</v>
      </c>
      <c r="BG72" s="524">
        <v>4371</v>
      </c>
      <c r="BH72" s="693">
        <f t="shared" si="48"/>
        <v>5</v>
      </c>
      <c r="BI72" s="693">
        <f t="shared" si="49"/>
        <v>11</v>
      </c>
      <c r="BJ72" s="655">
        <f t="shared" si="50"/>
        <v>58081</v>
      </c>
      <c r="BK72" s="518">
        <f t="shared" si="51"/>
        <v>0</v>
      </c>
      <c r="BL72" s="518">
        <f t="shared" si="52"/>
        <v>56539.72</v>
      </c>
      <c r="BM72" s="518">
        <f t="shared" si="53"/>
        <v>0</v>
      </c>
      <c r="BN72" s="518">
        <f t="shared" si="54"/>
        <v>0</v>
      </c>
      <c r="BO72" s="655">
        <f t="shared" si="37"/>
        <v>1541.2799999999988</v>
      </c>
      <c r="BP72" s="693">
        <f t="shared" si="55"/>
        <v>1</v>
      </c>
      <c r="BQ72" s="696"/>
      <c r="BR72" s="525"/>
      <c r="BT72" s="439">
        <f t="shared" si="56"/>
        <v>-1541.2799999999988</v>
      </c>
      <c r="BU72" s="439">
        <f t="shared" si="57"/>
        <v>-1541.2799999999988</v>
      </c>
      <c r="BV72" s="439">
        <f t="shared" si="58"/>
        <v>0</v>
      </c>
      <c r="BY72" s="862">
        <f t="shared" si="59"/>
        <v>511282.55499999999</v>
      </c>
      <c r="BZ72" s="862">
        <f t="shared" si="60"/>
        <v>219121.095</v>
      </c>
      <c r="CA72" s="862">
        <f t="shared" si="61"/>
        <v>61353.91</v>
      </c>
      <c r="CB72" s="862">
        <f t="shared" si="62"/>
        <v>6573.63</v>
      </c>
      <c r="CC72" s="863">
        <f t="shared" si="63"/>
        <v>572636.47</v>
      </c>
      <c r="CD72" s="863">
        <f t="shared" si="64"/>
        <v>225694.73</v>
      </c>
      <c r="CE72" s="864">
        <f t="shared" si="65"/>
        <v>798331.2</v>
      </c>
      <c r="CF72" s="862">
        <f t="shared" si="66"/>
        <v>1.0000000009313226E-2</v>
      </c>
    </row>
    <row r="73" spans="1:84" s="429" customFormat="1" ht="13.9" customHeight="1" x14ac:dyDescent="0.25">
      <c r="A73" s="472"/>
      <c r="B73" s="436">
        <v>417</v>
      </c>
      <c r="C73" s="436" t="s">
        <v>406</v>
      </c>
      <c r="D73" s="436"/>
      <c r="E73" s="436" t="s">
        <v>366</v>
      </c>
      <c r="F73" s="429" t="s">
        <v>452</v>
      </c>
      <c r="G73" s="473">
        <v>45249</v>
      </c>
      <c r="H73" s="436" t="s">
        <v>128</v>
      </c>
      <c r="I73" s="472">
        <v>721087.5</v>
      </c>
      <c r="J73" s="472">
        <v>72187.5</v>
      </c>
      <c r="K73" s="507">
        <v>0</v>
      </c>
      <c r="L73" s="507">
        <v>0</v>
      </c>
      <c r="M73" s="507">
        <v>0</v>
      </c>
      <c r="N73" s="507">
        <v>0</v>
      </c>
      <c r="O73" s="507">
        <v>0</v>
      </c>
      <c r="P73" s="507">
        <v>0</v>
      </c>
      <c r="Q73" s="507">
        <v>0</v>
      </c>
      <c r="R73" s="507">
        <v>0</v>
      </c>
      <c r="S73" s="507">
        <v>5500</v>
      </c>
      <c r="T73" s="507">
        <v>3031</v>
      </c>
      <c r="U73" s="507">
        <v>3031</v>
      </c>
      <c r="V73" s="507">
        <v>3031</v>
      </c>
      <c r="W73" s="507">
        <v>3031</v>
      </c>
      <c r="X73" s="507">
        <v>3031</v>
      </c>
      <c r="Y73" s="507">
        <v>3031</v>
      </c>
      <c r="Z73" s="507">
        <v>3031</v>
      </c>
      <c r="AA73" s="507">
        <v>3031</v>
      </c>
      <c r="AB73" s="507">
        <v>3031</v>
      </c>
      <c r="AC73" s="507">
        <v>3031</v>
      </c>
      <c r="AD73" s="507">
        <v>3031</v>
      </c>
      <c r="AE73" s="507">
        <v>3031</v>
      </c>
      <c r="AF73" s="507">
        <v>3031</v>
      </c>
      <c r="AG73" s="507">
        <v>3031</v>
      </c>
      <c r="AH73" s="507">
        <v>3031</v>
      </c>
      <c r="AI73" s="507">
        <v>3031</v>
      </c>
      <c r="AJ73" s="507">
        <v>3031</v>
      </c>
      <c r="AK73" s="508">
        <v>3031</v>
      </c>
      <c r="AL73" s="508">
        <v>3031</v>
      </c>
      <c r="AM73" s="509">
        <v>3031</v>
      </c>
      <c r="AN73" s="509">
        <v>3031</v>
      </c>
      <c r="AO73" s="509">
        <v>3036.5</v>
      </c>
      <c r="AP73" s="509">
        <v>0</v>
      </c>
      <c r="AQ73" s="509">
        <v>0</v>
      </c>
      <c r="AR73" s="509"/>
      <c r="AS73" s="509"/>
      <c r="AT73" s="510">
        <f t="shared" si="67"/>
        <v>72187.5</v>
      </c>
      <c r="AU73" s="512">
        <f t="shared" si="38"/>
        <v>1</v>
      </c>
      <c r="AV73" s="511">
        <f t="shared" si="39"/>
        <v>0</v>
      </c>
      <c r="AW73" s="558">
        <f t="shared" si="40"/>
        <v>0</v>
      </c>
      <c r="AX73" s="513">
        <f t="shared" si="41"/>
        <v>648900</v>
      </c>
      <c r="AY73" s="514">
        <f t="shared" si="42"/>
        <v>0.89989078995267568</v>
      </c>
      <c r="AZ73" s="513">
        <f t="shared" si="43"/>
        <v>72187.5</v>
      </c>
      <c r="BA73" s="515" t="str">
        <f t="shared" si="44"/>
        <v>Vendido</v>
      </c>
      <c r="BB73" s="516" t="str">
        <f t="shared" si="45"/>
        <v>Cliente Atrasado</v>
      </c>
      <c r="BC73" s="551">
        <v>22</v>
      </c>
      <c r="BD73" s="693">
        <f t="shared" si="46"/>
        <v>1</v>
      </c>
      <c r="BE73" s="693">
        <f t="shared" si="47"/>
        <v>23</v>
      </c>
      <c r="BF73" s="517">
        <v>5500</v>
      </c>
      <c r="BG73" s="517">
        <v>3031</v>
      </c>
      <c r="BH73" s="693">
        <f t="shared" si="48"/>
        <v>22</v>
      </c>
      <c r="BI73" s="693">
        <f t="shared" si="49"/>
        <v>26</v>
      </c>
      <c r="BJ73" s="655">
        <f t="shared" si="50"/>
        <v>84306</v>
      </c>
      <c r="BK73" s="518">
        <f t="shared" si="51"/>
        <v>63651</v>
      </c>
      <c r="BL73" s="518">
        <f t="shared" si="52"/>
        <v>8536.5</v>
      </c>
      <c r="BM73" s="518">
        <f t="shared" si="53"/>
        <v>0</v>
      </c>
      <c r="BN73" s="518">
        <f t="shared" si="54"/>
        <v>0</v>
      </c>
      <c r="BO73" s="655">
        <f t="shared" si="37"/>
        <v>12118.5</v>
      </c>
      <c r="BP73" s="693">
        <f t="shared" si="55"/>
        <v>4</v>
      </c>
      <c r="BQ73" s="696"/>
      <c r="BR73" s="519"/>
      <c r="BT73" s="439">
        <f t="shared" si="56"/>
        <v>-12118.5</v>
      </c>
      <c r="BU73" s="439">
        <f t="shared" si="57"/>
        <v>-12118.5</v>
      </c>
      <c r="BV73" s="439">
        <f t="shared" si="58"/>
        <v>0</v>
      </c>
      <c r="BY73" s="862">
        <f t="shared" si="59"/>
        <v>461812.67200000002</v>
      </c>
      <c r="BZ73" s="862">
        <f t="shared" si="60"/>
        <v>197919.71599999999</v>
      </c>
      <c r="CA73" s="862">
        <f t="shared" si="61"/>
        <v>55417.52</v>
      </c>
      <c r="CB73" s="862">
        <f t="shared" si="62"/>
        <v>5937.59</v>
      </c>
      <c r="CC73" s="863">
        <f t="shared" si="63"/>
        <v>517230.19</v>
      </c>
      <c r="CD73" s="863">
        <f t="shared" si="64"/>
        <v>203857.31</v>
      </c>
      <c r="CE73" s="864">
        <f t="shared" si="65"/>
        <v>721087.5</v>
      </c>
      <c r="CF73" s="862">
        <f t="shared" si="66"/>
        <v>0</v>
      </c>
    </row>
    <row r="74" spans="1:84" s="429" customFormat="1" ht="13.9" customHeight="1" x14ac:dyDescent="0.25">
      <c r="A74" s="472"/>
      <c r="B74" s="436">
        <v>418</v>
      </c>
      <c r="C74" s="436" t="s">
        <v>200</v>
      </c>
      <c r="D74" s="436"/>
      <c r="E74" s="436" t="s">
        <v>366</v>
      </c>
      <c r="F74" s="429" t="s">
        <v>453</v>
      </c>
      <c r="G74" s="473">
        <v>45785</v>
      </c>
      <c r="H74" s="436" t="s">
        <v>128</v>
      </c>
      <c r="I74" s="472">
        <v>750472.5</v>
      </c>
      <c r="J74" s="472">
        <v>75072.5</v>
      </c>
      <c r="K74" s="507">
        <v>0</v>
      </c>
      <c r="L74" s="507">
        <v>0</v>
      </c>
      <c r="M74" s="507">
        <v>0</v>
      </c>
      <c r="N74" s="507">
        <v>0</v>
      </c>
      <c r="O74" s="507">
        <v>0</v>
      </c>
      <c r="P74" s="507">
        <v>0</v>
      </c>
      <c r="Q74" s="507">
        <v>0</v>
      </c>
      <c r="R74" s="507">
        <v>0</v>
      </c>
      <c r="S74" s="526">
        <v>0</v>
      </c>
      <c r="T74" s="526">
        <v>0</v>
      </c>
      <c r="U74" s="526">
        <v>0</v>
      </c>
      <c r="V74" s="526">
        <v>0</v>
      </c>
      <c r="W74" s="526">
        <v>0</v>
      </c>
      <c r="X74" s="526">
        <v>0</v>
      </c>
      <c r="Y74" s="526">
        <v>0</v>
      </c>
      <c r="Z74" s="526">
        <v>0</v>
      </c>
      <c r="AA74" s="526">
        <v>0</v>
      </c>
      <c r="AB74" s="526">
        <v>0</v>
      </c>
      <c r="AC74" s="526">
        <v>0</v>
      </c>
      <c r="AD74" s="526">
        <v>0</v>
      </c>
      <c r="AE74" s="526">
        <v>0</v>
      </c>
      <c r="AF74" s="526">
        <v>0</v>
      </c>
      <c r="AG74" s="526">
        <v>0</v>
      </c>
      <c r="AH74" s="526">
        <v>0</v>
      </c>
      <c r="AI74" s="526">
        <v>0</v>
      </c>
      <c r="AJ74" s="526">
        <v>0</v>
      </c>
      <c r="AK74" s="509">
        <v>10000</v>
      </c>
      <c r="AL74" s="509">
        <v>5423</v>
      </c>
      <c r="AM74" s="509"/>
      <c r="AN74" s="509">
        <v>0</v>
      </c>
      <c r="AO74" s="509">
        <v>16269</v>
      </c>
      <c r="AP74" s="509">
        <v>0</v>
      </c>
      <c r="AQ74" s="509">
        <v>0</v>
      </c>
      <c r="AR74" s="509"/>
      <c r="AS74" s="509"/>
      <c r="AT74" s="510">
        <f t="shared" si="67"/>
        <v>31692</v>
      </c>
      <c r="AU74" s="512">
        <f t="shared" si="38"/>
        <v>0.42215191981084949</v>
      </c>
      <c r="AV74" s="511">
        <f t="shared" si="39"/>
        <v>-43380.5</v>
      </c>
      <c r="AW74" s="558">
        <f t="shared" si="40"/>
        <v>-0.57784808018915046</v>
      </c>
      <c r="AX74" s="513">
        <f t="shared" si="41"/>
        <v>718780.5</v>
      </c>
      <c r="AY74" s="514">
        <f t="shared" si="42"/>
        <v>0.95777060451915297</v>
      </c>
      <c r="AZ74" s="513">
        <f t="shared" si="43"/>
        <v>75072.5</v>
      </c>
      <c r="BA74" s="515" t="str">
        <f t="shared" si="44"/>
        <v>Vendido</v>
      </c>
      <c r="BB74" s="516" t="str">
        <f t="shared" si="45"/>
        <v>Cliente Atrasado</v>
      </c>
      <c r="BC74" s="551">
        <v>12</v>
      </c>
      <c r="BD74" s="693">
        <f t="shared" si="46"/>
        <v>1</v>
      </c>
      <c r="BE74" s="693">
        <f t="shared" si="47"/>
        <v>13</v>
      </c>
      <c r="BF74" s="517">
        <v>10000</v>
      </c>
      <c r="BG74" s="517">
        <v>5423</v>
      </c>
      <c r="BH74" s="693">
        <f t="shared" si="48"/>
        <v>1</v>
      </c>
      <c r="BI74" s="693">
        <f t="shared" si="49"/>
        <v>8</v>
      </c>
      <c r="BJ74" s="655">
        <f t="shared" si="50"/>
        <v>53384</v>
      </c>
      <c r="BK74" s="518">
        <f t="shared" si="51"/>
        <v>5423</v>
      </c>
      <c r="BL74" s="518">
        <f t="shared" si="52"/>
        <v>26269</v>
      </c>
      <c r="BM74" s="518">
        <f t="shared" si="53"/>
        <v>0</v>
      </c>
      <c r="BN74" s="518">
        <f t="shared" si="54"/>
        <v>0</v>
      </c>
      <c r="BO74" s="655">
        <f t="shared" si="37"/>
        <v>21692</v>
      </c>
      <c r="BP74" s="693">
        <f t="shared" si="55"/>
        <v>4</v>
      </c>
      <c r="BQ74" s="696"/>
      <c r="BR74" s="519"/>
      <c r="BT74" s="439">
        <f t="shared" si="56"/>
        <v>-21692</v>
      </c>
      <c r="BU74" s="439">
        <f t="shared" si="57"/>
        <v>-21692</v>
      </c>
      <c r="BV74" s="439">
        <f t="shared" si="58"/>
        <v>0</v>
      </c>
      <c r="BY74" s="862">
        <f t="shared" si="59"/>
        <v>480631.97600000002</v>
      </c>
      <c r="BZ74" s="862">
        <f t="shared" si="60"/>
        <v>205985.133</v>
      </c>
      <c r="CA74" s="862">
        <f t="shared" si="61"/>
        <v>57675.839999999997</v>
      </c>
      <c r="CB74" s="862">
        <f t="shared" si="62"/>
        <v>6179.55</v>
      </c>
      <c r="CC74" s="863">
        <f t="shared" si="63"/>
        <v>538307.81999999995</v>
      </c>
      <c r="CD74" s="863">
        <f t="shared" si="64"/>
        <v>212164.68</v>
      </c>
      <c r="CE74" s="864">
        <f t="shared" si="65"/>
        <v>750472.5</v>
      </c>
      <c r="CF74" s="862">
        <f t="shared" si="66"/>
        <v>0</v>
      </c>
    </row>
    <row r="75" spans="1:84" s="429" customFormat="1" ht="13.9" customHeight="1" x14ac:dyDescent="0.25">
      <c r="A75" s="472"/>
      <c r="B75" s="436">
        <v>419</v>
      </c>
      <c r="C75" s="436" t="s">
        <v>409</v>
      </c>
      <c r="D75" s="436"/>
      <c r="E75" s="436" t="s">
        <v>366</v>
      </c>
      <c r="F75" s="429" t="s">
        <v>454</v>
      </c>
      <c r="G75" s="473">
        <v>45231</v>
      </c>
      <c r="H75" s="436" t="s">
        <v>128</v>
      </c>
      <c r="I75" s="472">
        <v>965900</v>
      </c>
      <c r="J75" s="472">
        <v>96600</v>
      </c>
      <c r="K75" s="507">
        <v>0</v>
      </c>
      <c r="L75" s="507">
        <v>0</v>
      </c>
      <c r="M75" s="507">
        <v>0</v>
      </c>
      <c r="N75" s="507">
        <v>0</v>
      </c>
      <c r="O75" s="507">
        <v>0</v>
      </c>
      <c r="P75" s="507">
        <v>0</v>
      </c>
      <c r="Q75" s="507">
        <v>0</v>
      </c>
      <c r="R75" s="507">
        <v>0</v>
      </c>
      <c r="S75" s="507">
        <v>8000</v>
      </c>
      <c r="T75" s="507">
        <v>4027</v>
      </c>
      <c r="U75" s="507">
        <v>4027</v>
      </c>
      <c r="V75" s="507">
        <v>4027</v>
      </c>
      <c r="W75" s="507">
        <v>4027</v>
      </c>
      <c r="X75" s="507">
        <v>4027</v>
      </c>
      <c r="Y75" s="507">
        <v>4027</v>
      </c>
      <c r="Z75" s="507">
        <v>4027</v>
      </c>
      <c r="AA75" s="507">
        <v>4027</v>
      </c>
      <c r="AB75" s="507">
        <v>4027</v>
      </c>
      <c r="AC75" s="507">
        <v>4027</v>
      </c>
      <c r="AD75" s="507">
        <v>4027</v>
      </c>
      <c r="AE75" s="507">
        <v>4027</v>
      </c>
      <c r="AF75" s="507">
        <v>4027</v>
      </c>
      <c r="AG75" s="507">
        <v>4027</v>
      </c>
      <c r="AH75" s="507">
        <v>4027</v>
      </c>
      <c r="AI75" s="507">
        <v>4027</v>
      </c>
      <c r="AJ75" s="507">
        <v>4027</v>
      </c>
      <c r="AK75" s="508">
        <v>4027</v>
      </c>
      <c r="AL75" s="508">
        <v>4027</v>
      </c>
      <c r="AM75" s="509">
        <v>4027</v>
      </c>
      <c r="AN75" s="509">
        <v>4027</v>
      </c>
      <c r="AO75" s="509">
        <v>4027</v>
      </c>
      <c r="AP75" s="509">
        <v>0</v>
      </c>
      <c r="AQ75" s="509">
        <v>0</v>
      </c>
      <c r="AR75" s="509"/>
      <c r="AS75" s="509"/>
      <c r="AT75" s="510">
        <f t="shared" si="67"/>
        <v>96594</v>
      </c>
      <c r="AU75" s="512">
        <f t="shared" si="38"/>
        <v>0.99993788819875773</v>
      </c>
      <c r="AV75" s="511">
        <f t="shared" si="39"/>
        <v>-6</v>
      </c>
      <c r="AW75" s="558">
        <f t="shared" si="40"/>
        <v>-6.2111801242236027E-5</v>
      </c>
      <c r="AX75" s="513">
        <f t="shared" si="41"/>
        <v>869306</v>
      </c>
      <c r="AY75" s="514">
        <f t="shared" si="42"/>
        <v>0.89999585878455324</v>
      </c>
      <c r="AZ75" s="513">
        <f t="shared" si="43"/>
        <v>96600</v>
      </c>
      <c r="BA75" s="515" t="str">
        <f t="shared" si="44"/>
        <v>Vendido</v>
      </c>
      <c r="BB75" s="516" t="str">
        <f t="shared" si="45"/>
        <v>Cliente Atrasado</v>
      </c>
      <c r="BC75" s="551">
        <v>21</v>
      </c>
      <c r="BD75" s="693">
        <f t="shared" si="46"/>
        <v>1</v>
      </c>
      <c r="BE75" s="693">
        <f t="shared" si="47"/>
        <v>22</v>
      </c>
      <c r="BF75" s="517">
        <v>8000</v>
      </c>
      <c r="BG75" s="517">
        <v>4027</v>
      </c>
      <c r="BH75" s="693">
        <f t="shared" si="48"/>
        <v>22</v>
      </c>
      <c r="BI75" s="693">
        <f t="shared" si="49"/>
        <v>26</v>
      </c>
      <c r="BJ75" s="655">
        <f t="shared" si="50"/>
        <v>112702</v>
      </c>
      <c r="BK75" s="518">
        <f t="shared" si="51"/>
        <v>88594</v>
      </c>
      <c r="BL75" s="518">
        <f t="shared" si="52"/>
        <v>8000</v>
      </c>
      <c r="BM75" s="518">
        <f t="shared" si="53"/>
        <v>0</v>
      </c>
      <c r="BN75" s="518">
        <f t="shared" si="54"/>
        <v>0</v>
      </c>
      <c r="BO75" s="655">
        <f t="shared" si="37"/>
        <v>16108</v>
      </c>
      <c r="BP75" s="693">
        <f t="shared" si="55"/>
        <v>4</v>
      </c>
      <c r="BQ75" s="696"/>
      <c r="BR75" s="519"/>
      <c r="BT75" s="439">
        <f t="shared" si="56"/>
        <v>-16108</v>
      </c>
      <c r="BU75" s="439">
        <f t="shared" si="57"/>
        <v>-16108</v>
      </c>
      <c r="BV75" s="439">
        <f t="shared" si="58"/>
        <v>0</v>
      </c>
      <c r="BY75" s="862">
        <f t="shared" si="59"/>
        <v>618600.18299999996</v>
      </c>
      <c r="BZ75" s="862">
        <f t="shared" si="60"/>
        <v>265114.364</v>
      </c>
      <c r="CA75" s="862">
        <f t="shared" si="61"/>
        <v>74232.02</v>
      </c>
      <c r="CB75" s="862">
        <f t="shared" si="62"/>
        <v>7953.43</v>
      </c>
      <c r="CC75" s="863">
        <f t="shared" si="63"/>
        <v>692832.2</v>
      </c>
      <c r="CD75" s="863">
        <f t="shared" si="64"/>
        <v>273067.78999999998</v>
      </c>
      <c r="CE75" s="864">
        <f t="shared" si="65"/>
        <v>965899.99</v>
      </c>
      <c r="CF75" s="862">
        <f t="shared" si="66"/>
        <v>-1.0000000009313226E-2</v>
      </c>
    </row>
    <row r="76" spans="1:84" s="429" customFormat="1" ht="13.9" customHeight="1" x14ac:dyDescent="0.25">
      <c r="A76" s="472"/>
      <c r="B76" s="436">
        <v>420</v>
      </c>
      <c r="C76" s="436" t="s">
        <v>184</v>
      </c>
      <c r="D76" s="436"/>
      <c r="E76" s="436" t="s">
        <v>366</v>
      </c>
      <c r="F76" s="429" t="s">
        <v>455</v>
      </c>
      <c r="G76" s="473">
        <v>45490</v>
      </c>
      <c r="H76" s="436" t="s">
        <v>128</v>
      </c>
      <c r="I76" s="472">
        <v>1166800</v>
      </c>
      <c r="J76" s="472">
        <v>116700</v>
      </c>
      <c r="K76" s="507">
        <v>0</v>
      </c>
      <c r="L76" s="507">
        <v>0</v>
      </c>
      <c r="M76" s="507">
        <v>0</v>
      </c>
      <c r="N76" s="507">
        <v>0</v>
      </c>
      <c r="O76" s="507">
        <v>0</v>
      </c>
      <c r="P76" s="507">
        <v>0</v>
      </c>
      <c r="Q76" s="507">
        <v>0</v>
      </c>
      <c r="R76" s="507">
        <v>0</v>
      </c>
      <c r="S76" s="507">
        <v>0</v>
      </c>
      <c r="T76" s="507">
        <v>0</v>
      </c>
      <c r="U76" s="507">
        <v>0</v>
      </c>
      <c r="V76" s="507">
        <v>0</v>
      </c>
      <c r="W76" s="507">
        <v>0</v>
      </c>
      <c r="X76" s="507">
        <v>0</v>
      </c>
      <c r="Y76" s="507">
        <v>0</v>
      </c>
      <c r="Z76" s="507">
        <v>0</v>
      </c>
      <c r="AA76" s="507">
        <v>10000</v>
      </c>
      <c r="AB76" s="507">
        <v>6276</v>
      </c>
      <c r="AC76" s="507">
        <v>6276</v>
      </c>
      <c r="AD76" s="507">
        <v>6276</v>
      </c>
      <c r="AE76" s="507">
        <v>6276</v>
      </c>
      <c r="AF76" s="507">
        <v>6276</v>
      </c>
      <c r="AG76" s="507">
        <v>6276</v>
      </c>
      <c r="AH76" s="507">
        <v>6276</v>
      </c>
      <c r="AI76" s="507">
        <v>6276</v>
      </c>
      <c r="AJ76" s="507">
        <v>6276</v>
      </c>
      <c r="AK76" s="508">
        <v>6276</v>
      </c>
      <c r="AL76" s="508">
        <v>6276</v>
      </c>
      <c r="AM76" s="509">
        <v>6276</v>
      </c>
      <c r="AN76" s="509">
        <v>6276</v>
      </c>
      <c r="AO76" s="509">
        <v>6276</v>
      </c>
      <c r="AP76" s="509">
        <v>6276</v>
      </c>
      <c r="AQ76" s="509">
        <v>0</v>
      </c>
      <c r="AR76" s="509">
        <f>6276+6284</f>
        <v>12560</v>
      </c>
      <c r="AS76" s="509"/>
      <c r="AT76" s="510">
        <f t="shared" si="67"/>
        <v>116700</v>
      </c>
      <c r="AU76" s="512">
        <f t="shared" si="38"/>
        <v>1</v>
      </c>
      <c r="AV76" s="511">
        <f t="shared" si="39"/>
        <v>0</v>
      </c>
      <c r="AW76" s="558">
        <f t="shared" si="40"/>
        <v>0</v>
      </c>
      <c r="AX76" s="513">
        <f t="shared" si="41"/>
        <v>1050100</v>
      </c>
      <c r="AY76" s="514">
        <f t="shared" si="42"/>
        <v>0.89998285910181697</v>
      </c>
      <c r="AZ76" s="513">
        <f t="shared" si="43"/>
        <v>116700</v>
      </c>
      <c r="BA76" s="515" t="str">
        <f t="shared" si="44"/>
        <v>Vendido</v>
      </c>
      <c r="BB76" s="516" t="str">
        <f t="shared" si="45"/>
        <v>Cliente Atrasado</v>
      </c>
      <c r="BC76" s="551">
        <v>17</v>
      </c>
      <c r="BD76" s="693">
        <f t="shared" si="46"/>
        <v>1</v>
      </c>
      <c r="BE76" s="693">
        <f t="shared" si="47"/>
        <v>18</v>
      </c>
      <c r="BF76" s="517">
        <v>10000</v>
      </c>
      <c r="BG76" s="517">
        <v>6276</v>
      </c>
      <c r="BH76" s="693">
        <f t="shared" si="48"/>
        <v>15</v>
      </c>
      <c r="BI76" s="693">
        <f t="shared" si="49"/>
        <v>18</v>
      </c>
      <c r="BJ76" s="655">
        <f t="shared" si="50"/>
        <v>122968</v>
      </c>
      <c r="BK76" s="518">
        <f t="shared" si="51"/>
        <v>94140</v>
      </c>
      <c r="BL76" s="518">
        <f t="shared" si="52"/>
        <v>22560</v>
      </c>
      <c r="BM76" s="518">
        <f t="shared" si="53"/>
        <v>0</v>
      </c>
      <c r="BN76" s="518">
        <f t="shared" si="54"/>
        <v>0</v>
      </c>
      <c r="BO76" s="655">
        <f t="shared" si="37"/>
        <v>6268</v>
      </c>
      <c r="BP76" s="693">
        <f t="shared" si="55"/>
        <v>1</v>
      </c>
      <c r="BQ76" s="696"/>
      <c r="BR76" s="519"/>
      <c r="BT76" s="439">
        <f t="shared" si="56"/>
        <v>-6268</v>
      </c>
      <c r="BU76" s="439">
        <f t="shared" si="57"/>
        <v>-6268</v>
      </c>
      <c r="BV76" s="439">
        <f t="shared" si="58"/>
        <v>0</v>
      </c>
      <c r="BY76" s="862">
        <f t="shared" si="59"/>
        <v>747264.41</v>
      </c>
      <c r="BZ76" s="862">
        <f t="shared" si="60"/>
        <v>320256.17599999998</v>
      </c>
      <c r="CA76" s="862">
        <f t="shared" si="61"/>
        <v>89671.73</v>
      </c>
      <c r="CB76" s="862">
        <f t="shared" si="62"/>
        <v>9607.69</v>
      </c>
      <c r="CC76" s="863">
        <f t="shared" si="63"/>
        <v>836936.14</v>
      </c>
      <c r="CD76" s="863">
        <f t="shared" si="64"/>
        <v>329863.87</v>
      </c>
      <c r="CE76" s="864">
        <f t="shared" si="65"/>
        <v>1166800.01</v>
      </c>
      <c r="CF76" s="862">
        <f t="shared" si="66"/>
        <v>1.0000000009313226E-2</v>
      </c>
    </row>
    <row r="77" spans="1:84" s="429" customFormat="1" ht="13.9" customHeight="1" x14ac:dyDescent="0.25">
      <c r="B77" s="436">
        <v>501</v>
      </c>
      <c r="C77" s="436" t="s">
        <v>456</v>
      </c>
      <c r="D77" s="436"/>
      <c r="E77" s="436" t="s">
        <v>126</v>
      </c>
      <c r="F77" s="429" t="s">
        <v>457</v>
      </c>
      <c r="G77" s="473">
        <v>45681</v>
      </c>
      <c r="H77" s="436" t="s">
        <v>128</v>
      </c>
      <c r="I77" s="472">
        <v>1502549.44216114</v>
      </c>
      <c r="J77" s="472">
        <v>150349.44</v>
      </c>
      <c r="K77" s="507">
        <v>0</v>
      </c>
      <c r="L77" s="507">
        <v>0</v>
      </c>
      <c r="M77" s="507">
        <v>0</v>
      </c>
      <c r="N77" s="507">
        <v>0</v>
      </c>
      <c r="O77" s="507">
        <v>0</v>
      </c>
      <c r="P77" s="507">
        <v>0</v>
      </c>
      <c r="Q77" s="507">
        <v>0</v>
      </c>
      <c r="R77" s="507">
        <v>0</v>
      </c>
      <c r="S77" s="507">
        <v>0</v>
      </c>
      <c r="T77" s="507">
        <v>0</v>
      </c>
      <c r="U77" s="507">
        <v>0</v>
      </c>
      <c r="V77" s="507">
        <v>0</v>
      </c>
      <c r="W77" s="507">
        <v>0</v>
      </c>
      <c r="X77" s="507">
        <v>0</v>
      </c>
      <c r="Y77" s="507">
        <v>0</v>
      </c>
      <c r="Z77" s="507">
        <v>0</v>
      </c>
      <c r="AA77" s="507">
        <v>0</v>
      </c>
      <c r="AB77" s="507">
        <v>0</v>
      </c>
      <c r="AC77" s="507">
        <v>0</v>
      </c>
      <c r="AD77" s="507">
        <v>0</v>
      </c>
      <c r="AE77" s="507">
        <v>0</v>
      </c>
      <c r="AF77" s="507">
        <v>0</v>
      </c>
      <c r="AG77" s="507">
        <v>10000</v>
      </c>
      <c r="AH77" s="507">
        <v>8772</v>
      </c>
      <c r="AI77" s="507">
        <v>8772</v>
      </c>
      <c r="AJ77" s="507">
        <v>8772</v>
      </c>
      <c r="AK77" s="508">
        <v>8772</v>
      </c>
      <c r="AL77" s="508">
        <v>8772</v>
      </c>
      <c r="AM77" s="509">
        <v>8772</v>
      </c>
      <c r="AN77" s="509">
        <v>8772</v>
      </c>
      <c r="AO77" s="509">
        <v>8772</v>
      </c>
      <c r="AP77" s="509">
        <v>8772</v>
      </c>
      <c r="AQ77" s="509">
        <v>8772</v>
      </c>
      <c r="AR77" s="509">
        <v>8772</v>
      </c>
      <c r="AS77" s="509">
        <v>8772</v>
      </c>
      <c r="AT77" s="510">
        <f t="shared" si="67"/>
        <v>115264</v>
      </c>
      <c r="AU77" s="512">
        <f t="shared" si="38"/>
        <v>0.76664070049080324</v>
      </c>
      <c r="AV77" s="511">
        <f t="shared" si="39"/>
        <v>-35085.440000000002</v>
      </c>
      <c r="AW77" s="558">
        <f t="shared" si="40"/>
        <v>-0.23335929950919673</v>
      </c>
      <c r="AX77" s="513">
        <f t="shared" si="41"/>
        <v>1387285.44216114</v>
      </c>
      <c r="AY77" s="514">
        <f t="shared" si="42"/>
        <v>0.923287715687935</v>
      </c>
      <c r="AZ77" s="513">
        <f t="shared" si="43"/>
        <v>150349.44</v>
      </c>
      <c r="BA77" s="515" t="str">
        <f t="shared" si="44"/>
        <v>Vendido</v>
      </c>
      <c r="BB77" s="516" t="str">
        <f t="shared" si="45"/>
        <v>Cliente al día</v>
      </c>
      <c r="BC77" s="551">
        <v>16</v>
      </c>
      <c r="BD77" s="693">
        <f t="shared" si="46"/>
        <v>1</v>
      </c>
      <c r="BE77" s="693">
        <f t="shared" si="47"/>
        <v>17</v>
      </c>
      <c r="BF77" s="517">
        <v>10000</v>
      </c>
      <c r="BG77" s="517">
        <v>8772</v>
      </c>
      <c r="BH77" s="693">
        <f t="shared" si="48"/>
        <v>12</v>
      </c>
      <c r="BI77" s="693">
        <f t="shared" si="49"/>
        <v>12</v>
      </c>
      <c r="BJ77" s="655">
        <f t="shared" si="50"/>
        <v>115264</v>
      </c>
      <c r="BK77" s="518">
        <f t="shared" si="51"/>
        <v>105264</v>
      </c>
      <c r="BL77" s="518">
        <f t="shared" si="52"/>
        <v>10000</v>
      </c>
      <c r="BM77" s="518">
        <f t="shared" si="53"/>
        <v>0</v>
      </c>
      <c r="BN77" s="518">
        <f t="shared" si="54"/>
        <v>0</v>
      </c>
      <c r="BO77" s="655">
        <f t="shared" si="37"/>
        <v>0</v>
      </c>
      <c r="BP77" s="693">
        <f t="shared" si="55"/>
        <v>0</v>
      </c>
      <c r="BQ77" s="696"/>
      <c r="BR77" s="519"/>
      <c r="BT77" s="439">
        <f t="shared" si="56"/>
        <v>0</v>
      </c>
      <c r="BU77" s="439">
        <f t="shared" si="57"/>
        <v>0</v>
      </c>
      <c r="BV77" s="439">
        <f t="shared" si="58"/>
        <v>0</v>
      </c>
      <c r="BY77" s="862">
        <f t="shared" si="59"/>
        <v>962291.5</v>
      </c>
      <c r="BZ77" s="862">
        <f t="shared" si="60"/>
        <v>412410.64299999998</v>
      </c>
      <c r="CA77" s="862">
        <f t="shared" si="61"/>
        <v>115474.98</v>
      </c>
      <c r="CB77" s="862">
        <f t="shared" si="62"/>
        <v>12372.32</v>
      </c>
      <c r="CC77" s="863">
        <f t="shared" si="63"/>
        <v>1077766.48</v>
      </c>
      <c r="CD77" s="863">
        <f t="shared" si="64"/>
        <v>424782.96</v>
      </c>
      <c r="CE77" s="864">
        <f t="shared" si="65"/>
        <v>1502549.44</v>
      </c>
      <c r="CF77" s="862">
        <f t="shared" si="66"/>
        <v>-2.1611400879919529E-3</v>
      </c>
    </row>
    <row r="78" spans="1:84" s="429" customFormat="1" ht="13.9" customHeight="1" x14ac:dyDescent="0.25">
      <c r="A78" s="472"/>
      <c r="B78" s="436">
        <v>502</v>
      </c>
      <c r="C78" s="436" t="s">
        <v>134</v>
      </c>
      <c r="D78" s="436"/>
      <c r="E78" s="436" t="s">
        <v>403</v>
      </c>
      <c r="F78" s="429" t="s">
        <v>458</v>
      </c>
      <c r="G78" s="473">
        <v>45832</v>
      </c>
      <c r="H78" s="436" t="s">
        <v>128</v>
      </c>
      <c r="I78" s="472">
        <v>1590362.1</v>
      </c>
      <c r="J78" s="472">
        <v>238562.1</v>
      </c>
      <c r="K78" s="507">
        <v>0</v>
      </c>
      <c r="L78" s="507">
        <v>0</v>
      </c>
      <c r="M78" s="507">
        <v>0</v>
      </c>
      <c r="N78" s="507">
        <v>0</v>
      </c>
      <c r="O78" s="507">
        <v>0</v>
      </c>
      <c r="P78" s="507">
        <v>0</v>
      </c>
      <c r="Q78" s="507">
        <v>0</v>
      </c>
      <c r="R78" s="507">
        <v>0</v>
      </c>
      <c r="S78" s="507">
        <v>0</v>
      </c>
      <c r="T78" s="507">
        <v>0</v>
      </c>
      <c r="U78" s="507">
        <v>0</v>
      </c>
      <c r="V78" s="507">
        <v>0</v>
      </c>
      <c r="W78" s="507">
        <v>0</v>
      </c>
      <c r="X78" s="507">
        <v>0</v>
      </c>
      <c r="Y78" s="507">
        <v>0</v>
      </c>
      <c r="Z78" s="507">
        <v>0</v>
      </c>
      <c r="AA78" s="507">
        <v>0</v>
      </c>
      <c r="AB78" s="507">
        <v>0</v>
      </c>
      <c r="AC78" s="507">
        <v>0</v>
      </c>
      <c r="AD78" s="507">
        <v>0</v>
      </c>
      <c r="AE78" s="507">
        <v>0</v>
      </c>
      <c r="AF78" s="507">
        <v>0</v>
      </c>
      <c r="AG78" s="507">
        <v>0</v>
      </c>
      <c r="AH78" s="507">
        <v>0</v>
      </c>
      <c r="AI78" s="507">
        <v>0</v>
      </c>
      <c r="AJ78" s="507">
        <v>0</v>
      </c>
      <c r="AK78" s="508"/>
      <c r="AL78" s="508">
        <v>15000</v>
      </c>
      <c r="AM78" s="509">
        <v>18630</v>
      </c>
      <c r="AN78" s="509">
        <v>18630</v>
      </c>
      <c r="AO78" s="509">
        <v>18630</v>
      </c>
      <c r="AP78" s="509">
        <v>18630</v>
      </c>
      <c r="AQ78" s="509">
        <v>18630</v>
      </c>
      <c r="AR78" s="509">
        <v>18630</v>
      </c>
      <c r="AS78" s="509">
        <v>18630</v>
      </c>
      <c r="AT78" s="510">
        <f t="shared" si="67"/>
        <v>145410</v>
      </c>
      <c r="AU78" s="512">
        <f t="shared" si="38"/>
        <v>0.60952682760589383</v>
      </c>
      <c r="AV78" s="511">
        <f t="shared" si="39"/>
        <v>-93152.1</v>
      </c>
      <c r="AW78" s="558">
        <f t="shared" si="40"/>
        <v>-0.39047317239410623</v>
      </c>
      <c r="AX78" s="513">
        <f t="shared" si="41"/>
        <v>1444952.1</v>
      </c>
      <c r="AY78" s="514">
        <f t="shared" si="42"/>
        <v>0.90856799215725781</v>
      </c>
      <c r="AZ78" s="513">
        <f t="shared" si="43"/>
        <v>238562.1</v>
      </c>
      <c r="BA78" s="515" t="str">
        <f t="shared" si="44"/>
        <v>Vendido</v>
      </c>
      <c r="BB78" s="516" t="str">
        <f t="shared" si="45"/>
        <v>Cliente al día</v>
      </c>
      <c r="BC78" s="551">
        <v>12</v>
      </c>
      <c r="BD78" s="693">
        <f t="shared" si="46"/>
        <v>1</v>
      </c>
      <c r="BE78" s="693">
        <f t="shared" si="47"/>
        <v>13</v>
      </c>
      <c r="BF78" s="517">
        <v>15000</v>
      </c>
      <c r="BG78" s="517">
        <v>18630</v>
      </c>
      <c r="BH78" s="693">
        <f t="shared" si="48"/>
        <v>0</v>
      </c>
      <c r="BI78" s="693">
        <f t="shared" si="49"/>
        <v>7</v>
      </c>
      <c r="BJ78" s="655">
        <f t="shared" si="50"/>
        <v>145410</v>
      </c>
      <c r="BK78" s="518">
        <f t="shared" si="51"/>
        <v>145410</v>
      </c>
      <c r="BL78" s="518">
        <f t="shared" si="52"/>
        <v>0</v>
      </c>
      <c r="BM78" s="518">
        <f t="shared" si="53"/>
        <v>0</v>
      </c>
      <c r="BN78" s="518">
        <f t="shared" si="54"/>
        <v>0</v>
      </c>
      <c r="BO78" s="655">
        <f t="shared" si="37"/>
        <v>0</v>
      </c>
      <c r="BP78" s="693">
        <f t="shared" si="55"/>
        <v>0</v>
      </c>
      <c r="BQ78" s="696"/>
      <c r="BR78" s="519"/>
      <c r="BT78" s="439">
        <f t="shared" si="56"/>
        <v>0</v>
      </c>
      <c r="BU78" s="439">
        <f t="shared" si="57"/>
        <v>0</v>
      </c>
      <c r="BV78" s="439">
        <f t="shared" si="58"/>
        <v>0</v>
      </c>
      <c r="BY78" s="862">
        <f t="shared" si="59"/>
        <v>1018530.165</v>
      </c>
      <c r="BZ78" s="862">
        <f t="shared" si="60"/>
        <v>436512.92800000001</v>
      </c>
      <c r="CA78" s="862">
        <f t="shared" si="61"/>
        <v>122223.62</v>
      </c>
      <c r="CB78" s="862">
        <f t="shared" si="62"/>
        <v>13095.39</v>
      </c>
      <c r="CC78" s="863">
        <f t="shared" si="63"/>
        <v>1140753.79</v>
      </c>
      <c r="CD78" s="863">
        <f t="shared" si="64"/>
        <v>449608.32</v>
      </c>
      <c r="CE78" s="864">
        <f t="shared" si="65"/>
        <v>1590362.11</v>
      </c>
      <c r="CF78" s="862">
        <f t="shared" si="66"/>
        <v>1.0000000009313226E-2</v>
      </c>
    </row>
    <row r="79" spans="1:84" s="429" customFormat="1" ht="13.9" customHeight="1" x14ac:dyDescent="0.25">
      <c r="A79" s="472"/>
      <c r="B79" s="436">
        <v>503</v>
      </c>
      <c r="C79" s="436" t="s">
        <v>400</v>
      </c>
      <c r="D79" s="436"/>
      <c r="E79" s="436" t="s">
        <v>366</v>
      </c>
      <c r="F79" s="429" t="s">
        <v>459</v>
      </c>
      <c r="G79" s="473">
        <v>45798</v>
      </c>
      <c r="H79" s="436" t="s">
        <v>128</v>
      </c>
      <c r="I79" s="472">
        <v>1047132</v>
      </c>
      <c r="J79" s="472">
        <v>104732</v>
      </c>
      <c r="K79" s="507">
        <v>0</v>
      </c>
      <c r="L79" s="507">
        <v>0</v>
      </c>
      <c r="M79" s="507">
        <v>0</v>
      </c>
      <c r="N79" s="507">
        <v>0</v>
      </c>
      <c r="O79" s="507">
        <v>0</v>
      </c>
      <c r="P79" s="507">
        <v>0</v>
      </c>
      <c r="Q79" s="507">
        <v>0</v>
      </c>
      <c r="R79" s="507">
        <v>0</v>
      </c>
      <c r="S79" s="507">
        <v>0</v>
      </c>
      <c r="T79" s="507">
        <v>0</v>
      </c>
      <c r="U79" s="507">
        <v>0</v>
      </c>
      <c r="V79" s="507">
        <v>0</v>
      </c>
      <c r="W79" s="507">
        <v>0</v>
      </c>
      <c r="X79" s="507">
        <v>0</v>
      </c>
      <c r="Y79" s="507">
        <v>0</v>
      </c>
      <c r="Z79" s="507">
        <v>0</v>
      </c>
      <c r="AA79" s="507">
        <v>0</v>
      </c>
      <c r="AB79" s="507">
        <v>0</v>
      </c>
      <c r="AC79" s="507">
        <v>0</v>
      </c>
      <c r="AD79" s="507">
        <v>0</v>
      </c>
      <c r="AE79" s="507">
        <v>0</v>
      </c>
      <c r="AF79" s="507">
        <v>0</v>
      </c>
      <c r="AG79" s="507">
        <v>0</v>
      </c>
      <c r="AH79" s="507">
        <v>0</v>
      </c>
      <c r="AI79" s="507">
        <v>0</v>
      </c>
      <c r="AJ79" s="507">
        <v>0</v>
      </c>
      <c r="AK79" s="508">
        <v>10000</v>
      </c>
      <c r="AL79" s="508">
        <v>7894</v>
      </c>
      <c r="AM79" s="509">
        <v>7894</v>
      </c>
      <c r="AN79" s="509">
        <v>7894</v>
      </c>
      <c r="AO79" s="509">
        <v>7894</v>
      </c>
      <c r="AP79" s="509">
        <v>0</v>
      </c>
      <c r="AQ79" s="509">
        <v>15788</v>
      </c>
      <c r="AR79" s="509">
        <v>7894</v>
      </c>
      <c r="AS79" s="509"/>
      <c r="AT79" s="510">
        <f t="shared" si="67"/>
        <v>65258</v>
      </c>
      <c r="AU79" s="512">
        <f t="shared" si="38"/>
        <v>0.62309513806668448</v>
      </c>
      <c r="AV79" s="511">
        <f t="shared" si="39"/>
        <v>-39474</v>
      </c>
      <c r="AW79" s="558">
        <f t="shared" si="40"/>
        <v>-0.37690486193331552</v>
      </c>
      <c r="AX79" s="513">
        <f t="shared" si="41"/>
        <v>981874</v>
      </c>
      <c r="AY79" s="514">
        <f t="shared" si="42"/>
        <v>0.93767929926695015</v>
      </c>
      <c r="AZ79" s="513">
        <f t="shared" si="43"/>
        <v>104732</v>
      </c>
      <c r="BA79" s="515" t="str">
        <f t="shared" si="44"/>
        <v>Vendido</v>
      </c>
      <c r="BB79" s="516" t="str">
        <f t="shared" si="45"/>
        <v>Cliente Atrasado</v>
      </c>
      <c r="BC79" s="551">
        <v>12</v>
      </c>
      <c r="BD79" s="693">
        <f t="shared" si="46"/>
        <v>1</v>
      </c>
      <c r="BE79" s="693">
        <f t="shared" si="47"/>
        <v>13</v>
      </c>
      <c r="BF79" s="517">
        <v>10000</v>
      </c>
      <c r="BG79" s="517">
        <v>7894</v>
      </c>
      <c r="BH79" s="693">
        <f t="shared" si="48"/>
        <v>5</v>
      </c>
      <c r="BI79" s="693">
        <f t="shared" si="49"/>
        <v>8</v>
      </c>
      <c r="BJ79" s="655">
        <f t="shared" si="50"/>
        <v>73152</v>
      </c>
      <c r="BK79" s="518">
        <f t="shared" si="51"/>
        <v>39470</v>
      </c>
      <c r="BL79" s="518">
        <f t="shared" si="52"/>
        <v>25788</v>
      </c>
      <c r="BM79" s="518">
        <f t="shared" si="53"/>
        <v>0</v>
      </c>
      <c r="BN79" s="518">
        <f t="shared" si="54"/>
        <v>0</v>
      </c>
      <c r="BO79" s="655">
        <f t="shared" si="37"/>
        <v>7894</v>
      </c>
      <c r="BP79" s="693">
        <f t="shared" si="55"/>
        <v>1</v>
      </c>
      <c r="BQ79" s="696"/>
      <c r="BR79" s="519"/>
      <c r="BT79" s="439">
        <f t="shared" si="56"/>
        <v>-7894</v>
      </c>
      <c r="BU79" s="439">
        <f t="shared" si="57"/>
        <v>-7894</v>
      </c>
      <c r="BV79" s="439">
        <f t="shared" si="58"/>
        <v>0</v>
      </c>
      <c r="BY79" s="862">
        <f t="shared" si="59"/>
        <v>670624.33700000006</v>
      </c>
      <c r="BZ79" s="862">
        <f t="shared" si="60"/>
        <v>287410.43</v>
      </c>
      <c r="CA79" s="862">
        <f t="shared" si="61"/>
        <v>80474.92</v>
      </c>
      <c r="CB79" s="862">
        <f t="shared" si="62"/>
        <v>8622.31</v>
      </c>
      <c r="CC79" s="863">
        <f t="shared" si="63"/>
        <v>751099.26</v>
      </c>
      <c r="CD79" s="863">
        <f t="shared" si="64"/>
        <v>296032.74</v>
      </c>
      <c r="CE79" s="864">
        <f t="shared" si="65"/>
        <v>1047132</v>
      </c>
      <c r="CF79" s="862">
        <f t="shared" si="66"/>
        <v>0</v>
      </c>
    </row>
    <row r="80" spans="1:84" s="429" customFormat="1" ht="13.9" customHeight="1" x14ac:dyDescent="0.25">
      <c r="A80" s="472"/>
      <c r="B80" s="436">
        <v>504</v>
      </c>
      <c r="C80" s="436" t="s">
        <v>175</v>
      </c>
      <c r="D80" s="436"/>
      <c r="E80" s="436" t="s">
        <v>366</v>
      </c>
      <c r="F80" s="429" t="s">
        <v>460</v>
      </c>
      <c r="G80" s="473">
        <v>45788</v>
      </c>
      <c r="H80" s="436" t="s">
        <v>128</v>
      </c>
      <c r="I80" s="472">
        <v>1047132</v>
      </c>
      <c r="J80" s="472">
        <v>104732</v>
      </c>
      <c r="K80" s="507">
        <v>0</v>
      </c>
      <c r="L80" s="507">
        <v>0</v>
      </c>
      <c r="M80" s="507">
        <v>0</v>
      </c>
      <c r="N80" s="507">
        <v>0</v>
      </c>
      <c r="O80" s="507">
        <v>0</v>
      </c>
      <c r="P80" s="507">
        <v>0</v>
      </c>
      <c r="Q80" s="507">
        <v>0</v>
      </c>
      <c r="R80" s="507">
        <v>0</v>
      </c>
      <c r="S80" s="507">
        <v>0</v>
      </c>
      <c r="T80" s="507">
        <v>0</v>
      </c>
      <c r="U80" s="507">
        <v>0</v>
      </c>
      <c r="V80" s="507">
        <v>0</v>
      </c>
      <c r="W80" s="507">
        <v>0</v>
      </c>
      <c r="X80" s="507">
        <v>0</v>
      </c>
      <c r="Y80" s="507">
        <v>0</v>
      </c>
      <c r="Z80" s="507">
        <v>0</v>
      </c>
      <c r="AA80" s="507">
        <v>0</v>
      </c>
      <c r="AB80" s="507">
        <v>0</v>
      </c>
      <c r="AC80" s="507">
        <v>0</v>
      </c>
      <c r="AD80" s="507">
        <v>0</v>
      </c>
      <c r="AE80" s="507">
        <v>0</v>
      </c>
      <c r="AF80" s="507">
        <v>0</v>
      </c>
      <c r="AG80" s="507">
        <v>0</v>
      </c>
      <c r="AH80" s="507">
        <v>0</v>
      </c>
      <c r="AI80" s="507">
        <v>0</v>
      </c>
      <c r="AJ80" s="507">
        <v>0</v>
      </c>
      <c r="AK80" s="508">
        <v>10000</v>
      </c>
      <c r="AL80" s="508">
        <v>7894</v>
      </c>
      <c r="AM80" s="509">
        <v>7894</v>
      </c>
      <c r="AN80" s="509">
        <v>7894</v>
      </c>
      <c r="AO80" s="509">
        <v>7894</v>
      </c>
      <c r="AP80" s="509">
        <v>7894</v>
      </c>
      <c r="AQ80" s="509">
        <v>7894</v>
      </c>
      <c r="AR80" s="509">
        <v>7894</v>
      </c>
      <c r="AS80" s="509">
        <v>7894</v>
      </c>
      <c r="AT80" s="510">
        <f t="shared" si="67"/>
        <v>73152</v>
      </c>
      <c r="AU80" s="512">
        <f t="shared" si="38"/>
        <v>0.6984684719092541</v>
      </c>
      <c r="AV80" s="511">
        <f t="shared" si="39"/>
        <v>-31580</v>
      </c>
      <c r="AW80" s="558">
        <f t="shared" si="40"/>
        <v>-0.3015315280907459</v>
      </c>
      <c r="AX80" s="513">
        <f t="shared" si="41"/>
        <v>973980</v>
      </c>
      <c r="AY80" s="514">
        <f t="shared" si="42"/>
        <v>0.93014061264482417</v>
      </c>
      <c r="AZ80" s="513">
        <f t="shared" si="43"/>
        <v>104732</v>
      </c>
      <c r="BA80" s="515" t="str">
        <f t="shared" si="44"/>
        <v>Vendido</v>
      </c>
      <c r="BB80" s="516" t="str">
        <f t="shared" si="45"/>
        <v>Cliente al día</v>
      </c>
      <c r="BC80" s="551">
        <v>12</v>
      </c>
      <c r="BD80" s="693">
        <f t="shared" si="46"/>
        <v>1</v>
      </c>
      <c r="BE80" s="693">
        <f t="shared" si="47"/>
        <v>13</v>
      </c>
      <c r="BF80" s="517">
        <v>10000</v>
      </c>
      <c r="BG80" s="517">
        <v>7894</v>
      </c>
      <c r="BH80" s="693">
        <f t="shared" si="48"/>
        <v>8</v>
      </c>
      <c r="BI80" s="693">
        <f t="shared" si="49"/>
        <v>8</v>
      </c>
      <c r="BJ80" s="655">
        <f t="shared" si="50"/>
        <v>73152</v>
      </c>
      <c r="BK80" s="518">
        <f t="shared" si="51"/>
        <v>63152</v>
      </c>
      <c r="BL80" s="518">
        <f t="shared" si="52"/>
        <v>10000</v>
      </c>
      <c r="BM80" s="518">
        <f t="shared" si="53"/>
        <v>0</v>
      </c>
      <c r="BN80" s="518">
        <f t="shared" si="54"/>
        <v>0</v>
      </c>
      <c r="BO80" s="655">
        <f t="shared" ref="BO80:BO111" si="68">IF(AT80&lt;BJ80,BJ80-AT80,0)</f>
        <v>0</v>
      </c>
      <c r="BP80" s="693">
        <f t="shared" si="55"/>
        <v>0</v>
      </c>
      <c r="BQ80" s="696"/>
      <c r="BR80" s="519"/>
      <c r="BT80" s="439">
        <f t="shared" si="56"/>
        <v>0</v>
      </c>
      <c r="BU80" s="439">
        <f t="shared" si="57"/>
        <v>0</v>
      </c>
      <c r="BV80" s="439">
        <f t="shared" si="58"/>
        <v>0</v>
      </c>
      <c r="BY80" s="862">
        <f t="shared" si="59"/>
        <v>670624.33700000006</v>
      </c>
      <c r="BZ80" s="862">
        <f t="shared" si="60"/>
        <v>287410.43</v>
      </c>
      <c r="CA80" s="862">
        <f t="shared" si="61"/>
        <v>80474.92</v>
      </c>
      <c r="CB80" s="862">
        <f t="shared" si="62"/>
        <v>8622.31</v>
      </c>
      <c r="CC80" s="863">
        <f t="shared" si="63"/>
        <v>751099.26</v>
      </c>
      <c r="CD80" s="863">
        <f t="shared" si="64"/>
        <v>296032.74</v>
      </c>
      <c r="CE80" s="864">
        <f t="shared" si="65"/>
        <v>1047132</v>
      </c>
      <c r="CF80" s="862">
        <f t="shared" si="66"/>
        <v>0</v>
      </c>
    </row>
    <row r="81" spans="1:84" s="429" customFormat="1" ht="13.9" customHeight="1" x14ac:dyDescent="0.25">
      <c r="A81" s="472"/>
      <c r="B81" s="436">
        <v>505</v>
      </c>
      <c r="C81" s="436" t="s">
        <v>461</v>
      </c>
      <c r="D81" s="436"/>
      <c r="E81" s="436" t="s">
        <v>366</v>
      </c>
      <c r="F81" s="429" t="s">
        <v>462</v>
      </c>
      <c r="G81" s="473">
        <v>45503</v>
      </c>
      <c r="H81" s="436" t="s">
        <v>128</v>
      </c>
      <c r="I81" s="472">
        <v>1399667</v>
      </c>
      <c r="J81" s="472">
        <v>139967</v>
      </c>
      <c r="K81" s="507">
        <v>0</v>
      </c>
      <c r="L81" s="507">
        <v>0</v>
      </c>
      <c r="M81" s="507">
        <v>0</v>
      </c>
      <c r="N81" s="507">
        <v>0</v>
      </c>
      <c r="O81" s="507">
        <v>0</v>
      </c>
      <c r="P81" s="507">
        <v>0</v>
      </c>
      <c r="Q81" s="507">
        <v>0</v>
      </c>
      <c r="R81" s="507">
        <v>0</v>
      </c>
      <c r="S81" s="507">
        <v>0</v>
      </c>
      <c r="T81" s="507">
        <v>0</v>
      </c>
      <c r="U81" s="507">
        <v>0</v>
      </c>
      <c r="V81" s="507">
        <v>0</v>
      </c>
      <c r="W81" s="507">
        <v>0</v>
      </c>
      <c r="X81" s="507">
        <v>0</v>
      </c>
      <c r="Y81" s="507">
        <v>0</v>
      </c>
      <c r="Z81" s="507">
        <v>0</v>
      </c>
      <c r="AA81" s="507">
        <v>10000</v>
      </c>
      <c r="AB81" s="507">
        <v>7645</v>
      </c>
      <c r="AC81" s="507">
        <v>7645</v>
      </c>
      <c r="AD81" s="507">
        <v>7645</v>
      </c>
      <c r="AE81" s="507">
        <v>7645</v>
      </c>
      <c r="AF81" s="507">
        <v>7645</v>
      </c>
      <c r="AG81" s="507">
        <v>7645</v>
      </c>
      <c r="AH81" s="507">
        <v>7645</v>
      </c>
      <c r="AI81" s="507">
        <v>7645</v>
      </c>
      <c r="AJ81" s="507">
        <v>7645</v>
      </c>
      <c r="AK81" s="508">
        <v>7645</v>
      </c>
      <c r="AL81" s="508">
        <v>7645</v>
      </c>
      <c r="AM81" s="509">
        <v>7645</v>
      </c>
      <c r="AN81" s="509">
        <v>0</v>
      </c>
      <c r="AO81" s="509">
        <v>15290</v>
      </c>
      <c r="AP81" s="509">
        <v>7645</v>
      </c>
      <c r="AQ81" s="509">
        <v>7645</v>
      </c>
      <c r="AR81" s="509">
        <v>7645</v>
      </c>
      <c r="AS81" s="509">
        <v>7645</v>
      </c>
      <c r="AT81" s="510">
        <f t="shared" si="67"/>
        <v>147610</v>
      </c>
      <c r="AU81" s="512">
        <f t="shared" si="38"/>
        <v>1.0546057284931447</v>
      </c>
      <c r="AV81" s="511">
        <f t="shared" si="39"/>
        <v>7643</v>
      </c>
      <c r="AW81" s="558">
        <f t="shared" si="40"/>
        <v>5.4605728493144816E-2</v>
      </c>
      <c r="AX81" s="513">
        <f t="shared" si="41"/>
        <v>1252057</v>
      </c>
      <c r="AY81" s="514">
        <f t="shared" si="42"/>
        <v>0.89453920110997831</v>
      </c>
      <c r="AZ81" s="513">
        <f t="shared" si="43"/>
        <v>139967</v>
      </c>
      <c r="BA81" s="515" t="str">
        <f t="shared" si="44"/>
        <v>Vendido</v>
      </c>
      <c r="BB81" s="516" t="str">
        <f t="shared" si="45"/>
        <v>Superávit de Enganche</v>
      </c>
      <c r="BC81" s="551">
        <v>17</v>
      </c>
      <c r="BD81" s="693">
        <f t="shared" si="46"/>
        <v>1</v>
      </c>
      <c r="BE81" s="693">
        <f t="shared" si="47"/>
        <v>18</v>
      </c>
      <c r="BF81" s="517">
        <v>10000</v>
      </c>
      <c r="BG81" s="517">
        <v>7645</v>
      </c>
      <c r="BH81" s="693">
        <f t="shared" si="48"/>
        <v>16</v>
      </c>
      <c r="BI81" s="693">
        <f t="shared" si="49"/>
        <v>17</v>
      </c>
      <c r="BJ81" s="655">
        <f t="shared" si="50"/>
        <v>139965</v>
      </c>
      <c r="BK81" s="518">
        <f t="shared" si="51"/>
        <v>122320</v>
      </c>
      <c r="BL81" s="518">
        <f t="shared" si="52"/>
        <v>25290</v>
      </c>
      <c r="BM81" s="518">
        <f t="shared" si="53"/>
        <v>0</v>
      </c>
      <c r="BN81" s="518">
        <f t="shared" si="54"/>
        <v>7645</v>
      </c>
      <c r="BO81" s="655">
        <f t="shared" si="68"/>
        <v>0</v>
      </c>
      <c r="BP81" s="693">
        <f t="shared" si="55"/>
        <v>0</v>
      </c>
      <c r="BQ81" s="696"/>
      <c r="BR81" s="519"/>
      <c r="BT81" s="439">
        <f t="shared" si="56"/>
        <v>7645</v>
      </c>
      <c r="BU81" s="439">
        <f t="shared" si="57"/>
        <v>7645</v>
      </c>
      <c r="BV81" s="439">
        <f t="shared" si="58"/>
        <v>0</v>
      </c>
      <c r="BY81" s="862">
        <f t="shared" si="59"/>
        <v>896401.55500000005</v>
      </c>
      <c r="BZ81" s="862">
        <f t="shared" si="60"/>
        <v>384172.09499999997</v>
      </c>
      <c r="CA81" s="862">
        <f t="shared" si="61"/>
        <v>107568.19</v>
      </c>
      <c r="CB81" s="862">
        <f t="shared" si="62"/>
        <v>11525.16</v>
      </c>
      <c r="CC81" s="863">
        <f t="shared" si="63"/>
        <v>1003969.75</v>
      </c>
      <c r="CD81" s="863">
        <f t="shared" si="64"/>
        <v>395697.26</v>
      </c>
      <c r="CE81" s="864">
        <f t="shared" si="65"/>
        <v>1399667.01</v>
      </c>
      <c r="CF81" s="862">
        <f t="shared" si="66"/>
        <v>1.0000000009313226E-2</v>
      </c>
    </row>
    <row r="82" spans="1:84" s="429" customFormat="1" ht="13.9" customHeight="1" x14ac:dyDescent="0.25">
      <c r="A82" s="472"/>
      <c r="B82" s="436">
        <v>506</v>
      </c>
      <c r="C82" s="436" t="s">
        <v>463</v>
      </c>
      <c r="D82" s="436"/>
      <c r="E82" s="436" t="s">
        <v>366</v>
      </c>
      <c r="F82" s="429" t="s">
        <v>464</v>
      </c>
      <c r="G82" s="473">
        <v>45580</v>
      </c>
      <c r="H82" s="436" t="s">
        <v>128</v>
      </c>
      <c r="I82" s="472">
        <v>1379595</v>
      </c>
      <c r="J82" s="472">
        <v>138595</v>
      </c>
      <c r="K82" s="507">
        <v>0</v>
      </c>
      <c r="L82" s="507">
        <v>0</v>
      </c>
      <c r="M82" s="507">
        <v>0</v>
      </c>
      <c r="N82" s="507">
        <v>0</v>
      </c>
      <c r="O82" s="507">
        <v>0</v>
      </c>
      <c r="P82" s="507">
        <v>0</v>
      </c>
      <c r="Q82" s="507">
        <v>0</v>
      </c>
      <c r="R82" s="507">
        <v>0</v>
      </c>
      <c r="S82" s="507">
        <v>0</v>
      </c>
      <c r="T82" s="507">
        <v>0</v>
      </c>
      <c r="U82" s="507">
        <v>0</v>
      </c>
      <c r="V82" s="507">
        <v>0</v>
      </c>
      <c r="W82" s="507">
        <v>0</v>
      </c>
      <c r="X82" s="507">
        <v>0</v>
      </c>
      <c r="Y82" s="507">
        <v>0</v>
      </c>
      <c r="Z82" s="507">
        <v>0</v>
      </c>
      <c r="AA82" s="507">
        <v>0</v>
      </c>
      <c r="AB82" s="507">
        <v>0</v>
      </c>
      <c r="AC82" s="507">
        <v>0</v>
      </c>
      <c r="AD82" s="507">
        <v>10000</v>
      </c>
      <c r="AE82" s="507">
        <v>9140</v>
      </c>
      <c r="AF82" s="507">
        <v>9140</v>
      </c>
      <c r="AG82" s="507">
        <v>0</v>
      </c>
      <c r="AH82" s="507">
        <f>9140+9140</f>
        <v>18280</v>
      </c>
      <c r="AI82" s="507">
        <v>9140</v>
      </c>
      <c r="AJ82" s="507">
        <v>9140</v>
      </c>
      <c r="AK82" s="508">
        <v>9140</v>
      </c>
      <c r="AL82" s="508"/>
      <c r="AM82" s="509">
        <f>9140+9140</f>
        <v>18280</v>
      </c>
      <c r="AN82" s="509">
        <v>9140</v>
      </c>
      <c r="AO82" s="509">
        <v>9140</v>
      </c>
      <c r="AP82" s="509">
        <v>9140</v>
      </c>
      <c r="AQ82" s="509">
        <v>9140</v>
      </c>
      <c r="AR82" s="509">
        <v>9140</v>
      </c>
      <c r="AS82" s="509"/>
      <c r="AT82" s="510">
        <f t="shared" si="67"/>
        <v>137960</v>
      </c>
      <c r="AU82" s="512">
        <f t="shared" si="38"/>
        <v>0.99541830513366281</v>
      </c>
      <c r="AV82" s="511">
        <f t="shared" si="39"/>
        <v>-635</v>
      </c>
      <c r="AW82" s="558">
        <f t="shared" si="40"/>
        <v>-4.5816948663371694E-3</v>
      </c>
      <c r="AX82" s="513">
        <f t="shared" si="41"/>
        <v>1241635</v>
      </c>
      <c r="AY82" s="514">
        <f t="shared" si="42"/>
        <v>0.89999963757479551</v>
      </c>
      <c r="AZ82" s="513">
        <f t="shared" si="43"/>
        <v>138595</v>
      </c>
      <c r="BA82" s="515" t="str">
        <f t="shared" si="44"/>
        <v>Vendido</v>
      </c>
      <c r="BB82" s="516" t="str">
        <f t="shared" si="45"/>
        <v>Cliente Atrasado</v>
      </c>
      <c r="BC82" s="551">
        <v>14</v>
      </c>
      <c r="BD82" s="693">
        <f t="shared" si="46"/>
        <v>1</v>
      </c>
      <c r="BE82" s="693">
        <f t="shared" si="47"/>
        <v>15</v>
      </c>
      <c r="BF82" s="517">
        <v>10000</v>
      </c>
      <c r="BG82" s="517">
        <v>9185</v>
      </c>
      <c r="BH82" s="693">
        <f t="shared" si="48"/>
        <v>10</v>
      </c>
      <c r="BI82" s="693">
        <f t="shared" si="49"/>
        <v>15</v>
      </c>
      <c r="BJ82" s="655">
        <f t="shared" si="50"/>
        <v>147775</v>
      </c>
      <c r="BK82" s="518">
        <f t="shared" si="51"/>
        <v>91400</v>
      </c>
      <c r="BL82" s="518">
        <f t="shared" si="52"/>
        <v>46560</v>
      </c>
      <c r="BM82" s="518">
        <f t="shared" si="53"/>
        <v>0</v>
      </c>
      <c r="BN82" s="518">
        <f t="shared" si="54"/>
        <v>0</v>
      </c>
      <c r="BO82" s="655">
        <f t="shared" si="68"/>
        <v>9815</v>
      </c>
      <c r="BP82" s="693">
        <f t="shared" si="55"/>
        <v>2</v>
      </c>
      <c r="BQ82" s="696"/>
      <c r="BR82" s="519"/>
      <c r="BT82" s="439">
        <f t="shared" si="56"/>
        <v>-9815</v>
      </c>
      <c r="BU82" s="439">
        <f t="shared" si="57"/>
        <v>-9815</v>
      </c>
      <c r="BV82" s="439">
        <f t="shared" si="58"/>
        <v>0</v>
      </c>
      <c r="BY82" s="862">
        <f t="shared" si="59"/>
        <v>883546.66099999996</v>
      </c>
      <c r="BZ82" s="862">
        <f t="shared" si="60"/>
        <v>378662.85499999998</v>
      </c>
      <c r="CA82" s="862">
        <f t="shared" si="61"/>
        <v>106025.60000000001</v>
      </c>
      <c r="CB82" s="862">
        <f t="shared" si="62"/>
        <v>11359.89</v>
      </c>
      <c r="CC82" s="863">
        <f t="shared" si="63"/>
        <v>989572.26</v>
      </c>
      <c r="CD82" s="863">
        <f t="shared" si="64"/>
        <v>390022.75</v>
      </c>
      <c r="CE82" s="864">
        <f t="shared" si="65"/>
        <v>1379595.01</v>
      </c>
      <c r="CF82" s="862">
        <f t="shared" si="66"/>
        <v>1.0000000009313226E-2</v>
      </c>
    </row>
    <row r="83" spans="1:84" s="429" customFormat="1" ht="13.9" customHeight="1" x14ac:dyDescent="0.25">
      <c r="A83" s="472"/>
      <c r="B83" s="436">
        <v>507</v>
      </c>
      <c r="C83" s="436" t="s">
        <v>465</v>
      </c>
      <c r="D83" s="436"/>
      <c r="E83" s="436" t="s">
        <v>366</v>
      </c>
      <c r="F83" s="429" t="s">
        <v>466</v>
      </c>
      <c r="G83" s="473">
        <v>45155</v>
      </c>
      <c r="H83" s="436" t="s">
        <v>128</v>
      </c>
      <c r="I83" s="472">
        <v>722900</v>
      </c>
      <c r="J83" s="472">
        <v>72300</v>
      </c>
      <c r="K83" s="507">
        <v>0</v>
      </c>
      <c r="L83" s="507">
        <v>0</v>
      </c>
      <c r="M83" s="507">
        <v>0</v>
      </c>
      <c r="N83" s="507">
        <v>0</v>
      </c>
      <c r="O83" s="507">
        <v>0</v>
      </c>
      <c r="P83" s="507">
        <v>6000</v>
      </c>
      <c r="Q83" s="507">
        <v>2652</v>
      </c>
      <c r="R83" s="507">
        <v>2652</v>
      </c>
      <c r="S83" s="507">
        <v>2652</v>
      </c>
      <c r="T83" s="507">
        <v>10252</v>
      </c>
      <c r="U83" s="507">
        <v>0</v>
      </c>
      <c r="V83" s="507">
        <v>2652</v>
      </c>
      <c r="W83" s="507">
        <v>2652</v>
      </c>
      <c r="X83" s="507">
        <v>2652</v>
      </c>
      <c r="Y83" s="507">
        <v>2652</v>
      </c>
      <c r="Z83" s="507">
        <v>2652</v>
      </c>
      <c r="AA83" s="507">
        <v>2652</v>
      </c>
      <c r="AB83" s="507">
        <v>2652</v>
      </c>
      <c r="AC83" s="507">
        <v>2652</v>
      </c>
      <c r="AD83" s="507">
        <v>2652</v>
      </c>
      <c r="AE83" s="507">
        <v>2652</v>
      </c>
      <c r="AF83" s="507">
        <v>2652</v>
      </c>
      <c r="AG83" s="507">
        <v>2652</v>
      </c>
      <c r="AH83" s="507">
        <v>2652</v>
      </c>
      <c r="AI83" s="507">
        <v>2652</v>
      </c>
      <c r="AJ83" s="507">
        <v>2652</v>
      </c>
      <c r="AK83" s="508">
        <v>2652</v>
      </c>
      <c r="AL83" s="508">
        <v>2652</v>
      </c>
      <c r="AM83" s="509">
        <v>2652</v>
      </c>
      <c r="AN83" s="509">
        <v>2652</v>
      </c>
      <c r="AO83" s="509">
        <v>2652</v>
      </c>
      <c r="AP83" s="509">
        <v>2652</v>
      </c>
      <c r="AQ83" s="509">
        <v>2652</v>
      </c>
      <c r="AR83" s="509"/>
      <c r="AS83" s="509"/>
      <c r="AT83" s="510">
        <f t="shared" si="67"/>
        <v>82552</v>
      </c>
      <c r="AU83" s="512">
        <f t="shared" si="38"/>
        <v>1.1417980636237897</v>
      </c>
      <c r="AV83" s="511">
        <f t="shared" si="39"/>
        <v>10252</v>
      </c>
      <c r="AW83" s="558">
        <f t="shared" si="40"/>
        <v>0.14179806362378977</v>
      </c>
      <c r="AX83" s="513">
        <f t="shared" si="41"/>
        <v>640348</v>
      </c>
      <c r="AY83" s="514">
        <f t="shared" si="42"/>
        <v>0.88580439894867891</v>
      </c>
      <c r="AZ83" s="513">
        <f t="shared" si="43"/>
        <v>72300</v>
      </c>
      <c r="BA83" s="515" t="str">
        <f t="shared" si="44"/>
        <v>Vendido</v>
      </c>
      <c r="BB83" s="516" t="str">
        <f t="shared" si="45"/>
        <v>Cliente Atrasado</v>
      </c>
      <c r="BC83" s="551">
        <v>25</v>
      </c>
      <c r="BD83" s="693">
        <f t="shared" si="46"/>
        <v>1</v>
      </c>
      <c r="BE83" s="693">
        <f t="shared" si="47"/>
        <v>26</v>
      </c>
      <c r="BF83" s="517">
        <v>6000</v>
      </c>
      <c r="BG83" s="517">
        <v>2652</v>
      </c>
      <c r="BH83" s="693">
        <f t="shared" si="48"/>
        <v>25</v>
      </c>
      <c r="BI83" s="693">
        <f t="shared" si="49"/>
        <v>29</v>
      </c>
      <c r="BJ83" s="655">
        <f t="shared" si="50"/>
        <v>82908</v>
      </c>
      <c r="BK83" s="518">
        <f t="shared" si="51"/>
        <v>66300</v>
      </c>
      <c r="BL83" s="518">
        <f t="shared" si="52"/>
        <v>16252</v>
      </c>
      <c r="BM83" s="518">
        <f t="shared" si="53"/>
        <v>0</v>
      </c>
      <c r="BN83" s="518">
        <f t="shared" si="54"/>
        <v>0</v>
      </c>
      <c r="BO83" s="655">
        <f t="shared" si="68"/>
        <v>356</v>
      </c>
      <c r="BP83" s="693">
        <f t="shared" si="55"/>
        <v>1</v>
      </c>
      <c r="BQ83" s="696"/>
      <c r="BR83" s="519"/>
      <c r="BT83" s="439">
        <f t="shared" si="56"/>
        <v>-356</v>
      </c>
      <c r="BU83" s="439">
        <f t="shared" si="57"/>
        <v>-356</v>
      </c>
      <c r="BV83" s="439">
        <f t="shared" si="58"/>
        <v>0</v>
      </c>
      <c r="BY83" s="862">
        <f t="shared" si="59"/>
        <v>462973.46799999999</v>
      </c>
      <c r="BZ83" s="862">
        <f t="shared" si="60"/>
        <v>198417.2</v>
      </c>
      <c r="CA83" s="862">
        <f t="shared" si="61"/>
        <v>55556.82</v>
      </c>
      <c r="CB83" s="862">
        <f t="shared" si="62"/>
        <v>5952.52</v>
      </c>
      <c r="CC83" s="863">
        <f t="shared" si="63"/>
        <v>518530.29</v>
      </c>
      <c r="CD83" s="863">
        <f t="shared" si="64"/>
        <v>204369.72</v>
      </c>
      <c r="CE83" s="864">
        <f t="shared" si="65"/>
        <v>722900.01</v>
      </c>
      <c r="CF83" s="862">
        <f t="shared" si="66"/>
        <v>1.0000000009313226E-2</v>
      </c>
    </row>
    <row r="84" spans="1:84" s="429" customFormat="1" ht="13.9" customHeight="1" x14ac:dyDescent="0.25">
      <c r="A84" s="472"/>
      <c r="B84" s="436">
        <v>508</v>
      </c>
      <c r="C84" s="436" t="s">
        <v>467</v>
      </c>
      <c r="D84" s="436"/>
      <c r="E84" s="436" t="s">
        <v>366</v>
      </c>
      <c r="F84" s="429" t="s">
        <v>468</v>
      </c>
      <c r="G84" s="473">
        <v>45394</v>
      </c>
      <c r="H84" s="436" t="s">
        <v>128</v>
      </c>
      <c r="I84" s="472">
        <v>1183693</v>
      </c>
      <c r="J84" s="472">
        <v>118393</v>
      </c>
      <c r="K84" s="507">
        <v>0</v>
      </c>
      <c r="L84" s="507">
        <v>0</v>
      </c>
      <c r="M84" s="507">
        <v>0</v>
      </c>
      <c r="N84" s="507">
        <v>0</v>
      </c>
      <c r="O84" s="507">
        <v>0</v>
      </c>
      <c r="P84" s="507">
        <v>0</v>
      </c>
      <c r="Q84" s="507">
        <v>0</v>
      </c>
      <c r="R84" s="507">
        <v>0</v>
      </c>
      <c r="S84" s="507">
        <v>0</v>
      </c>
      <c r="T84" s="507">
        <v>0</v>
      </c>
      <c r="U84" s="507">
        <v>0</v>
      </c>
      <c r="V84" s="507">
        <v>0</v>
      </c>
      <c r="W84" s="507">
        <v>0</v>
      </c>
      <c r="X84" s="507">
        <v>8000</v>
      </c>
      <c r="Y84" s="507">
        <v>6500</v>
      </c>
      <c r="Z84" s="507">
        <v>6500</v>
      </c>
      <c r="AA84" s="507">
        <v>6500</v>
      </c>
      <c r="AB84" s="507">
        <v>6500</v>
      </c>
      <c r="AC84" s="507">
        <v>13000</v>
      </c>
      <c r="AD84" s="507">
        <v>0</v>
      </c>
      <c r="AE84" s="507">
        <v>6500</v>
      </c>
      <c r="AF84" s="507">
        <f>6500+6500</f>
        <v>13000</v>
      </c>
      <c r="AG84" s="507">
        <v>0</v>
      </c>
      <c r="AH84" s="507">
        <v>6500</v>
      </c>
      <c r="AI84" s="507">
        <v>6500</v>
      </c>
      <c r="AJ84" s="507">
        <v>6500</v>
      </c>
      <c r="AK84" s="509">
        <v>6500</v>
      </c>
      <c r="AL84" s="509">
        <v>6500</v>
      </c>
      <c r="AM84" s="509"/>
      <c r="AN84" s="509">
        <v>6500</v>
      </c>
      <c r="AO84" s="509">
        <v>6500</v>
      </c>
      <c r="AP84" s="509">
        <v>6500</v>
      </c>
      <c r="AQ84" s="509">
        <v>6500</v>
      </c>
      <c r="AR84" s="509">
        <v>6500</v>
      </c>
      <c r="AS84" s="509">
        <v>6500</v>
      </c>
      <c r="AT84" s="510">
        <f t="shared" si="67"/>
        <v>138000</v>
      </c>
      <c r="AU84" s="512">
        <f t="shared" si="38"/>
        <v>1.1656094532615948</v>
      </c>
      <c r="AV84" s="511">
        <f t="shared" si="39"/>
        <v>19607</v>
      </c>
      <c r="AW84" s="558">
        <f t="shared" si="40"/>
        <v>0.16560945326159485</v>
      </c>
      <c r="AX84" s="513">
        <f t="shared" si="41"/>
        <v>1045693</v>
      </c>
      <c r="AY84" s="514">
        <f t="shared" si="42"/>
        <v>0.883415716744122</v>
      </c>
      <c r="AZ84" s="513">
        <f t="shared" si="43"/>
        <v>118393</v>
      </c>
      <c r="BA84" s="515" t="str">
        <f t="shared" si="44"/>
        <v>Vendido</v>
      </c>
      <c r="BB84" s="516" t="str">
        <f t="shared" si="45"/>
        <v>Cliente Atrasado</v>
      </c>
      <c r="BC84" s="551">
        <v>17</v>
      </c>
      <c r="BD84" s="693">
        <f t="shared" si="46"/>
        <v>1</v>
      </c>
      <c r="BE84" s="693">
        <f t="shared" si="47"/>
        <v>18</v>
      </c>
      <c r="BF84" s="517">
        <v>8000</v>
      </c>
      <c r="BG84" s="517">
        <v>6494</v>
      </c>
      <c r="BH84" s="693">
        <f t="shared" si="48"/>
        <v>16</v>
      </c>
      <c r="BI84" s="693">
        <f t="shared" si="49"/>
        <v>21</v>
      </c>
      <c r="BJ84" s="655">
        <f t="shared" si="50"/>
        <v>144374</v>
      </c>
      <c r="BK84" s="518">
        <f t="shared" si="51"/>
        <v>0</v>
      </c>
      <c r="BL84" s="518">
        <f t="shared" si="52"/>
        <v>138000</v>
      </c>
      <c r="BM84" s="518">
        <f t="shared" si="53"/>
        <v>0</v>
      </c>
      <c r="BN84" s="518">
        <f t="shared" si="54"/>
        <v>0</v>
      </c>
      <c r="BO84" s="655">
        <f t="shared" si="68"/>
        <v>6374</v>
      </c>
      <c r="BP84" s="693">
        <f t="shared" si="55"/>
        <v>1</v>
      </c>
      <c r="BQ84" s="696"/>
      <c r="BR84" s="519"/>
      <c r="BT84" s="439">
        <f t="shared" si="56"/>
        <v>-6374</v>
      </c>
      <c r="BU84" s="439">
        <f t="shared" si="57"/>
        <v>-6374</v>
      </c>
      <c r="BV84" s="439">
        <f t="shared" si="58"/>
        <v>0</v>
      </c>
      <c r="BY84" s="862">
        <f t="shared" si="59"/>
        <v>758083.34900000005</v>
      </c>
      <c r="BZ84" s="862">
        <f t="shared" si="60"/>
        <v>324892.864</v>
      </c>
      <c r="CA84" s="862">
        <f t="shared" si="61"/>
        <v>90970</v>
      </c>
      <c r="CB84" s="862">
        <f t="shared" si="62"/>
        <v>9746.7900000000009</v>
      </c>
      <c r="CC84" s="863">
        <f t="shared" si="63"/>
        <v>849053.35</v>
      </c>
      <c r="CD84" s="863">
        <f t="shared" si="64"/>
        <v>334639.65000000002</v>
      </c>
      <c r="CE84" s="864">
        <f t="shared" si="65"/>
        <v>1183693</v>
      </c>
      <c r="CF84" s="862">
        <f t="shared" si="66"/>
        <v>0</v>
      </c>
    </row>
    <row r="85" spans="1:84" s="429" customFormat="1" ht="13.9" customHeight="1" x14ac:dyDescent="0.25">
      <c r="A85" s="472"/>
      <c r="B85" s="436">
        <v>509</v>
      </c>
      <c r="C85" s="436" t="s">
        <v>469</v>
      </c>
      <c r="D85" s="436"/>
      <c r="E85" s="436" t="s">
        <v>366</v>
      </c>
      <c r="F85" s="429" t="s">
        <v>470</v>
      </c>
      <c r="G85" s="473">
        <v>45473</v>
      </c>
      <c r="H85" s="436" t="s">
        <v>128</v>
      </c>
      <c r="I85" s="472">
        <v>1181561.5</v>
      </c>
      <c r="J85" s="472">
        <v>118161.5</v>
      </c>
      <c r="K85" s="507">
        <v>0</v>
      </c>
      <c r="L85" s="507">
        <v>0</v>
      </c>
      <c r="M85" s="507">
        <v>0</v>
      </c>
      <c r="N85" s="507">
        <v>0</v>
      </c>
      <c r="O85" s="507">
        <v>0</v>
      </c>
      <c r="P85" s="507">
        <v>0</v>
      </c>
      <c r="Q85" s="507">
        <v>0</v>
      </c>
      <c r="R85" s="507">
        <v>0</v>
      </c>
      <c r="S85" s="507">
        <v>0</v>
      </c>
      <c r="T85" s="507">
        <v>0</v>
      </c>
      <c r="U85" s="507">
        <v>0</v>
      </c>
      <c r="V85" s="507">
        <v>0</v>
      </c>
      <c r="W85" s="507">
        <v>0</v>
      </c>
      <c r="X85" s="507">
        <v>0</v>
      </c>
      <c r="Y85" s="507">
        <v>0</v>
      </c>
      <c r="Z85" s="507">
        <v>10000</v>
      </c>
      <c r="AA85" s="507">
        <v>0</v>
      </c>
      <c r="AB85" s="507">
        <v>6009</v>
      </c>
      <c r="AC85" s="507">
        <v>6009</v>
      </c>
      <c r="AD85" s="507">
        <v>0</v>
      </c>
      <c r="AE85" s="507">
        <v>6009</v>
      </c>
      <c r="AF85" s="507">
        <v>12018</v>
      </c>
      <c r="AG85" s="507">
        <f>6009+6009</f>
        <v>12018</v>
      </c>
      <c r="AH85" s="507">
        <v>0</v>
      </c>
      <c r="AI85" s="507">
        <v>6009</v>
      </c>
      <c r="AJ85" s="507">
        <v>6009</v>
      </c>
      <c r="AK85" s="508"/>
      <c r="AL85" s="508">
        <v>6009</v>
      </c>
      <c r="AM85" s="509">
        <v>18027</v>
      </c>
      <c r="AN85" s="509">
        <v>6009</v>
      </c>
      <c r="AO85" s="509">
        <v>0</v>
      </c>
      <c r="AP85" s="509">
        <v>0</v>
      </c>
      <c r="AQ85" s="509">
        <v>0</v>
      </c>
      <c r="AR85" s="509">
        <v>24039</v>
      </c>
      <c r="AS85" s="509"/>
      <c r="AT85" s="510">
        <f t="shared" si="67"/>
        <v>118165</v>
      </c>
      <c r="AU85" s="512">
        <f t="shared" si="38"/>
        <v>1.0000296204770589</v>
      </c>
      <c r="AV85" s="511">
        <f t="shared" si="39"/>
        <v>3.5</v>
      </c>
      <c r="AW85" s="558">
        <f t="shared" si="40"/>
        <v>2.9620477058940519E-5</v>
      </c>
      <c r="AX85" s="513">
        <f t="shared" si="41"/>
        <v>1063396.5</v>
      </c>
      <c r="AY85" s="514">
        <f t="shared" si="42"/>
        <v>0.89999250991167201</v>
      </c>
      <c r="AZ85" s="513">
        <f t="shared" si="43"/>
        <v>118161.5</v>
      </c>
      <c r="BA85" s="515" t="str">
        <f t="shared" si="44"/>
        <v>Vendido</v>
      </c>
      <c r="BB85" s="516" t="str">
        <f t="shared" si="45"/>
        <v>Superávit de Enganche</v>
      </c>
      <c r="BC85" s="551">
        <v>18</v>
      </c>
      <c r="BD85" s="693">
        <f t="shared" si="46"/>
        <v>1</v>
      </c>
      <c r="BE85" s="693">
        <f t="shared" si="47"/>
        <v>19</v>
      </c>
      <c r="BF85" s="517">
        <v>10000</v>
      </c>
      <c r="BG85" s="517">
        <v>6009</v>
      </c>
      <c r="BH85" s="693">
        <f t="shared" si="48"/>
        <v>7</v>
      </c>
      <c r="BI85" s="693">
        <f t="shared" si="49"/>
        <v>18</v>
      </c>
      <c r="BJ85" s="655">
        <f t="shared" si="50"/>
        <v>118162</v>
      </c>
      <c r="BK85" s="518">
        <f t="shared" si="51"/>
        <v>42063</v>
      </c>
      <c r="BL85" s="518">
        <f t="shared" si="52"/>
        <v>76102</v>
      </c>
      <c r="BM85" s="518">
        <f t="shared" si="53"/>
        <v>0</v>
      </c>
      <c r="BN85" s="518">
        <f t="shared" si="54"/>
        <v>3</v>
      </c>
      <c r="BO85" s="655">
        <f t="shared" si="68"/>
        <v>0</v>
      </c>
      <c r="BP85" s="693">
        <f t="shared" si="55"/>
        <v>0</v>
      </c>
      <c r="BQ85" s="696"/>
      <c r="BR85" s="519" t="s">
        <v>471</v>
      </c>
      <c r="BT85" s="439">
        <f t="shared" si="56"/>
        <v>3</v>
      </c>
      <c r="BU85" s="439">
        <f t="shared" si="57"/>
        <v>3</v>
      </c>
      <c r="BV85" s="439">
        <f t="shared" si="58"/>
        <v>0</v>
      </c>
      <c r="BY85" s="862">
        <f t="shared" si="59"/>
        <v>756718.25300000003</v>
      </c>
      <c r="BZ85" s="862">
        <f t="shared" si="60"/>
        <v>324307.82299999997</v>
      </c>
      <c r="CA85" s="862">
        <f t="shared" si="61"/>
        <v>90806.19</v>
      </c>
      <c r="CB85" s="862">
        <f t="shared" si="62"/>
        <v>9729.23</v>
      </c>
      <c r="CC85" s="863">
        <f t="shared" si="63"/>
        <v>847524.44</v>
      </c>
      <c r="CD85" s="863">
        <f t="shared" si="64"/>
        <v>334037.05</v>
      </c>
      <c r="CE85" s="864">
        <f t="shared" si="65"/>
        <v>1181561.49</v>
      </c>
      <c r="CF85" s="862">
        <f t="shared" si="66"/>
        <v>-1.0000000009313226E-2</v>
      </c>
    </row>
    <row r="86" spans="1:84" s="429" customFormat="1" ht="13.9" customHeight="1" x14ac:dyDescent="0.25">
      <c r="A86" s="472"/>
      <c r="B86" s="436">
        <v>510</v>
      </c>
      <c r="C86" s="436" t="s">
        <v>467</v>
      </c>
      <c r="D86" s="436"/>
      <c r="E86" s="436" t="s">
        <v>366</v>
      </c>
      <c r="F86" s="429" t="s">
        <v>472</v>
      </c>
      <c r="G86" s="473">
        <v>45352</v>
      </c>
      <c r="H86" s="436" t="s">
        <v>128</v>
      </c>
      <c r="I86" s="472">
        <v>1183693</v>
      </c>
      <c r="J86" s="472">
        <v>118393</v>
      </c>
      <c r="K86" s="507">
        <v>0</v>
      </c>
      <c r="L86" s="507">
        <v>0</v>
      </c>
      <c r="M86" s="507">
        <v>0</v>
      </c>
      <c r="N86" s="507">
        <v>0</v>
      </c>
      <c r="O86" s="507">
        <v>0</v>
      </c>
      <c r="P86" s="507">
        <v>0</v>
      </c>
      <c r="Q86" s="507">
        <v>0</v>
      </c>
      <c r="R86" s="507">
        <v>0</v>
      </c>
      <c r="S86" s="507">
        <v>0</v>
      </c>
      <c r="T86" s="507">
        <v>0</v>
      </c>
      <c r="U86" s="507">
        <v>0</v>
      </c>
      <c r="V86" s="507">
        <v>0</v>
      </c>
      <c r="W86" s="507">
        <v>8000</v>
      </c>
      <c r="X86" s="507">
        <v>6133</v>
      </c>
      <c r="Y86" s="507">
        <v>6133</v>
      </c>
      <c r="Z86" s="507">
        <v>6133</v>
      </c>
      <c r="AA86" s="507">
        <v>6133</v>
      </c>
      <c r="AB86" s="507">
        <v>6133</v>
      </c>
      <c r="AC86" s="507">
        <v>6133</v>
      </c>
      <c r="AD86" s="507">
        <v>6133</v>
      </c>
      <c r="AE86" s="507">
        <v>6133.33</v>
      </c>
      <c r="AF86" s="507">
        <v>6133.33</v>
      </c>
      <c r="AG86" s="507">
        <v>6133.33</v>
      </c>
      <c r="AH86" s="507">
        <v>6133.33</v>
      </c>
      <c r="AI86" s="507">
        <v>6133.33</v>
      </c>
      <c r="AJ86" s="507">
        <v>6133.33</v>
      </c>
      <c r="AK86" s="508">
        <v>6133.33</v>
      </c>
      <c r="AL86" s="508">
        <v>6133.33</v>
      </c>
      <c r="AM86" s="509">
        <v>6000</v>
      </c>
      <c r="AN86" s="509">
        <v>4395.3599999999997</v>
      </c>
      <c r="AO86" s="509">
        <v>4000</v>
      </c>
      <c r="AP86" s="509">
        <v>0</v>
      </c>
      <c r="AQ86" s="509">
        <v>0</v>
      </c>
      <c r="AR86" s="509"/>
      <c r="AS86" s="509"/>
      <c r="AT86" s="510">
        <f t="shared" si="67"/>
        <v>114393.00000000001</v>
      </c>
      <c r="AU86" s="512">
        <f t="shared" si="38"/>
        <v>0.96621421874604085</v>
      </c>
      <c r="AV86" s="511">
        <f t="shared" si="39"/>
        <v>-3999.9999999999854</v>
      </c>
      <c r="AW86" s="558">
        <f t="shared" si="40"/>
        <v>-3.3785781253959146E-2</v>
      </c>
      <c r="AX86" s="513">
        <f t="shared" si="41"/>
        <v>1069300</v>
      </c>
      <c r="AY86" s="514">
        <f t="shared" si="42"/>
        <v>0.90335923250369821</v>
      </c>
      <c r="AZ86" s="513">
        <f t="shared" si="43"/>
        <v>118393</v>
      </c>
      <c r="BA86" s="515" t="str">
        <f t="shared" si="44"/>
        <v>Vendido</v>
      </c>
      <c r="BB86" s="516" t="str">
        <f t="shared" si="45"/>
        <v>Cliente Atrasado</v>
      </c>
      <c r="BC86" s="551">
        <v>18</v>
      </c>
      <c r="BD86" s="693">
        <f t="shared" si="46"/>
        <v>1</v>
      </c>
      <c r="BE86" s="693">
        <f t="shared" si="47"/>
        <v>19</v>
      </c>
      <c r="BF86" s="517">
        <v>8000</v>
      </c>
      <c r="BG86" s="517">
        <v>6133</v>
      </c>
      <c r="BH86" s="693">
        <f t="shared" si="48"/>
        <v>18</v>
      </c>
      <c r="BI86" s="693">
        <f t="shared" si="49"/>
        <v>22</v>
      </c>
      <c r="BJ86" s="655">
        <f t="shared" si="50"/>
        <v>142926</v>
      </c>
      <c r="BK86" s="518">
        <f t="shared" si="51"/>
        <v>57326.36</v>
      </c>
      <c r="BL86" s="518">
        <f t="shared" si="52"/>
        <v>57066.640000000007</v>
      </c>
      <c r="BM86" s="518">
        <f t="shared" si="53"/>
        <v>0</v>
      </c>
      <c r="BN86" s="518">
        <f t="shared" si="54"/>
        <v>0</v>
      </c>
      <c r="BO86" s="655">
        <f t="shared" si="68"/>
        <v>28532.999999999985</v>
      </c>
      <c r="BP86" s="693">
        <f t="shared" si="55"/>
        <v>5</v>
      </c>
      <c r="BQ86" s="696"/>
      <c r="BR86" s="519"/>
      <c r="BT86" s="439">
        <f t="shared" si="56"/>
        <v>-28532.999999999985</v>
      </c>
      <c r="BU86" s="439">
        <f t="shared" si="57"/>
        <v>-28532.999999999985</v>
      </c>
      <c r="BV86" s="439">
        <f t="shared" si="58"/>
        <v>0</v>
      </c>
      <c r="BY86" s="862">
        <f t="shared" si="59"/>
        <v>758083.34900000005</v>
      </c>
      <c r="BZ86" s="862">
        <f t="shared" si="60"/>
        <v>324892.864</v>
      </c>
      <c r="CA86" s="862">
        <f t="shared" si="61"/>
        <v>90970</v>
      </c>
      <c r="CB86" s="862">
        <f t="shared" si="62"/>
        <v>9746.7900000000009</v>
      </c>
      <c r="CC86" s="863">
        <f t="shared" si="63"/>
        <v>849053.35</v>
      </c>
      <c r="CD86" s="863">
        <f t="shared" si="64"/>
        <v>334639.65000000002</v>
      </c>
      <c r="CE86" s="864">
        <f t="shared" si="65"/>
        <v>1183693</v>
      </c>
      <c r="CF86" s="862">
        <f t="shared" si="66"/>
        <v>0</v>
      </c>
    </row>
    <row r="87" spans="1:84" s="429" customFormat="1" ht="13.9" customHeight="1" x14ac:dyDescent="0.25">
      <c r="A87" s="472"/>
      <c r="B87" s="436">
        <v>511</v>
      </c>
      <c r="C87" s="436" t="s">
        <v>469</v>
      </c>
      <c r="D87" s="436"/>
      <c r="E87" s="436" t="s">
        <v>366</v>
      </c>
      <c r="F87" s="429" t="s">
        <v>473</v>
      </c>
      <c r="G87" s="473">
        <v>45470</v>
      </c>
      <c r="H87" s="436" t="s">
        <v>128</v>
      </c>
      <c r="I87" s="472">
        <v>1181561.5</v>
      </c>
      <c r="J87" s="472">
        <v>118161.5</v>
      </c>
      <c r="K87" s="507">
        <v>0</v>
      </c>
      <c r="L87" s="507">
        <v>0</v>
      </c>
      <c r="M87" s="507">
        <v>0</v>
      </c>
      <c r="N87" s="507">
        <v>0</v>
      </c>
      <c r="O87" s="507">
        <v>0</v>
      </c>
      <c r="P87" s="507">
        <v>0</v>
      </c>
      <c r="Q87" s="507">
        <v>0</v>
      </c>
      <c r="R87" s="507">
        <v>0</v>
      </c>
      <c r="S87" s="507">
        <v>0</v>
      </c>
      <c r="T87" s="507">
        <v>0</v>
      </c>
      <c r="U87" s="507">
        <v>0</v>
      </c>
      <c r="V87" s="507">
        <v>0</v>
      </c>
      <c r="W87" s="507">
        <v>0</v>
      </c>
      <c r="X87" s="507">
        <v>0</v>
      </c>
      <c r="Y87" s="507">
        <v>0</v>
      </c>
      <c r="Z87" s="507">
        <v>5000</v>
      </c>
      <c r="AA87" s="507">
        <v>15000</v>
      </c>
      <c r="AB87" s="507">
        <v>6009</v>
      </c>
      <c r="AC87" s="507">
        <v>16009</v>
      </c>
      <c r="AD87" s="507">
        <v>6009</v>
      </c>
      <c r="AE87" s="507">
        <v>10000</v>
      </c>
      <c r="AF87" s="507">
        <v>0</v>
      </c>
      <c r="AG87" s="507">
        <f>15000+10000</f>
        <v>25000</v>
      </c>
      <c r="AH87" s="507">
        <v>7500</v>
      </c>
      <c r="AI87" s="507">
        <v>10000</v>
      </c>
      <c r="AJ87" s="507">
        <v>0</v>
      </c>
      <c r="AK87" s="508">
        <v>10000</v>
      </c>
      <c r="AL87" s="508"/>
      <c r="AM87" s="509">
        <v>7500</v>
      </c>
      <c r="AN87" s="509">
        <v>10000</v>
      </c>
      <c r="AO87" s="509">
        <v>10000</v>
      </c>
      <c r="AP87" s="509">
        <v>0</v>
      </c>
      <c r="AQ87" s="509">
        <v>0</v>
      </c>
      <c r="AR87" s="509"/>
      <c r="AS87" s="509">
        <v>20000</v>
      </c>
      <c r="AT87" s="510">
        <f t="shared" si="67"/>
        <v>158027</v>
      </c>
      <c r="AU87" s="512">
        <f t="shared" si="38"/>
        <v>1.3373814651980551</v>
      </c>
      <c r="AV87" s="511">
        <f t="shared" si="39"/>
        <v>39865.5</v>
      </c>
      <c r="AW87" s="558">
        <f t="shared" si="40"/>
        <v>0.33738146519805523</v>
      </c>
      <c r="AX87" s="513">
        <f t="shared" si="41"/>
        <v>1023534.5</v>
      </c>
      <c r="AY87" s="514">
        <f t="shared" si="42"/>
        <v>0.86625579794196073</v>
      </c>
      <c r="AZ87" s="513">
        <f t="shared" si="43"/>
        <v>118161.5</v>
      </c>
      <c r="BA87" s="515" t="str">
        <f t="shared" si="44"/>
        <v>Vendido</v>
      </c>
      <c r="BB87" s="516" t="str">
        <f t="shared" si="45"/>
        <v>Superávit de Enganche</v>
      </c>
      <c r="BC87" s="551">
        <v>18</v>
      </c>
      <c r="BD87" s="693">
        <f t="shared" si="46"/>
        <v>1</v>
      </c>
      <c r="BE87" s="693">
        <f t="shared" si="47"/>
        <v>19</v>
      </c>
      <c r="BF87" s="517">
        <v>10000</v>
      </c>
      <c r="BG87" s="517">
        <v>6009</v>
      </c>
      <c r="BH87" s="693">
        <f t="shared" si="48"/>
        <v>5</v>
      </c>
      <c r="BI87" s="693">
        <f t="shared" si="49"/>
        <v>18</v>
      </c>
      <c r="BJ87" s="655">
        <f t="shared" si="50"/>
        <v>118162</v>
      </c>
      <c r="BK87" s="518">
        <f t="shared" si="51"/>
        <v>17018</v>
      </c>
      <c r="BL87" s="518">
        <f t="shared" si="52"/>
        <v>141009</v>
      </c>
      <c r="BM87" s="518">
        <f t="shared" si="53"/>
        <v>0</v>
      </c>
      <c r="BN87" s="518">
        <f t="shared" si="54"/>
        <v>39865</v>
      </c>
      <c r="BO87" s="655">
        <f t="shared" si="68"/>
        <v>0</v>
      </c>
      <c r="BP87" s="693">
        <f t="shared" si="55"/>
        <v>0</v>
      </c>
      <c r="BQ87" s="696"/>
      <c r="BR87" s="519"/>
      <c r="BT87" s="439">
        <f t="shared" si="56"/>
        <v>39865</v>
      </c>
      <c r="BU87" s="439">
        <f t="shared" si="57"/>
        <v>39865</v>
      </c>
      <c r="BV87" s="439">
        <f t="shared" si="58"/>
        <v>0</v>
      </c>
      <c r="BY87" s="862">
        <f t="shared" si="59"/>
        <v>756718.25300000003</v>
      </c>
      <c r="BZ87" s="862">
        <f t="shared" si="60"/>
        <v>324307.82299999997</v>
      </c>
      <c r="CA87" s="862">
        <f t="shared" si="61"/>
        <v>90806.19</v>
      </c>
      <c r="CB87" s="862">
        <f t="shared" si="62"/>
        <v>9729.23</v>
      </c>
      <c r="CC87" s="863">
        <f t="shared" si="63"/>
        <v>847524.44</v>
      </c>
      <c r="CD87" s="863">
        <f t="shared" si="64"/>
        <v>334037.05</v>
      </c>
      <c r="CE87" s="864">
        <f t="shared" si="65"/>
        <v>1181561.49</v>
      </c>
      <c r="CF87" s="862">
        <f t="shared" si="66"/>
        <v>-1.0000000009313226E-2</v>
      </c>
    </row>
    <row r="88" spans="1:84" s="429" customFormat="1" ht="13.9" customHeight="1" x14ac:dyDescent="0.25">
      <c r="A88" s="472"/>
      <c r="B88" s="436">
        <v>512</v>
      </c>
      <c r="C88" s="436" t="s">
        <v>406</v>
      </c>
      <c r="D88" s="436"/>
      <c r="E88" s="436" t="s">
        <v>366</v>
      </c>
      <c r="F88" s="429" t="s">
        <v>474</v>
      </c>
      <c r="G88" s="473">
        <v>45125</v>
      </c>
      <c r="H88" s="436" t="s">
        <v>128</v>
      </c>
      <c r="I88" s="472">
        <v>703500</v>
      </c>
      <c r="J88" s="472">
        <v>70400</v>
      </c>
      <c r="K88" s="507">
        <v>0</v>
      </c>
      <c r="L88" s="507">
        <v>0</v>
      </c>
      <c r="M88" s="507">
        <v>0</v>
      </c>
      <c r="N88" s="507">
        <v>0</v>
      </c>
      <c r="O88" s="507">
        <v>6000</v>
      </c>
      <c r="P88" s="507">
        <v>2477</v>
      </c>
      <c r="Q88" s="507">
        <v>2477</v>
      </c>
      <c r="R88" s="507">
        <v>2477</v>
      </c>
      <c r="S88" s="507">
        <v>2477</v>
      </c>
      <c r="T88" s="507">
        <v>0</v>
      </c>
      <c r="U88" s="507">
        <v>4954</v>
      </c>
      <c r="V88" s="507">
        <v>2477</v>
      </c>
      <c r="W88" s="507">
        <v>2477</v>
      </c>
      <c r="X88" s="507">
        <v>2477</v>
      </c>
      <c r="Y88" s="507">
        <v>2477</v>
      </c>
      <c r="Z88" s="507">
        <v>2477</v>
      </c>
      <c r="AA88" s="507">
        <v>2477</v>
      </c>
      <c r="AB88" s="507">
        <v>2477</v>
      </c>
      <c r="AC88" s="507">
        <v>0</v>
      </c>
      <c r="AD88" s="507">
        <v>2477</v>
      </c>
      <c r="AE88" s="507">
        <v>2477</v>
      </c>
      <c r="AF88" s="507">
        <v>0</v>
      </c>
      <c r="AG88" s="507">
        <v>0</v>
      </c>
      <c r="AH88" s="507">
        <f>4954+4954</f>
        <v>9908</v>
      </c>
      <c r="AI88" s="507">
        <v>0</v>
      </c>
      <c r="AJ88" s="507">
        <v>4954</v>
      </c>
      <c r="AK88" s="508">
        <v>2477</v>
      </c>
      <c r="AL88" s="508"/>
      <c r="AM88" s="509">
        <f>2477+2477</f>
        <v>4954</v>
      </c>
      <c r="AN88" s="509">
        <v>0</v>
      </c>
      <c r="AO88" s="509">
        <v>2477</v>
      </c>
      <c r="AP88" s="509">
        <v>2477</v>
      </c>
      <c r="AQ88" s="509">
        <v>0</v>
      </c>
      <c r="AR88" s="509"/>
      <c r="AS88" s="509"/>
      <c r="AT88" s="510">
        <f t="shared" si="67"/>
        <v>70402</v>
      </c>
      <c r="AU88" s="512">
        <f t="shared" si="38"/>
        <v>1.0000284090909091</v>
      </c>
      <c r="AV88" s="511">
        <f t="shared" si="39"/>
        <v>2</v>
      </c>
      <c r="AW88" s="558">
        <f t="shared" si="40"/>
        <v>2.8409090909090909E-5</v>
      </c>
      <c r="AX88" s="513">
        <f t="shared" si="41"/>
        <v>633098</v>
      </c>
      <c r="AY88" s="514">
        <f t="shared" si="42"/>
        <v>0.8999260838663824</v>
      </c>
      <c r="AZ88" s="513">
        <f t="shared" si="43"/>
        <v>70400</v>
      </c>
      <c r="BA88" s="515" t="str">
        <f t="shared" si="44"/>
        <v>Vendido</v>
      </c>
      <c r="BB88" s="516" t="str">
        <f t="shared" si="45"/>
        <v>Cliente Atrasado</v>
      </c>
      <c r="BC88" s="551">
        <v>26</v>
      </c>
      <c r="BD88" s="693">
        <f t="shared" si="46"/>
        <v>1</v>
      </c>
      <c r="BE88" s="693">
        <f t="shared" si="47"/>
        <v>27</v>
      </c>
      <c r="BF88" s="517">
        <v>6000</v>
      </c>
      <c r="BG88" s="517">
        <v>2477</v>
      </c>
      <c r="BH88" s="693">
        <f t="shared" si="48"/>
        <v>19</v>
      </c>
      <c r="BI88" s="693">
        <f t="shared" si="49"/>
        <v>30</v>
      </c>
      <c r="BJ88" s="655">
        <f t="shared" si="50"/>
        <v>80310</v>
      </c>
      <c r="BK88" s="518">
        <f t="shared" si="51"/>
        <v>39632</v>
      </c>
      <c r="BL88" s="518">
        <f t="shared" si="52"/>
        <v>30770</v>
      </c>
      <c r="BM88" s="518">
        <f t="shared" si="53"/>
        <v>0</v>
      </c>
      <c r="BN88" s="518">
        <f t="shared" si="54"/>
        <v>0</v>
      </c>
      <c r="BO88" s="655">
        <f t="shared" si="68"/>
        <v>9908</v>
      </c>
      <c r="BP88" s="693">
        <f t="shared" si="55"/>
        <v>4</v>
      </c>
      <c r="BQ88" s="696"/>
      <c r="BR88" s="519"/>
      <c r="BT88" s="439">
        <f t="shared" si="56"/>
        <v>-9908</v>
      </c>
      <c r="BU88" s="439">
        <f t="shared" si="57"/>
        <v>-9908</v>
      </c>
      <c r="BV88" s="439">
        <f t="shared" si="58"/>
        <v>0</v>
      </c>
      <c r="BY88" s="862">
        <f t="shared" si="59"/>
        <v>450548.94799999997</v>
      </c>
      <c r="BZ88" s="862">
        <f t="shared" si="60"/>
        <v>193092.40599999999</v>
      </c>
      <c r="CA88" s="862">
        <f t="shared" si="61"/>
        <v>54065.87</v>
      </c>
      <c r="CB88" s="862">
        <f t="shared" si="62"/>
        <v>5792.77</v>
      </c>
      <c r="CC88" s="863">
        <f t="shared" si="63"/>
        <v>504614.82</v>
      </c>
      <c r="CD88" s="863">
        <f t="shared" si="64"/>
        <v>198885.18</v>
      </c>
      <c r="CE88" s="864">
        <f t="shared" si="65"/>
        <v>703500</v>
      </c>
      <c r="CF88" s="862">
        <f t="shared" si="66"/>
        <v>0</v>
      </c>
    </row>
    <row r="89" spans="1:84" s="429" customFormat="1" ht="13.9" customHeight="1" x14ac:dyDescent="0.25">
      <c r="A89" s="472"/>
      <c r="B89" s="436">
        <v>513</v>
      </c>
      <c r="C89" s="436" t="s">
        <v>181</v>
      </c>
      <c r="D89" s="436"/>
      <c r="E89" s="436" t="s">
        <v>366</v>
      </c>
      <c r="F89" s="429" t="s">
        <v>475</v>
      </c>
      <c r="G89" s="473">
        <v>45123</v>
      </c>
      <c r="H89" s="436" t="s">
        <v>128</v>
      </c>
      <c r="I89" s="472">
        <v>687500</v>
      </c>
      <c r="J89" s="472">
        <v>68800</v>
      </c>
      <c r="K89" s="507">
        <v>0</v>
      </c>
      <c r="L89" s="507">
        <v>0</v>
      </c>
      <c r="M89" s="507">
        <v>0</v>
      </c>
      <c r="N89" s="507">
        <v>0</v>
      </c>
      <c r="O89" s="507">
        <v>6000</v>
      </c>
      <c r="P89" s="507">
        <v>0</v>
      </c>
      <c r="Q89" s="507">
        <v>7245</v>
      </c>
      <c r="R89" s="507">
        <v>2415</v>
      </c>
      <c r="S89" s="507">
        <v>0</v>
      </c>
      <c r="T89" s="507">
        <v>0</v>
      </c>
      <c r="U89" s="507">
        <v>4830</v>
      </c>
      <c r="V89" s="507">
        <v>2415</v>
      </c>
      <c r="W89" s="507">
        <v>0</v>
      </c>
      <c r="X89" s="507">
        <v>7245</v>
      </c>
      <c r="Y89" s="507">
        <v>2415</v>
      </c>
      <c r="Z89" s="507">
        <v>0</v>
      </c>
      <c r="AA89" s="507">
        <f>2415+2415</f>
        <v>4830</v>
      </c>
      <c r="AB89" s="507">
        <v>0</v>
      </c>
      <c r="AC89" s="507">
        <f>2415+2415</f>
        <v>4830</v>
      </c>
      <c r="AD89" s="507">
        <v>2415</v>
      </c>
      <c r="AE89" s="507">
        <v>2415</v>
      </c>
      <c r="AF89" s="507">
        <v>2415</v>
      </c>
      <c r="AG89" s="507">
        <v>2415</v>
      </c>
      <c r="AH89" s="507">
        <v>2415</v>
      </c>
      <c r="AI89" s="507">
        <v>0</v>
      </c>
      <c r="AJ89" s="527">
        <v>2415</v>
      </c>
      <c r="AK89" s="509">
        <v>2415</v>
      </c>
      <c r="AL89" s="509">
        <f>2415+2415</f>
        <v>4830</v>
      </c>
      <c r="AM89" s="509"/>
      <c r="AN89" s="509">
        <v>0</v>
      </c>
      <c r="AO89" s="509">
        <v>2415</v>
      </c>
      <c r="AP89" s="509">
        <f>2415+2415</f>
        <v>4830</v>
      </c>
      <c r="AQ89" s="509">
        <v>2415</v>
      </c>
      <c r="AR89" s="509">
        <v>2415</v>
      </c>
      <c r="AS89" s="509"/>
      <c r="AT89" s="510">
        <f t="shared" si="67"/>
        <v>76035</v>
      </c>
      <c r="AU89" s="512">
        <f t="shared" si="38"/>
        <v>1.1051598837209302</v>
      </c>
      <c r="AV89" s="511">
        <f t="shared" si="39"/>
        <v>7235</v>
      </c>
      <c r="AW89" s="558">
        <f t="shared" si="40"/>
        <v>0.10515988372093023</v>
      </c>
      <c r="AX89" s="513">
        <f t="shared" si="41"/>
        <v>611465</v>
      </c>
      <c r="AY89" s="514">
        <f t="shared" si="42"/>
        <v>0.8894036363636364</v>
      </c>
      <c r="AZ89" s="513">
        <f t="shared" si="43"/>
        <v>68800</v>
      </c>
      <c r="BA89" s="515" t="str">
        <f t="shared" si="44"/>
        <v>Vendido</v>
      </c>
      <c r="BB89" s="516" t="str">
        <f t="shared" si="45"/>
        <v>Cliente Atrasado</v>
      </c>
      <c r="BC89" s="551">
        <v>26</v>
      </c>
      <c r="BD89" s="693">
        <f t="shared" si="46"/>
        <v>1</v>
      </c>
      <c r="BE89" s="693">
        <f t="shared" si="47"/>
        <v>27</v>
      </c>
      <c r="BF89" s="517">
        <v>6000</v>
      </c>
      <c r="BG89" s="517">
        <v>2415</v>
      </c>
      <c r="BH89" s="693">
        <f t="shared" si="48"/>
        <v>18</v>
      </c>
      <c r="BI89" s="693">
        <f t="shared" si="49"/>
        <v>30</v>
      </c>
      <c r="BJ89" s="655">
        <f t="shared" si="50"/>
        <v>78450</v>
      </c>
      <c r="BK89" s="518">
        <f t="shared" si="51"/>
        <v>31395</v>
      </c>
      <c r="BL89" s="518">
        <f t="shared" si="52"/>
        <v>44640</v>
      </c>
      <c r="BM89" s="518">
        <f t="shared" si="53"/>
        <v>0</v>
      </c>
      <c r="BN89" s="518">
        <f t="shared" si="54"/>
        <v>0</v>
      </c>
      <c r="BO89" s="655">
        <f t="shared" si="68"/>
        <v>2415</v>
      </c>
      <c r="BP89" s="693">
        <f t="shared" si="55"/>
        <v>1</v>
      </c>
      <c r="BQ89" s="696"/>
      <c r="BR89" s="519"/>
      <c r="BT89" s="439">
        <f t="shared" si="56"/>
        <v>-2415</v>
      </c>
      <c r="BU89" s="439">
        <f t="shared" si="57"/>
        <v>-2415</v>
      </c>
      <c r="BV89" s="439">
        <f t="shared" si="58"/>
        <v>0</v>
      </c>
      <c r="BY89" s="862">
        <f t="shared" si="59"/>
        <v>440301.92099999997</v>
      </c>
      <c r="BZ89" s="862">
        <f t="shared" si="60"/>
        <v>188700.823</v>
      </c>
      <c r="CA89" s="862">
        <f t="shared" si="61"/>
        <v>52836.23</v>
      </c>
      <c r="CB89" s="862">
        <f t="shared" si="62"/>
        <v>5661.02</v>
      </c>
      <c r="CC89" s="863">
        <f t="shared" si="63"/>
        <v>493138.15</v>
      </c>
      <c r="CD89" s="863">
        <f t="shared" si="64"/>
        <v>194361.84</v>
      </c>
      <c r="CE89" s="864">
        <f t="shared" si="65"/>
        <v>687499.99</v>
      </c>
      <c r="CF89" s="862">
        <f t="shared" si="66"/>
        <v>-1.0000000009313226E-2</v>
      </c>
    </row>
    <row r="90" spans="1:84" s="429" customFormat="1" ht="13.9" customHeight="1" x14ac:dyDescent="0.25">
      <c r="A90" s="472"/>
      <c r="B90" s="436">
        <v>514</v>
      </c>
      <c r="C90" s="436" t="s">
        <v>476</v>
      </c>
      <c r="D90" s="436"/>
      <c r="E90" s="436" t="s">
        <v>366</v>
      </c>
      <c r="F90" s="429" t="s">
        <v>477</v>
      </c>
      <c r="G90" s="473">
        <v>45741</v>
      </c>
      <c r="H90" s="436" t="s">
        <v>128</v>
      </c>
      <c r="I90" s="472">
        <v>1535078.4052580199</v>
      </c>
      <c r="J90" s="472">
        <v>153578.41</v>
      </c>
      <c r="K90" s="507">
        <v>0</v>
      </c>
      <c r="L90" s="507">
        <v>0</v>
      </c>
      <c r="M90" s="507">
        <v>0</v>
      </c>
      <c r="N90" s="507">
        <v>0</v>
      </c>
      <c r="O90" s="507">
        <v>0</v>
      </c>
      <c r="P90" s="507">
        <v>0</v>
      </c>
      <c r="Q90" s="507">
        <v>0</v>
      </c>
      <c r="R90" s="507">
        <v>0</v>
      </c>
      <c r="S90" s="507">
        <v>0</v>
      </c>
      <c r="T90" s="507">
        <v>0</v>
      </c>
      <c r="U90" s="507">
        <v>0</v>
      </c>
      <c r="V90" s="507">
        <v>0</v>
      </c>
      <c r="W90" s="507">
        <v>0</v>
      </c>
      <c r="X90" s="507">
        <v>0</v>
      </c>
      <c r="Y90" s="507">
        <v>0</v>
      </c>
      <c r="Z90" s="507">
        <v>0</v>
      </c>
      <c r="AA90" s="507">
        <v>0</v>
      </c>
      <c r="AB90" s="507">
        <v>0</v>
      </c>
      <c r="AC90" s="507">
        <v>0</v>
      </c>
      <c r="AD90" s="507">
        <v>0</v>
      </c>
      <c r="AE90" s="507">
        <v>0</v>
      </c>
      <c r="AF90" s="507">
        <v>0</v>
      </c>
      <c r="AG90" s="507">
        <v>0</v>
      </c>
      <c r="AH90" s="507">
        <v>0</v>
      </c>
      <c r="AI90" s="507">
        <v>10000</v>
      </c>
      <c r="AJ90" s="507">
        <v>10256</v>
      </c>
      <c r="AK90" s="508">
        <v>10256</v>
      </c>
      <c r="AL90" s="508">
        <v>10256</v>
      </c>
      <c r="AM90" s="509">
        <v>10256</v>
      </c>
      <c r="AN90" s="509">
        <v>10256</v>
      </c>
      <c r="AO90" s="509">
        <v>10256</v>
      </c>
      <c r="AP90" s="509">
        <v>10256</v>
      </c>
      <c r="AQ90" s="509">
        <v>10256</v>
      </c>
      <c r="AR90" s="509"/>
      <c r="AS90" s="509"/>
      <c r="AT90" s="510">
        <f t="shared" si="67"/>
        <v>92048</v>
      </c>
      <c r="AU90" s="512">
        <f t="shared" si="38"/>
        <v>0.59935507862075144</v>
      </c>
      <c r="AV90" s="511">
        <f t="shared" si="39"/>
        <v>-61530.41</v>
      </c>
      <c r="AW90" s="558">
        <f t="shared" si="40"/>
        <v>-0.40064492137924856</v>
      </c>
      <c r="AX90" s="513">
        <f t="shared" si="41"/>
        <v>1443030.4052580199</v>
      </c>
      <c r="AY90" s="514">
        <f t="shared" si="42"/>
        <v>0.94003693903535279</v>
      </c>
      <c r="AZ90" s="513">
        <f t="shared" si="43"/>
        <v>153578.41</v>
      </c>
      <c r="BA90" s="515" t="str">
        <f t="shared" si="44"/>
        <v>Vendido</v>
      </c>
      <c r="BB90" s="516" t="str">
        <f t="shared" si="45"/>
        <v>Cliente Atrasado</v>
      </c>
      <c r="BC90" s="551">
        <v>14</v>
      </c>
      <c r="BD90" s="693">
        <f t="shared" si="46"/>
        <v>1</v>
      </c>
      <c r="BE90" s="693">
        <f t="shared" si="47"/>
        <v>15</v>
      </c>
      <c r="BF90" s="517">
        <v>10000</v>
      </c>
      <c r="BG90" s="517">
        <v>10256</v>
      </c>
      <c r="BH90" s="693">
        <f t="shared" si="48"/>
        <v>0</v>
      </c>
      <c r="BI90" s="693">
        <f t="shared" si="49"/>
        <v>10</v>
      </c>
      <c r="BJ90" s="655">
        <f t="shared" si="50"/>
        <v>112560</v>
      </c>
      <c r="BK90" s="518">
        <f t="shared" si="51"/>
        <v>92048</v>
      </c>
      <c r="BL90" s="518">
        <f t="shared" si="52"/>
        <v>0</v>
      </c>
      <c r="BM90" s="518">
        <f t="shared" si="53"/>
        <v>0</v>
      </c>
      <c r="BN90" s="518">
        <f t="shared" si="54"/>
        <v>0</v>
      </c>
      <c r="BO90" s="655">
        <f t="shared" si="68"/>
        <v>20512</v>
      </c>
      <c r="BP90" s="693">
        <f t="shared" si="55"/>
        <v>2</v>
      </c>
      <c r="BQ90" s="696"/>
      <c r="BR90" s="519"/>
      <c r="BT90" s="439">
        <f t="shared" si="56"/>
        <v>-20512</v>
      </c>
      <c r="BU90" s="439">
        <f t="shared" si="57"/>
        <v>-20512</v>
      </c>
      <c r="BV90" s="439">
        <f t="shared" si="58"/>
        <v>0</v>
      </c>
      <c r="BY90" s="862">
        <f t="shared" si="59"/>
        <v>983124.32200000004</v>
      </c>
      <c r="BZ90" s="862">
        <f t="shared" si="60"/>
        <v>421338.995</v>
      </c>
      <c r="CA90" s="862">
        <f t="shared" si="61"/>
        <v>117974.92</v>
      </c>
      <c r="CB90" s="862">
        <f t="shared" si="62"/>
        <v>12640.17</v>
      </c>
      <c r="CC90" s="863">
        <f t="shared" si="63"/>
        <v>1101099.24</v>
      </c>
      <c r="CD90" s="863">
        <f t="shared" si="64"/>
        <v>433979.17</v>
      </c>
      <c r="CE90" s="864">
        <f t="shared" si="65"/>
        <v>1535078.41</v>
      </c>
      <c r="CF90" s="862">
        <f t="shared" si="66"/>
        <v>4.7419799957424402E-3</v>
      </c>
    </row>
    <row r="91" spans="1:84" s="429" customFormat="1" ht="13.9" customHeight="1" x14ac:dyDescent="0.25">
      <c r="A91" s="472"/>
      <c r="B91" s="436">
        <v>515</v>
      </c>
      <c r="C91" s="436" t="s">
        <v>189</v>
      </c>
      <c r="D91" s="436"/>
      <c r="E91" s="436" t="s">
        <v>356</v>
      </c>
      <c r="F91" s="429" t="s">
        <v>478</v>
      </c>
      <c r="G91" s="473">
        <v>45012</v>
      </c>
      <c r="H91" s="436" t="s">
        <v>128</v>
      </c>
      <c r="I91" s="472">
        <v>611949.49679780402</v>
      </c>
      <c r="J91" s="472">
        <v>61249.5</v>
      </c>
      <c r="K91" s="507">
        <v>7570</v>
      </c>
      <c r="L91" s="507">
        <v>1570</v>
      </c>
      <c r="M91" s="507">
        <v>1570</v>
      </c>
      <c r="N91" s="507">
        <v>1570</v>
      </c>
      <c r="O91" s="507">
        <v>1570</v>
      </c>
      <c r="P91" s="507">
        <v>1570</v>
      </c>
      <c r="Q91" s="507">
        <v>1570</v>
      </c>
      <c r="R91" s="507">
        <v>1570</v>
      </c>
      <c r="S91" s="507">
        <v>1570</v>
      </c>
      <c r="T91" s="507">
        <v>1570</v>
      </c>
      <c r="U91" s="507">
        <v>1570</v>
      </c>
      <c r="V91" s="507">
        <v>1570</v>
      </c>
      <c r="W91" s="507">
        <v>1570</v>
      </c>
      <c r="X91" s="507">
        <v>1570</v>
      </c>
      <c r="Y91" s="507">
        <v>1570</v>
      </c>
      <c r="Z91" s="507">
        <v>1570</v>
      </c>
      <c r="AA91" s="507">
        <v>1570</v>
      </c>
      <c r="AB91" s="507">
        <v>1570</v>
      </c>
      <c r="AC91" s="507">
        <v>1570</v>
      </c>
      <c r="AD91" s="507">
        <v>1570</v>
      </c>
      <c r="AE91" s="507">
        <v>1570</v>
      </c>
      <c r="AF91" s="507">
        <v>1570</v>
      </c>
      <c r="AG91" s="507">
        <v>1570</v>
      </c>
      <c r="AH91" s="507">
        <v>1570</v>
      </c>
      <c r="AI91" s="507">
        <v>1570</v>
      </c>
      <c r="AJ91" s="507">
        <v>1570</v>
      </c>
      <c r="AK91" s="508">
        <v>1570</v>
      </c>
      <c r="AL91" s="508">
        <v>1570</v>
      </c>
      <c r="AM91" s="509">
        <v>1570</v>
      </c>
      <c r="AN91" s="509">
        <v>1570</v>
      </c>
      <c r="AO91" s="509">
        <v>1570</v>
      </c>
      <c r="AP91" s="509">
        <v>1570</v>
      </c>
      <c r="AQ91" s="509">
        <v>1570</v>
      </c>
      <c r="AR91" s="509">
        <v>1570</v>
      </c>
      <c r="AS91" s="509"/>
      <c r="AT91" s="510">
        <f t="shared" si="67"/>
        <v>59380</v>
      </c>
      <c r="AU91" s="512">
        <f t="shared" si="38"/>
        <v>0.96947730185552539</v>
      </c>
      <c r="AV91" s="511">
        <f t="shared" si="39"/>
        <v>-1869.5</v>
      </c>
      <c r="AW91" s="558">
        <f t="shared" si="40"/>
        <v>-3.0522698144474648E-2</v>
      </c>
      <c r="AX91" s="513">
        <f t="shared" si="41"/>
        <v>552569.49679780402</v>
      </c>
      <c r="AY91" s="514">
        <f t="shared" si="42"/>
        <v>0.90296584879843456</v>
      </c>
      <c r="AZ91" s="513">
        <f t="shared" si="43"/>
        <v>61249.5</v>
      </c>
      <c r="BA91" s="515" t="str">
        <f t="shared" si="44"/>
        <v>Vendido</v>
      </c>
      <c r="BB91" s="516" t="str">
        <f t="shared" si="45"/>
        <v>Cliente al día</v>
      </c>
      <c r="BC91" s="551">
        <v>35</v>
      </c>
      <c r="BD91" s="693">
        <f t="shared" si="46"/>
        <v>1</v>
      </c>
      <c r="BE91" s="693">
        <f t="shared" si="47"/>
        <v>36</v>
      </c>
      <c r="BF91" s="517">
        <v>6000</v>
      </c>
      <c r="BG91" s="517">
        <v>1570</v>
      </c>
      <c r="BH91" s="693">
        <f t="shared" si="48"/>
        <v>33</v>
      </c>
      <c r="BI91" s="693">
        <f t="shared" si="49"/>
        <v>33</v>
      </c>
      <c r="BJ91" s="655">
        <f t="shared" si="50"/>
        <v>57810</v>
      </c>
      <c r="BK91" s="518">
        <f t="shared" si="51"/>
        <v>51810</v>
      </c>
      <c r="BL91" s="518">
        <f t="shared" si="52"/>
        <v>7570</v>
      </c>
      <c r="BM91" s="518">
        <f t="shared" si="53"/>
        <v>0</v>
      </c>
      <c r="BN91" s="518">
        <f t="shared" si="54"/>
        <v>1570</v>
      </c>
      <c r="BO91" s="655">
        <f t="shared" si="68"/>
        <v>0</v>
      </c>
      <c r="BP91" s="693">
        <f t="shared" si="55"/>
        <v>0</v>
      </c>
      <c r="BQ91" s="696"/>
      <c r="BR91" s="519"/>
      <c r="BT91" s="439">
        <f t="shared" si="56"/>
        <v>1570</v>
      </c>
      <c r="BU91" s="439">
        <f t="shared" si="57"/>
        <v>1570</v>
      </c>
      <c r="BV91" s="439">
        <f t="shared" si="58"/>
        <v>0</v>
      </c>
      <c r="BY91" s="862">
        <f t="shared" si="59"/>
        <v>391916.42099999997</v>
      </c>
      <c r="BZ91" s="862">
        <f t="shared" si="60"/>
        <v>167964.18</v>
      </c>
      <c r="CA91" s="862">
        <f t="shared" si="61"/>
        <v>47029.97</v>
      </c>
      <c r="CB91" s="862">
        <f t="shared" si="62"/>
        <v>5038.93</v>
      </c>
      <c r="CC91" s="863">
        <f t="shared" si="63"/>
        <v>438946.39</v>
      </c>
      <c r="CD91" s="863">
        <f t="shared" si="64"/>
        <v>173003.11</v>
      </c>
      <c r="CE91" s="864">
        <f t="shared" si="65"/>
        <v>611949.5</v>
      </c>
      <c r="CF91" s="862">
        <f t="shared" si="66"/>
        <v>3.2021959777921438E-3</v>
      </c>
    </row>
    <row r="92" spans="1:84" s="429" customFormat="1" ht="13.9" customHeight="1" x14ac:dyDescent="0.25">
      <c r="A92" s="472"/>
      <c r="B92" s="436">
        <v>516</v>
      </c>
      <c r="C92" s="436" t="s">
        <v>400</v>
      </c>
      <c r="D92" s="436"/>
      <c r="E92" s="436" t="s">
        <v>423</v>
      </c>
      <c r="F92" s="429" t="s">
        <v>479</v>
      </c>
      <c r="G92" s="473">
        <v>45557</v>
      </c>
      <c r="H92" s="436" t="s">
        <v>128</v>
      </c>
      <c r="I92" s="472">
        <v>1036610</v>
      </c>
      <c r="J92" s="472">
        <v>103710</v>
      </c>
      <c r="K92" s="507">
        <v>0</v>
      </c>
      <c r="L92" s="507">
        <v>0</v>
      </c>
      <c r="M92" s="507">
        <v>0</v>
      </c>
      <c r="N92" s="507">
        <v>0</v>
      </c>
      <c r="O92" s="507">
        <v>0</v>
      </c>
      <c r="P92" s="507">
        <v>0</v>
      </c>
      <c r="Q92" s="507">
        <v>0</v>
      </c>
      <c r="R92" s="507">
        <v>0</v>
      </c>
      <c r="S92" s="507">
        <v>0</v>
      </c>
      <c r="T92" s="507">
        <v>0</v>
      </c>
      <c r="U92" s="507">
        <v>0</v>
      </c>
      <c r="V92" s="507">
        <v>0</v>
      </c>
      <c r="W92" s="507">
        <v>0</v>
      </c>
      <c r="X92" s="507">
        <v>0</v>
      </c>
      <c r="Y92" s="507">
        <v>0</v>
      </c>
      <c r="Z92" s="507">
        <v>0</v>
      </c>
      <c r="AA92" s="507">
        <v>0</v>
      </c>
      <c r="AB92" s="507">
        <v>0</v>
      </c>
      <c r="AC92" s="507">
        <v>10000</v>
      </c>
      <c r="AD92" s="507">
        <v>6247</v>
      </c>
      <c r="AE92" s="507">
        <v>6247</v>
      </c>
      <c r="AF92" s="507">
        <v>6247</v>
      </c>
      <c r="AG92" s="507">
        <v>6247</v>
      </c>
      <c r="AH92" s="507">
        <v>6247</v>
      </c>
      <c r="AI92" s="507">
        <v>6247</v>
      </c>
      <c r="AJ92" s="507">
        <v>6247</v>
      </c>
      <c r="AK92" s="508">
        <v>6247</v>
      </c>
      <c r="AL92" s="508"/>
      <c r="AM92" s="509">
        <f>6247+6274</f>
        <v>12521</v>
      </c>
      <c r="AN92" s="509">
        <v>6247</v>
      </c>
      <c r="AO92" s="509">
        <v>0</v>
      </c>
      <c r="AP92" s="509">
        <v>6247</v>
      </c>
      <c r="AQ92" s="509">
        <v>6247</v>
      </c>
      <c r="AR92" s="509">
        <v>6247</v>
      </c>
      <c r="AS92" s="509">
        <v>6247</v>
      </c>
      <c r="AT92" s="510">
        <f t="shared" si="67"/>
        <v>103732</v>
      </c>
      <c r="AU92" s="512">
        <f t="shared" si="38"/>
        <v>1.0002121299778228</v>
      </c>
      <c r="AV92" s="511">
        <f t="shared" si="39"/>
        <v>22</v>
      </c>
      <c r="AW92" s="558">
        <f t="shared" si="40"/>
        <v>2.1212997782277504E-4</v>
      </c>
      <c r="AX92" s="513">
        <f t="shared" si="41"/>
        <v>932878</v>
      </c>
      <c r="AY92" s="514">
        <f t="shared" si="42"/>
        <v>0.89993150751005679</v>
      </c>
      <c r="AZ92" s="513">
        <f t="shared" si="43"/>
        <v>103710</v>
      </c>
      <c r="BA92" s="515" t="str">
        <f t="shared" si="44"/>
        <v>Vendido</v>
      </c>
      <c r="BB92" s="516" t="str">
        <f t="shared" si="45"/>
        <v>Cliente Atrasado</v>
      </c>
      <c r="BC92" s="551">
        <v>15</v>
      </c>
      <c r="BD92" s="693">
        <f t="shared" si="46"/>
        <v>1</v>
      </c>
      <c r="BE92" s="693">
        <f t="shared" si="47"/>
        <v>16</v>
      </c>
      <c r="BF92" s="517">
        <v>10000</v>
      </c>
      <c r="BG92" s="517">
        <v>6247</v>
      </c>
      <c r="BH92" s="693">
        <f t="shared" si="48"/>
        <v>13</v>
      </c>
      <c r="BI92" s="693">
        <f t="shared" si="49"/>
        <v>16</v>
      </c>
      <c r="BJ92" s="655">
        <f t="shared" si="50"/>
        <v>109952</v>
      </c>
      <c r="BK92" s="518">
        <f t="shared" si="51"/>
        <v>81211</v>
      </c>
      <c r="BL92" s="518">
        <f t="shared" si="52"/>
        <v>22521</v>
      </c>
      <c r="BM92" s="518">
        <f t="shared" si="53"/>
        <v>0</v>
      </c>
      <c r="BN92" s="518">
        <f t="shared" si="54"/>
        <v>0</v>
      </c>
      <c r="BO92" s="655">
        <f t="shared" si="68"/>
        <v>6220</v>
      </c>
      <c r="BP92" s="693">
        <f t="shared" si="55"/>
        <v>1</v>
      </c>
      <c r="BQ92" s="696"/>
      <c r="BR92" s="519"/>
      <c r="BT92" s="439">
        <f t="shared" si="56"/>
        <v>-6220</v>
      </c>
      <c r="BU92" s="439">
        <f t="shared" si="57"/>
        <v>-6220</v>
      </c>
      <c r="BV92" s="439">
        <f t="shared" si="58"/>
        <v>0</v>
      </c>
      <c r="BY92" s="862">
        <f t="shared" si="59"/>
        <v>663885.63600000006</v>
      </c>
      <c r="BZ92" s="862">
        <f t="shared" si="60"/>
        <v>284522.41499999998</v>
      </c>
      <c r="CA92" s="862">
        <f t="shared" si="61"/>
        <v>79666.28</v>
      </c>
      <c r="CB92" s="862">
        <f t="shared" si="62"/>
        <v>8535.67</v>
      </c>
      <c r="CC92" s="863">
        <f t="shared" si="63"/>
        <v>743551.92</v>
      </c>
      <c r="CD92" s="863">
        <f t="shared" si="64"/>
        <v>293058.09000000003</v>
      </c>
      <c r="CE92" s="864">
        <f t="shared" si="65"/>
        <v>1036610.01</v>
      </c>
      <c r="CF92" s="862">
        <f t="shared" si="66"/>
        <v>1.0000000009313226E-2</v>
      </c>
    </row>
    <row r="93" spans="1:84" s="429" customFormat="1" ht="13.9" customHeight="1" x14ac:dyDescent="0.25">
      <c r="A93" s="472"/>
      <c r="B93" s="436">
        <v>517</v>
      </c>
      <c r="C93" s="436" t="s">
        <v>175</v>
      </c>
      <c r="D93" s="436"/>
      <c r="E93" s="436" t="s">
        <v>366</v>
      </c>
      <c r="F93" s="429" t="s">
        <v>480</v>
      </c>
      <c r="G93" s="473">
        <v>45425</v>
      </c>
      <c r="H93" s="436" t="s">
        <v>128</v>
      </c>
      <c r="I93" s="472">
        <v>871162.12</v>
      </c>
      <c r="J93" s="472">
        <v>87162.12</v>
      </c>
      <c r="K93" s="507">
        <v>0</v>
      </c>
      <c r="L93" s="507">
        <v>0</v>
      </c>
      <c r="M93" s="507">
        <v>0</v>
      </c>
      <c r="N93" s="507">
        <v>0</v>
      </c>
      <c r="O93" s="507">
        <v>0</v>
      </c>
      <c r="P93" s="507">
        <v>0</v>
      </c>
      <c r="Q93" s="507">
        <v>0</v>
      </c>
      <c r="R93" s="507">
        <v>0</v>
      </c>
      <c r="S93" s="507">
        <v>0</v>
      </c>
      <c r="T93" s="507">
        <v>0</v>
      </c>
      <c r="U93" s="507">
        <v>0</v>
      </c>
      <c r="V93" s="507">
        <v>0</v>
      </c>
      <c r="W93" s="507">
        <v>0</v>
      </c>
      <c r="X93" s="507">
        <v>0</v>
      </c>
      <c r="Y93" s="507">
        <v>8000</v>
      </c>
      <c r="Z93" s="507">
        <v>4040</v>
      </c>
      <c r="AA93" s="507">
        <v>4166</v>
      </c>
      <c r="AB93" s="507">
        <v>4166</v>
      </c>
      <c r="AC93" s="507">
        <v>4166</v>
      </c>
      <c r="AD93" s="507">
        <v>4166</v>
      </c>
      <c r="AE93" s="507">
        <f>4166+4166</f>
        <v>8332</v>
      </c>
      <c r="AF93" s="507">
        <v>4166</v>
      </c>
      <c r="AG93" s="507">
        <v>0</v>
      </c>
      <c r="AH93" s="507">
        <v>4166</v>
      </c>
      <c r="AI93" s="507">
        <v>4166</v>
      </c>
      <c r="AJ93" s="507">
        <v>4166</v>
      </c>
      <c r="AK93" s="508">
        <v>4166</v>
      </c>
      <c r="AL93" s="508">
        <v>4166</v>
      </c>
      <c r="AM93" s="509">
        <v>4166</v>
      </c>
      <c r="AN93" s="509">
        <v>4166</v>
      </c>
      <c r="AO93" s="509">
        <v>4166</v>
      </c>
      <c r="AP93" s="509">
        <v>4166</v>
      </c>
      <c r="AQ93" s="509">
        <v>4500</v>
      </c>
      <c r="AR93" s="509">
        <f>4500+45844</f>
        <v>50344</v>
      </c>
      <c r="AS93" s="509"/>
      <c r="AT93" s="510">
        <f t="shared" si="67"/>
        <v>133540</v>
      </c>
      <c r="AU93" s="512">
        <f t="shared" si="38"/>
        <v>1.5320875628082475</v>
      </c>
      <c r="AV93" s="511">
        <f t="shared" si="39"/>
        <v>46377.880000000005</v>
      </c>
      <c r="AW93" s="558">
        <f t="shared" si="40"/>
        <v>0.53208756280824754</v>
      </c>
      <c r="AX93" s="513">
        <f t="shared" si="41"/>
        <v>737622.12</v>
      </c>
      <c r="AY93" s="514">
        <f t="shared" si="42"/>
        <v>0.84671050665058756</v>
      </c>
      <c r="AZ93" s="513">
        <f t="shared" si="43"/>
        <v>87162.12</v>
      </c>
      <c r="BA93" s="515" t="str">
        <f t="shared" si="44"/>
        <v>Vendido</v>
      </c>
      <c r="BB93" s="516" t="str">
        <f t="shared" si="45"/>
        <v>Superávit de Enganche</v>
      </c>
      <c r="BC93" s="551">
        <v>19</v>
      </c>
      <c r="BD93" s="693">
        <f t="shared" si="46"/>
        <v>1</v>
      </c>
      <c r="BE93" s="693">
        <f t="shared" si="47"/>
        <v>20</v>
      </c>
      <c r="BF93" s="517">
        <v>8000</v>
      </c>
      <c r="BG93" s="517">
        <v>4166</v>
      </c>
      <c r="BH93" s="693">
        <f t="shared" si="48"/>
        <v>16</v>
      </c>
      <c r="BI93" s="693">
        <f t="shared" si="49"/>
        <v>20</v>
      </c>
      <c r="BJ93" s="655">
        <f t="shared" si="50"/>
        <v>91320</v>
      </c>
      <c r="BK93" s="518">
        <f t="shared" si="51"/>
        <v>62364</v>
      </c>
      <c r="BL93" s="518">
        <f t="shared" si="52"/>
        <v>71176</v>
      </c>
      <c r="BM93" s="518">
        <f t="shared" si="53"/>
        <v>0</v>
      </c>
      <c r="BN93" s="518">
        <f t="shared" si="54"/>
        <v>42220</v>
      </c>
      <c r="BO93" s="655">
        <f t="shared" si="68"/>
        <v>0</v>
      </c>
      <c r="BP93" s="693">
        <f t="shared" si="55"/>
        <v>0</v>
      </c>
      <c r="BQ93" s="696"/>
      <c r="BR93" s="519"/>
      <c r="BT93" s="439">
        <f t="shared" si="56"/>
        <v>42220</v>
      </c>
      <c r="BU93" s="439">
        <f t="shared" si="57"/>
        <v>42220</v>
      </c>
      <c r="BV93" s="439">
        <f t="shared" si="58"/>
        <v>0</v>
      </c>
      <c r="BY93" s="862">
        <f t="shared" si="59"/>
        <v>557926.33499999996</v>
      </c>
      <c r="BZ93" s="862">
        <f t="shared" si="60"/>
        <v>239111.28599999999</v>
      </c>
      <c r="CA93" s="862">
        <f t="shared" si="61"/>
        <v>66951.16</v>
      </c>
      <c r="CB93" s="862">
        <f t="shared" si="62"/>
        <v>7173.34</v>
      </c>
      <c r="CC93" s="863">
        <f t="shared" si="63"/>
        <v>624877.5</v>
      </c>
      <c r="CD93" s="863">
        <f t="shared" si="64"/>
        <v>246284.63</v>
      </c>
      <c r="CE93" s="864">
        <f t="shared" si="65"/>
        <v>871162.13</v>
      </c>
      <c r="CF93" s="862">
        <f t="shared" si="66"/>
        <v>1.0000000009313226E-2</v>
      </c>
    </row>
    <row r="94" spans="1:84" s="429" customFormat="1" ht="13.9" customHeight="1" x14ac:dyDescent="0.25">
      <c r="A94" s="472"/>
      <c r="B94" s="436">
        <v>518</v>
      </c>
      <c r="C94" s="436" t="s">
        <v>456</v>
      </c>
      <c r="D94" s="436"/>
      <c r="E94" s="436" t="s">
        <v>423</v>
      </c>
      <c r="F94" s="429" t="s">
        <v>481</v>
      </c>
      <c r="G94" s="473">
        <v>45594</v>
      </c>
      <c r="H94" s="436" t="s">
        <v>128</v>
      </c>
      <c r="I94" s="472">
        <f>1077766.48+424782.96</f>
        <v>1502549.44</v>
      </c>
      <c r="J94" s="472">
        <v>150549.44</v>
      </c>
      <c r="K94" s="507">
        <v>0</v>
      </c>
      <c r="L94" s="507">
        <v>0</v>
      </c>
      <c r="M94" s="507">
        <v>0</v>
      </c>
      <c r="N94" s="507">
        <v>0</v>
      </c>
      <c r="O94" s="507">
        <v>0</v>
      </c>
      <c r="P94" s="507">
        <v>0</v>
      </c>
      <c r="Q94" s="507">
        <v>0</v>
      </c>
      <c r="R94" s="507">
        <v>0</v>
      </c>
      <c r="S94" s="507">
        <v>0</v>
      </c>
      <c r="T94" s="507">
        <v>0</v>
      </c>
      <c r="U94" s="507">
        <v>0</v>
      </c>
      <c r="V94" s="507">
        <v>0</v>
      </c>
      <c r="W94" s="507">
        <v>0</v>
      </c>
      <c r="X94" s="507">
        <v>0</v>
      </c>
      <c r="Y94" s="507">
        <v>0</v>
      </c>
      <c r="Z94" s="507">
        <v>0</v>
      </c>
      <c r="AA94" s="507">
        <v>0</v>
      </c>
      <c r="AB94" s="507">
        <v>0</v>
      </c>
      <c r="AC94" s="507">
        <v>0</v>
      </c>
      <c r="AD94" s="507">
        <v>10000</v>
      </c>
      <c r="AE94" s="507">
        <v>0</v>
      </c>
      <c r="AF94" s="507">
        <v>35000</v>
      </c>
      <c r="AG94" s="507">
        <v>0</v>
      </c>
      <c r="AH94" s="507">
        <v>35000</v>
      </c>
      <c r="AI94" s="507">
        <v>0</v>
      </c>
      <c r="AJ94" s="507">
        <v>0</v>
      </c>
      <c r="AK94" s="508"/>
      <c r="AL94" s="508">
        <v>8000</v>
      </c>
      <c r="AM94" s="509">
        <v>10764</v>
      </c>
      <c r="AN94" s="509">
        <v>0</v>
      </c>
      <c r="AO94" s="509">
        <v>0</v>
      </c>
      <c r="AP94" s="509">
        <v>10000</v>
      </c>
      <c r="AQ94" s="509">
        <v>335000</v>
      </c>
      <c r="AR94" s="509">
        <f>90000+16785.44</f>
        <v>106785.44</v>
      </c>
      <c r="AS94" s="509"/>
      <c r="AT94" s="510">
        <f t="shared" si="67"/>
        <v>550549.43999999994</v>
      </c>
      <c r="AU94" s="512">
        <f t="shared" si="38"/>
        <v>3.656934492748694</v>
      </c>
      <c r="AV94" s="511">
        <f t="shared" si="39"/>
        <v>399999.99999999994</v>
      </c>
      <c r="AW94" s="558">
        <f t="shared" si="40"/>
        <v>2.656934492748694</v>
      </c>
      <c r="AX94" s="513">
        <f t="shared" si="41"/>
        <v>952000</v>
      </c>
      <c r="AY94" s="514">
        <f t="shared" si="42"/>
        <v>0.63358980054593084</v>
      </c>
      <c r="AZ94" s="513">
        <f t="shared" si="43"/>
        <v>150549.44</v>
      </c>
      <c r="BA94" s="515" t="str">
        <f t="shared" si="44"/>
        <v>Vendido</v>
      </c>
      <c r="BB94" s="516" t="str">
        <f t="shared" si="45"/>
        <v>Superávit de Enganche</v>
      </c>
      <c r="BC94" s="551">
        <v>19</v>
      </c>
      <c r="BD94" s="693">
        <f t="shared" si="46"/>
        <v>1</v>
      </c>
      <c r="BE94" s="693">
        <f t="shared" si="47"/>
        <v>20</v>
      </c>
      <c r="BF94" s="517">
        <v>10000</v>
      </c>
      <c r="BG94" s="517">
        <v>7397</v>
      </c>
      <c r="BH94" s="693">
        <f t="shared" si="48"/>
        <v>1</v>
      </c>
      <c r="BI94" s="693">
        <f t="shared" si="49"/>
        <v>14</v>
      </c>
      <c r="BJ94" s="655">
        <f t="shared" si="50"/>
        <v>113558</v>
      </c>
      <c r="BK94" s="518">
        <f t="shared" si="51"/>
        <v>0</v>
      </c>
      <c r="BL94" s="518">
        <f t="shared" si="52"/>
        <v>550549.43999999994</v>
      </c>
      <c r="BM94" s="518">
        <f t="shared" si="53"/>
        <v>0</v>
      </c>
      <c r="BN94" s="518">
        <f t="shared" si="54"/>
        <v>436991.43999999994</v>
      </c>
      <c r="BO94" s="655">
        <f t="shared" si="68"/>
        <v>0</v>
      </c>
      <c r="BP94" s="693">
        <f t="shared" si="55"/>
        <v>0</v>
      </c>
      <c r="BQ94" s="696"/>
      <c r="BR94" s="519"/>
      <c r="BT94" s="439">
        <f t="shared" si="56"/>
        <v>436991.43999999994</v>
      </c>
      <c r="BU94" s="439">
        <f t="shared" si="57"/>
        <v>436991.43999999994</v>
      </c>
      <c r="BV94" s="439">
        <f t="shared" si="58"/>
        <v>0</v>
      </c>
      <c r="BY94" s="862">
        <f t="shared" si="59"/>
        <v>962291.49899999995</v>
      </c>
      <c r="BZ94" s="862">
        <f t="shared" si="60"/>
        <v>412410.64199999999</v>
      </c>
      <c r="CA94" s="862">
        <f t="shared" si="61"/>
        <v>115474.98</v>
      </c>
      <c r="CB94" s="862">
        <f t="shared" si="62"/>
        <v>12372.32</v>
      </c>
      <c r="CC94" s="863">
        <f t="shared" si="63"/>
        <v>1077766.48</v>
      </c>
      <c r="CD94" s="863">
        <f t="shared" si="64"/>
        <v>424782.96</v>
      </c>
      <c r="CE94" s="864">
        <f t="shared" si="65"/>
        <v>1502549.44</v>
      </c>
      <c r="CF94" s="862">
        <f t="shared" si="66"/>
        <v>0</v>
      </c>
    </row>
    <row r="95" spans="1:84" s="429" customFormat="1" ht="13.9" customHeight="1" x14ac:dyDescent="0.25">
      <c r="A95" s="472"/>
      <c r="B95" s="436">
        <v>519</v>
      </c>
      <c r="C95" s="436" t="s">
        <v>134</v>
      </c>
      <c r="D95" s="436"/>
      <c r="E95" s="436" t="s">
        <v>135</v>
      </c>
      <c r="F95" s="429" t="s">
        <v>482</v>
      </c>
      <c r="G95" s="473">
        <v>45898</v>
      </c>
      <c r="H95" s="436" t="s">
        <v>128</v>
      </c>
      <c r="I95" s="472">
        <v>1529194.3266091</v>
      </c>
      <c r="J95" s="472">
        <f>+I95*0.1</f>
        <v>152919.43266091001</v>
      </c>
      <c r="K95" s="507">
        <v>0</v>
      </c>
      <c r="L95" s="507">
        <v>0</v>
      </c>
      <c r="M95" s="507">
        <v>0</v>
      </c>
      <c r="N95" s="507">
        <v>0</v>
      </c>
      <c r="O95" s="507">
        <v>0</v>
      </c>
      <c r="P95" s="507">
        <v>0</v>
      </c>
      <c r="Q95" s="507">
        <v>0</v>
      </c>
      <c r="R95" s="507">
        <v>0</v>
      </c>
      <c r="S95" s="507">
        <v>0</v>
      </c>
      <c r="T95" s="507">
        <v>0</v>
      </c>
      <c r="U95" s="507">
        <v>0</v>
      </c>
      <c r="V95" s="507">
        <v>0</v>
      </c>
      <c r="W95" s="507">
        <v>0</v>
      </c>
      <c r="X95" s="507">
        <v>0</v>
      </c>
      <c r="Y95" s="507">
        <v>0</v>
      </c>
      <c r="Z95" s="507">
        <v>0</v>
      </c>
      <c r="AA95" s="507">
        <v>0</v>
      </c>
      <c r="AB95" s="507">
        <v>0</v>
      </c>
      <c r="AC95" s="507">
        <v>0</v>
      </c>
      <c r="AD95" s="507">
        <v>0</v>
      </c>
      <c r="AE95" s="507">
        <v>0</v>
      </c>
      <c r="AF95" s="507">
        <v>0</v>
      </c>
      <c r="AG95" s="507">
        <v>0</v>
      </c>
      <c r="AH95" s="507">
        <v>0</v>
      </c>
      <c r="AI95" s="507">
        <v>0</v>
      </c>
      <c r="AJ95" s="507">
        <v>0</v>
      </c>
      <c r="AK95" s="508"/>
      <c r="AL95" s="508"/>
      <c r="AM95" s="508"/>
      <c r="AN95" s="509">
        <v>10000</v>
      </c>
      <c r="AO95" s="509">
        <v>10210</v>
      </c>
      <c r="AP95" s="509">
        <v>10210</v>
      </c>
      <c r="AQ95" s="509">
        <v>10210</v>
      </c>
      <c r="AR95" s="508">
        <v>10210</v>
      </c>
      <c r="AS95" s="508">
        <v>10210</v>
      </c>
      <c r="AT95" s="510">
        <f t="shared" si="67"/>
        <v>61050</v>
      </c>
      <c r="AU95" s="512">
        <f t="shared" si="38"/>
        <v>0.39922983585333355</v>
      </c>
      <c r="AV95" s="511">
        <f t="shared" si="39"/>
        <v>-91869.43266091001</v>
      </c>
      <c r="AW95" s="558">
        <f t="shared" si="40"/>
        <v>-0.6007701641466664</v>
      </c>
      <c r="AX95" s="513">
        <f t="shared" si="41"/>
        <v>1468144.3266091</v>
      </c>
      <c r="AY95" s="514">
        <f t="shared" si="42"/>
        <v>0.96007701641466658</v>
      </c>
      <c r="AZ95" s="513">
        <f t="shared" si="43"/>
        <v>152919.43266091001</v>
      </c>
      <c r="BA95" s="515" t="str">
        <f t="shared" si="44"/>
        <v>Vendido</v>
      </c>
      <c r="BB95" s="516" t="str">
        <f t="shared" si="45"/>
        <v>Cliente al día</v>
      </c>
      <c r="BC95" s="551">
        <v>10</v>
      </c>
      <c r="BD95" s="693">
        <f t="shared" si="46"/>
        <v>1</v>
      </c>
      <c r="BE95" s="693">
        <f t="shared" si="47"/>
        <v>11</v>
      </c>
      <c r="BF95" s="517">
        <v>10000</v>
      </c>
      <c r="BG95" s="517">
        <v>10210</v>
      </c>
      <c r="BH95" s="693">
        <f t="shared" si="48"/>
        <v>0</v>
      </c>
      <c r="BI95" s="693">
        <f t="shared" si="49"/>
        <v>4</v>
      </c>
      <c r="BJ95" s="655">
        <f t="shared" si="50"/>
        <v>50840</v>
      </c>
      <c r="BK95" s="518">
        <f t="shared" si="51"/>
        <v>61050</v>
      </c>
      <c r="BL95" s="518">
        <f t="shared" si="52"/>
        <v>0</v>
      </c>
      <c r="BM95" s="518">
        <f t="shared" si="53"/>
        <v>0</v>
      </c>
      <c r="BN95" s="518">
        <f t="shared" si="54"/>
        <v>10210</v>
      </c>
      <c r="BO95" s="655">
        <f t="shared" si="68"/>
        <v>0</v>
      </c>
      <c r="BP95" s="693">
        <f t="shared" si="55"/>
        <v>0</v>
      </c>
      <c r="BQ95" s="696"/>
      <c r="BR95" s="519"/>
      <c r="BT95" s="439">
        <f t="shared" si="56"/>
        <v>10210</v>
      </c>
      <c r="BU95" s="439">
        <f t="shared" si="57"/>
        <v>10210</v>
      </c>
      <c r="BV95" s="439">
        <f t="shared" si="58"/>
        <v>0</v>
      </c>
      <c r="BY95" s="862">
        <f t="shared" si="59"/>
        <v>979355.92700000003</v>
      </c>
      <c r="BZ95" s="862">
        <f t="shared" si="60"/>
        <v>419723.96899999998</v>
      </c>
      <c r="CA95" s="862">
        <f t="shared" si="61"/>
        <v>117522.71</v>
      </c>
      <c r="CB95" s="862">
        <f t="shared" si="62"/>
        <v>12591.72</v>
      </c>
      <c r="CC95" s="863">
        <f t="shared" si="63"/>
        <v>1096878.6399999999</v>
      </c>
      <c r="CD95" s="863">
        <f t="shared" si="64"/>
        <v>432315.69</v>
      </c>
      <c r="CE95" s="864">
        <f t="shared" si="65"/>
        <v>1529194.33</v>
      </c>
      <c r="CF95" s="862">
        <f t="shared" si="66"/>
        <v>3.3909000921994448E-3</v>
      </c>
    </row>
    <row r="96" spans="1:84" s="429" customFormat="1" ht="13.9" customHeight="1" x14ac:dyDescent="0.25">
      <c r="A96" s="472"/>
      <c r="B96" s="436">
        <v>601</v>
      </c>
      <c r="C96" s="436" t="s">
        <v>456</v>
      </c>
      <c r="D96" s="436"/>
      <c r="E96" s="436" t="s">
        <v>423</v>
      </c>
      <c r="F96" s="429" t="s">
        <v>483</v>
      </c>
      <c r="G96" s="473">
        <v>45580</v>
      </c>
      <c r="H96" s="436" t="s">
        <v>128</v>
      </c>
      <c r="I96" s="472">
        <v>1477912.8</v>
      </c>
      <c r="J96" s="472">
        <v>147912.79999999999</v>
      </c>
      <c r="K96" s="507">
        <v>0</v>
      </c>
      <c r="L96" s="507">
        <v>0</v>
      </c>
      <c r="M96" s="507">
        <v>0</v>
      </c>
      <c r="N96" s="507">
        <v>0</v>
      </c>
      <c r="O96" s="507">
        <v>0</v>
      </c>
      <c r="P96" s="507">
        <v>0</v>
      </c>
      <c r="Q96" s="507">
        <v>0</v>
      </c>
      <c r="R96" s="507">
        <v>0</v>
      </c>
      <c r="S96" s="507">
        <v>0</v>
      </c>
      <c r="T96" s="507">
        <v>0</v>
      </c>
      <c r="U96" s="507">
        <v>0</v>
      </c>
      <c r="V96" s="507">
        <v>0</v>
      </c>
      <c r="W96" s="507">
        <v>0</v>
      </c>
      <c r="X96" s="507">
        <v>0</v>
      </c>
      <c r="Y96" s="507">
        <v>0</v>
      </c>
      <c r="Z96" s="507">
        <v>0</v>
      </c>
      <c r="AA96" s="507">
        <v>0</v>
      </c>
      <c r="AB96" s="507">
        <v>0</v>
      </c>
      <c r="AC96" s="507">
        <v>0</v>
      </c>
      <c r="AD96" s="507">
        <v>10000</v>
      </c>
      <c r="AE96" s="507">
        <v>10000</v>
      </c>
      <c r="AF96" s="507">
        <v>50000</v>
      </c>
      <c r="AG96" s="507">
        <v>10000</v>
      </c>
      <c r="AH96" s="507">
        <v>10000</v>
      </c>
      <c r="AI96" s="507">
        <v>10000</v>
      </c>
      <c r="AJ96" s="507">
        <v>10000</v>
      </c>
      <c r="AK96" s="509">
        <v>10000</v>
      </c>
      <c r="AL96" s="509">
        <v>10000</v>
      </c>
      <c r="AM96" s="509"/>
      <c r="AN96" s="509">
        <v>0</v>
      </c>
      <c r="AO96" s="509">
        <v>6000</v>
      </c>
      <c r="AP96" s="509">
        <v>6000</v>
      </c>
      <c r="AQ96" s="509">
        <v>6000</v>
      </c>
      <c r="AR96" s="509"/>
      <c r="AS96" s="509"/>
      <c r="AT96" s="510">
        <f t="shared" si="67"/>
        <v>148000</v>
      </c>
      <c r="AU96" s="512">
        <f t="shared" si="38"/>
        <v>1.000589536537744</v>
      </c>
      <c r="AV96" s="511">
        <f t="shared" si="39"/>
        <v>87.200000000011642</v>
      </c>
      <c r="AW96" s="558">
        <f t="shared" si="40"/>
        <v>5.8953653774393867E-4</v>
      </c>
      <c r="AX96" s="513">
        <f t="shared" si="41"/>
        <v>1329912.8</v>
      </c>
      <c r="AY96" s="514">
        <f t="shared" si="42"/>
        <v>0.89985877380586998</v>
      </c>
      <c r="AZ96" s="513">
        <f t="shared" si="43"/>
        <v>147912.79999999999</v>
      </c>
      <c r="BA96" s="515" t="str">
        <f t="shared" si="44"/>
        <v>Vendido</v>
      </c>
      <c r="BB96" s="516" t="str">
        <f t="shared" si="45"/>
        <v>Cliente Atrasado</v>
      </c>
      <c r="BC96" s="551">
        <v>14</v>
      </c>
      <c r="BD96" s="693">
        <f t="shared" si="46"/>
        <v>1</v>
      </c>
      <c r="BE96" s="693">
        <f t="shared" si="47"/>
        <v>15</v>
      </c>
      <c r="BF96" s="517">
        <v>10000</v>
      </c>
      <c r="BG96" s="517">
        <v>9851</v>
      </c>
      <c r="BH96" s="693">
        <f t="shared" si="48"/>
        <v>3</v>
      </c>
      <c r="BI96" s="693">
        <f t="shared" si="49"/>
        <v>15</v>
      </c>
      <c r="BJ96" s="655">
        <f t="shared" si="50"/>
        <v>157765</v>
      </c>
      <c r="BK96" s="518">
        <f t="shared" si="51"/>
        <v>18000</v>
      </c>
      <c r="BL96" s="518">
        <f t="shared" si="52"/>
        <v>130000</v>
      </c>
      <c r="BM96" s="518">
        <f t="shared" si="53"/>
        <v>0</v>
      </c>
      <c r="BN96" s="518">
        <f t="shared" si="54"/>
        <v>0</v>
      </c>
      <c r="BO96" s="655">
        <f t="shared" si="68"/>
        <v>9765</v>
      </c>
      <c r="BP96" s="693">
        <f t="shared" si="55"/>
        <v>1</v>
      </c>
      <c r="BQ96" s="696"/>
      <c r="BR96" s="519"/>
      <c r="BT96" s="439">
        <f t="shared" si="56"/>
        <v>-9765</v>
      </c>
      <c r="BU96" s="439">
        <f t="shared" si="57"/>
        <v>-9765</v>
      </c>
      <c r="BV96" s="439">
        <f t="shared" si="58"/>
        <v>0</v>
      </c>
      <c r="BY96" s="862">
        <f t="shared" si="59"/>
        <v>946513.23</v>
      </c>
      <c r="BZ96" s="862">
        <f t="shared" si="60"/>
        <v>405648.527</v>
      </c>
      <c r="CA96" s="862">
        <f t="shared" si="61"/>
        <v>113581.59</v>
      </c>
      <c r="CB96" s="862">
        <f t="shared" si="62"/>
        <v>12169.46</v>
      </c>
      <c r="CC96" s="863">
        <f t="shared" si="63"/>
        <v>1060094.82</v>
      </c>
      <c r="CD96" s="863">
        <f t="shared" si="64"/>
        <v>417817.99</v>
      </c>
      <c r="CE96" s="864">
        <f t="shared" si="65"/>
        <v>1477912.81</v>
      </c>
      <c r="CF96" s="862">
        <f t="shared" si="66"/>
        <v>1.0000000009313226E-2</v>
      </c>
    </row>
    <row r="97" spans="1:84" s="429" customFormat="1" ht="13.9" customHeight="1" x14ac:dyDescent="0.25">
      <c r="A97" s="472"/>
      <c r="B97" s="436">
        <v>602</v>
      </c>
      <c r="C97" s="436" t="s">
        <v>134</v>
      </c>
      <c r="D97" s="436"/>
      <c r="E97" s="436" t="s">
        <v>343</v>
      </c>
      <c r="F97" s="429" t="s">
        <v>484</v>
      </c>
      <c r="G97" s="480">
        <v>45896</v>
      </c>
      <c r="H97" s="436" t="s">
        <v>128</v>
      </c>
      <c r="I97" s="472">
        <v>1610400</v>
      </c>
      <c r="J97" s="472">
        <v>112800</v>
      </c>
      <c r="K97" s="507">
        <v>0</v>
      </c>
      <c r="L97" s="507">
        <v>0</v>
      </c>
      <c r="M97" s="507">
        <v>0</v>
      </c>
      <c r="N97" s="507">
        <v>0</v>
      </c>
      <c r="O97" s="507">
        <v>0</v>
      </c>
      <c r="P97" s="507">
        <v>0</v>
      </c>
      <c r="Q97" s="507">
        <v>0</v>
      </c>
      <c r="R97" s="507">
        <v>0</v>
      </c>
      <c r="S97" s="507">
        <v>0</v>
      </c>
      <c r="T97" s="507">
        <v>0</v>
      </c>
      <c r="U97" s="507">
        <v>0</v>
      </c>
      <c r="V97" s="507">
        <v>0</v>
      </c>
      <c r="W97" s="507">
        <v>0</v>
      </c>
      <c r="X97" s="507">
        <v>0</v>
      </c>
      <c r="Y97" s="507">
        <v>0</v>
      </c>
      <c r="Z97" s="507">
        <v>0</v>
      </c>
      <c r="AA97" s="507">
        <v>0</v>
      </c>
      <c r="AB97" s="507">
        <v>0</v>
      </c>
      <c r="AC97" s="507">
        <v>0</v>
      </c>
      <c r="AD97" s="507">
        <v>0</v>
      </c>
      <c r="AE97" s="507">
        <v>0</v>
      </c>
      <c r="AF97" s="507">
        <v>0</v>
      </c>
      <c r="AG97" s="507">
        <v>0</v>
      </c>
      <c r="AH97" s="507">
        <v>0</v>
      </c>
      <c r="AI97" s="507">
        <v>0</v>
      </c>
      <c r="AJ97" s="507">
        <v>0</v>
      </c>
      <c r="AK97" s="508"/>
      <c r="AL97" s="509">
        <v>0</v>
      </c>
      <c r="AM97" s="509"/>
      <c r="AN97" s="509">
        <v>10000</v>
      </c>
      <c r="AO97" s="509">
        <v>0</v>
      </c>
      <c r="AP97" s="509">
        <v>102800</v>
      </c>
      <c r="AQ97" s="509">
        <v>0</v>
      </c>
      <c r="AR97" s="509"/>
      <c r="AS97" s="509"/>
      <c r="AT97" s="510">
        <f t="shared" si="67"/>
        <v>112800</v>
      </c>
      <c r="AU97" s="512">
        <f t="shared" si="38"/>
        <v>1</v>
      </c>
      <c r="AV97" s="511">
        <f t="shared" si="39"/>
        <v>0</v>
      </c>
      <c r="AW97" s="558">
        <f t="shared" si="40"/>
        <v>0</v>
      </c>
      <c r="AX97" s="513">
        <f t="shared" si="41"/>
        <v>1497600</v>
      </c>
      <c r="AY97" s="514">
        <f t="shared" si="42"/>
        <v>0.92995529061102833</v>
      </c>
      <c r="AZ97" s="513">
        <f t="shared" si="43"/>
        <v>112800</v>
      </c>
      <c r="BA97" s="515" t="str">
        <f t="shared" si="44"/>
        <v>Vendido</v>
      </c>
      <c r="BB97" s="516" t="str">
        <f t="shared" si="45"/>
        <v>Enganche Completado</v>
      </c>
      <c r="BC97" s="551">
        <v>12</v>
      </c>
      <c r="BD97" s="693">
        <f t="shared" si="46"/>
        <v>1</v>
      </c>
      <c r="BE97" s="693">
        <f t="shared" si="47"/>
        <v>13</v>
      </c>
      <c r="BF97" s="517">
        <v>10000</v>
      </c>
      <c r="BG97" s="517">
        <v>0</v>
      </c>
      <c r="BH97" s="693">
        <f t="shared" si="48"/>
        <v>0</v>
      </c>
      <c r="BI97" s="693">
        <f t="shared" si="49"/>
        <v>4</v>
      </c>
      <c r="BJ97" s="655">
        <f t="shared" si="50"/>
        <v>10000</v>
      </c>
      <c r="BK97" s="518">
        <f t="shared" si="51"/>
        <v>0</v>
      </c>
      <c r="BL97" s="518">
        <f t="shared" si="52"/>
        <v>112800</v>
      </c>
      <c r="BM97" s="518">
        <f t="shared" si="53"/>
        <v>0</v>
      </c>
      <c r="BN97" s="518">
        <f t="shared" si="54"/>
        <v>102800</v>
      </c>
      <c r="BO97" s="655">
        <f t="shared" si="68"/>
        <v>0</v>
      </c>
      <c r="BP97" s="693" t="str">
        <f t="shared" si="55"/>
        <v/>
      </c>
      <c r="BQ97" s="696"/>
      <c r="BR97" s="519"/>
      <c r="BT97" s="439">
        <f t="shared" si="56"/>
        <v>102800</v>
      </c>
      <c r="BU97" s="439">
        <f t="shared" si="57"/>
        <v>102800</v>
      </c>
      <c r="BV97" s="439">
        <f t="shared" si="58"/>
        <v>0</v>
      </c>
      <c r="BY97" s="862">
        <f t="shared" si="59"/>
        <v>1031363.22</v>
      </c>
      <c r="BZ97" s="862">
        <f t="shared" si="60"/>
        <v>442012.80900000001</v>
      </c>
      <c r="CA97" s="862">
        <f t="shared" si="61"/>
        <v>123763.59</v>
      </c>
      <c r="CB97" s="862">
        <f t="shared" si="62"/>
        <v>13260.38</v>
      </c>
      <c r="CC97" s="863">
        <f t="shared" si="63"/>
        <v>1155126.81</v>
      </c>
      <c r="CD97" s="863">
        <f t="shared" si="64"/>
        <v>455273.19</v>
      </c>
      <c r="CE97" s="864">
        <f t="shared" si="65"/>
        <v>1610400</v>
      </c>
      <c r="CF97" s="862">
        <f t="shared" si="66"/>
        <v>0</v>
      </c>
    </row>
    <row r="98" spans="1:84" s="429" customFormat="1" ht="13.9" customHeight="1" x14ac:dyDescent="0.25">
      <c r="A98" s="472"/>
      <c r="B98" s="436">
        <v>603</v>
      </c>
      <c r="C98" s="436" t="s">
        <v>400</v>
      </c>
      <c r="D98" s="436"/>
      <c r="E98" s="436" t="s">
        <v>366</v>
      </c>
      <c r="F98" s="429" t="s">
        <v>485</v>
      </c>
      <c r="G98" s="473">
        <v>45384</v>
      </c>
      <c r="H98" s="436" t="s">
        <v>128</v>
      </c>
      <c r="I98" s="472">
        <v>901400</v>
      </c>
      <c r="J98" s="472">
        <v>90200</v>
      </c>
      <c r="K98" s="507">
        <v>0</v>
      </c>
      <c r="L98" s="507">
        <v>0</v>
      </c>
      <c r="M98" s="507">
        <v>0</v>
      </c>
      <c r="N98" s="507">
        <v>0</v>
      </c>
      <c r="O98" s="507">
        <v>0</v>
      </c>
      <c r="P98" s="507">
        <v>0</v>
      </c>
      <c r="Q98" s="507">
        <v>0</v>
      </c>
      <c r="R98" s="507">
        <v>0</v>
      </c>
      <c r="S98" s="507">
        <v>0</v>
      </c>
      <c r="T98" s="507">
        <v>0</v>
      </c>
      <c r="U98" s="507">
        <v>0</v>
      </c>
      <c r="V98" s="507">
        <v>0</v>
      </c>
      <c r="W98" s="507">
        <v>0</v>
      </c>
      <c r="X98" s="507">
        <v>8000</v>
      </c>
      <c r="Y98" s="507">
        <v>4835</v>
      </c>
      <c r="Z98" s="507">
        <v>4835</v>
      </c>
      <c r="AA98" s="507">
        <v>4835</v>
      </c>
      <c r="AB98" s="507">
        <v>4835</v>
      </c>
      <c r="AC98" s="507">
        <v>4835</v>
      </c>
      <c r="AD98" s="507">
        <f>2417.5+2417.5</f>
        <v>4835</v>
      </c>
      <c r="AE98" s="507">
        <f>2417.5+2417.5</f>
        <v>4835</v>
      </c>
      <c r="AF98" s="507">
        <f>2417.5+2417.5</f>
        <v>4835</v>
      </c>
      <c r="AG98" s="507">
        <f>2417.5+2417.5</f>
        <v>4835</v>
      </c>
      <c r="AH98" s="507">
        <v>0</v>
      </c>
      <c r="AI98" s="507">
        <f>2417.5+2417.5+4835</f>
        <v>9670</v>
      </c>
      <c r="AJ98" s="507">
        <f>2417.5+2417.5</f>
        <v>4835</v>
      </c>
      <c r="AK98" s="508">
        <f>2417.5+2417.5</f>
        <v>4835</v>
      </c>
      <c r="AL98" s="508">
        <f>2417.5+2417.5</f>
        <v>4835</v>
      </c>
      <c r="AM98" s="509">
        <f>2417.5+2417.5</f>
        <v>4835</v>
      </c>
      <c r="AN98" s="509">
        <v>2417.5</v>
      </c>
      <c r="AO98" s="509">
        <v>7252.5</v>
      </c>
      <c r="AP98" s="509">
        <v>4835</v>
      </c>
      <c r="AQ98" s="509">
        <v>2417.5</v>
      </c>
      <c r="AR98" s="509">
        <v>2417.5</v>
      </c>
      <c r="AS98" s="509">
        <f>2417.5+2417.5</f>
        <v>4835</v>
      </c>
      <c r="AT98" s="510">
        <f t="shared" si="67"/>
        <v>104700</v>
      </c>
      <c r="AU98" s="512">
        <f t="shared" si="38"/>
        <v>1.1607538802660753</v>
      </c>
      <c r="AV98" s="511">
        <f t="shared" si="39"/>
        <v>14500</v>
      </c>
      <c r="AW98" s="558">
        <f t="shared" si="40"/>
        <v>0.1607538802660754</v>
      </c>
      <c r="AX98" s="513">
        <f t="shared" si="41"/>
        <v>796700</v>
      </c>
      <c r="AY98" s="514">
        <f t="shared" si="42"/>
        <v>0.8838473485688928</v>
      </c>
      <c r="AZ98" s="513">
        <f t="shared" si="43"/>
        <v>90200</v>
      </c>
      <c r="BA98" s="515" t="str">
        <f t="shared" si="44"/>
        <v>Vendido</v>
      </c>
      <c r="BB98" s="516" t="str">
        <f t="shared" si="45"/>
        <v>Cliente Atrasado</v>
      </c>
      <c r="BC98" s="551">
        <v>17</v>
      </c>
      <c r="BD98" s="693">
        <f t="shared" si="46"/>
        <v>1</v>
      </c>
      <c r="BE98" s="693">
        <f t="shared" si="47"/>
        <v>18</v>
      </c>
      <c r="BF98" s="517">
        <v>8000</v>
      </c>
      <c r="BG98" s="517">
        <v>4835</v>
      </c>
      <c r="BH98" s="693">
        <f t="shared" si="48"/>
        <v>19</v>
      </c>
      <c r="BI98" s="693">
        <f t="shared" si="49"/>
        <v>21</v>
      </c>
      <c r="BJ98" s="655">
        <f t="shared" si="50"/>
        <v>109535</v>
      </c>
      <c r="BK98" s="518">
        <f t="shared" si="51"/>
        <v>79777.5</v>
      </c>
      <c r="BL98" s="518">
        <f t="shared" si="52"/>
        <v>24922.5</v>
      </c>
      <c r="BM98" s="518">
        <f t="shared" si="53"/>
        <v>0</v>
      </c>
      <c r="BN98" s="518">
        <f t="shared" si="54"/>
        <v>0</v>
      </c>
      <c r="BO98" s="655">
        <f t="shared" si="68"/>
        <v>4835</v>
      </c>
      <c r="BP98" s="693">
        <f t="shared" si="55"/>
        <v>1</v>
      </c>
      <c r="BQ98" s="696"/>
      <c r="BR98" s="519"/>
      <c r="BT98" s="439">
        <f t="shared" si="56"/>
        <v>-4835</v>
      </c>
      <c r="BU98" s="439">
        <f t="shared" si="57"/>
        <v>-4835</v>
      </c>
      <c r="BV98" s="439">
        <f t="shared" si="58"/>
        <v>0</v>
      </c>
      <c r="BY98" s="862">
        <f t="shared" si="59"/>
        <v>577291.85699999996</v>
      </c>
      <c r="BZ98" s="862">
        <f t="shared" si="60"/>
        <v>247410.796</v>
      </c>
      <c r="CA98" s="862">
        <f t="shared" si="61"/>
        <v>69275.02</v>
      </c>
      <c r="CB98" s="862">
        <f t="shared" si="62"/>
        <v>7422.32</v>
      </c>
      <c r="CC98" s="863">
        <f t="shared" si="63"/>
        <v>646566.88</v>
      </c>
      <c r="CD98" s="863">
        <f t="shared" si="64"/>
        <v>254833.12</v>
      </c>
      <c r="CE98" s="864">
        <f t="shared" si="65"/>
        <v>901400</v>
      </c>
      <c r="CF98" s="862">
        <f t="shared" si="66"/>
        <v>0</v>
      </c>
    </row>
    <row r="99" spans="1:84" s="429" customFormat="1" ht="13.9" customHeight="1" x14ac:dyDescent="0.25">
      <c r="A99" s="472"/>
      <c r="B99" s="436">
        <v>604</v>
      </c>
      <c r="C99" s="436" t="s">
        <v>175</v>
      </c>
      <c r="D99" s="436"/>
      <c r="E99" s="436" t="s">
        <v>366</v>
      </c>
      <c r="F99" s="429" t="s">
        <v>486</v>
      </c>
      <c r="G99" s="473">
        <v>45411</v>
      </c>
      <c r="H99" s="436" t="s">
        <v>128</v>
      </c>
      <c r="I99" s="472">
        <v>887400</v>
      </c>
      <c r="J99" s="472">
        <v>88800</v>
      </c>
      <c r="K99" s="507">
        <v>0</v>
      </c>
      <c r="L99" s="507">
        <v>0</v>
      </c>
      <c r="M99" s="507">
        <v>0</v>
      </c>
      <c r="N99" s="507">
        <v>0</v>
      </c>
      <c r="O99" s="507">
        <v>0</v>
      </c>
      <c r="P99" s="507">
        <v>0</v>
      </c>
      <c r="Q99" s="507">
        <v>0</v>
      </c>
      <c r="R99" s="507">
        <v>0</v>
      </c>
      <c r="S99" s="507">
        <v>0</v>
      </c>
      <c r="T99" s="507">
        <v>0</v>
      </c>
      <c r="U99" s="507">
        <v>0</v>
      </c>
      <c r="V99" s="507">
        <v>0</v>
      </c>
      <c r="W99" s="507">
        <v>0</v>
      </c>
      <c r="X99" s="507">
        <v>8000</v>
      </c>
      <c r="Y99" s="507">
        <v>4753</v>
      </c>
      <c r="Z99" s="507">
        <v>4753</v>
      </c>
      <c r="AA99" s="507">
        <v>4753</v>
      </c>
      <c r="AB99" s="507">
        <v>4753</v>
      </c>
      <c r="AC99" s="507">
        <v>4753</v>
      </c>
      <c r="AD99" s="507">
        <v>4753</v>
      </c>
      <c r="AE99" s="507">
        <v>4753</v>
      </c>
      <c r="AF99" s="507">
        <v>4753</v>
      </c>
      <c r="AG99" s="507">
        <v>4753</v>
      </c>
      <c r="AH99" s="507">
        <v>4753</v>
      </c>
      <c r="AI99" s="507">
        <v>4753</v>
      </c>
      <c r="AJ99" s="507">
        <v>4753</v>
      </c>
      <c r="AK99" s="508">
        <v>4753</v>
      </c>
      <c r="AL99" s="508">
        <v>4753</v>
      </c>
      <c r="AM99" s="509">
        <v>4753</v>
      </c>
      <c r="AN99" s="509">
        <v>4753</v>
      </c>
      <c r="AO99" s="509">
        <v>4753</v>
      </c>
      <c r="AP99" s="509">
        <v>4753</v>
      </c>
      <c r="AQ99" s="509">
        <v>0</v>
      </c>
      <c r="AR99" s="509">
        <f>4753+4753</f>
        <v>9506</v>
      </c>
      <c r="AS99" s="509">
        <v>340</v>
      </c>
      <c r="AT99" s="510">
        <f t="shared" si="67"/>
        <v>103400</v>
      </c>
      <c r="AU99" s="512">
        <f t="shared" si="38"/>
        <v>1.1644144144144144</v>
      </c>
      <c r="AV99" s="511">
        <f t="shared" si="39"/>
        <v>14600</v>
      </c>
      <c r="AW99" s="558">
        <f t="shared" si="40"/>
        <v>0.16441441441441443</v>
      </c>
      <c r="AX99" s="513">
        <f t="shared" si="41"/>
        <v>784000</v>
      </c>
      <c r="AY99" s="514">
        <f t="shared" si="42"/>
        <v>0.88347982871309438</v>
      </c>
      <c r="AZ99" s="513">
        <f t="shared" si="43"/>
        <v>88800</v>
      </c>
      <c r="BA99" s="515" t="str">
        <f t="shared" si="44"/>
        <v>Vendido</v>
      </c>
      <c r="BB99" s="516" t="str">
        <f t="shared" si="45"/>
        <v>Superávit de Enganche</v>
      </c>
      <c r="BC99" s="551">
        <v>17</v>
      </c>
      <c r="BD99" s="693">
        <f t="shared" si="46"/>
        <v>1</v>
      </c>
      <c r="BE99" s="693">
        <f t="shared" si="47"/>
        <v>18</v>
      </c>
      <c r="BF99" s="517">
        <v>8000</v>
      </c>
      <c r="BG99" s="517">
        <v>4753</v>
      </c>
      <c r="BH99" s="693">
        <f t="shared" si="48"/>
        <v>19</v>
      </c>
      <c r="BI99" s="693">
        <f t="shared" si="49"/>
        <v>20</v>
      </c>
      <c r="BJ99" s="655">
        <f t="shared" si="50"/>
        <v>103060</v>
      </c>
      <c r="BK99" s="518">
        <f t="shared" si="51"/>
        <v>85894</v>
      </c>
      <c r="BL99" s="518">
        <f t="shared" si="52"/>
        <v>17506</v>
      </c>
      <c r="BM99" s="518">
        <f t="shared" si="53"/>
        <v>0</v>
      </c>
      <c r="BN99" s="518">
        <f t="shared" si="54"/>
        <v>340</v>
      </c>
      <c r="BO99" s="655">
        <f t="shared" si="68"/>
        <v>0</v>
      </c>
      <c r="BP99" s="693">
        <f t="shared" si="55"/>
        <v>0</v>
      </c>
      <c r="BQ99" s="696"/>
      <c r="BR99" s="519"/>
      <c r="BT99" s="439">
        <f t="shared" si="56"/>
        <v>340</v>
      </c>
      <c r="BU99" s="439">
        <f t="shared" si="57"/>
        <v>340</v>
      </c>
      <c r="BV99" s="439">
        <f t="shared" si="58"/>
        <v>0</v>
      </c>
      <c r="BY99" s="862">
        <f t="shared" si="59"/>
        <v>568325.70900000003</v>
      </c>
      <c r="BZ99" s="862">
        <f t="shared" si="60"/>
        <v>243568.16099999999</v>
      </c>
      <c r="CA99" s="862">
        <f t="shared" si="61"/>
        <v>68199.09</v>
      </c>
      <c r="CB99" s="862">
        <f t="shared" si="62"/>
        <v>7307.04</v>
      </c>
      <c r="CC99" s="863">
        <f t="shared" si="63"/>
        <v>636524.80000000005</v>
      </c>
      <c r="CD99" s="863">
        <f t="shared" si="64"/>
        <v>250875.2</v>
      </c>
      <c r="CE99" s="864">
        <f t="shared" si="65"/>
        <v>887400</v>
      </c>
      <c r="CF99" s="862">
        <f t="shared" si="66"/>
        <v>0</v>
      </c>
    </row>
    <row r="100" spans="1:84" s="429" customFormat="1" ht="13.9" customHeight="1" x14ac:dyDescent="0.25">
      <c r="A100" s="472"/>
      <c r="B100" s="436">
        <v>605</v>
      </c>
      <c r="C100" s="436" t="s">
        <v>461</v>
      </c>
      <c r="D100" s="436"/>
      <c r="E100" s="436" t="s">
        <v>366</v>
      </c>
      <c r="F100" s="429" t="s">
        <v>487</v>
      </c>
      <c r="G100" s="473">
        <v>45553</v>
      </c>
      <c r="H100" s="436" t="s">
        <v>128</v>
      </c>
      <c r="I100" s="472">
        <v>1373505</v>
      </c>
      <c r="J100" s="472">
        <v>137405</v>
      </c>
      <c r="K100" s="507">
        <v>0</v>
      </c>
      <c r="L100" s="507">
        <v>0</v>
      </c>
      <c r="M100" s="507">
        <v>0</v>
      </c>
      <c r="N100" s="507">
        <v>0</v>
      </c>
      <c r="O100" s="507">
        <v>0</v>
      </c>
      <c r="P100" s="507">
        <v>0</v>
      </c>
      <c r="Q100" s="507">
        <v>0</v>
      </c>
      <c r="R100" s="507">
        <v>0</v>
      </c>
      <c r="S100" s="507">
        <v>0</v>
      </c>
      <c r="T100" s="507">
        <v>0</v>
      </c>
      <c r="U100" s="507">
        <v>0</v>
      </c>
      <c r="V100" s="507">
        <v>0</v>
      </c>
      <c r="W100" s="507">
        <v>0</v>
      </c>
      <c r="X100" s="507">
        <v>0</v>
      </c>
      <c r="Y100" s="507">
        <v>0</v>
      </c>
      <c r="Z100" s="507">
        <v>0</v>
      </c>
      <c r="AA100" s="507">
        <v>0</v>
      </c>
      <c r="AB100" s="507">
        <v>0</v>
      </c>
      <c r="AC100" s="507">
        <v>10000</v>
      </c>
      <c r="AD100" s="507">
        <v>8494</v>
      </c>
      <c r="AE100" s="507">
        <v>8494</v>
      </c>
      <c r="AF100" s="507">
        <v>8494</v>
      </c>
      <c r="AG100" s="507">
        <v>8494</v>
      </c>
      <c r="AH100" s="507">
        <v>8494</v>
      </c>
      <c r="AI100" s="507">
        <v>8494</v>
      </c>
      <c r="AJ100" s="507">
        <v>8494</v>
      </c>
      <c r="AK100" s="508">
        <v>8494</v>
      </c>
      <c r="AL100" s="508">
        <v>8494</v>
      </c>
      <c r="AM100" s="509">
        <v>8494</v>
      </c>
      <c r="AN100" s="509">
        <v>8494</v>
      </c>
      <c r="AO100" s="509">
        <v>8494</v>
      </c>
      <c r="AP100" s="509">
        <v>8494</v>
      </c>
      <c r="AQ100" s="509">
        <v>8494</v>
      </c>
      <c r="AR100" s="509">
        <v>8489</v>
      </c>
      <c r="AS100" s="509"/>
      <c r="AT100" s="510">
        <f t="shared" si="67"/>
        <v>137405</v>
      </c>
      <c r="AU100" s="512">
        <f t="shared" si="38"/>
        <v>1</v>
      </c>
      <c r="AV100" s="511">
        <f t="shared" si="39"/>
        <v>0</v>
      </c>
      <c r="AW100" s="558">
        <f t="shared" si="40"/>
        <v>0</v>
      </c>
      <c r="AX100" s="513">
        <f t="shared" si="41"/>
        <v>1236100</v>
      </c>
      <c r="AY100" s="514">
        <f t="shared" si="42"/>
        <v>0.89996032049391883</v>
      </c>
      <c r="AZ100" s="513">
        <f t="shared" si="43"/>
        <v>137405</v>
      </c>
      <c r="BA100" s="515" t="str">
        <f t="shared" si="44"/>
        <v>Vendido</v>
      </c>
      <c r="BB100" s="516" t="str">
        <f t="shared" si="45"/>
        <v>Cliente Atrasado</v>
      </c>
      <c r="BC100" s="551">
        <v>15</v>
      </c>
      <c r="BD100" s="693">
        <f t="shared" si="46"/>
        <v>1</v>
      </c>
      <c r="BE100" s="693">
        <f t="shared" si="47"/>
        <v>16</v>
      </c>
      <c r="BF100" s="517">
        <v>10000</v>
      </c>
      <c r="BG100" s="517">
        <v>8494</v>
      </c>
      <c r="BH100" s="693">
        <f t="shared" si="48"/>
        <v>15</v>
      </c>
      <c r="BI100" s="693">
        <f t="shared" si="49"/>
        <v>16</v>
      </c>
      <c r="BJ100" s="655">
        <f t="shared" si="50"/>
        <v>145904</v>
      </c>
      <c r="BK100" s="518">
        <f t="shared" si="51"/>
        <v>127405</v>
      </c>
      <c r="BL100" s="518">
        <f t="shared" si="52"/>
        <v>10000</v>
      </c>
      <c r="BM100" s="518">
        <f t="shared" si="53"/>
        <v>0</v>
      </c>
      <c r="BN100" s="518">
        <f t="shared" si="54"/>
        <v>0</v>
      </c>
      <c r="BO100" s="655">
        <f t="shared" si="68"/>
        <v>8499</v>
      </c>
      <c r="BP100" s="693">
        <f t="shared" si="55"/>
        <v>2</v>
      </c>
      <c r="BQ100" s="696"/>
      <c r="BR100" s="519"/>
      <c r="BT100" s="439">
        <f t="shared" si="56"/>
        <v>-8499</v>
      </c>
      <c r="BU100" s="439">
        <f t="shared" si="57"/>
        <v>-8499</v>
      </c>
      <c r="BV100" s="439">
        <f t="shared" si="58"/>
        <v>0</v>
      </c>
      <c r="BY100" s="862">
        <f t="shared" si="59"/>
        <v>879646.38600000006</v>
      </c>
      <c r="BZ100" s="862">
        <f t="shared" si="60"/>
        <v>376991.30800000002</v>
      </c>
      <c r="CA100" s="862">
        <f t="shared" si="61"/>
        <v>105557.57</v>
      </c>
      <c r="CB100" s="862">
        <f t="shared" si="62"/>
        <v>11309.74</v>
      </c>
      <c r="CC100" s="863">
        <f t="shared" si="63"/>
        <v>985203.96</v>
      </c>
      <c r="CD100" s="863">
        <f t="shared" si="64"/>
        <v>388301.05</v>
      </c>
      <c r="CE100" s="864">
        <f t="shared" si="65"/>
        <v>1373505.01</v>
      </c>
      <c r="CF100" s="862">
        <f t="shared" si="66"/>
        <v>1.0000000009313226E-2</v>
      </c>
    </row>
    <row r="101" spans="1:84" s="429" customFormat="1" ht="13.9" customHeight="1" x14ac:dyDescent="0.25">
      <c r="A101" s="472"/>
      <c r="B101" s="436">
        <v>606</v>
      </c>
      <c r="C101" s="436" t="s">
        <v>463</v>
      </c>
      <c r="D101" s="436"/>
      <c r="E101" s="436" t="s">
        <v>366</v>
      </c>
      <c r="F101" s="429" t="s">
        <v>488</v>
      </c>
      <c r="G101" s="473">
        <v>45533</v>
      </c>
      <c r="H101" s="436" t="s">
        <v>128</v>
      </c>
      <c r="I101" s="472">
        <v>1379595</v>
      </c>
      <c r="J101" s="472">
        <v>137995</v>
      </c>
      <c r="K101" s="507">
        <v>0</v>
      </c>
      <c r="L101" s="507">
        <v>0</v>
      </c>
      <c r="M101" s="507">
        <v>0</v>
      </c>
      <c r="N101" s="507">
        <v>0</v>
      </c>
      <c r="O101" s="507">
        <v>0</v>
      </c>
      <c r="P101" s="507">
        <v>0</v>
      </c>
      <c r="Q101" s="507">
        <v>0</v>
      </c>
      <c r="R101" s="507">
        <v>0</v>
      </c>
      <c r="S101" s="507">
        <v>0</v>
      </c>
      <c r="T101" s="507">
        <v>0</v>
      </c>
      <c r="U101" s="507">
        <v>0</v>
      </c>
      <c r="V101" s="507">
        <v>0</v>
      </c>
      <c r="W101" s="507">
        <v>0</v>
      </c>
      <c r="X101" s="507">
        <v>0</v>
      </c>
      <c r="Y101" s="507">
        <v>0</v>
      </c>
      <c r="Z101" s="507">
        <v>0</v>
      </c>
      <c r="AA101" s="507">
        <v>0</v>
      </c>
      <c r="AB101" s="507">
        <v>10000</v>
      </c>
      <c r="AC101" s="507">
        <v>8000</v>
      </c>
      <c r="AD101" s="507">
        <v>8000</v>
      </c>
      <c r="AE101" s="507">
        <v>8000</v>
      </c>
      <c r="AF101" s="507">
        <v>8000</v>
      </c>
      <c r="AG101" s="507">
        <v>8000</v>
      </c>
      <c r="AH101" s="507">
        <v>8000</v>
      </c>
      <c r="AI101" s="507">
        <v>8000</v>
      </c>
      <c r="AJ101" s="507">
        <v>8000</v>
      </c>
      <c r="AK101" s="508">
        <v>8000</v>
      </c>
      <c r="AL101" s="508">
        <v>8000</v>
      </c>
      <c r="AM101" s="509">
        <v>8000</v>
      </c>
      <c r="AN101" s="509">
        <v>8000</v>
      </c>
      <c r="AO101" s="509">
        <v>8000</v>
      </c>
      <c r="AP101" s="509">
        <v>8000</v>
      </c>
      <c r="AQ101" s="509">
        <v>8000</v>
      </c>
      <c r="AR101" s="509">
        <v>8000</v>
      </c>
      <c r="AS101" s="509">
        <v>8000</v>
      </c>
      <c r="AT101" s="510">
        <f t="shared" si="67"/>
        <v>146000</v>
      </c>
      <c r="AU101" s="512">
        <f t="shared" si="38"/>
        <v>1.0580093481647885</v>
      </c>
      <c r="AV101" s="511">
        <f t="shared" si="39"/>
        <v>8005</v>
      </c>
      <c r="AW101" s="558">
        <f t="shared" si="40"/>
        <v>5.8009348164788581E-2</v>
      </c>
      <c r="AX101" s="513">
        <f t="shared" si="41"/>
        <v>1233595</v>
      </c>
      <c r="AY101" s="514">
        <f t="shared" si="42"/>
        <v>0.89417184028646091</v>
      </c>
      <c r="AZ101" s="513">
        <f t="shared" si="43"/>
        <v>137995</v>
      </c>
      <c r="BA101" s="515" t="str">
        <f t="shared" si="44"/>
        <v>Vendido</v>
      </c>
      <c r="BB101" s="516" t="str">
        <f t="shared" si="45"/>
        <v>Superávit de Enganche</v>
      </c>
      <c r="BC101" s="551">
        <v>15</v>
      </c>
      <c r="BD101" s="693">
        <f t="shared" si="46"/>
        <v>1</v>
      </c>
      <c r="BE101" s="693">
        <f t="shared" si="47"/>
        <v>16</v>
      </c>
      <c r="BF101" s="517">
        <v>10000</v>
      </c>
      <c r="BG101" s="517">
        <v>8000</v>
      </c>
      <c r="BH101" s="693">
        <f t="shared" si="48"/>
        <v>17</v>
      </c>
      <c r="BI101" s="693">
        <f t="shared" si="49"/>
        <v>16</v>
      </c>
      <c r="BJ101" s="655">
        <f t="shared" si="50"/>
        <v>138000</v>
      </c>
      <c r="BK101" s="518">
        <f t="shared" si="51"/>
        <v>136000</v>
      </c>
      <c r="BL101" s="518">
        <f t="shared" si="52"/>
        <v>10000</v>
      </c>
      <c r="BM101" s="518">
        <f t="shared" si="53"/>
        <v>0</v>
      </c>
      <c r="BN101" s="518">
        <f t="shared" si="54"/>
        <v>8000</v>
      </c>
      <c r="BO101" s="655">
        <f t="shared" si="68"/>
        <v>0</v>
      </c>
      <c r="BP101" s="693">
        <f t="shared" si="55"/>
        <v>0</v>
      </c>
      <c r="BQ101" s="696"/>
      <c r="BR101" s="519"/>
      <c r="BT101" s="439">
        <f t="shared" si="56"/>
        <v>8000</v>
      </c>
      <c r="BU101" s="439">
        <f t="shared" si="57"/>
        <v>8000</v>
      </c>
      <c r="BV101" s="439">
        <f t="shared" si="58"/>
        <v>0</v>
      </c>
      <c r="BY101" s="862">
        <f t="shared" si="59"/>
        <v>883546.66099999996</v>
      </c>
      <c r="BZ101" s="862">
        <f t="shared" si="60"/>
        <v>378662.85499999998</v>
      </c>
      <c r="CA101" s="862">
        <f t="shared" si="61"/>
        <v>106025.60000000001</v>
      </c>
      <c r="CB101" s="862">
        <f t="shared" si="62"/>
        <v>11359.89</v>
      </c>
      <c r="CC101" s="863">
        <f t="shared" si="63"/>
        <v>989572.26</v>
      </c>
      <c r="CD101" s="863">
        <f t="shared" si="64"/>
        <v>390022.75</v>
      </c>
      <c r="CE101" s="864">
        <f t="shared" si="65"/>
        <v>1379595.01</v>
      </c>
      <c r="CF101" s="862">
        <f t="shared" si="66"/>
        <v>1.0000000009313226E-2</v>
      </c>
    </row>
    <row r="102" spans="1:84" s="429" customFormat="1" ht="13.9" customHeight="1" x14ac:dyDescent="0.25">
      <c r="A102" s="472"/>
      <c r="B102" s="436">
        <v>607</v>
      </c>
      <c r="C102" s="436" t="s">
        <v>465</v>
      </c>
      <c r="D102" s="436"/>
      <c r="E102" s="436" t="s">
        <v>366</v>
      </c>
      <c r="F102" s="429" t="s">
        <v>489</v>
      </c>
      <c r="G102" s="473">
        <v>45769</v>
      </c>
      <c r="H102" s="436" t="s">
        <v>128</v>
      </c>
      <c r="I102" s="472">
        <v>771274</v>
      </c>
      <c r="J102" s="472">
        <v>77174</v>
      </c>
      <c r="K102" s="507">
        <v>0</v>
      </c>
      <c r="L102" s="507">
        <v>0</v>
      </c>
      <c r="M102" s="507">
        <v>0</v>
      </c>
      <c r="N102" s="507">
        <v>0</v>
      </c>
      <c r="O102" s="507">
        <v>0</v>
      </c>
      <c r="P102" s="507">
        <v>0</v>
      </c>
      <c r="Q102" s="507">
        <v>0</v>
      </c>
      <c r="R102" s="507">
        <v>0</v>
      </c>
      <c r="S102" s="507">
        <v>0</v>
      </c>
      <c r="T102" s="507">
        <v>0</v>
      </c>
      <c r="U102" s="507">
        <v>0</v>
      </c>
      <c r="V102" s="507">
        <v>0</v>
      </c>
      <c r="W102" s="507">
        <v>0</v>
      </c>
      <c r="X102" s="507">
        <v>0</v>
      </c>
      <c r="Y102" s="507">
        <v>0</v>
      </c>
      <c r="Z102" s="507">
        <v>0</v>
      </c>
      <c r="AA102" s="507">
        <v>0</v>
      </c>
      <c r="AB102" s="507">
        <v>0</v>
      </c>
      <c r="AC102" s="507">
        <v>0</v>
      </c>
      <c r="AD102" s="507">
        <v>0</v>
      </c>
      <c r="AE102" s="507">
        <v>0</v>
      </c>
      <c r="AF102" s="507">
        <v>0</v>
      </c>
      <c r="AG102" s="507">
        <v>0</v>
      </c>
      <c r="AH102" s="507">
        <v>0</v>
      </c>
      <c r="AI102" s="507">
        <v>0</v>
      </c>
      <c r="AJ102" s="507">
        <f>5000+5000</f>
        <v>10000</v>
      </c>
      <c r="AK102" s="508">
        <f>5000+167</f>
        <v>5167</v>
      </c>
      <c r="AL102" s="508">
        <f>5000+167</f>
        <v>5167</v>
      </c>
      <c r="AM102" s="509">
        <f>5000+176</f>
        <v>5176</v>
      </c>
      <c r="AN102" s="509">
        <v>5167</v>
      </c>
      <c r="AO102" s="509">
        <v>5167</v>
      </c>
      <c r="AP102" s="509">
        <v>5167</v>
      </c>
      <c r="AQ102" s="509">
        <v>5167</v>
      </c>
      <c r="AR102" s="509">
        <v>5167</v>
      </c>
      <c r="AS102" s="509">
        <v>5167</v>
      </c>
      <c r="AT102" s="510">
        <f t="shared" si="67"/>
        <v>56512</v>
      </c>
      <c r="AU102" s="512">
        <f t="shared" si="38"/>
        <v>0.73226734392411952</v>
      </c>
      <c r="AV102" s="511">
        <f t="shared" si="39"/>
        <v>-20662</v>
      </c>
      <c r="AW102" s="558">
        <f t="shared" si="40"/>
        <v>-0.26773265607588048</v>
      </c>
      <c r="AX102" s="513">
        <f t="shared" si="41"/>
        <v>714762</v>
      </c>
      <c r="AY102" s="514">
        <f t="shared" si="42"/>
        <v>0.9267290223707787</v>
      </c>
      <c r="AZ102" s="513">
        <f t="shared" si="43"/>
        <v>77174</v>
      </c>
      <c r="BA102" s="515" t="str">
        <f t="shared" si="44"/>
        <v>Vendido</v>
      </c>
      <c r="BB102" s="516" t="str">
        <f t="shared" si="45"/>
        <v>Cliente al día</v>
      </c>
      <c r="BC102" s="551">
        <v>13</v>
      </c>
      <c r="BD102" s="693">
        <f t="shared" si="46"/>
        <v>1</v>
      </c>
      <c r="BE102" s="693">
        <f t="shared" si="47"/>
        <v>14</v>
      </c>
      <c r="BF102" s="517">
        <v>10000</v>
      </c>
      <c r="BG102" s="517">
        <v>5167</v>
      </c>
      <c r="BH102" s="693">
        <f t="shared" si="48"/>
        <v>9</v>
      </c>
      <c r="BI102" s="693">
        <f t="shared" si="49"/>
        <v>9</v>
      </c>
      <c r="BJ102" s="655">
        <f t="shared" si="50"/>
        <v>56503</v>
      </c>
      <c r="BK102" s="518">
        <f t="shared" si="51"/>
        <v>41336</v>
      </c>
      <c r="BL102" s="518">
        <f t="shared" si="52"/>
        <v>15176</v>
      </c>
      <c r="BM102" s="518">
        <f t="shared" si="53"/>
        <v>0</v>
      </c>
      <c r="BN102" s="518">
        <f t="shared" si="54"/>
        <v>9</v>
      </c>
      <c r="BO102" s="655">
        <f t="shared" si="68"/>
        <v>0</v>
      </c>
      <c r="BP102" s="693">
        <f t="shared" si="55"/>
        <v>0</v>
      </c>
      <c r="BQ102" s="696"/>
      <c r="BR102" s="519"/>
      <c r="BT102" s="439">
        <f t="shared" si="56"/>
        <v>9</v>
      </c>
      <c r="BU102" s="439">
        <f t="shared" si="57"/>
        <v>9</v>
      </c>
      <c r="BV102" s="439">
        <f t="shared" si="58"/>
        <v>0</v>
      </c>
      <c r="BY102" s="862">
        <f t="shared" si="59"/>
        <v>493954.071</v>
      </c>
      <c r="BZ102" s="862">
        <f t="shared" si="60"/>
        <v>211694.60200000001</v>
      </c>
      <c r="CA102" s="862">
        <f t="shared" si="61"/>
        <v>59274.49</v>
      </c>
      <c r="CB102" s="862">
        <f t="shared" si="62"/>
        <v>6350.84</v>
      </c>
      <c r="CC102" s="863">
        <f t="shared" si="63"/>
        <v>553228.56000000006</v>
      </c>
      <c r="CD102" s="863">
        <f t="shared" si="64"/>
        <v>218045.44</v>
      </c>
      <c r="CE102" s="864">
        <f t="shared" si="65"/>
        <v>771274</v>
      </c>
      <c r="CF102" s="862">
        <f t="shared" si="66"/>
        <v>0</v>
      </c>
    </row>
    <row r="103" spans="1:84" s="429" customFormat="1" ht="13.9" customHeight="1" x14ac:dyDescent="0.25">
      <c r="A103" s="472"/>
      <c r="B103" s="436">
        <v>608</v>
      </c>
      <c r="C103" s="436" t="s">
        <v>467</v>
      </c>
      <c r="D103" s="642" t="s">
        <v>336</v>
      </c>
      <c r="E103" s="436" t="s">
        <v>366</v>
      </c>
      <c r="F103" s="429" t="s">
        <v>337</v>
      </c>
      <c r="G103" s="473">
        <v>45324</v>
      </c>
      <c r="H103" s="436" t="s">
        <v>128</v>
      </c>
      <c r="I103" s="472">
        <v>1183693</v>
      </c>
      <c r="J103" s="472">
        <v>118393</v>
      </c>
      <c r="K103" s="507">
        <v>0</v>
      </c>
      <c r="L103" s="507">
        <v>0</v>
      </c>
      <c r="M103" s="507">
        <v>0</v>
      </c>
      <c r="N103" s="507">
        <v>0</v>
      </c>
      <c r="O103" s="507">
        <v>0</v>
      </c>
      <c r="P103" s="507">
        <v>0</v>
      </c>
      <c r="Q103" s="507">
        <v>0</v>
      </c>
      <c r="R103" s="507">
        <v>0</v>
      </c>
      <c r="S103" s="507">
        <v>0</v>
      </c>
      <c r="T103" s="507">
        <v>0</v>
      </c>
      <c r="U103" s="507">
        <v>0</v>
      </c>
      <c r="V103" s="507">
        <v>12000</v>
      </c>
      <c r="W103" s="507">
        <v>0</v>
      </c>
      <c r="X103" s="507">
        <v>15000</v>
      </c>
      <c r="Y103" s="507">
        <v>0</v>
      </c>
      <c r="Z103" s="507">
        <v>0</v>
      </c>
      <c r="AA103" s="507">
        <v>0</v>
      </c>
      <c r="AB103" s="507">
        <v>19000</v>
      </c>
      <c r="AC103" s="507">
        <v>0</v>
      </c>
      <c r="AD103" s="507">
        <v>0</v>
      </c>
      <c r="AE103" s="507">
        <v>0</v>
      </c>
      <c r="AF103" s="507">
        <v>0</v>
      </c>
      <c r="AG103" s="507">
        <v>0</v>
      </c>
      <c r="AH103" s="507">
        <v>0</v>
      </c>
      <c r="AI103" s="507">
        <v>0</v>
      </c>
      <c r="AJ103" s="507">
        <f>19500+19500</f>
        <v>39000</v>
      </c>
      <c r="AK103" s="508"/>
      <c r="AL103" s="508"/>
      <c r="AM103" s="508"/>
      <c r="AN103" s="509"/>
      <c r="AO103" s="509">
        <v>0</v>
      </c>
      <c r="AP103" s="509">
        <v>0</v>
      </c>
      <c r="AQ103" s="509">
        <v>0</v>
      </c>
      <c r="AR103" s="508"/>
      <c r="AS103" s="508"/>
      <c r="AT103" s="510">
        <f t="shared" si="67"/>
        <v>85000</v>
      </c>
      <c r="AU103" s="512">
        <f t="shared" si="38"/>
        <v>0.71794785164663455</v>
      </c>
      <c r="AV103" s="511">
        <f t="shared" si="39"/>
        <v>-33393</v>
      </c>
      <c r="AW103" s="558">
        <f t="shared" si="40"/>
        <v>-0.28205214835336551</v>
      </c>
      <c r="AX103" s="513">
        <f t="shared" si="41"/>
        <v>1098693</v>
      </c>
      <c r="AY103" s="514">
        <f t="shared" si="42"/>
        <v>0.92819084002355345</v>
      </c>
      <c r="AZ103" s="513">
        <f t="shared" si="43"/>
        <v>118393</v>
      </c>
      <c r="BA103" s="515" t="str">
        <f t="shared" si="44"/>
        <v>Vendido</v>
      </c>
      <c r="BB103" s="516" t="str">
        <f t="shared" si="45"/>
        <v>Cliente al día</v>
      </c>
      <c r="BC103" s="551">
        <v>6</v>
      </c>
      <c r="BD103" s="693">
        <f t="shared" si="46"/>
        <v>1</v>
      </c>
      <c r="BE103" s="693">
        <f t="shared" si="47"/>
        <v>7</v>
      </c>
      <c r="BF103" s="644">
        <v>8000</v>
      </c>
      <c r="BG103" s="644">
        <v>19000</v>
      </c>
      <c r="BH103" s="693">
        <f t="shared" si="48"/>
        <v>0</v>
      </c>
      <c r="BI103" s="693">
        <f t="shared" si="49"/>
        <v>23</v>
      </c>
      <c r="BJ103" s="528">
        <f>(19000*4)+BF103</f>
        <v>84000</v>
      </c>
      <c r="BK103" s="518">
        <f t="shared" si="51"/>
        <v>46000</v>
      </c>
      <c r="BL103" s="518">
        <f t="shared" si="52"/>
        <v>39000</v>
      </c>
      <c r="BM103" s="518">
        <f t="shared" si="53"/>
        <v>0</v>
      </c>
      <c r="BN103" s="518">
        <f t="shared" si="54"/>
        <v>1000</v>
      </c>
      <c r="BO103" s="655">
        <f t="shared" si="68"/>
        <v>0</v>
      </c>
      <c r="BP103" s="693">
        <f t="shared" si="55"/>
        <v>0</v>
      </c>
      <c r="BQ103" s="696" t="s">
        <v>388</v>
      </c>
      <c r="BR103" s="654" t="s">
        <v>490</v>
      </c>
      <c r="BT103" s="439">
        <f t="shared" si="56"/>
        <v>1000</v>
      </c>
      <c r="BU103" s="439">
        <f t="shared" si="57"/>
        <v>1000</v>
      </c>
      <c r="BV103" s="439">
        <f t="shared" si="58"/>
        <v>0</v>
      </c>
      <c r="BY103" s="862">
        <f t="shared" si="59"/>
        <v>758083.34900000005</v>
      </c>
      <c r="BZ103" s="862">
        <f t="shared" si="60"/>
        <v>324892.864</v>
      </c>
      <c r="CA103" s="862">
        <f t="shared" si="61"/>
        <v>90970</v>
      </c>
      <c r="CB103" s="862">
        <f t="shared" si="62"/>
        <v>9746.7900000000009</v>
      </c>
      <c r="CC103" s="863">
        <f t="shared" si="63"/>
        <v>849053.35</v>
      </c>
      <c r="CD103" s="863">
        <f t="shared" si="64"/>
        <v>334639.65000000002</v>
      </c>
      <c r="CE103" s="864">
        <f t="shared" si="65"/>
        <v>1183693</v>
      </c>
      <c r="CF103" s="862">
        <f t="shared" si="66"/>
        <v>0</v>
      </c>
    </row>
    <row r="104" spans="1:84" s="429" customFormat="1" ht="13.9" customHeight="1" x14ac:dyDescent="0.25">
      <c r="A104" s="472"/>
      <c r="B104" s="436">
        <v>609</v>
      </c>
      <c r="C104" s="436" t="s">
        <v>469</v>
      </c>
      <c r="D104" s="436"/>
      <c r="E104" s="436" t="s">
        <v>366</v>
      </c>
      <c r="F104" s="429" t="s">
        <v>491</v>
      </c>
      <c r="G104" s="473">
        <v>45434</v>
      </c>
      <c r="H104" s="436" t="s">
        <v>128</v>
      </c>
      <c r="I104" s="472">
        <v>1181561.5</v>
      </c>
      <c r="J104" s="472">
        <v>118161.5</v>
      </c>
      <c r="K104" s="507">
        <v>0</v>
      </c>
      <c r="L104" s="507">
        <v>0</v>
      </c>
      <c r="M104" s="507">
        <v>0</v>
      </c>
      <c r="N104" s="507">
        <v>0</v>
      </c>
      <c r="O104" s="507">
        <v>0</v>
      </c>
      <c r="P104" s="507">
        <v>0</v>
      </c>
      <c r="Q104" s="507">
        <v>0</v>
      </c>
      <c r="R104" s="507">
        <v>0</v>
      </c>
      <c r="S104" s="507">
        <v>0</v>
      </c>
      <c r="T104" s="507">
        <v>0</v>
      </c>
      <c r="U104" s="507">
        <v>0</v>
      </c>
      <c r="V104" s="507">
        <v>0</v>
      </c>
      <c r="W104" s="507">
        <v>0</v>
      </c>
      <c r="X104" s="507">
        <v>0</v>
      </c>
      <c r="Y104" s="507">
        <v>10000</v>
      </c>
      <c r="Z104" s="507">
        <v>5693</v>
      </c>
      <c r="AA104" s="507">
        <v>5693</v>
      </c>
      <c r="AB104" s="507">
        <v>5693</v>
      </c>
      <c r="AC104" s="507">
        <v>11386</v>
      </c>
      <c r="AD104" s="507">
        <v>0</v>
      </c>
      <c r="AE104" s="507">
        <v>5693</v>
      </c>
      <c r="AF104" s="507">
        <v>5693</v>
      </c>
      <c r="AG104" s="507">
        <v>5693</v>
      </c>
      <c r="AH104" s="507">
        <v>5693</v>
      </c>
      <c r="AI104" s="507">
        <v>5693</v>
      </c>
      <c r="AJ104" s="507">
        <v>5693</v>
      </c>
      <c r="AK104" s="508">
        <f>5693+5693</f>
        <v>11386</v>
      </c>
      <c r="AL104" s="508"/>
      <c r="AM104" s="509">
        <v>5693</v>
      </c>
      <c r="AN104" s="509">
        <v>5693</v>
      </c>
      <c r="AO104" s="509">
        <v>5693</v>
      </c>
      <c r="AP104" s="509">
        <v>5693</v>
      </c>
      <c r="AQ104" s="509">
        <v>11386</v>
      </c>
      <c r="AR104" s="509"/>
      <c r="AS104" s="509"/>
      <c r="AT104" s="510">
        <f t="shared" si="67"/>
        <v>118167</v>
      </c>
      <c r="AU104" s="512">
        <f t="shared" si="38"/>
        <v>1.0000465464639499</v>
      </c>
      <c r="AV104" s="511">
        <f t="shared" si="39"/>
        <v>5.5</v>
      </c>
      <c r="AW104" s="558">
        <f t="shared" si="40"/>
        <v>4.6546463949763669E-5</v>
      </c>
      <c r="AX104" s="513">
        <f t="shared" si="41"/>
        <v>1063394.5</v>
      </c>
      <c r="AY104" s="514">
        <f t="shared" si="42"/>
        <v>0.89999081723634355</v>
      </c>
      <c r="AZ104" s="513">
        <f t="shared" si="43"/>
        <v>118161.5</v>
      </c>
      <c r="BA104" s="515" t="str">
        <f t="shared" si="44"/>
        <v>Vendido</v>
      </c>
      <c r="BB104" s="516" t="str">
        <f t="shared" si="45"/>
        <v>Cliente Atrasado</v>
      </c>
      <c r="BC104" s="551">
        <v>19</v>
      </c>
      <c r="BD104" s="693">
        <f t="shared" si="46"/>
        <v>1</v>
      </c>
      <c r="BE104" s="693">
        <f t="shared" si="47"/>
        <v>20</v>
      </c>
      <c r="BF104" s="517">
        <v>10000</v>
      </c>
      <c r="BG104" s="517">
        <v>5693</v>
      </c>
      <c r="BH104" s="693">
        <f t="shared" si="48"/>
        <v>13</v>
      </c>
      <c r="BI104" s="693">
        <f t="shared" si="49"/>
        <v>20</v>
      </c>
      <c r="BJ104" s="655">
        <f t="shared" ref="BJ104:BJ126" si="69">(BI104*BG104)+BF104</f>
        <v>123860</v>
      </c>
      <c r="BK104" s="518">
        <f t="shared" si="51"/>
        <v>74009</v>
      </c>
      <c r="BL104" s="518">
        <f t="shared" si="52"/>
        <v>44158</v>
      </c>
      <c r="BM104" s="518">
        <f t="shared" si="53"/>
        <v>0</v>
      </c>
      <c r="BN104" s="518">
        <f t="shared" si="54"/>
        <v>0</v>
      </c>
      <c r="BO104" s="655">
        <f t="shared" si="68"/>
        <v>5693</v>
      </c>
      <c r="BP104" s="693">
        <f t="shared" si="55"/>
        <v>1</v>
      </c>
      <c r="BQ104" s="696"/>
      <c r="BR104" s="519"/>
      <c r="BT104" s="439">
        <f t="shared" si="56"/>
        <v>-5693</v>
      </c>
      <c r="BU104" s="439">
        <f t="shared" si="57"/>
        <v>-5693</v>
      </c>
      <c r="BV104" s="439">
        <f t="shared" si="58"/>
        <v>0</v>
      </c>
      <c r="BY104" s="862">
        <f t="shared" si="59"/>
        <v>756718.25300000003</v>
      </c>
      <c r="BZ104" s="862">
        <f t="shared" si="60"/>
        <v>324307.82299999997</v>
      </c>
      <c r="CA104" s="862">
        <f t="shared" si="61"/>
        <v>90806.19</v>
      </c>
      <c r="CB104" s="862">
        <f t="shared" si="62"/>
        <v>9729.23</v>
      </c>
      <c r="CC104" s="863">
        <f t="shared" si="63"/>
        <v>847524.44</v>
      </c>
      <c r="CD104" s="863">
        <f t="shared" si="64"/>
        <v>334037.05</v>
      </c>
      <c r="CE104" s="864">
        <f t="shared" si="65"/>
        <v>1181561.49</v>
      </c>
      <c r="CF104" s="862">
        <f t="shared" si="66"/>
        <v>-1.0000000009313226E-2</v>
      </c>
    </row>
    <row r="105" spans="1:84" s="429" customFormat="1" ht="13.9" customHeight="1" x14ac:dyDescent="0.25">
      <c r="A105" s="472"/>
      <c r="B105" s="436">
        <v>610</v>
      </c>
      <c r="C105" s="436" t="s">
        <v>467</v>
      </c>
      <c r="D105" s="436"/>
      <c r="E105" s="436" t="s">
        <v>366</v>
      </c>
      <c r="F105" s="429" t="s">
        <v>492</v>
      </c>
      <c r="G105" s="473">
        <v>45351</v>
      </c>
      <c r="H105" s="436" t="s">
        <v>128</v>
      </c>
      <c r="I105" s="472">
        <v>1183693</v>
      </c>
      <c r="J105" s="472">
        <v>118393</v>
      </c>
      <c r="K105" s="507">
        <v>0</v>
      </c>
      <c r="L105" s="507">
        <v>0</v>
      </c>
      <c r="M105" s="507">
        <v>0</v>
      </c>
      <c r="N105" s="507">
        <v>0</v>
      </c>
      <c r="O105" s="507">
        <v>0</v>
      </c>
      <c r="P105" s="507">
        <v>0</v>
      </c>
      <c r="Q105" s="507">
        <v>0</v>
      </c>
      <c r="R105" s="507">
        <v>0</v>
      </c>
      <c r="S105" s="507">
        <v>0</v>
      </c>
      <c r="T105" s="507">
        <v>0</v>
      </c>
      <c r="U105" s="507">
        <v>0</v>
      </c>
      <c r="V105" s="507">
        <v>8000</v>
      </c>
      <c r="W105" s="507">
        <v>5810</v>
      </c>
      <c r="X105" s="507">
        <v>5810</v>
      </c>
      <c r="Y105" s="507">
        <v>5810</v>
      </c>
      <c r="Z105" s="507">
        <v>5810</v>
      </c>
      <c r="AA105" s="507">
        <v>5810</v>
      </c>
      <c r="AB105" s="507">
        <v>5810</v>
      </c>
      <c r="AC105" s="507">
        <v>5810</v>
      </c>
      <c r="AD105" s="507">
        <v>5810</v>
      </c>
      <c r="AE105" s="507">
        <v>5810</v>
      </c>
      <c r="AF105" s="507">
        <v>5810</v>
      </c>
      <c r="AG105" s="507">
        <v>5810</v>
      </c>
      <c r="AH105" s="507">
        <v>5810</v>
      </c>
      <c r="AI105" s="507">
        <v>5810</v>
      </c>
      <c r="AJ105" s="507">
        <v>5810</v>
      </c>
      <c r="AK105" s="508">
        <v>5810</v>
      </c>
      <c r="AL105" s="508">
        <v>5810</v>
      </c>
      <c r="AM105" s="509">
        <v>5810</v>
      </c>
      <c r="AN105" s="509">
        <v>5810</v>
      </c>
      <c r="AO105" s="509">
        <v>0</v>
      </c>
      <c r="AP105" s="509">
        <v>5813</v>
      </c>
      <c r="AQ105" s="509">
        <v>0</v>
      </c>
      <c r="AR105" s="509"/>
      <c r="AS105" s="509"/>
      <c r="AT105" s="510">
        <f t="shared" si="67"/>
        <v>118393</v>
      </c>
      <c r="AU105" s="512">
        <f t="shared" si="38"/>
        <v>1</v>
      </c>
      <c r="AV105" s="511">
        <f t="shared" si="39"/>
        <v>0</v>
      </c>
      <c r="AW105" s="558">
        <f t="shared" si="40"/>
        <v>0</v>
      </c>
      <c r="AX105" s="513">
        <f t="shared" si="41"/>
        <v>1065300</v>
      </c>
      <c r="AY105" s="514">
        <f t="shared" si="42"/>
        <v>0.89997997791657125</v>
      </c>
      <c r="AZ105" s="513">
        <f t="shared" si="43"/>
        <v>118393</v>
      </c>
      <c r="BA105" s="515" t="str">
        <f t="shared" si="44"/>
        <v>Vendido</v>
      </c>
      <c r="BB105" s="516" t="str">
        <f t="shared" si="45"/>
        <v>Cliente Atrasado</v>
      </c>
      <c r="BC105" s="551">
        <v>19</v>
      </c>
      <c r="BD105" s="693">
        <f t="shared" si="46"/>
        <v>1</v>
      </c>
      <c r="BE105" s="693">
        <f t="shared" si="47"/>
        <v>20</v>
      </c>
      <c r="BF105" s="517">
        <v>8000</v>
      </c>
      <c r="BG105" s="517">
        <v>5810</v>
      </c>
      <c r="BH105" s="693">
        <f t="shared" si="48"/>
        <v>19</v>
      </c>
      <c r="BI105" s="693">
        <f t="shared" si="49"/>
        <v>22</v>
      </c>
      <c r="BJ105" s="655">
        <f t="shared" si="69"/>
        <v>135820</v>
      </c>
      <c r="BK105" s="518">
        <f t="shared" si="51"/>
        <v>104580</v>
      </c>
      <c r="BL105" s="518">
        <f t="shared" si="52"/>
        <v>13813</v>
      </c>
      <c r="BM105" s="518">
        <f t="shared" si="53"/>
        <v>0</v>
      </c>
      <c r="BN105" s="518">
        <f t="shared" si="54"/>
        <v>0</v>
      </c>
      <c r="BO105" s="655">
        <f t="shared" si="68"/>
        <v>17427</v>
      </c>
      <c r="BP105" s="693">
        <f t="shared" si="55"/>
        <v>3</v>
      </c>
      <c r="BQ105" s="696"/>
      <c r="BR105" s="519"/>
      <c r="BT105" s="439">
        <f t="shared" si="56"/>
        <v>-17427</v>
      </c>
      <c r="BU105" s="439">
        <f t="shared" si="57"/>
        <v>-17427</v>
      </c>
      <c r="BV105" s="439">
        <f t="shared" si="58"/>
        <v>0</v>
      </c>
      <c r="BY105" s="862">
        <f t="shared" si="59"/>
        <v>758083.34900000005</v>
      </c>
      <c r="BZ105" s="862">
        <f t="shared" si="60"/>
        <v>324892.864</v>
      </c>
      <c r="CA105" s="862">
        <f t="shared" si="61"/>
        <v>90970</v>
      </c>
      <c r="CB105" s="862">
        <f t="shared" si="62"/>
        <v>9746.7900000000009</v>
      </c>
      <c r="CC105" s="863">
        <f t="shared" si="63"/>
        <v>849053.35</v>
      </c>
      <c r="CD105" s="863">
        <f t="shared" si="64"/>
        <v>334639.65000000002</v>
      </c>
      <c r="CE105" s="864">
        <f t="shared" si="65"/>
        <v>1183693</v>
      </c>
      <c r="CF105" s="862">
        <f t="shared" si="66"/>
        <v>0</v>
      </c>
    </row>
    <row r="106" spans="1:84" s="429" customFormat="1" ht="13.9" customHeight="1" x14ac:dyDescent="0.25">
      <c r="B106" s="436">
        <v>611</v>
      </c>
      <c r="C106" s="436" t="s">
        <v>469</v>
      </c>
      <c r="D106" s="436"/>
      <c r="E106" s="436" t="s">
        <v>366</v>
      </c>
      <c r="F106" s="429" t="s">
        <v>493</v>
      </c>
      <c r="G106" s="480">
        <v>45835</v>
      </c>
      <c r="H106" s="436" t="s">
        <v>128</v>
      </c>
      <c r="I106" s="472">
        <v>1381446.6987563099</v>
      </c>
      <c r="J106" s="472">
        <v>276346.7</v>
      </c>
      <c r="K106" s="507">
        <v>0</v>
      </c>
      <c r="L106" s="507">
        <v>0</v>
      </c>
      <c r="M106" s="507">
        <v>0</v>
      </c>
      <c r="N106" s="507">
        <v>0</v>
      </c>
      <c r="O106" s="507">
        <v>0</v>
      </c>
      <c r="P106" s="507">
        <v>0</v>
      </c>
      <c r="Q106" s="507">
        <v>0</v>
      </c>
      <c r="R106" s="507">
        <v>0</v>
      </c>
      <c r="S106" s="507">
        <v>0</v>
      </c>
      <c r="T106" s="507">
        <v>0</v>
      </c>
      <c r="U106" s="507">
        <v>0</v>
      </c>
      <c r="V106" s="507">
        <v>0</v>
      </c>
      <c r="W106" s="507">
        <v>0</v>
      </c>
      <c r="X106" s="507">
        <v>0</v>
      </c>
      <c r="Y106" s="507">
        <v>0</v>
      </c>
      <c r="Z106" s="507">
        <v>0</v>
      </c>
      <c r="AA106" s="507">
        <v>0</v>
      </c>
      <c r="AB106" s="507">
        <v>0</v>
      </c>
      <c r="AC106" s="507">
        <v>0</v>
      </c>
      <c r="AD106" s="507">
        <v>0</v>
      </c>
      <c r="AE106" s="507">
        <v>0</v>
      </c>
      <c r="AF106" s="507">
        <v>0</v>
      </c>
      <c r="AG106" s="507">
        <v>0</v>
      </c>
      <c r="AH106" s="507">
        <v>10000</v>
      </c>
      <c r="AI106" s="507">
        <v>10000</v>
      </c>
      <c r="AJ106" s="507">
        <v>0</v>
      </c>
      <c r="AK106" s="508"/>
      <c r="AL106" s="508"/>
      <c r="AM106" s="509">
        <v>20488</v>
      </c>
      <c r="AN106" s="509">
        <v>20488</v>
      </c>
      <c r="AO106" s="509">
        <v>20488</v>
      </c>
      <c r="AP106" s="509">
        <v>20488</v>
      </c>
      <c r="AQ106" s="509">
        <v>20488</v>
      </c>
      <c r="AR106" s="509">
        <v>20488</v>
      </c>
      <c r="AS106" s="509">
        <v>20488</v>
      </c>
      <c r="AT106" s="510">
        <f t="shared" si="67"/>
        <v>163416</v>
      </c>
      <c r="AU106" s="512">
        <f t="shared" si="38"/>
        <v>0.59134413401716035</v>
      </c>
      <c r="AV106" s="511">
        <f t="shared" si="39"/>
        <v>-112930.70000000001</v>
      </c>
      <c r="AW106" s="558">
        <f t="shared" si="40"/>
        <v>-0.40865586598283971</v>
      </c>
      <c r="AX106" s="513">
        <f t="shared" si="41"/>
        <v>1218030.6987563099</v>
      </c>
      <c r="AY106" s="514">
        <f t="shared" si="42"/>
        <v>0.88170661948295193</v>
      </c>
      <c r="AZ106" s="513">
        <f t="shared" si="43"/>
        <v>276346.7</v>
      </c>
      <c r="BA106" s="515" t="str">
        <f t="shared" si="44"/>
        <v>Vendido</v>
      </c>
      <c r="BB106" s="516" t="str">
        <f t="shared" si="45"/>
        <v>Cliente al día</v>
      </c>
      <c r="BC106" s="551">
        <v>13</v>
      </c>
      <c r="BD106" s="693">
        <f t="shared" si="46"/>
        <v>1</v>
      </c>
      <c r="BE106" s="693">
        <f t="shared" si="47"/>
        <v>14</v>
      </c>
      <c r="BF106" s="517">
        <v>10000</v>
      </c>
      <c r="BG106" s="517">
        <v>20488</v>
      </c>
      <c r="BH106" s="693">
        <f t="shared" si="48"/>
        <v>0</v>
      </c>
      <c r="BI106" s="693">
        <f t="shared" si="49"/>
        <v>6</v>
      </c>
      <c r="BJ106" s="655">
        <f t="shared" si="69"/>
        <v>132928</v>
      </c>
      <c r="BK106" s="518">
        <f t="shared" si="51"/>
        <v>163416</v>
      </c>
      <c r="BL106" s="518">
        <f t="shared" si="52"/>
        <v>0</v>
      </c>
      <c r="BM106" s="518">
        <f t="shared" si="53"/>
        <v>0</v>
      </c>
      <c r="BN106" s="518">
        <f t="shared" si="54"/>
        <v>30488</v>
      </c>
      <c r="BO106" s="655">
        <f t="shared" si="68"/>
        <v>0</v>
      </c>
      <c r="BP106" s="693">
        <f t="shared" si="55"/>
        <v>0</v>
      </c>
      <c r="BQ106" s="696"/>
      <c r="BR106" s="519" t="s">
        <v>494</v>
      </c>
      <c r="BT106" s="439">
        <f t="shared" si="56"/>
        <v>30488</v>
      </c>
      <c r="BU106" s="439">
        <f t="shared" si="57"/>
        <v>30488</v>
      </c>
      <c r="BV106" s="439">
        <f t="shared" si="58"/>
        <v>0</v>
      </c>
      <c r="BY106" s="862">
        <f t="shared" si="59"/>
        <v>884732.56099999999</v>
      </c>
      <c r="BZ106" s="862">
        <f t="shared" si="60"/>
        <v>379171.098</v>
      </c>
      <c r="CA106" s="862">
        <f t="shared" si="61"/>
        <v>106167.91</v>
      </c>
      <c r="CB106" s="862">
        <f t="shared" si="62"/>
        <v>11375.13</v>
      </c>
      <c r="CC106" s="863">
        <f t="shared" si="63"/>
        <v>990900.47</v>
      </c>
      <c r="CD106" s="863">
        <f t="shared" si="64"/>
        <v>390546.23</v>
      </c>
      <c r="CE106" s="864">
        <f t="shared" si="65"/>
        <v>1381446.7</v>
      </c>
      <c r="CF106" s="862">
        <f t="shared" si="66"/>
        <v>1.2436900287866592E-3</v>
      </c>
    </row>
    <row r="107" spans="1:84" s="429" customFormat="1" ht="13.9" customHeight="1" x14ac:dyDescent="0.25">
      <c r="A107" s="472"/>
      <c r="B107" s="436">
        <v>612</v>
      </c>
      <c r="C107" s="436" t="s">
        <v>406</v>
      </c>
      <c r="D107" s="436"/>
      <c r="E107" s="436" t="s">
        <v>366</v>
      </c>
      <c r="F107" s="429" t="s">
        <v>495</v>
      </c>
      <c r="G107" s="480">
        <v>45906</v>
      </c>
      <c r="H107" s="436" t="s">
        <v>128</v>
      </c>
      <c r="I107" s="472">
        <v>946600</v>
      </c>
      <c r="J107" s="472">
        <v>66300</v>
      </c>
      <c r="K107" s="507">
        <v>0</v>
      </c>
      <c r="L107" s="507">
        <v>0</v>
      </c>
      <c r="M107" s="507">
        <v>0</v>
      </c>
      <c r="N107" s="507">
        <v>0</v>
      </c>
      <c r="O107" s="507">
        <v>0</v>
      </c>
      <c r="P107" s="507">
        <v>0</v>
      </c>
      <c r="Q107" s="507">
        <v>0</v>
      </c>
      <c r="R107" s="507">
        <v>0</v>
      </c>
      <c r="S107" s="507">
        <v>0</v>
      </c>
      <c r="T107" s="507">
        <v>0</v>
      </c>
      <c r="U107" s="507">
        <v>0</v>
      </c>
      <c r="V107" s="507">
        <v>0</v>
      </c>
      <c r="W107" s="507">
        <v>0</v>
      </c>
      <c r="X107" s="507">
        <v>0</v>
      </c>
      <c r="Y107" s="507">
        <v>0</v>
      </c>
      <c r="Z107" s="507">
        <v>0</v>
      </c>
      <c r="AA107" s="507">
        <v>0</v>
      </c>
      <c r="AB107" s="507">
        <v>0</v>
      </c>
      <c r="AC107" s="507">
        <v>0</v>
      </c>
      <c r="AD107" s="507">
        <v>0</v>
      </c>
      <c r="AE107" s="507">
        <v>0</v>
      </c>
      <c r="AF107" s="507">
        <v>0</v>
      </c>
      <c r="AG107" s="507">
        <v>0</v>
      </c>
      <c r="AH107" s="507">
        <v>0</v>
      </c>
      <c r="AI107" s="507">
        <v>0</v>
      </c>
      <c r="AJ107" s="507">
        <v>0</v>
      </c>
      <c r="AK107" s="507">
        <v>0</v>
      </c>
      <c r="AL107" s="507">
        <v>0</v>
      </c>
      <c r="AM107" s="507">
        <v>0</v>
      </c>
      <c r="AN107" s="507">
        <v>0</v>
      </c>
      <c r="AO107" s="509">
        <v>10000</v>
      </c>
      <c r="AP107" s="509">
        <v>6300</v>
      </c>
      <c r="AQ107" s="509">
        <v>0</v>
      </c>
      <c r="AR107" s="509">
        <v>6300</v>
      </c>
      <c r="AS107" s="509">
        <v>6300</v>
      </c>
      <c r="AT107" s="510">
        <f t="shared" si="67"/>
        <v>28900</v>
      </c>
      <c r="AU107" s="512">
        <f t="shared" si="38"/>
        <v>0.4358974358974359</v>
      </c>
      <c r="AV107" s="511">
        <f t="shared" si="39"/>
        <v>-37400</v>
      </c>
      <c r="AW107" s="558">
        <f t="shared" si="40"/>
        <v>-0.5641025641025641</v>
      </c>
      <c r="AX107" s="513">
        <f t="shared" si="41"/>
        <v>917700</v>
      </c>
      <c r="AY107" s="514">
        <f t="shared" si="42"/>
        <v>0.9694696809634481</v>
      </c>
      <c r="AZ107" s="513">
        <f t="shared" si="43"/>
        <v>66300</v>
      </c>
      <c r="BA107" s="515" t="str">
        <f t="shared" si="44"/>
        <v>Vendido</v>
      </c>
      <c r="BB107" s="516" t="str">
        <f t="shared" si="45"/>
        <v>Cliente Atrasado</v>
      </c>
      <c r="BC107" s="551">
        <v>34</v>
      </c>
      <c r="BD107" s="693">
        <f t="shared" si="46"/>
        <v>1</v>
      </c>
      <c r="BE107" s="693">
        <f t="shared" si="47"/>
        <v>35</v>
      </c>
      <c r="BF107" s="679">
        <v>10000</v>
      </c>
      <c r="BG107" s="679">
        <v>6300</v>
      </c>
      <c r="BH107" s="693">
        <f t="shared" si="48"/>
        <v>3</v>
      </c>
      <c r="BI107" s="693">
        <f t="shared" si="49"/>
        <v>4</v>
      </c>
      <c r="BJ107" s="655">
        <f t="shared" si="69"/>
        <v>35200</v>
      </c>
      <c r="BK107" s="518">
        <f t="shared" si="51"/>
        <v>18900</v>
      </c>
      <c r="BL107" s="518">
        <f t="shared" si="52"/>
        <v>10000</v>
      </c>
      <c r="BM107" s="518">
        <f t="shared" si="53"/>
        <v>0</v>
      </c>
      <c r="BN107" s="518">
        <f t="shared" si="54"/>
        <v>0</v>
      </c>
      <c r="BO107" s="655">
        <f t="shared" si="68"/>
        <v>6300</v>
      </c>
      <c r="BP107" s="693">
        <f t="shared" si="55"/>
        <v>1</v>
      </c>
      <c r="BQ107" s="696"/>
      <c r="BR107" s="519" t="s">
        <v>443</v>
      </c>
      <c r="BT107" s="439">
        <f t="shared" si="56"/>
        <v>-6300</v>
      </c>
      <c r="BU107" s="439">
        <f t="shared" si="57"/>
        <v>-6300</v>
      </c>
      <c r="BV107" s="439">
        <f t="shared" si="58"/>
        <v>0</v>
      </c>
      <c r="BY107" s="862">
        <f t="shared" si="59"/>
        <v>606239.70700000005</v>
      </c>
      <c r="BZ107" s="862">
        <f t="shared" si="60"/>
        <v>259817.01699999999</v>
      </c>
      <c r="CA107" s="862">
        <f t="shared" si="61"/>
        <v>72748.759999999995</v>
      </c>
      <c r="CB107" s="862">
        <f t="shared" si="62"/>
        <v>7794.51</v>
      </c>
      <c r="CC107" s="863">
        <f t="shared" si="63"/>
        <v>678988.47</v>
      </c>
      <c r="CD107" s="863">
        <f t="shared" si="64"/>
        <v>267611.53000000003</v>
      </c>
      <c r="CE107" s="864">
        <f t="shared" si="65"/>
        <v>946600</v>
      </c>
      <c r="CF107" s="862">
        <f t="shared" si="66"/>
        <v>0</v>
      </c>
    </row>
    <row r="108" spans="1:84" s="429" customFormat="1" ht="13.9" customHeight="1" x14ac:dyDescent="0.25">
      <c r="A108" s="472"/>
      <c r="B108" s="436">
        <v>613</v>
      </c>
      <c r="C108" s="436" t="s">
        <v>181</v>
      </c>
      <c r="D108" s="436"/>
      <c r="E108" s="436" t="s">
        <v>366</v>
      </c>
      <c r="F108" s="429" t="s">
        <v>496</v>
      </c>
      <c r="G108" s="473">
        <v>45126</v>
      </c>
      <c r="H108" s="436" t="s">
        <v>128</v>
      </c>
      <c r="I108" s="472">
        <v>687500</v>
      </c>
      <c r="J108" s="472">
        <v>68800</v>
      </c>
      <c r="K108" s="507">
        <v>0</v>
      </c>
      <c r="L108" s="507">
        <v>0</v>
      </c>
      <c r="M108" s="507">
        <v>0</v>
      </c>
      <c r="N108" s="507">
        <v>0</v>
      </c>
      <c r="O108" s="507">
        <v>6000</v>
      </c>
      <c r="P108" s="507">
        <v>2415</v>
      </c>
      <c r="Q108" s="507">
        <v>2415</v>
      </c>
      <c r="R108" s="507">
        <v>2415</v>
      </c>
      <c r="S108" s="507">
        <v>2415</v>
      </c>
      <c r="T108" s="507">
        <v>2415</v>
      </c>
      <c r="U108" s="507">
        <v>2415</v>
      </c>
      <c r="V108" s="507">
        <v>2415</v>
      </c>
      <c r="W108" s="507">
        <v>2425</v>
      </c>
      <c r="X108" s="507">
        <v>2415</v>
      </c>
      <c r="Y108" s="507">
        <v>2415</v>
      </c>
      <c r="Z108" s="507">
        <v>2415</v>
      </c>
      <c r="AA108" s="507">
        <v>2415</v>
      </c>
      <c r="AB108" s="507">
        <v>2415</v>
      </c>
      <c r="AC108" s="507">
        <v>2415</v>
      </c>
      <c r="AD108" s="507">
        <v>2415</v>
      </c>
      <c r="AE108" s="507">
        <v>0</v>
      </c>
      <c r="AF108" s="507">
        <v>2415</v>
      </c>
      <c r="AG108" s="507">
        <v>2415</v>
      </c>
      <c r="AH108" s="507">
        <v>2415</v>
      </c>
      <c r="AI108" s="507">
        <v>2415</v>
      </c>
      <c r="AJ108" s="507">
        <v>2415</v>
      </c>
      <c r="AK108" s="508">
        <v>2415</v>
      </c>
      <c r="AL108" s="508">
        <v>4830</v>
      </c>
      <c r="AM108" s="509">
        <v>2415</v>
      </c>
      <c r="AN108" s="509">
        <v>2415</v>
      </c>
      <c r="AO108" s="509">
        <v>2425</v>
      </c>
      <c r="AP108" s="509">
        <v>0</v>
      </c>
      <c r="AQ108" s="509">
        <v>0</v>
      </c>
      <c r="AR108" s="509"/>
      <c r="AS108" s="509"/>
      <c r="AT108" s="510">
        <f t="shared" si="67"/>
        <v>68810</v>
      </c>
      <c r="AU108" s="512">
        <f t="shared" si="38"/>
        <v>1.0001453488372094</v>
      </c>
      <c r="AV108" s="511">
        <f t="shared" si="39"/>
        <v>10</v>
      </c>
      <c r="AW108" s="558">
        <f t="shared" si="40"/>
        <v>1.4534883720930232E-4</v>
      </c>
      <c r="AX108" s="513">
        <f t="shared" si="41"/>
        <v>618690</v>
      </c>
      <c r="AY108" s="514">
        <f t="shared" si="42"/>
        <v>0.89991272727272731</v>
      </c>
      <c r="AZ108" s="513">
        <f t="shared" si="43"/>
        <v>68800</v>
      </c>
      <c r="BA108" s="515" t="str">
        <f t="shared" si="44"/>
        <v>Vendido</v>
      </c>
      <c r="BB108" s="516" t="str">
        <f t="shared" si="45"/>
        <v>Cliente Atrasado</v>
      </c>
      <c r="BC108" s="551">
        <v>26</v>
      </c>
      <c r="BD108" s="693">
        <f t="shared" si="46"/>
        <v>1</v>
      </c>
      <c r="BE108" s="693">
        <f t="shared" si="47"/>
        <v>27</v>
      </c>
      <c r="BF108" s="517">
        <v>6000</v>
      </c>
      <c r="BG108" s="517">
        <v>2415</v>
      </c>
      <c r="BH108" s="693">
        <f t="shared" si="48"/>
        <v>25</v>
      </c>
      <c r="BI108" s="693">
        <f t="shared" si="49"/>
        <v>30</v>
      </c>
      <c r="BJ108" s="655">
        <f t="shared" si="69"/>
        <v>78450</v>
      </c>
      <c r="BK108" s="518">
        <f t="shared" si="51"/>
        <v>53130</v>
      </c>
      <c r="BL108" s="518">
        <f t="shared" si="52"/>
        <v>15680</v>
      </c>
      <c r="BM108" s="518">
        <f t="shared" si="53"/>
        <v>0</v>
      </c>
      <c r="BN108" s="518">
        <f t="shared" si="54"/>
        <v>0</v>
      </c>
      <c r="BO108" s="655">
        <f t="shared" si="68"/>
        <v>9640</v>
      </c>
      <c r="BP108" s="693">
        <f t="shared" si="55"/>
        <v>4</v>
      </c>
      <c r="BQ108" s="696"/>
      <c r="BR108" s="519" t="s">
        <v>497</v>
      </c>
      <c r="BT108" s="439">
        <f t="shared" si="56"/>
        <v>-9640</v>
      </c>
      <c r="BU108" s="439">
        <f t="shared" si="57"/>
        <v>-9640</v>
      </c>
      <c r="BV108" s="439">
        <f t="shared" si="58"/>
        <v>0</v>
      </c>
      <c r="BY108" s="862">
        <f t="shared" si="59"/>
        <v>440301.92099999997</v>
      </c>
      <c r="BZ108" s="862">
        <f t="shared" si="60"/>
        <v>188700.823</v>
      </c>
      <c r="CA108" s="862">
        <f t="shared" si="61"/>
        <v>52836.23</v>
      </c>
      <c r="CB108" s="862">
        <f t="shared" si="62"/>
        <v>5661.02</v>
      </c>
      <c r="CC108" s="863">
        <f t="shared" si="63"/>
        <v>493138.15</v>
      </c>
      <c r="CD108" s="863">
        <f t="shared" si="64"/>
        <v>194361.84</v>
      </c>
      <c r="CE108" s="864">
        <f t="shared" si="65"/>
        <v>687499.99</v>
      </c>
      <c r="CF108" s="862">
        <f t="shared" si="66"/>
        <v>-1.0000000009313226E-2</v>
      </c>
    </row>
    <row r="109" spans="1:84" s="429" customFormat="1" ht="13.9" customHeight="1" x14ac:dyDescent="0.25">
      <c r="A109" s="472"/>
      <c r="B109" s="436">
        <v>614</v>
      </c>
      <c r="C109" s="436" t="s">
        <v>476</v>
      </c>
      <c r="D109" s="436"/>
      <c r="E109" s="436" t="s">
        <v>343</v>
      </c>
      <c r="F109" s="429" t="s">
        <v>498</v>
      </c>
      <c r="G109" s="473">
        <v>45877</v>
      </c>
      <c r="H109" s="436" t="s">
        <v>128</v>
      </c>
      <c r="I109" s="472">
        <v>1509908.4</v>
      </c>
      <c r="J109" s="472">
        <v>151908.4</v>
      </c>
      <c r="K109" s="507">
        <v>0</v>
      </c>
      <c r="L109" s="507">
        <v>0</v>
      </c>
      <c r="M109" s="507">
        <v>0</v>
      </c>
      <c r="N109" s="507">
        <v>0</v>
      </c>
      <c r="O109" s="507">
        <v>0</v>
      </c>
      <c r="P109" s="507">
        <v>0</v>
      </c>
      <c r="Q109" s="507">
        <v>0</v>
      </c>
      <c r="R109" s="507">
        <v>0</v>
      </c>
      <c r="S109" s="507">
        <v>0</v>
      </c>
      <c r="T109" s="507">
        <v>0</v>
      </c>
      <c r="U109" s="507">
        <v>0</v>
      </c>
      <c r="V109" s="507">
        <v>0</v>
      </c>
      <c r="W109" s="507">
        <v>0</v>
      </c>
      <c r="X109" s="507">
        <v>0</v>
      </c>
      <c r="Y109" s="507">
        <v>0</v>
      </c>
      <c r="Z109" s="507">
        <v>0</v>
      </c>
      <c r="AA109" s="507">
        <v>0</v>
      </c>
      <c r="AB109" s="507">
        <v>0</v>
      </c>
      <c r="AC109" s="507">
        <v>0</v>
      </c>
      <c r="AD109" s="507">
        <v>0</v>
      </c>
      <c r="AE109" s="507">
        <v>0</v>
      </c>
      <c r="AF109" s="507">
        <v>0</v>
      </c>
      <c r="AG109" s="507">
        <v>0</v>
      </c>
      <c r="AH109" s="507">
        <v>0</v>
      </c>
      <c r="AI109" s="507">
        <v>0</v>
      </c>
      <c r="AJ109" s="507">
        <v>0</v>
      </c>
      <c r="AK109" s="507"/>
      <c r="AL109" s="507"/>
      <c r="AM109" s="507"/>
      <c r="AN109" s="509">
        <v>10000</v>
      </c>
      <c r="AO109" s="509">
        <v>0</v>
      </c>
      <c r="AP109" s="509">
        <v>50000</v>
      </c>
      <c r="AQ109" s="509">
        <v>0</v>
      </c>
      <c r="AR109" s="509">
        <v>51057.04</v>
      </c>
      <c r="AS109" s="509"/>
      <c r="AT109" s="510">
        <f t="shared" si="67"/>
        <v>111057.04000000001</v>
      </c>
      <c r="AU109" s="512">
        <f t="shared" si="38"/>
        <v>0.73107899234012086</v>
      </c>
      <c r="AV109" s="511">
        <f t="shared" si="39"/>
        <v>-40851.359999999986</v>
      </c>
      <c r="AW109" s="558">
        <f t="shared" si="40"/>
        <v>-0.26892100765987914</v>
      </c>
      <c r="AX109" s="513">
        <f t="shared" si="41"/>
        <v>1398851.3599999999</v>
      </c>
      <c r="AY109" s="514">
        <f t="shared" si="42"/>
        <v>0.92644782955045479</v>
      </c>
      <c r="AZ109" s="513">
        <f t="shared" si="43"/>
        <v>151908.4</v>
      </c>
      <c r="BA109" s="515" t="str">
        <f t="shared" si="44"/>
        <v>Vendido</v>
      </c>
      <c r="BB109" s="516" t="str">
        <f t="shared" si="45"/>
        <v>Cliente al día</v>
      </c>
      <c r="BC109" s="551">
        <v>27</v>
      </c>
      <c r="BD109" s="693">
        <f t="shared" si="46"/>
        <v>1</v>
      </c>
      <c r="BE109" s="693">
        <f t="shared" si="47"/>
        <v>28</v>
      </c>
      <c r="BF109" s="517"/>
      <c r="BG109" s="517"/>
      <c r="BH109" s="693">
        <f t="shared" si="48"/>
        <v>0</v>
      </c>
      <c r="BI109" s="693">
        <f t="shared" si="49"/>
        <v>5</v>
      </c>
      <c r="BJ109" s="655">
        <f t="shared" si="69"/>
        <v>0</v>
      </c>
      <c r="BK109" s="518">
        <f t="shared" si="51"/>
        <v>0</v>
      </c>
      <c r="BL109" s="518">
        <f t="shared" si="52"/>
        <v>0</v>
      </c>
      <c r="BM109" s="518">
        <f t="shared" si="53"/>
        <v>111057.04000000001</v>
      </c>
      <c r="BN109" s="518">
        <f t="shared" si="54"/>
        <v>111057.04000000001</v>
      </c>
      <c r="BO109" s="655">
        <f t="shared" si="68"/>
        <v>0</v>
      </c>
      <c r="BP109" s="693" t="str">
        <f t="shared" si="55"/>
        <v/>
      </c>
      <c r="BQ109" s="696"/>
      <c r="BR109" s="519"/>
      <c r="BT109" s="439">
        <f t="shared" si="56"/>
        <v>111057.04000000001</v>
      </c>
      <c r="BU109" s="439">
        <f t="shared" si="57"/>
        <v>111057.04000000001</v>
      </c>
      <c r="BV109" s="439">
        <f t="shared" si="58"/>
        <v>0</v>
      </c>
      <c r="BY109" s="862">
        <f t="shared" si="59"/>
        <v>967004.46499999997</v>
      </c>
      <c r="BZ109" s="862">
        <f t="shared" si="60"/>
        <v>414430.48499999999</v>
      </c>
      <c r="CA109" s="862">
        <f t="shared" si="61"/>
        <v>116040.54</v>
      </c>
      <c r="CB109" s="862">
        <f t="shared" si="62"/>
        <v>12432.91</v>
      </c>
      <c r="CC109" s="863">
        <f t="shared" si="63"/>
        <v>1083045.01</v>
      </c>
      <c r="CD109" s="863">
        <f t="shared" si="64"/>
        <v>426863.4</v>
      </c>
      <c r="CE109" s="864">
        <f t="shared" si="65"/>
        <v>1509908.41</v>
      </c>
      <c r="CF109" s="862">
        <f t="shared" si="66"/>
        <v>1.0000000009313226E-2</v>
      </c>
    </row>
    <row r="110" spans="1:84" s="429" customFormat="1" ht="13.9" customHeight="1" x14ac:dyDescent="0.25">
      <c r="A110" s="472" t="s">
        <v>58</v>
      </c>
      <c r="B110" s="475">
        <v>615</v>
      </c>
      <c r="C110" s="475" t="s">
        <v>189</v>
      </c>
      <c r="D110" s="475"/>
      <c r="E110" s="475" t="s">
        <v>366</v>
      </c>
      <c r="F110" s="476" t="s">
        <v>499</v>
      </c>
      <c r="G110" s="473">
        <v>45040</v>
      </c>
      <c r="H110" s="436" t="s">
        <v>128</v>
      </c>
      <c r="I110" s="472">
        <v>611950.009005</v>
      </c>
      <c r="J110" s="472">
        <v>61250.01</v>
      </c>
      <c r="K110" s="507">
        <v>0</v>
      </c>
      <c r="L110" s="507">
        <v>6500</v>
      </c>
      <c r="M110" s="507">
        <v>0</v>
      </c>
      <c r="N110" s="507">
        <v>0</v>
      </c>
      <c r="O110" s="507">
        <v>0</v>
      </c>
      <c r="P110" s="507">
        <v>0</v>
      </c>
      <c r="Q110" s="507">
        <v>0</v>
      </c>
      <c r="R110" s="507">
        <v>0</v>
      </c>
      <c r="S110" s="507">
        <v>0</v>
      </c>
      <c r="T110" s="507">
        <v>0</v>
      </c>
      <c r="U110" s="507">
        <v>1500</v>
      </c>
      <c r="V110" s="507">
        <v>1500</v>
      </c>
      <c r="W110" s="507">
        <v>3000</v>
      </c>
      <c r="X110" s="507">
        <v>0</v>
      </c>
      <c r="Y110" s="507">
        <v>1500</v>
      </c>
      <c r="Z110" s="507">
        <v>0</v>
      </c>
      <c r="AA110" s="507">
        <v>0</v>
      </c>
      <c r="AB110" s="507">
        <v>0</v>
      </c>
      <c r="AC110" s="507">
        <v>0</v>
      </c>
      <c r="AD110" s="507">
        <v>0</v>
      </c>
      <c r="AE110" s="507">
        <v>0</v>
      </c>
      <c r="AF110" s="507">
        <v>0</v>
      </c>
      <c r="AG110" s="507">
        <v>0</v>
      </c>
      <c r="AH110" s="507">
        <v>0</v>
      </c>
      <c r="AI110" s="507">
        <v>0</v>
      </c>
      <c r="AJ110" s="507">
        <v>0</v>
      </c>
      <c r="AK110" s="508"/>
      <c r="AL110" s="508"/>
      <c r="AM110" s="508"/>
      <c r="AN110" s="509">
        <v>0</v>
      </c>
      <c r="AO110" s="509">
        <v>0</v>
      </c>
      <c r="AP110" s="509">
        <v>0</v>
      </c>
      <c r="AQ110" s="509">
        <v>0</v>
      </c>
      <c r="AR110" s="508"/>
      <c r="AS110" s="508"/>
      <c r="AT110" s="510">
        <f t="shared" si="67"/>
        <v>14000</v>
      </c>
      <c r="AU110" s="512">
        <f t="shared" si="38"/>
        <v>0.22857139125365039</v>
      </c>
      <c r="AV110" s="511">
        <f t="shared" si="39"/>
        <v>-47250.01</v>
      </c>
      <c r="AW110" s="558">
        <f t="shared" si="40"/>
        <v>-0.77142860874634955</v>
      </c>
      <c r="AX110" s="513">
        <f t="shared" si="41"/>
        <v>597950.009005</v>
      </c>
      <c r="AY110" s="514">
        <f t="shared" si="42"/>
        <v>0.97712231425118645</v>
      </c>
      <c r="AZ110" s="513">
        <f t="shared" si="43"/>
        <v>61250.01</v>
      </c>
      <c r="BA110" s="515" t="str">
        <f t="shared" si="44"/>
        <v>Vendido</v>
      </c>
      <c r="BB110" s="516" t="str">
        <f t="shared" si="45"/>
        <v>Cliente Atrasado</v>
      </c>
      <c r="BC110" s="551">
        <v>29</v>
      </c>
      <c r="BD110" s="693">
        <f t="shared" si="46"/>
        <v>1</v>
      </c>
      <c r="BE110" s="693">
        <f t="shared" si="47"/>
        <v>30</v>
      </c>
      <c r="BF110" s="517">
        <v>6500</v>
      </c>
      <c r="BG110" s="517">
        <v>1000</v>
      </c>
      <c r="BH110" s="693">
        <f t="shared" si="48"/>
        <v>4</v>
      </c>
      <c r="BI110" s="693">
        <f t="shared" si="49"/>
        <v>33</v>
      </c>
      <c r="BJ110" s="655">
        <f t="shared" si="69"/>
        <v>39500</v>
      </c>
      <c r="BK110" s="518">
        <f t="shared" si="51"/>
        <v>0</v>
      </c>
      <c r="BL110" s="518">
        <f t="shared" si="52"/>
        <v>14000</v>
      </c>
      <c r="BM110" s="518">
        <f t="shared" si="53"/>
        <v>0</v>
      </c>
      <c r="BN110" s="518">
        <f t="shared" si="54"/>
        <v>0</v>
      </c>
      <c r="BO110" s="655">
        <f t="shared" si="68"/>
        <v>25500</v>
      </c>
      <c r="BP110" s="693" t="str">
        <f t="shared" si="55"/>
        <v/>
      </c>
      <c r="BQ110" s="695" t="s">
        <v>58</v>
      </c>
      <c r="BR110" s="519"/>
      <c r="BT110" s="439">
        <f t="shared" si="56"/>
        <v>-25500</v>
      </c>
      <c r="BU110" s="439">
        <f t="shared" si="57"/>
        <v>-25500</v>
      </c>
      <c r="BV110" s="439">
        <f t="shared" si="58"/>
        <v>0</v>
      </c>
      <c r="BY110" s="862">
        <f t="shared" si="59"/>
        <v>391916.74900000001</v>
      </c>
      <c r="BZ110" s="862">
        <f t="shared" si="60"/>
        <v>167964.321</v>
      </c>
      <c r="CA110" s="862">
        <f t="shared" si="61"/>
        <v>47030.01</v>
      </c>
      <c r="CB110" s="862">
        <f t="shared" si="62"/>
        <v>5038.93</v>
      </c>
      <c r="CC110" s="863">
        <f t="shared" si="63"/>
        <v>438946.76</v>
      </c>
      <c r="CD110" s="863">
        <f t="shared" si="64"/>
        <v>173003.25</v>
      </c>
      <c r="CE110" s="864">
        <f t="shared" si="65"/>
        <v>611950.01</v>
      </c>
      <c r="CF110" s="862">
        <f t="shared" si="66"/>
        <v>9.9500000942498446E-4</v>
      </c>
    </row>
    <row r="111" spans="1:84" s="429" customFormat="1" ht="13.9" customHeight="1" x14ac:dyDescent="0.25">
      <c r="A111" s="472"/>
      <c r="B111" s="436">
        <v>616</v>
      </c>
      <c r="C111" s="436" t="s">
        <v>400</v>
      </c>
      <c r="D111" s="436"/>
      <c r="E111" s="436" t="s">
        <v>366</v>
      </c>
      <c r="F111" s="429" t="s">
        <v>500</v>
      </c>
      <c r="G111" s="473">
        <v>45359</v>
      </c>
      <c r="H111" s="436" t="s">
        <v>128</v>
      </c>
      <c r="I111" s="472">
        <v>901400</v>
      </c>
      <c r="J111" s="472">
        <v>90200</v>
      </c>
      <c r="K111" s="507">
        <v>0</v>
      </c>
      <c r="L111" s="507">
        <v>0</v>
      </c>
      <c r="M111" s="507">
        <v>0</v>
      </c>
      <c r="N111" s="507">
        <v>0</v>
      </c>
      <c r="O111" s="507">
        <v>0</v>
      </c>
      <c r="P111" s="507">
        <v>0</v>
      </c>
      <c r="Q111" s="507">
        <v>0</v>
      </c>
      <c r="R111" s="507">
        <v>0</v>
      </c>
      <c r="S111" s="507">
        <v>0</v>
      </c>
      <c r="T111" s="507">
        <v>0</v>
      </c>
      <c r="U111" s="507">
        <v>0</v>
      </c>
      <c r="V111" s="507">
        <v>0</v>
      </c>
      <c r="W111" s="507">
        <v>8000</v>
      </c>
      <c r="X111" s="507">
        <v>10000</v>
      </c>
      <c r="Y111" s="507">
        <v>0</v>
      </c>
      <c r="Z111" s="507">
        <v>5000</v>
      </c>
      <c r="AA111" s="507">
        <v>5000</v>
      </c>
      <c r="AB111" s="507">
        <v>5000</v>
      </c>
      <c r="AC111" s="507">
        <v>5000</v>
      </c>
      <c r="AD111" s="507">
        <v>5000</v>
      </c>
      <c r="AE111" s="507">
        <v>0</v>
      </c>
      <c r="AF111" s="507">
        <f>5000+5000</f>
        <v>10000</v>
      </c>
      <c r="AG111" s="507">
        <v>5000</v>
      </c>
      <c r="AH111" s="507">
        <v>0</v>
      </c>
      <c r="AI111" s="507">
        <f>5000+5000</f>
        <v>10000</v>
      </c>
      <c r="AJ111" s="507">
        <v>5000</v>
      </c>
      <c r="AK111" s="508">
        <v>5000</v>
      </c>
      <c r="AL111" s="508">
        <v>5000</v>
      </c>
      <c r="AM111" s="509">
        <v>5000</v>
      </c>
      <c r="AN111" s="509">
        <v>5000</v>
      </c>
      <c r="AO111" s="509">
        <v>0</v>
      </c>
      <c r="AP111" s="509">
        <v>10000</v>
      </c>
      <c r="AQ111" s="509">
        <v>5000</v>
      </c>
      <c r="AR111" s="509">
        <v>5000</v>
      </c>
      <c r="AS111" s="509"/>
      <c r="AT111" s="510">
        <f t="shared" si="67"/>
        <v>113000</v>
      </c>
      <c r="AU111" s="512">
        <f t="shared" si="38"/>
        <v>1.2527716186252771</v>
      </c>
      <c r="AV111" s="511">
        <f t="shared" si="39"/>
        <v>22800</v>
      </c>
      <c r="AW111" s="558">
        <f t="shared" si="40"/>
        <v>0.25277161862527714</v>
      </c>
      <c r="AX111" s="513">
        <f t="shared" si="41"/>
        <v>788400</v>
      </c>
      <c r="AY111" s="514">
        <f t="shared" si="42"/>
        <v>0.87463944974484131</v>
      </c>
      <c r="AZ111" s="513">
        <f t="shared" si="43"/>
        <v>90200</v>
      </c>
      <c r="BA111" s="515" t="str">
        <f t="shared" si="44"/>
        <v>Vendido</v>
      </c>
      <c r="BB111" s="516" t="str">
        <f t="shared" si="45"/>
        <v>Superávit de Enganche</v>
      </c>
      <c r="BC111" s="551">
        <v>18</v>
      </c>
      <c r="BD111" s="693">
        <f t="shared" si="46"/>
        <v>1</v>
      </c>
      <c r="BE111" s="693">
        <f t="shared" si="47"/>
        <v>19</v>
      </c>
      <c r="BF111" s="517">
        <v>8000</v>
      </c>
      <c r="BG111" s="517">
        <v>4567</v>
      </c>
      <c r="BH111" s="693">
        <f t="shared" si="48"/>
        <v>13</v>
      </c>
      <c r="BI111" s="693">
        <f t="shared" si="49"/>
        <v>22</v>
      </c>
      <c r="BJ111" s="655">
        <f t="shared" si="69"/>
        <v>108474</v>
      </c>
      <c r="BK111" s="518">
        <f t="shared" si="51"/>
        <v>0</v>
      </c>
      <c r="BL111" s="518">
        <f t="shared" si="52"/>
        <v>113000</v>
      </c>
      <c r="BM111" s="518">
        <f t="shared" si="53"/>
        <v>0</v>
      </c>
      <c r="BN111" s="518">
        <f t="shared" si="54"/>
        <v>4526</v>
      </c>
      <c r="BO111" s="655">
        <f t="shared" si="68"/>
        <v>0</v>
      </c>
      <c r="BP111" s="693">
        <f t="shared" si="55"/>
        <v>0</v>
      </c>
      <c r="BQ111" s="696"/>
      <c r="BR111" s="519"/>
      <c r="BT111" s="439">
        <f t="shared" si="56"/>
        <v>4526</v>
      </c>
      <c r="BU111" s="439">
        <f t="shared" si="57"/>
        <v>4526</v>
      </c>
      <c r="BV111" s="439">
        <f t="shared" si="58"/>
        <v>0</v>
      </c>
      <c r="BY111" s="862">
        <f t="shared" si="59"/>
        <v>577291.85699999996</v>
      </c>
      <c r="BZ111" s="862">
        <f t="shared" si="60"/>
        <v>247410.796</v>
      </c>
      <c r="CA111" s="862">
        <f t="shared" si="61"/>
        <v>69275.02</v>
      </c>
      <c r="CB111" s="862">
        <f t="shared" si="62"/>
        <v>7422.32</v>
      </c>
      <c r="CC111" s="863">
        <f t="shared" si="63"/>
        <v>646566.88</v>
      </c>
      <c r="CD111" s="863">
        <f t="shared" si="64"/>
        <v>254833.12</v>
      </c>
      <c r="CE111" s="864">
        <f t="shared" si="65"/>
        <v>901400</v>
      </c>
      <c r="CF111" s="862">
        <f t="shared" si="66"/>
        <v>0</v>
      </c>
    </row>
    <row r="112" spans="1:84" s="429" customFormat="1" ht="13.9" customHeight="1" x14ac:dyDescent="0.25">
      <c r="A112" s="472"/>
      <c r="B112" s="436">
        <v>617</v>
      </c>
      <c r="C112" s="436" t="s">
        <v>175</v>
      </c>
      <c r="D112" s="641" t="s">
        <v>501</v>
      </c>
      <c r="E112" s="436" t="s">
        <v>366</v>
      </c>
      <c r="F112" s="429" t="s">
        <v>502</v>
      </c>
      <c r="G112" s="473">
        <v>45419</v>
      </c>
      <c r="H112" s="436" t="s">
        <v>128</v>
      </c>
      <c r="I112" s="472">
        <v>887400</v>
      </c>
      <c r="J112" s="472">
        <v>88800</v>
      </c>
      <c r="K112" s="507">
        <v>0</v>
      </c>
      <c r="L112" s="507">
        <v>0</v>
      </c>
      <c r="M112" s="507">
        <v>0</v>
      </c>
      <c r="N112" s="507">
        <v>0</v>
      </c>
      <c r="O112" s="507">
        <v>0</v>
      </c>
      <c r="P112" s="507">
        <v>0</v>
      </c>
      <c r="Q112" s="507">
        <v>0</v>
      </c>
      <c r="R112" s="507">
        <v>0</v>
      </c>
      <c r="S112" s="507">
        <v>0</v>
      </c>
      <c r="T112" s="507">
        <v>0</v>
      </c>
      <c r="U112" s="507">
        <v>0</v>
      </c>
      <c r="V112" s="507">
        <v>0</v>
      </c>
      <c r="W112" s="507">
        <v>0</v>
      </c>
      <c r="X112" s="507">
        <v>0</v>
      </c>
      <c r="Y112" s="507">
        <v>12800</v>
      </c>
      <c r="Z112" s="507">
        <v>4000</v>
      </c>
      <c r="AA112" s="507">
        <v>4000</v>
      </c>
      <c r="AB112" s="507">
        <v>4000</v>
      </c>
      <c r="AC112" s="507">
        <v>4000</v>
      </c>
      <c r="AD112" s="507">
        <v>0</v>
      </c>
      <c r="AE112" s="507">
        <v>4000</v>
      </c>
      <c r="AF112" s="507">
        <f>4000+4000</f>
        <v>8000</v>
      </c>
      <c r="AG112" s="507">
        <v>0</v>
      </c>
      <c r="AH112" s="507">
        <f>4000+4000</f>
        <v>8000</v>
      </c>
      <c r="AI112" s="507">
        <v>4000</v>
      </c>
      <c r="AJ112" s="507">
        <v>0</v>
      </c>
      <c r="AK112" s="508"/>
      <c r="AL112" s="508"/>
      <c r="AM112" s="509">
        <v>4000</v>
      </c>
      <c r="AN112" s="509">
        <v>4000</v>
      </c>
      <c r="AO112" s="509">
        <v>4000</v>
      </c>
      <c r="AP112" s="509">
        <v>0</v>
      </c>
      <c r="AQ112" s="509">
        <v>0</v>
      </c>
      <c r="AR112" s="509"/>
      <c r="AS112" s="509"/>
      <c r="AT112" s="510">
        <f t="shared" si="67"/>
        <v>64800</v>
      </c>
      <c r="AU112" s="512">
        <f t="shared" si="38"/>
        <v>0.72972972972972971</v>
      </c>
      <c r="AV112" s="511">
        <f t="shared" si="39"/>
        <v>-24000</v>
      </c>
      <c r="AW112" s="558">
        <f t="shared" si="40"/>
        <v>-0.27027027027027029</v>
      </c>
      <c r="AX112" s="513">
        <f t="shared" si="41"/>
        <v>822600</v>
      </c>
      <c r="AY112" s="514">
        <f t="shared" si="42"/>
        <v>0.92697768762677479</v>
      </c>
      <c r="AZ112" s="513">
        <f t="shared" si="43"/>
        <v>88800</v>
      </c>
      <c r="BA112" s="515" t="str">
        <f t="shared" si="44"/>
        <v>Vendido</v>
      </c>
      <c r="BB112" s="516" t="str">
        <f t="shared" si="45"/>
        <v>Cliente Atrasado</v>
      </c>
      <c r="BC112" s="551">
        <v>19</v>
      </c>
      <c r="BD112" s="693">
        <f t="shared" si="46"/>
        <v>1</v>
      </c>
      <c r="BE112" s="693">
        <f t="shared" si="47"/>
        <v>20</v>
      </c>
      <c r="BF112" s="644">
        <v>12800</v>
      </c>
      <c r="BG112" s="644">
        <v>4000</v>
      </c>
      <c r="BH112" s="693">
        <f t="shared" si="48"/>
        <v>11</v>
      </c>
      <c r="BI112" s="693">
        <f t="shared" si="49"/>
        <v>20</v>
      </c>
      <c r="BJ112" s="655">
        <f t="shared" si="69"/>
        <v>92800</v>
      </c>
      <c r="BK112" s="518">
        <f t="shared" si="51"/>
        <v>36000</v>
      </c>
      <c r="BL112" s="518">
        <f t="shared" si="52"/>
        <v>28800</v>
      </c>
      <c r="BM112" s="518">
        <f t="shared" si="53"/>
        <v>0</v>
      </c>
      <c r="BN112" s="518">
        <f t="shared" si="54"/>
        <v>0</v>
      </c>
      <c r="BO112" s="655">
        <f t="shared" ref="BO112:BO143" si="70">IF(AT112&lt;BJ112,BJ112-AT112,0)</f>
        <v>28000</v>
      </c>
      <c r="BP112" s="693">
        <f t="shared" si="55"/>
        <v>7</v>
      </c>
      <c r="BQ112" s="696" t="s">
        <v>388</v>
      </c>
      <c r="BR112" s="519" t="s">
        <v>503</v>
      </c>
      <c r="BT112" s="439">
        <f t="shared" si="56"/>
        <v>-28000</v>
      </c>
      <c r="BU112" s="439">
        <f t="shared" si="57"/>
        <v>-28000</v>
      </c>
      <c r="BV112" s="439">
        <f t="shared" si="58"/>
        <v>0</v>
      </c>
      <c r="BY112" s="862">
        <f t="shared" si="59"/>
        <v>568325.70900000003</v>
      </c>
      <c r="BZ112" s="862">
        <f t="shared" si="60"/>
        <v>243568.16099999999</v>
      </c>
      <c r="CA112" s="862">
        <f t="shared" si="61"/>
        <v>68199.09</v>
      </c>
      <c r="CB112" s="862">
        <f t="shared" si="62"/>
        <v>7307.04</v>
      </c>
      <c r="CC112" s="863">
        <f t="shared" si="63"/>
        <v>636524.80000000005</v>
      </c>
      <c r="CD112" s="863">
        <f t="shared" si="64"/>
        <v>250875.2</v>
      </c>
      <c r="CE112" s="864">
        <f t="shared" si="65"/>
        <v>887400</v>
      </c>
      <c r="CF112" s="862">
        <f t="shared" si="66"/>
        <v>0</v>
      </c>
    </row>
    <row r="113" spans="1:84" s="429" customFormat="1" ht="13.9" customHeight="1" x14ac:dyDescent="0.25">
      <c r="A113" s="472"/>
      <c r="B113" s="436">
        <v>618</v>
      </c>
      <c r="C113" s="436" t="s">
        <v>456</v>
      </c>
      <c r="D113" s="436"/>
      <c r="E113" s="436" t="s">
        <v>366</v>
      </c>
      <c r="F113" s="429" t="s">
        <v>504</v>
      </c>
      <c r="G113" s="473">
        <v>45772</v>
      </c>
      <c r="H113" s="436" t="s">
        <v>128</v>
      </c>
      <c r="I113" s="472">
        <v>1502549.44216114</v>
      </c>
      <c r="J113" s="472">
        <v>150349.44</v>
      </c>
      <c r="K113" s="507">
        <v>0</v>
      </c>
      <c r="L113" s="507">
        <v>0</v>
      </c>
      <c r="M113" s="507">
        <v>0</v>
      </c>
      <c r="N113" s="507">
        <v>0</v>
      </c>
      <c r="O113" s="507">
        <v>0</v>
      </c>
      <c r="P113" s="507">
        <v>0</v>
      </c>
      <c r="Q113" s="507">
        <v>0</v>
      </c>
      <c r="R113" s="507">
        <v>0</v>
      </c>
      <c r="S113" s="507">
        <v>0</v>
      </c>
      <c r="T113" s="507">
        <v>0</v>
      </c>
      <c r="U113" s="507">
        <v>0</v>
      </c>
      <c r="V113" s="507">
        <v>0</v>
      </c>
      <c r="W113" s="507">
        <v>0</v>
      </c>
      <c r="X113" s="507">
        <v>0</v>
      </c>
      <c r="Y113" s="507">
        <v>0</v>
      </c>
      <c r="Z113" s="507">
        <v>0</v>
      </c>
      <c r="AA113" s="507">
        <v>0</v>
      </c>
      <c r="AB113" s="507">
        <v>0</v>
      </c>
      <c r="AC113" s="507">
        <v>0</v>
      </c>
      <c r="AD113" s="507">
        <v>0</v>
      </c>
      <c r="AE113" s="507">
        <v>0</v>
      </c>
      <c r="AF113" s="507">
        <v>0</v>
      </c>
      <c r="AG113" s="507">
        <v>0</v>
      </c>
      <c r="AH113" s="507">
        <v>0</v>
      </c>
      <c r="AI113" s="507">
        <v>10000</v>
      </c>
      <c r="AJ113" s="507">
        <v>10000</v>
      </c>
      <c r="AK113" s="508">
        <v>6000</v>
      </c>
      <c r="AL113" s="508">
        <v>6000</v>
      </c>
      <c r="AM113" s="509">
        <v>20388</v>
      </c>
      <c r="AN113" s="509">
        <v>6000</v>
      </c>
      <c r="AO113" s="509">
        <v>6000</v>
      </c>
      <c r="AP113" s="509">
        <v>6000</v>
      </c>
      <c r="AQ113" s="509">
        <v>6000</v>
      </c>
      <c r="AR113" s="509">
        <v>29980</v>
      </c>
      <c r="AS113" s="509">
        <v>6000</v>
      </c>
      <c r="AT113" s="510">
        <f t="shared" si="67"/>
        <v>112368</v>
      </c>
      <c r="AU113" s="512">
        <f t="shared" si="38"/>
        <v>0.74737890610034863</v>
      </c>
      <c r="AV113" s="511">
        <f t="shared" si="39"/>
        <v>-37981.440000000002</v>
      </c>
      <c r="AW113" s="558">
        <f t="shared" si="40"/>
        <v>-0.25262109389965137</v>
      </c>
      <c r="AX113" s="513">
        <f t="shared" si="41"/>
        <v>1390181.44216114</v>
      </c>
      <c r="AY113" s="514">
        <f t="shared" si="42"/>
        <v>0.92521510650699168</v>
      </c>
      <c r="AZ113" s="513">
        <f t="shared" si="43"/>
        <v>150349.44</v>
      </c>
      <c r="BA113" s="515" t="str">
        <f t="shared" si="44"/>
        <v>Vendido</v>
      </c>
      <c r="BB113" s="516" t="str">
        <f t="shared" si="45"/>
        <v>Cliente al día</v>
      </c>
      <c r="BC113" s="551">
        <v>13</v>
      </c>
      <c r="BD113" s="693">
        <f t="shared" si="46"/>
        <v>1</v>
      </c>
      <c r="BE113" s="693">
        <f t="shared" si="47"/>
        <v>14</v>
      </c>
      <c r="BF113" s="517">
        <v>10000</v>
      </c>
      <c r="BG113" s="517">
        <v>6000</v>
      </c>
      <c r="BH113" s="693">
        <f t="shared" si="48"/>
        <v>7</v>
      </c>
      <c r="BI113" s="693">
        <f t="shared" si="49"/>
        <v>9</v>
      </c>
      <c r="BJ113" s="655">
        <f t="shared" si="69"/>
        <v>64000</v>
      </c>
      <c r="BK113" s="518">
        <f t="shared" si="51"/>
        <v>42000</v>
      </c>
      <c r="BL113" s="518">
        <f t="shared" si="52"/>
        <v>70368</v>
      </c>
      <c r="BM113" s="518">
        <f t="shared" si="53"/>
        <v>0</v>
      </c>
      <c r="BN113" s="518">
        <f t="shared" si="54"/>
        <v>48368</v>
      </c>
      <c r="BO113" s="655">
        <f t="shared" si="70"/>
        <v>0</v>
      </c>
      <c r="BP113" s="693">
        <f t="shared" si="55"/>
        <v>0</v>
      </c>
      <c r="BQ113" s="696"/>
      <c r="BR113" s="519"/>
      <c r="BT113" s="439">
        <f t="shared" si="56"/>
        <v>48368</v>
      </c>
      <c r="BU113" s="439">
        <f t="shared" si="57"/>
        <v>48368</v>
      </c>
      <c r="BV113" s="439">
        <f t="shared" si="58"/>
        <v>0</v>
      </c>
      <c r="BY113" s="862">
        <f t="shared" si="59"/>
        <v>962291.5</v>
      </c>
      <c r="BZ113" s="862">
        <f t="shared" si="60"/>
        <v>412410.64299999998</v>
      </c>
      <c r="CA113" s="862">
        <f t="shared" si="61"/>
        <v>115474.98</v>
      </c>
      <c r="CB113" s="862">
        <f t="shared" si="62"/>
        <v>12372.32</v>
      </c>
      <c r="CC113" s="863">
        <f t="shared" si="63"/>
        <v>1077766.48</v>
      </c>
      <c r="CD113" s="863">
        <f t="shared" si="64"/>
        <v>424782.96</v>
      </c>
      <c r="CE113" s="864">
        <f t="shared" si="65"/>
        <v>1502549.44</v>
      </c>
      <c r="CF113" s="862">
        <f t="shared" si="66"/>
        <v>-2.1611400879919529E-3</v>
      </c>
    </row>
    <row r="114" spans="1:84" s="429" customFormat="1" ht="13.9" customHeight="1" x14ac:dyDescent="0.25">
      <c r="A114" s="472"/>
      <c r="B114" s="436">
        <v>619</v>
      </c>
      <c r="C114" s="436" t="s">
        <v>134</v>
      </c>
      <c r="D114" s="436"/>
      <c r="E114" s="436" t="s">
        <v>126</v>
      </c>
      <c r="F114" s="429" t="s">
        <v>505</v>
      </c>
      <c r="G114" s="473">
        <v>45724</v>
      </c>
      <c r="H114" s="436" t="s">
        <v>128</v>
      </c>
      <c r="I114" s="472">
        <v>1529194.3266091</v>
      </c>
      <c r="J114" s="472">
        <f>+I114*0.1</f>
        <v>152919.43266091001</v>
      </c>
      <c r="K114" s="507">
        <v>0</v>
      </c>
      <c r="L114" s="507">
        <v>0</v>
      </c>
      <c r="M114" s="507">
        <v>0</v>
      </c>
      <c r="N114" s="507">
        <v>0</v>
      </c>
      <c r="O114" s="507">
        <v>0</v>
      </c>
      <c r="P114" s="507">
        <v>0</v>
      </c>
      <c r="Q114" s="507">
        <v>0</v>
      </c>
      <c r="R114" s="507">
        <v>0</v>
      </c>
      <c r="S114" s="507">
        <v>0</v>
      </c>
      <c r="T114" s="507">
        <v>0</v>
      </c>
      <c r="U114" s="507">
        <v>0</v>
      </c>
      <c r="V114" s="507">
        <v>0</v>
      </c>
      <c r="W114" s="507">
        <v>0</v>
      </c>
      <c r="X114" s="507">
        <v>0</v>
      </c>
      <c r="Y114" s="507">
        <v>0</v>
      </c>
      <c r="Z114" s="507">
        <v>0</v>
      </c>
      <c r="AA114" s="507">
        <v>0</v>
      </c>
      <c r="AB114" s="507">
        <v>0</v>
      </c>
      <c r="AC114" s="507">
        <v>0</v>
      </c>
      <c r="AD114" s="507">
        <v>0</v>
      </c>
      <c r="AE114" s="507">
        <v>0</v>
      </c>
      <c r="AF114" s="507">
        <v>0</v>
      </c>
      <c r="AG114" s="507">
        <v>0</v>
      </c>
      <c r="AH114" s="507">
        <v>0</v>
      </c>
      <c r="AI114" s="507">
        <v>10000</v>
      </c>
      <c r="AJ114" s="507">
        <v>7903</v>
      </c>
      <c r="AK114" s="508">
        <f>2311+10214</f>
        <v>12525</v>
      </c>
      <c r="AL114" s="508">
        <v>10214</v>
      </c>
      <c r="AM114" s="509">
        <v>10214</v>
      </c>
      <c r="AN114" s="509">
        <v>0</v>
      </c>
      <c r="AO114" s="509">
        <v>10214</v>
      </c>
      <c r="AP114" s="509">
        <v>10214</v>
      </c>
      <c r="AQ114" s="509">
        <v>10214</v>
      </c>
      <c r="AR114" s="509">
        <v>10214</v>
      </c>
      <c r="AS114" s="509"/>
      <c r="AT114" s="510">
        <f t="shared" si="67"/>
        <v>91712</v>
      </c>
      <c r="AU114" s="512">
        <f t="shared" si="38"/>
        <v>0.59974065038134194</v>
      </c>
      <c r="AV114" s="511">
        <f t="shared" si="39"/>
        <v>-61207.43266091001</v>
      </c>
      <c r="AW114" s="558">
        <f t="shared" si="40"/>
        <v>-0.400259349618658</v>
      </c>
      <c r="AX114" s="513">
        <f t="shared" si="41"/>
        <v>1437482.3266091</v>
      </c>
      <c r="AY114" s="514">
        <f t="shared" si="42"/>
        <v>0.94002593496186582</v>
      </c>
      <c r="AZ114" s="513">
        <f t="shared" si="43"/>
        <v>152919.43266091001</v>
      </c>
      <c r="BA114" s="515" t="str">
        <f t="shared" si="44"/>
        <v>Vendido</v>
      </c>
      <c r="BB114" s="516" t="str">
        <f t="shared" si="45"/>
        <v>Cliente Atrasado</v>
      </c>
      <c r="BC114" s="551">
        <v>14</v>
      </c>
      <c r="BD114" s="693">
        <f t="shared" si="46"/>
        <v>1</v>
      </c>
      <c r="BE114" s="693">
        <f t="shared" si="47"/>
        <v>15</v>
      </c>
      <c r="BF114" s="507">
        <v>10000</v>
      </c>
      <c r="BG114" s="517">
        <v>10214</v>
      </c>
      <c r="BH114" s="693">
        <f t="shared" si="48"/>
        <v>1</v>
      </c>
      <c r="BI114" s="693">
        <f t="shared" si="49"/>
        <v>10</v>
      </c>
      <c r="BJ114" s="655">
        <f t="shared" si="69"/>
        <v>112140</v>
      </c>
      <c r="BK114" s="518">
        <f t="shared" si="51"/>
        <v>79187</v>
      </c>
      <c r="BL114" s="518">
        <f t="shared" si="52"/>
        <v>12525</v>
      </c>
      <c r="BM114" s="518">
        <f t="shared" si="53"/>
        <v>0</v>
      </c>
      <c r="BN114" s="518">
        <f t="shared" si="54"/>
        <v>0</v>
      </c>
      <c r="BO114" s="655">
        <f t="shared" si="70"/>
        <v>20428</v>
      </c>
      <c r="BP114" s="693">
        <f t="shared" si="55"/>
        <v>2</v>
      </c>
      <c r="BQ114" s="696"/>
      <c r="BR114" s="519"/>
      <c r="BT114" s="439">
        <f t="shared" si="56"/>
        <v>-20428</v>
      </c>
      <c r="BU114" s="439">
        <f t="shared" si="57"/>
        <v>-20428</v>
      </c>
      <c r="BV114" s="439">
        <f t="shared" si="58"/>
        <v>0</v>
      </c>
      <c r="BY114" s="862">
        <f t="shared" si="59"/>
        <v>979355.92700000003</v>
      </c>
      <c r="BZ114" s="862">
        <f t="shared" si="60"/>
        <v>419723.96899999998</v>
      </c>
      <c r="CA114" s="862">
        <f t="shared" si="61"/>
        <v>117522.71</v>
      </c>
      <c r="CB114" s="862">
        <f t="shared" si="62"/>
        <v>12591.72</v>
      </c>
      <c r="CC114" s="863">
        <f t="shared" si="63"/>
        <v>1096878.6399999999</v>
      </c>
      <c r="CD114" s="863">
        <f t="shared" si="64"/>
        <v>432315.69</v>
      </c>
      <c r="CE114" s="864">
        <f t="shared" si="65"/>
        <v>1529194.33</v>
      </c>
      <c r="CF114" s="862">
        <f t="shared" si="66"/>
        <v>3.3909000921994448E-3</v>
      </c>
    </row>
    <row r="115" spans="1:84" s="429" customFormat="1" ht="13.9" customHeight="1" x14ac:dyDescent="0.25">
      <c r="A115" s="472"/>
      <c r="B115" s="436">
        <v>701</v>
      </c>
      <c r="C115" s="436" t="s">
        <v>456</v>
      </c>
      <c r="D115" s="436"/>
      <c r="E115" s="436" t="s">
        <v>366</v>
      </c>
      <c r="F115" s="429" t="s">
        <v>506</v>
      </c>
      <c r="G115" s="473">
        <v>45006</v>
      </c>
      <c r="H115" s="436" t="s">
        <v>128</v>
      </c>
      <c r="I115" s="472">
        <v>1320300</v>
      </c>
      <c r="J115" s="472">
        <v>132100</v>
      </c>
      <c r="K115" s="507">
        <v>6000</v>
      </c>
      <c r="L115" s="507">
        <v>3700</v>
      </c>
      <c r="M115" s="507">
        <v>3506</v>
      </c>
      <c r="N115" s="507">
        <v>3603</v>
      </c>
      <c r="O115" s="507">
        <v>3603</v>
      </c>
      <c r="P115" s="507">
        <v>3603</v>
      </c>
      <c r="Q115" s="507">
        <v>3603</v>
      </c>
      <c r="R115" s="507">
        <v>3603</v>
      </c>
      <c r="S115" s="507">
        <v>3603</v>
      </c>
      <c r="T115" s="507">
        <v>3603</v>
      </c>
      <c r="U115" s="507">
        <v>3603</v>
      </c>
      <c r="V115" s="507">
        <v>3603</v>
      </c>
      <c r="W115" s="507">
        <v>3603</v>
      </c>
      <c r="X115" s="507">
        <v>3603</v>
      </c>
      <c r="Y115" s="507">
        <v>3603</v>
      </c>
      <c r="Z115" s="507">
        <v>3603</v>
      </c>
      <c r="AA115" s="507">
        <v>3603</v>
      </c>
      <c r="AB115" s="507">
        <v>3603</v>
      </c>
      <c r="AC115" s="507">
        <v>3603</v>
      </c>
      <c r="AD115" s="507">
        <v>3603</v>
      </c>
      <c r="AE115" s="507">
        <v>3603</v>
      </c>
      <c r="AF115" s="507">
        <v>3603</v>
      </c>
      <c r="AG115" s="507">
        <v>3603</v>
      </c>
      <c r="AH115" s="507">
        <v>3603</v>
      </c>
      <c r="AI115" s="507">
        <v>3603</v>
      </c>
      <c r="AJ115" s="507">
        <v>3603</v>
      </c>
      <c r="AK115" s="508">
        <v>3603</v>
      </c>
      <c r="AL115" s="508">
        <v>3603</v>
      </c>
      <c r="AM115" s="509">
        <v>3603</v>
      </c>
      <c r="AN115" s="509">
        <v>3603</v>
      </c>
      <c r="AO115" s="509">
        <v>3603</v>
      </c>
      <c r="AP115" s="509">
        <v>3603</v>
      </c>
      <c r="AQ115" s="509">
        <v>3603</v>
      </c>
      <c r="AR115" s="509">
        <v>3603</v>
      </c>
      <c r="AS115" s="509">
        <v>3603</v>
      </c>
      <c r="AT115" s="510">
        <f t="shared" si="67"/>
        <v>128502</v>
      </c>
      <c r="AU115" s="512">
        <f t="shared" si="38"/>
        <v>0.97276305828917486</v>
      </c>
      <c r="AV115" s="511">
        <f t="shared" si="39"/>
        <v>-3598</v>
      </c>
      <c r="AW115" s="558">
        <f t="shared" si="40"/>
        <v>-2.7236941710825132E-2</v>
      </c>
      <c r="AX115" s="513">
        <f t="shared" si="41"/>
        <v>1191798</v>
      </c>
      <c r="AY115" s="514">
        <f t="shared" si="42"/>
        <v>0.90267211997273344</v>
      </c>
      <c r="AZ115" s="513">
        <f t="shared" si="43"/>
        <v>132100</v>
      </c>
      <c r="BA115" s="515" t="str">
        <f t="shared" si="44"/>
        <v>Vendido</v>
      </c>
      <c r="BB115" s="516" t="str">
        <f t="shared" si="45"/>
        <v>Cliente al día</v>
      </c>
      <c r="BC115" s="551">
        <v>35</v>
      </c>
      <c r="BD115" s="693">
        <f t="shared" si="46"/>
        <v>1</v>
      </c>
      <c r="BE115" s="693">
        <f t="shared" si="47"/>
        <v>36</v>
      </c>
      <c r="BF115" s="517">
        <v>6000</v>
      </c>
      <c r="BG115" s="517">
        <v>3603</v>
      </c>
      <c r="BH115" s="693">
        <f t="shared" si="48"/>
        <v>34</v>
      </c>
      <c r="BI115" s="693">
        <f t="shared" si="49"/>
        <v>34</v>
      </c>
      <c r="BJ115" s="655">
        <f t="shared" si="69"/>
        <v>128502</v>
      </c>
      <c r="BK115" s="518">
        <f t="shared" si="51"/>
        <v>118802</v>
      </c>
      <c r="BL115" s="518">
        <f t="shared" si="52"/>
        <v>9700</v>
      </c>
      <c r="BM115" s="518">
        <f t="shared" si="53"/>
        <v>0</v>
      </c>
      <c r="BN115" s="518">
        <f t="shared" si="54"/>
        <v>0</v>
      </c>
      <c r="BO115" s="655">
        <f t="shared" si="70"/>
        <v>0</v>
      </c>
      <c r="BP115" s="693">
        <f t="shared" si="55"/>
        <v>0</v>
      </c>
      <c r="BQ115" s="696"/>
      <c r="BR115" s="519"/>
      <c r="BT115" s="439">
        <f t="shared" si="56"/>
        <v>0</v>
      </c>
      <c r="BU115" s="439">
        <f t="shared" si="57"/>
        <v>0</v>
      </c>
      <c r="BV115" s="439">
        <f t="shared" si="58"/>
        <v>0</v>
      </c>
      <c r="BY115" s="862">
        <f t="shared" si="59"/>
        <v>845571.821</v>
      </c>
      <c r="BZ115" s="862">
        <f t="shared" si="60"/>
        <v>362387.92300000001</v>
      </c>
      <c r="CA115" s="862">
        <f t="shared" si="61"/>
        <v>101468.62</v>
      </c>
      <c r="CB115" s="862">
        <f t="shared" si="62"/>
        <v>10871.64</v>
      </c>
      <c r="CC115" s="863">
        <f t="shared" si="63"/>
        <v>947040.44</v>
      </c>
      <c r="CD115" s="863">
        <f t="shared" si="64"/>
        <v>373259.56</v>
      </c>
      <c r="CE115" s="864">
        <f t="shared" si="65"/>
        <v>1320300</v>
      </c>
      <c r="CF115" s="862">
        <f t="shared" si="66"/>
        <v>0</v>
      </c>
    </row>
    <row r="116" spans="1:84" s="429" customFormat="1" ht="13.9" customHeight="1" x14ac:dyDescent="0.25">
      <c r="A116" s="472"/>
      <c r="B116" s="436">
        <v>702</v>
      </c>
      <c r="C116" s="436" t="s">
        <v>134</v>
      </c>
      <c r="D116" s="436"/>
      <c r="E116" s="436" t="s">
        <v>366</v>
      </c>
      <c r="F116" s="429" t="s">
        <v>507</v>
      </c>
      <c r="G116" s="473">
        <v>45030</v>
      </c>
      <c r="H116" s="436" t="s">
        <v>128</v>
      </c>
      <c r="I116" s="472">
        <v>1343800</v>
      </c>
      <c r="J116" s="472">
        <v>134400</v>
      </c>
      <c r="K116" s="507">
        <v>0</v>
      </c>
      <c r="L116" s="507">
        <v>6000</v>
      </c>
      <c r="M116" s="507">
        <v>4428</v>
      </c>
      <c r="N116" s="507">
        <v>4428</v>
      </c>
      <c r="O116" s="507">
        <v>4427</v>
      </c>
      <c r="P116" s="507">
        <v>4429</v>
      </c>
      <c r="Q116" s="507">
        <v>4428</v>
      </c>
      <c r="R116" s="507">
        <v>4428</v>
      </c>
      <c r="S116" s="507">
        <v>4428</v>
      </c>
      <c r="T116" s="507">
        <v>4428</v>
      </c>
      <c r="U116" s="507">
        <v>4428</v>
      </c>
      <c r="V116" s="507">
        <v>4428</v>
      </c>
      <c r="W116" s="507">
        <v>4428</v>
      </c>
      <c r="X116" s="507">
        <v>0</v>
      </c>
      <c r="Y116" s="507">
        <v>4428</v>
      </c>
      <c r="Z116" s="507">
        <v>4428</v>
      </c>
      <c r="AA116" s="507">
        <v>4428</v>
      </c>
      <c r="AB116" s="507">
        <v>4428</v>
      </c>
      <c r="AC116" s="507">
        <v>0</v>
      </c>
      <c r="AD116" s="507">
        <v>4428</v>
      </c>
      <c r="AE116" s="507">
        <v>4428</v>
      </c>
      <c r="AF116" s="507">
        <v>4428</v>
      </c>
      <c r="AG116" s="507">
        <v>0</v>
      </c>
      <c r="AH116" s="507">
        <v>4428</v>
      </c>
      <c r="AI116" s="507">
        <v>0</v>
      </c>
      <c r="AJ116" s="507">
        <f>4428+4428+4428</f>
        <v>13284</v>
      </c>
      <c r="AK116" s="508">
        <v>4428</v>
      </c>
      <c r="AL116" s="508">
        <v>4428</v>
      </c>
      <c r="AM116" s="509">
        <v>4428</v>
      </c>
      <c r="AN116" s="509">
        <v>0</v>
      </c>
      <c r="AO116" s="509">
        <v>17700</v>
      </c>
      <c r="AP116" s="509">
        <v>0</v>
      </c>
      <c r="AQ116" s="509">
        <v>0</v>
      </c>
      <c r="AR116" s="509"/>
      <c r="AS116" s="509"/>
      <c r="AT116" s="510">
        <f t="shared" si="67"/>
        <v>134400</v>
      </c>
      <c r="AU116" s="512">
        <f t="shared" si="38"/>
        <v>1</v>
      </c>
      <c r="AV116" s="511">
        <f t="shared" si="39"/>
        <v>0</v>
      </c>
      <c r="AW116" s="558">
        <f t="shared" si="40"/>
        <v>0</v>
      </c>
      <c r="AX116" s="513">
        <f t="shared" si="41"/>
        <v>1209400</v>
      </c>
      <c r="AY116" s="514">
        <f t="shared" si="42"/>
        <v>0.89998511683286209</v>
      </c>
      <c r="AZ116" s="513">
        <f t="shared" si="43"/>
        <v>134400</v>
      </c>
      <c r="BA116" s="515" t="str">
        <f t="shared" si="44"/>
        <v>Vendido</v>
      </c>
      <c r="BB116" s="516" t="str">
        <f t="shared" si="45"/>
        <v>Cliente Atrasado</v>
      </c>
      <c r="BC116" s="551">
        <v>29</v>
      </c>
      <c r="BD116" s="693">
        <f t="shared" si="46"/>
        <v>1</v>
      </c>
      <c r="BE116" s="693">
        <f t="shared" si="47"/>
        <v>30</v>
      </c>
      <c r="BF116" s="517">
        <v>6000</v>
      </c>
      <c r="BG116" s="517">
        <v>4428</v>
      </c>
      <c r="BH116" s="693">
        <f t="shared" si="48"/>
        <v>22</v>
      </c>
      <c r="BI116" s="693">
        <f t="shared" si="49"/>
        <v>33</v>
      </c>
      <c r="BJ116" s="655">
        <f t="shared" si="69"/>
        <v>152124</v>
      </c>
      <c r="BK116" s="518">
        <f t="shared" si="51"/>
        <v>92987</v>
      </c>
      <c r="BL116" s="518">
        <f t="shared" si="52"/>
        <v>41413</v>
      </c>
      <c r="BM116" s="518">
        <f t="shared" si="53"/>
        <v>0</v>
      </c>
      <c r="BN116" s="518">
        <f t="shared" si="54"/>
        <v>0</v>
      </c>
      <c r="BO116" s="655">
        <f t="shared" si="70"/>
        <v>17724</v>
      </c>
      <c r="BP116" s="693">
        <f t="shared" si="55"/>
        <v>5</v>
      </c>
      <c r="BQ116" s="696"/>
      <c r="BR116" s="519" t="s">
        <v>508</v>
      </c>
      <c r="BT116" s="439">
        <f t="shared" si="56"/>
        <v>-17724</v>
      </c>
      <c r="BU116" s="439">
        <f t="shared" si="57"/>
        <v>-17724</v>
      </c>
      <c r="BV116" s="439">
        <f t="shared" si="58"/>
        <v>0</v>
      </c>
      <c r="BY116" s="862">
        <f t="shared" si="59"/>
        <v>860622.14099999995</v>
      </c>
      <c r="BZ116" s="862">
        <f t="shared" si="60"/>
        <v>368838.06</v>
      </c>
      <c r="CA116" s="862">
        <f t="shared" si="61"/>
        <v>103274.66</v>
      </c>
      <c r="CB116" s="862">
        <f t="shared" si="62"/>
        <v>11065.14</v>
      </c>
      <c r="CC116" s="863">
        <f t="shared" si="63"/>
        <v>963896.8</v>
      </c>
      <c r="CD116" s="863">
        <f t="shared" si="64"/>
        <v>379903.2</v>
      </c>
      <c r="CE116" s="864">
        <f t="shared" si="65"/>
        <v>1343800</v>
      </c>
      <c r="CF116" s="862">
        <f t="shared" si="66"/>
        <v>0</v>
      </c>
    </row>
    <row r="117" spans="1:84" s="429" customFormat="1" ht="13.9" customHeight="1" x14ac:dyDescent="0.25">
      <c r="A117" s="472"/>
      <c r="B117" s="436">
        <v>703</v>
      </c>
      <c r="C117" s="436" t="s">
        <v>400</v>
      </c>
      <c r="D117" s="642" t="s">
        <v>336</v>
      </c>
      <c r="E117" s="436" t="s">
        <v>366</v>
      </c>
      <c r="F117" s="429" t="s">
        <v>509</v>
      </c>
      <c r="G117" s="473">
        <v>45358</v>
      </c>
      <c r="H117" s="436" t="s">
        <v>128</v>
      </c>
      <c r="I117" s="472">
        <v>901400</v>
      </c>
      <c r="J117" s="472">
        <v>90200</v>
      </c>
      <c r="K117" s="507">
        <v>0</v>
      </c>
      <c r="L117" s="507">
        <v>0</v>
      </c>
      <c r="M117" s="507">
        <v>0</v>
      </c>
      <c r="N117" s="507">
        <v>0</v>
      </c>
      <c r="O117" s="507">
        <v>0</v>
      </c>
      <c r="P117" s="507">
        <v>0</v>
      </c>
      <c r="Q117" s="507">
        <v>0</v>
      </c>
      <c r="R117" s="507">
        <v>0</v>
      </c>
      <c r="S117" s="507">
        <v>0</v>
      </c>
      <c r="T117" s="507">
        <v>0</v>
      </c>
      <c r="U117" s="507">
        <v>0</v>
      </c>
      <c r="V117" s="507">
        <v>0</v>
      </c>
      <c r="W117" s="507">
        <v>8000</v>
      </c>
      <c r="X117" s="507">
        <v>4567</v>
      </c>
      <c r="Y117" s="507">
        <v>4567</v>
      </c>
      <c r="Z117" s="507">
        <v>4567</v>
      </c>
      <c r="AA117" s="507">
        <v>4567</v>
      </c>
      <c r="AB117" s="507">
        <v>9134</v>
      </c>
      <c r="AC117" s="507">
        <v>4567</v>
      </c>
      <c r="AD117" s="507">
        <v>4567</v>
      </c>
      <c r="AE117" s="507">
        <v>4567</v>
      </c>
      <c r="AF117" s="507">
        <v>0</v>
      </c>
      <c r="AG117" s="507">
        <v>4567</v>
      </c>
      <c r="AH117" s="507">
        <v>4567</v>
      </c>
      <c r="AI117" s="507">
        <v>2000</v>
      </c>
      <c r="AJ117" s="507">
        <v>2000</v>
      </c>
      <c r="AK117" s="508">
        <v>2000</v>
      </c>
      <c r="AL117" s="508">
        <f>2000+2000</f>
        <v>4000</v>
      </c>
      <c r="AM117" s="509">
        <v>2000</v>
      </c>
      <c r="AN117" s="509">
        <v>0</v>
      </c>
      <c r="AO117" s="509">
        <v>4000</v>
      </c>
      <c r="AP117" s="509">
        <v>0</v>
      </c>
      <c r="AQ117" s="509">
        <v>2000</v>
      </c>
      <c r="AR117" s="509">
        <f>2000+2000</f>
        <v>4000</v>
      </c>
      <c r="AS117" s="509"/>
      <c r="AT117" s="510">
        <f t="shared" si="67"/>
        <v>80237</v>
      </c>
      <c r="AU117" s="512">
        <f t="shared" si="38"/>
        <v>0.88954545454545453</v>
      </c>
      <c r="AV117" s="511">
        <f t="shared" si="39"/>
        <v>-9963</v>
      </c>
      <c r="AW117" s="558">
        <f t="shared" si="40"/>
        <v>-0.11045454545454546</v>
      </c>
      <c r="AX117" s="513">
        <f t="shared" si="41"/>
        <v>821163</v>
      </c>
      <c r="AY117" s="514">
        <f t="shared" si="42"/>
        <v>0.91098624362103398</v>
      </c>
      <c r="AZ117" s="513">
        <f t="shared" si="43"/>
        <v>90200</v>
      </c>
      <c r="BA117" s="515" t="str">
        <f t="shared" si="44"/>
        <v>Vendido</v>
      </c>
      <c r="BB117" s="516" t="str">
        <f t="shared" si="45"/>
        <v>Cliente Atrasado</v>
      </c>
      <c r="BC117" s="551">
        <v>30</v>
      </c>
      <c r="BD117" s="693">
        <f t="shared" si="46"/>
        <v>1</v>
      </c>
      <c r="BE117" s="693">
        <f t="shared" si="47"/>
        <v>31</v>
      </c>
      <c r="BF117" s="644">
        <v>58237</v>
      </c>
      <c r="BG117" s="644">
        <v>2000</v>
      </c>
      <c r="BH117" s="693">
        <f t="shared" si="48"/>
        <v>19</v>
      </c>
      <c r="BI117" s="693">
        <f t="shared" si="49"/>
        <v>22</v>
      </c>
      <c r="BJ117" s="655">
        <f t="shared" si="69"/>
        <v>102237</v>
      </c>
      <c r="BK117" s="518">
        <f t="shared" si="51"/>
        <v>10000</v>
      </c>
      <c r="BL117" s="518">
        <f t="shared" si="52"/>
        <v>70237</v>
      </c>
      <c r="BM117" s="518">
        <f t="shared" si="53"/>
        <v>0</v>
      </c>
      <c r="BN117" s="518">
        <f t="shared" si="54"/>
        <v>0</v>
      </c>
      <c r="BO117" s="655">
        <f t="shared" si="70"/>
        <v>22000</v>
      </c>
      <c r="BP117" s="693">
        <f t="shared" si="55"/>
        <v>11</v>
      </c>
      <c r="BQ117" s="696" t="s">
        <v>388</v>
      </c>
      <c r="BR117" s="519" t="s">
        <v>443</v>
      </c>
      <c r="BT117" s="439">
        <f t="shared" si="56"/>
        <v>-22000</v>
      </c>
      <c r="BU117" s="439">
        <f t="shared" si="57"/>
        <v>-22000</v>
      </c>
      <c r="BV117" s="439">
        <f t="shared" si="58"/>
        <v>0</v>
      </c>
      <c r="BY117" s="862">
        <f t="shared" si="59"/>
        <v>577291.85699999996</v>
      </c>
      <c r="BZ117" s="862">
        <f t="shared" si="60"/>
        <v>247410.796</v>
      </c>
      <c r="CA117" s="862">
        <f t="shared" si="61"/>
        <v>69275.02</v>
      </c>
      <c r="CB117" s="862">
        <f t="shared" si="62"/>
        <v>7422.32</v>
      </c>
      <c r="CC117" s="863">
        <f t="shared" si="63"/>
        <v>646566.88</v>
      </c>
      <c r="CD117" s="863">
        <f t="shared" si="64"/>
        <v>254833.12</v>
      </c>
      <c r="CE117" s="864">
        <f t="shared" si="65"/>
        <v>901400</v>
      </c>
      <c r="CF117" s="862">
        <f t="shared" si="66"/>
        <v>0</v>
      </c>
    </row>
    <row r="118" spans="1:84" s="429" customFormat="1" ht="13.9" customHeight="1" x14ac:dyDescent="0.25">
      <c r="A118" s="472"/>
      <c r="B118" s="436">
        <v>704</v>
      </c>
      <c r="C118" s="436" t="s">
        <v>175</v>
      </c>
      <c r="D118" s="436"/>
      <c r="E118" s="436" t="s">
        <v>366</v>
      </c>
      <c r="F118" s="429" t="s">
        <v>510</v>
      </c>
      <c r="G118" s="473">
        <v>45397</v>
      </c>
      <c r="H118" s="436" t="s">
        <v>128</v>
      </c>
      <c r="I118" s="472">
        <v>887400</v>
      </c>
      <c r="J118" s="472">
        <v>88800</v>
      </c>
      <c r="K118" s="507">
        <v>0</v>
      </c>
      <c r="L118" s="507">
        <v>0</v>
      </c>
      <c r="M118" s="507">
        <v>0</v>
      </c>
      <c r="N118" s="507">
        <v>0</v>
      </c>
      <c r="O118" s="507">
        <v>0</v>
      </c>
      <c r="P118" s="507">
        <v>0</v>
      </c>
      <c r="Q118" s="507">
        <v>0</v>
      </c>
      <c r="R118" s="507">
        <v>0</v>
      </c>
      <c r="S118" s="507">
        <v>0</v>
      </c>
      <c r="T118" s="507">
        <v>0</v>
      </c>
      <c r="U118" s="507">
        <v>0</v>
      </c>
      <c r="V118" s="507">
        <v>0</v>
      </c>
      <c r="W118" s="507">
        <v>0</v>
      </c>
      <c r="X118" s="507">
        <v>8000</v>
      </c>
      <c r="Y118" s="507">
        <v>4753</v>
      </c>
      <c r="Z118" s="507">
        <v>4753</v>
      </c>
      <c r="AA118" s="507">
        <v>4753</v>
      </c>
      <c r="AB118" s="507">
        <v>4753</v>
      </c>
      <c r="AC118" s="507">
        <v>4753</v>
      </c>
      <c r="AD118" s="507">
        <f>4753+4753</f>
        <v>9506</v>
      </c>
      <c r="AE118" s="507">
        <v>0</v>
      </c>
      <c r="AF118" s="507">
        <f>4753+4753</f>
        <v>9506</v>
      </c>
      <c r="AG118" s="507">
        <v>0</v>
      </c>
      <c r="AH118" s="507">
        <f>4753+4753</f>
        <v>9506</v>
      </c>
      <c r="AI118" s="507">
        <v>4753</v>
      </c>
      <c r="AJ118" s="507">
        <v>0</v>
      </c>
      <c r="AK118" s="508">
        <f>4753+4753</f>
        <v>9506</v>
      </c>
      <c r="AL118" s="508"/>
      <c r="AM118" s="509">
        <f>4753+4753</f>
        <v>9506</v>
      </c>
      <c r="AN118" s="509">
        <v>0</v>
      </c>
      <c r="AO118" s="509">
        <v>4752</v>
      </c>
      <c r="AP118" s="509">
        <v>0</v>
      </c>
      <c r="AQ118" s="509">
        <v>0</v>
      </c>
      <c r="AR118" s="509"/>
      <c r="AS118" s="509"/>
      <c r="AT118" s="510">
        <f t="shared" si="67"/>
        <v>88800</v>
      </c>
      <c r="AU118" s="512">
        <f t="shared" si="38"/>
        <v>1</v>
      </c>
      <c r="AV118" s="511">
        <f t="shared" si="39"/>
        <v>0</v>
      </c>
      <c r="AW118" s="558">
        <f t="shared" si="40"/>
        <v>0</v>
      </c>
      <c r="AX118" s="513">
        <f t="shared" si="41"/>
        <v>798600</v>
      </c>
      <c r="AY118" s="514">
        <f t="shared" si="42"/>
        <v>0.89993238674780252</v>
      </c>
      <c r="AZ118" s="513">
        <f t="shared" si="43"/>
        <v>88800</v>
      </c>
      <c r="BA118" s="515" t="str">
        <f t="shared" si="44"/>
        <v>Vendido</v>
      </c>
      <c r="BB118" s="516" t="str">
        <f t="shared" si="45"/>
        <v>Cliente Atrasado</v>
      </c>
      <c r="BC118" s="551">
        <v>17</v>
      </c>
      <c r="BD118" s="693">
        <f t="shared" si="46"/>
        <v>1</v>
      </c>
      <c r="BE118" s="693">
        <f t="shared" si="47"/>
        <v>18</v>
      </c>
      <c r="BF118" s="517">
        <v>8000</v>
      </c>
      <c r="BG118" s="517">
        <v>4753</v>
      </c>
      <c r="BH118" s="693">
        <f t="shared" si="48"/>
        <v>7</v>
      </c>
      <c r="BI118" s="693">
        <f t="shared" si="49"/>
        <v>21</v>
      </c>
      <c r="BJ118" s="655">
        <f t="shared" si="69"/>
        <v>107813</v>
      </c>
      <c r="BK118" s="518">
        <f t="shared" si="51"/>
        <v>33270</v>
      </c>
      <c r="BL118" s="518">
        <f t="shared" si="52"/>
        <v>55530</v>
      </c>
      <c r="BM118" s="518">
        <f t="shared" si="53"/>
        <v>0</v>
      </c>
      <c r="BN118" s="518">
        <f t="shared" si="54"/>
        <v>0</v>
      </c>
      <c r="BO118" s="655">
        <f t="shared" si="70"/>
        <v>19013</v>
      </c>
      <c r="BP118" s="693">
        <f t="shared" si="55"/>
        <v>5</v>
      </c>
      <c r="BQ118" s="696"/>
      <c r="BR118" s="519"/>
      <c r="BT118" s="439">
        <f t="shared" si="56"/>
        <v>-19013</v>
      </c>
      <c r="BU118" s="439">
        <f t="shared" si="57"/>
        <v>-19013</v>
      </c>
      <c r="BV118" s="439">
        <f t="shared" si="58"/>
        <v>0</v>
      </c>
      <c r="BY118" s="862">
        <f t="shared" si="59"/>
        <v>568325.70900000003</v>
      </c>
      <c r="BZ118" s="862">
        <f t="shared" si="60"/>
        <v>243568.16099999999</v>
      </c>
      <c r="CA118" s="862">
        <f t="shared" si="61"/>
        <v>68199.09</v>
      </c>
      <c r="CB118" s="862">
        <f t="shared" si="62"/>
        <v>7307.04</v>
      </c>
      <c r="CC118" s="863">
        <f t="shared" si="63"/>
        <v>636524.80000000005</v>
      </c>
      <c r="CD118" s="863">
        <f t="shared" si="64"/>
        <v>250875.2</v>
      </c>
      <c r="CE118" s="864">
        <f t="shared" si="65"/>
        <v>887400</v>
      </c>
      <c r="CF118" s="862">
        <f t="shared" si="66"/>
        <v>0</v>
      </c>
    </row>
    <row r="119" spans="1:84" s="429" customFormat="1" ht="13.9" customHeight="1" x14ac:dyDescent="0.25">
      <c r="A119" s="472"/>
      <c r="B119" s="436">
        <v>705</v>
      </c>
      <c r="C119" s="436" t="s">
        <v>461</v>
      </c>
      <c r="D119" s="436"/>
      <c r="E119" s="436" t="s">
        <v>366</v>
      </c>
      <c r="F119" s="429" t="s">
        <v>511</v>
      </c>
      <c r="G119" s="473">
        <v>45699</v>
      </c>
      <c r="H119" s="436" t="s">
        <v>128</v>
      </c>
      <c r="I119" s="472">
        <v>1396401.17573617</v>
      </c>
      <c r="J119" s="472">
        <v>139701.18</v>
      </c>
      <c r="K119" s="507">
        <v>0</v>
      </c>
      <c r="L119" s="507">
        <v>0</v>
      </c>
      <c r="M119" s="507">
        <v>0</v>
      </c>
      <c r="N119" s="507">
        <v>0</v>
      </c>
      <c r="O119" s="507">
        <v>0</v>
      </c>
      <c r="P119" s="507">
        <v>0</v>
      </c>
      <c r="Q119" s="507">
        <v>0</v>
      </c>
      <c r="R119" s="507">
        <v>0</v>
      </c>
      <c r="S119" s="507">
        <v>0</v>
      </c>
      <c r="T119" s="507">
        <v>0</v>
      </c>
      <c r="U119" s="507">
        <v>0</v>
      </c>
      <c r="V119" s="507">
        <v>0</v>
      </c>
      <c r="W119" s="507">
        <v>0</v>
      </c>
      <c r="X119" s="507">
        <v>0</v>
      </c>
      <c r="Y119" s="507">
        <v>0</v>
      </c>
      <c r="Z119" s="507">
        <v>0</v>
      </c>
      <c r="AA119" s="507">
        <v>0</v>
      </c>
      <c r="AB119" s="507">
        <v>0</v>
      </c>
      <c r="AC119" s="507">
        <v>0</v>
      </c>
      <c r="AD119" s="507">
        <v>0</v>
      </c>
      <c r="AE119" s="507">
        <v>0</v>
      </c>
      <c r="AF119" s="507">
        <v>0</v>
      </c>
      <c r="AG119" s="507">
        <v>0</v>
      </c>
      <c r="AH119" s="507">
        <v>10000</v>
      </c>
      <c r="AI119" s="507">
        <v>0</v>
      </c>
      <c r="AJ119" s="507">
        <f>8647+8647</f>
        <v>17294</v>
      </c>
      <c r="AK119" s="508">
        <v>8647</v>
      </c>
      <c r="AL119" s="508">
        <v>8647</v>
      </c>
      <c r="AM119" s="509">
        <v>8647</v>
      </c>
      <c r="AN119" s="509">
        <v>8647</v>
      </c>
      <c r="AO119" s="509">
        <v>8647</v>
      </c>
      <c r="AP119" s="509">
        <v>8647</v>
      </c>
      <c r="AQ119" s="509">
        <v>8647</v>
      </c>
      <c r="AR119" s="509">
        <v>8647</v>
      </c>
      <c r="AS119" s="509"/>
      <c r="AT119" s="510">
        <f t="shared" si="67"/>
        <v>96470</v>
      </c>
      <c r="AU119" s="512">
        <f t="shared" si="38"/>
        <v>0.69054534829269165</v>
      </c>
      <c r="AV119" s="511">
        <f t="shared" si="39"/>
        <v>-43231.179999999993</v>
      </c>
      <c r="AW119" s="558">
        <f t="shared" si="40"/>
        <v>-0.3094546517073084</v>
      </c>
      <c r="AX119" s="513">
        <f t="shared" si="41"/>
        <v>1299931.17573617</v>
      </c>
      <c r="AY119" s="514">
        <f t="shared" si="42"/>
        <v>0.93091526870912156</v>
      </c>
      <c r="AZ119" s="513">
        <f t="shared" si="43"/>
        <v>139701.18</v>
      </c>
      <c r="BA119" s="515" t="str">
        <f t="shared" si="44"/>
        <v>Vendido</v>
      </c>
      <c r="BB119" s="516" t="str">
        <f t="shared" si="45"/>
        <v>Cliente Atrasado</v>
      </c>
      <c r="BC119" s="551">
        <v>15</v>
      </c>
      <c r="BD119" s="693">
        <f t="shared" si="46"/>
        <v>1</v>
      </c>
      <c r="BE119" s="693">
        <f t="shared" si="47"/>
        <v>16</v>
      </c>
      <c r="BF119" s="517">
        <v>10000</v>
      </c>
      <c r="BG119" s="517">
        <v>8647</v>
      </c>
      <c r="BH119" s="693">
        <f t="shared" si="48"/>
        <v>8</v>
      </c>
      <c r="BI119" s="693">
        <f t="shared" si="49"/>
        <v>11</v>
      </c>
      <c r="BJ119" s="655">
        <f t="shared" si="69"/>
        <v>105117</v>
      </c>
      <c r="BK119" s="518">
        <f t="shared" si="51"/>
        <v>69176</v>
      </c>
      <c r="BL119" s="518">
        <f t="shared" si="52"/>
        <v>27294</v>
      </c>
      <c r="BM119" s="518">
        <f t="shared" si="53"/>
        <v>0</v>
      </c>
      <c r="BN119" s="518">
        <f t="shared" si="54"/>
        <v>0</v>
      </c>
      <c r="BO119" s="655">
        <f t="shared" si="70"/>
        <v>8647</v>
      </c>
      <c r="BP119" s="693">
        <f t="shared" si="55"/>
        <v>1</v>
      </c>
      <c r="BQ119" s="696"/>
      <c r="BR119" s="519"/>
      <c r="BT119" s="439">
        <f t="shared" si="56"/>
        <v>-8647</v>
      </c>
      <c r="BU119" s="439">
        <f t="shared" si="57"/>
        <v>-8647</v>
      </c>
      <c r="BV119" s="439">
        <f t="shared" si="58"/>
        <v>0</v>
      </c>
      <c r="BY119" s="862">
        <f t="shared" si="59"/>
        <v>894309.99399999995</v>
      </c>
      <c r="BZ119" s="862">
        <f t="shared" si="60"/>
        <v>383275.712</v>
      </c>
      <c r="CA119" s="862">
        <f t="shared" si="61"/>
        <v>107317.2</v>
      </c>
      <c r="CB119" s="862">
        <f t="shared" si="62"/>
        <v>11498.27</v>
      </c>
      <c r="CC119" s="863">
        <f t="shared" si="63"/>
        <v>1001627.19</v>
      </c>
      <c r="CD119" s="863">
        <f t="shared" si="64"/>
        <v>394773.98</v>
      </c>
      <c r="CE119" s="864">
        <f t="shared" si="65"/>
        <v>1396401.17</v>
      </c>
      <c r="CF119" s="862">
        <f t="shared" si="66"/>
        <v>-5.7361701037734747E-3</v>
      </c>
    </row>
    <row r="120" spans="1:84" s="429" customFormat="1" ht="13.9" customHeight="1" x14ac:dyDescent="0.25">
      <c r="A120" s="472"/>
      <c r="B120" s="436">
        <v>706</v>
      </c>
      <c r="C120" s="436" t="s">
        <v>463</v>
      </c>
      <c r="D120" s="436"/>
      <c r="E120" s="436" t="s">
        <v>366</v>
      </c>
      <c r="F120" s="429" t="s">
        <v>512</v>
      </c>
      <c r="G120" s="473">
        <v>45728</v>
      </c>
      <c r="H120" s="436" t="s">
        <v>128</v>
      </c>
      <c r="I120" s="472">
        <v>1402592.6953594901</v>
      </c>
      <c r="J120" s="472">
        <v>140292.70000000001</v>
      </c>
      <c r="K120" s="507">
        <v>0</v>
      </c>
      <c r="L120" s="507">
        <v>0</v>
      </c>
      <c r="M120" s="507">
        <v>0</v>
      </c>
      <c r="N120" s="507">
        <v>0</v>
      </c>
      <c r="O120" s="507">
        <v>0</v>
      </c>
      <c r="P120" s="507">
        <v>0</v>
      </c>
      <c r="Q120" s="507">
        <v>0</v>
      </c>
      <c r="R120" s="507">
        <v>0</v>
      </c>
      <c r="S120" s="507">
        <v>0</v>
      </c>
      <c r="T120" s="507">
        <v>0</v>
      </c>
      <c r="U120" s="507">
        <v>0</v>
      </c>
      <c r="V120" s="507">
        <v>0</v>
      </c>
      <c r="W120" s="507">
        <v>0</v>
      </c>
      <c r="X120" s="507">
        <v>0</v>
      </c>
      <c r="Y120" s="507">
        <v>0</v>
      </c>
      <c r="Z120" s="507">
        <v>0</v>
      </c>
      <c r="AA120" s="507">
        <v>0</v>
      </c>
      <c r="AB120" s="507">
        <v>0</v>
      </c>
      <c r="AC120" s="507">
        <v>0</v>
      </c>
      <c r="AD120" s="507">
        <v>0</v>
      </c>
      <c r="AE120" s="507">
        <v>0</v>
      </c>
      <c r="AF120" s="507">
        <v>0</v>
      </c>
      <c r="AG120" s="507">
        <v>0</v>
      </c>
      <c r="AH120" s="507">
        <v>0</v>
      </c>
      <c r="AI120" s="507">
        <v>10000</v>
      </c>
      <c r="AJ120" s="507">
        <v>9307</v>
      </c>
      <c r="AK120" s="508">
        <v>9307</v>
      </c>
      <c r="AL120" s="508">
        <v>9307</v>
      </c>
      <c r="AM120" s="509">
        <v>9307</v>
      </c>
      <c r="AN120" s="509">
        <v>9307</v>
      </c>
      <c r="AO120" s="509">
        <v>9307</v>
      </c>
      <c r="AP120" s="509">
        <v>9307</v>
      </c>
      <c r="AQ120" s="509">
        <v>9307</v>
      </c>
      <c r="AR120" s="509">
        <v>9307</v>
      </c>
      <c r="AS120" s="509"/>
      <c r="AT120" s="510">
        <f t="shared" si="67"/>
        <v>93763</v>
      </c>
      <c r="AU120" s="512">
        <f t="shared" si="38"/>
        <v>0.66833840962501967</v>
      </c>
      <c r="AV120" s="511">
        <f t="shared" si="39"/>
        <v>-46529.700000000012</v>
      </c>
      <c r="AW120" s="558">
        <f t="shared" si="40"/>
        <v>-0.33166159037498039</v>
      </c>
      <c r="AX120" s="513">
        <f t="shared" si="41"/>
        <v>1308829.6953594901</v>
      </c>
      <c r="AY120" s="514">
        <f t="shared" si="42"/>
        <v>0.93315022935010494</v>
      </c>
      <c r="AZ120" s="513">
        <f t="shared" si="43"/>
        <v>140292.70000000001</v>
      </c>
      <c r="BA120" s="515" t="str">
        <f t="shared" si="44"/>
        <v>Vendido</v>
      </c>
      <c r="BB120" s="516" t="str">
        <f t="shared" si="45"/>
        <v>Cliente Atrasado</v>
      </c>
      <c r="BC120" s="551">
        <v>14</v>
      </c>
      <c r="BD120" s="693">
        <f t="shared" si="46"/>
        <v>1</v>
      </c>
      <c r="BE120" s="693">
        <f t="shared" si="47"/>
        <v>15</v>
      </c>
      <c r="BF120" s="517">
        <v>10000</v>
      </c>
      <c r="BG120" s="517">
        <v>9307</v>
      </c>
      <c r="BH120" s="693">
        <f t="shared" si="48"/>
        <v>9</v>
      </c>
      <c r="BI120" s="693">
        <f t="shared" si="49"/>
        <v>10</v>
      </c>
      <c r="BJ120" s="655">
        <f t="shared" si="69"/>
        <v>103070</v>
      </c>
      <c r="BK120" s="518">
        <f t="shared" si="51"/>
        <v>83763</v>
      </c>
      <c r="BL120" s="518">
        <f t="shared" si="52"/>
        <v>10000</v>
      </c>
      <c r="BM120" s="518">
        <f t="shared" si="53"/>
        <v>0</v>
      </c>
      <c r="BN120" s="518">
        <f t="shared" si="54"/>
        <v>0</v>
      </c>
      <c r="BO120" s="655">
        <f t="shared" si="70"/>
        <v>9307</v>
      </c>
      <c r="BP120" s="693">
        <f t="shared" si="55"/>
        <v>1</v>
      </c>
      <c r="BQ120" s="696"/>
      <c r="BR120" s="519"/>
      <c r="BT120" s="439">
        <f t="shared" si="56"/>
        <v>-9307</v>
      </c>
      <c r="BU120" s="439">
        <f t="shared" si="57"/>
        <v>-9307</v>
      </c>
      <c r="BV120" s="439">
        <f t="shared" si="58"/>
        <v>0</v>
      </c>
      <c r="BY120" s="862">
        <f t="shared" si="59"/>
        <v>898275.28500000003</v>
      </c>
      <c r="BZ120" s="862">
        <f t="shared" si="60"/>
        <v>384975.12199999997</v>
      </c>
      <c r="CA120" s="862">
        <f t="shared" si="61"/>
        <v>107793.03</v>
      </c>
      <c r="CB120" s="862">
        <f t="shared" si="62"/>
        <v>11549.25</v>
      </c>
      <c r="CC120" s="863">
        <f t="shared" si="63"/>
        <v>1006068.32</v>
      </c>
      <c r="CD120" s="863">
        <f t="shared" si="64"/>
        <v>396524.37</v>
      </c>
      <c r="CE120" s="864">
        <f t="shared" si="65"/>
        <v>1402592.69</v>
      </c>
      <c r="CF120" s="862">
        <f t="shared" si="66"/>
        <v>-5.3594901692122221E-3</v>
      </c>
    </row>
    <row r="121" spans="1:84" s="429" customFormat="1" ht="13.9" customHeight="1" x14ac:dyDescent="0.25">
      <c r="A121" s="472"/>
      <c r="B121" s="436">
        <v>707</v>
      </c>
      <c r="C121" s="436" t="s">
        <v>465</v>
      </c>
      <c r="D121" s="436"/>
      <c r="E121" s="436" t="s">
        <v>126</v>
      </c>
      <c r="F121" s="429" t="s">
        <v>513</v>
      </c>
      <c r="G121" s="473">
        <v>45751</v>
      </c>
      <c r="H121" s="436" t="s">
        <v>128</v>
      </c>
      <c r="I121" s="472">
        <v>789045</v>
      </c>
      <c r="J121" s="472">
        <v>78945</v>
      </c>
      <c r="K121" s="507">
        <v>0</v>
      </c>
      <c r="L121" s="507">
        <v>0</v>
      </c>
      <c r="M121" s="507">
        <v>0</v>
      </c>
      <c r="N121" s="507">
        <v>0</v>
      </c>
      <c r="O121" s="507">
        <v>0</v>
      </c>
      <c r="P121" s="507">
        <v>0</v>
      </c>
      <c r="Q121" s="507">
        <v>0</v>
      </c>
      <c r="R121" s="507">
        <v>0</v>
      </c>
      <c r="S121" s="507">
        <v>0</v>
      </c>
      <c r="T121" s="507">
        <v>0</v>
      </c>
      <c r="U121" s="507">
        <v>0</v>
      </c>
      <c r="V121" s="507">
        <v>0</v>
      </c>
      <c r="W121" s="507">
        <v>0</v>
      </c>
      <c r="X121" s="507">
        <v>0</v>
      </c>
      <c r="Y121" s="507">
        <v>0</v>
      </c>
      <c r="Z121" s="507">
        <v>0</v>
      </c>
      <c r="AA121" s="507">
        <v>0</v>
      </c>
      <c r="AB121" s="507">
        <v>0</v>
      </c>
      <c r="AC121" s="507">
        <v>0</v>
      </c>
      <c r="AD121" s="507">
        <v>0</v>
      </c>
      <c r="AE121" s="507">
        <v>0</v>
      </c>
      <c r="AF121" s="507">
        <v>0</v>
      </c>
      <c r="AG121" s="507">
        <v>0</v>
      </c>
      <c r="AH121" s="507">
        <v>0</v>
      </c>
      <c r="AI121" s="507">
        <v>0</v>
      </c>
      <c r="AJ121" s="507">
        <v>10000</v>
      </c>
      <c r="AK121" s="508"/>
      <c r="AL121" s="508"/>
      <c r="AM121" s="509">
        <f>5000+5000</f>
        <v>10000</v>
      </c>
      <c r="AN121" s="509">
        <v>5000</v>
      </c>
      <c r="AO121" s="509">
        <v>5000</v>
      </c>
      <c r="AP121" s="509">
        <v>5000</v>
      </c>
      <c r="AQ121" s="509">
        <v>5000</v>
      </c>
      <c r="AR121" s="509">
        <v>5000</v>
      </c>
      <c r="AS121" s="509">
        <v>5000</v>
      </c>
      <c r="AT121" s="510">
        <f t="shared" si="67"/>
        <v>50000</v>
      </c>
      <c r="AU121" s="512">
        <f t="shared" si="38"/>
        <v>0.63335233390335044</v>
      </c>
      <c r="AV121" s="511">
        <f t="shared" si="39"/>
        <v>-28945</v>
      </c>
      <c r="AW121" s="558">
        <f t="shared" si="40"/>
        <v>-0.36664766609664956</v>
      </c>
      <c r="AX121" s="513">
        <f t="shared" si="41"/>
        <v>739045</v>
      </c>
      <c r="AY121" s="514">
        <f t="shared" si="42"/>
        <v>0.93663225798275129</v>
      </c>
      <c r="AZ121" s="513">
        <f t="shared" si="43"/>
        <v>78945</v>
      </c>
      <c r="BA121" s="515" t="str">
        <f t="shared" si="44"/>
        <v>Vendido</v>
      </c>
      <c r="BB121" s="516" t="str">
        <f t="shared" si="45"/>
        <v>Cliente Atrasado</v>
      </c>
      <c r="BC121" s="551">
        <v>13</v>
      </c>
      <c r="BD121" s="693">
        <f t="shared" si="46"/>
        <v>1</v>
      </c>
      <c r="BE121" s="693">
        <f t="shared" si="47"/>
        <v>14</v>
      </c>
      <c r="BF121" s="517">
        <v>5303</v>
      </c>
      <c r="BG121" s="517">
        <v>5303</v>
      </c>
      <c r="BH121" s="693">
        <f t="shared" si="48"/>
        <v>6</v>
      </c>
      <c r="BI121" s="693">
        <f t="shared" si="49"/>
        <v>9</v>
      </c>
      <c r="BJ121" s="655">
        <f t="shared" si="69"/>
        <v>53030</v>
      </c>
      <c r="BK121" s="518">
        <f t="shared" si="51"/>
        <v>30000</v>
      </c>
      <c r="BL121" s="518">
        <f t="shared" si="52"/>
        <v>20000</v>
      </c>
      <c r="BM121" s="518">
        <f t="shared" si="53"/>
        <v>0</v>
      </c>
      <c r="BN121" s="518">
        <f t="shared" si="54"/>
        <v>0</v>
      </c>
      <c r="BO121" s="655">
        <f t="shared" si="70"/>
        <v>3030</v>
      </c>
      <c r="BP121" s="693">
        <f t="shared" si="55"/>
        <v>1</v>
      </c>
      <c r="BQ121" s="696"/>
      <c r="BR121" s="519"/>
      <c r="BT121" s="439">
        <f t="shared" si="56"/>
        <v>-3030</v>
      </c>
      <c r="BU121" s="439">
        <f t="shared" si="57"/>
        <v>-3030</v>
      </c>
      <c r="BV121" s="439">
        <f t="shared" si="58"/>
        <v>0</v>
      </c>
      <c r="BY121" s="862">
        <f t="shared" si="59"/>
        <v>505335.31599999999</v>
      </c>
      <c r="BZ121" s="862">
        <f t="shared" si="60"/>
        <v>216572.27799999999</v>
      </c>
      <c r="CA121" s="862">
        <f t="shared" si="61"/>
        <v>60640.24</v>
      </c>
      <c r="CB121" s="862">
        <f t="shared" si="62"/>
        <v>6497.17</v>
      </c>
      <c r="CC121" s="863">
        <f t="shared" si="63"/>
        <v>565975.56000000006</v>
      </c>
      <c r="CD121" s="863">
        <f t="shared" si="64"/>
        <v>223069.45</v>
      </c>
      <c r="CE121" s="864">
        <f t="shared" si="65"/>
        <v>789045.01</v>
      </c>
      <c r="CF121" s="862">
        <f t="shared" si="66"/>
        <v>1.0000000009313226E-2</v>
      </c>
    </row>
    <row r="122" spans="1:84" s="429" customFormat="1" ht="13.9" customHeight="1" x14ac:dyDescent="0.25">
      <c r="A122" s="472"/>
      <c r="B122" s="436">
        <v>708</v>
      </c>
      <c r="C122" s="436" t="s">
        <v>467</v>
      </c>
      <c r="D122" s="642" t="s">
        <v>336</v>
      </c>
      <c r="E122" s="436" t="s">
        <v>366</v>
      </c>
      <c r="F122" s="429" t="s">
        <v>337</v>
      </c>
      <c r="G122" s="473">
        <v>45321</v>
      </c>
      <c r="H122" s="436" t="s">
        <v>128</v>
      </c>
      <c r="I122" s="472">
        <v>1183693</v>
      </c>
      <c r="J122" s="472">
        <v>118393</v>
      </c>
      <c r="K122" s="507">
        <v>0</v>
      </c>
      <c r="L122" s="507">
        <v>0</v>
      </c>
      <c r="M122" s="507">
        <v>0</v>
      </c>
      <c r="N122" s="507">
        <v>0</v>
      </c>
      <c r="O122" s="507">
        <v>0</v>
      </c>
      <c r="P122" s="507">
        <v>0</v>
      </c>
      <c r="Q122" s="507">
        <v>0</v>
      </c>
      <c r="R122" s="507">
        <v>0</v>
      </c>
      <c r="S122" s="507">
        <v>0</v>
      </c>
      <c r="T122" s="507">
        <v>0</v>
      </c>
      <c r="U122" s="507">
        <v>7600</v>
      </c>
      <c r="V122" s="507">
        <v>4000</v>
      </c>
      <c r="W122" s="507">
        <v>0</v>
      </c>
      <c r="X122" s="507">
        <v>15000</v>
      </c>
      <c r="Y122" s="507">
        <v>0</v>
      </c>
      <c r="Z122" s="507">
        <v>0</v>
      </c>
      <c r="AA122" s="507">
        <v>0</v>
      </c>
      <c r="AB122" s="507">
        <v>19000</v>
      </c>
      <c r="AC122" s="507">
        <v>0</v>
      </c>
      <c r="AD122" s="507">
        <v>0</v>
      </c>
      <c r="AE122" s="507">
        <v>0</v>
      </c>
      <c r="AF122" s="507">
        <v>0</v>
      </c>
      <c r="AG122" s="507">
        <v>0</v>
      </c>
      <c r="AH122" s="507">
        <v>0</v>
      </c>
      <c r="AI122" s="507">
        <v>0</v>
      </c>
      <c r="AJ122" s="507">
        <f>19500+19500</f>
        <v>39000</v>
      </c>
      <c r="AK122" s="508"/>
      <c r="AL122" s="508"/>
      <c r="AM122" s="508"/>
      <c r="AN122" s="509"/>
      <c r="AO122" s="509">
        <v>0</v>
      </c>
      <c r="AP122" s="509">
        <v>0</v>
      </c>
      <c r="AQ122" s="509">
        <v>0</v>
      </c>
      <c r="AR122" s="508"/>
      <c r="AS122" s="508"/>
      <c r="AT122" s="510">
        <f t="shared" si="67"/>
        <v>84600</v>
      </c>
      <c r="AU122" s="512">
        <f t="shared" si="38"/>
        <v>0.71456927352123856</v>
      </c>
      <c r="AV122" s="511">
        <f t="shared" si="39"/>
        <v>-33793</v>
      </c>
      <c r="AW122" s="558">
        <f t="shared" si="40"/>
        <v>-0.28543072647876139</v>
      </c>
      <c r="AX122" s="513">
        <f t="shared" si="41"/>
        <v>1099093</v>
      </c>
      <c r="AY122" s="514">
        <f t="shared" si="42"/>
        <v>0.92852876548226615</v>
      </c>
      <c r="AZ122" s="513">
        <f t="shared" si="43"/>
        <v>118393</v>
      </c>
      <c r="BA122" s="515" t="str">
        <f t="shared" si="44"/>
        <v>Vendido</v>
      </c>
      <c r="BB122" s="516" t="str">
        <f t="shared" si="45"/>
        <v>Cliente Atrasado</v>
      </c>
      <c r="BC122" s="551">
        <v>6</v>
      </c>
      <c r="BD122" s="693">
        <f t="shared" si="46"/>
        <v>1</v>
      </c>
      <c r="BE122" s="693">
        <f t="shared" si="47"/>
        <v>7</v>
      </c>
      <c r="BF122" s="644">
        <v>7600</v>
      </c>
      <c r="BG122" s="644">
        <v>19000</v>
      </c>
      <c r="BH122" s="693">
        <f t="shared" si="48"/>
        <v>1</v>
      </c>
      <c r="BI122" s="693">
        <f t="shared" si="49"/>
        <v>23</v>
      </c>
      <c r="BJ122" s="667">
        <f t="shared" si="69"/>
        <v>444600</v>
      </c>
      <c r="BK122" s="518">
        <f t="shared" si="51"/>
        <v>45600</v>
      </c>
      <c r="BL122" s="518">
        <f t="shared" si="52"/>
        <v>39000</v>
      </c>
      <c r="BM122" s="518">
        <f t="shared" si="53"/>
        <v>0</v>
      </c>
      <c r="BN122" s="518">
        <f t="shared" si="54"/>
        <v>0</v>
      </c>
      <c r="BO122" s="655">
        <f t="shared" si="70"/>
        <v>360000</v>
      </c>
      <c r="BP122" s="693">
        <f t="shared" si="55"/>
        <v>19</v>
      </c>
      <c r="BQ122" s="696" t="s">
        <v>388</v>
      </c>
      <c r="BR122" s="654" t="s">
        <v>514</v>
      </c>
      <c r="BT122" s="439">
        <f t="shared" si="56"/>
        <v>-360000</v>
      </c>
      <c r="BU122" s="439">
        <f t="shared" si="57"/>
        <v>-360000</v>
      </c>
      <c r="BV122" s="439">
        <f t="shared" si="58"/>
        <v>0</v>
      </c>
      <c r="BY122" s="862">
        <f t="shared" si="59"/>
        <v>758083.34900000005</v>
      </c>
      <c r="BZ122" s="862">
        <f t="shared" si="60"/>
        <v>324892.864</v>
      </c>
      <c r="CA122" s="862">
        <f t="shared" si="61"/>
        <v>90970</v>
      </c>
      <c r="CB122" s="862">
        <f t="shared" si="62"/>
        <v>9746.7900000000009</v>
      </c>
      <c r="CC122" s="863">
        <f t="shared" si="63"/>
        <v>849053.35</v>
      </c>
      <c r="CD122" s="863">
        <f t="shared" si="64"/>
        <v>334639.65000000002</v>
      </c>
      <c r="CE122" s="864">
        <f t="shared" si="65"/>
        <v>1183693</v>
      </c>
      <c r="CF122" s="862">
        <f t="shared" si="66"/>
        <v>0</v>
      </c>
    </row>
    <row r="123" spans="1:84" s="429" customFormat="1" ht="13.9" customHeight="1" x14ac:dyDescent="0.25">
      <c r="A123" s="472" t="s">
        <v>58</v>
      </c>
      <c r="B123" s="475">
        <v>709</v>
      </c>
      <c r="C123" s="475" t="s">
        <v>469</v>
      </c>
      <c r="D123" s="475"/>
      <c r="E123" s="475" t="s">
        <v>135</v>
      </c>
      <c r="F123" s="476" t="s">
        <v>515</v>
      </c>
      <c r="G123" s="473">
        <v>45202</v>
      </c>
      <c r="H123" s="436" t="s">
        <v>128</v>
      </c>
      <c r="I123" s="472">
        <v>1362800</v>
      </c>
      <c r="J123" s="472">
        <v>95400</v>
      </c>
      <c r="K123" s="507">
        <v>0</v>
      </c>
      <c r="L123" s="507">
        <v>0</v>
      </c>
      <c r="M123" s="507">
        <v>0</v>
      </c>
      <c r="N123" s="507">
        <v>0</v>
      </c>
      <c r="O123" s="507">
        <v>0</v>
      </c>
      <c r="P123" s="507">
        <v>0</v>
      </c>
      <c r="Q123" s="507">
        <v>0</v>
      </c>
      <c r="R123" s="507">
        <v>0</v>
      </c>
      <c r="S123" s="507">
        <v>0</v>
      </c>
      <c r="T123" s="507">
        <v>0</v>
      </c>
      <c r="U123" s="507">
        <v>0</v>
      </c>
      <c r="V123" s="507">
        <v>0</v>
      </c>
      <c r="W123" s="507">
        <v>0</v>
      </c>
      <c r="X123" s="507">
        <v>0</v>
      </c>
      <c r="Y123" s="507">
        <v>0</v>
      </c>
      <c r="Z123" s="507">
        <v>0</v>
      </c>
      <c r="AA123" s="507">
        <v>0</v>
      </c>
      <c r="AB123" s="507">
        <v>0</v>
      </c>
      <c r="AC123" s="507">
        <v>0</v>
      </c>
      <c r="AD123" s="507">
        <v>0</v>
      </c>
      <c r="AE123" s="507">
        <v>0</v>
      </c>
      <c r="AF123" s="507">
        <v>0</v>
      </c>
      <c r="AG123" s="507">
        <v>0</v>
      </c>
      <c r="AH123" s="507">
        <v>0</v>
      </c>
      <c r="AI123" s="507">
        <v>0</v>
      </c>
      <c r="AJ123" s="507">
        <v>0</v>
      </c>
      <c r="AK123" s="508"/>
      <c r="AL123" s="508"/>
      <c r="AM123" s="508"/>
      <c r="AN123" s="509">
        <v>0</v>
      </c>
      <c r="AO123" s="509">
        <v>0</v>
      </c>
      <c r="AP123" s="509">
        <v>0</v>
      </c>
      <c r="AQ123" s="509">
        <v>0</v>
      </c>
      <c r="AR123" s="509">
        <v>9489</v>
      </c>
      <c r="AS123" s="509">
        <f>30000+30000+26000</f>
        <v>86000</v>
      </c>
      <c r="AT123" s="510">
        <f t="shared" si="67"/>
        <v>95489</v>
      </c>
      <c r="AU123" s="512">
        <f t="shared" si="38"/>
        <v>1.0009329140461216</v>
      </c>
      <c r="AV123" s="511">
        <f t="shared" si="39"/>
        <v>89</v>
      </c>
      <c r="AW123" s="558">
        <f t="shared" si="40"/>
        <v>9.3291404612159327E-4</v>
      </c>
      <c r="AX123" s="513">
        <f t="shared" si="41"/>
        <v>1267311</v>
      </c>
      <c r="AY123" s="514">
        <f t="shared" si="42"/>
        <v>0.92993175814499562</v>
      </c>
      <c r="AZ123" s="513">
        <f t="shared" si="43"/>
        <v>95400</v>
      </c>
      <c r="BA123" s="515" t="str">
        <f t="shared" si="44"/>
        <v>Vendido</v>
      </c>
      <c r="BB123" s="516" t="str">
        <f t="shared" si="45"/>
        <v>Superávit de Enganche</v>
      </c>
      <c r="BC123" s="551"/>
      <c r="BD123" s="693">
        <f t="shared" si="46"/>
        <v>0</v>
      </c>
      <c r="BE123" s="693">
        <f t="shared" si="47"/>
        <v>0</v>
      </c>
      <c r="BF123" s="517"/>
      <c r="BG123" s="517"/>
      <c r="BH123" s="693">
        <f t="shared" si="48"/>
        <v>0</v>
      </c>
      <c r="BI123" s="693">
        <f t="shared" si="49"/>
        <v>27</v>
      </c>
      <c r="BJ123" s="655">
        <f t="shared" si="69"/>
        <v>0</v>
      </c>
      <c r="BK123" s="518">
        <f t="shared" si="51"/>
        <v>0</v>
      </c>
      <c r="BL123" s="518">
        <f t="shared" si="52"/>
        <v>0</v>
      </c>
      <c r="BM123" s="518">
        <f t="shared" si="53"/>
        <v>95489</v>
      </c>
      <c r="BN123" s="518">
        <f t="shared" si="54"/>
        <v>95489</v>
      </c>
      <c r="BO123" s="655">
        <f t="shared" si="70"/>
        <v>0</v>
      </c>
      <c r="BP123" s="693" t="str">
        <f t="shared" si="55"/>
        <v/>
      </c>
      <c r="BQ123" s="701" t="s">
        <v>58</v>
      </c>
      <c r="BR123" s="702" t="s">
        <v>516</v>
      </c>
      <c r="BT123" s="439">
        <f t="shared" si="56"/>
        <v>95489</v>
      </c>
      <c r="BU123" s="439">
        <f t="shared" si="57"/>
        <v>95489</v>
      </c>
      <c r="BV123" s="439">
        <f t="shared" si="58"/>
        <v>0</v>
      </c>
      <c r="BY123" s="862">
        <f t="shared" si="59"/>
        <v>872790.48499999999</v>
      </c>
      <c r="BZ123" s="862">
        <f t="shared" si="60"/>
        <v>374053.065</v>
      </c>
      <c r="CA123" s="862">
        <f t="shared" si="61"/>
        <v>104734.86</v>
      </c>
      <c r="CB123" s="862">
        <f t="shared" si="62"/>
        <v>11221.59</v>
      </c>
      <c r="CC123" s="863">
        <f t="shared" si="63"/>
        <v>977525.35</v>
      </c>
      <c r="CD123" s="863">
        <f t="shared" si="64"/>
        <v>385274.66</v>
      </c>
      <c r="CE123" s="864">
        <f t="shared" si="65"/>
        <v>1362800.01</v>
      </c>
      <c r="CF123" s="862">
        <f t="shared" si="66"/>
        <v>1.0000000009313226E-2</v>
      </c>
    </row>
    <row r="124" spans="1:84" s="429" customFormat="1" ht="13.9" customHeight="1" x14ac:dyDescent="0.25">
      <c r="A124" s="472" t="s">
        <v>58</v>
      </c>
      <c r="B124" s="475">
        <v>710</v>
      </c>
      <c r="C124" s="475" t="s">
        <v>467</v>
      </c>
      <c r="D124" s="475"/>
      <c r="E124" s="475" t="s">
        <v>383</v>
      </c>
      <c r="F124" s="476" t="s">
        <v>517</v>
      </c>
      <c r="G124" s="473">
        <v>45173</v>
      </c>
      <c r="H124" s="436" t="s">
        <v>128</v>
      </c>
      <c r="I124" s="472">
        <v>1185640.42442039</v>
      </c>
      <c r="J124" s="472">
        <f>+I124*0.1</f>
        <v>118564.042442039</v>
      </c>
      <c r="K124" s="507">
        <v>0</v>
      </c>
      <c r="L124" s="507">
        <v>0</v>
      </c>
      <c r="M124" s="507">
        <v>0</v>
      </c>
      <c r="N124" s="507">
        <v>0</v>
      </c>
      <c r="O124" s="507">
        <v>0</v>
      </c>
      <c r="P124" s="507">
        <v>0</v>
      </c>
      <c r="Q124" s="507">
        <v>0</v>
      </c>
      <c r="R124" s="507">
        <v>0</v>
      </c>
      <c r="S124" s="507">
        <v>0</v>
      </c>
      <c r="T124" s="507">
        <v>0</v>
      </c>
      <c r="U124" s="507">
        <v>0</v>
      </c>
      <c r="V124" s="507">
        <v>0</v>
      </c>
      <c r="W124" s="507">
        <v>0</v>
      </c>
      <c r="X124" s="507">
        <v>0</v>
      </c>
      <c r="Y124" s="507">
        <v>0</v>
      </c>
      <c r="Z124" s="507">
        <v>0</v>
      </c>
      <c r="AA124" s="507">
        <v>0</v>
      </c>
      <c r="AB124" s="507">
        <v>0</v>
      </c>
      <c r="AC124" s="507">
        <v>0</v>
      </c>
      <c r="AD124" s="507">
        <v>0</v>
      </c>
      <c r="AE124" s="507">
        <v>0</v>
      </c>
      <c r="AF124" s="507">
        <v>0</v>
      </c>
      <c r="AG124" s="507">
        <v>0</v>
      </c>
      <c r="AH124" s="507">
        <v>0</v>
      </c>
      <c r="AI124" s="507">
        <v>0</v>
      </c>
      <c r="AJ124" s="507">
        <v>0</v>
      </c>
      <c r="AK124" s="508"/>
      <c r="AL124" s="508"/>
      <c r="AM124" s="508"/>
      <c r="AN124" s="509">
        <v>0</v>
      </c>
      <c r="AO124" s="509">
        <v>0</v>
      </c>
      <c r="AP124" s="509">
        <f>217000+251000</f>
        <v>468000</v>
      </c>
      <c r="AQ124" s="509">
        <v>0</v>
      </c>
      <c r="AR124" s="508"/>
      <c r="AS124" s="508"/>
      <c r="AT124" s="510">
        <f t="shared" si="67"/>
        <v>468000</v>
      </c>
      <c r="AU124" s="512">
        <f t="shared" si="38"/>
        <v>3.9472338354926251</v>
      </c>
      <c r="AV124" s="511">
        <f t="shared" si="39"/>
        <v>349435.957557961</v>
      </c>
      <c r="AW124" s="558">
        <f t="shared" si="40"/>
        <v>2.9472338354926251</v>
      </c>
      <c r="AX124" s="513">
        <f t="shared" si="41"/>
        <v>717640.42442039005</v>
      </c>
      <c r="AY124" s="514">
        <f t="shared" si="42"/>
        <v>0.60527661645073749</v>
      </c>
      <c r="AZ124" s="513">
        <f t="shared" si="43"/>
        <v>118564.042442039</v>
      </c>
      <c r="BA124" s="515" t="str">
        <f t="shared" si="44"/>
        <v>Vendido</v>
      </c>
      <c r="BB124" s="516" t="str">
        <f t="shared" si="45"/>
        <v>Superávit de Enganche</v>
      </c>
      <c r="BC124" s="551"/>
      <c r="BD124" s="693">
        <f t="shared" si="46"/>
        <v>0</v>
      </c>
      <c r="BE124" s="693">
        <f t="shared" si="47"/>
        <v>0</v>
      </c>
      <c r="BF124" s="517"/>
      <c r="BG124" s="517"/>
      <c r="BH124" s="693">
        <f t="shared" si="48"/>
        <v>0</v>
      </c>
      <c r="BI124" s="693">
        <f t="shared" si="49"/>
        <v>28</v>
      </c>
      <c r="BJ124" s="655">
        <f t="shared" si="69"/>
        <v>0</v>
      </c>
      <c r="BK124" s="518">
        <f t="shared" si="51"/>
        <v>0</v>
      </c>
      <c r="BL124" s="518">
        <f t="shared" si="52"/>
        <v>0</v>
      </c>
      <c r="BM124" s="518">
        <f t="shared" si="53"/>
        <v>468000</v>
      </c>
      <c r="BN124" s="518">
        <f t="shared" si="54"/>
        <v>468000</v>
      </c>
      <c r="BO124" s="655">
        <f t="shared" si="70"/>
        <v>0</v>
      </c>
      <c r="BP124" s="693" t="str">
        <f t="shared" si="55"/>
        <v/>
      </c>
      <c r="BQ124" s="695" t="s">
        <v>58</v>
      </c>
      <c r="BR124" s="519"/>
      <c r="BT124" s="439">
        <f t="shared" si="56"/>
        <v>468000</v>
      </c>
      <c r="BU124" s="439">
        <f t="shared" si="57"/>
        <v>468000</v>
      </c>
      <c r="BV124" s="439">
        <f t="shared" si="58"/>
        <v>0</v>
      </c>
      <c r="BY124" s="862">
        <f t="shared" si="59"/>
        <v>759330.55500000005</v>
      </c>
      <c r="BZ124" s="862">
        <f t="shared" si="60"/>
        <v>325427.38099999999</v>
      </c>
      <c r="CA124" s="862">
        <f t="shared" si="61"/>
        <v>91119.67</v>
      </c>
      <c r="CB124" s="862">
        <f t="shared" si="62"/>
        <v>9762.82</v>
      </c>
      <c r="CC124" s="863">
        <f t="shared" si="63"/>
        <v>850450.23</v>
      </c>
      <c r="CD124" s="863">
        <f t="shared" si="64"/>
        <v>335190.2</v>
      </c>
      <c r="CE124" s="864">
        <f t="shared" si="65"/>
        <v>1185640.43</v>
      </c>
      <c r="CF124" s="862">
        <f t="shared" si="66"/>
        <v>5.579609889537096E-3</v>
      </c>
    </row>
    <row r="125" spans="1:84" s="429" customFormat="1" ht="13.9" customHeight="1" x14ac:dyDescent="0.25">
      <c r="A125" s="472"/>
      <c r="B125" s="436">
        <v>711</v>
      </c>
      <c r="C125" s="436" t="s">
        <v>469</v>
      </c>
      <c r="D125" s="642" t="s">
        <v>336</v>
      </c>
      <c r="E125" s="436" t="s">
        <v>423</v>
      </c>
      <c r="F125" s="429" t="s">
        <v>518</v>
      </c>
      <c r="G125" s="480">
        <v>45770</v>
      </c>
      <c r="H125" s="436" t="s">
        <v>128</v>
      </c>
      <c r="I125" s="472">
        <v>1204212.47</v>
      </c>
      <c r="J125" s="472">
        <v>120512.47</v>
      </c>
      <c r="K125" s="507">
        <v>0</v>
      </c>
      <c r="L125" s="507">
        <v>0</v>
      </c>
      <c r="M125" s="507">
        <v>0</v>
      </c>
      <c r="N125" s="507">
        <v>0</v>
      </c>
      <c r="O125" s="507">
        <v>0</v>
      </c>
      <c r="P125" s="507">
        <v>0</v>
      </c>
      <c r="Q125" s="507">
        <v>0</v>
      </c>
      <c r="R125" s="507">
        <v>0</v>
      </c>
      <c r="S125" s="507">
        <v>0</v>
      </c>
      <c r="T125" s="507">
        <v>0</v>
      </c>
      <c r="U125" s="507">
        <v>0</v>
      </c>
      <c r="V125" s="507">
        <v>0</v>
      </c>
      <c r="W125" s="507">
        <v>0</v>
      </c>
      <c r="X125" s="507">
        <v>0</v>
      </c>
      <c r="Y125" s="507">
        <v>0</v>
      </c>
      <c r="Z125" s="507">
        <v>0</v>
      </c>
      <c r="AA125" s="507">
        <v>0</v>
      </c>
      <c r="AB125" s="507">
        <v>0</v>
      </c>
      <c r="AC125" s="507">
        <v>0</v>
      </c>
      <c r="AD125" s="507">
        <v>0</v>
      </c>
      <c r="AE125" s="507">
        <v>10000</v>
      </c>
      <c r="AF125" s="507">
        <v>0</v>
      </c>
      <c r="AG125" s="507">
        <v>0</v>
      </c>
      <c r="AH125" s="507">
        <v>0</v>
      </c>
      <c r="AI125" s="507">
        <v>50000</v>
      </c>
      <c r="AJ125" s="507">
        <v>0</v>
      </c>
      <c r="AK125" s="508"/>
      <c r="AL125" s="509">
        <v>5000</v>
      </c>
      <c r="AM125" s="509"/>
      <c r="AN125" s="509">
        <v>0</v>
      </c>
      <c r="AO125" s="509">
        <v>10000</v>
      </c>
      <c r="AP125" s="509">
        <v>0</v>
      </c>
      <c r="AQ125" s="509">
        <v>0</v>
      </c>
      <c r="AR125" s="509"/>
      <c r="AS125" s="509"/>
      <c r="AT125" s="510">
        <f t="shared" si="67"/>
        <v>75000</v>
      </c>
      <c r="AU125" s="512">
        <f t="shared" si="38"/>
        <v>0.62234223562092783</v>
      </c>
      <c r="AV125" s="511">
        <f t="shared" si="39"/>
        <v>-45512.47</v>
      </c>
      <c r="AW125" s="558">
        <f t="shared" si="40"/>
        <v>-0.37765776437907217</v>
      </c>
      <c r="AX125" s="513">
        <f t="shared" si="41"/>
        <v>1129212.47</v>
      </c>
      <c r="AY125" s="514">
        <f t="shared" si="42"/>
        <v>0.93771863199523253</v>
      </c>
      <c r="AZ125" s="513">
        <f t="shared" si="43"/>
        <v>120512.47</v>
      </c>
      <c r="BA125" s="515" t="str">
        <f t="shared" si="44"/>
        <v>Vendido</v>
      </c>
      <c r="BB125" s="516" t="str">
        <f t="shared" si="45"/>
        <v>Cliente Atrasado</v>
      </c>
      <c r="BC125" s="551">
        <v>16</v>
      </c>
      <c r="BD125" s="693">
        <f t="shared" si="46"/>
        <v>1</v>
      </c>
      <c r="BE125" s="693">
        <f t="shared" si="47"/>
        <v>17</v>
      </c>
      <c r="BF125" s="644">
        <v>60000</v>
      </c>
      <c r="BG125" s="644">
        <v>3782</v>
      </c>
      <c r="BH125" s="693">
        <f t="shared" si="48"/>
        <v>4</v>
      </c>
      <c r="BI125" s="693">
        <f t="shared" si="49"/>
        <v>9</v>
      </c>
      <c r="BJ125" s="655">
        <f t="shared" si="69"/>
        <v>94038</v>
      </c>
      <c r="BK125" s="518">
        <f t="shared" si="51"/>
        <v>0</v>
      </c>
      <c r="BL125" s="518">
        <f t="shared" si="52"/>
        <v>75000</v>
      </c>
      <c r="BM125" s="518">
        <f t="shared" si="53"/>
        <v>0</v>
      </c>
      <c r="BN125" s="518">
        <f t="shared" si="54"/>
        <v>0</v>
      </c>
      <c r="BO125" s="655">
        <f t="shared" si="70"/>
        <v>19038</v>
      </c>
      <c r="BP125" s="693">
        <f t="shared" si="55"/>
        <v>6</v>
      </c>
      <c r="BQ125" s="696" t="s">
        <v>388</v>
      </c>
      <c r="BR125" s="519" t="s">
        <v>519</v>
      </c>
      <c r="BT125" s="439">
        <f t="shared" si="56"/>
        <v>-19038</v>
      </c>
      <c r="BU125" s="439">
        <f t="shared" si="57"/>
        <v>-19038</v>
      </c>
      <c r="BV125" s="439">
        <f t="shared" si="58"/>
        <v>0</v>
      </c>
      <c r="BY125" s="862">
        <f t="shared" si="59"/>
        <v>771224.821</v>
      </c>
      <c r="BZ125" s="862">
        <f t="shared" si="60"/>
        <v>330524.92300000001</v>
      </c>
      <c r="CA125" s="862">
        <f t="shared" si="61"/>
        <v>92546.98</v>
      </c>
      <c r="CB125" s="862">
        <f t="shared" si="62"/>
        <v>9915.75</v>
      </c>
      <c r="CC125" s="863">
        <f t="shared" si="63"/>
        <v>863771.8</v>
      </c>
      <c r="CD125" s="863">
        <f t="shared" si="64"/>
        <v>340440.67</v>
      </c>
      <c r="CE125" s="864">
        <f t="shared" si="65"/>
        <v>1204212.47</v>
      </c>
      <c r="CF125" s="862">
        <f t="shared" si="66"/>
        <v>0</v>
      </c>
    </row>
    <row r="126" spans="1:84" s="429" customFormat="1" ht="13.9" customHeight="1" x14ac:dyDescent="0.25">
      <c r="A126" s="472"/>
      <c r="B126" s="436">
        <v>712</v>
      </c>
      <c r="C126" s="436" t="s">
        <v>406</v>
      </c>
      <c r="D126" s="436"/>
      <c r="E126" s="436" t="s">
        <v>366</v>
      </c>
      <c r="F126" s="429" t="s">
        <v>520</v>
      </c>
      <c r="G126" s="473">
        <v>45085</v>
      </c>
      <c r="H126" s="436" t="s">
        <v>128</v>
      </c>
      <c r="I126" s="472">
        <v>703500</v>
      </c>
      <c r="J126" s="472">
        <v>70400</v>
      </c>
      <c r="K126" s="507">
        <v>0</v>
      </c>
      <c r="L126" s="507">
        <v>0</v>
      </c>
      <c r="M126" s="507">
        <v>0</v>
      </c>
      <c r="N126" s="507">
        <v>6000</v>
      </c>
      <c r="O126" s="507">
        <v>2385</v>
      </c>
      <c r="P126" s="507">
        <v>2385</v>
      </c>
      <c r="Q126" s="507">
        <v>2385</v>
      </c>
      <c r="R126" s="507">
        <v>2385</v>
      </c>
      <c r="S126" s="507">
        <v>2385</v>
      </c>
      <c r="T126" s="507">
        <v>2385</v>
      </c>
      <c r="U126" s="507">
        <v>2385</v>
      </c>
      <c r="V126" s="507">
        <v>2385</v>
      </c>
      <c r="W126" s="507">
        <v>2385</v>
      </c>
      <c r="X126" s="507">
        <v>2385</v>
      </c>
      <c r="Y126" s="507">
        <v>2385</v>
      </c>
      <c r="Z126" s="507">
        <v>2385</v>
      </c>
      <c r="AA126" s="507">
        <v>2385</v>
      </c>
      <c r="AB126" s="507">
        <v>2385</v>
      </c>
      <c r="AC126" s="507">
        <v>2385</v>
      </c>
      <c r="AD126" s="507">
        <v>2385</v>
      </c>
      <c r="AE126" s="507">
        <v>2385</v>
      </c>
      <c r="AF126" s="507">
        <v>2385</v>
      </c>
      <c r="AG126" s="507">
        <v>2385</v>
      </c>
      <c r="AH126" s="507">
        <v>2385</v>
      </c>
      <c r="AI126" s="507">
        <v>2385</v>
      </c>
      <c r="AJ126" s="507">
        <v>2385</v>
      </c>
      <c r="AK126" s="508">
        <v>2385</v>
      </c>
      <c r="AL126" s="508">
        <v>2385</v>
      </c>
      <c r="AM126" s="509">
        <v>2385</v>
      </c>
      <c r="AN126" s="509">
        <v>2385</v>
      </c>
      <c r="AO126" s="509">
        <v>2390</v>
      </c>
      <c r="AP126" s="509">
        <v>0</v>
      </c>
      <c r="AQ126" s="509">
        <v>0</v>
      </c>
      <c r="AR126" s="509"/>
      <c r="AS126" s="509"/>
      <c r="AT126" s="510">
        <f t="shared" si="67"/>
        <v>70400</v>
      </c>
      <c r="AU126" s="512">
        <f t="shared" si="38"/>
        <v>1</v>
      </c>
      <c r="AV126" s="511">
        <f t="shared" si="39"/>
        <v>0</v>
      </c>
      <c r="AW126" s="558">
        <f t="shared" si="40"/>
        <v>0</v>
      </c>
      <c r="AX126" s="513">
        <f t="shared" si="41"/>
        <v>633100</v>
      </c>
      <c r="AY126" s="514">
        <f t="shared" si="42"/>
        <v>0.89992892679459846</v>
      </c>
      <c r="AZ126" s="513">
        <f t="shared" si="43"/>
        <v>70400</v>
      </c>
      <c r="BA126" s="515" t="str">
        <f t="shared" si="44"/>
        <v>Vendido</v>
      </c>
      <c r="BB126" s="516" t="str">
        <f t="shared" si="45"/>
        <v>Cliente Atrasado</v>
      </c>
      <c r="BC126" s="551">
        <v>27</v>
      </c>
      <c r="BD126" s="693">
        <f t="shared" si="46"/>
        <v>1</v>
      </c>
      <c r="BE126" s="693">
        <f t="shared" si="47"/>
        <v>28</v>
      </c>
      <c r="BF126" s="517">
        <v>6000</v>
      </c>
      <c r="BG126" s="517">
        <v>2385</v>
      </c>
      <c r="BH126" s="693">
        <f t="shared" si="48"/>
        <v>27</v>
      </c>
      <c r="BI126" s="693">
        <f t="shared" si="49"/>
        <v>31</v>
      </c>
      <c r="BJ126" s="655">
        <f t="shared" si="69"/>
        <v>79935</v>
      </c>
      <c r="BK126" s="518">
        <f t="shared" si="51"/>
        <v>62010</v>
      </c>
      <c r="BL126" s="518">
        <f t="shared" si="52"/>
        <v>8390</v>
      </c>
      <c r="BM126" s="518">
        <f t="shared" si="53"/>
        <v>0</v>
      </c>
      <c r="BN126" s="518">
        <f t="shared" si="54"/>
        <v>0</v>
      </c>
      <c r="BO126" s="655">
        <f t="shared" si="70"/>
        <v>9535</v>
      </c>
      <c r="BP126" s="693">
        <f t="shared" si="55"/>
        <v>4</v>
      </c>
      <c r="BQ126" s="696"/>
      <c r="BR126" s="519"/>
      <c r="BT126" s="439">
        <f t="shared" si="56"/>
        <v>-9535</v>
      </c>
      <c r="BU126" s="439">
        <f t="shared" si="57"/>
        <v>-9535</v>
      </c>
      <c r="BV126" s="439">
        <f t="shared" si="58"/>
        <v>0</v>
      </c>
      <c r="BY126" s="862">
        <f t="shared" si="59"/>
        <v>450548.94799999997</v>
      </c>
      <c r="BZ126" s="862">
        <f t="shared" si="60"/>
        <v>193092.40599999999</v>
      </c>
      <c r="CA126" s="862">
        <f t="shared" si="61"/>
        <v>54065.87</v>
      </c>
      <c r="CB126" s="862">
        <f t="shared" si="62"/>
        <v>5792.77</v>
      </c>
      <c r="CC126" s="863">
        <f t="shared" si="63"/>
        <v>504614.82</v>
      </c>
      <c r="CD126" s="863">
        <f t="shared" si="64"/>
        <v>198885.18</v>
      </c>
      <c r="CE126" s="864">
        <f t="shared" si="65"/>
        <v>703500</v>
      </c>
      <c r="CF126" s="862">
        <f t="shared" si="66"/>
        <v>0</v>
      </c>
    </row>
    <row r="127" spans="1:84" s="429" customFormat="1" ht="13.9" customHeight="1" x14ac:dyDescent="0.25">
      <c r="A127" s="472"/>
      <c r="B127" s="436">
        <v>713</v>
      </c>
      <c r="C127" s="436" t="s">
        <v>181</v>
      </c>
      <c r="D127" s="642" t="s">
        <v>336</v>
      </c>
      <c r="E127" s="436" t="s">
        <v>366</v>
      </c>
      <c r="F127" s="429" t="s">
        <v>521</v>
      </c>
      <c r="G127" s="473">
        <v>45087</v>
      </c>
      <c r="H127" s="436" t="s">
        <v>128</v>
      </c>
      <c r="I127" s="472">
        <v>687500</v>
      </c>
      <c r="J127" s="472">
        <v>68800</v>
      </c>
      <c r="K127" s="507">
        <v>0</v>
      </c>
      <c r="L127" s="507">
        <v>0</v>
      </c>
      <c r="M127" s="507">
        <v>0</v>
      </c>
      <c r="N127" s="507">
        <v>6000</v>
      </c>
      <c r="O127" s="507">
        <v>2326</v>
      </c>
      <c r="P127" s="507">
        <v>2326</v>
      </c>
      <c r="Q127" s="507">
        <v>2326</v>
      </c>
      <c r="R127" s="507">
        <v>2326</v>
      </c>
      <c r="S127" s="507">
        <v>2326</v>
      </c>
      <c r="T127" s="507">
        <v>2326</v>
      </c>
      <c r="U127" s="507">
        <v>2326</v>
      </c>
      <c r="V127" s="507">
        <v>1163</v>
      </c>
      <c r="W127" s="507">
        <v>3488</v>
      </c>
      <c r="X127" s="507">
        <v>0</v>
      </c>
      <c r="Y127" s="507">
        <v>2324</v>
      </c>
      <c r="Z127" s="507">
        <v>2324</v>
      </c>
      <c r="AA127" s="507">
        <v>2324</v>
      </c>
      <c r="AB127" s="507">
        <v>2324</v>
      </c>
      <c r="AC127" s="507">
        <v>2324</v>
      </c>
      <c r="AD127" s="507">
        <v>2324</v>
      </c>
      <c r="AE127" s="507">
        <v>0</v>
      </c>
      <c r="AF127" s="507">
        <v>3424</v>
      </c>
      <c r="AG127" s="507">
        <v>2324</v>
      </c>
      <c r="AH127" s="507">
        <v>0</v>
      </c>
      <c r="AI127" s="507">
        <v>2334</v>
      </c>
      <c r="AJ127" s="507">
        <v>2324</v>
      </c>
      <c r="AK127" s="508">
        <v>2502.4299999999998</v>
      </c>
      <c r="AL127" s="508">
        <v>2502.4299999999998</v>
      </c>
      <c r="AM127" s="509">
        <v>2502.4299999999998</v>
      </c>
      <c r="AN127" s="509">
        <v>2502.4299999999998</v>
      </c>
      <c r="AO127" s="509">
        <v>2502.4299999999998</v>
      </c>
      <c r="AP127" s="509">
        <v>0</v>
      </c>
      <c r="AQ127" s="509">
        <v>0</v>
      </c>
      <c r="AR127" s="509"/>
      <c r="AS127" s="509"/>
      <c r="AT127" s="510">
        <f t="shared" si="67"/>
        <v>63795.15</v>
      </c>
      <c r="AU127" s="512">
        <f t="shared" si="38"/>
        <v>0.92725508720930239</v>
      </c>
      <c r="AV127" s="511">
        <f t="shared" si="39"/>
        <v>-5004.8499999999985</v>
      </c>
      <c r="AW127" s="558">
        <f t="shared" si="40"/>
        <v>-7.2744912790697655E-2</v>
      </c>
      <c r="AX127" s="513">
        <f t="shared" si="41"/>
        <v>623704.85</v>
      </c>
      <c r="AY127" s="514">
        <f t="shared" si="42"/>
        <v>0.90720705454545447</v>
      </c>
      <c r="AZ127" s="513">
        <f t="shared" si="43"/>
        <v>68800</v>
      </c>
      <c r="BA127" s="515" t="str">
        <f t="shared" si="44"/>
        <v>Vendido</v>
      </c>
      <c r="BB127" s="516" t="str">
        <f t="shared" si="45"/>
        <v>Cliente al día</v>
      </c>
      <c r="BC127" s="551">
        <v>34</v>
      </c>
      <c r="BD127" s="693">
        <f t="shared" si="46"/>
        <v>1</v>
      </c>
      <c r="BE127" s="693">
        <f t="shared" si="47"/>
        <v>35</v>
      </c>
      <c r="BF127" s="644">
        <v>6000</v>
      </c>
      <c r="BG127" s="644">
        <v>2326</v>
      </c>
      <c r="BH127" s="693">
        <f t="shared" si="48"/>
        <v>24</v>
      </c>
      <c r="BI127" s="693">
        <f t="shared" si="49"/>
        <v>31</v>
      </c>
      <c r="BJ127" s="528">
        <f>+AT127</f>
        <v>63795.15</v>
      </c>
      <c r="BK127" s="518">
        <f t="shared" si="51"/>
        <v>36037</v>
      </c>
      <c r="BL127" s="518">
        <f t="shared" si="52"/>
        <v>27758.15</v>
      </c>
      <c r="BM127" s="518">
        <f t="shared" si="53"/>
        <v>0</v>
      </c>
      <c r="BN127" s="518">
        <f t="shared" si="54"/>
        <v>0</v>
      </c>
      <c r="BO127" s="655">
        <f t="shared" si="70"/>
        <v>0</v>
      </c>
      <c r="BP127" s="693">
        <f t="shared" si="55"/>
        <v>0</v>
      </c>
      <c r="BQ127" s="696" t="s">
        <v>388</v>
      </c>
      <c r="BR127" s="519" t="s">
        <v>443</v>
      </c>
      <c r="BT127" s="439">
        <f t="shared" si="56"/>
        <v>0</v>
      </c>
      <c r="BU127" s="439">
        <f t="shared" si="57"/>
        <v>0</v>
      </c>
      <c r="BV127" s="439">
        <f t="shared" si="58"/>
        <v>0</v>
      </c>
      <c r="BY127" s="862">
        <f t="shared" si="59"/>
        <v>440301.92099999997</v>
      </c>
      <c r="BZ127" s="862">
        <f t="shared" si="60"/>
        <v>188700.823</v>
      </c>
      <c r="CA127" s="862">
        <f t="shared" si="61"/>
        <v>52836.23</v>
      </c>
      <c r="CB127" s="862">
        <f t="shared" si="62"/>
        <v>5661.02</v>
      </c>
      <c r="CC127" s="863">
        <f t="shared" si="63"/>
        <v>493138.15</v>
      </c>
      <c r="CD127" s="863">
        <f t="shared" si="64"/>
        <v>194361.84</v>
      </c>
      <c r="CE127" s="864">
        <f t="shared" si="65"/>
        <v>687499.99</v>
      </c>
      <c r="CF127" s="862">
        <f t="shared" si="66"/>
        <v>-1.0000000009313226E-2</v>
      </c>
    </row>
    <row r="128" spans="1:84" s="429" customFormat="1" ht="13.9" customHeight="1" x14ac:dyDescent="0.25">
      <c r="A128" s="472"/>
      <c r="B128" s="436">
        <v>714</v>
      </c>
      <c r="C128" s="436" t="s">
        <v>476</v>
      </c>
      <c r="D128" s="436"/>
      <c r="E128" s="436" t="s">
        <v>366</v>
      </c>
      <c r="F128" s="429" t="s">
        <v>522</v>
      </c>
      <c r="G128" s="473">
        <v>45393</v>
      </c>
      <c r="H128" s="436" t="s">
        <v>128</v>
      </c>
      <c r="I128" s="472">
        <v>1438008</v>
      </c>
      <c r="J128" s="472">
        <v>143808</v>
      </c>
      <c r="K128" s="507">
        <v>0</v>
      </c>
      <c r="L128" s="507">
        <v>0</v>
      </c>
      <c r="M128" s="507">
        <v>0</v>
      </c>
      <c r="N128" s="507">
        <v>0</v>
      </c>
      <c r="O128" s="507">
        <v>0</v>
      </c>
      <c r="P128" s="507">
        <v>0</v>
      </c>
      <c r="Q128" s="507">
        <v>0</v>
      </c>
      <c r="R128" s="507">
        <v>0</v>
      </c>
      <c r="S128" s="507">
        <v>0</v>
      </c>
      <c r="T128" s="507">
        <v>0</v>
      </c>
      <c r="U128" s="507">
        <v>0</v>
      </c>
      <c r="V128" s="507">
        <v>0</v>
      </c>
      <c r="W128" s="507">
        <v>0</v>
      </c>
      <c r="X128" s="507">
        <v>8000</v>
      </c>
      <c r="Y128" s="507">
        <v>10000</v>
      </c>
      <c r="Z128" s="507">
        <v>10000</v>
      </c>
      <c r="AA128" s="507">
        <v>10000</v>
      </c>
      <c r="AB128" s="507">
        <v>10000</v>
      </c>
      <c r="AC128" s="507">
        <v>10000</v>
      </c>
      <c r="AD128" s="507">
        <v>10000</v>
      </c>
      <c r="AE128" s="507">
        <f>10000+10000</f>
        <v>20000</v>
      </c>
      <c r="AF128" s="507">
        <v>0</v>
      </c>
      <c r="AG128" s="507">
        <v>10000</v>
      </c>
      <c r="AH128" s="507">
        <v>10000</v>
      </c>
      <c r="AI128" s="507">
        <f>10000+15000</f>
        <v>25000</v>
      </c>
      <c r="AJ128" s="507">
        <v>0</v>
      </c>
      <c r="AK128" s="508">
        <f>15000+15000</f>
        <v>30000</v>
      </c>
      <c r="AL128" s="508"/>
      <c r="AM128" s="509">
        <f>20000+6500</f>
        <v>26500</v>
      </c>
      <c r="AN128" s="509">
        <v>20000</v>
      </c>
      <c r="AO128" s="509">
        <v>20000</v>
      </c>
      <c r="AP128" s="509">
        <v>20000</v>
      </c>
      <c r="AQ128" s="509">
        <v>40000</v>
      </c>
      <c r="AR128" s="509">
        <v>20000</v>
      </c>
      <c r="AS128" s="509">
        <v>2000</v>
      </c>
      <c r="AT128" s="510">
        <f t="shared" si="67"/>
        <v>311500</v>
      </c>
      <c r="AU128" s="512">
        <f t="shared" si="38"/>
        <v>2.1660825545171338</v>
      </c>
      <c r="AV128" s="511">
        <f t="shared" si="39"/>
        <v>167692</v>
      </c>
      <c r="AW128" s="558">
        <f t="shared" si="40"/>
        <v>1.1660825545171341</v>
      </c>
      <c r="AX128" s="513">
        <f t="shared" si="41"/>
        <v>1126508</v>
      </c>
      <c r="AY128" s="514">
        <f t="shared" si="42"/>
        <v>0.78338089913268916</v>
      </c>
      <c r="AZ128" s="513">
        <f t="shared" si="43"/>
        <v>143808</v>
      </c>
      <c r="BA128" s="515" t="str">
        <f t="shared" si="44"/>
        <v>Vendido</v>
      </c>
      <c r="BB128" s="516" t="str">
        <f t="shared" si="45"/>
        <v>Superávit de Enganche</v>
      </c>
      <c r="BC128" s="551">
        <v>17</v>
      </c>
      <c r="BD128" s="693">
        <f t="shared" si="46"/>
        <v>1</v>
      </c>
      <c r="BE128" s="693">
        <f t="shared" si="47"/>
        <v>18</v>
      </c>
      <c r="BF128" s="517">
        <v>8000</v>
      </c>
      <c r="BG128" s="517">
        <v>7989</v>
      </c>
      <c r="BH128" s="693">
        <f t="shared" si="48"/>
        <v>1</v>
      </c>
      <c r="BI128" s="693">
        <f t="shared" si="49"/>
        <v>21</v>
      </c>
      <c r="BJ128" s="655">
        <f t="shared" ref="BJ128:BJ143" si="71">(BI128*BG128)+BF128</f>
        <v>175769</v>
      </c>
      <c r="BK128" s="518">
        <f t="shared" si="51"/>
        <v>2000</v>
      </c>
      <c r="BL128" s="518">
        <f t="shared" si="52"/>
        <v>309500</v>
      </c>
      <c r="BM128" s="518">
        <f t="shared" si="53"/>
        <v>0</v>
      </c>
      <c r="BN128" s="518">
        <f t="shared" si="54"/>
        <v>135731</v>
      </c>
      <c r="BO128" s="655">
        <f t="shared" si="70"/>
        <v>0</v>
      </c>
      <c r="BP128" s="693">
        <f t="shared" si="55"/>
        <v>0</v>
      </c>
      <c r="BQ128" s="696"/>
      <c r="BR128" s="519"/>
      <c r="BT128" s="439">
        <f t="shared" si="56"/>
        <v>135731</v>
      </c>
      <c r="BU128" s="439">
        <f t="shared" si="57"/>
        <v>135731</v>
      </c>
      <c r="BV128" s="439">
        <f t="shared" si="58"/>
        <v>0</v>
      </c>
      <c r="BY128" s="862">
        <f t="shared" si="59"/>
        <v>920956.63300000003</v>
      </c>
      <c r="BZ128" s="862">
        <f t="shared" si="60"/>
        <v>394695.7</v>
      </c>
      <c r="CA128" s="862">
        <f t="shared" si="61"/>
        <v>110514.8</v>
      </c>
      <c r="CB128" s="862">
        <f t="shared" si="62"/>
        <v>11840.87</v>
      </c>
      <c r="CC128" s="863">
        <f t="shared" si="63"/>
        <v>1031471.43</v>
      </c>
      <c r="CD128" s="863">
        <f t="shared" si="64"/>
        <v>406536.57</v>
      </c>
      <c r="CE128" s="864">
        <f t="shared" si="65"/>
        <v>1438008</v>
      </c>
      <c r="CF128" s="862">
        <f t="shared" si="66"/>
        <v>0</v>
      </c>
    </row>
    <row r="129" spans="1:84" s="429" customFormat="1" ht="13.9" customHeight="1" x14ac:dyDescent="0.25">
      <c r="A129" s="472"/>
      <c r="B129" s="436">
        <v>715</v>
      </c>
      <c r="C129" s="436" t="s">
        <v>189</v>
      </c>
      <c r="D129" s="436"/>
      <c r="E129" s="436" t="s">
        <v>383</v>
      </c>
      <c r="F129" s="429" t="s">
        <v>523</v>
      </c>
      <c r="G129" s="473">
        <v>44995</v>
      </c>
      <c r="H129" s="436" t="s">
        <v>128</v>
      </c>
      <c r="I129" s="472">
        <v>617600</v>
      </c>
      <c r="J129" s="472">
        <v>62000</v>
      </c>
      <c r="K129" s="507">
        <v>6000</v>
      </c>
      <c r="L129" s="507">
        <v>1600</v>
      </c>
      <c r="M129" s="507">
        <v>1600</v>
      </c>
      <c r="N129" s="507">
        <v>1600</v>
      </c>
      <c r="O129" s="507">
        <v>1600</v>
      </c>
      <c r="P129" s="507">
        <v>0</v>
      </c>
      <c r="Q129" s="507">
        <v>1600</v>
      </c>
      <c r="R129" s="507">
        <v>3200</v>
      </c>
      <c r="S129" s="507">
        <v>1600</v>
      </c>
      <c r="T129" s="507">
        <v>1600</v>
      </c>
      <c r="U129" s="507">
        <v>1600</v>
      </c>
      <c r="V129" s="507">
        <v>1600</v>
      </c>
      <c r="W129" s="507">
        <v>1600</v>
      </c>
      <c r="X129" s="507">
        <v>1600</v>
      </c>
      <c r="Y129" s="507">
        <v>1600</v>
      </c>
      <c r="Z129" s="507">
        <v>1600</v>
      </c>
      <c r="AA129" s="507">
        <v>1600</v>
      </c>
      <c r="AB129" s="507">
        <v>1600</v>
      </c>
      <c r="AC129" s="507">
        <v>1600</v>
      </c>
      <c r="AD129" s="507">
        <v>1600</v>
      </c>
      <c r="AE129" s="507">
        <v>1600</v>
      </c>
      <c r="AF129" s="507">
        <v>1600</v>
      </c>
      <c r="AG129" s="507">
        <v>0</v>
      </c>
      <c r="AH129" s="507">
        <v>3200</v>
      </c>
      <c r="AI129" s="507">
        <v>1600</v>
      </c>
      <c r="AJ129" s="507">
        <v>1600</v>
      </c>
      <c r="AK129" s="508">
        <v>1600</v>
      </c>
      <c r="AL129" s="508">
        <v>1600</v>
      </c>
      <c r="AM129" s="509">
        <v>1600</v>
      </c>
      <c r="AN129" s="509">
        <v>1600</v>
      </c>
      <c r="AO129" s="509">
        <v>1600</v>
      </c>
      <c r="AP129" s="509">
        <v>0</v>
      </c>
      <c r="AQ129" s="509">
        <v>1600</v>
      </c>
      <c r="AR129" s="509"/>
      <c r="AS129" s="509"/>
      <c r="AT129" s="510">
        <f t="shared" si="67"/>
        <v>55600</v>
      </c>
      <c r="AU129" s="512">
        <f t="shared" si="38"/>
        <v>0.89677419354838706</v>
      </c>
      <c r="AV129" s="511">
        <f t="shared" si="39"/>
        <v>-6400</v>
      </c>
      <c r="AW129" s="558">
        <f t="shared" si="40"/>
        <v>-0.1032258064516129</v>
      </c>
      <c r="AX129" s="513">
        <f t="shared" si="41"/>
        <v>562000</v>
      </c>
      <c r="AY129" s="514">
        <f t="shared" si="42"/>
        <v>0.90997409326424872</v>
      </c>
      <c r="AZ129" s="513">
        <f t="shared" si="43"/>
        <v>62000</v>
      </c>
      <c r="BA129" s="515" t="str">
        <f t="shared" si="44"/>
        <v>Vendido</v>
      </c>
      <c r="BB129" s="516" t="str">
        <f t="shared" si="45"/>
        <v>Cliente Atrasado</v>
      </c>
      <c r="BC129" s="551">
        <v>35</v>
      </c>
      <c r="BD129" s="693">
        <f t="shared" si="46"/>
        <v>1</v>
      </c>
      <c r="BE129" s="693">
        <f t="shared" si="47"/>
        <v>36</v>
      </c>
      <c r="BF129" s="517">
        <v>6000</v>
      </c>
      <c r="BG129" s="517">
        <v>1600</v>
      </c>
      <c r="BH129" s="693">
        <f t="shared" si="48"/>
        <v>29</v>
      </c>
      <c r="BI129" s="693">
        <f t="shared" si="49"/>
        <v>34</v>
      </c>
      <c r="BJ129" s="655">
        <f t="shared" si="71"/>
        <v>60400</v>
      </c>
      <c r="BK129" s="518">
        <f t="shared" si="51"/>
        <v>43200</v>
      </c>
      <c r="BL129" s="518">
        <f t="shared" si="52"/>
        <v>12400</v>
      </c>
      <c r="BM129" s="518">
        <f t="shared" si="53"/>
        <v>0</v>
      </c>
      <c r="BN129" s="518">
        <f t="shared" si="54"/>
        <v>0</v>
      </c>
      <c r="BO129" s="655">
        <f t="shared" si="70"/>
        <v>4800</v>
      </c>
      <c r="BP129" s="693">
        <f t="shared" si="55"/>
        <v>3</v>
      </c>
      <c r="BQ129" s="696"/>
      <c r="BR129" s="519"/>
      <c r="BT129" s="439">
        <f t="shared" si="56"/>
        <v>-4800</v>
      </c>
      <c r="BU129" s="439">
        <f t="shared" si="57"/>
        <v>-4800</v>
      </c>
      <c r="BV129" s="439">
        <f t="shared" si="58"/>
        <v>0</v>
      </c>
      <c r="BY129" s="862">
        <f t="shared" si="59"/>
        <v>395535.22399999999</v>
      </c>
      <c r="BZ129" s="862">
        <f t="shared" si="60"/>
        <v>169515.09599999999</v>
      </c>
      <c r="CA129" s="862">
        <f t="shared" si="61"/>
        <v>47464.23</v>
      </c>
      <c r="CB129" s="862">
        <f t="shared" si="62"/>
        <v>5085.45</v>
      </c>
      <c r="CC129" s="863">
        <f t="shared" si="63"/>
        <v>442999.45</v>
      </c>
      <c r="CD129" s="863">
        <f t="shared" si="64"/>
        <v>174600.55</v>
      </c>
      <c r="CE129" s="864">
        <f t="shared" si="65"/>
        <v>617600</v>
      </c>
      <c r="CF129" s="862">
        <f t="shared" si="66"/>
        <v>0</v>
      </c>
    </row>
    <row r="130" spans="1:84" s="429" customFormat="1" ht="13.9" customHeight="1" x14ac:dyDescent="0.25">
      <c r="A130" s="472"/>
      <c r="B130" s="436">
        <v>716</v>
      </c>
      <c r="C130" s="436" t="s">
        <v>400</v>
      </c>
      <c r="D130" s="436"/>
      <c r="E130" s="436" t="s">
        <v>366</v>
      </c>
      <c r="F130" s="429" t="s">
        <v>524</v>
      </c>
      <c r="G130" s="473">
        <v>45306</v>
      </c>
      <c r="H130" s="436" t="s">
        <v>128</v>
      </c>
      <c r="I130" s="472">
        <v>901400</v>
      </c>
      <c r="J130" s="472">
        <v>90200</v>
      </c>
      <c r="K130" s="507">
        <v>0</v>
      </c>
      <c r="L130" s="507">
        <v>0</v>
      </c>
      <c r="M130" s="507">
        <v>0</v>
      </c>
      <c r="N130" s="507">
        <v>0</v>
      </c>
      <c r="O130" s="507">
        <v>0</v>
      </c>
      <c r="P130" s="507">
        <v>0</v>
      </c>
      <c r="Q130" s="507">
        <v>0</v>
      </c>
      <c r="R130" s="507">
        <v>0</v>
      </c>
      <c r="S130" s="507">
        <v>0</v>
      </c>
      <c r="T130" s="507">
        <v>0</v>
      </c>
      <c r="U130" s="507">
        <v>8000</v>
      </c>
      <c r="V130" s="507">
        <v>4110</v>
      </c>
      <c r="W130" s="507">
        <v>4110</v>
      </c>
      <c r="X130" s="507">
        <v>4110</v>
      </c>
      <c r="Y130" s="507">
        <v>4110</v>
      </c>
      <c r="Z130" s="507">
        <v>4110</v>
      </c>
      <c r="AA130" s="507">
        <v>4100</v>
      </c>
      <c r="AB130" s="507">
        <v>4100</v>
      </c>
      <c r="AC130" s="507">
        <v>4100</v>
      </c>
      <c r="AD130" s="507">
        <v>4100</v>
      </c>
      <c r="AE130" s="507">
        <v>4100</v>
      </c>
      <c r="AF130" s="507">
        <v>0</v>
      </c>
      <c r="AG130" s="507">
        <v>4100</v>
      </c>
      <c r="AH130" s="507">
        <v>4100</v>
      </c>
      <c r="AI130" s="507">
        <f>4100+4100</f>
        <v>8200</v>
      </c>
      <c r="AJ130" s="507">
        <v>4100</v>
      </c>
      <c r="AK130" s="509">
        <v>4100</v>
      </c>
      <c r="AL130" s="509"/>
      <c r="AM130" s="509"/>
      <c r="AN130" s="509">
        <v>0</v>
      </c>
      <c r="AO130" s="509">
        <v>16550</v>
      </c>
      <c r="AP130" s="509">
        <v>0</v>
      </c>
      <c r="AQ130" s="509">
        <v>0</v>
      </c>
      <c r="AR130" s="509"/>
      <c r="AS130" s="509"/>
      <c r="AT130" s="510">
        <f t="shared" si="67"/>
        <v>90200</v>
      </c>
      <c r="AU130" s="512">
        <f t="shared" si="38"/>
        <v>1</v>
      </c>
      <c r="AV130" s="511">
        <f t="shared" si="39"/>
        <v>0</v>
      </c>
      <c r="AW130" s="558">
        <f t="shared" si="40"/>
        <v>0</v>
      </c>
      <c r="AX130" s="513">
        <f t="shared" si="41"/>
        <v>811200</v>
      </c>
      <c r="AY130" s="514">
        <f t="shared" si="42"/>
        <v>0.89993343687597072</v>
      </c>
      <c r="AZ130" s="513">
        <f t="shared" si="43"/>
        <v>90200</v>
      </c>
      <c r="BA130" s="515" t="str">
        <f t="shared" si="44"/>
        <v>Vendido</v>
      </c>
      <c r="BB130" s="516" t="str">
        <f t="shared" si="45"/>
        <v>Cliente Atrasado</v>
      </c>
      <c r="BC130" s="551">
        <v>20</v>
      </c>
      <c r="BD130" s="693">
        <f t="shared" si="46"/>
        <v>1</v>
      </c>
      <c r="BE130" s="693">
        <f t="shared" si="47"/>
        <v>21</v>
      </c>
      <c r="BF130" s="517">
        <v>8000</v>
      </c>
      <c r="BG130" s="517">
        <v>4110</v>
      </c>
      <c r="BH130" s="693">
        <f t="shared" si="48"/>
        <v>14</v>
      </c>
      <c r="BI130" s="693">
        <f t="shared" si="49"/>
        <v>24</v>
      </c>
      <c r="BJ130" s="655">
        <f t="shared" si="71"/>
        <v>106640</v>
      </c>
      <c r="BK130" s="518">
        <f t="shared" si="51"/>
        <v>57450</v>
      </c>
      <c r="BL130" s="518">
        <f t="shared" si="52"/>
        <v>32750</v>
      </c>
      <c r="BM130" s="518">
        <f t="shared" si="53"/>
        <v>0</v>
      </c>
      <c r="BN130" s="518">
        <f t="shared" si="54"/>
        <v>0</v>
      </c>
      <c r="BO130" s="655">
        <f t="shared" si="70"/>
        <v>16440</v>
      </c>
      <c r="BP130" s="693">
        <f t="shared" si="55"/>
        <v>4</v>
      </c>
      <c r="BQ130" s="696"/>
      <c r="BR130" s="519"/>
      <c r="BT130" s="439">
        <f t="shared" si="56"/>
        <v>-16440</v>
      </c>
      <c r="BU130" s="439">
        <f t="shared" si="57"/>
        <v>-16440</v>
      </c>
      <c r="BV130" s="439">
        <f t="shared" si="58"/>
        <v>0</v>
      </c>
      <c r="BY130" s="862">
        <f t="shared" si="59"/>
        <v>577291.85699999996</v>
      </c>
      <c r="BZ130" s="862">
        <f t="shared" si="60"/>
        <v>247410.796</v>
      </c>
      <c r="CA130" s="862">
        <f t="shared" si="61"/>
        <v>69275.02</v>
      </c>
      <c r="CB130" s="862">
        <f t="shared" si="62"/>
        <v>7422.32</v>
      </c>
      <c r="CC130" s="863">
        <f t="shared" si="63"/>
        <v>646566.88</v>
      </c>
      <c r="CD130" s="863">
        <f t="shared" si="64"/>
        <v>254833.12</v>
      </c>
      <c r="CE130" s="864">
        <f t="shared" si="65"/>
        <v>901400</v>
      </c>
      <c r="CF130" s="862">
        <f t="shared" si="66"/>
        <v>0</v>
      </c>
    </row>
    <row r="131" spans="1:84" s="429" customFormat="1" ht="13.9" customHeight="1" x14ac:dyDescent="0.25">
      <c r="A131" s="472"/>
      <c r="B131" s="436">
        <v>717</v>
      </c>
      <c r="C131" s="436" t="s">
        <v>175</v>
      </c>
      <c r="D131" s="436"/>
      <c r="E131" s="436" t="s">
        <v>366</v>
      </c>
      <c r="F131" s="429" t="s">
        <v>480</v>
      </c>
      <c r="G131" s="473">
        <v>45412</v>
      </c>
      <c r="H131" s="436" t="s">
        <v>128</v>
      </c>
      <c r="I131" s="472">
        <v>887400</v>
      </c>
      <c r="J131" s="472">
        <v>88800</v>
      </c>
      <c r="K131" s="507">
        <v>0</v>
      </c>
      <c r="L131" s="507">
        <v>0</v>
      </c>
      <c r="M131" s="507">
        <v>0</v>
      </c>
      <c r="N131" s="507">
        <v>0</v>
      </c>
      <c r="O131" s="507">
        <v>0</v>
      </c>
      <c r="P131" s="507">
        <v>0</v>
      </c>
      <c r="Q131" s="507">
        <v>0</v>
      </c>
      <c r="R131" s="507">
        <v>0</v>
      </c>
      <c r="S131" s="507">
        <v>0</v>
      </c>
      <c r="T131" s="507">
        <v>0</v>
      </c>
      <c r="U131" s="507">
        <v>0</v>
      </c>
      <c r="V131" s="507">
        <v>0</v>
      </c>
      <c r="W131" s="507">
        <v>0</v>
      </c>
      <c r="X131" s="507">
        <v>8000</v>
      </c>
      <c r="Y131" s="507">
        <v>0</v>
      </c>
      <c r="Z131" s="507">
        <v>0</v>
      </c>
      <c r="AA131" s="507">
        <v>4040</v>
      </c>
      <c r="AB131" s="507">
        <v>4040</v>
      </c>
      <c r="AC131" s="507">
        <v>4040</v>
      </c>
      <c r="AD131" s="507">
        <v>4040</v>
      </c>
      <c r="AE131" s="507">
        <v>4040</v>
      </c>
      <c r="AF131" s="507">
        <v>4040</v>
      </c>
      <c r="AG131" s="507">
        <v>4040</v>
      </c>
      <c r="AH131" s="507">
        <v>4040</v>
      </c>
      <c r="AI131" s="507">
        <v>4040</v>
      </c>
      <c r="AJ131" s="507">
        <v>4040</v>
      </c>
      <c r="AK131" s="508">
        <v>4040</v>
      </c>
      <c r="AL131" s="508">
        <v>4040</v>
      </c>
      <c r="AM131" s="509">
        <v>4040</v>
      </c>
      <c r="AN131" s="509">
        <v>4040</v>
      </c>
      <c r="AO131" s="509">
        <v>4040</v>
      </c>
      <c r="AP131" s="509">
        <v>4040</v>
      </c>
      <c r="AQ131" s="509">
        <v>25000</v>
      </c>
      <c r="AR131" s="509">
        <f>5000+23320</f>
        <v>28320</v>
      </c>
      <c r="AS131" s="509"/>
      <c r="AT131" s="510">
        <f t="shared" si="67"/>
        <v>125960</v>
      </c>
      <c r="AU131" s="512">
        <f t="shared" si="38"/>
        <v>1.4184684684684685</v>
      </c>
      <c r="AV131" s="511">
        <f t="shared" si="39"/>
        <v>37160</v>
      </c>
      <c r="AW131" s="558">
        <f t="shared" si="40"/>
        <v>0.41846846846846847</v>
      </c>
      <c r="AX131" s="513">
        <f t="shared" si="41"/>
        <v>761440</v>
      </c>
      <c r="AY131" s="514">
        <f t="shared" si="42"/>
        <v>0.8580572458868605</v>
      </c>
      <c r="AZ131" s="513">
        <f t="shared" si="43"/>
        <v>88800</v>
      </c>
      <c r="BA131" s="515" t="str">
        <f t="shared" si="44"/>
        <v>Vendido</v>
      </c>
      <c r="BB131" s="516" t="str">
        <f t="shared" si="45"/>
        <v>Superávit de Enganche</v>
      </c>
      <c r="BC131" s="551">
        <v>20</v>
      </c>
      <c r="BD131" s="693">
        <f t="shared" si="46"/>
        <v>1</v>
      </c>
      <c r="BE131" s="693">
        <f t="shared" si="47"/>
        <v>21</v>
      </c>
      <c r="BF131" s="517">
        <v>8000</v>
      </c>
      <c r="BG131" s="517">
        <v>4040</v>
      </c>
      <c r="BH131" s="693">
        <f t="shared" si="48"/>
        <v>16</v>
      </c>
      <c r="BI131" s="693">
        <f t="shared" si="49"/>
        <v>20</v>
      </c>
      <c r="BJ131" s="655">
        <f t="shared" si="71"/>
        <v>88800</v>
      </c>
      <c r="BK131" s="518">
        <f t="shared" si="51"/>
        <v>64640</v>
      </c>
      <c r="BL131" s="518">
        <f t="shared" si="52"/>
        <v>61320</v>
      </c>
      <c r="BM131" s="518">
        <f t="shared" si="53"/>
        <v>0</v>
      </c>
      <c r="BN131" s="518">
        <f t="shared" si="54"/>
        <v>37160</v>
      </c>
      <c r="BO131" s="655">
        <f t="shared" si="70"/>
        <v>0</v>
      </c>
      <c r="BP131" s="693">
        <f t="shared" si="55"/>
        <v>0</v>
      </c>
      <c r="BQ131" s="696"/>
      <c r="BR131" s="519" t="s">
        <v>525</v>
      </c>
      <c r="BT131" s="439">
        <f t="shared" si="56"/>
        <v>37160</v>
      </c>
      <c r="BU131" s="439">
        <f t="shared" si="57"/>
        <v>37160</v>
      </c>
      <c r="BV131" s="439">
        <f t="shared" si="58"/>
        <v>0</v>
      </c>
      <c r="BY131" s="862">
        <f t="shared" si="59"/>
        <v>568325.70900000003</v>
      </c>
      <c r="BZ131" s="862">
        <f t="shared" si="60"/>
        <v>243568.16099999999</v>
      </c>
      <c r="CA131" s="862">
        <f t="shared" si="61"/>
        <v>68199.09</v>
      </c>
      <c r="CB131" s="862">
        <f t="shared" si="62"/>
        <v>7307.04</v>
      </c>
      <c r="CC131" s="863">
        <f t="shared" si="63"/>
        <v>636524.80000000005</v>
      </c>
      <c r="CD131" s="863">
        <f t="shared" si="64"/>
        <v>250875.2</v>
      </c>
      <c r="CE131" s="864">
        <f t="shared" si="65"/>
        <v>887400</v>
      </c>
      <c r="CF131" s="862">
        <f t="shared" si="66"/>
        <v>0</v>
      </c>
    </row>
    <row r="132" spans="1:84" s="429" customFormat="1" ht="13.9" customHeight="1" x14ac:dyDescent="0.25">
      <c r="A132" s="472"/>
      <c r="B132" s="436">
        <v>718</v>
      </c>
      <c r="C132" s="436" t="s">
        <v>456</v>
      </c>
      <c r="D132" s="436"/>
      <c r="E132" s="436" t="s">
        <v>526</v>
      </c>
      <c r="F132" s="429" t="s">
        <v>527</v>
      </c>
      <c r="G132" s="473">
        <v>45902</v>
      </c>
      <c r="H132" s="436" t="s">
        <v>128</v>
      </c>
      <c r="I132" s="472">
        <v>1667800</v>
      </c>
      <c r="J132" s="472">
        <v>116800</v>
      </c>
      <c r="K132" s="507">
        <v>0</v>
      </c>
      <c r="L132" s="507">
        <v>0</v>
      </c>
      <c r="M132" s="507">
        <v>0</v>
      </c>
      <c r="N132" s="507">
        <v>0</v>
      </c>
      <c r="O132" s="507">
        <v>0</v>
      </c>
      <c r="P132" s="507">
        <v>0</v>
      </c>
      <c r="Q132" s="507">
        <v>0</v>
      </c>
      <c r="R132" s="507">
        <v>0</v>
      </c>
      <c r="S132" s="507">
        <v>0</v>
      </c>
      <c r="T132" s="507">
        <v>0</v>
      </c>
      <c r="U132" s="507">
        <v>0</v>
      </c>
      <c r="V132" s="507">
        <v>0</v>
      </c>
      <c r="W132" s="507">
        <v>0</v>
      </c>
      <c r="X132" s="507">
        <v>0</v>
      </c>
      <c r="Y132" s="507">
        <v>0</v>
      </c>
      <c r="Z132" s="507">
        <v>0</v>
      </c>
      <c r="AA132" s="507">
        <v>0</v>
      </c>
      <c r="AB132" s="507">
        <v>0</v>
      </c>
      <c r="AC132" s="507">
        <v>0</v>
      </c>
      <c r="AD132" s="507">
        <v>0</v>
      </c>
      <c r="AE132" s="507">
        <v>0</v>
      </c>
      <c r="AF132" s="507">
        <v>0</v>
      </c>
      <c r="AG132" s="507">
        <v>0</v>
      </c>
      <c r="AH132" s="507">
        <v>0</v>
      </c>
      <c r="AI132" s="507">
        <v>0</v>
      </c>
      <c r="AJ132" s="507">
        <v>0</v>
      </c>
      <c r="AK132" s="508"/>
      <c r="AL132" s="508"/>
      <c r="AM132" s="508"/>
      <c r="AN132" s="509">
        <v>0</v>
      </c>
      <c r="AO132" s="509">
        <v>10000</v>
      </c>
      <c r="AP132" s="509">
        <v>0</v>
      </c>
      <c r="AQ132" s="509">
        <v>0</v>
      </c>
      <c r="AR132" s="508"/>
      <c r="AS132" s="508"/>
      <c r="AT132" s="510">
        <f t="shared" si="67"/>
        <v>10000</v>
      </c>
      <c r="AU132" s="512">
        <f t="shared" si="38"/>
        <v>8.5616438356164379E-2</v>
      </c>
      <c r="AV132" s="511">
        <f t="shared" si="39"/>
        <v>-106800</v>
      </c>
      <c r="AW132" s="558">
        <f t="shared" si="40"/>
        <v>-0.91438356164383561</v>
      </c>
      <c r="AX132" s="513">
        <f t="shared" si="41"/>
        <v>1657800</v>
      </c>
      <c r="AY132" s="514">
        <f t="shared" si="42"/>
        <v>0.99400407722748529</v>
      </c>
      <c r="AZ132" s="513">
        <f t="shared" si="43"/>
        <v>116800</v>
      </c>
      <c r="BA132" s="515" t="str">
        <f t="shared" si="44"/>
        <v>Vendido</v>
      </c>
      <c r="BB132" s="516" t="str">
        <f t="shared" si="45"/>
        <v>Cliente al día</v>
      </c>
      <c r="BC132" s="551"/>
      <c r="BD132" s="693">
        <f t="shared" si="46"/>
        <v>0</v>
      </c>
      <c r="BE132" s="693">
        <f t="shared" si="47"/>
        <v>0</v>
      </c>
      <c r="BF132" s="517"/>
      <c r="BG132" s="517"/>
      <c r="BH132" s="693">
        <f t="shared" si="48"/>
        <v>0</v>
      </c>
      <c r="BI132" s="693">
        <f t="shared" si="49"/>
        <v>4</v>
      </c>
      <c r="BJ132" s="655">
        <f t="shared" si="71"/>
        <v>0</v>
      </c>
      <c r="BK132" s="518">
        <f t="shared" si="51"/>
        <v>0</v>
      </c>
      <c r="BL132" s="518">
        <f t="shared" si="52"/>
        <v>0</v>
      </c>
      <c r="BM132" s="518">
        <f t="shared" si="53"/>
        <v>10000</v>
      </c>
      <c r="BN132" s="518">
        <f t="shared" si="54"/>
        <v>10000</v>
      </c>
      <c r="BO132" s="655">
        <f t="shared" si="70"/>
        <v>0</v>
      </c>
      <c r="BP132" s="693" t="str">
        <f t="shared" si="55"/>
        <v/>
      </c>
      <c r="BQ132" s="696"/>
      <c r="BR132" s="519"/>
      <c r="BT132" s="439">
        <f t="shared" si="56"/>
        <v>10000</v>
      </c>
      <c r="BU132" s="439">
        <f t="shared" si="57"/>
        <v>10000</v>
      </c>
      <c r="BV132" s="439">
        <f t="shared" si="58"/>
        <v>0</v>
      </c>
      <c r="BY132" s="862">
        <f t="shared" si="59"/>
        <v>1068124.4280000001</v>
      </c>
      <c r="BZ132" s="862">
        <f t="shared" si="60"/>
        <v>457767.61200000002</v>
      </c>
      <c r="CA132" s="862">
        <f t="shared" si="61"/>
        <v>128174.93</v>
      </c>
      <c r="CB132" s="862">
        <f t="shared" si="62"/>
        <v>13733.03</v>
      </c>
      <c r="CC132" s="863">
        <f t="shared" si="63"/>
        <v>1196299.3600000001</v>
      </c>
      <c r="CD132" s="863">
        <f t="shared" si="64"/>
        <v>471500.64</v>
      </c>
      <c r="CE132" s="864">
        <f t="shared" si="65"/>
        <v>1667800</v>
      </c>
      <c r="CF132" s="862">
        <f t="shared" si="66"/>
        <v>0</v>
      </c>
    </row>
    <row r="133" spans="1:84" s="429" customFormat="1" ht="13.9" customHeight="1" x14ac:dyDescent="0.25">
      <c r="A133" s="472"/>
      <c r="B133" s="475">
        <v>719</v>
      </c>
      <c r="C133" s="475" t="s">
        <v>134</v>
      </c>
      <c r="D133" s="475"/>
      <c r="E133" s="475" t="s">
        <v>528</v>
      </c>
      <c r="F133" s="476" t="s">
        <v>529</v>
      </c>
      <c r="G133" s="473">
        <v>45904</v>
      </c>
      <c r="H133" s="436" t="s">
        <v>128</v>
      </c>
      <c r="I133" s="472">
        <v>1456400</v>
      </c>
      <c r="J133" s="472">
        <v>101900</v>
      </c>
      <c r="K133" s="507">
        <v>0</v>
      </c>
      <c r="L133" s="507">
        <v>0</v>
      </c>
      <c r="M133" s="507">
        <v>0</v>
      </c>
      <c r="N133" s="507">
        <v>0</v>
      </c>
      <c r="O133" s="507">
        <v>0</v>
      </c>
      <c r="P133" s="507">
        <v>0</v>
      </c>
      <c r="Q133" s="507">
        <v>0</v>
      </c>
      <c r="R133" s="507">
        <v>0</v>
      </c>
      <c r="S133" s="507">
        <v>0</v>
      </c>
      <c r="T133" s="507">
        <v>0</v>
      </c>
      <c r="U133" s="507">
        <v>0</v>
      </c>
      <c r="V133" s="507">
        <v>0</v>
      </c>
      <c r="W133" s="507">
        <v>0</v>
      </c>
      <c r="X133" s="507">
        <v>0</v>
      </c>
      <c r="Y133" s="507">
        <v>0</v>
      </c>
      <c r="Z133" s="507">
        <v>0</v>
      </c>
      <c r="AA133" s="507">
        <v>0</v>
      </c>
      <c r="AB133" s="507">
        <v>0</v>
      </c>
      <c r="AC133" s="507">
        <v>0</v>
      </c>
      <c r="AD133" s="507">
        <v>0</v>
      </c>
      <c r="AE133" s="507">
        <v>0</v>
      </c>
      <c r="AF133" s="507">
        <v>0</v>
      </c>
      <c r="AG133" s="507">
        <v>0</v>
      </c>
      <c r="AH133" s="507">
        <v>0</v>
      </c>
      <c r="AI133" s="507">
        <v>0</v>
      </c>
      <c r="AJ133" s="507">
        <v>0</v>
      </c>
      <c r="AK133" s="508"/>
      <c r="AL133" s="508"/>
      <c r="AM133" s="508"/>
      <c r="AN133" s="509">
        <v>0</v>
      </c>
      <c r="AO133" s="509">
        <v>0</v>
      </c>
      <c r="AP133" s="509">
        <v>0</v>
      </c>
      <c r="AQ133" s="509">
        <v>0</v>
      </c>
      <c r="AR133" s="508"/>
      <c r="AS133" s="508"/>
      <c r="AT133" s="510">
        <f t="shared" si="67"/>
        <v>0</v>
      </c>
      <c r="AU133" s="512">
        <f t="shared" si="38"/>
        <v>0</v>
      </c>
      <c r="AV133" s="511">
        <f t="shared" si="39"/>
        <v>-101900</v>
      </c>
      <c r="AW133" s="558">
        <f t="shared" si="40"/>
        <v>-1</v>
      </c>
      <c r="AX133" s="513">
        <f t="shared" si="41"/>
        <v>1456400</v>
      </c>
      <c r="AY133" s="514">
        <f t="shared" si="42"/>
        <v>1</v>
      </c>
      <c r="AZ133" s="513">
        <f t="shared" si="43"/>
        <v>101900</v>
      </c>
      <c r="BA133" s="515" t="str">
        <f t="shared" si="44"/>
        <v>Vendido</v>
      </c>
      <c r="BB133" s="516" t="str">
        <f t="shared" si="45"/>
        <v>Cliente al día</v>
      </c>
      <c r="BC133" s="551"/>
      <c r="BD133" s="693">
        <f t="shared" si="46"/>
        <v>0</v>
      </c>
      <c r="BE133" s="693">
        <f t="shared" si="47"/>
        <v>0</v>
      </c>
      <c r="BF133" s="517"/>
      <c r="BG133" s="517"/>
      <c r="BH133" s="693">
        <f t="shared" si="48"/>
        <v>0</v>
      </c>
      <c r="BI133" s="693">
        <f t="shared" si="49"/>
        <v>4</v>
      </c>
      <c r="BJ133" s="655">
        <f t="shared" si="71"/>
        <v>0</v>
      </c>
      <c r="BK133" s="518">
        <f t="shared" si="51"/>
        <v>0</v>
      </c>
      <c r="BL133" s="518">
        <f t="shared" si="52"/>
        <v>0</v>
      </c>
      <c r="BM133" s="518">
        <f t="shared" si="53"/>
        <v>0</v>
      </c>
      <c r="BN133" s="518">
        <f t="shared" si="54"/>
        <v>0</v>
      </c>
      <c r="BO133" s="655">
        <f t="shared" si="70"/>
        <v>0</v>
      </c>
      <c r="BP133" s="693" t="str">
        <f t="shared" si="55"/>
        <v/>
      </c>
      <c r="BQ133" s="696"/>
      <c r="BR133" s="519"/>
      <c r="BT133" s="439">
        <f t="shared" si="56"/>
        <v>0</v>
      </c>
      <c r="BU133" s="439">
        <f t="shared" si="57"/>
        <v>0</v>
      </c>
      <c r="BV133" s="439">
        <f t="shared" si="58"/>
        <v>0</v>
      </c>
      <c r="BY133" s="862">
        <f t="shared" si="59"/>
        <v>932735.59</v>
      </c>
      <c r="BZ133" s="862">
        <f t="shared" si="60"/>
        <v>399743.82400000002</v>
      </c>
      <c r="CA133" s="862">
        <f t="shared" si="61"/>
        <v>111928.27</v>
      </c>
      <c r="CB133" s="862">
        <f t="shared" si="62"/>
        <v>11992.31</v>
      </c>
      <c r="CC133" s="863">
        <f t="shared" si="63"/>
        <v>1044663.86</v>
      </c>
      <c r="CD133" s="863">
        <f t="shared" si="64"/>
        <v>411736.13</v>
      </c>
      <c r="CE133" s="864">
        <f t="shared" si="65"/>
        <v>1456399.99</v>
      </c>
      <c r="CF133" s="862">
        <f t="shared" si="66"/>
        <v>-1.0000000009313226E-2</v>
      </c>
    </row>
    <row r="134" spans="1:84" s="429" customFormat="1" ht="13.9" customHeight="1" x14ac:dyDescent="0.25">
      <c r="A134" s="472"/>
      <c r="B134" s="436">
        <v>801</v>
      </c>
      <c r="C134" s="436" t="s">
        <v>409</v>
      </c>
      <c r="D134" s="436"/>
      <c r="E134" s="436" t="s">
        <v>366</v>
      </c>
      <c r="F134" s="429" t="s">
        <v>530</v>
      </c>
      <c r="G134" s="473">
        <v>45132</v>
      </c>
      <c r="H134" s="436" t="s">
        <v>128</v>
      </c>
      <c r="I134" s="472">
        <v>1152000</v>
      </c>
      <c r="J134" s="472">
        <f>+I134*0.1</f>
        <v>115200</v>
      </c>
      <c r="K134" s="507">
        <v>0</v>
      </c>
      <c r="L134" s="507">
        <v>0</v>
      </c>
      <c r="M134" s="507">
        <v>0</v>
      </c>
      <c r="N134" s="507">
        <v>0</v>
      </c>
      <c r="O134" s="507">
        <v>6000</v>
      </c>
      <c r="P134" s="507">
        <v>4200</v>
      </c>
      <c r="Q134" s="507">
        <v>4200</v>
      </c>
      <c r="R134" s="507">
        <v>4200</v>
      </c>
      <c r="S134" s="507">
        <v>4200</v>
      </c>
      <c r="T134" s="507">
        <v>4200</v>
      </c>
      <c r="U134" s="507">
        <v>4200</v>
      </c>
      <c r="V134" s="507">
        <v>8400</v>
      </c>
      <c r="W134" s="507">
        <v>0</v>
      </c>
      <c r="X134" s="507">
        <v>4200</v>
      </c>
      <c r="Y134" s="507">
        <v>4200</v>
      </c>
      <c r="Z134" s="507">
        <v>0</v>
      </c>
      <c r="AA134" s="507">
        <v>4200</v>
      </c>
      <c r="AB134" s="507">
        <v>8400</v>
      </c>
      <c r="AC134" s="507">
        <v>0</v>
      </c>
      <c r="AD134" s="507">
        <f>4200+4200</f>
        <v>8400</v>
      </c>
      <c r="AE134" s="507">
        <v>4200</v>
      </c>
      <c r="AF134" s="507">
        <v>0</v>
      </c>
      <c r="AG134" s="507">
        <v>4200</v>
      </c>
      <c r="AH134" s="507">
        <f>4200+4200</f>
        <v>8400</v>
      </c>
      <c r="AI134" s="507">
        <f>4200+4200</f>
        <v>8400</v>
      </c>
      <c r="AJ134" s="507">
        <v>0</v>
      </c>
      <c r="AK134" s="508">
        <v>4200</v>
      </c>
      <c r="AL134" s="508"/>
      <c r="AM134" s="509">
        <f>4200+4200</f>
        <v>8400</v>
      </c>
      <c r="AN134" s="509">
        <v>8400</v>
      </c>
      <c r="AO134" s="509">
        <v>0</v>
      </c>
      <c r="AP134" s="509">
        <v>0</v>
      </c>
      <c r="AQ134" s="509">
        <v>0</v>
      </c>
      <c r="AR134" s="509"/>
      <c r="AS134" s="509"/>
      <c r="AT134" s="510">
        <f t="shared" si="67"/>
        <v>115200</v>
      </c>
      <c r="AU134" s="512">
        <f t="shared" si="38"/>
        <v>1</v>
      </c>
      <c r="AV134" s="511">
        <f t="shared" si="39"/>
        <v>0</v>
      </c>
      <c r="AW134" s="558">
        <f t="shared" si="40"/>
        <v>0</v>
      </c>
      <c r="AX134" s="513">
        <f t="shared" si="41"/>
        <v>1036800</v>
      </c>
      <c r="AY134" s="514">
        <f t="shared" si="42"/>
        <v>0.9</v>
      </c>
      <c r="AZ134" s="513">
        <f t="shared" si="43"/>
        <v>115200</v>
      </c>
      <c r="BA134" s="515" t="str">
        <f t="shared" si="44"/>
        <v>Vendido</v>
      </c>
      <c r="BB134" s="516" t="str">
        <f t="shared" si="45"/>
        <v>Cliente Atrasado</v>
      </c>
      <c r="BC134" s="551">
        <v>26</v>
      </c>
      <c r="BD134" s="693">
        <f t="shared" si="46"/>
        <v>1</v>
      </c>
      <c r="BE134" s="693">
        <f t="shared" si="47"/>
        <v>27</v>
      </c>
      <c r="BF134" s="517">
        <v>6000</v>
      </c>
      <c r="BG134" s="517">
        <v>4200</v>
      </c>
      <c r="BH134" s="693">
        <f t="shared" si="48"/>
        <v>12</v>
      </c>
      <c r="BI134" s="693">
        <f t="shared" si="49"/>
        <v>30</v>
      </c>
      <c r="BJ134" s="655">
        <f t="shared" si="71"/>
        <v>132000</v>
      </c>
      <c r="BK134" s="518">
        <f t="shared" si="51"/>
        <v>50400</v>
      </c>
      <c r="BL134" s="518">
        <f t="shared" si="52"/>
        <v>64800</v>
      </c>
      <c r="BM134" s="518">
        <f t="shared" si="53"/>
        <v>0</v>
      </c>
      <c r="BN134" s="518">
        <f t="shared" si="54"/>
        <v>0</v>
      </c>
      <c r="BO134" s="655">
        <f t="shared" si="70"/>
        <v>16800</v>
      </c>
      <c r="BP134" s="693">
        <f t="shared" si="55"/>
        <v>4</v>
      </c>
      <c r="BQ134" s="696"/>
      <c r="BR134" s="519"/>
      <c r="BT134" s="439">
        <f t="shared" si="56"/>
        <v>-16800</v>
      </c>
      <c r="BU134" s="439">
        <f t="shared" si="57"/>
        <v>-16800</v>
      </c>
      <c r="BV134" s="439">
        <f t="shared" si="58"/>
        <v>0</v>
      </c>
      <c r="BY134" s="862">
        <f t="shared" si="59"/>
        <v>737785.91</v>
      </c>
      <c r="BZ134" s="862">
        <f t="shared" si="60"/>
        <v>316193.962</v>
      </c>
      <c r="CA134" s="862">
        <f t="shared" si="61"/>
        <v>88534.31</v>
      </c>
      <c r="CB134" s="862">
        <f t="shared" si="62"/>
        <v>9485.82</v>
      </c>
      <c r="CC134" s="863">
        <f t="shared" si="63"/>
        <v>826320.22</v>
      </c>
      <c r="CD134" s="863">
        <f t="shared" si="64"/>
        <v>325679.78000000003</v>
      </c>
      <c r="CE134" s="864">
        <f t="shared" si="65"/>
        <v>1152000</v>
      </c>
      <c r="CF134" s="862">
        <f t="shared" si="66"/>
        <v>0</v>
      </c>
    </row>
    <row r="135" spans="1:84" s="429" customFormat="1" ht="13.9" customHeight="1" x14ac:dyDescent="0.25">
      <c r="A135" s="472"/>
      <c r="B135" s="436">
        <v>802</v>
      </c>
      <c r="C135" s="436" t="s">
        <v>184</v>
      </c>
      <c r="D135" s="436"/>
      <c r="E135" s="436" t="s">
        <v>383</v>
      </c>
      <c r="F135" s="429" t="s">
        <v>531</v>
      </c>
      <c r="G135" s="473">
        <v>45087</v>
      </c>
      <c r="H135" s="436" t="s">
        <v>128</v>
      </c>
      <c r="I135" s="472">
        <v>1166800</v>
      </c>
      <c r="J135" s="472">
        <v>116700</v>
      </c>
      <c r="K135" s="507">
        <v>0</v>
      </c>
      <c r="L135" s="507">
        <v>0</v>
      </c>
      <c r="M135" s="507">
        <v>0</v>
      </c>
      <c r="N135" s="507">
        <v>6000</v>
      </c>
      <c r="O135" s="507">
        <v>0</v>
      </c>
      <c r="P135" s="507">
        <v>8200</v>
      </c>
      <c r="Q135" s="507">
        <v>4100</v>
      </c>
      <c r="R135" s="507">
        <v>4100</v>
      </c>
      <c r="S135" s="507">
        <v>4100</v>
      </c>
      <c r="T135" s="507">
        <v>4100</v>
      </c>
      <c r="U135" s="507">
        <v>4100</v>
      </c>
      <c r="V135" s="507">
        <v>4100</v>
      </c>
      <c r="W135" s="507">
        <v>4100</v>
      </c>
      <c r="X135" s="507">
        <v>4100</v>
      </c>
      <c r="Y135" s="507">
        <v>4100</v>
      </c>
      <c r="Z135" s="507">
        <v>4100</v>
      </c>
      <c r="AA135" s="507">
        <v>4100</v>
      </c>
      <c r="AB135" s="507">
        <v>4100</v>
      </c>
      <c r="AC135" s="507">
        <v>4100</v>
      </c>
      <c r="AD135" s="507">
        <v>4100</v>
      </c>
      <c r="AE135" s="507">
        <v>4100</v>
      </c>
      <c r="AF135" s="507">
        <v>4100</v>
      </c>
      <c r="AG135" s="507">
        <v>4100</v>
      </c>
      <c r="AH135" s="507">
        <v>4100</v>
      </c>
      <c r="AI135" s="507">
        <v>4100</v>
      </c>
      <c r="AJ135" s="507">
        <v>4100</v>
      </c>
      <c r="AK135" s="508">
        <v>4100</v>
      </c>
      <c r="AL135" s="508">
        <v>4100</v>
      </c>
      <c r="AM135" s="509">
        <v>4100</v>
      </c>
      <c r="AN135" s="509">
        <v>4100</v>
      </c>
      <c r="AO135" s="509">
        <v>4100</v>
      </c>
      <c r="AP135" s="509">
        <v>4100</v>
      </c>
      <c r="AQ135" s="509">
        <v>4100</v>
      </c>
      <c r="AR135" s="509">
        <v>4100</v>
      </c>
      <c r="AS135" s="509">
        <v>4100</v>
      </c>
      <c r="AT135" s="510">
        <f t="shared" si="67"/>
        <v>133100</v>
      </c>
      <c r="AU135" s="512">
        <f t="shared" ref="AU135:AU198" si="72">IFERROR((+AT135/J135),0)</f>
        <v>1.1405312767780633</v>
      </c>
      <c r="AV135" s="511">
        <f t="shared" ref="AV135:AV198" si="73">+AT135-AZ135</f>
        <v>16400</v>
      </c>
      <c r="AW135" s="558">
        <f t="shared" ref="AW135:AW198" si="74">+AV135/J135</f>
        <v>0.1405312767780634</v>
      </c>
      <c r="AX135" s="513">
        <f t="shared" ref="AX135:AX198" si="75">+I135-AT135</f>
        <v>1033700</v>
      </c>
      <c r="AY135" s="514">
        <f t="shared" ref="AY135:AY198" si="76">+AX135/I135</f>
        <v>0.88592732259170381</v>
      </c>
      <c r="AZ135" s="513">
        <f t="shared" ref="AZ135:AZ198" si="77">IF(BA135="Vendido",J135*1,IF(BA135="Disponible",J135*0,IF(BA135="Enganche Completado",J135*1,IF(BA135="Superávit de Enganche",J135*1,0))))</f>
        <v>116700</v>
      </c>
      <c r="BA135" s="515" t="str">
        <f t="shared" ref="BA135:BA198" si="78">IF(F135=0,"Disponible",IF(F135&gt;1,"Vendido",0))</f>
        <v>Vendido</v>
      </c>
      <c r="BB135" s="516" t="str">
        <f t="shared" ref="BB135:BB198" si="79">IF(AND(BA135="Vendido",G135&gt;=0,BJ135&lt;=AT135,AT135&lt;AZ135),"Cliente al día",IF(AND(BA135="Vendido",G135&gt;=0,BJ135&lt;=AT135,AT135=AZ135),"Enganche Completado",IF(AND(BA135="Vendido",G135&gt;=0,BJ135&lt;AT135,AT135&gt;AZ135),"Superávit de Enganche",IF(AND(BA135="Disponible",G135=0,AV135=0),"Disponible","Cliente Atrasado"))))</f>
        <v>Cliente Atrasado</v>
      </c>
      <c r="BC135" s="551">
        <v>27</v>
      </c>
      <c r="BD135" s="693">
        <f t="shared" ref="BD135:BD198" si="80">IF(BC135&gt;1,1,0)</f>
        <v>1</v>
      </c>
      <c r="BE135" s="693">
        <f t="shared" ref="BE135:BE198" si="81">+BC135+BD135</f>
        <v>28</v>
      </c>
      <c r="BF135" s="517">
        <v>6000</v>
      </c>
      <c r="BG135" s="517">
        <v>4100</v>
      </c>
      <c r="BH135" s="693">
        <f t="shared" ref="BH135:BH198" si="82">COUNTIFS(K135:AS135,"&gt;0.01",K135:AS135,"&lt;" &amp; BF135)</f>
        <v>29</v>
      </c>
      <c r="BI135" s="693">
        <f t="shared" ref="BI135:BI198" si="83">IF($G135&gt;0,DATEDIF($G135,$D$3,"M"),0)</f>
        <v>31</v>
      </c>
      <c r="BJ135" s="655">
        <f t="shared" si="71"/>
        <v>133100</v>
      </c>
      <c r="BK135" s="518">
        <f t="shared" ref="BK135:BK198" si="84">SUMIF(K135:AS135,"&lt;=" &amp; BG135,K135:AS135)</f>
        <v>118900</v>
      </c>
      <c r="BL135" s="518">
        <f t="shared" ref="BL135:BL198" si="85">SUMIF(K135:AS135,"&gt;" &amp; BG135,K135:AS135)</f>
        <v>14200</v>
      </c>
      <c r="BM135" s="518">
        <f t="shared" ref="BM135:BM198" si="86">AT135-BK135-BL135</f>
        <v>0</v>
      </c>
      <c r="BN135" s="518">
        <f t="shared" ref="BN135:BN198" si="87">IF(AT135&gt;BJ135,AT135-BJ135,0)</f>
        <v>0</v>
      </c>
      <c r="BO135" s="655">
        <f t="shared" si="70"/>
        <v>0</v>
      </c>
      <c r="BP135" s="693">
        <f t="shared" ref="BP135:BP198" si="88">IFERROR(IF(AND(BQ135="F&amp;F","CE"),"",ROUNDUP(IF(G135="",0,SUM(BO135/BG135)),0)),"")</f>
        <v>0</v>
      </c>
      <c r="BQ135" s="696"/>
      <c r="BR135" s="519"/>
      <c r="BT135" s="439">
        <f t="shared" ref="BT135:BT198" si="89">+AT135-BJ135</f>
        <v>0</v>
      </c>
      <c r="BU135" s="439">
        <f t="shared" ref="BU135:BU198" si="90">+BN135-BO135</f>
        <v>0</v>
      </c>
      <c r="BV135" s="439">
        <f t="shared" ref="BV135:BV198" si="91">+BT135-BU135</f>
        <v>0</v>
      </c>
      <c r="BY135" s="862">
        <f t="shared" ref="BY135:BY198" si="92">ROUND(I135/1.093*70%,3)</f>
        <v>747264.41</v>
      </c>
      <c r="BZ135" s="862">
        <f t="shared" ref="BZ135:BZ198" si="93">ROUND(I135/1.093*30%,3)</f>
        <v>320256.17599999998</v>
      </c>
      <c r="CA135" s="862">
        <f t="shared" ref="CA135:CA198" si="94">ROUND(BY135*12%,2)</f>
        <v>89671.73</v>
      </c>
      <c r="CB135" s="862">
        <f t="shared" ref="CB135:CB198" si="95">ROUND(BZ135*3%,2)</f>
        <v>9607.69</v>
      </c>
      <c r="CC135" s="863">
        <f t="shared" ref="CC135:CC198" si="96">ROUND(BY135+CA135,2)</f>
        <v>836936.14</v>
      </c>
      <c r="CD135" s="863">
        <f t="shared" ref="CD135:CD198" si="97">ROUND(BZ135+CB135,2)</f>
        <v>329863.87</v>
      </c>
      <c r="CE135" s="864">
        <f t="shared" ref="CE135:CE198" si="98">ROUND(CC135+CD135,2)</f>
        <v>1166800.01</v>
      </c>
      <c r="CF135" s="862">
        <f t="shared" ref="CF135:CF198" si="99">CE135-I135</f>
        <v>1.0000000009313226E-2</v>
      </c>
    </row>
    <row r="136" spans="1:84" s="429" customFormat="1" ht="13.9" customHeight="1" x14ac:dyDescent="0.25">
      <c r="A136" s="472"/>
      <c r="B136" s="436">
        <v>803</v>
      </c>
      <c r="C136" s="436" t="s">
        <v>406</v>
      </c>
      <c r="D136" s="436"/>
      <c r="E136" s="436" t="s">
        <v>383</v>
      </c>
      <c r="F136" s="429" t="s">
        <v>532</v>
      </c>
      <c r="G136" s="473">
        <v>45007</v>
      </c>
      <c r="H136" s="436" t="s">
        <v>128</v>
      </c>
      <c r="I136" s="472">
        <v>660700</v>
      </c>
      <c r="J136" s="472">
        <v>66100</v>
      </c>
      <c r="K136" s="507">
        <v>6000</v>
      </c>
      <c r="L136" s="507">
        <v>1725</v>
      </c>
      <c r="M136" s="507">
        <v>1725</v>
      </c>
      <c r="N136" s="507">
        <v>1725</v>
      </c>
      <c r="O136" s="507">
        <v>1700</v>
      </c>
      <c r="P136" s="507">
        <v>1700</v>
      </c>
      <c r="Q136" s="507">
        <v>1700</v>
      </c>
      <c r="R136" s="507">
        <v>1700</v>
      </c>
      <c r="S136" s="507">
        <v>1700</v>
      </c>
      <c r="T136" s="507">
        <v>1700</v>
      </c>
      <c r="U136" s="507">
        <v>1700</v>
      </c>
      <c r="V136" s="507">
        <v>1700</v>
      </c>
      <c r="W136" s="507">
        <v>1700</v>
      </c>
      <c r="X136" s="507">
        <v>1700</v>
      </c>
      <c r="Y136" s="507">
        <v>0</v>
      </c>
      <c r="Z136" s="507">
        <v>1700</v>
      </c>
      <c r="AA136" s="507">
        <v>3400</v>
      </c>
      <c r="AB136" s="507">
        <v>1700</v>
      </c>
      <c r="AC136" s="507">
        <v>1700</v>
      </c>
      <c r="AD136" s="507">
        <v>1700</v>
      </c>
      <c r="AE136" s="507">
        <v>1700</v>
      </c>
      <c r="AF136" s="507">
        <v>0</v>
      </c>
      <c r="AG136" s="507">
        <v>1700</v>
      </c>
      <c r="AH136" s="507">
        <v>1700</v>
      </c>
      <c r="AI136" s="507">
        <v>3400</v>
      </c>
      <c r="AJ136" s="507">
        <v>1700</v>
      </c>
      <c r="AK136" s="508"/>
      <c r="AL136" s="509">
        <f>1700+1700</f>
        <v>3400</v>
      </c>
      <c r="AM136" s="509"/>
      <c r="AN136" s="509">
        <v>3400</v>
      </c>
      <c r="AO136" s="509">
        <v>1700</v>
      </c>
      <c r="AP136" s="509">
        <v>0</v>
      </c>
      <c r="AQ136" s="509">
        <v>3400</v>
      </c>
      <c r="AR136" s="509"/>
      <c r="AS136" s="509"/>
      <c r="AT136" s="510">
        <f t="shared" ref="AT136:AT199" si="100">SUM(K136:AS136)</f>
        <v>60475</v>
      </c>
      <c r="AU136" s="512">
        <f t="shared" si="72"/>
        <v>0.91490166414523444</v>
      </c>
      <c r="AV136" s="511">
        <f t="shared" si="73"/>
        <v>-5625</v>
      </c>
      <c r="AW136" s="558">
        <f t="shared" si="74"/>
        <v>-8.5098335854765506E-2</v>
      </c>
      <c r="AX136" s="513">
        <f t="shared" si="75"/>
        <v>600225</v>
      </c>
      <c r="AY136" s="514">
        <f t="shared" si="76"/>
        <v>0.90846829120629635</v>
      </c>
      <c r="AZ136" s="513">
        <f t="shared" si="77"/>
        <v>66100</v>
      </c>
      <c r="BA136" s="515" t="str">
        <f t="shared" si="78"/>
        <v>Vendido</v>
      </c>
      <c r="BB136" s="516" t="str">
        <f t="shared" si="79"/>
        <v>Cliente Atrasado</v>
      </c>
      <c r="BC136" s="551">
        <v>35</v>
      </c>
      <c r="BD136" s="693">
        <f t="shared" si="80"/>
        <v>1</v>
      </c>
      <c r="BE136" s="693">
        <f t="shared" si="81"/>
        <v>36</v>
      </c>
      <c r="BF136" s="517">
        <v>6000</v>
      </c>
      <c r="BG136" s="517">
        <v>1700</v>
      </c>
      <c r="BH136" s="693">
        <f t="shared" si="82"/>
        <v>27</v>
      </c>
      <c r="BI136" s="693">
        <f t="shared" si="83"/>
        <v>34</v>
      </c>
      <c r="BJ136" s="655">
        <f t="shared" si="71"/>
        <v>63800</v>
      </c>
      <c r="BK136" s="518">
        <f t="shared" si="84"/>
        <v>32300</v>
      </c>
      <c r="BL136" s="518">
        <f t="shared" si="85"/>
        <v>28175</v>
      </c>
      <c r="BM136" s="518">
        <f t="shared" si="86"/>
        <v>0</v>
      </c>
      <c r="BN136" s="518">
        <f t="shared" si="87"/>
        <v>0</v>
      </c>
      <c r="BO136" s="655">
        <f t="shared" si="70"/>
        <v>3325</v>
      </c>
      <c r="BP136" s="693">
        <f t="shared" si="88"/>
        <v>2</v>
      </c>
      <c r="BQ136" s="696"/>
      <c r="BR136" s="519"/>
      <c r="BT136" s="439">
        <f t="shared" si="89"/>
        <v>-3325</v>
      </c>
      <c r="BU136" s="439">
        <f t="shared" si="90"/>
        <v>-3325</v>
      </c>
      <c r="BV136" s="439">
        <f t="shared" si="91"/>
        <v>0</v>
      </c>
      <c r="BY136" s="862">
        <f t="shared" si="92"/>
        <v>423138.152</v>
      </c>
      <c r="BZ136" s="862">
        <f t="shared" si="93"/>
        <v>181344.92199999999</v>
      </c>
      <c r="CA136" s="862">
        <f t="shared" si="94"/>
        <v>50776.58</v>
      </c>
      <c r="CB136" s="862">
        <f t="shared" si="95"/>
        <v>5440.35</v>
      </c>
      <c r="CC136" s="863">
        <f t="shared" si="96"/>
        <v>473914.73</v>
      </c>
      <c r="CD136" s="863">
        <f t="shared" si="97"/>
        <v>186785.27</v>
      </c>
      <c r="CE136" s="864">
        <f t="shared" si="98"/>
        <v>660700</v>
      </c>
      <c r="CF136" s="862">
        <f t="shared" si="99"/>
        <v>0</v>
      </c>
    </row>
    <row r="137" spans="1:84" s="429" customFormat="1" ht="13.9" customHeight="1" x14ac:dyDescent="0.25">
      <c r="A137" s="472"/>
      <c r="B137" s="436">
        <v>804</v>
      </c>
      <c r="C137" s="436" t="s">
        <v>200</v>
      </c>
      <c r="D137" s="436"/>
      <c r="E137" s="436" t="s">
        <v>383</v>
      </c>
      <c r="F137" s="429" t="s">
        <v>533</v>
      </c>
      <c r="G137" s="473">
        <v>45090</v>
      </c>
      <c r="H137" s="436" t="s">
        <v>128</v>
      </c>
      <c r="I137" s="472">
        <v>702900</v>
      </c>
      <c r="J137" s="472">
        <v>70300</v>
      </c>
      <c r="K137" s="507">
        <v>0</v>
      </c>
      <c r="L137" s="507">
        <v>0</v>
      </c>
      <c r="M137" s="507">
        <v>0</v>
      </c>
      <c r="N137" s="507">
        <v>6000</v>
      </c>
      <c r="O137" s="507">
        <v>1500</v>
      </c>
      <c r="P137" s="507">
        <v>1500</v>
      </c>
      <c r="Q137" s="507">
        <v>1500</v>
      </c>
      <c r="R137" s="507">
        <v>1500</v>
      </c>
      <c r="S137" s="507">
        <v>0</v>
      </c>
      <c r="T137" s="507">
        <v>1500</v>
      </c>
      <c r="U137" s="507">
        <v>1500</v>
      </c>
      <c r="V137" s="507">
        <v>1500</v>
      </c>
      <c r="W137" s="507">
        <v>1500</v>
      </c>
      <c r="X137" s="507">
        <v>1500</v>
      </c>
      <c r="Y137" s="507">
        <v>3000</v>
      </c>
      <c r="Z137" s="507">
        <v>0</v>
      </c>
      <c r="AA137" s="507">
        <v>1500</v>
      </c>
      <c r="AB137" s="507">
        <v>3000</v>
      </c>
      <c r="AC137" s="507">
        <v>1500</v>
      </c>
      <c r="AD137" s="507">
        <v>1500</v>
      </c>
      <c r="AE137" s="507">
        <v>1500</v>
      </c>
      <c r="AF137" s="507">
        <v>1500</v>
      </c>
      <c r="AG137" s="507">
        <v>1500</v>
      </c>
      <c r="AH137" s="507">
        <v>1500</v>
      </c>
      <c r="AI137" s="507">
        <v>1500</v>
      </c>
      <c r="AJ137" s="507">
        <f>1500+5000</f>
        <v>6500</v>
      </c>
      <c r="AK137" s="508">
        <v>1500</v>
      </c>
      <c r="AL137" s="508">
        <v>1500</v>
      </c>
      <c r="AM137" s="509">
        <v>1500</v>
      </c>
      <c r="AN137" s="509">
        <v>1500</v>
      </c>
      <c r="AO137" s="509">
        <v>0</v>
      </c>
      <c r="AP137" s="509">
        <v>3000</v>
      </c>
      <c r="AQ137" s="509">
        <v>1500</v>
      </c>
      <c r="AR137" s="509">
        <v>1500</v>
      </c>
      <c r="AS137" s="509">
        <v>1500</v>
      </c>
      <c r="AT137" s="510">
        <f t="shared" si="100"/>
        <v>57500</v>
      </c>
      <c r="AU137" s="512">
        <f t="shared" si="72"/>
        <v>0.81792318634423899</v>
      </c>
      <c r="AV137" s="511">
        <f t="shared" si="73"/>
        <v>-12800</v>
      </c>
      <c r="AW137" s="558">
        <f t="shared" si="74"/>
        <v>-0.18207681365576103</v>
      </c>
      <c r="AX137" s="513">
        <f t="shared" si="75"/>
        <v>645400</v>
      </c>
      <c r="AY137" s="514">
        <f t="shared" si="76"/>
        <v>0.91819604495660834</v>
      </c>
      <c r="AZ137" s="513">
        <f t="shared" si="77"/>
        <v>70300</v>
      </c>
      <c r="BA137" s="515" t="str">
        <f t="shared" si="78"/>
        <v>Vendido</v>
      </c>
      <c r="BB137" s="516" t="str">
        <f t="shared" si="79"/>
        <v>Cliente al día</v>
      </c>
      <c r="BC137" s="551">
        <v>27</v>
      </c>
      <c r="BD137" s="693">
        <f t="shared" si="80"/>
        <v>1</v>
      </c>
      <c r="BE137" s="693">
        <f t="shared" si="81"/>
        <v>28</v>
      </c>
      <c r="BF137" s="517">
        <v>6000</v>
      </c>
      <c r="BG137" s="517">
        <v>1500</v>
      </c>
      <c r="BH137" s="693">
        <f t="shared" si="82"/>
        <v>27</v>
      </c>
      <c r="BI137" s="693">
        <f t="shared" si="83"/>
        <v>31</v>
      </c>
      <c r="BJ137" s="655">
        <f t="shared" si="71"/>
        <v>52500</v>
      </c>
      <c r="BK137" s="518">
        <f t="shared" si="84"/>
        <v>36000</v>
      </c>
      <c r="BL137" s="518">
        <f t="shared" si="85"/>
        <v>21500</v>
      </c>
      <c r="BM137" s="518">
        <f t="shared" si="86"/>
        <v>0</v>
      </c>
      <c r="BN137" s="518">
        <f t="shared" si="87"/>
        <v>5000</v>
      </c>
      <c r="BO137" s="655">
        <f t="shared" si="70"/>
        <v>0</v>
      </c>
      <c r="BP137" s="693">
        <f t="shared" si="88"/>
        <v>0</v>
      </c>
      <c r="BQ137" s="696"/>
      <c r="BR137" s="519"/>
      <c r="BT137" s="439">
        <f t="shared" si="89"/>
        <v>5000</v>
      </c>
      <c r="BU137" s="439">
        <f t="shared" si="90"/>
        <v>5000</v>
      </c>
      <c r="BV137" s="439">
        <f t="shared" si="91"/>
        <v>0</v>
      </c>
      <c r="BY137" s="862">
        <f t="shared" si="92"/>
        <v>450164.68400000001</v>
      </c>
      <c r="BZ137" s="862">
        <f t="shared" si="93"/>
        <v>192927.72200000001</v>
      </c>
      <c r="CA137" s="862">
        <f t="shared" si="94"/>
        <v>54019.76</v>
      </c>
      <c r="CB137" s="862">
        <f t="shared" si="95"/>
        <v>5787.83</v>
      </c>
      <c r="CC137" s="863">
        <f t="shared" si="96"/>
        <v>504184.44</v>
      </c>
      <c r="CD137" s="863">
        <f t="shared" si="97"/>
        <v>198715.55</v>
      </c>
      <c r="CE137" s="864">
        <f t="shared" si="98"/>
        <v>702899.99</v>
      </c>
      <c r="CF137" s="862">
        <f t="shared" si="99"/>
        <v>-1.0000000009313226E-2</v>
      </c>
    </row>
    <row r="138" spans="1:84" s="429" customFormat="1" ht="13.9" customHeight="1" x14ac:dyDescent="0.25">
      <c r="A138" s="472"/>
      <c r="B138" s="436">
        <v>805</v>
      </c>
      <c r="C138" s="436" t="s">
        <v>534</v>
      </c>
      <c r="D138" s="641" t="s">
        <v>386</v>
      </c>
      <c r="E138" s="436" t="s">
        <v>366</v>
      </c>
      <c r="F138" s="429" t="s">
        <v>535</v>
      </c>
      <c r="G138" s="473">
        <v>45420</v>
      </c>
      <c r="H138" s="436" t="s">
        <v>128</v>
      </c>
      <c r="I138" s="472">
        <v>941800</v>
      </c>
      <c r="J138" s="472">
        <v>94200</v>
      </c>
      <c r="K138" s="507">
        <v>0</v>
      </c>
      <c r="L138" s="507">
        <v>0</v>
      </c>
      <c r="M138" s="507">
        <v>0</v>
      </c>
      <c r="N138" s="507">
        <v>0</v>
      </c>
      <c r="O138" s="507">
        <v>0</v>
      </c>
      <c r="P138" s="507">
        <v>0</v>
      </c>
      <c r="Q138" s="507">
        <v>0</v>
      </c>
      <c r="R138" s="507">
        <v>0</v>
      </c>
      <c r="S138" s="507">
        <v>0</v>
      </c>
      <c r="T138" s="507">
        <v>0</v>
      </c>
      <c r="U138" s="507">
        <v>0</v>
      </c>
      <c r="V138" s="507">
        <v>0</v>
      </c>
      <c r="W138" s="507">
        <v>0</v>
      </c>
      <c r="X138" s="507">
        <v>0</v>
      </c>
      <c r="Y138" s="507">
        <v>8000</v>
      </c>
      <c r="Z138" s="507">
        <v>4537</v>
      </c>
      <c r="AA138" s="507">
        <v>0</v>
      </c>
      <c r="AB138" s="507">
        <v>79113.05</v>
      </c>
      <c r="AC138" s="507">
        <v>0</v>
      </c>
      <c r="AD138" s="507">
        <v>0</v>
      </c>
      <c r="AE138" s="507">
        <v>0</v>
      </c>
      <c r="AF138" s="507">
        <v>0</v>
      </c>
      <c r="AG138" s="507">
        <v>0</v>
      </c>
      <c r="AH138" s="507">
        <v>0</v>
      </c>
      <c r="AI138" s="507">
        <v>0</v>
      </c>
      <c r="AJ138" s="507">
        <v>0</v>
      </c>
      <c r="AK138" s="508"/>
      <c r="AL138" s="508"/>
      <c r="AM138" s="508"/>
      <c r="AN138" s="509">
        <v>0</v>
      </c>
      <c r="AO138" s="509">
        <v>0</v>
      </c>
      <c r="AP138" s="509">
        <v>0</v>
      </c>
      <c r="AQ138" s="509">
        <v>0</v>
      </c>
      <c r="AR138" s="508"/>
      <c r="AS138" s="508"/>
      <c r="AT138" s="510">
        <f t="shared" si="100"/>
        <v>91650.05</v>
      </c>
      <c r="AU138" s="512">
        <f t="shared" si="72"/>
        <v>0.97293046709129516</v>
      </c>
      <c r="AV138" s="511">
        <f t="shared" si="73"/>
        <v>-2549.9499999999971</v>
      </c>
      <c r="AW138" s="558">
        <f t="shared" si="74"/>
        <v>-2.7069532908704851E-2</v>
      </c>
      <c r="AX138" s="513">
        <f t="shared" si="75"/>
        <v>850149.95</v>
      </c>
      <c r="AY138" s="514">
        <f t="shared" si="76"/>
        <v>0.90268629220641317</v>
      </c>
      <c r="AZ138" s="513">
        <f t="shared" si="77"/>
        <v>94200</v>
      </c>
      <c r="BA138" s="515" t="str">
        <f t="shared" si="78"/>
        <v>Vendido</v>
      </c>
      <c r="BB138" s="516" t="str">
        <f t="shared" si="79"/>
        <v>Cliente Atrasado</v>
      </c>
      <c r="BC138" s="551">
        <v>18</v>
      </c>
      <c r="BD138" s="693">
        <f t="shared" si="80"/>
        <v>1</v>
      </c>
      <c r="BE138" s="693">
        <f t="shared" si="81"/>
        <v>19</v>
      </c>
      <c r="BF138" s="644">
        <v>8000</v>
      </c>
      <c r="BG138" s="644">
        <v>4537</v>
      </c>
      <c r="BH138" s="693">
        <f t="shared" si="82"/>
        <v>1</v>
      </c>
      <c r="BI138" s="693">
        <f t="shared" si="83"/>
        <v>20</v>
      </c>
      <c r="BJ138" s="655">
        <f t="shared" si="71"/>
        <v>98740</v>
      </c>
      <c r="BK138" s="518">
        <f t="shared" si="84"/>
        <v>4537</v>
      </c>
      <c r="BL138" s="518">
        <f t="shared" si="85"/>
        <v>87113.05</v>
      </c>
      <c r="BM138" s="518">
        <f t="shared" si="86"/>
        <v>0</v>
      </c>
      <c r="BN138" s="518">
        <f t="shared" si="87"/>
        <v>0</v>
      </c>
      <c r="BO138" s="655">
        <f t="shared" si="70"/>
        <v>7089.9499999999971</v>
      </c>
      <c r="BP138" s="693">
        <f t="shared" si="88"/>
        <v>2</v>
      </c>
      <c r="BQ138" s="696" t="s">
        <v>388</v>
      </c>
      <c r="BR138" s="519"/>
      <c r="BT138" s="439">
        <f t="shared" si="89"/>
        <v>-7089.9499999999971</v>
      </c>
      <c r="BU138" s="439">
        <f t="shared" si="90"/>
        <v>-7089.9499999999971</v>
      </c>
      <c r="BV138" s="439">
        <f t="shared" si="91"/>
        <v>0</v>
      </c>
      <c r="BY138" s="862">
        <f t="shared" si="92"/>
        <v>603165.59900000005</v>
      </c>
      <c r="BZ138" s="862">
        <f t="shared" si="93"/>
        <v>258499.54300000001</v>
      </c>
      <c r="CA138" s="862">
        <f t="shared" si="94"/>
        <v>72379.87</v>
      </c>
      <c r="CB138" s="862">
        <f t="shared" si="95"/>
        <v>7754.99</v>
      </c>
      <c r="CC138" s="863">
        <f t="shared" si="96"/>
        <v>675545.47</v>
      </c>
      <c r="CD138" s="863">
        <f t="shared" si="97"/>
        <v>266254.53000000003</v>
      </c>
      <c r="CE138" s="864">
        <f t="shared" si="98"/>
        <v>941800</v>
      </c>
      <c r="CF138" s="862">
        <f t="shared" si="99"/>
        <v>0</v>
      </c>
    </row>
    <row r="139" spans="1:84" s="429" customFormat="1" ht="13.9" customHeight="1" x14ac:dyDescent="0.25">
      <c r="A139" s="472"/>
      <c r="B139" s="436">
        <v>806</v>
      </c>
      <c r="C139" s="436" t="s">
        <v>536</v>
      </c>
      <c r="D139" s="436"/>
      <c r="E139" s="436" t="s">
        <v>366</v>
      </c>
      <c r="F139" s="429" t="s">
        <v>537</v>
      </c>
      <c r="G139" s="473">
        <v>45547</v>
      </c>
      <c r="H139" s="436" t="s">
        <v>128</v>
      </c>
      <c r="I139" s="472">
        <v>1084565</v>
      </c>
      <c r="J139" s="472">
        <v>108465</v>
      </c>
      <c r="K139" s="507">
        <v>0</v>
      </c>
      <c r="L139" s="507">
        <v>0</v>
      </c>
      <c r="M139" s="507">
        <v>0</v>
      </c>
      <c r="N139" s="507">
        <v>0</v>
      </c>
      <c r="O139" s="507">
        <v>0</v>
      </c>
      <c r="P139" s="507">
        <v>0</v>
      </c>
      <c r="Q139" s="507">
        <v>0</v>
      </c>
      <c r="R139" s="507">
        <v>0</v>
      </c>
      <c r="S139" s="507">
        <v>0</v>
      </c>
      <c r="T139" s="507">
        <v>0</v>
      </c>
      <c r="U139" s="507">
        <v>0</v>
      </c>
      <c r="V139" s="507">
        <v>0</v>
      </c>
      <c r="W139" s="507">
        <v>0</v>
      </c>
      <c r="X139" s="507">
        <v>0</v>
      </c>
      <c r="Y139" s="507">
        <v>0</v>
      </c>
      <c r="Z139" s="507">
        <v>0</v>
      </c>
      <c r="AA139" s="507">
        <v>0</v>
      </c>
      <c r="AB139" s="507">
        <v>0</v>
      </c>
      <c r="AC139" s="507">
        <v>10000</v>
      </c>
      <c r="AD139" s="507">
        <v>6564</v>
      </c>
      <c r="AE139" s="507">
        <v>6564</v>
      </c>
      <c r="AF139" s="507">
        <v>6564</v>
      </c>
      <c r="AG139" s="507">
        <v>6564</v>
      </c>
      <c r="AH139" s="507">
        <v>6564</v>
      </c>
      <c r="AI139" s="507">
        <v>6564</v>
      </c>
      <c r="AJ139" s="507">
        <v>6564</v>
      </c>
      <c r="AK139" s="508">
        <v>6564</v>
      </c>
      <c r="AL139" s="508">
        <v>6564</v>
      </c>
      <c r="AM139" s="509">
        <v>6564</v>
      </c>
      <c r="AN139" s="509">
        <v>6564</v>
      </c>
      <c r="AO139" s="509">
        <v>6564</v>
      </c>
      <c r="AP139" s="509">
        <v>6564</v>
      </c>
      <c r="AQ139" s="509">
        <v>6564</v>
      </c>
      <c r="AR139" s="509"/>
      <c r="AS139" s="509"/>
      <c r="AT139" s="510">
        <f t="shared" si="100"/>
        <v>101896</v>
      </c>
      <c r="AU139" s="512">
        <f t="shared" si="72"/>
        <v>0.93943668464481633</v>
      </c>
      <c r="AV139" s="511">
        <f t="shared" si="73"/>
        <v>-6569</v>
      </c>
      <c r="AW139" s="558">
        <f t="shared" si="74"/>
        <v>-6.0563315355183701E-2</v>
      </c>
      <c r="AX139" s="513">
        <f t="shared" si="75"/>
        <v>982669</v>
      </c>
      <c r="AY139" s="514">
        <f t="shared" si="76"/>
        <v>0.90604896894146503</v>
      </c>
      <c r="AZ139" s="513">
        <f t="shared" si="77"/>
        <v>108465</v>
      </c>
      <c r="BA139" s="515" t="str">
        <f t="shared" si="78"/>
        <v>Vendido</v>
      </c>
      <c r="BB139" s="516" t="str">
        <f t="shared" si="79"/>
        <v>Cliente Atrasado</v>
      </c>
      <c r="BC139" s="551">
        <v>15</v>
      </c>
      <c r="BD139" s="693">
        <f t="shared" si="80"/>
        <v>1</v>
      </c>
      <c r="BE139" s="693">
        <f t="shared" si="81"/>
        <v>16</v>
      </c>
      <c r="BF139" s="517">
        <v>10000</v>
      </c>
      <c r="BG139" s="517">
        <v>6564</v>
      </c>
      <c r="BH139" s="693">
        <f t="shared" si="82"/>
        <v>14</v>
      </c>
      <c r="BI139" s="693">
        <f t="shared" si="83"/>
        <v>16</v>
      </c>
      <c r="BJ139" s="655">
        <f t="shared" si="71"/>
        <v>115024</v>
      </c>
      <c r="BK139" s="518">
        <f t="shared" si="84"/>
        <v>91896</v>
      </c>
      <c r="BL139" s="518">
        <f t="shared" si="85"/>
        <v>10000</v>
      </c>
      <c r="BM139" s="518">
        <f t="shared" si="86"/>
        <v>0</v>
      </c>
      <c r="BN139" s="518">
        <f t="shared" si="87"/>
        <v>0</v>
      </c>
      <c r="BO139" s="655">
        <f t="shared" si="70"/>
        <v>13128</v>
      </c>
      <c r="BP139" s="693">
        <f t="shared" si="88"/>
        <v>2</v>
      </c>
      <c r="BQ139" s="696"/>
      <c r="BR139" s="519"/>
      <c r="BT139" s="439">
        <f t="shared" si="89"/>
        <v>-13128</v>
      </c>
      <c r="BU139" s="439">
        <f t="shared" si="90"/>
        <v>-13128</v>
      </c>
      <c r="BV139" s="439">
        <f t="shared" si="91"/>
        <v>0</v>
      </c>
      <c r="BY139" s="862">
        <f t="shared" si="92"/>
        <v>694597.89599999995</v>
      </c>
      <c r="BZ139" s="862">
        <f t="shared" si="93"/>
        <v>297684.81199999998</v>
      </c>
      <c r="CA139" s="862">
        <f t="shared" si="94"/>
        <v>83351.75</v>
      </c>
      <c r="CB139" s="862">
        <f t="shared" si="95"/>
        <v>8930.5400000000009</v>
      </c>
      <c r="CC139" s="863">
        <f t="shared" si="96"/>
        <v>777949.65</v>
      </c>
      <c r="CD139" s="863">
        <f t="shared" si="97"/>
        <v>306615.34999999998</v>
      </c>
      <c r="CE139" s="864">
        <f t="shared" si="98"/>
        <v>1084565</v>
      </c>
      <c r="CF139" s="862">
        <f t="shared" si="99"/>
        <v>0</v>
      </c>
    </row>
    <row r="140" spans="1:84" s="429" customFormat="1" ht="13.9" customHeight="1" x14ac:dyDescent="0.25">
      <c r="A140" s="472"/>
      <c r="B140" s="436">
        <v>807</v>
      </c>
      <c r="C140" s="436" t="s">
        <v>400</v>
      </c>
      <c r="D140" s="436"/>
      <c r="E140" s="436" t="s">
        <v>366</v>
      </c>
      <c r="F140" s="429" t="s">
        <v>538</v>
      </c>
      <c r="G140" s="473">
        <v>45260</v>
      </c>
      <c r="H140" s="436" t="s">
        <v>128</v>
      </c>
      <c r="I140" s="472">
        <v>901400</v>
      </c>
      <c r="J140" s="472">
        <v>90200</v>
      </c>
      <c r="K140" s="507">
        <v>0</v>
      </c>
      <c r="L140" s="507">
        <v>0</v>
      </c>
      <c r="M140" s="507">
        <v>0</v>
      </c>
      <c r="N140" s="507">
        <v>0</v>
      </c>
      <c r="O140" s="507">
        <v>0</v>
      </c>
      <c r="P140" s="507">
        <v>0</v>
      </c>
      <c r="Q140" s="507">
        <v>0</v>
      </c>
      <c r="R140" s="507">
        <v>0</v>
      </c>
      <c r="S140" s="507">
        <v>5500</v>
      </c>
      <c r="T140" s="507">
        <v>0</v>
      </c>
      <c r="U140" s="507">
        <v>5000</v>
      </c>
      <c r="V140" s="507">
        <v>2500</v>
      </c>
      <c r="W140" s="507">
        <v>0</v>
      </c>
      <c r="X140" s="507">
        <v>5000</v>
      </c>
      <c r="Y140" s="507">
        <v>2500</v>
      </c>
      <c r="Z140" s="507">
        <v>0</v>
      </c>
      <c r="AA140" s="507">
        <v>14500</v>
      </c>
      <c r="AB140" s="507">
        <v>2500</v>
      </c>
      <c r="AC140" s="507">
        <v>2500</v>
      </c>
      <c r="AD140" s="507">
        <v>2500</v>
      </c>
      <c r="AE140" s="507">
        <v>2500</v>
      </c>
      <c r="AF140" s="507">
        <v>0</v>
      </c>
      <c r="AG140" s="507">
        <v>12000</v>
      </c>
      <c r="AH140" s="507">
        <v>0</v>
      </c>
      <c r="AI140" s="507">
        <v>2500</v>
      </c>
      <c r="AJ140" s="507">
        <f>2500+2500</f>
        <v>5000</v>
      </c>
      <c r="AK140" s="508">
        <v>2500</v>
      </c>
      <c r="AL140" s="508"/>
      <c r="AM140" s="509">
        <f>2500+12000</f>
        <v>14500</v>
      </c>
      <c r="AN140" s="509">
        <v>2500</v>
      </c>
      <c r="AO140" s="509">
        <v>0</v>
      </c>
      <c r="AP140" s="509">
        <v>5500</v>
      </c>
      <c r="AQ140" s="509">
        <v>900</v>
      </c>
      <c r="AR140" s="509"/>
      <c r="AS140" s="509"/>
      <c r="AT140" s="510">
        <f t="shared" si="100"/>
        <v>90400</v>
      </c>
      <c r="AU140" s="512">
        <f t="shared" si="72"/>
        <v>1.0022172949002217</v>
      </c>
      <c r="AV140" s="511">
        <f t="shared" si="73"/>
        <v>200</v>
      </c>
      <c r="AW140" s="558">
        <f t="shared" si="74"/>
        <v>2.2172949002217295E-3</v>
      </c>
      <c r="AX140" s="513">
        <f t="shared" si="75"/>
        <v>811000</v>
      </c>
      <c r="AY140" s="514">
        <f t="shared" si="76"/>
        <v>0.89971155979587314</v>
      </c>
      <c r="AZ140" s="513">
        <f t="shared" si="77"/>
        <v>90200</v>
      </c>
      <c r="BA140" s="515" t="str">
        <f t="shared" si="78"/>
        <v>Vendido</v>
      </c>
      <c r="BB140" s="516" t="str">
        <f t="shared" si="79"/>
        <v>Superávit de Enganche</v>
      </c>
      <c r="BC140" s="551">
        <v>22</v>
      </c>
      <c r="BD140" s="693">
        <f t="shared" si="80"/>
        <v>1</v>
      </c>
      <c r="BE140" s="693">
        <f t="shared" si="81"/>
        <v>23</v>
      </c>
      <c r="BF140" s="517">
        <v>5500</v>
      </c>
      <c r="BG140" s="517">
        <v>2500</v>
      </c>
      <c r="BH140" s="693">
        <f t="shared" si="82"/>
        <v>13</v>
      </c>
      <c r="BI140" s="693">
        <f t="shared" si="83"/>
        <v>25</v>
      </c>
      <c r="BJ140" s="655">
        <f t="shared" si="71"/>
        <v>68000</v>
      </c>
      <c r="BK140" s="518">
        <f t="shared" si="84"/>
        <v>23400</v>
      </c>
      <c r="BL140" s="518">
        <f t="shared" si="85"/>
        <v>67000</v>
      </c>
      <c r="BM140" s="518">
        <f t="shared" si="86"/>
        <v>0</v>
      </c>
      <c r="BN140" s="518">
        <f t="shared" si="87"/>
        <v>22400</v>
      </c>
      <c r="BO140" s="655">
        <f t="shared" si="70"/>
        <v>0</v>
      </c>
      <c r="BP140" s="693">
        <f t="shared" si="88"/>
        <v>0</v>
      </c>
      <c r="BQ140" s="696"/>
      <c r="BR140" s="519"/>
      <c r="BT140" s="439">
        <f t="shared" si="89"/>
        <v>22400</v>
      </c>
      <c r="BU140" s="439">
        <f t="shared" si="90"/>
        <v>22400</v>
      </c>
      <c r="BV140" s="439">
        <f t="shared" si="91"/>
        <v>0</v>
      </c>
      <c r="BY140" s="862">
        <f t="shared" si="92"/>
        <v>577291.85699999996</v>
      </c>
      <c r="BZ140" s="862">
        <f t="shared" si="93"/>
        <v>247410.796</v>
      </c>
      <c r="CA140" s="862">
        <f t="shared" si="94"/>
        <v>69275.02</v>
      </c>
      <c r="CB140" s="862">
        <f t="shared" si="95"/>
        <v>7422.32</v>
      </c>
      <c r="CC140" s="863">
        <f t="shared" si="96"/>
        <v>646566.88</v>
      </c>
      <c r="CD140" s="863">
        <f t="shared" si="97"/>
        <v>254833.12</v>
      </c>
      <c r="CE140" s="864">
        <f t="shared" si="98"/>
        <v>901400</v>
      </c>
      <c r="CF140" s="862">
        <f t="shared" si="99"/>
        <v>0</v>
      </c>
    </row>
    <row r="141" spans="1:84" s="429" customFormat="1" ht="13.9" customHeight="1" x14ac:dyDescent="0.25">
      <c r="A141" s="472"/>
      <c r="B141" s="436">
        <v>808</v>
      </c>
      <c r="C141" s="436" t="s">
        <v>175</v>
      </c>
      <c r="D141" s="436"/>
      <c r="E141" s="436" t="s">
        <v>366</v>
      </c>
      <c r="F141" s="429" t="s">
        <v>539</v>
      </c>
      <c r="G141" s="473">
        <v>45356</v>
      </c>
      <c r="H141" s="436" t="s">
        <v>128</v>
      </c>
      <c r="I141" s="472">
        <v>887400</v>
      </c>
      <c r="J141" s="472">
        <v>88800</v>
      </c>
      <c r="K141" s="507">
        <v>0</v>
      </c>
      <c r="L141" s="507">
        <v>0</v>
      </c>
      <c r="M141" s="507">
        <v>0</v>
      </c>
      <c r="N141" s="507">
        <v>0</v>
      </c>
      <c r="O141" s="507">
        <v>0</v>
      </c>
      <c r="P141" s="507">
        <v>0</v>
      </c>
      <c r="Q141" s="507">
        <v>0</v>
      </c>
      <c r="R141" s="507">
        <v>0</v>
      </c>
      <c r="S141" s="507">
        <v>0</v>
      </c>
      <c r="T141" s="507">
        <v>0</v>
      </c>
      <c r="U141" s="507">
        <v>0</v>
      </c>
      <c r="V141" s="507">
        <v>0</v>
      </c>
      <c r="W141" s="507">
        <v>8000</v>
      </c>
      <c r="X141" s="507">
        <v>4486</v>
      </c>
      <c r="Y141" s="507">
        <v>4486</v>
      </c>
      <c r="Z141" s="507">
        <v>4486</v>
      </c>
      <c r="AA141" s="507">
        <v>4486</v>
      </c>
      <c r="AB141" s="507">
        <v>4486</v>
      </c>
      <c r="AC141" s="507">
        <v>4486</v>
      </c>
      <c r="AD141" s="507">
        <v>4486</v>
      </c>
      <c r="AE141" s="507">
        <v>4486</v>
      </c>
      <c r="AF141" s="507">
        <v>4486</v>
      </c>
      <c r="AG141" s="507">
        <v>4485.5600000000004</v>
      </c>
      <c r="AH141" s="507">
        <v>4486</v>
      </c>
      <c r="AI141" s="507">
        <v>4486</v>
      </c>
      <c r="AJ141" s="507">
        <v>4486</v>
      </c>
      <c r="AK141" s="508">
        <v>4486</v>
      </c>
      <c r="AL141" s="508">
        <v>4486</v>
      </c>
      <c r="AM141" s="509">
        <v>4486</v>
      </c>
      <c r="AN141" s="509">
        <v>4486</v>
      </c>
      <c r="AO141" s="509">
        <v>4538.4399999999996</v>
      </c>
      <c r="AP141" s="509">
        <v>0</v>
      </c>
      <c r="AQ141" s="509">
        <v>0</v>
      </c>
      <c r="AR141" s="509"/>
      <c r="AS141" s="509"/>
      <c r="AT141" s="510">
        <f t="shared" si="100"/>
        <v>88800</v>
      </c>
      <c r="AU141" s="512">
        <f t="shared" si="72"/>
        <v>1</v>
      </c>
      <c r="AV141" s="511">
        <f t="shared" si="73"/>
        <v>0</v>
      </c>
      <c r="AW141" s="558">
        <f t="shared" si="74"/>
        <v>0</v>
      </c>
      <c r="AX141" s="513">
        <f t="shared" si="75"/>
        <v>798600</v>
      </c>
      <c r="AY141" s="514">
        <f t="shared" si="76"/>
        <v>0.89993238674780252</v>
      </c>
      <c r="AZ141" s="513">
        <f t="shared" si="77"/>
        <v>88800</v>
      </c>
      <c r="BA141" s="515" t="str">
        <f t="shared" si="78"/>
        <v>Vendido</v>
      </c>
      <c r="BB141" s="516" t="str">
        <f t="shared" si="79"/>
        <v>Cliente Atrasado</v>
      </c>
      <c r="BC141" s="551">
        <v>18</v>
      </c>
      <c r="BD141" s="693">
        <f t="shared" si="80"/>
        <v>1</v>
      </c>
      <c r="BE141" s="693">
        <f t="shared" si="81"/>
        <v>19</v>
      </c>
      <c r="BF141" s="517">
        <v>8000</v>
      </c>
      <c r="BG141" s="517">
        <v>4489</v>
      </c>
      <c r="BH141" s="693">
        <f t="shared" si="82"/>
        <v>18</v>
      </c>
      <c r="BI141" s="693">
        <f t="shared" si="83"/>
        <v>22</v>
      </c>
      <c r="BJ141" s="655">
        <f t="shared" si="71"/>
        <v>106758</v>
      </c>
      <c r="BK141" s="518">
        <f t="shared" si="84"/>
        <v>76261.56</v>
      </c>
      <c r="BL141" s="518">
        <f t="shared" si="85"/>
        <v>12538.439999999999</v>
      </c>
      <c r="BM141" s="518">
        <f t="shared" si="86"/>
        <v>0</v>
      </c>
      <c r="BN141" s="518">
        <f t="shared" si="87"/>
        <v>0</v>
      </c>
      <c r="BO141" s="655">
        <f t="shared" si="70"/>
        <v>17958</v>
      </c>
      <c r="BP141" s="693">
        <f t="shared" si="88"/>
        <v>5</v>
      </c>
      <c r="BQ141" s="696"/>
      <c r="BR141" s="519"/>
      <c r="BT141" s="439">
        <f t="shared" si="89"/>
        <v>-17958</v>
      </c>
      <c r="BU141" s="439">
        <f t="shared" si="90"/>
        <v>-17958</v>
      </c>
      <c r="BV141" s="439">
        <f t="shared" si="91"/>
        <v>0</v>
      </c>
      <c r="BY141" s="862">
        <f t="shared" si="92"/>
        <v>568325.70900000003</v>
      </c>
      <c r="BZ141" s="862">
        <f t="shared" si="93"/>
        <v>243568.16099999999</v>
      </c>
      <c r="CA141" s="862">
        <f t="shared" si="94"/>
        <v>68199.09</v>
      </c>
      <c r="CB141" s="862">
        <f t="shared" si="95"/>
        <v>7307.04</v>
      </c>
      <c r="CC141" s="863">
        <f t="shared" si="96"/>
        <v>636524.80000000005</v>
      </c>
      <c r="CD141" s="863">
        <f t="shared" si="97"/>
        <v>250875.2</v>
      </c>
      <c r="CE141" s="864">
        <f t="shared" si="98"/>
        <v>887400</v>
      </c>
      <c r="CF141" s="862">
        <f t="shared" si="99"/>
        <v>0</v>
      </c>
    </row>
    <row r="142" spans="1:84" s="429" customFormat="1" ht="13.9" customHeight="1" x14ac:dyDescent="0.25">
      <c r="A142" s="472"/>
      <c r="B142" s="436">
        <v>809</v>
      </c>
      <c r="C142" s="436" t="s">
        <v>125</v>
      </c>
      <c r="D142" s="436"/>
      <c r="E142" s="436" t="s">
        <v>366</v>
      </c>
      <c r="F142" s="429" t="s">
        <v>540</v>
      </c>
      <c r="G142" s="473">
        <v>45353</v>
      </c>
      <c r="H142" s="436" t="s">
        <v>128</v>
      </c>
      <c r="I142" s="472">
        <v>1390400</v>
      </c>
      <c r="J142" s="472">
        <v>139100</v>
      </c>
      <c r="K142" s="507">
        <v>0</v>
      </c>
      <c r="L142" s="507">
        <v>0</v>
      </c>
      <c r="M142" s="507">
        <v>0</v>
      </c>
      <c r="N142" s="507">
        <v>0</v>
      </c>
      <c r="O142" s="507">
        <v>0</v>
      </c>
      <c r="P142" s="507">
        <v>0</v>
      </c>
      <c r="Q142" s="507">
        <v>0</v>
      </c>
      <c r="R142" s="507">
        <v>0</v>
      </c>
      <c r="S142" s="507">
        <v>0</v>
      </c>
      <c r="T142" s="507">
        <v>0</v>
      </c>
      <c r="U142" s="507">
        <v>0</v>
      </c>
      <c r="V142" s="507">
        <v>0</v>
      </c>
      <c r="W142" s="507">
        <v>8000</v>
      </c>
      <c r="X142" s="507">
        <v>7283</v>
      </c>
      <c r="Y142" s="507">
        <v>7283</v>
      </c>
      <c r="Z142" s="507">
        <v>7283</v>
      </c>
      <c r="AA142" s="507">
        <v>7283</v>
      </c>
      <c r="AB142" s="507">
        <v>7283</v>
      </c>
      <c r="AC142" s="507">
        <v>7283</v>
      </c>
      <c r="AD142" s="507">
        <v>7283</v>
      </c>
      <c r="AE142" s="507">
        <v>7283</v>
      </c>
      <c r="AF142" s="507">
        <v>7283</v>
      </c>
      <c r="AG142" s="507">
        <v>7283</v>
      </c>
      <c r="AH142" s="507">
        <v>0</v>
      </c>
      <c r="AI142" s="507">
        <v>14566</v>
      </c>
      <c r="AJ142" s="507">
        <v>7283</v>
      </c>
      <c r="AK142" s="508">
        <v>7283</v>
      </c>
      <c r="AL142" s="508"/>
      <c r="AM142" s="509">
        <f>7283+7283</f>
        <v>14566</v>
      </c>
      <c r="AN142" s="509">
        <v>0</v>
      </c>
      <c r="AO142" s="509">
        <v>7283</v>
      </c>
      <c r="AP142" s="509">
        <v>7283</v>
      </c>
      <c r="AQ142" s="509">
        <v>6</v>
      </c>
      <c r="AR142" s="509"/>
      <c r="AS142" s="509"/>
      <c r="AT142" s="510">
        <f t="shared" si="100"/>
        <v>139100</v>
      </c>
      <c r="AU142" s="512">
        <f t="shared" si="72"/>
        <v>1</v>
      </c>
      <c r="AV142" s="511">
        <f t="shared" si="73"/>
        <v>0</v>
      </c>
      <c r="AW142" s="558">
        <f t="shared" si="74"/>
        <v>0</v>
      </c>
      <c r="AX142" s="513">
        <f t="shared" si="75"/>
        <v>1251300</v>
      </c>
      <c r="AY142" s="514">
        <f t="shared" si="76"/>
        <v>0.89995684695051781</v>
      </c>
      <c r="AZ142" s="513">
        <f t="shared" si="77"/>
        <v>139100</v>
      </c>
      <c r="BA142" s="515" t="str">
        <f t="shared" si="78"/>
        <v>Vendido</v>
      </c>
      <c r="BB142" s="516" t="str">
        <f t="shared" si="79"/>
        <v>Cliente Atrasado</v>
      </c>
      <c r="BC142" s="551">
        <v>18</v>
      </c>
      <c r="BD142" s="693">
        <f t="shared" si="80"/>
        <v>1</v>
      </c>
      <c r="BE142" s="693">
        <f t="shared" si="81"/>
        <v>19</v>
      </c>
      <c r="BF142" s="517">
        <v>8000</v>
      </c>
      <c r="BG142" s="517">
        <v>7283</v>
      </c>
      <c r="BH142" s="693">
        <f t="shared" si="82"/>
        <v>15</v>
      </c>
      <c r="BI142" s="693">
        <f t="shared" si="83"/>
        <v>22</v>
      </c>
      <c r="BJ142" s="655">
        <f t="shared" si="71"/>
        <v>168226</v>
      </c>
      <c r="BK142" s="518">
        <f t="shared" si="84"/>
        <v>101968</v>
      </c>
      <c r="BL142" s="518">
        <f t="shared" si="85"/>
        <v>37132</v>
      </c>
      <c r="BM142" s="518">
        <f t="shared" si="86"/>
        <v>0</v>
      </c>
      <c r="BN142" s="518">
        <f t="shared" si="87"/>
        <v>0</v>
      </c>
      <c r="BO142" s="655">
        <f t="shared" si="70"/>
        <v>29126</v>
      </c>
      <c r="BP142" s="693">
        <f t="shared" si="88"/>
        <v>4</v>
      </c>
      <c r="BQ142" s="696"/>
      <c r="BR142" s="519"/>
      <c r="BT142" s="439">
        <f t="shared" si="89"/>
        <v>-29126</v>
      </c>
      <c r="BU142" s="439">
        <f t="shared" si="90"/>
        <v>-29126</v>
      </c>
      <c r="BV142" s="439">
        <f t="shared" si="91"/>
        <v>0</v>
      </c>
      <c r="BY142" s="862">
        <f t="shared" si="92"/>
        <v>890466.60600000003</v>
      </c>
      <c r="BZ142" s="862">
        <f t="shared" si="93"/>
        <v>381628.54499999998</v>
      </c>
      <c r="CA142" s="862">
        <f t="shared" si="94"/>
        <v>106855.99</v>
      </c>
      <c r="CB142" s="862">
        <f t="shared" si="95"/>
        <v>11448.86</v>
      </c>
      <c r="CC142" s="863">
        <f t="shared" si="96"/>
        <v>997322.6</v>
      </c>
      <c r="CD142" s="863">
        <f t="shared" si="97"/>
        <v>393077.41</v>
      </c>
      <c r="CE142" s="864">
        <f t="shared" si="98"/>
        <v>1390400.01</v>
      </c>
      <c r="CF142" s="862">
        <f t="shared" si="99"/>
        <v>1.0000000009313226E-2</v>
      </c>
    </row>
    <row r="143" spans="1:84" s="429" customFormat="1" ht="13.9" customHeight="1" x14ac:dyDescent="0.25">
      <c r="A143" s="472"/>
      <c r="B143" s="436">
        <v>810</v>
      </c>
      <c r="C143" s="436" t="s">
        <v>178</v>
      </c>
      <c r="D143" s="436"/>
      <c r="E143" s="436" t="s">
        <v>383</v>
      </c>
      <c r="F143" s="429" t="s">
        <v>541</v>
      </c>
      <c r="G143" s="473">
        <v>45099</v>
      </c>
      <c r="H143" s="436" t="s">
        <v>128</v>
      </c>
      <c r="I143" s="472">
        <v>697500</v>
      </c>
      <c r="J143" s="472">
        <v>70000</v>
      </c>
      <c r="K143" s="507">
        <v>0</v>
      </c>
      <c r="L143" s="507">
        <v>0</v>
      </c>
      <c r="M143" s="507">
        <v>0</v>
      </c>
      <c r="N143" s="507">
        <v>6000</v>
      </c>
      <c r="O143" s="507">
        <v>1600</v>
      </c>
      <c r="P143" s="507">
        <v>1600</v>
      </c>
      <c r="Q143" s="507">
        <v>1600</v>
      </c>
      <c r="R143" s="507">
        <v>1600</v>
      </c>
      <c r="S143" s="507">
        <v>1600</v>
      </c>
      <c r="T143" s="507">
        <v>0</v>
      </c>
      <c r="U143" s="507">
        <v>6000</v>
      </c>
      <c r="V143" s="507">
        <v>0</v>
      </c>
      <c r="W143" s="507">
        <v>0</v>
      </c>
      <c r="X143" s="507">
        <v>3200</v>
      </c>
      <c r="Y143" s="507">
        <v>1600</v>
      </c>
      <c r="Z143" s="507">
        <v>0</v>
      </c>
      <c r="AA143" s="507">
        <v>6000</v>
      </c>
      <c r="AB143" s="507">
        <v>1600</v>
      </c>
      <c r="AC143" s="507">
        <v>1600</v>
      </c>
      <c r="AD143" s="507">
        <v>0</v>
      </c>
      <c r="AE143" s="507">
        <v>1600</v>
      </c>
      <c r="AF143" s="507">
        <v>0</v>
      </c>
      <c r="AG143" s="507">
        <v>0</v>
      </c>
      <c r="AH143" s="507">
        <f>1600+1600</f>
        <v>3200</v>
      </c>
      <c r="AI143" s="507">
        <v>1600</v>
      </c>
      <c r="AJ143" s="507">
        <f>1600+6000</f>
        <v>7600</v>
      </c>
      <c r="AK143" s="508">
        <v>1600</v>
      </c>
      <c r="AL143" s="508">
        <v>1600</v>
      </c>
      <c r="AM143" s="509">
        <v>6000</v>
      </c>
      <c r="AN143" s="509">
        <v>0</v>
      </c>
      <c r="AO143" s="509">
        <v>1600</v>
      </c>
      <c r="AP143" s="509">
        <v>1600</v>
      </c>
      <c r="AQ143" s="509">
        <v>0</v>
      </c>
      <c r="AR143" s="509">
        <v>1600</v>
      </c>
      <c r="AS143" s="509"/>
      <c r="AT143" s="510">
        <f t="shared" si="100"/>
        <v>62000</v>
      </c>
      <c r="AU143" s="512">
        <f t="shared" si="72"/>
        <v>0.88571428571428568</v>
      </c>
      <c r="AV143" s="511">
        <f t="shared" si="73"/>
        <v>-8000</v>
      </c>
      <c r="AW143" s="558">
        <f t="shared" si="74"/>
        <v>-0.11428571428571428</v>
      </c>
      <c r="AX143" s="513">
        <f t="shared" si="75"/>
        <v>635500</v>
      </c>
      <c r="AY143" s="514">
        <f t="shared" si="76"/>
        <v>0.91111111111111109</v>
      </c>
      <c r="AZ143" s="513">
        <f t="shared" si="77"/>
        <v>70000</v>
      </c>
      <c r="BA143" s="515" t="str">
        <f t="shared" si="78"/>
        <v>Vendido</v>
      </c>
      <c r="BB143" s="516" t="str">
        <f t="shared" si="79"/>
        <v>Cliente al día</v>
      </c>
      <c r="BC143" s="551">
        <v>27</v>
      </c>
      <c r="BD143" s="693">
        <f t="shared" si="80"/>
        <v>1</v>
      </c>
      <c r="BE143" s="693">
        <f t="shared" si="81"/>
        <v>28</v>
      </c>
      <c r="BF143" s="517">
        <v>6000</v>
      </c>
      <c r="BG143" s="517">
        <v>1600</v>
      </c>
      <c r="BH143" s="693">
        <f t="shared" si="82"/>
        <v>17</v>
      </c>
      <c r="BI143" s="693">
        <f t="shared" si="83"/>
        <v>31</v>
      </c>
      <c r="BJ143" s="655">
        <f t="shared" si="71"/>
        <v>55600</v>
      </c>
      <c r="BK143" s="518">
        <f t="shared" si="84"/>
        <v>24000</v>
      </c>
      <c r="BL143" s="518">
        <f t="shared" si="85"/>
        <v>38000</v>
      </c>
      <c r="BM143" s="518">
        <f t="shared" si="86"/>
        <v>0</v>
      </c>
      <c r="BN143" s="518">
        <f t="shared" si="87"/>
        <v>6400</v>
      </c>
      <c r="BO143" s="655">
        <f t="shared" si="70"/>
        <v>0</v>
      </c>
      <c r="BP143" s="693">
        <f t="shared" si="88"/>
        <v>0</v>
      </c>
      <c r="BQ143" s="696"/>
      <c r="BR143" s="519"/>
      <c r="BT143" s="439">
        <f t="shared" si="89"/>
        <v>6400</v>
      </c>
      <c r="BU143" s="439">
        <f t="shared" si="90"/>
        <v>6400</v>
      </c>
      <c r="BV143" s="439">
        <f t="shared" si="91"/>
        <v>0</v>
      </c>
      <c r="BY143" s="862">
        <f t="shared" si="92"/>
        <v>446706.31300000002</v>
      </c>
      <c r="BZ143" s="862">
        <f t="shared" si="93"/>
        <v>191445.56299999999</v>
      </c>
      <c r="CA143" s="862">
        <f t="shared" si="94"/>
        <v>53604.76</v>
      </c>
      <c r="CB143" s="862">
        <f t="shared" si="95"/>
        <v>5743.37</v>
      </c>
      <c r="CC143" s="863">
        <f t="shared" si="96"/>
        <v>500311.07</v>
      </c>
      <c r="CD143" s="863">
        <f t="shared" si="97"/>
        <v>197188.93</v>
      </c>
      <c r="CE143" s="864">
        <f t="shared" si="98"/>
        <v>697500</v>
      </c>
      <c r="CF143" s="862">
        <f t="shared" si="99"/>
        <v>0</v>
      </c>
    </row>
    <row r="144" spans="1:84" s="429" customFormat="1" ht="13.9" customHeight="1" x14ac:dyDescent="0.25">
      <c r="A144" s="472"/>
      <c r="B144" s="436">
        <v>811</v>
      </c>
      <c r="C144" s="436" t="s">
        <v>391</v>
      </c>
      <c r="D144" s="641" t="s">
        <v>386</v>
      </c>
      <c r="E144" s="436" t="s">
        <v>366</v>
      </c>
      <c r="F144" s="429" t="s">
        <v>542</v>
      </c>
      <c r="G144" s="473">
        <v>45485</v>
      </c>
      <c r="H144" s="436" t="s">
        <v>128</v>
      </c>
      <c r="I144" s="472">
        <v>864446.02</v>
      </c>
      <c r="J144" s="472">
        <v>864446.02</v>
      </c>
      <c r="K144" s="507">
        <v>0</v>
      </c>
      <c r="L144" s="507">
        <v>0</v>
      </c>
      <c r="M144" s="507">
        <v>0</v>
      </c>
      <c r="N144" s="507">
        <v>0</v>
      </c>
      <c r="O144" s="507">
        <v>0</v>
      </c>
      <c r="P144" s="507">
        <v>0</v>
      </c>
      <c r="Q144" s="507">
        <v>0</v>
      </c>
      <c r="R144" s="507">
        <v>0</v>
      </c>
      <c r="S144" s="507">
        <v>0</v>
      </c>
      <c r="T144" s="507">
        <v>0</v>
      </c>
      <c r="U144" s="507">
        <v>0</v>
      </c>
      <c r="V144" s="507">
        <v>0</v>
      </c>
      <c r="W144" s="507">
        <v>0</v>
      </c>
      <c r="X144" s="507">
        <v>0</v>
      </c>
      <c r="Y144" s="507">
        <v>0</v>
      </c>
      <c r="Z144" s="507">
        <v>0</v>
      </c>
      <c r="AA144" s="507">
        <v>10000</v>
      </c>
      <c r="AB144" s="507">
        <v>0</v>
      </c>
      <c r="AC144" s="507">
        <v>0</v>
      </c>
      <c r="AD144" s="507">
        <v>854446.02</v>
      </c>
      <c r="AE144" s="507">
        <v>0</v>
      </c>
      <c r="AF144" s="507">
        <v>0</v>
      </c>
      <c r="AG144" s="507">
        <v>0</v>
      </c>
      <c r="AH144" s="507">
        <v>0</v>
      </c>
      <c r="AI144" s="507">
        <v>0</v>
      </c>
      <c r="AJ144" s="507">
        <v>0</v>
      </c>
      <c r="AK144" s="508"/>
      <c r="AL144" s="508"/>
      <c r="AM144" s="508"/>
      <c r="AN144" s="509">
        <v>0</v>
      </c>
      <c r="AO144" s="509">
        <v>0</v>
      </c>
      <c r="AP144" s="509">
        <v>0</v>
      </c>
      <c r="AQ144" s="509">
        <v>0</v>
      </c>
      <c r="AR144" s="508"/>
      <c r="AS144" s="508"/>
      <c r="AT144" s="510">
        <f t="shared" si="100"/>
        <v>864446.02</v>
      </c>
      <c r="AU144" s="512">
        <f t="shared" si="72"/>
        <v>1</v>
      </c>
      <c r="AV144" s="511">
        <f t="shared" si="73"/>
        <v>0</v>
      </c>
      <c r="AW144" s="558">
        <f t="shared" si="74"/>
        <v>0</v>
      </c>
      <c r="AX144" s="513">
        <f t="shared" si="75"/>
        <v>0</v>
      </c>
      <c r="AY144" s="514">
        <f t="shared" si="76"/>
        <v>0</v>
      </c>
      <c r="AZ144" s="513">
        <f t="shared" si="77"/>
        <v>864446.02</v>
      </c>
      <c r="BA144" s="515" t="str">
        <f t="shared" si="78"/>
        <v>Vendido</v>
      </c>
      <c r="BB144" s="516" t="str">
        <f t="shared" si="79"/>
        <v>Enganche Completado</v>
      </c>
      <c r="BC144" s="643">
        <v>1</v>
      </c>
      <c r="BD144" s="693">
        <f t="shared" si="80"/>
        <v>0</v>
      </c>
      <c r="BE144" s="693">
        <f t="shared" si="81"/>
        <v>1</v>
      </c>
      <c r="BF144" s="644">
        <v>10000</v>
      </c>
      <c r="BG144" s="645">
        <f>864446.02-10000</f>
        <v>854446.02</v>
      </c>
      <c r="BH144" s="693">
        <f t="shared" si="82"/>
        <v>0</v>
      </c>
      <c r="BI144" s="693">
        <f t="shared" si="83"/>
        <v>18</v>
      </c>
      <c r="BJ144" s="668">
        <v>0</v>
      </c>
      <c r="BK144" s="518">
        <f t="shared" si="84"/>
        <v>864446.02</v>
      </c>
      <c r="BL144" s="518">
        <f t="shared" si="85"/>
        <v>0</v>
      </c>
      <c r="BM144" s="518">
        <f t="shared" si="86"/>
        <v>0</v>
      </c>
      <c r="BN144" s="518">
        <f t="shared" si="87"/>
        <v>864446.02</v>
      </c>
      <c r="BO144" s="655">
        <v>0</v>
      </c>
      <c r="BP144" s="693">
        <f t="shared" si="88"/>
        <v>0</v>
      </c>
      <c r="BQ144" s="696" t="s">
        <v>388</v>
      </c>
      <c r="BR144" s="519" t="s">
        <v>543</v>
      </c>
      <c r="BT144" s="439">
        <f t="shared" si="89"/>
        <v>864446.02</v>
      </c>
      <c r="BU144" s="439">
        <f t="shared" si="90"/>
        <v>864446.02</v>
      </c>
      <c r="BV144" s="439">
        <f t="shared" si="91"/>
        <v>0</v>
      </c>
      <c r="BY144" s="862">
        <f t="shared" si="92"/>
        <v>553625.08100000001</v>
      </c>
      <c r="BZ144" s="862">
        <f t="shared" si="93"/>
        <v>237267.89199999999</v>
      </c>
      <c r="CA144" s="862">
        <f t="shared" si="94"/>
        <v>66435.009999999995</v>
      </c>
      <c r="CB144" s="862">
        <f t="shared" si="95"/>
        <v>7118.04</v>
      </c>
      <c r="CC144" s="863">
        <f t="shared" si="96"/>
        <v>620060.09</v>
      </c>
      <c r="CD144" s="863">
        <f t="shared" si="97"/>
        <v>244385.93</v>
      </c>
      <c r="CE144" s="864">
        <f t="shared" si="98"/>
        <v>864446.02</v>
      </c>
      <c r="CF144" s="862">
        <f t="shared" si="99"/>
        <v>0</v>
      </c>
    </row>
    <row r="145" spans="1:84" s="429" customFormat="1" ht="13.9" customHeight="1" x14ac:dyDescent="0.25">
      <c r="A145" s="472"/>
      <c r="B145" s="436">
        <v>812</v>
      </c>
      <c r="C145" s="436" t="s">
        <v>194</v>
      </c>
      <c r="D145" s="641" t="s">
        <v>386</v>
      </c>
      <c r="E145" s="436" t="s">
        <v>366</v>
      </c>
      <c r="F145" s="429" t="s">
        <v>544</v>
      </c>
      <c r="G145" s="473">
        <v>45503</v>
      </c>
      <c r="H145" s="436" t="s">
        <v>128</v>
      </c>
      <c r="I145" s="472">
        <v>941467.1</v>
      </c>
      <c r="J145" s="472">
        <f>+I145*0.1</f>
        <v>94146.71</v>
      </c>
      <c r="K145" s="507">
        <v>0</v>
      </c>
      <c r="L145" s="507">
        <v>0</v>
      </c>
      <c r="M145" s="507">
        <v>0</v>
      </c>
      <c r="N145" s="507">
        <v>0</v>
      </c>
      <c r="O145" s="507">
        <v>0</v>
      </c>
      <c r="P145" s="507">
        <v>0</v>
      </c>
      <c r="Q145" s="507">
        <v>0</v>
      </c>
      <c r="R145" s="507">
        <v>0</v>
      </c>
      <c r="S145" s="507">
        <v>0</v>
      </c>
      <c r="T145" s="507">
        <v>0</v>
      </c>
      <c r="U145" s="507">
        <v>0</v>
      </c>
      <c r="V145" s="507">
        <v>0</v>
      </c>
      <c r="W145" s="507">
        <v>0</v>
      </c>
      <c r="X145" s="507">
        <v>0</v>
      </c>
      <c r="Y145" s="507">
        <v>0</v>
      </c>
      <c r="Z145" s="507">
        <v>0</v>
      </c>
      <c r="AA145" s="507">
        <v>10000</v>
      </c>
      <c r="AB145" s="507">
        <v>0</v>
      </c>
      <c r="AC145" s="507">
        <v>84146.71</v>
      </c>
      <c r="AD145" s="507">
        <v>0</v>
      </c>
      <c r="AE145" s="507">
        <v>0</v>
      </c>
      <c r="AF145" s="507">
        <v>0</v>
      </c>
      <c r="AG145" s="507">
        <v>0</v>
      </c>
      <c r="AH145" s="507">
        <v>0</v>
      </c>
      <c r="AI145" s="507">
        <v>0</v>
      </c>
      <c r="AJ145" s="507">
        <v>0</v>
      </c>
      <c r="AK145" s="508"/>
      <c r="AL145" s="508"/>
      <c r="AM145" s="508"/>
      <c r="AN145" s="509">
        <v>0</v>
      </c>
      <c r="AO145" s="509">
        <v>0</v>
      </c>
      <c r="AP145" s="509">
        <v>0</v>
      </c>
      <c r="AQ145" s="509">
        <v>0</v>
      </c>
      <c r="AR145" s="508"/>
      <c r="AS145" s="508"/>
      <c r="AT145" s="510">
        <f t="shared" si="100"/>
        <v>94146.71</v>
      </c>
      <c r="AU145" s="512">
        <f t="shared" si="72"/>
        <v>1</v>
      </c>
      <c r="AV145" s="511">
        <f t="shared" si="73"/>
        <v>0</v>
      </c>
      <c r="AW145" s="558">
        <f t="shared" si="74"/>
        <v>0</v>
      </c>
      <c r="AX145" s="513">
        <f t="shared" si="75"/>
        <v>847320.39</v>
      </c>
      <c r="AY145" s="514">
        <f t="shared" si="76"/>
        <v>0.9</v>
      </c>
      <c r="AZ145" s="513">
        <f t="shared" si="77"/>
        <v>94146.71</v>
      </c>
      <c r="BA145" s="515" t="str">
        <f t="shared" si="78"/>
        <v>Vendido</v>
      </c>
      <c r="BB145" s="516" t="str">
        <f t="shared" si="79"/>
        <v>Enganche Completado</v>
      </c>
      <c r="BC145" s="643">
        <v>1</v>
      </c>
      <c r="BD145" s="693">
        <f t="shared" si="80"/>
        <v>0</v>
      </c>
      <c r="BE145" s="693">
        <f t="shared" si="81"/>
        <v>1</v>
      </c>
      <c r="BF145" s="644">
        <v>10000</v>
      </c>
      <c r="BG145" s="645">
        <v>84146.71</v>
      </c>
      <c r="BH145" s="693">
        <f t="shared" si="82"/>
        <v>0</v>
      </c>
      <c r="BI145" s="693">
        <f t="shared" si="83"/>
        <v>17</v>
      </c>
      <c r="BJ145" s="668">
        <v>0</v>
      </c>
      <c r="BK145" s="518">
        <f t="shared" si="84"/>
        <v>94146.71</v>
      </c>
      <c r="BL145" s="518">
        <f t="shared" si="85"/>
        <v>0</v>
      </c>
      <c r="BM145" s="518">
        <f t="shared" si="86"/>
        <v>0</v>
      </c>
      <c r="BN145" s="518">
        <f t="shared" si="87"/>
        <v>94146.71</v>
      </c>
      <c r="BO145" s="655">
        <v>0</v>
      </c>
      <c r="BP145" s="693">
        <f t="shared" si="88"/>
        <v>0</v>
      </c>
      <c r="BQ145" s="696" t="s">
        <v>388</v>
      </c>
      <c r="BR145" s="519" t="s">
        <v>543</v>
      </c>
      <c r="BT145" s="439">
        <f t="shared" si="89"/>
        <v>94146.71</v>
      </c>
      <c r="BU145" s="439">
        <f t="shared" si="90"/>
        <v>94146.71</v>
      </c>
      <c r="BV145" s="439">
        <f t="shared" si="91"/>
        <v>0</v>
      </c>
      <c r="BY145" s="862">
        <f t="shared" si="92"/>
        <v>602952.397</v>
      </c>
      <c r="BZ145" s="862">
        <f t="shared" si="93"/>
        <v>258408.17</v>
      </c>
      <c r="CA145" s="862">
        <f t="shared" si="94"/>
        <v>72354.289999999994</v>
      </c>
      <c r="CB145" s="862">
        <f t="shared" si="95"/>
        <v>7752.25</v>
      </c>
      <c r="CC145" s="863">
        <f t="shared" si="96"/>
        <v>675306.69</v>
      </c>
      <c r="CD145" s="863">
        <f t="shared" si="97"/>
        <v>266160.42</v>
      </c>
      <c r="CE145" s="864">
        <f t="shared" si="98"/>
        <v>941467.11</v>
      </c>
      <c r="CF145" s="862">
        <f t="shared" si="99"/>
        <v>1.0000000009313226E-2</v>
      </c>
    </row>
    <row r="146" spans="1:84" s="429" customFormat="1" ht="13.9" customHeight="1" x14ac:dyDescent="0.25">
      <c r="A146" s="472"/>
      <c r="B146" s="436">
        <v>813</v>
      </c>
      <c r="C146" s="436" t="s">
        <v>393</v>
      </c>
      <c r="D146" s="436"/>
      <c r="E146" s="436" t="s">
        <v>366</v>
      </c>
      <c r="F146" s="429" t="s">
        <v>545</v>
      </c>
      <c r="G146" s="473">
        <v>45426</v>
      </c>
      <c r="H146" s="436" t="s">
        <v>128</v>
      </c>
      <c r="I146" s="472">
        <v>895332.85</v>
      </c>
      <c r="J146" s="472">
        <v>89632.85</v>
      </c>
      <c r="K146" s="507">
        <v>0</v>
      </c>
      <c r="L146" s="507">
        <v>0</v>
      </c>
      <c r="M146" s="507">
        <v>0</v>
      </c>
      <c r="N146" s="507">
        <v>0</v>
      </c>
      <c r="O146" s="507">
        <v>0</v>
      </c>
      <c r="P146" s="507">
        <v>0</v>
      </c>
      <c r="Q146" s="507">
        <v>0</v>
      </c>
      <c r="R146" s="507">
        <v>0</v>
      </c>
      <c r="S146" s="507">
        <v>0</v>
      </c>
      <c r="T146" s="507">
        <v>0</v>
      </c>
      <c r="U146" s="507">
        <v>0</v>
      </c>
      <c r="V146" s="507">
        <v>0</v>
      </c>
      <c r="W146" s="507">
        <v>0</v>
      </c>
      <c r="X146" s="507">
        <v>0</v>
      </c>
      <c r="Y146" s="507">
        <v>8000</v>
      </c>
      <c r="Z146" s="507">
        <v>0</v>
      </c>
      <c r="AA146" s="507">
        <v>0</v>
      </c>
      <c r="AB146" s="507">
        <v>12246</v>
      </c>
      <c r="AC146" s="507">
        <v>0</v>
      </c>
      <c r="AD146" s="507">
        <v>8164</v>
      </c>
      <c r="AE146" s="507">
        <v>0</v>
      </c>
      <c r="AF146" s="507">
        <v>0</v>
      </c>
      <c r="AG146" s="507">
        <v>8164</v>
      </c>
      <c r="AH146" s="507">
        <v>0</v>
      </c>
      <c r="AI146" s="507">
        <v>8164</v>
      </c>
      <c r="AJ146" s="507">
        <v>0</v>
      </c>
      <c r="AK146" s="529">
        <v>8164</v>
      </c>
      <c r="AL146" s="529"/>
      <c r="AM146" s="529"/>
      <c r="AN146" s="509">
        <v>12246</v>
      </c>
      <c r="AO146" s="509">
        <v>0</v>
      </c>
      <c r="AP146" s="509">
        <v>12246</v>
      </c>
      <c r="AQ146" s="509">
        <v>0</v>
      </c>
      <c r="AR146" s="509"/>
      <c r="AS146" s="509"/>
      <c r="AT146" s="510">
        <f t="shared" si="100"/>
        <v>77394</v>
      </c>
      <c r="AU146" s="512">
        <f t="shared" si="72"/>
        <v>0.86345575310837486</v>
      </c>
      <c r="AV146" s="511">
        <f t="shared" si="73"/>
        <v>-12238.850000000006</v>
      </c>
      <c r="AW146" s="558">
        <f t="shared" si="74"/>
        <v>-0.13654424689162517</v>
      </c>
      <c r="AX146" s="513">
        <f t="shared" si="75"/>
        <v>817938.85</v>
      </c>
      <c r="AY146" s="514">
        <f t="shared" si="76"/>
        <v>0.91355840456429138</v>
      </c>
      <c r="AZ146" s="513">
        <f t="shared" si="77"/>
        <v>89632.85</v>
      </c>
      <c r="BA146" s="515" t="str">
        <f t="shared" si="78"/>
        <v>Vendido</v>
      </c>
      <c r="BB146" s="516" t="str">
        <f t="shared" si="79"/>
        <v>Cliente Atrasado</v>
      </c>
      <c r="BC146" s="554">
        <v>20</v>
      </c>
      <c r="BD146" s="693">
        <f t="shared" si="80"/>
        <v>1</v>
      </c>
      <c r="BE146" s="693">
        <f t="shared" si="81"/>
        <v>21</v>
      </c>
      <c r="BF146" s="507">
        <v>8000</v>
      </c>
      <c r="BG146" s="507">
        <v>4082</v>
      </c>
      <c r="BH146" s="693">
        <f t="shared" si="82"/>
        <v>0</v>
      </c>
      <c r="BI146" s="693">
        <f t="shared" si="83"/>
        <v>20</v>
      </c>
      <c r="BJ146" s="655">
        <f t="shared" ref="BJ146:BJ177" si="101">(BI146*BG146)+BF146</f>
        <v>89640</v>
      </c>
      <c r="BK146" s="518">
        <f t="shared" si="84"/>
        <v>0</v>
      </c>
      <c r="BL146" s="518">
        <f t="shared" si="85"/>
        <v>77394</v>
      </c>
      <c r="BM146" s="518">
        <f t="shared" si="86"/>
        <v>0</v>
      </c>
      <c r="BN146" s="518">
        <f t="shared" si="87"/>
        <v>0</v>
      </c>
      <c r="BO146" s="655">
        <f t="shared" ref="BO146:BO159" si="102">IF(AT146&lt;BJ146,BJ146-AT146,0)</f>
        <v>12246</v>
      </c>
      <c r="BP146" s="693">
        <f t="shared" si="88"/>
        <v>3</v>
      </c>
      <c r="BQ146" s="696"/>
      <c r="BR146" s="519" t="s">
        <v>426</v>
      </c>
      <c r="BT146" s="439">
        <f t="shared" si="89"/>
        <v>-12246</v>
      </c>
      <c r="BU146" s="439">
        <f t="shared" si="90"/>
        <v>-12246</v>
      </c>
      <c r="BV146" s="439">
        <f t="shared" si="91"/>
        <v>0</v>
      </c>
      <c r="BY146" s="862">
        <f t="shared" si="92"/>
        <v>573406.21699999995</v>
      </c>
      <c r="BZ146" s="862">
        <f t="shared" si="93"/>
        <v>245745.522</v>
      </c>
      <c r="CA146" s="862">
        <f t="shared" si="94"/>
        <v>68808.75</v>
      </c>
      <c r="CB146" s="862">
        <f t="shared" si="95"/>
        <v>7372.37</v>
      </c>
      <c r="CC146" s="863">
        <f t="shared" si="96"/>
        <v>642214.97</v>
      </c>
      <c r="CD146" s="863">
        <f t="shared" si="97"/>
        <v>253117.89</v>
      </c>
      <c r="CE146" s="864">
        <f t="shared" si="98"/>
        <v>895332.86</v>
      </c>
      <c r="CF146" s="862">
        <f t="shared" si="99"/>
        <v>1.0000000009313226E-2</v>
      </c>
    </row>
    <row r="147" spans="1:84" s="429" customFormat="1" ht="13.9" customHeight="1" x14ac:dyDescent="0.25">
      <c r="A147" s="472"/>
      <c r="B147" s="436">
        <v>814</v>
      </c>
      <c r="C147" s="436" t="s">
        <v>172</v>
      </c>
      <c r="D147" s="436"/>
      <c r="E147" s="436" t="s">
        <v>366</v>
      </c>
      <c r="F147" s="429" t="s">
        <v>546</v>
      </c>
      <c r="G147" s="473">
        <v>45250</v>
      </c>
      <c r="H147" s="436" t="s">
        <v>128</v>
      </c>
      <c r="I147" s="472">
        <v>883300</v>
      </c>
      <c r="J147" s="472">
        <v>88400</v>
      </c>
      <c r="K147" s="507">
        <v>0</v>
      </c>
      <c r="L147" s="507">
        <v>0</v>
      </c>
      <c r="M147" s="507">
        <v>0</v>
      </c>
      <c r="N147" s="507">
        <v>0</v>
      </c>
      <c r="O147" s="507">
        <v>0</v>
      </c>
      <c r="P147" s="507">
        <v>0</v>
      </c>
      <c r="Q147" s="507">
        <v>0</v>
      </c>
      <c r="R147" s="507">
        <v>0</v>
      </c>
      <c r="S147" s="507">
        <v>5500</v>
      </c>
      <c r="T147" s="507">
        <v>3765</v>
      </c>
      <c r="U147" s="507">
        <v>3765</v>
      </c>
      <c r="V147" s="507">
        <v>3765</v>
      </c>
      <c r="W147" s="507">
        <v>3765</v>
      </c>
      <c r="X147" s="507">
        <v>3765</v>
      </c>
      <c r="Y147" s="507">
        <v>3765</v>
      </c>
      <c r="Z147" s="507">
        <v>3765</v>
      </c>
      <c r="AA147" s="507">
        <v>3765</v>
      </c>
      <c r="AB147" s="507">
        <v>3765</v>
      </c>
      <c r="AC147" s="507">
        <v>3765</v>
      </c>
      <c r="AD147" s="507">
        <v>0</v>
      </c>
      <c r="AE147" s="507">
        <v>3765</v>
      </c>
      <c r="AF147" s="507">
        <v>3765</v>
      </c>
      <c r="AG147" s="507">
        <v>3765</v>
      </c>
      <c r="AH147" s="507">
        <v>3765</v>
      </c>
      <c r="AI147" s="507">
        <v>3765</v>
      </c>
      <c r="AJ147" s="507">
        <f>3765+3765</f>
        <v>7530</v>
      </c>
      <c r="AK147" s="508">
        <v>3765</v>
      </c>
      <c r="AL147" s="508">
        <v>3765</v>
      </c>
      <c r="AM147" s="509">
        <v>3765</v>
      </c>
      <c r="AN147" s="509">
        <v>3765</v>
      </c>
      <c r="AO147" s="509">
        <v>0</v>
      </c>
      <c r="AP147" s="509">
        <v>0</v>
      </c>
      <c r="AQ147" s="509">
        <v>0</v>
      </c>
      <c r="AR147" s="509"/>
      <c r="AS147" s="509"/>
      <c r="AT147" s="510">
        <f t="shared" si="100"/>
        <v>84565</v>
      </c>
      <c r="AU147" s="512">
        <f t="shared" si="72"/>
        <v>0.95661764705882357</v>
      </c>
      <c r="AV147" s="511">
        <f t="shared" si="73"/>
        <v>-3835</v>
      </c>
      <c r="AW147" s="558">
        <f t="shared" si="74"/>
        <v>-4.3382352941176469E-2</v>
      </c>
      <c r="AX147" s="513">
        <f t="shared" si="75"/>
        <v>798735</v>
      </c>
      <c r="AY147" s="514">
        <f t="shared" si="76"/>
        <v>0.90426242499716969</v>
      </c>
      <c r="AZ147" s="513">
        <f t="shared" si="77"/>
        <v>88400</v>
      </c>
      <c r="BA147" s="515" t="str">
        <f t="shared" si="78"/>
        <v>Vendido</v>
      </c>
      <c r="BB147" s="516" t="str">
        <f t="shared" si="79"/>
        <v>Cliente Atrasado</v>
      </c>
      <c r="BC147" s="551">
        <v>22</v>
      </c>
      <c r="BD147" s="693">
        <f t="shared" si="80"/>
        <v>1</v>
      </c>
      <c r="BE147" s="693">
        <f t="shared" si="81"/>
        <v>23</v>
      </c>
      <c r="BF147" s="517">
        <v>5500</v>
      </c>
      <c r="BG147" s="517">
        <v>3765</v>
      </c>
      <c r="BH147" s="693">
        <f t="shared" si="82"/>
        <v>19</v>
      </c>
      <c r="BI147" s="693">
        <f t="shared" si="83"/>
        <v>26</v>
      </c>
      <c r="BJ147" s="655">
        <f t="shared" si="101"/>
        <v>103390</v>
      </c>
      <c r="BK147" s="518">
        <f t="shared" si="84"/>
        <v>71535</v>
      </c>
      <c r="BL147" s="518">
        <f t="shared" si="85"/>
        <v>13030</v>
      </c>
      <c r="BM147" s="518">
        <f t="shared" si="86"/>
        <v>0</v>
      </c>
      <c r="BN147" s="518">
        <f t="shared" si="87"/>
        <v>0</v>
      </c>
      <c r="BO147" s="655">
        <f t="shared" si="102"/>
        <v>18825</v>
      </c>
      <c r="BP147" s="693">
        <f t="shared" si="88"/>
        <v>5</v>
      </c>
      <c r="BQ147" s="696"/>
      <c r="BR147" s="519"/>
      <c r="BT147" s="439">
        <f t="shared" si="89"/>
        <v>-18825</v>
      </c>
      <c r="BU147" s="439">
        <f t="shared" si="90"/>
        <v>-18825</v>
      </c>
      <c r="BV147" s="439">
        <f t="shared" si="91"/>
        <v>0</v>
      </c>
      <c r="BY147" s="862">
        <f t="shared" si="92"/>
        <v>565699.90899999999</v>
      </c>
      <c r="BZ147" s="862">
        <f t="shared" si="93"/>
        <v>242442.818</v>
      </c>
      <c r="CA147" s="862">
        <f t="shared" si="94"/>
        <v>67883.990000000005</v>
      </c>
      <c r="CB147" s="862">
        <f t="shared" si="95"/>
        <v>7273.28</v>
      </c>
      <c r="CC147" s="863">
        <f t="shared" si="96"/>
        <v>633583.9</v>
      </c>
      <c r="CD147" s="863">
        <f t="shared" si="97"/>
        <v>249716.1</v>
      </c>
      <c r="CE147" s="864">
        <f t="shared" si="98"/>
        <v>883300</v>
      </c>
      <c r="CF147" s="862">
        <f t="shared" si="99"/>
        <v>0</v>
      </c>
    </row>
    <row r="148" spans="1:84" s="429" customFormat="1" ht="13.9" customHeight="1" x14ac:dyDescent="0.25">
      <c r="A148" s="472"/>
      <c r="B148" s="436">
        <v>815</v>
      </c>
      <c r="C148" s="436" t="s">
        <v>547</v>
      </c>
      <c r="D148" s="436"/>
      <c r="E148" s="436" t="s">
        <v>366</v>
      </c>
      <c r="F148" s="429" t="s">
        <v>548</v>
      </c>
      <c r="G148" s="473">
        <v>45342</v>
      </c>
      <c r="H148" s="436" t="s">
        <v>128</v>
      </c>
      <c r="I148" s="472">
        <v>1463600</v>
      </c>
      <c r="J148" s="472">
        <v>146400</v>
      </c>
      <c r="K148" s="507">
        <v>0</v>
      </c>
      <c r="L148" s="507">
        <v>0</v>
      </c>
      <c r="M148" s="507">
        <v>0</v>
      </c>
      <c r="N148" s="507">
        <v>0</v>
      </c>
      <c r="O148" s="507">
        <v>0</v>
      </c>
      <c r="P148" s="507">
        <v>0</v>
      </c>
      <c r="Q148" s="507">
        <v>0</v>
      </c>
      <c r="R148" s="507">
        <v>0</v>
      </c>
      <c r="S148" s="507">
        <v>0</v>
      </c>
      <c r="T148" s="507">
        <v>0</v>
      </c>
      <c r="U148" s="507">
        <v>0</v>
      </c>
      <c r="V148" s="507">
        <v>8000</v>
      </c>
      <c r="W148" s="507">
        <v>7284</v>
      </c>
      <c r="X148" s="507">
        <v>7284</v>
      </c>
      <c r="Y148" s="507">
        <v>7284</v>
      </c>
      <c r="Z148" s="507">
        <v>7284</v>
      </c>
      <c r="AA148" s="507">
        <v>7284</v>
      </c>
      <c r="AB148" s="507">
        <v>7284</v>
      </c>
      <c r="AC148" s="507">
        <v>7284</v>
      </c>
      <c r="AD148" s="507">
        <v>7284</v>
      </c>
      <c r="AE148" s="507">
        <v>7284</v>
      </c>
      <c r="AF148" s="507">
        <v>7284</v>
      </c>
      <c r="AG148" s="507">
        <v>7284</v>
      </c>
      <c r="AH148" s="507">
        <v>7284</v>
      </c>
      <c r="AI148" s="507">
        <v>7284</v>
      </c>
      <c r="AJ148" s="507">
        <v>7284</v>
      </c>
      <c r="AK148" s="508">
        <v>7284</v>
      </c>
      <c r="AL148" s="508">
        <v>7284</v>
      </c>
      <c r="AM148" s="509">
        <v>7284</v>
      </c>
      <c r="AN148" s="509">
        <v>7284</v>
      </c>
      <c r="AO148" s="509">
        <v>7284</v>
      </c>
      <c r="AP148" s="509">
        <v>7284</v>
      </c>
      <c r="AQ148" s="509">
        <v>7284</v>
      </c>
      <c r="AR148" s="509">
        <v>7284</v>
      </c>
      <c r="AS148" s="509"/>
      <c r="AT148" s="510">
        <f t="shared" si="100"/>
        <v>168248</v>
      </c>
      <c r="AU148" s="512">
        <f t="shared" si="72"/>
        <v>1.1492349726775957</v>
      </c>
      <c r="AV148" s="511">
        <f t="shared" si="73"/>
        <v>21848</v>
      </c>
      <c r="AW148" s="558">
        <f t="shared" si="74"/>
        <v>0.14923497267759564</v>
      </c>
      <c r="AX148" s="513">
        <f t="shared" si="75"/>
        <v>1295352</v>
      </c>
      <c r="AY148" s="514">
        <f t="shared" si="76"/>
        <v>0.88504509428805689</v>
      </c>
      <c r="AZ148" s="513">
        <f t="shared" si="77"/>
        <v>146400</v>
      </c>
      <c r="BA148" s="515" t="str">
        <f t="shared" si="78"/>
        <v>Vendido</v>
      </c>
      <c r="BB148" s="516" t="str">
        <f t="shared" si="79"/>
        <v>Cliente Atrasado</v>
      </c>
      <c r="BC148" s="551">
        <v>19</v>
      </c>
      <c r="BD148" s="693">
        <f t="shared" si="80"/>
        <v>1</v>
      </c>
      <c r="BE148" s="693">
        <f t="shared" si="81"/>
        <v>20</v>
      </c>
      <c r="BF148" s="517">
        <v>8000</v>
      </c>
      <c r="BG148" s="517">
        <v>7284</v>
      </c>
      <c r="BH148" s="693">
        <f t="shared" si="82"/>
        <v>22</v>
      </c>
      <c r="BI148" s="693">
        <f t="shared" si="83"/>
        <v>23</v>
      </c>
      <c r="BJ148" s="655">
        <f t="shared" si="101"/>
        <v>175532</v>
      </c>
      <c r="BK148" s="518">
        <f t="shared" si="84"/>
        <v>160248</v>
      </c>
      <c r="BL148" s="518">
        <f t="shared" si="85"/>
        <v>8000</v>
      </c>
      <c r="BM148" s="518">
        <f t="shared" si="86"/>
        <v>0</v>
      </c>
      <c r="BN148" s="518">
        <f t="shared" si="87"/>
        <v>0</v>
      </c>
      <c r="BO148" s="655">
        <f t="shared" si="102"/>
        <v>7284</v>
      </c>
      <c r="BP148" s="693">
        <f t="shared" si="88"/>
        <v>1</v>
      </c>
      <c r="BQ148" s="696"/>
      <c r="BR148" s="519"/>
      <c r="BT148" s="439">
        <f t="shared" si="89"/>
        <v>-7284</v>
      </c>
      <c r="BU148" s="439">
        <f t="shared" si="90"/>
        <v>-7284</v>
      </c>
      <c r="BV148" s="439">
        <f t="shared" si="91"/>
        <v>0</v>
      </c>
      <c r="BY148" s="862">
        <f t="shared" si="92"/>
        <v>937346.75199999998</v>
      </c>
      <c r="BZ148" s="862">
        <f t="shared" si="93"/>
        <v>401720.03700000001</v>
      </c>
      <c r="CA148" s="862">
        <f t="shared" si="94"/>
        <v>112481.61</v>
      </c>
      <c r="CB148" s="862">
        <f t="shared" si="95"/>
        <v>12051.6</v>
      </c>
      <c r="CC148" s="863">
        <f t="shared" si="96"/>
        <v>1049828.3600000001</v>
      </c>
      <c r="CD148" s="863">
        <f t="shared" si="97"/>
        <v>413771.64</v>
      </c>
      <c r="CE148" s="864">
        <f t="shared" si="98"/>
        <v>1463600</v>
      </c>
      <c r="CF148" s="862">
        <f t="shared" si="99"/>
        <v>0</v>
      </c>
    </row>
    <row r="149" spans="1:84" s="429" customFormat="1" ht="13.9" customHeight="1" x14ac:dyDescent="0.25">
      <c r="A149" s="472"/>
      <c r="B149" s="436">
        <v>816</v>
      </c>
      <c r="C149" s="436" t="s">
        <v>181</v>
      </c>
      <c r="D149" s="436"/>
      <c r="E149" s="436" t="s">
        <v>383</v>
      </c>
      <c r="F149" s="429" t="s">
        <v>549</v>
      </c>
      <c r="G149" s="473">
        <v>45016</v>
      </c>
      <c r="H149" s="436" t="s">
        <v>128</v>
      </c>
      <c r="I149" s="472">
        <v>651600</v>
      </c>
      <c r="J149" s="472">
        <v>65200</v>
      </c>
      <c r="K149" s="507">
        <v>6000</v>
      </c>
      <c r="L149" s="507">
        <v>1700</v>
      </c>
      <c r="M149" s="507">
        <v>1700</v>
      </c>
      <c r="N149" s="507">
        <v>1700</v>
      </c>
      <c r="O149" s="507">
        <v>1700</v>
      </c>
      <c r="P149" s="507">
        <v>1700</v>
      </c>
      <c r="Q149" s="507">
        <v>1700</v>
      </c>
      <c r="R149" s="507">
        <v>1700</v>
      </c>
      <c r="S149" s="507">
        <v>1700</v>
      </c>
      <c r="T149" s="507">
        <v>1700</v>
      </c>
      <c r="U149" s="507">
        <v>1700</v>
      </c>
      <c r="V149" s="507">
        <v>1700</v>
      </c>
      <c r="W149" s="507">
        <v>1700</v>
      </c>
      <c r="X149" s="507">
        <v>1700</v>
      </c>
      <c r="Y149" s="507">
        <v>1700</v>
      </c>
      <c r="Z149" s="507">
        <v>1700</v>
      </c>
      <c r="AA149" s="507">
        <v>1700</v>
      </c>
      <c r="AB149" s="507">
        <v>1700</v>
      </c>
      <c r="AC149" s="507">
        <v>1700</v>
      </c>
      <c r="AD149" s="507">
        <v>1700</v>
      </c>
      <c r="AE149" s="507">
        <v>1700</v>
      </c>
      <c r="AF149" s="507">
        <v>1700</v>
      </c>
      <c r="AG149" s="507">
        <v>1700</v>
      </c>
      <c r="AH149" s="507">
        <v>1700</v>
      </c>
      <c r="AI149" s="507">
        <v>1700</v>
      </c>
      <c r="AJ149" s="507">
        <v>1700</v>
      </c>
      <c r="AK149" s="508">
        <f>1700+1700</f>
        <v>3400</v>
      </c>
      <c r="AL149" s="508"/>
      <c r="AM149" s="509">
        <v>1700</v>
      </c>
      <c r="AN149" s="509">
        <v>1700</v>
      </c>
      <c r="AO149" s="509">
        <v>1700</v>
      </c>
      <c r="AP149" s="509">
        <v>1700</v>
      </c>
      <c r="AQ149" s="509">
        <v>1700</v>
      </c>
      <c r="AR149" s="509">
        <v>1700</v>
      </c>
      <c r="AS149" s="509">
        <v>1700</v>
      </c>
      <c r="AT149" s="510">
        <f t="shared" si="100"/>
        <v>63800</v>
      </c>
      <c r="AU149" s="512">
        <f t="shared" si="72"/>
        <v>0.9785276073619632</v>
      </c>
      <c r="AV149" s="511">
        <f t="shared" si="73"/>
        <v>-1400</v>
      </c>
      <c r="AW149" s="558">
        <f t="shared" si="74"/>
        <v>-2.1472392638036811E-2</v>
      </c>
      <c r="AX149" s="513">
        <f t="shared" si="75"/>
        <v>587800</v>
      </c>
      <c r="AY149" s="514">
        <f t="shared" si="76"/>
        <v>0.90208717004297112</v>
      </c>
      <c r="AZ149" s="513">
        <f t="shared" si="77"/>
        <v>65200</v>
      </c>
      <c r="BA149" s="515" t="str">
        <f t="shared" si="78"/>
        <v>Vendido</v>
      </c>
      <c r="BB149" s="516" t="str">
        <f t="shared" si="79"/>
        <v>Cliente al día</v>
      </c>
      <c r="BC149" s="551">
        <v>35</v>
      </c>
      <c r="BD149" s="693">
        <f t="shared" si="80"/>
        <v>1</v>
      </c>
      <c r="BE149" s="693">
        <f t="shared" si="81"/>
        <v>36</v>
      </c>
      <c r="BF149" s="517">
        <v>6000</v>
      </c>
      <c r="BG149" s="517">
        <v>1700</v>
      </c>
      <c r="BH149" s="693">
        <f t="shared" si="82"/>
        <v>33</v>
      </c>
      <c r="BI149" s="693">
        <f t="shared" si="83"/>
        <v>33</v>
      </c>
      <c r="BJ149" s="655">
        <f t="shared" si="101"/>
        <v>62100</v>
      </c>
      <c r="BK149" s="518">
        <f t="shared" si="84"/>
        <v>54400</v>
      </c>
      <c r="BL149" s="518">
        <f t="shared" si="85"/>
        <v>9400</v>
      </c>
      <c r="BM149" s="518">
        <f t="shared" si="86"/>
        <v>0</v>
      </c>
      <c r="BN149" s="518">
        <f t="shared" si="87"/>
        <v>1700</v>
      </c>
      <c r="BO149" s="655">
        <f t="shared" si="102"/>
        <v>0</v>
      </c>
      <c r="BP149" s="693">
        <f t="shared" si="88"/>
        <v>0</v>
      </c>
      <c r="BQ149" s="696"/>
      <c r="BR149" s="519"/>
      <c r="BT149" s="439">
        <f t="shared" si="89"/>
        <v>1700</v>
      </c>
      <c r="BU149" s="439">
        <f t="shared" si="90"/>
        <v>1700</v>
      </c>
      <c r="BV149" s="439">
        <f t="shared" si="91"/>
        <v>0</v>
      </c>
      <c r="BY149" s="862">
        <f t="shared" si="92"/>
        <v>417310.15600000002</v>
      </c>
      <c r="BZ149" s="862">
        <f t="shared" si="93"/>
        <v>178847.21</v>
      </c>
      <c r="CA149" s="862">
        <f t="shared" si="94"/>
        <v>50077.22</v>
      </c>
      <c r="CB149" s="862">
        <f t="shared" si="95"/>
        <v>5365.42</v>
      </c>
      <c r="CC149" s="863">
        <f t="shared" si="96"/>
        <v>467387.38</v>
      </c>
      <c r="CD149" s="863">
        <f t="shared" si="97"/>
        <v>184212.63</v>
      </c>
      <c r="CE149" s="864">
        <f t="shared" si="98"/>
        <v>651600.01</v>
      </c>
      <c r="CF149" s="862">
        <f t="shared" si="99"/>
        <v>1.0000000009313226E-2</v>
      </c>
    </row>
    <row r="150" spans="1:84" s="429" customFormat="1" ht="13.9" customHeight="1" x14ac:dyDescent="0.25">
      <c r="A150" s="472"/>
      <c r="B150" s="436">
        <v>817</v>
      </c>
      <c r="C150" s="436" t="s">
        <v>192</v>
      </c>
      <c r="D150" s="436"/>
      <c r="E150" s="436" t="s">
        <v>383</v>
      </c>
      <c r="F150" s="429" t="s">
        <v>550</v>
      </c>
      <c r="G150" s="473">
        <v>45027</v>
      </c>
      <c r="H150" s="436" t="s">
        <v>128</v>
      </c>
      <c r="I150" s="472">
        <v>657132.30000000005</v>
      </c>
      <c r="J150" s="472">
        <v>65732.3</v>
      </c>
      <c r="K150" s="507">
        <v>0</v>
      </c>
      <c r="L150" s="507">
        <v>6000</v>
      </c>
      <c r="M150" s="507">
        <v>0</v>
      </c>
      <c r="N150" s="507">
        <v>1500</v>
      </c>
      <c r="O150" s="507">
        <v>3000</v>
      </c>
      <c r="P150" s="507">
        <v>1500</v>
      </c>
      <c r="Q150" s="507">
        <v>1500</v>
      </c>
      <c r="R150" s="507">
        <v>1500</v>
      </c>
      <c r="S150" s="507">
        <v>0</v>
      </c>
      <c r="T150" s="507">
        <v>4500</v>
      </c>
      <c r="U150" s="507">
        <v>0</v>
      </c>
      <c r="V150" s="507">
        <v>1500</v>
      </c>
      <c r="W150" s="507">
        <v>1500</v>
      </c>
      <c r="X150" s="507">
        <v>3000</v>
      </c>
      <c r="Y150" s="507">
        <v>1500</v>
      </c>
      <c r="Z150" s="507">
        <v>0</v>
      </c>
      <c r="AA150" s="507">
        <v>1500</v>
      </c>
      <c r="AB150" s="507">
        <v>1500</v>
      </c>
      <c r="AC150" s="507">
        <v>1500</v>
      </c>
      <c r="AD150" s="507">
        <v>0</v>
      </c>
      <c r="AE150" s="507">
        <v>1500</v>
      </c>
      <c r="AF150" s="507">
        <v>1500</v>
      </c>
      <c r="AG150" s="507">
        <v>1500</v>
      </c>
      <c r="AH150" s="507">
        <v>1500</v>
      </c>
      <c r="AI150" s="507">
        <v>1500</v>
      </c>
      <c r="AJ150" s="507">
        <f>1500+1500</f>
        <v>3000</v>
      </c>
      <c r="AK150" s="508"/>
      <c r="AL150" s="508">
        <v>1500</v>
      </c>
      <c r="AM150" s="509">
        <v>1500</v>
      </c>
      <c r="AN150" s="509">
        <v>1500</v>
      </c>
      <c r="AO150" s="509">
        <v>1500</v>
      </c>
      <c r="AP150" s="509">
        <v>1500</v>
      </c>
      <c r="AQ150" s="509">
        <v>1500</v>
      </c>
      <c r="AR150" s="509">
        <v>1500</v>
      </c>
      <c r="AS150" s="509">
        <v>1500</v>
      </c>
      <c r="AT150" s="510">
        <f t="shared" si="100"/>
        <v>54000</v>
      </c>
      <c r="AU150" s="512">
        <f t="shared" si="72"/>
        <v>0.82151392846439264</v>
      </c>
      <c r="AV150" s="511">
        <f t="shared" si="73"/>
        <v>-11732.300000000003</v>
      </c>
      <c r="AW150" s="558">
        <f t="shared" si="74"/>
        <v>-0.17848607153560733</v>
      </c>
      <c r="AX150" s="513">
        <f t="shared" si="75"/>
        <v>603132.30000000005</v>
      </c>
      <c r="AY150" s="514">
        <f t="shared" si="76"/>
        <v>0.91782476679353608</v>
      </c>
      <c r="AZ150" s="513">
        <f t="shared" si="77"/>
        <v>65732.3</v>
      </c>
      <c r="BA150" s="515" t="str">
        <f t="shared" si="78"/>
        <v>Vendido</v>
      </c>
      <c r="BB150" s="516" t="str">
        <f t="shared" si="79"/>
        <v>Cliente Atrasado</v>
      </c>
      <c r="BC150" s="551">
        <v>34</v>
      </c>
      <c r="BD150" s="693">
        <f t="shared" si="80"/>
        <v>1</v>
      </c>
      <c r="BE150" s="693">
        <f t="shared" si="81"/>
        <v>35</v>
      </c>
      <c r="BF150" s="517">
        <v>6000</v>
      </c>
      <c r="BG150" s="517">
        <v>1500</v>
      </c>
      <c r="BH150" s="693">
        <f t="shared" si="82"/>
        <v>27</v>
      </c>
      <c r="BI150" s="693">
        <f t="shared" si="83"/>
        <v>33</v>
      </c>
      <c r="BJ150" s="655">
        <f t="shared" si="101"/>
        <v>55500</v>
      </c>
      <c r="BK150" s="518">
        <f t="shared" si="84"/>
        <v>34500</v>
      </c>
      <c r="BL150" s="518">
        <f t="shared" si="85"/>
        <v>19500</v>
      </c>
      <c r="BM150" s="518">
        <f t="shared" si="86"/>
        <v>0</v>
      </c>
      <c r="BN150" s="518">
        <f t="shared" si="87"/>
        <v>0</v>
      </c>
      <c r="BO150" s="655">
        <f t="shared" si="102"/>
        <v>1500</v>
      </c>
      <c r="BP150" s="693">
        <f t="shared" si="88"/>
        <v>1</v>
      </c>
      <c r="BQ150" s="696"/>
      <c r="BR150" s="519" t="s">
        <v>426</v>
      </c>
      <c r="BT150" s="439">
        <f t="shared" si="89"/>
        <v>-1500</v>
      </c>
      <c r="BU150" s="439">
        <f t="shared" si="90"/>
        <v>-1500</v>
      </c>
      <c r="BV150" s="439">
        <f t="shared" si="91"/>
        <v>0</v>
      </c>
      <c r="BY150" s="862">
        <f t="shared" si="92"/>
        <v>420853.25699999998</v>
      </c>
      <c r="BZ150" s="862">
        <f t="shared" si="93"/>
        <v>180365.682</v>
      </c>
      <c r="CA150" s="862">
        <f t="shared" si="94"/>
        <v>50502.39</v>
      </c>
      <c r="CB150" s="862">
        <f t="shared" si="95"/>
        <v>5410.97</v>
      </c>
      <c r="CC150" s="863">
        <f t="shared" si="96"/>
        <v>471355.65</v>
      </c>
      <c r="CD150" s="863">
        <f t="shared" si="97"/>
        <v>185776.65</v>
      </c>
      <c r="CE150" s="864">
        <f t="shared" si="98"/>
        <v>657132.30000000005</v>
      </c>
      <c r="CF150" s="862">
        <f t="shared" si="99"/>
        <v>0</v>
      </c>
    </row>
    <row r="151" spans="1:84" s="429" customFormat="1" ht="13.9" customHeight="1" x14ac:dyDescent="0.25">
      <c r="A151" s="472"/>
      <c r="B151" s="436">
        <v>818</v>
      </c>
      <c r="C151" s="436" t="s">
        <v>198</v>
      </c>
      <c r="D151" s="436"/>
      <c r="E151" s="436" t="s">
        <v>383</v>
      </c>
      <c r="F151" s="429" t="s">
        <v>551</v>
      </c>
      <c r="G151" s="473">
        <v>45125</v>
      </c>
      <c r="H151" s="436" t="s">
        <v>128</v>
      </c>
      <c r="I151" s="472">
        <v>703500</v>
      </c>
      <c r="J151" s="472">
        <v>70400</v>
      </c>
      <c r="K151" s="507">
        <v>0</v>
      </c>
      <c r="L151" s="507">
        <v>0</v>
      </c>
      <c r="M151" s="507">
        <v>0</v>
      </c>
      <c r="N151" s="507">
        <v>0</v>
      </c>
      <c r="O151" s="507">
        <v>6000</v>
      </c>
      <c r="P151" s="507">
        <v>2477</v>
      </c>
      <c r="Q151" s="507">
        <v>2477</v>
      </c>
      <c r="R151" s="507">
        <v>2477</v>
      </c>
      <c r="S151" s="507">
        <v>2477</v>
      </c>
      <c r="T151" s="507">
        <v>2477</v>
      </c>
      <c r="U151" s="507">
        <v>2477</v>
      </c>
      <c r="V151" s="507">
        <v>2477</v>
      </c>
      <c r="W151" s="507">
        <v>2477</v>
      </c>
      <c r="X151" s="507">
        <v>2477</v>
      </c>
      <c r="Y151" s="507">
        <v>2477</v>
      </c>
      <c r="Z151" s="507">
        <v>2477</v>
      </c>
      <c r="AA151" s="507">
        <v>2477</v>
      </c>
      <c r="AB151" s="507">
        <v>2477</v>
      </c>
      <c r="AC151" s="507">
        <v>2477</v>
      </c>
      <c r="AD151" s="507">
        <v>2477</v>
      </c>
      <c r="AE151" s="507">
        <v>2477</v>
      </c>
      <c r="AF151" s="507">
        <v>2477</v>
      </c>
      <c r="AG151" s="507">
        <v>2477</v>
      </c>
      <c r="AH151" s="507">
        <v>2477</v>
      </c>
      <c r="AI151" s="507">
        <v>2477</v>
      </c>
      <c r="AJ151" s="507">
        <v>2477</v>
      </c>
      <c r="AK151" s="508">
        <v>2477</v>
      </c>
      <c r="AL151" s="508">
        <v>2477</v>
      </c>
      <c r="AM151" s="509">
        <v>2477</v>
      </c>
      <c r="AN151" s="509">
        <v>2477</v>
      </c>
      <c r="AO151" s="509">
        <v>2477</v>
      </c>
      <c r="AP151" s="509">
        <v>0</v>
      </c>
      <c r="AQ151" s="509">
        <v>0</v>
      </c>
      <c r="AR151" s="509"/>
      <c r="AS151" s="509"/>
      <c r="AT151" s="510">
        <f t="shared" si="100"/>
        <v>70402</v>
      </c>
      <c r="AU151" s="512">
        <f t="shared" si="72"/>
        <v>1.0000284090909091</v>
      </c>
      <c r="AV151" s="511">
        <f t="shared" si="73"/>
        <v>2</v>
      </c>
      <c r="AW151" s="558">
        <f t="shared" si="74"/>
        <v>2.8409090909090909E-5</v>
      </c>
      <c r="AX151" s="513">
        <f t="shared" si="75"/>
        <v>633098</v>
      </c>
      <c r="AY151" s="514">
        <f t="shared" si="76"/>
        <v>0.8999260838663824</v>
      </c>
      <c r="AZ151" s="513">
        <f t="shared" si="77"/>
        <v>70400</v>
      </c>
      <c r="BA151" s="515" t="str">
        <f t="shared" si="78"/>
        <v>Vendido</v>
      </c>
      <c r="BB151" s="516" t="str">
        <f t="shared" si="79"/>
        <v>Cliente Atrasado</v>
      </c>
      <c r="BC151" s="551">
        <v>26</v>
      </c>
      <c r="BD151" s="693">
        <f t="shared" si="80"/>
        <v>1</v>
      </c>
      <c r="BE151" s="693">
        <f t="shared" si="81"/>
        <v>27</v>
      </c>
      <c r="BF151" s="517">
        <v>6000</v>
      </c>
      <c r="BG151" s="517">
        <v>2477</v>
      </c>
      <c r="BH151" s="693">
        <f t="shared" si="82"/>
        <v>26</v>
      </c>
      <c r="BI151" s="693">
        <f t="shared" si="83"/>
        <v>30</v>
      </c>
      <c r="BJ151" s="655">
        <f t="shared" si="101"/>
        <v>80310</v>
      </c>
      <c r="BK151" s="518">
        <f t="shared" si="84"/>
        <v>64402</v>
      </c>
      <c r="BL151" s="518">
        <f t="shared" si="85"/>
        <v>6000</v>
      </c>
      <c r="BM151" s="518">
        <f t="shared" si="86"/>
        <v>0</v>
      </c>
      <c r="BN151" s="518">
        <f t="shared" si="87"/>
        <v>0</v>
      </c>
      <c r="BO151" s="655">
        <f t="shared" si="102"/>
        <v>9908</v>
      </c>
      <c r="BP151" s="693">
        <f t="shared" si="88"/>
        <v>4</v>
      </c>
      <c r="BQ151" s="696"/>
      <c r="BR151" s="519"/>
      <c r="BT151" s="439">
        <f t="shared" si="89"/>
        <v>-9908</v>
      </c>
      <c r="BU151" s="439">
        <f t="shared" si="90"/>
        <v>-9908</v>
      </c>
      <c r="BV151" s="439">
        <f t="shared" si="91"/>
        <v>0</v>
      </c>
      <c r="BY151" s="862">
        <f t="shared" si="92"/>
        <v>450548.94799999997</v>
      </c>
      <c r="BZ151" s="862">
        <f t="shared" si="93"/>
        <v>193092.40599999999</v>
      </c>
      <c r="CA151" s="862">
        <f t="shared" si="94"/>
        <v>54065.87</v>
      </c>
      <c r="CB151" s="862">
        <f t="shared" si="95"/>
        <v>5792.77</v>
      </c>
      <c r="CC151" s="863">
        <f t="shared" si="96"/>
        <v>504614.82</v>
      </c>
      <c r="CD151" s="863">
        <f t="shared" si="97"/>
        <v>198885.18</v>
      </c>
      <c r="CE151" s="864">
        <f t="shared" si="98"/>
        <v>703500</v>
      </c>
      <c r="CF151" s="862">
        <f t="shared" si="99"/>
        <v>0</v>
      </c>
    </row>
    <row r="152" spans="1:84" s="429" customFormat="1" ht="13.9" customHeight="1" x14ac:dyDescent="0.25">
      <c r="A152" s="472"/>
      <c r="B152" s="436">
        <v>819</v>
      </c>
      <c r="C152" s="436" t="s">
        <v>412</v>
      </c>
      <c r="D152" s="436"/>
      <c r="E152" s="436" t="s">
        <v>383</v>
      </c>
      <c r="F152" s="429" t="s">
        <v>552</v>
      </c>
      <c r="G152" s="473">
        <v>45075</v>
      </c>
      <c r="H152" s="436" t="s">
        <v>128</v>
      </c>
      <c r="I152" s="472">
        <v>967700</v>
      </c>
      <c r="J152" s="472">
        <v>96800</v>
      </c>
      <c r="K152" s="507">
        <v>0</v>
      </c>
      <c r="L152" s="507">
        <v>0</v>
      </c>
      <c r="M152" s="507">
        <v>6000</v>
      </c>
      <c r="N152" s="507">
        <v>0</v>
      </c>
      <c r="O152" s="507">
        <v>6400</v>
      </c>
      <c r="P152" s="507">
        <v>3200</v>
      </c>
      <c r="Q152" s="507">
        <v>3200</v>
      </c>
      <c r="R152" s="507">
        <v>3200</v>
      </c>
      <c r="S152" s="507">
        <v>3200</v>
      </c>
      <c r="T152" s="507">
        <v>3200</v>
      </c>
      <c r="U152" s="507">
        <v>3200</v>
      </c>
      <c r="V152" s="507">
        <v>3200</v>
      </c>
      <c r="W152" s="507">
        <v>3200</v>
      </c>
      <c r="X152" s="507">
        <v>3200</v>
      </c>
      <c r="Y152" s="507">
        <v>3200</v>
      </c>
      <c r="Z152" s="507">
        <v>3200</v>
      </c>
      <c r="AA152" s="507">
        <v>3200</v>
      </c>
      <c r="AB152" s="507">
        <v>3200</v>
      </c>
      <c r="AC152" s="507">
        <v>3200</v>
      </c>
      <c r="AD152" s="507">
        <v>3200</v>
      </c>
      <c r="AE152" s="507">
        <v>3200</v>
      </c>
      <c r="AF152" s="507">
        <v>3200</v>
      </c>
      <c r="AG152" s="507">
        <v>3200</v>
      </c>
      <c r="AH152" s="507">
        <v>3200</v>
      </c>
      <c r="AI152" s="507">
        <v>3200</v>
      </c>
      <c r="AJ152" s="507">
        <v>3200</v>
      </c>
      <c r="AK152" s="508">
        <v>3200</v>
      </c>
      <c r="AL152" s="508">
        <v>3200</v>
      </c>
      <c r="AM152" s="509">
        <v>3200</v>
      </c>
      <c r="AN152" s="509">
        <v>3200</v>
      </c>
      <c r="AO152" s="509">
        <v>3200</v>
      </c>
      <c r="AP152" s="509">
        <v>3200</v>
      </c>
      <c r="AQ152" s="509">
        <v>3200</v>
      </c>
      <c r="AR152" s="509">
        <v>3200</v>
      </c>
      <c r="AS152" s="509">
        <v>3200</v>
      </c>
      <c r="AT152" s="510">
        <f t="shared" si="100"/>
        <v>108400</v>
      </c>
      <c r="AU152" s="512">
        <f t="shared" si="72"/>
        <v>1.1198347107438016</v>
      </c>
      <c r="AV152" s="511">
        <f t="shared" si="73"/>
        <v>11600</v>
      </c>
      <c r="AW152" s="558">
        <f t="shared" si="74"/>
        <v>0.11983471074380166</v>
      </c>
      <c r="AX152" s="513">
        <f t="shared" si="75"/>
        <v>859300</v>
      </c>
      <c r="AY152" s="514">
        <f t="shared" si="76"/>
        <v>0.88798181254521025</v>
      </c>
      <c r="AZ152" s="513">
        <f t="shared" si="77"/>
        <v>96800</v>
      </c>
      <c r="BA152" s="515" t="str">
        <f t="shared" si="78"/>
        <v>Vendido</v>
      </c>
      <c r="BB152" s="516" t="str">
        <f t="shared" si="79"/>
        <v>Superávit de Enganche</v>
      </c>
      <c r="BC152" s="551">
        <v>29</v>
      </c>
      <c r="BD152" s="693">
        <f t="shared" si="80"/>
        <v>1</v>
      </c>
      <c r="BE152" s="693">
        <f t="shared" si="81"/>
        <v>30</v>
      </c>
      <c r="BF152" s="517">
        <v>6000</v>
      </c>
      <c r="BG152" s="517">
        <v>3200</v>
      </c>
      <c r="BH152" s="693">
        <f t="shared" si="82"/>
        <v>30</v>
      </c>
      <c r="BI152" s="693">
        <f t="shared" si="83"/>
        <v>31</v>
      </c>
      <c r="BJ152" s="655">
        <f t="shared" si="101"/>
        <v>105200</v>
      </c>
      <c r="BK152" s="518">
        <f t="shared" si="84"/>
        <v>96000</v>
      </c>
      <c r="BL152" s="518">
        <f t="shared" si="85"/>
        <v>12400</v>
      </c>
      <c r="BM152" s="518">
        <f t="shared" si="86"/>
        <v>0</v>
      </c>
      <c r="BN152" s="518">
        <f t="shared" si="87"/>
        <v>3200</v>
      </c>
      <c r="BO152" s="655">
        <f t="shared" si="102"/>
        <v>0</v>
      </c>
      <c r="BP152" s="693">
        <f t="shared" si="88"/>
        <v>0</v>
      </c>
      <c r="BQ152" s="696"/>
      <c r="BR152" s="519"/>
      <c r="BT152" s="439">
        <f t="shared" si="89"/>
        <v>3200</v>
      </c>
      <c r="BU152" s="439">
        <f t="shared" si="90"/>
        <v>3200</v>
      </c>
      <c r="BV152" s="439">
        <f t="shared" si="91"/>
        <v>0</v>
      </c>
      <c r="BY152" s="862">
        <f t="shared" si="92"/>
        <v>619752.973</v>
      </c>
      <c r="BZ152" s="862">
        <f t="shared" si="93"/>
        <v>265608.41700000002</v>
      </c>
      <c r="CA152" s="862">
        <f t="shared" si="94"/>
        <v>74370.36</v>
      </c>
      <c r="CB152" s="862">
        <f t="shared" si="95"/>
        <v>7968.25</v>
      </c>
      <c r="CC152" s="863">
        <f t="shared" si="96"/>
        <v>694123.33</v>
      </c>
      <c r="CD152" s="863">
        <f t="shared" si="97"/>
        <v>273576.67</v>
      </c>
      <c r="CE152" s="864">
        <f t="shared" si="98"/>
        <v>967700</v>
      </c>
      <c r="CF152" s="862">
        <f t="shared" si="99"/>
        <v>0</v>
      </c>
    </row>
    <row r="153" spans="1:84" s="429" customFormat="1" ht="13.9" customHeight="1" x14ac:dyDescent="0.25">
      <c r="A153" s="472"/>
      <c r="B153" s="436">
        <v>820</v>
      </c>
      <c r="C153" s="436" t="s">
        <v>186</v>
      </c>
      <c r="D153" s="436"/>
      <c r="E153" s="436" t="s">
        <v>366</v>
      </c>
      <c r="F153" s="429" t="s">
        <v>553</v>
      </c>
      <c r="G153" s="473">
        <v>45304</v>
      </c>
      <c r="H153" s="436" t="s">
        <v>128</v>
      </c>
      <c r="I153" s="472">
        <v>990132.5</v>
      </c>
      <c r="J153" s="472">
        <v>99132.5</v>
      </c>
      <c r="K153" s="507">
        <v>0</v>
      </c>
      <c r="L153" s="507">
        <v>0</v>
      </c>
      <c r="M153" s="507">
        <v>0</v>
      </c>
      <c r="N153" s="507">
        <v>0</v>
      </c>
      <c r="O153" s="507">
        <v>0</v>
      </c>
      <c r="P153" s="507">
        <v>0</v>
      </c>
      <c r="Q153" s="507">
        <v>0</v>
      </c>
      <c r="R153" s="507">
        <v>0</v>
      </c>
      <c r="S153" s="507">
        <v>0</v>
      </c>
      <c r="T153" s="507">
        <v>0</v>
      </c>
      <c r="U153" s="507">
        <v>8000</v>
      </c>
      <c r="V153" s="507">
        <v>4557</v>
      </c>
      <c r="W153" s="507">
        <v>4557</v>
      </c>
      <c r="X153" s="507">
        <v>4557</v>
      </c>
      <c r="Y153" s="507">
        <v>4557</v>
      </c>
      <c r="Z153" s="507">
        <v>4557</v>
      </c>
      <c r="AA153" s="507">
        <v>4557</v>
      </c>
      <c r="AB153" s="507">
        <v>4557</v>
      </c>
      <c r="AC153" s="507">
        <v>4557</v>
      </c>
      <c r="AD153" s="507">
        <v>4557</v>
      </c>
      <c r="AE153" s="507">
        <v>4557</v>
      </c>
      <c r="AF153" s="507">
        <v>4557</v>
      </c>
      <c r="AG153" s="507">
        <v>4557</v>
      </c>
      <c r="AH153" s="507">
        <v>4557</v>
      </c>
      <c r="AI153" s="507">
        <v>4557</v>
      </c>
      <c r="AJ153" s="507">
        <v>4557</v>
      </c>
      <c r="AK153" s="508">
        <v>4557</v>
      </c>
      <c r="AL153" s="508">
        <v>4557</v>
      </c>
      <c r="AM153" s="509">
        <v>4557</v>
      </c>
      <c r="AN153" s="509">
        <v>4557</v>
      </c>
      <c r="AO153" s="509">
        <v>4549.5</v>
      </c>
      <c r="AP153" s="509">
        <v>0</v>
      </c>
      <c r="AQ153" s="509">
        <v>0</v>
      </c>
      <c r="AR153" s="509"/>
      <c r="AS153" s="509"/>
      <c r="AT153" s="510">
        <f t="shared" si="100"/>
        <v>99132.5</v>
      </c>
      <c r="AU153" s="512">
        <f t="shared" si="72"/>
        <v>1</v>
      </c>
      <c r="AV153" s="511">
        <f t="shared" si="73"/>
        <v>0</v>
      </c>
      <c r="AW153" s="558">
        <f t="shared" si="74"/>
        <v>0</v>
      </c>
      <c r="AX153" s="513">
        <f t="shared" si="75"/>
        <v>891000</v>
      </c>
      <c r="AY153" s="514">
        <f t="shared" si="76"/>
        <v>0.89987956157382976</v>
      </c>
      <c r="AZ153" s="513">
        <f t="shared" si="77"/>
        <v>99132.5</v>
      </c>
      <c r="BA153" s="515" t="str">
        <f t="shared" si="78"/>
        <v>Vendido</v>
      </c>
      <c r="BB153" s="516" t="str">
        <f t="shared" si="79"/>
        <v>Cliente Atrasado</v>
      </c>
      <c r="BC153" s="551">
        <v>20</v>
      </c>
      <c r="BD153" s="693">
        <f t="shared" si="80"/>
        <v>1</v>
      </c>
      <c r="BE153" s="693">
        <f t="shared" si="81"/>
        <v>21</v>
      </c>
      <c r="BF153" s="517">
        <v>8000</v>
      </c>
      <c r="BG153" s="517">
        <v>4557</v>
      </c>
      <c r="BH153" s="693">
        <f t="shared" si="82"/>
        <v>20</v>
      </c>
      <c r="BI153" s="693">
        <f t="shared" si="83"/>
        <v>24</v>
      </c>
      <c r="BJ153" s="655">
        <f t="shared" si="101"/>
        <v>117368</v>
      </c>
      <c r="BK153" s="518">
        <f t="shared" si="84"/>
        <v>91132.5</v>
      </c>
      <c r="BL153" s="518">
        <f t="shared" si="85"/>
        <v>8000</v>
      </c>
      <c r="BM153" s="518">
        <f t="shared" si="86"/>
        <v>0</v>
      </c>
      <c r="BN153" s="518">
        <f t="shared" si="87"/>
        <v>0</v>
      </c>
      <c r="BO153" s="655">
        <f t="shared" si="102"/>
        <v>18235.5</v>
      </c>
      <c r="BP153" s="693">
        <f t="shared" si="88"/>
        <v>5</v>
      </c>
      <c r="BQ153" s="696"/>
      <c r="BR153" s="519"/>
      <c r="BT153" s="439">
        <f t="shared" si="89"/>
        <v>-18235.5</v>
      </c>
      <c r="BU153" s="439">
        <f t="shared" si="90"/>
        <v>-18235.5</v>
      </c>
      <c r="BV153" s="439">
        <f t="shared" si="91"/>
        <v>0</v>
      </c>
      <c r="BY153" s="862">
        <f t="shared" si="92"/>
        <v>634119.625</v>
      </c>
      <c r="BZ153" s="862">
        <f t="shared" si="93"/>
        <v>271765.554</v>
      </c>
      <c r="CA153" s="862">
        <f t="shared" si="94"/>
        <v>76094.36</v>
      </c>
      <c r="CB153" s="862">
        <f t="shared" si="95"/>
        <v>8152.97</v>
      </c>
      <c r="CC153" s="863">
        <f t="shared" si="96"/>
        <v>710213.99</v>
      </c>
      <c r="CD153" s="863">
        <f t="shared" si="97"/>
        <v>279918.52</v>
      </c>
      <c r="CE153" s="864">
        <f t="shared" si="98"/>
        <v>990132.51</v>
      </c>
      <c r="CF153" s="862">
        <f t="shared" si="99"/>
        <v>1.0000000009313226E-2</v>
      </c>
    </row>
    <row r="154" spans="1:84" s="429" customFormat="1" ht="13.9" customHeight="1" x14ac:dyDescent="0.25">
      <c r="A154" s="472" t="s">
        <v>58</v>
      </c>
      <c r="B154" s="475">
        <v>901</v>
      </c>
      <c r="C154" s="475" t="s">
        <v>409</v>
      </c>
      <c r="D154" s="475"/>
      <c r="E154" s="475" t="s">
        <v>366</v>
      </c>
      <c r="F154" s="476" t="s">
        <v>554</v>
      </c>
      <c r="G154" s="481">
        <v>45012</v>
      </c>
      <c r="H154" s="436" t="s">
        <v>128</v>
      </c>
      <c r="I154" s="472">
        <v>1087062.8421799999</v>
      </c>
      <c r="J154" s="472">
        <v>108762.84</v>
      </c>
      <c r="K154" s="507">
        <v>6000</v>
      </c>
      <c r="L154" s="507">
        <v>2936</v>
      </c>
      <c r="M154" s="507">
        <v>2936</v>
      </c>
      <c r="N154" s="507">
        <v>2936</v>
      </c>
      <c r="O154" s="507">
        <v>2936</v>
      </c>
      <c r="P154" s="507">
        <v>2936</v>
      </c>
      <c r="Q154" s="507">
        <v>2936</v>
      </c>
      <c r="R154" s="507">
        <v>2936</v>
      </c>
      <c r="S154" s="507">
        <v>2936</v>
      </c>
      <c r="T154" s="507">
        <v>2936</v>
      </c>
      <c r="U154" s="507">
        <v>2936</v>
      </c>
      <c r="V154" s="507">
        <v>2936</v>
      </c>
      <c r="W154" s="507">
        <v>2551</v>
      </c>
      <c r="X154" s="507">
        <v>3321</v>
      </c>
      <c r="Y154" s="507">
        <v>2936</v>
      </c>
      <c r="Z154" s="507">
        <v>2936</v>
      </c>
      <c r="AA154" s="507">
        <v>2936</v>
      </c>
      <c r="AB154" s="507">
        <v>2936</v>
      </c>
      <c r="AC154" s="507">
        <v>2936</v>
      </c>
      <c r="AD154" s="507">
        <v>2936</v>
      </c>
      <c r="AE154" s="507">
        <v>2936</v>
      </c>
      <c r="AF154" s="507">
        <v>2936</v>
      </c>
      <c r="AG154" s="507">
        <v>2936</v>
      </c>
      <c r="AH154" s="507">
        <v>0</v>
      </c>
      <c r="AI154" s="507">
        <f>2600+336</f>
        <v>2936</v>
      </c>
      <c r="AJ154" s="507">
        <v>0</v>
      </c>
      <c r="AK154" s="508"/>
      <c r="AL154" s="508"/>
      <c r="AM154" s="508"/>
      <c r="AN154" s="509">
        <v>0</v>
      </c>
      <c r="AO154" s="509">
        <v>0</v>
      </c>
      <c r="AP154" s="509">
        <v>0</v>
      </c>
      <c r="AQ154" s="509">
        <v>0</v>
      </c>
      <c r="AR154" s="508"/>
      <c r="AS154" s="508"/>
      <c r="AT154" s="510">
        <f t="shared" si="100"/>
        <v>73528</v>
      </c>
      <c r="AU154" s="512">
        <f t="shared" si="72"/>
        <v>0.67603972091938758</v>
      </c>
      <c r="AV154" s="511">
        <f t="shared" si="73"/>
        <v>-35234.839999999997</v>
      </c>
      <c r="AW154" s="558">
        <f t="shared" si="74"/>
        <v>-0.32396027908061242</v>
      </c>
      <c r="AX154" s="513">
        <f t="shared" si="75"/>
        <v>1013534.8421799999</v>
      </c>
      <c r="AY154" s="514">
        <f t="shared" si="76"/>
        <v>0.93236085610971053</v>
      </c>
      <c r="AZ154" s="513">
        <f t="shared" si="77"/>
        <v>108762.84</v>
      </c>
      <c r="BA154" s="515" t="str">
        <f t="shared" si="78"/>
        <v>Vendido</v>
      </c>
      <c r="BB154" s="516" t="str">
        <f t="shared" si="79"/>
        <v>Cliente Atrasado</v>
      </c>
      <c r="BC154" s="551">
        <v>35</v>
      </c>
      <c r="BD154" s="693">
        <f t="shared" si="80"/>
        <v>1</v>
      </c>
      <c r="BE154" s="693">
        <f t="shared" si="81"/>
        <v>36</v>
      </c>
      <c r="BF154" s="517">
        <v>6000</v>
      </c>
      <c r="BG154" s="517">
        <v>2936</v>
      </c>
      <c r="BH154" s="693">
        <f t="shared" si="82"/>
        <v>23</v>
      </c>
      <c r="BI154" s="693">
        <f t="shared" si="83"/>
        <v>33</v>
      </c>
      <c r="BJ154" s="655">
        <f t="shared" si="101"/>
        <v>102888</v>
      </c>
      <c r="BK154" s="518">
        <f t="shared" si="84"/>
        <v>64207</v>
      </c>
      <c r="BL154" s="518">
        <f t="shared" si="85"/>
        <v>9321</v>
      </c>
      <c r="BM154" s="518">
        <f t="shared" si="86"/>
        <v>0</v>
      </c>
      <c r="BN154" s="518">
        <f t="shared" si="87"/>
        <v>0</v>
      </c>
      <c r="BO154" s="655">
        <f t="shared" si="102"/>
        <v>29360</v>
      </c>
      <c r="BP154" s="693" t="str">
        <f t="shared" si="88"/>
        <v/>
      </c>
      <c r="BQ154" s="695" t="s">
        <v>58</v>
      </c>
      <c r="BR154" s="519"/>
      <c r="BT154" s="439">
        <f t="shared" si="89"/>
        <v>-29360</v>
      </c>
      <c r="BU154" s="439">
        <f t="shared" si="90"/>
        <v>-29360</v>
      </c>
      <c r="BV154" s="439">
        <f t="shared" si="91"/>
        <v>0</v>
      </c>
      <c r="BY154" s="862">
        <f t="shared" si="92"/>
        <v>696197.61199999996</v>
      </c>
      <c r="BZ154" s="862">
        <f t="shared" si="93"/>
        <v>298370.40500000003</v>
      </c>
      <c r="CA154" s="862">
        <f t="shared" si="94"/>
        <v>83543.710000000006</v>
      </c>
      <c r="CB154" s="862">
        <f t="shared" si="95"/>
        <v>8951.11</v>
      </c>
      <c r="CC154" s="863">
        <f t="shared" si="96"/>
        <v>779741.32</v>
      </c>
      <c r="CD154" s="863">
        <f t="shared" si="97"/>
        <v>307321.52</v>
      </c>
      <c r="CE154" s="864">
        <f t="shared" si="98"/>
        <v>1087062.8400000001</v>
      </c>
      <c r="CF154" s="862">
        <f t="shared" si="99"/>
        <v>-2.1799998357892036E-3</v>
      </c>
    </row>
    <row r="155" spans="1:84" s="429" customFormat="1" ht="13.9" customHeight="1" x14ac:dyDescent="0.25">
      <c r="A155" s="472"/>
      <c r="B155" s="436">
        <v>902</v>
      </c>
      <c r="C155" s="436" t="s">
        <v>184</v>
      </c>
      <c r="D155" s="641" t="s">
        <v>386</v>
      </c>
      <c r="E155" s="436" t="s">
        <v>366</v>
      </c>
      <c r="F155" s="429" t="s">
        <v>555</v>
      </c>
      <c r="G155" s="473">
        <v>45306</v>
      </c>
      <c r="H155" s="436" t="s">
        <v>128</v>
      </c>
      <c r="I155" s="472">
        <v>1195970</v>
      </c>
      <c r="J155" s="472">
        <v>119670</v>
      </c>
      <c r="K155" s="507">
        <v>0</v>
      </c>
      <c r="L155" s="507">
        <v>0</v>
      </c>
      <c r="M155" s="507">
        <v>0</v>
      </c>
      <c r="N155" s="507">
        <v>0</v>
      </c>
      <c r="O155" s="507">
        <v>0</v>
      </c>
      <c r="P155" s="507">
        <v>0</v>
      </c>
      <c r="Q155" s="507">
        <v>0</v>
      </c>
      <c r="R155" s="507">
        <v>0</v>
      </c>
      <c r="S155" s="507">
        <v>0</v>
      </c>
      <c r="T155" s="507">
        <v>0</v>
      </c>
      <c r="U155" s="507">
        <v>8000</v>
      </c>
      <c r="V155" s="507">
        <v>10000</v>
      </c>
      <c r="W155" s="507">
        <v>10000</v>
      </c>
      <c r="X155" s="507">
        <v>7000</v>
      </c>
      <c r="Y155" s="507">
        <v>10000</v>
      </c>
      <c r="Z155" s="507">
        <v>10000</v>
      </c>
      <c r="AA155" s="507">
        <v>10000</v>
      </c>
      <c r="AB155" s="507">
        <v>10000</v>
      </c>
      <c r="AC155" s="507">
        <v>5000</v>
      </c>
      <c r="AD155" s="507">
        <v>10000</v>
      </c>
      <c r="AE155" s="507">
        <v>5000</v>
      </c>
      <c r="AF155" s="507">
        <v>5000</v>
      </c>
      <c r="AG155" s="507">
        <v>5000</v>
      </c>
      <c r="AH155" s="507">
        <v>5000</v>
      </c>
      <c r="AI155" s="507">
        <v>5000</v>
      </c>
      <c r="AJ155" s="507">
        <v>5000</v>
      </c>
      <c r="AK155" s="508"/>
      <c r="AL155" s="508"/>
      <c r="AM155" s="508"/>
      <c r="AN155" s="509">
        <v>0</v>
      </c>
      <c r="AO155" s="509">
        <v>0</v>
      </c>
      <c r="AP155" s="509">
        <v>0</v>
      </c>
      <c r="AQ155" s="509">
        <v>0</v>
      </c>
      <c r="AR155" s="508"/>
      <c r="AS155" s="508"/>
      <c r="AT155" s="510">
        <f t="shared" si="100"/>
        <v>120000</v>
      </c>
      <c r="AU155" s="512">
        <f t="shared" si="72"/>
        <v>1.0027575833542242</v>
      </c>
      <c r="AV155" s="511">
        <f t="shared" si="73"/>
        <v>330</v>
      </c>
      <c r="AW155" s="558">
        <f t="shared" si="74"/>
        <v>2.7575833542241163E-3</v>
      </c>
      <c r="AX155" s="513">
        <f t="shared" si="75"/>
        <v>1075970</v>
      </c>
      <c r="AY155" s="514">
        <f t="shared" si="76"/>
        <v>0.89966303502596223</v>
      </c>
      <c r="AZ155" s="513">
        <f t="shared" si="77"/>
        <v>119670</v>
      </c>
      <c r="BA155" s="515" t="str">
        <f t="shared" si="78"/>
        <v>Vendido</v>
      </c>
      <c r="BB155" s="516" t="str">
        <f t="shared" si="79"/>
        <v>Cliente Atrasado</v>
      </c>
      <c r="BC155" s="551">
        <v>20</v>
      </c>
      <c r="BD155" s="693">
        <f t="shared" si="80"/>
        <v>1</v>
      </c>
      <c r="BE155" s="693">
        <f t="shared" si="81"/>
        <v>21</v>
      </c>
      <c r="BF155" s="644">
        <v>8000</v>
      </c>
      <c r="BG155" s="644">
        <v>5584</v>
      </c>
      <c r="BH155" s="693">
        <f t="shared" si="82"/>
        <v>8</v>
      </c>
      <c r="BI155" s="693">
        <f t="shared" si="83"/>
        <v>24</v>
      </c>
      <c r="BJ155" s="655">
        <f t="shared" si="101"/>
        <v>142016</v>
      </c>
      <c r="BK155" s="518">
        <f t="shared" si="84"/>
        <v>35000</v>
      </c>
      <c r="BL155" s="518">
        <f t="shared" si="85"/>
        <v>85000</v>
      </c>
      <c r="BM155" s="518">
        <f t="shared" si="86"/>
        <v>0</v>
      </c>
      <c r="BN155" s="518">
        <f t="shared" si="87"/>
        <v>0</v>
      </c>
      <c r="BO155" s="655">
        <f t="shared" si="102"/>
        <v>22016</v>
      </c>
      <c r="BP155" s="693">
        <f t="shared" si="88"/>
        <v>4</v>
      </c>
      <c r="BQ155" s="696" t="s">
        <v>388</v>
      </c>
      <c r="BR155" s="519"/>
      <c r="BT155" s="439">
        <f t="shared" si="89"/>
        <v>-22016</v>
      </c>
      <c r="BU155" s="439">
        <f t="shared" si="90"/>
        <v>-22016</v>
      </c>
      <c r="BV155" s="439">
        <f t="shared" si="91"/>
        <v>0</v>
      </c>
      <c r="BY155" s="862">
        <f t="shared" si="92"/>
        <v>765946.02</v>
      </c>
      <c r="BZ155" s="862">
        <f t="shared" si="93"/>
        <v>328262.58</v>
      </c>
      <c r="CA155" s="862">
        <f t="shared" si="94"/>
        <v>91913.52</v>
      </c>
      <c r="CB155" s="862">
        <f t="shared" si="95"/>
        <v>9847.8799999999992</v>
      </c>
      <c r="CC155" s="863">
        <f t="shared" si="96"/>
        <v>857859.54</v>
      </c>
      <c r="CD155" s="863">
        <f t="shared" si="97"/>
        <v>338110.46</v>
      </c>
      <c r="CE155" s="864">
        <f t="shared" si="98"/>
        <v>1195970</v>
      </c>
      <c r="CF155" s="862">
        <f t="shared" si="99"/>
        <v>0</v>
      </c>
    </row>
    <row r="156" spans="1:84" s="429" customFormat="1" ht="13.9" customHeight="1" x14ac:dyDescent="0.25">
      <c r="A156" s="472"/>
      <c r="B156" s="436">
        <v>903</v>
      </c>
      <c r="C156" s="436" t="s">
        <v>406</v>
      </c>
      <c r="D156" s="436"/>
      <c r="E156" s="436" t="s">
        <v>356</v>
      </c>
      <c r="F156" s="429" t="s">
        <v>556</v>
      </c>
      <c r="G156" s="473">
        <v>45065</v>
      </c>
      <c r="H156" s="436" t="s">
        <v>128</v>
      </c>
      <c r="I156" s="472">
        <v>703500</v>
      </c>
      <c r="J156" s="472">
        <v>70400</v>
      </c>
      <c r="K156" s="507">
        <v>0</v>
      </c>
      <c r="L156" s="507">
        <v>0</v>
      </c>
      <c r="M156" s="507">
        <v>6000</v>
      </c>
      <c r="N156" s="507">
        <v>2300</v>
      </c>
      <c r="O156" s="507">
        <v>2300</v>
      </c>
      <c r="P156" s="507">
        <v>2300</v>
      </c>
      <c r="Q156" s="507">
        <v>2300</v>
      </c>
      <c r="R156" s="507">
        <v>2300</v>
      </c>
      <c r="S156" s="507">
        <v>2300</v>
      </c>
      <c r="T156" s="507">
        <v>4600</v>
      </c>
      <c r="U156" s="507">
        <v>0</v>
      </c>
      <c r="V156" s="507">
        <v>4600</v>
      </c>
      <c r="W156" s="507">
        <v>0</v>
      </c>
      <c r="X156" s="507">
        <v>4600</v>
      </c>
      <c r="Y156" s="507">
        <v>0</v>
      </c>
      <c r="Z156" s="507">
        <v>0</v>
      </c>
      <c r="AA156" s="507">
        <v>4600</v>
      </c>
      <c r="AB156" s="507">
        <v>4600</v>
      </c>
      <c r="AC156" s="507">
        <v>0</v>
      </c>
      <c r="AD156" s="507">
        <v>0</v>
      </c>
      <c r="AE156" s="507">
        <v>4600</v>
      </c>
      <c r="AF156" s="507">
        <v>0</v>
      </c>
      <c r="AG156" s="507">
        <v>4600</v>
      </c>
      <c r="AH156" s="507">
        <v>2300</v>
      </c>
      <c r="AI156" s="507">
        <v>4600</v>
      </c>
      <c r="AJ156" s="507">
        <v>4600</v>
      </c>
      <c r="AK156" s="508">
        <v>2300</v>
      </c>
      <c r="AL156" s="508"/>
      <c r="AM156" s="509">
        <f>2300+2300</f>
        <v>4600</v>
      </c>
      <c r="AN156" s="509">
        <v>0</v>
      </c>
      <c r="AO156" s="509">
        <v>4600</v>
      </c>
      <c r="AP156" s="509">
        <v>0</v>
      </c>
      <c r="AQ156" s="509">
        <v>0</v>
      </c>
      <c r="AR156" s="509"/>
      <c r="AS156" s="509"/>
      <c r="AT156" s="510">
        <f t="shared" si="100"/>
        <v>75000</v>
      </c>
      <c r="AU156" s="512">
        <f t="shared" si="72"/>
        <v>1.0653409090909092</v>
      </c>
      <c r="AV156" s="511">
        <f t="shared" si="73"/>
        <v>4600</v>
      </c>
      <c r="AW156" s="558">
        <f t="shared" si="74"/>
        <v>6.5340909090909088E-2</v>
      </c>
      <c r="AX156" s="513">
        <f t="shared" si="75"/>
        <v>628500</v>
      </c>
      <c r="AY156" s="514">
        <f t="shared" si="76"/>
        <v>0.89339019189765456</v>
      </c>
      <c r="AZ156" s="513">
        <f t="shared" si="77"/>
        <v>70400</v>
      </c>
      <c r="BA156" s="515" t="str">
        <f t="shared" si="78"/>
        <v>Vendido</v>
      </c>
      <c r="BB156" s="516" t="str">
        <f t="shared" si="79"/>
        <v>Cliente Atrasado</v>
      </c>
      <c r="BC156" s="551">
        <v>28</v>
      </c>
      <c r="BD156" s="693">
        <f t="shared" si="80"/>
        <v>1</v>
      </c>
      <c r="BE156" s="693">
        <f t="shared" si="81"/>
        <v>29</v>
      </c>
      <c r="BF156" s="517">
        <v>6000</v>
      </c>
      <c r="BG156" s="517">
        <v>2300</v>
      </c>
      <c r="BH156" s="693">
        <f t="shared" si="82"/>
        <v>19</v>
      </c>
      <c r="BI156" s="693">
        <f t="shared" si="83"/>
        <v>32</v>
      </c>
      <c r="BJ156" s="655">
        <f t="shared" si="101"/>
        <v>79600</v>
      </c>
      <c r="BK156" s="518">
        <f t="shared" si="84"/>
        <v>18400</v>
      </c>
      <c r="BL156" s="518">
        <f t="shared" si="85"/>
        <v>56600</v>
      </c>
      <c r="BM156" s="518">
        <f t="shared" si="86"/>
        <v>0</v>
      </c>
      <c r="BN156" s="518">
        <f t="shared" si="87"/>
        <v>0</v>
      </c>
      <c r="BO156" s="655">
        <f t="shared" si="102"/>
        <v>4600</v>
      </c>
      <c r="BP156" s="693">
        <f t="shared" si="88"/>
        <v>2</v>
      </c>
      <c r="BQ156" s="696"/>
      <c r="BR156" s="519"/>
      <c r="BT156" s="439">
        <f t="shared" si="89"/>
        <v>-4600</v>
      </c>
      <c r="BU156" s="439">
        <f t="shared" si="90"/>
        <v>-4600</v>
      </c>
      <c r="BV156" s="439">
        <f t="shared" si="91"/>
        <v>0</v>
      </c>
      <c r="BY156" s="862">
        <f t="shared" si="92"/>
        <v>450548.94799999997</v>
      </c>
      <c r="BZ156" s="862">
        <f t="shared" si="93"/>
        <v>193092.40599999999</v>
      </c>
      <c r="CA156" s="862">
        <f t="shared" si="94"/>
        <v>54065.87</v>
      </c>
      <c r="CB156" s="862">
        <f t="shared" si="95"/>
        <v>5792.77</v>
      </c>
      <c r="CC156" s="863">
        <f t="shared" si="96"/>
        <v>504614.82</v>
      </c>
      <c r="CD156" s="863">
        <f t="shared" si="97"/>
        <v>198885.18</v>
      </c>
      <c r="CE156" s="864">
        <f t="shared" si="98"/>
        <v>703500</v>
      </c>
      <c r="CF156" s="862">
        <f t="shared" si="99"/>
        <v>0</v>
      </c>
    </row>
    <row r="157" spans="1:84" s="429" customFormat="1" ht="13.9" customHeight="1" x14ac:dyDescent="0.25">
      <c r="A157" s="472"/>
      <c r="B157" s="436">
        <v>904</v>
      </c>
      <c r="C157" s="436" t="s">
        <v>200</v>
      </c>
      <c r="D157" s="436"/>
      <c r="E157" s="436" t="s">
        <v>356</v>
      </c>
      <c r="F157" s="429" t="s">
        <v>557</v>
      </c>
      <c r="G157" s="473">
        <v>45062</v>
      </c>
      <c r="H157" s="436" t="s">
        <v>128</v>
      </c>
      <c r="I157" s="472">
        <v>696469.08</v>
      </c>
      <c r="J157" s="472">
        <v>69669.08</v>
      </c>
      <c r="K157" s="507">
        <v>0</v>
      </c>
      <c r="L157" s="507">
        <v>0</v>
      </c>
      <c r="M157" s="507">
        <v>6000</v>
      </c>
      <c r="N157" s="507">
        <v>2296</v>
      </c>
      <c r="O157" s="507">
        <v>2274</v>
      </c>
      <c r="P157" s="507">
        <v>2274</v>
      </c>
      <c r="Q157" s="507">
        <v>2274</v>
      </c>
      <c r="R157" s="507">
        <v>2274</v>
      </c>
      <c r="S157" s="507">
        <v>2274</v>
      </c>
      <c r="T157" s="507">
        <v>2294</v>
      </c>
      <c r="U157" s="507">
        <v>2294</v>
      </c>
      <c r="V157" s="507">
        <v>2274</v>
      </c>
      <c r="W157" s="507">
        <v>2274</v>
      </c>
      <c r="X157" s="507">
        <v>2274</v>
      </c>
      <c r="Y157" s="507">
        <v>2274</v>
      </c>
      <c r="Z157" s="507">
        <v>2274</v>
      </c>
      <c r="AA157" s="507">
        <v>2274</v>
      </c>
      <c r="AB157" s="507">
        <v>2274</v>
      </c>
      <c r="AC157" s="507">
        <v>2274</v>
      </c>
      <c r="AD157" s="507">
        <v>2274</v>
      </c>
      <c r="AE157" s="507">
        <v>2274</v>
      </c>
      <c r="AF157" s="507">
        <v>2274</v>
      </c>
      <c r="AG157" s="507">
        <v>2274</v>
      </c>
      <c r="AH157" s="507">
        <v>2274</v>
      </c>
      <c r="AI157" s="507">
        <v>2274</v>
      </c>
      <c r="AJ157" s="507">
        <v>2274</v>
      </c>
      <c r="AK157" s="508">
        <v>2274</v>
      </c>
      <c r="AL157" s="508">
        <v>2274</v>
      </c>
      <c r="AM157" s="509">
        <v>2274</v>
      </c>
      <c r="AN157" s="509">
        <v>4528</v>
      </c>
      <c r="AO157" s="509">
        <v>2271.08</v>
      </c>
      <c r="AP157" s="509">
        <v>0</v>
      </c>
      <c r="AQ157" s="509">
        <v>0</v>
      </c>
      <c r="AR157" s="509"/>
      <c r="AS157" s="509"/>
      <c r="AT157" s="510">
        <f t="shared" si="100"/>
        <v>71985.08</v>
      </c>
      <c r="AU157" s="512">
        <f t="shared" si="72"/>
        <v>1.0332428675676497</v>
      </c>
      <c r="AV157" s="511">
        <f t="shared" si="73"/>
        <v>2316</v>
      </c>
      <c r="AW157" s="558">
        <f t="shared" si="74"/>
        <v>3.3242867567649811E-2</v>
      </c>
      <c r="AX157" s="513">
        <f t="shared" si="75"/>
        <v>624484</v>
      </c>
      <c r="AY157" s="514">
        <f t="shared" si="76"/>
        <v>0.89664282009475571</v>
      </c>
      <c r="AZ157" s="513">
        <f t="shared" si="77"/>
        <v>69669.08</v>
      </c>
      <c r="BA157" s="515" t="str">
        <f t="shared" si="78"/>
        <v>Vendido</v>
      </c>
      <c r="BB157" s="516" t="str">
        <f t="shared" si="79"/>
        <v>Cliente Atrasado</v>
      </c>
      <c r="BC157" s="551">
        <v>28</v>
      </c>
      <c r="BD157" s="693">
        <f t="shared" si="80"/>
        <v>1</v>
      </c>
      <c r="BE157" s="693">
        <f t="shared" si="81"/>
        <v>29</v>
      </c>
      <c r="BF157" s="517">
        <v>6000</v>
      </c>
      <c r="BG157" s="517">
        <v>2274</v>
      </c>
      <c r="BH157" s="693">
        <f t="shared" si="82"/>
        <v>28</v>
      </c>
      <c r="BI157" s="693">
        <f t="shared" si="83"/>
        <v>32</v>
      </c>
      <c r="BJ157" s="655">
        <f t="shared" si="101"/>
        <v>78768</v>
      </c>
      <c r="BK157" s="518">
        <f t="shared" si="84"/>
        <v>54573.08</v>
      </c>
      <c r="BL157" s="518">
        <f t="shared" si="85"/>
        <v>17412</v>
      </c>
      <c r="BM157" s="518">
        <f t="shared" si="86"/>
        <v>0</v>
      </c>
      <c r="BN157" s="518">
        <f t="shared" si="87"/>
        <v>0</v>
      </c>
      <c r="BO157" s="655">
        <f t="shared" si="102"/>
        <v>6782.9199999999983</v>
      </c>
      <c r="BP157" s="693">
        <f t="shared" si="88"/>
        <v>3</v>
      </c>
      <c r="BQ157" s="696"/>
      <c r="BR157" s="519"/>
      <c r="BT157" s="439">
        <f t="shared" si="89"/>
        <v>-6782.9199999999983</v>
      </c>
      <c r="BU157" s="439">
        <f t="shared" si="90"/>
        <v>-6782.9199999999983</v>
      </c>
      <c r="BV157" s="439">
        <f t="shared" si="91"/>
        <v>0</v>
      </c>
      <c r="BY157" s="862">
        <f t="shared" si="92"/>
        <v>446046.071</v>
      </c>
      <c r="BZ157" s="862">
        <f t="shared" si="93"/>
        <v>191162.60200000001</v>
      </c>
      <c r="CA157" s="862">
        <f t="shared" si="94"/>
        <v>53525.53</v>
      </c>
      <c r="CB157" s="862">
        <f t="shared" si="95"/>
        <v>5734.88</v>
      </c>
      <c r="CC157" s="863">
        <f t="shared" si="96"/>
        <v>499571.6</v>
      </c>
      <c r="CD157" s="863">
        <f t="shared" si="97"/>
        <v>196897.48</v>
      </c>
      <c r="CE157" s="864">
        <f t="shared" si="98"/>
        <v>696469.08</v>
      </c>
      <c r="CF157" s="862">
        <f t="shared" si="99"/>
        <v>0</v>
      </c>
    </row>
    <row r="158" spans="1:84" s="429" customFormat="1" ht="13.9" customHeight="1" x14ac:dyDescent="0.25">
      <c r="A158" s="472"/>
      <c r="B158" s="436">
        <v>905</v>
      </c>
      <c r="C158" s="436" t="s">
        <v>534</v>
      </c>
      <c r="D158" s="436"/>
      <c r="E158" s="436" t="s">
        <v>366</v>
      </c>
      <c r="F158" s="429" t="s">
        <v>558</v>
      </c>
      <c r="G158" s="473">
        <v>45473</v>
      </c>
      <c r="H158" s="436" t="s">
        <v>128</v>
      </c>
      <c r="I158" s="472">
        <v>941800</v>
      </c>
      <c r="J158" s="472">
        <v>94200</v>
      </c>
      <c r="K158" s="507">
        <v>0</v>
      </c>
      <c r="L158" s="507">
        <v>0</v>
      </c>
      <c r="M158" s="507">
        <v>0</v>
      </c>
      <c r="N158" s="507">
        <v>0</v>
      </c>
      <c r="O158" s="507">
        <v>0</v>
      </c>
      <c r="P158" s="507">
        <v>0</v>
      </c>
      <c r="Q158" s="507">
        <v>0</v>
      </c>
      <c r="R158" s="507">
        <v>0</v>
      </c>
      <c r="S158" s="507">
        <v>0</v>
      </c>
      <c r="T158" s="507">
        <v>0</v>
      </c>
      <c r="U158" s="507">
        <v>0</v>
      </c>
      <c r="V158" s="507">
        <v>0</v>
      </c>
      <c r="W158" s="507">
        <v>0</v>
      </c>
      <c r="X158" s="507">
        <v>0</v>
      </c>
      <c r="Y158" s="507">
        <v>0</v>
      </c>
      <c r="Z158" s="507">
        <v>5000</v>
      </c>
      <c r="AA158" s="507">
        <v>5000</v>
      </c>
      <c r="AB158" s="507">
        <v>3776</v>
      </c>
      <c r="AC158" s="507">
        <v>3776</v>
      </c>
      <c r="AD158" s="507">
        <v>3776</v>
      </c>
      <c r="AE158" s="507">
        <v>3776</v>
      </c>
      <c r="AF158" s="507">
        <v>3775</v>
      </c>
      <c r="AG158" s="507">
        <v>3775</v>
      </c>
      <c r="AH158" s="507">
        <v>3775</v>
      </c>
      <c r="AI158" s="507">
        <v>3775</v>
      </c>
      <c r="AJ158" s="507">
        <v>3775</v>
      </c>
      <c r="AK158" s="508">
        <v>3775</v>
      </c>
      <c r="AL158" s="508">
        <v>3775</v>
      </c>
      <c r="AM158" s="509">
        <v>20000</v>
      </c>
      <c r="AN158" s="509">
        <v>3775</v>
      </c>
      <c r="AO158" s="509">
        <v>3775</v>
      </c>
      <c r="AP158" s="509">
        <v>3775</v>
      </c>
      <c r="AQ158" s="509">
        <v>3775</v>
      </c>
      <c r="AR158" s="509">
        <v>3775</v>
      </c>
      <c r="AS158" s="509">
        <f>3785+11</f>
        <v>3796</v>
      </c>
      <c r="AT158" s="510">
        <f t="shared" si="100"/>
        <v>94200</v>
      </c>
      <c r="AU158" s="512">
        <f t="shared" si="72"/>
        <v>1</v>
      </c>
      <c r="AV158" s="511">
        <f t="shared" si="73"/>
        <v>0</v>
      </c>
      <c r="AW158" s="558">
        <f t="shared" si="74"/>
        <v>0</v>
      </c>
      <c r="AX158" s="513">
        <f t="shared" si="75"/>
        <v>847600</v>
      </c>
      <c r="AY158" s="514">
        <f t="shared" si="76"/>
        <v>0.89997876406880439</v>
      </c>
      <c r="AZ158" s="513">
        <f t="shared" si="77"/>
        <v>94200</v>
      </c>
      <c r="BA158" s="515" t="str">
        <f t="shared" si="78"/>
        <v>Vendido</v>
      </c>
      <c r="BB158" s="516" t="str">
        <f t="shared" si="79"/>
        <v>Enganche Completado</v>
      </c>
      <c r="BC158" s="551">
        <v>18</v>
      </c>
      <c r="BD158" s="693">
        <f t="shared" si="80"/>
        <v>1</v>
      </c>
      <c r="BE158" s="693">
        <f t="shared" si="81"/>
        <v>19</v>
      </c>
      <c r="BF158" s="517">
        <v>10000</v>
      </c>
      <c r="BG158" s="517">
        <v>3776</v>
      </c>
      <c r="BH158" s="693">
        <f t="shared" si="82"/>
        <v>19</v>
      </c>
      <c r="BI158" s="693">
        <f t="shared" si="83"/>
        <v>18</v>
      </c>
      <c r="BJ158" s="655">
        <f t="shared" si="101"/>
        <v>77968</v>
      </c>
      <c r="BK158" s="518">
        <f t="shared" si="84"/>
        <v>60404</v>
      </c>
      <c r="BL158" s="518">
        <f t="shared" si="85"/>
        <v>33796</v>
      </c>
      <c r="BM158" s="518">
        <f t="shared" si="86"/>
        <v>0</v>
      </c>
      <c r="BN158" s="518">
        <f t="shared" si="87"/>
        <v>16232</v>
      </c>
      <c r="BO158" s="655">
        <f t="shared" si="102"/>
        <v>0</v>
      </c>
      <c r="BP158" s="693">
        <f t="shared" si="88"/>
        <v>0</v>
      </c>
      <c r="BQ158" s="696"/>
      <c r="BR158" s="519"/>
      <c r="BT158" s="439">
        <f t="shared" si="89"/>
        <v>16232</v>
      </c>
      <c r="BU158" s="439">
        <f t="shared" si="90"/>
        <v>16232</v>
      </c>
      <c r="BV158" s="439">
        <f t="shared" si="91"/>
        <v>0</v>
      </c>
      <c r="BY158" s="862">
        <f t="shared" si="92"/>
        <v>603165.59900000005</v>
      </c>
      <c r="BZ158" s="862">
        <f t="shared" si="93"/>
        <v>258499.54300000001</v>
      </c>
      <c r="CA158" s="862">
        <f t="shared" si="94"/>
        <v>72379.87</v>
      </c>
      <c r="CB158" s="862">
        <f t="shared" si="95"/>
        <v>7754.99</v>
      </c>
      <c r="CC158" s="863">
        <f t="shared" si="96"/>
        <v>675545.47</v>
      </c>
      <c r="CD158" s="863">
        <f t="shared" si="97"/>
        <v>266254.53000000003</v>
      </c>
      <c r="CE158" s="864">
        <f t="shared" si="98"/>
        <v>941800</v>
      </c>
      <c r="CF158" s="862">
        <f t="shared" si="99"/>
        <v>0</v>
      </c>
    </row>
    <row r="159" spans="1:84" s="429" customFormat="1" ht="13.9" customHeight="1" x14ac:dyDescent="0.25">
      <c r="A159" s="472"/>
      <c r="B159" s="436">
        <v>906</v>
      </c>
      <c r="C159" s="436" t="s">
        <v>536</v>
      </c>
      <c r="D159" s="436"/>
      <c r="E159" s="436" t="s">
        <v>359</v>
      </c>
      <c r="F159" s="429" t="s">
        <v>370</v>
      </c>
      <c r="G159" s="473">
        <v>46000</v>
      </c>
      <c r="H159" s="436" t="s">
        <v>361</v>
      </c>
      <c r="I159" s="472">
        <v>1102644.58</v>
      </c>
      <c r="J159" s="472">
        <v>110344.58</v>
      </c>
      <c r="K159" s="507">
        <v>0</v>
      </c>
      <c r="L159" s="507">
        <v>0</v>
      </c>
      <c r="M159" s="507">
        <v>0</v>
      </c>
      <c r="N159" s="507">
        <v>0</v>
      </c>
      <c r="O159" s="507">
        <v>0</v>
      </c>
      <c r="P159" s="507">
        <v>0</v>
      </c>
      <c r="Q159" s="507">
        <v>0</v>
      </c>
      <c r="R159" s="507">
        <v>0</v>
      </c>
      <c r="S159" s="507">
        <v>0</v>
      </c>
      <c r="T159" s="507">
        <v>0</v>
      </c>
      <c r="U159" s="507">
        <v>0</v>
      </c>
      <c r="V159" s="507">
        <v>0</v>
      </c>
      <c r="W159" s="507">
        <v>0</v>
      </c>
      <c r="X159" s="507">
        <v>0</v>
      </c>
      <c r="Y159" s="507">
        <v>0</v>
      </c>
      <c r="Z159" s="507">
        <v>0</v>
      </c>
      <c r="AA159" s="507">
        <v>0</v>
      </c>
      <c r="AB159" s="507">
        <v>0</v>
      </c>
      <c r="AC159" s="507">
        <v>0</v>
      </c>
      <c r="AD159" s="507">
        <v>0</v>
      </c>
      <c r="AE159" s="507">
        <v>0</v>
      </c>
      <c r="AF159" s="507">
        <v>0</v>
      </c>
      <c r="AG159" s="507">
        <v>0</v>
      </c>
      <c r="AH159" s="507">
        <v>0</v>
      </c>
      <c r="AI159" s="507">
        <v>0</v>
      </c>
      <c r="AJ159" s="507">
        <v>0</v>
      </c>
      <c r="AK159" s="507">
        <v>0</v>
      </c>
      <c r="AL159" s="507">
        <v>0</v>
      </c>
      <c r="AM159" s="507">
        <v>0</v>
      </c>
      <c r="AN159" s="507">
        <v>0</v>
      </c>
      <c r="AO159" s="507">
        <v>0</v>
      </c>
      <c r="AP159" s="507">
        <v>0</v>
      </c>
      <c r="AQ159" s="509">
        <v>0</v>
      </c>
      <c r="AR159" s="509">
        <v>10000</v>
      </c>
      <c r="AS159" s="509"/>
      <c r="AT159" s="510">
        <f t="shared" si="100"/>
        <v>10000</v>
      </c>
      <c r="AU159" s="512">
        <f t="shared" si="72"/>
        <v>9.0625203340299998E-2</v>
      </c>
      <c r="AV159" s="511">
        <f t="shared" si="73"/>
        <v>-100344.58</v>
      </c>
      <c r="AW159" s="558">
        <f t="shared" si="74"/>
        <v>-0.9093747966597</v>
      </c>
      <c r="AX159" s="513">
        <f t="shared" si="75"/>
        <v>1092644.58</v>
      </c>
      <c r="AY159" s="514">
        <f t="shared" si="76"/>
        <v>0.99093089452269378</v>
      </c>
      <c r="AZ159" s="513">
        <f t="shared" si="77"/>
        <v>110344.58</v>
      </c>
      <c r="BA159" s="515" t="str">
        <f t="shared" si="78"/>
        <v>Vendido</v>
      </c>
      <c r="BB159" s="516" t="str">
        <f t="shared" si="79"/>
        <v>Cliente Atrasado</v>
      </c>
      <c r="BC159" s="551">
        <v>17</v>
      </c>
      <c r="BD159" s="693">
        <f t="shared" si="80"/>
        <v>1</v>
      </c>
      <c r="BE159" s="693">
        <f t="shared" si="81"/>
        <v>18</v>
      </c>
      <c r="BF159" s="517">
        <v>8000</v>
      </c>
      <c r="BG159" s="517">
        <v>6020</v>
      </c>
      <c r="BH159" s="693">
        <f t="shared" si="82"/>
        <v>0</v>
      </c>
      <c r="BI159" s="693">
        <f t="shared" si="83"/>
        <v>1</v>
      </c>
      <c r="BJ159" s="655">
        <f t="shared" si="101"/>
        <v>14020</v>
      </c>
      <c r="BK159" s="518">
        <f t="shared" si="84"/>
        <v>0</v>
      </c>
      <c r="BL159" s="518">
        <f t="shared" si="85"/>
        <v>10000</v>
      </c>
      <c r="BM159" s="518">
        <f t="shared" si="86"/>
        <v>0</v>
      </c>
      <c r="BN159" s="518">
        <f t="shared" si="87"/>
        <v>0</v>
      </c>
      <c r="BO159" s="655">
        <f t="shared" si="102"/>
        <v>4020</v>
      </c>
      <c r="BP159" s="693">
        <f t="shared" si="88"/>
        <v>1</v>
      </c>
      <c r="BQ159" s="696"/>
      <c r="BR159" s="519"/>
      <c r="BT159" s="439">
        <f t="shared" si="89"/>
        <v>-4020</v>
      </c>
      <c r="BU159" s="439">
        <f t="shared" si="90"/>
        <v>-4020</v>
      </c>
      <c r="BV159" s="439">
        <f t="shared" si="91"/>
        <v>0</v>
      </c>
      <c r="BY159" s="862">
        <f t="shared" si="92"/>
        <v>706176.76699999999</v>
      </c>
      <c r="BZ159" s="862">
        <f t="shared" si="93"/>
        <v>302647.18599999999</v>
      </c>
      <c r="CA159" s="862">
        <f t="shared" si="94"/>
        <v>84741.21</v>
      </c>
      <c r="CB159" s="862">
        <f t="shared" si="95"/>
        <v>9079.42</v>
      </c>
      <c r="CC159" s="863">
        <f t="shared" si="96"/>
        <v>790917.98</v>
      </c>
      <c r="CD159" s="863">
        <f t="shared" si="97"/>
        <v>311726.61</v>
      </c>
      <c r="CE159" s="864">
        <f t="shared" si="98"/>
        <v>1102644.5900000001</v>
      </c>
      <c r="CF159" s="862">
        <f t="shared" si="99"/>
        <v>1.0000000009313226E-2</v>
      </c>
    </row>
    <row r="160" spans="1:84" s="429" customFormat="1" ht="13.9" customHeight="1" x14ac:dyDescent="0.25">
      <c r="A160" s="472"/>
      <c r="B160" s="436">
        <v>907</v>
      </c>
      <c r="C160" s="436" t="s">
        <v>400</v>
      </c>
      <c r="D160" s="642" t="s">
        <v>559</v>
      </c>
      <c r="E160" s="436" t="s">
        <v>383</v>
      </c>
      <c r="F160" s="429" t="s">
        <v>560</v>
      </c>
      <c r="G160" s="473">
        <v>45169</v>
      </c>
      <c r="H160" s="436" t="s">
        <v>128</v>
      </c>
      <c r="I160" s="472">
        <v>901400</v>
      </c>
      <c r="J160" s="472">
        <v>90200</v>
      </c>
      <c r="K160" s="507">
        <v>0</v>
      </c>
      <c r="L160" s="507">
        <v>0</v>
      </c>
      <c r="M160" s="507">
        <v>0</v>
      </c>
      <c r="N160" s="507">
        <v>0</v>
      </c>
      <c r="O160" s="507">
        <v>0</v>
      </c>
      <c r="P160" s="507">
        <v>10000</v>
      </c>
      <c r="Q160" s="507">
        <v>0</v>
      </c>
      <c r="R160" s="507">
        <v>0</v>
      </c>
      <c r="S160" s="507">
        <v>0</v>
      </c>
      <c r="T160" s="507">
        <v>0</v>
      </c>
      <c r="U160" s="507">
        <v>0</v>
      </c>
      <c r="V160" s="507">
        <v>20500</v>
      </c>
      <c r="W160" s="507">
        <v>0</v>
      </c>
      <c r="X160" s="507">
        <v>0</v>
      </c>
      <c r="Y160" s="507">
        <v>0</v>
      </c>
      <c r="Z160" s="507">
        <v>0</v>
      </c>
      <c r="AA160" s="507">
        <v>0</v>
      </c>
      <c r="AB160" s="507">
        <v>0</v>
      </c>
      <c r="AC160" s="507">
        <v>20500</v>
      </c>
      <c r="AD160" s="507">
        <v>0</v>
      </c>
      <c r="AE160" s="507">
        <v>0</v>
      </c>
      <c r="AF160" s="507">
        <v>0</v>
      </c>
      <c r="AG160" s="507">
        <v>0</v>
      </c>
      <c r="AH160" s="507">
        <v>20500</v>
      </c>
      <c r="AI160" s="507">
        <v>0</v>
      </c>
      <c r="AJ160" s="507">
        <v>0</v>
      </c>
      <c r="AK160" s="508">
        <v>0</v>
      </c>
      <c r="AL160" s="508"/>
      <c r="AM160" s="508"/>
      <c r="AN160" s="509">
        <v>0</v>
      </c>
      <c r="AO160" s="509">
        <v>20500</v>
      </c>
      <c r="AP160" s="509">
        <v>0</v>
      </c>
      <c r="AQ160" s="509">
        <v>0</v>
      </c>
      <c r="AR160" s="508"/>
      <c r="AS160" s="508"/>
      <c r="AT160" s="510">
        <f t="shared" si="100"/>
        <v>92000</v>
      </c>
      <c r="AU160" s="512">
        <f t="shared" si="72"/>
        <v>1.0199556541019956</v>
      </c>
      <c r="AV160" s="511">
        <f t="shared" si="73"/>
        <v>1800</v>
      </c>
      <c r="AW160" s="558">
        <f t="shared" si="74"/>
        <v>1.9955654101995565E-2</v>
      </c>
      <c r="AX160" s="513">
        <f t="shared" si="75"/>
        <v>809400</v>
      </c>
      <c r="AY160" s="514">
        <f t="shared" si="76"/>
        <v>0.89793654315509208</v>
      </c>
      <c r="AZ160" s="513">
        <f t="shared" si="77"/>
        <v>90200</v>
      </c>
      <c r="BA160" s="515" t="str">
        <f t="shared" si="78"/>
        <v>Vendido</v>
      </c>
      <c r="BB160" s="516" t="str">
        <f t="shared" si="79"/>
        <v>Cliente Atrasado</v>
      </c>
      <c r="BC160" s="643">
        <v>4</v>
      </c>
      <c r="BD160" s="693">
        <f t="shared" si="80"/>
        <v>1</v>
      </c>
      <c r="BE160" s="693">
        <f t="shared" si="81"/>
        <v>5</v>
      </c>
      <c r="BF160" s="644">
        <v>10000</v>
      </c>
      <c r="BG160" s="645">
        <v>20050</v>
      </c>
      <c r="BH160" s="693">
        <f t="shared" si="82"/>
        <v>0</v>
      </c>
      <c r="BI160" s="693">
        <f t="shared" si="83"/>
        <v>28</v>
      </c>
      <c r="BJ160" s="668">
        <f t="shared" si="101"/>
        <v>571400</v>
      </c>
      <c r="BK160" s="518">
        <f t="shared" si="84"/>
        <v>10000</v>
      </c>
      <c r="BL160" s="518">
        <f t="shared" si="85"/>
        <v>82000</v>
      </c>
      <c r="BM160" s="518">
        <f t="shared" si="86"/>
        <v>0</v>
      </c>
      <c r="BN160" s="518">
        <f t="shared" si="87"/>
        <v>0</v>
      </c>
      <c r="BO160" s="655">
        <f>+BJ160-AT160</f>
        <v>479400</v>
      </c>
      <c r="BP160" s="693">
        <f t="shared" si="88"/>
        <v>24</v>
      </c>
      <c r="BQ160" s="696" t="s">
        <v>388</v>
      </c>
      <c r="BR160" s="519" t="s">
        <v>561</v>
      </c>
      <c r="BT160" s="439">
        <f t="shared" si="89"/>
        <v>-479400</v>
      </c>
      <c r="BU160" s="439">
        <f t="shared" si="90"/>
        <v>-479400</v>
      </c>
      <c r="BV160" s="439">
        <f t="shared" si="91"/>
        <v>0</v>
      </c>
      <c r="BY160" s="862">
        <f t="shared" si="92"/>
        <v>577291.85699999996</v>
      </c>
      <c r="BZ160" s="862">
        <f t="shared" si="93"/>
        <v>247410.796</v>
      </c>
      <c r="CA160" s="862">
        <f t="shared" si="94"/>
        <v>69275.02</v>
      </c>
      <c r="CB160" s="862">
        <f t="shared" si="95"/>
        <v>7422.32</v>
      </c>
      <c r="CC160" s="863">
        <f t="shared" si="96"/>
        <v>646566.88</v>
      </c>
      <c r="CD160" s="863">
        <f t="shared" si="97"/>
        <v>254833.12</v>
      </c>
      <c r="CE160" s="864">
        <f t="shared" si="98"/>
        <v>901400</v>
      </c>
      <c r="CF160" s="862">
        <f t="shared" si="99"/>
        <v>0</v>
      </c>
    </row>
    <row r="161" spans="1:84" s="429" customFormat="1" ht="13.9" customHeight="1" x14ac:dyDescent="0.25">
      <c r="A161" s="472"/>
      <c r="B161" s="436">
        <v>908</v>
      </c>
      <c r="C161" s="436" t="s">
        <v>175</v>
      </c>
      <c r="D161" s="436"/>
      <c r="E161" s="436" t="s">
        <v>366</v>
      </c>
      <c r="F161" s="429" t="s">
        <v>562</v>
      </c>
      <c r="G161" s="473">
        <v>45316</v>
      </c>
      <c r="H161" s="436" t="s">
        <v>128</v>
      </c>
      <c r="I161" s="472">
        <v>887400</v>
      </c>
      <c r="J161" s="472">
        <v>88800</v>
      </c>
      <c r="K161" s="507">
        <v>0</v>
      </c>
      <c r="L161" s="507">
        <v>0</v>
      </c>
      <c r="M161" s="507">
        <v>0</v>
      </c>
      <c r="N161" s="507">
        <v>0</v>
      </c>
      <c r="O161" s="507">
        <v>0</v>
      </c>
      <c r="P161" s="507">
        <v>0</v>
      </c>
      <c r="Q161" s="507">
        <v>0</v>
      </c>
      <c r="R161" s="507">
        <v>0</v>
      </c>
      <c r="S161" s="507">
        <v>0</v>
      </c>
      <c r="T161" s="507">
        <v>0</v>
      </c>
      <c r="U161" s="507">
        <v>8000</v>
      </c>
      <c r="V161" s="507">
        <v>4040</v>
      </c>
      <c r="W161" s="507">
        <v>0</v>
      </c>
      <c r="X161" s="507">
        <v>8080</v>
      </c>
      <c r="Y161" s="507">
        <v>4040</v>
      </c>
      <c r="Z161" s="507">
        <v>4040</v>
      </c>
      <c r="AA161" s="507">
        <v>0</v>
      </c>
      <c r="AB161" s="507">
        <v>8080</v>
      </c>
      <c r="AC161" s="507">
        <v>0</v>
      </c>
      <c r="AD161" s="507">
        <v>8080</v>
      </c>
      <c r="AE161" s="507">
        <v>0</v>
      </c>
      <c r="AF161" s="507">
        <v>4040</v>
      </c>
      <c r="AG161" s="507">
        <v>0</v>
      </c>
      <c r="AH161" s="507">
        <v>4040</v>
      </c>
      <c r="AI161" s="507">
        <v>8080</v>
      </c>
      <c r="AJ161" s="507">
        <v>8080</v>
      </c>
      <c r="AK161" s="508">
        <v>4040</v>
      </c>
      <c r="AL161" s="508">
        <v>4040</v>
      </c>
      <c r="AM161" s="509">
        <v>4040</v>
      </c>
      <c r="AN161" s="509">
        <v>4040</v>
      </c>
      <c r="AO161" s="509">
        <v>4040</v>
      </c>
      <c r="AP161" s="509">
        <v>0</v>
      </c>
      <c r="AQ161" s="509">
        <v>0</v>
      </c>
      <c r="AR161" s="509"/>
      <c r="AS161" s="509"/>
      <c r="AT161" s="510">
        <f t="shared" si="100"/>
        <v>88800</v>
      </c>
      <c r="AU161" s="512">
        <f t="shared" si="72"/>
        <v>1</v>
      </c>
      <c r="AV161" s="511">
        <f t="shared" si="73"/>
        <v>0</v>
      </c>
      <c r="AW161" s="558">
        <f t="shared" si="74"/>
        <v>0</v>
      </c>
      <c r="AX161" s="513">
        <f t="shared" si="75"/>
        <v>798600</v>
      </c>
      <c r="AY161" s="514">
        <f t="shared" si="76"/>
        <v>0.89993238674780252</v>
      </c>
      <c r="AZ161" s="513">
        <f t="shared" si="77"/>
        <v>88800</v>
      </c>
      <c r="BA161" s="515" t="str">
        <f t="shared" si="78"/>
        <v>Vendido</v>
      </c>
      <c r="BB161" s="516" t="str">
        <f t="shared" si="79"/>
        <v>Cliente Atrasado</v>
      </c>
      <c r="BC161" s="551">
        <v>20</v>
      </c>
      <c r="BD161" s="693">
        <f t="shared" si="80"/>
        <v>1</v>
      </c>
      <c r="BE161" s="693">
        <f t="shared" si="81"/>
        <v>21</v>
      </c>
      <c r="BF161" s="517">
        <v>8000</v>
      </c>
      <c r="BG161" s="517">
        <v>4040</v>
      </c>
      <c r="BH161" s="693">
        <f t="shared" si="82"/>
        <v>10</v>
      </c>
      <c r="BI161" s="693">
        <f t="shared" si="83"/>
        <v>24</v>
      </c>
      <c r="BJ161" s="655">
        <f t="shared" si="101"/>
        <v>104960</v>
      </c>
      <c r="BK161" s="518">
        <f t="shared" si="84"/>
        <v>40400</v>
      </c>
      <c r="BL161" s="518">
        <f t="shared" si="85"/>
        <v>48400</v>
      </c>
      <c r="BM161" s="518">
        <f t="shared" si="86"/>
        <v>0</v>
      </c>
      <c r="BN161" s="518">
        <f t="shared" si="87"/>
        <v>0</v>
      </c>
      <c r="BO161" s="655">
        <f t="shared" ref="BO161:BO192" si="103">IF(AT161&lt;BJ161,BJ161-AT161,0)</f>
        <v>16160</v>
      </c>
      <c r="BP161" s="693">
        <f t="shared" si="88"/>
        <v>4</v>
      </c>
      <c r="BQ161" s="696"/>
      <c r="BR161" s="519"/>
      <c r="BT161" s="439">
        <f t="shared" si="89"/>
        <v>-16160</v>
      </c>
      <c r="BU161" s="439">
        <f t="shared" si="90"/>
        <v>-16160</v>
      </c>
      <c r="BV161" s="439">
        <f t="shared" si="91"/>
        <v>0</v>
      </c>
      <c r="BY161" s="862">
        <f t="shared" si="92"/>
        <v>568325.70900000003</v>
      </c>
      <c r="BZ161" s="862">
        <f t="shared" si="93"/>
        <v>243568.16099999999</v>
      </c>
      <c r="CA161" s="862">
        <f t="shared" si="94"/>
        <v>68199.09</v>
      </c>
      <c r="CB161" s="862">
        <f t="shared" si="95"/>
        <v>7307.04</v>
      </c>
      <c r="CC161" s="863">
        <f t="shared" si="96"/>
        <v>636524.80000000005</v>
      </c>
      <c r="CD161" s="863">
        <f t="shared" si="97"/>
        <v>250875.2</v>
      </c>
      <c r="CE161" s="864">
        <f t="shared" si="98"/>
        <v>887400</v>
      </c>
      <c r="CF161" s="862">
        <f t="shared" si="99"/>
        <v>0</v>
      </c>
    </row>
    <row r="162" spans="1:84" s="429" customFormat="1" ht="13.9" customHeight="1" x14ac:dyDescent="0.25">
      <c r="A162" s="472"/>
      <c r="B162" s="436">
        <v>909</v>
      </c>
      <c r="C162" s="436" t="s">
        <v>563</v>
      </c>
      <c r="D162" s="436"/>
      <c r="E162" s="436" t="s">
        <v>383</v>
      </c>
      <c r="F162" s="429" t="s">
        <v>564</v>
      </c>
      <c r="G162" s="473">
        <v>45118</v>
      </c>
      <c r="H162" s="436" t="s">
        <v>128</v>
      </c>
      <c r="I162" s="472">
        <v>1382700</v>
      </c>
      <c r="J162" s="472">
        <v>138300</v>
      </c>
      <c r="K162" s="507">
        <v>0</v>
      </c>
      <c r="L162" s="507">
        <v>0</v>
      </c>
      <c r="M162" s="507">
        <v>0</v>
      </c>
      <c r="N162" s="507">
        <v>0</v>
      </c>
      <c r="O162" s="507">
        <v>6000</v>
      </c>
      <c r="P162" s="507">
        <v>0</v>
      </c>
      <c r="Q162" s="507">
        <v>10000</v>
      </c>
      <c r="R162" s="507">
        <v>5000</v>
      </c>
      <c r="S162" s="507">
        <v>0</v>
      </c>
      <c r="T162" s="507">
        <v>10000</v>
      </c>
      <c r="U162" s="507">
        <v>5000</v>
      </c>
      <c r="V162" s="507">
        <v>5000</v>
      </c>
      <c r="W162" s="507">
        <v>5000</v>
      </c>
      <c r="X162" s="507">
        <v>5000</v>
      </c>
      <c r="Y162" s="507">
        <v>5000</v>
      </c>
      <c r="Z162" s="507">
        <v>5000</v>
      </c>
      <c r="AA162" s="507">
        <v>0</v>
      </c>
      <c r="AB162" s="507">
        <v>10000</v>
      </c>
      <c r="AC162" s="507">
        <v>0</v>
      </c>
      <c r="AD162" s="507">
        <v>10000</v>
      </c>
      <c r="AE162" s="507">
        <v>0</v>
      </c>
      <c r="AF162" s="507">
        <v>0</v>
      </c>
      <c r="AG162" s="507">
        <v>5000</v>
      </c>
      <c r="AH162" s="507">
        <v>10000</v>
      </c>
      <c r="AI162" s="507">
        <v>0</v>
      </c>
      <c r="AJ162" s="507">
        <f>5000+5000+5000</f>
        <v>15000</v>
      </c>
      <c r="AK162" s="508"/>
      <c r="AL162" s="509">
        <f>5000+5000</f>
        <v>10000</v>
      </c>
      <c r="AM162" s="509"/>
      <c r="AN162" s="509">
        <v>5000</v>
      </c>
      <c r="AO162" s="509">
        <v>0</v>
      </c>
      <c r="AP162" s="509">
        <v>0</v>
      </c>
      <c r="AQ162" s="509">
        <v>0</v>
      </c>
      <c r="AR162" s="509">
        <v>7300</v>
      </c>
      <c r="AS162" s="509"/>
      <c r="AT162" s="510">
        <f t="shared" si="100"/>
        <v>133300</v>
      </c>
      <c r="AU162" s="512">
        <f t="shared" si="72"/>
        <v>0.96384671005061462</v>
      </c>
      <c r="AV162" s="511">
        <f t="shared" si="73"/>
        <v>-5000</v>
      </c>
      <c r="AW162" s="558">
        <f t="shared" si="74"/>
        <v>-3.6153289949385395E-2</v>
      </c>
      <c r="AX162" s="513">
        <f t="shared" si="75"/>
        <v>1249400</v>
      </c>
      <c r="AY162" s="514">
        <f t="shared" si="76"/>
        <v>0.90359441672090834</v>
      </c>
      <c r="AZ162" s="513">
        <f t="shared" si="77"/>
        <v>138300</v>
      </c>
      <c r="BA162" s="515" t="str">
        <f t="shared" si="78"/>
        <v>Vendido</v>
      </c>
      <c r="BB162" s="516" t="str">
        <f t="shared" si="79"/>
        <v>Cliente Atrasado</v>
      </c>
      <c r="BC162" s="551">
        <v>26</v>
      </c>
      <c r="BD162" s="693">
        <f t="shared" si="80"/>
        <v>1</v>
      </c>
      <c r="BE162" s="693">
        <f t="shared" si="81"/>
        <v>27</v>
      </c>
      <c r="BF162" s="517">
        <v>6000</v>
      </c>
      <c r="BG162" s="517">
        <v>5000</v>
      </c>
      <c r="BH162" s="693">
        <f t="shared" si="82"/>
        <v>9</v>
      </c>
      <c r="BI162" s="693">
        <f t="shared" si="83"/>
        <v>30</v>
      </c>
      <c r="BJ162" s="655">
        <f t="shared" si="101"/>
        <v>156000</v>
      </c>
      <c r="BK162" s="518">
        <f t="shared" si="84"/>
        <v>45000</v>
      </c>
      <c r="BL162" s="518">
        <f t="shared" si="85"/>
        <v>88300</v>
      </c>
      <c r="BM162" s="518">
        <f t="shared" si="86"/>
        <v>0</v>
      </c>
      <c r="BN162" s="518">
        <f t="shared" si="87"/>
        <v>0</v>
      </c>
      <c r="BO162" s="655">
        <f t="shared" si="103"/>
        <v>22700</v>
      </c>
      <c r="BP162" s="693">
        <f t="shared" si="88"/>
        <v>5</v>
      </c>
      <c r="BQ162" s="696"/>
      <c r="BR162" s="519" t="s">
        <v>471</v>
      </c>
      <c r="BT162" s="439">
        <f t="shared" si="89"/>
        <v>-22700</v>
      </c>
      <c r="BU162" s="439">
        <f t="shared" si="90"/>
        <v>-22700</v>
      </c>
      <c r="BV162" s="439">
        <f t="shared" si="91"/>
        <v>0</v>
      </c>
      <c r="BY162" s="862">
        <f t="shared" si="92"/>
        <v>885535.22400000005</v>
      </c>
      <c r="BZ162" s="862">
        <f t="shared" si="93"/>
        <v>379515.09600000002</v>
      </c>
      <c r="CA162" s="862">
        <f t="shared" si="94"/>
        <v>106264.23</v>
      </c>
      <c r="CB162" s="862">
        <f t="shared" si="95"/>
        <v>11385.45</v>
      </c>
      <c r="CC162" s="863">
        <f t="shared" si="96"/>
        <v>991799.45</v>
      </c>
      <c r="CD162" s="863">
        <f t="shared" si="97"/>
        <v>390900.55</v>
      </c>
      <c r="CE162" s="864">
        <f t="shared" si="98"/>
        <v>1382700</v>
      </c>
      <c r="CF162" s="862">
        <f t="shared" si="99"/>
        <v>0</v>
      </c>
    </row>
    <row r="163" spans="1:84" s="429" customFormat="1" ht="13.9" customHeight="1" x14ac:dyDescent="0.25">
      <c r="A163" s="472"/>
      <c r="B163" s="905">
        <v>910</v>
      </c>
      <c r="C163" s="436" t="s">
        <v>565</v>
      </c>
      <c r="D163" s="436"/>
      <c r="E163" s="436"/>
      <c r="G163" s="473"/>
      <c r="H163" s="436" t="s">
        <v>374</v>
      </c>
      <c r="I163" s="472">
        <v>1208800</v>
      </c>
      <c r="J163" s="472">
        <v>84600</v>
      </c>
      <c r="K163" s="507">
        <v>0</v>
      </c>
      <c r="L163" s="507">
        <v>0</v>
      </c>
      <c r="M163" s="507">
        <v>0</v>
      </c>
      <c r="N163" s="507">
        <v>0</v>
      </c>
      <c r="O163" s="507">
        <v>0</v>
      </c>
      <c r="P163" s="507">
        <v>0</v>
      </c>
      <c r="Q163" s="507">
        <v>0</v>
      </c>
      <c r="R163" s="507">
        <v>0</v>
      </c>
      <c r="S163" s="507">
        <v>0</v>
      </c>
      <c r="T163" s="507">
        <v>0</v>
      </c>
      <c r="U163" s="507">
        <v>0</v>
      </c>
      <c r="V163" s="507">
        <v>0</v>
      </c>
      <c r="W163" s="507">
        <v>0</v>
      </c>
      <c r="X163" s="507">
        <v>0</v>
      </c>
      <c r="Y163" s="507">
        <v>0</v>
      </c>
      <c r="Z163" s="507">
        <v>0</v>
      </c>
      <c r="AA163" s="507">
        <v>0</v>
      </c>
      <c r="AB163" s="507">
        <v>0</v>
      </c>
      <c r="AC163" s="507">
        <v>0</v>
      </c>
      <c r="AD163" s="507">
        <v>0</v>
      </c>
      <c r="AE163" s="507">
        <v>0</v>
      </c>
      <c r="AF163" s="507">
        <v>0</v>
      </c>
      <c r="AG163" s="507">
        <v>0</v>
      </c>
      <c r="AH163" s="507">
        <v>0</v>
      </c>
      <c r="AI163" s="507">
        <v>0</v>
      </c>
      <c r="AJ163" s="507">
        <v>0</v>
      </c>
      <c r="AK163" s="508"/>
      <c r="AL163" s="508"/>
      <c r="AM163" s="508"/>
      <c r="AN163" s="509">
        <v>0</v>
      </c>
      <c r="AO163" s="509">
        <v>0</v>
      </c>
      <c r="AP163" s="509">
        <v>0</v>
      </c>
      <c r="AQ163" s="509">
        <v>0</v>
      </c>
      <c r="AR163" s="508"/>
      <c r="AS163" s="508"/>
      <c r="AT163" s="510">
        <f t="shared" si="100"/>
        <v>0</v>
      </c>
      <c r="AU163" s="512">
        <f t="shared" si="72"/>
        <v>0</v>
      </c>
      <c r="AV163" s="511">
        <f t="shared" si="73"/>
        <v>0</v>
      </c>
      <c r="AW163" s="558">
        <f t="shared" si="74"/>
        <v>0</v>
      </c>
      <c r="AX163" s="513">
        <f t="shared" si="75"/>
        <v>1208800</v>
      </c>
      <c r="AY163" s="514">
        <f t="shared" si="76"/>
        <v>1</v>
      </c>
      <c r="AZ163" s="513">
        <f t="shared" si="77"/>
        <v>0</v>
      </c>
      <c r="BA163" s="515" t="str">
        <f t="shared" si="78"/>
        <v>Disponible</v>
      </c>
      <c r="BB163" s="516" t="str">
        <f t="shared" si="79"/>
        <v>Disponible</v>
      </c>
      <c r="BC163" s="551"/>
      <c r="BD163" s="693">
        <f t="shared" si="80"/>
        <v>0</v>
      </c>
      <c r="BE163" s="693">
        <f t="shared" si="81"/>
        <v>0</v>
      </c>
      <c r="BF163" s="517"/>
      <c r="BG163" s="517"/>
      <c r="BH163" s="693">
        <f t="shared" si="82"/>
        <v>0</v>
      </c>
      <c r="BI163" s="693">
        <f t="shared" si="83"/>
        <v>0</v>
      </c>
      <c r="BJ163" s="655">
        <f t="shared" si="101"/>
        <v>0</v>
      </c>
      <c r="BK163" s="518">
        <f t="shared" si="84"/>
        <v>0</v>
      </c>
      <c r="BL163" s="518">
        <f t="shared" si="85"/>
        <v>0</v>
      </c>
      <c r="BM163" s="518">
        <f t="shared" si="86"/>
        <v>0</v>
      </c>
      <c r="BN163" s="518">
        <f t="shared" si="87"/>
        <v>0</v>
      </c>
      <c r="BO163" s="655">
        <f t="shared" si="103"/>
        <v>0</v>
      </c>
      <c r="BP163" s="693">
        <f t="shared" si="88"/>
        <v>0</v>
      </c>
      <c r="BQ163" s="696"/>
      <c r="BR163" s="519"/>
      <c r="BT163" s="439">
        <f t="shared" si="89"/>
        <v>0</v>
      </c>
      <c r="BU163" s="439">
        <f t="shared" si="90"/>
        <v>0</v>
      </c>
      <c r="BV163" s="439">
        <f t="shared" si="91"/>
        <v>0</v>
      </c>
      <c r="BY163" s="862">
        <f t="shared" si="92"/>
        <v>774162.85499999998</v>
      </c>
      <c r="BZ163" s="862">
        <f t="shared" si="93"/>
        <v>331784.08100000001</v>
      </c>
      <c r="CA163" s="862">
        <f t="shared" si="94"/>
        <v>92899.54</v>
      </c>
      <c r="CB163" s="862">
        <f t="shared" si="95"/>
        <v>9953.52</v>
      </c>
      <c r="CC163" s="863">
        <f t="shared" si="96"/>
        <v>867062.4</v>
      </c>
      <c r="CD163" s="863">
        <f t="shared" si="97"/>
        <v>341737.6</v>
      </c>
      <c r="CE163" s="864">
        <f t="shared" si="98"/>
        <v>1208800</v>
      </c>
      <c r="CF163" s="862">
        <f t="shared" si="99"/>
        <v>0</v>
      </c>
    </row>
    <row r="164" spans="1:84" s="429" customFormat="1" ht="13.9" customHeight="1" x14ac:dyDescent="0.25">
      <c r="A164" s="472"/>
      <c r="B164" s="436">
        <v>911</v>
      </c>
      <c r="C164" s="436" t="s">
        <v>566</v>
      </c>
      <c r="D164" s="436"/>
      <c r="E164" s="436" t="s">
        <v>383</v>
      </c>
      <c r="F164" s="429" t="s">
        <v>567</v>
      </c>
      <c r="G164" s="473">
        <v>45185</v>
      </c>
      <c r="H164" s="436" t="s">
        <v>128</v>
      </c>
      <c r="I164" s="472">
        <v>1052367.5</v>
      </c>
      <c r="J164" s="472">
        <v>105267.5</v>
      </c>
      <c r="K164" s="507">
        <v>0</v>
      </c>
      <c r="L164" s="507">
        <v>0</v>
      </c>
      <c r="M164" s="507">
        <v>0</v>
      </c>
      <c r="N164" s="507">
        <v>0</v>
      </c>
      <c r="O164" s="507">
        <v>0</v>
      </c>
      <c r="P164" s="507">
        <v>0</v>
      </c>
      <c r="Q164" s="507">
        <v>8000</v>
      </c>
      <c r="R164" s="507">
        <v>4053</v>
      </c>
      <c r="S164" s="507">
        <v>4053</v>
      </c>
      <c r="T164" s="507">
        <v>4053</v>
      </c>
      <c r="U164" s="507">
        <v>4053</v>
      </c>
      <c r="V164" s="507">
        <v>4053</v>
      </c>
      <c r="W164" s="507">
        <v>4053</v>
      </c>
      <c r="X164" s="507">
        <v>4053</v>
      </c>
      <c r="Y164" s="507">
        <v>4053</v>
      </c>
      <c r="Z164" s="507">
        <v>4053</v>
      </c>
      <c r="AA164" s="507">
        <v>4053</v>
      </c>
      <c r="AB164" s="507">
        <v>4053</v>
      </c>
      <c r="AC164" s="507">
        <v>4053</v>
      </c>
      <c r="AD164" s="507">
        <v>4053</v>
      </c>
      <c r="AE164" s="507">
        <v>4053</v>
      </c>
      <c r="AF164" s="507">
        <v>4053</v>
      </c>
      <c r="AG164" s="507">
        <v>4053</v>
      </c>
      <c r="AH164" s="507">
        <v>4053</v>
      </c>
      <c r="AI164" s="507">
        <v>4054</v>
      </c>
      <c r="AJ164" s="507">
        <v>4053</v>
      </c>
      <c r="AK164" s="508">
        <v>4053</v>
      </c>
      <c r="AL164" s="508">
        <v>4053</v>
      </c>
      <c r="AM164" s="509">
        <v>4053</v>
      </c>
      <c r="AN164" s="509">
        <v>4053</v>
      </c>
      <c r="AO164" s="509">
        <v>4053</v>
      </c>
      <c r="AP164" s="509">
        <v>5000</v>
      </c>
      <c r="AQ164" s="509">
        <v>5000</v>
      </c>
      <c r="AR164" s="509">
        <v>5000</v>
      </c>
      <c r="AS164" s="509">
        <v>5000</v>
      </c>
      <c r="AT164" s="510">
        <f t="shared" si="100"/>
        <v>125273</v>
      </c>
      <c r="AU164" s="512">
        <f t="shared" si="72"/>
        <v>1.1900444106680599</v>
      </c>
      <c r="AV164" s="511">
        <f t="shared" si="73"/>
        <v>20005.5</v>
      </c>
      <c r="AW164" s="558">
        <f t="shared" si="74"/>
        <v>0.19004441066805994</v>
      </c>
      <c r="AX164" s="513">
        <f t="shared" si="75"/>
        <v>927094.5</v>
      </c>
      <c r="AY164" s="514">
        <f t="shared" si="76"/>
        <v>0.88096078603719707</v>
      </c>
      <c r="AZ164" s="513">
        <f t="shared" si="77"/>
        <v>105267.5</v>
      </c>
      <c r="BA164" s="515" t="str">
        <f t="shared" si="78"/>
        <v>Vendido</v>
      </c>
      <c r="BB164" s="516" t="str">
        <f t="shared" si="79"/>
        <v>Superávit de Enganche</v>
      </c>
      <c r="BC164" s="551">
        <v>24</v>
      </c>
      <c r="BD164" s="693">
        <f t="shared" si="80"/>
        <v>1</v>
      </c>
      <c r="BE164" s="693">
        <f t="shared" si="81"/>
        <v>25</v>
      </c>
      <c r="BF164" s="517">
        <v>8000</v>
      </c>
      <c r="BG164" s="517">
        <v>4054</v>
      </c>
      <c r="BH164" s="693">
        <f t="shared" si="82"/>
        <v>28</v>
      </c>
      <c r="BI164" s="693">
        <f t="shared" si="83"/>
        <v>28</v>
      </c>
      <c r="BJ164" s="655">
        <f t="shared" si="101"/>
        <v>121512</v>
      </c>
      <c r="BK164" s="518">
        <f t="shared" si="84"/>
        <v>97273</v>
      </c>
      <c r="BL164" s="518">
        <f t="shared" si="85"/>
        <v>28000</v>
      </c>
      <c r="BM164" s="518">
        <f t="shared" si="86"/>
        <v>0</v>
      </c>
      <c r="BN164" s="518">
        <f t="shared" si="87"/>
        <v>3761</v>
      </c>
      <c r="BO164" s="655">
        <f t="shared" si="103"/>
        <v>0</v>
      </c>
      <c r="BP164" s="693">
        <f t="shared" si="88"/>
        <v>0</v>
      </c>
      <c r="BQ164" s="696"/>
      <c r="BR164" s="519"/>
      <c r="BT164" s="439">
        <f t="shared" si="89"/>
        <v>3761</v>
      </c>
      <c r="BU164" s="439">
        <f t="shared" si="90"/>
        <v>3761</v>
      </c>
      <c r="BV164" s="439">
        <f t="shared" si="91"/>
        <v>0</v>
      </c>
      <c r="BY164" s="862">
        <f t="shared" si="92"/>
        <v>673977.35600000003</v>
      </c>
      <c r="BZ164" s="862">
        <f t="shared" si="93"/>
        <v>288847.43800000002</v>
      </c>
      <c r="CA164" s="862">
        <f t="shared" si="94"/>
        <v>80877.279999999999</v>
      </c>
      <c r="CB164" s="862">
        <f t="shared" si="95"/>
        <v>8665.42</v>
      </c>
      <c r="CC164" s="863">
        <f t="shared" si="96"/>
        <v>754854.64</v>
      </c>
      <c r="CD164" s="863">
        <f t="shared" si="97"/>
        <v>297512.86</v>
      </c>
      <c r="CE164" s="864">
        <f t="shared" si="98"/>
        <v>1052367.5</v>
      </c>
      <c r="CF164" s="862">
        <f t="shared" si="99"/>
        <v>0</v>
      </c>
    </row>
    <row r="165" spans="1:84" s="429" customFormat="1" ht="13.9" customHeight="1" x14ac:dyDescent="0.25">
      <c r="A165" s="472" t="s">
        <v>58</v>
      </c>
      <c r="B165" s="475">
        <v>912</v>
      </c>
      <c r="C165" s="475" t="s">
        <v>568</v>
      </c>
      <c r="D165" s="475"/>
      <c r="E165" s="475" t="s">
        <v>363</v>
      </c>
      <c r="F165" s="476" t="s">
        <v>569</v>
      </c>
      <c r="G165" s="481">
        <v>45300</v>
      </c>
      <c r="H165" s="436" t="s">
        <v>128</v>
      </c>
      <c r="I165" s="472">
        <v>973800</v>
      </c>
      <c r="J165" s="472">
        <v>97380</v>
      </c>
      <c r="K165" s="507">
        <v>0</v>
      </c>
      <c r="L165" s="507">
        <v>0</v>
      </c>
      <c r="M165" s="507">
        <v>0</v>
      </c>
      <c r="N165" s="507">
        <v>0</v>
      </c>
      <c r="O165" s="507">
        <v>0</v>
      </c>
      <c r="P165" s="507">
        <v>0</v>
      </c>
      <c r="Q165" s="507">
        <v>0</v>
      </c>
      <c r="R165" s="507">
        <v>0</v>
      </c>
      <c r="S165" s="507">
        <v>0</v>
      </c>
      <c r="T165" s="507">
        <v>0</v>
      </c>
      <c r="U165" s="507">
        <v>0</v>
      </c>
      <c r="V165" s="507">
        <v>0</v>
      </c>
      <c r="W165" s="507">
        <v>0</v>
      </c>
      <c r="X165" s="507">
        <v>0</v>
      </c>
      <c r="Y165" s="507">
        <v>0</v>
      </c>
      <c r="Z165" s="507">
        <v>0</v>
      </c>
      <c r="AA165" s="507">
        <v>0</v>
      </c>
      <c r="AB165" s="507">
        <v>0</v>
      </c>
      <c r="AC165" s="507">
        <v>0</v>
      </c>
      <c r="AD165" s="507">
        <v>0</v>
      </c>
      <c r="AE165" s="507">
        <v>0</v>
      </c>
      <c r="AF165" s="507">
        <v>0</v>
      </c>
      <c r="AG165" s="507">
        <v>0</v>
      </c>
      <c r="AH165" s="507">
        <v>0</v>
      </c>
      <c r="AI165" s="507">
        <v>0</v>
      </c>
      <c r="AJ165" s="507">
        <v>0</v>
      </c>
      <c r="AK165" s="508"/>
      <c r="AL165" s="508"/>
      <c r="AM165" s="508"/>
      <c r="AN165" s="509">
        <v>0</v>
      </c>
      <c r="AO165" s="509">
        <v>0</v>
      </c>
      <c r="AP165" s="509">
        <v>0</v>
      </c>
      <c r="AQ165" s="509">
        <v>0</v>
      </c>
      <c r="AR165" s="508"/>
      <c r="AS165" s="508"/>
      <c r="AT165" s="510">
        <f t="shared" si="100"/>
        <v>0</v>
      </c>
      <c r="AU165" s="512">
        <f t="shared" si="72"/>
        <v>0</v>
      </c>
      <c r="AV165" s="511">
        <f t="shared" si="73"/>
        <v>-97380</v>
      </c>
      <c r="AW165" s="558">
        <f t="shared" si="74"/>
        <v>-1</v>
      </c>
      <c r="AX165" s="513">
        <f t="shared" si="75"/>
        <v>973800</v>
      </c>
      <c r="AY165" s="514">
        <f t="shared" si="76"/>
        <v>1</v>
      </c>
      <c r="AZ165" s="513">
        <f t="shared" si="77"/>
        <v>97380</v>
      </c>
      <c r="BA165" s="515" t="str">
        <f t="shared" si="78"/>
        <v>Vendido</v>
      </c>
      <c r="BB165" s="516" t="str">
        <f t="shared" si="79"/>
        <v>Cliente Atrasado</v>
      </c>
      <c r="BC165" s="551">
        <v>21</v>
      </c>
      <c r="BD165" s="693">
        <f t="shared" si="80"/>
        <v>1</v>
      </c>
      <c r="BE165" s="693">
        <f t="shared" si="81"/>
        <v>22</v>
      </c>
      <c r="BF165" s="517">
        <v>12062</v>
      </c>
      <c r="BG165" s="517">
        <v>4062.73</v>
      </c>
      <c r="BH165" s="693">
        <f t="shared" si="82"/>
        <v>0</v>
      </c>
      <c r="BI165" s="693">
        <f t="shared" si="83"/>
        <v>24</v>
      </c>
      <c r="BJ165" s="655">
        <f t="shared" si="101"/>
        <v>109567.52</v>
      </c>
      <c r="BK165" s="518">
        <f t="shared" si="84"/>
        <v>0</v>
      </c>
      <c r="BL165" s="518">
        <f t="shared" si="85"/>
        <v>0</v>
      </c>
      <c r="BM165" s="518">
        <f t="shared" si="86"/>
        <v>0</v>
      </c>
      <c r="BN165" s="518">
        <f t="shared" si="87"/>
        <v>0</v>
      </c>
      <c r="BO165" s="655">
        <f t="shared" si="103"/>
        <v>109567.52</v>
      </c>
      <c r="BP165" s="693" t="str">
        <f t="shared" si="88"/>
        <v/>
      </c>
      <c r="BQ165" s="695" t="s">
        <v>58</v>
      </c>
      <c r="BR165" s="519"/>
      <c r="BT165" s="439">
        <f t="shared" si="89"/>
        <v>-109567.52</v>
      </c>
      <c r="BU165" s="439">
        <f t="shared" si="90"/>
        <v>-109567.52</v>
      </c>
      <c r="BV165" s="439">
        <f t="shared" si="91"/>
        <v>0</v>
      </c>
      <c r="BY165" s="862">
        <f t="shared" si="92"/>
        <v>623659.652</v>
      </c>
      <c r="BZ165" s="862">
        <f t="shared" si="93"/>
        <v>267282.70799999998</v>
      </c>
      <c r="CA165" s="862">
        <f t="shared" si="94"/>
        <v>74839.16</v>
      </c>
      <c r="CB165" s="862">
        <f t="shared" si="95"/>
        <v>8018.48</v>
      </c>
      <c r="CC165" s="863">
        <f t="shared" si="96"/>
        <v>698498.81</v>
      </c>
      <c r="CD165" s="863">
        <f t="shared" si="97"/>
        <v>275301.19</v>
      </c>
      <c r="CE165" s="864">
        <f t="shared" si="98"/>
        <v>973800</v>
      </c>
      <c r="CF165" s="862">
        <f t="shared" si="99"/>
        <v>0</v>
      </c>
    </row>
    <row r="166" spans="1:84" s="429" customFormat="1" ht="13.9" customHeight="1" x14ac:dyDescent="0.25">
      <c r="A166" s="472"/>
      <c r="B166" s="436">
        <v>913</v>
      </c>
      <c r="C166" s="436" t="s">
        <v>393</v>
      </c>
      <c r="D166" s="436"/>
      <c r="E166" s="436" t="s">
        <v>366</v>
      </c>
      <c r="F166" s="429" t="s">
        <v>570</v>
      </c>
      <c r="G166" s="473">
        <v>45404</v>
      </c>
      <c r="H166" s="436" t="s">
        <v>128</v>
      </c>
      <c r="I166" s="472">
        <v>903600</v>
      </c>
      <c r="J166" s="472">
        <v>90400</v>
      </c>
      <c r="K166" s="507">
        <v>0</v>
      </c>
      <c r="L166" s="507">
        <v>0</v>
      </c>
      <c r="M166" s="507">
        <v>0</v>
      </c>
      <c r="N166" s="507">
        <v>0</v>
      </c>
      <c r="O166" s="507">
        <v>0</v>
      </c>
      <c r="P166" s="507">
        <v>0</v>
      </c>
      <c r="Q166" s="507">
        <v>0</v>
      </c>
      <c r="R166" s="507">
        <v>0</v>
      </c>
      <c r="S166" s="507">
        <v>0</v>
      </c>
      <c r="T166" s="507">
        <v>0</v>
      </c>
      <c r="U166" s="507">
        <v>0</v>
      </c>
      <c r="V166" s="507">
        <v>0</v>
      </c>
      <c r="W166" s="507">
        <v>0</v>
      </c>
      <c r="X166" s="507">
        <v>8000</v>
      </c>
      <c r="Y166" s="507">
        <v>4845</v>
      </c>
      <c r="Z166" s="507">
        <v>4845</v>
      </c>
      <c r="AA166" s="507">
        <v>4845</v>
      </c>
      <c r="AB166" s="507">
        <v>4845</v>
      </c>
      <c r="AC166" s="507">
        <v>4845</v>
      </c>
      <c r="AD166" s="507">
        <v>4845</v>
      </c>
      <c r="AE166" s="507">
        <v>4845</v>
      </c>
      <c r="AF166" s="507">
        <v>4845</v>
      </c>
      <c r="AG166" s="507">
        <v>4845</v>
      </c>
      <c r="AH166" s="507">
        <v>4845</v>
      </c>
      <c r="AI166" s="507">
        <v>4845</v>
      </c>
      <c r="AJ166" s="507">
        <v>4845</v>
      </c>
      <c r="AK166" s="508">
        <f>4845+4845</f>
        <v>9690</v>
      </c>
      <c r="AL166" s="508"/>
      <c r="AM166" s="509">
        <v>4845</v>
      </c>
      <c r="AN166" s="509">
        <v>4845</v>
      </c>
      <c r="AO166" s="509">
        <v>4845</v>
      </c>
      <c r="AP166" s="509">
        <v>0</v>
      </c>
      <c r="AQ166" s="509">
        <v>0</v>
      </c>
      <c r="AR166" s="509"/>
      <c r="AS166" s="509"/>
      <c r="AT166" s="510">
        <f t="shared" si="100"/>
        <v>90365</v>
      </c>
      <c r="AU166" s="512">
        <f t="shared" si="72"/>
        <v>0.9996128318584071</v>
      </c>
      <c r="AV166" s="511">
        <f t="shared" si="73"/>
        <v>-35</v>
      </c>
      <c r="AW166" s="558">
        <f t="shared" si="74"/>
        <v>-3.8716814159292035E-4</v>
      </c>
      <c r="AX166" s="513">
        <f t="shared" si="75"/>
        <v>813235</v>
      </c>
      <c r="AY166" s="514">
        <f t="shared" si="76"/>
        <v>0.89999446657813187</v>
      </c>
      <c r="AZ166" s="513">
        <f t="shared" si="77"/>
        <v>90400</v>
      </c>
      <c r="BA166" s="515" t="str">
        <f t="shared" si="78"/>
        <v>Vendido</v>
      </c>
      <c r="BB166" s="516" t="str">
        <f t="shared" si="79"/>
        <v>Cliente Atrasado</v>
      </c>
      <c r="BC166" s="551">
        <v>17</v>
      </c>
      <c r="BD166" s="693">
        <f t="shared" si="80"/>
        <v>1</v>
      </c>
      <c r="BE166" s="693">
        <f t="shared" si="81"/>
        <v>18</v>
      </c>
      <c r="BF166" s="517">
        <v>8000</v>
      </c>
      <c r="BG166" s="517">
        <v>4847</v>
      </c>
      <c r="BH166" s="693">
        <f t="shared" si="82"/>
        <v>15</v>
      </c>
      <c r="BI166" s="693">
        <f t="shared" si="83"/>
        <v>21</v>
      </c>
      <c r="BJ166" s="655">
        <f t="shared" si="101"/>
        <v>109787</v>
      </c>
      <c r="BK166" s="518">
        <f t="shared" si="84"/>
        <v>72675</v>
      </c>
      <c r="BL166" s="518">
        <f t="shared" si="85"/>
        <v>17690</v>
      </c>
      <c r="BM166" s="518">
        <f t="shared" si="86"/>
        <v>0</v>
      </c>
      <c r="BN166" s="518">
        <f t="shared" si="87"/>
        <v>0</v>
      </c>
      <c r="BO166" s="655">
        <f t="shared" si="103"/>
        <v>19422</v>
      </c>
      <c r="BP166" s="693">
        <f t="shared" si="88"/>
        <v>5</v>
      </c>
      <c r="BQ166" s="696"/>
      <c r="BR166" s="519"/>
      <c r="BT166" s="439">
        <f t="shared" si="89"/>
        <v>-19422</v>
      </c>
      <c r="BU166" s="439">
        <f t="shared" si="90"/>
        <v>-19422</v>
      </c>
      <c r="BV166" s="439">
        <f t="shared" si="91"/>
        <v>0</v>
      </c>
      <c r="BY166" s="862">
        <f t="shared" si="92"/>
        <v>578700.82299999997</v>
      </c>
      <c r="BZ166" s="862">
        <f t="shared" si="93"/>
        <v>248014.639</v>
      </c>
      <c r="CA166" s="862">
        <f t="shared" si="94"/>
        <v>69444.100000000006</v>
      </c>
      <c r="CB166" s="862">
        <f t="shared" si="95"/>
        <v>7440.44</v>
      </c>
      <c r="CC166" s="863">
        <f t="shared" si="96"/>
        <v>648144.92000000004</v>
      </c>
      <c r="CD166" s="863">
        <f t="shared" si="97"/>
        <v>255455.08</v>
      </c>
      <c r="CE166" s="864">
        <f t="shared" si="98"/>
        <v>903600</v>
      </c>
      <c r="CF166" s="862">
        <f t="shared" si="99"/>
        <v>0</v>
      </c>
    </row>
    <row r="167" spans="1:84" s="429" customFormat="1" ht="13.9" customHeight="1" x14ac:dyDescent="0.25">
      <c r="A167" s="472"/>
      <c r="B167" s="436">
        <v>914</v>
      </c>
      <c r="C167" s="436" t="s">
        <v>172</v>
      </c>
      <c r="D167" s="436"/>
      <c r="E167" s="436" t="s">
        <v>366</v>
      </c>
      <c r="F167" s="429" t="s">
        <v>571</v>
      </c>
      <c r="G167" s="473">
        <v>45320</v>
      </c>
      <c r="H167" s="436" t="s">
        <v>128</v>
      </c>
      <c r="I167" s="472">
        <v>883300</v>
      </c>
      <c r="J167" s="472">
        <v>88400</v>
      </c>
      <c r="K167" s="507">
        <v>0</v>
      </c>
      <c r="L167" s="507">
        <v>0</v>
      </c>
      <c r="M167" s="507">
        <v>0</v>
      </c>
      <c r="N167" s="507">
        <v>0</v>
      </c>
      <c r="O167" s="507">
        <v>6000</v>
      </c>
      <c r="P167" s="507">
        <v>0</v>
      </c>
      <c r="Q167" s="507">
        <v>0</v>
      </c>
      <c r="R167" s="507">
        <v>0</v>
      </c>
      <c r="S167" s="507">
        <v>0</v>
      </c>
      <c r="T167" s="507">
        <v>0</v>
      </c>
      <c r="U167" s="507">
        <v>8000</v>
      </c>
      <c r="V167" s="507">
        <v>4020</v>
      </c>
      <c r="W167" s="507">
        <v>0</v>
      </c>
      <c r="X167" s="507">
        <v>8040</v>
      </c>
      <c r="Y167" s="507">
        <v>4020</v>
      </c>
      <c r="Z167" s="507">
        <v>4020</v>
      </c>
      <c r="AA167" s="507">
        <v>0</v>
      </c>
      <c r="AB167" s="507">
        <v>8040</v>
      </c>
      <c r="AC167" s="507">
        <v>0</v>
      </c>
      <c r="AD167" s="507">
        <v>8040</v>
      </c>
      <c r="AE167" s="507">
        <v>0</v>
      </c>
      <c r="AF167" s="507">
        <v>4020</v>
      </c>
      <c r="AG167" s="507">
        <v>0</v>
      </c>
      <c r="AH167" s="507">
        <v>4040</v>
      </c>
      <c r="AI167" s="507">
        <v>8040</v>
      </c>
      <c r="AJ167" s="507">
        <v>8040</v>
      </c>
      <c r="AK167" s="508">
        <v>4020</v>
      </c>
      <c r="AL167" s="508">
        <v>4020</v>
      </c>
      <c r="AM167" s="509">
        <v>4020</v>
      </c>
      <c r="AN167" s="509">
        <v>4020</v>
      </c>
      <c r="AO167" s="509">
        <v>4020</v>
      </c>
      <c r="AP167" s="509">
        <v>0</v>
      </c>
      <c r="AQ167" s="509">
        <v>0</v>
      </c>
      <c r="AR167" s="509"/>
      <c r="AS167" s="509"/>
      <c r="AT167" s="510">
        <f t="shared" si="100"/>
        <v>94420</v>
      </c>
      <c r="AU167" s="512">
        <f t="shared" si="72"/>
        <v>1.0680995475113122</v>
      </c>
      <c r="AV167" s="511">
        <f t="shared" si="73"/>
        <v>6020</v>
      </c>
      <c r="AW167" s="558">
        <f t="shared" si="74"/>
        <v>6.8099547511312211E-2</v>
      </c>
      <c r="AX167" s="513">
        <f t="shared" si="75"/>
        <v>788880</v>
      </c>
      <c r="AY167" s="514">
        <f t="shared" si="76"/>
        <v>0.89310540020378126</v>
      </c>
      <c r="AZ167" s="513">
        <f t="shared" si="77"/>
        <v>88400</v>
      </c>
      <c r="BA167" s="515" t="str">
        <f t="shared" si="78"/>
        <v>Vendido</v>
      </c>
      <c r="BB167" s="516" t="str">
        <f t="shared" si="79"/>
        <v>Cliente Atrasado</v>
      </c>
      <c r="BC167" s="551">
        <v>20</v>
      </c>
      <c r="BD167" s="693">
        <f t="shared" si="80"/>
        <v>1</v>
      </c>
      <c r="BE167" s="693">
        <f t="shared" si="81"/>
        <v>21</v>
      </c>
      <c r="BF167" s="517">
        <v>6000</v>
      </c>
      <c r="BG167" s="517">
        <v>4020</v>
      </c>
      <c r="BH167" s="693">
        <f t="shared" si="82"/>
        <v>10</v>
      </c>
      <c r="BI167" s="693">
        <f t="shared" si="83"/>
        <v>23</v>
      </c>
      <c r="BJ167" s="655">
        <f t="shared" si="101"/>
        <v>98460</v>
      </c>
      <c r="BK167" s="518">
        <f t="shared" si="84"/>
        <v>36180</v>
      </c>
      <c r="BL167" s="518">
        <f t="shared" si="85"/>
        <v>58240</v>
      </c>
      <c r="BM167" s="518">
        <f t="shared" si="86"/>
        <v>0</v>
      </c>
      <c r="BN167" s="518">
        <f t="shared" si="87"/>
        <v>0</v>
      </c>
      <c r="BO167" s="655">
        <f t="shared" si="103"/>
        <v>4040</v>
      </c>
      <c r="BP167" s="693">
        <f t="shared" si="88"/>
        <v>2</v>
      </c>
      <c r="BQ167" s="696"/>
      <c r="BR167" s="519"/>
      <c r="BT167" s="439">
        <f t="shared" si="89"/>
        <v>-4040</v>
      </c>
      <c r="BU167" s="439">
        <f t="shared" si="90"/>
        <v>-4040</v>
      </c>
      <c r="BV167" s="439">
        <f t="shared" si="91"/>
        <v>0</v>
      </c>
      <c r="BY167" s="862">
        <f t="shared" si="92"/>
        <v>565699.90899999999</v>
      </c>
      <c r="BZ167" s="862">
        <f t="shared" si="93"/>
        <v>242442.818</v>
      </c>
      <c r="CA167" s="862">
        <f t="shared" si="94"/>
        <v>67883.990000000005</v>
      </c>
      <c r="CB167" s="862">
        <f t="shared" si="95"/>
        <v>7273.28</v>
      </c>
      <c r="CC167" s="863">
        <f t="shared" si="96"/>
        <v>633583.9</v>
      </c>
      <c r="CD167" s="863">
        <f t="shared" si="97"/>
        <v>249716.1</v>
      </c>
      <c r="CE167" s="864">
        <f t="shared" si="98"/>
        <v>883300</v>
      </c>
      <c r="CF167" s="862">
        <f t="shared" si="99"/>
        <v>0</v>
      </c>
    </row>
    <row r="168" spans="1:84" s="429" customFormat="1" ht="13.9" customHeight="1" x14ac:dyDescent="0.25">
      <c r="A168" s="472"/>
      <c r="B168" s="436">
        <v>915</v>
      </c>
      <c r="C168" s="436" t="s">
        <v>547</v>
      </c>
      <c r="D168" s="436"/>
      <c r="E168" s="436" t="s">
        <v>383</v>
      </c>
      <c r="F168" s="429" t="s">
        <v>572</v>
      </c>
      <c r="G168" s="473">
        <v>45197</v>
      </c>
      <c r="H168" s="436" t="s">
        <v>128</v>
      </c>
      <c r="I168" s="472">
        <v>1309197.44</v>
      </c>
      <c r="J168" s="472">
        <v>130997.44</v>
      </c>
      <c r="K168" s="507">
        <v>0</v>
      </c>
      <c r="L168" s="507">
        <v>0</v>
      </c>
      <c r="M168" s="507">
        <v>0</v>
      </c>
      <c r="N168" s="507">
        <v>0</v>
      </c>
      <c r="O168" s="507">
        <v>0</v>
      </c>
      <c r="P168" s="507">
        <v>6000</v>
      </c>
      <c r="Q168" s="507">
        <v>0</v>
      </c>
      <c r="R168" s="507">
        <v>5208</v>
      </c>
      <c r="S168" s="507">
        <v>5208</v>
      </c>
      <c r="T168" s="507">
        <v>5208</v>
      </c>
      <c r="U168" s="507">
        <v>5208</v>
      </c>
      <c r="V168" s="507">
        <v>5208</v>
      </c>
      <c r="W168" s="507">
        <v>5208</v>
      </c>
      <c r="X168" s="507">
        <v>5208</v>
      </c>
      <c r="Y168" s="507">
        <v>0</v>
      </c>
      <c r="Z168" s="507">
        <v>10416</v>
      </c>
      <c r="AA168" s="507">
        <v>5208</v>
      </c>
      <c r="AB168" s="507">
        <v>5208</v>
      </c>
      <c r="AC168" s="507">
        <v>5208</v>
      </c>
      <c r="AD168" s="507">
        <v>0</v>
      </c>
      <c r="AE168" s="507">
        <v>5208</v>
      </c>
      <c r="AF168" s="507">
        <f>5208+5208</f>
        <v>10416</v>
      </c>
      <c r="AG168" s="507">
        <v>0</v>
      </c>
      <c r="AH168" s="507">
        <v>5208</v>
      </c>
      <c r="AI168" s="507">
        <f>5208+5208</f>
        <v>10416</v>
      </c>
      <c r="AJ168" s="507">
        <v>0</v>
      </c>
      <c r="AK168" s="508">
        <f>5208+5208</f>
        <v>10416</v>
      </c>
      <c r="AL168" s="508">
        <v>5208</v>
      </c>
      <c r="AM168" s="509">
        <v>5208</v>
      </c>
      <c r="AN168" s="509">
        <v>0</v>
      </c>
      <c r="AO168" s="509">
        <v>5208</v>
      </c>
      <c r="AP168" s="509">
        <v>5213</v>
      </c>
      <c r="AQ168" s="509">
        <v>0</v>
      </c>
      <c r="AR168" s="509"/>
      <c r="AS168" s="509"/>
      <c r="AT168" s="510">
        <f t="shared" si="100"/>
        <v>130997</v>
      </c>
      <c r="AU168" s="512">
        <f t="shared" si="72"/>
        <v>0.9999966411557355</v>
      </c>
      <c r="AV168" s="511">
        <f t="shared" si="73"/>
        <v>-0.44000000000232831</v>
      </c>
      <c r="AW168" s="558">
        <f t="shared" si="74"/>
        <v>-3.3588442644553077E-6</v>
      </c>
      <c r="AX168" s="513">
        <f t="shared" si="75"/>
        <v>1178200.44</v>
      </c>
      <c r="AY168" s="514">
        <f t="shared" si="76"/>
        <v>0.89994098980211878</v>
      </c>
      <c r="AZ168" s="513">
        <f t="shared" si="77"/>
        <v>130997.44</v>
      </c>
      <c r="BA168" s="515" t="str">
        <f t="shared" si="78"/>
        <v>Vendido</v>
      </c>
      <c r="BB168" s="516" t="str">
        <f t="shared" si="79"/>
        <v>Cliente Atrasado</v>
      </c>
      <c r="BC168" s="551">
        <v>24</v>
      </c>
      <c r="BD168" s="693">
        <f t="shared" si="80"/>
        <v>1</v>
      </c>
      <c r="BE168" s="693">
        <f t="shared" si="81"/>
        <v>25</v>
      </c>
      <c r="BF168" s="517">
        <v>6000</v>
      </c>
      <c r="BG168" s="517">
        <v>5208</v>
      </c>
      <c r="BH168" s="693">
        <f t="shared" si="82"/>
        <v>16</v>
      </c>
      <c r="BI168" s="693">
        <f t="shared" si="83"/>
        <v>27</v>
      </c>
      <c r="BJ168" s="655">
        <f t="shared" si="101"/>
        <v>146616</v>
      </c>
      <c r="BK168" s="518">
        <f t="shared" si="84"/>
        <v>78120</v>
      </c>
      <c r="BL168" s="518">
        <f t="shared" si="85"/>
        <v>52877</v>
      </c>
      <c r="BM168" s="518">
        <f t="shared" si="86"/>
        <v>0</v>
      </c>
      <c r="BN168" s="518">
        <f t="shared" si="87"/>
        <v>0</v>
      </c>
      <c r="BO168" s="655">
        <f t="shared" si="103"/>
        <v>15619</v>
      </c>
      <c r="BP168" s="693">
        <f t="shared" si="88"/>
        <v>3</v>
      </c>
      <c r="BQ168" s="696"/>
      <c r="BR168" s="519"/>
      <c r="BT168" s="439">
        <f t="shared" si="89"/>
        <v>-15619</v>
      </c>
      <c r="BU168" s="439">
        <f t="shared" si="90"/>
        <v>-15619</v>
      </c>
      <c r="BV168" s="439">
        <f t="shared" si="91"/>
        <v>0</v>
      </c>
      <c r="BY168" s="862">
        <f t="shared" si="92"/>
        <v>838461.30599999998</v>
      </c>
      <c r="BZ168" s="862">
        <f t="shared" si="93"/>
        <v>359340.56</v>
      </c>
      <c r="CA168" s="862">
        <f t="shared" si="94"/>
        <v>100615.36</v>
      </c>
      <c r="CB168" s="862">
        <f t="shared" si="95"/>
        <v>10780.22</v>
      </c>
      <c r="CC168" s="863">
        <f t="shared" si="96"/>
        <v>939076.67</v>
      </c>
      <c r="CD168" s="863">
        <f t="shared" si="97"/>
        <v>370120.78</v>
      </c>
      <c r="CE168" s="864">
        <f t="shared" si="98"/>
        <v>1309197.45</v>
      </c>
      <c r="CF168" s="862">
        <f t="shared" si="99"/>
        <v>1.0000000009313226E-2</v>
      </c>
    </row>
    <row r="169" spans="1:84" s="429" customFormat="1" ht="13.9" customHeight="1" x14ac:dyDescent="0.25">
      <c r="A169" s="472"/>
      <c r="B169" s="436">
        <v>916</v>
      </c>
      <c r="C169" s="436" t="s">
        <v>181</v>
      </c>
      <c r="D169" s="436"/>
      <c r="E169" s="436" t="s">
        <v>383</v>
      </c>
      <c r="F169" s="429" t="s">
        <v>573</v>
      </c>
      <c r="G169" s="473">
        <v>45049</v>
      </c>
      <c r="H169" s="436" t="s">
        <v>128</v>
      </c>
      <c r="I169" s="472">
        <v>687500</v>
      </c>
      <c r="J169" s="472">
        <v>68800</v>
      </c>
      <c r="K169" s="507">
        <v>0</v>
      </c>
      <c r="L169" s="507">
        <v>0</v>
      </c>
      <c r="M169" s="507">
        <v>8250</v>
      </c>
      <c r="N169" s="507">
        <v>0</v>
      </c>
      <c r="O169" s="507">
        <v>2250</v>
      </c>
      <c r="P169" s="507">
        <v>2250</v>
      </c>
      <c r="Q169" s="507">
        <v>2250</v>
      </c>
      <c r="R169" s="507">
        <v>2250</v>
      </c>
      <c r="S169" s="507">
        <v>2250</v>
      </c>
      <c r="T169" s="507">
        <v>2250</v>
      </c>
      <c r="U169" s="507">
        <v>2250</v>
      </c>
      <c r="V169" s="507">
        <v>2250</v>
      </c>
      <c r="W169" s="507">
        <v>2250</v>
      </c>
      <c r="X169" s="507">
        <v>2250</v>
      </c>
      <c r="Y169" s="507">
        <v>2250</v>
      </c>
      <c r="Z169" s="507">
        <v>2250</v>
      </c>
      <c r="AA169" s="507">
        <v>0</v>
      </c>
      <c r="AB169" s="507">
        <v>4500</v>
      </c>
      <c r="AC169" s="507">
        <v>2250</v>
      </c>
      <c r="AD169" s="507">
        <v>2250</v>
      </c>
      <c r="AE169" s="507">
        <v>2250</v>
      </c>
      <c r="AF169" s="507">
        <v>2250</v>
      </c>
      <c r="AG169" s="507">
        <v>2250</v>
      </c>
      <c r="AH169" s="507">
        <v>0</v>
      </c>
      <c r="AI169" s="507">
        <f>2250+2250</f>
        <v>4500</v>
      </c>
      <c r="AJ169" s="507">
        <v>2250</v>
      </c>
      <c r="AK169" s="508">
        <v>2250</v>
      </c>
      <c r="AL169" s="508">
        <v>2250</v>
      </c>
      <c r="AM169" s="509">
        <v>2250</v>
      </c>
      <c r="AN169" s="509">
        <v>2250</v>
      </c>
      <c r="AO169" s="509">
        <v>2250</v>
      </c>
      <c r="AP169" s="509">
        <v>2250</v>
      </c>
      <c r="AQ169" s="509">
        <v>0</v>
      </c>
      <c r="AR169" s="509">
        <v>2250</v>
      </c>
      <c r="AS169" s="509"/>
      <c r="AT169" s="510">
        <f t="shared" si="100"/>
        <v>73500</v>
      </c>
      <c r="AU169" s="512">
        <f t="shared" si="72"/>
        <v>1.0683139534883721</v>
      </c>
      <c r="AV169" s="511">
        <f t="shared" si="73"/>
        <v>4700</v>
      </c>
      <c r="AW169" s="558">
        <f t="shared" si="74"/>
        <v>6.8313953488372089E-2</v>
      </c>
      <c r="AX169" s="513">
        <f t="shared" si="75"/>
        <v>614000</v>
      </c>
      <c r="AY169" s="514">
        <f t="shared" si="76"/>
        <v>0.89309090909090905</v>
      </c>
      <c r="AZ169" s="513">
        <f t="shared" si="77"/>
        <v>68800</v>
      </c>
      <c r="BA169" s="515" t="str">
        <f t="shared" si="78"/>
        <v>Vendido</v>
      </c>
      <c r="BB169" s="516" t="str">
        <f t="shared" si="79"/>
        <v>Cliente Atrasado</v>
      </c>
      <c r="BC169" s="551">
        <v>28</v>
      </c>
      <c r="BD169" s="693">
        <f t="shared" si="80"/>
        <v>1</v>
      </c>
      <c r="BE169" s="693">
        <f t="shared" si="81"/>
        <v>29</v>
      </c>
      <c r="BF169" s="517">
        <v>6000</v>
      </c>
      <c r="BG169" s="517">
        <v>2250</v>
      </c>
      <c r="BH169" s="693">
        <f t="shared" si="82"/>
        <v>27</v>
      </c>
      <c r="BI169" s="693">
        <f t="shared" si="83"/>
        <v>32</v>
      </c>
      <c r="BJ169" s="655">
        <f t="shared" si="101"/>
        <v>78000</v>
      </c>
      <c r="BK169" s="518">
        <f t="shared" si="84"/>
        <v>56250</v>
      </c>
      <c r="BL169" s="518">
        <f t="shared" si="85"/>
        <v>17250</v>
      </c>
      <c r="BM169" s="518">
        <f t="shared" si="86"/>
        <v>0</v>
      </c>
      <c r="BN169" s="518">
        <f t="shared" si="87"/>
        <v>0</v>
      </c>
      <c r="BO169" s="655">
        <f t="shared" si="103"/>
        <v>4500</v>
      </c>
      <c r="BP169" s="693">
        <f t="shared" si="88"/>
        <v>2</v>
      </c>
      <c r="BQ169" s="696"/>
      <c r="BR169" s="519"/>
      <c r="BT169" s="439">
        <f t="shared" si="89"/>
        <v>-4500</v>
      </c>
      <c r="BU169" s="439">
        <f t="shared" si="90"/>
        <v>-4500</v>
      </c>
      <c r="BV169" s="439">
        <f t="shared" si="91"/>
        <v>0</v>
      </c>
      <c r="BY169" s="862">
        <f t="shared" si="92"/>
        <v>440301.92099999997</v>
      </c>
      <c r="BZ169" s="862">
        <f t="shared" si="93"/>
        <v>188700.823</v>
      </c>
      <c r="CA169" s="862">
        <f t="shared" si="94"/>
        <v>52836.23</v>
      </c>
      <c r="CB169" s="862">
        <f t="shared" si="95"/>
        <v>5661.02</v>
      </c>
      <c r="CC169" s="863">
        <f t="shared" si="96"/>
        <v>493138.15</v>
      </c>
      <c r="CD169" s="863">
        <f t="shared" si="97"/>
        <v>194361.84</v>
      </c>
      <c r="CE169" s="864">
        <f t="shared" si="98"/>
        <v>687499.99</v>
      </c>
      <c r="CF169" s="862">
        <f t="shared" si="99"/>
        <v>-1.0000000009313226E-2</v>
      </c>
    </row>
    <row r="170" spans="1:84" s="429" customFormat="1" ht="13.9" customHeight="1" x14ac:dyDescent="0.25">
      <c r="A170" s="472"/>
      <c r="B170" s="436">
        <v>917</v>
      </c>
      <c r="C170" s="436" t="s">
        <v>192</v>
      </c>
      <c r="D170" s="436"/>
      <c r="E170" s="436" t="s">
        <v>383</v>
      </c>
      <c r="F170" s="429" t="s">
        <v>574</v>
      </c>
      <c r="G170" s="473">
        <v>45068</v>
      </c>
      <c r="H170" s="436" t="s">
        <v>128</v>
      </c>
      <c r="I170" s="472">
        <v>699700</v>
      </c>
      <c r="J170" s="472">
        <v>70000</v>
      </c>
      <c r="K170" s="507">
        <v>0</v>
      </c>
      <c r="L170" s="507">
        <v>0</v>
      </c>
      <c r="M170" s="507">
        <v>6000</v>
      </c>
      <c r="N170" s="507">
        <v>2250</v>
      </c>
      <c r="O170" s="507">
        <v>2250</v>
      </c>
      <c r="P170" s="507">
        <v>2250</v>
      </c>
      <c r="Q170" s="507">
        <v>2250</v>
      </c>
      <c r="R170" s="507">
        <v>2250</v>
      </c>
      <c r="S170" s="507">
        <v>2250</v>
      </c>
      <c r="T170" s="507">
        <v>2250</v>
      </c>
      <c r="U170" s="507">
        <v>2250</v>
      </c>
      <c r="V170" s="507">
        <v>2250</v>
      </c>
      <c r="W170" s="507">
        <v>2250</v>
      </c>
      <c r="X170" s="507">
        <v>2250</v>
      </c>
      <c r="Y170" s="507">
        <v>2250</v>
      </c>
      <c r="Z170" s="507">
        <v>2250</v>
      </c>
      <c r="AA170" s="507">
        <v>2250</v>
      </c>
      <c r="AB170" s="507">
        <v>2250</v>
      </c>
      <c r="AC170" s="507">
        <v>2250</v>
      </c>
      <c r="AD170" s="507">
        <v>2250</v>
      </c>
      <c r="AE170" s="507">
        <v>2250</v>
      </c>
      <c r="AF170" s="507">
        <v>2250</v>
      </c>
      <c r="AG170" s="507">
        <v>2250</v>
      </c>
      <c r="AH170" s="507">
        <v>2250</v>
      </c>
      <c r="AI170" s="507">
        <v>2250</v>
      </c>
      <c r="AJ170" s="507">
        <v>2250</v>
      </c>
      <c r="AK170" s="508">
        <v>2250</v>
      </c>
      <c r="AL170" s="508">
        <v>2250</v>
      </c>
      <c r="AM170" s="509">
        <v>2250</v>
      </c>
      <c r="AN170" s="509">
        <v>2250</v>
      </c>
      <c r="AO170" s="509">
        <v>3250</v>
      </c>
      <c r="AP170" s="509">
        <v>0</v>
      </c>
      <c r="AQ170" s="509">
        <v>0</v>
      </c>
      <c r="AR170" s="509"/>
      <c r="AS170" s="509"/>
      <c r="AT170" s="510">
        <f t="shared" si="100"/>
        <v>70000</v>
      </c>
      <c r="AU170" s="512">
        <f t="shared" si="72"/>
        <v>1</v>
      </c>
      <c r="AV170" s="511">
        <f t="shared" si="73"/>
        <v>0</v>
      </c>
      <c r="AW170" s="558">
        <f t="shared" si="74"/>
        <v>0</v>
      </c>
      <c r="AX170" s="513">
        <f t="shared" si="75"/>
        <v>629700</v>
      </c>
      <c r="AY170" s="514">
        <f t="shared" si="76"/>
        <v>0.89995712448192078</v>
      </c>
      <c r="AZ170" s="513">
        <f t="shared" si="77"/>
        <v>70000</v>
      </c>
      <c r="BA170" s="515" t="str">
        <f t="shared" si="78"/>
        <v>Vendido</v>
      </c>
      <c r="BB170" s="516" t="str">
        <f t="shared" si="79"/>
        <v>Cliente Atrasado</v>
      </c>
      <c r="BC170" s="551">
        <v>28</v>
      </c>
      <c r="BD170" s="693">
        <f t="shared" si="80"/>
        <v>1</v>
      </c>
      <c r="BE170" s="693">
        <f t="shared" si="81"/>
        <v>29</v>
      </c>
      <c r="BF170" s="517">
        <v>6000</v>
      </c>
      <c r="BG170" s="517">
        <v>2250</v>
      </c>
      <c r="BH170" s="693">
        <f t="shared" si="82"/>
        <v>28</v>
      </c>
      <c r="BI170" s="693">
        <f t="shared" si="83"/>
        <v>32</v>
      </c>
      <c r="BJ170" s="655">
        <f t="shared" si="101"/>
        <v>78000</v>
      </c>
      <c r="BK170" s="518">
        <f t="shared" si="84"/>
        <v>60750</v>
      </c>
      <c r="BL170" s="518">
        <f t="shared" si="85"/>
        <v>9250</v>
      </c>
      <c r="BM170" s="518">
        <f t="shared" si="86"/>
        <v>0</v>
      </c>
      <c r="BN170" s="518">
        <f t="shared" si="87"/>
        <v>0</v>
      </c>
      <c r="BO170" s="655">
        <f t="shared" si="103"/>
        <v>8000</v>
      </c>
      <c r="BP170" s="693">
        <f t="shared" si="88"/>
        <v>4</v>
      </c>
      <c r="BQ170" s="696"/>
      <c r="BR170" s="519"/>
      <c r="BT170" s="439">
        <f t="shared" si="89"/>
        <v>-8000</v>
      </c>
      <c r="BU170" s="439">
        <f t="shared" si="90"/>
        <v>-8000</v>
      </c>
      <c r="BV170" s="439">
        <f t="shared" si="91"/>
        <v>0</v>
      </c>
      <c r="BY170" s="862">
        <f t="shared" si="92"/>
        <v>448115.27899999998</v>
      </c>
      <c r="BZ170" s="862">
        <f t="shared" si="93"/>
        <v>192049.405</v>
      </c>
      <c r="CA170" s="862">
        <f t="shared" si="94"/>
        <v>53773.83</v>
      </c>
      <c r="CB170" s="862">
        <f t="shared" si="95"/>
        <v>5761.48</v>
      </c>
      <c r="CC170" s="863">
        <f t="shared" si="96"/>
        <v>501889.11</v>
      </c>
      <c r="CD170" s="863">
        <f t="shared" si="97"/>
        <v>197810.89</v>
      </c>
      <c r="CE170" s="864">
        <f t="shared" si="98"/>
        <v>699700</v>
      </c>
      <c r="CF170" s="862">
        <f t="shared" si="99"/>
        <v>0</v>
      </c>
    </row>
    <row r="171" spans="1:84" s="429" customFormat="1" ht="13.9" customHeight="1" x14ac:dyDescent="0.25">
      <c r="A171" s="472"/>
      <c r="B171" s="436">
        <v>918</v>
      </c>
      <c r="C171" s="436" t="s">
        <v>198</v>
      </c>
      <c r="D171" s="436"/>
      <c r="E171" s="436" t="s">
        <v>366</v>
      </c>
      <c r="F171" s="429" t="s">
        <v>575</v>
      </c>
      <c r="G171" s="473">
        <v>45128</v>
      </c>
      <c r="H171" s="436" t="s">
        <v>128</v>
      </c>
      <c r="I171" s="472">
        <v>703500</v>
      </c>
      <c r="J171" s="472">
        <v>70400</v>
      </c>
      <c r="K171" s="507">
        <v>0</v>
      </c>
      <c r="L171" s="507">
        <v>0</v>
      </c>
      <c r="M171" s="507">
        <v>0</v>
      </c>
      <c r="N171" s="507">
        <v>6000</v>
      </c>
      <c r="O171" s="507">
        <v>0</v>
      </c>
      <c r="P171" s="507">
        <v>2477</v>
      </c>
      <c r="Q171" s="507">
        <v>2477</v>
      </c>
      <c r="R171" s="507">
        <v>2477</v>
      </c>
      <c r="S171" s="507">
        <v>2477</v>
      </c>
      <c r="T171" s="507">
        <v>4954</v>
      </c>
      <c r="U171" s="507">
        <v>0</v>
      </c>
      <c r="V171" s="507">
        <v>2477</v>
      </c>
      <c r="W171" s="507">
        <v>2477</v>
      </c>
      <c r="X171" s="507">
        <v>2477</v>
      </c>
      <c r="Y171" s="507">
        <v>4954</v>
      </c>
      <c r="Z171" s="507">
        <v>0</v>
      </c>
      <c r="AA171" s="507">
        <v>2477</v>
      </c>
      <c r="AB171" s="507">
        <v>2477</v>
      </c>
      <c r="AC171" s="507">
        <v>2477</v>
      </c>
      <c r="AD171" s="507">
        <v>2477</v>
      </c>
      <c r="AE171" s="507">
        <v>2477</v>
      </c>
      <c r="AF171" s="507">
        <v>2477</v>
      </c>
      <c r="AG171" s="507">
        <v>2477</v>
      </c>
      <c r="AH171" s="507">
        <v>2477</v>
      </c>
      <c r="AI171" s="507">
        <v>0</v>
      </c>
      <c r="AJ171" s="507">
        <v>2477</v>
      </c>
      <c r="AK171" s="509">
        <f>2477+2477</f>
        <v>4954</v>
      </c>
      <c r="AL171" s="509">
        <v>2477</v>
      </c>
      <c r="AM171" s="509"/>
      <c r="AN171" s="509">
        <v>2477</v>
      </c>
      <c r="AO171" s="509">
        <v>2477</v>
      </c>
      <c r="AP171" s="509">
        <v>1000</v>
      </c>
      <c r="AQ171" s="509">
        <v>1505</v>
      </c>
      <c r="AR171" s="509"/>
      <c r="AS171" s="509"/>
      <c r="AT171" s="510">
        <f t="shared" si="100"/>
        <v>70430</v>
      </c>
      <c r="AU171" s="512">
        <f t="shared" si="72"/>
        <v>1.0004261363636364</v>
      </c>
      <c r="AV171" s="511">
        <f t="shared" si="73"/>
        <v>30</v>
      </c>
      <c r="AW171" s="558">
        <f t="shared" si="74"/>
        <v>4.2613636363636362E-4</v>
      </c>
      <c r="AX171" s="513">
        <f t="shared" si="75"/>
        <v>633070</v>
      </c>
      <c r="AY171" s="514">
        <f t="shared" si="76"/>
        <v>0.89988628287135752</v>
      </c>
      <c r="AZ171" s="513">
        <f t="shared" si="77"/>
        <v>70400</v>
      </c>
      <c r="BA171" s="515" t="str">
        <f t="shared" si="78"/>
        <v>Vendido</v>
      </c>
      <c r="BB171" s="516" t="str">
        <f t="shared" si="79"/>
        <v>Cliente Atrasado</v>
      </c>
      <c r="BC171" s="551">
        <v>26</v>
      </c>
      <c r="BD171" s="693">
        <f t="shared" si="80"/>
        <v>1</v>
      </c>
      <c r="BE171" s="693">
        <f t="shared" si="81"/>
        <v>27</v>
      </c>
      <c r="BF171" s="517">
        <v>6000</v>
      </c>
      <c r="BG171" s="517">
        <v>2477</v>
      </c>
      <c r="BH171" s="693">
        <f t="shared" si="82"/>
        <v>24</v>
      </c>
      <c r="BI171" s="693">
        <f t="shared" si="83"/>
        <v>30</v>
      </c>
      <c r="BJ171" s="655">
        <f t="shared" si="101"/>
        <v>80310</v>
      </c>
      <c r="BK171" s="518">
        <f t="shared" si="84"/>
        <v>49568</v>
      </c>
      <c r="BL171" s="518">
        <f t="shared" si="85"/>
        <v>20862</v>
      </c>
      <c r="BM171" s="518">
        <f t="shared" si="86"/>
        <v>0</v>
      </c>
      <c r="BN171" s="518">
        <f t="shared" si="87"/>
        <v>0</v>
      </c>
      <c r="BO171" s="655">
        <f t="shared" si="103"/>
        <v>9880</v>
      </c>
      <c r="BP171" s="693">
        <f t="shared" si="88"/>
        <v>4</v>
      </c>
      <c r="BQ171" s="696"/>
      <c r="BR171" s="519"/>
      <c r="BT171" s="439">
        <f t="shared" si="89"/>
        <v>-9880</v>
      </c>
      <c r="BU171" s="439">
        <f t="shared" si="90"/>
        <v>-9880</v>
      </c>
      <c r="BV171" s="439">
        <f t="shared" si="91"/>
        <v>0</v>
      </c>
      <c r="BY171" s="862">
        <f t="shared" si="92"/>
        <v>450548.94799999997</v>
      </c>
      <c r="BZ171" s="862">
        <f t="shared" si="93"/>
        <v>193092.40599999999</v>
      </c>
      <c r="CA171" s="862">
        <f t="shared" si="94"/>
        <v>54065.87</v>
      </c>
      <c r="CB171" s="862">
        <f t="shared" si="95"/>
        <v>5792.77</v>
      </c>
      <c r="CC171" s="863">
        <f t="shared" si="96"/>
        <v>504614.82</v>
      </c>
      <c r="CD171" s="863">
        <f t="shared" si="97"/>
        <v>198885.18</v>
      </c>
      <c r="CE171" s="864">
        <f t="shared" si="98"/>
        <v>703500</v>
      </c>
      <c r="CF171" s="862">
        <f t="shared" si="99"/>
        <v>0</v>
      </c>
    </row>
    <row r="172" spans="1:84" s="429" customFormat="1" ht="13.9" customHeight="1" x14ac:dyDescent="0.25">
      <c r="A172" s="472"/>
      <c r="B172" s="436">
        <v>919</v>
      </c>
      <c r="C172" s="436" t="s">
        <v>412</v>
      </c>
      <c r="D172" s="436"/>
      <c r="E172" s="436" t="s">
        <v>383</v>
      </c>
      <c r="F172" s="429" t="s">
        <v>576</v>
      </c>
      <c r="G172" s="473">
        <v>45016</v>
      </c>
      <c r="H172" s="436" t="s">
        <v>128</v>
      </c>
      <c r="I172" s="472">
        <v>921600</v>
      </c>
      <c r="J172" s="472">
        <v>92200</v>
      </c>
      <c r="K172" s="507">
        <v>6000</v>
      </c>
      <c r="L172" s="507">
        <v>2465</v>
      </c>
      <c r="M172" s="507">
        <v>0</v>
      </c>
      <c r="N172" s="507">
        <v>4930</v>
      </c>
      <c r="O172" s="507">
        <v>2465</v>
      </c>
      <c r="P172" s="507">
        <v>2465</v>
      </c>
      <c r="Q172" s="507">
        <v>2465</v>
      </c>
      <c r="R172" s="507">
        <v>2465</v>
      </c>
      <c r="S172" s="507">
        <v>0</v>
      </c>
      <c r="T172" s="507">
        <v>2465</v>
      </c>
      <c r="U172" s="507">
        <v>0</v>
      </c>
      <c r="V172" s="507">
        <v>2465</v>
      </c>
      <c r="W172" s="507">
        <v>4930</v>
      </c>
      <c r="X172" s="507">
        <v>4930</v>
      </c>
      <c r="Y172" s="507">
        <v>2465</v>
      </c>
      <c r="Z172" s="507">
        <v>0</v>
      </c>
      <c r="AA172" s="507">
        <v>2465</v>
      </c>
      <c r="AB172" s="507">
        <v>4930</v>
      </c>
      <c r="AC172" s="507">
        <v>0</v>
      </c>
      <c r="AD172" s="507">
        <f>2465</f>
        <v>2465</v>
      </c>
      <c r="AE172" s="507">
        <v>0</v>
      </c>
      <c r="AF172" s="507">
        <v>0</v>
      </c>
      <c r="AG172" s="507">
        <v>0</v>
      </c>
      <c r="AH172" s="507">
        <v>14790</v>
      </c>
      <c r="AI172" s="507">
        <v>0</v>
      </c>
      <c r="AJ172" s="507">
        <v>2465</v>
      </c>
      <c r="AK172" s="509">
        <v>2465</v>
      </c>
      <c r="AL172" s="509">
        <v>2465</v>
      </c>
      <c r="AM172" s="509"/>
      <c r="AN172" s="509">
        <v>2465</v>
      </c>
      <c r="AO172" s="509">
        <v>2465</v>
      </c>
      <c r="AP172" s="509">
        <v>0</v>
      </c>
      <c r="AQ172" s="509">
        <v>0</v>
      </c>
      <c r="AR172" s="509"/>
      <c r="AS172" s="509"/>
      <c r="AT172" s="510">
        <f t="shared" si="100"/>
        <v>77485</v>
      </c>
      <c r="AU172" s="512">
        <f t="shared" si="72"/>
        <v>0.84040130151843817</v>
      </c>
      <c r="AV172" s="511">
        <f t="shared" si="73"/>
        <v>-14715</v>
      </c>
      <c r="AW172" s="558">
        <f t="shared" si="74"/>
        <v>-0.15959869848156183</v>
      </c>
      <c r="AX172" s="513">
        <f t="shared" si="75"/>
        <v>844115</v>
      </c>
      <c r="AY172" s="514">
        <f t="shared" si="76"/>
        <v>0.91592339409722223</v>
      </c>
      <c r="AZ172" s="513">
        <f t="shared" si="77"/>
        <v>92200</v>
      </c>
      <c r="BA172" s="515" t="str">
        <f t="shared" si="78"/>
        <v>Vendido</v>
      </c>
      <c r="BB172" s="516" t="str">
        <f t="shared" si="79"/>
        <v>Cliente Atrasado</v>
      </c>
      <c r="BC172" s="551">
        <v>35</v>
      </c>
      <c r="BD172" s="693">
        <f t="shared" si="80"/>
        <v>1</v>
      </c>
      <c r="BE172" s="693">
        <f t="shared" si="81"/>
        <v>36</v>
      </c>
      <c r="BF172" s="517">
        <v>6000</v>
      </c>
      <c r="BG172" s="517">
        <v>2465</v>
      </c>
      <c r="BH172" s="693">
        <f t="shared" si="82"/>
        <v>19</v>
      </c>
      <c r="BI172" s="693">
        <f t="shared" si="83"/>
        <v>33</v>
      </c>
      <c r="BJ172" s="655">
        <f t="shared" si="101"/>
        <v>87345</v>
      </c>
      <c r="BK172" s="518">
        <f t="shared" si="84"/>
        <v>36975</v>
      </c>
      <c r="BL172" s="518">
        <f t="shared" si="85"/>
        <v>40510</v>
      </c>
      <c r="BM172" s="518">
        <f t="shared" si="86"/>
        <v>0</v>
      </c>
      <c r="BN172" s="518">
        <f t="shared" si="87"/>
        <v>0</v>
      </c>
      <c r="BO172" s="655">
        <f t="shared" si="103"/>
        <v>9860</v>
      </c>
      <c r="BP172" s="693">
        <f t="shared" si="88"/>
        <v>4</v>
      </c>
      <c r="BQ172" s="696"/>
      <c r="BR172" s="519"/>
      <c r="BT172" s="439">
        <f t="shared" si="89"/>
        <v>-9860</v>
      </c>
      <c r="BU172" s="439">
        <f t="shared" si="90"/>
        <v>-9860</v>
      </c>
      <c r="BV172" s="439">
        <f t="shared" si="91"/>
        <v>0</v>
      </c>
      <c r="BY172" s="862">
        <f t="shared" si="92"/>
        <v>590228.728</v>
      </c>
      <c r="BZ172" s="862">
        <f t="shared" si="93"/>
        <v>252955.16899999999</v>
      </c>
      <c r="CA172" s="862">
        <f t="shared" si="94"/>
        <v>70827.45</v>
      </c>
      <c r="CB172" s="862">
        <f t="shared" si="95"/>
        <v>7588.66</v>
      </c>
      <c r="CC172" s="863">
        <f t="shared" si="96"/>
        <v>661056.18000000005</v>
      </c>
      <c r="CD172" s="863">
        <f t="shared" si="97"/>
        <v>260543.83</v>
      </c>
      <c r="CE172" s="864">
        <f t="shared" si="98"/>
        <v>921600.01</v>
      </c>
      <c r="CF172" s="862">
        <f t="shared" si="99"/>
        <v>1.0000000009313226E-2</v>
      </c>
    </row>
    <row r="173" spans="1:84" s="429" customFormat="1" ht="13.9" customHeight="1" x14ac:dyDescent="0.25">
      <c r="A173" s="472" t="s">
        <v>58</v>
      </c>
      <c r="B173" s="475">
        <v>920</v>
      </c>
      <c r="C173" s="475" t="s">
        <v>186</v>
      </c>
      <c r="D173" s="475"/>
      <c r="E173" s="475" t="s">
        <v>363</v>
      </c>
      <c r="F173" s="476" t="s">
        <v>569</v>
      </c>
      <c r="G173" s="473">
        <v>45300</v>
      </c>
      <c r="H173" s="436" t="s">
        <v>128</v>
      </c>
      <c r="I173" s="472">
        <v>929000</v>
      </c>
      <c r="J173" s="472">
        <f>+I173*0.1</f>
        <v>92900</v>
      </c>
      <c r="K173" s="507">
        <v>0</v>
      </c>
      <c r="L173" s="507">
        <v>0</v>
      </c>
      <c r="M173" s="507">
        <v>0</v>
      </c>
      <c r="N173" s="507">
        <v>0</v>
      </c>
      <c r="O173" s="507">
        <v>0</v>
      </c>
      <c r="P173" s="507">
        <v>0</v>
      </c>
      <c r="Q173" s="507">
        <v>0</v>
      </c>
      <c r="R173" s="507">
        <v>0</v>
      </c>
      <c r="S173" s="507">
        <v>0</v>
      </c>
      <c r="T173" s="507">
        <v>0</v>
      </c>
      <c r="U173" s="507">
        <v>0</v>
      </c>
      <c r="V173" s="507">
        <v>0</v>
      </c>
      <c r="W173" s="507">
        <v>0</v>
      </c>
      <c r="X173" s="507">
        <v>0</v>
      </c>
      <c r="Y173" s="507">
        <v>0</v>
      </c>
      <c r="Z173" s="507">
        <v>0</v>
      </c>
      <c r="AA173" s="507">
        <v>0</v>
      </c>
      <c r="AB173" s="507">
        <v>0</v>
      </c>
      <c r="AC173" s="507">
        <v>0</v>
      </c>
      <c r="AD173" s="507">
        <v>0</v>
      </c>
      <c r="AE173" s="507">
        <v>0</v>
      </c>
      <c r="AF173" s="507">
        <v>0</v>
      </c>
      <c r="AG173" s="507">
        <v>0</v>
      </c>
      <c r="AH173" s="507">
        <v>0</v>
      </c>
      <c r="AI173" s="507">
        <v>0</v>
      </c>
      <c r="AJ173" s="507">
        <v>0</v>
      </c>
      <c r="AK173" s="508"/>
      <c r="AL173" s="508"/>
      <c r="AM173" s="508"/>
      <c r="AN173" s="509">
        <v>0</v>
      </c>
      <c r="AO173" s="509">
        <v>0</v>
      </c>
      <c r="AP173" s="509">
        <v>0</v>
      </c>
      <c r="AQ173" s="509">
        <v>0</v>
      </c>
      <c r="AR173" s="508"/>
      <c r="AS173" s="508"/>
      <c r="AT173" s="510">
        <f t="shared" si="100"/>
        <v>0</v>
      </c>
      <c r="AU173" s="512">
        <f t="shared" si="72"/>
        <v>0</v>
      </c>
      <c r="AV173" s="511">
        <f t="shared" si="73"/>
        <v>-92900</v>
      </c>
      <c r="AW173" s="558">
        <f t="shared" si="74"/>
        <v>-1</v>
      </c>
      <c r="AX173" s="513">
        <f t="shared" si="75"/>
        <v>929000</v>
      </c>
      <c r="AY173" s="514">
        <f t="shared" si="76"/>
        <v>1</v>
      </c>
      <c r="AZ173" s="513">
        <f t="shared" si="77"/>
        <v>92900</v>
      </c>
      <c r="BA173" s="515" t="str">
        <f t="shared" si="78"/>
        <v>Vendido</v>
      </c>
      <c r="BB173" s="516" t="str">
        <f t="shared" si="79"/>
        <v>Cliente Atrasado</v>
      </c>
      <c r="BC173" s="551">
        <v>21</v>
      </c>
      <c r="BD173" s="693">
        <f t="shared" si="80"/>
        <v>1</v>
      </c>
      <c r="BE173" s="693">
        <f t="shared" si="81"/>
        <v>22</v>
      </c>
      <c r="BF173" s="517">
        <v>11859.09</v>
      </c>
      <c r="BG173" s="517">
        <v>3859.09</v>
      </c>
      <c r="BH173" s="693">
        <f t="shared" si="82"/>
        <v>0</v>
      </c>
      <c r="BI173" s="693">
        <f t="shared" si="83"/>
        <v>24</v>
      </c>
      <c r="BJ173" s="655">
        <f t="shared" si="101"/>
        <v>104477.25</v>
      </c>
      <c r="BK173" s="518">
        <f t="shared" si="84"/>
        <v>0</v>
      </c>
      <c r="BL173" s="518">
        <f t="shared" si="85"/>
        <v>0</v>
      </c>
      <c r="BM173" s="518">
        <f t="shared" si="86"/>
        <v>0</v>
      </c>
      <c r="BN173" s="518">
        <f t="shared" si="87"/>
        <v>0</v>
      </c>
      <c r="BO173" s="655">
        <f t="shared" si="103"/>
        <v>104477.25</v>
      </c>
      <c r="BP173" s="693" t="str">
        <f t="shared" si="88"/>
        <v/>
      </c>
      <c r="BQ173" s="695" t="s">
        <v>58</v>
      </c>
      <c r="BR173" s="519"/>
      <c r="BT173" s="439">
        <f t="shared" si="89"/>
        <v>-104477.25</v>
      </c>
      <c r="BU173" s="439">
        <f t="shared" si="90"/>
        <v>-104477.25</v>
      </c>
      <c r="BV173" s="439">
        <f t="shared" si="91"/>
        <v>0</v>
      </c>
      <c r="BY173" s="862">
        <f t="shared" si="92"/>
        <v>594967.978</v>
      </c>
      <c r="BZ173" s="862">
        <f t="shared" si="93"/>
        <v>254986.27600000001</v>
      </c>
      <c r="CA173" s="862">
        <f t="shared" si="94"/>
        <v>71396.160000000003</v>
      </c>
      <c r="CB173" s="862">
        <f t="shared" si="95"/>
        <v>7649.59</v>
      </c>
      <c r="CC173" s="863">
        <f t="shared" si="96"/>
        <v>666364.14</v>
      </c>
      <c r="CD173" s="863">
        <f t="shared" si="97"/>
        <v>262635.87</v>
      </c>
      <c r="CE173" s="864">
        <f t="shared" si="98"/>
        <v>929000.01</v>
      </c>
      <c r="CF173" s="862">
        <f t="shared" si="99"/>
        <v>1.0000000009313226E-2</v>
      </c>
    </row>
    <row r="174" spans="1:84" s="429" customFormat="1" ht="13.9" customHeight="1" x14ac:dyDescent="0.25">
      <c r="A174" s="472"/>
      <c r="B174" s="436">
        <v>1001</v>
      </c>
      <c r="C174" s="436" t="s">
        <v>409</v>
      </c>
      <c r="D174" s="436"/>
      <c r="E174" s="436" t="s">
        <v>366</v>
      </c>
      <c r="F174" s="429" t="s">
        <v>577</v>
      </c>
      <c r="G174" s="473">
        <v>45027</v>
      </c>
      <c r="H174" s="436" t="s">
        <v>128</v>
      </c>
      <c r="I174" s="472">
        <v>1097100</v>
      </c>
      <c r="J174" s="472">
        <v>109800</v>
      </c>
      <c r="K174" s="507">
        <v>0</v>
      </c>
      <c r="L174" s="507">
        <v>6000</v>
      </c>
      <c r="M174" s="507">
        <v>3579</v>
      </c>
      <c r="N174" s="507">
        <v>3579</v>
      </c>
      <c r="O174" s="507">
        <v>3579</v>
      </c>
      <c r="P174" s="507">
        <v>3579</v>
      </c>
      <c r="Q174" s="507">
        <v>3579</v>
      </c>
      <c r="R174" s="507">
        <v>3579</v>
      </c>
      <c r="S174" s="507">
        <v>3579</v>
      </c>
      <c r="T174" s="507">
        <v>3579</v>
      </c>
      <c r="U174" s="507">
        <v>3579</v>
      </c>
      <c r="V174" s="507">
        <v>3579</v>
      </c>
      <c r="W174" s="507">
        <v>3579</v>
      </c>
      <c r="X174" s="507">
        <v>3579</v>
      </c>
      <c r="Y174" s="507">
        <v>3579</v>
      </c>
      <c r="Z174" s="507">
        <v>3579</v>
      </c>
      <c r="AA174" s="507">
        <v>3579</v>
      </c>
      <c r="AB174" s="507">
        <v>3579</v>
      </c>
      <c r="AC174" s="507">
        <v>3579</v>
      </c>
      <c r="AD174" s="507">
        <v>3579</v>
      </c>
      <c r="AE174" s="507">
        <v>3579</v>
      </c>
      <c r="AF174" s="507">
        <v>3579</v>
      </c>
      <c r="AG174" s="507">
        <v>3579</v>
      </c>
      <c r="AH174" s="507">
        <v>3579</v>
      </c>
      <c r="AI174" s="507">
        <v>3579</v>
      </c>
      <c r="AJ174" s="507">
        <v>3579</v>
      </c>
      <c r="AK174" s="508"/>
      <c r="AL174" s="509">
        <v>3579</v>
      </c>
      <c r="AM174" s="509"/>
      <c r="AN174" s="509">
        <v>0</v>
      </c>
      <c r="AO174" s="509">
        <v>3579</v>
      </c>
      <c r="AP174" s="509">
        <v>0</v>
      </c>
      <c r="AQ174" s="509">
        <v>0</v>
      </c>
      <c r="AR174" s="509"/>
      <c r="AS174" s="509"/>
      <c r="AT174" s="510">
        <f t="shared" si="100"/>
        <v>99054</v>
      </c>
      <c r="AU174" s="512">
        <f t="shared" si="72"/>
        <v>0.90213114754098356</v>
      </c>
      <c r="AV174" s="511">
        <f t="shared" si="73"/>
        <v>-10746</v>
      </c>
      <c r="AW174" s="558">
        <f t="shared" si="74"/>
        <v>-9.7868852459016387E-2</v>
      </c>
      <c r="AX174" s="513">
        <f t="shared" si="75"/>
        <v>998046</v>
      </c>
      <c r="AY174" s="514">
        <f t="shared" si="76"/>
        <v>0.90971287940935197</v>
      </c>
      <c r="AZ174" s="513">
        <f t="shared" si="77"/>
        <v>109800</v>
      </c>
      <c r="BA174" s="515" t="str">
        <f t="shared" si="78"/>
        <v>Vendido</v>
      </c>
      <c r="BB174" s="516" t="str">
        <f t="shared" si="79"/>
        <v>Cliente Atrasado</v>
      </c>
      <c r="BC174" s="551">
        <v>29</v>
      </c>
      <c r="BD174" s="693">
        <f t="shared" si="80"/>
        <v>1</v>
      </c>
      <c r="BE174" s="693">
        <f t="shared" si="81"/>
        <v>30</v>
      </c>
      <c r="BF174" s="517">
        <v>6000</v>
      </c>
      <c r="BG174" s="517">
        <v>3579</v>
      </c>
      <c r="BH174" s="693">
        <f t="shared" si="82"/>
        <v>26</v>
      </c>
      <c r="BI174" s="693">
        <f t="shared" si="83"/>
        <v>33</v>
      </c>
      <c r="BJ174" s="655">
        <f t="shared" si="101"/>
        <v>124107</v>
      </c>
      <c r="BK174" s="518">
        <f t="shared" si="84"/>
        <v>93054</v>
      </c>
      <c r="BL174" s="518">
        <f t="shared" si="85"/>
        <v>6000</v>
      </c>
      <c r="BM174" s="518">
        <f t="shared" si="86"/>
        <v>0</v>
      </c>
      <c r="BN174" s="518">
        <f t="shared" si="87"/>
        <v>0</v>
      </c>
      <c r="BO174" s="655">
        <f t="shared" si="103"/>
        <v>25053</v>
      </c>
      <c r="BP174" s="693">
        <f t="shared" si="88"/>
        <v>7</v>
      </c>
      <c r="BQ174" s="696"/>
      <c r="BR174" s="519"/>
      <c r="BT174" s="439">
        <f t="shared" si="89"/>
        <v>-25053</v>
      </c>
      <c r="BU174" s="439">
        <f t="shared" si="90"/>
        <v>-25053</v>
      </c>
      <c r="BV174" s="439">
        <f t="shared" si="91"/>
        <v>0</v>
      </c>
      <c r="BY174" s="862">
        <f t="shared" si="92"/>
        <v>702625.80099999998</v>
      </c>
      <c r="BZ174" s="862">
        <f t="shared" si="93"/>
        <v>301125.34299999999</v>
      </c>
      <c r="CA174" s="862">
        <f t="shared" si="94"/>
        <v>84315.1</v>
      </c>
      <c r="CB174" s="862">
        <f t="shared" si="95"/>
        <v>9033.76</v>
      </c>
      <c r="CC174" s="863">
        <f t="shared" si="96"/>
        <v>786940.9</v>
      </c>
      <c r="CD174" s="863">
        <f t="shared" si="97"/>
        <v>310159.09999999998</v>
      </c>
      <c r="CE174" s="864">
        <f t="shared" si="98"/>
        <v>1097100</v>
      </c>
      <c r="CF174" s="862">
        <f t="shared" si="99"/>
        <v>0</v>
      </c>
    </row>
    <row r="175" spans="1:84" s="429" customFormat="1" ht="13.9" customHeight="1" x14ac:dyDescent="0.25">
      <c r="A175" s="472"/>
      <c r="B175" s="436">
        <v>1002</v>
      </c>
      <c r="C175" s="436" t="s">
        <v>184</v>
      </c>
      <c r="D175" s="436"/>
      <c r="E175" s="436" t="s">
        <v>366</v>
      </c>
      <c r="F175" s="429" t="s">
        <v>578</v>
      </c>
      <c r="G175" s="473">
        <v>45008</v>
      </c>
      <c r="H175" s="436" t="s">
        <v>128</v>
      </c>
      <c r="I175" s="472">
        <v>1111200</v>
      </c>
      <c r="J175" s="472">
        <v>216000</v>
      </c>
      <c r="K175" s="507">
        <v>6000</v>
      </c>
      <c r="L175" s="507">
        <v>0</v>
      </c>
      <c r="M175" s="507">
        <v>12000</v>
      </c>
      <c r="N175" s="507">
        <v>6000</v>
      </c>
      <c r="O175" s="507">
        <v>6000</v>
      </c>
      <c r="P175" s="507">
        <v>6000</v>
      </c>
      <c r="Q175" s="507">
        <v>6000</v>
      </c>
      <c r="R175" s="507">
        <v>6000</v>
      </c>
      <c r="S175" s="507">
        <v>6000</v>
      </c>
      <c r="T175" s="507">
        <v>6000</v>
      </c>
      <c r="U175" s="507">
        <v>6000</v>
      </c>
      <c r="V175" s="507">
        <v>6000</v>
      </c>
      <c r="W175" s="507">
        <v>0</v>
      </c>
      <c r="X175" s="507">
        <v>0</v>
      </c>
      <c r="Y175" s="507">
        <v>18000</v>
      </c>
      <c r="Z175" s="507">
        <v>6000</v>
      </c>
      <c r="AA175" s="507">
        <v>0</v>
      </c>
      <c r="AB175" s="507">
        <v>6000</v>
      </c>
      <c r="AC175" s="507">
        <v>6000</v>
      </c>
      <c r="AD175" s="507">
        <v>6000</v>
      </c>
      <c r="AE175" s="507">
        <v>6000</v>
      </c>
      <c r="AF175" s="507">
        <v>6000</v>
      </c>
      <c r="AG175" s="507">
        <v>6000</v>
      </c>
      <c r="AH175" s="507">
        <v>6000</v>
      </c>
      <c r="AI175" s="507">
        <v>6000</v>
      </c>
      <c r="AJ175" s="507">
        <f>6000+6000</f>
        <v>12000</v>
      </c>
      <c r="AK175" s="508">
        <v>6000</v>
      </c>
      <c r="AL175" s="508">
        <v>6000</v>
      </c>
      <c r="AM175" s="509">
        <v>6000</v>
      </c>
      <c r="AN175" s="509">
        <v>6000</v>
      </c>
      <c r="AO175" s="509">
        <v>6000</v>
      </c>
      <c r="AP175" s="509">
        <v>6000</v>
      </c>
      <c r="AQ175" s="509">
        <v>6000</v>
      </c>
      <c r="AR175" s="509"/>
      <c r="AS175" s="509">
        <v>6000</v>
      </c>
      <c r="AT175" s="510">
        <f t="shared" si="100"/>
        <v>204000</v>
      </c>
      <c r="AU175" s="512">
        <f t="shared" si="72"/>
        <v>0.94444444444444442</v>
      </c>
      <c r="AV175" s="511">
        <f t="shared" si="73"/>
        <v>-12000</v>
      </c>
      <c r="AW175" s="558">
        <f t="shared" si="74"/>
        <v>-5.5555555555555552E-2</v>
      </c>
      <c r="AX175" s="513">
        <f t="shared" si="75"/>
        <v>907200</v>
      </c>
      <c r="AY175" s="514">
        <f t="shared" si="76"/>
        <v>0.81641468682505403</v>
      </c>
      <c r="AZ175" s="513">
        <f t="shared" si="77"/>
        <v>216000</v>
      </c>
      <c r="BA175" s="515" t="str">
        <f t="shared" si="78"/>
        <v>Vendido</v>
      </c>
      <c r="BB175" s="516" t="str">
        <f t="shared" si="79"/>
        <v>Cliente Atrasado</v>
      </c>
      <c r="BC175" s="551">
        <v>35</v>
      </c>
      <c r="BD175" s="693">
        <f t="shared" si="80"/>
        <v>1</v>
      </c>
      <c r="BE175" s="693">
        <f t="shared" si="81"/>
        <v>36</v>
      </c>
      <c r="BF175" s="517">
        <v>6000</v>
      </c>
      <c r="BG175" s="517">
        <v>6000</v>
      </c>
      <c r="BH175" s="693">
        <f t="shared" si="82"/>
        <v>0</v>
      </c>
      <c r="BI175" s="693">
        <f t="shared" si="83"/>
        <v>34</v>
      </c>
      <c r="BJ175" s="655">
        <f t="shared" si="101"/>
        <v>210000</v>
      </c>
      <c r="BK175" s="518">
        <f t="shared" si="84"/>
        <v>162000</v>
      </c>
      <c r="BL175" s="518">
        <f t="shared" si="85"/>
        <v>42000</v>
      </c>
      <c r="BM175" s="518">
        <f t="shared" si="86"/>
        <v>0</v>
      </c>
      <c r="BN175" s="518">
        <f t="shared" si="87"/>
        <v>0</v>
      </c>
      <c r="BO175" s="655">
        <f t="shared" si="103"/>
        <v>6000</v>
      </c>
      <c r="BP175" s="693">
        <f t="shared" si="88"/>
        <v>1</v>
      </c>
      <c r="BQ175" s="696"/>
      <c r="BR175" s="519"/>
      <c r="BT175" s="439">
        <f t="shared" si="89"/>
        <v>-6000</v>
      </c>
      <c r="BU175" s="439">
        <f t="shared" si="90"/>
        <v>-6000</v>
      </c>
      <c r="BV175" s="439">
        <f t="shared" si="91"/>
        <v>0</v>
      </c>
      <c r="BY175" s="862">
        <f t="shared" si="92"/>
        <v>711655.99300000002</v>
      </c>
      <c r="BZ175" s="862">
        <f t="shared" si="93"/>
        <v>304995.42499999999</v>
      </c>
      <c r="CA175" s="862">
        <f t="shared" si="94"/>
        <v>85398.720000000001</v>
      </c>
      <c r="CB175" s="862">
        <f t="shared" si="95"/>
        <v>9149.86</v>
      </c>
      <c r="CC175" s="863">
        <f t="shared" si="96"/>
        <v>797054.71</v>
      </c>
      <c r="CD175" s="863">
        <f t="shared" si="97"/>
        <v>314145.28999999998</v>
      </c>
      <c r="CE175" s="864">
        <f t="shared" si="98"/>
        <v>1111200</v>
      </c>
      <c r="CF175" s="862">
        <f t="shared" si="99"/>
        <v>0</v>
      </c>
    </row>
    <row r="176" spans="1:84" s="429" customFormat="1" ht="13.9" customHeight="1" x14ac:dyDescent="0.25">
      <c r="A176" s="472"/>
      <c r="B176" s="436">
        <v>1003</v>
      </c>
      <c r="C176" s="436" t="s">
        <v>406</v>
      </c>
      <c r="D176" s="436"/>
      <c r="E176" s="436" t="s">
        <v>366</v>
      </c>
      <c r="F176" s="429" t="s">
        <v>579</v>
      </c>
      <c r="G176" s="473">
        <v>45072</v>
      </c>
      <c r="H176" s="436" t="s">
        <v>128</v>
      </c>
      <c r="I176" s="472">
        <v>703500</v>
      </c>
      <c r="J176" s="472">
        <v>70400</v>
      </c>
      <c r="K176" s="507">
        <v>0</v>
      </c>
      <c r="L176" s="507">
        <v>6000</v>
      </c>
      <c r="M176" s="507">
        <v>0</v>
      </c>
      <c r="N176" s="507">
        <v>2300</v>
      </c>
      <c r="O176" s="507">
        <v>2300</v>
      </c>
      <c r="P176" s="507">
        <v>2300</v>
      </c>
      <c r="Q176" s="507">
        <v>2300</v>
      </c>
      <c r="R176" s="507">
        <v>2300</v>
      </c>
      <c r="S176" s="507">
        <v>0</v>
      </c>
      <c r="T176" s="507">
        <v>2300</v>
      </c>
      <c r="U176" s="507">
        <v>4600</v>
      </c>
      <c r="V176" s="507">
        <v>0</v>
      </c>
      <c r="W176" s="507">
        <v>4600</v>
      </c>
      <c r="X176" s="507">
        <v>2300</v>
      </c>
      <c r="Y176" s="507">
        <v>0</v>
      </c>
      <c r="Z176" s="507">
        <v>2300</v>
      </c>
      <c r="AA176" s="507">
        <v>2300</v>
      </c>
      <c r="AB176" s="507">
        <v>4600</v>
      </c>
      <c r="AC176" s="507">
        <v>0</v>
      </c>
      <c r="AD176" s="507">
        <v>4600</v>
      </c>
      <c r="AE176" s="507">
        <v>0</v>
      </c>
      <c r="AF176" s="507">
        <v>0</v>
      </c>
      <c r="AG176" s="507">
        <v>0</v>
      </c>
      <c r="AH176" s="507">
        <v>9600</v>
      </c>
      <c r="AI176" s="507">
        <v>0</v>
      </c>
      <c r="AJ176" s="507">
        <v>4800</v>
      </c>
      <c r="AK176" s="509">
        <v>2400</v>
      </c>
      <c r="AL176" s="509"/>
      <c r="AM176" s="509"/>
      <c r="AN176" s="509">
        <v>4800</v>
      </c>
      <c r="AO176" s="509">
        <v>2400</v>
      </c>
      <c r="AP176" s="509">
        <v>0</v>
      </c>
      <c r="AQ176" s="509">
        <v>0</v>
      </c>
      <c r="AR176" s="509">
        <f>2400+2400+2400+2400</f>
        <v>9600</v>
      </c>
      <c r="AS176" s="509"/>
      <c r="AT176" s="510">
        <f t="shared" si="100"/>
        <v>78700</v>
      </c>
      <c r="AU176" s="512">
        <f t="shared" si="72"/>
        <v>1.1178977272727273</v>
      </c>
      <c r="AV176" s="511">
        <f t="shared" si="73"/>
        <v>8300</v>
      </c>
      <c r="AW176" s="558">
        <f t="shared" si="74"/>
        <v>0.11789772727272728</v>
      </c>
      <c r="AX176" s="513">
        <f t="shared" si="75"/>
        <v>624800</v>
      </c>
      <c r="AY176" s="514">
        <f t="shared" si="76"/>
        <v>0.88813077469793889</v>
      </c>
      <c r="AZ176" s="513">
        <f t="shared" si="77"/>
        <v>70400</v>
      </c>
      <c r="BA176" s="515" t="str">
        <f t="shared" si="78"/>
        <v>Vendido</v>
      </c>
      <c r="BB176" s="516" t="str">
        <f t="shared" si="79"/>
        <v>Cliente Atrasado</v>
      </c>
      <c r="BC176" s="551">
        <v>28</v>
      </c>
      <c r="BD176" s="693">
        <f t="shared" si="80"/>
        <v>1</v>
      </c>
      <c r="BE176" s="693">
        <f t="shared" si="81"/>
        <v>29</v>
      </c>
      <c r="BF176" s="517">
        <v>6000</v>
      </c>
      <c r="BG176" s="517">
        <v>2300</v>
      </c>
      <c r="BH176" s="693">
        <f t="shared" si="82"/>
        <v>17</v>
      </c>
      <c r="BI176" s="693">
        <f t="shared" si="83"/>
        <v>32</v>
      </c>
      <c r="BJ176" s="655">
        <f t="shared" si="101"/>
        <v>79600</v>
      </c>
      <c r="BK176" s="518">
        <f t="shared" si="84"/>
        <v>20700</v>
      </c>
      <c r="BL176" s="518">
        <f t="shared" si="85"/>
        <v>58000</v>
      </c>
      <c r="BM176" s="518">
        <f t="shared" si="86"/>
        <v>0</v>
      </c>
      <c r="BN176" s="518">
        <f t="shared" si="87"/>
        <v>0</v>
      </c>
      <c r="BO176" s="655">
        <f t="shared" si="103"/>
        <v>900</v>
      </c>
      <c r="BP176" s="693">
        <f t="shared" si="88"/>
        <v>1</v>
      </c>
      <c r="BQ176" s="696"/>
      <c r="BR176" s="519"/>
      <c r="BT176" s="439">
        <f t="shared" si="89"/>
        <v>-900</v>
      </c>
      <c r="BU176" s="439">
        <f t="shared" si="90"/>
        <v>-900</v>
      </c>
      <c r="BV176" s="439">
        <f t="shared" si="91"/>
        <v>0</v>
      </c>
      <c r="BY176" s="862">
        <f t="shared" si="92"/>
        <v>450548.94799999997</v>
      </c>
      <c r="BZ176" s="862">
        <f t="shared" si="93"/>
        <v>193092.40599999999</v>
      </c>
      <c r="CA176" s="862">
        <f t="shared" si="94"/>
        <v>54065.87</v>
      </c>
      <c r="CB176" s="862">
        <f t="shared" si="95"/>
        <v>5792.77</v>
      </c>
      <c r="CC176" s="863">
        <f t="shared" si="96"/>
        <v>504614.82</v>
      </c>
      <c r="CD176" s="863">
        <f t="shared" si="97"/>
        <v>198885.18</v>
      </c>
      <c r="CE176" s="864">
        <f t="shared" si="98"/>
        <v>703500</v>
      </c>
      <c r="CF176" s="862">
        <f t="shared" si="99"/>
        <v>0</v>
      </c>
    </row>
    <row r="177" spans="1:84" s="429" customFormat="1" ht="13.9" customHeight="1" x14ac:dyDescent="0.25">
      <c r="A177" s="472"/>
      <c r="B177" s="436">
        <v>1004</v>
      </c>
      <c r="C177" s="436" t="s">
        <v>200</v>
      </c>
      <c r="D177" s="436"/>
      <c r="E177" s="436" t="s">
        <v>356</v>
      </c>
      <c r="F177" s="429" t="s">
        <v>580</v>
      </c>
      <c r="G177" s="473">
        <v>45062</v>
      </c>
      <c r="H177" s="436" t="s">
        <v>128</v>
      </c>
      <c r="I177" s="472">
        <v>696469.08</v>
      </c>
      <c r="J177" s="472">
        <v>69669.08</v>
      </c>
      <c r="K177" s="507">
        <v>0</v>
      </c>
      <c r="L177" s="507">
        <v>0</v>
      </c>
      <c r="M177" s="507">
        <v>6000</v>
      </c>
      <c r="N177" s="507">
        <v>2275</v>
      </c>
      <c r="O177" s="507">
        <v>2274</v>
      </c>
      <c r="P177" s="507">
        <v>2274</v>
      </c>
      <c r="Q177" s="507">
        <v>2274</v>
      </c>
      <c r="R177" s="507">
        <v>2274</v>
      </c>
      <c r="S177" s="507">
        <v>2274</v>
      </c>
      <c r="T177" s="507">
        <v>2274</v>
      </c>
      <c r="U177" s="507">
        <v>2274</v>
      </c>
      <c r="V177" s="507">
        <v>2274</v>
      </c>
      <c r="W177" s="507">
        <v>2274</v>
      </c>
      <c r="X177" s="507">
        <v>2274</v>
      </c>
      <c r="Y177" s="507">
        <v>2274</v>
      </c>
      <c r="Z177" s="507">
        <v>2274</v>
      </c>
      <c r="AA177" s="507">
        <v>2274</v>
      </c>
      <c r="AB177" s="507">
        <v>2274</v>
      </c>
      <c r="AC177" s="507">
        <v>2274</v>
      </c>
      <c r="AD177" s="507">
        <v>2274</v>
      </c>
      <c r="AE177" s="507">
        <v>2274</v>
      </c>
      <c r="AF177" s="507">
        <v>2274</v>
      </c>
      <c r="AG177" s="507">
        <v>2274</v>
      </c>
      <c r="AH177" s="507">
        <v>2274</v>
      </c>
      <c r="AI177" s="507">
        <v>2274</v>
      </c>
      <c r="AJ177" s="507">
        <v>2274</v>
      </c>
      <c r="AK177" s="508">
        <v>2274</v>
      </c>
      <c r="AL177" s="508">
        <v>2274</v>
      </c>
      <c r="AM177" s="509">
        <v>2274</v>
      </c>
      <c r="AN177" s="509">
        <v>2274</v>
      </c>
      <c r="AO177" s="509">
        <v>2271.08</v>
      </c>
      <c r="AP177" s="509">
        <v>0</v>
      </c>
      <c r="AQ177" s="509">
        <v>0</v>
      </c>
      <c r="AR177" s="509"/>
      <c r="AS177" s="509"/>
      <c r="AT177" s="510">
        <f t="shared" si="100"/>
        <v>69670.080000000002</v>
      </c>
      <c r="AU177" s="512">
        <f t="shared" si="72"/>
        <v>1.0000143535697614</v>
      </c>
      <c r="AV177" s="511">
        <f t="shared" si="73"/>
        <v>1</v>
      </c>
      <c r="AW177" s="558">
        <f t="shared" si="74"/>
        <v>1.4353569761506826E-5</v>
      </c>
      <c r="AX177" s="513">
        <f t="shared" si="75"/>
        <v>626799</v>
      </c>
      <c r="AY177" s="514">
        <f t="shared" si="76"/>
        <v>0.8999667293198429</v>
      </c>
      <c r="AZ177" s="513">
        <f t="shared" si="77"/>
        <v>69669.08</v>
      </c>
      <c r="BA177" s="515" t="str">
        <f t="shared" si="78"/>
        <v>Vendido</v>
      </c>
      <c r="BB177" s="516" t="str">
        <f t="shared" si="79"/>
        <v>Cliente Atrasado</v>
      </c>
      <c r="BC177" s="551">
        <v>28</v>
      </c>
      <c r="BD177" s="693">
        <f t="shared" si="80"/>
        <v>1</v>
      </c>
      <c r="BE177" s="693">
        <f t="shared" si="81"/>
        <v>29</v>
      </c>
      <c r="BF177" s="517">
        <v>6000</v>
      </c>
      <c r="BG177" s="517">
        <v>2275</v>
      </c>
      <c r="BH177" s="693">
        <f t="shared" si="82"/>
        <v>28</v>
      </c>
      <c r="BI177" s="693">
        <f t="shared" si="83"/>
        <v>32</v>
      </c>
      <c r="BJ177" s="655">
        <f t="shared" si="101"/>
        <v>78800</v>
      </c>
      <c r="BK177" s="518">
        <f t="shared" si="84"/>
        <v>63670.080000000002</v>
      </c>
      <c r="BL177" s="518">
        <f t="shared" si="85"/>
        <v>6000</v>
      </c>
      <c r="BM177" s="518">
        <f t="shared" si="86"/>
        <v>0</v>
      </c>
      <c r="BN177" s="518">
        <f t="shared" si="87"/>
        <v>0</v>
      </c>
      <c r="BO177" s="655">
        <f t="shared" si="103"/>
        <v>9129.9199999999983</v>
      </c>
      <c r="BP177" s="693">
        <f t="shared" si="88"/>
        <v>5</v>
      </c>
      <c r="BQ177" s="696"/>
      <c r="BR177" s="519"/>
      <c r="BT177" s="439">
        <f t="shared" si="89"/>
        <v>-9129.9199999999983</v>
      </c>
      <c r="BU177" s="439">
        <f t="shared" si="90"/>
        <v>-9129.9199999999983</v>
      </c>
      <c r="BV177" s="439">
        <f t="shared" si="91"/>
        <v>0</v>
      </c>
      <c r="BY177" s="862">
        <f t="shared" si="92"/>
        <v>446046.071</v>
      </c>
      <c r="BZ177" s="862">
        <f t="shared" si="93"/>
        <v>191162.60200000001</v>
      </c>
      <c r="CA177" s="862">
        <f t="shared" si="94"/>
        <v>53525.53</v>
      </c>
      <c r="CB177" s="862">
        <f t="shared" si="95"/>
        <v>5734.88</v>
      </c>
      <c r="CC177" s="863">
        <f t="shared" si="96"/>
        <v>499571.6</v>
      </c>
      <c r="CD177" s="863">
        <f t="shared" si="97"/>
        <v>196897.48</v>
      </c>
      <c r="CE177" s="864">
        <f t="shared" si="98"/>
        <v>696469.08</v>
      </c>
      <c r="CF177" s="862">
        <f t="shared" si="99"/>
        <v>0</v>
      </c>
    </row>
    <row r="178" spans="1:84" s="429" customFormat="1" ht="13.9" customHeight="1" x14ac:dyDescent="0.25">
      <c r="A178" s="472"/>
      <c r="B178" s="436">
        <v>1005</v>
      </c>
      <c r="C178" s="436" t="s">
        <v>534</v>
      </c>
      <c r="D178" s="436"/>
      <c r="E178" s="436" t="s">
        <v>383</v>
      </c>
      <c r="F178" s="429" t="s">
        <v>581</v>
      </c>
      <c r="G178" s="473">
        <v>45113</v>
      </c>
      <c r="H178" s="436" t="s">
        <v>128</v>
      </c>
      <c r="I178" s="472">
        <v>941800</v>
      </c>
      <c r="J178" s="472">
        <v>94200</v>
      </c>
      <c r="K178" s="507">
        <v>0</v>
      </c>
      <c r="L178" s="507">
        <v>0</v>
      </c>
      <c r="M178" s="507">
        <v>0</v>
      </c>
      <c r="N178" s="507">
        <v>0</v>
      </c>
      <c r="O178" s="507">
        <v>6000</v>
      </c>
      <c r="P178" s="507">
        <v>3267</v>
      </c>
      <c r="Q178" s="507">
        <v>3267</v>
      </c>
      <c r="R178" s="507">
        <v>3267</v>
      </c>
      <c r="S178" s="507">
        <v>3267</v>
      </c>
      <c r="T178" s="507">
        <v>3267</v>
      </c>
      <c r="U178" s="507">
        <v>3267</v>
      </c>
      <c r="V178" s="507">
        <v>3267</v>
      </c>
      <c r="W178" s="507">
        <v>3267</v>
      </c>
      <c r="X178" s="507">
        <v>3267</v>
      </c>
      <c r="Y178" s="507">
        <v>3267</v>
      </c>
      <c r="Z178" s="507">
        <v>3267</v>
      </c>
      <c r="AA178" s="507">
        <v>3267</v>
      </c>
      <c r="AB178" s="507">
        <v>3267</v>
      </c>
      <c r="AC178" s="507">
        <v>3267</v>
      </c>
      <c r="AD178" s="507">
        <v>3267</v>
      </c>
      <c r="AE178" s="507">
        <v>3267</v>
      </c>
      <c r="AF178" s="507">
        <v>3267</v>
      </c>
      <c r="AG178" s="507">
        <v>3267</v>
      </c>
      <c r="AH178" s="507">
        <v>3267</v>
      </c>
      <c r="AI178" s="507">
        <v>3267</v>
      </c>
      <c r="AJ178" s="507">
        <v>3267</v>
      </c>
      <c r="AK178" s="508">
        <v>3267</v>
      </c>
      <c r="AL178" s="508">
        <v>3267</v>
      </c>
      <c r="AM178" s="509">
        <v>3267</v>
      </c>
      <c r="AN178" s="509">
        <v>3267</v>
      </c>
      <c r="AO178" s="509">
        <v>0</v>
      </c>
      <c r="AP178" s="509">
        <v>0</v>
      </c>
      <c r="AQ178" s="509">
        <v>0</v>
      </c>
      <c r="AR178" s="509"/>
      <c r="AS178" s="509"/>
      <c r="AT178" s="510">
        <f t="shared" si="100"/>
        <v>87675</v>
      </c>
      <c r="AU178" s="512">
        <f t="shared" si="72"/>
        <v>0.93073248407643316</v>
      </c>
      <c r="AV178" s="511">
        <f t="shared" si="73"/>
        <v>-6525</v>
      </c>
      <c r="AW178" s="558">
        <f t="shared" si="74"/>
        <v>-6.9267515923566877E-2</v>
      </c>
      <c r="AX178" s="513">
        <f t="shared" si="75"/>
        <v>854125</v>
      </c>
      <c r="AY178" s="514">
        <f t="shared" si="76"/>
        <v>0.90690698662136338</v>
      </c>
      <c r="AZ178" s="513">
        <f t="shared" si="77"/>
        <v>94200</v>
      </c>
      <c r="BA178" s="515" t="str">
        <f t="shared" si="78"/>
        <v>Vendido</v>
      </c>
      <c r="BB178" s="516" t="str">
        <f t="shared" si="79"/>
        <v>Cliente Atrasado</v>
      </c>
      <c r="BC178" s="551">
        <v>27</v>
      </c>
      <c r="BD178" s="693">
        <f t="shared" si="80"/>
        <v>1</v>
      </c>
      <c r="BE178" s="693">
        <f t="shared" si="81"/>
        <v>28</v>
      </c>
      <c r="BF178" s="517">
        <v>6000</v>
      </c>
      <c r="BG178" s="517">
        <v>3267</v>
      </c>
      <c r="BH178" s="693">
        <f t="shared" si="82"/>
        <v>25</v>
      </c>
      <c r="BI178" s="693">
        <f t="shared" si="83"/>
        <v>30</v>
      </c>
      <c r="BJ178" s="655">
        <f t="shared" ref="BJ178:BJ209" si="104">(BI178*BG178)+BF178</f>
        <v>104010</v>
      </c>
      <c r="BK178" s="518">
        <f t="shared" si="84"/>
        <v>81675</v>
      </c>
      <c r="BL178" s="518">
        <f t="shared" si="85"/>
        <v>6000</v>
      </c>
      <c r="BM178" s="518">
        <f t="shared" si="86"/>
        <v>0</v>
      </c>
      <c r="BN178" s="518">
        <f t="shared" si="87"/>
        <v>0</v>
      </c>
      <c r="BO178" s="655">
        <f t="shared" si="103"/>
        <v>16335</v>
      </c>
      <c r="BP178" s="693">
        <f t="shared" si="88"/>
        <v>5</v>
      </c>
      <c r="BQ178" s="696"/>
      <c r="BR178" s="519"/>
      <c r="BT178" s="439">
        <f t="shared" si="89"/>
        <v>-16335</v>
      </c>
      <c r="BU178" s="439">
        <f t="shared" si="90"/>
        <v>-16335</v>
      </c>
      <c r="BV178" s="439">
        <f t="shared" si="91"/>
        <v>0</v>
      </c>
      <c r="BY178" s="862">
        <f t="shared" si="92"/>
        <v>603165.59900000005</v>
      </c>
      <c r="BZ178" s="862">
        <f t="shared" si="93"/>
        <v>258499.54300000001</v>
      </c>
      <c r="CA178" s="862">
        <f t="shared" si="94"/>
        <v>72379.87</v>
      </c>
      <c r="CB178" s="862">
        <f t="shared" si="95"/>
        <v>7754.99</v>
      </c>
      <c r="CC178" s="863">
        <f t="shared" si="96"/>
        <v>675545.47</v>
      </c>
      <c r="CD178" s="863">
        <f t="shared" si="97"/>
        <v>266254.53000000003</v>
      </c>
      <c r="CE178" s="864">
        <f t="shared" si="98"/>
        <v>941800</v>
      </c>
      <c r="CF178" s="862">
        <f t="shared" si="99"/>
        <v>0</v>
      </c>
    </row>
    <row r="179" spans="1:84" s="429" customFormat="1" ht="13.9" customHeight="1" x14ac:dyDescent="0.25">
      <c r="A179" s="472"/>
      <c r="B179" s="436">
        <v>1006</v>
      </c>
      <c r="C179" s="436" t="s">
        <v>536</v>
      </c>
      <c r="D179" s="436"/>
      <c r="E179" s="436" t="s">
        <v>366</v>
      </c>
      <c r="F179" s="429" t="s">
        <v>582</v>
      </c>
      <c r="G179" s="473">
        <v>45343</v>
      </c>
      <c r="H179" s="436" t="s">
        <v>128</v>
      </c>
      <c r="I179" s="472">
        <v>943100</v>
      </c>
      <c r="J179" s="472">
        <v>94400</v>
      </c>
      <c r="K179" s="507">
        <v>0</v>
      </c>
      <c r="L179" s="507">
        <v>0</v>
      </c>
      <c r="M179" s="507">
        <v>0</v>
      </c>
      <c r="N179" s="507">
        <v>0</v>
      </c>
      <c r="O179" s="507">
        <v>0</v>
      </c>
      <c r="P179" s="507">
        <v>0</v>
      </c>
      <c r="Q179" s="507">
        <v>0</v>
      </c>
      <c r="R179" s="507">
        <v>0</v>
      </c>
      <c r="S179" s="507">
        <v>0</v>
      </c>
      <c r="T179" s="507">
        <v>0</v>
      </c>
      <c r="U179" s="507">
        <v>0</v>
      </c>
      <c r="V179" s="507">
        <v>8000</v>
      </c>
      <c r="W179" s="507">
        <v>0</v>
      </c>
      <c r="X179" s="507">
        <v>9094</v>
      </c>
      <c r="Y179" s="507">
        <v>0</v>
      </c>
      <c r="Z179" s="507">
        <v>0</v>
      </c>
      <c r="AA179" s="507">
        <v>13641</v>
      </c>
      <c r="AB179" s="507">
        <v>0</v>
      </c>
      <c r="AC179" s="507">
        <v>0</v>
      </c>
      <c r="AD179" s="507">
        <v>0</v>
      </c>
      <c r="AE179" s="507">
        <v>0</v>
      </c>
      <c r="AF179" s="507">
        <v>18188</v>
      </c>
      <c r="AG179" s="507">
        <v>0</v>
      </c>
      <c r="AH179" s="507">
        <v>0</v>
      </c>
      <c r="AI179" s="507">
        <v>0</v>
      </c>
      <c r="AJ179" s="507">
        <v>22735</v>
      </c>
      <c r="AK179" s="508"/>
      <c r="AL179" s="508"/>
      <c r="AM179" s="508"/>
      <c r="AN179" s="509">
        <v>0</v>
      </c>
      <c r="AO179" s="509">
        <v>22742</v>
      </c>
      <c r="AP179" s="509">
        <v>0</v>
      </c>
      <c r="AQ179" s="509">
        <v>0</v>
      </c>
      <c r="AR179" s="508"/>
      <c r="AS179" s="508"/>
      <c r="AT179" s="510">
        <f t="shared" si="100"/>
        <v>94400</v>
      </c>
      <c r="AU179" s="512">
        <f t="shared" si="72"/>
        <v>1</v>
      </c>
      <c r="AV179" s="511">
        <f t="shared" si="73"/>
        <v>0</v>
      </c>
      <c r="AW179" s="558">
        <f t="shared" si="74"/>
        <v>0</v>
      </c>
      <c r="AX179" s="513">
        <f t="shared" si="75"/>
        <v>848700</v>
      </c>
      <c r="AY179" s="514">
        <f t="shared" si="76"/>
        <v>0.89990457003499102</v>
      </c>
      <c r="AZ179" s="513">
        <f t="shared" si="77"/>
        <v>94400</v>
      </c>
      <c r="BA179" s="515" t="str">
        <f t="shared" si="78"/>
        <v>Vendido</v>
      </c>
      <c r="BB179" s="516" t="str">
        <f t="shared" si="79"/>
        <v>Cliente Atrasado</v>
      </c>
      <c r="BC179" s="551">
        <v>19</v>
      </c>
      <c r="BD179" s="693">
        <f t="shared" si="80"/>
        <v>1</v>
      </c>
      <c r="BE179" s="693">
        <f t="shared" si="81"/>
        <v>20</v>
      </c>
      <c r="BF179" s="517">
        <v>8000</v>
      </c>
      <c r="BG179" s="517">
        <v>4547</v>
      </c>
      <c r="BH179" s="693">
        <f t="shared" si="82"/>
        <v>0</v>
      </c>
      <c r="BI179" s="693">
        <f t="shared" si="83"/>
        <v>23</v>
      </c>
      <c r="BJ179" s="655">
        <f t="shared" si="104"/>
        <v>112581</v>
      </c>
      <c r="BK179" s="518">
        <f t="shared" si="84"/>
        <v>0</v>
      </c>
      <c r="BL179" s="518">
        <f t="shared" si="85"/>
        <v>94400</v>
      </c>
      <c r="BM179" s="518">
        <f t="shared" si="86"/>
        <v>0</v>
      </c>
      <c r="BN179" s="518">
        <f t="shared" si="87"/>
        <v>0</v>
      </c>
      <c r="BO179" s="655">
        <f t="shared" si="103"/>
        <v>18181</v>
      </c>
      <c r="BP179" s="693">
        <f t="shared" si="88"/>
        <v>4</v>
      </c>
      <c r="BQ179" s="696"/>
      <c r="BR179" s="519" t="s">
        <v>471</v>
      </c>
      <c r="BT179" s="439">
        <f t="shared" si="89"/>
        <v>-18181</v>
      </c>
      <c r="BU179" s="439">
        <f t="shared" si="90"/>
        <v>-18181</v>
      </c>
      <c r="BV179" s="439">
        <f t="shared" si="91"/>
        <v>0</v>
      </c>
      <c r="BY179" s="862">
        <f t="shared" si="92"/>
        <v>603998.17000000004</v>
      </c>
      <c r="BZ179" s="862">
        <f t="shared" si="93"/>
        <v>258856.359</v>
      </c>
      <c r="CA179" s="862">
        <f t="shared" si="94"/>
        <v>72479.78</v>
      </c>
      <c r="CB179" s="862">
        <f t="shared" si="95"/>
        <v>7765.69</v>
      </c>
      <c r="CC179" s="863">
        <f t="shared" si="96"/>
        <v>676477.95</v>
      </c>
      <c r="CD179" s="863">
        <f t="shared" si="97"/>
        <v>266622.05</v>
      </c>
      <c r="CE179" s="864">
        <f t="shared" si="98"/>
        <v>943100</v>
      </c>
      <c r="CF179" s="862">
        <f t="shared" si="99"/>
        <v>0</v>
      </c>
    </row>
    <row r="180" spans="1:84" s="429" customFormat="1" ht="13.9" customHeight="1" x14ac:dyDescent="0.25">
      <c r="A180" s="472"/>
      <c r="B180" s="436">
        <v>1007</v>
      </c>
      <c r="C180" s="436" t="s">
        <v>400</v>
      </c>
      <c r="D180" s="436"/>
      <c r="E180" s="436" t="s">
        <v>383</v>
      </c>
      <c r="F180" s="429" t="s">
        <v>572</v>
      </c>
      <c r="G180" s="473">
        <v>45173</v>
      </c>
      <c r="H180" s="436" t="s">
        <v>128</v>
      </c>
      <c r="I180" s="472">
        <v>901400</v>
      </c>
      <c r="J180" s="472">
        <v>90200</v>
      </c>
      <c r="K180" s="507">
        <v>0</v>
      </c>
      <c r="L180" s="507">
        <v>0</v>
      </c>
      <c r="M180" s="507">
        <v>0</v>
      </c>
      <c r="N180" s="507">
        <v>0</v>
      </c>
      <c r="O180" s="507">
        <v>0</v>
      </c>
      <c r="P180" s="507">
        <v>0</v>
      </c>
      <c r="Q180" s="507">
        <v>6000</v>
      </c>
      <c r="R180" s="507">
        <v>3368</v>
      </c>
      <c r="S180" s="507">
        <v>3368</v>
      </c>
      <c r="T180" s="507">
        <v>3368</v>
      </c>
      <c r="U180" s="507">
        <v>3368</v>
      </c>
      <c r="V180" s="507">
        <v>3368</v>
      </c>
      <c r="W180" s="507">
        <v>3368</v>
      </c>
      <c r="X180" s="507">
        <v>3368</v>
      </c>
      <c r="Y180" s="507">
        <v>0</v>
      </c>
      <c r="Z180" s="507">
        <v>6736</v>
      </c>
      <c r="AA180" s="507">
        <v>0</v>
      </c>
      <c r="AB180" s="507">
        <v>6736</v>
      </c>
      <c r="AC180" s="507">
        <v>3368</v>
      </c>
      <c r="AD180" s="507">
        <v>0</v>
      </c>
      <c r="AE180" s="507">
        <v>3368</v>
      </c>
      <c r="AF180" s="507">
        <f>3368+3368</f>
        <v>6736</v>
      </c>
      <c r="AG180" s="507">
        <v>0</v>
      </c>
      <c r="AH180" s="507">
        <v>3368</v>
      </c>
      <c r="AI180" s="507">
        <v>3368</v>
      </c>
      <c r="AJ180" s="507">
        <v>0</v>
      </c>
      <c r="AK180" s="508">
        <f>3368+3368+3368</f>
        <v>10104</v>
      </c>
      <c r="AL180" s="508">
        <v>3368</v>
      </c>
      <c r="AM180" s="509">
        <v>3368</v>
      </c>
      <c r="AN180" s="509">
        <v>0</v>
      </c>
      <c r="AO180" s="509">
        <v>3368</v>
      </c>
      <c r="AP180" s="509">
        <v>4000</v>
      </c>
      <c r="AQ180" s="509">
        <v>2736</v>
      </c>
      <c r="AR180" s="509"/>
      <c r="AS180" s="509"/>
      <c r="AT180" s="510">
        <f t="shared" si="100"/>
        <v>90200</v>
      </c>
      <c r="AU180" s="512">
        <f t="shared" si="72"/>
        <v>1</v>
      </c>
      <c r="AV180" s="511">
        <f t="shared" si="73"/>
        <v>0</v>
      </c>
      <c r="AW180" s="558">
        <f t="shared" si="74"/>
        <v>0</v>
      </c>
      <c r="AX180" s="513">
        <f t="shared" si="75"/>
        <v>811200</v>
      </c>
      <c r="AY180" s="514">
        <f t="shared" si="76"/>
        <v>0.89993343687597072</v>
      </c>
      <c r="AZ180" s="513">
        <f t="shared" si="77"/>
        <v>90200</v>
      </c>
      <c r="BA180" s="515" t="str">
        <f t="shared" si="78"/>
        <v>Vendido</v>
      </c>
      <c r="BB180" s="516" t="str">
        <f t="shared" si="79"/>
        <v>Cliente Atrasado</v>
      </c>
      <c r="BC180" s="551">
        <v>24</v>
      </c>
      <c r="BD180" s="693">
        <f t="shared" si="80"/>
        <v>1</v>
      </c>
      <c r="BE180" s="693">
        <f t="shared" si="81"/>
        <v>25</v>
      </c>
      <c r="BF180" s="517">
        <v>6000</v>
      </c>
      <c r="BG180" s="517">
        <v>3368</v>
      </c>
      <c r="BH180" s="693">
        <f t="shared" si="82"/>
        <v>16</v>
      </c>
      <c r="BI180" s="693">
        <f t="shared" si="83"/>
        <v>28</v>
      </c>
      <c r="BJ180" s="655">
        <f t="shared" si="104"/>
        <v>100304</v>
      </c>
      <c r="BK180" s="518">
        <f t="shared" si="84"/>
        <v>49888</v>
      </c>
      <c r="BL180" s="518">
        <f t="shared" si="85"/>
        <v>40312</v>
      </c>
      <c r="BM180" s="518">
        <f t="shared" si="86"/>
        <v>0</v>
      </c>
      <c r="BN180" s="518">
        <f t="shared" si="87"/>
        <v>0</v>
      </c>
      <c r="BO180" s="655">
        <f t="shared" si="103"/>
        <v>10104</v>
      </c>
      <c r="BP180" s="693">
        <f t="shared" si="88"/>
        <v>3</v>
      </c>
      <c r="BQ180" s="696"/>
      <c r="BR180" s="519"/>
      <c r="BT180" s="439">
        <f t="shared" si="89"/>
        <v>-10104</v>
      </c>
      <c r="BU180" s="439">
        <f t="shared" si="90"/>
        <v>-10104</v>
      </c>
      <c r="BV180" s="439">
        <f t="shared" si="91"/>
        <v>0</v>
      </c>
      <c r="BY180" s="862">
        <f t="shared" si="92"/>
        <v>577291.85699999996</v>
      </c>
      <c r="BZ180" s="862">
        <f t="shared" si="93"/>
        <v>247410.796</v>
      </c>
      <c r="CA180" s="862">
        <f t="shared" si="94"/>
        <v>69275.02</v>
      </c>
      <c r="CB180" s="862">
        <f t="shared" si="95"/>
        <v>7422.32</v>
      </c>
      <c r="CC180" s="863">
        <f t="shared" si="96"/>
        <v>646566.88</v>
      </c>
      <c r="CD180" s="863">
        <f t="shared" si="97"/>
        <v>254833.12</v>
      </c>
      <c r="CE180" s="864">
        <f t="shared" si="98"/>
        <v>901400</v>
      </c>
      <c r="CF180" s="862">
        <f t="shared" si="99"/>
        <v>0</v>
      </c>
    </row>
    <row r="181" spans="1:84" s="429" customFormat="1" ht="13.9" customHeight="1" x14ac:dyDescent="0.25">
      <c r="A181" s="472" t="s">
        <v>58</v>
      </c>
      <c r="B181" s="475">
        <v>1008</v>
      </c>
      <c r="C181" s="475" t="s">
        <v>175</v>
      </c>
      <c r="D181" s="475"/>
      <c r="E181" s="475" t="s">
        <v>366</v>
      </c>
      <c r="F181" s="476" t="s">
        <v>583</v>
      </c>
      <c r="G181" s="473">
        <v>45401</v>
      </c>
      <c r="H181" s="436" t="s">
        <v>128</v>
      </c>
      <c r="I181" s="472">
        <v>845100</v>
      </c>
      <c r="J181" s="472">
        <f>+I181*0.1</f>
        <v>84510</v>
      </c>
      <c r="K181" s="507">
        <v>0</v>
      </c>
      <c r="L181" s="507">
        <v>0</v>
      </c>
      <c r="M181" s="507">
        <v>0</v>
      </c>
      <c r="N181" s="507">
        <v>0</v>
      </c>
      <c r="O181" s="507">
        <v>0</v>
      </c>
      <c r="P181" s="507">
        <v>0</v>
      </c>
      <c r="Q181" s="507">
        <v>0</v>
      </c>
      <c r="R181" s="507">
        <v>0</v>
      </c>
      <c r="S181" s="507">
        <v>0</v>
      </c>
      <c r="T181" s="507">
        <v>0</v>
      </c>
      <c r="U181" s="507">
        <v>0</v>
      </c>
      <c r="V181" s="507">
        <v>0</v>
      </c>
      <c r="W181" s="507">
        <v>0</v>
      </c>
      <c r="X181" s="507">
        <v>8000</v>
      </c>
      <c r="Y181" s="507">
        <v>0</v>
      </c>
      <c r="Z181" s="507">
        <v>0</v>
      </c>
      <c r="AA181" s="507">
        <v>0</v>
      </c>
      <c r="AB181" s="507">
        <v>0</v>
      </c>
      <c r="AC181" s="507">
        <v>0</v>
      </c>
      <c r="AD181" s="507">
        <v>0</v>
      </c>
      <c r="AE181" s="507">
        <v>0</v>
      </c>
      <c r="AF181" s="507">
        <v>0</v>
      </c>
      <c r="AG181" s="507">
        <v>0</v>
      </c>
      <c r="AH181" s="507">
        <v>0</v>
      </c>
      <c r="AI181" s="507">
        <v>0</v>
      </c>
      <c r="AJ181" s="507">
        <v>0</v>
      </c>
      <c r="AK181" s="508"/>
      <c r="AL181" s="508"/>
      <c r="AM181" s="508"/>
      <c r="AN181" s="509">
        <v>0</v>
      </c>
      <c r="AO181" s="509">
        <v>0</v>
      </c>
      <c r="AP181" s="509">
        <v>0</v>
      </c>
      <c r="AQ181" s="509">
        <v>0</v>
      </c>
      <c r="AR181" s="508"/>
      <c r="AS181" s="508"/>
      <c r="AT181" s="510">
        <f t="shared" si="100"/>
        <v>8000</v>
      </c>
      <c r="AU181" s="512">
        <f t="shared" si="72"/>
        <v>9.4663353449295939E-2</v>
      </c>
      <c r="AV181" s="511">
        <f t="shared" si="73"/>
        <v>-76510</v>
      </c>
      <c r="AW181" s="558">
        <f t="shared" si="74"/>
        <v>-0.90533664655070401</v>
      </c>
      <c r="AX181" s="513">
        <f t="shared" si="75"/>
        <v>837100</v>
      </c>
      <c r="AY181" s="514">
        <f t="shared" si="76"/>
        <v>0.99053366465507042</v>
      </c>
      <c r="AZ181" s="513">
        <f t="shared" si="77"/>
        <v>84510</v>
      </c>
      <c r="BA181" s="515" t="str">
        <f t="shared" si="78"/>
        <v>Vendido</v>
      </c>
      <c r="BB181" s="516" t="str">
        <f t="shared" si="79"/>
        <v>Cliente Atrasado</v>
      </c>
      <c r="BC181" s="551">
        <v>17</v>
      </c>
      <c r="BD181" s="693">
        <f t="shared" si="80"/>
        <v>1</v>
      </c>
      <c r="BE181" s="693">
        <f t="shared" si="81"/>
        <v>18</v>
      </c>
      <c r="BF181" s="517">
        <v>8000</v>
      </c>
      <c r="BG181" s="517">
        <v>4501</v>
      </c>
      <c r="BH181" s="693">
        <f t="shared" si="82"/>
        <v>0</v>
      </c>
      <c r="BI181" s="693">
        <f t="shared" si="83"/>
        <v>21</v>
      </c>
      <c r="BJ181" s="655">
        <f t="shared" si="104"/>
        <v>102521</v>
      </c>
      <c r="BK181" s="518">
        <f t="shared" si="84"/>
        <v>0</v>
      </c>
      <c r="BL181" s="518">
        <f t="shared" si="85"/>
        <v>8000</v>
      </c>
      <c r="BM181" s="518">
        <f t="shared" si="86"/>
        <v>0</v>
      </c>
      <c r="BN181" s="518">
        <f t="shared" si="87"/>
        <v>0</v>
      </c>
      <c r="BO181" s="655">
        <f t="shared" si="103"/>
        <v>94521</v>
      </c>
      <c r="BP181" s="693" t="str">
        <f t="shared" si="88"/>
        <v/>
      </c>
      <c r="BQ181" s="695" t="s">
        <v>58</v>
      </c>
      <c r="BR181" s="519"/>
      <c r="BT181" s="439">
        <f t="shared" si="89"/>
        <v>-94521</v>
      </c>
      <c r="BU181" s="439">
        <f t="shared" si="90"/>
        <v>-94521</v>
      </c>
      <c r="BV181" s="439">
        <f t="shared" si="91"/>
        <v>0</v>
      </c>
      <c r="BY181" s="862">
        <f t="shared" si="92"/>
        <v>541235.13300000003</v>
      </c>
      <c r="BZ181" s="862">
        <f t="shared" si="93"/>
        <v>231957.91399999999</v>
      </c>
      <c r="CA181" s="862">
        <f t="shared" si="94"/>
        <v>64948.22</v>
      </c>
      <c r="CB181" s="862">
        <f t="shared" si="95"/>
        <v>6958.74</v>
      </c>
      <c r="CC181" s="863">
        <f t="shared" si="96"/>
        <v>606183.35</v>
      </c>
      <c r="CD181" s="863">
        <f t="shared" si="97"/>
        <v>238916.65</v>
      </c>
      <c r="CE181" s="864">
        <f t="shared" si="98"/>
        <v>845100</v>
      </c>
      <c r="CF181" s="862">
        <f t="shared" si="99"/>
        <v>0</v>
      </c>
    </row>
    <row r="182" spans="1:84" s="429" customFormat="1" ht="13.9" customHeight="1" x14ac:dyDescent="0.25">
      <c r="A182" s="472"/>
      <c r="B182" s="436">
        <v>1009</v>
      </c>
      <c r="C182" s="436" t="s">
        <v>563</v>
      </c>
      <c r="D182" s="436"/>
      <c r="E182" s="482" t="s">
        <v>423</v>
      </c>
      <c r="F182" s="429" t="s">
        <v>584</v>
      </c>
      <c r="G182" s="473">
        <v>45602</v>
      </c>
      <c r="H182" s="436" t="s">
        <v>128</v>
      </c>
      <c r="I182" s="472">
        <v>1515084.48</v>
      </c>
      <c r="J182" s="472">
        <v>152084.48000000001</v>
      </c>
      <c r="K182" s="507">
        <v>0</v>
      </c>
      <c r="L182" s="507">
        <v>0</v>
      </c>
      <c r="M182" s="507">
        <v>0</v>
      </c>
      <c r="N182" s="507">
        <v>0</v>
      </c>
      <c r="O182" s="507">
        <v>0</v>
      </c>
      <c r="P182" s="507">
        <v>0</v>
      </c>
      <c r="Q182" s="507">
        <v>0</v>
      </c>
      <c r="R182" s="507">
        <v>0</v>
      </c>
      <c r="S182" s="507">
        <v>0</v>
      </c>
      <c r="T182" s="507">
        <v>0</v>
      </c>
      <c r="U182" s="507">
        <v>0</v>
      </c>
      <c r="V182" s="507">
        <v>0</v>
      </c>
      <c r="W182" s="507">
        <v>0</v>
      </c>
      <c r="X182" s="507">
        <v>0</v>
      </c>
      <c r="Y182" s="507">
        <v>0</v>
      </c>
      <c r="Z182" s="507">
        <v>0</v>
      </c>
      <c r="AA182" s="507">
        <v>0</v>
      </c>
      <c r="AB182" s="507">
        <v>0</v>
      </c>
      <c r="AC182" s="507">
        <v>0</v>
      </c>
      <c r="AD182" s="507">
        <v>0</v>
      </c>
      <c r="AE182" s="507">
        <v>10000</v>
      </c>
      <c r="AF182" s="507">
        <v>8000</v>
      </c>
      <c r="AG182" s="507">
        <v>8000</v>
      </c>
      <c r="AH182" s="507">
        <v>8000</v>
      </c>
      <c r="AI182" s="507">
        <v>8000</v>
      </c>
      <c r="AJ182" s="507">
        <v>8000</v>
      </c>
      <c r="AK182" s="508">
        <v>8000</v>
      </c>
      <c r="AL182" s="508">
        <v>8000</v>
      </c>
      <c r="AM182" s="509">
        <v>8000</v>
      </c>
      <c r="AN182" s="509">
        <v>8000</v>
      </c>
      <c r="AO182" s="509">
        <v>8000</v>
      </c>
      <c r="AP182" s="509">
        <v>8000</v>
      </c>
      <c r="AQ182" s="509">
        <v>8000</v>
      </c>
      <c r="AR182" s="509">
        <v>8000</v>
      </c>
      <c r="AS182" s="509">
        <v>8000</v>
      </c>
      <c r="AT182" s="510">
        <f t="shared" si="100"/>
        <v>122000</v>
      </c>
      <c r="AU182" s="512">
        <f t="shared" si="72"/>
        <v>0.80218573256127113</v>
      </c>
      <c r="AV182" s="511">
        <f t="shared" si="73"/>
        <v>-30084.48000000001</v>
      </c>
      <c r="AW182" s="558">
        <f t="shared" si="74"/>
        <v>-0.19781426743872885</v>
      </c>
      <c r="AX182" s="513">
        <f t="shared" si="75"/>
        <v>1393084.48</v>
      </c>
      <c r="AY182" s="514">
        <f t="shared" si="76"/>
        <v>0.91947643737991425</v>
      </c>
      <c r="AZ182" s="513">
        <f t="shared" si="77"/>
        <v>152084.48000000001</v>
      </c>
      <c r="BA182" s="515" t="str">
        <f t="shared" si="78"/>
        <v>Vendido</v>
      </c>
      <c r="BB182" s="516" t="str">
        <f t="shared" si="79"/>
        <v>Cliente al día</v>
      </c>
      <c r="BC182" s="551">
        <v>18</v>
      </c>
      <c r="BD182" s="693">
        <f t="shared" si="80"/>
        <v>1</v>
      </c>
      <c r="BE182" s="693">
        <f t="shared" si="81"/>
        <v>19</v>
      </c>
      <c r="BF182" s="517">
        <v>10000</v>
      </c>
      <c r="BG182" s="517">
        <v>7894</v>
      </c>
      <c r="BH182" s="693">
        <f t="shared" si="82"/>
        <v>14</v>
      </c>
      <c r="BI182" s="693">
        <f t="shared" si="83"/>
        <v>14</v>
      </c>
      <c r="BJ182" s="655">
        <f t="shared" si="104"/>
        <v>120516</v>
      </c>
      <c r="BK182" s="518">
        <f t="shared" si="84"/>
        <v>0</v>
      </c>
      <c r="BL182" s="518">
        <f t="shared" si="85"/>
        <v>122000</v>
      </c>
      <c r="BM182" s="518">
        <f t="shared" si="86"/>
        <v>0</v>
      </c>
      <c r="BN182" s="518">
        <f t="shared" si="87"/>
        <v>1484</v>
      </c>
      <c r="BO182" s="655">
        <f t="shared" si="103"/>
        <v>0</v>
      </c>
      <c r="BP182" s="693">
        <f t="shared" si="88"/>
        <v>0</v>
      </c>
      <c r="BQ182" s="696"/>
      <c r="BR182" s="519"/>
      <c r="BT182" s="439">
        <f t="shared" si="89"/>
        <v>1484</v>
      </c>
      <c r="BU182" s="439">
        <f t="shared" si="90"/>
        <v>1484</v>
      </c>
      <c r="BV182" s="439">
        <f t="shared" si="91"/>
        <v>0</v>
      </c>
      <c r="BY182" s="862">
        <f t="shared" si="92"/>
        <v>970319.429</v>
      </c>
      <c r="BZ182" s="862">
        <f t="shared" si="93"/>
        <v>415851.18400000001</v>
      </c>
      <c r="CA182" s="862">
        <f t="shared" si="94"/>
        <v>116438.33</v>
      </c>
      <c r="CB182" s="862">
        <f t="shared" si="95"/>
        <v>12475.54</v>
      </c>
      <c r="CC182" s="863">
        <f t="shared" si="96"/>
        <v>1086757.76</v>
      </c>
      <c r="CD182" s="863">
        <f t="shared" si="97"/>
        <v>428326.72</v>
      </c>
      <c r="CE182" s="864">
        <f t="shared" si="98"/>
        <v>1515084.48</v>
      </c>
      <c r="CF182" s="862">
        <f t="shared" si="99"/>
        <v>0</v>
      </c>
    </row>
    <row r="183" spans="1:84" s="429" customFormat="1" ht="13.9" customHeight="1" x14ac:dyDescent="0.25">
      <c r="A183" s="472"/>
      <c r="B183" s="436">
        <v>1010</v>
      </c>
      <c r="C183" s="436" t="s">
        <v>565</v>
      </c>
      <c r="D183" s="436"/>
      <c r="E183" s="436" t="s">
        <v>366</v>
      </c>
      <c r="F183" s="429" t="s">
        <v>585</v>
      </c>
      <c r="G183" s="473">
        <v>45165</v>
      </c>
      <c r="H183" s="436" t="s">
        <v>128</v>
      </c>
      <c r="I183" s="472">
        <v>848900</v>
      </c>
      <c r="J183" s="472">
        <v>84900</v>
      </c>
      <c r="K183" s="507">
        <v>0</v>
      </c>
      <c r="L183" s="507">
        <v>0</v>
      </c>
      <c r="M183" s="507">
        <v>0</v>
      </c>
      <c r="N183" s="507">
        <v>0</v>
      </c>
      <c r="O183" s="507">
        <v>0</v>
      </c>
      <c r="P183" s="507">
        <v>6000</v>
      </c>
      <c r="Q183" s="507">
        <v>3156</v>
      </c>
      <c r="R183" s="507">
        <v>3156</v>
      </c>
      <c r="S183" s="507">
        <v>3156</v>
      </c>
      <c r="T183" s="507">
        <v>3156</v>
      </c>
      <c r="U183" s="507">
        <v>3156</v>
      </c>
      <c r="V183" s="507">
        <v>3156</v>
      </c>
      <c r="W183" s="507">
        <v>3156</v>
      </c>
      <c r="X183" s="507">
        <v>3156</v>
      </c>
      <c r="Y183" s="507">
        <v>3156</v>
      </c>
      <c r="Z183" s="507">
        <v>3500</v>
      </c>
      <c r="AA183" s="507">
        <v>5000</v>
      </c>
      <c r="AB183" s="507">
        <v>3156</v>
      </c>
      <c r="AC183" s="507">
        <v>4000</v>
      </c>
      <c r="AD183" s="507">
        <v>5000</v>
      </c>
      <c r="AE183" s="507">
        <v>3200</v>
      </c>
      <c r="AF183" s="507">
        <v>5240</v>
      </c>
      <c r="AG183" s="507">
        <v>4500</v>
      </c>
      <c r="AH183" s="507">
        <v>5000</v>
      </c>
      <c r="AI183" s="507">
        <v>5000</v>
      </c>
      <c r="AJ183" s="507">
        <v>3200</v>
      </c>
      <c r="AK183" s="508">
        <v>3200</v>
      </c>
      <c r="AL183" s="508">
        <v>5000</v>
      </c>
      <c r="AM183" s="509">
        <v>4500</v>
      </c>
      <c r="AN183" s="509">
        <v>3500</v>
      </c>
      <c r="AO183" s="509">
        <v>0</v>
      </c>
      <c r="AP183" s="509">
        <v>3500</v>
      </c>
      <c r="AQ183" s="509">
        <v>0</v>
      </c>
      <c r="AR183" s="509"/>
      <c r="AS183" s="509"/>
      <c r="AT183" s="510">
        <f t="shared" si="100"/>
        <v>100900</v>
      </c>
      <c r="AU183" s="512">
        <f t="shared" si="72"/>
        <v>1.1884570082449941</v>
      </c>
      <c r="AV183" s="511">
        <f t="shared" si="73"/>
        <v>16000</v>
      </c>
      <c r="AW183" s="558">
        <f t="shared" si="74"/>
        <v>0.18845700824499412</v>
      </c>
      <c r="AX183" s="513">
        <f t="shared" si="75"/>
        <v>748000</v>
      </c>
      <c r="AY183" s="514">
        <f t="shared" si="76"/>
        <v>0.88114029921074333</v>
      </c>
      <c r="AZ183" s="513">
        <f t="shared" si="77"/>
        <v>84900</v>
      </c>
      <c r="BA183" s="515" t="str">
        <f t="shared" si="78"/>
        <v>Vendido</v>
      </c>
      <c r="BB183" s="516" t="str">
        <f t="shared" si="79"/>
        <v>Superávit de Enganche</v>
      </c>
      <c r="BC183" s="551">
        <v>25</v>
      </c>
      <c r="BD183" s="693">
        <f t="shared" si="80"/>
        <v>1</v>
      </c>
      <c r="BE183" s="693">
        <f t="shared" si="81"/>
        <v>26</v>
      </c>
      <c r="BF183" s="517">
        <v>6000</v>
      </c>
      <c r="BG183" s="517">
        <v>3156</v>
      </c>
      <c r="BH183" s="693">
        <f t="shared" si="82"/>
        <v>25</v>
      </c>
      <c r="BI183" s="693">
        <f t="shared" si="83"/>
        <v>28</v>
      </c>
      <c r="BJ183" s="655">
        <f t="shared" si="104"/>
        <v>94368</v>
      </c>
      <c r="BK183" s="518">
        <f t="shared" si="84"/>
        <v>31560</v>
      </c>
      <c r="BL183" s="518">
        <f t="shared" si="85"/>
        <v>69340</v>
      </c>
      <c r="BM183" s="518">
        <f t="shared" si="86"/>
        <v>0</v>
      </c>
      <c r="BN183" s="518">
        <f t="shared" si="87"/>
        <v>6532</v>
      </c>
      <c r="BO183" s="655">
        <f t="shared" si="103"/>
        <v>0</v>
      </c>
      <c r="BP183" s="693">
        <f t="shared" si="88"/>
        <v>0</v>
      </c>
      <c r="BQ183" s="696"/>
      <c r="BR183" s="519"/>
      <c r="BT183" s="439">
        <f t="shared" si="89"/>
        <v>6532</v>
      </c>
      <c r="BU183" s="439">
        <f t="shared" si="90"/>
        <v>6532</v>
      </c>
      <c r="BV183" s="439">
        <f t="shared" si="91"/>
        <v>0</v>
      </c>
      <c r="BY183" s="862">
        <f t="shared" si="92"/>
        <v>543668.80099999998</v>
      </c>
      <c r="BZ183" s="862">
        <f t="shared" si="93"/>
        <v>233000.91500000001</v>
      </c>
      <c r="CA183" s="862">
        <f t="shared" si="94"/>
        <v>65240.26</v>
      </c>
      <c r="CB183" s="862">
        <f t="shared" si="95"/>
        <v>6990.03</v>
      </c>
      <c r="CC183" s="863">
        <f t="shared" si="96"/>
        <v>608909.06000000006</v>
      </c>
      <c r="CD183" s="863">
        <f t="shared" si="97"/>
        <v>239990.95</v>
      </c>
      <c r="CE183" s="864">
        <f t="shared" si="98"/>
        <v>848900.01</v>
      </c>
      <c r="CF183" s="862">
        <f t="shared" si="99"/>
        <v>1.0000000009313226E-2</v>
      </c>
    </row>
    <row r="184" spans="1:84" s="429" customFormat="1" ht="13.9" customHeight="1" x14ac:dyDescent="0.25">
      <c r="A184" s="472"/>
      <c r="B184" s="436">
        <v>1011</v>
      </c>
      <c r="C184" s="436" t="s">
        <v>566</v>
      </c>
      <c r="D184" s="436"/>
      <c r="E184" s="436" t="s">
        <v>383</v>
      </c>
      <c r="F184" s="429" t="s">
        <v>586</v>
      </c>
      <c r="G184" s="473">
        <v>45016</v>
      </c>
      <c r="H184" s="436" t="s">
        <v>128</v>
      </c>
      <c r="I184" s="472">
        <v>1131525</v>
      </c>
      <c r="J184" s="472">
        <v>113225</v>
      </c>
      <c r="K184" s="507">
        <v>6000</v>
      </c>
      <c r="L184" s="507">
        <v>3055</v>
      </c>
      <c r="M184" s="507">
        <v>3055</v>
      </c>
      <c r="N184" s="507">
        <v>3055</v>
      </c>
      <c r="O184" s="507">
        <v>3055</v>
      </c>
      <c r="P184" s="507">
        <v>3055</v>
      </c>
      <c r="Q184" s="507">
        <v>3055</v>
      </c>
      <c r="R184" s="507">
        <v>3055</v>
      </c>
      <c r="S184" s="507">
        <v>3055</v>
      </c>
      <c r="T184" s="507">
        <v>3055</v>
      </c>
      <c r="U184" s="507">
        <v>3055</v>
      </c>
      <c r="V184" s="507">
        <v>3055</v>
      </c>
      <c r="W184" s="507">
        <v>3055</v>
      </c>
      <c r="X184" s="507">
        <v>3055</v>
      </c>
      <c r="Y184" s="507">
        <v>3055</v>
      </c>
      <c r="Z184" s="507">
        <v>3055</v>
      </c>
      <c r="AA184" s="507">
        <v>3055</v>
      </c>
      <c r="AB184" s="507">
        <v>3055</v>
      </c>
      <c r="AC184" s="507">
        <v>3055</v>
      </c>
      <c r="AD184" s="507">
        <v>3055</v>
      </c>
      <c r="AE184" s="507">
        <v>0</v>
      </c>
      <c r="AF184" s="507">
        <v>3055</v>
      </c>
      <c r="AG184" s="507">
        <v>3055</v>
      </c>
      <c r="AH184" s="507">
        <v>3055</v>
      </c>
      <c r="AI184" s="507">
        <v>3055</v>
      </c>
      <c r="AJ184" s="507">
        <v>3055</v>
      </c>
      <c r="AK184" s="508">
        <v>3055</v>
      </c>
      <c r="AL184" s="508">
        <v>3055</v>
      </c>
      <c r="AM184" s="509">
        <v>3055</v>
      </c>
      <c r="AN184" s="509">
        <v>0</v>
      </c>
      <c r="AO184" s="509">
        <v>0</v>
      </c>
      <c r="AP184" s="509">
        <v>0</v>
      </c>
      <c r="AQ184" s="509">
        <v>0</v>
      </c>
      <c r="AR184" s="509"/>
      <c r="AS184" s="509"/>
      <c r="AT184" s="510">
        <f t="shared" si="100"/>
        <v>88485</v>
      </c>
      <c r="AU184" s="512">
        <f t="shared" si="72"/>
        <v>0.78149701920953851</v>
      </c>
      <c r="AV184" s="511">
        <f t="shared" si="73"/>
        <v>-24740</v>
      </c>
      <c r="AW184" s="558">
        <f t="shared" si="74"/>
        <v>-0.21850298079046146</v>
      </c>
      <c r="AX184" s="513">
        <f t="shared" si="75"/>
        <v>1043040</v>
      </c>
      <c r="AY184" s="514">
        <f t="shared" si="76"/>
        <v>0.92180022535958106</v>
      </c>
      <c r="AZ184" s="513">
        <f t="shared" si="77"/>
        <v>113225</v>
      </c>
      <c r="BA184" s="515" t="str">
        <f t="shared" si="78"/>
        <v>Vendido</v>
      </c>
      <c r="BB184" s="516" t="str">
        <f t="shared" si="79"/>
        <v>Cliente Atrasado</v>
      </c>
      <c r="BC184" s="551">
        <v>35</v>
      </c>
      <c r="BD184" s="693">
        <f t="shared" si="80"/>
        <v>1</v>
      </c>
      <c r="BE184" s="693">
        <f t="shared" si="81"/>
        <v>36</v>
      </c>
      <c r="BF184" s="517">
        <v>6000</v>
      </c>
      <c r="BG184" s="517">
        <v>3050</v>
      </c>
      <c r="BH184" s="693">
        <f t="shared" si="82"/>
        <v>27</v>
      </c>
      <c r="BI184" s="693">
        <f t="shared" si="83"/>
        <v>33</v>
      </c>
      <c r="BJ184" s="655">
        <f t="shared" si="104"/>
        <v>106650</v>
      </c>
      <c r="BK184" s="518">
        <f t="shared" si="84"/>
        <v>0</v>
      </c>
      <c r="BL184" s="518">
        <f t="shared" si="85"/>
        <v>88485</v>
      </c>
      <c r="BM184" s="518">
        <f t="shared" si="86"/>
        <v>0</v>
      </c>
      <c r="BN184" s="518">
        <f t="shared" si="87"/>
        <v>0</v>
      </c>
      <c r="BO184" s="655">
        <f t="shared" si="103"/>
        <v>18165</v>
      </c>
      <c r="BP184" s="693">
        <f t="shared" si="88"/>
        <v>6</v>
      </c>
      <c r="BQ184" s="696"/>
      <c r="BR184" s="519"/>
      <c r="BT184" s="439">
        <f t="shared" si="89"/>
        <v>-18165</v>
      </c>
      <c r="BU184" s="439">
        <f t="shared" si="90"/>
        <v>-18165</v>
      </c>
      <c r="BV184" s="439">
        <f t="shared" si="91"/>
        <v>0</v>
      </c>
      <c r="BY184" s="862">
        <f t="shared" si="92"/>
        <v>724672.91899999999</v>
      </c>
      <c r="BZ184" s="862">
        <f t="shared" si="93"/>
        <v>310574.10800000001</v>
      </c>
      <c r="CA184" s="862">
        <f t="shared" si="94"/>
        <v>86960.75</v>
      </c>
      <c r="CB184" s="862">
        <f t="shared" si="95"/>
        <v>9317.2199999999993</v>
      </c>
      <c r="CC184" s="863">
        <f t="shared" si="96"/>
        <v>811633.67</v>
      </c>
      <c r="CD184" s="863">
        <f t="shared" si="97"/>
        <v>319891.33</v>
      </c>
      <c r="CE184" s="864">
        <f t="shared" si="98"/>
        <v>1131525</v>
      </c>
      <c r="CF184" s="862">
        <f t="shared" si="99"/>
        <v>0</v>
      </c>
    </row>
    <row r="185" spans="1:84" s="429" customFormat="1" ht="13.9" customHeight="1" x14ac:dyDescent="0.25">
      <c r="A185" s="472" t="s">
        <v>58</v>
      </c>
      <c r="B185" s="475">
        <v>1012</v>
      </c>
      <c r="C185" s="475" t="s">
        <v>568</v>
      </c>
      <c r="D185" s="475"/>
      <c r="E185" s="475" t="s">
        <v>363</v>
      </c>
      <c r="F185" s="476" t="s">
        <v>569</v>
      </c>
      <c r="G185" s="473">
        <v>45300</v>
      </c>
      <c r="H185" s="436" t="s">
        <v>128</v>
      </c>
      <c r="I185" s="472">
        <v>973800</v>
      </c>
      <c r="J185" s="472">
        <f>+I185*0.1</f>
        <v>97380</v>
      </c>
      <c r="K185" s="507">
        <v>0</v>
      </c>
      <c r="L185" s="507">
        <v>0</v>
      </c>
      <c r="M185" s="507">
        <v>0</v>
      </c>
      <c r="N185" s="507">
        <v>0</v>
      </c>
      <c r="O185" s="507">
        <v>0</v>
      </c>
      <c r="P185" s="507">
        <v>0</v>
      </c>
      <c r="Q185" s="507">
        <v>0</v>
      </c>
      <c r="R185" s="507">
        <v>0</v>
      </c>
      <c r="S185" s="507">
        <v>0</v>
      </c>
      <c r="T185" s="507">
        <v>0</v>
      </c>
      <c r="U185" s="507">
        <v>0</v>
      </c>
      <c r="V185" s="507">
        <v>0</v>
      </c>
      <c r="W185" s="507">
        <v>0</v>
      </c>
      <c r="X185" s="507">
        <v>0</v>
      </c>
      <c r="Y185" s="507">
        <v>0</v>
      </c>
      <c r="Z185" s="507">
        <v>0</v>
      </c>
      <c r="AA185" s="507">
        <v>0</v>
      </c>
      <c r="AB185" s="507">
        <v>0</v>
      </c>
      <c r="AC185" s="507">
        <v>0</v>
      </c>
      <c r="AD185" s="507">
        <v>0</v>
      </c>
      <c r="AE185" s="507">
        <v>0</v>
      </c>
      <c r="AF185" s="507">
        <v>0</v>
      </c>
      <c r="AG185" s="507">
        <v>0</v>
      </c>
      <c r="AH185" s="507">
        <v>0</v>
      </c>
      <c r="AI185" s="507">
        <v>0</v>
      </c>
      <c r="AJ185" s="507">
        <v>0</v>
      </c>
      <c r="AK185" s="508"/>
      <c r="AL185" s="508"/>
      <c r="AM185" s="508"/>
      <c r="AN185" s="509">
        <v>0</v>
      </c>
      <c r="AO185" s="509">
        <v>0</v>
      </c>
      <c r="AP185" s="509">
        <v>0</v>
      </c>
      <c r="AQ185" s="509">
        <v>0</v>
      </c>
      <c r="AR185" s="508"/>
      <c r="AS185" s="508"/>
      <c r="AT185" s="510">
        <f t="shared" si="100"/>
        <v>0</v>
      </c>
      <c r="AU185" s="512">
        <f t="shared" si="72"/>
        <v>0</v>
      </c>
      <c r="AV185" s="511">
        <f t="shared" si="73"/>
        <v>-97380</v>
      </c>
      <c r="AW185" s="558">
        <f t="shared" si="74"/>
        <v>-1</v>
      </c>
      <c r="AX185" s="513">
        <f t="shared" si="75"/>
        <v>973800</v>
      </c>
      <c r="AY185" s="514">
        <f t="shared" si="76"/>
        <v>1</v>
      </c>
      <c r="AZ185" s="513">
        <f t="shared" si="77"/>
        <v>97380</v>
      </c>
      <c r="BA185" s="515" t="str">
        <f t="shared" si="78"/>
        <v>Vendido</v>
      </c>
      <c r="BB185" s="516" t="str">
        <f t="shared" si="79"/>
        <v>Cliente Atrasado</v>
      </c>
      <c r="BC185" s="551">
        <v>21</v>
      </c>
      <c r="BD185" s="693">
        <f t="shared" si="80"/>
        <v>1</v>
      </c>
      <c r="BE185" s="693">
        <f t="shared" si="81"/>
        <v>22</v>
      </c>
      <c r="BF185" s="517">
        <v>12062.73</v>
      </c>
      <c r="BG185" s="517">
        <v>4062.73</v>
      </c>
      <c r="BH185" s="693">
        <f t="shared" si="82"/>
        <v>0</v>
      </c>
      <c r="BI185" s="693">
        <f t="shared" si="83"/>
        <v>24</v>
      </c>
      <c r="BJ185" s="655">
        <f t="shared" si="104"/>
        <v>109568.25</v>
      </c>
      <c r="BK185" s="518">
        <f t="shared" si="84"/>
        <v>0</v>
      </c>
      <c r="BL185" s="518">
        <f t="shared" si="85"/>
        <v>0</v>
      </c>
      <c r="BM185" s="518">
        <f t="shared" si="86"/>
        <v>0</v>
      </c>
      <c r="BN185" s="518">
        <f t="shared" si="87"/>
        <v>0</v>
      </c>
      <c r="BO185" s="655">
        <f t="shared" si="103"/>
        <v>109568.25</v>
      </c>
      <c r="BP185" s="693" t="str">
        <f t="shared" si="88"/>
        <v/>
      </c>
      <c r="BQ185" s="695" t="s">
        <v>58</v>
      </c>
      <c r="BR185" s="519"/>
      <c r="BT185" s="439">
        <f t="shared" si="89"/>
        <v>-109568.25</v>
      </c>
      <c r="BU185" s="439">
        <f t="shared" si="90"/>
        <v>-109568.25</v>
      </c>
      <c r="BV185" s="439">
        <f t="shared" si="91"/>
        <v>0</v>
      </c>
      <c r="BY185" s="862">
        <f t="shared" si="92"/>
        <v>623659.652</v>
      </c>
      <c r="BZ185" s="862">
        <f t="shared" si="93"/>
        <v>267282.70799999998</v>
      </c>
      <c r="CA185" s="862">
        <f t="shared" si="94"/>
        <v>74839.16</v>
      </c>
      <c r="CB185" s="862">
        <f t="shared" si="95"/>
        <v>8018.48</v>
      </c>
      <c r="CC185" s="863">
        <f t="shared" si="96"/>
        <v>698498.81</v>
      </c>
      <c r="CD185" s="863">
        <f t="shared" si="97"/>
        <v>275301.19</v>
      </c>
      <c r="CE185" s="864">
        <f t="shared" si="98"/>
        <v>973800</v>
      </c>
      <c r="CF185" s="862">
        <f t="shared" si="99"/>
        <v>0</v>
      </c>
    </row>
    <row r="186" spans="1:84" s="429" customFormat="1" ht="13.9" customHeight="1" x14ac:dyDescent="0.25">
      <c r="A186" s="472"/>
      <c r="B186" s="436">
        <v>1013</v>
      </c>
      <c r="C186" s="436" t="s">
        <v>393</v>
      </c>
      <c r="D186" s="436"/>
      <c r="E186" s="436" t="s">
        <v>383</v>
      </c>
      <c r="F186" s="429" t="s">
        <v>587</v>
      </c>
      <c r="G186" s="473">
        <v>45181</v>
      </c>
      <c r="H186" s="436" t="s">
        <v>128</v>
      </c>
      <c r="I186" s="472">
        <v>903600</v>
      </c>
      <c r="J186" s="472">
        <v>90400</v>
      </c>
      <c r="K186" s="507">
        <v>0</v>
      </c>
      <c r="L186" s="507">
        <v>0</v>
      </c>
      <c r="M186" s="507">
        <v>0</v>
      </c>
      <c r="N186" s="507">
        <v>0</v>
      </c>
      <c r="O186" s="507">
        <v>0</v>
      </c>
      <c r="P186" s="507">
        <v>0</v>
      </c>
      <c r="Q186" s="507">
        <v>6000</v>
      </c>
      <c r="R186" s="507">
        <v>3517</v>
      </c>
      <c r="S186" s="507">
        <v>0</v>
      </c>
      <c r="T186" s="507">
        <v>3517</v>
      </c>
      <c r="U186" s="507">
        <v>0</v>
      </c>
      <c r="V186" s="507">
        <v>3517</v>
      </c>
      <c r="W186" s="507">
        <v>0</v>
      </c>
      <c r="X186" s="507">
        <v>3517</v>
      </c>
      <c r="Y186" s="507">
        <v>7034</v>
      </c>
      <c r="Z186" s="507">
        <v>3517</v>
      </c>
      <c r="AA186" s="507">
        <v>7034</v>
      </c>
      <c r="AB186" s="507">
        <v>0</v>
      </c>
      <c r="AC186" s="507">
        <v>3517</v>
      </c>
      <c r="AD186" s="507">
        <v>3517</v>
      </c>
      <c r="AE186" s="507">
        <v>3517</v>
      </c>
      <c r="AF186" s="507">
        <v>3517</v>
      </c>
      <c r="AG186" s="507">
        <v>0</v>
      </c>
      <c r="AH186" s="507">
        <v>0</v>
      </c>
      <c r="AI186" s="507">
        <f>3517+3517</f>
        <v>7034</v>
      </c>
      <c r="AJ186" s="507">
        <f>3517*3</f>
        <v>10551</v>
      </c>
      <c r="AK186" s="508">
        <v>3517</v>
      </c>
      <c r="AL186" s="508">
        <v>3517</v>
      </c>
      <c r="AM186" s="509">
        <f>3517+3517</f>
        <v>7034</v>
      </c>
      <c r="AN186" s="509">
        <v>0</v>
      </c>
      <c r="AO186" s="509">
        <v>0</v>
      </c>
      <c r="AP186" s="509">
        <v>7034</v>
      </c>
      <c r="AQ186" s="509">
        <v>0</v>
      </c>
      <c r="AR186" s="509"/>
      <c r="AS186" s="509"/>
      <c r="AT186" s="510">
        <f t="shared" si="100"/>
        <v>90408</v>
      </c>
      <c r="AU186" s="512">
        <f t="shared" si="72"/>
        <v>1.0000884955752212</v>
      </c>
      <c r="AV186" s="511">
        <f t="shared" si="73"/>
        <v>8</v>
      </c>
      <c r="AW186" s="558">
        <f t="shared" si="74"/>
        <v>8.849557522123894E-5</v>
      </c>
      <c r="AX186" s="513">
        <f t="shared" si="75"/>
        <v>813192</v>
      </c>
      <c r="AY186" s="514">
        <f t="shared" si="76"/>
        <v>0.89994687915006644</v>
      </c>
      <c r="AZ186" s="513">
        <f t="shared" si="77"/>
        <v>90400</v>
      </c>
      <c r="BA186" s="515" t="str">
        <f t="shared" si="78"/>
        <v>Vendido</v>
      </c>
      <c r="BB186" s="516" t="str">
        <f t="shared" si="79"/>
        <v>Cliente Atrasado</v>
      </c>
      <c r="BC186" s="551">
        <v>24</v>
      </c>
      <c r="BD186" s="693">
        <f t="shared" si="80"/>
        <v>1</v>
      </c>
      <c r="BE186" s="693">
        <f t="shared" si="81"/>
        <v>25</v>
      </c>
      <c r="BF186" s="517">
        <v>6000</v>
      </c>
      <c r="BG186" s="517">
        <v>3517</v>
      </c>
      <c r="BH186" s="693">
        <f t="shared" si="82"/>
        <v>11</v>
      </c>
      <c r="BI186" s="693">
        <f t="shared" si="83"/>
        <v>28</v>
      </c>
      <c r="BJ186" s="655">
        <f t="shared" si="104"/>
        <v>104476</v>
      </c>
      <c r="BK186" s="518">
        <f t="shared" si="84"/>
        <v>38687</v>
      </c>
      <c r="BL186" s="518">
        <f t="shared" si="85"/>
        <v>51721</v>
      </c>
      <c r="BM186" s="518">
        <f t="shared" si="86"/>
        <v>0</v>
      </c>
      <c r="BN186" s="518">
        <f t="shared" si="87"/>
        <v>0</v>
      </c>
      <c r="BO186" s="655">
        <f t="shared" si="103"/>
        <v>14068</v>
      </c>
      <c r="BP186" s="693">
        <f t="shared" si="88"/>
        <v>4</v>
      </c>
      <c r="BQ186" s="696"/>
      <c r="BR186" s="519" t="s">
        <v>471</v>
      </c>
      <c r="BT186" s="439">
        <f t="shared" si="89"/>
        <v>-14068</v>
      </c>
      <c r="BU186" s="439">
        <f t="shared" si="90"/>
        <v>-14068</v>
      </c>
      <c r="BV186" s="439">
        <f t="shared" si="91"/>
        <v>0</v>
      </c>
      <c r="BY186" s="862">
        <f t="shared" si="92"/>
        <v>578700.82299999997</v>
      </c>
      <c r="BZ186" s="862">
        <f t="shared" si="93"/>
        <v>248014.639</v>
      </c>
      <c r="CA186" s="862">
        <f t="shared" si="94"/>
        <v>69444.100000000006</v>
      </c>
      <c r="CB186" s="862">
        <f t="shared" si="95"/>
        <v>7440.44</v>
      </c>
      <c r="CC186" s="863">
        <f t="shared" si="96"/>
        <v>648144.92000000004</v>
      </c>
      <c r="CD186" s="863">
        <f t="shared" si="97"/>
        <v>255455.08</v>
      </c>
      <c r="CE186" s="864">
        <f t="shared" si="98"/>
        <v>903600</v>
      </c>
      <c r="CF186" s="862">
        <f t="shared" si="99"/>
        <v>0</v>
      </c>
    </row>
    <row r="187" spans="1:84" s="429" customFormat="1" ht="13.9" customHeight="1" x14ac:dyDescent="0.25">
      <c r="A187" s="472"/>
      <c r="B187" s="436">
        <v>1014</v>
      </c>
      <c r="C187" s="436" t="s">
        <v>172</v>
      </c>
      <c r="D187" s="436"/>
      <c r="E187" s="436" t="s">
        <v>366</v>
      </c>
      <c r="F187" s="429" t="s">
        <v>588</v>
      </c>
      <c r="G187" s="473">
        <v>45088</v>
      </c>
      <c r="H187" s="436" t="s">
        <v>128</v>
      </c>
      <c r="I187" s="472">
        <v>883300</v>
      </c>
      <c r="J187" s="472">
        <v>88400</v>
      </c>
      <c r="K187" s="507">
        <v>0</v>
      </c>
      <c r="L187" s="507">
        <v>0</v>
      </c>
      <c r="M187" s="507">
        <v>0</v>
      </c>
      <c r="N187" s="507">
        <v>6000</v>
      </c>
      <c r="O187" s="507">
        <v>3052</v>
      </c>
      <c r="P187" s="507">
        <v>3052</v>
      </c>
      <c r="Q187" s="507">
        <v>3052</v>
      </c>
      <c r="R187" s="507">
        <v>3052</v>
      </c>
      <c r="S187" s="507">
        <v>0</v>
      </c>
      <c r="T187" s="507">
        <v>3052</v>
      </c>
      <c r="U187" s="507">
        <v>3052</v>
      </c>
      <c r="V187" s="507">
        <v>3052</v>
      </c>
      <c r="W187" s="507">
        <v>0</v>
      </c>
      <c r="X187" s="507">
        <v>6104</v>
      </c>
      <c r="Y187" s="507">
        <v>0</v>
      </c>
      <c r="Z187" s="507">
        <v>3052</v>
      </c>
      <c r="AA187" s="507">
        <v>6104</v>
      </c>
      <c r="AB187" s="507">
        <v>0</v>
      </c>
      <c r="AC187" s="507">
        <v>3052</v>
      </c>
      <c r="AD187" s="507">
        <f>3052+3052</f>
        <v>6104</v>
      </c>
      <c r="AE187" s="507">
        <v>3052</v>
      </c>
      <c r="AF187" s="507">
        <v>0</v>
      </c>
      <c r="AG187" s="507">
        <v>3052</v>
      </c>
      <c r="AH187" s="507">
        <v>0</v>
      </c>
      <c r="AI187" s="507">
        <v>3052</v>
      </c>
      <c r="AJ187" s="507">
        <v>6104</v>
      </c>
      <c r="AK187" s="508">
        <f>3052+3052</f>
        <v>6104</v>
      </c>
      <c r="AL187" s="508"/>
      <c r="AM187" s="509">
        <v>6104</v>
      </c>
      <c r="AN187" s="509">
        <v>0</v>
      </c>
      <c r="AO187" s="509">
        <v>6104</v>
      </c>
      <c r="AP187" s="509">
        <v>3048</v>
      </c>
      <c r="AQ187" s="509">
        <v>0</v>
      </c>
      <c r="AR187" s="509"/>
      <c r="AS187" s="509"/>
      <c r="AT187" s="510">
        <f t="shared" si="100"/>
        <v>88400</v>
      </c>
      <c r="AU187" s="512">
        <f t="shared" si="72"/>
        <v>1</v>
      </c>
      <c r="AV187" s="511">
        <f t="shared" si="73"/>
        <v>0</v>
      </c>
      <c r="AW187" s="558">
        <f t="shared" si="74"/>
        <v>0</v>
      </c>
      <c r="AX187" s="513">
        <f t="shared" si="75"/>
        <v>794900</v>
      </c>
      <c r="AY187" s="514">
        <f t="shared" si="76"/>
        <v>0.89992075172648023</v>
      </c>
      <c r="AZ187" s="513">
        <f t="shared" si="77"/>
        <v>88400</v>
      </c>
      <c r="BA187" s="515" t="str">
        <f t="shared" si="78"/>
        <v>Vendido</v>
      </c>
      <c r="BB187" s="516" t="str">
        <f t="shared" si="79"/>
        <v>Cliente Atrasado</v>
      </c>
      <c r="BC187" s="551">
        <v>27</v>
      </c>
      <c r="BD187" s="693">
        <f t="shared" si="80"/>
        <v>1</v>
      </c>
      <c r="BE187" s="693">
        <f t="shared" si="81"/>
        <v>28</v>
      </c>
      <c r="BF187" s="517">
        <v>6000</v>
      </c>
      <c r="BG187" s="517">
        <v>3052</v>
      </c>
      <c r="BH187" s="693">
        <f t="shared" si="82"/>
        <v>13</v>
      </c>
      <c r="BI187" s="693">
        <f t="shared" si="83"/>
        <v>31</v>
      </c>
      <c r="BJ187" s="655">
        <f t="shared" si="104"/>
        <v>100612</v>
      </c>
      <c r="BK187" s="518">
        <f t="shared" si="84"/>
        <v>39672</v>
      </c>
      <c r="BL187" s="518">
        <f t="shared" si="85"/>
        <v>48728</v>
      </c>
      <c r="BM187" s="518">
        <f t="shared" si="86"/>
        <v>0</v>
      </c>
      <c r="BN187" s="518">
        <f t="shared" si="87"/>
        <v>0</v>
      </c>
      <c r="BO187" s="655">
        <f t="shared" si="103"/>
        <v>12212</v>
      </c>
      <c r="BP187" s="693">
        <f t="shared" si="88"/>
        <v>5</v>
      </c>
      <c r="BQ187" s="696"/>
      <c r="BR187" s="519" t="s">
        <v>471</v>
      </c>
      <c r="BT187" s="439">
        <f t="shared" si="89"/>
        <v>-12212</v>
      </c>
      <c r="BU187" s="439">
        <f t="shared" si="90"/>
        <v>-12212</v>
      </c>
      <c r="BV187" s="439">
        <f t="shared" si="91"/>
        <v>0</v>
      </c>
      <c r="BY187" s="862">
        <f t="shared" si="92"/>
        <v>565699.90899999999</v>
      </c>
      <c r="BZ187" s="862">
        <f t="shared" si="93"/>
        <v>242442.818</v>
      </c>
      <c r="CA187" s="862">
        <f t="shared" si="94"/>
        <v>67883.990000000005</v>
      </c>
      <c r="CB187" s="862">
        <f t="shared" si="95"/>
        <v>7273.28</v>
      </c>
      <c r="CC187" s="863">
        <f t="shared" si="96"/>
        <v>633583.9</v>
      </c>
      <c r="CD187" s="863">
        <f t="shared" si="97"/>
        <v>249716.1</v>
      </c>
      <c r="CE187" s="864">
        <f t="shared" si="98"/>
        <v>883300</v>
      </c>
      <c r="CF187" s="862">
        <f t="shared" si="99"/>
        <v>0</v>
      </c>
    </row>
    <row r="188" spans="1:84" s="429" customFormat="1" ht="13.9" customHeight="1" x14ac:dyDescent="0.25">
      <c r="A188" s="472"/>
      <c r="B188" s="436">
        <v>1015</v>
      </c>
      <c r="C188" s="436" t="s">
        <v>547</v>
      </c>
      <c r="D188" s="436"/>
      <c r="E188" s="436" t="s">
        <v>366</v>
      </c>
      <c r="F188" s="429" t="s">
        <v>589</v>
      </c>
      <c r="G188" s="473">
        <v>45035</v>
      </c>
      <c r="H188" s="436" t="s">
        <v>128</v>
      </c>
      <c r="I188" s="472">
        <v>1333600</v>
      </c>
      <c r="J188" s="472">
        <f>+I188*0.1</f>
        <v>133360</v>
      </c>
      <c r="K188" s="507">
        <v>0</v>
      </c>
      <c r="L188" s="507">
        <v>6000</v>
      </c>
      <c r="M188" s="507">
        <v>4393</v>
      </c>
      <c r="N188" s="507">
        <v>4393</v>
      </c>
      <c r="O188" s="507">
        <v>4393</v>
      </c>
      <c r="P188" s="507">
        <v>4393</v>
      </c>
      <c r="Q188" s="507">
        <v>4393</v>
      </c>
      <c r="R188" s="507">
        <v>4393</v>
      </c>
      <c r="S188" s="507">
        <v>4393</v>
      </c>
      <c r="T188" s="507">
        <v>4393</v>
      </c>
      <c r="U188" s="507">
        <v>4393</v>
      </c>
      <c r="V188" s="507">
        <v>4393</v>
      </c>
      <c r="W188" s="507">
        <v>4393</v>
      </c>
      <c r="X188" s="507">
        <v>4393</v>
      </c>
      <c r="Y188" s="507">
        <v>4393</v>
      </c>
      <c r="Z188" s="507">
        <v>4393</v>
      </c>
      <c r="AA188" s="507">
        <v>4393</v>
      </c>
      <c r="AB188" s="507">
        <v>4393</v>
      </c>
      <c r="AC188" s="507">
        <v>4393</v>
      </c>
      <c r="AD188" s="507">
        <v>4393</v>
      </c>
      <c r="AE188" s="507">
        <v>4393</v>
      </c>
      <c r="AF188" s="507">
        <v>4393</v>
      </c>
      <c r="AG188" s="507">
        <v>4393</v>
      </c>
      <c r="AH188" s="507">
        <v>4393</v>
      </c>
      <c r="AI188" s="507">
        <v>4393</v>
      </c>
      <c r="AJ188" s="507">
        <v>4393</v>
      </c>
      <c r="AK188" s="508">
        <v>4393</v>
      </c>
      <c r="AL188" s="508">
        <v>4393</v>
      </c>
      <c r="AM188" s="509">
        <v>4393</v>
      </c>
      <c r="AN188" s="509">
        <v>4393</v>
      </c>
      <c r="AO188" s="509">
        <v>4393</v>
      </c>
      <c r="AP188" s="509">
        <v>5000</v>
      </c>
      <c r="AQ188" s="509">
        <v>5000</v>
      </c>
      <c r="AR188" s="509">
        <v>5000</v>
      </c>
      <c r="AS188" s="509">
        <v>5000</v>
      </c>
      <c r="AT188" s="510">
        <f t="shared" si="100"/>
        <v>153397</v>
      </c>
      <c r="AU188" s="512">
        <f t="shared" si="72"/>
        <v>1.1502474505098981</v>
      </c>
      <c r="AV188" s="511">
        <f t="shared" si="73"/>
        <v>20037</v>
      </c>
      <c r="AW188" s="558">
        <f t="shared" si="74"/>
        <v>0.15024745050989802</v>
      </c>
      <c r="AX188" s="513">
        <f t="shared" si="75"/>
        <v>1180203</v>
      </c>
      <c r="AY188" s="514">
        <f t="shared" si="76"/>
        <v>0.88497525494901019</v>
      </c>
      <c r="AZ188" s="513">
        <f t="shared" si="77"/>
        <v>133360</v>
      </c>
      <c r="BA188" s="515" t="str">
        <f t="shared" si="78"/>
        <v>Vendido</v>
      </c>
      <c r="BB188" s="516" t="str">
        <f t="shared" si="79"/>
        <v>Superávit de Enganche</v>
      </c>
      <c r="BC188" s="551">
        <v>29</v>
      </c>
      <c r="BD188" s="693">
        <f t="shared" si="80"/>
        <v>1</v>
      </c>
      <c r="BE188" s="693">
        <f t="shared" si="81"/>
        <v>30</v>
      </c>
      <c r="BF188" s="517">
        <v>6000</v>
      </c>
      <c r="BG188" s="517">
        <v>4393</v>
      </c>
      <c r="BH188" s="693">
        <f t="shared" si="82"/>
        <v>33</v>
      </c>
      <c r="BI188" s="693">
        <f t="shared" si="83"/>
        <v>33</v>
      </c>
      <c r="BJ188" s="655">
        <f t="shared" si="104"/>
        <v>150969</v>
      </c>
      <c r="BK188" s="518">
        <f t="shared" si="84"/>
        <v>127397</v>
      </c>
      <c r="BL188" s="518">
        <f t="shared" si="85"/>
        <v>26000</v>
      </c>
      <c r="BM188" s="518">
        <f t="shared" si="86"/>
        <v>0</v>
      </c>
      <c r="BN188" s="518">
        <f t="shared" si="87"/>
        <v>2428</v>
      </c>
      <c r="BO188" s="655">
        <f t="shared" si="103"/>
        <v>0</v>
      </c>
      <c r="BP188" s="693">
        <f t="shared" si="88"/>
        <v>0</v>
      </c>
      <c r="BQ188" s="696"/>
      <c r="BR188" s="519"/>
      <c r="BT188" s="439">
        <f t="shared" si="89"/>
        <v>2428</v>
      </c>
      <c r="BU188" s="439">
        <f t="shared" si="90"/>
        <v>2428</v>
      </c>
      <c r="BV188" s="439">
        <f t="shared" si="91"/>
        <v>0</v>
      </c>
      <c r="BY188" s="862">
        <f t="shared" si="92"/>
        <v>854089.66099999996</v>
      </c>
      <c r="BZ188" s="862">
        <f t="shared" si="93"/>
        <v>366038.42599999998</v>
      </c>
      <c r="CA188" s="862">
        <f t="shared" si="94"/>
        <v>102490.76</v>
      </c>
      <c r="CB188" s="862">
        <f t="shared" si="95"/>
        <v>10981.15</v>
      </c>
      <c r="CC188" s="863">
        <f t="shared" si="96"/>
        <v>956580.42</v>
      </c>
      <c r="CD188" s="863">
        <f t="shared" si="97"/>
        <v>377019.58</v>
      </c>
      <c r="CE188" s="864">
        <f t="shared" si="98"/>
        <v>1333600</v>
      </c>
      <c r="CF188" s="862">
        <f t="shared" si="99"/>
        <v>0</v>
      </c>
    </row>
    <row r="189" spans="1:84" s="429" customFormat="1" ht="13.9" customHeight="1" x14ac:dyDescent="0.25">
      <c r="A189" s="472"/>
      <c r="B189" s="436">
        <v>1016</v>
      </c>
      <c r="C189" s="436" t="s">
        <v>181</v>
      </c>
      <c r="D189" s="642" t="s">
        <v>336</v>
      </c>
      <c r="E189" s="436" t="s">
        <v>383</v>
      </c>
      <c r="F189" s="429" t="s">
        <v>590</v>
      </c>
      <c r="G189" s="473">
        <v>45032</v>
      </c>
      <c r="H189" s="436" t="s">
        <v>128</v>
      </c>
      <c r="I189" s="472">
        <v>651600</v>
      </c>
      <c r="J189" s="472">
        <v>65200</v>
      </c>
      <c r="K189" s="507">
        <v>0</v>
      </c>
      <c r="L189" s="507">
        <v>6000</v>
      </c>
      <c r="M189" s="507">
        <v>0</v>
      </c>
      <c r="N189" s="507">
        <v>0</v>
      </c>
      <c r="O189" s="507">
        <v>2000</v>
      </c>
      <c r="P189" s="507">
        <v>2000</v>
      </c>
      <c r="Q189" s="507">
        <v>0</v>
      </c>
      <c r="R189" s="507">
        <v>0</v>
      </c>
      <c r="S189" s="507">
        <v>0</v>
      </c>
      <c r="T189" s="507">
        <v>0</v>
      </c>
      <c r="U189" s="507">
        <v>6000</v>
      </c>
      <c r="V189" s="507">
        <v>2000</v>
      </c>
      <c r="W189" s="507">
        <v>0</v>
      </c>
      <c r="X189" s="507">
        <v>4000</v>
      </c>
      <c r="Y189" s="507">
        <v>4000</v>
      </c>
      <c r="Z189" s="507">
        <v>0</v>
      </c>
      <c r="AA189" s="507">
        <v>2000</v>
      </c>
      <c r="AB189" s="507">
        <v>2000</v>
      </c>
      <c r="AC189" s="507">
        <v>0</v>
      </c>
      <c r="AD189" s="507">
        <v>2000</v>
      </c>
      <c r="AE189" s="507">
        <v>0</v>
      </c>
      <c r="AF189" s="507">
        <v>0</v>
      </c>
      <c r="AG189" s="507">
        <v>2000</v>
      </c>
      <c r="AH189" s="507">
        <v>2000</v>
      </c>
      <c r="AI189" s="507">
        <v>5000</v>
      </c>
      <c r="AJ189" s="507">
        <v>0</v>
      </c>
      <c r="AK189" s="508">
        <f>1513+1513</f>
        <v>3026</v>
      </c>
      <c r="AL189" s="508"/>
      <c r="AM189" s="509">
        <f>1513+1513</f>
        <v>3026</v>
      </c>
      <c r="AN189" s="509">
        <v>0</v>
      </c>
      <c r="AO189" s="509">
        <v>0</v>
      </c>
      <c r="AP189" s="509">
        <v>0</v>
      </c>
      <c r="AQ189" s="509">
        <v>0</v>
      </c>
      <c r="AR189" s="509">
        <f>1513+1513+1513</f>
        <v>4539</v>
      </c>
      <c r="AS189" s="509"/>
      <c r="AT189" s="510">
        <f t="shared" si="100"/>
        <v>51591</v>
      </c>
      <c r="AU189" s="512">
        <f t="shared" si="72"/>
        <v>0.79127300613496931</v>
      </c>
      <c r="AV189" s="511">
        <f>+AT189-AZ189</f>
        <v>-13609</v>
      </c>
      <c r="AW189" s="558">
        <f t="shared" si="74"/>
        <v>-0.20872699386503069</v>
      </c>
      <c r="AX189" s="513">
        <f t="shared" si="75"/>
        <v>600009</v>
      </c>
      <c r="AY189" s="514">
        <f t="shared" si="76"/>
        <v>0.92082412523020263</v>
      </c>
      <c r="AZ189" s="513">
        <f>IF(BA189="Vendido",J189*1,IF(BA189="Disponible",J189*0,IF(BA189="Enganche Completado",J189*1,IF(BA189="Superávit de Enganche",J189*1,0))))</f>
        <v>65200</v>
      </c>
      <c r="BA189" s="515" t="str">
        <f t="shared" si="78"/>
        <v>Vendido</v>
      </c>
      <c r="BB189" s="516" t="str">
        <f t="shared" si="79"/>
        <v>Cliente Atrasado</v>
      </c>
      <c r="BC189" s="551">
        <v>29</v>
      </c>
      <c r="BD189" s="693">
        <f t="shared" si="80"/>
        <v>1</v>
      </c>
      <c r="BE189" s="693">
        <f t="shared" si="81"/>
        <v>30</v>
      </c>
      <c r="BF189" s="644">
        <v>6000</v>
      </c>
      <c r="BG189" s="644">
        <v>1513</v>
      </c>
      <c r="BH189" s="693">
        <f t="shared" si="82"/>
        <v>14</v>
      </c>
      <c r="BI189" s="693">
        <f t="shared" si="83"/>
        <v>33</v>
      </c>
      <c r="BJ189" s="655">
        <f t="shared" si="104"/>
        <v>55929</v>
      </c>
      <c r="BK189" s="518">
        <f t="shared" si="84"/>
        <v>0</v>
      </c>
      <c r="BL189" s="518">
        <f t="shared" si="85"/>
        <v>51591</v>
      </c>
      <c r="BM189" s="518">
        <f t="shared" si="86"/>
        <v>0</v>
      </c>
      <c r="BN189" s="518">
        <f t="shared" si="87"/>
        <v>0</v>
      </c>
      <c r="BO189" s="655">
        <f t="shared" si="103"/>
        <v>4338</v>
      </c>
      <c r="BP189" s="693">
        <f t="shared" si="88"/>
        <v>3</v>
      </c>
      <c r="BQ189" s="696" t="s">
        <v>388</v>
      </c>
      <c r="BR189" s="519" t="s">
        <v>591</v>
      </c>
      <c r="BT189" s="439">
        <f t="shared" si="89"/>
        <v>-4338</v>
      </c>
      <c r="BU189" s="439">
        <f t="shared" si="90"/>
        <v>-4338</v>
      </c>
      <c r="BV189" s="439">
        <f t="shared" si="91"/>
        <v>0</v>
      </c>
      <c r="BY189" s="862">
        <f t="shared" si="92"/>
        <v>417310.15600000002</v>
      </c>
      <c r="BZ189" s="862">
        <f t="shared" si="93"/>
        <v>178847.21</v>
      </c>
      <c r="CA189" s="862">
        <f t="shared" si="94"/>
        <v>50077.22</v>
      </c>
      <c r="CB189" s="862">
        <f t="shared" si="95"/>
        <v>5365.42</v>
      </c>
      <c r="CC189" s="863">
        <f t="shared" si="96"/>
        <v>467387.38</v>
      </c>
      <c r="CD189" s="863">
        <f t="shared" si="97"/>
        <v>184212.63</v>
      </c>
      <c r="CE189" s="864">
        <f t="shared" si="98"/>
        <v>651600.01</v>
      </c>
      <c r="CF189" s="862">
        <f t="shared" si="99"/>
        <v>1.0000000009313226E-2</v>
      </c>
    </row>
    <row r="190" spans="1:84" s="429" customFormat="1" ht="13.9" customHeight="1" x14ac:dyDescent="0.25">
      <c r="A190" s="472"/>
      <c r="B190" s="436">
        <v>1017</v>
      </c>
      <c r="C190" s="436" t="s">
        <v>192</v>
      </c>
      <c r="D190" s="642" t="s">
        <v>336</v>
      </c>
      <c r="E190" s="436" t="s">
        <v>383</v>
      </c>
      <c r="F190" s="429" t="s">
        <v>592</v>
      </c>
      <c r="G190" s="473">
        <v>45032</v>
      </c>
      <c r="H190" s="436" t="s">
        <v>128</v>
      </c>
      <c r="I190" s="472">
        <v>663200</v>
      </c>
      <c r="J190" s="472">
        <v>66400</v>
      </c>
      <c r="K190" s="507">
        <v>0</v>
      </c>
      <c r="L190" s="507">
        <v>6000</v>
      </c>
      <c r="M190" s="507">
        <v>0</v>
      </c>
      <c r="N190" s="507">
        <v>0</v>
      </c>
      <c r="O190" s="507">
        <v>4000</v>
      </c>
      <c r="P190" s="507">
        <v>0</v>
      </c>
      <c r="Q190" s="507">
        <v>0</v>
      </c>
      <c r="R190" s="507">
        <v>0</v>
      </c>
      <c r="S190" s="507">
        <v>2000</v>
      </c>
      <c r="T190" s="507">
        <v>2000</v>
      </c>
      <c r="U190" s="507">
        <v>2000</v>
      </c>
      <c r="V190" s="507">
        <v>0</v>
      </c>
      <c r="W190" s="507">
        <v>0</v>
      </c>
      <c r="X190" s="507">
        <v>2000</v>
      </c>
      <c r="Y190" s="507">
        <v>2000</v>
      </c>
      <c r="Z190" s="507">
        <v>2000</v>
      </c>
      <c r="AA190" s="507">
        <v>6000</v>
      </c>
      <c r="AB190" s="507">
        <v>2000</v>
      </c>
      <c r="AC190" s="507">
        <v>0</v>
      </c>
      <c r="AD190" s="507">
        <v>2000</v>
      </c>
      <c r="AE190" s="507">
        <v>0</v>
      </c>
      <c r="AF190" s="507">
        <v>0</v>
      </c>
      <c r="AG190" s="507">
        <v>2000</v>
      </c>
      <c r="AH190" s="507">
        <v>2000</v>
      </c>
      <c r="AI190" s="507">
        <v>0</v>
      </c>
      <c r="AJ190" s="507">
        <v>4000</v>
      </c>
      <c r="AK190" s="509">
        <v>2000</v>
      </c>
      <c r="AL190" s="509">
        <v>1650</v>
      </c>
      <c r="AM190" s="509"/>
      <c r="AN190" s="509">
        <v>1650</v>
      </c>
      <c r="AO190" s="509">
        <v>0</v>
      </c>
      <c r="AP190" s="509">
        <v>0</v>
      </c>
      <c r="AQ190" s="509">
        <v>1650</v>
      </c>
      <c r="AR190" s="509"/>
      <c r="AS190" s="509"/>
      <c r="AT190" s="510">
        <f t="shared" si="100"/>
        <v>46950</v>
      </c>
      <c r="AU190" s="512">
        <f t="shared" si="72"/>
        <v>0.70707831325301207</v>
      </c>
      <c r="AV190" s="511">
        <f t="shared" si="73"/>
        <v>-19450</v>
      </c>
      <c r="AW190" s="558">
        <f t="shared" si="74"/>
        <v>-0.29292168674698793</v>
      </c>
      <c r="AX190" s="513">
        <f t="shared" si="75"/>
        <v>616250</v>
      </c>
      <c r="AY190" s="514">
        <f t="shared" si="76"/>
        <v>0.92920687575392036</v>
      </c>
      <c r="AZ190" s="513">
        <f t="shared" si="77"/>
        <v>66400</v>
      </c>
      <c r="BA190" s="515" t="str">
        <f t="shared" si="78"/>
        <v>Vendido</v>
      </c>
      <c r="BB190" s="516" t="str">
        <f t="shared" si="79"/>
        <v>Cliente Atrasado</v>
      </c>
      <c r="BC190" s="551">
        <v>29</v>
      </c>
      <c r="BD190" s="693">
        <f t="shared" si="80"/>
        <v>1</v>
      </c>
      <c r="BE190" s="693">
        <f t="shared" si="81"/>
        <v>30</v>
      </c>
      <c r="BF190" s="644">
        <v>6000</v>
      </c>
      <c r="BG190" s="644">
        <v>1650</v>
      </c>
      <c r="BH190" s="693">
        <f t="shared" si="82"/>
        <v>16</v>
      </c>
      <c r="BI190" s="693">
        <f t="shared" si="83"/>
        <v>33</v>
      </c>
      <c r="BJ190" s="655">
        <f t="shared" si="104"/>
        <v>60450</v>
      </c>
      <c r="BK190" s="518">
        <f t="shared" si="84"/>
        <v>4950</v>
      </c>
      <c r="BL190" s="518">
        <f t="shared" si="85"/>
        <v>42000</v>
      </c>
      <c r="BM190" s="518">
        <f t="shared" si="86"/>
        <v>0</v>
      </c>
      <c r="BN190" s="518">
        <f t="shared" si="87"/>
        <v>0</v>
      </c>
      <c r="BO190" s="655">
        <f t="shared" si="103"/>
        <v>13500</v>
      </c>
      <c r="BP190" s="693">
        <f t="shared" si="88"/>
        <v>9</v>
      </c>
      <c r="BQ190" s="696" t="s">
        <v>388</v>
      </c>
      <c r="BR190" s="519" t="s">
        <v>593</v>
      </c>
      <c r="BT190" s="439">
        <f t="shared" si="89"/>
        <v>-13500</v>
      </c>
      <c r="BU190" s="439">
        <f t="shared" si="90"/>
        <v>-13500</v>
      </c>
      <c r="BV190" s="439">
        <f t="shared" si="91"/>
        <v>0</v>
      </c>
      <c r="BY190" s="862">
        <f t="shared" si="92"/>
        <v>424739.25</v>
      </c>
      <c r="BZ190" s="862">
        <f t="shared" si="93"/>
        <v>182031.10699999999</v>
      </c>
      <c r="CA190" s="862">
        <f t="shared" si="94"/>
        <v>50968.71</v>
      </c>
      <c r="CB190" s="862">
        <f t="shared" si="95"/>
        <v>5460.93</v>
      </c>
      <c r="CC190" s="863">
        <f t="shared" si="96"/>
        <v>475707.96</v>
      </c>
      <c r="CD190" s="863">
        <f t="shared" si="97"/>
        <v>187492.04</v>
      </c>
      <c r="CE190" s="864">
        <f t="shared" si="98"/>
        <v>663200</v>
      </c>
      <c r="CF190" s="862">
        <f t="shared" si="99"/>
        <v>0</v>
      </c>
    </row>
    <row r="191" spans="1:84" s="429" customFormat="1" ht="13.9" customHeight="1" x14ac:dyDescent="0.25">
      <c r="A191" s="472"/>
      <c r="B191" s="436">
        <v>1018</v>
      </c>
      <c r="C191" s="436" t="s">
        <v>198</v>
      </c>
      <c r="D191" s="641" t="s">
        <v>386</v>
      </c>
      <c r="E191" s="436" t="s">
        <v>366</v>
      </c>
      <c r="F191" s="429" t="s">
        <v>594</v>
      </c>
      <c r="G191" s="473">
        <v>45141</v>
      </c>
      <c r="H191" s="436" t="s">
        <v>128</v>
      </c>
      <c r="I191" s="472">
        <v>690627.17</v>
      </c>
      <c r="J191" s="472">
        <v>69127.17</v>
      </c>
      <c r="K191" s="507">
        <v>0</v>
      </c>
      <c r="L191" s="507">
        <v>0</v>
      </c>
      <c r="M191" s="507">
        <v>0</v>
      </c>
      <c r="N191" s="507">
        <v>0</v>
      </c>
      <c r="O191" s="507">
        <v>0</v>
      </c>
      <c r="P191" s="507">
        <v>6000</v>
      </c>
      <c r="Q191" s="507">
        <v>63127.17</v>
      </c>
      <c r="R191" s="507">
        <v>0</v>
      </c>
      <c r="S191" s="507">
        <v>0</v>
      </c>
      <c r="T191" s="507">
        <v>0</v>
      </c>
      <c r="U191" s="507">
        <v>0</v>
      </c>
      <c r="V191" s="507">
        <v>0</v>
      </c>
      <c r="W191" s="507">
        <v>0</v>
      </c>
      <c r="X191" s="507">
        <v>0</v>
      </c>
      <c r="Y191" s="507">
        <v>0</v>
      </c>
      <c r="Z191" s="507">
        <v>0</v>
      </c>
      <c r="AA191" s="507">
        <v>0</v>
      </c>
      <c r="AB191" s="507">
        <v>0</v>
      </c>
      <c r="AC191" s="507">
        <v>0</v>
      </c>
      <c r="AD191" s="507">
        <v>0</v>
      </c>
      <c r="AE191" s="507">
        <v>0</v>
      </c>
      <c r="AF191" s="507">
        <v>0</v>
      </c>
      <c r="AG191" s="507">
        <v>0</v>
      </c>
      <c r="AH191" s="507">
        <v>0</v>
      </c>
      <c r="AI191" s="507">
        <v>0</v>
      </c>
      <c r="AJ191" s="507">
        <v>0</v>
      </c>
      <c r="AK191" s="508"/>
      <c r="AL191" s="508"/>
      <c r="AM191" s="508"/>
      <c r="AN191" s="509">
        <v>0</v>
      </c>
      <c r="AO191" s="509">
        <v>0</v>
      </c>
      <c r="AP191" s="509">
        <v>0</v>
      </c>
      <c r="AQ191" s="509">
        <v>0</v>
      </c>
      <c r="AR191" s="508"/>
      <c r="AS191" s="508"/>
      <c r="AT191" s="510">
        <f t="shared" si="100"/>
        <v>69127.17</v>
      </c>
      <c r="AU191" s="512">
        <f t="shared" si="72"/>
        <v>1</v>
      </c>
      <c r="AV191" s="511">
        <f t="shared" si="73"/>
        <v>0</v>
      </c>
      <c r="AW191" s="558">
        <f t="shared" si="74"/>
        <v>0</v>
      </c>
      <c r="AX191" s="513">
        <f t="shared" si="75"/>
        <v>621500</v>
      </c>
      <c r="AY191" s="514">
        <f t="shared" si="76"/>
        <v>0.89990667468237595</v>
      </c>
      <c r="AZ191" s="513">
        <f t="shared" si="77"/>
        <v>69127.17</v>
      </c>
      <c r="BA191" s="515" t="str">
        <f t="shared" si="78"/>
        <v>Vendido</v>
      </c>
      <c r="BB191" s="516" t="str">
        <f t="shared" si="79"/>
        <v>Enganche Completado</v>
      </c>
      <c r="BC191" s="643">
        <v>1</v>
      </c>
      <c r="BD191" s="693">
        <f t="shared" si="80"/>
        <v>0</v>
      </c>
      <c r="BE191" s="693">
        <f t="shared" si="81"/>
        <v>1</v>
      </c>
      <c r="BF191" s="644">
        <v>69127.17</v>
      </c>
      <c r="BG191" s="645">
        <v>0</v>
      </c>
      <c r="BH191" s="693">
        <f t="shared" si="82"/>
        <v>2</v>
      </c>
      <c r="BI191" s="693">
        <f t="shared" si="83"/>
        <v>29</v>
      </c>
      <c r="BJ191" s="655">
        <f t="shared" si="104"/>
        <v>69127.17</v>
      </c>
      <c r="BK191" s="518">
        <f t="shared" si="84"/>
        <v>0</v>
      </c>
      <c r="BL191" s="518">
        <f t="shared" si="85"/>
        <v>69127.17</v>
      </c>
      <c r="BM191" s="518">
        <f t="shared" si="86"/>
        <v>0</v>
      </c>
      <c r="BN191" s="518">
        <f t="shared" si="87"/>
        <v>0</v>
      </c>
      <c r="BO191" s="655">
        <f t="shared" si="103"/>
        <v>0</v>
      </c>
      <c r="BP191" s="693" t="str">
        <f t="shared" si="88"/>
        <v/>
      </c>
      <c r="BQ191" s="696" t="s">
        <v>388</v>
      </c>
      <c r="BR191" s="519"/>
      <c r="BT191" s="439">
        <f t="shared" si="89"/>
        <v>0</v>
      </c>
      <c r="BU191" s="439">
        <f t="shared" si="90"/>
        <v>0</v>
      </c>
      <c r="BV191" s="439">
        <f t="shared" si="91"/>
        <v>0</v>
      </c>
      <c r="BY191" s="862">
        <f t="shared" si="92"/>
        <v>442304.68300000002</v>
      </c>
      <c r="BZ191" s="862">
        <f t="shared" si="93"/>
        <v>189559.15</v>
      </c>
      <c r="CA191" s="862">
        <f t="shared" si="94"/>
        <v>53076.56</v>
      </c>
      <c r="CB191" s="862">
        <f t="shared" si="95"/>
        <v>5686.77</v>
      </c>
      <c r="CC191" s="863">
        <f t="shared" si="96"/>
        <v>495381.24</v>
      </c>
      <c r="CD191" s="863">
        <f t="shared" si="97"/>
        <v>195245.92</v>
      </c>
      <c r="CE191" s="864">
        <f t="shared" si="98"/>
        <v>690627.16</v>
      </c>
      <c r="CF191" s="862">
        <f t="shared" si="99"/>
        <v>-1.0000000009313226E-2</v>
      </c>
    </row>
    <row r="192" spans="1:84" s="429" customFormat="1" ht="13.9" customHeight="1" x14ac:dyDescent="0.25">
      <c r="A192" s="472"/>
      <c r="B192" s="436">
        <v>1019</v>
      </c>
      <c r="C192" s="436" t="s">
        <v>412</v>
      </c>
      <c r="D192" s="436"/>
      <c r="E192" s="436" t="s">
        <v>526</v>
      </c>
      <c r="F192" s="429" t="s">
        <v>595</v>
      </c>
      <c r="G192" s="473">
        <v>45894</v>
      </c>
      <c r="H192" s="436" t="s">
        <v>128</v>
      </c>
      <c r="I192" s="472">
        <v>1391500</v>
      </c>
      <c r="J192" s="472">
        <v>97500</v>
      </c>
      <c r="K192" s="507">
        <v>0</v>
      </c>
      <c r="L192" s="507">
        <v>0</v>
      </c>
      <c r="M192" s="507">
        <v>0</v>
      </c>
      <c r="N192" s="507">
        <v>0</v>
      </c>
      <c r="O192" s="507">
        <v>0</v>
      </c>
      <c r="P192" s="507">
        <v>0</v>
      </c>
      <c r="Q192" s="507">
        <v>0</v>
      </c>
      <c r="R192" s="507">
        <v>0</v>
      </c>
      <c r="S192" s="507">
        <v>0</v>
      </c>
      <c r="T192" s="507">
        <v>0</v>
      </c>
      <c r="U192" s="507">
        <v>0</v>
      </c>
      <c r="V192" s="507">
        <v>0</v>
      </c>
      <c r="W192" s="507">
        <v>0</v>
      </c>
      <c r="X192" s="507">
        <v>0</v>
      </c>
      <c r="Y192" s="507">
        <v>0</v>
      </c>
      <c r="Z192" s="507">
        <v>0</v>
      </c>
      <c r="AA192" s="507">
        <v>0</v>
      </c>
      <c r="AB192" s="507">
        <v>0</v>
      </c>
      <c r="AC192" s="507">
        <v>0</v>
      </c>
      <c r="AD192" s="507">
        <v>0</v>
      </c>
      <c r="AE192" s="507">
        <v>0</v>
      </c>
      <c r="AF192" s="507">
        <v>0</v>
      </c>
      <c r="AG192" s="507">
        <v>0</v>
      </c>
      <c r="AH192" s="507">
        <v>0</v>
      </c>
      <c r="AI192" s="507">
        <v>0</v>
      </c>
      <c r="AJ192" s="507">
        <v>0</v>
      </c>
      <c r="AK192" s="507">
        <v>0</v>
      </c>
      <c r="AL192" s="507"/>
      <c r="AM192" s="507"/>
      <c r="AN192" s="509">
        <v>10000</v>
      </c>
      <c r="AO192" s="509">
        <v>0</v>
      </c>
      <c r="AP192" s="509">
        <v>0</v>
      </c>
      <c r="AQ192" s="509">
        <v>0</v>
      </c>
      <c r="AR192" s="507"/>
      <c r="AS192" s="507">
        <v>25000</v>
      </c>
      <c r="AT192" s="510">
        <f t="shared" si="100"/>
        <v>35000</v>
      </c>
      <c r="AU192" s="512">
        <f t="shared" si="72"/>
        <v>0.35897435897435898</v>
      </c>
      <c r="AV192" s="530">
        <f t="shared" si="73"/>
        <v>-62500</v>
      </c>
      <c r="AW192" s="558">
        <f t="shared" si="74"/>
        <v>-0.64102564102564108</v>
      </c>
      <c r="AX192" s="513">
        <f t="shared" si="75"/>
        <v>1356500</v>
      </c>
      <c r="AY192" s="514">
        <f t="shared" si="76"/>
        <v>0.97484728710025148</v>
      </c>
      <c r="AZ192" s="513">
        <f t="shared" si="77"/>
        <v>97500</v>
      </c>
      <c r="BA192" s="515" t="str">
        <f t="shared" si="78"/>
        <v>Vendido</v>
      </c>
      <c r="BB192" s="516" t="str">
        <f t="shared" si="79"/>
        <v>Cliente Atrasado</v>
      </c>
      <c r="BC192" s="551">
        <v>10</v>
      </c>
      <c r="BD192" s="693">
        <f t="shared" si="80"/>
        <v>1</v>
      </c>
      <c r="BE192" s="693">
        <f t="shared" si="81"/>
        <v>11</v>
      </c>
      <c r="BF192" s="517">
        <v>10000</v>
      </c>
      <c r="BG192" s="517">
        <v>8750</v>
      </c>
      <c r="BH192" s="693">
        <f t="shared" si="82"/>
        <v>0</v>
      </c>
      <c r="BI192" s="693">
        <f t="shared" si="83"/>
        <v>5</v>
      </c>
      <c r="BJ192" s="655">
        <f t="shared" si="104"/>
        <v>53750</v>
      </c>
      <c r="BK192" s="518">
        <f t="shared" si="84"/>
        <v>0</v>
      </c>
      <c r="BL192" s="518">
        <f t="shared" si="85"/>
        <v>35000</v>
      </c>
      <c r="BM192" s="518">
        <f t="shared" si="86"/>
        <v>0</v>
      </c>
      <c r="BN192" s="518">
        <f t="shared" si="87"/>
        <v>0</v>
      </c>
      <c r="BO192" s="655">
        <f t="shared" si="103"/>
        <v>18750</v>
      </c>
      <c r="BP192" s="693">
        <f t="shared" si="88"/>
        <v>3</v>
      </c>
      <c r="BQ192" s="696"/>
      <c r="BR192" s="519"/>
      <c r="BT192" s="439">
        <f t="shared" si="89"/>
        <v>-18750</v>
      </c>
      <c r="BU192" s="439">
        <f t="shared" si="90"/>
        <v>-18750</v>
      </c>
      <c r="BV192" s="439">
        <f t="shared" si="91"/>
        <v>0</v>
      </c>
      <c r="BY192" s="862">
        <f t="shared" si="92"/>
        <v>891171.08900000004</v>
      </c>
      <c r="BZ192" s="862">
        <f t="shared" si="93"/>
        <v>381930.467</v>
      </c>
      <c r="CA192" s="862">
        <f t="shared" si="94"/>
        <v>106940.53</v>
      </c>
      <c r="CB192" s="862">
        <f t="shared" si="95"/>
        <v>11457.91</v>
      </c>
      <c r="CC192" s="863">
        <f t="shared" si="96"/>
        <v>998111.62</v>
      </c>
      <c r="CD192" s="863">
        <f t="shared" si="97"/>
        <v>393388.38</v>
      </c>
      <c r="CE192" s="864">
        <f t="shared" si="98"/>
        <v>1391500</v>
      </c>
      <c r="CF192" s="862">
        <f t="shared" si="99"/>
        <v>0</v>
      </c>
    </row>
    <row r="193" spans="1:84" s="429" customFormat="1" ht="13.9" customHeight="1" x14ac:dyDescent="0.25">
      <c r="A193" s="472"/>
      <c r="B193" s="877">
        <v>1020</v>
      </c>
      <c r="C193" s="877" t="s">
        <v>186</v>
      </c>
      <c r="D193" s="877"/>
      <c r="E193" s="877" t="s">
        <v>359</v>
      </c>
      <c r="F193" s="878" t="s">
        <v>596</v>
      </c>
      <c r="G193" s="879">
        <v>45985</v>
      </c>
      <c r="H193" s="877" t="s">
        <v>137</v>
      </c>
      <c r="I193" s="880">
        <v>1420800</v>
      </c>
      <c r="J193" s="880">
        <v>99456</v>
      </c>
      <c r="K193" s="531">
        <v>0</v>
      </c>
      <c r="L193" s="531">
        <v>0</v>
      </c>
      <c r="M193" s="531">
        <v>0</v>
      </c>
      <c r="N193" s="531">
        <v>0</v>
      </c>
      <c r="O193" s="531">
        <v>0</v>
      </c>
      <c r="P193" s="531">
        <v>0</v>
      </c>
      <c r="Q193" s="531">
        <v>0</v>
      </c>
      <c r="R193" s="531">
        <v>0</v>
      </c>
      <c r="S193" s="531">
        <v>0</v>
      </c>
      <c r="T193" s="531">
        <v>0</v>
      </c>
      <c r="U193" s="531">
        <v>0</v>
      </c>
      <c r="V193" s="531">
        <v>0</v>
      </c>
      <c r="W193" s="531">
        <v>0</v>
      </c>
      <c r="X193" s="531">
        <v>0</v>
      </c>
      <c r="Y193" s="531">
        <v>0</v>
      </c>
      <c r="Z193" s="531">
        <v>0</v>
      </c>
      <c r="AA193" s="531">
        <v>0</v>
      </c>
      <c r="AB193" s="531">
        <v>0</v>
      </c>
      <c r="AC193" s="531">
        <v>0</v>
      </c>
      <c r="AD193" s="531">
        <v>0</v>
      </c>
      <c r="AE193" s="531">
        <v>0</v>
      </c>
      <c r="AF193" s="531">
        <v>0</v>
      </c>
      <c r="AG193" s="531">
        <v>0</v>
      </c>
      <c r="AH193" s="531">
        <v>0</v>
      </c>
      <c r="AI193" s="531">
        <v>0</v>
      </c>
      <c r="AJ193" s="531">
        <v>0</v>
      </c>
      <c r="AK193" s="531"/>
      <c r="AL193" s="531"/>
      <c r="AM193" s="531"/>
      <c r="AN193" s="509">
        <v>0</v>
      </c>
      <c r="AO193" s="509">
        <v>0</v>
      </c>
      <c r="AP193" s="509">
        <v>0</v>
      </c>
      <c r="AQ193" s="509">
        <v>10000</v>
      </c>
      <c r="AR193" s="531">
        <f>30000+8500</f>
        <v>38500</v>
      </c>
      <c r="AS193" s="531">
        <v>8500</v>
      </c>
      <c r="AT193" s="510">
        <f t="shared" si="100"/>
        <v>57000</v>
      </c>
      <c r="AU193" s="512">
        <f t="shared" si="72"/>
        <v>0.57311776061776065</v>
      </c>
      <c r="AV193" s="530">
        <f t="shared" si="73"/>
        <v>-42456</v>
      </c>
      <c r="AW193" s="558">
        <f t="shared" si="74"/>
        <v>-0.4268822393822394</v>
      </c>
      <c r="AX193" s="513">
        <f t="shared" si="75"/>
        <v>1363800</v>
      </c>
      <c r="AY193" s="514">
        <f t="shared" si="76"/>
        <v>0.9598817567567568</v>
      </c>
      <c r="AZ193" s="513">
        <f t="shared" si="77"/>
        <v>99456</v>
      </c>
      <c r="BA193" s="515" t="str">
        <f t="shared" si="78"/>
        <v>Vendido</v>
      </c>
      <c r="BB193" s="516" t="str">
        <f t="shared" si="79"/>
        <v>Cliente al día</v>
      </c>
      <c r="BC193" s="554"/>
      <c r="BD193" s="693">
        <f t="shared" si="80"/>
        <v>0</v>
      </c>
      <c r="BE193" s="693">
        <f t="shared" si="81"/>
        <v>0</v>
      </c>
      <c r="BF193" s="507"/>
      <c r="BG193" s="507"/>
      <c r="BH193" s="693">
        <f t="shared" si="82"/>
        <v>0</v>
      </c>
      <c r="BI193" s="693">
        <f t="shared" si="83"/>
        <v>2</v>
      </c>
      <c r="BJ193" s="655">
        <f t="shared" si="104"/>
        <v>0</v>
      </c>
      <c r="BK193" s="518">
        <f t="shared" si="84"/>
        <v>0</v>
      </c>
      <c r="BL193" s="518">
        <f t="shared" si="85"/>
        <v>0</v>
      </c>
      <c r="BM193" s="518">
        <f t="shared" si="86"/>
        <v>57000</v>
      </c>
      <c r="BN193" s="518">
        <f t="shared" si="87"/>
        <v>57000</v>
      </c>
      <c r="BO193" s="656">
        <f t="shared" ref="BO193:BO224" si="105">IF(AT193&lt;BJ193,BJ193-AT193,0)</f>
        <v>0</v>
      </c>
      <c r="BP193" s="693" t="str">
        <f t="shared" si="88"/>
        <v/>
      </c>
      <c r="BQ193" s="696"/>
      <c r="BR193" s="519"/>
      <c r="BT193" s="439">
        <f t="shared" si="89"/>
        <v>57000</v>
      </c>
      <c r="BU193" s="439">
        <f t="shared" si="90"/>
        <v>57000</v>
      </c>
      <c r="BV193" s="439">
        <f t="shared" si="91"/>
        <v>0</v>
      </c>
      <c r="BY193" s="862">
        <f t="shared" si="92"/>
        <v>909935.95600000001</v>
      </c>
      <c r="BZ193" s="862">
        <f t="shared" si="93"/>
        <v>389972.55300000001</v>
      </c>
      <c r="CA193" s="862">
        <f t="shared" si="94"/>
        <v>109192.31</v>
      </c>
      <c r="CB193" s="862">
        <f t="shared" si="95"/>
        <v>11699.18</v>
      </c>
      <c r="CC193" s="863">
        <f t="shared" si="96"/>
        <v>1019128.27</v>
      </c>
      <c r="CD193" s="863">
        <f t="shared" si="97"/>
        <v>401671.73</v>
      </c>
      <c r="CE193" s="864">
        <f t="shared" si="98"/>
        <v>1420800</v>
      </c>
      <c r="CF193" s="862">
        <f t="shared" si="99"/>
        <v>0</v>
      </c>
    </row>
    <row r="194" spans="1:84" s="429" customFormat="1" ht="13.9" customHeight="1" x14ac:dyDescent="0.25">
      <c r="A194" s="472"/>
      <c r="B194" s="436">
        <v>1101</v>
      </c>
      <c r="C194" s="436" t="s">
        <v>597</v>
      </c>
      <c r="D194" s="436"/>
      <c r="E194" s="436" t="s">
        <v>366</v>
      </c>
      <c r="F194" s="429" t="s">
        <v>598</v>
      </c>
      <c r="G194" s="473">
        <v>45374</v>
      </c>
      <c r="H194" s="436" t="s">
        <v>128</v>
      </c>
      <c r="I194" s="472">
        <v>1176700</v>
      </c>
      <c r="J194" s="472">
        <v>117700</v>
      </c>
      <c r="K194" s="507">
        <v>0</v>
      </c>
      <c r="L194" s="507">
        <v>0</v>
      </c>
      <c r="M194" s="507">
        <v>0</v>
      </c>
      <c r="N194" s="507">
        <v>0</v>
      </c>
      <c r="O194" s="507">
        <v>0</v>
      </c>
      <c r="P194" s="507">
        <v>0</v>
      </c>
      <c r="Q194" s="507">
        <v>0</v>
      </c>
      <c r="R194" s="507">
        <v>0</v>
      </c>
      <c r="S194" s="507">
        <v>0</v>
      </c>
      <c r="T194" s="507">
        <v>0</v>
      </c>
      <c r="U194" s="507">
        <v>0</v>
      </c>
      <c r="V194" s="507">
        <v>0</v>
      </c>
      <c r="W194" s="507">
        <v>8000</v>
      </c>
      <c r="X194" s="507">
        <v>6094</v>
      </c>
      <c r="Y194" s="507">
        <v>6094</v>
      </c>
      <c r="Z194" s="507">
        <v>6094</v>
      </c>
      <c r="AA194" s="507">
        <v>6094</v>
      </c>
      <c r="AB194" s="507">
        <v>6094</v>
      </c>
      <c r="AC194" s="507">
        <v>6094</v>
      </c>
      <c r="AD194" s="507">
        <v>6094</v>
      </c>
      <c r="AE194" s="507">
        <v>6094</v>
      </c>
      <c r="AF194" s="507">
        <v>6094</v>
      </c>
      <c r="AG194" s="507">
        <v>6094</v>
      </c>
      <c r="AH194" s="507">
        <v>6094</v>
      </c>
      <c r="AI194" s="507">
        <v>6094</v>
      </c>
      <c r="AJ194" s="507">
        <v>6094</v>
      </c>
      <c r="AK194" s="508">
        <v>6094</v>
      </c>
      <c r="AL194" s="508">
        <v>6094</v>
      </c>
      <c r="AM194" s="509">
        <v>6094</v>
      </c>
      <c r="AN194" s="509">
        <v>6094</v>
      </c>
      <c r="AO194" s="509">
        <v>6102</v>
      </c>
      <c r="AP194" s="509">
        <v>0</v>
      </c>
      <c r="AQ194" s="509">
        <v>0</v>
      </c>
      <c r="AR194" s="509"/>
      <c r="AS194" s="509"/>
      <c r="AT194" s="510">
        <f t="shared" si="100"/>
        <v>117700</v>
      </c>
      <c r="AU194" s="512">
        <f t="shared" si="72"/>
        <v>1</v>
      </c>
      <c r="AV194" s="511">
        <f t="shared" si="73"/>
        <v>0</v>
      </c>
      <c r="AW194" s="558">
        <f t="shared" si="74"/>
        <v>0</v>
      </c>
      <c r="AX194" s="513">
        <f t="shared" si="75"/>
        <v>1059000</v>
      </c>
      <c r="AY194" s="514">
        <f t="shared" si="76"/>
        <v>0.89997450497153053</v>
      </c>
      <c r="AZ194" s="513">
        <f t="shared" si="77"/>
        <v>117700</v>
      </c>
      <c r="BA194" s="515" t="str">
        <f t="shared" si="78"/>
        <v>Vendido</v>
      </c>
      <c r="BB194" s="516" t="str">
        <f t="shared" si="79"/>
        <v>Cliente Atrasado</v>
      </c>
      <c r="BC194" s="551">
        <v>18</v>
      </c>
      <c r="BD194" s="693">
        <f t="shared" si="80"/>
        <v>1</v>
      </c>
      <c r="BE194" s="693">
        <f t="shared" si="81"/>
        <v>19</v>
      </c>
      <c r="BF194" s="517">
        <v>8000</v>
      </c>
      <c r="BG194" s="517">
        <v>6094</v>
      </c>
      <c r="BH194" s="693">
        <f t="shared" si="82"/>
        <v>18</v>
      </c>
      <c r="BI194" s="693">
        <f t="shared" si="83"/>
        <v>22</v>
      </c>
      <c r="BJ194" s="655">
        <f t="shared" si="104"/>
        <v>142068</v>
      </c>
      <c r="BK194" s="518">
        <f t="shared" si="84"/>
        <v>103598</v>
      </c>
      <c r="BL194" s="518">
        <f t="shared" si="85"/>
        <v>14102</v>
      </c>
      <c r="BM194" s="518">
        <f t="shared" si="86"/>
        <v>0</v>
      </c>
      <c r="BN194" s="518">
        <f t="shared" si="87"/>
        <v>0</v>
      </c>
      <c r="BO194" s="655">
        <f t="shared" si="105"/>
        <v>24368</v>
      </c>
      <c r="BP194" s="693">
        <f t="shared" si="88"/>
        <v>4</v>
      </c>
      <c r="BQ194" s="696"/>
      <c r="BR194" s="519"/>
      <c r="BT194" s="439">
        <f t="shared" si="89"/>
        <v>-24368</v>
      </c>
      <c r="BU194" s="439">
        <f t="shared" si="90"/>
        <v>-24368</v>
      </c>
      <c r="BV194" s="439">
        <f t="shared" si="91"/>
        <v>0</v>
      </c>
      <c r="BY194" s="862">
        <f t="shared" si="92"/>
        <v>753604.75800000003</v>
      </c>
      <c r="BZ194" s="862">
        <f t="shared" si="93"/>
        <v>322973.46799999999</v>
      </c>
      <c r="CA194" s="862">
        <f t="shared" si="94"/>
        <v>90432.57</v>
      </c>
      <c r="CB194" s="862">
        <f t="shared" si="95"/>
        <v>9689.2000000000007</v>
      </c>
      <c r="CC194" s="863">
        <f t="shared" si="96"/>
        <v>844037.33</v>
      </c>
      <c r="CD194" s="863">
        <f t="shared" si="97"/>
        <v>332662.67</v>
      </c>
      <c r="CE194" s="864">
        <f t="shared" si="98"/>
        <v>1176700</v>
      </c>
      <c r="CF194" s="862">
        <f t="shared" si="99"/>
        <v>0</v>
      </c>
    </row>
    <row r="195" spans="1:84" s="429" customFormat="1" ht="13.9" customHeight="1" x14ac:dyDescent="0.25">
      <c r="A195" s="472"/>
      <c r="B195" s="436">
        <v>1102</v>
      </c>
      <c r="C195" s="436" t="s">
        <v>599</v>
      </c>
      <c r="D195" s="436"/>
      <c r="E195" s="436" t="s">
        <v>366</v>
      </c>
      <c r="F195" s="429" t="s">
        <v>600</v>
      </c>
      <c r="G195" s="473">
        <v>45016</v>
      </c>
      <c r="H195" s="436" t="s">
        <v>128</v>
      </c>
      <c r="I195" s="472">
        <v>1152100</v>
      </c>
      <c r="J195" s="472">
        <v>115300</v>
      </c>
      <c r="K195" s="507">
        <v>6000</v>
      </c>
      <c r="L195" s="507">
        <v>0</v>
      </c>
      <c r="M195" s="507">
        <v>3215</v>
      </c>
      <c r="N195" s="507">
        <v>3215</v>
      </c>
      <c r="O195" s="507">
        <v>3215</v>
      </c>
      <c r="P195" s="507">
        <v>3215</v>
      </c>
      <c r="Q195" s="507">
        <v>3215</v>
      </c>
      <c r="R195" s="507">
        <v>3215</v>
      </c>
      <c r="S195" s="507">
        <v>3215</v>
      </c>
      <c r="T195" s="507">
        <v>3215</v>
      </c>
      <c r="U195" s="507">
        <v>3215</v>
      </c>
      <c r="V195" s="507">
        <v>3215</v>
      </c>
      <c r="W195" s="507">
        <v>3215</v>
      </c>
      <c r="X195" s="507">
        <v>3215</v>
      </c>
      <c r="Y195" s="507">
        <v>3215</v>
      </c>
      <c r="Z195" s="507">
        <v>3215</v>
      </c>
      <c r="AA195" s="507">
        <v>3215</v>
      </c>
      <c r="AB195" s="507">
        <v>3215</v>
      </c>
      <c r="AC195" s="507">
        <v>3215</v>
      </c>
      <c r="AD195" s="507">
        <v>3215</v>
      </c>
      <c r="AE195" s="507">
        <v>3215</v>
      </c>
      <c r="AF195" s="507">
        <v>3215</v>
      </c>
      <c r="AG195" s="507">
        <v>3215</v>
      </c>
      <c r="AH195" s="507">
        <v>3215</v>
      </c>
      <c r="AI195" s="507">
        <v>3215</v>
      </c>
      <c r="AJ195" s="507">
        <v>3215</v>
      </c>
      <c r="AK195" s="508">
        <v>3215</v>
      </c>
      <c r="AL195" s="508">
        <v>3215</v>
      </c>
      <c r="AM195" s="509">
        <v>3215</v>
      </c>
      <c r="AN195" s="509">
        <v>3215</v>
      </c>
      <c r="AO195" s="509">
        <v>3215</v>
      </c>
      <c r="AP195" s="509">
        <v>3215</v>
      </c>
      <c r="AQ195" s="509">
        <v>3215</v>
      </c>
      <c r="AR195" s="509">
        <v>3215</v>
      </c>
      <c r="AS195" s="509">
        <v>3215</v>
      </c>
      <c r="AT195" s="510">
        <f t="shared" si="100"/>
        <v>112095</v>
      </c>
      <c r="AU195" s="512">
        <f t="shared" si="72"/>
        <v>0.97220294882914138</v>
      </c>
      <c r="AV195" s="511">
        <f t="shared" si="73"/>
        <v>-3205</v>
      </c>
      <c r="AW195" s="558">
        <f t="shared" si="74"/>
        <v>-2.7797051170858629E-2</v>
      </c>
      <c r="AX195" s="513">
        <f t="shared" si="75"/>
        <v>1040005</v>
      </c>
      <c r="AY195" s="514">
        <f t="shared" si="76"/>
        <v>0.90270375835430949</v>
      </c>
      <c r="AZ195" s="513">
        <f t="shared" si="77"/>
        <v>115300</v>
      </c>
      <c r="BA195" s="515" t="str">
        <f t="shared" si="78"/>
        <v>Vendido</v>
      </c>
      <c r="BB195" s="516" t="str">
        <f t="shared" si="79"/>
        <v>Cliente al día</v>
      </c>
      <c r="BC195" s="551">
        <v>34</v>
      </c>
      <c r="BD195" s="693">
        <f t="shared" si="80"/>
        <v>1</v>
      </c>
      <c r="BE195" s="693">
        <f t="shared" si="81"/>
        <v>35</v>
      </c>
      <c r="BF195" s="517">
        <v>6000</v>
      </c>
      <c r="BG195" s="517">
        <v>3215</v>
      </c>
      <c r="BH195" s="693">
        <f t="shared" si="82"/>
        <v>33</v>
      </c>
      <c r="BI195" s="693">
        <f t="shared" si="83"/>
        <v>33</v>
      </c>
      <c r="BJ195" s="655">
        <f t="shared" si="104"/>
        <v>112095</v>
      </c>
      <c r="BK195" s="518">
        <f t="shared" si="84"/>
        <v>106095</v>
      </c>
      <c r="BL195" s="518">
        <f t="shared" si="85"/>
        <v>6000</v>
      </c>
      <c r="BM195" s="518">
        <f t="shared" si="86"/>
        <v>0</v>
      </c>
      <c r="BN195" s="518">
        <f t="shared" si="87"/>
        <v>0</v>
      </c>
      <c r="BO195" s="655">
        <f t="shared" si="105"/>
        <v>0</v>
      </c>
      <c r="BP195" s="693">
        <f t="shared" si="88"/>
        <v>0</v>
      </c>
      <c r="BQ195" s="696"/>
      <c r="BR195" s="519"/>
      <c r="BT195" s="439">
        <f t="shared" si="89"/>
        <v>0</v>
      </c>
      <c r="BU195" s="439">
        <f t="shared" si="90"/>
        <v>0</v>
      </c>
      <c r="BV195" s="439">
        <f t="shared" si="91"/>
        <v>0</v>
      </c>
      <c r="BY195" s="862">
        <f t="shared" si="92"/>
        <v>737849.95400000003</v>
      </c>
      <c r="BZ195" s="862">
        <f t="shared" si="93"/>
        <v>316221.40899999999</v>
      </c>
      <c r="CA195" s="862">
        <f t="shared" si="94"/>
        <v>88541.99</v>
      </c>
      <c r="CB195" s="862">
        <f t="shared" si="95"/>
        <v>9486.64</v>
      </c>
      <c r="CC195" s="863">
        <f t="shared" si="96"/>
        <v>826391.94</v>
      </c>
      <c r="CD195" s="863">
        <f t="shared" si="97"/>
        <v>325708.05</v>
      </c>
      <c r="CE195" s="864">
        <f t="shared" si="98"/>
        <v>1152099.99</v>
      </c>
      <c r="CF195" s="862">
        <f t="shared" si="99"/>
        <v>-1.0000000009313226E-2</v>
      </c>
    </row>
    <row r="196" spans="1:84" s="429" customFormat="1" ht="13.9" customHeight="1" x14ac:dyDescent="0.25">
      <c r="A196" s="472"/>
      <c r="B196" s="436">
        <v>1103</v>
      </c>
      <c r="C196" s="436" t="s">
        <v>400</v>
      </c>
      <c r="D196" s="436"/>
      <c r="E196" s="436" t="s">
        <v>366</v>
      </c>
      <c r="F196" s="429" t="s">
        <v>601</v>
      </c>
      <c r="G196" s="473">
        <v>45071</v>
      </c>
      <c r="H196" s="436" t="s">
        <v>128</v>
      </c>
      <c r="I196" s="472">
        <v>901400</v>
      </c>
      <c r="J196" s="472">
        <v>180300</v>
      </c>
      <c r="K196" s="507">
        <v>0</v>
      </c>
      <c r="L196" s="507">
        <v>6000</v>
      </c>
      <c r="M196" s="507">
        <v>0</v>
      </c>
      <c r="N196" s="507">
        <v>6225</v>
      </c>
      <c r="O196" s="507">
        <v>6225</v>
      </c>
      <c r="P196" s="507">
        <v>6225</v>
      </c>
      <c r="Q196" s="507">
        <v>6225</v>
      </c>
      <c r="R196" s="507">
        <v>6225</v>
      </c>
      <c r="S196" s="507">
        <v>6225</v>
      </c>
      <c r="T196" s="507">
        <v>6225</v>
      </c>
      <c r="U196" s="507">
        <v>6225</v>
      </c>
      <c r="V196" s="507">
        <v>6225</v>
      </c>
      <c r="W196" s="507">
        <v>6225</v>
      </c>
      <c r="X196" s="507">
        <v>6225</v>
      </c>
      <c r="Y196" s="507">
        <v>6225</v>
      </c>
      <c r="Z196" s="507">
        <v>6225</v>
      </c>
      <c r="AA196" s="507">
        <v>6225</v>
      </c>
      <c r="AB196" s="507">
        <v>6225</v>
      </c>
      <c r="AC196" s="507">
        <v>6225</v>
      </c>
      <c r="AD196" s="507">
        <v>6225</v>
      </c>
      <c r="AE196" s="507">
        <v>6225</v>
      </c>
      <c r="AF196" s="507">
        <v>6225</v>
      </c>
      <c r="AG196" s="507">
        <v>6225</v>
      </c>
      <c r="AH196" s="507">
        <v>6225</v>
      </c>
      <c r="AI196" s="507">
        <v>6225</v>
      </c>
      <c r="AJ196" s="507">
        <v>6225</v>
      </c>
      <c r="AK196" s="508">
        <v>6225</v>
      </c>
      <c r="AL196" s="508">
        <v>6225</v>
      </c>
      <c r="AM196" s="509">
        <v>6225</v>
      </c>
      <c r="AN196" s="509">
        <v>6225</v>
      </c>
      <c r="AO196" s="509">
        <v>6225</v>
      </c>
      <c r="AP196" s="509">
        <v>6225</v>
      </c>
      <c r="AQ196" s="509">
        <v>6225</v>
      </c>
      <c r="AR196" s="509">
        <v>6225</v>
      </c>
      <c r="AS196" s="509">
        <v>6225</v>
      </c>
      <c r="AT196" s="510">
        <f t="shared" si="100"/>
        <v>205200</v>
      </c>
      <c r="AU196" s="512">
        <f t="shared" si="72"/>
        <v>1.1381031613976706</v>
      </c>
      <c r="AV196" s="511">
        <f t="shared" si="73"/>
        <v>24900</v>
      </c>
      <c r="AW196" s="558">
        <f t="shared" si="74"/>
        <v>0.13810316139767054</v>
      </c>
      <c r="AX196" s="513">
        <f t="shared" si="75"/>
        <v>696200</v>
      </c>
      <c r="AY196" s="514">
        <f t="shared" si="76"/>
        <v>0.77235411581983582</v>
      </c>
      <c r="AZ196" s="513">
        <f t="shared" si="77"/>
        <v>180300</v>
      </c>
      <c r="BA196" s="515" t="str">
        <f t="shared" si="78"/>
        <v>Vendido</v>
      </c>
      <c r="BB196" s="516" t="str">
        <f t="shared" si="79"/>
        <v>Cliente Atrasado</v>
      </c>
      <c r="BC196" s="551">
        <v>28</v>
      </c>
      <c r="BD196" s="693">
        <f t="shared" si="80"/>
        <v>1</v>
      </c>
      <c r="BE196" s="693">
        <f t="shared" si="81"/>
        <v>29</v>
      </c>
      <c r="BF196" s="517">
        <v>6000</v>
      </c>
      <c r="BG196" s="517">
        <v>6225</v>
      </c>
      <c r="BH196" s="693">
        <f t="shared" si="82"/>
        <v>0</v>
      </c>
      <c r="BI196" s="693">
        <f t="shared" si="83"/>
        <v>32</v>
      </c>
      <c r="BJ196" s="655">
        <f t="shared" si="104"/>
        <v>205200</v>
      </c>
      <c r="BK196" s="518">
        <f t="shared" si="84"/>
        <v>205200</v>
      </c>
      <c r="BL196" s="518">
        <f t="shared" si="85"/>
        <v>0</v>
      </c>
      <c r="BM196" s="518">
        <f t="shared" si="86"/>
        <v>0</v>
      </c>
      <c r="BN196" s="518">
        <f t="shared" si="87"/>
        <v>0</v>
      </c>
      <c r="BO196" s="655">
        <f t="shared" si="105"/>
        <v>0</v>
      </c>
      <c r="BP196" s="693">
        <f t="shared" si="88"/>
        <v>0</v>
      </c>
      <c r="BQ196" s="696"/>
      <c r="BR196" s="519" t="s">
        <v>426</v>
      </c>
      <c r="BT196" s="439">
        <f t="shared" si="89"/>
        <v>0</v>
      </c>
      <c r="BU196" s="439">
        <f t="shared" si="90"/>
        <v>0</v>
      </c>
      <c r="BV196" s="439">
        <f t="shared" si="91"/>
        <v>0</v>
      </c>
      <c r="BY196" s="862">
        <f t="shared" si="92"/>
        <v>577291.85699999996</v>
      </c>
      <c r="BZ196" s="862">
        <f t="shared" si="93"/>
        <v>247410.796</v>
      </c>
      <c r="CA196" s="862">
        <f t="shared" si="94"/>
        <v>69275.02</v>
      </c>
      <c r="CB196" s="862">
        <f t="shared" si="95"/>
        <v>7422.32</v>
      </c>
      <c r="CC196" s="863">
        <f t="shared" si="96"/>
        <v>646566.88</v>
      </c>
      <c r="CD196" s="863">
        <f t="shared" si="97"/>
        <v>254833.12</v>
      </c>
      <c r="CE196" s="864">
        <f t="shared" si="98"/>
        <v>901400</v>
      </c>
      <c r="CF196" s="862">
        <f t="shared" si="99"/>
        <v>0</v>
      </c>
    </row>
    <row r="197" spans="1:84" s="429" customFormat="1" ht="13.9" customHeight="1" x14ac:dyDescent="0.25">
      <c r="A197" s="472"/>
      <c r="B197" s="436">
        <v>1104</v>
      </c>
      <c r="C197" s="436" t="s">
        <v>175</v>
      </c>
      <c r="D197" s="436"/>
      <c r="E197" s="436" t="s">
        <v>366</v>
      </c>
      <c r="F197" s="429" t="s">
        <v>602</v>
      </c>
      <c r="G197" s="473">
        <v>45343</v>
      </c>
      <c r="H197" s="436" t="s">
        <v>128</v>
      </c>
      <c r="I197" s="472">
        <v>887400</v>
      </c>
      <c r="J197" s="472">
        <v>88800</v>
      </c>
      <c r="K197" s="507">
        <v>0</v>
      </c>
      <c r="L197" s="507">
        <v>0</v>
      </c>
      <c r="M197" s="507">
        <v>0</v>
      </c>
      <c r="N197" s="507">
        <v>0</v>
      </c>
      <c r="O197" s="507">
        <v>0</v>
      </c>
      <c r="P197" s="507">
        <v>0</v>
      </c>
      <c r="Q197" s="507">
        <v>0</v>
      </c>
      <c r="R197" s="507">
        <v>0</v>
      </c>
      <c r="S197" s="507">
        <v>0</v>
      </c>
      <c r="T197" s="507">
        <v>0</v>
      </c>
      <c r="U197" s="507">
        <v>0</v>
      </c>
      <c r="V197" s="507">
        <v>8000</v>
      </c>
      <c r="W197" s="507">
        <v>4253</v>
      </c>
      <c r="X197" s="507">
        <v>4253</v>
      </c>
      <c r="Y197" s="507">
        <v>4253</v>
      </c>
      <c r="Z197" s="507">
        <v>4253</v>
      </c>
      <c r="AA197" s="507">
        <v>4253</v>
      </c>
      <c r="AB197" s="507">
        <v>4253</v>
      </c>
      <c r="AC197" s="507">
        <v>4253</v>
      </c>
      <c r="AD197" s="507">
        <v>4253</v>
      </c>
      <c r="AE197" s="507">
        <v>4253</v>
      </c>
      <c r="AF197" s="507">
        <v>4253</v>
      </c>
      <c r="AG197" s="507">
        <v>4253</v>
      </c>
      <c r="AH197" s="507">
        <v>4253</v>
      </c>
      <c r="AI197" s="507">
        <v>4253</v>
      </c>
      <c r="AJ197" s="507">
        <v>4253</v>
      </c>
      <c r="AK197" s="508">
        <v>4253</v>
      </c>
      <c r="AL197" s="508">
        <v>4253</v>
      </c>
      <c r="AM197" s="509">
        <v>4253</v>
      </c>
      <c r="AN197" s="509">
        <v>4253</v>
      </c>
      <c r="AO197" s="509">
        <v>4253</v>
      </c>
      <c r="AP197" s="509">
        <v>4253</v>
      </c>
      <c r="AQ197" s="509">
        <v>4253</v>
      </c>
      <c r="AR197" s="509"/>
      <c r="AS197" s="509"/>
      <c r="AT197" s="510">
        <f t="shared" si="100"/>
        <v>97313</v>
      </c>
      <c r="AU197" s="512">
        <f t="shared" si="72"/>
        <v>1.095867117117117</v>
      </c>
      <c r="AV197" s="511">
        <f t="shared" si="73"/>
        <v>8513</v>
      </c>
      <c r="AW197" s="558">
        <f t="shared" si="74"/>
        <v>9.5867117117117123E-2</v>
      </c>
      <c r="AX197" s="513">
        <f t="shared" si="75"/>
        <v>790087</v>
      </c>
      <c r="AY197" s="514">
        <f t="shared" si="76"/>
        <v>0.89033919314852372</v>
      </c>
      <c r="AZ197" s="513">
        <f t="shared" si="77"/>
        <v>88800</v>
      </c>
      <c r="BA197" s="515" t="str">
        <f t="shared" si="78"/>
        <v>Vendido</v>
      </c>
      <c r="BB197" s="516" t="str">
        <f t="shared" si="79"/>
        <v>Cliente Atrasado</v>
      </c>
      <c r="BC197" s="551">
        <v>19</v>
      </c>
      <c r="BD197" s="693">
        <f t="shared" si="80"/>
        <v>1</v>
      </c>
      <c r="BE197" s="693">
        <f t="shared" si="81"/>
        <v>20</v>
      </c>
      <c r="BF197" s="517">
        <v>8000</v>
      </c>
      <c r="BG197" s="517">
        <v>4253</v>
      </c>
      <c r="BH197" s="693">
        <f t="shared" si="82"/>
        <v>21</v>
      </c>
      <c r="BI197" s="693">
        <f t="shared" si="83"/>
        <v>23</v>
      </c>
      <c r="BJ197" s="655">
        <f t="shared" si="104"/>
        <v>105819</v>
      </c>
      <c r="BK197" s="518">
        <f t="shared" si="84"/>
        <v>89313</v>
      </c>
      <c r="BL197" s="518">
        <f t="shared" si="85"/>
        <v>8000</v>
      </c>
      <c r="BM197" s="518">
        <f t="shared" si="86"/>
        <v>0</v>
      </c>
      <c r="BN197" s="518">
        <f t="shared" si="87"/>
        <v>0</v>
      </c>
      <c r="BO197" s="655">
        <f t="shared" si="105"/>
        <v>8506</v>
      </c>
      <c r="BP197" s="693">
        <f t="shared" si="88"/>
        <v>2</v>
      </c>
      <c r="BQ197" s="696"/>
      <c r="BR197" s="519"/>
      <c r="BT197" s="439">
        <f t="shared" si="89"/>
        <v>-8506</v>
      </c>
      <c r="BU197" s="439">
        <f t="shared" si="90"/>
        <v>-8506</v>
      </c>
      <c r="BV197" s="439">
        <f t="shared" si="91"/>
        <v>0</v>
      </c>
      <c r="BY197" s="862">
        <f t="shared" si="92"/>
        <v>568325.70900000003</v>
      </c>
      <c r="BZ197" s="862">
        <f t="shared" si="93"/>
        <v>243568.16099999999</v>
      </c>
      <c r="CA197" s="862">
        <f t="shared" si="94"/>
        <v>68199.09</v>
      </c>
      <c r="CB197" s="862">
        <f t="shared" si="95"/>
        <v>7307.04</v>
      </c>
      <c r="CC197" s="863">
        <f t="shared" si="96"/>
        <v>636524.80000000005</v>
      </c>
      <c r="CD197" s="863">
        <f t="shared" si="97"/>
        <v>250875.2</v>
      </c>
      <c r="CE197" s="864">
        <f t="shared" si="98"/>
        <v>887400</v>
      </c>
      <c r="CF197" s="862">
        <f t="shared" si="99"/>
        <v>0</v>
      </c>
    </row>
    <row r="198" spans="1:84" s="429" customFormat="1" ht="13.9" customHeight="1" x14ac:dyDescent="0.25">
      <c r="A198" s="472"/>
      <c r="B198" s="436">
        <v>1105</v>
      </c>
      <c r="C198" s="436" t="s">
        <v>192</v>
      </c>
      <c r="D198" s="436"/>
      <c r="E198" s="436" t="s">
        <v>383</v>
      </c>
      <c r="F198" s="429" t="s">
        <v>603</v>
      </c>
      <c r="G198" s="473">
        <v>45012</v>
      </c>
      <c r="H198" s="436" t="s">
        <v>128</v>
      </c>
      <c r="I198" s="472">
        <v>657892.69999999995</v>
      </c>
      <c r="J198" s="472">
        <v>65892.7</v>
      </c>
      <c r="K198" s="507">
        <f>28000+15000</f>
        <v>43000</v>
      </c>
      <c r="L198" s="507">
        <v>1000</v>
      </c>
      <c r="M198" s="507">
        <v>1000</v>
      </c>
      <c r="N198" s="507">
        <v>0</v>
      </c>
      <c r="O198" s="507">
        <v>2000</v>
      </c>
      <c r="P198" s="507">
        <v>2000</v>
      </c>
      <c r="Q198" s="507">
        <v>1000</v>
      </c>
      <c r="R198" s="507">
        <v>1000</v>
      </c>
      <c r="S198" s="507">
        <v>1000</v>
      </c>
      <c r="T198" s="507">
        <v>1000</v>
      </c>
      <c r="U198" s="507">
        <v>0</v>
      </c>
      <c r="V198" s="507">
        <v>1000</v>
      </c>
      <c r="W198" s="507">
        <v>0</v>
      </c>
      <c r="X198" s="507">
        <v>2000</v>
      </c>
      <c r="Y198" s="507">
        <v>0</v>
      </c>
      <c r="Z198" s="507">
        <v>1000</v>
      </c>
      <c r="AA198" s="507">
        <v>1000</v>
      </c>
      <c r="AB198" s="507">
        <v>1000</v>
      </c>
      <c r="AC198" s="507">
        <v>1000</v>
      </c>
      <c r="AD198" s="507">
        <v>1000</v>
      </c>
      <c r="AE198" s="507">
        <v>1000</v>
      </c>
      <c r="AF198" s="507">
        <v>1000</v>
      </c>
      <c r="AG198" s="507">
        <v>1000</v>
      </c>
      <c r="AH198" s="507">
        <v>1000</v>
      </c>
      <c r="AI198" s="507">
        <v>1000</v>
      </c>
      <c r="AJ198" s="507"/>
      <c r="AK198" s="508"/>
      <c r="AL198" s="508"/>
      <c r="AM198" s="508"/>
      <c r="AN198" s="509">
        <v>0</v>
      </c>
      <c r="AO198" s="509">
        <v>0</v>
      </c>
      <c r="AP198" s="509">
        <v>0</v>
      </c>
      <c r="AQ198" s="509">
        <v>0</v>
      </c>
      <c r="AR198" s="508"/>
      <c r="AS198" s="508"/>
      <c r="AT198" s="510">
        <f t="shared" si="100"/>
        <v>66000</v>
      </c>
      <c r="AU198" s="512">
        <f t="shared" si="72"/>
        <v>1.00162840496747</v>
      </c>
      <c r="AV198" s="511">
        <f t="shared" si="73"/>
        <v>107.30000000000291</v>
      </c>
      <c r="AW198" s="558">
        <f t="shared" si="74"/>
        <v>1.6284049674698854E-3</v>
      </c>
      <c r="AX198" s="513">
        <f t="shared" si="75"/>
        <v>591892.69999999995</v>
      </c>
      <c r="AY198" s="514">
        <f t="shared" si="76"/>
        <v>0.89967968940831844</v>
      </c>
      <c r="AZ198" s="513">
        <f t="shared" si="77"/>
        <v>65892.7</v>
      </c>
      <c r="BA198" s="515" t="str">
        <f t="shared" si="78"/>
        <v>Vendido</v>
      </c>
      <c r="BB198" s="516" t="str">
        <f t="shared" si="79"/>
        <v>Superávit de Enganche</v>
      </c>
      <c r="BC198" s="551">
        <v>35</v>
      </c>
      <c r="BD198" s="693">
        <f t="shared" si="80"/>
        <v>1</v>
      </c>
      <c r="BE198" s="693">
        <f t="shared" si="81"/>
        <v>36</v>
      </c>
      <c r="BF198" s="517">
        <v>15000</v>
      </c>
      <c r="BG198" s="517">
        <v>1000</v>
      </c>
      <c r="BH198" s="693">
        <f t="shared" si="82"/>
        <v>20</v>
      </c>
      <c r="BI198" s="693">
        <f t="shared" si="83"/>
        <v>33</v>
      </c>
      <c r="BJ198" s="655">
        <f t="shared" si="104"/>
        <v>48000</v>
      </c>
      <c r="BK198" s="518">
        <f t="shared" si="84"/>
        <v>17000</v>
      </c>
      <c r="BL198" s="518">
        <f t="shared" si="85"/>
        <v>49000</v>
      </c>
      <c r="BM198" s="518">
        <f t="shared" si="86"/>
        <v>0</v>
      </c>
      <c r="BN198" s="518">
        <f t="shared" si="87"/>
        <v>18000</v>
      </c>
      <c r="BO198" s="655">
        <f t="shared" si="105"/>
        <v>0</v>
      </c>
      <c r="BP198" s="693">
        <f t="shared" si="88"/>
        <v>0</v>
      </c>
      <c r="BQ198" s="696"/>
      <c r="BR198" s="519"/>
      <c r="BT198" s="439">
        <f t="shared" si="89"/>
        <v>18000</v>
      </c>
      <c r="BU198" s="439">
        <f t="shared" si="90"/>
        <v>18000</v>
      </c>
      <c r="BV198" s="439">
        <f t="shared" si="91"/>
        <v>0</v>
      </c>
      <c r="BY198" s="862">
        <f t="shared" si="92"/>
        <v>421340.24699999997</v>
      </c>
      <c r="BZ198" s="862">
        <f t="shared" si="93"/>
        <v>180574.39199999999</v>
      </c>
      <c r="CA198" s="862">
        <f t="shared" si="94"/>
        <v>50560.83</v>
      </c>
      <c r="CB198" s="862">
        <f t="shared" si="95"/>
        <v>5417.23</v>
      </c>
      <c r="CC198" s="863">
        <f t="shared" si="96"/>
        <v>471901.08</v>
      </c>
      <c r="CD198" s="863">
        <f t="shared" si="97"/>
        <v>185991.62</v>
      </c>
      <c r="CE198" s="864">
        <f t="shared" si="98"/>
        <v>657892.69999999995</v>
      </c>
      <c r="CF198" s="862">
        <f t="shared" si="99"/>
        <v>0</v>
      </c>
    </row>
    <row r="199" spans="1:84" s="429" customFormat="1" ht="13.9" customHeight="1" x14ac:dyDescent="0.25">
      <c r="A199" s="472"/>
      <c r="B199" s="436">
        <v>1106</v>
      </c>
      <c r="C199" s="436" t="s">
        <v>178</v>
      </c>
      <c r="D199" s="436"/>
      <c r="E199" s="436" t="s">
        <v>366</v>
      </c>
      <c r="F199" s="429" t="s">
        <v>604</v>
      </c>
      <c r="G199" s="473">
        <v>45043</v>
      </c>
      <c r="H199" s="436" t="s">
        <v>128</v>
      </c>
      <c r="I199" s="472">
        <v>661100</v>
      </c>
      <c r="J199" s="472">
        <v>66200</v>
      </c>
      <c r="K199" s="507">
        <v>0</v>
      </c>
      <c r="L199" s="507">
        <v>12000</v>
      </c>
      <c r="M199" s="507">
        <v>1869</v>
      </c>
      <c r="N199" s="507">
        <v>1869</v>
      </c>
      <c r="O199" s="507">
        <v>1869</v>
      </c>
      <c r="P199" s="507">
        <v>1869</v>
      </c>
      <c r="Q199" s="507">
        <v>1869</v>
      </c>
      <c r="R199" s="507">
        <v>1869</v>
      </c>
      <c r="S199" s="507">
        <v>1869</v>
      </c>
      <c r="T199" s="507">
        <v>1869</v>
      </c>
      <c r="U199" s="507">
        <v>1869</v>
      </c>
      <c r="V199" s="507">
        <v>1869</v>
      </c>
      <c r="W199" s="507">
        <v>1869</v>
      </c>
      <c r="X199" s="507">
        <v>1869</v>
      </c>
      <c r="Y199" s="507">
        <v>1869</v>
      </c>
      <c r="Z199" s="507">
        <v>1869</v>
      </c>
      <c r="AA199" s="507">
        <v>1869</v>
      </c>
      <c r="AB199" s="507">
        <v>1869</v>
      </c>
      <c r="AC199" s="507">
        <v>1869</v>
      </c>
      <c r="AD199" s="507">
        <v>1869</v>
      </c>
      <c r="AE199" s="507">
        <v>1869</v>
      </c>
      <c r="AF199" s="507">
        <v>1869</v>
      </c>
      <c r="AG199" s="507">
        <v>0</v>
      </c>
      <c r="AH199" s="507">
        <v>3738</v>
      </c>
      <c r="AI199" s="507">
        <v>1869</v>
      </c>
      <c r="AJ199" s="507">
        <v>1869</v>
      </c>
      <c r="AK199" s="508">
        <v>1869</v>
      </c>
      <c r="AL199" s="508"/>
      <c r="AM199" s="509">
        <f>1869+1869</f>
        <v>3738</v>
      </c>
      <c r="AN199" s="509">
        <v>1869</v>
      </c>
      <c r="AO199" s="509">
        <v>1868</v>
      </c>
      <c r="AP199" s="509">
        <v>0</v>
      </c>
      <c r="AQ199" s="509">
        <v>0</v>
      </c>
      <c r="AR199" s="509"/>
      <c r="AS199" s="509"/>
      <c r="AT199" s="510">
        <f t="shared" si="100"/>
        <v>66200</v>
      </c>
      <c r="AU199" s="512">
        <f t="shared" ref="AU199:AU262" si="106">IFERROR((+AT199/J199),0)</f>
        <v>1</v>
      </c>
      <c r="AV199" s="511">
        <f t="shared" ref="AV199:AV262" si="107">+AT199-AZ199</f>
        <v>0</v>
      </c>
      <c r="AW199" s="558">
        <f t="shared" ref="AW199:AW262" si="108">+AV199/J199</f>
        <v>0</v>
      </c>
      <c r="AX199" s="513">
        <f t="shared" ref="AX199:AX262" si="109">+I199-AT199</f>
        <v>594900</v>
      </c>
      <c r="AY199" s="514">
        <f t="shared" ref="AY199:AY262" si="110">+AX199/I199</f>
        <v>0.899863863258206</v>
      </c>
      <c r="AZ199" s="513">
        <f t="shared" ref="AZ199:AZ262" si="111">IF(BA199="Vendido",J199*1,IF(BA199="Disponible",J199*0,IF(BA199="Enganche Completado",J199*1,IF(BA199="Superávit de Enganche",J199*1,0))))</f>
        <v>66200</v>
      </c>
      <c r="BA199" s="515" t="str">
        <f t="shared" ref="BA199:BA262" si="112">IF(F199=0,"Disponible",IF(F199&gt;1,"Vendido",0))</f>
        <v>Vendido</v>
      </c>
      <c r="BB199" s="516" t="str">
        <f t="shared" ref="BB199:BB262" si="113">IF(AND(BA199="Vendido",G199&gt;=0,BJ199&lt;=AT199,AT199&lt;AZ199),"Cliente al día",IF(AND(BA199="Vendido",G199&gt;=0,BJ199&lt;=AT199,AT199=AZ199),"Enganche Completado",IF(AND(BA199="Vendido",G199&gt;=0,BJ199&lt;AT199,AT199&gt;AZ199),"Superávit de Enganche",IF(AND(BA199="Disponible",G199=0,AV199=0),"Disponible","Cliente Atrasado"))))</f>
        <v>Cliente Atrasado</v>
      </c>
      <c r="BC199" s="551">
        <v>29</v>
      </c>
      <c r="BD199" s="693">
        <f t="shared" ref="BD199:BD262" si="114">IF(BC199&gt;1,1,0)</f>
        <v>1</v>
      </c>
      <c r="BE199" s="693">
        <f t="shared" ref="BE199:BE262" si="115">+BC199+BD199</f>
        <v>30</v>
      </c>
      <c r="BF199" s="517">
        <v>12000</v>
      </c>
      <c r="BG199" s="517">
        <v>1869</v>
      </c>
      <c r="BH199" s="693">
        <f t="shared" ref="BH199:BH262" si="116">COUNTIFS(K199:AS199,"&gt;0.01",K199:AS199,"&lt;" &amp; BF199)</f>
        <v>27</v>
      </c>
      <c r="BI199" s="693">
        <f t="shared" ref="BI199:BI262" si="117">IF($G199&gt;0,DATEDIF($G199,$D$3,"M"),0)</f>
        <v>32</v>
      </c>
      <c r="BJ199" s="655">
        <f t="shared" si="104"/>
        <v>71808</v>
      </c>
      <c r="BK199" s="518">
        <f t="shared" ref="BK199:BK262" si="118">SUMIF(K199:AS199,"&lt;=" &amp; BG199,K199:AS199)</f>
        <v>46724</v>
      </c>
      <c r="BL199" s="518">
        <f t="shared" ref="BL199:BL262" si="119">SUMIF(K199:AS199,"&gt;" &amp; BG199,K199:AS199)</f>
        <v>19476</v>
      </c>
      <c r="BM199" s="518">
        <f t="shared" ref="BM199:BM262" si="120">AT199-BK199-BL199</f>
        <v>0</v>
      </c>
      <c r="BN199" s="518">
        <f t="shared" ref="BN199:BN262" si="121">IF(AT199&gt;BJ199,AT199-BJ199,0)</f>
        <v>0</v>
      </c>
      <c r="BO199" s="655">
        <f t="shared" si="105"/>
        <v>5608</v>
      </c>
      <c r="BP199" s="693">
        <f t="shared" ref="BP199:BP262" si="122">IFERROR(IF(AND(BQ199="F&amp;F","CE"),"",ROUNDUP(IF(G199="",0,SUM(BO199/BG199)),0)),"")</f>
        <v>4</v>
      </c>
      <c r="BQ199" s="696"/>
      <c r="BR199" s="519"/>
      <c r="BT199" s="439">
        <f t="shared" ref="BT199:BT262" si="123">+AT199-BJ199</f>
        <v>-5608</v>
      </c>
      <c r="BU199" s="439">
        <f t="shared" ref="BU199:BU262" si="124">+BN199-BO199</f>
        <v>-5608</v>
      </c>
      <c r="BV199" s="439">
        <f t="shared" ref="BV199:BV262" si="125">+BT199-BU199</f>
        <v>0</v>
      </c>
      <c r="BY199" s="862">
        <f t="shared" ref="BY199:BY262" si="126">ROUND(I199/1.093*70%,3)</f>
        <v>423394.32799999998</v>
      </c>
      <c r="BZ199" s="862">
        <f t="shared" ref="BZ199:BZ262" si="127">ROUND(I199/1.093*30%,3)</f>
        <v>181454.712</v>
      </c>
      <c r="CA199" s="862">
        <f t="shared" ref="CA199:CA262" si="128">ROUND(BY199*12%,2)</f>
        <v>50807.32</v>
      </c>
      <c r="CB199" s="862">
        <f t="shared" ref="CB199:CB262" si="129">ROUND(BZ199*3%,2)</f>
        <v>5443.64</v>
      </c>
      <c r="CC199" s="863">
        <f t="shared" ref="CC199:CC262" si="130">ROUND(BY199+CA199,2)</f>
        <v>474201.65</v>
      </c>
      <c r="CD199" s="863">
        <f t="shared" ref="CD199:CD262" si="131">ROUND(BZ199+CB199,2)</f>
        <v>186898.35</v>
      </c>
      <c r="CE199" s="864">
        <f t="shared" ref="CE199:CE262" si="132">ROUND(CC199+CD199,2)</f>
        <v>661100</v>
      </c>
      <c r="CF199" s="862">
        <f t="shared" ref="CF199:CF262" si="133">CE199-I199</f>
        <v>0</v>
      </c>
    </row>
    <row r="200" spans="1:84" s="429" customFormat="1" ht="13.9" customHeight="1" x14ac:dyDescent="0.25">
      <c r="A200" s="472" t="s">
        <v>58</v>
      </c>
      <c r="B200" s="475">
        <v>1107</v>
      </c>
      <c r="C200" s="475" t="s">
        <v>465</v>
      </c>
      <c r="D200" s="475"/>
      <c r="E200" s="475" t="s">
        <v>363</v>
      </c>
      <c r="F200" s="476" t="s">
        <v>364</v>
      </c>
      <c r="G200" s="473">
        <v>45300</v>
      </c>
      <c r="H200" s="436" t="s">
        <v>128</v>
      </c>
      <c r="I200" s="472">
        <v>685200</v>
      </c>
      <c r="J200" s="472">
        <v>68520</v>
      </c>
      <c r="K200" s="507">
        <v>0</v>
      </c>
      <c r="L200" s="507">
        <v>0</v>
      </c>
      <c r="M200" s="507">
        <v>0</v>
      </c>
      <c r="N200" s="507">
        <v>0</v>
      </c>
      <c r="O200" s="507">
        <v>0</v>
      </c>
      <c r="P200" s="507">
        <v>0</v>
      </c>
      <c r="Q200" s="507">
        <v>0</v>
      </c>
      <c r="R200" s="507">
        <v>0</v>
      </c>
      <c r="S200" s="507">
        <v>0</v>
      </c>
      <c r="T200" s="507">
        <v>0</v>
      </c>
      <c r="U200" s="507">
        <v>0</v>
      </c>
      <c r="V200" s="507">
        <v>0</v>
      </c>
      <c r="W200" s="507">
        <v>0</v>
      </c>
      <c r="X200" s="507">
        <v>0</v>
      </c>
      <c r="Y200" s="507">
        <v>0</v>
      </c>
      <c r="Z200" s="507">
        <v>0</v>
      </c>
      <c r="AA200" s="507">
        <v>0</v>
      </c>
      <c r="AB200" s="507">
        <v>0</v>
      </c>
      <c r="AC200" s="507">
        <v>0</v>
      </c>
      <c r="AD200" s="507">
        <v>0</v>
      </c>
      <c r="AE200" s="507">
        <v>0</v>
      </c>
      <c r="AF200" s="507">
        <v>0</v>
      </c>
      <c r="AG200" s="507">
        <v>0</v>
      </c>
      <c r="AH200" s="507">
        <v>0</v>
      </c>
      <c r="AI200" s="507">
        <v>0</v>
      </c>
      <c r="AJ200" s="507">
        <v>0</v>
      </c>
      <c r="AK200" s="508"/>
      <c r="AL200" s="508"/>
      <c r="AM200" s="508"/>
      <c r="AN200" s="509">
        <v>0</v>
      </c>
      <c r="AO200" s="509">
        <v>0</v>
      </c>
      <c r="AP200" s="509">
        <v>0</v>
      </c>
      <c r="AQ200" s="509">
        <v>0</v>
      </c>
      <c r="AR200" s="508"/>
      <c r="AS200" s="508"/>
      <c r="AT200" s="510">
        <f t="shared" ref="AT200:AT263" si="134">SUM(K200:AS200)</f>
        <v>0</v>
      </c>
      <c r="AU200" s="512">
        <f t="shared" si="106"/>
        <v>0</v>
      </c>
      <c r="AV200" s="511">
        <f t="shared" si="107"/>
        <v>-68520</v>
      </c>
      <c r="AW200" s="558">
        <f t="shared" si="108"/>
        <v>-1</v>
      </c>
      <c r="AX200" s="513">
        <f t="shared" si="109"/>
        <v>685200</v>
      </c>
      <c r="AY200" s="514">
        <f t="shared" si="110"/>
        <v>1</v>
      </c>
      <c r="AZ200" s="513">
        <f t="shared" si="111"/>
        <v>68520</v>
      </c>
      <c r="BA200" s="515" t="str">
        <f t="shared" si="112"/>
        <v>Vendido</v>
      </c>
      <c r="BB200" s="516" t="str">
        <f t="shared" si="113"/>
        <v>Cliente Atrasado</v>
      </c>
      <c r="BC200" s="551">
        <v>25</v>
      </c>
      <c r="BD200" s="693">
        <f t="shared" si="114"/>
        <v>1</v>
      </c>
      <c r="BE200" s="693">
        <f t="shared" si="115"/>
        <v>26</v>
      </c>
      <c r="BF200" s="517">
        <v>6000</v>
      </c>
      <c r="BG200" s="517">
        <v>2501</v>
      </c>
      <c r="BH200" s="693">
        <f t="shared" si="116"/>
        <v>0</v>
      </c>
      <c r="BI200" s="693">
        <f t="shared" si="117"/>
        <v>24</v>
      </c>
      <c r="BJ200" s="655">
        <f t="shared" si="104"/>
        <v>66024</v>
      </c>
      <c r="BK200" s="518">
        <f t="shared" si="118"/>
        <v>0</v>
      </c>
      <c r="BL200" s="518">
        <f t="shared" si="119"/>
        <v>0</v>
      </c>
      <c r="BM200" s="518">
        <f t="shared" si="120"/>
        <v>0</v>
      </c>
      <c r="BN200" s="518">
        <f t="shared" si="121"/>
        <v>0</v>
      </c>
      <c r="BO200" s="655">
        <f t="shared" si="105"/>
        <v>66024</v>
      </c>
      <c r="BP200" s="693" t="str">
        <f t="shared" si="122"/>
        <v/>
      </c>
      <c r="BQ200" s="695" t="s">
        <v>58</v>
      </c>
      <c r="BR200" s="519"/>
      <c r="BT200" s="439">
        <f t="shared" si="123"/>
        <v>-66024</v>
      </c>
      <c r="BU200" s="439">
        <f t="shared" si="124"/>
        <v>-66024</v>
      </c>
      <c r="BV200" s="439">
        <f t="shared" si="125"/>
        <v>0</v>
      </c>
      <c r="BY200" s="862">
        <f t="shared" si="126"/>
        <v>438828.91100000002</v>
      </c>
      <c r="BZ200" s="862">
        <f t="shared" si="127"/>
        <v>188069.533</v>
      </c>
      <c r="CA200" s="862">
        <f t="shared" si="128"/>
        <v>52659.47</v>
      </c>
      <c r="CB200" s="862">
        <f t="shared" si="129"/>
        <v>5642.09</v>
      </c>
      <c r="CC200" s="863">
        <f t="shared" si="130"/>
        <v>491488.38</v>
      </c>
      <c r="CD200" s="863">
        <f t="shared" si="131"/>
        <v>193711.62</v>
      </c>
      <c r="CE200" s="864">
        <f t="shared" si="132"/>
        <v>685200</v>
      </c>
      <c r="CF200" s="862">
        <f t="shared" si="133"/>
        <v>0</v>
      </c>
    </row>
    <row r="201" spans="1:84" s="429" customFormat="1" ht="13.9" customHeight="1" x14ac:dyDescent="0.25">
      <c r="A201" s="472"/>
      <c r="B201" s="436">
        <v>1108</v>
      </c>
      <c r="C201" s="436" t="s">
        <v>467</v>
      </c>
      <c r="D201" s="642" t="s">
        <v>336</v>
      </c>
      <c r="E201" s="436" t="s">
        <v>383</v>
      </c>
      <c r="F201" s="429" t="s">
        <v>605</v>
      </c>
      <c r="G201" s="874">
        <v>45013</v>
      </c>
      <c r="H201" s="436" t="s">
        <v>128</v>
      </c>
      <c r="I201" s="472">
        <v>1100438.98</v>
      </c>
      <c r="J201" s="472">
        <v>110138.98</v>
      </c>
      <c r="K201" s="507">
        <v>0</v>
      </c>
      <c r="L201" s="507">
        <v>0</v>
      </c>
      <c r="M201" s="507">
        <v>0</v>
      </c>
      <c r="N201" s="507">
        <v>0</v>
      </c>
      <c r="O201" s="507">
        <v>0</v>
      </c>
      <c r="P201" s="507">
        <v>0</v>
      </c>
      <c r="Q201" s="507">
        <v>0</v>
      </c>
      <c r="R201" s="507">
        <v>0</v>
      </c>
      <c r="S201" s="507">
        <v>0</v>
      </c>
      <c r="T201" s="507">
        <v>0</v>
      </c>
      <c r="U201" s="507">
        <v>0</v>
      </c>
      <c r="V201" s="507">
        <v>0</v>
      </c>
      <c r="W201" s="507">
        <v>0</v>
      </c>
      <c r="X201" s="507">
        <v>0</v>
      </c>
      <c r="Y201" s="507">
        <v>0</v>
      </c>
      <c r="Z201" s="507">
        <v>0</v>
      </c>
      <c r="AA201" s="507">
        <v>0</v>
      </c>
      <c r="AB201" s="507">
        <v>0</v>
      </c>
      <c r="AC201" s="507">
        <v>0</v>
      </c>
      <c r="AD201" s="507">
        <v>0</v>
      </c>
      <c r="AE201" s="507">
        <v>0</v>
      </c>
      <c r="AF201" s="507">
        <v>0</v>
      </c>
      <c r="AG201" s="507">
        <v>0</v>
      </c>
      <c r="AH201" s="507">
        <v>0</v>
      </c>
      <c r="AI201" s="507">
        <v>0</v>
      </c>
      <c r="AJ201" s="507">
        <v>0</v>
      </c>
      <c r="AK201" s="508"/>
      <c r="AL201" s="508"/>
      <c r="AM201" s="508"/>
      <c r="AN201" s="509">
        <v>0</v>
      </c>
      <c r="AO201" s="509">
        <v>0</v>
      </c>
      <c r="AP201" s="509">
        <v>30000</v>
      </c>
      <c r="AQ201" s="509">
        <v>0</v>
      </c>
      <c r="AR201" s="508">
        <v>20000</v>
      </c>
      <c r="AS201" s="508"/>
      <c r="AT201" s="510">
        <f t="shared" si="134"/>
        <v>50000</v>
      </c>
      <c r="AU201" s="512">
        <f t="shared" si="106"/>
        <v>0.45397188170800201</v>
      </c>
      <c r="AV201" s="511">
        <f t="shared" si="107"/>
        <v>-60138.979999999996</v>
      </c>
      <c r="AW201" s="558">
        <f t="shared" si="108"/>
        <v>-0.54602811829199793</v>
      </c>
      <c r="AX201" s="513">
        <f t="shared" si="109"/>
        <v>1050438.98</v>
      </c>
      <c r="AY201" s="514">
        <f t="shared" si="110"/>
        <v>0.95456358697871646</v>
      </c>
      <c r="AZ201" s="513">
        <f t="shared" si="111"/>
        <v>110138.98</v>
      </c>
      <c r="BA201" s="515" t="str">
        <f t="shared" si="112"/>
        <v>Vendido</v>
      </c>
      <c r="BB201" s="516" t="str">
        <f t="shared" si="113"/>
        <v>Cliente al día</v>
      </c>
      <c r="BC201" s="551"/>
      <c r="BD201" s="693">
        <f t="shared" si="114"/>
        <v>0</v>
      </c>
      <c r="BE201" s="693">
        <f t="shared" si="115"/>
        <v>0</v>
      </c>
      <c r="BF201" s="517"/>
      <c r="BG201" s="517"/>
      <c r="BH201" s="693">
        <f t="shared" si="116"/>
        <v>0</v>
      </c>
      <c r="BI201" s="693">
        <f t="shared" si="117"/>
        <v>33</v>
      </c>
      <c r="BJ201" s="655">
        <f t="shared" si="104"/>
        <v>0</v>
      </c>
      <c r="BK201" s="518">
        <f t="shared" si="118"/>
        <v>0</v>
      </c>
      <c r="BL201" s="518">
        <f t="shared" si="119"/>
        <v>0</v>
      </c>
      <c r="BM201" s="518">
        <f t="shared" si="120"/>
        <v>50000</v>
      </c>
      <c r="BN201" s="518">
        <f t="shared" si="121"/>
        <v>50000</v>
      </c>
      <c r="BO201" s="655">
        <f t="shared" si="105"/>
        <v>0</v>
      </c>
      <c r="BP201" s="693" t="str">
        <f t="shared" si="122"/>
        <v/>
      </c>
      <c r="BQ201" s="696"/>
      <c r="BR201" s="519"/>
      <c r="BT201" s="439">
        <f t="shared" si="123"/>
        <v>50000</v>
      </c>
      <c r="BU201" s="439">
        <f t="shared" si="124"/>
        <v>50000</v>
      </c>
      <c r="BV201" s="439">
        <f t="shared" si="125"/>
        <v>0</v>
      </c>
      <c r="BY201" s="862">
        <f t="shared" si="126"/>
        <v>704764.21400000004</v>
      </c>
      <c r="BZ201" s="862">
        <f t="shared" si="127"/>
        <v>302041.80599999998</v>
      </c>
      <c r="CA201" s="862">
        <f t="shared" si="128"/>
        <v>84571.71</v>
      </c>
      <c r="CB201" s="862">
        <f t="shared" si="129"/>
        <v>9061.25</v>
      </c>
      <c r="CC201" s="863">
        <f t="shared" si="130"/>
        <v>789335.92</v>
      </c>
      <c r="CD201" s="863">
        <f t="shared" si="131"/>
        <v>311103.06</v>
      </c>
      <c r="CE201" s="864">
        <f t="shared" si="132"/>
        <v>1100438.98</v>
      </c>
      <c r="CF201" s="862">
        <f t="shared" si="133"/>
        <v>0</v>
      </c>
    </row>
    <row r="202" spans="1:84" s="429" customFormat="1" ht="13.9" customHeight="1" x14ac:dyDescent="0.25">
      <c r="A202" s="472"/>
      <c r="B202" s="436">
        <v>1109</v>
      </c>
      <c r="C202" s="436" t="s">
        <v>469</v>
      </c>
      <c r="D202" s="436"/>
      <c r="E202" s="436" t="s">
        <v>366</v>
      </c>
      <c r="F202" s="429" t="s">
        <v>606</v>
      </c>
      <c r="G202" s="473">
        <v>45263</v>
      </c>
      <c r="H202" s="436" t="s">
        <v>128</v>
      </c>
      <c r="I202" s="472">
        <v>1182285.73</v>
      </c>
      <c r="J202" s="472">
        <v>118285.73</v>
      </c>
      <c r="K202" s="507">
        <v>0</v>
      </c>
      <c r="L202" s="507">
        <v>0</v>
      </c>
      <c r="M202" s="507">
        <v>0</v>
      </c>
      <c r="N202" s="507">
        <v>0</v>
      </c>
      <c r="O202" s="507">
        <v>0</v>
      </c>
      <c r="P202" s="507">
        <v>0</v>
      </c>
      <c r="Q202" s="507">
        <v>0</v>
      </c>
      <c r="R202" s="507">
        <v>0</v>
      </c>
      <c r="S202" s="507">
        <v>0</v>
      </c>
      <c r="T202" s="507">
        <v>5500</v>
      </c>
      <c r="U202" s="507">
        <v>5371</v>
      </c>
      <c r="V202" s="507">
        <v>5371</v>
      </c>
      <c r="W202" s="507">
        <v>5371</v>
      </c>
      <c r="X202" s="507">
        <v>5371</v>
      </c>
      <c r="Y202" s="507">
        <v>5371</v>
      </c>
      <c r="Z202" s="507">
        <v>5371</v>
      </c>
      <c r="AA202" s="507">
        <v>5371</v>
      </c>
      <c r="AB202" s="507">
        <v>5371</v>
      </c>
      <c r="AC202" s="507">
        <v>5371</v>
      </c>
      <c r="AD202" s="507">
        <v>5371</v>
      </c>
      <c r="AE202" s="507">
        <v>5371</v>
      </c>
      <c r="AF202" s="507">
        <v>5371</v>
      </c>
      <c r="AG202" s="507">
        <v>5371</v>
      </c>
      <c r="AH202" s="507">
        <v>5371</v>
      </c>
      <c r="AI202" s="507">
        <v>5371</v>
      </c>
      <c r="AJ202" s="507">
        <v>5371</v>
      </c>
      <c r="AK202" s="508">
        <v>5371</v>
      </c>
      <c r="AL202" s="508">
        <v>5371</v>
      </c>
      <c r="AM202" s="509">
        <v>50000</v>
      </c>
      <c r="AN202" s="509">
        <v>0</v>
      </c>
      <c r="AO202" s="509">
        <v>0</v>
      </c>
      <c r="AP202" s="509">
        <v>0</v>
      </c>
      <c r="AQ202" s="509">
        <v>0</v>
      </c>
      <c r="AR202" s="509"/>
      <c r="AS202" s="509"/>
      <c r="AT202" s="510">
        <f t="shared" si="134"/>
        <v>152178</v>
      </c>
      <c r="AU202" s="512">
        <f t="shared" si="106"/>
        <v>1.2865288145915827</v>
      </c>
      <c r="AV202" s="511">
        <f t="shared" si="107"/>
        <v>33892.270000000004</v>
      </c>
      <c r="AW202" s="558">
        <f t="shared" si="108"/>
        <v>0.28652881459158264</v>
      </c>
      <c r="AX202" s="513">
        <f t="shared" si="109"/>
        <v>1030107.73</v>
      </c>
      <c r="AY202" s="514">
        <f t="shared" si="110"/>
        <v>0.87128492196213858</v>
      </c>
      <c r="AZ202" s="513">
        <f t="shared" si="111"/>
        <v>118285.73</v>
      </c>
      <c r="BA202" s="515" t="str">
        <f t="shared" si="112"/>
        <v>Vendido</v>
      </c>
      <c r="BB202" s="516" t="str">
        <f t="shared" si="113"/>
        <v>Superávit de Enganche</v>
      </c>
      <c r="BC202" s="551">
        <v>21</v>
      </c>
      <c r="BD202" s="693">
        <f t="shared" si="114"/>
        <v>1</v>
      </c>
      <c r="BE202" s="693">
        <f t="shared" si="115"/>
        <v>22</v>
      </c>
      <c r="BF202" s="517">
        <v>5500</v>
      </c>
      <c r="BG202" s="517">
        <v>5371</v>
      </c>
      <c r="BH202" s="693">
        <f t="shared" si="116"/>
        <v>18</v>
      </c>
      <c r="BI202" s="693">
        <f t="shared" si="117"/>
        <v>25</v>
      </c>
      <c r="BJ202" s="655">
        <f t="shared" si="104"/>
        <v>139775</v>
      </c>
      <c r="BK202" s="518">
        <f t="shared" si="118"/>
        <v>96678</v>
      </c>
      <c r="BL202" s="518">
        <f t="shared" si="119"/>
        <v>55500</v>
      </c>
      <c r="BM202" s="518">
        <f t="shared" si="120"/>
        <v>0</v>
      </c>
      <c r="BN202" s="518">
        <f t="shared" si="121"/>
        <v>12403</v>
      </c>
      <c r="BO202" s="655">
        <f t="shared" si="105"/>
        <v>0</v>
      </c>
      <c r="BP202" s="693">
        <f t="shared" si="122"/>
        <v>0</v>
      </c>
      <c r="BQ202" s="696"/>
      <c r="BR202" s="519"/>
      <c r="BT202" s="439">
        <f t="shared" si="123"/>
        <v>12403</v>
      </c>
      <c r="BU202" s="439">
        <f t="shared" si="124"/>
        <v>12403</v>
      </c>
      <c r="BV202" s="439">
        <f t="shared" si="125"/>
        <v>0</v>
      </c>
      <c r="BY202" s="862">
        <f t="shared" si="126"/>
        <v>757182.07799999998</v>
      </c>
      <c r="BZ202" s="862">
        <f t="shared" si="127"/>
        <v>324506.60499999998</v>
      </c>
      <c r="CA202" s="862">
        <f t="shared" si="128"/>
        <v>90861.85</v>
      </c>
      <c r="CB202" s="862">
        <f t="shared" si="129"/>
        <v>9735.2000000000007</v>
      </c>
      <c r="CC202" s="863">
        <f t="shared" si="130"/>
        <v>848043.93</v>
      </c>
      <c r="CD202" s="863">
        <f t="shared" si="131"/>
        <v>334241.81</v>
      </c>
      <c r="CE202" s="864">
        <f t="shared" si="132"/>
        <v>1182285.74</v>
      </c>
      <c r="CF202" s="862">
        <f t="shared" si="133"/>
        <v>1.0000000009313226E-2</v>
      </c>
    </row>
    <row r="203" spans="1:84" s="429" customFormat="1" ht="13.9" customHeight="1" x14ac:dyDescent="0.25">
      <c r="A203" s="472"/>
      <c r="B203" s="436">
        <v>1110</v>
      </c>
      <c r="C203" s="436" t="s">
        <v>467</v>
      </c>
      <c r="D203" s="436"/>
      <c r="E203" s="436" t="s">
        <v>366</v>
      </c>
      <c r="F203" s="429" t="s">
        <v>607</v>
      </c>
      <c r="G203" s="473">
        <v>45143</v>
      </c>
      <c r="H203" s="436" t="s">
        <v>128</v>
      </c>
      <c r="I203" s="472">
        <v>1166200</v>
      </c>
      <c r="J203" s="472">
        <v>116700</v>
      </c>
      <c r="K203" s="507">
        <v>0</v>
      </c>
      <c r="L203" s="507">
        <v>0</v>
      </c>
      <c r="M203" s="507">
        <v>0</v>
      </c>
      <c r="N203" s="507">
        <v>6000</v>
      </c>
      <c r="O203" s="507">
        <v>0</v>
      </c>
      <c r="P203" s="507">
        <v>0</v>
      </c>
      <c r="Q203" s="507">
        <v>3954</v>
      </c>
      <c r="R203" s="507">
        <v>3954</v>
      </c>
      <c r="S203" s="507">
        <v>3954</v>
      </c>
      <c r="T203" s="507">
        <v>3954</v>
      </c>
      <c r="U203" s="507">
        <v>3954</v>
      </c>
      <c r="V203" s="507">
        <v>3954</v>
      </c>
      <c r="W203" s="507">
        <v>3954</v>
      </c>
      <c r="X203" s="507">
        <v>0</v>
      </c>
      <c r="Y203" s="507">
        <v>3954</v>
      </c>
      <c r="Z203" s="507">
        <v>3954</v>
      </c>
      <c r="AA203" s="507">
        <v>3954</v>
      </c>
      <c r="AB203" s="507">
        <v>7908</v>
      </c>
      <c r="AC203" s="507">
        <v>0</v>
      </c>
      <c r="AD203" s="507">
        <v>3954</v>
      </c>
      <c r="AE203" s="507">
        <v>0</v>
      </c>
      <c r="AF203" s="507">
        <v>3954</v>
      </c>
      <c r="AG203" s="507">
        <v>0</v>
      </c>
      <c r="AH203" s="507">
        <v>15816</v>
      </c>
      <c r="AI203" s="507">
        <v>0</v>
      </c>
      <c r="AJ203" s="507">
        <v>7908</v>
      </c>
      <c r="AK203" s="508"/>
      <c r="AL203" s="508">
        <f>3954+3954</f>
        <v>7908</v>
      </c>
      <c r="AM203" s="509">
        <v>3954</v>
      </c>
      <c r="AN203" s="509">
        <v>0</v>
      </c>
      <c r="AO203" s="509">
        <v>7908</v>
      </c>
      <c r="AP203" s="509">
        <v>3954</v>
      </c>
      <c r="AQ203" s="509">
        <v>0</v>
      </c>
      <c r="AR203" s="509">
        <v>3954</v>
      </c>
      <c r="AS203" s="509">
        <v>3942</v>
      </c>
      <c r="AT203" s="510">
        <f t="shared" si="134"/>
        <v>116700</v>
      </c>
      <c r="AU203" s="512">
        <f t="shared" si="106"/>
        <v>1</v>
      </c>
      <c r="AV203" s="511">
        <f t="shared" si="107"/>
        <v>0</v>
      </c>
      <c r="AW203" s="558">
        <f t="shared" si="108"/>
        <v>0</v>
      </c>
      <c r="AX203" s="513">
        <f t="shared" si="109"/>
        <v>1049500</v>
      </c>
      <c r="AY203" s="514">
        <f t="shared" si="110"/>
        <v>0.8999314011318813</v>
      </c>
      <c r="AZ203" s="513">
        <f t="shared" si="111"/>
        <v>116700</v>
      </c>
      <c r="BA203" s="515" t="str">
        <f t="shared" si="112"/>
        <v>Vendido</v>
      </c>
      <c r="BB203" s="516" t="str">
        <f t="shared" si="113"/>
        <v>Cliente Atrasado</v>
      </c>
      <c r="BC203" s="551">
        <v>28</v>
      </c>
      <c r="BD203" s="693">
        <f t="shared" si="114"/>
        <v>1</v>
      </c>
      <c r="BE203" s="693">
        <f t="shared" si="115"/>
        <v>29</v>
      </c>
      <c r="BF203" s="517">
        <v>6000</v>
      </c>
      <c r="BG203" s="517">
        <v>3954</v>
      </c>
      <c r="BH203" s="693">
        <f t="shared" si="116"/>
        <v>16</v>
      </c>
      <c r="BI203" s="693">
        <f t="shared" si="117"/>
        <v>29</v>
      </c>
      <c r="BJ203" s="655">
        <f t="shared" si="104"/>
        <v>120666</v>
      </c>
      <c r="BK203" s="518">
        <f t="shared" si="118"/>
        <v>63252</v>
      </c>
      <c r="BL203" s="518">
        <f t="shared" si="119"/>
        <v>53448</v>
      </c>
      <c r="BM203" s="518">
        <f t="shared" si="120"/>
        <v>0</v>
      </c>
      <c r="BN203" s="518">
        <f t="shared" si="121"/>
        <v>0</v>
      </c>
      <c r="BO203" s="655">
        <f t="shared" si="105"/>
        <v>3966</v>
      </c>
      <c r="BP203" s="693">
        <f t="shared" si="122"/>
        <v>2</v>
      </c>
      <c r="BQ203" s="696"/>
      <c r="BR203" s="519"/>
      <c r="BT203" s="439">
        <f t="shared" si="123"/>
        <v>-3966</v>
      </c>
      <c r="BU203" s="439">
        <f t="shared" si="124"/>
        <v>-3966</v>
      </c>
      <c r="BV203" s="439">
        <f t="shared" si="125"/>
        <v>0</v>
      </c>
      <c r="BY203" s="862">
        <f t="shared" si="126"/>
        <v>746880.14599999995</v>
      </c>
      <c r="BZ203" s="862">
        <f t="shared" si="127"/>
        <v>320091.49099999998</v>
      </c>
      <c r="CA203" s="862">
        <f t="shared" si="128"/>
        <v>89625.62</v>
      </c>
      <c r="CB203" s="862">
        <f t="shared" si="129"/>
        <v>9602.74</v>
      </c>
      <c r="CC203" s="863">
        <f t="shared" si="130"/>
        <v>836505.77</v>
      </c>
      <c r="CD203" s="863">
        <f t="shared" si="131"/>
        <v>329694.23</v>
      </c>
      <c r="CE203" s="864">
        <f t="shared" si="132"/>
        <v>1166200</v>
      </c>
      <c r="CF203" s="862">
        <f t="shared" si="133"/>
        <v>0</v>
      </c>
    </row>
    <row r="204" spans="1:84" s="429" customFormat="1" ht="13.9" customHeight="1" x14ac:dyDescent="0.25">
      <c r="A204" s="472"/>
      <c r="B204" s="436">
        <v>1111</v>
      </c>
      <c r="C204" s="436" t="s">
        <v>469</v>
      </c>
      <c r="D204" s="436"/>
      <c r="E204" s="436" t="s">
        <v>366</v>
      </c>
      <c r="F204" s="429" t="s">
        <v>608</v>
      </c>
      <c r="G204" s="473">
        <v>45329</v>
      </c>
      <c r="H204" s="436" t="s">
        <v>128</v>
      </c>
      <c r="I204" s="472">
        <v>1193202.5</v>
      </c>
      <c r="J204" s="472">
        <v>119402.5</v>
      </c>
      <c r="K204" s="507">
        <v>0</v>
      </c>
      <c r="L204" s="507">
        <v>0</v>
      </c>
      <c r="M204" s="507">
        <v>0</v>
      </c>
      <c r="N204" s="507">
        <v>0</v>
      </c>
      <c r="O204" s="507">
        <v>0</v>
      </c>
      <c r="P204" s="507">
        <v>0</v>
      </c>
      <c r="Q204" s="507">
        <v>0</v>
      </c>
      <c r="R204" s="507">
        <v>0</v>
      </c>
      <c r="S204" s="507">
        <v>0</v>
      </c>
      <c r="T204" s="507">
        <v>0</v>
      </c>
      <c r="U204" s="507">
        <v>0</v>
      </c>
      <c r="V204" s="507">
        <v>8000</v>
      </c>
      <c r="W204" s="507">
        <v>5859</v>
      </c>
      <c r="X204" s="507">
        <v>5859</v>
      </c>
      <c r="Y204" s="507">
        <v>5859</v>
      </c>
      <c r="Z204" s="507">
        <v>5859</v>
      </c>
      <c r="AA204" s="507">
        <v>5859</v>
      </c>
      <c r="AB204" s="507">
        <v>5859</v>
      </c>
      <c r="AC204" s="507">
        <v>5859</v>
      </c>
      <c r="AD204" s="507">
        <v>5859</v>
      </c>
      <c r="AE204" s="507">
        <v>5859</v>
      </c>
      <c r="AF204" s="507">
        <v>5859</v>
      </c>
      <c r="AG204" s="507">
        <v>5859</v>
      </c>
      <c r="AH204" s="507">
        <v>5859</v>
      </c>
      <c r="AI204" s="507">
        <v>5859</v>
      </c>
      <c r="AJ204" s="507">
        <v>5859</v>
      </c>
      <c r="AK204" s="508">
        <v>5859</v>
      </c>
      <c r="AL204" s="508">
        <v>5859</v>
      </c>
      <c r="AM204" s="509">
        <v>5859</v>
      </c>
      <c r="AN204" s="509">
        <v>5859</v>
      </c>
      <c r="AO204" s="509">
        <v>5859</v>
      </c>
      <c r="AP204" s="509">
        <v>0</v>
      </c>
      <c r="AQ204" s="509">
        <v>0</v>
      </c>
      <c r="AR204" s="509"/>
      <c r="AS204" s="509"/>
      <c r="AT204" s="510">
        <f t="shared" si="134"/>
        <v>119321</v>
      </c>
      <c r="AU204" s="512">
        <f t="shared" si="106"/>
        <v>0.99931743472707857</v>
      </c>
      <c r="AV204" s="511">
        <f t="shared" si="107"/>
        <v>-81.5</v>
      </c>
      <c r="AW204" s="558">
        <f t="shared" si="108"/>
        <v>-6.8256527292142124E-4</v>
      </c>
      <c r="AX204" s="513">
        <f t="shared" si="109"/>
        <v>1073881.5</v>
      </c>
      <c r="AY204" s="514">
        <f t="shared" si="110"/>
        <v>0.89999937143946651</v>
      </c>
      <c r="AZ204" s="513">
        <f t="shared" si="111"/>
        <v>119402.5</v>
      </c>
      <c r="BA204" s="515" t="str">
        <f t="shared" si="112"/>
        <v>Vendido</v>
      </c>
      <c r="BB204" s="516" t="str">
        <f t="shared" si="113"/>
        <v>Cliente Atrasado</v>
      </c>
      <c r="BC204" s="551">
        <v>19</v>
      </c>
      <c r="BD204" s="693">
        <f t="shared" si="114"/>
        <v>1</v>
      </c>
      <c r="BE204" s="693">
        <f t="shared" si="115"/>
        <v>20</v>
      </c>
      <c r="BF204" s="517">
        <v>8000</v>
      </c>
      <c r="BG204" s="517">
        <v>5863</v>
      </c>
      <c r="BH204" s="693">
        <f t="shared" si="116"/>
        <v>19</v>
      </c>
      <c r="BI204" s="693">
        <f t="shared" si="117"/>
        <v>23</v>
      </c>
      <c r="BJ204" s="655">
        <f t="shared" si="104"/>
        <v>142849</v>
      </c>
      <c r="BK204" s="518">
        <f t="shared" si="118"/>
        <v>111321</v>
      </c>
      <c r="BL204" s="518">
        <f t="shared" si="119"/>
        <v>8000</v>
      </c>
      <c r="BM204" s="518">
        <f t="shared" si="120"/>
        <v>0</v>
      </c>
      <c r="BN204" s="518">
        <f t="shared" si="121"/>
        <v>0</v>
      </c>
      <c r="BO204" s="655">
        <f t="shared" si="105"/>
        <v>23528</v>
      </c>
      <c r="BP204" s="693">
        <f t="shared" si="122"/>
        <v>5</v>
      </c>
      <c r="BQ204" s="696"/>
      <c r="BR204" s="519"/>
      <c r="BT204" s="439">
        <f t="shared" si="123"/>
        <v>-23528</v>
      </c>
      <c r="BU204" s="439">
        <f t="shared" si="124"/>
        <v>-23528</v>
      </c>
      <c r="BV204" s="439">
        <f t="shared" si="125"/>
        <v>0</v>
      </c>
      <c r="BY204" s="862">
        <f t="shared" si="126"/>
        <v>764173.60499999998</v>
      </c>
      <c r="BZ204" s="862">
        <f t="shared" si="127"/>
        <v>327502.973</v>
      </c>
      <c r="CA204" s="862">
        <f t="shared" si="128"/>
        <v>91700.83</v>
      </c>
      <c r="CB204" s="862">
        <f t="shared" si="129"/>
        <v>9825.09</v>
      </c>
      <c r="CC204" s="863">
        <f t="shared" si="130"/>
        <v>855874.44</v>
      </c>
      <c r="CD204" s="863">
        <f t="shared" si="131"/>
        <v>337328.06</v>
      </c>
      <c r="CE204" s="864">
        <f t="shared" si="132"/>
        <v>1193202.5</v>
      </c>
      <c r="CF204" s="862">
        <f t="shared" si="133"/>
        <v>0</v>
      </c>
    </row>
    <row r="205" spans="1:84" s="429" customFormat="1" ht="13.9" customHeight="1" x14ac:dyDescent="0.25">
      <c r="A205" s="472"/>
      <c r="B205" s="436">
        <v>1112</v>
      </c>
      <c r="C205" s="436" t="s">
        <v>406</v>
      </c>
      <c r="D205" s="436"/>
      <c r="E205" s="436" t="s">
        <v>366</v>
      </c>
      <c r="F205" s="429" t="s">
        <v>609</v>
      </c>
      <c r="G205" s="473">
        <v>45083</v>
      </c>
      <c r="H205" s="436" t="s">
        <v>128</v>
      </c>
      <c r="I205" s="472">
        <v>690627.17</v>
      </c>
      <c r="J205" s="472">
        <v>690627.17</v>
      </c>
      <c r="K205" s="507">
        <v>0</v>
      </c>
      <c r="L205" s="507">
        <v>0</v>
      </c>
      <c r="M205" s="507">
        <v>0</v>
      </c>
      <c r="N205" s="507">
        <v>75062.720000000001</v>
      </c>
      <c r="O205" s="507">
        <v>22799</v>
      </c>
      <c r="P205" s="507">
        <v>22799</v>
      </c>
      <c r="Q205" s="507">
        <v>22799</v>
      </c>
      <c r="R205" s="507">
        <v>22799</v>
      </c>
      <c r="S205" s="507">
        <v>22799</v>
      </c>
      <c r="T205" s="507">
        <v>22799</v>
      </c>
      <c r="U205" s="507">
        <v>22799</v>
      </c>
      <c r="V205" s="507">
        <v>22799</v>
      </c>
      <c r="W205" s="507">
        <v>22799</v>
      </c>
      <c r="X205" s="507">
        <v>0</v>
      </c>
      <c r="Y205" s="507">
        <v>0</v>
      </c>
      <c r="Z205" s="507">
        <v>45598</v>
      </c>
      <c r="AA205" s="507">
        <v>22799</v>
      </c>
      <c r="AB205" s="507">
        <v>22799</v>
      </c>
      <c r="AC205" s="507">
        <v>22799</v>
      </c>
      <c r="AD205" s="507">
        <v>22799</v>
      </c>
      <c r="AE205" s="507">
        <v>22799</v>
      </c>
      <c r="AF205" s="507">
        <v>22799</v>
      </c>
      <c r="AG205" s="507">
        <v>22799</v>
      </c>
      <c r="AH205" s="507">
        <v>22799</v>
      </c>
      <c r="AI205" s="507">
        <v>0</v>
      </c>
      <c r="AJ205" s="507">
        <v>22799</v>
      </c>
      <c r="AK205" s="508">
        <f>22799+22799</f>
        <v>45598</v>
      </c>
      <c r="AL205" s="508">
        <v>22799</v>
      </c>
      <c r="AM205" s="509">
        <v>22799</v>
      </c>
      <c r="AN205" s="509">
        <v>22799</v>
      </c>
      <c r="AO205" s="509">
        <v>22799</v>
      </c>
      <c r="AP205" s="509">
        <v>0</v>
      </c>
      <c r="AQ205" s="509">
        <v>0</v>
      </c>
      <c r="AR205" s="509"/>
      <c r="AS205" s="509"/>
      <c r="AT205" s="510">
        <f t="shared" si="134"/>
        <v>667836.72</v>
      </c>
      <c r="AU205" s="512">
        <f t="shared" si="106"/>
        <v>0.96700035708123089</v>
      </c>
      <c r="AV205" s="511">
        <f t="shared" si="107"/>
        <v>-22790.45000000007</v>
      </c>
      <c r="AW205" s="558">
        <f t="shared" si="108"/>
        <v>-3.2999642918769133E-2</v>
      </c>
      <c r="AX205" s="513">
        <f t="shared" si="109"/>
        <v>22790.45000000007</v>
      </c>
      <c r="AY205" s="514">
        <f t="shared" si="110"/>
        <v>3.2999642918769133E-2</v>
      </c>
      <c r="AZ205" s="513">
        <f t="shared" si="111"/>
        <v>690627.17</v>
      </c>
      <c r="BA205" s="515" t="str">
        <f t="shared" si="112"/>
        <v>Vendido</v>
      </c>
      <c r="BB205" s="516" t="str">
        <f t="shared" si="113"/>
        <v>Cliente Atrasado</v>
      </c>
      <c r="BC205" s="551">
        <v>27</v>
      </c>
      <c r="BD205" s="693">
        <f t="shared" si="114"/>
        <v>1</v>
      </c>
      <c r="BE205" s="693">
        <f t="shared" si="115"/>
        <v>28</v>
      </c>
      <c r="BF205" s="517">
        <v>75062.720000000001</v>
      </c>
      <c r="BG205" s="517">
        <v>22799</v>
      </c>
      <c r="BH205" s="693">
        <f t="shared" si="116"/>
        <v>24</v>
      </c>
      <c r="BI205" s="693">
        <f t="shared" si="117"/>
        <v>31</v>
      </c>
      <c r="BJ205" s="655">
        <f t="shared" si="104"/>
        <v>781831.72</v>
      </c>
      <c r="BK205" s="518">
        <f t="shared" si="118"/>
        <v>501578</v>
      </c>
      <c r="BL205" s="518">
        <f t="shared" si="119"/>
        <v>166258.72</v>
      </c>
      <c r="BM205" s="518">
        <f t="shared" si="120"/>
        <v>0</v>
      </c>
      <c r="BN205" s="518">
        <f t="shared" si="121"/>
        <v>0</v>
      </c>
      <c r="BO205" s="655">
        <f t="shared" si="105"/>
        <v>113995</v>
      </c>
      <c r="BP205" s="693">
        <f t="shared" si="122"/>
        <v>5</v>
      </c>
      <c r="BQ205" s="696"/>
      <c r="BR205" s="519" t="s">
        <v>426</v>
      </c>
      <c r="BT205" s="439">
        <f t="shared" si="123"/>
        <v>-113995</v>
      </c>
      <c r="BU205" s="439">
        <f t="shared" si="124"/>
        <v>-113995</v>
      </c>
      <c r="BV205" s="439">
        <f t="shared" si="125"/>
        <v>0</v>
      </c>
      <c r="BY205" s="862">
        <f t="shared" si="126"/>
        <v>442304.68300000002</v>
      </c>
      <c r="BZ205" s="862">
        <f t="shared" si="127"/>
        <v>189559.15</v>
      </c>
      <c r="CA205" s="862">
        <f t="shared" si="128"/>
        <v>53076.56</v>
      </c>
      <c r="CB205" s="862">
        <f t="shared" si="129"/>
        <v>5686.77</v>
      </c>
      <c r="CC205" s="863">
        <f t="shared" si="130"/>
        <v>495381.24</v>
      </c>
      <c r="CD205" s="863">
        <f t="shared" si="131"/>
        <v>195245.92</v>
      </c>
      <c r="CE205" s="864">
        <f t="shared" si="132"/>
        <v>690627.16</v>
      </c>
      <c r="CF205" s="862">
        <f t="shared" si="133"/>
        <v>-1.0000000009313226E-2</v>
      </c>
    </row>
    <row r="206" spans="1:84" s="429" customFormat="1" ht="13.9" customHeight="1" x14ac:dyDescent="0.25">
      <c r="A206" s="472"/>
      <c r="B206" s="436">
        <v>1113</v>
      </c>
      <c r="C206" s="436" t="s">
        <v>181</v>
      </c>
      <c r="D206" s="436"/>
      <c r="E206" s="436" t="s">
        <v>356</v>
      </c>
      <c r="F206" s="429" t="s">
        <v>610</v>
      </c>
      <c r="G206" s="473">
        <v>45021</v>
      </c>
      <c r="H206" s="436" t="s">
        <v>128</v>
      </c>
      <c r="I206" s="472">
        <v>645639</v>
      </c>
      <c r="J206" s="472">
        <v>64639</v>
      </c>
      <c r="K206" s="507">
        <v>0</v>
      </c>
      <c r="L206" s="507">
        <v>6000</v>
      </c>
      <c r="M206" s="507">
        <v>2000</v>
      </c>
      <c r="N206" s="507">
        <v>2000</v>
      </c>
      <c r="O206" s="507">
        <v>2000</v>
      </c>
      <c r="P206" s="507">
        <v>2000</v>
      </c>
      <c r="Q206" s="507">
        <v>2000</v>
      </c>
      <c r="R206" s="507">
        <v>2000</v>
      </c>
      <c r="S206" s="507">
        <v>2000</v>
      </c>
      <c r="T206" s="507">
        <v>2000</v>
      </c>
      <c r="U206" s="507">
        <v>2000</v>
      </c>
      <c r="V206" s="507">
        <v>2000</v>
      </c>
      <c r="W206" s="507">
        <v>2000</v>
      </c>
      <c r="X206" s="507">
        <v>2000</v>
      </c>
      <c r="Y206" s="507">
        <v>2000</v>
      </c>
      <c r="Z206" s="507">
        <v>2000</v>
      </c>
      <c r="AA206" s="507">
        <v>2000</v>
      </c>
      <c r="AB206" s="507">
        <v>0</v>
      </c>
      <c r="AC206" s="507">
        <v>4000</v>
      </c>
      <c r="AD206" s="507">
        <v>2000</v>
      </c>
      <c r="AE206" s="507">
        <v>2000</v>
      </c>
      <c r="AF206" s="507">
        <v>2000</v>
      </c>
      <c r="AG206" s="507">
        <v>0</v>
      </c>
      <c r="AH206" s="507">
        <f>2000+2000</f>
        <v>4000</v>
      </c>
      <c r="AI206" s="507">
        <v>2000</v>
      </c>
      <c r="AJ206" s="507">
        <v>2000</v>
      </c>
      <c r="AK206" s="508">
        <v>2000</v>
      </c>
      <c r="AL206" s="508">
        <v>2000</v>
      </c>
      <c r="AM206" s="509">
        <v>2000</v>
      </c>
      <c r="AN206" s="509">
        <v>2000</v>
      </c>
      <c r="AO206" s="509">
        <v>2639</v>
      </c>
      <c r="AP206" s="509">
        <v>0</v>
      </c>
      <c r="AQ206" s="509">
        <v>0</v>
      </c>
      <c r="AR206" s="509"/>
      <c r="AS206" s="509"/>
      <c r="AT206" s="510">
        <f t="shared" si="134"/>
        <v>64639</v>
      </c>
      <c r="AU206" s="512">
        <f t="shared" si="106"/>
        <v>1</v>
      </c>
      <c r="AV206" s="511">
        <f t="shared" si="107"/>
        <v>0</v>
      </c>
      <c r="AW206" s="558">
        <f t="shared" si="108"/>
        <v>0</v>
      </c>
      <c r="AX206" s="513">
        <f t="shared" si="109"/>
        <v>581000</v>
      </c>
      <c r="AY206" s="514">
        <f t="shared" si="110"/>
        <v>0.89988368112830852</v>
      </c>
      <c r="AZ206" s="513">
        <f t="shared" si="111"/>
        <v>64639</v>
      </c>
      <c r="BA206" s="515" t="str">
        <f t="shared" si="112"/>
        <v>Vendido</v>
      </c>
      <c r="BB206" s="516" t="str">
        <f t="shared" si="113"/>
        <v>Cliente Atrasado</v>
      </c>
      <c r="BC206" s="551">
        <v>29</v>
      </c>
      <c r="BD206" s="693">
        <f t="shared" si="114"/>
        <v>1</v>
      </c>
      <c r="BE206" s="693">
        <f t="shared" si="115"/>
        <v>30</v>
      </c>
      <c r="BF206" s="517">
        <v>6000</v>
      </c>
      <c r="BG206" s="517">
        <v>2000</v>
      </c>
      <c r="BH206" s="693">
        <f t="shared" si="116"/>
        <v>27</v>
      </c>
      <c r="BI206" s="693">
        <f t="shared" si="117"/>
        <v>33</v>
      </c>
      <c r="BJ206" s="655">
        <f t="shared" si="104"/>
        <v>72000</v>
      </c>
      <c r="BK206" s="518">
        <f t="shared" si="118"/>
        <v>48000</v>
      </c>
      <c r="BL206" s="518">
        <f t="shared" si="119"/>
        <v>16639</v>
      </c>
      <c r="BM206" s="518">
        <f t="shared" si="120"/>
        <v>0</v>
      </c>
      <c r="BN206" s="518">
        <f t="shared" si="121"/>
        <v>0</v>
      </c>
      <c r="BO206" s="655">
        <f t="shared" si="105"/>
        <v>7361</v>
      </c>
      <c r="BP206" s="693">
        <f t="shared" si="122"/>
        <v>4</v>
      </c>
      <c r="BQ206" s="696"/>
      <c r="BR206" s="519"/>
      <c r="BT206" s="439">
        <f t="shared" si="123"/>
        <v>-7361</v>
      </c>
      <c r="BU206" s="439">
        <f t="shared" si="124"/>
        <v>-7361</v>
      </c>
      <c r="BV206" s="439">
        <f t="shared" si="125"/>
        <v>0</v>
      </c>
      <c r="BY206" s="862">
        <f t="shared" si="126"/>
        <v>413492.49800000002</v>
      </c>
      <c r="BZ206" s="862">
        <f t="shared" si="127"/>
        <v>177211.07</v>
      </c>
      <c r="CA206" s="862">
        <f t="shared" si="128"/>
        <v>49619.1</v>
      </c>
      <c r="CB206" s="862">
        <f t="shared" si="129"/>
        <v>5316.33</v>
      </c>
      <c r="CC206" s="863">
        <f t="shared" si="130"/>
        <v>463111.6</v>
      </c>
      <c r="CD206" s="863">
        <f t="shared" si="131"/>
        <v>182527.4</v>
      </c>
      <c r="CE206" s="864">
        <f t="shared" si="132"/>
        <v>645639</v>
      </c>
      <c r="CF206" s="862">
        <f t="shared" si="133"/>
        <v>0</v>
      </c>
    </row>
    <row r="207" spans="1:84" s="429" customFormat="1" ht="13.9" customHeight="1" x14ac:dyDescent="0.25">
      <c r="A207" s="472"/>
      <c r="B207" s="436">
        <v>1114</v>
      </c>
      <c r="C207" s="436" t="s">
        <v>611</v>
      </c>
      <c r="D207" s="436"/>
      <c r="E207" s="436" t="s">
        <v>366</v>
      </c>
      <c r="F207" s="429" t="s">
        <v>612</v>
      </c>
      <c r="G207" s="473">
        <v>45440</v>
      </c>
      <c r="H207" s="436" t="s">
        <v>128</v>
      </c>
      <c r="I207" s="472">
        <v>801793.67</v>
      </c>
      <c r="J207" s="472">
        <v>77986.52</v>
      </c>
      <c r="K207" s="507">
        <v>0</v>
      </c>
      <c r="L207" s="507">
        <v>0</v>
      </c>
      <c r="M207" s="507">
        <v>0</v>
      </c>
      <c r="N207" s="507">
        <v>0</v>
      </c>
      <c r="O207" s="507">
        <v>0</v>
      </c>
      <c r="P207" s="507">
        <v>0</v>
      </c>
      <c r="Q207" s="507">
        <v>0</v>
      </c>
      <c r="R207" s="507">
        <v>0</v>
      </c>
      <c r="S207" s="507">
        <v>0</v>
      </c>
      <c r="T207" s="507">
        <v>0</v>
      </c>
      <c r="U207" s="507">
        <v>0</v>
      </c>
      <c r="V207" s="507">
        <v>0</v>
      </c>
      <c r="W207" s="507">
        <v>0</v>
      </c>
      <c r="X207" s="507">
        <v>0</v>
      </c>
      <c r="Y207" s="507">
        <v>8000</v>
      </c>
      <c r="Z207" s="507">
        <v>0</v>
      </c>
      <c r="AA207" s="507">
        <v>7368</v>
      </c>
      <c r="AB207" s="507">
        <v>7368</v>
      </c>
      <c r="AC207" s="507">
        <v>0</v>
      </c>
      <c r="AD207" s="507">
        <v>3684</v>
      </c>
      <c r="AE207" s="507">
        <v>7368</v>
      </c>
      <c r="AF207" s="507">
        <v>0</v>
      </c>
      <c r="AG207" s="507">
        <v>7368</v>
      </c>
      <c r="AH207" s="507">
        <v>0</v>
      </c>
      <c r="AI207" s="507">
        <v>3684</v>
      </c>
      <c r="AJ207" s="507">
        <v>4000</v>
      </c>
      <c r="AK207" s="509">
        <v>4000</v>
      </c>
      <c r="AL207" s="509"/>
      <c r="AM207" s="509"/>
      <c r="AN207" s="509">
        <v>0</v>
      </c>
      <c r="AO207" s="509">
        <v>4000</v>
      </c>
      <c r="AP207" s="509">
        <v>0</v>
      </c>
      <c r="AQ207" s="509">
        <v>0</v>
      </c>
      <c r="AR207" s="509">
        <v>4500</v>
      </c>
      <c r="AS207" s="509"/>
      <c r="AT207" s="510">
        <f t="shared" si="134"/>
        <v>61340</v>
      </c>
      <c r="AU207" s="512">
        <f t="shared" si="106"/>
        <v>0.78654618772577611</v>
      </c>
      <c r="AV207" s="511">
        <f t="shared" si="107"/>
        <v>-16646.520000000004</v>
      </c>
      <c r="AW207" s="558">
        <f t="shared" si="108"/>
        <v>-0.21345381227422383</v>
      </c>
      <c r="AX207" s="513">
        <f t="shared" si="109"/>
        <v>740453.67</v>
      </c>
      <c r="AY207" s="514">
        <f t="shared" si="110"/>
        <v>0.92349652747944488</v>
      </c>
      <c r="AZ207" s="513">
        <f t="shared" si="111"/>
        <v>77986.52</v>
      </c>
      <c r="BA207" s="515" t="str">
        <f t="shared" si="112"/>
        <v>Vendido</v>
      </c>
      <c r="BB207" s="516" t="str">
        <f t="shared" si="113"/>
        <v>Cliente Atrasado</v>
      </c>
      <c r="BC207" s="551">
        <v>21</v>
      </c>
      <c r="BD207" s="693">
        <f t="shared" si="114"/>
        <v>1</v>
      </c>
      <c r="BE207" s="693">
        <f t="shared" si="115"/>
        <v>22</v>
      </c>
      <c r="BF207" s="517">
        <v>8000</v>
      </c>
      <c r="BG207" s="517">
        <v>3684</v>
      </c>
      <c r="BH207" s="693">
        <f t="shared" si="116"/>
        <v>10</v>
      </c>
      <c r="BI207" s="693">
        <f t="shared" si="117"/>
        <v>19</v>
      </c>
      <c r="BJ207" s="655">
        <f t="shared" si="104"/>
        <v>77996</v>
      </c>
      <c r="BK207" s="518">
        <f t="shared" si="118"/>
        <v>7368</v>
      </c>
      <c r="BL207" s="518">
        <f t="shared" si="119"/>
        <v>53972</v>
      </c>
      <c r="BM207" s="518">
        <f t="shared" si="120"/>
        <v>0</v>
      </c>
      <c r="BN207" s="518">
        <f t="shared" si="121"/>
        <v>0</v>
      </c>
      <c r="BO207" s="655">
        <f t="shared" si="105"/>
        <v>16656</v>
      </c>
      <c r="BP207" s="693">
        <f t="shared" si="122"/>
        <v>5</v>
      </c>
      <c r="BQ207" s="696"/>
      <c r="BR207" s="519"/>
      <c r="BT207" s="439">
        <f t="shared" si="123"/>
        <v>-16656</v>
      </c>
      <c r="BU207" s="439">
        <f t="shared" si="124"/>
        <v>-16656</v>
      </c>
      <c r="BV207" s="439">
        <f t="shared" si="125"/>
        <v>0</v>
      </c>
      <c r="BY207" s="862">
        <f t="shared" si="126"/>
        <v>513500.06300000002</v>
      </c>
      <c r="BZ207" s="862">
        <f t="shared" si="127"/>
        <v>220071.45600000001</v>
      </c>
      <c r="CA207" s="862">
        <f t="shared" si="128"/>
        <v>61620.01</v>
      </c>
      <c r="CB207" s="862">
        <f t="shared" si="129"/>
        <v>6602.14</v>
      </c>
      <c r="CC207" s="863">
        <f t="shared" si="130"/>
        <v>575120.06999999995</v>
      </c>
      <c r="CD207" s="863">
        <f t="shared" si="131"/>
        <v>226673.6</v>
      </c>
      <c r="CE207" s="864">
        <f t="shared" si="132"/>
        <v>801793.67</v>
      </c>
      <c r="CF207" s="862">
        <f t="shared" si="133"/>
        <v>0</v>
      </c>
    </row>
    <row r="208" spans="1:84" s="429" customFormat="1" ht="13.9" customHeight="1" x14ac:dyDescent="0.25">
      <c r="A208" s="472"/>
      <c r="B208" s="436">
        <v>1115</v>
      </c>
      <c r="C208" s="436" t="s">
        <v>400</v>
      </c>
      <c r="D208" s="436"/>
      <c r="E208" s="436" t="s">
        <v>366</v>
      </c>
      <c r="F208" s="429" t="s">
        <v>613</v>
      </c>
      <c r="G208" s="473">
        <v>45755</v>
      </c>
      <c r="H208" s="436" t="s">
        <v>128</v>
      </c>
      <c r="I208" s="472">
        <v>1142630.20477101</v>
      </c>
      <c r="J208" s="472">
        <v>114330.2</v>
      </c>
      <c r="K208" s="507">
        <v>0</v>
      </c>
      <c r="L208" s="507">
        <v>0</v>
      </c>
      <c r="M208" s="507">
        <v>0</v>
      </c>
      <c r="N208" s="507">
        <v>0</v>
      </c>
      <c r="O208" s="507">
        <v>0</v>
      </c>
      <c r="P208" s="507">
        <v>0</v>
      </c>
      <c r="Q208" s="507">
        <v>0</v>
      </c>
      <c r="R208" s="507">
        <v>0</v>
      </c>
      <c r="S208" s="507">
        <v>0</v>
      </c>
      <c r="T208" s="507">
        <v>0</v>
      </c>
      <c r="U208" s="507">
        <v>0</v>
      </c>
      <c r="V208" s="507">
        <v>0</v>
      </c>
      <c r="W208" s="507">
        <v>0</v>
      </c>
      <c r="X208" s="507">
        <v>0</v>
      </c>
      <c r="Y208" s="507">
        <v>0</v>
      </c>
      <c r="Z208" s="507">
        <v>0</v>
      </c>
      <c r="AA208" s="507">
        <v>0</v>
      </c>
      <c r="AB208" s="507">
        <v>0</v>
      </c>
      <c r="AC208" s="507">
        <v>0</v>
      </c>
      <c r="AD208" s="507">
        <v>0</v>
      </c>
      <c r="AE208" s="507">
        <v>0</v>
      </c>
      <c r="AF208" s="507">
        <v>0</v>
      </c>
      <c r="AG208" s="507">
        <v>0</v>
      </c>
      <c r="AH208" s="507">
        <v>0</v>
      </c>
      <c r="AI208" s="507">
        <v>0</v>
      </c>
      <c r="AJ208" s="507">
        <v>10000</v>
      </c>
      <c r="AK208" s="508">
        <v>8025</v>
      </c>
      <c r="AL208" s="508">
        <v>8025</v>
      </c>
      <c r="AM208" s="509">
        <v>8025</v>
      </c>
      <c r="AN208" s="509">
        <v>8025</v>
      </c>
      <c r="AO208" s="509">
        <v>8025</v>
      </c>
      <c r="AP208" s="509">
        <v>8025</v>
      </c>
      <c r="AQ208" s="509">
        <v>8025</v>
      </c>
      <c r="AR208" s="509">
        <v>8025</v>
      </c>
      <c r="AS208" s="509">
        <v>8025</v>
      </c>
      <c r="AT208" s="510">
        <f t="shared" si="134"/>
        <v>82225</v>
      </c>
      <c r="AU208" s="512">
        <f t="shared" si="106"/>
        <v>0.719188805757359</v>
      </c>
      <c r="AV208" s="511">
        <f t="shared" si="107"/>
        <v>-32105.199999999997</v>
      </c>
      <c r="AW208" s="558">
        <f t="shared" si="108"/>
        <v>-0.28081119424264106</v>
      </c>
      <c r="AX208" s="513">
        <f t="shared" si="109"/>
        <v>1060405.20477101</v>
      </c>
      <c r="AY208" s="514">
        <f t="shared" si="110"/>
        <v>0.92803883561219325</v>
      </c>
      <c r="AZ208" s="513">
        <f t="shared" si="111"/>
        <v>114330.2</v>
      </c>
      <c r="BA208" s="515" t="str">
        <f t="shared" si="112"/>
        <v>Vendido</v>
      </c>
      <c r="BB208" s="516" t="str">
        <f t="shared" si="113"/>
        <v>Cliente al día</v>
      </c>
      <c r="BC208" s="551">
        <v>13</v>
      </c>
      <c r="BD208" s="693">
        <f t="shared" si="114"/>
        <v>1</v>
      </c>
      <c r="BE208" s="693">
        <f t="shared" si="115"/>
        <v>14</v>
      </c>
      <c r="BF208" s="517">
        <v>10000</v>
      </c>
      <c r="BG208" s="517">
        <v>8025</v>
      </c>
      <c r="BH208" s="693">
        <f t="shared" si="116"/>
        <v>9</v>
      </c>
      <c r="BI208" s="693">
        <f t="shared" si="117"/>
        <v>9</v>
      </c>
      <c r="BJ208" s="655">
        <f t="shared" si="104"/>
        <v>82225</v>
      </c>
      <c r="BK208" s="518">
        <f t="shared" si="118"/>
        <v>72225</v>
      </c>
      <c r="BL208" s="518">
        <f t="shared" si="119"/>
        <v>10000</v>
      </c>
      <c r="BM208" s="518">
        <f t="shared" si="120"/>
        <v>0</v>
      </c>
      <c r="BN208" s="518">
        <f t="shared" si="121"/>
        <v>0</v>
      </c>
      <c r="BO208" s="655">
        <f t="shared" si="105"/>
        <v>0</v>
      </c>
      <c r="BP208" s="693">
        <f t="shared" si="122"/>
        <v>0</v>
      </c>
      <c r="BQ208" s="696"/>
      <c r="BR208" s="519"/>
      <c r="BT208" s="439">
        <f t="shared" si="123"/>
        <v>0</v>
      </c>
      <c r="BU208" s="439">
        <f t="shared" si="124"/>
        <v>0</v>
      </c>
      <c r="BV208" s="439">
        <f t="shared" si="125"/>
        <v>0</v>
      </c>
      <c r="BY208" s="862">
        <f t="shared" si="126"/>
        <v>731785.12699999998</v>
      </c>
      <c r="BZ208" s="862">
        <f t="shared" si="127"/>
        <v>313622.19699999999</v>
      </c>
      <c r="CA208" s="862">
        <f t="shared" si="128"/>
        <v>87814.22</v>
      </c>
      <c r="CB208" s="862">
        <f t="shared" si="129"/>
        <v>9408.67</v>
      </c>
      <c r="CC208" s="863">
        <f t="shared" si="130"/>
        <v>819599.35</v>
      </c>
      <c r="CD208" s="863">
        <f t="shared" si="131"/>
        <v>323030.87</v>
      </c>
      <c r="CE208" s="864">
        <f t="shared" si="132"/>
        <v>1142630.22</v>
      </c>
      <c r="CF208" s="862">
        <f t="shared" si="133"/>
        <v>1.5228989999741316E-2</v>
      </c>
    </row>
    <row r="209" spans="1:84" s="429" customFormat="1" ht="13.9" customHeight="1" x14ac:dyDescent="0.25">
      <c r="A209" s="472"/>
      <c r="B209" s="436">
        <v>1116</v>
      </c>
      <c r="C209" s="436" t="s">
        <v>175</v>
      </c>
      <c r="D209" s="642" t="s">
        <v>336</v>
      </c>
      <c r="E209" s="436" t="s">
        <v>366</v>
      </c>
      <c r="F209" s="429" t="s">
        <v>614</v>
      </c>
      <c r="G209" s="473">
        <v>45337</v>
      </c>
      <c r="H209" s="436" t="s">
        <v>128</v>
      </c>
      <c r="I209" s="472">
        <v>887400</v>
      </c>
      <c r="J209" s="472">
        <v>88800</v>
      </c>
      <c r="K209" s="507">
        <v>0</v>
      </c>
      <c r="L209" s="507">
        <v>0</v>
      </c>
      <c r="M209" s="507">
        <v>0</v>
      </c>
      <c r="N209" s="507">
        <v>0</v>
      </c>
      <c r="O209" s="507">
        <v>0</v>
      </c>
      <c r="P209" s="507">
        <v>0</v>
      </c>
      <c r="Q209" s="507">
        <v>0</v>
      </c>
      <c r="R209" s="507">
        <v>0</v>
      </c>
      <c r="S209" s="507">
        <v>0</v>
      </c>
      <c r="T209" s="507">
        <v>0</v>
      </c>
      <c r="U209" s="507">
        <v>0</v>
      </c>
      <c r="V209" s="507">
        <v>8000</v>
      </c>
      <c r="W209" s="507">
        <v>4253</v>
      </c>
      <c r="X209" s="507">
        <v>4253</v>
      </c>
      <c r="Y209" s="507">
        <v>4253</v>
      </c>
      <c r="Z209" s="507">
        <v>4253</v>
      </c>
      <c r="AA209" s="507">
        <v>4253</v>
      </c>
      <c r="AB209" s="507">
        <v>4253</v>
      </c>
      <c r="AC209" s="507">
        <v>0</v>
      </c>
      <c r="AD209" s="507">
        <v>0</v>
      </c>
      <c r="AE209" s="507">
        <v>0</v>
      </c>
      <c r="AF209" s="507">
        <v>0</v>
      </c>
      <c r="AG209" s="507">
        <v>0</v>
      </c>
      <c r="AH209" s="507">
        <v>0</v>
      </c>
      <c r="AI209" s="507">
        <v>10000</v>
      </c>
      <c r="AJ209" s="507">
        <v>0</v>
      </c>
      <c r="AK209" s="508"/>
      <c r="AL209" s="508">
        <v>7500</v>
      </c>
      <c r="AM209" s="509">
        <v>5000</v>
      </c>
      <c r="AN209" s="509">
        <v>0</v>
      </c>
      <c r="AO209" s="509">
        <v>0</v>
      </c>
      <c r="AP209" s="509">
        <v>0</v>
      </c>
      <c r="AQ209" s="509">
        <v>0</v>
      </c>
      <c r="AR209" s="509"/>
      <c r="AS209" s="509">
        <v>10000</v>
      </c>
      <c r="AT209" s="510">
        <f t="shared" si="134"/>
        <v>66018</v>
      </c>
      <c r="AU209" s="512">
        <f t="shared" si="106"/>
        <v>0.74344594594594593</v>
      </c>
      <c r="AV209" s="511">
        <f t="shared" si="107"/>
        <v>-22782</v>
      </c>
      <c r="AW209" s="558">
        <f t="shared" si="108"/>
        <v>-0.25655405405405407</v>
      </c>
      <c r="AX209" s="513">
        <f t="shared" si="109"/>
        <v>821382</v>
      </c>
      <c r="AY209" s="514">
        <f t="shared" si="110"/>
        <v>0.92560513860716698</v>
      </c>
      <c r="AZ209" s="513">
        <f t="shared" si="111"/>
        <v>88800</v>
      </c>
      <c r="BA209" s="515" t="str">
        <f t="shared" si="112"/>
        <v>Vendido</v>
      </c>
      <c r="BB209" s="516" t="str">
        <f t="shared" si="113"/>
        <v>Cliente al día</v>
      </c>
      <c r="BC209" s="551">
        <v>19</v>
      </c>
      <c r="BD209" s="693">
        <f t="shared" si="114"/>
        <v>1</v>
      </c>
      <c r="BE209" s="693">
        <f t="shared" si="115"/>
        <v>20</v>
      </c>
      <c r="BF209" s="644">
        <v>8000</v>
      </c>
      <c r="BG209" s="644">
        <v>2500</v>
      </c>
      <c r="BH209" s="693">
        <f t="shared" si="116"/>
        <v>8</v>
      </c>
      <c r="BI209" s="693">
        <f t="shared" si="117"/>
        <v>23</v>
      </c>
      <c r="BJ209" s="655">
        <f t="shared" si="104"/>
        <v>65500</v>
      </c>
      <c r="BK209" s="518">
        <f t="shared" si="118"/>
        <v>0</v>
      </c>
      <c r="BL209" s="518">
        <f t="shared" si="119"/>
        <v>66018</v>
      </c>
      <c r="BM209" s="518">
        <f t="shared" si="120"/>
        <v>0</v>
      </c>
      <c r="BN209" s="518">
        <f t="shared" si="121"/>
        <v>518</v>
      </c>
      <c r="BO209" s="655">
        <f t="shared" si="105"/>
        <v>0</v>
      </c>
      <c r="BP209" s="693">
        <f t="shared" si="122"/>
        <v>0</v>
      </c>
      <c r="BQ209" s="696" t="s">
        <v>388</v>
      </c>
      <c r="BR209" s="519" t="s">
        <v>443</v>
      </c>
      <c r="BT209" s="439">
        <f t="shared" si="123"/>
        <v>518</v>
      </c>
      <c r="BU209" s="439">
        <f t="shared" si="124"/>
        <v>518</v>
      </c>
      <c r="BV209" s="439">
        <f t="shared" si="125"/>
        <v>0</v>
      </c>
      <c r="BY209" s="862">
        <f t="shared" si="126"/>
        <v>568325.70900000003</v>
      </c>
      <c r="BZ209" s="862">
        <f t="shared" si="127"/>
        <v>243568.16099999999</v>
      </c>
      <c r="CA209" s="862">
        <f t="shared" si="128"/>
        <v>68199.09</v>
      </c>
      <c r="CB209" s="862">
        <f t="shared" si="129"/>
        <v>7307.04</v>
      </c>
      <c r="CC209" s="863">
        <f t="shared" si="130"/>
        <v>636524.80000000005</v>
      </c>
      <c r="CD209" s="863">
        <f t="shared" si="131"/>
        <v>250875.2</v>
      </c>
      <c r="CE209" s="864">
        <f t="shared" si="132"/>
        <v>887400</v>
      </c>
      <c r="CF209" s="862">
        <f t="shared" si="133"/>
        <v>0</v>
      </c>
    </row>
    <row r="210" spans="1:84" s="429" customFormat="1" ht="13.9" customHeight="1" x14ac:dyDescent="0.25">
      <c r="A210" s="472"/>
      <c r="B210" s="436">
        <v>1117</v>
      </c>
      <c r="C210" s="436" t="s">
        <v>597</v>
      </c>
      <c r="D210" s="436"/>
      <c r="E210" s="436" t="s">
        <v>366</v>
      </c>
      <c r="F210" s="429" t="s">
        <v>615</v>
      </c>
      <c r="G210" s="473">
        <v>45274</v>
      </c>
      <c r="H210" s="436" t="s">
        <v>128</v>
      </c>
      <c r="I210" s="472">
        <v>1165934.22</v>
      </c>
      <c r="J210" s="472">
        <v>116634.22</v>
      </c>
      <c r="K210" s="507">
        <v>0</v>
      </c>
      <c r="L210" s="507">
        <v>0</v>
      </c>
      <c r="M210" s="507">
        <v>0</v>
      </c>
      <c r="N210" s="507">
        <v>0</v>
      </c>
      <c r="O210" s="507">
        <v>0</v>
      </c>
      <c r="P210" s="507">
        <v>0</v>
      </c>
      <c r="Q210" s="507">
        <v>0</v>
      </c>
      <c r="R210" s="507">
        <v>0</v>
      </c>
      <c r="S210" s="507">
        <v>0</v>
      </c>
      <c r="T210" s="507">
        <v>5500</v>
      </c>
      <c r="U210" s="507">
        <v>5292</v>
      </c>
      <c r="V210" s="507">
        <v>5292</v>
      </c>
      <c r="W210" s="507">
        <v>5292</v>
      </c>
      <c r="X210" s="507">
        <v>5292</v>
      </c>
      <c r="Y210" s="507">
        <v>5292</v>
      </c>
      <c r="Z210" s="507">
        <v>0</v>
      </c>
      <c r="AA210" s="507">
        <v>10584</v>
      </c>
      <c r="AB210" s="507">
        <v>5292</v>
      </c>
      <c r="AC210" s="507">
        <v>5292</v>
      </c>
      <c r="AD210" s="507">
        <v>5292</v>
      </c>
      <c r="AE210" s="507">
        <v>0</v>
      </c>
      <c r="AF210" s="507">
        <f>5292+5292</f>
        <v>10584</v>
      </c>
      <c r="AG210" s="507">
        <v>5292</v>
      </c>
      <c r="AH210" s="507">
        <v>0</v>
      </c>
      <c r="AI210" s="507">
        <f>5292+5292</f>
        <v>10584</v>
      </c>
      <c r="AJ210" s="507">
        <v>5292</v>
      </c>
      <c r="AK210" s="508">
        <v>5292</v>
      </c>
      <c r="AL210" s="508">
        <v>5292</v>
      </c>
      <c r="AM210" s="509">
        <v>5292</v>
      </c>
      <c r="AN210" s="509">
        <v>5292</v>
      </c>
      <c r="AO210" s="509">
        <v>5292</v>
      </c>
      <c r="AP210" s="509">
        <v>302.22000000000003</v>
      </c>
      <c r="AQ210" s="509">
        <v>0</v>
      </c>
      <c r="AR210" s="509"/>
      <c r="AS210" s="509"/>
      <c r="AT210" s="510">
        <f t="shared" si="134"/>
        <v>116934.22</v>
      </c>
      <c r="AU210" s="512">
        <f t="shared" si="106"/>
        <v>1.0025721439213979</v>
      </c>
      <c r="AV210" s="511">
        <f t="shared" si="107"/>
        <v>300</v>
      </c>
      <c r="AW210" s="558">
        <f t="shared" si="108"/>
        <v>2.5721439213980254E-3</v>
      </c>
      <c r="AX210" s="513">
        <f t="shared" si="109"/>
        <v>1049000</v>
      </c>
      <c r="AY210" s="514">
        <f t="shared" si="110"/>
        <v>0.89970770392175303</v>
      </c>
      <c r="AZ210" s="513">
        <f t="shared" si="111"/>
        <v>116634.22</v>
      </c>
      <c r="BA210" s="515" t="str">
        <f t="shared" si="112"/>
        <v>Vendido</v>
      </c>
      <c r="BB210" s="516" t="str">
        <f t="shared" si="113"/>
        <v>Cliente Atrasado</v>
      </c>
      <c r="BC210" s="551">
        <v>21</v>
      </c>
      <c r="BD210" s="693">
        <f t="shared" si="114"/>
        <v>1</v>
      </c>
      <c r="BE210" s="693">
        <f t="shared" si="115"/>
        <v>22</v>
      </c>
      <c r="BF210" s="517">
        <v>5500</v>
      </c>
      <c r="BG210" s="517">
        <v>5292</v>
      </c>
      <c r="BH210" s="693">
        <f t="shared" si="116"/>
        <v>16</v>
      </c>
      <c r="BI210" s="693">
        <f t="shared" si="117"/>
        <v>25</v>
      </c>
      <c r="BJ210" s="655">
        <f t="shared" ref="BJ210:BJ241" si="135">(BI210*BG210)+BF210</f>
        <v>137800</v>
      </c>
      <c r="BK210" s="518">
        <f t="shared" si="118"/>
        <v>79682.22</v>
      </c>
      <c r="BL210" s="518">
        <f t="shared" si="119"/>
        <v>37252</v>
      </c>
      <c r="BM210" s="518">
        <f t="shared" si="120"/>
        <v>0</v>
      </c>
      <c r="BN210" s="518">
        <f t="shared" si="121"/>
        <v>0</v>
      </c>
      <c r="BO210" s="655">
        <f t="shared" si="105"/>
        <v>20865.78</v>
      </c>
      <c r="BP210" s="693">
        <f t="shared" si="122"/>
        <v>4</v>
      </c>
      <c r="BQ210" s="696"/>
      <c r="BR210" s="519"/>
      <c r="BT210" s="439">
        <f t="shared" si="123"/>
        <v>-20865.78</v>
      </c>
      <c r="BU210" s="439">
        <f t="shared" si="124"/>
        <v>-20865.78</v>
      </c>
      <c r="BV210" s="439">
        <f t="shared" si="125"/>
        <v>0</v>
      </c>
      <c r="BY210" s="862">
        <f t="shared" si="126"/>
        <v>746709.93</v>
      </c>
      <c r="BZ210" s="862">
        <f t="shared" si="127"/>
        <v>320018.54200000002</v>
      </c>
      <c r="CA210" s="862">
        <f t="shared" si="128"/>
        <v>89605.19</v>
      </c>
      <c r="CB210" s="862">
        <f t="shared" si="129"/>
        <v>9600.56</v>
      </c>
      <c r="CC210" s="863">
        <f t="shared" si="130"/>
        <v>836315.12</v>
      </c>
      <c r="CD210" s="863">
        <f t="shared" si="131"/>
        <v>329619.09999999998</v>
      </c>
      <c r="CE210" s="864">
        <f t="shared" si="132"/>
        <v>1165934.22</v>
      </c>
      <c r="CF210" s="862">
        <f t="shared" si="133"/>
        <v>0</v>
      </c>
    </row>
    <row r="211" spans="1:84" s="429" customFormat="1" ht="13.9" customHeight="1" x14ac:dyDescent="0.25">
      <c r="A211" s="472"/>
      <c r="B211" s="436">
        <v>1118</v>
      </c>
      <c r="C211" s="436" t="s">
        <v>599</v>
      </c>
      <c r="D211" s="436"/>
      <c r="E211" s="436" t="s">
        <v>366</v>
      </c>
      <c r="F211" s="429" t="s">
        <v>616</v>
      </c>
      <c r="G211" s="473">
        <v>45463</v>
      </c>
      <c r="H211" s="436" t="s">
        <v>128</v>
      </c>
      <c r="I211" s="472">
        <v>1181000</v>
      </c>
      <c r="J211" s="472">
        <v>118100</v>
      </c>
      <c r="K211" s="507">
        <v>0</v>
      </c>
      <c r="L211" s="507">
        <v>0</v>
      </c>
      <c r="M211" s="507">
        <v>0</v>
      </c>
      <c r="N211" s="507">
        <v>0</v>
      </c>
      <c r="O211" s="507">
        <v>0</v>
      </c>
      <c r="P211" s="507">
        <v>0</v>
      </c>
      <c r="Q211" s="507">
        <v>0</v>
      </c>
      <c r="R211" s="507">
        <v>0</v>
      </c>
      <c r="S211" s="507">
        <v>0</v>
      </c>
      <c r="T211" s="507">
        <v>0</v>
      </c>
      <c r="U211" s="507">
        <v>0</v>
      </c>
      <c r="V211" s="507">
        <v>0</v>
      </c>
      <c r="W211" s="507">
        <v>0</v>
      </c>
      <c r="X211" s="507">
        <v>0</v>
      </c>
      <c r="Y211" s="507">
        <v>0</v>
      </c>
      <c r="Z211" s="507">
        <v>10000</v>
      </c>
      <c r="AA211" s="507">
        <v>6006</v>
      </c>
      <c r="AB211" s="507">
        <v>6006</v>
      </c>
      <c r="AC211" s="507">
        <v>6006</v>
      </c>
      <c r="AD211" s="507">
        <v>6006</v>
      </c>
      <c r="AE211" s="507">
        <v>6006</v>
      </c>
      <c r="AF211" s="507">
        <v>6006</v>
      </c>
      <c r="AG211" s="507">
        <v>6006</v>
      </c>
      <c r="AH211" s="507">
        <v>6006</v>
      </c>
      <c r="AI211" s="507">
        <v>6006</v>
      </c>
      <c r="AJ211" s="507">
        <v>6006</v>
      </c>
      <c r="AK211" s="508">
        <v>6006</v>
      </c>
      <c r="AL211" s="508">
        <v>6006</v>
      </c>
      <c r="AM211" s="509">
        <v>6006</v>
      </c>
      <c r="AN211" s="509">
        <v>6006</v>
      </c>
      <c r="AO211" s="509">
        <v>6006</v>
      </c>
      <c r="AP211" s="509">
        <v>6006</v>
      </c>
      <c r="AQ211" s="509">
        <v>6006</v>
      </c>
      <c r="AR211" s="509"/>
      <c r="AS211" s="509">
        <v>4532.22</v>
      </c>
      <c r="AT211" s="510">
        <f t="shared" si="134"/>
        <v>116634.22</v>
      </c>
      <c r="AU211" s="512">
        <f t="shared" si="106"/>
        <v>0.98758865368331927</v>
      </c>
      <c r="AV211" s="511">
        <f t="shared" si="107"/>
        <v>-1465.7799999999988</v>
      </c>
      <c r="AW211" s="558">
        <f t="shared" si="108"/>
        <v>-1.2411346316680769E-2</v>
      </c>
      <c r="AX211" s="513">
        <f t="shared" si="109"/>
        <v>1064365.78</v>
      </c>
      <c r="AY211" s="514">
        <f t="shared" si="110"/>
        <v>0.90124113463166811</v>
      </c>
      <c r="AZ211" s="513">
        <f t="shared" si="111"/>
        <v>118100</v>
      </c>
      <c r="BA211" s="515" t="str">
        <f t="shared" si="112"/>
        <v>Vendido</v>
      </c>
      <c r="BB211" s="516" t="str">
        <f t="shared" si="113"/>
        <v>Cliente Atrasado</v>
      </c>
      <c r="BC211" s="551">
        <v>18</v>
      </c>
      <c r="BD211" s="693">
        <f t="shared" si="114"/>
        <v>1</v>
      </c>
      <c r="BE211" s="693">
        <f t="shared" si="115"/>
        <v>19</v>
      </c>
      <c r="BF211" s="517">
        <v>10000</v>
      </c>
      <c r="BG211" s="517">
        <v>6006</v>
      </c>
      <c r="BH211" s="693">
        <f t="shared" si="116"/>
        <v>18</v>
      </c>
      <c r="BI211" s="693">
        <f t="shared" si="117"/>
        <v>19</v>
      </c>
      <c r="BJ211" s="655">
        <f t="shared" si="135"/>
        <v>124114</v>
      </c>
      <c r="BK211" s="518">
        <f t="shared" si="118"/>
        <v>106634.22</v>
      </c>
      <c r="BL211" s="518">
        <f t="shared" si="119"/>
        <v>10000</v>
      </c>
      <c r="BM211" s="518">
        <f t="shared" si="120"/>
        <v>0</v>
      </c>
      <c r="BN211" s="518">
        <f t="shared" si="121"/>
        <v>0</v>
      </c>
      <c r="BO211" s="655">
        <f t="shared" si="105"/>
        <v>7479.7799999999988</v>
      </c>
      <c r="BP211" s="693">
        <f t="shared" si="122"/>
        <v>2</v>
      </c>
      <c r="BQ211" s="696"/>
      <c r="BR211" s="519"/>
      <c r="BT211" s="439">
        <f t="shared" si="123"/>
        <v>-7479.7799999999988</v>
      </c>
      <c r="BU211" s="439">
        <f t="shared" si="124"/>
        <v>-7479.7799999999988</v>
      </c>
      <c r="BV211" s="439">
        <f t="shared" si="125"/>
        <v>0</v>
      </c>
      <c r="BY211" s="862">
        <f t="shared" si="126"/>
        <v>756358.64599999995</v>
      </c>
      <c r="BZ211" s="862">
        <f t="shared" si="127"/>
        <v>324153.70500000002</v>
      </c>
      <c r="CA211" s="862">
        <f t="shared" si="128"/>
        <v>90763.04</v>
      </c>
      <c r="CB211" s="862">
        <f t="shared" si="129"/>
        <v>9724.61</v>
      </c>
      <c r="CC211" s="863">
        <f t="shared" si="130"/>
        <v>847121.69</v>
      </c>
      <c r="CD211" s="863">
        <f t="shared" si="131"/>
        <v>333878.32</v>
      </c>
      <c r="CE211" s="864">
        <f t="shared" si="132"/>
        <v>1181000.01</v>
      </c>
      <c r="CF211" s="862">
        <f t="shared" si="133"/>
        <v>1.0000000009313226E-2</v>
      </c>
    </row>
    <row r="212" spans="1:84" s="429" customFormat="1" ht="13.9" customHeight="1" x14ac:dyDescent="0.25">
      <c r="A212" s="472"/>
      <c r="B212" s="436">
        <v>1201</v>
      </c>
      <c r="C212" s="436" t="s">
        <v>617</v>
      </c>
      <c r="D212" s="436"/>
      <c r="E212" s="436" t="s">
        <v>366</v>
      </c>
      <c r="F212" s="429" t="s">
        <v>618</v>
      </c>
      <c r="G212" s="473">
        <v>45461</v>
      </c>
      <c r="H212" s="436" t="s">
        <v>128</v>
      </c>
      <c r="I212" s="472">
        <v>1253700</v>
      </c>
      <c r="J212" s="472">
        <v>125400</v>
      </c>
      <c r="K212" s="507">
        <v>0</v>
      </c>
      <c r="L212" s="507">
        <v>0</v>
      </c>
      <c r="M212" s="507">
        <v>0</v>
      </c>
      <c r="N212" s="507">
        <v>0</v>
      </c>
      <c r="O212" s="507">
        <v>0</v>
      </c>
      <c r="P212" s="507">
        <v>0</v>
      </c>
      <c r="Q212" s="507">
        <v>0</v>
      </c>
      <c r="R212" s="507">
        <v>0</v>
      </c>
      <c r="S212" s="507">
        <v>0</v>
      </c>
      <c r="T212" s="507">
        <v>0</v>
      </c>
      <c r="U212" s="507">
        <v>0</v>
      </c>
      <c r="V212" s="507">
        <v>0</v>
      </c>
      <c r="W212" s="507">
        <v>0</v>
      </c>
      <c r="X212" s="507">
        <v>0</v>
      </c>
      <c r="Y212" s="507">
        <v>0</v>
      </c>
      <c r="Z212" s="507">
        <v>10000</v>
      </c>
      <c r="AA212" s="507">
        <v>6500</v>
      </c>
      <c r="AB212" s="507">
        <v>6500</v>
      </c>
      <c r="AC212" s="507">
        <v>6500</v>
      </c>
      <c r="AD212" s="507">
        <v>6500</v>
      </c>
      <c r="AE212" s="507">
        <v>0</v>
      </c>
      <c r="AF212" s="507">
        <v>6500</v>
      </c>
      <c r="AG212" s="507">
        <v>6500</v>
      </c>
      <c r="AH212" s="507">
        <v>6500</v>
      </c>
      <c r="AI212" s="507">
        <v>0</v>
      </c>
      <c r="AJ212" s="507">
        <f>6500+6500</f>
        <v>13000</v>
      </c>
      <c r="AK212" s="508">
        <v>6500</v>
      </c>
      <c r="AL212" s="508">
        <v>6500</v>
      </c>
      <c r="AM212" s="509">
        <v>6500</v>
      </c>
      <c r="AN212" s="509">
        <v>6500</v>
      </c>
      <c r="AO212" s="509">
        <v>6500</v>
      </c>
      <c r="AP212" s="509">
        <v>0</v>
      </c>
      <c r="AQ212" s="509">
        <v>0</v>
      </c>
      <c r="AR212" s="509"/>
      <c r="AS212" s="509"/>
      <c r="AT212" s="510">
        <f t="shared" si="134"/>
        <v>101000</v>
      </c>
      <c r="AU212" s="512">
        <f t="shared" si="106"/>
        <v>0.80542264752791071</v>
      </c>
      <c r="AV212" s="511">
        <f t="shared" si="107"/>
        <v>-24400</v>
      </c>
      <c r="AW212" s="558">
        <f t="shared" si="108"/>
        <v>-0.19457735247208932</v>
      </c>
      <c r="AX212" s="513">
        <f t="shared" si="109"/>
        <v>1152700</v>
      </c>
      <c r="AY212" s="514">
        <f t="shared" si="110"/>
        <v>0.91943846215202996</v>
      </c>
      <c r="AZ212" s="513">
        <f t="shared" si="111"/>
        <v>125400</v>
      </c>
      <c r="BA212" s="515" t="str">
        <f t="shared" si="112"/>
        <v>Vendido</v>
      </c>
      <c r="BB212" s="516" t="str">
        <f t="shared" si="113"/>
        <v>Cliente Atrasado</v>
      </c>
      <c r="BC212" s="551">
        <v>18</v>
      </c>
      <c r="BD212" s="693">
        <f t="shared" si="114"/>
        <v>1</v>
      </c>
      <c r="BE212" s="693">
        <f t="shared" si="115"/>
        <v>19</v>
      </c>
      <c r="BF212" s="517">
        <v>10000</v>
      </c>
      <c r="BG212" s="517">
        <v>6500</v>
      </c>
      <c r="BH212" s="693">
        <f t="shared" si="116"/>
        <v>12</v>
      </c>
      <c r="BI212" s="693">
        <f t="shared" si="117"/>
        <v>19</v>
      </c>
      <c r="BJ212" s="655">
        <f t="shared" si="135"/>
        <v>133500</v>
      </c>
      <c r="BK212" s="518">
        <f t="shared" si="118"/>
        <v>78000</v>
      </c>
      <c r="BL212" s="518">
        <f t="shared" si="119"/>
        <v>23000</v>
      </c>
      <c r="BM212" s="518">
        <f t="shared" si="120"/>
        <v>0</v>
      </c>
      <c r="BN212" s="518">
        <f t="shared" si="121"/>
        <v>0</v>
      </c>
      <c r="BO212" s="655">
        <f t="shared" si="105"/>
        <v>32500</v>
      </c>
      <c r="BP212" s="693">
        <f t="shared" si="122"/>
        <v>5</v>
      </c>
      <c r="BQ212" s="696"/>
      <c r="BR212" s="519" t="s">
        <v>426</v>
      </c>
      <c r="BT212" s="439">
        <f t="shared" si="123"/>
        <v>-32500</v>
      </c>
      <c r="BU212" s="439">
        <f t="shared" si="124"/>
        <v>-32500</v>
      </c>
      <c r="BV212" s="439">
        <f t="shared" si="125"/>
        <v>0</v>
      </c>
      <c r="BY212" s="862">
        <f t="shared" si="126"/>
        <v>802918.57299999997</v>
      </c>
      <c r="BZ212" s="862">
        <f t="shared" si="127"/>
        <v>344107.96</v>
      </c>
      <c r="CA212" s="862">
        <f t="shared" si="128"/>
        <v>96350.23</v>
      </c>
      <c r="CB212" s="862">
        <f t="shared" si="129"/>
        <v>10323.24</v>
      </c>
      <c r="CC212" s="863">
        <f t="shared" si="130"/>
        <v>899268.8</v>
      </c>
      <c r="CD212" s="863">
        <f t="shared" si="131"/>
        <v>354431.2</v>
      </c>
      <c r="CE212" s="864">
        <f t="shared" si="132"/>
        <v>1253700</v>
      </c>
      <c r="CF212" s="862">
        <f t="shared" si="133"/>
        <v>0</v>
      </c>
    </row>
    <row r="213" spans="1:84" s="429" customFormat="1" ht="13.9" customHeight="1" x14ac:dyDescent="0.25">
      <c r="A213" s="472"/>
      <c r="B213" s="436">
        <v>1202</v>
      </c>
      <c r="C213" s="436" t="s">
        <v>619</v>
      </c>
      <c r="D213" s="436"/>
      <c r="E213" s="436" t="s">
        <v>366</v>
      </c>
      <c r="F213" s="429" t="s">
        <v>620</v>
      </c>
      <c r="G213" s="473">
        <v>45350</v>
      </c>
      <c r="H213" s="436" t="s">
        <v>128</v>
      </c>
      <c r="I213" s="472">
        <v>1265500</v>
      </c>
      <c r="J213" s="472">
        <v>126600</v>
      </c>
      <c r="K213" s="507">
        <v>0</v>
      </c>
      <c r="L213" s="507">
        <v>0</v>
      </c>
      <c r="M213" s="507">
        <v>0</v>
      </c>
      <c r="N213" s="507">
        <v>0</v>
      </c>
      <c r="O213" s="507">
        <v>0</v>
      </c>
      <c r="P213" s="507">
        <v>0</v>
      </c>
      <c r="Q213" s="507">
        <v>0</v>
      </c>
      <c r="R213" s="507">
        <v>0</v>
      </c>
      <c r="S213" s="507">
        <v>0</v>
      </c>
      <c r="T213" s="507">
        <v>0</v>
      </c>
      <c r="U213" s="507">
        <v>0</v>
      </c>
      <c r="V213" s="507">
        <v>8000</v>
      </c>
      <c r="W213" s="507">
        <v>6242</v>
      </c>
      <c r="X213" s="507">
        <v>6242</v>
      </c>
      <c r="Y213" s="507">
        <v>6242</v>
      </c>
      <c r="Z213" s="507">
        <v>6242</v>
      </c>
      <c r="AA213" s="507">
        <v>6242</v>
      </c>
      <c r="AB213" s="507">
        <v>6242</v>
      </c>
      <c r="AC213" s="507">
        <v>6242</v>
      </c>
      <c r="AD213" s="507">
        <v>6242</v>
      </c>
      <c r="AE213" s="507">
        <v>6242</v>
      </c>
      <c r="AF213" s="507">
        <v>6242</v>
      </c>
      <c r="AG213" s="507">
        <v>6242</v>
      </c>
      <c r="AH213" s="507">
        <v>6242</v>
      </c>
      <c r="AI213" s="507">
        <v>6242</v>
      </c>
      <c r="AJ213" s="507">
        <v>6242</v>
      </c>
      <c r="AK213" s="508">
        <v>6242</v>
      </c>
      <c r="AL213" s="508">
        <v>6242</v>
      </c>
      <c r="AM213" s="509">
        <v>6242</v>
      </c>
      <c r="AN213" s="509">
        <v>6242</v>
      </c>
      <c r="AO213" s="509">
        <v>6244</v>
      </c>
      <c r="AP213" s="509">
        <v>0</v>
      </c>
      <c r="AQ213" s="509">
        <v>0</v>
      </c>
      <c r="AR213" s="509"/>
      <c r="AS213" s="509"/>
      <c r="AT213" s="510">
        <f t="shared" si="134"/>
        <v>126600</v>
      </c>
      <c r="AU213" s="512">
        <f t="shared" si="106"/>
        <v>1</v>
      </c>
      <c r="AV213" s="511">
        <f t="shared" si="107"/>
        <v>0</v>
      </c>
      <c r="AW213" s="558">
        <f t="shared" si="108"/>
        <v>0</v>
      </c>
      <c r="AX213" s="513">
        <f t="shared" si="109"/>
        <v>1138900</v>
      </c>
      <c r="AY213" s="514">
        <f t="shared" si="110"/>
        <v>0.89996048992493083</v>
      </c>
      <c r="AZ213" s="513">
        <f t="shared" si="111"/>
        <v>126600</v>
      </c>
      <c r="BA213" s="515" t="str">
        <f t="shared" si="112"/>
        <v>Vendido</v>
      </c>
      <c r="BB213" s="516" t="str">
        <f t="shared" si="113"/>
        <v>Cliente Atrasado</v>
      </c>
      <c r="BC213" s="551">
        <v>19</v>
      </c>
      <c r="BD213" s="693">
        <f t="shared" si="114"/>
        <v>1</v>
      </c>
      <c r="BE213" s="693">
        <f t="shared" si="115"/>
        <v>20</v>
      </c>
      <c r="BF213" s="517">
        <v>8000</v>
      </c>
      <c r="BG213" s="517">
        <v>6242</v>
      </c>
      <c r="BH213" s="693">
        <f t="shared" si="116"/>
        <v>19</v>
      </c>
      <c r="BI213" s="693">
        <f t="shared" si="117"/>
        <v>22</v>
      </c>
      <c r="BJ213" s="655">
        <f t="shared" si="135"/>
        <v>145324</v>
      </c>
      <c r="BK213" s="518">
        <f t="shared" si="118"/>
        <v>112356</v>
      </c>
      <c r="BL213" s="518">
        <f t="shared" si="119"/>
        <v>14244</v>
      </c>
      <c r="BM213" s="518">
        <f t="shared" si="120"/>
        <v>0</v>
      </c>
      <c r="BN213" s="518">
        <f t="shared" si="121"/>
        <v>0</v>
      </c>
      <c r="BO213" s="655">
        <f t="shared" si="105"/>
        <v>18724</v>
      </c>
      <c r="BP213" s="693">
        <f t="shared" si="122"/>
        <v>3</v>
      </c>
      <c r="BQ213" s="696"/>
      <c r="BR213" s="519"/>
      <c r="BT213" s="439">
        <f t="shared" si="123"/>
        <v>-18724</v>
      </c>
      <c r="BU213" s="439">
        <f t="shared" si="124"/>
        <v>-18724</v>
      </c>
      <c r="BV213" s="439">
        <f t="shared" si="125"/>
        <v>0</v>
      </c>
      <c r="BY213" s="862">
        <f t="shared" si="126"/>
        <v>810475.755</v>
      </c>
      <c r="BZ213" s="862">
        <f t="shared" si="127"/>
        <v>347346.75199999998</v>
      </c>
      <c r="CA213" s="862">
        <f t="shared" si="128"/>
        <v>97257.09</v>
      </c>
      <c r="CB213" s="862">
        <f t="shared" si="129"/>
        <v>10420.4</v>
      </c>
      <c r="CC213" s="863">
        <f t="shared" si="130"/>
        <v>907732.85</v>
      </c>
      <c r="CD213" s="863">
        <f t="shared" si="131"/>
        <v>357767.15</v>
      </c>
      <c r="CE213" s="864">
        <f t="shared" si="132"/>
        <v>1265500</v>
      </c>
      <c r="CF213" s="862">
        <f t="shared" si="133"/>
        <v>0</v>
      </c>
    </row>
    <row r="214" spans="1:84" s="429" customFormat="1" ht="13.9" customHeight="1" x14ac:dyDescent="0.25">
      <c r="A214" s="472"/>
      <c r="B214" s="436">
        <v>1203</v>
      </c>
      <c r="C214" s="436" t="s">
        <v>400</v>
      </c>
      <c r="D214" s="436"/>
      <c r="E214" s="436" t="s">
        <v>366</v>
      </c>
      <c r="F214" s="429" t="s">
        <v>621</v>
      </c>
      <c r="G214" s="473">
        <v>45165</v>
      </c>
      <c r="H214" s="436" t="s">
        <v>128</v>
      </c>
      <c r="I214" s="472">
        <v>901400</v>
      </c>
      <c r="J214" s="472">
        <v>90200</v>
      </c>
      <c r="K214" s="507">
        <v>0</v>
      </c>
      <c r="L214" s="507">
        <v>0</v>
      </c>
      <c r="M214" s="507">
        <v>0</v>
      </c>
      <c r="N214" s="507">
        <v>0</v>
      </c>
      <c r="O214" s="507">
        <v>0</v>
      </c>
      <c r="P214" s="507">
        <v>6000</v>
      </c>
      <c r="Q214" s="507">
        <v>3630</v>
      </c>
      <c r="R214" s="507">
        <v>3630</v>
      </c>
      <c r="S214" s="507">
        <v>0</v>
      </c>
      <c r="T214" s="507">
        <v>7260</v>
      </c>
      <c r="U214" s="507">
        <v>3630</v>
      </c>
      <c r="V214" s="507">
        <v>0</v>
      </c>
      <c r="W214" s="507">
        <v>3630</v>
      </c>
      <c r="X214" s="507">
        <v>7260</v>
      </c>
      <c r="Y214" s="507">
        <v>0</v>
      </c>
      <c r="Z214" s="507">
        <v>7260</v>
      </c>
      <c r="AA214" s="507">
        <v>0</v>
      </c>
      <c r="AB214" s="507">
        <v>0</v>
      </c>
      <c r="AC214" s="507">
        <v>3630</v>
      </c>
      <c r="AD214" s="507">
        <v>3630</v>
      </c>
      <c r="AE214" s="507">
        <f>3630+3630</f>
        <v>7260</v>
      </c>
      <c r="AF214" s="507">
        <v>0</v>
      </c>
      <c r="AG214" s="507">
        <v>0</v>
      </c>
      <c r="AH214" s="507">
        <f>3630+3630+3630</f>
        <v>10890</v>
      </c>
      <c r="AI214" s="507">
        <v>0</v>
      </c>
      <c r="AJ214" s="507">
        <v>10890</v>
      </c>
      <c r="AK214" s="508"/>
      <c r="AL214" s="509">
        <v>7260</v>
      </c>
      <c r="AM214" s="509"/>
      <c r="AN214" s="509">
        <v>0</v>
      </c>
      <c r="AO214" s="509">
        <v>4430</v>
      </c>
      <c r="AP214" s="509">
        <v>0</v>
      </c>
      <c r="AQ214" s="509">
        <v>90</v>
      </c>
      <c r="AR214" s="509"/>
      <c r="AS214" s="509"/>
      <c r="AT214" s="510">
        <f t="shared" si="134"/>
        <v>90380</v>
      </c>
      <c r="AU214" s="512">
        <f t="shared" si="106"/>
        <v>1.0019955654101995</v>
      </c>
      <c r="AV214" s="511">
        <f t="shared" si="107"/>
        <v>180</v>
      </c>
      <c r="AW214" s="558">
        <f t="shared" si="108"/>
        <v>1.9955654101995565E-3</v>
      </c>
      <c r="AX214" s="513">
        <f t="shared" si="109"/>
        <v>811020</v>
      </c>
      <c r="AY214" s="514">
        <f t="shared" si="110"/>
        <v>0.8997337475038828</v>
      </c>
      <c r="AZ214" s="513">
        <f t="shared" si="111"/>
        <v>90200</v>
      </c>
      <c r="BA214" s="515" t="str">
        <f t="shared" si="112"/>
        <v>Vendido</v>
      </c>
      <c r="BB214" s="516" t="str">
        <f t="shared" si="113"/>
        <v>Cliente Atrasado</v>
      </c>
      <c r="BC214" s="551">
        <v>25</v>
      </c>
      <c r="BD214" s="693">
        <f t="shared" si="114"/>
        <v>1</v>
      </c>
      <c r="BE214" s="693">
        <f t="shared" si="115"/>
        <v>26</v>
      </c>
      <c r="BF214" s="517">
        <v>6000</v>
      </c>
      <c r="BG214" s="517">
        <v>3368</v>
      </c>
      <c r="BH214" s="693">
        <f t="shared" si="116"/>
        <v>8</v>
      </c>
      <c r="BI214" s="693">
        <f t="shared" si="117"/>
        <v>28</v>
      </c>
      <c r="BJ214" s="655">
        <f t="shared" si="135"/>
        <v>100304</v>
      </c>
      <c r="BK214" s="518">
        <f t="shared" si="118"/>
        <v>90</v>
      </c>
      <c r="BL214" s="518">
        <f t="shared" si="119"/>
        <v>90290</v>
      </c>
      <c r="BM214" s="518">
        <f t="shared" si="120"/>
        <v>0</v>
      </c>
      <c r="BN214" s="518">
        <f t="shared" si="121"/>
        <v>0</v>
      </c>
      <c r="BO214" s="655">
        <f t="shared" si="105"/>
        <v>9924</v>
      </c>
      <c r="BP214" s="693">
        <f t="shared" si="122"/>
        <v>3</v>
      </c>
      <c r="BQ214" s="696"/>
      <c r="BR214" s="519"/>
      <c r="BT214" s="439">
        <f t="shared" si="123"/>
        <v>-9924</v>
      </c>
      <c r="BU214" s="439">
        <f t="shared" si="124"/>
        <v>-9924</v>
      </c>
      <c r="BV214" s="439">
        <f t="shared" si="125"/>
        <v>0</v>
      </c>
      <c r="BY214" s="862">
        <f t="shared" si="126"/>
        <v>577291.85699999996</v>
      </c>
      <c r="BZ214" s="862">
        <f t="shared" si="127"/>
        <v>247410.796</v>
      </c>
      <c r="CA214" s="862">
        <f t="shared" si="128"/>
        <v>69275.02</v>
      </c>
      <c r="CB214" s="862">
        <f t="shared" si="129"/>
        <v>7422.32</v>
      </c>
      <c r="CC214" s="863">
        <f t="shared" si="130"/>
        <v>646566.88</v>
      </c>
      <c r="CD214" s="863">
        <f t="shared" si="131"/>
        <v>254833.12</v>
      </c>
      <c r="CE214" s="864">
        <f t="shared" si="132"/>
        <v>901400</v>
      </c>
      <c r="CF214" s="862">
        <f t="shared" si="133"/>
        <v>0</v>
      </c>
    </row>
    <row r="215" spans="1:84" s="429" customFormat="1" ht="13.9" customHeight="1" x14ac:dyDescent="0.25">
      <c r="A215" s="472"/>
      <c r="B215" s="436">
        <v>1204</v>
      </c>
      <c r="C215" s="436" t="s">
        <v>175</v>
      </c>
      <c r="D215" s="436"/>
      <c r="E215" s="436" t="s">
        <v>366</v>
      </c>
      <c r="F215" s="429" t="s">
        <v>622</v>
      </c>
      <c r="G215" s="473">
        <v>45336</v>
      </c>
      <c r="H215" s="436" t="s">
        <v>128</v>
      </c>
      <c r="I215" s="472">
        <v>887400</v>
      </c>
      <c r="J215" s="472">
        <v>88800</v>
      </c>
      <c r="K215" s="507">
        <v>0</v>
      </c>
      <c r="L215" s="507">
        <v>0</v>
      </c>
      <c r="M215" s="507">
        <v>0</v>
      </c>
      <c r="N215" s="507">
        <v>0</v>
      </c>
      <c r="O215" s="507">
        <v>0</v>
      </c>
      <c r="P215" s="507">
        <v>0</v>
      </c>
      <c r="Q215" s="507">
        <v>0</v>
      </c>
      <c r="R215" s="507">
        <v>0</v>
      </c>
      <c r="S215" s="507">
        <v>0</v>
      </c>
      <c r="T215" s="507">
        <v>0</v>
      </c>
      <c r="U215" s="507">
        <v>0</v>
      </c>
      <c r="V215" s="507">
        <v>8000</v>
      </c>
      <c r="W215" s="507">
        <v>4253</v>
      </c>
      <c r="X215" s="507">
        <v>4253</v>
      </c>
      <c r="Y215" s="507">
        <v>4253</v>
      </c>
      <c r="Z215" s="507">
        <v>4253</v>
      </c>
      <c r="AA215" s="507">
        <v>4253</v>
      </c>
      <c r="AB215" s="507">
        <v>4253</v>
      </c>
      <c r="AC215" s="507">
        <v>4253</v>
      </c>
      <c r="AD215" s="507">
        <v>4253</v>
      </c>
      <c r="AE215" s="507">
        <v>4253</v>
      </c>
      <c r="AF215" s="507">
        <v>4253</v>
      </c>
      <c r="AG215" s="507">
        <v>4253</v>
      </c>
      <c r="AH215" s="507">
        <v>4253</v>
      </c>
      <c r="AI215" s="507">
        <v>4253</v>
      </c>
      <c r="AJ215" s="507">
        <v>4253</v>
      </c>
      <c r="AK215" s="508">
        <v>4253</v>
      </c>
      <c r="AL215" s="508">
        <v>4253</v>
      </c>
      <c r="AM215" s="509">
        <v>4253</v>
      </c>
      <c r="AN215" s="509">
        <v>4253</v>
      </c>
      <c r="AO215" s="509">
        <v>4246</v>
      </c>
      <c r="AP215" s="509">
        <v>0</v>
      </c>
      <c r="AQ215" s="509">
        <v>0</v>
      </c>
      <c r="AR215" s="509"/>
      <c r="AS215" s="509"/>
      <c r="AT215" s="510">
        <f t="shared" si="134"/>
        <v>88800</v>
      </c>
      <c r="AU215" s="512">
        <f t="shared" si="106"/>
        <v>1</v>
      </c>
      <c r="AV215" s="511">
        <f t="shared" si="107"/>
        <v>0</v>
      </c>
      <c r="AW215" s="558">
        <f t="shared" si="108"/>
        <v>0</v>
      </c>
      <c r="AX215" s="513">
        <f t="shared" si="109"/>
        <v>798600</v>
      </c>
      <c r="AY215" s="514">
        <f t="shared" si="110"/>
        <v>0.89993238674780252</v>
      </c>
      <c r="AZ215" s="513">
        <f t="shared" si="111"/>
        <v>88800</v>
      </c>
      <c r="BA215" s="515" t="str">
        <f t="shared" si="112"/>
        <v>Vendido</v>
      </c>
      <c r="BB215" s="516" t="str">
        <f t="shared" si="113"/>
        <v>Cliente Atrasado</v>
      </c>
      <c r="BC215" s="551">
        <v>19</v>
      </c>
      <c r="BD215" s="693">
        <f t="shared" si="114"/>
        <v>1</v>
      </c>
      <c r="BE215" s="693">
        <f t="shared" si="115"/>
        <v>20</v>
      </c>
      <c r="BF215" s="517">
        <v>8000</v>
      </c>
      <c r="BG215" s="517">
        <v>4253</v>
      </c>
      <c r="BH215" s="693">
        <f t="shared" si="116"/>
        <v>19</v>
      </c>
      <c r="BI215" s="693">
        <f t="shared" si="117"/>
        <v>23</v>
      </c>
      <c r="BJ215" s="655">
        <f t="shared" si="135"/>
        <v>105819</v>
      </c>
      <c r="BK215" s="518">
        <f t="shared" si="118"/>
        <v>80800</v>
      </c>
      <c r="BL215" s="518">
        <f t="shared" si="119"/>
        <v>8000</v>
      </c>
      <c r="BM215" s="518">
        <f t="shared" si="120"/>
        <v>0</v>
      </c>
      <c r="BN215" s="518">
        <f t="shared" si="121"/>
        <v>0</v>
      </c>
      <c r="BO215" s="655">
        <f t="shared" si="105"/>
        <v>17019</v>
      </c>
      <c r="BP215" s="693">
        <f t="shared" si="122"/>
        <v>5</v>
      </c>
      <c r="BQ215" s="696"/>
      <c r="BR215" s="519"/>
      <c r="BT215" s="439">
        <f t="shared" si="123"/>
        <v>-17019</v>
      </c>
      <c r="BU215" s="439">
        <f t="shared" si="124"/>
        <v>-17019</v>
      </c>
      <c r="BV215" s="439">
        <f t="shared" si="125"/>
        <v>0</v>
      </c>
      <c r="BY215" s="862">
        <f t="shared" si="126"/>
        <v>568325.70900000003</v>
      </c>
      <c r="BZ215" s="862">
        <f t="shared" si="127"/>
        <v>243568.16099999999</v>
      </c>
      <c r="CA215" s="862">
        <f t="shared" si="128"/>
        <v>68199.09</v>
      </c>
      <c r="CB215" s="862">
        <f t="shared" si="129"/>
        <v>7307.04</v>
      </c>
      <c r="CC215" s="863">
        <f t="shared" si="130"/>
        <v>636524.80000000005</v>
      </c>
      <c r="CD215" s="863">
        <f t="shared" si="131"/>
        <v>250875.2</v>
      </c>
      <c r="CE215" s="864">
        <f t="shared" si="132"/>
        <v>887400</v>
      </c>
      <c r="CF215" s="862">
        <f t="shared" si="133"/>
        <v>0</v>
      </c>
    </row>
    <row r="216" spans="1:84" s="429" customFormat="1" ht="13.9" customHeight="1" x14ac:dyDescent="0.25">
      <c r="A216" s="472"/>
      <c r="B216" s="436">
        <v>1205</v>
      </c>
      <c r="C216" s="436" t="s">
        <v>192</v>
      </c>
      <c r="D216" s="436"/>
      <c r="E216" s="436" t="s">
        <v>366</v>
      </c>
      <c r="F216" s="429" t="s">
        <v>623</v>
      </c>
      <c r="G216" s="473">
        <v>45010</v>
      </c>
      <c r="H216" s="436" t="s">
        <v>128</v>
      </c>
      <c r="I216" s="472">
        <v>663200</v>
      </c>
      <c r="J216" s="472">
        <v>66400</v>
      </c>
      <c r="K216" s="507">
        <v>6000</v>
      </c>
      <c r="L216" s="507">
        <v>1726</v>
      </c>
      <c r="M216" s="507">
        <v>1726</v>
      </c>
      <c r="N216" s="507">
        <v>1726</v>
      </c>
      <c r="O216" s="507">
        <v>1726</v>
      </c>
      <c r="P216" s="507">
        <v>1726</v>
      </c>
      <c r="Q216" s="507">
        <v>1726</v>
      </c>
      <c r="R216" s="507">
        <v>1730</v>
      </c>
      <c r="S216" s="507">
        <v>1730</v>
      </c>
      <c r="T216" s="507">
        <v>0</v>
      </c>
      <c r="U216" s="507">
        <v>3450</v>
      </c>
      <c r="V216" s="507">
        <v>0</v>
      </c>
      <c r="W216" s="507">
        <v>3500</v>
      </c>
      <c r="X216" s="507">
        <v>2500</v>
      </c>
      <c r="Y216" s="507">
        <v>1800</v>
      </c>
      <c r="Z216" s="507">
        <v>1800</v>
      </c>
      <c r="AA216" s="507">
        <v>1800</v>
      </c>
      <c r="AB216" s="507">
        <v>1900</v>
      </c>
      <c r="AC216" s="507">
        <v>1800</v>
      </c>
      <c r="AD216" s="507">
        <v>0</v>
      </c>
      <c r="AE216" s="507">
        <v>1800</v>
      </c>
      <c r="AF216" s="507">
        <f>1800+1800</f>
        <v>3600</v>
      </c>
      <c r="AG216" s="507">
        <v>0</v>
      </c>
      <c r="AH216" s="507">
        <v>1800</v>
      </c>
      <c r="AI216" s="507">
        <v>1800</v>
      </c>
      <c r="AJ216" s="507">
        <v>0</v>
      </c>
      <c r="AK216" s="508">
        <v>2000</v>
      </c>
      <c r="AL216" s="508"/>
      <c r="AM216" s="509">
        <v>1800</v>
      </c>
      <c r="AN216" s="509">
        <v>1800</v>
      </c>
      <c r="AO216" s="509">
        <v>3600</v>
      </c>
      <c r="AP216" s="509">
        <v>0</v>
      </c>
      <c r="AQ216" s="509">
        <v>0</v>
      </c>
      <c r="AR216" s="509"/>
      <c r="AS216" s="509">
        <v>1800</v>
      </c>
      <c r="AT216" s="510">
        <f t="shared" si="134"/>
        <v>58366</v>
      </c>
      <c r="AU216" s="512">
        <f t="shared" si="106"/>
        <v>0.87900602409638551</v>
      </c>
      <c r="AV216" s="511">
        <f t="shared" si="107"/>
        <v>-8034</v>
      </c>
      <c r="AW216" s="558">
        <f t="shared" si="108"/>
        <v>-0.12099397590361446</v>
      </c>
      <c r="AX216" s="513">
        <f t="shared" si="109"/>
        <v>604834</v>
      </c>
      <c r="AY216" s="514">
        <f t="shared" si="110"/>
        <v>0.91199336550060317</v>
      </c>
      <c r="AZ216" s="513">
        <f t="shared" si="111"/>
        <v>66400</v>
      </c>
      <c r="BA216" s="515" t="str">
        <f t="shared" si="112"/>
        <v>Vendido</v>
      </c>
      <c r="BB216" s="516" t="str">
        <f t="shared" si="113"/>
        <v>Cliente Atrasado</v>
      </c>
      <c r="BC216" s="551">
        <v>35</v>
      </c>
      <c r="BD216" s="693">
        <f t="shared" si="114"/>
        <v>1</v>
      </c>
      <c r="BE216" s="693">
        <f t="shared" si="115"/>
        <v>36</v>
      </c>
      <c r="BF216" s="517">
        <v>6000</v>
      </c>
      <c r="BG216" s="517">
        <v>1726</v>
      </c>
      <c r="BH216" s="693">
        <f t="shared" si="116"/>
        <v>25</v>
      </c>
      <c r="BI216" s="693">
        <f t="shared" si="117"/>
        <v>34</v>
      </c>
      <c r="BJ216" s="655">
        <f t="shared" si="135"/>
        <v>64684</v>
      </c>
      <c r="BK216" s="518">
        <f t="shared" si="118"/>
        <v>10356</v>
      </c>
      <c r="BL216" s="518">
        <f t="shared" si="119"/>
        <v>48010</v>
      </c>
      <c r="BM216" s="518">
        <f t="shared" si="120"/>
        <v>0</v>
      </c>
      <c r="BN216" s="518">
        <f t="shared" si="121"/>
        <v>0</v>
      </c>
      <c r="BO216" s="655">
        <f t="shared" si="105"/>
        <v>6318</v>
      </c>
      <c r="BP216" s="693">
        <f t="shared" si="122"/>
        <v>4</v>
      </c>
      <c r="BQ216" s="696"/>
      <c r="BR216" s="519" t="s">
        <v>426</v>
      </c>
      <c r="BT216" s="439">
        <f t="shared" si="123"/>
        <v>-6318</v>
      </c>
      <c r="BU216" s="439">
        <f t="shared" si="124"/>
        <v>-6318</v>
      </c>
      <c r="BV216" s="439">
        <f t="shared" si="125"/>
        <v>0</v>
      </c>
      <c r="BY216" s="862">
        <f t="shared" si="126"/>
        <v>424739.25</v>
      </c>
      <c r="BZ216" s="862">
        <f t="shared" si="127"/>
        <v>182031.10699999999</v>
      </c>
      <c r="CA216" s="862">
        <f t="shared" si="128"/>
        <v>50968.71</v>
      </c>
      <c r="CB216" s="862">
        <f t="shared" si="129"/>
        <v>5460.93</v>
      </c>
      <c r="CC216" s="863">
        <f t="shared" si="130"/>
        <v>475707.96</v>
      </c>
      <c r="CD216" s="863">
        <f t="shared" si="131"/>
        <v>187492.04</v>
      </c>
      <c r="CE216" s="864">
        <f t="shared" si="132"/>
        <v>663200</v>
      </c>
      <c r="CF216" s="862">
        <f t="shared" si="133"/>
        <v>0</v>
      </c>
    </row>
    <row r="217" spans="1:84" s="429" customFormat="1" ht="13.9" customHeight="1" x14ac:dyDescent="0.25">
      <c r="A217" s="472"/>
      <c r="B217" s="436">
        <v>1206</v>
      </c>
      <c r="C217" s="436" t="s">
        <v>178</v>
      </c>
      <c r="D217" s="436"/>
      <c r="E217" s="436" t="s">
        <v>356</v>
      </c>
      <c r="F217" s="429" t="s">
        <v>557</v>
      </c>
      <c r="G217" s="473">
        <v>45062</v>
      </c>
      <c r="H217" s="436" t="s">
        <v>128</v>
      </c>
      <c r="I217" s="472">
        <v>691118.49</v>
      </c>
      <c r="J217" s="472">
        <v>69118.490000000005</v>
      </c>
      <c r="K217" s="507">
        <v>0</v>
      </c>
      <c r="L217" s="507">
        <v>0</v>
      </c>
      <c r="M217" s="507">
        <v>6000</v>
      </c>
      <c r="N217" s="507">
        <v>2254</v>
      </c>
      <c r="O217" s="507">
        <v>2254</v>
      </c>
      <c r="P217" s="507">
        <v>2254</v>
      </c>
      <c r="Q217" s="507">
        <v>2254</v>
      </c>
      <c r="R217" s="507">
        <v>2254</v>
      </c>
      <c r="S217" s="507">
        <v>2254</v>
      </c>
      <c r="T217" s="507">
        <v>2254</v>
      </c>
      <c r="U217" s="507">
        <v>2254</v>
      </c>
      <c r="V217" s="507">
        <v>2254</v>
      </c>
      <c r="W217" s="507">
        <v>2254</v>
      </c>
      <c r="X217" s="507">
        <v>2254</v>
      </c>
      <c r="Y217" s="507">
        <v>2254</v>
      </c>
      <c r="Z217" s="507">
        <v>2254</v>
      </c>
      <c r="AA217" s="507">
        <v>2254</v>
      </c>
      <c r="AB217" s="507">
        <v>2254</v>
      </c>
      <c r="AC217" s="507">
        <v>2254</v>
      </c>
      <c r="AD217" s="507">
        <v>2254</v>
      </c>
      <c r="AE217" s="507">
        <v>2254</v>
      </c>
      <c r="AF217" s="507">
        <v>2254</v>
      </c>
      <c r="AG217" s="507">
        <v>2254</v>
      </c>
      <c r="AH217" s="507">
        <v>2254</v>
      </c>
      <c r="AI217" s="507">
        <v>2254</v>
      </c>
      <c r="AJ217" s="507">
        <v>2254</v>
      </c>
      <c r="AK217" s="508">
        <v>2254</v>
      </c>
      <c r="AL217" s="508">
        <v>2254</v>
      </c>
      <c r="AM217" s="509">
        <v>2254</v>
      </c>
      <c r="AN217" s="509">
        <v>0</v>
      </c>
      <c r="AO217" s="509">
        <v>2260.4899999999998</v>
      </c>
      <c r="AP217" s="509">
        <v>0</v>
      </c>
      <c r="AQ217" s="509">
        <v>0</v>
      </c>
      <c r="AR217" s="509"/>
      <c r="AS217" s="509"/>
      <c r="AT217" s="510">
        <f t="shared" si="134"/>
        <v>66864.490000000005</v>
      </c>
      <c r="AU217" s="512">
        <f t="shared" si="106"/>
        <v>0.96738933388157067</v>
      </c>
      <c r="AV217" s="511">
        <f t="shared" si="107"/>
        <v>-2254</v>
      </c>
      <c r="AW217" s="558">
        <f t="shared" si="108"/>
        <v>-3.2610666118429381E-2</v>
      </c>
      <c r="AX217" s="513">
        <f t="shared" si="109"/>
        <v>624254</v>
      </c>
      <c r="AY217" s="514">
        <f t="shared" si="110"/>
        <v>0.90325177090834308</v>
      </c>
      <c r="AZ217" s="513">
        <f t="shared" si="111"/>
        <v>69118.490000000005</v>
      </c>
      <c r="BA217" s="515" t="str">
        <f t="shared" si="112"/>
        <v>Vendido</v>
      </c>
      <c r="BB217" s="516" t="str">
        <f t="shared" si="113"/>
        <v>Cliente Atrasado</v>
      </c>
      <c r="BC217" s="551">
        <v>28</v>
      </c>
      <c r="BD217" s="693">
        <f t="shared" si="114"/>
        <v>1</v>
      </c>
      <c r="BE217" s="693">
        <f t="shared" si="115"/>
        <v>29</v>
      </c>
      <c r="BF217" s="517">
        <v>6000</v>
      </c>
      <c r="BG217" s="644">
        <v>2254</v>
      </c>
      <c r="BH217" s="693">
        <f t="shared" si="116"/>
        <v>27</v>
      </c>
      <c r="BI217" s="693">
        <f t="shared" si="117"/>
        <v>32</v>
      </c>
      <c r="BJ217" s="655">
        <f t="shared" si="135"/>
        <v>78128</v>
      </c>
      <c r="BK217" s="518">
        <f t="shared" si="118"/>
        <v>58604</v>
      </c>
      <c r="BL217" s="518">
        <f t="shared" si="119"/>
        <v>8260.49</v>
      </c>
      <c r="BM217" s="518">
        <f t="shared" si="120"/>
        <v>0</v>
      </c>
      <c r="BN217" s="518">
        <f t="shared" si="121"/>
        <v>0</v>
      </c>
      <c r="BO217" s="655">
        <f t="shared" si="105"/>
        <v>11263.509999999995</v>
      </c>
      <c r="BP217" s="693">
        <f t="shared" si="122"/>
        <v>5</v>
      </c>
      <c r="BQ217" s="696"/>
      <c r="BR217" s="519"/>
      <c r="BT217" s="439">
        <f t="shared" si="123"/>
        <v>-11263.509999999995</v>
      </c>
      <c r="BU217" s="439">
        <f t="shared" si="124"/>
        <v>-11263.509999999995</v>
      </c>
      <c r="BV217" s="439">
        <f t="shared" si="125"/>
        <v>0</v>
      </c>
      <c r="BY217" s="862">
        <f t="shared" si="126"/>
        <v>442619.34399999998</v>
      </c>
      <c r="BZ217" s="862">
        <f t="shared" si="127"/>
        <v>189694.005</v>
      </c>
      <c r="CA217" s="862">
        <f t="shared" si="128"/>
        <v>53114.32</v>
      </c>
      <c r="CB217" s="862">
        <f t="shared" si="129"/>
        <v>5690.82</v>
      </c>
      <c r="CC217" s="863">
        <f t="shared" si="130"/>
        <v>495733.66</v>
      </c>
      <c r="CD217" s="863">
        <f t="shared" si="131"/>
        <v>195384.83</v>
      </c>
      <c r="CE217" s="864">
        <f t="shared" si="132"/>
        <v>691118.49</v>
      </c>
      <c r="CF217" s="862">
        <f t="shared" si="133"/>
        <v>0</v>
      </c>
    </row>
    <row r="218" spans="1:84" s="429" customFormat="1" ht="13.9" customHeight="1" x14ac:dyDescent="0.25">
      <c r="A218" s="472" t="s">
        <v>58</v>
      </c>
      <c r="B218" s="475">
        <v>1207</v>
      </c>
      <c r="C218" s="475" t="s">
        <v>465</v>
      </c>
      <c r="D218" s="475"/>
      <c r="E218" s="475" t="s">
        <v>356</v>
      </c>
      <c r="F218" s="476" t="s">
        <v>624</v>
      </c>
      <c r="G218" s="481">
        <v>45012</v>
      </c>
      <c r="H218" s="436" t="s">
        <v>128</v>
      </c>
      <c r="I218" s="472">
        <v>678932</v>
      </c>
      <c r="J218" s="472">
        <v>67932</v>
      </c>
      <c r="K218" s="507">
        <v>6000</v>
      </c>
      <c r="L218" s="507">
        <v>1500</v>
      </c>
      <c r="M218" s="507">
        <v>1500</v>
      </c>
      <c r="N218" s="507">
        <v>0</v>
      </c>
      <c r="O218" s="507">
        <v>0</v>
      </c>
      <c r="P218" s="507">
        <v>0</v>
      </c>
      <c r="Q218" s="507">
        <v>3000</v>
      </c>
      <c r="R218" s="507">
        <v>1500</v>
      </c>
      <c r="S218" s="507">
        <v>1500</v>
      </c>
      <c r="T218" s="507">
        <v>0</v>
      </c>
      <c r="U218" s="507">
        <v>6000</v>
      </c>
      <c r="V218" s="507">
        <v>0</v>
      </c>
      <c r="W218" s="507">
        <v>1500</v>
      </c>
      <c r="X218" s="507">
        <v>3000</v>
      </c>
      <c r="Y218" s="507">
        <v>0</v>
      </c>
      <c r="Z218" s="507">
        <v>3000</v>
      </c>
      <c r="AA218" s="507">
        <v>0</v>
      </c>
      <c r="AB218" s="507">
        <v>1500</v>
      </c>
      <c r="AC218" s="507">
        <v>0</v>
      </c>
      <c r="AD218" s="507">
        <v>0</v>
      </c>
      <c r="AE218" s="507">
        <v>1500</v>
      </c>
      <c r="AF218" s="507">
        <v>0</v>
      </c>
      <c r="AG218" s="507">
        <v>0</v>
      </c>
      <c r="AH218" s="507">
        <v>0</v>
      </c>
      <c r="AI218" s="507">
        <v>0</v>
      </c>
      <c r="AJ218" s="507">
        <v>0</v>
      </c>
      <c r="AK218" s="508"/>
      <c r="AL218" s="508"/>
      <c r="AM218" s="508"/>
      <c r="AN218" s="509">
        <v>0</v>
      </c>
      <c r="AO218" s="509">
        <v>0</v>
      </c>
      <c r="AP218" s="509">
        <v>0</v>
      </c>
      <c r="AQ218" s="509">
        <v>0</v>
      </c>
      <c r="AR218" s="508"/>
      <c r="AS218" s="508"/>
      <c r="AT218" s="510">
        <f t="shared" si="134"/>
        <v>31500</v>
      </c>
      <c r="AU218" s="512">
        <f t="shared" si="106"/>
        <v>0.4636989931107578</v>
      </c>
      <c r="AV218" s="511">
        <f t="shared" si="107"/>
        <v>-36432</v>
      </c>
      <c r="AW218" s="558">
        <f t="shared" si="108"/>
        <v>-0.5363010068892422</v>
      </c>
      <c r="AX218" s="513">
        <f t="shared" si="109"/>
        <v>647432</v>
      </c>
      <c r="AY218" s="514">
        <f t="shared" si="110"/>
        <v>0.95360360094972696</v>
      </c>
      <c r="AZ218" s="513">
        <f t="shared" si="111"/>
        <v>67932</v>
      </c>
      <c r="BA218" s="515" t="str">
        <f t="shared" si="112"/>
        <v>Vendido</v>
      </c>
      <c r="BB218" s="516" t="str">
        <f t="shared" si="113"/>
        <v>Cliente Atrasado</v>
      </c>
      <c r="BC218" s="551">
        <v>35</v>
      </c>
      <c r="BD218" s="693">
        <f t="shared" si="114"/>
        <v>1</v>
      </c>
      <c r="BE218" s="693">
        <f t="shared" si="115"/>
        <v>36</v>
      </c>
      <c r="BF218" s="517">
        <v>6000</v>
      </c>
      <c r="BG218" s="517">
        <v>1500</v>
      </c>
      <c r="BH218" s="693">
        <f t="shared" si="116"/>
        <v>10</v>
      </c>
      <c r="BI218" s="693">
        <f t="shared" si="117"/>
        <v>33</v>
      </c>
      <c r="BJ218" s="655">
        <f t="shared" si="135"/>
        <v>55500</v>
      </c>
      <c r="BK218" s="518">
        <f t="shared" si="118"/>
        <v>10500</v>
      </c>
      <c r="BL218" s="518">
        <f t="shared" si="119"/>
        <v>21000</v>
      </c>
      <c r="BM218" s="518">
        <f t="shared" si="120"/>
        <v>0</v>
      </c>
      <c r="BN218" s="518">
        <f t="shared" si="121"/>
        <v>0</v>
      </c>
      <c r="BO218" s="655">
        <f t="shared" si="105"/>
        <v>24000</v>
      </c>
      <c r="BP218" s="693" t="str">
        <f t="shared" si="122"/>
        <v/>
      </c>
      <c r="BQ218" s="695" t="s">
        <v>58</v>
      </c>
      <c r="BR218" s="519"/>
      <c r="BT218" s="439">
        <f t="shared" si="123"/>
        <v>-24000</v>
      </c>
      <c r="BU218" s="439">
        <f t="shared" si="124"/>
        <v>-24000</v>
      </c>
      <c r="BV218" s="439">
        <f t="shared" si="125"/>
        <v>0</v>
      </c>
      <c r="BY218" s="862">
        <f t="shared" si="126"/>
        <v>434814.63900000002</v>
      </c>
      <c r="BZ218" s="862">
        <f t="shared" si="127"/>
        <v>186349.13099999999</v>
      </c>
      <c r="CA218" s="862">
        <f t="shared" si="128"/>
        <v>52177.760000000002</v>
      </c>
      <c r="CB218" s="862">
        <f t="shared" si="129"/>
        <v>5590.47</v>
      </c>
      <c r="CC218" s="863">
        <f t="shared" si="130"/>
        <v>486992.4</v>
      </c>
      <c r="CD218" s="863">
        <f t="shared" si="131"/>
        <v>191939.6</v>
      </c>
      <c r="CE218" s="864">
        <f t="shared" si="132"/>
        <v>678932</v>
      </c>
      <c r="CF218" s="862">
        <f t="shared" si="133"/>
        <v>0</v>
      </c>
    </row>
    <row r="219" spans="1:84" s="429" customFormat="1" ht="13.9" customHeight="1" x14ac:dyDescent="0.25">
      <c r="A219" s="472"/>
      <c r="B219" s="436">
        <v>1208</v>
      </c>
      <c r="C219" s="436" t="s">
        <v>467</v>
      </c>
      <c r="D219" s="436"/>
      <c r="E219" s="436" t="s">
        <v>366</v>
      </c>
      <c r="F219" s="429" t="s">
        <v>625</v>
      </c>
      <c r="G219" s="473">
        <v>45031</v>
      </c>
      <c r="H219" s="436" t="s">
        <v>128</v>
      </c>
      <c r="I219" s="472">
        <v>1110600</v>
      </c>
      <c r="J219" s="472">
        <v>111100</v>
      </c>
      <c r="K219" s="507">
        <v>0</v>
      </c>
      <c r="L219" s="507">
        <v>6000</v>
      </c>
      <c r="M219" s="507">
        <v>3624</v>
      </c>
      <c r="N219" s="507">
        <v>3624</v>
      </c>
      <c r="O219" s="507">
        <v>3624</v>
      </c>
      <c r="P219" s="507">
        <v>3624</v>
      </c>
      <c r="Q219" s="507">
        <v>3624</v>
      </c>
      <c r="R219" s="507">
        <v>3624</v>
      </c>
      <c r="S219" s="507">
        <v>3624</v>
      </c>
      <c r="T219" s="507">
        <v>3624</v>
      </c>
      <c r="U219" s="507">
        <v>3624</v>
      </c>
      <c r="V219" s="507">
        <v>3624</v>
      </c>
      <c r="W219" s="507">
        <v>3624</v>
      </c>
      <c r="X219" s="507">
        <v>3624</v>
      </c>
      <c r="Y219" s="507">
        <v>3624</v>
      </c>
      <c r="Z219" s="507">
        <v>0</v>
      </c>
      <c r="AA219" s="507">
        <v>7248</v>
      </c>
      <c r="AB219" s="507">
        <v>0</v>
      </c>
      <c r="AC219" s="507">
        <v>0</v>
      </c>
      <c r="AD219" s="507">
        <v>7248</v>
      </c>
      <c r="AE219" s="507">
        <v>7248</v>
      </c>
      <c r="AF219" s="507">
        <v>3624</v>
      </c>
      <c r="AG219" s="507">
        <v>3624</v>
      </c>
      <c r="AH219" s="507">
        <v>3624</v>
      </c>
      <c r="AI219" s="507">
        <v>3624</v>
      </c>
      <c r="AJ219" s="507">
        <v>3624</v>
      </c>
      <c r="AK219" s="508">
        <v>3624</v>
      </c>
      <c r="AL219" s="508">
        <v>3624</v>
      </c>
      <c r="AM219" s="509">
        <v>7510</v>
      </c>
      <c r="AN219" s="509">
        <v>0</v>
      </c>
      <c r="AO219" s="509">
        <v>3366</v>
      </c>
      <c r="AP219" s="509">
        <v>0</v>
      </c>
      <c r="AQ219" s="509">
        <v>0</v>
      </c>
      <c r="AR219" s="509"/>
      <c r="AS219" s="509"/>
      <c r="AT219" s="510">
        <f t="shared" si="134"/>
        <v>111100</v>
      </c>
      <c r="AU219" s="512">
        <f t="shared" si="106"/>
        <v>1</v>
      </c>
      <c r="AV219" s="511">
        <f t="shared" si="107"/>
        <v>0</v>
      </c>
      <c r="AW219" s="558">
        <f t="shared" si="108"/>
        <v>0</v>
      </c>
      <c r="AX219" s="513">
        <f t="shared" si="109"/>
        <v>999500</v>
      </c>
      <c r="AY219" s="514">
        <f t="shared" si="110"/>
        <v>0.89996398343237893</v>
      </c>
      <c r="AZ219" s="513">
        <f t="shared" si="111"/>
        <v>111100</v>
      </c>
      <c r="BA219" s="515" t="str">
        <f t="shared" si="112"/>
        <v>Vendido</v>
      </c>
      <c r="BB219" s="516" t="str">
        <f t="shared" si="113"/>
        <v>Cliente Atrasado</v>
      </c>
      <c r="BC219" s="551">
        <v>29</v>
      </c>
      <c r="BD219" s="693">
        <f t="shared" si="114"/>
        <v>1</v>
      </c>
      <c r="BE219" s="693">
        <f t="shared" si="115"/>
        <v>30</v>
      </c>
      <c r="BF219" s="517">
        <v>6000</v>
      </c>
      <c r="BG219" s="517">
        <v>3624</v>
      </c>
      <c r="BH219" s="693">
        <f t="shared" si="116"/>
        <v>21</v>
      </c>
      <c r="BI219" s="693">
        <f t="shared" si="117"/>
        <v>33</v>
      </c>
      <c r="BJ219" s="655">
        <f t="shared" si="135"/>
        <v>125592</v>
      </c>
      <c r="BK219" s="518">
        <f t="shared" si="118"/>
        <v>75846</v>
      </c>
      <c r="BL219" s="518">
        <f t="shared" si="119"/>
        <v>35254</v>
      </c>
      <c r="BM219" s="518">
        <f t="shared" si="120"/>
        <v>0</v>
      </c>
      <c r="BN219" s="518">
        <f t="shared" si="121"/>
        <v>0</v>
      </c>
      <c r="BO219" s="655">
        <f t="shared" si="105"/>
        <v>14492</v>
      </c>
      <c r="BP219" s="693">
        <f t="shared" si="122"/>
        <v>4</v>
      </c>
      <c r="BQ219" s="696"/>
      <c r="BR219" s="519"/>
      <c r="BT219" s="439">
        <f t="shared" si="123"/>
        <v>-14492</v>
      </c>
      <c r="BU219" s="439">
        <f t="shared" si="124"/>
        <v>-14492</v>
      </c>
      <c r="BV219" s="439">
        <f t="shared" si="125"/>
        <v>0</v>
      </c>
      <c r="BY219" s="862">
        <f t="shared" si="126"/>
        <v>711271.72900000005</v>
      </c>
      <c r="BZ219" s="862">
        <f t="shared" si="127"/>
        <v>304830.74099999998</v>
      </c>
      <c r="CA219" s="862">
        <f t="shared" si="128"/>
        <v>85352.61</v>
      </c>
      <c r="CB219" s="862">
        <f t="shared" si="129"/>
        <v>9144.92</v>
      </c>
      <c r="CC219" s="863">
        <f t="shared" si="130"/>
        <v>796624.34</v>
      </c>
      <c r="CD219" s="863">
        <f t="shared" si="131"/>
        <v>313975.65999999997</v>
      </c>
      <c r="CE219" s="864">
        <f t="shared" si="132"/>
        <v>1110600</v>
      </c>
      <c r="CF219" s="862">
        <f t="shared" si="133"/>
        <v>0</v>
      </c>
    </row>
    <row r="220" spans="1:84" s="429" customFormat="1" ht="13.9" customHeight="1" x14ac:dyDescent="0.25">
      <c r="A220" s="472"/>
      <c r="B220" s="436">
        <v>1209</v>
      </c>
      <c r="C220" s="436" t="s">
        <v>469</v>
      </c>
      <c r="D220" s="436"/>
      <c r="E220" s="436" t="s">
        <v>366</v>
      </c>
      <c r="F220" s="429" t="s">
        <v>626</v>
      </c>
      <c r="G220" s="473">
        <v>45013</v>
      </c>
      <c r="H220" s="436" t="s">
        <v>128</v>
      </c>
      <c r="I220" s="472">
        <v>1108600</v>
      </c>
      <c r="J220" s="472">
        <v>110900</v>
      </c>
      <c r="K220" s="507">
        <v>6000</v>
      </c>
      <c r="L220" s="507">
        <v>2997</v>
      </c>
      <c r="M220" s="507">
        <v>2997</v>
      </c>
      <c r="N220" s="507">
        <v>2997</v>
      </c>
      <c r="O220" s="507">
        <v>2997</v>
      </c>
      <c r="P220" s="507">
        <v>2997</v>
      </c>
      <c r="Q220" s="507">
        <v>2997</v>
      </c>
      <c r="R220" s="507">
        <v>2997</v>
      </c>
      <c r="S220" s="507">
        <v>2997</v>
      </c>
      <c r="T220" s="507">
        <v>2997</v>
      </c>
      <c r="U220" s="507">
        <v>2997</v>
      </c>
      <c r="V220" s="507">
        <v>2997</v>
      </c>
      <c r="W220" s="507">
        <v>2997</v>
      </c>
      <c r="X220" s="507">
        <v>2997</v>
      </c>
      <c r="Y220" s="507">
        <v>2997</v>
      </c>
      <c r="Z220" s="507">
        <v>2997</v>
      </c>
      <c r="AA220" s="507">
        <v>2997</v>
      </c>
      <c r="AB220" s="507">
        <v>2997</v>
      </c>
      <c r="AC220" s="507">
        <v>2997</v>
      </c>
      <c r="AD220" s="507">
        <v>2997</v>
      </c>
      <c r="AE220" s="507">
        <v>2997</v>
      </c>
      <c r="AF220" s="507">
        <v>2997</v>
      </c>
      <c r="AG220" s="507">
        <v>2997</v>
      </c>
      <c r="AH220" s="507">
        <v>2997</v>
      </c>
      <c r="AI220" s="507">
        <v>2997</v>
      </c>
      <c r="AJ220" s="507">
        <v>2997</v>
      </c>
      <c r="AK220" s="508">
        <v>2997</v>
      </c>
      <c r="AL220" s="508">
        <v>2997</v>
      </c>
      <c r="AM220" s="509">
        <v>2997</v>
      </c>
      <c r="AN220" s="509">
        <v>2997</v>
      </c>
      <c r="AO220" s="509">
        <v>2997</v>
      </c>
      <c r="AP220" s="509">
        <v>2997</v>
      </c>
      <c r="AQ220" s="509">
        <v>2997</v>
      </c>
      <c r="AR220" s="509">
        <v>2997</v>
      </c>
      <c r="AS220" s="509">
        <v>2997</v>
      </c>
      <c r="AT220" s="510">
        <f t="shared" si="134"/>
        <v>107898</v>
      </c>
      <c r="AU220" s="512">
        <f t="shared" si="106"/>
        <v>0.97293056807935074</v>
      </c>
      <c r="AV220" s="511">
        <f t="shared" si="107"/>
        <v>-3002</v>
      </c>
      <c r="AW220" s="558">
        <f t="shared" si="108"/>
        <v>-2.7069431920649232E-2</v>
      </c>
      <c r="AX220" s="513">
        <f t="shared" si="109"/>
        <v>1000702</v>
      </c>
      <c r="AY220" s="514">
        <f t="shared" si="110"/>
        <v>0.90267183835468157</v>
      </c>
      <c r="AZ220" s="513">
        <f t="shared" si="111"/>
        <v>110900</v>
      </c>
      <c r="BA220" s="515" t="str">
        <f t="shared" si="112"/>
        <v>Vendido</v>
      </c>
      <c r="BB220" s="516" t="str">
        <f t="shared" si="113"/>
        <v>Cliente al día</v>
      </c>
      <c r="BC220" s="551">
        <v>35</v>
      </c>
      <c r="BD220" s="693">
        <f t="shared" si="114"/>
        <v>1</v>
      </c>
      <c r="BE220" s="693">
        <f t="shared" si="115"/>
        <v>36</v>
      </c>
      <c r="BF220" s="517">
        <v>6000</v>
      </c>
      <c r="BG220" s="517">
        <v>2997</v>
      </c>
      <c r="BH220" s="693">
        <f t="shared" si="116"/>
        <v>34</v>
      </c>
      <c r="BI220" s="693">
        <f t="shared" si="117"/>
        <v>33</v>
      </c>
      <c r="BJ220" s="655">
        <f t="shared" si="135"/>
        <v>104901</v>
      </c>
      <c r="BK220" s="518">
        <f t="shared" si="118"/>
        <v>101898</v>
      </c>
      <c r="BL220" s="518">
        <f t="shared" si="119"/>
        <v>6000</v>
      </c>
      <c r="BM220" s="518">
        <f t="shared" si="120"/>
        <v>0</v>
      </c>
      <c r="BN220" s="518">
        <f t="shared" si="121"/>
        <v>2997</v>
      </c>
      <c r="BO220" s="655">
        <f t="shared" si="105"/>
        <v>0</v>
      </c>
      <c r="BP220" s="693">
        <f t="shared" si="122"/>
        <v>0</v>
      </c>
      <c r="BQ220" s="696"/>
      <c r="BR220" s="519"/>
      <c r="BT220" s="439">
        <f t="shared" si="123"/>
        <v>2997</v>
      </c>
      <c r="BU220" s="439">
        <f t="shared" si="124"/>
        <v>2997</v>
      </c>
      <c r="BV220" s="439">
        <f t="shared" si="125"/>
        <v>0</v>
      </c>
      <c r="BY220" s="862">
        <f t="shared" si="126"/>
        <v>709990.85100000002</v>
      </c>
      <c r="BZ220" s="862">
        <f t="shared" si="127"/>
        <v>304281.79300000001</v>
      </c>
      <c r="CA220" s="862">
        <f t="shared" si="128"/>
        <v>85198.9</v>
      </c>
      <c r="CB220" s="862">
        <f t="shared" si="129"/>
        <v>9128.4500000000007</v>
      </c>
      <c r="CC220" s="863">
        <f t="shared" si="130"/>
        <v>795189.75</v>
      </c>
      <c r="CD220" s="863">
        <f t="shared" si="131"/>
        <v>313410.24</v>
      </c>
      <c r="CE220" s="864">
        <f t="shared" si="132"/>
        <v>1108599.99</v>
      </c>
      <c r="CF220" s="862">
        <f t="shared" si="133"/>
        <v>-1.0000000009313226E-2</v>
      </c>
    </row>
    <row r="221" spans="1:84" s="429" customFormat="1" ht="13.9" customHeight="1" x14ac:dyDescent="0.25">
      <c r="A221" s="472"/>
      <c r="B221" s="436">
        <v>1210</v>
      </c>
      <c r="C221" s="436" t="s">
        <v>467</v>
      </c>
      <c r="D221" s="436"/>
      <c r="E221" s="436" t="s">
        <v>366</v>
      </c>
      <c r="F221" s="429" t="s">
        <v>625</v>
      </c>
      <c r="G221" s="473">
        <v>45031</v>
      </c>
      <c r="H221" s="436" t="s">
        <v>128</v>
      </c>
      <c r="I221" s="472">
        <v>1110600</v>
      </c>
      <c r="J221" s="472">
        <v>111100</v>
      </c>
      <c r="K221" s="507">
        <v>0</v>
      </c>
      <c r="L221" s="507">
        <v>6000</v>
      </c>
      <c r="M221" s="507">
        <v>3624</v>
      </c>
      <c r="N221" s="507">
        <v>3624</v>
      </c>
      <c r="O221" s="507">
        <v>3624</v>
      </c>
      <c r="P221" s="507">
        <v>3624</v>
      </c>
      <c r="Q221" s="507">
        <v>3624</v>
      </c>
      <c r="R221" s="507">
        <v>3624</v>
      </c>
      <c r="S221" s="507">
        <v>3624</v>
      </c>
      <c r="T221" s="507">
        <v>3624</v>
      </c>
      <c r="U221" s="507">
        <v>3624</v>
      </c>
      <c r="V221" s="507">
        <v>3624</v>
      </c>
      <c r="W221" s="507">
        <v>3624</v>
      </c>
      <c r="X221" s="507">
        <v>3624</v>
      </c>
      <c r="Y221" s="507">
        <v>3624</v>
      </c>
      <c r="Z221" s="507">
        <v>0</v>
      </c>
      <c r="AA221" s="507">
        <v>7248</v>
      </c>
      <c r="AB221" s="507">
        <v>0</v>
      </c>
      <c r="AC221" s="507">
        <v>0</v>
      </c>
      <c r="AD221" s="507">
        <v>7248</v>
      </c>
      <c r="AE221" s="507">
        <v>7248</v>
      </c>
      <c r="AF221" s="507">
        <v>3624</v>
      </c>
      <c r="AG221" s="507">
        <v>3624</v>
      </c>
      <c r="AH221" s="507">
        <v>3624</v>
      </c>
      <c r="AI221" s="507">
        <v>3624</v>
      </c>
      <c r="AJ221" s="507">
        <v>3624</v>
      </c>
      <c r="AK221" s="508">
        <v>3624</v>
      </c>
      <c r="AL221" s="508">
        <v>3624</v>
      </c>
      <c r="AM221" s="509">
        <v>7510</v>
      </c>
      <c r="AN221" s="509">
        <v>0</v>
      </c>
      <c r="AO221" s="509">
        <v>3366</v>
      </c>
      <c r="AP221" s="509">
        <v>0</v>
      </c>
      <c r="AQ221" s="509">
        <v>0</v>
      </c>
      <c r="AR221" s="509"/>
      <c r="AS221" s="509"/>
      <c r="AT221" s="510">
        <f t="shared" si="134"/>
        <v>111100</v>
      </c>
      <c r="AU221" s="512">
        <f t="shared" si="106"/>
        <v>1</v>
      </c>
      <c r="AV221" s="511">
        <f t="shared" si="107"/>
        <v>0</v>
      </c>
      <c r="AW221" s="558">
        <f t="shared" si="108"/>
        <v>0</v>
      </c>
      <c r="AX221" s="513">
        <f t="shared" si="109"/>
        <v>999500</v>
      </c>
      <c r="AY221" s="514">
        <f t="shared" si="110"/>
        <v>0.89996398343237893</v>
      </c>
      <c r="AZ221" s="513">
        <f t="shared" si="111"/>
        <v>111100</v>
      </c>
      <c r="BA221" s="515" t="str">
        <f t="shared" si="112"/>
        <v>Vendido</v>
      </c>
      <c r="BB221" s="516" t="str">
        <f t="shared" si="113"/>
        <v>Cliente Atrasado</v>
      </c>
      <c r="BC221" s="551">
        <v>29</v>
      </c>
      <c r="BD221" s="693">
        <f t="shared" si="114"/>
        <v>1</v>
      </c>
      <c r="BE221" s="693">
        <f t="shared" si="115"/>
        <v>30</v>
      </c>
      <c r="BF221" s="517">
        <v>6000</v>
      </c>
      <c r="BG221" s="517">
        <v>3624</v>
      </c>
      <c r="BH221" s="693">
        <f t="shared" si="116"/>
        <v>21</v>
      </c>
      <c r="BI221" s="693">
        <f t="shared" si="117"/>
        <v>33</v>
      </c>
      <c r="BJ221" s="655">
        <f t="shared" si="135"/>
        <v>125592</v>
      </c>
      <c r="BK221" s="518">
        <f t="shared" si="118"/>
        <v>75846</v>
      </c>
      <c r="BL221" s="518">
        <f t="shared" si="119"/>
        <v>35254</v>
      </c>
      <c r="BM221" s="518">
        <f t="shared" si="120"/>
        <v>0</v>
      </c>
      <c r="BN221" s="518">
        <f t="shared" si="121"/>
        <v>0</v>
      </c>
      <c r="BO221" s="655">
        <f t="shared" si="105"/>
        <v>14492</v>
      </c>
      <c r="BP221" s="693">
        <f t="shared" si="122"/>
        <v>4</v>
      </c>
      <c r="BQ221" s="696"/>
      <c r="BR221" s="519"/>
      <c r="BT221" s="439">
        <f t="shared" si="123"/>
        <v>-14492</v>
      </c>
      <c r="BU221" s="439">
        <f t="shared" si="124"/>
        <v>-14492</v>
      </c>
      <c r="BV221" s="439">
        <f t="shared" si="125"/>
        <v>0</v>
      </c>
      <c r="BY221" s="862">
        <f t="shared" si="126"/>
        <v>711271.72900000005</v>
      </c>
      <c r="BZ221" s="862">
        <f t="shared" si="127"/>
        <v>304830.74099999998</v>
      </c>
      <c r="CA221" s="862">
        <f t="shared" si="128"/>
        <v>85352.61</v>
      </c>
      <c r="CB221" s="862">
        <f t="shared" si="129"/>
        <v>9144.92</v>
      </c>
      <c r="CC221" s="863">
        <f t="shared" si="130"/>
        <v>796624.34</v>
      </c>
      <c r="CD221" s="863">
        <f t="shared" si="131"/>
        <v>313975.65999999997</v>
      </c>
      <c r="CE221" s="864">
        <f t="shared" si="132"/>
        <v>1110600</v>
      </c>
      <c r="CF221" s="862">
        <f t="shared" si="133"/>
        <v>0</v>
      </c>
    </row>
    <row r="222" spans="1:84" s="429" customFormat="1" ht="13.9" customHeight="1" x14ac:dyDescent="0.25">
      <c r="A222" s="472"/>
      <c r="B222" s="436">
        <v>1211</v>
      </c>
      <c r="C222" s="436" t="s">
        <v>469</v>
      </c>
      <c r="D222" s="436"/>
      <c r="E222" s="436" t="s">
        <v>366</v>
      </c>
      <c r="F222" s="429" t="s">
        <v>408</v>
      </c>
      <c r="G222" s="473">
        <v>45258</v>
      </c>
      <c r="H222" s="436" t="s">
        <v>128</v>
      </c>
      <c r="I222" s="472">
        <v>1193202.5</v>
      </c>
      <c r="J222" s="472">
        <v>119402.5</v>
      </c>
      <c r="K222" s="507">
        <v>0</v>
      </c>
      <c r="L222" s="507">
        <v>0</v>
      </c>
      <c r="M222" s="507">
        <v>0</v>
      </c>
      <c r="N222" s="507">
        <v>0</v>
      </c>
      <c r="O222" s="507">
        <v>0</v>
      </c>
      <c r="P222" s="507">
        <v>0</v>
      </c>
      <c r="Q222" s="507">
        <v>0</v>
      </c>
      <c r="R222" s="507">
        <v>0</v>
      </c>
      <c r="S222" s="507">
        <v>5500</v>
      </c>
      <c r="T222" s="507">
        <v>5174</v>
      </c>
      <c r="U222" s="507">
        <v>5174</v>
      </c>
      <c r="V222" s="507">
        <v>0</v>
      </c>
      <c r="W222" s="507">
        <v>0</v>
      </c>
      <c r="X222" s="507">
        <v>0</v>
      </c>
      <c r="Y222" s="507">
        <v>0</v>
      </c>
      <c r="Z222" s="507">
        <v>10348</v>
      </c>
      <c r="AA222" s="507">
        <v>0</v>
      </c>
      <c r="AB222" s="507">
        <v>0</v>
      </c>
      <c r="AC222" s="507">
        <v>10354</v>
      </c>
      <c r="AD222" s="507">
        <v>0</v>
      </c>
      <c r="AE222" s="507">
        <v>10354</v>
      </c>
      <c r="AF222" s="507">
        <v>0</v>
      </c>
      <c r="AG222" s="507">
        <v>0</v>
      </c>
      <c r="AH222" s="507">
        <f>35819+420</f>
        <v>36239</v>
      </c>
      <c r="AI222" s="507">
        <v>0</v>
      </c>
      <c r="AJ222" s="507">
        <v>10366</v>
      </c>
      <c r="AK222" s="509">
        <v>5174</v>
      </c>
      <c r="AL222" s="509">
        <f>20696+23.5</f>
        <v>20719.5</v>
      </c>
      <c r="AM222" s="509"/>
      <c r="AN222" s="509">
        <v>0</v>
      </c>
      <c r="AO222" s="509">
        <v>0</v>
      </c>
      <c r="AP222" s="509">
        <v>0</v>
      </c>
      <c r="AQ222" s="509">
        <v>0</v>
      </c>
      <c r="AR222" s="509"/>
      <c r="AS222" s="509"/>
      <c r="AT222" s="510">
        <f t="shared" si="134"/>
        <v>119402.5</v>
      </c>
      <c r="AU222" s="512">
        <f t="shared" si="106"/>
        <v>1</v>
      </c>
      <c r="AV222" s="511">
        <f t="shared" si="107"/>
        <v>0</v>
      </c>
      <c r="AW222" s="558">
        <f t="shared" si="108"/>
        <v>0</v>
      </c>
      <c r="AX222" s="513">
        <f t="shared" si="109"/>
        <v>1073800</v>
      </c>
      <c r="AY222" s="514">
        <f t="shared" si="110"/>
        <v>0.89993106786149035</v>
      </c>
      <c r="AZ222" s="513">
        <f t="shared" si="111"/>
        <v>119402.5</v>
      </c>
      <c r="BA222" s="515" t="str">
        <f t="shared" si="112"/>
        <v>Vendido</v>
      </c>
      <c r="BB222" s="516" t="str">
        <f t="shared" si="113"/>
        <v>Cliente Atrasado</v>
      </c>
      <c r="BC222" s="552">
        <v>22</v>
      </c>
      <c r="BD222" s="693">
        <f t="shared" si="114"/>
        <v>1</v>
      </c>
      <c r="BE222" s="693">
        <f t="shared" si="115"/>
        <v>23</v>
      </c>
      <c r="BF222" s="517">
        <v>5500</v>
      </c>
      <c r="BG222" s="517">
        <v>5177</v>
      </c>
      <c r="BH222" s="693">
        <f t="shared" si="116"/>
        <v>3</v>
      </c>
      <c r="BI222" s="693">
        <f t="shared" si="117"/>
        <v>25</v>
      </c>
      <c r="BJ222" s="655">
        <f t="shared" si="135"/>
        <v>134925</v>
      </c>
      <c r="BK222" s="518">
        <f t="shared" si="118"/>
        <v>15522</v>
      </c>
      <c r="BL222" s="518">
        <f t="shared" si="119"/>
        <v>103880.5</v>
      </c>
      <c r="BM222" s="518">
        <f t="shared" si="120"/>
        <v>0</v>
      </c>
      <c r="BN222" s="518">
        <f t="shared" si="121"/>
        <v>0</v>
      </c>
      <c r="BO222" s="655">
        <f t="shared" si="105"/>
        <v>15522.5</v>
      </c>
      <c r="BP222" s="693">
        <f t="shared" si="122"/>
        <v>3</v>
      </c>
      <c r="BQ222" s="696"/>
      <c r="BR222" s="519"/>
      <c r="BT222" s="439">
        <f t="shared" si="123"/>
        <v>-15522.5</v>
      </c>
      <c r="BU222" s="439">
        <f t="shared" si="124"/>
        <v>-15522.5</v>
      </c>
      <c r="BV222" s="439">
        <f t="shared" si="125"/>
        <v>0</v>
      </c>
      <c r="BY222" s="862">
        <f t="shared" si="126"/>
        <v>764173.60499999998</v>
      </c>
      <c r="BZ222" s="862">
        <f t="shared" si="127"/>
        <v>327502.973</v>
      </c>
      <c r="CA222" s="862">
        <f t="shared" si="128"/>
        <v>91700.83</v>
      </c>
      <c r="CB222" s="862">
        <f t="shared" si="129"/>
        <v>9825.09</v>
      </c>
      <c r="CC222" s="863">
        <f t="shared" si="130"/>
        <v>855874.44</v>
      </c>
      <c r="CD222" s="863">
        <f t="shared" si="131"/>
        <v>337328.06</v>
      </c>
      <c r="CE222" s="864">
        <f t="shared" si="132"/>
        <v>1193202.5</v>
      </c>
      <c r="CF222" s="862">
        <f t="shared" si="133"/>
        <v>0</v>
      </c>
    </row>
    <row r="223" spans="1:84" s="429" customFormat="1" ht="13.9" customHeight="1" x14ac:dyDescent="0.25">
      <c r="A223" s="472"/>
      <c r="B223" s="436">
        <v>1212</v>
      </c>
      <c r="C223" s="436" t="s">
        <v>406</v>
      </c>
      <c r="D223" s="642" t="s">
        <v>336</v>
      </c>
      <c r="E223" s="436" t="s">
        <v>383</v>
      </c>
      <c r="F223" s="429" t="s">
        <v>590</v>
      </c>
      <c r="G223" s="473">
        <v>45123</v>
      </c>
      <c r="H223" s="436" t="s">
        <v>128</v>
      </c>
      <c r="I223" s="472">
        <v>666800</v>
      </c>
      <c r="J223" s="472">
        <v>66700</v>
      </c>
      <c r="K223" s="507">
        <v>0</v>
      </c>
      <c r="L223" s="507">
        <v>6000</v>
      </c>
      <c r="M223" s="507">
        <v>0</v>
      </c>
      <c r="N223" s="507">
        <v>0</v>
      </c>
      <c r="O223" s="507">
        <v>2000</v>
      </c>
      <c r="P223" s="507">
        <v>2000</v>
      </c>
      <c r="Q223" s="507">
        <v>0</v>
      </c>
      <c r="R223" s="507">
        <v>4000</v>
      </c>
      <c r="S223" s="507">
        <v>0</v>
      </c>
      <c r="T223" s="507">
        <v>0</v>
      </c>
      <c r="U223" s="507">
        <v>2000</v>
      </c>
      <c r="V223" s="507">
        <v>2000</v>
      </c>
      <c r="W223" s="507">
        <v>0</v>
      </c>
      <c r="X223" s="507">
        <v>4000</v>
      </c>
      <c r="Y223" s="507">
        <v>4000</v>
      </c>
      <c r="Z223" s="507">
        <v>0</v>
      </c>
      <c r="AA223" s="507">
        <v>2000</v>
      </c>
      <c r="AB223" s="507">
        <v>2000</v>
      </c>
      <c r="AC223" s="507">
        <v>0</v>
      </c>
      <c r="AD223" s="507">
        <v>2000</v>
      </c>
      <c r="AE223" s="507">
        <v>0</v>
      </c>
      <c r="AF223" s="507">
        <v>0</v>
      </c>
      <c r="AG223" s="507">
        <v>2000</v>
      </c>
      <c r="AH223" s="507">
        <v>2000</v>
      </c>
      <c r="AI223" s="507">
        <v>5000</v>
      </c>
      <c r="AJ223" s="507">
        <v>0</v>
      </c>
      <c r="AK223" s="508">
        <f>1606+1606</f>
        <v>3212</v>
      </c>
      <c r="AL223" s="508"/>
      <c r="AM223" s="509">
        <f>1606+1606</f>
        <v>3212</v>
      </c>
      <c r="AN223" s="509">
        <v>0</v>
      </c>
      <c r="AO223" s="509">
        <v>0</v>
      </c>
      <c r="AP223" s="509">
        <v>0</v>
      </c>
      <c r="AQ223" s="509">
        <v>0</v>
      </c>
      <c r="AR223" s="509"/>
      <c r="AS223" s="509"/>
      <c r="AT223" s="510">
        <f t="shared" si="134"/>
        <v>47424</v>
      </c>
      <c r="AU223" s="512">
        <f t="shared" si="106"/>
        <v>0.7110044977511244</v>
      </c>
      <c r="AV223" s="511">
        <f t="shared" si="107"/>
        <v>-19276</v>
      </c>
      <c r="AW223" s="558">
        <f t="shared" si="108"/>
        <v>-0.28899550224887555</v>
      </c>
      <c r="AX223" s="513">
        <f t="shared" si="109"/>
        <v>619376</v>
      </c>
      <c r="AY223" s="514">
        <f t="shared" si="110"/>
        <v>0.92887822435512901</v>
      </c>
      <c r="AZ223" s="513">
        <f t="shared" si="111"/>
        <v>66700</v>
      </c>
      <c r="BA223" s="515" t="str">
        <f t="shared" si="112"/>
        <v>Vendido</v>
      </c>
      <c r="BB223" s="516" t="str">
        <f t="shared" si="113"/>
        <v>Cliente Atrasado</v>
      </c>
      <c r="BC223" s="551">
        <v>29</v>
      </c>
      <c r="BD223" s="693">
        <f t="shared" si="114"/>
        <v>1</v>
      </c>
      <c r="BE223" s="693">
        <f t="shared" si="115"/>
        <v>30</v>
      </c>
      <c r="BF223" s="644">
        <v>6000</v>
      </c>
      <c r="BG223" s="644">
        <v>1606</v>
      </c>
      <c r="BH223" s="693">
        <f t="shared" si="116"/>
        <v>15</v>
      </c>
      <c r="BI223" s="693">
        <f t="shared" si="117"/>
        <v>30</v>
      </c>
      <c r="BJ223" s="655">
        <f t="shared" si="135"/>
        <v>54180</v>
      </c>
      <c r="BK223" s="518">
        <f t="shared" si="118"/>
        <v>0</v>
      </c>
      <c r="BL223" s="518">
        <f t="shared" si="119"/>
        <v>47424</v>
      </c>
      <c r="BM223" s="518">
        <f t="shared" si="120"/>
        <v>0</v>
      </c>
      <c r="BN223" s="518">
        <f t="shared" si="121"/>
        <v>0</v>
      </c>
      <c r="BO223" s="655">
        <f t="shared" si="105"/>
        <v>6756</v>
      </c>
      <c r="BP223" s="693">
        <f t="shared" si="122"/>
        <v>5</v>
      </c>
      <c r="BQ223" s="696" t="s">
        <v>388</v>
      </c>
      <c r="BR223" s="519" t="s">
        <v>443</v>
      </c>
      <c r="BT223" s="439">
        <f t="shared" si="123"/>
        <v>-6756</v>
      </c>
      <c r="BU223" s="439">
        <f t="shared" si="124"/>
        <v>-6756</v>
      </c>
      <c r="BV223" s="439">
        <f t="shared" si="125"/>
        <v>0</v>
      </c>
      <c r="BY223" s="862">
        <f t="shared" si="126"/>
        <v>427044.83100000001</v>
      </c>
      <c r="BZ223" s="862">
        <f t="shared" si="127"/>
        <v>183019.21299999999</v>
      </c>
      <c r="CA223" s="862">
        <f t="shared" si="128"/>
        <v>51245.38</v>
      </c>
      <c r="CB223" s="862">
        <f t="shared" si="129"/>
        <v>5490.58</v>
      </c>
      <c r="CC223" s="863">
        <f t="shared" si="130"/>
        <v>478290.21</v>
      </c>
      <c r="CD223" s="863">
        <f t="shared" si="131"/>
        <v>188509.79</v>
      </c>
      <c r="CE223" s="864">
        <f t="shared" si="132"/>
        <v>666800</v>
      </c>
      <c r="CF223" s="862">
        <f t="shared" si="133"/>
        <v>0</v>
      </c>
    </row>
    <row r="224" spans="1:84" s="429" customFormat="1" ht="13.9" customHeight="1" x14ac:dyDescent="0.25">
      <c r="A224" s="472"/>
      <c r="B224" s="436">
        <v>1213</v>
      </c>
      <c r="C224" s="436" t="s">
        <v>181</v>
      </c>
      <c r="D224" s="436"/>
      <c r="E224" s="436" t="s">
        <v>356</v>
      </c>
      <c r="F224" s="429" t="s">
        <v>610</v>
      </c>
      <c r="G224" s="473">
        <v>45021</v>
      </c>
      <c r="H224" s="436" t="s">
        <v>128</v>
      </c>
      <c r="I224" s="472">
        <v>645639</v>
      </c>
      <c r="J224" s="472">
        <v>64639</v>
      </c>
      <c r="K224" s="507">
        <v>0</v>
      </c>
      <c r="L224" s="507">
        <v>6000</v>
      </c>
      <c r="M224" s="507">
        <v>2000</v>
      </c>
      <c r="N224" s="507">
        <v>2000</v>
      </c>
      <c r="O224" s="507">
        <v>2000</v>
      </c>
      <c r="P224" s="507">
        <v>2000</v>
      </c>
      <c r="Q224" s="507">
        <v>2000</v>
      </c>
      <c r="R224" s="507">
        <v>2000</v>
      </c>
      <c r="S224" s="507">
        <v>2000</v>
      </c>
      <c r="T224" s="507">
        <v>2000</v>
      </c>
      <c r="U224" s="507">
        <v>2000</v>
      </c>
      <c r="V224" s="507">
        <v>2000</v>
      </c>
      <c r="W224" s="507">
        <v>2000</v>
      </c>
      <c r="X224" s="507">
        <v>2000</v>
      </c>
      <c r="Y224" s="507">
        <v>2000</v>
      </c>
      <c r="Z224" s="507">
        <v>2000</v>
      </c>
      <c r="AA224" s="507">
        <v>2000</v>
      </c>
      <c r="AB224" s="507">
        <v>0</v>
      </c>
      <c r="AC224" s="507">
        <v>4000</v>
      </c>
      <c r="AD224" s="507">
        <v>2000</v>
      </c>
      <c r="AE224" s="507">
        <v>2000</v>
      </c>
      <c r="AF224" s="507">
        <v>2000</v>
      </c>
      <c r="AG224" s="507">
        <v>0</v>
      </c>
      <c r="AH224" s="507">
        <f>2000+2000</f>
        <v>4000</v>
      </c>
      <c r="AI224" s="507">
        <v>2000</v>
      </c>
      <c r="AJ224" s="507">
        <v>2000</v>
      </c>
      <c r="AK224" s="508">
        <v>2000</v>
      </c>
      <c r="AL224" s="508">
        <v>2000</v>
      </c>
      <c r="AM224" s="509">
        <v>2000</v>
      </c>
      <c r="AN224" s="509">
        <v>2000</v>
      </c>
      <c r="AO224" s="509">
        <v>2639</v>
      </c>
      <c r="AP224" s="509">
        <v>0</v>
      </c>
      <c r="AQ224" s="509">
        <v>0</v>
      </c>
      <c r="AR224" s="509"/>
      <c r="AS224" s="509"/>
      <c r="AT224" s="510">
        <f t="shared" si="134"/>
        <v>64639</v>
      </c>
      <c r="AU224" s="512">
        <f t="shared" si="106"/>
        <v>1</v>
      </c>
      <c r="AV224" s="511">
        <f t="shared" si="107"/>
        <v>0</v>
      </c>
      <c r="AW224" s="558">
        <f t="shared" si="108"/>
        <v>0</v>
      </c>
      <c r="AX224" s="513">
        <f t="shared" si="109"/>
        <v>581000</v>
      </c>
      <c r="AY224" s="514">
        <f t="shared" si="110"/>
        <v>0.89988368112830852</v>
      </c>
      <c r="AZ224" s="513">
        <f t="shared" si="111"/>
        <v>64639</v>
      </c>
      <c r="BA224" s="515" t="str">
        <f t="shared" si="112"/>
        <v>Vendido</v>
      </c>
      <c r="BB224" s="516" t="str">
        <f t="shared" si="113"/>
        <v>Cliente Atrasado</v>
      </c>
      <c r="BC224" s="551">
        <v>29</v>
      </c>
      <c r="BD224" s="693">
        <f t="shared" si="114"/>
        <v>1</v>
      </c>
      <c r="BE224" s="693">
        <f t="shared" si="115"/>
        <v>30</v>
      </c>
      <c r="BF224" s="517">
        <v>6000</v>
      </c>
      <c r="BG224" s="517">
        <v>2000</v>
      </c>
      <c r="BH224" s="693">
        <f t="shared" si="116"/>
        <v>27</v>
      </c>
      <c r="BI224" s="693">
        <f t="shared" si="117"/>
        <v>33</v>
      </c>
      <c r="BJ224" s="655">
        <f t="shared" si="135"/>
        <v>72000</v>
      </c>
      <c r="BK224" s="518">
        <f t="shared" si="118"/>
        <v>48000</v>
      </c>
      <c r="BL224" s="518">
        <f t="shared" si="119"/>
        <v>16639</v>
      </c>
      <c r="BM224" s="518">
        <f t="shared" si="120"/>
        <v>0</v>
      </c>
      <c r="BN224" s="518">
        <f t="shared" si="121"/>
        <v>0</v>
      </c>
      <c r="BO224" s="655">
        <f t="shared" si="105"/>
        <v>7361</v>
      </c>
      <c r="BP224" s="693">
        <f t="shared" si="122"/>
        <v>4</v>
      </c>
      <c r="BQ224" s="696"/>
      <c r="BR224" s="519"/>
      <c r="BT224" s="439">
        <f t="shared" si="123"/>
        <v>-7361</v>
      </c>
      <c r="BU224" s="439">
        <f t="shared" si="124"/>
        <v>-7361</v>
      </c>
      <c r="BV224" s="439">
        <f t="shared" si="125"/>
        <v>0</v>
      </c>
      <c r="BY224" s="862">
        <f t="shared" si="126"/>
        <v>413492.49800000002</v>
      </c>
      <c r="BZ224" s="862">
        <f t="shared" si="127"/>
        <v>177211.07</v>
      </c>
      <c r="CA224" s="862">
        <f t="shared" si="128"/>
        <v>49619.1</v>
      </c>
      <c r="CB224" s="862">
        <f t="shared" si="129"/>
        <v>5316.33</v>
      </c>
      <c r="CC224" s="863">
        <f t="shared" si="130"/>
        <v>463111.6</v>
      </c>
      <c r="CD224" s="863">
        <f t="shared" si="131"/>
        <v>182527.4</v>
      </c>
      <c r="CE224" s="864">
        <f t="shared" si="132"/>
        <v>645639</v>
      </c>
      <c r="CF224" s="862">
        <f t="shared" si="133"/>
        <v>0</v>
      </c>
    </row>
    <row r="225" spans="1:84" s="429" customFormat="1" ht="13.9" customHeight="1" x14ac:dyDescent="0.25">
      <c r="A225" s="472"/>
      <c r="B225" s="436">
        <v>1214</v>
      </c>
      <c r="C225" s="436" t="s">
        <v>611</v>
      </c>
      <c r="D225" s="436"/>
      <c r="E225" s="436" t="s">
        <v>356</v>
      </c>
      <c r="F225" s="429" t="s">
        <v>627</v>
      </c>
      <c r="G225" s="473">
        <v>45082</v>
      </c>
      <c r="H225" s="436" t="s">
        <v>128</v>
      </c>
      <c r="I225" s="472">
        <v>786200</v>
      </c>
      <c r="J225" s="472">
        <v>78700</v>
      </c>
      <c r="K225" s="507">
        <v>0</v>
      </c>
      <c r="L225" s="507">
        <v>0</v>
      </c>
      <c r="M225" s="507">
        <v>0</v>
      </c>
      <c r="N225" s="507">
        <v>6000</v>
      </c>
      <c r="O225" s="507">
        <v>2700</v>
      </c>
      <c r="P225" s="507">
        <v>2700</v>
      </c>
      <c r="Q225" s="507">
        <v>2700</v>
      </c>
      <c r="R225" s="507">
        <v>2700</v>
      </c>
      <c r="S225" s="507">
        <v>2700</v>
      </c>
      <c r="T225" s="507">
        <v>2700</v>
      </c>
      <c r="U225" s="507">
        <v>2700</v>
      </c>
      <c r="V225" s="507">
        <v>2700</v>
      </c>
      <c r="W225" s="507">
        <v>2700</v>
      </c>
      <c r="X225" s="507">
        <v>2700</v>
      </c>
      <c r="Y225" s="507">
        <v>2700</v>
      </c>
      <c r="Z225" s="507">
        <v>2700</v>
      </c>
      <c r="AA225" s="507">
        <v>2700</v>
      </c>
      <c r="AB225" s="507">
        <v>2700</v>
      </c>
      <c r="AC225" s="507">
        <v>2700</v>
      </c>
      <c r="AD225" s="507">
        <v>2700</v>
      </c>
      <c r="AE225" s="507">
        <v>2700</v>
      </c>
      <c r="AF225" s="507">
        <v>2700</v>
      </c>
      <c r="AG225" s="507">
        <v>2700</v>
      </c>
      <c r="AH225" s="507">
        <v>2700</v>
      </c>
      <c r="AI225" s="507">
        <v>2700</v>
      </c>
      <c r="AJ225" s="507">
        <v>2700</v>
      </c>
      <c r="AK225" s="508">
        <v>50000</v>
      </c>
      <c r="AL225" s="508">
        <v>50000</v>
      </c>
      <c r="AM225" s="509">
        <v>35000</v>
      </c>
      <c r="AN225" s="509">
        <v>50000</v>
      </c>
      <c r="AO225" s="509">
        <v>25000</v>
      </c>
      <c r="AP225" s="509">
        <v>9000</v>
      </c>
      <c r="AQ225" s="509">
        <v>9500</v>
      </c>
      <c r="AR225" s="509">
        <v>10000</v>
      </c>
      <c r="AS225" s="509">
        <v>10000</v>
      </c>
      <c r="AT225" s="510">
        <f t="shared" si="134"/>
        <v>313900</v>
      </c>
      <c r="AU225" s="512">
        <f t="shared" si="106"/>
        <v>3.9885641677255399</v>
      </c>
      <c r="AV225" s="511">
        <f t="shared" si="107"/>
        <v>235200</v>
      </c>
      <c r="AW225" s="558">
        <f t="shared" si="108"/>
        <v>2.9885641677255399</v>
      </c>
      <c r="AX225" s="513">
        <f t="shared" si="109"/>
        <v>472300</v>
      </c>
      <c r="AY225" s="514">
        <f t="shared" si="110"/>
        <v>0.60073772576952433</v>
      </c>
      <c r="AZ225" s="513">
        <f t="shared" si="111"/>
        <v>78700</v>
      </c>
      <c r="BA225" s="515" t="str">
        <f t="shared" si="112"/>
        <v>Vendido</v>
      </c>
      <c r="BB225" s="516" t="str">
        <f t="shared" si="113"/>
        <v>Superávit de Enganche</v>
      </c>
      <c r="BC225" s="551">
        <v>27</v>
      </c>
      <c r="BD225" s="693">
        <f t="shared" si="114"/>
        <v>1</v>
      </c>
      <c r="BE225" s="693">
        <f t="shared" si="115"/>
        <v>28</v>
      </c>
      <c r="BF225" s="517">
        <v>6000</v>
      </c>
      <c r="BG225" s="517">
        <v>2693</v>
      </c>
      <c r="BH225" s="693">
        <f t="shared" si="116"/>
        <v>22</v>
      </c>
      <c r="BI225" s="693">
        <f t="shared" si="117"/>
        <v>31</v>
      </c>
      <c r="BJ225" s="655">
        <f t="shared" si="135"/>
        <v>89483</v>
      </c>
      <c r="BK225" s="518">
        <f t="shared" si="118"/>
        <v>0</v>
      </c>
      <c r="BL225" s="518">
        <f t="shared" si="119"/>
        <v>313900</v>
      </c>
      <c r="BM225" s="518">
        <f t="shared" si="120"/>
        <v>0</v>
      </c>
      <c r="BN225" s="518">
        <f t="shared" si="121"/>
        <v>224417</v>
      </c>
      <c r="BO225" s="655">
        <f t="shared" ref="BO225:BO256" si="136">IF(AT225&lt;BJ225,BJ225-AT225,0)</f>
        <v>0</v>
      </c>
      <c r="BP225" s="693">
        <f t="shared" si="122"/>
        <v>0</v>
      </c>
      <c r="BQ225" s="696"/>
      <c r="BR225" s="519"/>
      <c r="BT225" s="439">
        <f t="shared" si="123"/>
        <v>224417</v>
      </c>
      <c r="BU225" s="439">
        <f t="shared" si="124"/>
        <v>224417</v>
      </c>
      <c r="BV225" s="439">
        <f t="shared" si="125"/>
        <v>0</v>
      </c>
      <c r="BY225" s="862">
        <f t="shared" si="126"/>
        <v>503513.266</v>
      </c>
      <c r="BZ225" s="862">
        <f t="shared" si="127"/>
        <v>215791.4</v>
      </c>
      <c r="CA225" s="862">
        <f t="shared" si="128"/>
        <v>60421.59</v>
      </c>
      <c r="CB225" s="862">
        <f t="shared" si="129"/>
        <v>6473.74</v>
      </c>
      <c r="CC225" s="863">
        <f t="shared" si="130"/>
        <v>563934.86</v>
      </c>
      <c r="CD225" s="863">
        <f t="shared" si="131"/>
        <v>222265.14</v>
      </c>
      <c r="CE225" s="864">
        <f t="shared" si="132"/>
        <v>786200</v>
      </c>
      <c r="CF225" s="862">
        <f t="shared" si="133"/>
        <v>0</v>
      </c>
    </row>
    <row r="226" spans="1:84" s="429" customFormat="1" ht="13.9" customHeight="1" x14ac:dyDescent="0.25">
      <c r="A226" s="472"/>
      <c r="B226" s="436">
        <v>1215</v>
      </c>
      <c r="C226" s="436" t="s">
        <v>400</v>
      </c>
      <c r="D226" s="436"/>
      <c r="E226" s="436" t="s">
        <v>366</v>
      </c>
      <c r="F226" s="429" t="s">
        <v>628</v>
      </c>
      <c r="G226" s="473">
        <v>45027</v>
      </c>
      <c r="H226" s="436" t="s">
        <v>128</v>
      </c>
      <c r="I226" s="472">
        <v>858400</v>
      </c>
      <c r="J226" s="472">
        <v>85900</v>
      </c>
      <c r="K226" s="507">
        <v>0</v>
      </c>
      <c r="L226" s="507">
        <v>6000</v>
      </c>
      <c r="M226" s="507">
        <v>2755</v>
      </c>
      <c r="N226" s="507">
        <v>2755</v>
      </c>
      <c r="O226" s="507">
        <v>2755</v>
      </c>
      <c r="P226" s="507">
        <v>2755</v>
      </c>
      <c r="Q226" s="507">
        <v>2755</v>
      </c>
      <c r="R226" s="507">
        <v>2755</v>
      </c>
      <c r="S226" s="507">
        <v>2755</v>
      </c>
      <c r="T226" s="507">
        <v>2755</v>
      </c>
      <c r="U226" s="507">
        <v>2755</v>
      </c>
      <c r="V226" s="507">
        <v>2755</v>
      </c>
      <c r="W226" s="507">
        <v>2755</v>
      </c>
      <c r="X226" s="507">
        <v>2755</v>
      </c>
      <c r="Y226" s="507">
        <v>2755</v>
      </c>
      <c r="Z226" s="507">
        <v>2755</v>
      </c>
      <c r="AA226" s="507">
        <v>26755</v>
      </c>
      <c r="AB226" s="507">
        <v>3500</v>
      </c>
      <c r="AC226" s="507">
        <v>3500</v>
      </c>
      <c r="AD226" s="507">
        <v>3500</v>
      </c>
      <c r="AE226" s="507">
        <v>3500</v>
      </c>
      <c r="AF226" s="507">
        <v>3500</v>
      </c>
      <c r="AG226" s="507">
        <v>3500</v>
      </c>
      <c r="AH226" s="507">
        <v>3500</v>
      </c>
      <c r="AI226" s="507">
        <v>3500</v>
      </c>
      <c r="AJ226" s="507">
        <v>3500</v>
      </c>
      <c r="AK226" s="508">
        <v>3500</v>
      </c>
      <c r="AL226" s="508">
        <v>3500</v>
      </c>
      <c r="AM226" s="509">
        <v>3500</v>
      </c>
      <c r="AN226" s="509">
        <v>3500</v>
      </c>
      <c r="AO226" s="509">
        <v>0</v>
      </c>
      <c r="AP226" s="509">
        <v>3500</v>
      </c>
      <c r="AQ226" s="509">
        <v>7000</v>
      </c>
      <c r="AR226" s="509">
        <v>3500</v>
      </c>
      <c r="AS226" s="509">
        <v>4000</v>
      </c>
      <c r="AT226" s="510">
        <f t="shared" si="134"/>
        <v>134825</v>
      </c>
      <c r="AU226" s="512">
        <f t="shared" si="106"/>
        <v>1.5695576251455181</v>
      </c>
      <c r="AV226" s="511">
        <f t="shared" si="107"/>
        <v>48925</v>
      </c>
      <c r="AW226" s="558">
        <f t="shared" si="108"/>
        <v>0.569557625145518</v>
      </c>
      <c r="AX226" s="513">
        <f t="shared" si="109"/>
        <v>723575</v>
      </c>
      <c r="AY226" s="514">
        <f t="shared" si="110"/>
        <v>0.84293452935694313</v>
      </c>
      <c r="AZ226" s="513">
        <f t="shared" si="111"/>
        <v>85900</v>
      </c>
      <c r="BA226" s="515" t="str">
        <f t="shared" si="112"/>
        <v>Vendido</v>
      </c>
      <c r="BB226" s="516" t="str">
        <f t="shared" si="113"/>
        <v>Superávit de Enganche</v>
      </c>
      <c r="BC226" s="551">
        <v>29</v>
      </c>
      <c r="BD226" s="693">
        <f t="shared" si="114"/>
        <v>1</v>
      </c>
      <c r="BE226" s="693">
        <f t="shared" si="115"/>
        <v>30</v>
      </c>
      <c r="BF226" s="517">
        <v>6000</v>
      </c>
      <c r="BG226" s="517">
        <v>2755</v>
      </c>
      <c r="BH226" s="693">
        <f t="shared" si="116"/>
        <v>30</v>
      </c>
      <c r="BI226" s="693">
        <f t="shared" si="117"/>
        <v>33</v>
      </c>
      <c r="BJ226" s="655">
        <f t="shared" si="135"/>
        <v>96915</v>
      </c>
      <c r="BK226" s="518">
        <f t="shared" si="118"/>
        <v>38570</v>
      </c>
      <c r="BL226" s="518">
        <f t="shared" si="119"/>
        <v>96255</v>
      </c>
      <c r="BM226" s="518">
        <f t="shared" si="120"/>
        <v>0</v>
      </c>
      <c r="BN226" s="518">
        <f t="shared" si="121"/>
        <v>37910</v>
      </c>
      <c r="BO226" s="655">
        <f t="shared" si="136"/>
        <v>0</v>
      </c>
      <c r="BP226" s="693">
        <f t="shared" si="122"/>
        <v>0</v>
      </c>
      <c r="BQ226" s="696"/>
      <c r="BR226" s="519"/>
      <c r="BT226" s="439">
        <f t="shared" si="123"/>
        <v>37910</v>
      </c>
      <c r="BU226" s="439">
        <f t="shared" si="124"/>
        <v>37910</v>
      </c>
      <c r="BV226" s="439">
        <f t="shared" si="125"/>
        <v>0</v>
      </c>
      <c r="BY226" s="862">
        <f t="shared" si="126"/>
        <v>549752.973</v>
      </c>
      <c r="BZ226" s="862">
        <f t="shared" si="127"/>
        <v>235608.41699999999</v>
      </c>
      <c r="CA226" s="862">
        <f t="shared" si="128"/>
        <v>65970.36</v>
      </c>
      <c r="CB226" s="862">
        <f t="shared" si="129"/>
        <v>7068.25</v>
      </c>
      <c r="CC226" s="863">
        <f t="shared" si="130"/>
        <v>615723.32999999996</v>
      </c>
      <c r="CD226" s="863">
        <f t="shared" si="131"/>
        <v>242676.67</v>
      </c>
      <c r="CE226" s="864">
        <f t="shared" si="132"/>
        <v>858400</v>
      </c>
      <c r="CF226" s="862">
        <f t="shared" si="133"/>
        <v>0</v>
      </c>
    </row>
    <row r="227" spans="1:84" s="467" customFormat="1" ht="13.9" customHeight="1" x14ac:dyDescent="0.25">
      <c r="B227" s="483">
        <v>1216</v>
      </c>
      <c r="C227" s="483" t="s">
        <v>175</v>
      </c>
      <c r="D227" s="483"/>
      <c r="E227" s="436" t="s">
        <v>135</v>
      </c>
      <c r="F227" s="467" t="s">
        <v>629</v>
      </c>
      <c r="G227" s="484">
        <v>45856</v>
      </c>
      <c r="H227" s="477" t="s">
        <v>128</v>
      </c>
      <c r="I227" s="485">
        <v>1126261.8195599201</v>
      </c>
      <c r="J227" s="485">
        <f>+I227*0.1</f>
        <v>112626.18195599201</v>
      </c>
      <c r="K227" s="532">
        <v>0</v>
      </c>
      <c r="L227" s="532">
        <v>0</v>
      </c>
      <c r="M227" s="532">
        <v>0</v>
      </c>
      <c r="N227" s="532">
        <v>0</v>
      </c>
      <c r="O227" s="532">
        <v>0</v>
      </c>
      <c r="P227" s="532">
        <v>0</v>
      </c>
      <c r="Q227" s="532">
        <v>0</v>
      </c>
      <c r="R227" s="532">
        <v>0</v>
      </c>
      <c r="S227" s="532">
        <v>0</v>
      </c>
      <c r="T227" s="532">
        <v>0</v>
      </c>
      <c r="U227" s="532">
        <v>0</v>
      </c>
      <c r="V227" s="532">
        <v>0</v>
      </c>
      <c r="W227" s="532">
        <v>0</v>
      </c>
      <c r="X227" s="532">
        <v>0</v>
      </c>
      <c r="Y227" s="532">
        <v>0</v>
      </c>
      <c r="Z227" s="532">
        <v>0</v>
      </c>
      <c r="AA227" s="532">
        <v>0</v>
      </c>
      <c r="AB227" s="532">
        <v>0</v>
      </c>
      <c r="AC227" s="532">
        <v>0</v>
      </c>
      <c r="AD227" s="532">
        <v>0</v>
      </c>
      <c r="AE227" s="532">
        <v>0</v>
      </c>
      <c r="AF227" s="532">
        <v>0</v>
      </c>
      <c r="AG227" s="532">
        <v>0</v>
      </c>
      <c r="AH227" s="532">
        <v>0</v>
      </c>
      <c r="AI227" s="532">
        <v>0</v>
      </c>
      <c r="AJ227" s="532">
        <v>0</v>
      </c>
      <c r="AK227" s="532"/>
      <c r="AL227" s="532"/>
      <c r="AM227" s="509">
        <v>519578.08</v>
      </c>
      <c r="AN227" s="509">
        <v>0</v>
      </c>
      <c r="AO227" s="509">
        <v>60547</v>
      </c>
      <c r="AP227" s="509">
        <v>31100</v>
      </c>
      <c r="AQ227" s="509">
        <v>31100</v>
      </c>
      <c r="AR227" s="532"/>
      <c r="AS227" s="532">
        <v>62200</v>
      </c>
      <c r="AT227" s="510">
        <f t="shared" si="134"/>
        <v>704525.08000000007</v>
      </c>
      <c r="AU227" s="533">
        <f t="shared" si="106"/>
        <v>6.2554289576760125</v>
      </c>
      <c r="AV227" s="511">
        <f t="shared" si="107"/>
        <v>591898.89804400806</v>
      </c>
      <c r="AW227" s="560">
        <f t="shared" si="108"/>
        <v>5.2554289576760125</v>
      </c>
      <c r="AX227" s="510">
        <f t="shared" si="109"/>
        <v>421736.73955992004</v>
      </c>
      <c r="AY227" s="534">
        <f t="shared" si="110"/>
        <v>0.3744571042323987</v>
      </c>
      <c r="AZ227" s="513">
        <f t="shared" si="111"/>
        <v>112626.18195599201</v>
      </c>
      <c r="BA227" s="515" t="str">
        <f t="shared" si="112"/>
        <v>Vendido</v>
      </c>
      <c r="BB227" s="516" t="str">
        <f t="shared" si="113"/>
        <v>Cliente Atrasado</v>
      </c>
      <c r="BC227" s="555">
        <v>11</v>
      </c>
      <c r="BD227" s="693">
        <f t="shared" si="114"/>
        <v>1</v>
      </c>
      <c r="BE227" s="693">
        <f t="shared" si="115"/>
        <v>12</v>
      </c>
      <c r="BF227" s="683">
        <v>519578.07</v>
      </c>
      <c r="BG227" s="535">
        <v>32100</v>
      </c>
      <c r="BH227" s="693">
        <f t="shared" si="116"/>
        <v>4</v>
      </c>
      <c r="BI227" s="693">
        <f t="shared" si="117"/>
        <v>6</v>
      </c>
      <c r="BJ227" s="655">
        <f t="shared" si="135"/>
        <v>712178.07000000007</v>
      </c>
      <c r="BK227" s="518">
        <f t="shared" si="118"/>
        <v>62200</v>
      </c>
      <c r="BL227" s="518">
        <f t="shared" si="119"/>
        <v>642325.08000000007</v>
      </c>
      <c r="BM227" s="518">
        <f t="shared" si="120"/>
        <v>0</v>
      </c>
      <c r="BN227" s="518">
        <f t="shared" si="121"/>
        <v>0</v>
      </c>
      <c r="BO227" s="655">
        <f t="shared" si="136"/>
        <v>7652.9899999999907</v>
      </c>
      <c r="BP227" s="693">
        <f t="shared" si="122"/>
        <v>1</v>
      </c>
      <c r="BQ227" s="697"/>
      <c r="BR227" s="516"/>
      <c r="BT227" s="468">
        <f t="shared" si="123"/>
        <v>-7652.9899999999907</v>
      </c>
      <c r="BU227" s="468">
        <f t="shared" si="124"/>
        <v>-7652.9899999999907</v>
      </c>
      <c r="BV227" s="468">
        <f t="shared" si="125"/>
        <v>0</v>
      </c>
      <c r="BY227" s="862">
        <f t="shared" si="126"/>
        <v>721302.17200000002</v>
      </c>
      <c r="BZ227" s="862">
        <f t="shared" si="127"/>
        <v>309129.50199999998</v>
      </c>
      <c r="CA227" s="862">
        <f t="shared" si="128"/>
        <v>86556.26</v>
      </c>
      <c r="CB227" s="862">
        <f t="shared" si="129"/>
        <v>9273.89</v>
      </c>
      <c r="CC227" s="863">
        <f t="shared" si="130"/>
        <v>807858.43</v>
      </c>
      <c r="CD227" s="863">
        <f t="shared" si="131"/>
        <v>318403.39</v>
      </c>
      <c r="CE227" s="864">
        <f t="shared" si="132"/>
        <v>1126261.82</v>
      </c>
      <c r="CF227" s="862">
        <f t="shared" si="133"/>
        <v>4.4007995165884495E-4</v>
      </c>
    </row>
    <row r="228" spans="1:84" s="429" customFormat="1" ht="13.9" customHeight="1" x14ac:dyDescent="0.25">
      <c r="A228" s="472"/>
      <c r="B228" s="436">
        <v>1217</v>
      </c>
      <c r="C228" s="436" t="s">
        <v>617</v>
      </c>
      <c r="D228" s="436"/>
      <c r="E228" s="436" t="s">
        <v>366</v>
      </c>
      <c r="F228" s="429" t="s">
        <v>630</v>
      </c>
      <c r="G228" s="473">
        <v>45391</v>
      </c>
      <c r="H228" s="436" t="s">
        <v>128</v>
      </c>
      <c r="I228" s="472">
        <v>1253700</v>
      </c>
      <c r="J228" s="472">
        <v>125400</v>
      </c>
      <c r="K228" s="507">
        <v>0</v>
      </c>
      <c r="L228" s="507">
        <v>0</v>
      </c>
      <c r="M228" s="507">
        <v>0</v>
      </c>
      <c r="N228" s="507">
        <v>0</v>
      </c>
      <c r="O228" s="507">
        <v>0</v>
      </c>
      <c r="P228" s="507">
        <v>0</v>
      </c>
      <c r="Q228" s="507">
        <v>0</v>
      </c>
      <c r="R228" s="507">
        <v>0</v>
      </c>
      <c r="S228" s="507">
        <v>0</v>
      </c>
      <c r="T228" s="507">
        <v>0</v>
      </c>
      <c r="U228" s="507">
        <v>0</v>
      </c>
      <c r="V228" s="507">
        <v>0</v>
      </c>
      <c r="W228" s="507">
        <v>0</v>
      </c>
      <c r="X228" s="507">
        <v>8000</v>
      </c>
      <c r="Y228" s="507">
        <v>6904</v>
      </c>
      <c r="Z228" s="507">
        <v>6904</v>
      </c>
      <c r="AA228" s="507">
        <v>6904</v>
      </c>
      <c r="AB228" s="507">
        <v>6904</v>
      </c>
      <c r="AC228" s="507">
        <v>6904</v>
      </c>
      <c r="AD228" s="507">
        <v>6904</v>
      </c>
      <c r="AE228" s="507">
        <v>6904</v>
      </c>
      <c r="AF228" s="507">
        <v>6904</v>
      </c>
      <c r="AG228" s="507">
        <v>6904</v>
      </c>
      <c r="AH228" s="507">
        <v>6904</v>
      </c>
      <c r="AI228" s="507">
        <v>6904</v>
      </c>
      <c r="AJ228" s="507">
        <v>6904</v>
      </c>
      <c r="AK228" s="508">
        <v>6904</v>
      </c>
      <c r="AL228" s="508">
        <v>6904</v>
      </c>
      <c r="AM228" s="509">
        <v>6904</v>
      </c>
      <c r="AN228" s="509">
        <v>6904</v>
      </c>
      <c r="AO228" s="509">
        <v>6936</v>
      </c>
      <c r="AP228" s="509">
        <v>0</v>
      </c>
      <c r="AQ228" s="509">
        <v>0</v>
      </c>
      <c r="AR228" s="509"/>
      <c r="AS228" s="509"/>
      <c r="AT228" s="510">
        <f t="shared" si="134"/>
        <v>125400</v>
      </c>
      <c r="AU228" s="512">
        <f t="shared" si="106"/>
        <v>1</v>
      </c>
      <c r="AV228" s="511">
        <f t="shared" si="107"/>
        <v>0</v>
      </c>
      <c r="AW228" s="558">
        <f t="shared" si="108"/>
        <v>0</v>
      </c>
      <c r="AX228" s="513">
        <f t="shared" si="109"/>
        <v>1128300</v>
      </c>
      <c r="AY228" s="514">
        <f t="shared" si="110"/>
        <v>0.89997607083034215</v>
      </c>
      <c r="AZ228" s="513">
        <f t="shared" si="111"/>
        <v>125400</v>
      </c>
      <c r="BA228" s="515" t="str">
        <f t="shared" si="112"/>
        <v>Vendido</v>
      </c>
      <c r="BB228" s="516" t="str">
        <f t="shared" si="113"/>
        <v>Cliente Atrasado</v>
      </c>
      <c r="BC228" s="551">
        <v>17</v>
      </c>
      <c r="BD228" s="693">
        <f t="shared" si="114"/>
        <v>1</v>
      </c>
      <c r="BE228" s="693">
        <f t="shared" si="115"/>
        <v>18</v>
      </c>
      <c r="BF228" s="517">
        <v>8000</v>
      </c>
      <c r="BG228" s="517">
        <v>6904</v>
      </c>
      <c r="BH228" s="693">
        <f t="shared" si="116"/>
        <v>17</v>
      </c>
      <c r="BI228" s="693">
        <f t="shared" si="117"/>
        <v>21</v>
      </c>
      <c r="BJ228" s="655">
        <f t="shared" si="135"/>
        <v>152984</v>
      </c>
      <c r="BK228" s="518">
        <f t="shared" si="118"/>
        <v>110464</v>
      </c>
      <c r="BL228" s="518">
        <f t="shared" si="119"/>
        <v>14936</v>
      </c>
      <c r="BM228" s="518">
        <f t="shared" si="120"/>
        <v>0</v>
      </c>
      <c r="BN228" s="518">
        <f t="shared" si="121"/>
        <v>0</v>
      </c>
      <c r="BO228" s="655">
        <f t="shared" si="136"/>
        <v>27584</v>
      </c>
      <c r="BP228" s="693">
        <f t="shared" si="122"/>
        <v>4</v>
      </c>
      <c r="BQ228" s="696"/>
      <c r="BR228" s="519"/>
      <c r="BT228" s="439">
        <f t="shared" si="123"/>
        <v>-27584</v>
      </c>
      <c r="BU228" s="439">
        <f t="shared" si="124"/>
        <v>-27584</v>
      </c>
      <c r="BV228" s="439">
        <f t="shared" si="125"/>
        <v>0</v>
      </c>
      <c r="BY228" s="862">
        <f t="shared" si="126"/>
        <v>802918.57299999997</v>
      </c>
      <c r="BZ228" s="862">
        <f t="shared" si="127"/>
        <v>344107.96</v>
      </c>
      <c r="CA228" s="862">
        <f t="shared" si="128"/>
        <v>96350.23</v>
      </c>
      <c r="CB228" s="862">
        <f t="shared" si="129"/>
        <v>10323.24</v>
      </c>
      <c r="CC228" s="863">
        <f t="shared" si="130"/>
        <v>899268.8</v>
      </c>
      <c r="CD228" s="863">
        <f t="shared" si="131"/>
        <v>354431.2</v>
      </c>
      <c r="CE228" s="864">
        <f t="shared" si="132"/>
        <v>1253700</v>
      </c>
      <c r="CF228" s="862">
        <f t="shared" si="133"/>
        <v>0</v>
      </c>
    </row>
    <row r="229" spans="1:84" s="429" customFormat="1" ht="13.9" customHeight="1" x14ac:dyDescent="0.25">
      <c r="A229" s="472"/>
      <c r="B229" s="436">
        <v>1218</v>
      </c>
      <c r="C229" s="436" t="s">
        <v>619</v>
      </c>
      <c r="D229" s="436"/>
      <c r="E229" s="436" t="s">
        <v>423</v>
      </c>
      <c r="F229" s="429" t="s">
        <v>631</v>
      </c>
      <c r="G229" s="473">
        <v>45614</v>
      </c>
      <c r="H229" s="436" t="s">
        <v>128</v>
      </c>
      <c r="I229" s="472">
        <f>969007.88+381917.65</f>
        <v>1350925.53</v>
      </c>
      <c r="J229" s="472">
        <v>135092.54999999999</v>
      </c>
      <c r="K229" s="507">
        <v>0</v>
      </c>
      <c r="L229" s="507">
        <v>0</v>
      </c>
      <c r="M229" s="507">
        <v>0</v>
      </c>
      <c r="N229" s="507">
        <v>0</v>
      </c>
      <c r="O229" s="507">
        <v>0</v>
      </c>
      <c r="P229" s="507">
        <v>0</v>
      </c>
      <c r="Q229" s="507">
        <v>0</v>
      </c>
      <c r="R229" s="507">
        <v>0</v>
      </c>
      <c r="S229" s="507">
        <v>0</v>
      </c>
      <c r="T229" s="507">
        <v>0</v>
      </c>
      <c r="U229" s="507">
        <v>0</v>
      </c>
      <c r="V229" s="507">
        <v>0</v>
      </c>
      <c r="W229" s="507">
        <v>0</v>
      </c>
      <c r="X229" s="507">
        <v>0</v>
      </c>
      <c r="Y229" s="507">
        <v>0</v>
      </c>
      <c r="Z229" s="507">
        <v>0</v>
      </c>
      <c r="AA229" s="507">
        <v>0</v>
      </c>
      <c r="AB229" s="507">
        <v>0</v>
      </c>
      <c r="AC229" s="507">
        <v>0</v>
      </c>
      <c r="AD229" s="507">
        <v>0</v>
      </c>
      <c r="AE229" s="507">
        <v>10000</v>
      </c>
      <c r="AF229" s="507">
        <v>0</v>
      </c>
      <c r="AG229" s="507">
        <v>0</v>
      </c>
      <c r="AH229" s="507">
        <v>0</v>
      </c>
      <c r="AI229" s="507">
        <v>34750</v>
      </c>
      <c r="AJ229" s="507">
        <v>0</v>
      </c>
      <c r="AK229" s="508">
        <v>6950</v>
      </c>
      <c r="AL229" s="508">
        <v>6950</v>
      </c>
      <c r="AM229" s="509">
        <v>6950</v>
      </c>
      <c r="AN229" s="509">
        <v>6950</v>
      </c>
      <c r="AO229" s="509">
        <v>6950</v>
      </c>
      <c r="AP229" s="509">
        <v>0</v>
      </c>
      <c r="AQ229" s="509">
        <v>6950</v>
      </c>
      <c r="AR229" s="509">
        <v>6950</v>
      </c>
      <c r="AS229" s="509"/>
      <c r="AT229" s="510">
        <f t="shared" si="134"/>
        <v>93400</v>
      </c>
      <c r="AU229" s="512">
        <f t="shared" si="106"/>
        <v>0.69137787390940508</v>
      </c>
      <c r="AV229" s="511">
        <f t="shared" si="107"/>
        <v>-41692.549999999988</v>
      </c>
      <c r="AW229" s="558">
        <f t="shared" si="108"/>
        <v>-0.30862212609059486</v>
      </c>
      <c r="AX229" s="513">
        <f t="shared" si="109"/>
        <v>1257525.53</v>
      </c>
      <c r="AY229" s="514">
        <f t="shared" si="110"/>
        <v>0.93086221414440218</v>
      </c>
      <c r="AZ229" s="513">
        <f t="shared" si="111"/>
        <v>135092.54999999999</v>
      </c>
      <c r="BA229" s="515" t="str">
        <f t="shared" si="112"/>
        <v>Vendido</v>
      </c>
      <c r="BB229" s="516" t="str">
        <f t="shared" si="113"/>
        <v>Cliente Atrasado</v>
      </c>
      <c r="BC229" s="551">
        <v>18</v>
      </c>
      <c r="BD229" s="693">
        <f t="shared" si="114"/>
        <v>1</v>
      </c>
      <c r="BE229" s="693">
        <f t="shared" si="115"/>
        <v>19</v>
      </c>
      <c r="BF229" s="517">
        <v>10000</v>
      </c>
      <c r="BG229" s="517">
        <v>6950</v>
      </c>
      <c r="BH229" s="693">
        <f t="shared" si="116"/>
        <v>7</v>
      </c>
      <c r="BI229" s="693">
        <f t="shared" si="117"/>
        <v>14</v>
      </c>
      <c r="BJ229" s="655">
        <f t="shared" si="135"/>
        <v>107300</v>
      </c>
      <c r="BK229" s="518">
        <f t="shared" si="118"/>
        <v>48650</v>
      </c>
      <c r="BL229" s="518">
        <f t="shared" si="119"/>
        <v>44750</v>
      </c>
      <c r="BM229" s="518">
        <f t="shared" si="120"/>
        <v>0</v>
      </c>
      <c r="BN229" s="518">
        <f t="shared" si="121"/>
        <v>0</v>
      </c>
      <c r="BO229" s="655">
        <f t="shared" si="136"/>
        <v>13900</v>
      </c>
      <c r="BP229" s="693">
        <f t="shared" si="122"/>
        <v>2</v>
      </c>
      <c r="BQ229" s="696"/>
      <c r="BR229" s="519"/>
      <c r="BT229" s="439">
        <f t="shared" si="123"/>
        <v>-13900</v>
      </c>
      <c r="BU229" s="439">
        <f t="shared" si="124"/>
        <v>-13900</v>
      </c>
      <c r="BV229" s="439">
        <f t="shared" si="125"/>
        <v>0</v>
      </c>
      <c r="BY229" s="862">
        <f t="shared" si="126"/>
        <v>865185.60900000005</v>
      </c>
      <c r="BZ229" s="862">
        <f t="shared" si="127"/>
        <v>370793.83299999998</v>
      </c>
      <c r="CA229" s="862">
        <f t="shared" si="128"/>
        <v>103822.27</v>
      </c>
      <c r="CB229" s="862">
        <f t="shared" si="129"/>
        <v>11123.81</v>
      </c>
      <c r="CC229" s="863">
        <f t="shared" si="130"/>
        <v>969007.88</v>
      </c>
      <c r="CD229" s="863">
        <f t="shared" si="131"/>
        <v>381917.64</v>
      </c>
      <c r="CE229" s="864">
        <f t="shared" si="132"/>
        <v>1350925.52</v>
      </c>
      <c r="CF229" s="862">
        <f t="shared" si="133"/>
        <v>-1.0000000009313226E-2</v>
      </c>
    </row>
    <row r="230" spans="1:84" s="429" customFormat="1" ht="13.9" customHeight="1" x14ac:dyDescent="0.25">
      <c r="A230" s="472"/>
      <c r="B230" s="436">
        <v>1301</v>
      </c>
      <c r="C230" s="436" t="s">
        <v>617</v>
      </c>
      <c r="D230" s="436"/>
      <c r="E230" s="436" t="s">
        <v>366</v>
      </c>
      <c r="F230" s="429" t="s">
        <v>632</v>
      </c>
      <c r="G230" s="473">
        <v>45456</v>
      </c>
      <c r="H230" s="436" t="s">
        <v>128</v>
      </c>
      <c r="I230" s="472">
        <v>1253700</v>
      </c>
      <c r="J230" s="472">
        <v>125400</v>
      </c>
      <c r="K230" s="507">
        <v>0</v>
      </c>
      <c r="L230" s="507">
        <v>0</v>
      </c>
      <c r="M230" s="507">
        <v>0</v>
      </c>
      <c r="N230" s="507">
        <v>0</v>
      </c>
      <c r="O230" s="507">
        <v>0</v>
      </c>
      <c r="P230" s="507">
        <v>0</v>
      </c>
      <c r="Q230" s="507">
        <v>0</v>
      </c>
      <c r="R230" s="507">
        <v>0</v>
      </c>
      <c r="S230" s="507">
        <v>0</v>
      </c>
      <c r="T230" s="507">
        <v>0</v>
      </c>
      <c r="U230" s="507">
        <v>0</v>
      </c>
      <c r="V230" s="507">
        <v>0</v>
      </c>
      <c r="W230" s="507">
        <v>0</v>
      </c>
      <c r="X230" s="507">
        <v>0</v>
      </c>
      <c r="Y230" s="507">
        <v>0</v>
      </c>
      <c r="Z230" s="507">
        <v>10000</v>
      </c>
      <c r="AA230" s="507">
        <v>6411</v>
      </c>
      <c r="AB230" s="507">
        <v>6411</v>
      </c>
      <c r="AC230" s="507">
        <v>6411</v>
      </c>
      <c r="AD230" s="507">
        <v>6411</v>
      </c>
      <c r="AE230" s="507">
        <v>6411</v>
      </c>
      <c r="AF230" s="507">
        <v>6411</v>
      </c>
      <c r="AG230" s="507">
        <v>6411</v>
      </c>
      <c r="AH230" s="507">
        <v>6411</v>
      </c>
      <c r="AI230" s="507">
        <v>6411</v>
      </c>
      <c r="AJ230" s="507">
        <v>6411</v>
      </c>
      <c r="AK230" s="508">
        <v>6411</v>
      </c>
      <c r="AL230" s="508">
        <v>6411</v>
      </c>
      <c r="AM230" s="509">
        <v>6411</v>
      </c>
      <c r="AN230" s="509">
        <v>6411</v>
      </c>
      <c r="AO230" s="509">
        <v>6411</v>
      </c>
      <c r="AP230" s="509">
        <v>6411</v>
      </c>
      <c r="AQ230" s="509">
        <v>6411</v>
      </c>
      <c r="AR230" s="509">
        <v>6413</v>
      </c>
      <c r="AS230" s="509"/>
      <c r="AT230" s="510">
        <f t="shared" si="134"/>
        <v>125400</v>
      </c>
      <c r="AU230" s="512">
        <f t="shared" si="106"/>
        <v>1</v>
      </c>
      <c r="AV230" s="511">
        <f t="shared" si="107"/>
        <v>0</v>
      </c>
      <c r="AW230" s="558">
        <f t="shared" si="108"/>
        <v>0</v>
      </c>
      <c r="AX230" s="513">
        <f t="shared" si="109"/>
        <v>1128300</v>
      </c>
      <c r="AY230" s="514">
        <f t="shared" si="110"/>
        <v>0.89997607083034215</v>
      </c>
      <c r="AZ230" s="513">
        <f t="shared" si="111"/>
        <v>125400</v>
      </c>
      <c r="BA230" s="515" t="str">
        <f t="shared" si="112"/>
        <v>Vendido</v>
      </c>
      <c r="BB230" s="516" t="str">
        <f t="shared" si="113"/>
        <v>Cliente Atrasado</v>
      </c>
      <c r="BC230" s="551">
        <v>18</v>
      </c>
      <c r="BD230" s="693">
        <f t="shared" si="114"/>
        <v>1</v>
      </c>
      <c r="BE230" s="693">
        <f t="shared" si="115"/>
        <v>19</v>
      </c>
      <c r="BF230" s="517">
        <v>10000</v>
      </c>
      <c r="BG230" s="517">
        <v>6411</v>
      </c>
      <c r="BH230" s="693">
        <f t="shared" si="116"/>
        <v>18</v>
      </c>
      <c r="BI230" s="693">
        <f t="shared" si="117"/>
        <v>19</v>
      </c>
      <c r="BJ230" s="655">
        <f t="shared" si="135"/>
        <v>131809</v>
      </c>
      <c r="BK230" s="518">
        <f t="shared" si="118"/>
        <v>108987</v>
      </c>
      <c r="BL230" s="518">
        <f t="shared" si="119"/>
        <v>16413</v>
      </c>
      <c r="BM230" s="518">
        <f t="shared" si="120"/>
        <v>0</v>
      </c>
      <c r="BN230" s="518">
        <f t="shared" si="121"/>
        <v>0</v>
      </c>
      <c r="BO230" s="655">
        <f t="shared" si="136"/>
        <v>6409</v>
      </c>
      <c r="BP230" s="693">
        <f t="shared" si="122"/>
        <v>1</v>
      </c>
      <c r="BQ230" s="696"/>
      <c r="BR230" s="519"/>
      <c r="BT230" s="439">
        <f t="shared" si="123"/>
        <v>-6409</v>
      </c>
      <c r="BU230" s="439">
        <f t="shared" si="124"/>
        <v>-6409</v>
      </c>
      <c r="BV230" s="439">
        <f t="shared" si="125"/>
        <v>0</v>
      </c>
      <c r="BY230" s="862">
        <f t="shared" si="126"/>
        <v>802918.57299999997</v>
      </c>
      <c r="BZ230" s="862">
        <f t="shared" si="127"/>
        <v>344107.96</v>
      </c>
      <c r="CA230" s="862">
        <f t="shared" si="128"/>
        <v>96350.23</v>
      </c>
      <c r="CB230" s="862">
        <f t="shared" si="129"/>
        <v>10323.24</v>
      </c>
      <c r="CC230" s="863">
        <f t="shared" si="130"/>
        <v>899268.8</v>
      </c>
      <c r="CD230" s="863">
        <f t="shared" si="131"/>
        <v>354431.2</v>
      </c>
      <c r="CE230" s="864">
        <f t="shared" si="132"/>
        <v>1253700</v>
      </c>
      <c r="CF230" s="862">
        <f t="shared" si="133"/>
        <v>0</v>
      </c>
    </row>
    <row r="231" spans="1:84" s="429" customFormat="1" ht="13.9" customHeight="1" x14ac:dyDescent="0.25">
      <c r="A231" s="472"/>
      <c r="B231" s="436">
        <v>1302</v>
      </c>
      <c r="C231" s="436" t="s">
        <v>619</v>
      </c>
      <c r="D231" s="436"/>
      <c r="E231" s="436" t="s">
        <v>366</v>
      </c>
      <c r="F231" s="429" t="s">
        <v>633</v>
      </c>
      <c r="G231" s="473">
        <v>45609</v>
      </c>
      <c r="H231" s="436" t="s">
        <v>128</v>
      </c>
      <c r="I231" s="472">
        <f>969007.88+381917.65</f>
        <v>1350925.53</v>
      </c>
      <c r="J231" s="472">
        <v>135125.53</v>
      </c>
      <c r="K231" s="507">
        <v>0</v>
      </c>
      <c r="L231" s="507">
        <v>0</v>
      </c>
      <c r="M231" s="507">
        <v>0</v>
      </c>
      <c r="N231" s="507">
        <v>0</v>
      </c>
      <c r="O231" s="507">
        <v>0</v>
      </c>
      <c r="P231" s="507">
        <v>0</v>
      </c>
      <c r="Q231" s="507">
        <v>0</v>
      </c>
      <c r="R231" s="507">
        <v>0</v>
      </c>
      <c r="S231" s="507">
        <v>0</v>
      </c>
      <c r="T231" s="507">
        <v>0</v>
      </c>
      <c r="U231" s="507">
        <v>0</v>
      </c>
      <c r="V231" s="507">
        <v>0</v>
      </c>
      <c r="W231" s="507">
        <v>0</v>
      </c>
      <c r="X231" s="507">
        <v>0</v>
      </c>
      <c r="Y231" s="507">
        <v>0</v>
      </c>
      <c r="Z231" s="507">
        <v>0</v>
      </c>
      <c r="AA231" s="507">
        <v>0</v>
      </c>
      <c r="AB231" s="507">
        <v>0</v>
      </c>
      <c r="AC231" s="507">
        <v>0</v>
      </c>
      <c r="AD231" s="507">
        <v>0</v>
      </c>
      <c r="AE231" s="507">
        <f>2000+8000</f>
        <v>10000</v>
      </c>
      <c r="AF231" s="507">
        <v>0</v>
      </c>
      <c r="AG231" s="507">
        <v>0</v>
      </c>
      <c r="AH231" s="507">
        <v>6951</v>
      </c>
      <c r="AI231" s="507">
        <v>6950</v>
      </c>
      <c r="AJ231" s="507">
        <v>0</v>
      </c>
      <c r="AK231" s="508">
        <f>20000+7804+6951+6951</f>
        <v>41706</v>
      </c>
      <c r="AL231" s="508"/>
      <c r="AM231" s="509">
        <v>6951</v>
      </c>
      <c r="AN231" s="509">
        <v>0</v>
      </c>
      <c r="AO231" s="509">
        <v>6951</v>
      </c>
      <c r="AP231" s="509">
        <v>13902</v>
      </c>
      <c r="AQ231" s="509">
        <v>6951</v>
      </c>
      <c r="AR231" s="509"/>
      <c r="AS231" s="509">
        <v>6951</v>
      </c>
      <c r="AT231" s="510">
        <f t="shared" si="134"/>
        <v>107313</v>
      </c>
      <c r="AU231" s="512">
        <f t="shared" si="106"/>
        <v>0.79417264820348898</v>
      </c>
      <c r="AV231" s="511">
        <f t="shared" si="107"/>
        <v>-27812.53</v>
      </c>
      <c r="AW231" s="558">
        <f t="shared" si="108"/>
        <v>-0.20582735179651099</v>
      </c>
      <c r="AX231" s="513">
        <f t="shared" si="109"/>
        <v>1243612.53</v>
      </c>
      <c r="AY231" s="514">
        <f t="shared" si="110"/>
        <v>0.92056334889162983</v>
      </c>
      <c r="AZ231" s="513">
        <f t="shared" si="111"/>
        <v>135125.53</v>
      </c>
      <c r="BA231" s="515" t="str">
        <f t="shared" si="112"/>
        <v>Vendido</v>
      </c>
      <c r="BB231" s="516" t="str">
        <f t="shared" si="113"/>
        <v>Cliente Atrasado</v>
      </c>
      <c r="BC231" s="551">
        <v>18</v>
      </c>
      <c r="BD231" s="693">
        <f t="shared" si="114"/>
        <v>1</v>
      </c>
      <c r="BE231" s="693">
        <f t="shared" si="115"/>
        <v>19</v>
      </c>
      <c r="BF231" s="517">
        <v>10000</v>
      </c>
      <c r="BG231" s="517">
        <v>6951</v>
      </c>
      <c r="BH231" s="693">
        <f t="shared" si="116"/>
        <v>6</v>
      </c>
      <c r="BI231" s="693">
        <f t="shared" si="117"/>
        <v>14</v>
      </c>
      <c r="BJ231" s="655">
        <f t="shared" si="135"/>
        <v>107314</v>
      </c>
      <c r="BK231" s="518">
        <f t="shared" si="118"/>
        <v>41705</v>
      </c>
      <c r="BL231" s="518">
        <f t="shared" si="119"/>
        <v>65608</v>
      </c>
      <c r="BM231" s="518">
        <f t="shared" si="120"/>
        <v>0</v>
      </c>
      <c r="BN231" s="518">
        <f t="shared" si="121"/>
        <v>0</v>
      </c>
      <c r="BO231" s="655">
        <f t="shared" si="136"/>
        <v>1</v>
      </c>
      <c r="BP231" s="693">
        <f t="shared" si="122"/>
        <v>1</v>
      </c>
      <c r="BQ231" s="696"/>
      <c r="BR231" s="519"/>
      <c r="BT231" s="439">
        <f t="shared" si="123"/>
        <v>-1</v>
      </c>
      <c r="BU231" s="439">
        <f t="shared" si="124"/>
        <v>-1</v>
      </c>
      <c r="BV231" s="439">
        <f t="shared" si="125"/>
        <v>0</v>
      </c>
      <c r="BY231" s="862">
        <f t="shared" si="126"/>
        <v>865185.60900000005</v>
      </c>
      <c r="BZ231" s="862">
        <f t="shared" si="127"/>
        <v>370793.83299999998</v>
      </c>
      <c r="CA231" s="862">
        <f t="shared" si="128"/>
        <v>103822.27</v>
      </c>
      <c r="CB231" s="862">
        <f t="shared" si="129"/>
        <v>11123.81</v>
      </c>
      <c r="CC231" s="863">
        <f t="shared" si="130"/>
        <v>969007.88</v>
      </c>
      <c r="CD231" s="863">
        <f t="shared" si="131"/>
        <v>381917.64</v>
      </c>
      <c r="CE231" s="864">
        <f t="shared" si="132"/>
        <v>1350925.52</v>
      </c>
      <c r="CF231" s="862">
        <f t="shared" si="133"/>
        <v>-1.0000000009313226E-2</v>
      </c>
    </row>
    <row r="232" spans="1:84" s="429" customFormat="1" ht="13.9" customHeight="1" x14ac:dyDescent="0.25">
      <c r="A232" s="472"/>
      <c r="B232" s="436">
        <v>1303</v>
      </c>
      <c r="C232" s="436" t="s">
        <v>400</v>
      </c>
      <c r="D232" s="436"/>
      <c r="E232" s="436" t="s">
        <v>366</v>
      </c>
      <c r="F232" s="429" t="s">
        <v>634</v>
      </c>
      <c r="G232" s="473">
        <v>45144</v>
      </c>
      <c r="H232" s="436" t="s">
        <v>128</v>
      </c>
      <c r="I232" s="472">
        <v>901400</v>
      </c>
      <c r="J232" s="472">
        <v>90200</v>
      </c>
      <c r="K232" s="507">
        <v>0</v>
      </c>
      <c r="L232" s="507">
        <v>0</v>
      </c>
      <c r="M232" s="507">
        <v>0</v>
      </c>
      <c r="N232" s="507">
        <v>0</v>
      </c>
      <c r="O232" s="507">
        <v>0</v>
      </c>
      <c r="P232" s="507">
        <v>6000</v>
      </c>
      <c r="Q232" s="507">
        <v>3368</v>
      </c>
      <c r="R232" s="507">
        <v>3368</v>
      </c>
      <c r="S232" s="507">
        <v>3368</v>
      </c>
      <c r="T232" s="507">
        <v>3368</v>
      </c>
      <c r="U232" s="507">
        <v>3368</v>
      </c>
      <c r="V232" s="507">
        <v>3368</v>
      </c>
      <c r="W232" s="507">
        <v>3368</v>
      </c>
      <c r="X232" s="507">
        <v>3368</v>
      </c>
      <c r="Y232" s="507">
        <v>3368</v>
      </c>
      <c r="Z232" s="507">
        <v>3368</v>
      </c>
      <c r="AA232" s="507">
        <v>3368</v>
      </c>
      <c r="AB232" s="507">
        <v>3368</v>
      </c>
      <c r="AC232" s="507">
        <v>3368</v>
      </c>
      <c r="AD232" s="507">
        <v>3368</v>
      </c>
      <c r="AE232" s="507">
        <v>3368</v>
      </c>
      <c r="AF232" s="507">
        <v>3368</v>
      </c>
      <c r="AG232" s="507">
        <f>3368</f>
        <v>3368</v>
      </c>
      <c r="AH232" s="507">
        <v>3368</v>
      </c>
      <c r="AI232" s="507">
        <v>3368</v>
      </c>
      <c r="AJ232" s="507">
        <v>3368</v>
      </c>
      <c r="AK232" s="508">
        <v>3368</v>
      </c>
      <c r="AL232" s="508"/>
      <c r="AM232" s="509">
        <f>3368+3368</f>
        <v>6736</v>
      </c>
      <c r="AN232" s="509">
        <v>3368</v>
      </c>
      <c r="AO232" s="509">
        <v>3368</v>
      </c>
      <c r="AP232" s="509">
        <v>0</v>
      </c>
      <c r="AQ232" s="509">
        <v>0</v>
      </c>
      <c r="AR232" s="509"/>
      <c r="AS232" s="509"/>
      <c r="AT232" s="510">
        <f t="shared" si="134"/>
        <v>90200</v>
      </c>
      <c r="AU232" s="512">
        <f t="shared" si="106"/>
        <v>1</v>
      </c>
      <c r="AV232" s="511">
        <f t="shared" si="107"/>
        <v>0</v>
      </c>
      <c r="AW232" s="558">
        <f t="shared" si="108"/>
        <v>0</v>
      </c>
      <c r="AX232" s="513">
        <f t="shared" si="109"/>
        <v>811200</v>
      </c>
      <c r="AY232" s="514">
        <f t="shared" si="110"/>
        <v>0.89993343687597072</v>
      </c>
      <c r="AZ232" s="513">
        <f t="shared" si="111"/>
        <v>90200</v>
      </c>
      <c r="BA232" s="515" t="str">
        <f t="shared" si="112"/>
        <v>Vendido</v>
      </c>
      <c r="BB232" s="516" t="str">
        <f t="shared" si="113"/>
        <v>Cliente Atrasado</v>
      </c>
      <c r="BC232" s="551">
        <v>25</v>
      </c>
      <c r="BD232" s="693">
        <f t="shared" si="114"/>
        <v>1</v>
      </c>
      <c r="BE232" s="693">
        <f t="shared" si="115"/>
        <v>26</v>
      </c>
      <c r="BF232" s="517">
        <v>6000</v>
      </c>
      <c r="BG232" s="517">
        <v>3368</v>
      </c>
      <c r="BH232" s="693">
        <f t="shared" si="116"/>
        <v>23</v>
      </c>
      <c r="BI232" s="693">
        <f t="shared" si="117"/>
        <v>29</v>
      </c>
      <c r="BJ232" s="655">
        <f t="shared" si="135"/>
        <v>103672</v>
      </c>
      <c r="BK232" s="518">
        <f t="shared" si="118"/>
        <v>77464</v>
      </c>
      <c r="BL232" s="518">
        <f t="shared" si="119"/>
        <v>12736</v>
      </c>
      <c r="BM232" s="518">
        <f t="shared" si="120"/>
        <v>0</v>
      </c>
      <c r="BN232" s="518">
        <f t="shared" si="121"/>
        <v>0</v>
      </c>
      <c r="BO232" s="655">
        <f t="shared" si="136"/>
        <v>13472</v>
      </c>
      <c r="BP232" s="693">
        <f t="shared" si="122"/>
        <v>4</v>
      </c>
      <c r="BQ232" s="696"/>
      <c r="BR232" s="519"/>
      <c r="BT232" s="439">
        <f t="shared" si="123"/>
        <v>-13472</v>
      </c>
      <c r="BU232" s="439">
        <f t="shared" si="124"/>
        <v>-13472</v>
      </c>
      <c r="BV232" s="439">
        <f t="shared" si="125"/>
        <v>0</v>
      </c>
      <c r="BY232" s="862">
        <f t="shared" si="126"/>
        <v>577291.85699999996</v>
      </c>
      <c r="BZ232" s="862">
        <f t="shared" si="127"/>
        <v>247410.796</v>
      </c>
      <c r="CA232" s="862">
        <f t="shared" si="128"/>
        <v>69275.02</v>
      </c>
      <c r="CB232" s="862">
        <f t="shared" si="129"/>
        <v>7422.32</v>
      </c>
      <c r="CC232" s="863">
        <f t="shared" si="130"/>
        <v>646566.88</v>
      </c>
      <c r="CD232" s="863">
        <f t="shared" si="131"/>
        <v>254833.12</v>
      </c>
      <c r="CE232" s="864">
        <f t="shared" si="132"/>
        <v>901400</v>
      </c>
      <c r="CF232" s="862">
        <f t="shared" si="133"/>
        <v>0</v>
      </c>
    </row>
    <row r="233" spans="1:84" s="429" customFormat="1" ht="13.9" customHeight="1" x14ac:dyDescent="0.25">
      <c r="A233" s="472"/>
      <c r="B233" s="436">
        <v>1304</v>
      </c>
      <c r="C233" s="436" t="s">
        <v>175</v>
      </c>
      <c r="D233" s="436"/>
      <c r="E233" s="436" t="s">
        <v>366</v>
      </c>
      <c r="F233" s="429" t="s">
        <v>635</v>
      </c>
      <c r="G233" s="473">
        <v>45223</v>
      </c>
      <c r="H233" s="436" t="s">
        <v>128</v>
      </c>
      <c r="I233" s="472">
        <v>879281.06</v>
      </c>
      <c r="J233" s="472">
        <v>87981.06</v>
      </c>
      <c r="K233" s="507">
        <v>0</v>
      </c>
      <c r="L233" s="507">
        <v>0</v>
      </c>
      <c r="M233" s="507">
        <v>0</v>
      </c>
      <c r="N233" s="507">
        <v>0</v>
      </c>
      <c r="O233" s="507">
        <v>0</v>
      </c>
      <c r="P233" s="507">
        <v>0</v>
      </c>
      <c r="Q233" s="507">
        <v>0</v>
      </c>
      <c r="R233" s="507">
        <v>4000</v>
      </c>
      <c r="S233" s="507">
        <v>3651</v>
      </c>
      <c r="T233" s="507">
        <v>3651</v>
      </c>
      <c r="U233" s="507">
        <v>3651</v>
      </c>
      <c r="V233" s="507">
        <v>3651</v>
      </c>
      <c r="W233" s="507">
        <v>0</v>
      </c>
      <c r="X233" s="507">
        <v>7302</v>
      </c>
      <c r="Y233" s="507">
        <v>0</v>
      </c>
      <c r="Z233" s="507">
        <v>3651</v>
      </c>
      <c r="AA233" s="507">
        <v>7302</v>
      </c>
      <c r="AB233" s="507">
        <v>3651</v>
      </c>
      <c r="AC233" s="507">
        <v>3651</v>
      </c>
      <c r="AD233" s="507">
        <v>3651</v>
      </c>
      <c r="AE233" s="507">
        <v>3651</v>
      </c>
      <c r="AF233" s="507">
        <v>3651</v>
      </c>
      <c r="AG233" s="507">
        <v>0</v>
      </c>
      <c r="AH233" s="507">
        <f>3651+3651</f>
        <v>7302</v>
      </c>
      <c r="AI233" s="507">
        <v>3651</v>
      </c>
      <c r="AJ233" s="507">
        <v>3651</v>
      </c>
      <c r="AK233" s="508">
        <v>3651</v>
      </c>
      <c r="AL233" s="508">
        <v>3651</v>
      </c>
      <c r="AM233" s="509">
        <v>3651</v>
      </c>
      <c r="AN233" s="509">
        <v>3651</v>
      </c>
      <c r="AO233" s="509">
        <v>3659.06</v>
      </c>
      <c r="AP233" s="509">
        <v>0</v>
      </c>
      <c r="AQ233" s="509">
        <v>0</v>
      </c>
      <c r="AR233" s="509"/>
      <c r="AS233" s="509"/>
      <c r="AT233" s="510">
        <f t="shared" si="134"/>
        <v>87981.06</v>
      </c>
      <c r="AU233" s="512">
        <f t="shared" si="106"/>
        <v>1</v>
      </c>
      <c r="AV233" s="511">
        <f t="shared" si="107"/>
        <v>0</v>
      </c>
      <c r="AW233" s="558">
        <f t="shared" si="108"/>
        <v>0</v>
      </c>
      <c r="AX233" s="513">
        <f t="shared" si="109"/>
        <v>791300</v>
      </c>
      <c r="AY233" s="514">
        <f t="shared" si="110"/>
        <v>0.89993977579819584</v>
      </c>
      <c r="AZ233" s="513">
        <f t="shared" si="111"/>
        <v>87981.06</v>
      </c>
      <c r="BA233" s="515" t="str">
        <f t="shared" si="112"/>
        <v>Vendido</v>
      </c>
      <c r="BB233" s="516" t="str">
        <f t="shared" si="113"/>
        <v>Cliente Atrasado</v>
      </c>
      <c r="BC233" s="551">
        <v>23</v>
      </c>
      <c r="BD233" s="693">
        <f t="shared" si="114"/>
        <v>1</v>
      </c>
      <c r="BE233" s="693">
        <f t="shared" si="115"/>
        <v>24</v>
      </c>
      <c r="BF233" s="517">
        <v>4000</v>
      </c>
      <c r="BG233" s="517">
        <v>3651</v>
      </c>
      <c r="BH233" s="693">
        <f t="shared" si="116"/>
        <v>17</v>
      </c>
      <c r="BI233" s="693">
        <f t="shared" si="117"/>
        <v>27</v>
      </c>
      <c r="BJ233" s="655">
        <f t="shared" si="135"/>
        <v>102577</v>
      </c>
      <c r="BK233" s="518">
        <f t="shared" si="118"/>
        <v>58416</v>
      </c>
      <c r="BL233" s="518">
        <f t="shared" si="119"/>
        <v>29565.06</v>
      </c>
      <c r="BM233" s="518">
        <f t="shared" si="120"/>
        <v>0</v>
      </c>
      <c r="BN233" s="518">
        <f t="shared" si="121"/>
        <v>0</v>
      </c>
      <c r="BO233" s="655">
        <f t="shared" si="136"/>
        <v>14595.940000000002</v>
      </c>
      <c r="BP233" s="693">
        <f t="shared" si="122"/>
        <v>4</v>
      </c>
      <c r="BQ233" s="696"/>
      <c r="BR233" s="519"/>
      <c r="BT233" s="439">
        <f t="shared" si="123"/>
        <v>-14595.940000000002</v>
      </c>
      <c r="BU233" s="439">
        <f t="shared" si="124"/>
        <v>-14595.940000000002</v>
      </c>
      <c r="BV233" s="439">
        <f t="shared" si="125"/>
        <v>0</v>
      </c>
      <c r="BY233" s="862">
        <f t="shared" si="126"/>
        <v>563126.022</v>
      </c>
      <c r="BZ233" s="862">
        <f t="shared" si="127"/>
        <v>241339.72399999999</v>
      </c>
      <c r="CA233" s="862">
        <f t="shared" si="128"/>
        <v>67575.12</v>
      </c>
      <c r="CB233" s="862">
        <f t="shared" si="129"/>
        <v>7240.19</v>
      </c>
      <c r="CC233" s="863">
        <f t="shared" si="130"/>
        <v>630701.14</v>
      </c>
      <c r="CD233" s="863">
        <f t="shared" si="131"/>
        <v>248579.91</v>
      </c>
      <c r="CE233" s="864">
        <f t="shared" si="132"/>
        <v>879281.05</v>
      </c>
      <c r="CF233" s="862">
        <f t="shared" si="133"/>
        <v>-1.0000000009313226E-2</v>
      </c>
    </row>
    <row r="234" spans="1:84" s="429" customFormat="1" ht="13.9" customHeight="1" x14ac:dyDescent="0.25">
      <c r="A234" s="472"/>
      <c r="B234" s="436">
        <v>1305</v>
      </c>
      <c r="C234" s="436" t="s">
        <v>192</v>
      </c>
      <c r="D234" s="436"/>
      <c r="E234" s="436" t="s">
        <v>366</v>
      </c>
      <c r="F234" s="429" t="s">
        <v>636</v>
      </c>
      <c r="G234" s="473">
        <v>45779</v>
      </c>
      <c r="H234" s="436" t="s">
        <v>128</v>
      </c>
      <c r="I234" s="472">
        <v>663200</v>
      </c>
      <c r="J234" s="472">
        <v>66400</v>
      </c>
      <c r="K234" s="507">
        <v>0</v>
      </c>
      <c r="L234" s="507">
        <v>0</v>
      </c>
      <c r="M234" s="507">
        <v>0</v>
      </c>
      <c r="N234" s="507">
        <v>0</v>
      </c>
      <c r="O234" s="507">
        <v>0</v>
      </c>
      <c r="P234" s="507">
        <v>0</v>
      </c>
      <c r="Q234" s="507">
        <v>0</v>
      </c>
      <c r="R234" s="507">
        <v>0</v>
      </c>
      <c r="S234" s="507">
        <v>0</v>
      </c>
      <c r="T234" s="507">
        <v>0</v>
      </c>
      <c r="U234" s="507">
        <v>0</v>
      </c>
      <c r="V234" s="507">
        <v>0</v>
      </c>
      <c r="W234" s="507">
        <v>0</v>
      </c>
      <c r="X234" s="507">
        <v>0</v>
      </c>
      <c r="Y234" s="507">
        <v>0</v>
      </c>
      <c r="Z234" s="507">
        <v>0</v>
      </c>
      <c r="AA234" s="507">
        <v>0</v>
      </c>
      <c r="AB234" s="507">
        <v>0</v>
      </c>
      <c r="AC234" s="507">
        <v>0</v>
      </c>
      <c r="AD234" s="507">
        <v>0</v>
      </c>
      <c r="AE234" s="507">
        <v>0</v>
      </c>
      <c r="AF234" s="507">
        <v>0</v>
      </c>
      <c r="AG234" s="507">
        <v>0</v>
      </c>
      <c r="AH234" s="507">
        <v>0</v>
      </c>
      <c r="AI234" s="507">
        <v>0</v>
      </c>
      <c r="AJ234" s="507">
        <v>0</v>
      </c>
      <c r="AK234" s="508">
        <v>10000</v>
      </c>
      <c r="AL234" s="508">
        <v>5617</v>
      </c>
      <c r="AM234" s="509">
        <v>5617</v>
      </c>
      <c r="AN234" s="509">
        <v>5617</v>
      </c>
      <c r="AO234" s="509">
        <v>5617</v>
      </c>
      <c r="AP234" s="509">
        <v>5617</v>
      </c>
      <c r="AQ234" s="509">
        <v>5617</v>
      </c>
      <c r="AR234" s="509">
        <v>5617</v>
      </c>
      <c r="AS234" s="509">
        <v>5617</v>
      </c>
      <c r="AT234" s="510">
        <f t="shared" si="134"/>
        <v>54936</v>
      </c>
      <c r="AU234" s="512">
        <f t="shared" si="106"/>
        <v>0.82734939759036141</v>
      </c>
      <c r="AV234" s="511">
        <f t="shared" si="107"/>
        <v>-11464</v>
      </c>
      <c r="AW234" s="558">
        <f t="shared" si="108"/>
        <v>-0.17265060240963856</v>
      </c>
      <c r="AX234" s="513">
        <f t="shared" si="109"/>
        <v>608264</v>
      </c>
      <c r="AY234" s="514">
        <f t="shared" si="110"/>
        <v>0.91716525934861282</v>
      </c>
      <c r="AZ234" s="513">
        <f t="shared" si="111"/>
        <v>66400</v>
      </c>
      <c r="BA234" s="515" t="str">
        <f t="shared" si="112"/>
        <v>Vendido</v>
      </c>
      <c r="BB234" s="516" t="str">
        <f t="shared" si="113"/>
        <v>Cliente al día</v>
      </c>
      <c r="BC234" s="551">
        <v>12</v>
      </c>
      <c r="BD234" s="693">
        <f t="shared" si="114"/>
        <v>1</v>
      </c>
      <c r="BE234" s="693">
        <f t="shared" si="115"/>
        <v>13</v>
      </c>
      <c r="BF234" s="517">
        <v>10000</v>
      </c>
      <c r="BG234" s="517">
        <v>4700</v>
      </c>
      <c r="BH234" s="693">
        <f t="shared" si="116"/>
        <v>8</v>
      </c>
      <c r="BI234" s="693">
        <f t="shared" si="117"/>
        <v>8</v>
      </c>
      <c r="BJ234" s="655">
        <f t="shared" si="135"/>
        <v>47600</v>
      </c>
      <c r="BK234" s="518">
        <f t="shared" si="118"/>
        <v>0</v>
      </c>
      <c r="BL234" s="518">
        <f t="shared" si="119"/>
        <v>54936</v>
      </c>
      <c r="BM234" s="518">
        <f t="shared" si="120"/>
        <v>0</v>
      </c>
      <c r="BN234" s="518">
        <f t="shared" si="121"/>
        <v>7336</v>
      </c>
      <c r="BO234" s="655">
        <f t="shared" si="136"/>
        <v>0</v>
      </c>
      <c r="BP234" s="693">
        <f t="shared" si="122"/>
        <v>0</v>
      </c>
      <c r="BQ234" s="696"/>
      <c r="BR234" s="519"/>
      <c r="BT234" s="439">
        <f t="shared" si="123"/>
        <v>7336</v>
      </c>
      <c r="BU234" s="439">
        <f t="shared" si="124"/>
        <v>7336</v>
      </c>
      <c r="BV234" s="439">
        <f t="shared" si="125"/>
        <v>0</v>
      </c>
      <c r="BY234" s="862">
        <f t="shared" si="126"/>
        <v>424739.25</v>
      </c>
      <c r="BZ234" s="862">
        <f t="shared" si="127"/>
        <v>182031.10699999999</v>
      </c>
      <c r="CA234" s="862">
        <f t="shared" si="128"/>
        <v>50968.71</v>
      </c>
      <c r="CB234" s="862">
        <f t="shared" si="129"/>
        <v>5460.93</v>
      </c>
      <c r="CC234" s="863">
        <f t="shared" si="130"/>
        <v>475707.96</v>
      </c>
      <c r="CD234" s="863">
        <f t="shared" si="131"/>
        <v>187492.04</v>
      </c>
      <c r="CE234" s="864">
        <f t="shared" si="132"/>
        <v>663200</v>
      </c>
      <c r="CF234" s="862">
        <f t="shared" si="133"/>
        <v>0</v>
      </c>
    </row>
    <row r="235" spans="1:84" s="429" customFormat="1" ht="13.9" customHeight="1" x14ac:dyDescent="0.25">
      <c r="A235" s="472"/>
      <c r="B235" s="436">
        <v>1306</v>
      </c>
      <c r="C235" s="436" t="s">
        <v>178</v>
      </c>
      <c r="D235" s="436"/>
      <c r="E235" s="436" t="s">
        <v>383</v>
      </c>
      <c r="F235" s="429" t="s">
        <v>637</v>
      </c>
      <c r="G235" s="473">
        <v>45054</v>
      </c>
      <c r="H235" s="436" t="s">
        <v>128</v>
      </c>
      <c r="I235" s="472">
        <v>697500</v>
      </c>
      <c r="J235" s="472">
        <v>69800</v>
      </c>
      <c r="K235" s="507">
        <v>0</v>
      </c>
      <c r="L235" s="507">
        <v>0</v>
      </c>
      <c r="M235" s="507">
        <v>6000</v>
      </c>
      <c r="N235" s="507">
        <v>2250</v>
      </c>
      <c r="O235" s="507">
        <v>2250</v>
      </c>
      <c r="P235" s="507">
        <v>2250</v>
      </c>
      <c r="Q235" s="507">
        <v>2250</v>
      </c>
      <c r="R235" s="507">
        <v>0</v>
      </c>
      <c r="S235" s="507">
        <v>2250</v>
      </c>
      <c r="T235" s="507">
        <v>2250</v>
      </c>
      <c r="U235" s="507">
        <v>2250</v>
      </c>
      <c r="V235" s="507">
        <v>2250</v>
      </c>
      <c r="W235" s="507">
        <v>2250</v>
      </c>
      <c r="X235" s="507">
        <v>2250</v>
      </c>
      <c r="Y235" s="507">
        <v>4500</v>
      </c>
      <c r="Z235" s="507">
        <v>0</v>
      </c>
      <c r="AA235" s="507">
        <v>2250</v>
      </c>
      <c r="AB235" s="507">
        <v>2250</v>
      </c>
      <c r="AC235" s="507">
        <v>2250</v>
      </c>
      <c r="AD235" s="507">
        <v>2250</v>
      </c>
      <c r="AE235" s="507">
        <v>2250</v>
      </c>
      <c r="AF235" s="507">
        <v>2250</v>
      </c>
      <c r="AG235" s="507">
        <v>2250</v>
      </c>
      <c r="AH235" s="507">
        <f>2250+2250</f>
        <v>4500</v>
      </c>
      <c r="AI235" s="507">
        <v>2250</v>
      </c>
      <c r="AJ235" s="507">
        <v>2250</v>
      </c>
      <c r="AK235" s="508">
        <v>2250</v>
      </c>
      <c r="AL235" s="508">
        <v>0</v>
      </c>
      <c r="AM235" s="509">
        <v>4500</v>
      </c>
      <c r="AN235" s="509">
        <v>0</v>
      </c>
      <c r="AO235" s="509">
        <v>2500</v>
      </c>
      <c r="AP235" s="509">
        <v>0</v>
      </c>
      <c r="AQ235" s="509">
        <v>0</v>
      </c>
      <c r="AR235" s="509">
        <f>5000+4000+6534</f>
        <v>15534</v>
      </c>
      <c r="AS235" s="509"/>
      <c r="AT235" s="510">
        <f t="shared" si="134"/>
        <v>82534</v>
      </c>
      <c r="AU235" s="512">
        <f t="shared" si="106"/>
        <v>1.1824355300859599</v>
      </c>
      <c r="AV235" s="511">
        <f t="shared" si="107"/>
        <v>12734</v>
      </c>
      <c r="AW235" s="558">
        <f t="shared" si="108"/>
        <v>0.18243553008595989</v>
      </c>
      <c r="AX235" s="513">
        <f t="shared" si="109"/>
        <v>614966</v>
      </c>
      <c r="AY235" s="514">
        <f t="shared" si="110"/>
        <v>0.88167168458781364</v>
      </c>
      <c r="AZ235" s="513">
        <f t="shared" si="111"/>
        <v>69800</v>
      </c>
      <c r="BA235" s="515" t="str">
        <f t="shared" si="112"/>
        <v>Vendido</v>
      </c>
      <c r="BB235" s="516" t="str">
        <f t="shared" si="113"/>
        <v>Superávit de Enganche</v>
      </c>
      <c r="BC235" s="551">
        <v>28</v>
      </c>
      <c r="BD235" s="693">
        <f t="shared" si="114"/>
        <v>1</v>
      </c>
      <c r="BE235" s="693">
        <f t="shared" si="115"/>
        <v>29</v>
      </c>
      <c r="BF235" s="517">
        <v>6000</v>
      </c>
      <c r="BG235" s="517">
        <v>2250</v>
      </c>
      <c r="BH235" s="693">
        <f t="shared" si="116"/>
        <v>24</v>
      </c>
      <c r="BI235" s="693">
        <f t="shared" si="117"/>
        <v>32</v>
      </c>
      <c r="BJ235" s="655">
        <f t="shared" si="135"/>
        <v>78000</v>
      </c>
      <c r="BK235" s="518">
        <f t="shared" si="118"/>
        <v>45000</v>
      </c>
      <c r="BL235" s="518">
        <f t="shared" si="119"/>
        <v>37534</v>
      </c>
      <c r="BM235" s="518">
        <f t="shared" si="120"/>
        <v>0</v>
      </c>
      <c r="BN235" s="518">
        <f t="shared" si="121"/>
        <v>4534</v>
      </c>
      <c r="BO235" s="655">
        <f t="shared" si="136"/>
        <v>0</v>
      </c>
      <c r="BP235" s="693">
        <f t="shared" si="122"/>
        <v>0</v>
      </c>
      <c r="BQ235" s="696"/>
      <c r="BR235" s="519"/>
      <c r="BT235" s="439">
        <f t="shared" si="123"/>
        <v>4534</v>
      </c>
      <c r="BU235" s="439">
        <f t="shared" si="124"/>
        <v>4534</v>
      </c>
      <c r="BV235" s="439">
        <f t="shared" si="125"/>
        <v>0</v>
      </c>
      <c r="BY235" s="862">
        <f t="shared" si="126"/>
        <v>446706.31300000002</v>
      </c>
      <c r="BZ235" s="862">
        <f t="shared" si="127"/>
        <v>191445.56299999999</v>
      </c>
      <c r="CA235" s="862">
        <f t="shared" si="128"/>
        <v>53604.76</v>
      </c>
      <c r="CB235" s="862">
        <f t="shared" si="129"/>
        <v>5743.37</v>
      </c>
      <c r="CC235" s="863">
        <f t="shared" si="130"/>
        <v>500311.07</v>
      </c>
      <c r="CD235" s="863">
        <f t="shared" si="131"/>
        <v>197188.93</v>
      </c>
      <c r="CE235" s="864">
        <f t="shared" si="132"/>
        <v>697500</v>
      </c>
      <c r="CF235" s="862">
        <f t="shared" si="133"/>
        <v>0</v>
      </c>
    </row>
    <row r="236" spans="1:84" s="429" customFormat="1" ht="13.9" customHeight="1" x14ac:dyDescent="0.25">
      <c r="A236" s="472" t="s">
        <v>58</v>
      </c>
      <c r="B236" s="475">
        <v>1307</v>
      </c>
      <c r="C236" s="475" t="s">
        <v>465</v>
      </c>
      <c r="D236" s="475"/>
      <c r="E236" s="475" t="s">
        <v>356</v>
      </c>
      <c r="F236" s="476" t="s">
        <v>638</v>
      </c>
      <c r="G236" s="473">
        <v>45016</v>
      </c>
      <c r="H236" s="436" t="s">
        <v>128</v>
      </c>
      <c r="I236" s="472">
        <v>678932</v>
      </c>
      <c r="J236" s="472">
        <v>67932</v>
      </c>
      <c r="K236" s="507">
        <v>6000</v>
      </c>
      <c r="L236" s="507">
        <v>0</v>
      </c>
      <c r="M236" s="507">
        <v>0</v>
      </c>
      <c r="N236" s="507">
        <v>0</v>
      </c>
      <c r="O236" s="507">
        <v>0</v>
      </c>
      <c r="P236" s="507">
        <v>0</v>
      </c>
      <c r="Q236" s="507">
        <v>0</v>
      </c>
      <c r="R236" s="507">
        <v>0</v>
      </c>
      <c r="S236" s="507">
        <v>2800</v>
      </c>
      <c r="T236" s="507">
        <v>0</v>
      </c>
      <c r="U236" s="507">
        <v>0</v>
      </c>
      <c r="V236" s="507">
        <v>0</v>
      </c>
      <c r="W236" s="507">
        <v>0</v>
      </c>
      <c r="X236" s="507">
        <v>0</v>
      </c>
      <c r="Y236" s="507">
        <v>0</v>
      </c>
      <c r="Z236" s="507">
        <v>0</v>
      </c>
      <c r="AA236" s="507">
        <v>0</v>
      </c>
      <c r="AB236" s="507">
        <v>0</v>
      </c>
      <c r="AC236" s="507">
        <v>0</v>
      </c>
      <c r="AD236" s="507">
        <v>0</v>
      </c>
      <c r="AE236" s="507">
        <v>0</v>
      </c>
      <c r="AF236" s="507">
        <v>0</v>
      </c>
      <c r="AG236" s="507">
        <v>0</v>
      </c>
      <c r="AH236" s="507">
        <v>0</v>
      </c>
      <c r="AI236" s="507">
        <v>0</v>
      </c>
      <c r="AJ236" s="507">
        <v>0</v>
      </c>
      <c r="AK236" s="508"/>
      <c r="AL236" s="508"/>
      <c r="AM236" s="508"/>
      <c r="AN236" s="509">
        <v>0</v>
      </c>
      <c r="AO236" s="509">
        <v>0</v>
      </c>
      <c r="AP236" s="509">
        <v>0</v>
      </c>
      <c r="AQ236" s="509">
        <v>0</v>
      </c>
      <c r="AR236" s="508"/>
      <c r="AS236" s="508"/>
      <c r="AT236" s="510">
        <f t="shared" si="134"/>
        <v>8800</v>
      </c>
      <c r="AU236" s="512">
        <f t="shared" si="106"/>
        <v>0.12954130601189426</v>
      </c>
      <c r="AV236" s="511">
        <f t="shared" si="107"/>
        <v>-59132</v>
      </c>
      <c r="AW236" s="558">
        <f t="shared" si="108"/>
        <v>-0.87045869398810571</v>
      </c>
      <c r="AX236" s="513">
        <f t="shared" si="109"/>
        <v>670132</v>
      </c>
      <c r="AY236" s="514">
        <f t="shared" si="110"/>
        <v>0.9870384662970666</v>
      </c>
      <c r="AZ236" s="513">
        <f t="shared" si="111"/>
        <v>67932</v>
      </c>
      <c r="BA236" s="515" t="str">
        <f t="shared" si="112"/>
        <v>Vendido</v>
      </c>
      <c r="BB236" s="516" t="str">
        <f t="shared" si="113"/>
        <v>Cliente Atrasado</v>
      </c>
      <c r="BC236" s="551">
        <v>3</v>
      </c>
      <c r="BD236" s="693">
        <f t="shared" si="114"/>
        <v>1</v>
      </c>
      <c r="BE236" s="693">
        <f t="shared" si="115"/>
        <v>4</v>
      </c>
      <c r="BF236" s="517">
        <v>6000</v>
      </c>
      <c r="BG236" s="517">
        <f>61932/3</f>
        <v>20644</v>
      </c>
      <c r="BH236" s="693">
        <f t="shared" si="116"/>
        <v>1</v>
      </c>
      <c r="BI236" s="693">
        <f t="shared" si="117"/>
        <v>33</v>
      </c>
      <c r="BJ236" s="655">
        <f t="shared" si="135"/>
        <v>687252</v>
      </c>
      <c r="BK236" s="518">
        <f t="shared" si="118"/>
        <v>8800</v>
      </c>
      <c r="BL236" s="518">
        <f t="shared" si="119"/>
        <v>0</v>
      </c>
      <c r="BM236" s="518">
        <f t="shared" si="120"/>
        <v>0</v>
      </c>
      <c r="BN236" s="518">
        <f t="shared" si="121"/>
        <v>0</v>
      </c>
      <c r="BO236" s="655">
        <f t="shared" si="136"/>
        <v>678452</v>
      </c>
      <c r="BP236" s="693" t="str">
        <f t="shared" si="122"/>
        <v/>
      </c>
      <c r="BQ236" s="695" t="s">
        <v>58</v>
      </c>
      <c r="BR236" s="519"/>
      <c r="BT236" s="439">
        <f t="shared" si="123"/>
        <v>-678452</v>
      </c>
      <c r="BU236" s="439">
        <f t="shared" si="124"/>
        <v>-678452</v>
      </c>
      <c r="BV236" s="439">
        <f t="shared" si="125"/>
        <v>0</v>
      </c>
      <c r="BY236" s="862">
        <f t="shared" si="126"/>
        <v>434814.63900000002</v>
      </c>
      <c r="BZ236" s="862">
        <f t="shared" si="127"/>
        <v>186349.13099999999</v>
      </c>
      <c r="CA236" s="862">
        <f t="shared" si="128"/>
        <v>52177.760000000002</v>
      </c>
      <c r="CB236" s="862">
        <f t="shared" si="129"/>
        <v>5590.47</v>
      </c>
      <c r="CC236" s="863">
        <f t="shared" si="130"/>
        <v>486992.4</v>
      </c>
      <c r="CD236" s="863">
        <f t="shared" si="131"/>
        <v>191939.6</v>
      </c>
      <c r="CE236" s="864">
        <f t="shared" si="132"/>
        <v>678932</v>
      </c>
      <c r="CF236" s="862">
        <f t="shared" si="133"/>
        <v>0</v>
      </c>
    </row>
    <row r="237" spans="1:84" s="429" customFormat="1" ht="13.9" customHeight="1" x14ac:dyDescent="0.25">
      <c r="A237" s="472"/>
      <c r="B237" s="436">
        <v>1308</v>
      </c>
      <c r="C237" s="436" t="s">
        <v>467</v>
      </c>
      <c r="D237" s="436"/>
      <c r="E237" s="436" t="s">
        <v>366</v>
      </c>
      <c r="F237" s="429" t="s">
        <v>639</v>
      </c>
      <c r="G237" s="473">
        <v>45230</v>
      </c>
      <c r="H237" s="436" t="s">
        <v>128</v>
      </c>
      <c r="I237" s="472">
        <v>1183693</v>
      </c>
      <c r="J237" s="472">
        <v>118393</v>
      </c>
      <c r="K237" s="507">
        <v>0</v>
      </c>
      <c r="L237" s="507">
        <v>0</v>
      </c>
      <c r="M237" s="507">
        <v>0</v>
      </c>
      <c r="N237" s="507">
        <v>0</v>
      </c>
      <c r="O237" s="507">
        <v>0</v>
      </c>
      <c r="P237" s="507">
        <v>0</v>
      </c>
      <c r="Q237" s="507">
        <v>0</v>
      </c>
      <c r="R237" s="507">
        <v>8000</v>
      </c>
      <c r="S237" s="507">
        <v>4800</v>
      </c>
      <c r="T237" s="507">
        <v>4800</v>
      </c>
      <c r="U237" s="507">
        <v>4800</v>
      </c>
      <c r="V237" s="507">
        <v>4800</v>
      </c>
      <c r="W237" s="507">
        <v>4800</v>
      </c>
      <c r="X237" s="507">
        <v>4800</v>
      </c>
      <c r="Y237" s="507">
        <v>4800</v>
      </c>
      <c r="Z237" s="507">
        <v>4800</v>
      </c>
      <c r="AA237" s="507">
        <v>4800</v>
      </c>
      <c r="AB237" s="507">
        <v>4800</v>
      </c>
      <c r="AC237" s="507">
        <v>4800</v>
      </c>
      <c r="AD237" s="507">
        <v>4800</v>
      </c>
      <c r="AE237" s="507">
        <v>4800</v>
      </c>
      <c r="AF237" s="507">
        <v>0</v>
      </c>
      <c r="AG237" s="507">
        <f>4800+4800</f>
        <v>9600</v>
      </c>
      <c r="AH237" s="507">
        <v>4800</v>
      </c>
      <c r="AI237" s="507">
        <v>4800</v>
      </c>
      <c r="AJ237" s="507">
        <v>4800</v>
      </c>
      <c r="AK237" s="508">
        <v>4800</v>
      </c>
      <c r="AL237" s="508">
        <v>4800</v>
      </c>
      <c r="AM237" s="509">
        <v>4800</v>
      </c>
      <c r="AN237" s="509">
        <v>4800</v>
      </c>
      <c r="AO237" s="509">
        <v>4800</v>
      </c>
      <c r="AP237" s="509">
        <v>0</v>
      </c>
      <c r="AQ237" s="509">
        <v>0</v>
      </c>
      <c r="AR237" s="509"/>
      <c r="AS237" s="509"/>
      <c r="AT237" s="510">
        <f t="shared" si="134"/>
        <v>118400</v>
      </c>
      <c r="AU237" s="512">
        <f t="shared" si="106"/>
        <v>1.0000591251171944</v>
      </c>
      <c r="AV237" s="511">
        <f t="shared" si="107"/>
        <v>7</v>
      </c>
      <c r="AW237" s="558">
        <f t="shared" si="108"/>
        <v>5.9125117194428723E-5</v>
      </c>
      <c r="AX237" s="513">
        <f t="shared" si="109"/>
        <v>1065293</v>
      </c>
      <c r="AY237" s="514">
        <f t="shared" si="110"/>
        <v>0.89997406422104376</v>
      </c>
      <c r="AZ237" s="513">
        <f t="shared" si="111"/>
        <v>118393</v>
      </c>
      <c r="BA237" s="515" t="str">
        <f t="shared" si="112"/>
        <v>Vendido</v>
      </c>
      <c r="BB237" s="516" t="str">
        <f t="shared" si="113"/>
        <v>Cliente Atrasado</v>
      </c>
      <c r="BC237" s="551">
        <v>23</v>
      </c>
      <c r="BD237" s="693">
        <f t="shared" si="114"/>
        <v>1</v>
      </c>
      <c r="BE237" s="693">
        <f t="shared" si="115"/>
        <v>24</v>
      </c>
      <c r="BF237" s="517">
        <v>8000</v>
      </c>
      <c r="BG237" s="517">
        <v>4800</v>
      </c>
      <c r="BH237" s="693">
        <f t="shared" si="116"/>
        <v>21</v>
      </c>
      <c r="BI237" s="693">
        <f t="shared" si="117"/>
        <v>26</v>
      </c>
      <c r="BJ237" s="655">
        <f t="shared" si="135"/>
        <v>132800</v>
      </c>
      <c r="BK237" s="518">
        <f t="shared" si="118"/>
        <v>100800</v>
      </c>
      <c r="BL237" s="518">
        <f t="shared" si="119"/>
        <v>17600</v>
      </c>
      <c r="BM237" s="518">
        <f t="shared" si="120"/>
        <v>0</v>
      </c>
      <c r="BN237" s="518">
        <f t="shared" si="121"/>
        <v>0</v>
      </c>
      <c r="BO237" s="655">
        <f t="shared" si="136"/>
        <v>14400</v>
      </c>
      <c r="BP237" s="693">
        <f t="shared" si="122"/>
        <v>3</v>
      </c>
      <c r="BQ237" s="696"/>
      <c r="BR237" s="519"/>
      <c r="BT237" s="439">
        <f t="shared" si="123"/>
        <v>-14400</v>
      </c>
      <c r="BU237" s="439">
        <f t="shared" si="124"/>
        <v>-14400</v>
      </c>
      <c r="BV237" s="439">
        <f t="shared" si="125"/>
        <v>0</v>
      </c>
      <c r="BY237" s="862">
        <f t="shared" si="126"/>
        <v>758083.34900000005</v>
      </c>
      <c r="BZ237" s="862">
        <f t="shared" si="127"/>
        <v>324892.864</v>
      </c>
      <c r="CA237" s="862">
        <f t="shared" si="128"/>
        <v>90970</v>
      </c>
      <c r="CB237" s="862">
        <f t="shared" si="129"/>
        <v>9746.7900000000009</v>
      </c>
      <c r="CC237" s="863">
        <f t="shared" si="130"/>
        <v>849053.35</v>
      </c>
      <c r="CD237" s="863">
        <f t="shared" si="131"/>
        <v>334639.65000000002</v>
      </c>
      <c r="CE237" s="864">
        <f t="shared" si="132"/>
        <v>1183693</v>
      </c>
      <c r="CF237" s="862">
        <f t="shared" si="133"/>
        <v>0</v>
      </c>
    </row>
    <row r="238" spans="1:84" s="429" customFormat="1" ht="13.9" customHeight="1" x14ac:dyDescent="0.25">
      <c r="B238" s="905">
        <v>1309</v>
      </c>
      <c r="C238" s="436" t="s">
        <v>469</v>
      </c>
      <c r="D238" s="436"/>
      <c r="E238" s="436"/>
      <c r="G238" s="473"/>
      <c r="H238" s="436" t="s">
        <v>374</v>
      </c>
      <c r="I238" s="472">
        <v>1603000</v>
      </c>
      <c r="J238" s="472">
        <v>112300</v>
      </c>
      <c r="K238" s="507">
        <v>0</v>
      </c>
      <c r="L238" s="507">
        <v>0</v>
      </c>
      <c r="M238" s="507">
        <v>0</v>
      </c>
      <c r="N238" s="507">
        <v>0</v>
      </c>
      <c r="O238" s="507">
        <v>0</v>
      </c>
      <c r="P238" s="507">
        <v>0</v>
      </c>
      <c r="Q238" s="507">
        <v>0</v>
      </c>
      <c r="R238" s="507">
        <v>0</v>
      </c>
      <c r="S238" s="507">
        <v>0</v>
      </c>
      <c r="T238" s="507">
        <v>0</v>
      </c>
      <c r="U238" s="507">
        <v>0</v>
      </c>
      <c r="V238" s="507">
        <v>0</v>
      </c>
      <c r="W238" s="507">
        <v>0</v>
      </c>
      <c r="X238" s="507">
        <v>0</v>
      </c>
      <c r="Y238" s="507">
        <v>0</v>
      </c>
      <c r="Z238" s="507">
        <v>0</v>
      </c>
      <c r="AA238" s="507">
        <v>0</v>
      </c>
      <c r="AB238" s="507">
        <v>0</v>
      </c>
      <c r="AC238" s="507">
        <v>0</v>
      </c>
      <c r="AD238" s="507">
        <v>0</v>
      </c>
      <c r="AE238" s="507">
        <v>0</v>
      </c>
      <c r="AF238" s="507">
        <v>0</v>
      </c>
      <c r="AG238" s="507">
        <v>0</v>
      </c>
      <c r="AH238" s="507">
        <v>0</v>
      </c>
      <c r="AI238" s="507">
        <v>0</v>
      </c>
      <c r="AJ238" s="507">
        <v>0</v>
      </c>
      <c r="AK238" s="508"/>
      <c r="AL238" s="508"/>
      <c r="AM238" s="508"/>
      <c r="AN238" s="509">
        <v>0</v>
      </c>
      <c r="AO238" s="509">
        <v>0</v>
      </c>
      <c r="AP238" s="509">
        <v>0</v>
      </c>
      <c r="AQ238" s="509">
        <v>0</v>
      </c>
      <c r="AR238" s="508"/>
      <c r="AS238" s="508"/>
      <c r="AT238" s="510">
        <f t="shared" si="134"/>
        <v>0</v>
      </c>
      <c r="AU238" s="512">
        <f t="shared" si="106"/>
        <v>0</v>
      </c>
      <c r="AV238" s="511">
        <f t="shared" si="107"/>
        <v>0</v>
      </c>
      <c r="AW238" s="558">
        <f t="shared" si="108"/>
        <v>0</v>
      </c>
      <c r="AX238" s="513">
        <f t="shared" si="109"/>
        <v>1603000</v>
      </c>
      <c r="AY238" s="514">
        <f t="shared" si="110"/>
        <v>1</v>
      </c>
      <c r="AZ238" s="513">
        <f t="shared" si="111"/>
        <v>0</v>
      </c>
      <c r="BA238" s="515" t="str">
        <f t="shared" si="112"/>
        <v>Disponible</v>
      </c>
      <c r="BB238" s="516" t="str">
        <f t="shared" si="113"/>
        <v>Disponible</v>
      </c>
      <c r="BC238" s="551"/>
      <c r="BD238" s="693">
        <f t="shared" si="114"/>
        <v>0</v>
      </c>
      <c r="BE238" s="693">
        <f t="shared" si="115"/>
        <v>0</v>
      </c>
      <c r="BF238" s="517"/>
      <c r="BG238" s="517"/>
      <c r="BH238" s="693">
        <f t="shared" si="116"/>
        <v>0</v>
      </c>
      <c r="BI238" s="693">
        <f t="shared" si="117"/>
        <v>0</v>
      </c>
      <c r="BJ238" s="655">
        <f t="shared" si="135"/>
        <v>0</v>
      </c>
      <c r="BK238" s="518">
        <f t="shared" si="118"/>
        <v>0</v>
      </c>
      <c r="BL238" s="518">
        <f t="shared" si="119"/>
        <v>0</v>
      </c>
      <c r="BM238" s="518">
        <f t="shared" si="120"/>
        <v>0</v>
      </c>
      <c r="BN238" s="518">
        <f t="shared" si="121"/>
        <v>0</v>
      </c>
      <c r="BO238" s="655">
        <f t="shared" si="136"/>
        <v>0</v>
      </c>
      <c r="BP238" s="693">
        <f t="shared" si="122"/>
        <v>0</v>
      </c>
      <c r="BQ238" s="696"/>
      <c r="BR238" s="519"/>
      <c r="BT238" s="439">
        <f t="shared" si="123"/>
        <v>0</v>
      </c>
      <c r="BU238" s="439">
        <f t="shared" si="124"/>
        <v>0</v>
      </c>
      <c r="BV238" s="439">
        <f t="shared" si="125"/>
        <v>0</v>
      </c>
      <c r="BY238" s="862">
        <f t="shared" si="126"/>
        <v>1026623.971</v>
      </c>
      <c r="BZ238" s="862">
        <f t="shared" si="127"/>
        <v>439981.70199999999</v>
      </c>
      <c r="CA238" s="862">
        <f t="shared" si="128"/>
        <v>123194.88</v>
      </c>
      <c r="CB238" s="862">
        <f t="shared" si="129"/>
        <v>13199.45</v>
      </c>
      <c r="CC238" s="863">
        <f t="shared" si="130"/>
        <v>1149818.8500000001</v>
      </c>
      <c r="CD238" s="863">
        <f t="shared" si="131"/>
        <v>453181.15</v>
      </c>
      <c r="CE238" s="864">
        <f t="shared" si="132"/>
        <v>1603000</v>
      </c>
      <c r="CF238" s="862">
        <f t="shared" si="133"/>
        <v>0</v>
      </c>
    </row>
    <row r="239" spans="1:84" s="429" customFormat="1" ht="13.9" customHeight="1" x14ac:dyDescent="0.25">
      <c r="A239" s="472"/>
      <c r="B239" s="436">
        <v>1310</v>
      </c>
      <c r="C239" s="436" t="s">
        <v>467</v>
      </c>
      <c r="D239" s="436"/>
      <c r="E239" s="436" t="s">
        <v>356</v>
      </c>
      <c r="F239" s="429" t="s">
        <v>640</v>
      </c>
      <c r="G239" s="473">
        <v>45012</v>
      </c>
      <c r="H239" s="436" t="s">
        <v>128</v>
      </c>
      <c r="I239" s="472">
        <v>1166200</v>
      </c>
      <c r="J239" s="472">
        <v>111100</v>
      </c>
      <c r="K239" s="507">
        <v>6000</v>
      </c>
      <c r="L239" s="507">
        <v>3000</v>
      </c>
      <c r="M239" s="507">
        <v>3000</v>
      </c>
      <c r="N239" s="507">
        <v>3000</v>
      </c>
      <c r="O239" s="507">
        <v>3000</v>
      </c>
      <c r="P239" s="507">
        <v>3000</v>
      </c>
      <c r="Q239" s="507">
        <v>3000</v>
      </c>
      <c r="R239" s="507">
        <v>3000</v>
      </c>
      <c r="S239" s="507">
        <v>3000</v>
      </c>
      <c r="T239" s="507">
        <v>3000</v>
      </c>
      <c r="U239" s="507">
        <v>3000</v>
      </c>
      <c r="V239" s="507">
        <v>3000</v>
      </c>
      <c r="W239" s="507">
        <v>3000</v>
      </c>
      <c r="X239" s="507">
        <v>3000</v>
      </c>
      <c r="Y239" s="507">
        <v>3000</v>
      </c>
      <c r="Z239" s="507">
        <v>3000</v>
      </c>
      <c r="AA239" s="507">
        <v>3000</v>
      </c>
      <c r="AB239" s="507">
        <v>3000</v>
      </c>
      <c r="AC239" s="507">
        <v>3000</v>
      </c>
      <c r="AD239" s="507">
        <v>3000</v>
      </c>
      <c r="AE239" s="507">
        <v>3000</v>
      </c>
      <c r="AF239" s="507">
        <v>3000</v>
      </c>
      <c r="AG239" s="507">
        <v>3000</v>
      </c>
      <c r="AH239" s="507">
        <v>3000</v>
      </c>
      <c r="AI239" s="507">
        <v>3000</v>
      </c>
      <c r="AJ239" s="507">
        <v>3000</v>
      </c>
      <c r="AK239" s="508">
        <v>3000</v>
      </c>
      <c r="AL239" s="508"/>
      <c r="AM239" s="509">
        <f>3000+3000</f>
        <v>6000</v>
      </c>
      <c r="AN239" s="509">
        <v>3000</v>
      </c>
      <c r="AO239" s="509">
        <v>3000</v>
      </c>
      <c r="AP239" s="509">
        <v>3000</v>
      </c>
      <c r="AQ239" s="509">
        <v>3000</v>
      </c>
      <c r="AR239" s="509">
        <v>3000</v>
      </c>
      <c r="AS239" s="509">
        <v>3000</v>
      </c>
      <c r="AT239" s="510">
        <f t="shared" si="134"/>
        <v>108000</v>
      </c>
      <c r="AU239" s="512">
        <f t="shared" si="106"/>
        <v>0.97209720972097213</v>
      </c>
      <c r="AV239" s="511">
        <f t="shared" si="107"/>
        <v>-3100</v>
      </c>
      <c r="AW239" s="558">
        <f t="shared" si="108"/>
        <v>-2.7902790279027902E-2</v>
      </c>
      <c r="AX239" s="513">
        <f t="shared" si="109"/>
        <v>1058200</v>
      </c>
      <c r="AY239" s="514">
        <f t="shared" si="110"/>
        <v>0.9073915280397874</v>
      </c>
      <c r="AZ239" s="513">
        <f t="shared" si="111"/>
        <v>111100</v>
      </c>
      <c r="BA239" s="515" t="str">
        <f t="shared" si="112"/>
        <v>Vendido</v>
      </c>
      <c r="BB239" s="516" t="str">
        <f t="shared" si="113"/>
        <v>Cliente al día</v>
      </c>
      <c r="BC239" s="551">
        <v>35</v>
      </c>
      <c r="BD239" s="693">
        <f t="shared" si="114"/>
        <v>1</v>
      </c>
      <c r="BE239" s="693">
        <f t="shared" si="115"/>
        <v>36</v>
      </c>
      <c r="BF239" s="517">
        <v>6000</v>
      </c>
      <c r="BG239" s="517">
        <v>3000</v>
      </c>
      <c r="BH239" s="693">
        <f t="shared" si="116"/>
        <v>32</v>
      </c>
      <c r="BI239" s="693">
        <f t="shared" si="117"/>
        <v>33</v>
      </c>
      <c r="BJ239" s="655">
        <f t="shared" si="135"/>
        <v>105000</v>
      </c>
      <c r="BK239" s="518">
        <f t="shared" si="118"/>
        <v>96000</v>
      </c>
      <c r="BL239" s="518">
        <f t="shared" si="119"/>
        <v>12000</v>
      </c>
      <c r="BM239" s="518">
        <f t="shared" si="120"/>
        <v>0</v>
      </c>
      <c r="BN239" s="518">
        <f t="shared" si="121"/>
        <v>3000</v>
      </c>
      <c r="BO239" s="655">
        <f t="shared" si="136"/>
        <v>0</v>
      </c>
      <c r="BP239" s="693">
        <f t="shared" si="122"/>
        <v>0</v>
      </c>
      <c r="BQ239" s="696"/>
      <c r="BR239" s="519"/>
      <c r="BT239" s="439">
        <f t="shared" si="123"/>
        <v>3000</v>
      </c>
      <c r="BU239" s="439">
        <f t="shared" si="124"/>
        <v>3000</v>
      </c>
      <c r="BV239" s="439">
        <f t="shared" si="125"/>
        <v>0</v>
      </c>
      <c r="BY239" s="862">
        <f t="shared" si="126"/>
        <v>746880.14599999995</v>
      </c>
      <c r="BZ239" s="862">
        <f t="shared" si="127"/>
        <v>320091.49099999998</v>
      </c>
      <c r="CA239" s="862">
        <f t="shared" si="128"/>
        <v>89625.62</v>
      </c>
      <c r="CB239" s="862">
        <f t="shared" si="129"/>
        <v>9602.74</v>
      </c>
      <c r="CC239" s="863">
        <f t="shared" si="130"/>
        <v>836505.77</v>
      </c>
      <c r="CD239" s="863">
        <f t="shared" si="131"/>
        <v>329694.23</v>
      </c>
      <c r="CE239" s="864">
        <f t="shared" si="132"/>
        <v>1166200</v>
      </c>
      <c r="CF239" s="862">
        <f t="shared" si="133"/>
        <v>0</v>
      </c>
    </row>
    <row r="240" spans="1:84" s="429" customFormat="1" ht="13.9" customHeight="1" x14ac:dyDescent="0.25">
      <c r="A240" s="472"/>
      <c r="B240" s="436">
        <v>1311</v>
      </c>
      <c r="C240" s="436" t="s">
        <v>469</v>
      </c>
      <c r="D240" s="436"/>
      <c r="E240" s="436" t="s">
        <v>366</v>
      </c>
      <c r="F240" s="429" t="s">
        <v>641</v>
      </c>
      <c r="G240" s="473">
        <v>45202</v>
      </c>
      <c r="H240" s="436" t="s">
        <v>128</v>
      </c>
      <c r="I240" s="472">
        <v>1022010</v>
      </c>
      <c r="J240" s="472">
        <f>+I240*0.1</f>
        <v>102201</v>
      </c>
      <c r="K240" s="507">
        <v>0</v>
      </c>
      <c r="L240" s="507">
        <v>0</v>
      </c>
      <c r="M240" s="507">
        <v>0</v>
      </c>
      <c r="N240" s="507">
        <v>0</v>
      </c>
      <c r="O240" s="507">
        <v>0</v>
      </c>
      <c r="P240" s="507">
        <v>0</v>
      </c>
      <c r="Q240" s="507">
        <v>0</v>
      </c>
      <c r="R240" s="507">
        <v>8000</v>
      </c>
      <c r="S240" s="507">
        <v>4096</v>
      </c>
      <c r="T240" s="507">
        <v>4096</v>
      </c>
      <c r="U240" s="507">
        <v>4096</v>
      </c>
      <c r="V240" s="507">
        <v>4096</v>
      </c>
      <c r="W240" s="507">
        <v>0</v>
      </c>
      <c r="X240" s="507">
        <v>8192</v>
      </c>
      <c r="Y240" s="507">
        <v>4096</v>
      </c>
      <c r="Z240" s="507">
        <v>4096</v>
      </c>
      <c r="AA240" s="507">
        <v>0</v>
      </c>
      <c r="AB240" s="507">
        <v>8192</v>
      </c>
      <c r="AC240" s="507">
        <v>0</v>
      </c>
      <c r="AD240" s="507">
        <v>8192</v>
      </c>
      <c r="AE240" s="507">
        <v>4096</v>
      </c>
      <c r="AF240" s="507">
        <v>4096</v>
      </c>
      <c r="AG240" s="507">
        <v>0</v>
      </c>
      <c r="AH240" s="507">
        <f>4096+4096</f>
        <v>8192</v>
      </c>
      <c r="AI240" s="507">
        <v>0</v>
      </c>
      <c r="AJ240" s="507">
        <f>4096+4096</f>
        <v>8192</v>
      </c>
      <c r="AK240" s="508">
        <v>4096</v>
      </c>
      <c r="AL240" s="508"/>
      <c r="AM240" s="509">
        <v>4096</v>
      </c>
      <c r="AN240" s="509">
        <v>4096</v>
      </c>
      <c r="AO240" s="509">
        <v>4096</v>
      </c>
      <c r="AP240" s="509">
        <v>8192</v>
      </c>
      <c r="AQ240" s="509">
        <v>0</v>
      </c>
      <c r="AR240" s="509"/>
      <c r="AS240" s="509">
        <f>4096+4096</f>
        <v>8192</v>
      </c>
      <c r="AT240" s="510">
        <f t="shared" si="134"/>
        <v>114496</v>
      </c>
      <c r="AU240" s="512">
        <f t="shared" si="106"/>
        <v>1.1203021496854237</v>
      </c>
      <c r="AV240" s="511">
        <f t="shared" si="107"/>
        <v>12295</v>
      </c>
      <c r="AW240" s="558">
        <f t="shared" si="108"/>
        <v>0.12030214968542383</v>
      </c>
      <c r="AX240" s="513">
        <f t="shared" si="109"/>
        <v>907514</v>
      </c>
      <c r="AY240" s="514">
        <f t="shared" si="110"/>
        <v>0.88796978503145763</v>
      </c>
      <c r="AZ240" s="513">
        <f t="shared" si="111"/>
        <v>102201</v>
      </c>
      <c r="BA240" s="515" t="str">
        <f t="shared" si="112"/>
        <v>Vendido</v>
      </c>
      <c r="BB240" s="516" t="str">
        <f t="shared" si="113"/>
        <v>Cliente Atrasado</v>
      </c>
      <c r="BC240" s="551">
        <v>23</v>
      </c>
      <c r="BD240" s="693">
        <f t="shared" si="114"/>
        <v>1</v>
      </c>
      <c r="BE240" s="693">
        <f t="shared" si="115"/>
        <v>24</v>
      </c>
      <c r="BF240" s="517">
        <v>8000</v>
      </c>
      <c r="BG240" s="517">
        <v>4096</v>
      </c>
      <c r="BH240" s="693">
        <f t="shared" si="116"/>
        <v>12</v>
      </c>
      <c r="BI240" s="693">
        <f t="shared" si="117"/>
        <v>27</v>
      </c>
      <c r="BJ240" s="655">
        <f t="shared" si="135"/>
        <v>118592</v>
      </c>
      <c r="BK240" s="518">
        <f t="shared" si="118"/>
        <v>49152</v>
      </c>
      <c r="BL240" s="518">
        <f t="shared" si="119"/>
        <v>65344</v>
      </c>
      <c r="BM240" s="518">
        <f t="shared" si="120"/>
        <v>0</v>
      </c>
      <c r="BN240" s="518">
        <f t="shared" si="121"/>
        <v>0</v>
      </c>
      <c r="BO240" s="655">
        <f t="shared" si="136"/>
        <v>4096</v>
      </c>
      <c r="BP240" s="693">
        <f t="shared" si="122"/>
        <v>1</v>
      </c>
      <c r="BQ240" s="696"/>
      <c r="BR240" s="519"/>
      <c r="BT240" s="439">
        <f t="shared" si="123"/>
        <v>-4096</v>
      </c>
      <c r="BU240" s="439">
        <f t="shared" si="124"/>
        <v>-4096</v>
      </c>
      <c r="BV240" s="439">
        <f t="shared" si="125"/>
        <v>0</v>
      </c>
      <c r="BY240" s="862">
        <f t="shared" si="126"/>
        <v>654535.22400000005</v>
      </c>
      <c r="BZ240" s="862">
        <f t="shared" si="127"/>
        <v>280515.09600000002</v>
      </c>
      <c r="CA240" s="862">
        <f t="shared" si="128"/>
        <v>78544.23</v>
      </c>
      <c r="CB240" s="862">
        <f t="shared" si="129"/>
        <v>8415.4500000000007</v>
      </c>
      <c r="CC240" s="863">
        <f t="shared" si="130"/>
        <v>733079.45</v>
      </c>
      <c r="CD240" s="863">
        <f t="shared" si="131"/>
        <v>288930.55</v>
      </c>
      <c r="CE240" s="864">
        <f t="shared" si="132"/>
        <v>1022010</v>
      </c>
      <c r="CF240" s="862">
        <f t="shared" si="133"/>
        <v>0</v>
      </c>
    </row>
    <row r="241" spans="1:84" s="429" customFormat="1" ht="13.9" customHeight="1" x14ac:dyDescent="0.25">
      <c r="A241" s="472"/>
      <c r="B241" s="436">
        <v>1312</v>
      </c>
      <c r="C241" s="436" t="s">
        <v>406</v>
      </c>
      <c r="D241" s="436"/>
      <c r="E241" s="436" t="s">
        <v>383</v>
      </c>
      <c r="F241" s="429" t="s">
        <v>642</v>
      </c>
      <c r="G241" s="473">
        <v>45034</v>
      </c>
      <c r="H241" s="436" t="s">
        <v>128</v>
      </c>
      <c r="I241" s="472">
        <v>703500</v>
      </c>
      <c r="J241" s="472">
        <v>66700</v>
      </c>
      <c r="K241" s="507">
        <v>0</v>
      </c>
      <c r="L241" s="507">
        <v>6000</v>
      </c>
      <c r="M241" s="507">
        <v>2000</v>
      </c>
      <c r="N241" s="507">
        <v>2000</v>
      </c>
      <c r="O241" s="507">
        <v>2000</v>
      </c>
      <c r="P241" s="507">
        <v>2000</v>
      </c>
      <c r="Q241" s="507">
        <v>2000</v>
      </c>
      <c r="R241" s="507">
        <v>2000</v>
      </c>
      <c r="S241" s="507">
        <v>0</v>
      </c>
      <c r="T241" s="507">
        <v>0</v>
      </c>
      <c r="U241" s="507">
        <v>0</v>
      </c>
      <c r="V241" s="507">
        <v>2000</v>
      </c>
      <c r="W241" s="507">
        <v>0</v>
      </c>
      <c r="X241" s="507">
        <v>2000</v>
      </c>
      <c r="Y241" s="507">
        <v>2000</v>
      </c>
      <c r="Z241" s="507">
        <v>4000</v>
      </c>
      <c r="AA241" s="507">
        <v>6000</v>
      </c>
      <c r="AB241" s="507">
        <v>2000</v>
      </c>
      <c r="AC241" s="507">
        <v>2000</v>
      </c>
      <c r="AD241" s="507">
        <v>2000</v>
      </c>
      <c r="AE241" s="507">
        <v>2000</v>
      </c>
      <c r="AF241" s="507">
        <v>2000</v>
      </c>
      <c r="AG241" s="507">
        <f>2000+2000</f>
        <v>4000</v>
      </c>
      <c r="AH241" s="507">
        <v>2000</v>
      </c>
      <c r="AI241" s="507">
        <v>2000</v>
      </c>
      <c r="AJ241" s="507">
        <v>0</v>
      </c>
      <c r="AK241" s="509">
        <v>2000</v>
      </c>
      <c r="AL241" s="509">
        <v>2000</v>
      </c>
      <c r="AM241" s="509"/>
      <c r="AN241" s="509">
        <v>2000</v>
      </c>
      <c r="AO241" s="509">
        <v>2000</v>
      </c>
      <c r="AP241" s="509">
        <v>0</v>
      </c>
      <c r="AQ241" s="509">
        <v>2000</v>
      </c>
      <c r="AR241" s="509">
        <f>2000+2000</f>
        <v>4000</v>
      </c>
      <c r="AS241" s="509"/>
      <c r="AT241" s="510">
        <f t="shared" si="134"/>
        <v>66000</v>
      </c>
      <c r="AU241" s="512">
        <f t="shared" si="106"/>
        <v>0.98950524737631185</v>
      </c>
      <c r="AV241" s="511">
        <f t="shared" si="107"/>
        <v>-700</v>
      </c>
      <c r="AW241" s="558">
        <f t="shared" si="108"/>
        <v>-1.0494752623688156E-2</v>
      </c>
      <c r="AX241" s="513">
        <f t="shared" si="109"/>
        <v>637500</v>
      </c>
      <c r="AY241" s="514">
        <f t="shared" si="110"/>
        <v>0.906183368869936</v>
      </c>
      <c r="AZ241" s="513">
        <f t="shared" si="111"/>
        <v>66700</v>
      </c>
      <c r="BA241" s="515" t="str">
        <f t="shared" si="112"/>
        <v>Vendido</v>
      </c>
      <c r="BB241" s="516" t="str">
        <f t="shared" si="113"/>
        <v>Cliente Atrasado</v>
      </c>
      <c r="BC241" s="551">
        <v>29</v>
      </c>
      <c r="BD241" s="693">
        <f t="shared" si="114"/>
        <v>1</v>
      </c>
      <c r="BE241" s="693">
        <f t="shared" si="115"/>
        <v>30</v>
      </c>
      <c r="BF241" s="517">
        <v>6000</v>
      </c>
      <c r="BG241" s="517">
        <v>2000</v>
      </c>
      <c r="BH241" s="693">
        <f t="shared" si="116"/>
        <v>24</v>
      </c>
      <c r="BI241" s="693">
        <f t="shared" si="117"/>
        <v>33</v>
      </c>
      <c r="BJ241" s="655">
        <f t="shared" si="135"/>
        <v>72000</v>
      </c>
      <c r="BK241" s="518">
        <f t="shared" si="118"/>
        <v>42000</v>
      </c>
      <c r="BL241" s="518">
        <f t="shared" si="119"/>
        <v>24000</v>
      </c>
      <c r="BM241" s="518">
        <f t="shared" si="120"/>
        <v>0</v>
      </c>
      <c r="BN241" s="518">
        <f t="shared" si="121"/>
        <v>0</v>
      </c>
      <c r="BO241" s="655">
        <f t="shared" si="136"/>
        <v>6000</v>
      </c>
      <c r="BP241" s="693">
        <f t="shared" si="122"/>
        <v>3</v>
      </c>
      <c r="BQ241" s="696"/>
      <c r="BR241" s="519"/>
      <c r="BT241" s="439">
        <f t="shared" si="123"/>
        <v>-6000</v>
      </c>
      <c r="BU241" s="439">
        <f t="shared" si="124"/>
        <v>-6000</v>
      </c>
      <c r="BV241" s="439">
        <f t="shared" si="125"/>
        <v>0</v>
      </c>
      <c r="BY241" s="862">
        <f t="shared" si="126"/>
        <v>450548.94799999997</v>
      </c>
      <c r="BZ241" s="862">
        <f t="shared" si="127"/>
        <v>193092.40599999999</v>
      </c>
      <c r="CA241" s="862">
        <f t="shared" si="128"/>
        <v>54065.87</v>
      </c>
      <c r="CB241" s="862">
        <f t="shared" si="129"/>
        <v>5792.77</v>
      </c>
      <c r="CC241" s="863">
        <f t="shared" si="130"/>
        <v>504614.82</v>
      </c>
      <c r="CD241" s="863">
        <f t="shared" si="131"/>
        <v>198885.18</v>
      </c>
      <c r="CE241" s="864">
        <f t="shared" si="132"/>
        <v>703500</v>
      </c>
      <c r="CF241" s="862">
        <f t="shared" si="133"/>
        <v>0</v>
      </c>
    </row>
    <row r="242" spans="1:84" s="429" customFormat="1" ht="13.9" customHeight="1" x14ac:dyDescent="0.25">
      <c r="A242" s="472"/>
      <c r="B242" s="436">
        <v>1313</v>
      </c>
      <c r="C242" s="436" t="s">
        <v>181</v>
      </c>
      <c r="D242" s="436"/>
      <c r="E242" s="436" t="s">
        <v>356</v>
      </c>
      <c r="F242" s="429" t="s">
        <v>610</v>
      </c>
      <c r="G242" s="473">
        <v>45021</v>
      </c>
      <c r="H242" s="436" t="s">
        <v>128</v>
      </c>
      <c r="I242" s="472">
        <v>645649</v>
      </c>
      <c r="J242" s="472">
        <v>64639</v>
      </c>
      <c r="K242" s="507">
        <v>0</v>
      </c>
      <c r="L242" s="507">
        <v>6000</v>
      </c>
      <c r="M242" s="507">
        <v>2000</v>
      </c>
      <c r="N242" s="507">
        <v>2000</v>
      </c>
      <c r="O242" s="507">
        <v>2000</v>
      </c>
      <c r="P242" s="507">
        <v>2000</v>
      </c>
      <c r="Q242" s="507">
        <v>2000</v>
      </c>
      <c r="R242" s="507">
        <v>2000</v>
      </c>
      <c r="S242" s="507">
        <v>2000</v>
      </c>
      <c r="T242" s="507">
        <v>2000</v>
      </c>
      <c r="U242" s="507">
        <v>2000</v>
      </c>
      <c r="V242" s="507">
        <v>2000</v>
      </c>
      <c r="W242" s="507">
        <v>2000</v>
      </c>
      <c r="X242" s="507">
        <v>2000</v>
      </c>
      <c r="Y242" s="507">
        <v>2000</v>
      </c>
      <c r="Z242" s="507">
        <v>2000</v>
      </c>
      <c r="AA242" s="507">
        <v>2000</v>
      </c>
      <c r="AB242" s="507">
        <v>0</v>
      </c>
      <c r="AC242" s="507">
        <v>4000</v>
      </c>
      <c r="AD242" s="507">
        <v>2000</v>
      </c>
      <c r="AE242" s="507">
        <v>2000</v>
      </c>
      <c r="AF242" s="507">
        <v>2000</v>
      </c>
      <c r="AG242" s="507">
        <v>0</v>
      </c>
      <c r="AH242" s="507">
        <f>2000+2000</f>
        <v>4000</v>
      </c>
      <c r="AI242" s="507">
        <v>2000</v>
      </c>
      <c r="AJ242" s="507">
        <v>2000</v>
      </c>
      <c r="AK242" s="508">
        <v>2000</v>
      </c>
      <c r="AL242" s="508">
        <v>2000</v>
      </c>
      <c r="AM242" s="509">
        <v>2000</v>
      </c>
      <c r="AN242" s="509">
        <v>2000</v>
      </c>
      <c r="AO242" s="509">
        <v>2639</v>
      </c>
      <c r="AP242" s="509">
        <v>0</v>
      </c>
      <c r="AQ242" s="509">
        <v>0</v>
      </c>
      <c r="AR242" s="509"/>
      <c r="AS242" s="509"/>
      <c r="AT242" s="510">
        <f t="shared" si="134"/>
        <v>64639</v>
      </c>
      <c r="AU242" s="512">
        <f t="shared" si="106"/>
        <v>1</v>
      </c>
      <c r="AV242" s="511">
        <f t="shared" si="107"/>
        <v>0</v>
      </c>
      <c r="AW242" s="558">
        <f t="shared" si="108"/>
        <v>0</v>
      </c>
      <c r="AX242" s="513">
        <f t="shared" si="109"/>
        <v>581010</v>
      </c>
      <c r="AY242" s="514">
        <f t="shared" si="110"/>
        <v>0.89988523175905177</v>
      </c>
      <c r="AZ242" s="513">
        <f t="shared" si="111"/>
        <v>64639</v>
      </c>
      <c r="BA242" s="515" t="str">
        <f t="shared" si="112"/>
        <v>Vendido</v>
      </c>
      <c r="BB242" s="516" t="str">
        <f t="shared" si="113"/>
        <v>Cliente Atrasado</v>
      </c>
      <c r="BC242" s="551">
        <v>29</v>
      </c>
      <c r="BD242" s="693">
        <f t="shared" si="114"/>
        <v>1</v>
      </c>
      <c r="BE242" s="693">
        <f t="shared" si="115"/>
        <v>30</v>
      </c>
      <c r="BF242" s="517">
        <v>6000</v>
      </c>
      <c r="BG242" s="517">
        <v>2000</v>
      </c>
      <c r="BH242" s="693">
        <f t="shared" si="116"/>
        <v>27</v>
      </c>
      <c r="BI242" s="693">
        <f t="shared" si="117"/>
        <v>33</v>
      </c>
      <c r="BJ242" s="655">
        <f t="shared" ref="BJ242:BJ273" si="137">(BI242*BG242)+BF242</f>
        <v>72000</v>
      </c>
      <c r="BK242" s="518">
        <f t="shared" si="118"/>
        <v>48000</v>
      </c>
      <c r="BL242" s="518">
        <f t="shared" si="119"/>
        <v>16639</v>
      </c>
      <c r="BM242" s="518">
        <f t="shared" si="120"/>
        <v>0</v>
      </c>
      <c r="BN242" s="518">
        <f t="shared" si="121"/>
        <v>0</v>
      </c>
      <c r="BO242" s="655">
        <f t="shared" si="136"/>
        <v>7361</v>
      </c>
      <c r="BP242" s="693">
        <f t="shared" si="122"/>
        <v>4</v>
      </c>
      <c r="BQ242" s="696"/>
      <c r="BR242" s="519"/>
      <c r="BT242" s="439">
        <f t="shared" si="123"/>
        <v>-7361</v>
      </c>
      <c r="BU242" s="439">
        <f t="shared" si="124"/>
        <v>-7361</v>
      </c>
      <c r="BV242" s="439">
        <f t="shared" si="125"/>
        <v>0</v>
      </c>
      <c r="BY242" s="862">
        <f t="shared" si="126"/>
        <v>413498.902</v>
      </c>
      <c r="BZ242" s="862">
        <f t="shared" si="127"/>
        <v>177213.815</v>
      </c>
      <c r="CA242" s="862">
        <f t="shared" si="128"/>
        <v>49619.87</v>
      </c>
      <c r="CB242" s="862">
        <f t="shared" si="129"/>
        <v>5316.41</v>
      </c>
      <c r="CC242" s="863">
        <f t="shared" si="130"/>
        <v>463118.77</v>
      </c>
      <c r="CD242" s="863">
        <f t="shared" si="131"/>
        <v>182530.23</v>
      </c>
      <c r="CE242" s="864">
        <f t="shared" si="132"/>
        <v>645649</v>
      </c>
      <c r="CF242" s="862">
        <f t="shared" si="133"/>
        <v>0</v>
      </c>
    </row>
    <row r="243" spans="1:84" s="429" customFormat="1" ht="13.9" customHeight="1" x14ac:dyDescent="0.25">
      <c r="A243" s="472"/>
      <c r="B243" s="436">
        <v>1314</v>
      </c>
      <c r="C243" s="436" t="s">
        <v>611</v>
      </c>
      <c r="D243" s="436"/>
      <c r="E243" s="436" t="s">
        <v>383</v>
      </c>
      <c r="F243" s="429" t="s">
        <v>643</v>
      </c>
      <c r="G243" s="473">
        <v>45005</v>
      </c>
      <c r="H243" s="436" t="s">
        <v>128</v>
      </c>
      <c r="I243" s="472">
        <v>715600</v>
      </c>
      <c r="J243" s="472">
        <v>71600</v>
      </c>
      <c r="K243" s="507">
        <v>6000</v>
      </c>
      <c r="L243" s="507">
        <v>1300</v>
      </c>
      <c r="M243" s="507">
        <v>1300</v>
      </c>
      <c r="N243" s="507">
        <v>1300</v>
      </c>
      <c r="O243" s="507">
        <v>1300</v>
      </c>
      <c r="P243" s="507">
        <v>1300</v>
      </c>
      <c r="Q243" s="507">
        <v>1300</v>
      </c>
      <c r="R243" s="507">
        <v>1300</v>
      </c>
      <c r="S243" s="507">
        <v>1300</v>
      </c>
      <c r="T243" s="507">
        <v>1300</v>
      </c>
      <c r="U243" s="507">
        <v>1300</v>
      </c>
      <c r="V243" s="507">
        <v>1300</v>
      </c>
      <c r="W243" s="507">
        <v>1300</v>
      </c>
      <c r="X243" s="507">
        <v>1300</v>
      </c>
      <c r="Y243" s="507">
        <v>1300</v>
      </c>
      <c r="Z243" s="507">
        <v>1300</v>
      </c>
      <c r="AA243" s="507">
        <v>1300</v>
      </c>
      <c r="AB243" s="507">
        <v>1300</v>
      </c>
      <c r="AC243" s="507">
        <v>1300</v>
      </c>
      <c r="AD243" s="507">
        <v>1300</v>
      </c>
      <c r="AE243" s="507">
        <v>1300</v>
      </c>
      <c r="AF243" s="507">
        <v>1300</v>
      </c>
      <c r="AG243" s="507">
        <v>1300</v>
      </c>
      <c r="AH243" s="507">
        <v>1300</v>
      </c>
      <c r="AI243" s="507">
        <v>1300</v>
      </c>
      <c r="AJ243" s="507">
        <v>1300</v>
      </c>
      <c r="AK243" s="508">
        <v>1300</v>
      </c>
      <c r="AL243" s="508">
        <v>1300</v>
      </c>
      <c r="AM243" s="509">
        <v>1300</v>
      </c>
      <c r="AN243" s="509">
        <v>1300</v>
      </c>
      <c r="AO243" s="509">
        <v>1300</v>
      </c>
      <c r="AP243" s="509">
        <v>1300</v>
      </c>
      <c r="AQ243" s="509">
        <v>1300</v>
      </c>
      <c r="AR243" s="509">
        <v>1300</v>
      </c>
      <c r="AS243" s="509">
        <v>1300</v>
      </c>
      <c r="AT243" s="510">
        <f t="shared" si="134"/>
        <v>50200</v>
      </c>
      <c r="AU243" s="512">
        <f t="shared" si="106"/>
        <v>0.7011173184357542</v>
      </c>
      <c r="AV243" s="511">
        <f t="shared" si="107"/>
        <v>-21400</v>
      </c>
      <c r="AW243" s="558">
        <f t="shared" si="108"/>
        <v>-0.2988826815642458</v>
      </c>
      <c r="AX243" s="513">
        <f t="shared" si="109"/>
        <v>665400</v>
      </c>
      <c r="AY243" s="514">
        <f t="shared" si="110"/>
        <v>0.9298490776970374</v>
      </c>
      <c r="AZ243" s="513">
        <f t="shared" si="111"/>
        <v>71600</v>
      </c>
      <c r="BA243" s="515" t="str">
        <f t="shared" si="112"/>
        <v>Vendido</v>
      </c>
      <c r="BB243" s="516" t="str">
        <f t="shared" si="113"/>
        <v>Cliente al día</v>
      </c>
      <c r="BC243" s="551">
        <v>35</v>
      </c>
      <c r="BD243" s="693">
        <f t="shared" si="114"/>
        <v>1</v>
      </c>
      <c r="BE243" s="693">
        <f t="shared" si="115"/>
        <v>36</v>
      </c>
      <c r="BF243" s="517">
        <v>6000</v>
      </c>
      <c r="BG243" s="517">
        <v>1300</v>
      </c>
      <c r="BH243" s="693">
        <f t="shared" si="116"/>
        <v>34</v>
      </c>
      <c r="BI243" s="693">
        <f t="shared" si="117"/>
        <v>34</v>
      </c>
      <c r="BJ243" s="655">
        <f t="shared" si="137"/>
        <v>50200</v>
      </c>
      <c r="BK243" s="518">
        <f t="shared" si="118"/>
        <v>44200</v>
      </c>
      <c r="BL243" s="518">
        <f t="shared" si="119"/>
        <v>6000</v>
      </c>
      <c r="BM243" s="518">
        <f t="shared" si="120"/>
        <v>0</v>
      </c>
      <c r="BN243" s="518">
        <f t="shared" si="121"/>
        <v>0</v>
      </c>
      <c r="BO243" s="655">
        <f t="shared" si="136"/>
        <v>0</v>
      </c>
      <c r="BP243" s="693">
        <f t="shared" si="122"/>
        <v>0</v>
      </c>
      <c r="BQ243" s="696"/>
      <c r="BR243" s="519"/>
      <c r="BT243" s="439">
        <f t="shared" si="123"/>
        <v>0</v>
      </c>
      <c r="BU243" s="439">
        <f t="shared" si="124"/>
        <v>0</v>
      </c>
      <c r="BV243" s="439">
        <f t="shared" si="125"/>
        <v>0</v>
      </c>
      <c r="BY243" s="862">
        <f t="shared" si="126"/>
        <v>458298.26199999999</v>
      </c>
      <c r="BZ243" s="862">
        <f t="shared" si="127"/>
        <v>196413.541</v>
      </c>
      <c r="CA243" s="862">
        <f t="shared" si="128"/>
        <v>54995.79</v>
      </c>
      <c r="CB243" s="862">
        <f t="shared" si="129"/>
        <v>5892.41</v>
      </c>
      <c r="CC243" s="863">
        <f t="shared" si="130"/>
        <v>513294.05</v>
      </c>
      <c r="CD243" s="863">
        <f t="shared" si="131"/>
        <v>202305.95</v>
      </c>
      <c r="CE243" s="864">
        <f t="shared" si="132"/>
        <v>715600</v>
      </c>
      <c r="CF243" s="862">
        <f t="shared" si="133"/>
        <v>0</v>
      </c>
    </row>
    <row r="244" spans="1:84" s="467" customFormat="1" ht="13.9" customHeight="1" x14ac:dyDescent="0.25">
      <c r="B244" s="483">
        <v>1315</v>
      </c>
      <c r="C244" s="483" t="s">
        <v>400</v>
      </c>
      <c r="D244" s="483"/>
      <c r="E244" s="436" t="s">
        <v>135</v>
      </c>
      <c r="F244" s="467" t="s">
        <v>629</v>
      </c>
      <c r="G244" s="484">
        <v>45856</v>
      </c>
      <c r="H244" s="477" t="s">
        <v>128</v>
      </c>
      <c r="I244" s="485">
        <v>1072218.69827634</v>
      </c>
      <c r="J244" s="485">
        <f>+I244*0.1</f>
        <v>107221.86982763401</v>
      </c>
      <c r="K244" s="532">
        <v>0</v>
      </c>
      <c r="L244" s="532">
        <v>0</v>
      </c>
      <c r="M244" s="532">
        <v>0</v>
      </c>
      <c r="N244" s="532">
        <v>0</v>
      </c>
      <c r="O244" s="532">
        <v>0</v>
      </c>
      <c r="P244" s="532">
        <v>0</v>
      </c>
      <c r="Q244" s="532">
        <v>0</v>
      </c>
      <c r="R244" s="532">
        <v>0</v>
      </c>
      <c r="S244" s="532">
        <v>0</v>
      </c>
      <c r="T244" s="532">
        <v>0</v>
      </c>
      <c r="U244" s="532">
        <v>0</v>
      </c>
      <c r="V244" s="532">
        <v>0</v>
      </c>
      <c r="W244" s="532">
        <v>0</v>
      </c>
      <c r="X244" s="532">
        <v>0</v>
      </c>
      <c r="Y244" s="532">
        <v>0</v>
      </c>
      <c r="Z244" s="532">
        <v>0</v>
      </c>
      <c r="AA244" s="532">
        <v>0</v>
      </c>
      <c r="AB244" s="532">
        <v>0</v>
      </c>
      <c r="AC244" s="532">
        <v>0</v>
      </c>
      <c r="AD244" s="532">
        <v>0</v>
      </c>
      <c r="AE244" s="532">
        <v>0</v>
      </c>
      <c r="AF244" s="532">
        <v>0</v>
      </c>
      <c r="AG244" s="532">
        <v>0</v>
      </c>
      <c r="AH244" s="532">
        <v>0</v>
      </c>
      <c r="AI244" s="532">
        <v>0</v>
      </c>
      <c r="AJ244" s="532">
        <v>0</v>
      </c>
      <c r="AK244" s="532"/>
      <c r="AL244" s="532"/>
      <c r="AM244" s="509">
        <v>536136.99</v>
      </c>
      <c r="AN244" s="509">
        <v>0</v>
      </c>
      <c r="AO244" s="509">
        <v>32100</v>
      </c>
      <c r="AP244" s="509">
        <v>32100</v>
      </c>
      <c r="AQ244" s="509">
        <v>32100</v>
      </c>
      <c r="AR244" s="532"/>
      <c r="AS244" s="532">
        <v>64200</v>
      </c>
      <c r="AT244" s="510">
        <f t="shared" si="134"/>
        <v>696636.99</v>
      </c>
      <c r="AU244" s="533">
        <f t="shared" si="106"/>
        <v>6.4971539026496021</v>
      </c>
      <c r="AV244" s="511">
        <f t="shared" si="107"/>
        <v>589415.12017236603</v>
      </c>
      <c r="AW244" s="560">
        <f t="shared" si="108"/>
        <v>5.497153902649603</v>
      </c>
      <c r="AX244" s="510">
        <f t="shared" si="109"/>
        <v>375581.70827634004</v>
      </c>
      <c r="AY244" s="534">
        <f t="shared" si="110"/>
        <v>0.35028460973503966</v>
      </c>
      <c r="AZ244" s="513">
        <f t="shared" si="111"/>
        <v>107221.86982763401</v>
      </c>
      <c r="BA244" s="515" t="str">
        <f t="shared" si="112"/>
        <v>Vendido</v>
      </c>
      <c r="BB244" s="516" t="str">
        <f t="shared" si="113"/>
        <v>Cliente Atrasado</v>
      </c>
      <c r="BC244" s="555">
        <v>11</v>
      </c>
      <c r="BD244" s="693">
        <f t="shared" si="114"/>
        <v>1</v>
      </c>
      <c r="BE244" s="693">
        <f t="shared" si="115"/>
        <v>12</v>
      </c>
      <c r="BF244" s="535">
        <v>536136.98</v>
      </c>
      <c r="BG244" s="535">
        <v>32100</v>
      </c>
      <c r="BH244" s="693">
        <f t="shared" si="116"/>
        <v>4</v>
      </c>
      <c r="BI244" s="693">
        <f t="shared" si="117"/>
        <v>6</v>
      </c>
      <c r="BJ244" s="655">
        <f t="shared" si="137"/>
        <v>728736.98</v>
      </c>
      <c r="BK244" s="518">
        <f t="shared" si="118"/>
        <v>96300</v>
      </c>
      <c r="BL244" s="518">
        <f t="shared" si="119"/>
        <v>600336.99</v>
      </c>
      <c r="BM244" s="518">
        <f t="shared" si="120"/>
        <v>0</v>
      </c>
      <c r="BN244" s="518">
        <f t="shared" si="121"/>
        <v>0</v>
      </c>
      <c r="BO244" s="655">
        <f t="shared" si="136"/>
        <v>32099.989999999991</v>
      </c>
      <c r="BP244" s="693">
        <f t="shared" si="122"/>
        <v>1</v>
      </c>
      <c r="BQ244" s="697"/>
      <c r="BR244" s="516"/>
      <c r="BT244" s="468">
        <f t="shared" si="123"/>
        <v>-32099.989999999991</v>
      </c>
      <c r="BU244" s="468">
        <f t="shared" si="124"/>
        <v>-32099.989999999991</v>
      </c>
      <c r="BV244" s="468">
        <f t="shared" si="125"/>
        <v>0</v>
      </c>
      <c r="BY244" s="862">
        <f t="shared" si="126"/>
        <v>686690.84100000001</v>
      </c>
      <c r="BZ244" s="862">
        <f t="shared" si="127"/>
        <v>294296.07500000001</v>
      </c>
      <c r="CA244" s="862">
        <f t="shared" si="128"/>
        <v>82402.899999999994</v>
      </c>
      <c r="CB244" s="862">
        <f t="shared" si="129"/>
        <v>8828.8799999999992</v>
      </c>
      <c r="CC244" s="863">
        <f t="shared" si="130"/>
        <v>769093.74</v>
      </c>
      <c r="CD244" s="863">
        <f t="shared" si="131"/>
        <v>303124.96000000002</v>
      </c>
      <c r="CE244" s="864">
        <f t="shared" si="132"/>
        <v>1072218.7</v>
      </c>
      <c r="CF244" s="862">
        <f t="shared" si="133"/>
        <v>1.7236599233001471E-3</v>
      </c>
    </row>
    <row r="245" spans="1:84" s="429" customFormat="1" ht="13.9" customHeight="1" x14ac:dyDescent="0.25">
      <c r="A245" s="472"/>
      <c r="B245" s="436">
        <v>1316</v>
      </c>
      <c r="C245" s="436" t="s">
        <v>175</v>
      </c>
      <c r="D245" s="436"/>
      <c r="E245" s="436" t="s">
        <v>366</v>
      </c>
      <c r="F245" s="429" t="s">
        <v>644</v>
      </c>
      <c r="G245" s="473">
        <v>45232</v>
      </c>
      <c r="H245" s="436" t="s">
        <v>128</v>
      </c>
      <c r="I245" s="472">
        <v>879281.06</v>
      </c>
      <c r="J245" s="472">
        <v>87981.06</v>
      </c>
      <c r="K245" s="507">
        <v>0</v>
      </c>
      <c r="L245" s="507">
        <v>0</v>
      </c>
      <c r="M245" s="507">
        <v>0</v>
      </c>
      <c r="N245" s="507">
        <v>0</v>
      </c>
      <c r="O245" s="507">
        <v>0</v>
      </c>
      <c r="P245" s="507">
        <v>0</v>
      </c>
      <c r="Q245" s="507">
        <v>0</v>
      </c>
      <c r="R245" s="507">
        <v>0</v>
      </c>
      <c r="S245" s="507">
        <v>8000</v>
      </c>
      <c r="T245" s="507">
        <v>3636</v>
      </c>
      <c r="U245" s="507">
        <v>3636</v>
      </c>
      <c r="V245" s="507">
        <v>3636</v>
      </c>
      <c r="W245" s="507">
        <v>0</v>
      </c>
      <c r="X245" s="507">
        <v>7272</v>
      </c>
      <c r="Y245" s="507">
        <v>0</v>
      </c>
      <c r="Z245" s="507">
        <v>0</v>
      </c>
      <c r="AA245" s="507">
        <v>0</v>
      </c>
      <c r="AB245" s="507">
        <v>7272</v>
      </c>
      <c r="AC245" s="507">
        <f>7272+7272</f>
        <v>14544</v>
      </c>
      <c r="AD245" s="507">
        <v>7272</v>
      </c>
      <c r="AE245" s="507">
        <v>7272</v>
      </c>
      <c r="AF245" s="507">
        <v>0</v>
      </c>
      <c r="AG245" s="507">
        <v>0</v>
      </c>
      <c r="AH245" s="507">
        <v>0</v>
      </c>
      <c r="AI245" s="507">
        <v>3636</v>
      </c>
      <c r="AJ245" s="507">
        <v>3636</v>
      </c>
      <c r="AK245" s="508">
        <v>3636</v>
      </c>
      <c r="AL245" s="508">
        <v>3636</v>
      </c>
      <c r="AM245" s="509">
        <v>3636</v>
      </c>
      <c r="AN245" s="509">
        <v>3636</v>
      </c>
      <c r="AO245" s="509">
        <v>0</v>
      </c>
      <c r="AP245" s="509">
        <v>0</v>
      </c>
      <c r="AQ245" s="509">
        <v>0</v>
      </c>
      <c r="AR245" s="509"/>
      <c r="AS245" s="509"/>
      <c r="AT245" s="510">
        <f t="shared" si="134"/>
        <v>84356</v>
      </c>
      <c r="AU245" s="512">
        <f t="shared" si="106"/>
        <v>0.95879726841208779</v>
      </c>
      <c r="AV245" s="511">
        <f t="shared" si="107"/>
        <v>-3625.0599999999977</v>
      </c>
      <c r="AW245" s="558">
        <f t="shared" si="108"/>
        <v>-4.1202731587912191E-2</v>
      </c>
      <c r="AX245" s="513">
        <f t="shared" si="109"/>
        <v>794925.06</v>
      </c>
      <c r="AY245" s="514">
        <f t="shared" si="110"/>
        <v>0.90406253035860917</v>
      </c>
      <c r="AZ245" s="513">
        <f t="shared" si="111"/>
        <v>87981.06</v>
      </c>
      <c r="BA245" s="515" t="str">
        <f t="shared" si="112"/>
        <v>Vendido</v>
      </c>
      <c r="BB245" s="516" t="str">
        <f t="shared" si="113"/>
        <v>Cliente Atrasado</v>
      </c>
      <c r="BC245" s="551">
        <v>22</v>
      </c>
      <c r="BD245" s="693">
        <f t="shared" si="114"/>
        <v>1</v>
      </c>
      <c r="BE245" s="693">
        <f t="shared" si="115"/>
        <v>23</v>
      </c>
      <c r="BF245" s="517">
        <v>8000</v>
      </c>
      <c r="BG245" s="517">
        <v>3636</v>
      </c>
      <c r="BH245" s="693">
        <f t="shared" si="116"/>
        <v>13</v>
      </c>
      <c r="BI245" s="693">
        <f t="shared" si="117"/>
        <v>26</v>
      </c>
      <c r="BJ245" s="655">
        <f t="shared" si="137"/>
        <v>102536</v>
      </c>
      <c r="BK245" s="518">
        <f t="shared" si="118"/>
        <v>32724</v>
      </c>
      <c r="BL245" s="518">
        <f t="shared" si="119"/>
        <v>51632</v>
      </c>
      <c r="BM245" s="518">
        <f t="shared" si="120"/>
        <v>0</v>
      </c>
      <c r="BN245" s="518">
        <f t="shared" si="121"/>
        <v>0</v>
      </c>
      <c r="BO245" s="655">
        <f t="shared" si="136"/>
        <v>18180</v>
      </c>
      <c r="BP245" s="693">
        <f t="shared" si="122"/>
        <v>5</v>
      </c>
      <c r="BQ245" s="696"/>
      <c r="BR245" s="519"/>
      <c r="BT245" s="439">
        <f t="shared" si="123"/>
        <v>-18180</v>
      </c>
      <c r="BU245" s="439">
        <f t="shared" si="124"/>
        <v>-18180</v>
      </c>
      <c r="BV245" s="439">
        <f t="shared" si="125"/>
        <v>0</v>
      </c>
      <c r="BY245" s="862">
        <f t="shared" si="126"/>
        <v>563126.022</v>
      </c>
      <c r="BZ245" s="862">
        <f t="shared" si="127"/>
        <v>241339.72399999999</v>
      </c>
      <c r="CA245" s="862">
        <f t="shared" si="128"/>
        <v>67575.12</v>
      </c>
      <c r="CB245" s="862">
        <f t="shared" si="129"/>
        <v>7240.19</v>
      </c>
      <c r="CC245" s="863">
        <f t="shared" si="130"/>
        <v>630701.14</v>
      </c>
      <c r="CD245" s="863">
        <f t="shared" si="131"/>
        <v>248579.91</v>
      </c>
      <c r="CE245" s="864">
        <f t="shared" si="132"/>
        <v>879281.05</v>
      </c>
      <c r="CF245" s="862">
        <f t="shared" si="133"/>
        <v>-1.0000000009313226E-2</v>
      </c>
    </row>
    <row r="246" spans="1:84" s="429" customFormat="1" ht="13.9" customHeight="1" x14ac:dyDescent="0.25">
      <c r="A246" s="472"/>
      <c r="B246" s="436">
        <v>1317</v>
      </c>
      <c r="C246" s="436" t="s">
        <v>617</v>
      </c>
      <c r="D246" s="436"/>
      <c r="E246" s="436" t="s">
        <v>366</v>
      </c>
      <c r="F246" s="429" t="s">
        <v>645</v>
      </c>
      <c r="G246" s="473">
        <v>45525</v>
      </c>
      <c r="H246" s="436" t="s">
        <v>128</v>
      </c>
      <c r="I246" s="472">
        <v>1316385</v>
      </c>
      <c r="J246" s="472">
        <v>131685</v>
      </c>
      <c r="K246" s="507">
        <v>0</v>
      </c>
      <c r="L246" s="507">
        <v>0</v>
      </c>
      <c r="M246" s="507">
        <v>0</v>
      </c>
      <c r="N246" s="507">
        <v>0</v>
      </c>
      <c r="O246" s="507">
        <v>0</v>
      </c>
      <c r="P246" s="507">
        <v>0</v>
      </c>
      <c r="Q246" s="507">
        <v>0</v>
      </c>
      <c r="R246" s="507">
        <v>0</v>
      </c>
      <c r="S246" s="507">
        <v>0</v>
      </c>
      <c r="T246" s="507">
        <v>0</v>
      </c>
      <c r="U246" s="507">
        <v>0</v>
      </c>
      <c r="V246" s="507">
        <v>0</v>
      </c>
      <c r="W246" s="507">
        <v>0</v>
      </c>
      <c r="X246" s="507">
        <v>0</v>
      </c>
      <c r="Y246" s="507">
        <v>0</v>
      </c>
      <c r="Z246" s="507">
        <v>0</v>
      </c>
      <c r="AA246" s="507">
        <v>0</v>
      </c>
      <c r="AB246" s="507">
        <v>10000</v>
      </c>
      <c r="AC246" s="507">
        <v>7602</v>
      </c>
      <c r="AD246" s="507">
        <v>7602</v>
      </c>
      <c r="AE246" s="507">
        <v>7602</v>
      </c>
      <c r="AF246" s="507">
        <v>7614</v>
      </c>
      <c r="AG246" s="507">
        <v>7605</v>
      </c>
      <c r="AH246" s="507">
        <v>7605</v>
      </c>
      <c r="AI246" s="507">
        <v>7605</v>
      </c>
      <c r="AJ246" s="507">
        <v>7605</v>
      </c>
      <c r="AK246" s="508">
        <v>7605</v>
      </c>
      <c r="AL246" s="508">
        <v>7605</v>
      </c>
      <c r="AM246" s="509">
        <v>7605</v>
      </c>
      <c r="AN246" s="509">
        <v>7605</v>
      </c>
      <c r="AO246" s="509">
        <v>7605</v>
      </c>
      <c r="AP246" s="509">
        <v>7605</v>
      </c>
      <c r="AQ246" s="509">
        <v>7605</v>
      </c>
      <c r="AR246" s="509">
        <v>7605</v>
      </c>
      <c r="AS246" s="509">
        <v>7605</v>
      </c>
      <c r="AT246" s="510">
        <f t="shared" si="134"/>
        <v>139285</v>
      </c>
      <c r="AU246" s="512">
        <f t="shared" si="106"/>
        <v>1.0577134829327561</v>
      </c>
      <c r="AV246" s="511">
        <f t="shared" si="107"/>
        <v>7600</v>
      </c>
      <c r="AW246" s="558">
        <f t="shared" si="108"/>
        <v>5.7713482932756195E-2</v>
      </c>
      <c r="AX246" s="513">
        <f t="shared" si="109"/>
        <v>1177100</v>
      </c>
      <c r="AY246" s="514">
        <f t="shared" si="110"/>
        <v>0.89419128902258838</v>
      </c>
      <c r="AZ246" s="513">
        <f t="shared" si="111"/>
        <v>131685</v>
      </c>
      <c r="BA246" s="515" t="str">
        <f t="shared" si="112"/>
        <v>Vendido</v>
      </c>
      <c r="BB246" s="516" t="str">
        <f t="shared" si="113"/>
        <v>Cliente Atrasado</v>
      </c>
      <c r="BC246" s="551">
        <v>16</v>
      </c>
      <c r="BD246" s="693">
        <f t="shared" si="114"/>
        <v>1</v>
      </c>
      <c r="BE246" s="693">
        <f t="shared" si="115"/>
        <v>17</v>
      </c>
      <c r="BF246" s="517">
        <v>10000</v>
      </c>
      <c r="BG246" s="517">
        <v>7605</v>
      </c>
      <c r="BH246" s="693">
        <f t="shared" si="116"/>
        <v>17</v>
      </c>
      <c r="BI246" s="693">
        <f t="shared" si="117"/>
        <v>17</v>
      </c>
      <c r="BJ246" s="655">
        <f t="shared" si="137"/>
        <v>139285</v>
      </c>
      <c r="BK246" s="518">
        <f t="shared" si="118"/>
        <v>121671</v>
      </c>
      <c r="BL246" s="518">
        <f t="shared" si="119"/>
        <v>17614</v>
      </c>
      <c r="BM246" s="518">
        <f t="shared" si="120"/>
        <v>0</v>
      </c>
      <c r="BN246" s="518">
        <f t="shared" si="121"/>
        <v>0</v>
      </c>
      <c r="BO246" s="655">
        <f t="shared" si="136"/>
        <v>0</v>
      </c>
      <c r="BP246" s="693">
        <f t="shared" si="122"/>
        <v>0</v>
      </c>
      <c r="BQ246" s="696"/>
      <c r="BR246" s="519"/>
      <c r="BT246" s="439">
        <f t="shared" si="123"/>
        <v>0</v>
      </c>
      <c r="BU246" s="439">
        <f t="shared" si="124"/>
        <v>0</v>
      </c>
      <c r="BV246" s="439">
        <f t="shared" si="125"/>
        <v>0</v>
      </c>
      <c r="BY246" s="862">
        <f t="shared" si="126"/>
        <v>843064.50100000005</v>
      </c>
      <c r="BZ246" s="862">
        <f t="shared" si="127"/>
        <v>361313.35800000001</v>
      </c>
      <c r="CA246" s="862">
        <f t="shared" si="128"/>
        <v>101167.74</v>
      </c>
      <c r="CB246" s="862">
        <f t="shared" si="129"/>
        <v>10839.4</v>
      </c>
      <c r="CC246" s="863">
        <f t="shared" si="130"/>
        <v>944232.24</v>
      </c>
      <c r="CD246" s="863">
        <f t="shared" si="131"/>
        <v>372152.76</v>
      </c>
      <c r="CE246" s="864">
        <f t="shared" si="132"/>
        <v>1316385</v>
      </c>
      <c r="CF246" s="862">
        <f t="shared" si="133"/>
        <v>0</v>
      </c>
    </row>
    <row r="247" spans="1:84" s="429" customFormat="1" ht="13.9" customHeight="1" x14ac:dyDescent="0.25">
      <c r="A247" s="472"/>
      <c r="B247" s="436">
        <v>1318</v>
      </c>
      <c r="C247" s="436" t="s">
        <v>619</v>
      </c>
      <c r="D247" s="436"/>
      <c r="E247" s="436"/>
      <c r="F247" s="429" t="s">
        <v>646</v>
      </c>
      <c r="G247" s="473">
        <v>45993</v>
      </c>
      <c r="H247" s="436" t="s">
        <v>647</v>
      </c>
      <c r="I247" s="472">
        <v>1509600</v>
      </c>
      <c r="J247" s="472">
        <v>105700</v>
      </c>
      <c r="K247" s="507">
        <v>0</v>
      </c>
      <c r="L247" s="507">
        <v>0</v>
      </c>
      <c r="M247" s="507">
        <v>0</v>
      </c>
      <c r="N247" s="507">
        <v>0</v>
      </c>
      <c r="O247" s="507">
        <v>0</v>
      </c>
      <c r="P247" s="507">
        <v>0</v>
      </c>
      <c r="Q247" s="507">
        <v>0</v>
      </c>
      <c r="R247" s="507">
        <v>0</v>
      </c>
      <c r="S247" s="507">
        <v>0</v>
      </c>
      <c r="T247" s="507">
        <v>0</v>
      </c>
      <c r="U247" s="507">
        <v>0</v>
      </c>
      <c r="V247" s="507">
        <v>0</v>
      </c>
      <c r="W247" s="507">
        <v>0</v>
      </c>
      <c r="X247" s="507">
        <v>0</v>
      </c>
      <c r="Y247" s="507">
        <v>0</v>
      </c>
      <c r="Z247" s="507">
        <v>0</v>
      </c>
      <c r="AA247" s="507">
        <v>0</v>
      </c>
      <c r="AB247" s="507">
        <v>0</v>
      </c>
      <c r="AC247" s="507">
        <v>0</v>
      </c>
      <c r="AD247" s="507">
        <v>0</v>
      </c>
      <c r="AE247" s="507">
        <v>0</v>
      </c>
      <c r="AF247" s="507">
        <v>0</v>
      </c>
      <c r="AG247" s="507">
        <v>0</v>
      </c>
      <c r="AH247" s="507">
        <v>0</v>
      </c>
      <c r="AI247" s="507">
        <v>0</v>
      </c>
      <c r="AJ247" s="507">
        <v>0</v>
      </c>
      <c r="AK247" s="508"/>
      <c r="AL247" s="508"/>
      <c r="AM247" s="508"/>
      <c r="AN247" s="509">
        <v>0</v>
      </c>
      <c r="AO247" s="509">
        <v>0</v>
      </c>
      <c r="AP247" s="509">
        <v>0</v>
      </c>
      <c r="AQ247" s="509">
        <v>0</v>
      </c>
      <c r="AR247" s="508">
        <f>10000+95672</f>
        <v>105672</v>
      </c>
      <c r="AS247" s="508">
        <f>80000+50000</f>
        <v>130000</v>
      </c>
      <c r="AT247" s="510">
        <f t="shared" si="134"/>
        <v>235672</v>
      </c>
      <c r="AU247" s="512">
        <f t="shared" si="106"/>
        <v>2.229631031220435</v>
      </c>
      <c r="AV247" s="511">
        <f t="shared" si="107"/>
        <v>129972</v>
      </c>
      <c r="AW247" s="558">
        <f t="shared" si="108"/>
        <v>1.2296310312204353</v>
      </c>
      <c r="AX247" s="513">
        <f t="shared" si="109"/>
        <v>1273928</v>
      </c>
      <c r="AY247" s="514">
        <f t="shared" si="110"/>
        <v>0.84388447270800215</v>
      </c>
      <c r="AZ247" s="513">
        <f t="shared" si="111"/>
        <v>105700</v>
      </c>
      <c r="BA247" s="515" t="str">
        <f t="shared" si="112"/>
        <v>Vendido</v>
      </c>
      <c r="BB247" s="516" t="str">
        <f t="shared" si="113"/>
        <v>Superávit de Enganche</v>
      </c>
      <c r="BC247" s="551"/>
      <c r="BD247" s="693">
        <f t="shared" si="114"/>
        <v>0</v>
      </c>
      <c r="BE247" s="693">
        <f t="shared" si="115"/>
        <v>0</v>
      </c>
      <c r="BF247" s="517"/>
      <c r="BG247" s="517"/>
      <c r="BH247" s="693">
        <f t="shared" si="116"/>
        <v>0</v>
      </c>
      <c r="BI247" s="693">
        <f t="shared" si="117"/>
        <v>1</v>
      </c>
      <c r="BJ247" s="655">
        <f t="shared" si="137"/>
        <v>0</v>
      </c>
      <c r="BK247" s="518">
        <f t="shared" si="118"/>
        <v>0</v>
      </c>
      <c r="BL247" s="518">
        <f t="shared" si="119"/>
        <v>0</v>
      </c>
      <c r="BM247" s="518">
        <f t="shared" si="120"/>
        <v>235672</v>
      </c>
      <c r="BN247" s="518">
        <f t="shared" si="121"/>
        <v>235672</v>
      </c>
      <c r="BO247" s="655">
        <f t="shared" si="136"/>
        <v>0</v>
      </c>
      <c r="BP247" s="693" t="str">
        <f t="shared" si="122"/>
        <v/>
      </c>
      <c r="BQ247" s="696"/>
      <c r="BR247" s="519"/>
      <c r="BT247" s="439">
        <f t="shared" si="123"/>
        <v>235672</v>
      </c>
      <c r="BU247" s="439">
        <f t="shared" si="124"/>
        <v>235672</v>
      </c>
      <c r="BV247" s="439">
        <f t="shared" si="125"/>
        <v>0</v>
      </c>
      <c r="BY247" s="862">
        <f t="shared" si="126"/>
        <v>966806.95299999998</v>
      </c>
      <c r="BZ247" s="862">
        <f t="shared" si="127"/>
        <v>414345.837</v>
      </c>
      <c r="CA247" s="862">
        <f t="shared" si="128"/>
        <v>116016.83</v>
      </c>
      <c r="CB247" s="862">
        <f t="shared" si="129"/>
        <v>12430.38</v>
      </c>
      <c r="CC247" s="863">
        <f t="shared" si="130"/>
        <v>1082823.78</v>
      </c>
      <c r="CD247" s="863">
        <f t="shared" si="131"/>
        <v>426776.22</v>
      </c>
      <c r="CE247" s="864">
        <f t="shared" si="132"/>
        <v>1509600</v>
      </c>
      <c r="CF247" s="862">
        <f t="shared" si="133"/>
        <v>0</v>
      </c>
    </row>
    <row r="248" spans="1:84" s="429" customFormat="1" ht="13.9" customHeight="1" x14ac:dyDescent="0.25">
      <c r="A248" s="472"/>
      <c r="B248" s="436">
        <v>1401</v>
      </c>
      <c r="C248" s="436" t="s">
        <v>648</v>
      </c>
      <c r="D248" s="436"/>
      <c r="E248" s="436" t="s">
        <v>383</v>
      </c>
      <c r="F248" s="429" t="s">
        <v>649</v>
      </c>
      <c r="G248" s="473">
        <v>45158</v>
      </c>
      <c r="H248" s="436" t="s">
        <v>128</v>
      </c>
      <c r="I248" s="472">
        <v>1172500</v>
      </c>
      <c r="J248" s="472">
        <v>117300</v>
      </c>
      <c r="K248" s="507">
        <v>0</v>
      </c>
      <c r="L248" s="507">
        <v>0</v>
      </c>
      <c r="M248" s="507">
        <v>0</v>
      </c>
      <c r="N248" s="507">
        <v>0</v>
      </c>
      <c r="O248" s="507">
        <v>0</v>
      </c>
      <c r="P248" s="507">
        <v>6000</v>
      </c>
      <c r="Q248" s="507">
        <v>5000</v>
      </c>
      <c r="R248" s="507">
        <v>5000</v>
      </c>
      <c r="S248" s="507">
        <v>5000</v>
      </c>
      <c r="T248" s="507">
        <v>5000</v>
      </c>
      <c r="U248" s="507">
        <v>6000</v>
      </c>
      <c r="V248" s="507">
        <v>5000</v>
      </c>
      <c r="W248" s="507">
        <v>5000</v>
      </c>
      <c r="X248" s="507">
        <v>5000</v>
      </c>
      <c r="Y248" s="507">
        <v>5000</v>
      </c>
      <c r="Z248" s="507">
        <v>5000</v>
      </c>
      <c r="AA248" s="507">
        <v>5000</v>
      </c>
      <c r="AB248" s="507">
        <v>0</v>
      </c>
      <c r="AC248" s="507">
        <v>7000</v>
      </c>
      <c r="AD248" s="507">
        <v>5000</v>
      </c>
      <c r="AE248" s="507">
        <v>10000</v>
      </c>
      <c r="AF248" s="507">
        <v>5000</v>
      </c>
      <c r="AG248" s="507">
        <v>5000</v>
      </c>
      <c r="AH248" s="507">
        <v>5000</v>
      </c>
      <c r="AI248" s="507">
        <v>0</v>
      </c>
      <c r="AJ248" s="507">
        <f>5000+5000</f>
        <v>10000</v>
      </c>
      <c r="AK248" s="509">
        <v>5000</v>
      </c>
      <c r="AL248" s="509">
        <v>5000</v>
      </c>
      <c r="AM248" s="509"/>
      <c r="AN248" s="509">
        <f>5000+5000</f>
        <v>10000</v>
      </c>
      <c r="AO248" s="509">
        <v>0</v>
      </c>
      <c r="AP248" s="509">
        <v>0</v>
      </c>
      <c r="AQ248" s="509">
        <v>0</v>
      </c>
      <c r="AR248" s="509"/>
      <c r="AS248" s="509"/>
      <c r="AT248" s="510">
        <f t="shared" si="134"/>
        <v>129000</v>
      </c>
      <c r="AU248" s="512">
        <f t="shared" si="106"/>
        <v>1.0997442455242967</v>
      </c>
      <c r="AV248" s="511">
        <f t="shared" si="107"/>
        <v>11700</v>
      </c>
      <c r="AW248" s="558">
        <f t="shared" si="108"/>
        <v>9.9744245524296671E-2</v>
      </c>
      <c r="AX248" s="513">
        <f t="shared" si="109"/>
        <v>1043500</v>
      </c>
      <c r="AY248" s="514">
        <f t="shared" si="110"/>
        <v>0.88997867803837949</v>
      </c>
      <c r="AZ248" s="513">
        <f t="shared" si="111"/>
        <v>117300</v>
      </c>
      <c r="BA248" s="515" t="str">
        <f t="shared" si="112"/>
        <v>Vendido</v>
      </c>
      <c r="BB248" s="516" t="str">
        <f t="shared" si="113"/>
        <v>Cliente Atrasado</v>
      </c>
      <c r="BC248" s="551">
        <v>22</v>
      </c>
      <c r="BD248" s="693">
        <f t="shared" si="114"/>
        <v>1</v>
      </c>
      <c r="BE248" s="693">
        <f t="shared" si="115"/>
        <v>23</v>
      </c>
      <c r="BF248" s="517">
        <v>6000</v>
      </c>
      <c r="BG248" s="517">
        <v>5000</v>
      </c>
      <c r="BH248" s="693">
        <f t="shared" si="116"/>
        <v>16</v>
      </c>
      <c r="BI248" s="693">
        <f t="shared" si="117"/>
        <v>29</v>
      </c>
      <c r="BJ248" s="655">
        <f t="shared" si="137"/>
        <v>151000</v>
      </c>
      <c r="BK248" s="518">
        <f t="shared" si="118"/>
        <v>80000</v>
      </c>
      <c r="BL248" s="518">
        <f t="shared" si="119"/>
        <v>49000</v>
      </c>
      <c r="BM248" s="518">
        <f t="shared" si="120"/>
        <v>0</v>
      </c>
      <c r="BN248" s="518">
        <f t="shared" si="121"/>
        <v>0</v>
      </c>
      <c r="BO248" s="655">
        <f t="shared" si="136"/>
        <v>22000</v>
      </c>
      <c r="BP248" s="693">
        <f t="shared" si="122"/>
        <v>5</v>
      </c>
      <c r="BQ248" s="696"/>
      <c r="BR248" s="519"/>
      <c r="BT248" s="439">
        <f t="shared" si="123"/>
        <v>-22000</v>
      </c>
      <c r="BU248" s="439">
        <f t="shared" si="124"/>
        <v>-22000</v>
      </c>
      <c r="BV248" s="439">
        <f t="shared" si="125"/>
        <v>0</v>
      </c>
      <c r="BY248" s="862">
        <f t="shared" si="126"/>
        <v>750914.91299999994</v>
      </c>
      <c r="BZ248" s="862">
        <f t="shared" si="127"/>
        <v>321820.67700000003</v>
      </c>
      <c r="CA248" s="862">
        <f t="shared" si="128"/>
        <v>90109.79</v>
      </c>
      <c r="CB248" s="862">
        <f t="shared" si="129"/>
        <v>9654.6200000000008</v>
      </c>
      <c r="CC248" s="863">
        <f t="shared" si="130"/>
        <v>841024.7</v>
      </c>
      <c r="CD248" s="863">
        <f t="shared" si="131"/>
        <v>331475.3</v>
      </c>
      <c r="CE248" s="864">
        <f t="shared" si="132"/>
        <v>1172500</v>
      </c>
      <c r="CF248" s="862">
        <f t="shared" si="133"/>
        <v>0</v>
      </c>
    </row>
    <row r="249" spans="1:84" s="429" customFormat="1" ht="13.9" customHeight="1" x14ac:dyDescent="0.25">
      <c r="A249" s="472"/>
      <c r="B249" s="436">
        <v>1402</v>
      </c>
      <c r="C249" s="436" t="s">
        <v>650</v>
      </c>
      <c r="D249" s="436"/>
      <c r="E249" s="436" t="s">
        <v>366</v>
      </c>
      <c r="F249" s="429" t="s">
        <v>651</v>
      </c>
      <c r="G249" s="473">
        <v>45572</v>
      </c>
      <c r="H249" s="436" t="s">
        <v>128</v>
      </c>
      <c r="I249" s="472">
        <v>1252020</v>
      </c>
      <c r="J249" s="472">
        <v>125220</v>
      </c>
      <c r="K249" s="507">
        <v>0</v>
      </c>
      <c r="L249" s="507">
        <v>0</v>
      </c>
      <c r="M249" s="507">
        <v>0</v>
      </c>
      <c r="N249" s="507">
        <v>0</v>
      </c>
      <c r="O249" s="507">
        <v>0</v>
      </c>
      <c r="P249" s="507">
        <v>0</v>
      </c>
      <c r="Q249" s="507">
        <v>0</v>
      </c>
      <c r="R249" s="507">
        <v>0</v>
      </c>
      <c r="S249" s="507">
        <v>0</v>
      </c>
      <c r="T249" s="507">
        <v>0</v>
      </c>
      <c r="U249" s="507">
        <v>0</v>
      </c>
      <c r="V249" s="507">
        <v>0</v>
      </c>
      <c r="W249" s="507">
        <v>0</v>
      </c>
      <c r="X249" s="507">
        <v>0</v>
      </c>
      <c r="Y249" s="507">
        <v>0</v>
      </c>
      <c r="Z249" s="507">
        <v>0</v>
      </c>
      <c r="AA249" s="507">
        <v>0</v>
      </c>
      <c r="AB249" s="507">
        <v>0</v>
      </c>
      <c r="AC249" s="507">
        <v>0</v>
      </c>
      <c r="AD249" s="507">
        <v>10000</v>
      </c>
      <c r="AE249" s="507">
        <v>8230</v>
      </c>
      <c r="AF249" s="507">
        <v>8230</v>
      </c>
      <c r="AG249" s="507">
        <v>8230</v>
      </c>
      <c r="AH249" s="507">
        <v>8230</v>
      </c>
      <c r="AI249" s="507">
        <v>8230</v>
      </c>
      <c r="AJ249" s="507">
        <v>8230</v>
      </c>
      <c r="AK249" s="508">
        <v>8230</v>
      </c>
      <c r="AL249" s="508">
        <v>8230</v>
      </c>
      <c r="AM249" s="509">
        <v>8230</v>
      </c>
      <c r="AN249" s="509">
        <v>8230</v>
      </c>
      <c r="AO249" s="509">
        <v>8230</v>
      </c>
      <c r="AP249" s="509">
        <v>8230</v>
      </c>
      <c r="AQ249" s="509">
        <v>8230</v>
      </c>
      <c r="AR249" s="509">
        <v>8230</v>
      </c>
      <c r="AS249" s="509"/>
      <c r="AT249" s="510">
        <f t="shared" si="134"/>
        <v>125220</v>
      </c>
      <c r="AU249" s="512">
        <f t="shared" si="106"/>
        <v>1</v>
      </c>
      <c r="AV249" s="511">
        <f t="shared" si="107"/>
        <v>0</v>
      </c>
      <c r="AW249" s="558">
        <f t="shared" si="108"/>
        <v>0</v>
      </c>
      <c r="AX249" s="513">
        <f t="shared" si="109"/>
        <v>1126800</v>
      </c>
      <c r="AY249" s="514">
        <f t="shared" si="110"/>
        <v>0.89998562323285569</v>
      </c>
      <c r="AZ249" s="513">
        <f t="shared" si="111"/>
        <v>125220</v>
      </c>
      <c r="BA249" s="515" t="str">
        <f t="shared" si="112"/>
        <v>Vendido</v>
      </c>
      <c r="BB249" s="516" t="str">
        <f t="shared" si="113"/>
        <v>Cliente Atrasado</v>
      </c>
      <c r="BC249" s="551">
        <v>14</v>
      </c>
      <c r="BD249" s="693">
        <f t="shared" si="114"/>
        <v>1</v>
      </c>
      <c r="BE249" s="693">
        <f t="shared" si="115"/>
        <v>15</v>
      </c>
      <c r="BF249" s="517">
        <v>10000</v>
      </c>
      <c r="BG249" s="517">
        <v>8230</v>
      </c>
      <c r="BH249" s="693">
        <f t="shared" si="116"/>
        <v>14</v>
      </c>
      <c r="BI249" s="693">
        <f t="shared" si="117"/>
        <v>15</v>
      </c>
      <c r="BJ249" s="655">
        <f t="shared" si="137"/>
        <v>133450</v>
      </c>
      <c r="BK249" s="518">
        <f t="shared" si="118"/>
        <v>115220</v>
      </c>
      <c r="BL249" s="518">
        <f t="shared" si="119"/>
        <v>10000</v>
      </c>
      <c r="BM249" s="518">
        <f t="shared" si="120"/>
        <v>0</v>
      </c>
      <c r="BN249" s="518">
        <f t="shared" si="121"/>
        <v>0</v>
      </c>
      <c r="BO249" s="655">
        <f t="shared" si="136"/>
        <v>8230</v>
      </c>
      <c r="BP249" s="693">
        <f t="shared" si="122"/>
        <v>1</v>
      </c>
      <c r="BQ249" s="696"/>
      <c r="BR249" s="519"/>
      <c r="BT249" s="439">
        <f t="shared" si="123"/>
        <v>-8230</v>
      </c>
      <c r="BU249" s="439">
        <f t="shared" si="124"/>
        <v>-8230</v>
      </c>
      <c r="BV249" s="439">
        <f t="shared" si="125"/>
        <v>0</v>
      </c>
      <c r="BY249" s="862">
        <f t="shared" si="126"/>
        <v>801842.63500000001</v>
      </c>
      <c r="BZ249" s="862">
        <f t="shared" si="127"/>
        <v>343646.84399999998</v>
      </c>
      <c r="CA249" s="862">
        <f t="shared" si="128"/>
        <v>96221.119999999995</v>
      </c>
      <c r="CB249" s="862">
        <f t="shared" si="129"/>
        <v>10309.41</v>
      </c>
      <c r="CC249" s="863">
        <f t="shared" si="130"/>
        <v>898063.76</v>
      </c>
      <c r="CD249" s="863">
        <f t="shared" si="131"/>
        <v>353956.25</v>
      </c>
      <c r="CE249" s="864">
        <f t="shared" si="132"/>
        <v>1252020.01</v>
      </c>
      <c r="CF249" s="862">
        <f t="shared" si="133"/>
        <v>1.0000000009313226E-2</v>
      </c>
    </row>
    <row r="250" spans="1:84" s="429" customFormat="1" ht="13.9" customHeight="1" x14ac:dyDescent="0.25">
      <c r="A250" s="472" t="s">
        <v>58</v>
      </c>
      <c r="B250" s="475">
        <v>1403</v>
      </c>
      <c r="C250" s="475" t="s">
        <v>393</v>
      </c>
      <c r="D250" s="475"/>
      <c r="E250" s="475" t="s">
        <v>366</v>
      </c>
      <c r="F250" s="476" t="s">
        <v>652</v>
      </c>
      <c r="G250" s="473">
        <v>45012</v>
      </c>
      <c r="H250" s="436" t="s">
        <v>128</v>
      </c>
      <c r="I250" s="472">
        <v>852627.54461999994</v>
      </c>
      <c r="J250" s="472">
        <v>85327.54</v>
      </c>
      <c r="K250" s="507">
        <v>6000</v>
      </c>
      <c r="L250" s="507">
        <v>2266</v>
      </c>
      <c r="M250" s="507">
        <v>2266</v>
      </c>
      <c r="N250" s="507">
        <v>2266</v>
      </c>
      <c r="O250" s="507">
        <v>2266</v>
      </c>
      <c r="P250" s="507">
        <v>2266</v>
      </c>
      <c r="Q250" s="507">
        <v>2266</v>
      </c>
      <c r="R250" s="507">
        <v>2266</v>
      </c>
      <c r="S250" s="507">
        <v>2266</v>
      </c>
      <c r="T250" s="507">
        <v>2266</v>
      </c>
      <c r="U250" s="507">
        <v>2266</v>
      </c>
      <c r="V250" s="507">
        <v>2266</v>
      </c>
      <c r="W250" s="507">
        <v>0</v>
      </c>
      <c r="X250" s="507">
        <v>0</v>
      </c>
      <c r="Y250" s="507">
        <v>0</v>
      </c>
      <c r="Z250" s="507">
        <v>0</v>
      </c>
      <c r="AA250" s="507">
        <v>0</v>
      </c>
      <c r="AB250" s="507">
        <v>0</v>
      </c>
      <c r="AC250" s="507">
        <v>0</v>
      </c>
      <c r="AD250" s="507">
        <v>0</v>
      </c>
      <c r="AE250" s="507">
        <v>0</v>
      </c>
      <c r="AF250" s="507">
        <v>0</v>
      </c>
      <c r="AG250" s="507">
        <v>0</v>
      </c>
      <c r="AH250" s="507">
        <v>0</v>
      </c>
      <c r="AI250" s="507">
        <v>0</v>
      </c>
      <c r="AJ250" s="507">
        <v>0</v>
      </c>
      <c r="AK250" s="508"/>
      <c r="AL250" s="508"/>
      <c r="AM250" s="508"/>
      <c r="AN250" s="509">
        <v>0</v>
      </c>
      <c r="AO250" s="509">
        <v>0</v>
      </c>
      <c r="AP250" s="509">
        <v>0</v>
      </c>
      <c r="AQ250" s="509">
        <v>0</v>
      </c>
      <c r="AR250" s="508"/>
      <c r="AS250" s="508"/>
      <c r="AT250" s="510">
        <f t="shared" si="134"/>
        <v>30926</v>
      </c>
      <c r="AU250" s="512">
        <f t="shared" si="106"/>
        <v>0.36243866868774138</v>
      </c>
      <c r="AV250" s="511">
        <f t="shared" si="107"/>
        <v>-54401.539999999994</v>
      </c>
      <c r="AW250" s="558">
        <f t="shared" si="108"/>
        <v>-0.63756133131225856</v>
      </c>
      <c r="AX250" s="513">
        <f t="shared" si="109"/>
        <v>821701.54461999994</v>
      </c>
      <c r="AY250" s="514">
        <f t="shared" si="110"/>
        <v>0.96372859380964149</v>
      </c>
      <c r="AZ250" s="513">
        <f t="shared" si="111"/>
        <v>85327.54</v>
      </c>
      <c r="BA250" s="515" t="str">
        <f t="shared" si="112"/>
        <v>Vendido</v>
      </c>
      <c r="BB250" s="516" t="str">
        <f t="shared" si="113"/>
        <v>Cliente Atrasado</v>
      </c>
      <c r="BC250" s="551">
        <v>35</v>
      </c>
      <c r="BD250" s="693">
        <f t="shared" si="114"/>
        <v>1</v>
      </c>
      <c r="BE250" s="693">
        <f t="shared" si="115"/>
        <v>36</v>
      </c>
      <c r="BF250" s="517">
        <v>6000</v>
      </c>
      <c r="BG250" s="517">
        <v>2266</v>
      </c>
      <c r="BH250" s="693">
        <f t="shared" si="116"/>
        <v>11</v>
      </c>
      <c r="BI250" s="693">
        <f t="shared" si="117"/>
        <v>33</v>
      </c>
      <c r="BJ250" s="655">
        <f t="shared" si="137"/>
        <v>80778</v>
      </c>
      <c r="BK250" s="518">
        <f t="shared" si="118"/>
        <v>24926</v>
      </c>
      <c r="BL250" s="518">
        <f t="shared" si="119"/>
        <v>6000</v>
      </c>
      <c r="BM250" s="518">
        <f t="shared" si="120"/>
        <v>0</v>
      </c>
      <c r="BN250" s="518">
        <f t="shared" si="121"/>
        <v>0</v>
      </c>
      <c r="BO250" s="655">
        <f t="shared" si="136"/>
        <v>49852</v>
      </c>
      <c r="BP250" s="693" t="str">
        <f t="shared" si="122"/>
        <v/>
      </c>
      <c r="BQ250" s="695" t="s">
        <v>58</v>
      </c>
      <c r="BR250" s="519"/>
      <c r="BT250" s="439">
        <f t="shared" si="123"/>
        <v>-49852</v>
      </c>
      <c r="BU250" s="439">
        <f t="shared" si="124"/>
        <v>-49852</v>
      </c>
      <c r="BV250" s="439">
        <f t="shared" si="125"/>
        <v>0</v>
      </c>
      <c r="BY250" s="862">
        <f t="shared" si="126"/>
        <v>546056.06700000004</v>
      </c>
      <c r="BZ250" s="862">
        <f t="shared" si="127"/>
        <v>234024.02900000001</v>
      </c>
      <c r="CA250" s="862">
        <f t="shared" si="128"/>
        <v>65526.73</v>
      </c>
      <c r="CB250" s="862">
        <f t="shared" si="129"/>
        <v>7020.72</v>
      </c>
      <c r="CC250" s="863">
        <f t="shared" si="130"/>
        <v>611582.80000000005</v>
      </c>
      <c r="CD250" s="863">
        <f t="shared" si="131"/>
        <v>241044.75</v>
      </c>
      <c r="CE250" s="864">
        <f t="shared" si="132"/>
        <v>852627.55</v>
      </c>
      <c r="CF250" s="862">
        <f t="shared" si="133"/>
        <v>5.3800001041963696E-3</v>
      </c>
    </row>
    <row r="251" spans="1:84" s="429" customFormat="1" ht="13.9" customHeight="1" x14ac:dyDescent="0.25">
      <c r="A251" s="472"/>
      <c r="B251" s="436">
        <v>1404</v>
      </c>
      <c r="C251" s="436" t="s">
        <v>172</v>
      </c>
      <c r="D251" s="436"/>
      <c r="E251" s="436" t="s">
        <v>356</v>
      </c>
      <c r="F251" s="429" t="s">
        <v>653</v>
      </c>
      <c r="G251" s="473">
        <v>45012</v>
      </c>
      <c r="H251" s="436" t="s">
        <v>128</v>
      </c>
      <c r="I251" s="472">
        <v>849571</v>
      </c>
      <c r="J251" s="472">
        <v>169971</v>
      </c>
      <c r="K251" s="507">
        <v>6000</v>
      </c>
      <c r="L251" s="507">
        <v>4600</v>
      </c>
      <c r="M251" s="507">
        <v>4600</v>
      </c>
      <c r="N251" s="507">
        <v>4600</v>
      </c>
      <c r="O251" s="507">
        <v>4600</v>
      </c>
      <c r="P251" s="507">
        <v>4600</v>
      </c>
      <c r="Q251" s="507">
        <v>4600</v>
      </c>
      <c r="R251" s="507">
        <v>4600</v>
      </c>
      <c r="S251" s="507">
        <v>4600</v>
      </c>
      <c r="T251" s="507">
        <v>4600</v>
      </c>
      <c r="U251" s="507">
        <v>4600</v>
      </c>
      <c r="V251" s="507">
        <v>4600</v>
      </c>
      <c r="W251" s="507">
        <v>4600</v>
      </c>
      <c r="X251" s="507">
        <v>4600</v>
      </c>
      <c r="Y251" s="507">
        <v>4600</v>
      </c>
      <c r="Z251" s="507">
        <v>4600</v>
      </c>
      <c r="AA251" s="507">
        <v>4600</v>
      </c>
      <c r="AB251" s="507">
        <v>0</v>
      </c>
      <c r="AC251" s="507">
        <v>9200</v>
      </c>
      <c r="AD251" s="507">
        <v>4600</v>
      </c>
      <c r="AE251" s="507">
        <v>4600</v>
      </c>
      <c r="AF251" s="507">
        <v>4600</v>
      </c>
      <c r="AG251" s="507">
        <v>4600</v>
      </c>
      <c r="AH251" s="507">
        <v>4600</v>
      </c>
      <c r="AI251" s="507">
        <v>4600</v>
      </c>
      <c r="AJ251" s="507">
        <v>4000</v>
      </c>
      <c r="AK251" s="508"/>
      <c r="AL251" s="509">
        <f>4800+4800</f>
        <v>9600</v>
      </c>
      <c r="AM251" s="509"/>
      <c r="AN251" s="509">
        <f>4800+4800</f>
        <v>9600</v>
      </c>
      <c r="AO251" s="509">
        <v>0</v>
      </c>
      <c r="AP251" s="509">
        <v>0</v>
      </c>
      <c r="AQ251" s="509">
        <v>0</v>
      </c>
      <c r="AR251" s="509"/>
      <c r="AS251" s="509"/>
      <c r="AT251" s="510">
        <f t="shared" si="134"/>
        <v>139600</v>
      </c>
      <c r="AU251" s="512">
        <f t="shared" si="106"/>
        <v>0.8213165775338146</v>
      </c>
      <c r="AV251" s="511">
        <f t="shared" si="107"/>
        <v>-30371</v>
      </c>
      <c r="AW251" s="558">
        <f t="shared" si="108"/>
        <v>-0.1786834224661854</v>
      </c>
      <c r="AX251" s="513">
        <f t="shared" si="109"/>
        <v>709971</v>
      </c>
      <c r="AY251" s="514">
        <f t="shared" si="110"/>
        <v>0.83568177350686401</v>
      </c>
      <c r="AZ251" s="513">
        <f t="shared" si="111"/>
        <v>169971</v>
      </c>
      <c r="BA251" s="515" t="str">
        <f t="shared" si="112"/>
        <v>Vendido</v>
      </c>
      <c r="BB251" s="516" t="str">
        <f t="shared" si="113"/>
        <v>Cliente Atrasado</v>
      </c>
      <c r="BC251" s="551">
        <v>35</v>
      </c>
      <c r="BD251" s="693">
        <f t="shared" si="114"/>
        <v>1</v>
      </c>
      <c r="BE251" s="693">
        <f t="shared" si="115"/>
        <v>36</v>
      </c>
      <c r="BF251" s="517">
        <v>6000</v>
      </c>
      <c r="BG251" s="517">
        <v>4600</v>
      </c>
      <c r="BH251" s="693">
        <f t="shared" si="116"/>
        <v>23</v>
      </c>
      <c r="BI251" s="693">
        <f t="shared" si="117"/>
        <v>33</v>
      </c>
      <c r="BJ251" s="655">
        <f t="shared" si="137"/>
        <v>157800</v>
      </c>
      <c r="BK251" s="518">
        <f t="shared" si="118"/>
        <v>105200</v>
      </c>
      <c r="BL251" s="518">
        <f t="shared" si="119"/>
        <v>34400</v>
      </c>
      <c r="BM251" s="518">
        <f t="shared" si="120"/>
        <v>0</v>
      </c>
      <c r="BN251" s="518">
        <f t="shared" si="121"/>
        <v>0</v>
      </c>
      <c r="BO251" s="655">
        <f t="shared" si="136"/>
        <v>18200</v>
      </c>
      <c r="BP251" s="693">
        <f t="shared" si="122"/>
        <v>4</v>
      </c>
      <c r="BQ251" s="696"/>
      <c r="BR251" s="519" t="s">
        <v>426</v>
      </c>
      <c r="BT251" s="439">
        <f t="shared" si="123"/>
        <v>-18200</v>
      </c>
      <c r="BU251" s="439">
        <f t="shared" si="124"/>
        <v>-18200</v>
      </c>
      <c r="BV251" s="439">
        <f t="shared" si="125"/>
        <v>0</v>
      </c>
      <c r="BY251" s="862">
        <f t="shared" si="126"/>
        <v>544098.53599999996</v>
      </c>
      <c r="BZ251" s="862">
        <f t="shared" si="127"/>
        <v>233185.087</v>
      </c>
      <c r="CA251" s="862">
        <f t="shared" si="128"/>
        <v>65291.82</v>
      </c>
      <c r="CB251" s="862">
        <f t="shared" si="129"/>
        <v>6995.55</v>
      </c>
      <c r="CC251" s="863">
        <f t="shared" si="130"/>
        <v>609390.36</v>
      </c>
      <c r="CD251" s="863">
        <f t="shared" si="131"/>
        <v>240180.64</v>
      </c>
      <c r="CE251" s="864">
        <f t="shared" si="132"/>
        <v>849571</v>
      </c>
      <c r="CF251" s="862">
        <f t="shared" si="133"/>
        <v>0</v>
      </c>
    </row>
    <row r="252" spans="1:84" s="429" customFormat="1" ht="13.9" customHeight="1" x14ac:dyDescent="0.25">
      <c r="A252" s="472"/>
      <c r="B252" s="436">
        <v>1405</v>
      </c>
      <c r="C252" s="436" t="s">
        <v>547</v>
      </c>
      <c r="D252" s="641" t="s">
        <v>386</v>
      </c>
      <c r="E252" s="436" t="s">
        <v>366</v>
      </c>
      <c r="F252" s="429" t="s">
        <v>654</v>
      </c>
      <c r="G252" s="473">
        <v>45034</v>
      </c>
      <c r="H252" s="436" t="s">
        <v>128</v>
      </c>
      <c r="I252" s="472">
        <v>1301000</v>
      </c>
      <c r="J252" s="472">
        <v>130100</v>
      </c>
      <c r="K252" s="507">
        <v>0</v>
      </c>
      <c r="L252" s="507">
        <v>6000</v>
      </c>
      <c r="M252" s="507">
        <v>4279</v>
      </c>
      <c r="N252" s="507">
        <v>4279</v>
      </c>
      <c r="O252" s="507">
        <v>4279</v>
      </c>
      <c r="P252" s="507">
        <v>4279</v>
      </c>
      <c r="Q252" s="507">
        <v>4279</v>
      </c>
      <c r="R252" s="507">
        <v>4279</v>
      </c>
      <c r="S252" s="507">
        <v>4279</v>
      </c>
      <c r="T252" s="507">
        <v>4279</v>
      </c>
      <c r="U252" s="507">
        <v>4279</v>
      </c>
      <c r="V252" s="507">
        <v>4279</v>
      </c>
      <c r="W252" s="507">
        <v>4279</v>
      </c>
      <c r="X252" s="507">
        <v>4279</v>
      </c>
      <c r="Y252" s="507">
        <v>4279</v>
      </c>
      <c r="Z252" s="507">
        <v>4279</v>
      </c>
      <c r="AA252" s="507">
        <v>4279</v>
      </c>
      <c r="AB252" s="507">
        <v>4279</v>
      </c>
      <c r="AC252" s="507">
        <v>4279</v>
      </c>
      <c r="AD252" s="507">
        <v>4279</v>
      </c>
      <c r="AE252" s="507">
        <v>4279</v>
      </c>
      <c r="AF252" s="507">
        <v>4279</v>
      </c>
      <c r="AG252" s="507">
        <v>4279</v>
      </c>
      <c r="AH252" s="507">
        <v>4279</v>
      </c>
      <c r="AI252" s="507">
        <v>29962</v>
      </c>
      <c r="AJ252" s="507">
        <v>0</v>
      </c>
      <c r="AK252" s="508"/>
      <c r="AL252" s="508"/>
      <c r="AM252" s="508"/>
      <c r="AN252" s="509">
        <v>0</v>
      </c>
      <c r="AO252" s="509">
        <v>0</v>
      </c>
      <c r="AP252" s="509">
        <v>0</v>
      </c>
      <c r="AQ252" s="509">
        <v>0</v>
      </c>
      <c r="AR252" s="508"/>
      <c r="AS252" s="508"/>
      <c r="AT252" s="510">
        <f t="shared" si="134"/>
        <v>130100</v>
      </c>
      <c r="AU252" s="512">
        <f t="shared" si="106"/>
        <v>1</v>
      </c>
      <c r="AV252" s="511">
        <f t="shared" si="107"/>
        <v>0</v>
      </c>
      <c r="AW252" s="558">
        <f t="shared" si="108"/>
        <v>0</v>
      </c>
      <c r="AX252" s="513">
        <f t="shared" si="109"/>
        <v>1170900</v>
      </c>
      <c r="AY252" s="514">
        <f t="shared" si="110"/>
        <v>0.9</v>
      </c>
      <c r="AZ252" s="513">
        <f t="shared" si="111"/>
        <v>130100</v>
      </c>
      <c r="BA252" s="515" t="str">
        <f t="shared" si="112"/>
        <v>Vendido</v>
      </c>
      <c r="BB252" s="516" t="str">
        <f t="shared" si="113"/>
        <v>Cliente Atrasado</v>
      </c>
      <c r="BC252" s="552">
        <v>29</v>
      </c>
      <c r="BD252" s="693">
        <f t="shared" si="114"/>
        <v>1</v>
      </c>
      <c r="BE252" s="693">
        <f t="shared" si="115"/>
        <v>30</v>
      </c>
      <c r="BF252" s="644">
        <v>6000</v>
      </c>
      <c r="BG252" s="644">
        <v>4279</v>
      </c>
      <c r="BH252" s="693">
        <f t="shared" si="116"/>
        <v>22</v>
      </c>
      <c r="BI252" s="693">
        <f t="shared" si="117"/>
        <v>33</v>
      </c>
      <c r="BJ252" s="655">
        <f t="shared" si="137"/>
        <v>147207</v>
      </c>
      <c r="BK252" s="518">
        <f t="shared" si="118"/>
        <v>94138</v>
      </c>
      <c r="BL252" s="518">
        <f t="shared" si="119"/>
        <v>35962</v>
      </c>
      <c r="BM252" s="518">
        <f t="shared" si="120"/>
        <v>0</v>
      </c>
      <c r="BN252" s="518">
        <f t="shared" si="121"/>
        <v>0</v>
      </c>
      <c r="BO252" s="655">
        <f t="shared" si="136"/>
        <v>17107</v>
      </c>
      <c r="BP252" s="693">
        <f t="shared" si="122"/>
        <v>4</v>
      </c>
      <c r="BQ252" s="696" t="s">
        <v>388</v>
      </c>
      <c r="BR252" s="519"/>
      <c r="BT252" s="439">
        <f t="shared" si="123"/>
        <v>-17107</v>
      </c>
      <c r="BU252" s="439">
        <f t="shared" si="124"/>
        <v>-17107</v>
      </c>
      <c r="BV252" s="439">
        <f t="shared" si="125"/>
        <v>0</v>
      </c>
      <c r="BY252" s="862">
        <f t="shared" si="126"/>
        <v>833211.34499999997</v>
      </c>
      <c r="BZ252" s="862">
        <f t="shared" si="127"/>
        <v>357090.576</v>
      </c>
      <c r="CA252" s="862">
        <f t="shared" si="128"/>
        <v>99985.36</v>
      </c>
      <c r="CB252" s="862">
        <f t="shared" si="129"/>
        <v>10712.72</v>
      </c>
      <c r="CC252" s="863">
        <f t="shared" si="130"/>
        <v>933196.71</v>
      </c>
      <c r="CD252" s="863">
        <f t="shared" si="131"/>
        <v>367803.3</v>
      </c>
      <c r="CE252" s="864">
        <f t="shared" si="132"/>
        <v>1301000.01</v>
      </c>
      <c r="CF252" s="862">
        <f t="shared" si="133"/>
        <v>1.0000000009313226E-2</v>
      </c>
    </row>
    <row r="253" spans="1:84" s="429" customFormat="1" ht="13.9" customHeight="1" x14ac:dyDescent="0.25">
      <c r="A253" s="472"/>
      <c r="B253" s="436">
        <v>1406</v>
      </c>
      <c r="C253" s="436" t="s">
        <v>181</v>
      </c>
      <c r="D253" s="436"/>
      <c r="E253" s="436" t="s">
        <v>356</v>
      </c>
      <c r="F253" s="429" t="s">
        <v>655</v>
      </c>
      <c r="G253" s="473">
        <v>45012</v>
      </c>
      <c r="H253" s="436" t="s">
        <v>128</v>
      </c>
      <c r="I253" s="472">
        <v>651600</v>
      </c>
      <c r="J253" s="472">
        <v>65200</v>
      </c>
      <c r="K253" s="507">
        <v>6000</v>
      </c>
      <c r="L253" s="507">
        <v>1690</v>
      </c>
      <c r="M253" s="507">
        <v>1690</v>
      </c>
      <c r="N253" s="507">
        <v>1690</v>
      </c>
      <c r="O253" s="507">
        <v>1690</v>
      </c>
      <c r="P253" s="507">
        <v>1690</v>
      </c>
      <c r="Q253" s="507">
        <v>1690</v>
      </c>
      <c r="R253" s="507">
        <v>1690</v>
      </c>
      <c r="S253" s="507">
        <v>1690</v>
      </c>
      <c r="T253" s="507">
        <v>1690</v>
      </c>
      <c r="U253" s="507">
        <v>1690</v>
      </c>
      <c r="V253" s="507">
        <v>1690</v>
      </c>
      <c r="W253" s="507">
        <v>1690</v>
      </c>
      <c r="X253" s="507">
        <v>1690</v>
      </c>
      <c r="Y253" s="507">
        <v>1690</v>
      </c>
      <c r="Z253" s="507">
        <v>1690</v>
      </c>
      <c r="AA253" s="507">
        <v>1690</v>
      </c>
      <c r="AB253" s="507">
        <v>1690</v>
      </c>
      <c r="AC253" s="507">
        <v>1690</v>
      </c>
      <c r="AD253" s="507">
        <v>1690</v>
      </c>
      <c r="AE253" s="507">
        <v>1690</v>
      </c>
      <c r="AF253" s="507">
        <v>1690</v>
      </c>
      <c r="AG253" s="507">
        <v>1690</v>
      </c>
      <c r="AH253" s="507">
        <v>1690</v>
      </c>
      <c r="AI253" s="507">
        <v>1690</v>
      </c>
      <c r="AJ253" s="507">
        <v>1690</v>
      </c>
      <c r="AK253" s="508">
        <v>1690</v>
      </c>
      <c r="AL253" s="508">
        <v>1690</v>
      </c>
      <c r="AM253" s="509">
        <v>1690</v>
      </c>
      <c r="AN253" s="509">
        <v>1690</v>
      </c>
      <c r="AO253" s="509">
        <v>1690</v>
      </c>
      <c r="AP253" s="509">
        <v>1690</v>
      </c>
      <c r="AQ253" s="509">
        <v>0</v>
      </c>
      <c r="AR253" s="509">
        <v>1690</v>
      </c>
      <c r="AS253" s="509"/>
      <c r="AT253" s="510">
        <f t="shared" si="134"/>
        <v>60080</v>
      </c>
      <c r="AU253" s="512">
        <f t="shared" si="106"/>
        <v>0.92147239263803682</v>
      </c>
      <c r="AV253" s="511">
        <f t="shared" si="107"/>
        <v>-5120</v>
      </c>
      <c r="AW253" s="558">
        <f t="shared" si="108"/>
        <v>-7.8527607361963195E-2</v>
      </c>
      <c r="AX253" s="513">
        <f t="shared" si="109"/>
        <v>591520</v>
      </c>
      <c r="AY253" s="514">
        <f t="shared" si="110"/>
        <v>0.90779619398403932</v>
      </c>
      <c r="AZ253" s="513">
        <f t="shared" si="111"/>
        <v>65200</v>
      </c>
      <c r="BA253" s="515" t="str">
        <f t="shared" si="112"/>
        <v>Vendido</v>
      </c>
      <c r="BB253" s="516" t="str">
        <f t="shared" si="113"/>
        <v>Cliente Atrasado</v>
      </c>
      <c r="BC253" s="551">
        <v>35</v>
      </c>
      <c r="BD253" s="693">
        <f t="shared" si="114"/>
        <v>1</v>
      </c>
      <c r="BE253" s="693">
        <f t="shared" si="115"/>
        <v>36</v>
      </c>
      <c r="BF253" s="517">
        <v>6000</v>
      </c>
      <c r="BG253" s="517">
        <v>1690</v>
      </c>
      <c r="BH253" s="693">
        <f t="shared" si="116"/>
        <v>32</v>
      </c>
      <c r="BI253" s="693">
        <f t="shared" si="117"/>
        <v>33</v>
      </c>
      <c r="BJ253" s="655">
        <f t="shared" si="137"/>
        <v>61770</v>
      </c>
      <c r="BK253" s="518">
        <f t="shared" si="118"/>
        <v>54080</v>
      </c>
      <c r="BL253" s="518">
        <f t="shared" si="119"/>
        <v>6000</v>
      </c>
      <c r="BM253" s="518">
        <f t="shared" si="120"/>
        <v>0</v>
      </c>
      <c r="BN253" s="518">
        <f t="shared" si="121"/>
        <v>0</v>
      </c>
      <c r="BO253" s="655">
        <f t="shared" si="136"/>
        <v>1690</v>
      </c>
      <c r="BP253" s="693">
        <f t="shared" si="122"/>
        <v>1</v>
      </c>
      <c r="BQ253" s="696"/>
      <c r="BR253" s="519"/>
      <c r="BT253" s="439">
        <f t="shared" si="123"/>
        <v>-1690</v>
      </c>
      <c r="BU253" s="439">
        <f t="shared" si="124"/>
        <v>-1690</v>
      </c>
      <c r="BV253" s="439">
        <f t="shared" si="125"/>
        <v>0</v>
      </c>
      <c r="BY253" s="862">
        <f t="shared" si="126"/>
        <v>417310.15600000002</v>
      </c>
      <c r="BZ253" s="862">
        <f t="shared" si="127"/>
        <v>178847.21</v>
      </c>
      <c r="CA253" s="862">
        <f t="shared" si="128"/>
        <v>50077.22</v>
      </c>
      <c r="CB253" s="862">
        <f t="shared" si="129"/>
        <v>5365.42</v>
      </c>
      <c r="CC253" s="863">
        <f t="shared" si="130"/>
        <v>467387.38</v>
      </c>
      <c r="CD253" s="863">
        <f t="shared" si="131"/>
        <v>184212.63</v>
      </c>
      <c r="CE253" s="864">
        <f t="shared" si="132"/>
        <v>651600.01</v>
      </c>
      <c r="CF253" s="862">
        <f t="shared" si="133"/>
        <v>1.0000000009313226E-2</v>
      </c>
    </row>
    <row r="254" spans="1:84" s="429" customFormat="1" ht="13.9" customHeight="1" x14ac:dyDescent="0.25">
      <c r="A254" s="472" t="s">
        <v>58</v>
      </c>
      <c r="B254" s="475">
        <v>1407</v>
      </c>
      <c r="C254" s="475" t="s">
        <v>534</v>
      </c>
      <c r="D254" s="475"/>
      <c r="E254" s="475" t="s">
        <v>363</v>
      </c>
      <c r="F254" s="476" t="s">
        <v>656</v>
      </c>
      <c r="G254" s="473">
        <v>45336</v>
      </c>
      <c r="H254" s="436" t="s">
        <v>128</v>
      </c>
      <c r="I254" s="472">
        <v>1074100</v>
      </c>
      <c r="J254" s="472">
        <v>107410</v>
      </c>
      <c r="K254" s="507">
        <v>0</v>
      </c>
      <c r="L254" s="507">
        <v>0</v>
      </c>
      <c r="M254" s="507">
        <v>0</v>
      </c>
      <c r="N254" s="507">
        <v>0</v>
      </c>
      <c r="O254" s="507">
        <v>0</v>
      </c>
      <c r="P254" s="507">
        <v>0</v>
      </c>
      <c r="Q254" s="507">
        <v>0</v>
      </c>
      <c r="R254" s="507">
        <v>0</v>
      </c>
      <c r="S254" s="507">
        <v>0</v>
      </c>
      <c r="T254" s="507">
        <v>0</v>
      </c>
      <c r="U254" s="507">
        <v>0</v>
      </c>
      <c r="V254" s="507">
        <v>6000</v>
      </c>
      <c r="W254" s="507">
        <v>5337</v>
      </c>
      <c r="X254" s="507">
        <v>32022</v>
      </c>
      <c r="Y254" s="507">
        <v>0</v>
      </c>
      <c r="Z254" s="507">
        <v>0</v>
      </c>
      <c r="AA254" s="507">
        <v>0</v>
      </c>
      <c r="AB254" s="507">
        <v>0</v>
      </c>
      <c r="AC254" s="507">
        <v>5337</v>
      </c>
      <c r="AD254" s="507">
        <v>0</v>
      </c>
      <c r="AE254" s="507">
        <f>5337+5337</f>
        <v>10674</v>
      </c>
      <c r="AF254" s="507">
        <v>0</v>
      </c>
      <c r="AG254" s="507">
        <v>5337</v>
      </c>
      <c r="AH254" s="507">
        <v>5337</v>
      </c>
      <c r="AI254" s="507">
        <f>5337+5337</f>
        <v>10674</v>
      </c>
      <c r="AJ254" s="507">
        <v>0</v>
      </c>
      <c r="AK254" s="508">
        <v>5337</v>
      </c>
      <c r="AL254" s="508"/>
      <c r="AM254" s="509">
        <f>5337+5337+5337</f>
        <v>16011</v>
      </c>
      <c r="AN254" s="509">
        <v>0</v>
      </c>
      <c r="AO254" s="509">
        <v>5344</v>
      </c>
      <c r="AP254" s="509">
        <v>0</v>
      </c>
      <c r="AQ254" s="509">
        <v>0</v>
      </c>
      <c r="AR254" s="509"/>
      <c r="AS254" s="509"/>
      <c r="AT254" s="510">
        <f t="shared" si="134"/>
        <v>107410</v>
      </c>
      <c r="AU254" s="512">
        <f t="shared" si="106"/>
        <v>1</v>
      </c>
      <c r="AV254" s="511">
        <f t="shared" si="107"/>
        <v>0</v>
      </c>
      <c r="AW254" s="558">
        <f t="shared" si="108"/>
        <v>0</v>
      </c>
      <c r="AX254" s="513">
        <f t="shared" si="109"/>
        <v>966690</v>
      </c>
      <c r="AY254" s="514">
        <f t="shared" si="110"/>
        <v>0.9</v>
      </c>
      <c r="AZ254" s="513">
        <f t="shared" si="111"/>
        <v>107410</v>
      </c>
      <c r="BA254" s="515" t="str">
        <f t="shared" si="112"/>
        <v>Vendido</v>
      </c>
      <c r="BB254" s="516" t="str">
        <f t="shared" si="113"/>
        <v>Enganche Completado</v>
      </c>
      <c r="BC254" s="551">
        <v>25</v>
      </c>
      <c r="BD254" s="693">
        <f t="shared" si="114"/>
        <v>1</v>
      </c>
      <c r="BE254" s="693">
        <f t="shared" si="115"/>
        <v>26</v>
      </c>
      <c r="BF254" s="517">
        <v>6000</v>
      </c>
      <c r="BG254" s="517">
        <v>4056</v>
      </c>
      <c r="BH254" s="693">
        <f t="shared" si="116"/>
        <v>6</v>
      </c>
      <c r="BI254" s="693">
        <f t="shared" si="117"/>
        <v>23</v>
      </c>
      <c r="BJ254" s="655">
        <f t="shared" si="137"/>
        <v>99288</v>
      </c>
      <c r="BK254" s="518">
        <f t="shared" si="118"/>
        <v>0</v>
      </c>
      <c r="BL254" s="518">
        <f t="shared" si="119"/>
        <v>107410</v>
      </c>
      <c r="BM254" s="518">
        <f t="shared" si="120"/>
        <v>0</v>
      </c>
      <c r="BN254" s="518">
        <f t="shared" si="121"/>
        <v>8122</v>
      </c>
      <c r="BO254" s="655">
        <f t="shared" si="136"/>
        <v>0</v>
      </c>
      <c r="BP254" s="693" t="str">
        <f t="shared" si="122"/>
        <v/>
      </c>
      <c r="BQ254" s="695" t="s">
        <v>58</v>
      </c>
      <c r="BR254" s="519"/>
      <c r="BT254" s="439">
        <f t="shared" si="123"/>
        <v>8122</v>
      </c>
      <c r="BU254" s="439">
        <f t="shared" si="124"/>
        <v>8122</v>
      </c>
      <c r="BV254" s="439">
        <f t="shared" si="125"/>
        <v>0</v>
      </c>
      <c r="BY254" s="862">
        <f t="shared" si="126"/>
        <v>687895.7</v>
      </c>
      <c r="BZ254" s="862">
        <f t="shared" si="127"/>
        <v>294812.44300000003</v>
      </c>
      <c r="CA254" s="862">
        <f t="shared" si="128"/>
        <v>82547.48</v>
      </c>
      <c r="CB254" s="862">
        <f t="shared" si="129"/>
        <v>8844.3700000000008</v>
      </c>
      <c r="CC254" s="863">
        <f t="shared" si="130"/>
        <v>770443.18</v>
      </c>
      <c r="CD254" s="863">
        <f t="shared" si="131"/>
        <v>303656.81</v>
      </c>
      <c r="CE254" s="864">
        <f t="shared" si="132"/>
        <v>1074099.99</v>
      </c>
      <c r="CF254" s="862">
        <f t="shared" si="133"/>
        <v>-1.0000000009313226E-2</v>
      </c>
    </row>
    <row r="255" spans="1:84" s="429" customFormat="1" ht="13.9" customHeight="1" x14ac:dyDescent="0.25">
      <c r="B255" s="436">
        <v>1408</v>
      </c>
      <c r="C255" s="436" t="s">
        <v>536</v>
      </c>
      <c r="D255" s="436"/>
      <c r="E255" s="436" t="s">
        <v>359</v>
      </c>
      <c r="F255" s="429" t="s">
        <v>657</v>
      </c>
      <c r="G255" s="473">
        <v>46027</v>
      </c>
      <c r="H255" s="436" t="s">
        <v>361</v>
      </c>
      <c r="I255" s="472">
        <v>1434900</v>
      </c>
      <c r="J255" s="472">
        <v>100400</v>
      </c>
      <c r="K255" s="507">
        <v>0</v>
      </c>
      <c r="L255" s="507">
        <v>0</v>
      </c>
      <c r="M255" s="507">
        <v>0</v>
      </c>
      <c r="N255" s="507">
        <v>0</v>
      </c>
      <c r="O255" s="507">
        <v>0</v>
      </c>
      <c r="P255" s="507">
        <v>0</v>
      </c>
      <c r="Q255" s="507">
        <v>0</v>
      </c>
      <c r="R255" s="507">
        <v>0</v>
      </c>
      <c r="S255" s="507">
        <v>0</v>
      </c>
      <c r="T255" s="507">
        <v>0</v>
      </c>
      <c r="U255" s="507">
        <v>0</v>
      </c>
      <c r="V255" s="507">
        <v>0</v>
      </c>
      <c r="W255" s="507">
        <v>0</v>
      </c>
      <c r="X255" s="507">
        <v>0</v>
      </c>
      <c r="Y255" s="507">
        <v>0</v>
      </c>
      <c r="Z255" s="507">
        <v>0</v>
      </c>
      <c r="AA255" s="507">
        <v>0</v>
      </c>
      <c r="AB255" s="507">
        <v>0</v>
      </c>
      <c r="AC255" s="507">
        <v>0</v>
      </c>
      <c r="AD255" s="507">
        <v>0</v>
      </c>
      <c r="AE255" s="507">
        <v>0</v>
      </c>
      <c r="AF255" s="507">
        <v>0</v>
      </c>
      <c r="AG255" s="507">
        <v>0</v>
      </c>
      <c r="AH255" s="507">
        <v>0</v>
      </c>
      <c r="AI255" s="507">
        <v>0</v>
      </c>
      <c r="AJ255" s="507">
        <v>0</v>
      </c>
      <c r="AK255" s="508"/>
      <c r="AL255" s="508"/>
      <c r="AM255" s="508"/>
      <c r="AN255" s="509">
        <v>0</v>
      </c>
      <c r="AO255" s="509">
        <v>0</v>
      </c>
      <c r="AP255" s="509">
        <v>0</v>
      </c>
      <c r="AQ255" s="509">
        <v>0</v>
      </c>
      <c r="AR255" s="508"/>
      <c r="AS255" s="508">
        <v>9489.2900000000009</v>
      </c>
      <c r="AT255" s="510">
        <f t="shared" si="134"/>
        <v>9489.2900000000009</v>
      </c>
      <c r="AU255" s="512">
        <f t="shared" si="106"/>
        <v>9.4514840637450206E-2</v>
      </c>
      <c r="AV255" s="511">
        <f t="shared" si="107"/>
        <v>-90910.709999999992</v>
      </c>
      <c r="AW255" s="558">
        <f t="shared" si="108"/>
        <v>-0.9054851593625497</v>
      </c>
      <c r="AX255" s="513">
        <f t="shared" si="109"/>
        <v>1425410.71</v>
      </c>
      <c r="AY255" s="514">
        <f t="shared" si="110"/>
        <v>0.99338679350477388</v>
      </c>
      <c r="AZ255" s="513">
        <f t="shared" si="111"/>
        <v>100400</v>
      </c>
      <c r="BA255" s="515" t="str">
        <f t="shared" si="112"/>
        <v>Vendido</v>
      </c>
      <c r="BB255" s="516" t="str">
        <f t="shared" si="113"/>
        <v>Cliente al día</v>
      </c>
      <c r="BC255" s="551"/>
      <c r="BD255" s="693">
        <f t="shared" si="114"/>
        <v>0</v>
      </c>
      <c r="BE255" s="693">
        <f t="shared" si="115"/>
        <v>0</v>
      </c>
      <c r="BF255" s="517"/>
      <c r="BG255" s="517"/>
      <c r="BH255" s="693">
        <f t="shared" si="116"/>
        <v>0</v>
      </c>
      <c r="BI255" s="693">
        <f t="shared" si="117"/>
        <v>0</v>
      </c>
      <c r="BJ255" s="655">
        <f t="shared" si="137"/>
        <v>0</v>
      </c>
      <c r="BK255" s="518">
        <f t="shared" si="118"/>
        <v>0</v>
      </c>
      <c r="BL255" s="518">
        <f t="shared" si="119"/>
        <v>0</v>
      </c>
      <c r="BM255" s="518">
        <f t="shared" si="120"/>
        <v>9489.2900000000009</v>
      </c>
      <c r="BN255" s="518">
        <f t="shared" si="121"/>
        <v>9489.2900000000009</v>
      </c>
      <c r="BO255" s="655">
        <f t="shared" si="136"/>
        <v>0</v>
      </c>
      <c r="BP255" s="693" t="str">
        <f t="shared" si="122"/>
        <v/>
      </c>
      <c r="BQ255" s="696"/>
      <c r="BR255" s="519"/>
      <c r="BT255" s="439">
        <f t="shared" si="123"/>
        <v>9489.2900000000009</v>
      </c>
      <c r="BU255" s="439">
        <f t="shared" si="124"/>
        <v>9489.2900000000009</v>
      </c>
      <c r="BV255" s="439">
        <f t="shared" si="125"/>
        <v>0</v>
      </c>
      <c r="BY255" s="862">
        <f t="shared" si="126"/>
        <v>918966.14800000004</v>
      </c>
      <c r="BZ255" s="862">
        <f t="shared" si="127"/>
        <v>393842.63500000001</v>
      </c>
      <c r="CA255" s="862">
        <f t="shared" si="128"/>
        <v>110275.94</v>
      </c>
      <c r="CB255" s="862">
        <f t="shared" si="129"/>
        <v>11815.28</v>
      </c>
      <c r="CC255" s="863">
        <f t="shared" si="130"/>
        <v>1029242.09</v>
      </c>
      <c r="CD255" s="863">
        <f t="shared" si="131"/>
        <v>405657.92</v>
      </c>
      <c r="CE255" s="864">
        <f t="shared" si="132"/>
        <v>1434900.01</v>
      </c>
      <c r="CF255" s="862">
        <f t="shared" si="133"/>
        <v>1.0000000009313226E-2</v>
      </c>
    </row>
    <row r="256" spans="1:84" s="429" customFormat="1" ht="13.9" customHeight="1" x14ac:dyDescent="0.25">
      <c r="A256" s="472" t="s">
        <v>58</v>
      </c>
      <c r="B256" s="475">
        <v>1409</v>
      </c>
      <c r="C256" s="475" t="s">
        <v>400</v>
      </c>
      <c r="D256" s="475"/>
      <c r="E256" s="475" t="s">
        <v>363</v>
      </c>
      <c r="F256" s="476" t="s">
        <v>364</v>
      </c>
      <c r="G256" s="473">
        <v>45300</v>
      </c>
      <c r="H256" s="436" t="s">
        <v>128</v>
      </c>
      <c r="I256" s="472">
        <v>858400</v>
      </c>
      <c r="J256" s="472">
        <f>+I256*0.1</f>
        <v>85840</v>
      </c>
      <c r="K256" s="507">
        <v>0</v>
      </c>
      <c r="L256" s="507">
        <v>0</v>
      </c>
      <c r="M256" s="507">
        <v>0</v>
      </c>
      <c r="N256" s="507">
        <v>0</v>
      </c>
      <c r="O256" s="507">
        <v>0</v>
      </c>
      <c r="P256" s="507">
        <v>0</v>
      </c>
      <c r="Q256" s="507">
        <v>0</v>
      </c>
      <c r="R256" s="507">
        <v>0</v>
      </c>
      <c r="S256" s="507">
        <v>0</v>
      </c>
      <c r="T256" s="507">
        <v>0</v>
      </c>
      <c r="U256" s="507">
        <v>0</v>
      </c>
      <c r="V256" s="507">
        <v>0</v>
      </c>
      <c r="W256" s="507">
        <v>0</v>
      </c>
      <c r="X256" s="507">
        <v>0</v>
      </c>
      <c r="Y256" s="507">
        <v>0</v>
      </c>
      <c r="Z256" s="507">
        <v>0</v>
      </c>
      <c r="AA256" s="507">
        <v>0</v>
      </c>
      <c r="AB256" s="507">
        <v>0</v>
      </c>
      <c r="AC256" s="507">
        <v>0</v>
      </c>
      <c r="AD256" s="507">
        <v>0</v>
      </c>
      <c r="AE256" s="507">
        <v>0</v>
      </c>
      <c r="AF256" s="507">
        <v>0</v>
      </c>
      <c r="AG256" s="507">
        <v>0</v>
      </c>
      <c r="AH256" s="507">
        <v>0</v>
      </c>
      <c r="AI256" s="507">
        <v>0</v>
      </c>
      <c r="AJ256" s="507">
        <v>0</v>
      </c>
      <c r="AK256" s="508"/>
      <c r="AL256" s="508"/>
      <c r="AM256" s="508"/>
      <c r="AN256" s="509">
        <v>0</v>
      </c>
      <c r="AO256" s="509">
        <v>0</v>
      </c>
      <c r="AP256" s="509">
        <v>0</v>
      </c>
      <c r="AQ256" s="509">
        <v>0</v>
      </c>
      <c r="AR256" s="508"/>
      <c r="AS256" s="508"/>
      <c r="AT256" s="510">
        <f t="shared" si="134"/>
        <v>0</v>
      </c>
      <c r="AU256" s="512">
        <f t="shared" si="106"/>
        <v>0</v>
      </c>
      <c r="AV256" s="511">
        <f t="shared" si="107"/>
        <v>-85840</v>
      </c>
      <c r="AW256" s="558">
        <f t="shared" si="108"/>
        <v>-1</v>
      </c>
      <c r="AX256" s="513">
        <f t="shared" si="109"/>
        <v>858400</v>
      </c>
      <c r="AY256" s="514">
        <f t="shared" si="110"/>
        <v>1</v>
      </c>
      <c r="AZ256" s="513">
        <f t="shared" si="111"/>
        <v>85840</v>
      </c>
      <c r="BA256" s="515" t="str">
        <f t="shared" si="112"/>
        <v>Vendido</v>
      </c>
      <c r="BB256" s="516" t="str">
        <f t="shared" si="113"/>
        <v>Cliente Atrasado</v>
      </c>
      <c r="BC256" s="551">
        <v>25</v>
      </c>
      <c r="BD256" s="693">
        <f t="shared" si="114"/>
        <v>1</v>
      </c>
      <c r="BE256" s="693">
        <f t="shared" si="115"/>
        <v>26</v>
      </c>
      <c r="BF256" s="517">
        <v>6000</v>
      </c>
      <c r="BG256" s="517">
        <v>3194</v>
      </c>
      <c r="BH256" s="693">
        <f t="shared" si="116"/>
        <v>0</v>
      </c>
      <c r="BI256" s="693">
        <f t="shared" si="117"/>
        <v>24</v>
      </c>
      <c r="BJ256" s="655">
        <f t="shared" si="137"/>
        <v>82656</v>
      </c>
      <c r="BK256" s="518">
        <f t="shared" si="118"/>
        <v>0</v>
      </c>
      <c r="BL256" s="518">
        <f t="shared" si="119"/>
        <v>0</v>
      </c>
      <c r="BM256" s="518">
        <f t="shared" si="120"/>
        <v>0</v>
      </c>
      <c r="BN256" s="518">
        <f t="shared" si="121"/>
        <v>0</v>
      </c>
      <c r="BO256" s="655">
        <f t="shared" si="136"/>
        <v>82656</v>
      </c>
      <c r="BP256" s="693" t="str">
        <f t="shared" si="122"/>
        <v/>
      </c>
      <c r="BQ256" s="695" t="s">
        <v>58</v>
      </c>
      <c r="BR256" s="519"/>
      <c r="BT256" s="439">
        <f t="shared" si="123"/>
        <v>-82656</v>
      </c>
      <c r="BU256" s="439">
        <f t="shared" si="124"/>
        <v>-82656</v>
      </c>
      <c r="BV256" s="439">
        <f t="shared" si="125"/>
        <v>0</v>
      </c>
      <c r="BY256" s="862">
        <f t="shared" si="126"/>
        <v>549752.973</v>
      </c>
      <c r="BZ256" s="862">
        <f t="shared" si="127"/>
        <v>235608.41699999999</v>
      </c>
      <c r="CA256" s="862">
        <f t="shared" si="128"/>
        <v>65970.36</v>
      </c>
      <c r="CB256" s="862">
        <f t="shared" si="129"/>
        <v>7068.25</v>
      </c>
      <c r="CC256" s="863">
        <f t="shared" si="130"/>
        <v>615723.32999999996</v>
      </c>
      <c r="CD256" s="863">
        <f t="shared" si="131"/>
        <v>242676.67</v>
      </c>
      <c r="CE256" s="864">
        <f t="shared" si="132"/>
        <v>858400</v>
      </c>
      <c r="CF256" s="862">
        <f t="shared" si="133"/>
        <v>0</v>
      </c>
    </row>
    <row r="257" spans="1:84" s="429" customFormat="1" ht="13.9" customHeight="1" x14ac:dyDescent="0.25">
      <c r="A257" s="472"/>
      <c r="B257" s="436">
        <v>1410</v>
      </c>
      <c r="C257" s="436" t="s">
        <v>175</v>
      </c>
      <c r="D257" s="642" t="s">
        <v>336</v>
      </c>
      <c r="E257" s="436" t="s">
        <v>366</v>
      </c>
      <c r="F257" s="429" t="s">
        <v>658</v>
      </c>
      <c r="G257" s="473">
        <v>45327</v>
      </c>
      <c r="H257" s="436" t="s">
        <v>128</v>
      </c>
      <c r="I257" s="472">
        <v>887400</v>
      </c>
      <c r="J257" s="472">
        <v>88800</v>
      </c>
      <c r="K257" s="507">
        <v>0</v>
      </c>
      <c r="L257" s="507">
        <v>0</v>
      </c>
      <c r="M257" s="507">
        <v>0</v>
      </c>
      <c r="N257" s="507">
        <v>0</v>
      </c>
      <c r="O257" s="507">
        <v>0</v>
      </c>
      <c r="P257" s="507">
        <v>0</v>
      </c>
      <c r="Q257" s="507">
        <v>0</v>
      </c>
      <c r="R257" s="507">
        <v>0</v>
      </c>
      <c r="S257" s="507">
        <v>0</v>
      </c>
      <c r="T257" s="507">
        <v>0</v>
      </c>
      <c r="U257" s="507">
        <v>0</v>
      </c>
      <c r="V257" s="507">
        <v>8000</v>
      </c>
      <c r="W257" s="507">
        <v>0</v>
      </c>
      <c r="X257" s="507">
        <v>0</v>
      </c>
      <c r="Y257" s="507">
        <v>5000</v>
      </c>
      <c r="Z257" s="507">
        <v>0</v>
      </c>
      <c r="AA257" s="507">
        <v>5000</v>
      </c>
      <c r="AB257" s="507">
        <v>5000</v>
      </c>
      <c r="AC257" s="507">
        <v>5000</v>
      </c>
      <c r="AD257" s="507">
        <v>0</v>
      </c>
      <c r="AE257" s="507">
        <v>5000</v>
      </c>
      <c r="AF257" s="507">
        <v>5000</v>
      </c>
      <c r="AG257" s="507">
        <v>5000</v>
      </c>
      <c r="AH257" s="507">
        <v>0</v>
      </c>
      <c r="AI257" s="507">
        <v>5000</v>
      </c>
      <c r="AJ257" s="507">
        <v>5000</v>
      </c>
      <c r="AK257" s="508">
        <v>10000</v>
      </c>
      <c r="AL257" s="508">
        <v>5000</v>
      </c>
      <c r="AM257" s="509">
        <v>5000</v>
      </c>
      <c r="AN257" s="509">
        <v>0</v>
      </c>
      <c r="AO257" s="509">
        <v>0</v>
      </c>
      <c r="AP257" s="509">
        <v>10000</v>
      </c>
      <c r="AQ257" s="509">
        <v>5800</v>
      </c>
      <c r="AR257" s="509"/>
      <c r="AS257" s="509"/>
      <c r="AT257" s="510">
        <f t="shared" si="134"/>
        <v>88800</v>
      </c>
      <c r="AU257" s="512">
        <f t="shared" si="106"/>
        <v>1</v>
      </c>
      <c r="AV257" s="511">
        <f t="shared" si="107"/>
        <v>0</v>
      </c>
      <c r="AW257" s="558">
        <f t="shared" si="108"/>
        <v>0</v>
      </c>
      <c r="AX257" s="513">
        <f t="shared" si="109"/>
        <v>798600</v>
      </c>
      <c r="AY257" s="514">
        <f t="shared" si="110"/>
        <v>0.89993238674780252</v>
      </c>
      <c r="AZ257" s="513">
        <f t="shared" si="111"/>
        <v>88800</v>
      </c>
      <c r="BA257" s="515" t="str">
        <f t="shared" si="112"/>
        <v>Vendido</v>
      </c>
      <c r="BB257" s="516" t="str">
        <f t="shared" si="113"/>
        <v>Cliente Atrasado</v>
      </c>
      <c r="BC257" s="554">
        <v>19</v>
      </c>
      <c r="BD257" s="693">
        <f t="shared" si="114"/>
        <v>1</v>
      </c>
      <c r="BE257" s="693">
        <f t="shared" si="115"/>
        <v>20</v>
      </c>
      <c r="BF257" s="644">
        <v>8000</v>
      </c>
      <c r="BG257" s="644">
        <v>4253</v>
      </c>
      <c r="BH257" s="693">
        <f t="shared" si="116"/>
        <v>12</v>
      </c>
      <c r="BI257" s="693">
        <f t="shared" si="117"/>
        <v>23</v>
      </c>
      <c r="BJ257" s="655">
        <f t="shared" si="137"/>
        <v>105819</v>
      </c>
      <c r="BK257" s="518">
        <f t="shared" si="118"/>
        <v>0</v>
      </c>
      <c r="BL257" s="518">
        <f t="shared" si="119"/>
        <v>88800</v>
      </c>
      <c r="BM257" s="518">
        <f t="shared" si="120"/>
        <v>0</v>
      </c>
      <c r="BN257" s="518">
        <f t="shared" si="121"/>
        <v>0</v>
      </c>
      <c r="BO257" s="655">
        <f t="shared" ref="BO257:BO288" si="138">IF(AT257&lt;BJ257,BJ257-AT257,0)</f>
        <v>17019</v>
      </c>
      <c r="BP257" s="693">
        <f t="shared" si="122"/>
        <v>5</v>
      </c>
      <c r="BQ257" s="696" t="s">
        <v>388</v>
      </c>
      <c r="BR257" s="519" t="s">
        <v>659</v>
      </c>
      <c r="BT257" s="439">
        <f t="shared" si="123"/>
        <v>-17019</v>
      </c>
      <c r="BU257" s="439">
        <f t="shared" si="124"/>
        <v>-17019</v>
      </c>
      <c r="BV257" s="439">
        <f t="shared" si="125"/>
        <v>0</v>
      </c>
      <c r="BY257" s="862">
        <f t="shared" si="126"/>
        <v>568325.70900000003</v>
      </c>
      <c r="BZ257" s="862">
        <f t="shared" si="127"/>
        <v>243568.16099999999</v>
      </c>
      <c r="CA257" s="862">
        <f t="shared" si="128"/>
        <v>68199.09</v>
      </c>
      <c r="CB257" s="862">
        <f t="shared" si="129"/>
        <v>7307.04</v>
      </c>
      <c r="CC257" s="863">
        <f t="shared" si="130"/>
        <v>636524.80000000005</v>
      </c>
      <c r="CD257" s="863">
        <f t="shared" si="131"/>
        <v>250875.2</v>
      </c>
      <c r="CE257" s="864">
        <f t="shared" si="132"/>
        <v>887400</v>
      </c>
      <c r="CF257" s="862">
        <f t="shared" si="133"/>
        <v>0</v>
      </c>
    </row>
    <row r="258" spans="1:84" s="429" customFormat="1" ht="13.9" customHeight="1" x14ac:dyDescent="0.25">
      <c r="A258" s="472"/>
      <c r="B258" s="436">
        <v>1411</v>
      </c>
      <c r="C258" s="436" t="s">
        <v>563</v>
      </c>
      <c r="D258" s="436"/>
      <c r="E258" s="436" t="s">
        <v>366</v>
      </c>
      <c r="F258" s="429" t="s">
        <v>660</v>
      </c>
      <c r="G258" s="473">
        <v>45096</v>
      </c>
      <c r="H258" s="436" t="s">
        <v>128</v>
      </c>
      <c r="I258" s="472">
        <v>1382700</v>
      </c>
      <c r="J258" s="472">
        <v>138300</v>
      </c>
      <c r="K258" s="507">
        <v>0</v>
      </c>
      <c r="L258" s="507">
        <v>0</v>
      </c>
      <c r="M258" s="507">
        <v>0</v>
      </c>
      <c r="N258" s="507">
        <v>6000</v>
      </c>
      <c r="O258" s="507">
        <v>4900</v>
      </c>
      <c r="P258" s="507">
        <v>4900</v>
      </c>
      <c r="Q258" s="507">
        <v>4900</v>
      </c>
      <c r="R258" s="507">
        <v>0</v>
      </c>
      <c r="S258" s="507">
        <v>9800</v>
      </c>
      <c r="T258" s="507">
        <v>0</v>
      </c>
      <c r="U258" s="507">
        <v>9800</v>
      </c>
      <c r="V258" s="507">
        <v>0</v>
      </c>
      <c r="W258" s="507">
        <v>4900</v>
      </c>
      <c r="X258" s="507">
        <v>4900</v>
      </c>
      <c r="Y258" s="507">
        <v>9800</v>
      </c>
      <c r="Z258" s="507">
        <v>0</v>
      </c>
      <c r="AA258" s="507">
        <v>4900</v>
      </c>
      <c r="AB258" s="507">
        <v>9800</v>
      </c>
      <c r="AC258" s="507">
        <v>0</v>
      </c>
      <c r="AD258" s="507">
        <v>4900</v>
      </c>
      <c r="AE258" s="507">
        <v>4900</v>
      </c>
      <c r="AF258" s="507">
        <v>4900</v>
      </c>
      <c r="AG258" s="507">
        <v>4900</v>
      </c>
      <c r="AH258" s="507">
        <v>4900</v>
      </c>
      <c r="AI258" s="507">
        <v>4900</v>
      </c>
      <c r="AJ258" s="507">
        <v>4900</v>
      </c>
      <c r="AK258" s="508">
        <f>4900+4900</f>
        <v>9800</v>
      </c>
      <c r="AL258" s="508">
        <v>4900</v>
      </c>
      <c r="AM258" s="509">
        <v>4900</v>
      </c>
      <c r="AN258" s="509">
        <v>4900</v>
      </c>
      <c r="AO258" s="509">
        <v>4900</v>
      </c>
      <c r="AP258" s="509">
        <v>0</v>
      </c>
      <c r="AQ258" s="509">
        <v>0</v>
      </c>
      <c r="AR258" s="509"/>
      <c r="AS258" s="509"/>
      <c r="AT258" s="510">
        <f t="shared" si="134"/>
        <v>138300</v>
      </c>
      <c r="AU258" s="512">
        <f t="shared" si="106"/>
        <v>1</v>
      </c>
      <c r="AV258" s="511">
        <f t="shared" si="107"/>
        <v>0</v>
      </c>
      <c r="AW258" s="558">
        <f t="shared" si="108"/>
        <v>0</v>
      </c>
      <c r="AX258" s="513">
        <f t="shared" si="109"/>
        <v>1244400</v>
      </c>
      <c r="AY258" s="514">
        <f t="shared" si="110"/>
        <v>0.89997830331959205</v>
      </c>
      <c r="AZ258" s="513">
        <f t="shared" si="111"/>
        <v>138300</v>
      </c>
      <c r="BA258" s="515" t="str">
        <f t="shared" si="112"/>
        <v>Vendido</v>
      </c>
      <c r="BB258" s="516" t="str">
        <f t="shared" si="113"/>
        <v>Cliente Atrasado</v>
      </c>
      <c r="BC258" s="551">
        <v>27</v>
      </c>
      <c r="BD258" s="693">
        <f t="shared" si="114"/>
        <v>1</v>
      </c>
      <c r="BE258" s="693">
        <f t="shared" si="115"/>
        <v>28</v>
      </c>
      <c r="BF258" s="517">
        <v>6000</v>
      </c>
      <c r="BG258" s="517">
        <v>4900</v>
      </c>
      <c r="BH258" s="693">
        <f t="shared" si="116"/>
        <v>17</v>
      </c>
      <c r="BI258" s="693">
        <f t="shared" si="117"/>
        <v>31</v>
      </c>
      <c r="BJ258" s="655">
        <f t="shared" si="137"/>
        <v>157900</v>
      </c>
      <c r="BK258" s="518">
        <f t="shared" si="118"/>
        <v>83300</v>
      </c>
      <c r="BL258" s="518">
        <f t="shared" si="119"/>
        <v>55000</v>
      </c>
      <c r="BM258" s="518">
        <f t="shared" si="120"/>
        <v>0</v>
      </c>
      <c r="BN258" s="518">
        <f t="shared" si="121"/>
        <v>0</v>
      </c>
      <c r="BO258" s="655">
        <f t="shared" si="138"/>
        <v>19600</v>
      </c>
      <c r="BP258" s="693">
        <f t="shared" si="122"/>
        <v>4</v>
      </c>
      <c r="BQ258" s="696"/>
      <c r="BR258" s="519"/>
      <c r="BT258" s="439">
        <f t="shared" si="123"/>
        <v>-19600</v>
      </c>
      <c r="BU258" s="439">
        <f t="shared" si="124"/>
        <v>-19600</v>
      </c>
      <c r="BV258" s="439">
        <f t="shared" si="125"/>
        <v>0</v>
      </c>
      <c r="BY258" s="862">
        <f t="shared" si="126"/>
        <v>885535.22400000005</v>
      </c>
      <c r="BZ258" s="862">
        <f t="shared" si="127"/>
        <v>379515.09600000002</v>
      </c>
      <c r="CA258" s="862">
        <f t="shared" si="128"/>
        <v>106264.23</v>
      </c>
      <c r="CB258" s="862">
        <f t="shared" si="129"/>
        <v>11385.45</v>
      </c>
      <c r="CC258" s="863">
        <f t="shared" si="130"/>
        <v>991799.45</v>
      </c>
      <c r="CD258" s="863">
        <f t="shared" si="131"/>
        <v>390900.55</v>
      </c>
      <c r="CE258" s="864">
        <f t="shared" si="132"/>
        <v>1382700</v>
      </c>
      <c r="CF258" s="862">
        <f t="shared" si="133"/>
        <v>0</v>
      </c>
    </row>
    <row r="259" spans="1:84" s="429" customFormat="1" ht="13.9" customHeight="1" x14ac:dyDescent="0.25">
      <c r="A259" s="472"/>
      <c r="B259" s="436">
        <v>1412</v>
      </c>
      <c r="C259" s="436" t="s">
        <v>178</v>
      </c>
      <c r="D259" s="436"/>
      <c r="E259" s="436" t="s">
        <v>383</v>
      </c>
      <c r="F259" s="429" t="s">
        <v>661</v>
      </c>
      <c r="G259" s="473">
        <v>45044</v>
      </c>
      <c r="H259" s="436" t="s">
        <v>128</v>
      </c>
      <c r="I259" s="472">
        <v>661100</v>
      </c>
      <c r="J259" s="472">
        <v>66200</v>
      </c>
      <c r="K259" s="507">
        <v>0</v>
      </c>
      <c r="L259" s="507">
        <v>6000</v>
      </c>
      <c r="M259" s="507">
        <v>1750</v>
      </c>
      <c r="N259" s="507">
        <v>1750</v>
      </c>
      <c r="O259" s="507">
        <v>1750</v>
      </c>
      <c r="P259" s="507">
        <v>1750</v>
      </c>
      <c r="Q259" s="507">
        <v>1750</v>
      </c>
      <c r="R259" s="507">
        <v>1750</v>
      </c>
      <c r="S259" s="507">
        <v>1750</v>
      </c>
      <c r="T259" s="507">
        <v>1750</v>
      </c>
      <c r="U259" s="507">
        <v>1750</v>
      </c>
      <c r="V259" s="507">
        <v>1750</v>
      </c>
      <c r="W259" s="507">
        <v>1750</v>
      </c>
      <c r="X259" s="507">
        <v>1750</v>
      </c>
      <c r="Y259" s="507">
        <v>1750</v>
      </c>
      <c r="Z259" s="507">
        <v>1750</v>
      </c>
      <c r="AA259" s="507">
        <v>1750</v>
      </c>
      <c r="AB259" s="507">
        <v>1750</v>
      </c>
      <c r="AC259" s="507">
        <v>1750</v>
      </c>
      <c r="AD259" s="507">
        <v>1750</v>
      </c>
      <c r="AE259" s="507">
        <v>1750</v>
      </c>
      <c r="AF259" s="507">
        <v>1750</v>
      </c>
      <c r="AG259" s="507">
        <v>0</v>
      </c>
      <c r="AH259" s="507">
        <v>3500</v>
      </c>
      <c r="AI259" s="507">
        <v>1750</v>
      </c>
      <c r="AJ259" s="507">
        <v>1750</v>
      </c>
      <c r="AK259" s="508">
        <v>1750</v>
      </c>
      <c r="AL259" s="508">
        <v>1750</v>
      </c>
      <c r="AM259" s="509">
        <v>1750</v>
      </c>
      <c r="AN259" s="509">
        <v>1750</v>
      </c>
      <c r="AO259" s="509">
        <v>1750</v>
      </c>
      <c r="AP259" s="509">
        <v>0</v>
      </c>
      <c r="AQ259" s="509">
        <v>1750</v>
      </c>
      <c r="AR259" s="509"/>
      <c r="AS259" s="509"/>
      <c r="AT259" s="510">
        <f t="shared" si="134"/>
        <v>58500</v>
      </c>
      <c r="AU259" s="512">
        <f t="shared" si="106"/>
        <v>0.88368580060422963</v>
      </c>
      <c r="AV259" s="511">
        <f t="shared" si="107"/>
        <v>-7700</v>
      </c>
      <c r="AW259" s="558">
        <f t="shared" si="108"/>
        <v>-0.1163141993957704</v>
      </c>
      <c r="AX259" s="513">
        <f t="shared" si="109"/>
        <v>602600</v>
      </c>
      <c r="AY259" s="514">
        <f t="shared" si="110"/>
        <v>0.91151111783391314</v>
      </c>
      <c r="AZ259" s="513">
        <f t="shared" si="111"/>
        <v>66200</v>
      </c>
      <c r="BA259" s="515" t="str">
        <f t="shared" si="112"/>
        <v>Vendido</v>
      </c>
      <c r="BB259" s="516" t="str">
        <f t="shared" si="113"/>
        <v>Cliente Atrasado</v>
      </c>
      <c r="BC259" s="551">
        <v>34</v>
      </c>
      <c r="BD259" s="693">
        <f t="shared" si="114"/>
        <v>1</v>
      </c>
      <c r="BE259" s="693">
        <f t="shared" si="115"/>
        <v>35</v>
      </c>
      <c r="BF259" s="517">
        <v>6000</v>
      </c>
      <c r="BG259" s="517">
        <v>1750</v>
      </c>
      <c r="BH259" s="693">
        <f t="shared" si="116"/>
        <v>29</v>
      </c>
      <c r="BI259" s="693">
        <f t="shared" si="117"/>
        <v>32</v>
      </c>
      <c r="BJ259" s="655">
        <f t="shared" si="137"/>
        <v>62000</v>
      </c>
      <c r="BK259" s="518">
        <f t="shared" si="118"/>
        <v>49000</v>
      </c>
      <c r="BL259" s="518">
        <f t="shared" si="119"/>
        <v>9500</v>
      </c>
      <c r="BM259" s="518">
        <f t="shared" si="120"/>
        <v>0</v>
      </c>
      <c r="BN259" s="518">
        <f t="shared" si="121"/>
        <v>0</v>
      </c>
      <c r="BO259" s="655">
        <f t="shared" si="138"/>
        <v>3500</v>
      </c>
      <c r="BP259" s="693">
        <f t="shared" si="122"/>
        <v>2</v>
      </c>
      <c r="BQ259" s="696"/>
      <c r="BR259" s="519"/>
      <c r="BT259" s="439">
        <f t="shared" si="123"/>
        <v>-3500</v>
      </c>
      <c r="BU259" s="439">
        <f t="shared" si="124"/>
        <v>-3500</v>
      </c>
      <c r="BV259" s="439">
        <f t="shared" si="125"/>
        <v>0</v>
      </c>
      <c r="BY259" s="862">
        <f t="shared" si="126"/>
        <v>423394.32799999998</v>
      </c>
      <c r="BZ259" s="862">
        <f t="shared" si="127"/>
        <v>181454.712</v>
      </c>
      <c r="CA259" s="862">
        <f t="shared" si="128"/>
        <v>50807.32</v>
      </c>
      <c r="CB259" s="862">
        <f t="shared" si="129"/>
        <v>5443.64</v>
      </c>
      <c r="CC259" s="863">
        <f t="shared" si="130"/>
        <v>474201.65</v>
      </c>
      <c r="CD259" s="863">
        <f t="shared" si="131"/>
        <v>186898.35</v>
      </c>
      <c r="CE259" s="864">
        <f t="shared" si="132"/>
        <v>661100</v>
      </c>
      <c r="CF259" s="862">
        <f t="shared" si="133"/>
        <v>0</v>
      </c>
    </row>
    <row r="260" spans="1:84" s="470" customFormat="1" ht="13.9" customHeight="1" x14ac:dyDescent="0.25">
      <c r="A260" s="486"/>
      <c r="B260" s="893">
        <v>1501</v>
      </c>
      <c r="C260" s="893" t="s">
        <v>662</v>
      </c>
      <c r="D260" s="893"/>
      <c r="E260" s="893" t="s">
        <v>359</v>
      </c>
      <c r="F260" s="894" t="s">
        <v>663</v>
      </c>
      <c r="G260" s="895">
        <v>45987</v>
      </c>
      <c r="H260" s="893" t="s">
        <v>137</v>
      </c>
      <c r="I260" s="896">
        <v>1580900</v>
      </c>
      <c r="J260" s="896">
        <v>158090</v>
      </c>
      <c r="K260" s="526">
        <v>0</v>
      </c>
      <c r="L260" s="526">
        <v>0</v>
      </c>
      <c r="M260" s="526">
        <v>0</v>
      </c>
      <c r="N260" s="526">
        <v>0</v>
      </c>
      <c r="O260" s="526">
        <v>0</v>
      </c>
      <c r="P260" s="526">
        <v>0</v>
      </c>
      <c r="Q260" s="526">
        <v>0</v>
      </c>
      <c r="R260" s="526">
        <v>0</v>
      </c>
      <c r="S260" s="526">
        <v>0</v>
      </c>
      <c r="T260" s="526">
        <v>0</v>
      </c>
      <c r="U260" s="526">
        <v>0</v>
      </c>
      <c r="V260" s="526">
        <v>0</v>
      </c>
      <c r="W260" s="526">
        <v>0</v>
      </c>
      <c r="X260" s="526">
        <v>0</v>
      </c>
      <c r="Y260" s="526">
        <v>0</v>
      </c>
      <c r="Z260" s="526">
        <v>0</v>
      </c>
      <c r="AA260" s="526">
        <v>0</v>
      </c>
      <c r="AB260" s="526">
        <v>0</v>
      </c>
      <c r="AC260" s="526">
        <v>0</v>
      </c>
      <c r="AD260" s="526">
        <v>0</v>
      </c>
      <c r="AE260" s="526">
        <v>0</v>
      </c>
      <c r="AF260" s="526">
        <v>0</v>
      </c>
      <c r="AG260" s="526">
        <v>0</v>
      </c>
      <c r="AH260" s="526">
        <v>0</v>
      </c>
      <c r="AI260" s="526">
        <v>0</v>
      </c>
      <c r="AJ260" s="526"/>
      <c r="AK260" s="526"/>
      <c r="AL260" s="526"/>
      <c r="AM260" s="526"/>
      <c r="AN260" s="509">
        <v>0</v>
      </c>
      <c r="AO260" s="509">
        <v>0</v>
      </c>
      <c r="AP260" s="509">
        <v>0</v>
      </c>
      <c r="AQ260" s="509">
        <v>10000</v>
      </c>
      <c r="AR260" s="526">
        <v>21200</v>
      </c>
      <c r="AS260" s="526"/>
      <c r="AT260" s="510">
        <f t="shared" si="134"/>
        <v>31200</v>
      </c>
      <c r="AU260" s="537">
        <f t="shared" si="106"/>
        <v>0.19735593649187172</v>
      </c>
      <c r="AV260" s="536">
        <f t="shared" si="107"/>
        <v>-126890</v>
      </c>
      <c r="AW260" s="561">
        <f t="shared" si="108"/>
        <v>-0.80264406350812834</v>
      </c>
      <c r="AX260" s="538">
        <f t="shared" si="109"/>
        <v>1549700</v>
      </c>
      <c r="AY260" s="539">
        <f t="shared" si="110"/>
        <v>0.9802644063508128</v>
      </c>
      <c r="AZ260" s="513">
        <f t="shared" si="111"/>
        <v>158090</v>
      </c>
      <c r="BA260" s="515" t="str">
        <f t="shared" si="112"/>
        <v>Vendido</v>
      </c>
      <c r="BB260" s="516" t="str">
        <f t="shared" si="113"/>
        <v>Cliente al día</v>
      </c>
      <c r="BC260" s="551"/>
      <c r="BD260" s="693">
        <f t="shared" si="114"/>
        <v>0</v>
      </c>
      <c r="BE260" s="693">
        <f t="shared" si="115"/>
        <v>0</v>
      </c>
      <c r="BF260" s="517"/>
      <c r="BG260" s="517"/>
      <c r="BH260" s="693">
        <f t="shared" si="116"/>
        <v>0</v>
      </c>
      <c r="BI260" s="693">
        <f t="shared" si="117"/>
        <v>2</v>
      </c>
      <c r="BJ260" s="655">
        <f t="shared" si="137"/>
        <v>0</v>
      </c>
      <c r="BK260" s="518">
        <f t="shared" si="118"/>
        <v>0</v>
      </c>
      <c r="BL260" s="518">
        <f t="shared" si="119"/>
        <v>0</v>
      </c>
      <c r="BM260" s="518">
        <f t="shared" si="120"/>
        <v>31200</v>
      </c>
      <c r="BN260" s="518">
        <f t="shared" si="121"/>
        <v>31200</v>
      </c>
      <c r="BO260" s="657">
        <f t="shared" si="138"/>
        <v>0</v>
      </c>
      <c r="BP260" s="693" t="str">
        <f t="shared" si="122"/>
        <v/>
      </c>
      <c r="BQ260" s="698"/>
      <c r="BR260" s="540"/>
      <c r="BT260" s="471">
        <f t="shared" si="123"/>
        <v>31200</v>
      </c>
      <c r="BU260" s="471">
        <f t="shared" si="124"/>
        <v>31200</v>
      </c>
      <c r="BV260" s="471">
        <f t="shared" si="125"/>
        <v>0</v>
      </c>
      <c r="BY260" s="862">
        <f t="shared" si="126"/>
        <v>1012470.265</v>
      </c>
      <c r="BZ260" s="862">
        <f t="shared" si="127"/>
        <v>433915.82799999998</v>
      </c>
      <c r="CA260" s="862">
        <f t="shared" si="128"/>
        <v>121496.43</v>
      </c>
      <c r="CB260" s="862">
        <f t="shared" si="129"/>
        <v>13017.47</v>
      </c>
      <c r="CC260" s="863">
        <f t="shared" si="130"/>
        <v>1133966.7</v>
      </c>
      <c r="CD260" s="863">
        <f t="shared" si="131"/>
        <v>446933.3</v>
      </c>
      <c r="CE260" s="864">
        <f t="shared" si="132"/>
        <v>1580900</v>
      </c>
      <c r="CF260" s="862">
        <f t="shared" si="133"/>
        <v>0</v>
      </c>
    </row>
    <row r="261" spans="1:84" s="429" customFormat="1" ht="13.9" customHeight="1" x14ac:dyDescent="0.25">
      <c r="A261" s="472"/>
      <c r="B261" s="436">
        <v>1502</v>
      </c>
      <c r="C261" s="436" t="s">
        <v>664</v>
      </c>
      <c r="D261" s="436"/>
      <c r="E261" s="482" t="s">
        <v>126</v>
      </c>
      <c r="F261" s="429" t="s">
        <v>665</v>
      </c>
      <c r="G261" s="473">
        <v>45578</v>
      </c>
      <c r="H261" s="436" t="s">
        <v>128</v>
      </c>
      <c r="I261" s="472">
        <v>1333525.2264579299</v>
      </c>
      <c r="J261" s="472">
        <v>131660</v>
      </c>
      <c r="K261" s="507">
        <v>0</v>
      </c>
      <c r="L261" s="507">
        <v>0</v>
      </c>
      <c r="M261" s="507">
        <v>0</v>
      </c>
      <c r="N261" s="507">
        <v>0</v>
      </c>
      <c r="O261" s="507">
        <v>0</v>
      </c>
      <c r="P261" s="507">
        <v>0</v>
      </c>
      <c r="Q261" s="507">
        <v>0</v>
      </c>
      <c r="R261" s="507">
        <v>0</v>
      </c>
      <c r="S261" s="507">
        <v>0</v>
      </c>
      <c r="T261" s="507">
        <v>0</v>
      </c>
      <c r="U261" s="507">
        <v>0</v>
      </c>
      <c r="V261" s="507">
        <v>0</v>
      </c>
      <c r="W261" s="507">
        <v>0</v>
      </c>
      <c r="X261" s="507">
        <v>0</v>
      </c>
      <c r="Y261" s="507">
        <v>0</v>
      </c>
      <c r="Z261" s="507">
        <v>0</v>
      </c>
      <c r="AA261" s="507">
        <v>0</v>
      </c>
      <c r="AB261" s="507">
        <v>0</v>
      </c>
      <c r="AC261" s="507">
        <v>0</v>
      </c>
      <c r="AD261" s="507">
        <v>10000</v>
      </c>
      <c r="AE261" s="507">
        <v>8690</v>
      </c>
      <c r="AF261" s="507">
        <v>8690</v>
      </c>
      <c r="AG261" s="507">
        <v>8690</v>
      </c>
      <c r="AH261" s="507">
        <v>8690</v>
      </c>
      <c r="AI261" s="507">
        <v>8690</v>
      </c>
      <c r="AJ261" s="507">
        <v>8690</v>
      </c>
      <c r="AK261" s="508">
        <v>8690</v>
      </c>
      <c r="AL261" s="508">
        <v>8690</v>
      </c>
      <c r="AM261" s="509">
        <v>8690</v>
      </c>
      <c r="AN261" s="509">
        <v>8690</v>
      </c>
      <c r="AO261" s="509">
        <v>8690</v>
      </c>
      <c r="AP261" s="509">
        <v>8690</v>
      </c>
      <c r="AQ261" s="509">
        <v>8690</v>
      </c>
      <c r="AR261" s="509">
        <v>8690</v>
      </c>
      <c r="AS261" s="509"/>
      <c r="AT261" s="510">
        <f t="shared" si="134"/>
        <v>131660</v>
      </c>
      <c r="AU261" s="512">
        <f t="shared" si="106"/>
        <v>1</v>
      </c>
      <c r="AV261" s="511">
        <f t="shared" si="107"/>
        <v>0</v>
      </c>
      <c r="AW261" s="558">
        <f t="shared" si="108"/>
        <v>0</v>
      </c>
      <c r="AX261" s="513">
        <f t="shared" si="109"/>
        <v>1201865.2264579299</v>
      </c>
      <c r="AY261" s="514">
        <f t="shared" si="110"/>
        <v>0.90126920931993815</v>
      </c>
      <c r="AZ261" s="513">
        <f t="shared" si="111"/>
        <v>131660</v>
      </c>
      <c r="BA261" s="515" t="str">
        <f t="shared" si="112"/>
        <v>Vendido</v>
      </c>
      <c r="BB261" s="516" t="str">
        <f t="shared" si="113"/>
        <v>Cliente Atrasado</v>
      </c>
      <c r="BC261" s="551">
        <v>14</v>
      </c>
      <c r="BD261" s="693">
        <f t="shared" si="114"/>
        <v>1</v>
      </c>
      <c r="BE261" s="693">
        <f t="shared" si="115"/>
        <v>15</v>
      </c>
      <c r="BF261" s="517">
        <v>10000</v>
      </c>
      <c r="BG261" s="517">
        <v>8690</v>
      </c>
      <c r="BH261" s="693">
        <f t="shared" si="116"/>
        <v>14</v>
      </c>
      <c r="BI261" s="693">
        <f t="shared" si="117"/>
        <v>15</v>
      </c>
      <c r="BJ261" s="655">
        <f t="shared" si="137"/>
        <v>140350</v>
      </c>
      <c r="BK261" s="518">
        <f t="shared" si="118"/>
        <v>121660</v>
      </c>
      <c r="BL261" s="518">
        <f t="shared" si="119"/>
        <v>10000</v>
      </c>
      <c r="BM261" s="518">
        <f t="shared" si="120"/>
        <v>0</v>
      </c>
      <c r="BN261" s="518">
        <f t="shared" si="121"/>
        <v>0</v>
      </c>
      <c r="BO261" s="655">
        <f t="shared" si="138"/>
        <v>8690</v>
      </c>
      <c r="BP261" s="693">
        <f t="shared" si="122"/>
        <v>1</v>
      </c>
      <c r="BQ261" s="696"/>
      <c r="BR261" s="519"/>
      <c r="BT261" s="439">
        <f t="shared" si="123"/>
        <v>-8690</v>
      </c>
      <c r="BU261" s="439">
        <f t="shared" si="124"/>
        <v>-8690</v>
      </c>
      <c r="BV261" s="439">
        <f t="shared" si="125"/>
        <v>0</v>
      </c>
      <c r="BY261" s="862">
        <f t="shared" si="126"/>
        <v>854041.77399999998</v>
      </c>
      <c r="BZ261" s="862">
        <f t="shared" si="127"/>
        <v>366017.90299999999</v>
      </c>
      <c r="CA261" s="862">
        <f t="shared" si="128"/>
        <v>102485.01</v>
      </c>
      <c r="CB261" s="862">
        <f t="shared" si="129"/>
        <v>10980.54</v>
      </c>
      <c r="CC261" s="863">
        <f t="shared" si="130"/>
        <v>956526.78</v>
      </c>
      <c r="CD261" s="863">
        <f t="shared" si="131"/>
        <v>376998.44</v>
      </c>
      <c r="CE261" s="864">
        <f t="shared" si="132"/>
        <v>1333525.22</v>
      </c>
      <c r="CF261" s="862">
        <f t="shared" si="133"/>
        <v>-6.457929965108633E-3</v>
      </c>
    </row>
    <row r="262" spans="1:84" s="429" customFormat="1" ht="13.9" customHeight="1" x14ac:dyDescent="0.25">
      <c r="A262" s="472" t="s">
        <v>58</v>
      </c>
      <c r="B262" s="475">
        <v>1503</v>
      </c>
      <c r="C262" s="475" t="s">
        <v>393</v>
      </c>
      <c r="D262" s="475"/>
      <c r="E262" s="475" t="s">
        <v>383</v>
      </c>
      <c r="F262" s="476" t="s">
        <v>666</v>
      </c>
      <c r="G262" s="473">
        <v>45016</v>
      </c>
      <c r="H262" s="436" t="s">
        <v>128</v>
      </c>
      <c r="I262" s="472">
        <v>852627.54461999994</v>
      </c>
      <c r="J262" s="472">
        <v>85227.54</v>
      </c>
      <c r="K262" s="507">
        <v>6000</v>
      </c>
      <c r="L262" s="507">
        <v>1000</v>
      </c>
      <c r="M262" s="507">
        <v>1000</v>
      </c>
      <c r="N262" s="507">
        <v>1000</v>
      </c>
      <c r="O262" s="507">
        <v>1000</v>
      </c>
      <c r="P262" s="507">
        <v>1000</v>
      </c>
      <c r="Q262" s="507">
        <v>1000</v>
      </c>
      <c r="R262" s="507">
        <v>1000</v>
      </c>
      <c r="S262" s="507">
        <v>1000</v>
      </c>
      <c r="T262" s="507">
        <v>0</v>
      </c>
      <c r="U262" s="507">
        <v>2000</v>
      </c>
      <c r="V262" s="507">
        <v>1000</v>
      </c>
      <c r="W262" s="507">
        <v>0</v>
      </c>
      <c r="X262" s="507">
        <v>0</v>
      </c>
      <c r="Y262" s="507">
        <v>0</v>
      </c>
      <c r="Z262" s="507">
        <v>0</v>
      </c>
      <c r="AA262" s="507">
        <v>6000</v>
      </c>
      <c r="AB262" s="507">
        <v>0</v>
      </c>
      <c r="AC262" s="507">
        <v>0</v>
      </c>
      <c r="AD262" s="507">
        <v>0</v>
      </c>
      <c r="AE262" s="507">
        <v>0</v>
      </c>
      <c r="AF262" s="507">
        <v>0</v>
      </c>
      <c r="AG262" s="507">
        <v>0</v>
      </c>
      <c r="AH262" s="507">
        <v>0</v>
      </c>
      <c r="AI262" s="507">
        <v>0</v>
      </c>
      <c r="AJ262" s="507">
        <v>0</v>
      </c>
      <c r="AK262" s="508"/>
      <c r="AL262" s="508"/>
      <c r="AM262" s="508"/>
      <c r="AN262" s="509">
        <v>0</v>
      </c>
      <c r="AO262" s="509">
        <v>0</v>
      </c>
      <c r="AP262" s="509">
        <v>0</v>
      </c>
      <c r="AQ262" s="509">
        <v>0</v>
      </c>
      <c r="AR262" s="508"/>
      <c r="AS262" s="508"/>
      <c r="AT262" s="510">
        <f t="shared" si="134"/>
        <v>23000</v>
      </c>
      <c r="AU262" s="512">
        <f t="shared" si="106"/>
        <v>0.26986582036745399</v>
      </c>
      <c r="AV262" s="511">
        <f t="shared" si="107"/>
        <v>-62227.539999999994</v>
      </c>
      <c r="AW262" s="558">
        <f t="shared" si="108"/>
        <v>-0.73013417963254601</v>
      </c>
      <c r="AX262" s="513">
        <f t="shared" si="109"/>
        <v>829627.54461999994</v>
      </c>
      <c r="AY262" s="514">
        <f t="shared" si="110"/>
        <v>0.97302456372055079</v>
      </c>
      <c r="AZ262" s="513">
        <f t="shared" si="111"/>
        <v>85227.54</v>
      </c>
      <c r="BA262" s="515" t="str">
        <f t="shared" si="112"/>
        <v>Vendido</v>
      </c>
      <c r="BB262" s="516" t="str">
        <f t="shared" si="113"/>
        <v>Cliente Atrasado</v>
      </c>
      <c r="BC262" s="551">
        <v>35</v>
      </c>
      <c r="BD262" s="693">
        <f t="shared" si="114"/>
        <v>1</v>
      </c>
      <c r="BE262" s="693">
        <f t="shared" si="115"/>
        <v>36</v>
      </c>
      <c r="BF262" s="517">
        <v>6000</v>
      </c>
      <c r="BG262" s="517">
        <v>1000</v>
      </c>
      <c r="BH262" s="693">
        <f t="shared" si="116"/>
        <v>10</v>
      </c>
      <c r="BI262" s="693">
        <f t="shared" si="117"/>
        <v>33</v>
      </c>
      <c r="BJ262" s="655">
        <f t="shared" si="137"/>
        <v>39000</v>
      </c>
      <c r="BK262" s="518">
        <f t="shared" si="118"/>
        <v>9000</v>
      </c>
      <c r="BL262" s="518">
        <f t="shared" si="119"/>
        <v>14000</v>
      </c>
      <c r="BM262" s="518">
        <f t="shared" si="120"/>
        <v>0</v>
      </c>
      <c r="BN262" s="518">
        <f t="shared" si="121"/>
        <v>0</v>
      </c>
      <c r="BO262" s="655">
        <f t="shared" si="138"/>
        <v>16000</v>
      </c>
      <c r="BP262" s="693" t="str">
        <f t="shared" si="122"/>
        <v/>
      </c>
      <c r="BQ262" s="695" t="s">
        <v>58</v>
      </c>
      <c r="BR262" s="519"/>
      <c r="BT262" s="439">
        <f t="shared" si="123"/>
        <v>-16000</v>
      </c>
      <c r="BU262" s="439">
        <f t="shared" si="124"/>
        <v>-16000</v>
      </c>
      <c r="BV262" s="439">
        <f t="shared" si="125"/>
        <v>0</v>
      </c>
      <c r="BY262" s="862">
        <f t="shared" si="126"/>
        <v>546056.06700000004</v>
      </c>
      <c r="BZ262" s="862">
        <f t="shared" si="127"/>
        <v>234024.02900000001</v>
      </c>
      <c r="CA262" s="862">
        <f t="shared" si="128"/>
        <v>65526.73</v>
      </c>
      <c r="CB262" s="862">
        <f t="shared" si="129"/>
        <v>7020.72</v>
      </c>
      <c r="CC262" s="863">
        <f t="shared" si="130"/>
        <v>611582.80000000005</v>
      </c>
      <c r="CD262" s="863">
        <f t="shared" si="131"/>
        <v>241044.75</v>
      </c>
      <c r="CE262" s="864">
        <f t="shared" si="132"/>
        <v>852627.55</v>
      </c>
      <c r="CF262" s="862">
        <f t="shared" si="133"/>
        <v>5.3800001041963696E-3</v>
      </c>
    </row>
    <row r="263" spans="1:84" s="429" customFormat="1" ht="13.9" customHeight="1" x14ac:dyDescent="0.25">
      <c r="A263" s="472"/>
      <c r="B263" s="436">
        <v>1504</v>
      </c>
      <c r="C263" s="436" t="s">
        <v>172</v>
      </c>
      <c r="D263" s="436"/>
      <c r="E263" s="436" t="s">
        <v>356</v>
      </c>
      <c r="F263" s="429" t="s">
        <v>667</v>
      </c>
      <c r="G263" s="473">
        <v>45068</v>
      </c>
      <c r="H263" s="436" t="s">
        <v>128</v>
      </c>
      <c r="I263" s="472">
        <v>883300</v>
      </c>
      <c r="J263" s="472">
        <v>88800</v>
      </c>
      <c r="K263" s="507">
        <v>0</v>
      </c>
      <c r="L263" s="507">
        <v>0</v>
      </c>
      <c r="M263" s="507">
        <v>6000</v>
      </c>
      <c r="N263" s="507">
        <v>0</v>
      </c>
      <c r="O263" s="507">
        <v>1000</v>
      </c>
      <c r="P263" s="507">
        <v>1000</v>
      </c>
      <c r="Q263" s="507">
        <v>1000</v>
      </c>
      <c r="R263" s="507">
        <v>1000</v>
      </c>
      <c r="S263" s="507">
        <v>1000</v>
      </c>
      <c r="T263" s="507">
        <v>1000</v>
      </c>
      <c r="U263" s="507">
        <v>1000</v>
      </c>
      <c r="V263" s="507">
        <v>1000</v>
      </c>
      <c r="W263" s="507">
        <v>1000</v>
      </c>
      <c r="X263" s="507">
        <v>1000</v>
      </c>
      <c r="Y263" s="507">
        <v>1000</v>
      </c>
      <c r="Z263" s="507">
        <v>1000</v>
      </c>
      <c r="AA263" s="507">
        <v>1000</v>
      </c>
      <c r="AB263" s="507">
        <v>1000</v>
      </c>
      <c r="AC263" s="507">
        <v>1000</v>
      </c>
      <c r="AD263" s="507">
        <v>1000</v>
      </c>
      <c r="AE263" s="507">
        <v>1000</v>
      </c>
      <c r="AF263" s="507">
        <v>1000</v>
      </c>
      <c r="AG263" s="507">
        <v>1000</v>
      </c>
      <c r="AH263" s="507">
        <v>1000</v>
      </c>
      <c r="AI263" s="507">
        <v>1000</v>
      </c>
      <c r="AJ263" s="507">
        <v>1000</v>
      </c>
      <c r="AK263" s="508">
        <v>1000</v>
      </c>
      <c r="AL263" s="508">
        <v>1000</v>
      </c>
      <c r="AM263" s="509">
        <v>1000</v>
      </c>
      <c r="AN263" s="509">
        <v>1000</v>
      </c>
      <c r="AO263" s="509">
        <v>1000</v>
      </c>
      <c r="AP263" s="509">
        <v>1000</v>
      </c>
      <c r="AQ263" s="509">
        <v>1000</v>
      </c>
      <c r="AR263" s="509">
        <v>1000</v>
      </c>
      <c r="AS263" s="509">
        <v>1000</v>
      </c>
      <c r="AT263" s="510">
        <f t="shared" si="134"/>
        <v>37000</v>
      </c>
      <c r="AU263" s="512">
        <f t="shared" ref="AU263:AU295" si="139">IFERROR((+AT263/J263),0)</f>
        <v>0.41666666666666669</v>
      </c>
      <c r="AV263" s="511">
        <f t="shared" ref="AV263:AV295" si="140">+AT263-AZ263</f>
        <v>-51800</v>
      </c>
      <c r="AW263" s="558">
        <f t="shared" ref="AW263:AW295" si="141">+AV263/J263</f>
        <v>-0.58333333333333337</v>
      </c>
      <c r="AX263" s="513">
        <f t="shared" ref="AX263:AX295" si="142">+I263-AT263</f>
        <v>846300</v>
      </c>
      <c r="AY263" s="514">
        <f t="shared" ref="AY263:AY295" si="143">+AX263/I263</f>
        <v>0.95811162685384355</v>
      </c>
      <c r="AZ263" s="513">
        <f t="shared" ref="AZ263:AZ295" si="144">IF(BA263="Vendido",J263*1,IF(BA263="Disponible",J263*0,IF(BA263="Enganche Completado",J263*1,IF(BA263="Superávit de Enganche",J263*1,0))))</f>
        <v>88800</v>
      </c>
      <c r="BA263" s="515" t="str">
        <f t="shared" ref="BA263:BA295" si="145">IF(F263=0,"Disponible",IF(F263&gt;1,"Vendido",0))</f>
        <v>Vendido</v>
      </c>
      <c r="BB263" s="516" t="str">
        <f t="shared" ref="BB263:BB295" si="146">IF(AND(BA263="Vendido",G263&gt;=0,BJ263&lt;=AT263,AT263&lt;AZ263),"Cliente al día",IF(AND(BA263="Vendido",G263&gt;=0,BJ263&lt;=AT263,AT263=AZ263),"Enganche Completado",IF(AND(BA263="Vendido",G263&gt;=0,BJ263&lt;AT263,AT263&gt;AZ263),"Superávit de Enganche",IF(AND(BA263="Disponible",G263=0,AV263=0),"Disponible","Cliente Atrasado"))))</f>
        <v>Cliente Atrasado</v>
      </c>
      <c r="BC263" s="551">
        <v>28</v>
      </c>
      <c r="BD263" s="693">
        <f t="shared" ref="BD263:BD295" si="147">IF(BC263&gt;1,1,0)</f>
        <v>1</v>
      </c>
      <c r="BE263" s="693">
        <f t="shared" ref="BE263:BE295" si="148">+BC263+BD263</f>
        <v>29</v>
      </c>
      <c r="BF263" s="517">
        <v>6000</v>
      </c>
      <c r="BG263" s="517">
        <v>1000</v>
      </c>
      <c r="BH263" s="693">
        <f t="shared" ref="BH263:BH295" si="149">COUNTIFS(K263:AS263,"&gt;0.01",K263:AS263,"&lt;" &amp; BF263)</f>
        <v>31</v>
      </c>
      <c r="BI263" s="693">
        <f t="shared" ref="BI263:BI295" si="150">IF($G263&gt;0,DATEDIF($G263,$D$3,"M"),0)</f>
        <v>32</v>
      </c>
      <c r="BJ263" s="655">
        <f t="shared" si="137"/>
        <v>38000</v>
      </c>
      <c r="BK263" s="518">
        <f t="shared" ref="BK263:BK295" si="151">SUMIF(K263:AS263,"&lt;=" &amp; BG263,K263:AS263)</f>
        <v>31000</v>
      </c>
      <c r="BL263" s="518">
        <f t="shared" ref="BL263:BL295" si="152">SUMIF(K263:AS263,"&gt;" &amp; BG263,K263:AS263)</f>
        <v>6000</v>
      </c>
      <c r="BM263" s="518">
        <f t="shared" ref="BM263:BM295" si="153">AT263-BK263-BL263</f>
        <v>0</v>
      </c>
      <c r="BN263" s="518">
        <f t="shared" ref="BN263:BN295" si="154">IF(AT263&gt;BJ263,AT263-BJ263,0)</f>
        <v>0</v>
      </c>
      <c r="BO263" s="655">
        <f t="shared" si="138"/>
        <v>1000</v>
      </c>
      <c r="BP263" s="693">
        <f t="shared" ref="BP263:BP295" si="155">IFERROR(IF(AND(BQ263="F&amp;F","CE"),"",ROUNDUP(IF(G263="",0,SUM(BO263/BG263)),0)),"")</f>
        <v>1</v>
      </c>
      <c r="BQ263" s="696"/>
      <c r="BR263" s="519"/>
      <c r="BT263" s="439">
        <f t="shared" ref="BT263:BT295" si="156">+AT263-BJ263</f>
        <v>-1000</v>
      </c>
      <c r="BU263" s="439">
        <f t="shared" ref="BU263:BU295" si="157">+BN263-BO263</f>
        <v>-1000</v>
      </c>
      <c r="BV263" s="439">
        <f t="shared" ref="BV263:BV295" si="158">+BT263-BU263</f>
        <v>0</v>
      </c>
      <c r="BY263" s="862">
        <f t="shared" ref="BY263:BY295" si="159">ROUND(I263/1.093*70%,3)</f>
        <v>565699.90899999999</v>
      </c>
      <c r="BZ263" s="862">
        <f t="shared" ref="BZ263:BZ295" si="160">ROUND(I263/1.093*30%,3)</f>
        <v>242442.818</v>
      </c>
      <c r="CA263" s="862">
        <f t="shared" ref="CA263:CA295" si="161">ROUND(BY263*12%,2)</f>
        <v>67883.990000000005</v>
      </c>
      <c r="CB263" s="862">
        <f t="shared" ref="CB263:CB295" si="162">ROUND(BZ263*3%,2)</f>
        <v>7273.28</v>
      </c>
      <c r="CC263" s="863">
        <f t="shared" ref="CC263:CC295" si="163">ROUND(BY263+CA263,2)</f>
        <v>633583.9</v>
      </c>
      <c r="CD263" s="863">
        <f t="shared" ref="CD263:CD295" si="164">ROUND(BZ263+CB263,2)</f>
        <v>249716.1</v>
      </c>
      <c r="CE263" s="864">
        <f t="shared" ref="CE263:CE295" si="165">ROUND(CC263+CD263,2)</f>
        <v>883300</v>
      </c>
      <c r="CF263" s="862">
        <f t="shared" ref="CF263:CF295" si="166">CE263-I263</f>
        <v>0</v>
      </c>
    </row>
    <row r="264" spans="1:84" s="429" customFormat="1" ht="13.9" customHeight="1" x14ac:dyDescent="0.25">
      <c r="A264" s="472"/>
      <c r="B264" s="436">
        <v>1505</v>
      </c>
      <c r="C264" s="436" t="s">
        <v>395</v>
      </c>
      <c r="D264" s="436"/>
      <c r="E264" s="436" t="s">
        <v>366</v>
      </c>
      <c r="F264" s="429" t="s">
        <v>668</v>
      </c>
      <c r="G264" s="473">
        <v>45491</v>
      </c>
      <c r="H264" s="436" t="s">
        <v>128</v>
      </c>
      <c r="I264" s="472">
        <v>1277800</v>
      </c>
      <c r="J264" s="472">
        <v>127800</v>
      </c>
      <c r="K264" s="507">
        <v>0</v>
      </c>
      <c r="L264" s="507">
        <v>0</v>
      </c>
      <c r="M264" s="507">
        <v>0</v>
      </c>
      <c r="N264" s="507">
        <v>0</v>
      </c>
      <c r="O264" s="507">
        <v>0</v>
      </c>
      <c r="P264" s="507">
        <v>0</v>
      </c>
      <c r="Q264" s="507">
        <v>0</v>
      </c>
      <c r="R264" s="507">
        <v>0</v>
      </c>
      <c r="S264" s="507">
        <v>0</v>
      </c>
      <c r="T264" s="507">
        <v>0</v>
      </c>
      <c r="U264" s="507">
        <v>0</v>
      </c>
      <c r="V264" s="507">
        <v>0</v>
      </c>
      <c r="W264" s="507">
        <v>0</v>
      </c>
      <c r="X264" s="507">
        <v>0</v>
      </c>
      <c r="Y264" s="507">
        <v>0</v>
      </c>
      <c r="Z264" s="507">
        <v>0</v>
      </c>
      <c r="AA264" s="507">
        <v>10000</v>
      </c>
      <c r="AB264" s="507">
        <v>6929</v>
      </c>
      <c r="AC264" s="507">
        <v>6929</v>
      </c>
      <c r="AD264" s="507">
        <v>6929</v>
      </c>
      <c r="AE264" s="507">
        <v>6929</v>
      </c>
      <c r="AF264" s="507">
        <v>6929</v>
      </c>
      <c r="AG264" s="507">
        <v>6929</v>
      </c>
      <c r="AH264" s="507">
        <v>6929</v>
      </c>
      <c r="AI264" s="507">
        <v>6929</v>
      </c>
      <c r="AJ264" s="507">
        <v>6929</v>
      </c>
      <c r="AK264" s="508">
        <v>6929</v>
      </c>
      <c r="AL264" s="508">
        <v>6929</v>
      </c>
      <c r="AM264" s="509">
        <v>6929</v>
      </c>
      <c r="AN264" s="509">
        <v>6929</v>
      </c>
      <c r="AO264" s="509">
        <v>6929</v>
      </c>
      <c r="AP264" s="509">
        <v>6929</v>
      </c>
      <c r="AQ264" s="509">
        <v>6929</v>
      </c>
      <c r="AR264" s="509">
        <v>6929</v>
      </c>
      <c r="AS264" s="509">
        <v>6929</v>
      </c>
      <c r="AT264" s="510">
        <f t="shared" ref="AT264:AT304" si="167">SUM(K264:AS264)</f>
        <v>134722</v>
      </c>
      <c r="AU264" s="512">
        <f t="shared" si="139"/>
        <v>1.0541627543035994</v>
      </c>
      <c r="AV264" s="511">
        <f t="shared" si="140"/>
        <v>6922</v>
      </c>
      <c r="AW264" s="558">
        <f t="shared" si="141"/>
        <v>5.4162754303599375E-2</v>
      </c>
      <c r="AX264" s="513">
        <f t="shared" si="142"/>
        <v>1143078</v>
      </c>
      <c r="AY264" s="514">
        <f t="shared" si="143"/>
        <v>0.89456722491782747</v>
      </c>
      <c r="AZ264" s="513">
        <f t="shared" si="144"/>
        <v>127800</v>
      </c>
      <c r="BA264" s="515" t="str">
        <f t="shared" si="145"/>
        <v>Vendido</v>
      </c>
      <c r="BB264" s="516" t="str">
        <f t="shared" si="146"/>
        <v>Cliente Atrasado</v>
      </c>
      <c r="BC264" s="551">
        <v>17</v>
      </c>
      <c r="BD264" s="693">
        <f t="shared" si="147"/>
        <v>1</v>
      </c>
      <c r="BE264" s="693">
        <f t="shared" si="148"/>
        <v>18</v>
      </c>
      <c r="BF264" s="517">
        <v>10000</v>
      </c>
      <c r="BG264" s="517">
        <v>6929</v>
      </c>
      <c r="BH264" s="693">
        <f t="shared" si="149"/>
        <v>18</v>
      </c>
      <c r="BI264" s="693">
        <f t="shared" si="150"/>
        <v>18</v>
      </c>
      <c r="BJ264" s="655">
        <f t="shared" si="137"/>
        <v>134722</v>
      </c>
      <c r="BK264" s="518">
        <f t="shared" si="151"/>
        <v>124722</v>
      </c>
      <c r="BL264" s="518">
        <f t="shared" si="152"/>
        <v>10000</v>
      </c>
      <c r="BM264" s="518">
        <f t="shared" si="153"/>
        <v>0</v>
      </c>
      <c r="BN264" s="518">
        <f t="shared" si="154"/>
        <v>0</v>
      </c>
      <c r="BO264" s="655">
        <f t="shared" si="138"/>
        <v>0</v>
      </c>
      <c r="BP264" s="693">
        <f t="shared" si="155"/>
        <v>0</v>
      </c>
      <c r="BQ264" s="696"/>
      <c r="BR264" s="519"/>
      <c r="BT264" s="439">
        <f t="shared" si="156"/>
        <v>0</v>
      </c>
      <c r="BU264" s="439">
        <f t="shared" si="157"/>
        <v>0</v>
      </c>
      <c r="BV264" s="439">
        <f t="shared" si="158"/>
        <v>0</v>
      </c>
      <c r="BY264" s="862">
        <f t="shared" si="159"/>
        <v>818353.15599999996</v>
      </c>
      <c r="BZ264" s="862">
        <f t="shared" si="160"/>
        <v>350722.78100000002</v>
      </c>
      <c r="CA264" s="862">
        <f t="shared" si="161"/>
        <v>98202.38</v>
      </c>
      <c r="CB264" s="862">
        <f t="shared" si="162"/>
        <v>10521.68</v>
      </c>
      <c r="CC264" s="863">
        <f t="shared" si="163"/>
        <v>916555.54</v>
      </c>
      <c r="CD264" s="863">
        <f t="shared" si="164"/>
        <v>361244.46</v>
      </c>
      <c r="CE264" s="864">
        <f t="shared" si="165"/>
        <v>1277800</v>
      </c>
      <c r="CF264" s="862">
        <f t="shared" si="166"/>
        <v>0</v>
      </c>
    </row>
    <row r="265" spans="1:84" s="429" customFormat="1" ht="13.9" customHeight="1" x14ac:dyDescent="0.25">
      <c r="B265" s="905">
        <v>1506</v>
      </c>
      <c r="C265" s="436" t="s">
        <v>397</v>
      </c>
      <c r="D265" s="436"/>
      <c r="E265" s="436"/>
      <c r="G265" s="473"/>
      <c r="H265" s="436" t="s">
        <v>374</v>
      </c>
      <c r="I265" s="472">
        <v>1225600</v>
      </c>
      <c r="J265" s="472">
        <v>85800</v>
      </c>
      <c r="K265" s="507">
        <v>0</v>
      </c>
      <c r="L265" s="507">
        <v>0</v>
      </c>
      <c r="M265" s="507">
        <v>0</v>
      </c>
      <c r="N265" s="507">
        <v>0</v>
      </c>
      <c r="O265" s="507">
        <v>0</v>
      </c>
      <c r="P265" s="507">
        <v>0</v>
      </c>
      <c r="Q265" s="507">
        <v>0</v>
      </c>
      <c r="R265" s="507">
        <v>0</v>
      </c>
      <c r="S265" s="507">
        <v>0</v>
      </c>
      <c r="T265" s="507">
        <v>0</v>
      </c>
      <c r="U265" s="507">
        <v>0</v>
      </c>
      <c r="V265" s="507">
        <v>0</v>
      </c>
      <c r="W265" s="507">
        <v>0</v>
      </c>
      <c r="X265" s="507">
        <v>0</v>
      </c>
      <c r="Y265" s="507">
        <v>0</v>
      </c>
      <c r="Z265" s="507">
        <v>0</v>
      </c>
      <c r="AA265" s="507">
        <v>0</v>
      </c>
      <c r="AB265" s="507">
        <v>0</v>
      </c>
      <c r="AC265" s="507">
        <v>0</v>
      </c>
      <c r="AD265" s="507">
        <v>0</v>
      </c>
      <c r="AE265" s="507">
        <v>0</v>
      </c>
      <c r="AF265" s="507">
        <v>0</v>
      </c>
      <c r="AG265" s="507">
        <v>0</v>
      </c>
      <c r="AH265" s="507">
        <v>0</v>
      </c>
      <c r="AI265" s="507">
        <v>0</v>
      </c>
      <c r="AJ265" s="507">
        <v>0</v>
      </c>
      <c r="AK265" s="508"/>
      <c r="AL265" s="508"/>
      <c r="AM265" s="508"/>
      <c r="AN265" s="509">
        <v>0</v>
      </c>
      <c r="AO265" s="509">
        <v>0</v>
      </c>
      <c r="AP265" s="509">
        <v>0</v>
      </c>
      <c r="AQ265" s="509">
        <v>0</v>
      </c>
      <c r="AR265" s="508"/>
      <c r="AS265" s="508"/>
      <c r="AT265" s="510">
        <f t="shared" si="167"/>
        <v>0</v>
      </c>
      <c r="AU265" s="512">
        <f t="shared" si="139"/>
        <v>0</v>
      </c>
      <c r="AV265" s="511">
        <f t="shared" si="140"/>
        <v>0</v>
      </c>
      <c r="AW265" s="558">
        <f t="shared" si="141"/>
        <v>0</v>
      </c>
      <c r="AX265" s="513">
        <f t="shared" si="142"/>
        <v>1225600</v>
      </c>
      <c r="AY265" s="514">
        <f t="shared" si="143"/>
        <v>1</v>
      </c>
      <c r="AZ265" s="513">
        <f t="shared" si="144"/>
        <v>0</v>
      </c>
      <c r="BA265" s="515" t="str">
        <f t="shared" si="145"/>
        <v>Disponible</v>
      </c>
      <c r="BB265" s="516" t="str">
        <f t="shared" si="146"/>
        <v>Disponible</v>
      </c>
      <c r="BC265" s="551"/>
      <c r="BD265" s="693">
        <f t="shared" si="147"/>
        <v>0</v>
      </c>
      <c r="BE265" s="693">
        <f t="shared" si="148"/>
        <v>0</v>
      </c>
      <c r="BF265" s="517"/>
      <c r="BG265" s="517"/>
      <c r="BH265" s="693">
        <f t="shared" si="149"/>
        <v>0</v>
      </c>
      <c r="BI265" s="693">
        <f t="shared" si="150"/>
        <v>0</v>
      </c>
      <c r="BJ265" s="655">
        <f t="shared" si="137"/>
        <v>0</v>
      </c>
      <c r="BK265" s="518">
        <f t="shared" si="151"/>
        <v>0</v>
      </c>
      <c r="BL265" s="518">
        <f t="shared" si="152"/>
        <v>0</v>
      </c>
      <c r="BM265" s="518">
        <f t="shared" si="153"/>
        <v>0</v>
      </c>
      <c r="BN265" s="518">
        <f t="shared" si="154"/>
        <v>0</v>
      </c>
      <c r="BO265" s="655">
        <f t="shared" si="138"/>
        <v>0</v>
      </c>
      <c r="BP265" s="693">
        <f t="shared" si="155"/>
        <v>0</v>
      </c>
      <c r="BQ265" s="696"/>
      <c r="BR265" s="519"/>
      <c r="BT265" s="439">
        <f t="shared" si="156"/>
        <v>0</v>
      </c>
      <c r="BU265" s="439">
        <f t="shared" si="157"/>
        <v>0</v>
      </c>
      <c r="BV265" s="439">
        <f t="shared" si="158"/>
        <v>0</v>
      </c>
      <c r="BY265" s="862">
        <f t="shared" si="159"/>
        <v>784922.23199999996</v>
      </c>
      <c r="BZ265" s="862">
        <f t="shared" si="160"/>
        <v>336395.24200000003</v>
      </c>
      <c r="CA265" s="862">
        <f t="shared" si="161"/>
        <v>94190.67</v>
      </c>
      <c r="CB265" s="862">
        <f t="shared" si="162"/>
        <v>10091.86</v>
      </c>
      <c r="CC265" s="863">
        <f t="shared" si="163"/>
        <v>879112.9</v>
      </c>
      <c r="CD265" s="863">
        <f t="shared" si="164"/>
        <v>346487.1</v>
      </c>
      <c r="CE265" s="864">
        <f t="shared" si="165"/>
        <v>1225600</v>
      </c>
      <c r="CF265" s="862">
        <f t="shared" si="166"/>
        <v>0</v>
      </c>
    </row>
    <row r="266" spans="1:84" s="429" customFormat="1" ht="13.9" customHeight="1" x14ac:dyDescent="0.25">
      <c r="A266" s="472" t="s">
        <v>58</v>
      </c>
      <c r="B266" s="475">
        <v>1507</v>
      </c>
      <c r="C266" s="475" t="s">
        <v>398</v>
      </c>
      <c r="D266" s="475"/>
      <c r="E266" s="475" t="s">
        <v>356</v>
      </c>
      <c r="F266" s="476" t="s">
        <v>669</v>
      </c>
      <c r="G266" s="473">
        <v>45013</v>
      </c>
      <c r="H266" s="436" t="s">
        <v>128</v>
      </c>
      <c r="I266" s="472">
        <v>1141461.0333799999</v>
      </c>
      <c r="J266" s="472">
        <v>114161</v>
      </c>
      <c r="K266" s="507">
        <v>6000</v>
      </c>
      <c r="L266" s="507">
        <v>3075</v>
      </c>
      <c r="M266" s="507">
        <v>3075</v>
      </c>
      <c r="N266" s="507">
        <v>3075</v>
      </c>
      <c r="O266" s="507">
        <v>3075</v>
      </c>
      <c r="P266" s="507">
        <v>3075</v>
      </c>
      <c r="Q266" s="507">
        <v>3075</v>
      </c>
      <c r="R266" s="507">
        <v>3075</v>
      </c>
      <c r="S266" s="507">
        <v>3075</v>
      </c>
      <c r="T266" s="507">
        <v>3075</v>
      </c>
      <c r="U266" s="507">
        <v>3075</v>
      </c>
      <c r="V266" s="507">
        <v>3075</v>
      </c>
      <c r="W266" s="507">
        <v>3075</v>
      </c>
      <c r="X266" s="507">
        <v>3075</v>
      </c>
      <c r="Y266" s="507">
        <v>3075</v>
      </c>
      <c r="Z266" s="507">
        <v>3075</v>
      </c>
      <c r="AA266" s="507">
        <v>3075</v>
      </c>
      <c r="AB266" s="507">
        <v>3075</v>
      </c>
      <c r="AC266" s="507">
        <v>3075</v>
      </c>
      <c r="AD266" s="507">
        <v>3075</v>
      </c>
      <c r="AE266" s="507">
        <v>3075</v>
      </c>
      <c r="AF266" s="507">
        <v>3075</v>
      </c>
      <c r="AG266" s="507">
        <v>3075</v>
      </c>
      <c r="AH266" s="507">
        <v>3075</v>
      </c>
      <c r="AI266" s="507">
        <v>3075</v>
      </c>
      <c r="AJ266" s="507">
        <v>3075</v>
      </c>
      <c r="AK266" s="508">
        <v>3075</v>
      </c>
      <c r="AL266" s="508">
        <v>3075</v>
      </c>
      <c r="AM266" s="509">
        <v>3075</v>
      </c>
      <c r="AN266" s="509">
        <v>3075</v>
      </c>
      <c r="AO266" s="509">
        <v>3075</v>
      </c>
      <c r="AP266" s="509">
        <v>3075</v>
      </c>
      <c r="AQ266" s="509">
        <v>3075</v>
      </c>
      <c r="AR266" s="509">
        <v>3075</v>
      </c>
      <c r="AS266" s="509">
        <v>3075</v>
      </c>
      <c r="AT266" s="510">
        <f t="shared" si="167"/>
        <v>110550</v>
      </c>
      <c r="AU266" s="512">
        <f t="shared" si="139"/>
        <v>0.96836923292542987</v>
      </c>
      <c r="AV266" s="511">
        <f t="shared" si="140"/>
        <v>-3611</v>
      </c>
      <c r="AW266" s="558">
        <f t="shared" si="141"/>
        <v>-3.1630767074570125E-2</v>
      </c>
      <c r="AX266" s="513">
        <f t="shared" si="142"/>
        <v>1030911.0333799999</v>
      </c>
      <c r="AY266" s="514">
        <f t="shared" si="143"/>
        <v>0.90315043898375713</v>
      </c>
      <c r="AZ266" s="513">
        <f t="shared" si="144"/>
        <v>114161</v>
      </c>
      <c r="BA266" s="515" t="str">
        <f t="shared" si="145"/>
        <v>Vendido</v>
      </c>
      <c r="BB266" s="516" t="str">
        <f t="shared" si="146"/>
        <v>Cliente al día</v>
      </c>
      <c r="BC266" s="551">
        <v>35</v>
      </c>
      <c r="BD266" s="693">
        <f t="shared" si="147"/>
        <v>1</v>
      </c>
      <c r="BE266" s="693">
        <f t="shared" si="148"/>
        <v>36</v>
      </c>
      <c r="BF266" s="517">
        <v>6000</v>
      </c>
      <c r="BG266" s="517">
        <v>3075</v>
      </c>
      <c r="BH266" s="693">
        <f t="shared" si="149"/>
        <v>34</v>
      </c>
      <c r="BI266" s="693">
        <f t="shared" si="150"/>
        <v>33</v>
      </c>
      <c r="BJ266" s="655">
        <f t="shared" si="137"/>
        <v>107475</v>
      </c>
      <c r="BK266" s="518">
        <f t="shared" si="151"/>
        <v>104550</v>
      </c>
      <c r="BL266" s="518">
        <f t="shared" si="152"/>
        <v>6000</v>
      </c>
      <c r="BM266" s="518">
        <f t="shared" si="153"/>
        <v>0</v>
      </c>
      <c r="BN266" s="518">
        <f t="shared" si="154"/>
        <v>3075</v>
      </c>
      <c r="BO266" s="655">
        <f t="shared" si="138"/>
        <v>0</v>
      </c>
      <c r="BP266" s="693" t="str">
        <f t="shared" si="155"/>
        <v/>
      </c>
      <c r="BQ266" s="695" t="s">
        <v>58</v>
      </c>
      <c r="BR266" s="519"/>
      <c r="BT266" s="439">
        <f t="shared" si="156"/>
        <v>3075</v>
      </c>
      <c r="BU266" s="439">
        <f t="shared" si="157"/>
        <v>3075</v>
      </c>
      <c r="BV266" s="439">
        <f t="shared" si="158"/>
        <v>0</v>
      </c>
      <c r="BY266" s="862">
        <f t="shared" si="159"/>
        <v>731036.34299999999</v>
      </c>
      <c r="BZ266" s="862">
        <f t="shared" si="160"/>
        <v>313301.28999999998</v>
      </c>
      <c r="CA266" s="862">
        <f t="shared" si="161"/>
        <v>87724.36</v>
      </c>
      <c r="CB266" s="862">
        <f t="shared" si="162"/>
        <v>9399.0400000000009</v>
      </c>
      <c r="CC266" s="863">
        <f t="shared" si="163"/>
        <v>818760.7</v>
      </c>
      <c r="CD266" s="863">
        <f t="shared" si="164"/>
        <v>322700.33</v>
      </c>
      <c r="CE266" s="864">
        <f t="shared" si="165"/>
        <v>1141461.03</v>
      </c>
      <c r="CF266" s="862">
        <f t="shared" si="166"/>
        <v>-3.3799998927861452E-3</v>
      </c>
    </row>
    <row r="267" spans="1:84" s="429" customFormat="1" ht="13.9" customHeight="1" x14ac:dyDescent="0.25">
      <c r="A267" s="472" t="s">
        <v>58</v>
      </c>
      <c r="B267" s="475">
        <v>1508</v>
      </c>
      <c r="C267" s="475" t="s">
        <v>399</v>
      </c>
      <c r="D267" s="475"/>
      <c r="E267" s="475" t="s">
        <v>356</v>
      </c>
      <c r="F267" s="476" t="s">
        <v>670</v>
      </c>
      <c r="G267" s="473">
        <v>45013</v>
      </c>
      <c r="H267" s="436" t="s">
        <v>128</v>
      </c>
      <c r="I267" s="472">
        <v>1141560</v>
      </c>
      <c r="J267" s="472">
        <v>114160</v>
      </c>
      <c r="K267" s="507">
        <v>6000</v>
      </c>
      <c r="L267" s="507">
        <v>0</v>
      </c>
      <c r="M267" s="507">
        <v>0</v>
      </c>
      <c r="N267" s="507">
        <v>0</v>
      </c>
      <c r="O267" s="507">
        <v>0</v>
      </c>
      <c r="P267" s="507">
        <v>0</v>
      </c>
      <c r="Q267" s="507">
        <v>0</v>
      </c>
      <c r="R267" s="507">
        <v>0</v>
      </c>
      <c r="S267" s="507">
        <v>0</v>
      </c>
      <c r="T267" s="507">
        <v>0</v>
      </c>
      <c r="U267" s="507">
        <v>0</v>
      </c>
      <c r="V267" s="507">
        <v>0</v>
      </c>
      <c r="W267" s="507">
        <v>0</v>
      </c>
      <c r="X267" s="507">
        <v>0</v>
      </c>
      <c r="Y267" s="507">
        <v>0</v>
      </c>
      <c r="Z267" s="507">
        <v>0</v>
      </c>
      <c r="AA267" s="507">
        <v>0</v>
      </c>
      <c r="AB267" s="507">
        <v>0</v>
      </c>
      <c r="AC267" s="507">
        <v>0</v>
      </c>
      <c r="AD267" s="507">
        <v>0</v>
      </c>
      <c r="AE267" s="507">
        <v>0</v>
      </c>
      <c r="AF267" s="507">
        <v>0</v>
      </c>
      <c r="AG267" s="507">
        <v>0</v>
      </c>
      <c r="AH267" s="507">
        <v>0</v>
      </c>
      <c r="AI267" s="507">
        <v>0</v>
      </c>
      <c r="AJ267" s="507">
        <v>0</v>
      </c>
      <c r="AK267" s="508"/>
      <c r="AL267" s="508"/>
      <c r="AM267" s="509"/>
      <c r="AN267" s="509">
        <v>0</v>
      </c>
      <c r="AO267" s="509">
        <v>0</v>
      </c>
      <c r="AP267" s="509">
        <v>0</v>
      </c>
      <c r="AQ267" s="509">
        <v>0</v>
      </c>
      <c r="AR267" s="508"/>
      <c r="AS267" s="508"/>
      <c r="AT267" s="510">
        <f t="shared" si="167"/>
        <v>6000</v>
      </c>
      <c r="AU267" s="512">
        <f t="shared" si="139"/>
        <v>5.2557813594954449E-2</v>
      </c>
      <c r="AV267" s="511">
        <f t="shared" si="140"/>
        <v>-108160</v>
      </c>
      <c r="AW267" s="558">
        <f t="shared" si="141"/>
        <v>-0.94744218640504552</v>
      </c>
      <c r="AX267" s="513">
        <f t="shared" si="142"/>
        <v>1135560</v>
      </c>
      <c r="AY267" s="514">
        <f t="shared" si="143"/>
        <v>0.99474403447913384</v>
      </c>
      <c r="AZ267" s="513">
        <f t="shared" si="144"/>
        <v>114160</v>
      </c>
      <c r="BA267" s="515" t="str">
        <f t="shared" si="145"/>
        <v>Vendido</v>
      </c>
      <c r="BB267" s="516" t="str">
        <f t="shared" si="146"/>
        <v>Cliente Atrasado</v>
      </c>
      <c r="BC267" s="551">
        <v>35</v>
      </c>
      <c r="BD267" s="693">
        <f t="shared" si="147"/>
        <v>1</v>
      </c>
      <c r="BE267" s="693">
        <f t="shared" si="148"/>
        <v>36</v>
      </c>
      <c r="BF267" s="517">
        <v>6000</v>
      </c>
      <c r="BG267" s="517">
        <v>3100</v>
      </c>
      <c r="BH267" s="693">
        <f t="shared" si="149"/>
        <v>0</v>
      </c>
      <c r="BI267" s="693">
        <f t="shared" si="150"/>
        <v>33</v>
      </c>
      <c r="BJ267" s="655">
        <f t="shared" si="137"/>
        <v>108300</v>
      </c>
      <c r="BK267" s="518">
        <f t="shared" si="151"/>
        <v>0</v>
      </c>
      <c r="BL267" s="518">
        <f t="shared" si="152"/>
        <v>6000</v>
      </c>
      <c r="BM267" s="518">
        <f t="shared" si="153"/>
        <v>0</v>
      </c>
      <c r="BN267" s="518">
        <f t="shared" si="154"/>
        <v>0</v>
      </c>
      <c r="BO267" s="655">
        <f t="shared" si="138"/>
        <v>102300</v>
      </c>
      <c r="BP267" s="693" t="str">
        <f t="shared" si="155"/>
        <v/>
      </c>
      <c r="BQ267" s="695" t="s">
        <v>58</v>
      </c>
      <c r="BR267" s="519"/>
      <c r="BT267" s="439">
        <f t="shared" si="156"/>
        <v>-102300</v>
      </c>
      <c r="BU267" s="439">
        <f t="shared" si="157"/>
        <v>-102300</v>
      </c>
      <c r="BV267" s="439">
        <f t="shared" si="158"/>
        <v>0</v>
      </c>
      <c r="BY267" s="862">
        <f t="shared" si="159"/>
        <v>731099.72600000002</v>
      </c>
      <c r="BZ267" s="862">
        <f t="shared" si="160"/>
        <v>313328.45400000003</v>
      </c>
      <c r="CA267" s="862">
        <f t="shared" si="161"/>
        <v>87731.97</v>
      </c>
      <c r="CB267" s="862">
        <f t="shared" si="162"/>
        <v>9399.85</v>
      </c>
      <c r="CC267" s="863">
        <f t="shared" si="163"/>
        <v>818831.7</v>
      </c>
      <c r="CD267" s="863">
        <f t="shared" si="164"/>
        <v>322728.3</v>
      </c>
      <c r="CE267" s="864">
        <f t="shared" si="165"/>
        <v>1141560</v>
      </c>
      <c r="CF267" s="862">
        <f t="shared" si="166"/>
        <v>0</v>
      </c>
    </row>
    <row r="268" spans="1:84" s="467" customFormat="1" ht="13.9" customHeight="1" x14ac:dyDescent="0.25">
      <c r="B268" s="483">
        <v>1509</v>
      </c>
      <c r="C268" s="483" t="s">
        <v>400</v>
      </c>
      <c r="D268" s="483"/>
      <c r="E268" s="436" t="s">
        <v>135</v>
      </c>
      <c r="F268" s="467" t="s">
        <v>629</v>
      </c>
      <c r="G268" s="484">
        <v>45856</v>
      </c>
      <c r="H268" s="477" t="s">
        <v>128</v>
      </c>
      <c r="I268" s="485">
        <v>1082159.69644988</v>
      </c>
      <c r="J268" s="485">
        <f>+I268*0.1</f>
        <v>108215.96964498801</v>
      </c>
      <c r="K268" s="532">
        <v>0</v>
      </c>
      <c r="L268" s="532">
        <v>0</v>
      </c>
      <c r="M268" s="532">
        <v>0</v>
      </c>
      <c r="N268" s="532">
        <v>0</v>
      </c>
      <c r="O268" s="532">
        <v>0</v>
      </c>
      <c r="P268" s="532">
        <v>0</v>
      </c>
      <c r="Q268" s="532">
        <v>0</v>
      </c>
      <c r="R268" s="532">
        <v>0</v>
      </c>
      <c r="S268" s="532">
        <v>0</v>
      </c>
      <c r="T268" s="532">
        <v>0</v>
      </c>
      <c r="U268" s="532">
        <v>0</v>
      </c>
      <c r="V268" s="532">
        <v>0</v>
      </c>
      <c r="W268" s="532">
        <v>0</v>
      </c>
      <c r="X268" s="532">
        <v>0</v>
      </c>
      <c r="Y268" s="532">
        <v>0</v>
      </c>
      <c r="Z268" s="532">
        <v>0</v>
      </c>
      <c r="AA268" s="532">
        <v>0</v>
      </c>
      <c r="AB268" s="532">
        <v>0</v>
      </c>
      <c r="AC268" s="532">
        <v>0</v>
      </c>
      <c r="AD268" s="532">
        <v>0</v>
      </c>
      <c r="AE268" s="532">
        <v>0</v>
      </c>
      <c r="AF268" s="532">
        <v>0</v>
      </c>
      <c r="AG268" s="532">
        <v>0</v>
      </c>
      <c r="AH268" s="532">
        <v>0</v>
      </c>
      <c r="AI268" s="532">
        <v>0</v>
      </c>
      <c r="AJ268" s="532">
        <v>0</v>
      </c>
      <c r="AK268" s="532"/>
      <c r="AL268" s="532"/>
      <c r="AM268" s="509">
        <v>541277.04</v>
      </c>
      <c r="AN268" s="509">
        <v>0</v>
      </c>
      <c r="AO268" s="509">
        <v>32400</v>
      </c>
      <c r="AP268" s="509">
        <v>32400</v>
      </c>
      <c r="AQ268" s="509">
        <v>32400</v>
      </c>
      <c r="AR268" s="532"/>
      <c r="AS268" s="532">
        <v>64800</v>
      </c>
      <c r="AT268" s="510">
        <f t="shared" si="167"/>
        <v>703277.04</v>
      </c>
      <c r="AU268" s="533">
        <f t="shared" si="139"/>
        <v>6.4988286138096081</v>
      </c>
      <c r="AV268" s="511">
        <f t="shared" si="140"/>
        <v>595061.07035501208</v>
      </c>
      <c r="AW268" s="560">
        <f t="shared" si="141"/>
        <v>5.4988286138096081</v>
      </c>
      <c r="AX268" s="510">
        <f t="shared" si="142"/>
        <v>378882.65644987999</v>
      </c>
      <c r="AY268" s="534">
        <f t="shared" si="143"/>
        <v>0.35011713861903915</v>
      </c>
      <c r="AZ268" s="513">
        <f t="shared" si="144"/>
        <v>108215.96964498801</v>
      </c>
      <c r="BA268" s="515" t="str">
        <f t="shared" si="145"/>
        <v>Vendido</v>
      </c>
      <c r="BB268" s="516" t="str">
        <f t="shared" si="146"/>
        <v>Cliente Atrasado</v>
      </c>
      <c r="BC268" s="555">
        <v>11</v>
      </c>
      <c r="BD268" s="693">
        <f t="shared" si="147"/>
        <v>1</v>
      </c>
      <c r="BE268" s="693">
        <f t="shared" si="148"/>
        <v>12</v>
      </c>
      <c r="BF268" s="535">
        <v>541277.03</v>
      </c>
      <c r="BG268" s="535">
        <v>32400</v>
      </c>
      <c r="BH268" s="693">
        <f t="shared" si="149"/>
        <v>4</v>
      </c>
      <c r="BI268" s="693">
        <f t="shared" si="150"/>
        <v>6</v>
      </c>
      <c r="BJ268" s="655">
        <f t="shared" si="137"/>
        <v>735677.03</v>
      </c>
      <c r="BK268" s="518">
        <f t="shared" si="151"/>
        <v>97200</v>
      </c>
      <c r="BL268" s="518">
        <f t="shared" si="152"/>
        <v>606077.04</v>
      </c>
      <c r="BM268" s="518">
        <f t="shared" si="153"/>
        <v>0</v>
      </c>
      <c r="BN268" s="518">
        <f t="shared" si="154"/>
        <v>0</v>
      </c>
      <c r="BO268" s="655">
        <f t="shared" si="138"/>
        <v>32399.989999999991</v>
      </c>
      <c r="BP268" s="693">
        <f t="shared" si="155"/>
        <v>1</v>
      </c>
      <c r="BQ268" s="697"/>
      <c r="BR268" s="516"/>
      <c r="BT268" s="468">
        <f t="shared" si="156"/>
        <v>-32399.989999999991</v>
      </c>
      <c r="BU268" s="468">
        <f t="shared" si="157"/>
        <v>-32399.989999999991</v>
      </c>
      <c r="BV268" s="468">
        <f t="shared" si="158"/>
        <v>0</v>
      </c>
      <c r="BY268" s="862">
        <f t="shared" si="159"/>
        <v>693057.44499999995</v>
      </c>
      <c r="BZ268" s="862">
        <f t="shared" si="160"/>
        <v>297024.61900000001</v>
      </c>
      <c r="CA268" s="862">
        <f t="shared" si="161"/>
        <v>83166.89</v>
      </c>
      <c r="CB268" s="862">
        <f t="shared" si="162"/>
        <v>8910.74</v>
      </c>
      <c r="CC268" s="863">
        <f t="shared" si="163"/>
        <v>776224.34</v>
      </c>
      <c r="CD268" s="863">
        <f t="shared" si="164"/>
        <v>305935.35999999999</v>
      </c>
      <c r="CE268" s="864">
        <f t="shared" si="165"/>
        <v>1082159.7</v>
      </c>
      <c r="CF268" s="862">
        <f t="shared" si="166"/>
        <v>3.5501199308782816E-3</v>
      </c>
    </row>
    <row r="269" spans="1:84" s="429" customFormat="1" ht="13.9" customHeight="1" x14ac:dyDescent="0.25">
      <c r="A269" s="472"/>
      <c r="B269" s="436">
        <v>1510</v>
      </c>
      <c r="C269" s="436" t="s">
        <v>175</v>
      </c>
      <c r="D269" s="436"/>
      <c r="E269" s="436" t="s">
        <v>383</v>
      </c>
      <c r="F269" s="429" t="s">
        <v>671</v>
      </c>
      <c r="G269" s="473">
        <v>45085</v>
      </c>
      <c r="H269" s="436" t="s">
        <v>128</v>
      </c>
      <c r="I269" s="472">
        <v>887400</v>
      </c>
      <c r="J269" s="472">
        <v>88800</v>
      </c>
      <c r="K269" s="507">
        <v>0</v>
      </c>
      <c r="L269" s="507">
        <v>0</v>
      </c>
      <c r="M269" s="507">
        <v>0</v>
      </c>
      <c r="N269" s="507">
        <v>6000</v>
      </c>
      <c r="O269" s="507">
        <v>3064</v>
      </c>
      <c r="P269" s="507">
        <v>3064</v>
      </c>
      <c r="Q269" s="507">
        <v>3064</v>
      </c>
      <c r="R269" s="507">
        <v>3064</v>
      </c>
      <c r="S269" s="507">
        <v>3064</v>
      </c>
      <c r="T269" s="507">
        <v>0</v>
      </c>
      <c r="U269" s="507">
        <v>6128</v>
      </c>
      <c r="V269" s="507">
        <v>3064</v>
      </c>
      <c r="W269" s="507">
        <v>0</v>
      </c>
      <c r="X269" s="507">
        <v>6128</v>
      </c>
      <c r="Y269" s="507">
        <v>3064</v>
      </c>
      <c r="Z269" s="507">
        <v>3064</v>
      </c>
      <c r="AA269" s="507">
        <v>3064</v>
      </c>
      <c r="AB269" s="507">
        <v>3064</v>
      </c>
      <c r="AC269" s="507">
        <v>3064</v>
      </c>
      <c r="AD269" s="507">
        <v>3064</v>
      </c>
      <c r="AE269" s="507">
        <v>3064</v>
      </c>
      <c r="AF269" s="507">
        <v>3064</v>
      </c>
      <c r="AG269" s="507">
        <v>3064</v>
      </c>
      <c r="AH269" s="507">
        <v>3064</v>
      </c>
      <c r="AI269" s="507">
        <v>3064</v>
      </c>
      <c r="AJ269" s="507">
        <v>3064</v>
      </c>
      <c r="AK269" s="508">
        <v>3065</v>
      </c>
      <c r="AL269" s="508">
        <v>3064</v>
      </c>
      <c r="AM269" s="509">
        <v>3064</v>
      </c>
      <c r="AN269" s="509">
        <v>3064</v>
      </c>
      <c r="AO269" s="509">
        <v>71</v>
      </c>
      <c r="AP269" s="509">
        <v>0</v>
      </c>
      <c r="AQ269" s="509">
        <v>0</v>
      </c>
      <c r="AR269" s="509"/>
      <c r="AS269" s="509"/>
      <c r="AT269" s="510">
        <f t="shared" si="167"/>
        <v>85736</v>
      </c>
      <c r="AU269" s="512">
        <f t="shared" si="139"/>
        <v>0.96549549549549551</v>
      </c>
      <c r="AV269" s="511">
        <f t="shared" si="140"/>
        <v>-3064</v>
      </c>
      <c r="AW269" s="558">
        <f t="shared" si="141"/>
        <v>-3.4504504504504506E-2</v>
      </c>
      <c r="AX269" s="513">
        <f t="shared" si="142"/>
        <v>801664</v>
      </c>
      <c r="AY269" s="514">
        <f t="shared" si="143"/>
        <v>0.90338517016001807</v>
      </c>
      <c r="AZ269" s="513">
        <f t="shared" si="144"/>
        <v>88800</v>
      </c>
      <c r="BA269" s="515" t="str">
        <f t="shared" si="145"/>
        <v>Vendido</v>
      </c>
      <c r="BB269" s="516" t="str">
        <f t="shared" si="146"/>
        <v>Cliente Atrasado</v>
      </c>
      <c r="BC269" s="551">
        <v>27</v>
      </c>
      <c r="BD269" s="693">
        <f t="shared" si="147"/>
        <v>1</v>
      </c>
      <c r="BE269" s="693">
        <f t="shared" si="148"/>
        <v>28</v>
      </c>
      <c r="BF269" s="517">
        <v>6000</v>
      </c>
      <c r="BG269" s="517">
        <v>3065</v>
      </c>
      <c r="BH269" s="693">
        <f t="shared" si="149"/>
        <v>23</v>
      </c>
      <c r="BI269" s="693">
        <f t="shared" si="150"/>
        <v>31</v>
      </c>
      <c r="BJ269" s="655">
        <f t="shared" si="137"/>
        <v>101015</v>
      </c>
      <c r="BK269" s="518">
        <f t="shared" si="151"/>
        <v>67480</v>
      </c>
      <c r="BL269" s="518">
        <f t="shared" si="152"/>
        <v>18256</v>
      </c>
      <c r="BM269" s="518">
        <f t="shared" si="153"/>
        <v>0</v>
      </c>
      <c r="BN269" s="518">
        <f t="shared" si="154"/>
        <v>0</v>
      </c>
      <c r="BO269" s="655">
        <f t="shared" si="138"/>
        <v>15279</v>
      </c>
      <c r="BP269" s="693">
        <f t="shared" si="155"/>
        <v>5</v>
      </c>
      <c r="BQ269" s="696"/>
      <c r="BR269" s="519"/>
      <c r="BT269" s="439">
        <f t="shared" si="156"/>
        <v>-15279</v>
      </c>
      <c r="BU269" s="439">
        <f t="shared" si="157"/>
        <v>-15279</v>
      </c>
      <c r="BV269" s="439">
        <f t="shared" si="158"/>
        <v>0</v>
      </c>
      <c r="BY269" s="862">
        <f t="shared" si="159"/>
        <v>568325.70900000003</v>
      </c>
      <c r="BZ269" s="862">
        <f t="shared" si="160"/>
        <v>243568.16099999999</v>
      </c>
      <c r="CA269" s="862">
        <f t="shared" si="161"/>
        <v>68199.09</v>
      </c>
      <c r="CB269" s="862">
        <f t="shared" si="162"/>
        <v>7307.04</v>
      </c>
      <c r="CC269" s="863">
        <f t="shared" si="163"/>
        <v>636524.80000000005</v>
      </c>
      <c r="CD269" s="863">
        <f t="shared" si="164"/>
        <v>250875.2</v>
      </c>
      <c r="CE269" s="864">
        <f t="shared" si="165"/>
        <v>887400</v>
      </c>
      <c r="CF269" s="862">
        <f t="shared" si="166"/>
        <v>0</v>
      </c>
    </row>
    <row r="270" spans="1:84" s="429" customFormat="1" ht="13.9" customHeight="1" x14ac:dyDescent="0.25">
      <c r="A270" s="472"/>
      <c r="B270" s="436">
        <v>1511</v>
      </c>
      <c r="C270" s="436" t="s">
        <v>563</v>
      </c>
      <c r="D270" s="436"/>
      <c r="E270" s="436" t="s">
        <v>366</v>
      </c>
      <c r="F270" s="429" t="s">
        <v>672</v>
      </c>
      <c r="G270" s="473">
        <v>45155</v>
      </c>
      <c r="H270" s="436" t="s">
        <v>128</v>
      </c>
      <c r="I270" s="472">
        <v>1382700</v>
      </c>
      <c r="J270" s="472">
        <v>138300</v>
      </c>
      <c r="K270" s="507">
        <v>0</v>
      </c>
      <c r="L270" s="507">
        <v>0</v>
      </c>
      <c r="M270" s="507">
        <v>0</v>
      </c>
      <c r="N270" s="507">
        <v>0</v>
      </c>
      <c r="O270" s="507">
        <v>0</v>
      </c>
      <c r="P270" s="507">
        <v>0</v>
      </c>
      <c r="Q270" s="507">
        <v>11292</v>
      </c>
      <c r="R270" s="507">
        <v>0</v>
      </c>
      <c r="S270" s="507">
        <v>5292</v>
      </c>
      <c r="T270" s="507">
        <v>5292</v>
      </c>
      <c r="U270" s="507">
        <v>5292</v>
      </c>
      <c r="V270" s="507">
        <v>5292</v>
      </c>
      <c r="W270" s="507">
        <v>0</v>
      </c>
      <c r="X270" s="507">
        <v>5292</v>
      </c>
      <c r="Y270" s="507">
        <v>10584</v>
      </c>
      <c r="Z270" s="507">
        <v>0</v>
      </c>
      <c r="AA270" s="507">
        <v>5292</v>
      </c>
      <c r="AB270" s="507">
        <v>10584</v>
      </c>
      <c r="AC270" s="507">
        <v>0</v>
      </c>
      <c r="AD270" s="507">
        <v>5292</v>
      </c>
      <c r="AE270" s="507">
        <f>5292+5292</f>
        <v>10584</v>
      </c>
      <c r="AF270" s="507">
        <v>0</v>
      </c>
      <c r="AG270" s="507">
        <f>5300+5300</f>
        <v>10600</v>
      </c>
      <c r="AH270" s="507">
        <v>0</v>
      </c>
      <c r="AI270" s="507">
        <v>5300</v>
      </c>
      <c r="AJ270" s="507">
        <v>0</v>
      </c>
      <c r="AK270" s="508"/>
      <c r="AL270" s="508">
        <f>5300*3</f>
        <v>15900</v>
      </c>
      <c r="AM270" s="509">
        <f>5300+5300</f>
        <v>10600</v>
      </c>
      <c r="AN270" s="509">
        <v>5300</v>
      </c>
      <c r="AO270" s="509">
        <v>5300</v>
      </c>
      <c r="AP270" s="509">
        <v>5300</v>
      </c>
      <c r="AQ270" s="509">
        <v>0</v>
      </c>
      <c r="AR270" s="509">
        <v>5300</v>
      </c>
      <c r="AS270" s="509"/>
      <c r="AT270" s="510">
        <f t="shared" si="167"/>
        <v>143688</v>
      </c>
      <c r="AU270" s="512">
        <f t="shared" si="139"/>
        <v>1.0389587852494577</v>
      </c>
      <c r="AV270" s="511">
        <f t="shared" si="140"/>
        <v>5388</v>
      </c>
      <c r="AW270" s="558">
        <f t="shared" si="141"/>
        <v>3.89587852494577E-2</v>
      </c>
      <c r="AX270" s="513">
        <f t="shared" si="142"/>
        <v>1239012</v>
      </c>
      <c r="AY270" s="514">
        <f t="shared" si="143"/>
        <v>0.89608157951833367</v>
      </c>
      <c r="AZ270" s="513">
        <f t="shared" si="144"/>
        <v>138300</v>
      </c>
      <c r="BA270" s="515" t="str">
        <f t="shared" si="145"/>
        <v>Vendido</v>
      </c>
      <c r="BB270" s="516" t="str">
        <f t="shared" si="146"/>
        <v>Cliente Atrasado</v>
      </c>
      <c r="BC270" s="551">
        <v>25</v>
      </c>
      <c r="BD270" s="693">
        <f t="shared" si="147"/>
        <v>1</v>
      </c>
      <c r="BE270" s="693">
        <f t="shared" si="148"/>
        <v>26</v>
      </c>
      <c r="BF270" s="517">
        <v>6000</v>
      </c>
      <c r="BG270" s="517">
        <v>5292</v>
      </c>
      <c r="BH270" s="693">
        <f t="shared" si="149"/>
        <v>12</v>
      </c>
      <c r="BI270" s="693">
        <f t="shared" si="150"/>
        <v>29</v>
      </c>
      <c r="BJ270" s="655">
        <f t="shared" si="137"/>
        <v>159468</v>
      </c>
      <c r="BK270" s="518">
        <f t="shared" si="151"/>
        <v>37044</v>
      </c>
      <c r="BL270" s="518">
        <f t="shared" si="152"/>
        <v>106644</v>
      </c>
      <c r="BM270" s="518">
        <f t="shared" si="153"/>
        <v>0</v>
      </c>
      <c r="BN270" s="518">
        <f t="shared" si="154"/>
        <v>0</v>
      </c>
      <c r="BO270" s="655">
        <f t="shared" si="138"/>
        <v>15780</v>
      </c>
      <c r="BP270" s="693">
        <f t="shared" si="155"/>
        <v>3</v>
      </c>
      <c r="BQ270" s="696"/>
      <c r="BR270" s="519" t="s">
        <v>426</v>
      </c>
      <c r="BT270" s="439">
        <f t="shared" si="156"/>
        <v>-15780</v>
      </c>
      <c r="BU270" s="439">
        <f t="shared" si="157"/>
        <v>-15780</v>
      </c>
      <c r="BV270" s="439">
        <f t="shared" si="158"/>
        <v>0</v>
      </c>
      <c r="BY270" s="862">
        <f t="shared" si="159"/>
        <v>885535.22400000005</v>
      </c>
      <c r="BZ270" s="862">
        <f t="shared" si="160"/>
        <v>379515.09600000002</v>
      </c>
      <c r="CA270" s="862">
        <f t="shared" si="161"/>
        <v>106264.23</v>
      </c>
      <c r="CB270" s="862">
        <f t="shared" si="162"/>
        <v>11385.45</v>
      </c>
      <c r="CC270" s="863">
        <f t="shared" si="163"/>
        <v>991799.45</v>
      </c>
      <c r="CD270" s="863">
        <f t="shared" si="164"/>
        <v>390900.55</v>
      </c>
      <c r="CE270" s="864">
        <f t="shared" si="165"/>
        <v>1382700</v>
      </c>
      <c r="CF270" s="862">
        <f t="shared" si="166"/>
        <v>0</v>
      </c>
    </row>
    <row r="271" spans="1:84" s="429" customFormat="1" ht="13.9" customHeight="1" x14ac:dyDescent="0.25">
      <c r="B271" s="905">
        <v>1512</v>
      </c>
      <c r="C271" s="436" t="s">
        <v>565</v>
      </c>
      <c r="D271" s="436"/>
      <c r="E271" s="436"/>
      <c r="G271" s="473"/>
      <c r="H271" s="436" t="s">
        <v>374</v>
      </c>
      <c r="I271" s="472">
        <v>1215700</v>
      </c>
      <c r="J271" s="472">
        <v>85100</v>
      </c>
      <c r="K271" s="507">
        <v>0</v>
      </c>
      <c r="L271" s="507">
        <v>0</v>
      </c>
      <c r="M271" s="507">
        <v>0</v>
      </c>
      <c r="N271" s="507">
        <v>0</v>
      </c>
      <c r="O271" s="507">
        <v>0</v>
      </c>
      <c r="P271" s="507">
        <v>0</v>
      </c>
      <c r="Q271" s="507">
        <v>0</v>
      </c>
      <c r="R271" s="507">
        <v>0</v>
      </c>
      <c r="S271" s="507">
        <v>0</v>
      </c>
      <c r="T271" s="507">
        <v>0</v>
      </c>
      <c r="U271" s="507">
        <v>0</v>
      </c>
      <c r="V271" s="507">
        <v>0</v>
      </c>
      <c r="W271" s="507">
        <v>0</v>
      </c>
      <c r="X271" s="507">
        <v>0</v>
      </c>
      <c r="Y271" s="507">
        <v>0</v>
      </c>
      <c r="Z271" s="507">
        <v>0</v>
      </c>
      <c r="AA271" s="507">
        <v>0</v>
      </c>
      <c r="AB271" s="507">
        <v>0</v>
      </c>
      <c r="AC271" s="507">
        <v>0</v>
      </c>
      <c r="AD271" s="507">
        <v>0</v>
      </c>
      <c r="AE271" s="507">
        <v>0</v>
      </c>
      <c r="AF271" s="507">
        <v>0</v>
      </c>
      <c r="AG271" s="507">
        <v>0</v>
      </c>
      <c r="AH271" s="507">
        <v>0</v>
      </c>
      <c r="AI271" s="507">
        <v>0</v>
      </c>
      <c r="AJ271" s="507">
        <v>0</v>
      </c>
      <c r="AK271" s="508"/>
      <c r="AL271" s="508"/>
      <c r="AM271" s="509"/>
      <c r="AN271" s="509">
        <v>0</v>
      </c>
      <c r="AO271" s="509">
        <v>0</v>
      </c>
      <c r="AP271" s="509">
        <v>0</v>
      </c>
      <c r="AQ271" s="509">
        <v>0</v>
      </c>
      <c r="AR271" s="509"/>
      <c r="AS271" s="509"/>
      <c r="AT271" s="510">
        <f t="shared" si="167"/>
        <v>0</v>
      </c>
      <c r="AU271" s="512">
        <f t="shared" si="139"/>
        <v>0</v>
      </c>
      <c r="AV271" s="511">
        <f t="shared" si="140"/>
        <v>0</v>
      </c>
      <c r="AW271" s="558">
        <f t="shared" si="141"/>
        <v>0</v>
      </c>
      <c r="AX271" s="513">
        <f t="shared" si="142"/>
        <v>1215700</v>
      </c>
      <c r="AY271" s="514">
        <f t="shared" si="143"/>
        <v>1</v>
      </c>
      <c r="AZ271" s="513">
        <f t="shared" si="144"/>
        <v>0</v>
      </c>
      <c r="BA271" s="515" t="str">
        <f t="shared" si="145"/>
        <v>Disponible</v>
      </c>
      <c r="BB271" s="516" t="str">
        <f t="shared" si="146"/>
        <v>Disponible</v>
      </c>
      <c r="BC271" s="551"/>
      <c r="BD271" s="693">
        <f t="shared" si="147"/>
        <v>0</v>
      </c>
      <c r="BE271" s="693">
        <f t="shared" si="148"/>
        <v>0</v>
      </c>
      <c r="BF271" s="517"/>
      <c r="BG271" s="517"/>
      <c r="BH271" s="693">
        <f t="shared" si="149"/>
        <v>0</v>
      </c>
      <c r="BI271" s="693">
        <f t="shared" si="150"/>
        <v>0</v>
      </c>
      <c r="BJ271" s="655">
        <f t="shared" si="137"/>
        <v>0</v>
      </c>
      <c r="BK271" s="518">
        <f t="shared" si="151"/>
        <v>0</v>
      </c>
      <c r="BL271" s="518">
        <f t="shared" si="152"/>
        <v>0</v>
      </c>
      <c r="BM271" s="518">
        <f t="shared" si="153"/>
        <v>0</v>
      </c>
      <c r="BN271" s="518">
        <f t="shared" si="154"/>
        <v>0</v>
      </c>
      <c r="BO271" s="655">
        <f t="shared" si="138"/>
        <v>0</v>
      </c>
      <c r="BP271" s="693">
        <f t="shared" si="155"/>
        <v>0</v>
      </c>
      <c r="BQ271" s="696"/>
      <c r="BR271" s="519" t="s">
        <v>673</v>
      </c>
      <c r="BT271" s="439">
        <f t="shared" si="156"/>
        <v>0</v>
      </c>
      <c r="BU271" s="439">
        <f t="shared" si="157"/>
        <v>0</v>
      </c>
      <c r="BV271" s="439">
        <f t="shared" si="158"/>
        <v>0</v>
      </c>
      <c r="BY271" s="862">
        <f t="shared" si="159"/>
        <v>778581.88500000001</v>
      </c>
      <c r="BZ271" s="862">
        <f t="shared" si="160"/>
        <v>333677.951</v>
      </c>
      <c r="CA271" s="862">
        <f t="shared" si="161"/>
        <v>93429.83</v>
      </c>
      <c r="CB271" s="862">
        <f t="shared" si="162"/>
        <v>10010.34</v>
      </c>
      <c r="CC271" s="863">
        <f t="shared" si="163"/>
        <v>872011.72</v>
      </c>
      <c r="CD271" s="863">
        <f t="shared" si="164"/>
        <v>343688.29</v>
      </c>
      <c r="CE271" s="864">
        <f t="shared" si="165"/>
        <v>1215700.01</v>
      </c>
      <c r="CF271" s="862">
        <f t="shared" si="166"/>
        <v>1.0000000009313226E-2</v>
      </c>
    </row>
    <row r="272" spans="1:84" s="429" customFormat="1" ht="13.9" customHeight="1" x14ac:dyDescent="0.25">
      <c r="A272" s="472"/>
      <c r="B272" s="436">
        <v>1601</v>
      </c>
      <c r="C272" s="436" t="s">
        <v>662</v>
      </c>
      <c r="D272" s="436"/>
      <c r="E272" s="436" t="s">
        <v>383</v>
      </c>
      <c r="F272" s="429" t="s">
        <v>649</v>
      </c>
      <c r="G272" s="473">
        <v>45162</v>
      </c>
      <c r="H272" s="436" t="s">
        <v>128</v>
      </c>
      <c r="I272" s="472">
        <v>1255283.8999999999</v>
      </c>
      <c r="J272" s="472">
        <v>125583.9</v>
      </c>
      <c r="K272" s="507">
        <v>0</v>
      </c>
      <c r="L272" s="507">
        <v>0</v>
      </c>
      <c r="M272" s="507">
        <v>0</v>
      </c>
      <c r="N272" s="507">
        <v>0</v>
      </c>
      <c r="O272" s="507">
        <v>0</v>
      </c>
      <c r="P272" s="507">
        <v>6000</v>
      </c>
      <c r="Q272" s="507">
        <v>5000</v>
      </c>
      <c r="R272" s="507">
        <v>5000</v>
      </c>
      <c r="S272" s="507">
        <v>5000</v>
      </c>
      <c r="T272" s="507">
        <v>5000</v>
      </c>
      <c r="U272" s="507">
        <v>6000</v>
      </c>
      <c r="V272" s="507">
        <v>5000</v>
      </c>
      <c r="W272" s="507">
        <v>5000</v>
      </c>
      <c r="X272" s="507">
        <v>5000</v>
      </c>
      <c r="Y272" s="507">
        <v>5000</v>
      </c>
      <c r="Z272" s="507">
        <v>5000</v>
      </c>
      <c r="AA272" s="507">
        <v>5000</v>
      </c>
      <c r="AB272" s="507">
        <v>0</v>
      </c>
      <c r="AC272" s="507">
        <v>7000</v>
      </c>
      <c r="AD272" s="507">
        <v>5000</v>
      </c>
      <c r="AE272" s="507">
        <v>10000</v>
      </c>
      <c r="AF272" s="507">
        <v>5000</v>
      </c>
      <c r="AG272" s="507">
        <v>5000</v>
      </c>
      <c r="AH272" s="507">
        <v>5000</v>
      </c>
      <c r="AI272" s="507">
        <v>0</v>
      </c>
      <c r="AJ272" s="507">
        <v>10000</v>
      </c>
      <c r="AK272" s="509">
        <v>5000</v>
      </c>
      <c r="AL272" s="509">
        <v>5000</v>
      </c>
      <c r="AM272" s="509"/>
      <c r="AN272" s="509">
        <f>5000+5000</f>
        <v>10000</v>
      </c>
      <c r="AO272" s="509">
        <v>0</v>
      </c>
      <c r="AP272" s="509">
        <v>0</v>
      </c>
      <c r="AQ272" s="509">
        <v>0</v>
      </c>
      <c r="AR272" s="509"/>
      <c r="AS272" s="509"/>
      <c r="AT272" s="510">
        <f t="shared" si="167"/>
        <v>129000</v>
      </c>
      <c r="AU272" s="512">
        <f t="shared" si="139"/>
        <v>1.0272017352542802</v>
      </c>
      <c r="AV272" s="511">
        <f t="shared" si="140"/>
        <v>3416.1000000000058</v>
      </c>
      <c r="AW272" s="558">
        <f t="shared" si="141"/>
        <v>2.7201735254280254E-2</v>
      </c>
      <c r="AX272" s="513">
        <f t="shared" si="142"/>
        <v>1126283.8999999999</v>
      </c>
      <c r="AY272" s="514">
        <f t="shared" si="143"/>
        <v>0.89723440251245157</v>
      </c>
      <c r="AZ272" s="513">
        <f t="shared" si="144"/>
        <v>125583.9</v>
      </c>
      <c r="BA272" s="515" t="str">
        <f t="shared" si="145"/>
        <v>Vendido</v>
      </c>
      <c r="BB272" s="516" t="str">
        <f t="shared" si="146"/>
        <v>Cliente Atrasado</v>
      </c>
      <c r="BC272" s="551">
        <v>25</v>
      </c>
      <c r="BD272" s="693">
        <f t="shared" si="147"/>
        <v>1</v>
      </c>
      <c r="BE272" s="693">
        <f t="shared" si="148"/>
        <v>26</v>
      </c>
      <c r="BF272" s="517">
        <v>6000</v>
      </c>
      <c r="BG272" s="517">
        <v>4780</v>
      </c>
      <c r="BH272" s="693">
        <f t="shared" si="149"/>
        <v>16</v>
      </c>
      <c r="BI272" s="693">
        <f t="shared" si="150"/>
        <v>29</v>
      </c>
      <c r="BJ272" s="655">
        <f t="shared" si="137"/>
        <v>144620</v>
      </c>
      <c r="BK272" s="518">
        <f t="shared" si="151"/>
        <v>0</v>
      </c>
      <c r="BL272" s="518">
        <f t="shared" si="152"/>
        <v>129000</v>
      </c>
      <c r="BM272" s="518">
        <f t="shared" si="153"/>
        <v>0</v>
      </c>
      <c r="BN272" s="518">
        <f t="shared" si="154"/>
        <v>0</v>
      </c>
      <c r="BO272" s="655">
        <f t="shared" si="138"/>
        <v>15620</v>
      </c>
      <c r="BP272" s="693">
        <f t="shared" si="155"/>
        <v>4</v>
      </c>
      <c r="BQ272" s="696"/>
      <c r="BR272" s="519"/>
      <c r="BT272" s="439">
        <f t="shared" si="156"/>
        <v>-15620</v>
      </c>
      <c r="BU272" s="439">
        <f t="shared" si="157"/>
        <v>-15620</v>
      </c>
      <c r="BV272" s="439">
        <f t="shared" si="158"/>
        <v>0</v>
      </c>
      <c r="BY272" s="862">
        <f t="shared" si="159"/>
        <v>803932.96400000004</v>
      </c>
      <c r="BZ272" s="862">
        <f t="shared" si="160"/>
        <v>344542.69900000002</v>
      </c>
      <c r="CA272" s="862">
        <f t="shared" si="161"/>
        <v>96471.96</v>
      </c>
      <c r="CB272" s="862">
        <f t="shared" si="162"/>
        <v>10336.280000000001</v>
      </c>
      <c r="CC272" s="863">
        <f t="shared" si="163"/>
        <v>900404.92</v>
      </c>
      <c r="CD272" s="863">
        <f t="shared" si="164"/>
        <v>354878.98</v>
      </c>
      <c r="CE272" s="864">
        <f t="shared" si="165"/>
        <v>1255283.8999999999</v>
      </c>
      <c r="CF272" s="862">
        <f t="shared" si="166"/>
        <v>0</v>
      </c>
    </row>
    <row r="273" spans="1:84" s="429" customFormat="1" ht="13.9" customHeight="1" x14ac:dyDescent="0.25">
      <c r="A273" s="472" t="s">
        <v>58</v>
      </c>
      <c r="B273" s="475">
        <v>1602</v>
      </c>
      <c r="C273" s="475" t="s">
        <v>664</v>
      </c>
      <c r="D273" s="475"/>
      <c r="E273" s="475" t="s">
        <v>363</v>
      </c>
      <c r="F273" s="476" t="s">
        <v>364</v>
      </c>
      <c r="G273" s="473">
        <v>45300</v>
      </c>
      <c r="H273" s="436" t="s">
        <v>128</v>
      </c>
      <c r="I273" s="472">
        <v>1297200</v>
      </c>
      <c r="J273" s="472">
        <v>129720</v>
      </c>
      <c r="K273" s="507">
        <v>0</v>
      </c>
      <c r="L273" s="507">
        <v>0</v>
      </c>
      <c r="M273" s="507">
        <v>0</v>
      </c>
      <c r="N273" s="507">
        <v>0</v>
      </c>
      <c r="O273" s="507">
        <v>0</v>
      </c>
      <c r="P273" s="507">
        <v>0</v>
      </c>
      <c r="Q273" s="507">
        <v>0</v>
      </c>
      <c r="R273" s="507">
        <v>0</v>
      </c>
      <c r="S273" s="507">
        <v>0</v>
      </c>
      <c r="T273" s="507">
        <v>0</v>
      </c>
      <c r="U273" s="507">
        <v>0</v>
      </c>
      <c r="V273" s="507">
        <v>0</v>
      </c>
      <c r="W273" s="507">
        <v>0</v>
      </c>
      <c r="X273" s="507">
        <v>0</v>
      </c>
      <c r="Y273" s="507">
        <v>0</v>
      </c>
      <c r="Z273" s="507">
        <v>0</v>
      </c>
      <c r="AA273" s="507">
        <v>0</v>
      </c>
      <c r="AB273" s="507">
        <v>0</v>
      </c>
      <c r="AC273" s="507">
        <v>0</v>
      </c>
      <c r="AD273" s="507">
        <v>0</v>
      </c>
      <c r="AE273" s="507">
        <v>0</v>
      </c>
      <c r="AF273" s="507">
        <v>0</v>
      </c>
      <c r="AG273" s="507">
        <v>0</v>
      </c>
      <c r="AH273" s="507">
        <v>0</v>
      </c>
      <c r="AI273" s="507">
        <v>0</v>
      </c>
      <c r="AJ273" s="507">
        <v>0</v>
      </c>
      <c r="AK273" s="508"/>
      <c r="AL273" s="508"/>
      <c r="AM273" s="508"/>
      <c r="AN273" s="509">
        <v>0</v>
      </c>
      <c r="AO273" s="509">
        <v>0</v>
      </c>
      <c r="AP273" s="509">
        <v>0</v>
      </c>
      <c r="AQ273" s="509">
        <v>0</v>
      </c>
      <c r="AR273" s="508"/>
      <c r="AS273" s="508"/>
      <c r="AT273" s="510">
        <f t="shared" si="167"/>
        <v>0</v>
      </c>
      <c r="AU273" s="512">
        <f t="shared" si="139"/>
        <v>0</v>
      </c>
      <c r="AV273" s="511">
        <f t="shared" si="140"/>
        <v>-129720</v>
      </c>
      <c r="AW273" s="558">
        <f t="shared" si="141"/>
        <v>-1</v>
      </c>
      <c r="AX273" s="513">
        <f t="shared" si="142"/>
        <v>1297200</v>
      </c>
      <c r="AY273" s="514">
        <f t="shared" si="143"/>
        <v>1</v>
      </c>
      <c r="AZ273" s="513">
        <f t="shared" si="144"/>
        <v>129720</v>
      </c>
      <c r="BA273" s="515" t="str">
        <f t="shared" si="145"/>
        <v>Vendido</v>
      </c>
      <c r="BB273" s="516" t="str">
        <f>IF(AND(BA273="Vendido",G273&gt;=0,BJ273&lt;=AT273,AT273&lt;AZ273),"Cliente al día",IF(AND(BA273="Vendido",G273&gt;=0,BJ273&lt;=AT273,AT273=AZ273),"Enganche Completado",IF(AND(BA273="Vendido",G273&gt;=0,BJ273&lt;AT273,AT273&gt;AZ273),"Superávit de Enganche",IF(AND(BA273="Disponible",G273=0,AV273=0),"Disponible","Cliente Atrasado"))))</f>
        <v>Cliente Atrasado</v>
      </c>
      <c r="BC273" s="551">
        <v>28</v>
      </c>
      <c r="BD273" s="693">
        <f t="shared" si="147"/>
        <v>1</v>
      </c>
      <c r="BE273" s="693">
        <f t="shared" si="148"/>
        <v>29</v>
      </c>
      <c r="BF273" s="517">
        <v>6000</v>
      </c>
      <c r="BG273" s="517">
        <v>4419</v>
      </c>
      <c r="BH273" s="693">
        <f t="shared" si="149"/>
        <v>0</v>
      </c>
      <c r="BI273" s="693">
        <f t="shared" si="150"/>
        <v>24</v>
      </c>
      <c r="BJ273" s="655">
        <f t="shared" si="137"/>
        <v>112056</v>
      </c>
      <c r="BK273" s="518">
        <f t="shared" si="151"/>
        <v>0</v>
      </c>
      <c r="BL273" s="518">
        <f t="shared" si="152"/>
        <v>0</v>
      </c>
      <c r="BM273" s="518">
        <f t="shared" si="153"/>
        <v>0</v>
      </c>
      <c r="BN273" s="518">
        <f t="shared" si="154"/>
        <v>0</v>
      </c>
      <c r="BO273" s="655">
        <f t="shared" si="138"/>
        <v>112056</v>
      </c>
      <c r="BP273" s="693" t="str">
        <f t="shared" si="155"/>
        <v/>
      </c>
      <c r="BQ273" s="695" t="s">
        <v>58</v>
      </c>
      <c r="BR273" s="519"/>
      <c r="BT273" s="439">
        <f t="shared" si="156"/>
        <v>-112056</v>
      </c>
      <c r="BU273" s="439">
        <f t="shared" si="157"/>
        <v>-112056</v>
      </c>
      <c r="BV273" s="439">
        <f t="shared" si="158"/>
        <v>0</v>
      </c>
      <c r="BY273" s="862">
        <f t="shared" si="159"/>
        <v>830777.67599999998</v>
      </c>
      <c r="BZ273" s="862">
        <f t="shared" si="160"/>
        <v>356047.57500000001</v>
      </c>
      <c r="CA273" s="862">
        <f t="shared" si="161"/>
        <v>99693.32</v>
      </c>
      <c r="CB273" s="862">
        <f t="shared" si="162"/>
        <v>10681.43</v>
      </c>
      <c r="CC273" s="863">
        <f t="shared" si="163"/>
        <v>930471</v>
      </c>
      <c r="CD273" s="863">
        <f t="shared" si="164"/>
        <v>366729.01</v>
      </c>
      <c r="CE273" s="864">
        <f t="shared" si="165"/>
        <v>1297200.01</v>
      </c>
      <c r="CF273" s="862">
        <f t="shared" si="166"/>
        <v>1.0000000009313226E-2</v>
      </c>
    </row>
    <row r="274" spans="1:84" s="429" customFormat="1" ht="13.9" customHeight="1" x14ac:dyDescent="0.25">
      <c r="A274" s="472"/>
      <c r="B274" s="436">
        <v>1603</v>
      </c>
      <c r="C274" s="436" t="s">
        <v>393</v>
      </c>
      <c r="D274" s="436"/>
      <c r="E274" s="436" t="s">
        <v>366</v>
      </c>
      <c r="F274" s="429" t="s">
        <v>674</v>
      </c>
      <c r="G274" s="473">
        <v>45013</v>
      </c>
      <c r="H274" s="436" t="s">
        <v>128</v>
      </c>
      <c r="I274" s="472">
        <v>863130.61</v>
      </c>
      <c r="J274" s="472">
        <v>156030.60999999999</v>
      </c>
      <c r="K274" s="507">
        <v>6000</v>
      </c>
      <c r="L274" s="507">
        <v>0</v>
      </c>
      <c r="M274" s="507">
        <v>0</v>
      </c>
      <c r="N274" s="507">
        <v>0</v>
      </c>
      <c r="O274" s="507">
        <v>0</v>
      </c>
      <c r="P274" s="507">
        <v>244000</v>
      </c>
      <c r="Q274" s="507">
        <v>576342</v>
      </c>
      <c r="R274" s="507">
        <v>0</v>
      </c>
      <c r="S274" s="507">
        <v>0</v>
      </c>
      <c r="T274" s="507">
        <v>0</v>
      </c>
      <c r="U274" s="507">
        <v>0</v>
      </c>
      <c r="V274" s="507">
        <v>0</v>
      </c>
      <c r="W274" s="507">
        <v>0</v>
      </c>
      <c r="X274" s="507">
        <v>0</v>
      </c>
      <c r="Y274" s="507">
        <v>0</v>
      </c>
      <c r="Z274" s="507">
        <v>0</v>
      </c>
      <c r="AA274" s="507">
        <v>0</v>
      </c>
      <c r="AB274" s="507">
        <v>0</v>
      </c>
      <c r="AC274" s="507">
        <v>0</v>
      </c>
      <c r="AD274" s="507">
        <v>0</v>
      </c>
      <c r="AE274" s="507">
        <v>0</v>
      </c>
      <c r="AF274" s="507">
        <v>0</v>
      </c>
      <c r="AG274" s="507">
        <v>0</v>
      </c>
      <c r="AH274" s="507">
        <v>0</v>
      </c>
      <c r="AI274" s="507">
        <v>0</v>
      </c>
      <c r="AJ274" s="507">
        <v>0</v>
      </c>
      <c r="AK274" s="508"/>
      <c r="AL274" s="508"/>
      <c r="AM274" s="508"/>
      <c r="AN274" s="509">
        <v>0</v>
      </c>
      <c r="AO274" s="509">
        <v>0</v>
      </c>
      <c r="AP274" s="509">
        <v>0</v>
      </c>
      <c r="AQ274" s="509">
        <v>0</v>
      </c>
      <c r="AR274" s="508"/>
      <c r="AS274" s="508"/>
      <c r="AT274" s="510">
        <f t="shared" si="167"/>
        <v>826342</v>
      </c>
      <c r="AU274" s="512">
        <f t="shared" si="139"/>
        <v>5.2960249274164859</v>
      </c>
      <c r="AV274" s="511">
        <f t="shared" si="140"/>
        <v>670311.39</v>
      </c>
      <c r="AW274" s="558">
        <f t="shared" si="141"/>
        <v>4.2960249274164859</v>
      </c>
      <c r="AX274" s="513">
        <f t="shared" si="142"/>
        <v>36788.609999999986</v>
      </c>
      <c r="AY274" s="514">
        <f t="shared" si="143"/>
        <v>4.2622297916186734E-2</v>
      </c>
      <c r="AZ274" s="513">
        <f t="shared" si="144"/>
        <v>156030.60999999999</v>
      </c>
      <c r="BA274" s="515" t="str">
        <f t="shared" si="145"/>
        <v>Vendido</v>
      </c>
      <c r="BB274" s="516" t="str">
        <f t="shared" si="146"/>
        <v>Superávit de Enganche</v>
      </c>
      <c r="BC274" s="551">
        <v>26</v>
      </c>
      <c r="BD274" s="693">
        <f t="shared" si="147"/>
        <v>1</v>
      </c>
      <c r="BE274" s="693">
        <f t="shared" si="148"/>
        <v>27</v>
      </c>
      <c r="BF274" s="517">
        <v>6000</v>
      </c>
      <c r="BG274" s="517">
        <v>5001</v>
      </c>
      <c r="BH274" s="693">
        <f t="shared" si="149"/>
        <v>0</v>
      </c>
      <c r="BI274" s="693">
        <f t="shared" si="150"/>
        <v>33</v>
      </c>
      <c r="BJ274" s="655">
        <f t="shared" ref="BJ274:BJ295" si="168">(BI274*BG274)+BF274</f>
        <v>171033</v>
      </c>
      <c r="BK274" s="518">
        <f t="shared" si="151"/>
        <v>0</v>
      </c>
      <c r="BL274" s="518">
        <f t="shared" si="152"/>
        <v>826342</v>
      </c>
      <c r="BM274" s="518">
        <f t="shared" si="153"/>
        <v>0</v>
      </c>
      <c r="BN274" s="518">
        <f t="shared" si="154"/>
        <v>655309</v>
      </c>
      <c r="BO274" s="655">
        <f t="shared" si="138"/>
        <v>0</v>
      </c>
      <c r="BP274" s="693">
        <f t="shared" si="155"/>
        <v>0</v>
      </c>
      <c r="BQ274" s="696"/>
      <c r="BR274" s="519" t="s">
        <v>675</v>
      </c>
      <c r="BT274" s="439">
        <f t="shared" si="156"/>
        <v>655309</v>
      </c>
      <c r="BU274" s="439">
        <f t="shared" si="157"/>
        <v>655309</v>
      </c>
      <c r="BV274" s="439">
        <f t="shared" si="158"/>
        <v>0</v>
      </c>
      <c r="BY274" s="862">
        <f t="shared" si="159"/>
        <v>552782.64099999995</v>
      </c>
      <c r="BZ274" s="862">
        <f t="shared" si="160"/>
        <v>236906.84599999999</v>
      </c>
      <c r="CA274" s="862">
        <f t="shared" si="161"/>
        <v>66333.919999999998</v>
      </c>
      <c r="CB274" s="862">
        <f t="shared" si="162"/>
        <v>7107.21</v>
      </c>
      <c r="CC274" s="863">
        <f t="shared" si="163"/>
        <v>619116.56000000006</v>
      </c>
      <c r="CD274" s="863">
        <f t="shared" si="164"/>
        <v>244014.06</v>
      </c>
      <c r="CE274" s="864">
        <f t="shared" si="165"/>
        <v>863130.62</v>
      </c>
      <c r="CF274" s="862">
        <f t="shared" si="166"/>
        <v>1.0000000009313226E-2</v>
      </c>
    </row>
    <row r="275" spans="1:84" s="429" customFormat="1" ht="13.9" customHeight="1" x14ac:dyDescent="0.25">
      <c r="A275" s="472"/>
      <c r="B275" s="436">
        <v>1604</v>
      </c>
      <c r="C275" s="436" t="s">
        <v>172</v>
      </c>
      <c r="D275" s="436"/>
      <c r="E275" s="436" t="s">
        <v>366</v>
      </c>
      <c r="F275" s="429" t="s">
        <v>676</v>
      </c>
      <c r="G275" s="473">
        <v>45062</v>
      </c>
      <c r="H275" s="436" t="s">
        <v>128</v>
      </c>
      <c r="I275" s="472">
        <v>894100</v>
      </c>
      <c r="J275" s="472">
        <v>89500</v>
      </c>
      <c r="K275" s="507">
        <v>0</v>
      </c>
      <c r="L275" s="507">
        <v>0</v>
      </c>
      <c r="M275" s="507">
        <v>6000</v>
      </c>
      <c r="N275" s="507">
        <v>2982</v>
      </c>
      <c r="O275" s="507">
        <v>2982</v>
      </c>
      <c r="P275" s="507">
        <v>2982</v>
      </c>
      <c r="Q275" s="507">
        <v>2982</v>
      </c>
      <c r="R275" s="507">
        <v>2982</v>
      </c>
      <c r="S275" s="507">
        <v>2982</v>
      </c>
      <c r="T275" s="507">
        <v>2982</v>
      </c>
      <c r="U275" s="507">
        <v>2982</v>
      </c>
      <c r="V275" s="507">
        <v>2982</v>
      </c>
      <c r="W275" s="507">
        <v>2982</v>
      </c>
      <c r="X275" s="507">
        <v>0</v>
      </c>
      <c r="Y275" s="507">
        <v>5964</v>
      </c>
      <c r="Z275" s="507">
        <v>0</v>
      </c>
      <c r="AA275" s="507">
        <v>2982</v>
      </c>
      <c r="AB275" s="507">
        <v>5964</v>
      </c>
      <c r="AC275" s="507">
        <v>2982</v>
      </c>
      <c r="AD275" s="507">
        <v>0</v>
      </c>
      <c r="AE275" s="507">
        <f>2982+2982</f>
        <v>5964</v>
      </c>
      <c r="AF275" s="507">
        <v>2982</v>
      </c>
      <c r="AG275" s="507">
        <v>2982</v>
      </c>
      <c r="AH275" s="507">
        <v>2982</v>
      </c>
      <c r="AI275" s="507">
        <v>2982</v>
      </c>
      <c r="AJ275" s="508">
        <v>2982</v>
      </c>
      <c r="AK275" s="508">
        <v>2982</v>
      </c>
      <c r="AL275" s="508">
        <v>2982</v>
      </c>
      <c r="AM275" s="509">
        <v>2982</v>
      </c>
      <c r="AN275" s="509">
        <v>2982</v>
      </c>
      <c r="AO275" s="509">
        <v>2986</v>
      </c>
      <c r="AP275" s="509">
        <v>0</v>
      </c>
      <c r="AQ275" s="509">
        <v>0</v>
      </c>
      <c r="AR275" s="509"/>
      <c r="AS275" s="509"/>
      <c r="AT275" s="510">
        <f t="shared" si="167"/>
        <v>89500</v>
      </c>
      <c r="AU275" s="512">
        <f t="shared" si="139"/>
        <v>1</v>
      </c>
      <c r="AV275" s="511">
        <f t="shared" si="140"/>
        <v>0</v>
      </c>
      <c r="AW275" s="558">
        <f t="shared" si="141"/>
        <v>0</v>
      </c>
      <c r="AX275" s="513">
        <f t="shared" si="142"/>
        <v>804600</v>
      </c>
      <c r="AY275" s="514">
        <f t="shared" si="143"/>
        <v>0.89989934011855499</v>
      </c>
      <c r="AZ275" s="513">
        <f t="shared" si="144"/>
        <v>89500</v>
      </c>
      <c r="BA275" s="515" t="str">
        <f t="shared" si="145"/>
        <v>Vendido</v>
      </c>
      <c r="BB275" s="516" t="str">
        <f t="shared" si="146"/>
        <v>Cliente Atrasado</v>
      </c>
      <c r="BC275" s="551">
        <v>28</v>
      </c>
      <c r="BD275" s="693">
        <f t="shared" si="147"/>
        <v>1</v>
      </c>
      <c r="BE275" s="693">
        <f t="shared" si="148"/>
        <v>29</v>
      </c>
      <c r="BF275" s="517">
        <v>6000</v>
      </c>
      <c r="BG275" s="517">
        <v>2982</v>
      </c>
      <c r="BH275" s="693">
        <f t="shared" si="149"/>
        <v>25</v>
      </c>
      <c r="BI275" s="693">
        <f t="shared" si="150"/>
        <v>32</v>
      </c>
      <c r="BJ275" s="655">
        <f t="shared" si="168"/>
        <v>101424</v>
      </c>
      <c r="BK275" s="518">
        <f t="shared" si="151"/>
        <v>62622</v>
      </c>
      <c r="BL275" s="518">
        <f t="shared" si="152"/>
        <v>26878</v>
      </c>
      <c r="BM275" s="518">
        <f t="shared" si="153"/>
        <v>0</v>
      </c>
      <c r="BN275" s="518">
        <f t="shared" si="154"/>
        <v>0</v>
      </c>
      <c r="BO275" s="655">
        <f t="shared" si="138"/>
        <v>11924</v>
      </c>
      <c r="BP275" s="693">
        <f t="shared" si="155"/>
        <v>4</v>
      </c>
      <c r="BQ275" s="696"/>
      <c r="BR275" s="519"/>
      <c r="BT275" s="439">
        <f t="shared" si="156"/>
        <v>-11924</v>
      </c>
      <c r="BU275" s="439">
        <f t="shared" si="157"/>
        <v>-11924</v>
      </c>
      <c r="BV275" s="439">
        <f t="shared" si="158"/>
        <v>0</v>
      </c>
      <c r="BY275" s="862">
        <f t="shared" si="159"/>
        <v>572616.65099999995</v>
      </c>
      <c r="BZ275" s="862">
        <f t="shared" si="160"/>
        <v>245407.136</v>
      </c>
      <c r="CA275" s="862">
        <f t="shared" si="161"/>
        <v>68714</v>
      </c>
      <c r="CB275" s="862">
        <f t="shared" si="162"/>
        <v>7362.21</v>
      </c>
      <c r="CC275" s="863">
        <f t="shared" si="163"/>
        <v>641330.65</v>
      </c>
      <c r="CD275" s="863">
        <f t="shared" si="164"/>
        <v>252769.35</v>
      </c>
      <c r="CE275" s="864">
        <f t="shared" si="165"/>
        <v>894100</v>
      </c>
      <c r="CF275" s="862">
        <f t="shared" si="166"/>
        <v>0</v>
      </c>
    </row>
    <row r="276" spans="1:84" s="429" customFormat="1" ht="13.9" customHeight="1" x14ac:dyDescent="0.25">
      <c r="A276" s="472"/>
      <c r="B276" s="436">
        <v>1605</v>
      </c>
      <c r="C276" s="436" t="s">
        <v>395</v>
      </c>
      <c r="D276" s="436"/>
      <c r="E276" s="436" t="s">
        <v>366</v>
      </c>
      <c r="F276" s="429" t="s">
        <v>677</v>
      </c>
      <c r="G276" s="473">
        <v>45587</v>
      </c>
      <c r="H276" s="436" t="s">
        <v>128</v>
      </c>
      <c r="I276" s="472">
        <v>1393455</v>
      </c>
      <c r="J276" s="472">
        <f>+I276*0.1+9.5</f>
        <v>139355</v>
      </c>
      <c r="K276" s="507">
        <v>0</v>
      </c>
      <c r="L276" s="507">
        <v>0</v>
      </c>
      <c r="M276" s="507">
        <v>0</v>
      </c>
      <c r="N276" s="507">
        <v>0</v>
      </c>
      <c r="O276" s="507">
        <v>0</v>
      </c>
      <c r="P276" s="507">
        <v>0</v>
      </c>
      <c r="Q276" s="507">
        <v>0</v>
      </c>
      <c r="R276" s="507">
        <v>0</v>
      </c>
      <c r="S276" s="507">
        <v>0</v>
      </c>
      <c r="T276" s="507">
        <v>0</v>
      </c>
      <c r="U276" s="507">
        <v>0</v>
      </c>
      <c r="V276" s="507">
        <v>0</v>
      </c>
      <c r="W276" s="507">
        <v>0</v>
      </c>
      <c r="X276" s="507">
        <v>0</v>
      </c>
      <c r="Y276" s="507">
        <v>0</v>
      </c>
      <c r="Z276" s="507">
        <v>0</v>
      </c>
      <c r="AA276" s="507">
        <v>0</v>
      </c>
      <c r="AB276" s="507">
        <v>0</v>
      </c>
      <c r="AC276" s="507">
        <v>0</v>
      </c>
      <c r="AD276" s="507">
        <v>10000</v>
      </c>
      <c r="AE276" s="507">
        <v>0</v>
      </c>
      <c r="AF276" s="507">
        <v>9254.23</v>
      </c>
      <c r="AG276" s="507">
        <v>9256.48</v>
      </c>
      <c r="AH276" s="507">
        <v>0</v>
      </c>
      <c r="AI276" s="507">
        <v>0</v>
      </c>
      <c r="AJ276" s="507">
        <f>9232.33+9232.33</f>
        <v>18464.66</v>
      </c>
      <c r="AK276" s="508"/>
      <c r="AL276" s="508">
        <f>10000+10000</f>
        <v>20000</v>
      </c>
      <c r="AM276" s="509">
        <f>9209.48+9201.228</f>
        <v>18410.707999999999</v>
      </c>
      <c r="AN276" s="509">
        <v>9195.9</v>
      </c>
      <c r="AO276" s="509">
        <v>0</v>
      </c>
      <c r="AP276" s="509">
        <v>0</v>
      </c>
      <c r="AQ276" s="509">
        <v>0</v>
      </c>
      <c r="AR276" s="509"/>
      <c r="AS276" s="509"/>
      <c r="AT276" s="510">
        <f t="shared" si="167"/>
        <v>94581.977999999988</v>
      </c>
      <c r="AU276" s="512">
        <f t="shared" si="139"/>
        <v>0.67871248250870075</v>
      </c>
      <c r="AV276" s="511">
        <f t="shared" si="140"/>
        <v>-44773.022000000012</v>
      </c>
      <c r="AW276" s="558">
        <f t="shared" si="141"/>
        <v>-0.3212875174912993</v>
      </c>
      <c r="AX276" s="513">
        <f t="shared" si="142"/>
        <v>1298873.0220000001</v>
      </c>
      <c r="AY276" s="514">
        <f t="shared" si="143"/>
        <v>0.93212412456807014</v>
      </c>
      <c r="AZ276" s="513">
        <f t="shared" si="144"/>
        <v>139355</v>
      </c>
      <c r="BA276" s="515" t="str">
        <f t="shared" si="145"/>
        <v>Vendido</v>
      </c>
      <c r="BB276" s="516" t="str">
        <f t="shared" si="146"/>
        <v>Cliente Atrasado</v>
      </c>
      <c r="BC276" s="551">
        <v>14</v>
      </c>
      <c r="BD276" s="693">
        <f t="shared" si="147"/>
        <v>1</v>
      </c>
      <c r="BE276" s="693">
        <f t="shared" si="148"/>
        <v>15</v>
      </c>
      <c r="BF276" s="517">
        <v>10000</v>
      </c>
      <c r="BG276" s="517">
        <v>9240</v>
      </c>
      <c r="BH276" s="693">
        <f t="shared" si="149"/>
        <v>3</v>
      </c>
      <c r="BI276" s="693">
        <f t="shared" si="150"/>
        <v>15</v>
      </c>
      <c r="BJ276" s="655">
        <f t="shared" si="168"/>
        <v>148600</v>
      </c>
      <c r="BK276" s="518">
        <f t="shared" si="151"/>
        <v>9195.9</v>
      </c>
      <c r="BL276" s="518">
        <f t="shared" si="152"/>
        <v>85386.077999999994</v>
      </c>
      <c r="BM276" s="518">
        <f t="shared" si="153"/>
        <v>0</v>
      </c>
      <c r="BN276" s="518">
        <f t="shared" si="154"/>
        <v>0</v>
      </c>
      <c r="BO276" s="655">
        <f t="shared" si="138"/>
        <v>54018.022000000012</v>
      </c>
      <c r="BP276" s="693">
        <f t="shared" si="155"/>
        <v>6</v>
      </c>
      <c r="BQ276" s="696"/>
      <c r="BR276" s="519"/>
      <c r="BT276" s="439">
        <f t="shared" si="156"/>
        <v>-54018.022000000012</v>
      </c>
      <c r="BU276" s="439">
        <f t="shared" si="157"/>
        <v>-54018.022000000012</v>
      </c>
      <c r="BV276" s="439">
        <f t="shared" si="158"/>
        <v>0</v>
      </c>
      <c r="BY276" s="862">
        <f t="shared" si="159"/>
        <v>892423.147</v>
      </c>
      <c r="BZ276" s="862">
        <f t="shared" si="160"/>
        <v>382467.06300000002</v>
      </c>
      <c r="CA276" s="862">
        <f t="shared" si="161"/>
        <v>107090.78</v>
      </c>
      <c r="CB276" s="862">
        <f t="shared" si="162"/>
        <v>11474.01</v>
      </c>
      <c r="CC276" s="863">
        <f t="shared" si="163"/>
        <v>999513.93</v>
      </c>
      <c r="CD276" s="863">
        <f t="shared" si="164"/>
        <v>393941.07</v>
      </c>
      <c r="CE276" s="864">
        <f t="shared" si="165"/>
        <v>1393455</v>
      </c>
      <c r="CF276" s="862">
        <f t="shared" si="166"/>
        <v>0</v>
      </c>
    </row>
    <row r="277" spans="1:84" s="429" customFormat="1" ht="13.9" customHeight="1" x14ac:dyDescent="0.25">
      <c r="B277" s="905">
        <v>1606</v>
      </c>
      <c r="C277" s="436" t="s">
        <v>397</v>
      </c>
      <c r="D277" s="436"/>
      <c r="E277" s="436"/>
      <c r="G277" s="473"/>
      <c r="H277" s="436" t="s">
        <v>374</v>
      </c>
      <c r="I277" s="472">
        <v>1235500</v>
      </c>
      <c r="J277" s="472">
        <v>86500</v>
      </c>
      <c r="K277" s="507">
        <v>0</v>
      </c>
      <c r="L277" s="507">
        <v>0</v>
      </c>
      <c r="M277" s="507">
        <v>0</v>
      </c>
      <c r="N277" s="507">
        <v>0</v>
      </c>
      <c r="O277" s="507">
        <v>0</v>
      </c>
      <c r="P277" s="507">
        <v>0</v>
      </c>
      <c r="Q277" s="507">
        <v>0</v>
      </c>
      <c r="R277" s="507">
        <v>0</v>
      </c>
      <c r="S277" s="507">
        <v>0</v>
      </c>
      <c r="T277" s="507">
        <v>0</v>
      </c>
      <c r="U277" s="507">
        <v>0</v>
      </c>
      <c r="V277" s="507">
        <v>0</v>
      </c>
      <c r="W277" s="507">
        <v>0</v>
      </c>
      <c r="X277" s="507">
        <v>0</v>
      </c>
      <c r="Y277" s="507">
        <v>0</v>
      </c>
      <c r="Z277" s="507">
        <v>0</v>
      </c>
      <c r="AA277" s="507">
        <v>0</v>
      </c>
      <c r="AB277" s="507">
        <v>0</v>
      </c>
      <c r="AC277" s="507">
        <v>0</v>
      </c>
      <c r="AD277" s="507">
        <v>0</v>
      </c>
      <c r="AE277" s="507">
        <v>0</v>
      </c>
      <c r="AF277" s="507">
        <v>0</v>
      </c>
      <c r="AG277" s="507">
        <v>0</v>
      </c>
      <c r="AH277" s="507">
        <v>0</v>
      </c>
      <c r="AI277" s="507">
        <v>0</v>
      </c>
      <c r="AJ277" s="507">
        <v>0</v>
      </c>
      <c r="AK277" s="508"/>
      <c r="AL277" s="508"/>
      <c r="AM277" s="508"/>
      <c r="AN277" s="509">
        <v>0</v>
      </c>
      <c r="AO277" s="509">
        <v>0</v>
      </c>
      <c r="AP277" s="509">
        <v>0</v>
      </c>
      <c r="AQ277" s="509">
        <v>0</v>
      </c>
      <c r="AR277" s="508"/>
      <c r="AS277" s="508"/>
      <c r="AT277" s="510">
        <f t="shared" si="167"/>
        <v>0</v>
      </c>
      <c r="AU277" s="512">
        <f t="shared" si="139"/>
        <v>0</v>
      </c>
      <c r="AV277" s="511">
        <f t="shared" si="140"/>
        <v>0</v>
      </c>
      <c r="AW277" s="558">
        <f t="shared" si="141"/>
        <v>0</v>
      </c>
      <c r="AX277" s="513">
        <f t="shared" si="142"/>
        <v>1235500</v>
      </c>
      <c r="AY277" s="514">
        <f t="shared" si="143"/>
        <v>1</v>
      </c>
      <c r="AZ277" s="513">
        <f t="shared" si="144"/>
        <v>0</v>
      </c>
      <c r="BA277" s="515" t="str">
        <f t="shared" si="145"/>
        <v>Disponible</v>
      </c>
      <c r="BB277" s="516" t="str">
        <f t="shared" si="146"/>
        <v>Disponible</v>
      </c>
      <c r="BC277" s="551"/>
      <c r="BD277" s="693">
        <f t="shared" si="147"/>
        <v>0</v>
      </c>
      <c r="BE277" s="693">
        <f t="shared" si="148"/>
        <v>0</v>
      </c>
      <c r="BF277" s="517"/>
      <c r="BG277" s="517"/>
      <c r="BH277" s="693">
        <f t="shared" si="149"/>
        <v>0</v>
      </c>
      <c r="BI277" s="693">
        <f t="shared" si="150"/>
        <v>0</v>
      </c>
      <c r="BJ277" s="655">
        <f t="shared" si="168"/>
        <v>0</v>
      </c>
      <c r="BK277" s="518">
        <f t="shared" si="151"/>
        <v>0</v>
      </c>
      <c r="BL277" s="518">
        <f t="shared" si="152"/>
        <v>0</v>
      </c>
      <c r="BM277" s="518">
        <f t="shared" si="153"/>
        <v>0</v>
      </c>
      <c r="BN277" s="518">
        <f t="shared" si="154"/>
        <v>0</v>
      </c>
      <c r="BO277" s="655">
        <f t="shared" si="138"/>
        <v>0</v>
      </c>
      <c r="BP277" s="693">
        <f t="shared" si="155"/>
        <v>0</v>
      </c>
      <c r="BQ277" s="696"/>
      <c r="BR277" s="519"/>
      <c r="BT277" s="439">
        <f t="shared" si="156"/>
        <v>0</v>
      </c>
      <c r="BU277" s="439">
        <f t="shared" si="157"/>
        <v>0</v>
      </c>
      <c r="BV277" s="439">
        <f t="shared" si="158"/>
        <v>0</v>
      </c>
      <c r="BY277" s="862">
        <f t="shared" si="159"/>
        <v>791262.58</v>
      </c>
      <c r="BZ277" s="862">
        <f t="shared" si="160"/>
        <v>339112.53399999999</v>
      </c>
      <c r="CA277" s="862">
        <f t="shared" si="161"/>
        <v>94951.51</v>
      </c>
      <c r="CB277" s="862">
        <f t="shared" si="162"/>
        <v>10173.379999999999</v>
      </c>
      <c r="CC277" s="863">
        <f t="shared" si="163"/>
        <v>886214.09</v>
      </c>
      <c r="CD277" s="863">
        <f t="shared" si="164"/>
        <v>349285.91</v>
      </c>
      <c r="CE277" s="864">
        <f t="shared" si="165"/>
        <v>1235500</v>
      </c>
      <c r="CF277" s="862">
        <f t="shared" si="166"/>
        <v>0</v>
      </c>
    </row>
    <row r="278" spans="1:84" s="429" customFormat="1" ht="13.9" customHeight="1" x14ac:dyDescent="0.25">
      <c r="A278" s="472"/>
      <c r="B278" s="436">
        <v>1607</v>
      </c>
      <c r="C278" s="436" t="s">
        <v>398</v>
      </c>
      <c r="D278" s="436"/>
      <c r="E278" s="436" t="s">
        <v>383</v>
      </c>
      <c r="F278" s="466" t="s">
        <v>678</v>
      </c>
      <c r="G278" s="473">
        <v>45077</v>
      </c>
      <c r="H278" s="436" t="s">
        <v>128</v>
      </c>
      <c r="I278" s="472">
        <v>1164200</v>
      </c>
      <c r="J278" s="472">
        <v>102510</v>
      </c>
      <c r="K278" s="507">
        <v>0</v>
      </c>
      <c r="L278" s="507">
        <v>0</v>
      </c>
      <c r="M278" s="507">
        <v>6000</v>
      </c>
      <c r="N278" s="507">
        <v>0</v>
      </c>
      <c r="O278" s="507">
        <v>3000</v>
      </c>
      <c r="P278" s="507">
        <v>0</v>
      </c>
      <c r="Q278" s="507">
        <v>3000</v>
      </c>
      <c r="R278" s="507">
        <v>1500</v>
      </c>
      <c r="S278" s="507">
        <v>1500</v>
      </c>
      <c r="T278" s="507">
        <v>0</v>
      </c>
      <c r="U278" s="507">
        <v>0</v>
      </c>
      <c r="V278" s="507">
        <v>0</v>
      </c>
      <c r="W278" s="507">
        <v>0</v>
      </c>
      <c r="X278" s="507">
        <v>0</v>
      </c>
      <c r="Y278" s="507">
        <v>0</v>
      </c>
      <c r="Z278" s="507">
        <v>0</v>
      </c>
      <c r="AA278" s="507">
        <v>0</v>
      </c>
      <c r="AB278" s="507">
        <v>0</v>
      </c>
      <c r="AC278" s="507">
        <v>0</v>
      </c>
      <c r="AD278" s="507">
        <v>0</v>
      </c>
      <c r="AE278" s="507">
        <v>0</v>
      </c>
      <c r="AF278" s="507">
        <v>0</v>
      </c>
      <c r="AG278" s="507">
        <v>0</v>
      </c>
      <c r="AH278" s="507">
        <v>0</v>
      </c>
      <c r="AI278" s="507">
        <v>0</v>
      </c>
      <c r="AJ278" s="507">
        <v>0</v>
      </c>
      <c r="AK278" s="508"/>
      <c r="AL278" s="508"/>
      <c r="AM278" s="508"/>
      <c r="AN278" s="509">
        <v>0</v>
      </c>
      <c r="AO278" s="509">
        <v>0</v>
      </c>
      <c r="AP278" s="509">
        <v>0</v>
      </c>
      <c r="AQ278" s="509">
        <v>0</v>
      </c>
      <c r="AR278" s="508"/>
      <c r="AS278" s="508"/>
      <c r="AT278" s="510">
        <f t="shared" si="167"/>
        <v>15000</v>
      </c>
      <c r="AU278" s="512">
        <f t="shared" si="139"/>
        <v>0.14632718759145449</v>
      </c>
      <c r="AV278" s="511">
        <f t="shared" si="140"/>
        <v>-87510</v>
      </c>
      <c r="AW278" s="558">
        <f t="shared" si="141"/>
        <v>-0.85367281240854553</v>
      </c>
      <c r="AX278" s="513">
        <f t="shared" si="142"/>
        <v>1149200</v>
      </c>
      <c r="AY278" s="514">
        <f t="shared" si="143"/>
        <v>0.98711561587356123</v>
      </c>
      <c r="AZ278" s="513">
        <f t="shared" si="144"/>
        <v>102510</v>
      </c>
      <c r="BA278" s="515" t="str">
        <f t="shared" si="145"/>
        <v>Vendido</v>
      </c>
      <c r="BB278" s="516" t="str">
        <f t="shared" si="146"/>
        <v>Cliente Atrasado</v>
      </c>
      <c r="BC278" s="551">
        <v>1</v>
      </c>
      <c r="BD278" s="693">
        <f t="shared" si="147"/>
        <v>0</v>
      </c>
      <c r="BE278" s="693">
        <f t="shared" si="148"/>
        <v>1</v>
      </c>
      <c r="BF278" s="517">
        <v>10000</v>
      </c>
      <c r="BG278" s="517">
        <v>92510</v>
      </c>
      <c r="BH278" s="693">
        <f t="shared" si="149"/>
        <v>5</v>
      </c>
      <c r="BI278" s="693">
        <f t="shared" si="150"/>
        <v>31</v>
      </c>
      <c r="BJ278" s="655">
        <f t="shared" si="168"/>
        <v>2877810</v>
      </c>
      <c r="BK278" s="518">
        <f t="shared" si="151"/>
        <v>15000</v>
      </c>
      <c r="BL278" s="518">
        <f t="shared" si="152"/>
        <v>0</v>
      </c>
      <c r="BM278" s="518">
        <f t="shared" si="153"/>
        <v>0</v>
      </c>
      <c r="BN278" s="518">
        <f t="shared" si="154"/>
        <v>0</v>
      </c>
      <c r="BO278" s="655">
        <f t="shared" si="138"/>
        <v>2862810</v>
      </c>
      <c r="BP278" s="693">
        <f t="shared" si="155"/>
        <v>31</v>
      </c>
      <c r="BQ278" s="696" t="s">
        <v>388</v>
      </c>
      <c r="BR278" s="519" t="s">
        <v>679</v>
      </c>
      <c r="BT278" s="439">
        <f t="shared" si="156"/>
        <v>-2862810</v>
      </c>
      <c r="BU278" s="439">
        <f t="shared" si="157"/>
        <v>-2862810</v>
      </c>
      <c r="BV278" s="439">
        <f t="shared" si="158"/>
        <v>0</v>
      </c>
      <c r="BY278" s="862">
        <f t="shared" si="159"/>
        <v>745599.26800000004</v>
      </c>
      <c r="BZ278" s="862">
        <f t="shared" si="160"/>
        <v>319542.54300000001</v>
      </c>
      <c r="CA278" s="862">
        <f t="shared" si="161"/>
        <v>89471.91</v>
      </c>
      <c r="CB278" s="862">
        <f t="shared" si="162"/>
        <v>9586.2800000000007</v>
      </c>
      <c r="CC278" s="863">
        <f t="shared" si="163"/>
        <v>835071.18</v>
      </c>
      <c r="CD278" s="863">
        <f t="shared" si="164"/>
        <v>329128.82</v>
      </c>
      <c r="CE278" s="864">
        <f t="shared" si="165"/>
        <v>1164200</v>
      </c>
      <c r="CF278" s="862">
        <f t="shared" si="166"/>
        <v>0</v>
      </c>
    </row>
    <row r="279" spans="1:84" s="429" customFormat="1" ht="13.9" customHeight="1" x14ac:dyDescent="0.25">
      <c r="A279" s="472" t="s">
        <v>58</v>
      </c>
      <c r="B279" s="475">
        <v>1608</v>
      </c>
      <c r="C279" s="475" t="s">
        <v>399</v>
      </c>
      <c r="D279" s="475"/>
      <c r="E279" s="475" t="s">
        <v>356</v>
      </c>
      <c r="F279" s="476" t="s">
        <v>670</v>
      </c>
      <c r="G279" s="473">
        <v>45013</v>
      </c>
      <c r="H279" s="436" t="s">
        <v>128</v>
      </c>
      <c r="I279" s="472">
        <v>1153648</v>
      </c>
      <c r="J279" s="472">
        <v>115448</v>
      </c>
      <c r="K279" s="507">
        <v>6000</v>
      </c>
      <c r="L279" s="507">
        <v>0</v>
      </c>
      <c r="M279" s="507">
        <v>0</v>
      </c>
      <c r="N279" s="507">
        <v>0</v>
      </c>
      <c r="O279" s="507">
        <v>0</v>
      </c>
      <c r="P279" s="507">
        <v>0</v>
      </c>
      <c r="Q279" s="507">
        <v>0</v>
      </c>
      <c r="R279" s="507">
        <v>0</v>
      </c>
      <c r="S279" s="507">
        <v>0</v>
      </c>
      <c r="T279" s="507">
        <v>0</v>
      </c>
      <c r="U279" s="507">
        <v>0</v>
      </c>
      <c r="V279" s="507">
        <v>0</v>
      </c>
      <c r="W279" s="507">
        <v>0</v>
      </c>
      <c r="X279" s="507">
        <v>0</v>
      </c>
      <c r="Y279" s="507">
        <v>0</v>
      </c>
      <c r="Z279" s="507">
        <v>0</v>
      </c>
      <c r="AA279" s="507">
        <v>0</v>
      </c>
      <c r="AB279" s="507">
        <v>0</v>
      </c>
      <c r="AC279" s="507">
        <v>0</v>
      </c>
      <c r="AD279" s="507">
        <v>0</v>
      </c>
      <c r="AE279" s="507">
        <v>0</v>
      </c>
      <c r="AF279" s="507">
        <v>0</v>
      </c>
      <c r="AG279" s="507">
        <v>0</v>
      </c>
      <c r="AH279" s="507">
        <v>0</v>
      </c>
      <c r="AI279" s="507">
        <v>0</v>
      </c>
      <c r="AJ279" s="507">
        <v>0</v>
      </c>
      <c r="AK279" s="508"/>
      <c r="AL279" s="508"/>
      <c r="AM279" s="508"/>
      <c r="AN279" s="509">
        <v>0</v>
      </c>
      <c r="AO279" s="509">
        <v>0</v>
      </c>
      <c r="AP279" s="509">
        <v>0</v>
      </c>
      <c r="AQ279" s="509">
        <v>0</v>
      </c>
      <c r="AR279" s="508"/>
      <c r="AS279" s="508"/>
      <c r="AT279" s="510">
        <f t="shared" si="167"/>
        <v>6000</v>
      </c>
      <c r="AU279" s="512">
        <f t="shared" si="139"/>
        <v>5.1971450349941099E-2</v>
      </c>
      <c r="AV279" s="511">
        <f t="shared" si="140"/>
        <v>-109448</v>
      </c>
      <c r="AW279" s="558">
        <f t="shared" si="141"/>
        <v>-0.94802854965005889</v>
      </c>
      <c r="AX279" s="513">
        <f t="shared" si="142"/>
        <v>1147648</v>
      </c>
      <c r="AY279" s="514">
        <f t="shared" si="143"/>
        <v>0.99479910683328021</v>
      </c>
      <c r="AZ279" s="513">
        <f t="shared" si="144"/>
        <v>115448</v>
      </c>
      <c r="BA279" s="515" t="str">
        <f t="shared" si="145"/>
        <v>Vendido</v>
      </c>
      <c r="BB279" s="516" t="str">
        <f t="shared" si="146"/>
        <v>Cliente Atrasado</v>
      </c>
      <c r="BC279" s="551">
        <v>35</v>
      </c>
      <c r="BD279" s="693">
        <f t="shared" si="147"/>
        <v>1</v>
      </c>
      <c r="BE279" s="693">
        <f t="shared" si="148"/>
        <v>36</v>
      </c>
      <c r="BF279" s="517">
        <v>6000</v>
      </c>
      <c r="BG279" s="517">
        <v>3100</v>
      </c>
      <c r="BH279" s="693">
        <f t="shared" si="149"/>
        <v>0</v>
      </c>
      <c r="BI279" s="693">
        <f t="shared" si="150"/>
        <v>33</v>
      </c>
      <c r="BJ279" s="655">
        <f t="shared" si="168"/>
        <v>108300</v>
      </c>
      <c r="BK279" s="518">
        <f t="shared" si="151"/>
        <v>0</v>
      </c>
      <c r="BL279" s="518">
        <f t="shared" si="152"/>
        <v>6000</v>
      </c>
      <c r="BM279" s="518">
        <f t="shared" si="153"/>
        <v>0</v>
      </c>
      <c r="BN279" s="518">
        <f t="shared" si="154"/>
        <v>0</v>
      </c>
      <c r="BO279" s="655">
        <f t="shared" si="138"/>
        <v>102300</v>
      </c>
      <c r="BP279" s="693" t="str">
        <f t="shared" si="155"/>
        <v/>
      </c>
      <c r="BQ279" s="695" t="s">
        <v>58</v>
      </c>
      <c r="BR279" s="519"/>
      <c r="BT279" s="439">
        <f t="shared" si="156"/>
        <v>-102300</v>
      </c>
      <c r="BU279" s="439">
        <f t="shared" si="157"/>
        <v>-102300</v>
      </c>
      <c r="BV279" s="439">
        <f t="shared" si="158"/>
        <v>0</v>
      </c>
      <c r="BY279" s="862">
        <f t="shared" si="159"/>
        <v>738841.35400000005</v>
      </c>
      <c r="BZ279" s="862">
        <f t="shared" si="160"/>
        <v>316646.29499999998</v>
      </c>
      <c r="CA279" s="862">
        <f t="shared" si="161"/>
        <v>88660.96</v>
      </c>
      <c r="CB279" s="862">
        <f t="shared" si="162"/>
        <v>9499.39</v>
      </c>
      <c r="CC279" s="863">
        <f t="shared" si="163"/>
        <v>827502.31</v>
      </c>
      <c r="CD279" s="863">
        <f t="shared" si="164"/>
        <v>326145.69</v>
      </c>
      <c r="CE279" s="864">
        <f t="shared" si="165"/>
        <v>1153648</v>
      </c>
      <c r="CF279" s="862">
        <f t="shared" si="166"/>
        <v>0</v>
      </c>
    </row>
    <row r="280" spans="1:84" s="429" customFormat="1" ht="13.9" customHeight="1" x14ac:dyDescent="0.25">
      <c r="A280" s="472"/>
      <c r="B280" s="436">
        <v>1609</v>
      </c>
      <c r="C280" s="436" t="s">
        <v>400</v>
      </c>
      <c r="D280" s="436"/>
      <c r="E280" s="436" t="s">
        <v>366</v>
      </c>
      <c r="F280" s="429" t="s">
        <v>680</v>
      </c>
      <c r="G280" s="473">
        <v>45010</v>
      </c>
      <c r="H280" s="436" t="s">
        <v>128</v>
      </c>
      <c r="I280" s="472">
        <v>860950.58400499995</v>
      </c>
      <c r="J280" s="472">
        <v>86150.58</v>
      </c>
      <c r="K280" s="507">
        <v>6000</v>
      </c>
      <c r="L280" s="507">
        <v>2290</v>
      </c>
      <c r="M280" s="507">
        <v>2290</v>
      </c>
      <c r="N280" s="507">
        <v>2290</v>
      </c>
      <c r="O280" s="507">
        <v>2290</v>
      </c>
      <c r="P280" s="507">
        <v>2290</v>
      </c>
      <c r="Q280" s="507">
        <v>2290</v>
      </c>
      <c r="R280" s="507">
        <v>0</v>
      </c>
      <c r="S280" s="507">
        <v>4580</v>
      </c>
      <c r="T280" s="507">
        <v>2290</v>
      </c>
      <c r="U280" s="507">
        <v>2290</v>
      </c>
      <c r="V280" s="507">
        <v>2290</v>
      </c>
      <c r="W280" s="507">
        <v>2290</v>
      </c>
      <c r="X280" s="507">
        <v>0</v>
      </c>
      <c r="Y280" s="507">
        <v>2290</v>
      </c>
      <c r="Z280" s="507">
        <v>0</v>
      </c>
      <c r="AA280" s="507">
        <v>2290</v>
      </c>
      <c r="AB280" s="507">
        <v>2290</v>
      </c>
      <c r="AC280" s="507">
        <v>4580</v>
      </c>
      <c r="AD280" s="507">
        <f>2290+2290</f>
        <v>4580</v>
      </c>
      <c r="AE280" s="507">
        <v>0</v>
      </c>
      <c r="AF280" s="507">
        <v>0</v>
      </c>
      <c r="AG280" s="507">
        <v>0</v>
      </c>
      <c r="AH280" s="507">
        <v>0</v>
      </c>
      <c r="AI280" s="507">
        <f>2290+2290+2290</f>
        <v>6870</v>
      </c>
      <c r="AJ280" s="507">
        <v>0</v>
      </c>
      <c r="AK280" s="509">
        <f>2290+2290</f>
        <v>4580</v>
      </c>
      <c r="AL280" s="509">
        <f>2290+2290</f>
        <v>4580</v>
      </c>
      <c r="AM280" s="509"/>
      <c r="AN280" s="509">
        <f>2290+2290</f>
        <v>4580</v>
      </c>
      <c r="AO280" s="509">
        <v>0</v>
      </c>
      <c r="AP280" s="509">
        <v>4580</v>
      </c>
      <c r="AQ280" s="509">
        <v>0</v>
      </c>
      <c r="AR280" s="509">
        <v>2290</v>
      </c>
      <c r="AS280" s="509"/>
      <c r="AT280" s="510">
        <f t="shared" si="167"/>
        <v>76990</v>
      </c>
      <c r="AU280" s="512">
        <f t="shared" si="139"/>
        <v>0.89366780815636992</v>
      </c>
      <c r="AV280" s="511">
        <f t="shared" si="140"/>
        <v>-9160.5800000000017</v>
      </c>
      <c r="AW280" s="558">
        <f t="shared" si="141"/>
        <v>-0.10633219184363009</v>
      </c>
      <c r="AX280" s="513">
        <f t="shared" si="142"/>
        <v>783960.58400499995</v>
      </c>
      <c r="AY280" s="514">
        <f t="shared" si="143"/>
        <v>0.91057558769301805</v>
      </c>
      <c r="AZ280" s="513">
        <f t="shared" si="144"/>
        <v>86150.58</v>
      </c>
      <c r="BA280" s="515" t="str">
        <f t="shared" si="145"/>
        <v>Vendido</v>
      </c>
      <c r="BB280" s="516" t="str">
        <f t="shared" si="146"/>
        <v>Cliente Atrasado</v>
      </c>
      <c r="BC280" s="551">
        <v>35</v>
      </c>
      <c r="BD280" s="693">
        <f t="shared" si="147"/>
        <v>1</v>
      </c>
      <c r="BE280" s="693">
        <f t="shared" si="148"/>
        <v>36</v>
      </c>
      <c r="BF280" s="517">
        <v>6000</v>
      </c>
      <c r="BG280" s="517">
        <v>2290</v>
      </c>
      <c r="BH280" s="693">
        <f t="shared" si="149"/>
        <v>21</v>
      </c>
      <c r="BI280" s="693">
        <f t="shared" si="150"/>
        <v>34</v>
      </c>
      <c r="BJ280" s="655">
        <f t="shared" si="168"/>
        <v>83860</v>
      </c>
      <c r="BK280" s="518">
        <f t="shared" si="151"/>
        <v>32060</v>
      </c>
      <c r="BL280" s="518">
        <f t="shared" si="152"/>
        <v>44930</v>
      </c>
      <c r="BM280" s="518">
        <f t="shared" si="153"/>
        <v>0</v>
      </c>
      <c r="BN280" s="518">
        <f t="shared" si="154"/>
        <v>0</v>
      </c>
      <c r="BO280" s="655">
        <f t="shared" si="138"/>
        <v>6870</v>
      </c>
      <c r="BP280" s="693">
        <f t="shared" si="155"/>
        <v>3</v>
      </c>
      <c r="BQ280" s="696"/>
      <c r="BR280" s="519"/>
      <c r="BT280" s="439">
        <f t="shared" si="156"/>
        <v>-6870</v>
      </c>
      <c r="BU280" s="439">
        <f t="shared" si="157"/>
        <v>-6870</v>
      </c>
      <c r="BV280" s="439">
        <f t="shared" si="158"/>
        <v>0</v>
      </c>
      <c r="BY280" s="862">
        <f t="shared" si="159"/>
        <v>551386.46699999995</v>
      </c>
      <c r="BZ280" s="862">
        <f t="shared" si="160"/>
        <v>236308.486</v>
      </c>
      <c r="CA280" s="862">
        <f t="shared" si="161"/>
        <v>66166.38</v>
      </c>
      <c r="CB280" s="862">
        <f t="shared" si="162"/>
        <v>7089.25</v>
      </c>
      <c r="CC280" s="863">
        <f t="shared" si="163"/>
        <v>617552.85</v>
      </c>
      <c r="CD280" s="863">
        <f t="shared" si="164"/>
        <v>243397.74</v>
      </c>
      <c r="CE280" s="864">
        <f t="shared" si="165"/>
        <v>860950.59</v>
      </c>
      <c r="CF280" s="862">
        <f t="shared" si="166"/>
        <v>5.9950000140815973E-3</v>
      </c>
    </row>
    <row r="281" spans="1:84" s="429" customFormat="1" ht="13.9" customHeight="1" x14ac:dyDescent="0.25">
      <c r="A281" s="472"/>
      <c r="B281" s="436">
        <v>1610</v>
      </c>
      <c r="C281" s="436" t="s">
        <v>175</v>
      </c>
      <c r="D281" s="436"/>
      <c r="E281" s="436" t="s">
        <v>366</v>
      </c>
      <c r="F281" s="429" t="s">
        <v>609</v>
      </c>
      <c r="G281" s="473">
        <v>45077</v>
      </c>
      <c r="H281" s="436" t="s">
        <v>128</v>
      </c>
      <c r="I281" s="472">
        <v>890081.34</v>
      </c>
      <c r="J281" s="472">
        <v>890081.34</v>
      </c>
      <c r="K281" s="507">
        <v>0</v>
      </c>
      <c r="L281" s="507">
        <v>0</v>
      </c>
      <c r="M281" s="507">
        <v>6000</v>
      </c>
      <c r="N281" s="507">
        <v>89008.13</v>
      </c>
      <c r="O281" s="507">
        <v>29447</v>
      </c>
      <c r="P281" s="507">
        <v>29447</v>
      </c>
      <c r="Q281" s="507">
        <v>29447</v>
      </c>
      <c r="R281" s="507">
        <v>29447</v>
      </c>
      <c r="S281" s="507">
        <v>29447</v>
      </c>
      <c r="T281" s="507">
        <v>29447</v>
      </c>
      <c r="U281" s="507">
        <v>29447</v>
      </c>
      <c r="V281" s="507">
        <v>29447</v>
      </c>
      <c r="W281" s="507">
        <v>29447</v>
      </c>
      <c r="X281" s="507">
        <v>0</v>
      </c>
      <c r="Y281" s="507">
        <v>0</v>
      </c>
      <c r="Z281" s="507">
        <v>58894</v>
      </c>
      <c r="AA281" s="507">
        <v>29447</v>
      </c>
      <c r="AB281" s="507">
        <v>29447</v>
      </c>
      <c r="AC281" s="507">
        <v>29447</v>
      </c>
      <c r="AD281" s="507">
        <v>29447</v>
      </c>
      <c r="AE281" s="507">
        <v>29447</v>
      </c>
      <c r="AF281" s="507">
        <v>29447</v>
      </c>
      <c r="AG281" s="507">
        <v>29447</v>
      </c>
      <c r="AH281" s="507">
        <v>29447</v>
      </c>
      <c r="AI281" s="507">
        <v>0</v>
      </c>
      <c r="AJ281" s="507">
        <v>29447</v>
      </c>
      <c r="AK281" s="508">
        <f>29447+29447</f>
        <v>58894</v>
      </c>
      <c r="AL281" s="508">
        <v>29447</v>
      </c>
      <c r="AM281" s="509">
        <v>29447</v>
      </c>
      <c r="AN281" s="509">
        <v>29447</v>
      </c>
      <c r="AO281" s="509">
        <v>0</v>
      </c>
      <c r="AP281" s="509">
        <v>0</v>
      </c>
      <c r="AQ281" s="509">
        <v>0</v>
      </c>
      <c r="AR281" s="509"/>
      <c r="AS281" s="509"/>
      <c r="AT281" s="510">
        <f t="shared" si="167"/>
        <v>831183.13</v>
      </c>
      <c r="AU281" s="512">
        <f t="shared" si="139"/>
        <v>0.93382828360383341</v>
      </c>
      <c r="AV281" s="511">
        <f t="shared" si="140"/>
        <v>-58898.209999999963</v>
      </c>
      <c r="AW281" s="558">
        <f t="shared" si="141"/>
        <v>-6.6171716396166633E-2</v>
      </c>
      <c r="AX281" s="513">
        <f t="shared" si="142"/>
        <v>58898.209999999963</v>
      </c>
      <c r="AY281" s="514">
        <f t="shared" si="143"/>
        <v>6.6171716396166633E-2</v>
      </c>
      <c r="AZ281" s="513">
        <f t="shared" si="144"/>
        <v>890081.34</v>
      </c>
      <c r="BA281" s="515" t="str">
        <f t="shared" si="145"/>
        <v>Vendido</v>
      </c>
      <c r="BB281" s="516" t="str">
        <f t="shared" si="146"/>
        <v>Cliente Atrasado</v>
      </c>
      <c r="BC281" s="551">
        <v>27</v>
      </c>
      <c r="BD281" s="693">
        <f t="shared" si="147"/>
        <v>1</v>
      </c>
      <c r="BE281" s="693">
        <f t="shared" si="148"/>
        <v>28</v>
      </c>
      <c r="BF281" s="517">
        <v>95008.13</v>
      </c>
      <c r="BG281" s="517">
        <v>29447</v>
      </c>
      <c r="BH281" s="693">
        <f t="shared" si="149"/>
        <v>25</v>
      </c>
      <c r="BI281" s="693">
        <f t="shared" si="150"/>
        <v>31</v>
      </c>
      <c r="BJ281" s="655">
        <f t="shared" si="168"/>
        <v>1007865.13</v>
      </c>
      <c r="BK281" s="518">
        <f t="shared" si="151"/>
        <v>624387</v>
      </c>
      <c r="BL281" s="518">
        <f t="shared" si="152"/>
        <v>206796.13</v>
      </c>
      <c r="BM281" s="518">
        <f t="shared" si="153"/>
        <v>0</v>
      </c>
      <c r="BN281" s="518">
        <f t="shared" si="154"/>
        <v>0</v>
      </c>
      <c r="BO281" s="655">
        <f t="shared" si="138"/>
        <v>176682</v>
      </c>
      <c r="BP281" s="693">
        <f t="shared" si="155"/>
        <v>6</v>
      </c>
      <c r="BQ281" s="696"/>
      <c r="BR281" s="519" t="s">
        <v>426</v>
      </c>
      <c r="BT281" s="439">
        <f t="shared" si="156"/>
        <v>-176682</v>
      </c>
      <c r="BU281" s="439">
        <f t="shared" si="157"/>
        <v>-176682</v>
      </c>
      <c r="BV281" s="439">
        <f t="shared" si="158"/>
        <v>0</v>
      </c>
      <c r="BY281" s="862">
        <f t="shared" si="159"/>
        <v>570042.94400000002</v>
      </c>
      <c r="BZ281" s="862">
        <f t="shared" si="160"/>
        <v>244304.11900000001</v>
      </c>
      <c r="CA281" s="862">
        <f t="shared" si="161"/>
        <v>68405.149999999994</v>
      </c>
      <c r="CB281" s="862">
        <f t="shared" si="162"/>
        <v>7329.12</v>
      </c>
      <c r="CC281" s="863">
        <f t="shared" si="163"/>
        <v>638448.09</v>
      </c>
      <c r="CD281" s="863">
        <f t="shared" si="164"/>
        <v>251633.24</v>
      </c>
      <c r="CE281" s="864">
        <f t="shared" si="165"/>
        <v>890081.33</v>
      </c>
      <c r="CF281" s="862">
        <f t="shared" si="166"/>
        <v>-1.0000000009313226E-2</v>
      </c>
    </row>
    <row r="282" spans="1:84" s="429" customFormat="1" ht="13.9" customHeight="1" x14ac:dyDescent="0.25">
      <c r="A282" s="472"/>
      <c r="B282" s="877">
        <v>1611</v>
      </c>
      <c r="C282" s="436" t="s">
        <v>563</v>
      </c>
      <c r="D282" s="436"/>
      <c r="E282" s="436" t="s">
        <v>383</v>
      </c>
      <c r="F282" s="429" t="s">
        <v>681</v>
      </c>
      <c r="G282" s="473">
        <v>45970</v>
      </c>
      <c r="H282" s="436" t="s">
        <v>137</v>
      </c>
      <c r="I282" s="472">
        <v>1487500</v>
      </c>
      <c r="J282" s="472">
        <v>104200</v>
      </c>
      <c r="K282" s="507">
        <v>0</v>
      </c>
      <c r="L282" s="507">
        <v>0</v>
      </c>
      <c r="M282" s="507">
        <v>0</v>
      </c>
      <c r="N282" s="507">
        <v>0</v>
      </c>
      <c r="O282" s="507">
        <v>0</v>
      </c>
      <c r="P282" s="507">
        <v>0</v>
      </c>
      <c r="Q282" s="507">
        <v>0</v>
      </c>
      <c r="R282" s="507">
        <v>0</v>
      </c>
      <c r="S282" s="507">
        <v>0</v>
      </c>
      <c r="T282" s="507">
        <v>0</v>
      </c>
      <c r="U282" s="507">
        <v>0</v>
      </c>
      <c r="V282" s="507">
        <v>0</v>
      </c>
      <c r="W282" s="507">
        <v>0</v>
      </c>
      <c r="X282" s="507">
        <v>0</v>
      </c>
      <c r="Y282" s="507">
        <v>0</v>
      </c>
      <c r="Z282" s="507">
        <v>0</v>
      </c>
      <c r="AA282" s="507">
        <v>0</v>
      </c>
      <c r="AB282" s="507">
        <v>0</v>
      </c>
      <c r="AC282" s="507">
        <v>0</v>
      </c>
      <c r="AD282" s="507">
        <v>0</v>
      </c>
      <c r="AE282" s="507">
        <v>0</v>
      </c>
      <c r="AF282" s="507">
        <v>0</v>
      </c>
      <c r="AG282" s="507">
        <v>0</v>
      </c>
      <c r="AH282" s="507">
        <v>0</v>
      </c>
      <c r="AI282" s="507">
        <v>0</v>
      </c>
      <c r="AJ282" s="507">
        <v>0</v>
      </c>
      <c r="AK282" s="508">
        <v>0</v>
      </c>
      <c r="AL282" s="508">
        <v>0</v>
      </c>
      <c r="AM282" s="509">
        <v>0</v>
      </c>
      <c r="AN282" s="509">
        <v>0</v>
      </c>
      <c r="AO282" s="509">
        <v>0</v>
      </c>
      <c r="AP282" s="509">
        <v>0</v>
      </c>
      <c r="AQ282" s="509">
        <v>10000</v>
      </c>
      <c r="AR282" s="509">
        <v>20000</v>
      </c>
      <c r="AS282" s="509">
        <v>20000</v>
      </c>
      <c r="AT282" s="510">
        <f t="shared" si="167"/>
        <v>50000</v>
      </c>
      <c r="AU282" s="512">
        <f t="shared" si="139"/>
        <v>0.47984644913627639</v>
      </c>
      <c r="AV282" s="511">
        <f t="shared" si="140"/>
        <v>-54200</v>
      </c>
      <c r="AW282" s="558">
        <f t="shared" si="141"/>
        <v>-0.52015355086372361</v>
      </c>
      <c r="AX282" s="513">
        <f t="shared" si="142"/>
        <v>1437500</v>
      </c>
      <c r="AY282" s="514">
        <f t="shared" si="143"/>
        <v>0.96638655462184875</v>
      </c>
      <c r="AZ282" s="513">
        <f t="shared" si="144"/>
        <v>104200</v>
      </c>
      <c r="BA282" s="515" t="str">
        <f t="shared" si="145"/>
        <v>Vendido</v>
      </c>
      <c r="BB282" s="516" t="str">
        <f t="shared" si="146"/>
        <v>Cliente al día</v>
      </c>
      <c r="BC282" s="551">
        <v>26</v>
      </c>
      <c r="BD282" s="693">
        <f t="shared" si="147"/>
        <v>1</v>
      </c>
      <c r="BE282" s="693">
        <f t="shared" si="148"/>
        <v>27</v>
      </c>
      <c r="BF282" s="517">
        <v>6000</v>
      </c>
      <c r="BG282" s="517">
        <v>5300</v>
      </c>
      <c r="BH282" s="693">
        <f t="shared" si="149"/>
        <v>0</v>
      </c>
      <c r="BI282" s="693">
        <f t="shared" si="150"/>
        <v>2</v>
      </c>
      <c r="BJ282" s="655">
        <f t="shared" si="168"/>
        <v>16600</v>
      </c>
      <c r="BK282" s="518">
        <f t="shared" si="151"/>
        <v>0</v>
      </c>
      <c r="BL282" s="518">
        <f t="shared" si="152"/>
        <v>50000</v>
      </c>
      <c r="BM282" s="518">
        <f t="shared" si="153"/>
        <v>0</v>
      </c>
      <c r="BN282" s="518">
        <f t="shared" si="154"/>
        <v>33400</v>
      </c>
      <c r="BO282" s="655">
        <f t="shared" si="138"/>
        <v>0</v>
      </c>
      <c r="BP282" s="693">
        <f t="shared" si="155"/>
        <v>0</v>
      </c>
      <c r="BQ282" s="696"/>
      <c r="BR282" s="540" t="s">
        <v>682</v>
      </c>
      <c r="BT282" s="439">
        <f t="shared" si="156"/>
        <v>33400</v>
      </c>
      <c r="BU282" s="439">
        <f t="shared" si="157"/>
        <v>33400</v>
      </c>
      <c r="BV282" s="439">
        <f t="shared" si="158"/>
        <v>0</v>
      </c>
      <c r="BY282" s="862">
        <f t="shared" si="159"/>
        <v>952653.24800000002</v>
      </c>
      <c r="BZ282" s="862">
        <f t="shared" si="160"/>
        <v>408279.96299999999</v>
      </c>
      <c r="CA282" s="862">
        <f t="shared" si="161"/>
        <v>114318.39</v>
      </c>
      <c r="CB282" s="862">
        <f t="shared" si="162"/>
        <v>12248.4</v>
      </c>
      <c r="CC282" s="863">
        <f t="shared" si="163"/>
        <v>1066971.6399999999</v>
      </c>
      <c r="CD282" s="863">
        <f t="shared" si="164"/>
        <v>420528.36</v>
      </c>
      <c r="CE282" s="864">
        <f t="shared" si="165"/>
        <v>1487500</v>
      </c>
      <c r="CF282" s="862">
        <f t="shared" si="166"/>
        <v>0</v>
      </c>
    </row>
    <row r="283" spans="1:84" s="429" customFormat="1" ht="13.9" customHeight="1" x14ac:dyDescent="0.25">
      <c r="B283" s="905">
        <v>1612</v>
      </c>
      <c r="C283" s="436" t="s">
        <v>565</v>
      </c>
      <c r="D283" s="436"/>
      <c r="E283" s="436"/>
      <c r="G283" s="473"/>
      <c r="H283" s="436" t="s">
        <v>374</v>
      </c>
      <c r="I283" s="472">
        <v>1218600</v>
      </c>
      <c r="J283" s="472">
        <v>85300</v>
      </c>
      <c r="K283" s="507">
        <v>0</v>
      </c>
      <c r="L283" s="507">
        <v>0</v>
      </c>
      <c r="M283" s="507">
        <v>0</v>
      </c>
      <c r="N283" s="507">
        <v>0</v>
      </c>
      <c r="O283" s="507">
        <v>0</v>
      </c>
      <c r="P283" s="507">
        <v>0</v>
      </c>
      <c r="Q283" s="507">
        <v>0</v>
      </c>
      <c r="R283" s="507">
        <v>0</v>
      </c>
      <c r="S283" s="507">
        <v>0</v>
      </c>
      <c r="T283" s="507">
        <v>0</v>
      </c>
      <c r="U283" s="507">
        <v>0</v>
      </c>
      <c r="V283" s="507">
        <v>0</v>
      </c>
      <c r="W283" s="507">
        <v>0</v>
      </c>
      <c r="X283" s="507">
        <v>0</v>
      </c>
      <c r="Y283" s="507">
        <v>0</v>
      </c>
      <c r="Z283" s="507">
        <v>0</v>
      </c>
      <c r="AA283" s="507">
        <v>0</v>
      </c>
      <c r="AB283" s="507">
        <v>0</v>
      </c>
      <c r="AC283" s="507">
        <v>0</v>
      </c>
      <c r="AD283" s="507">
        <v>0</v>
      </c>
      <c r="AE283" s="507">
        <v>0</v>
      </c>
      <c r="AF283" s="507">
        <v>0</v>
      </c>
      <c r="AG283" s="507">
        <v>0</v>
      </c>
      <c r="AH283" s="507">
        <v>0</v>
      </c>
      <c r="AI283" s="507">
        <v>0</v>
      </c>
      <c r="AJ283" s="507">
        <v>0</v>
      </c>
      <c r="AK283" s="508"/>
      <c r="AL283" s="508"/>
      <c r="AM283" s="508"/>
      <c r="AN283" s="509">
        <v>0</v>
      </c>
      <c r="AO283" s="509">
        <v>0</v>
      </c>
      <c r="AP283" s="509">
        <v>0</v>
      </c>
      <c r="AQ283" s="509">
        <v>0</v>
      </c>
      <c r="AR283" s="508"/>
      <c r="AS283" s="508"/>
      <c r="AT283" s="510">
        <f t="shared" si="167"/>
        <v>0</v>
      </c>
      <c r="AU283" s="512">
        <f t="shared" si="139"/>
        <v>0</v>
      </c>
      <c r="AV283" s="511">
        <f t="shared" si="140"/>
        <v>0</v>
      </c>
      <c r="AW283" s="558">
        <f t="shared" si="141"/>
        <v>0</v>
      </c>
      <c r="AX283" s="513">
        <f t="shared" si="142"/>
        <v>1218600</v>
      </c>
      <c r="AY283" s="514">
        <f t="shared" si="143"/>
        <v>1</v>
      </c>
      <c r="AZ283" s="513">
        <f t="shared" si="144"/>
        <v>0</v>
      </c>
      <c r="BA283" s="515" t="str">
        <f t="shared" si="145"/>
        <v>Disponible</v>
      </c>
      <c r="BB283" s="516" t="str">
        <f t="shared" si="146"/>
        <v>Disponible</v>
      </c>
      <c r="BC283" s="551"/>
      <c r="BD283" s="693">
        <f t="shared" si="147"/>
        <v>0</v>
      </c>
      <c r="BE283" s="693">
        <f t="shared" si="148"/>
        <v>0</v>
      </c>
      <c r="BF283" s="517"/>
      <c r="BG283" s="517"/>
      <c r="BH283" s="693">
        <f t="shared" si="149"/>
        <v>0</v>
      </c>
      <c r="BI283" s="693">
        <f t="shared" si="150"/>
        <v>0</v>
      </c>
      <c r="BJ283" s="655">
        <f t="shared" si="168"/>
        <v>0</v>
      </c>
      <c r="BK283" s="518">
        <f t="shared" si="151"/>
        <v>0</v>
      </c>
      <c r="BL283" s="518">
        <f t="shared" si="152"/>
        <v>0</v>
      </c>
      <c r="BM283" s="518">
        <f t="shared" si="153"/>
        <v>0</v>
      </c>
      <c r="BN283" s="518">
        <f t="shared" si="154"/>
        <v>0</v>
      </c>
      <c r="BO283" s="655">
        <f t="shared" si="138"/>
        <v>0</v>
      </c>
      <c r="BP283" s="693">
        <f t="shared" si="155"/>
        <v>0</v>
      </c>
      <c r="BQ283" s="696"/>
      <c r="BR283" s="519"/>
      <c r="BT283" s="439">
        <f t="shared" si="156"/>
        <v>0</v>
      </c>
      <c r="BU283" s="439">
        <f t="shared" si="157"/>
        <v>0</v>
      </c>
      <c r="BV283" s="439">
        <f t="shared" si="158"/>
        <v>0</v>
      </c>
      <c r="BY283" s="862">
        <f t="shared" si="159"/>
        <v>780439.15800000005</v>
      </c>
      <c r="BZ283" s="862">
        <f t="shared" si="160"/>
        <v>334473.92499999999</v>
      </c>
      <c r="CA283" s="862">
        <f t="shared" si="161"/>
        <v>93652.7</v>
      </c>
      <c r="CB283" s="862">
        <f t="shared" si="162"/>
        <v>10034.219999999999</v>
      </c>
      <c r="CC283" s="863">
        <f t="shared" si="163"/>
        <v>874091.86</v>
      </c>
      <c r="CD283" s="863">
        <f t="shared" si="164"/>
        <v>344508.15</v>
      </c>
      <c r="CE283" s="864">
        <f t="shared" si="165"/>
        <v>1218600.01</v>
      </c>
      <c r="CF283" s="862">
        <f t="shared" si="166"/>
        <v>1.0000000009313226E-2</v>
      </c>
    </row>
    <row r="284" spans="1:84" s="429" customFormat="1" ht="13.9" customHeight="1" x14ac:dyDescent="0.25">
      <c r="A284" s="472" t="s">
        <v>58</v>
      </c>
      <c r="B284" s="475">
        <v>1701</v>
      </c>
      <c r="C284" s="475" t="s">
        <v>683</v>
      </c>
      <c r="D284" s="475"/>
      <c r="E284" s="475" t="s">
        <v>383</v>
      </c>
      <c r="F284" s="476" t="s">
        <v>684</v>
      </c>
      <c r="G284" s="473">
        <v>45014</v>
      </c>
      <c r="H284" s="436" t="s">
        <v>128</v>
      </c>
      <c r="I284" s="472">
        <v>1389570</v>
      </c>
      <c r="J284" s="472">
        <v>139070</v>
      </c>
      <c r="K284" s="507">
        <v>6000</v>
      </c>
      <c r="L284" s="507">
        <v>5000</v>
      </c>
      <c r="M284" s="507">
        <v>5000</v>
      </c>
      <c r="N284" s="507">
        <v>5000</v>
      </c>
      <c r="O284" s="507">
        <v>10000</v>
      </c>
      <c r="P284" s="507">
        <v>3000</v>
      </c>
      <c r="Q284" s="507">
        <v>0</v>
      </c>
      <c r="R284" s="507">
        <v>0</v>
      </c>
      <c r="S284" s="507">
        <v>0</v>
      </c>
      <c r="T284" s="507">
        <v>5000</v>
      </c>
      <c r="U284" s="507">
        <v>7600</v>
      </c>
      <c r="V284" s="507">
        <v>4500</v>
      </c>
      <c r="W284" s="507">
        <v>4000</v>
      </c>
      <c r="X284" s="507">
        <v>0</v>
      </c>
      <c r="Y284" s="507">
        <v>3800</v>
      </c>
      <c r="Z284" s="507">
        <v>3800</v>
      </c>
      <c r="AA284" s="507">
        <v>4500</v>
      </c>
      <c r="AB284" s="507">
        <v>7800</v>
      </c>
      <c r="AC284" s="507">
        <v>0</v>
      </c>
      <c r="AD284" s="507">
        <v>4000</v>
      </c>
      <c r="AE284" s="507">
        <v>0</v>
      </c>
      <c r="AF284" s="507">
        <v>0</v>
      </c>
      <c r="AG284" s="507">
        <v>0</v>
      </c>
      <c r="AH284" s="507">
        <v>0</v>
      </c>
      <c r="AI284" s="507">
        <v>0</v>
      </c>
      <c r="AJ284" s="507">
        <v>0</v>
      </c>
      <c r="AK284" s="508"/>
      <c r="AL284" s="508"/>
      <c r="AM284" s="508"/>
      <c r="AN284" s="509">
        <v>0</v>
      </c>
      <c r="AO284" s="509">
        <v>0</v>
      </c>
      <c r="AP284" s="509">
        <v>0</v>
      </c>
      <c r="AQ284" s="509">
        <v>0</v>
      </c>
      <c r="AR284" s="508"/>
      <c r="AS284" s="508"/>
      <c r="AT284" s="510">
        <f t="shared" si="167"/>
        <v>79000</v>
      </c>
      <c r="AU284" s="512">
        <f t="shared" si="139"/>
        <v>0.56805925073703889</v>
      </c>
      <c r="AV284" s="511">
        <f t="shared" si="140"/>
        <v>-60070</v>
      </c>
      <c r="AW284" s="558">
        <f t="shared" si="141"/>
        <v>-0.43194074926296111</v>
      </c>
      <c r="AX284" s="513">
        <f t="shared" si="142"/>
        <v>1310570</v>
      </c>
      <c r="AY284" s="514">
        <f t="shared" si="143"/>
        <v>0.94314788027951091</v>
      </c>
      <c r="AZ284" s="513">
        <f t="shared" si="144"/>
        <v>139070</v>
      </c>
      <c r="BA284" s="515" t="str">
        <f t="shared" si="145"/>
        <v>Vendido</v>
      </c>
      <c r="BB284" s="516" t="str">
        <f t="shared" si="146"/>
        <v>Cliente Atrasado</v>
      </c>
      <c r="BC284" s="551">
        <v>35</v>
      </c>
      <c r="BD284" s="693">
        <f t="shared" si="147"/>
        <v>1</v>
      </c>
      <c r="BE284" s="693">
        <f t="shared" si="148"/>
        <v>36</v>
      </c>
      <c r="BF284" s="517">
        <v>6000</v>
      </c>
      <c r="BG284" s="517">
        <v>3800</v>
      </c>
      <c r="BH284" s="693">
        <f t="shared" si="149"/>
        <v>11</v>
      </c>
      <c r="BI284" s="693">
        <f t="shared" si="150"/>
        <v>33</v>
      </c>
      <c r="BJ284" s="655">
        <f t="shared" si="168"/>
        <v>131400</v>
      </c>
      <c r="BK284" s="518">
        <f t="shared" si="151"/>
        <v>10600</v>
      </c>
      <c r="BL284" s="518">
        <f t="shared" si="152"/>
        <v>68400</v>
      </c>
      <c r="BM284" s="518">
        <f t="shared" si="153"/>
        <v>0</v>
      </c>
      <c r="BN284" s="518">
        <f t="shared" si="154"/>
        <v>0</v>
      </c>
      <c r="BO284" s="655">
        <f t="shared" si="138"/>
        <v>52400</v>
      </c>
      <c r="BP284" s="693" t="str">
        <f t="shared" si="155"/>
        <v/>
      </c>
      <c r="BQ284" s="695" t="s">
        <v>58</v>
      </c>
      <c r="BR284" s="519"/>
      <c r="BT284" s="439">
        <f t="shared" si="156"/>
        <v>-52400</v>
      </c>
      <c r="BU284" s="439">
        <f t="shared" si="157"/>
        <v>-52400</v>
      </c>
      <c r="BV284" s="439">
        <f t="shared" si="158"/>
        <v>0</v>
      </c>
      <c r="BY284" s="862">
        <f t="shared" si="159"/>
        <v>889935.04099999997</v>
      </c>
      <c r="BZ284" s="862">
        <f t="shared" si="160"/>
        <v>381400.73200000002</v>
      </c>
      <c r="CA284" s="862">
        <f t="shared" si="161"/>
        <v>106792.2</v>
      </c>
      <c r="CB284" s="862">
        <f t="shared" si="162"/>
        <v>11442.02</v>
      </c>
      <c r="CC284" s="863">
        <f t="shared" si="163"/>
        <v>996727.24</v>
      </c>
      <c r="CD284" s="863">
        <f t="shared" si="164"/>
        <v>392842.75</v>
      </c>
      <c r="CE284" s="864">
        <f t="shared" si="165"/>
        <v>1389569.99</v>
      </c>
      <c r="CF284" s="862">
        <f t="shared" si="166"/>
        <v>-1.0000000009313226E-2</v>
      </c>
    </row>
    <row r="285" spans="1:84" s="429" customFormat="1" ht="13.9" customHeight="1" x14ac:dyDescent="0.25">
      <c r="A285" s="472"/>
      <c r="B285" s="436">
        <v>1702</v>
      </c>
      <c r="C285" s="436" t="s">
        <v>198</v>
      </c>
      <c r="D285" s="436"/>
      <c r="E285" s="436" t="s">
        <v>383</v>
      </c>
      <c r="F285" s="429" t="s">
        <v>685</v>
      </c>
      <c r="G285" s="473">
        <v>45031</v>
      </c>
      <c r="H285" s="436" t="s">
        <v>128</v>
      </c>
      <c r="I285" s="472">
        <v>666800</v>
      </c>
      <c r="J285" s="472">
        <v>66700</v>
      </c>
      <c r="K285" s="507">
        <v>0</v>
      </c>
      <c r="L285" s="507">
        <v>6000</v>
      </c>
      <c r="M285" s="507">
        <v>2100</v>
      </c>
      <c r="N285" s="507">
        <v>0</v>
      </c>
      <c r="O285" s="507">
        <v>4200</v>
      </c>
      <c r="P285" s="507">
        <v>2100</v>
      </c>
      <c r="Q285" s="507">
        <v>2100</v>
      </c>
      <c r="R285" s="507">
        <v>2100</v>
      </c>
      <c r="S285" s="507">
        <v>0</v>
      </c>
      <c r="T285" s="507">
        <v>4200</v>
      </c>
      <c r="U285" s="507">
        <v>2100</v>
      </c>
      <c r="V285" s="507">
        <v>2100</v>
      </c>
      <c r="W285" s="507">
        <v>2100</v>
      </c>
      <c r="X285" s="507">
        <v>2100</v>
      </c>
      <c r="Y285" s="507">
        <v>0</v>
      </c>
      <c r="Z285" s="507">
        <v>4200</v>
      </c>
      <c r="AA285" s="507">
        <v>0</v>
      </c>
      <c r="AB285" s="507">
        <v>2100</v>
      </c>
      <c r="AC285" s="507">
        <v>2100</v>
      </c>
      <c r="AD285" s="507">
        <v>2100</v>
      </c>
      <c r="AE285" s="507">
        <v>2100</v>
      </c>
      <c r="AF285" s="507">
        <f>2100+2100</f>
        <v>4200</v>
      </c>
      <c r="AG285" s="507">
        <v>0</v>
      </c>
      <c r="AH285" s="507">
        <v>2100</v>
      </c>
      <c r="AI285" s="507">
        <f>2100+2100</f>
        <v>4200</v>
      </c>
      <c r="AJ285" s="507">
        <v>2100</v>
      </c>
      <c r="AK285" s="508"/>
      <c r="AL285" s="508">
        <f>2100+2100</f>
        <v>4200</v>
      </c>
      <c r="AM285" s="509">
        <v>2100</v>
      </c>
      <c r="AN285" s="509">
        <v>2100</v>
      </c>
      <c r="AO285" s="509">
        <v>2100</v>
      </c>
      <c r="AP285" s="509">
        <v>0</v>
      </c>
      <c r="AQ285" s="509">
        <v>0</v>
      </c>
      <c r="AR285" s="509"/>
      <c r="AS285" s="509"/>
      <c r="AT285" s="510">
        <f t="shared" si="167"/>
        <v>66900</v>
      </c>
      <c r="AU285" s="512">
        <f t="shared" si="139"/>
        <v>1.0029985007496252</v>
      </c>
      <c r="AV285" s="511">
        <f t="shared" si="140"/>
        <v>200</v>
      </c>
      <c r="AW285" s="558">
        <f t="shared" si="141"/>
        <v>2.9985007496251873E-3</v>
      </c>
      <c r="AX285" s="513">
        <f t="shared" si="142"/>
        <v>599900</v>
      </c>
      <c r="AY285" s="514">
        <f t="shared" si="143"/>
        <v>0.89967006598680266</v>
      </c>
      <c r="AZ285" s="513">
        <f t="shared" si="144"/>
        <v>66700</v>
      </c>
      <c r="BA285" s="515" t="str">
        <f t="shared" si="145"/>
        <v>Vendido</v>
      </c>
      <c r="BB285" s="516" t="str">
        <f t="shared" si="146"/>
        <v>Cliente Atrasado</v>
      </c>
      <c r="BC285" s="551">
        <v>29</v>
      </c>
      <c r="BD285" s="693">
        <f t="shared" si="147"/>
        <v>1</v>
      </c>
      <c r="BE285" s="693">
        <f t="shared" si="148"/>
        <v>30</v>
      </c>
      <c r="BF285" s="517">
        <v>6000</v>
      </c>
      <c r="BG285" s="517">
        <v>2100</v>
      </c>
      <c r="BH285" s="693">
        <f t="shared" si="149"/>
        <v>23</v>
      </c>
      <c r="BI285" s="693">
        <f t="shared" si="150"/>
        <v>33</v>
      </c>
      <c r="BJ285" s="655">
        <f t="shared" si="168"/>
        <v>75300</v>
      </c>
      <c r="BK285" s="518">
        <f t="shared" si="151"/>
        <v>35700</v>
      </c>
      <c r="BL285" s="518">
        <f t="shared" si="152"/>
        <v>31200</v>
      </c>
      <c r="BM285" s="518">
        <f t="shared" si="153"/>
        <v>0</v>
      </c>
      <c r="BN285" s="518">
        <f t="shared" si="154"/>
        <v>0</v>
      </c>
      <c r="BO285" s="655">
        <f t="shared" si="138"/>
        <v>8400</v>
      </c>
      <c r="BP285" s="693">
        <f t="shared" si="155"/>
        <v>4</v>
      </c>
      <c r="BQ285" s="696"/>
      <c r="BR285" s="519"/>
      <c r="BT285" s="439">
        <f t="shared" si="156"/>
        <v>-8400</v>
      </c>
      <c r="BU285" s="439">
        <f t="shared" si="157"/>
        <v>-8400</v>
      </c>
      <c r="BV285" s="439">
        <f t="shared" si="158"/>
        <v>0</v>
      </c>
      <c r="BY285" s="862">
        <f t="shared" si="159"/>
        <v>427044.83100000001</v>
      </c>
      <c r="BZ285" s="862">
        <f t="shared" si="160"/>
        <v>183019.21299999999</v>
      </c>
      <c r="CA285" s="862">
        <f t="shared" si="161"/>
        <v>51245.38</v>
      </c>
      <c r="CB285" s="862">
        <f t="shared" si="162"/>
        <v>5490.58</v>
      </c>
      <c r="CC285" s="863">
        <f t="shared" si="163"/>
        <v>478290.21</v>
      </c>
      <c r="CD285" s="863">
        <f t="shared" si="164"/>
        <v>188509.79</v>
      </c>
      <c r="CE285" s="864">
        <f t="shared" si="165"/>
        <v>666800</v>
      </c>
      <c r="CF285" s="862">
        <f t="shared" si="166"/>
        <v>0</v>
      </c>
    </row>
    <row r="286" spans="1:84" s="429" customFormat="1" ht="13.9" customHeight="1" x14ac:dyDescent="0.25">
      <c r="B286" s="436">
        <v>1703</v>
      </c>
      <c r="C286" s="436" t="s">
        <v>686</v>
      </c>
      <c r="D286" s="436"/>
      <c r="E286" s="436" t="s">
        <v>366</v>
      </c>
      <c r="F286" s="429" t="s">
        <v>687</v>
      </c>
      <c r="G286" s="473">
        <v>45759</v>
      </c>
      <c r="H286" s="436" t="s">
        <v>128</v>
      </c>
      <c r="I286" s="472">
        <v>1450000</v>
      </c>
      <c r="J286" s="472">
        <f>+I286*0.1</f>
        <v>145000</v>
      </c>
      <c r="K286" s="507">
        <v>0</v>
      </c>
      <c r="L286" s="507">
        <v>0</v>
      </c>
      <c r="M286" s="507">
        <v>0</v>
      </c>
      <c r="N286" s="507">
        <v>0</v>
      </c>
      <c r="O286" s="507">
        <v>0</v>
      </c>
      <c r="P286" s="507">
        <v>0</v>
      </c>
      <c r="Q286" s="507">
        <v>0</v>
      </c>
      <c r="R286" s="507">
        <v>0</v>
      </c>
      <c r="S286" s="507">
        <v>0</v>
      </c>
      <c r="T286" s="507">
        <v>0</v>
      </c>
      <c r="U286" s="507">
        <v>0</v>
      </c>
      <c r="V286" s="507">
        <v>0</v>
      </c>
      <c r="W286" s="507">
        <v>0</v>
      </c>
      <c r="X286" s="507">
        <v>0</v>
      </c>
      <c r="Y286" s="507">
        <v>0</v>
      </c>
      <c r="Z286" s="507">
        <v>0</v>
      </c>
      <c r="AA286" s="507">
        <v>0</v>
      </c>
      <c r="AB286" s="507">
        <v>0</v>
      </c>
      <c r="AC286" s="507">
        <v>0</v>
      </c>
      <c r="AD286" s="507">
        <v>0</v>
      </c>
      <c r="AE286" s="507">
        <v>0</v>
      </c>
      <c r="AF286" s="507">
        <v>0</v>
      </c>
      <c r="AG286" s="507">
        <v>0</v>
      </c>
      <c r="AH286" s="507">
        <v>0</v>
      </c>
      <c r="AI286" s="507">
        <v>0</v>
      </c>
      <c r="AJ286" s="507">
        <v>10000</v>
      </c>
      <c r="AK286" s="508">
        <v>10385</v>
      </c>
      <c r="AL286" s="508">
        <v>10385</v>
      </c>
      <c r="AM286" s="509">
        <f>10385+10385</f>
        <v>20770</v>
      </c>
      <c r="AN286" s="509">
        <v>0</v>
      </c>
      <c r="AO286" s="509">
        <v>10385</v>
      </c>
      <c r="AP286" s="509">
        <v>10385</v>
      </c>
      <c r="AQ286" s="509">
        <v>31155</v>
      </c>
      <c r="AR286" s="509"/>
      <c r="AS286" s="509">
        <f>10385+10385+10385</f>
        <v>31155</v>
      </c>
      <c r="AT286" s="510">
        <f t="shared" si="167"/>
        <v>134620</v>
      </c>
      <c r="AU286" s="512">
        <f t="shared" si="139"/>
        <v>0.92841379310344829</v>
      </c>
      <c r="AV286" s="511">
        <f t="shared" si="140"/>
        <v>-10380</v>
      </c>
      <c r="AW286" s="558">
        <f t="shared" si="141"/>
        <v>-7.1586206896551721E-2</v>
      </c>
      <c r="AX286" s="513">
        <f t="shared" si="142"/>
        <v>1315380</v>
      </c>
      <c r="AY286" s="514">
        <f t="shared" si="143"/>
        <v>0.90715862068965514</v>
      </c>
      <c r="AZ286" s="513">
        <f t="shared" si="144"/>
        <v>145000</v>
      </c>
      <c r="BA286" s="515" t="str">
        <f t="shared" si="145"/>
        <v>Vendido</v>
      </c>
      <c r="BB286" s="516" t="str">
        <f t="shared" si="146"/>
        <v>Cliente al día</v>
      </c>
      <c r="BC286" s="551">
        <v>13</v>
      </c>
      <c r="BD286" s="693">
        <f t="shared" si="147"/>
        <v>1</v>
      </c>
      <c r="BE286" s="693">
        <f t="shared" si="148"/>
        <v>14</v>
      </c>
      <c r="BF286" s="517">
        <v>10000</v>
      </c>
      <c r="BG286" s="517">
        <v>10385</v>
      </c>
      <c r="BH286" s="693">
        <f t="shared" si="149"/>
        <v>0</v>
      </c>
      <c r="BI286" s="693">
        <f t="shared" si="150"/>
        <v>9</v>
      </c>
      <c r="BJ286" s="655">
        <f t="shared" si="168"/>
        <v>103465</v>
      </c>
      <c r="BK286" s="518">
        <f t="shared" si="151"/>
        <v>51540</v>
      </c>
      <c r="BL286" s="518">
        <f t="shared" si="152"/>
        <v>83080</v>
      </c>
      <c r="BM286" s="518">
        <f t="shared" si="153"/>
        <v>0</v>
      </c>
      <c r="BN286" s="518">
        <f t="shared" si="154"/>
        <v>31155</v>
      </c>
      <c r="BO286" s="655">
        <f t="shared" si="138"/>
        <v>0</v>
      </c>
      <c r="BP286" s="693">
        <f t="shared" si="155"/>
        <v>0</v>
      </c>
      <c r="BQ286" s="696"/>
      <c r="BR286" s="519"/>
      <c r="BT286" s="439">
        <f t="shared" si="156"/>
        <v>31155</v>
      </c>
      <c r="BU286" s="439">
        <f t="shared" si="157"/>
        <v>31155</v>
      </c>
      <c r="BV286" s="439">
        <f t="shared" si="158"/>
        <v>0</v>
      </c>
      <c r="BY286" s="862">
        <f t="shared" si="159"/>
        <v>928636.78</v>
      </c>
      <c r="BZ286" s="862">
        <f t="shared" si="160"/>
        <v>397987.19099999999</v>
      </c>
      <c r="CA286" s="862">
        <f t="shared" si="161"/>
        <v>111436.41</v>
      </c>
      <c r="CB286" s="862">
        <f t="shared" si="162"/>
        <v>11939.62</v>
      </c>
      <c r="CC286" s="863">
        <f t="shared" si="163"/>
        <v>1040073.19</v>
      </c>
      <c r="CD286" s="863">
        <f t="shared" si="164"/>
        <v>409926.81</v>
      </c>
      <c r="CE286" s="864">
        <f t="shared" si="165"/>
        <v>1450000</v>
      </c>
      <c r="CF286" s="862">
        <f t="shared" si="166"/>
        <v>0</v>
      </c>
    </row>
    <row r="287" spans="1:84" s="429" customFormat="1" ht="13.9" customHeight="1" x14ac:dyDescent="0.25">
      <c r="A287" s="472"/>
      <c r="B287" s="436">
        <v>1704</v>
      </c>
      <c r="C287" s="436" t="s">
        <v>189</v>
      </c>
      <c r="D287" s="436"/>
      <c r="E287" s="436" t="s">
        <v>383</v>
      </c>
      <c r="F287" s="429" t="s">
        <v>688</v>
      </c>
      <c r="G287" s="473">
        <v>44995</v>
      </c>
      <c r="H287" s="436" t="s">
        <v>128</v>
      </c>
      <c r="I287" s="472">
        <v>617600</v>
      </c>
      <c r="J287" s="472">
        <v>62000</v>
      </c>
      <c r="K287" s="507">
        <v>6000</v>
      </c>
      <c r="L287" s="507">
        <v>1600</v>
      </c>
      <c r="M287" s="507">
        <v>1600</v>
      </c>
      <c r="N287" s="507">
        <v>1600</v>
      </c>
      <c r="O287" s="507">
        <v>1600</v>
      </c>
      <c r="P287" s="507">
        <v>1600</v>
      </c>
      <c r="Q287" s="507">
        <v>1600</v>
      </c>
      <c r="R287" s="507">
        <v>1600</v>
      </c>
      <c r="S287" s="507">
        <v>1600</v>
      </c>
      <c r="T287" s="507">
        <v>1600</v>
      </c>
      <c r="U287" s="507">
        <v>1600</v>
      </c>
      <c r="V287" s="507">
        <v>1600</v>
      </c>
      <c r="W287" s="507">
        <v>1600</v>
      </c>
      <c r="X287" s="507">
        <v>1600</v>
      </c>
      <c r="Y287" s="507">
        <v>1600</v>
      </c>
      <c r="Z287" s="507">
        <v>1600</v>
      </c>
      <c r="AA287" s="507">
        <v>1600</v>
      </c>
      <c r="AB287" s="507">
        <v>1600</v>
      </c>
      <c r="AC287" s="507">
        <v>1600</v>
      </c>
      <c r="AD287" s="507">
        <v>1600</v>
      </c>
      <c r="AE287" s="507">
        <v>1600</v>
      </c>
      <c r="AF287" s="507">
        <v>1600</v>
      </c>
      <c r="AG287" s="507">
        <v>0</v>
      </c>
      <c r="AH287" s="507">
        <v>3200</v>
      </c>
      <c r="AI287" s="507">
        <v>1600</v>
      </c>
      <c r="AJ287" s="507">
        <v>1600</v>
      </c>
      <c r="AK287" s="508">
        <v>1600</v>
      </c>
      <c r="AL287" s="508">
        <v>1600</v>
      </c>
      <c r="AM287" s="509">
        <v>1600</v>
      </c>
      <c r="AN287" s="509">
        <v>1600</v>
      </c>
      <c r="AO287" s="509">
        <v>1600</v>
      </c>
      <c r="AP287" s="509">
        <v>0</v>
      </c>
      <c r="AQ287" s="509">
        <v>1600</v>
      </c>
      <c r="AR287" s="509"/>
      <c r="AS287" s="509"/>
      <c r="AT287" s="510">
        <f t="shared" si="167"/>
        <v>55600</v>
      </c>
      <c r="AU287" s="512">
        <f t="shared" si="139"/>
        <v>0.89677419354838706</v>
      </c>
      <c r="AV287" s="511">
        <f t="shared" si="140"/>
        <v>-6400</v>
      </c>
      <c r="AW287" s="558">
        <f t="shared" si="141"/>
        <v>-0.1032258064516129</v>
      </c>
      <c r="AX287" s="513">
        <f t="shared" si="142"/>
        <v>562000</v>
      </c>
      <c r="AY287" s="514">
        <f t="shared" si="143"/>
        <v>0.90997409326424872</v>
      </c>
      <c r="AZ287" s="513">
        <f t="shared" si="144"/>
        <v>62000</v>
      </c>
      <c r="BA287" s="515" t="str">
        <f t="shared" si="145"/>
        <v>Vendido</v>
      </c>
      <c r="BB287" s="516" t="str">
        <f t="shared" si="146"/>
        <v>Cliente Atrasado</v>
      </c>
      <c r="BC287" s="551">
        <v>35</v>
      </c>
      <c r="BD287" s="693">
        <f t="shared" si="147"/>
        <v>1</v>
      </c>
      <c r="BE287" s="693">
        <f t="shared" si="148"/>
        <v>36</v>
      </c>
      <c r="BF287" s="517">
        <v>6000</v>
      </c>
      <c r="BG287" s="517">
        <v>1600</v>
      </c>
      <c r="BH287" s="693">
        <f t="shared" si="149"/>
        <v>30</v>
      </c>
      <c r="BI287" s="693">
        <f t="shared" si="150"/>
        <v>34</v>
      </c>
      <c r="BJ287" s="655">
        <f t="shared" si="168"/>
        <v>60400</v>
      </c>
      <c r="BK287" s="518">
        <f t="shared" si="151"/>
        <v>46400</v>
      </c>
      <c r="BL287" s="518">
        <f t="shared" si="152"/>
        <v>9200</v>
      </c>
      <c r="BM287" s="518">
        <f t="shared" si="153"/>
        <v>0</v>
      </c>
      <c r="BN287" s="518">
        <f t="shared" si="154"/>
        <v>0</v>
      </c>
      <c r="BO287" s="655">
        <f t="shared" si="138"/>
        <v>4800</v>
      </c>
      <c r="BP287" s="693">
        <f t="shared" si="155"/>
        <v>3</v>
      </c>
      <c r="BQ287" s="696"/>
      <c r="BR287" s="519"/>
      <c r="BT287" s="439">
        <f t="shared" si="156"/>
        <v>-4800</v>
      </c>
      <c r="BU287" s="439">
        <f t="shared" si="157"/>
        <v>-4800</v>
      </c>
      <c r="BV287" s="439">
        <f t="shared" si="158"/>
        <v>0</v>
      </c>
      <c r="BY287" s="862">
        <f t="shared" si="159"/>
        <v>395535.22399999999</v>
      </c>
      <c r="BZ287" s="862">
        <f t="shared" si="160"/>
        <v>169515.09599999999</v>
      </c>
      <c r="CA287" s="862">
        <f t="shared" si="161"/>
        <v>47464.23</v>
      </c>
      <c r="CB287" s="862">
        <f t="shared" si="162"/>
        <v>5085.45</v>
      </c>
      <c r="CC287" s="863">
        <f t="shared" si="163"/>
        <v>442999.45</v>
      </c>
      <c r="CD287" s="863">
        <f t="shared" si="164"/>
        <v>174600.55</v>
      </c>
      <c r="CE287" s="864">
        <f t="shared" si="165"/>
        <v>617600</v>
      </c>
      <c r="CF287" s="862">
        <f t="shared" si="166"/>
        <v>0</v>
      </c>
    </row>
    <row r="288" spans="1:84" s="429" customFormat="1" ht="13.9" customHeight="1" x14ac:dyDescent="0.25">
      <c r="B288" s="436">
        <v>1705</v>
      </c>
      <c r="C288" s="436" t="s">
        <v>689</v>
      </c>
      <c r="D288" s="436"/>
      <c r="E288" s="436" t="s">
        <v>366</v>
      </c>
      <c r="F288" s="429" t="s">
        <v>690</v>
      </c>
      <c r="G288" s="473">
        <v>45749</v>
      </c>
      <c r="H288" s="436" t="s">
        <v>128</v>
      </c>
      <c r="I288" s="472">
        <v>1446043.24</v>
      </c>
      <c r="J288" s="472">
        <v>144643.24</v>
      </c>
      <c r="K288" s="507">
        <v>0</v>
      </c>
      <c r="L288" s="507">
        <v>0</v>
      </c>
      <c r="M288" s="507">
        <v>0</v>
      </c>
      <c r="N288" s="507">
        <v>0</v>
      </c>
      <c r="O288" s="507">
        <v>0</v>
      </c>
      <c r="P288" s="507">
        <v>0</v>
      </c>
      <c r="Q288" s="507">
        <v>0</v>
      </c>
      <c r="R288" s="507">
        <v>0</v>
      </c>
      <c r="S288" s="507">
        <v>0</v>
      </c>
      <c r="T288" s="507">
        <v>0</v>
      </c>
      <c r="U288" s="507">
        <v>0</v>
      </c>
      <c r="V288" s="507">
        <v>0</v>
      </c>
      <c r="W288" s="507">
        <v>0</v>
      </c>
      <c r="X288" s="507">
        <v>0</v>
      </c>
      <c r="Y288" s="507">
        <v>0</v>
      </c>
      <c r="Z288" s="507">
        <v>0</v>
      </c>
      <c r="AA288" s="507">
        <v>0</v>
      </c>
      <c r="AB288" s="507">
        <v>0</v>
      </c>
      <c r="AC288" s="507">
        <v>0</v>
      </c>
      <c r="AD288" s="507">
        <v>0</v>
      </c>
      <c r="AE288" s="507">
        <v>0</v>
      </c>
      <c r="AF288" s="507">
        <v>0</v>
      </c>
      <c r="AG288" s="507">
        <v>0</v>
      </c>
      <c r="AH288" s="507">
        <v>0</v>
      </c>
      <c r="AI288" s="507">
        <v>0</v>
      </c>
      <c r="AJ288" s="507">
        <v>10000</v>
      </c>
      <c r="AK288" s="509">
        <v>65592.83</v>
      </c>
      <c r="AL288" s="509">
        <f>65647.49+3402.95</f>
        <v>69050.44</v>
      </c>
      <c r="AM288" s="509"/>
      <c r="AN288" s="509">
        <v>0</v>
      </c>
      <c r="AO288" s="509">
        <v>0</v>
      </c>
      <c r="AP288" s="509">
        <v>0</v>
      </c>
      <c r="AQ288" s="509">
        <v>0</v>
      </c>
      <c r="AR288" s="509"/>
      <c r="AS288" s="509"/>
      <c r="AT288" s="510">
        <f t="shared" si="167"/>
        <v>144643.27000000002</v>
      </c>
      <c r="AU288" s="512">
        <f t="shared" si="139"/>
        <v>1.0000002074068586</v>
      </c>
      <c r="AV288" s="511">
        <f t="shared" si="140"/>
        <v>3.0000000027939677E-2</v>
      </c>
      <c r="AW288" s="558">
        <f t="shared" si="141"/>
        <v>2.0740685861253994E-7</v>
      </c>
      <c r="AX288" s="513">
        <f t="shared" si="142"/>
        <v>1301399.97</v>
      </c>
      <c r="AY288" s="514">
        <f t="shared" si="143"/>
        <v>0.89997306719541803</v>
      </c>
      <c r="AZ288" s="513">
        <f t="shared" si="144"/>
        <v>144643.24</v>
      </c>
      <c r="BA288" s="515" t="str">
        <f t="shared" si="145"/>
        <v>Vendido</v>
      </c>
      <c r="BB288" s="516" t="str">
        <f t="shared" si="146"/>
        <v>Cliente Atrasado</v>
      </c>
      <c r="BC288" s="551">
        <v>2</v>
      </c>
      <c r="BD288" s="693">
        <f t="shared" si="147"/>
        <v>1</v>
      </c>
      <c r="BE288" s="693">
        <f t="shared" si="148"/>
        <v>3</v>
      </c>
      <c r="BF288" s="517">
        <v>10000</v>
      </c>
      <c r="BG288" s="517">
        <v>67321.63</v>
      </c>
      <c r="BH288" s="693">
        <f t="shared" si="149"/>
        <v>0</v>
      </c>
      <c r="BI288" s="693">
        <f t="shared" si="150"/>
        <v>9</v>
      </c>
      <c r="BJ288" s="655">
        <f t="shared" si="168"/>
        <v>615894.67000000004</v>
      </c>
      <c r="BK288" s="518">
        <f t="shared" si="151"/>
        <v>75592.83</v>
      </c>
      <c r="BL288" s="518">
        <f t="shared" si="152"/>
        <v>69050.44</v>
      </c>
      <c r="BM288" s="518">
        <f t="shared" si="153"/>
        <v>0</v>
      </c>
      <c r="BN288" s="518">
        <f t="shared" si="154"/>
        <v>0</v>
      </c>
      <c r="BO288" s="655">
        <f t="shared" si="138"/>
        <v>471251.4</v>
      </c>
      <c r="BP288" s="693">
        <f t="shared" si="155"/>
        <v>7</v>
      </c>
      <c r="BQ288" s="696" t="s">
        <v>388</v>
      </c>
      <c r="BR288" s="519"/>
      <c r="BT288" s="439">
        <f t="shared" si="156"/>
        <v>-471251.4</v>
      </c>
      <c r="BU288" s="439">
        <f t="shared" si="157"/>
        <v>-471251.4</v>
      </c>
      <c r="BV288" s="439">
        <f t="shared" si="158"/>
        <v>0</v>
      </c>
      <c r="BY288" s="862">
        <f t="shared" si="159"/>
        <v>926102.71499999997</v>
      </c>
      <c r="BZ288" s="862">
        <f t="shared" si="160"/>
        <v>396901.16399999999</v>
      </c>
      <c r="CA288" s="862">
        <f t="shared" si="161"/>
        <v>111132.33</v>
      </c>
      <c r="CB288" s="862">
        <f t="shared" si="162"/>
        <v>11907.03</v>
      </c>
      <c r="CC288" s="863">
        <f t="shared" si="163"/>
        <v>1037235.05</v>
      </c>
      <c r="CD288" s="863">
        <f t="shared" si="164"/>
        <v>408808.19</v>
      </c>
      <c r="CE288" s="864">
        <f t="shared" si="165"/>
        <v>1446043.24</v>
      </c>
      <c r="CF288" s="862">
        <f t="shared" si="166"/>
        <v>0</v>
      </c>
    </row>
    <row r="289" spans="1:84" s="429" customFormat="1" ht="13.9" customHeight="1" x14ac:dyDescent="0.25">
      <c r="A289" s="472" t="s">
        <v>58</v>
      </c>
      <c r="B289" s="475">
        <v>1706</v>
      </c>
      <c r="C289" s="475" t="s">
        <v>400</v>
      </c>
      <c r="D289" s="475"/>
      <c r="E289" s="475" t="s">
        <v>356</v>
      </c>
      <c r="F289" s="476" t="s">
        <v>624</v>
      </c>
      <c r="G289" s="473">
        <v>45009</v>
      </c>
      <c r="H289" s="436" t="s">
        <v>128</v>
      </c>
      <c r="I289" s="472">
        <v>860951</v>
      </c>
      <c r="J289" s="472">
        <v>87051</v>
      </c>
      <c r="K289" s="507">
        <v>6000</v>
      </c>
      <c r="L289" s="507">
        <v>2400</v>
      </c>
      <c r="M289" s="507">
        <v>2400</v>
      </c>
      <c r="N289" s="507">
        <v>2400</v>
      </c>
      <c r="O289" s="507">
        <v>0</v>
      </c>
      <c r="P289" s="507">
        <v>2400</v>
      </c>
      <c r="Q289" s="507">
        <v>4800</v>
      </c>
      <c r="R289" s="507">
        <v>2400</v>
      </c>
      <c r="S289" s="507">
        <v>2400</v>
      </c>
      <c r="T289" s="507">
        <v>0</v>
      </c>
      <c r="U289" s="507">
        <v>4800</v>
      </c>
      <c r="V289" s="507">
        <v>0</v>
      </c>
      <c r="W289" s="507">
        <v>2400</v>
      </c>
      <c r="X289" s="507">
        <v>4800</v>
      </c>
      <c r="Y289" s="507">
        <v>0</v>
      </c>
      <c r="Z289" s="507">
        <v>4800</v>
      </c>
      <c r="AA289" s="507">
        <v>0</v>
      </c>
      <c r="AB289" s="507">
        <v>2400</v>
      </c>
      <c r="AC289" s="507">
        <v>0</v>
      </c>
      <c r="AD289" s="507">
        <v>0</v>
      </c>
      <c r="AE289" s="507">
        <v>2400</v>
      </c>
      <c r="AF289" s="507">
        <v>0</v>
      </c>
      <c r="AG289" s="507">
        <v>0</v>
      </c>
      <c r="AH289" s="507">
        <v>0</v>
      </c>
      <c r="AI289" s="507">
        <v>0</v>
      </c>
      <c r="AJ289" s="507">
        <v>0</v>
      </c>
      <c r="AK289" s="508"/>
      <c r="AL289" s="508"/>
      <c r="AM289" s="508"/>
      <c r="AN289" s="509">
        <v>0</v>
      </c>
      <c r="AO289" s="509">
        <v>0</v>
      </c>
      <c r="AP289" s="509">
        <v>0</v>
      </c>
      <c r="AQ289" s="509">
        <v>0</v>
      </c>
      <c r="AR289" s="508"/>
      <c r="AS289" s="508"/>
      <c r="AT289" s="510">
        <f t="shared" si="167"/>
        <v>46800</v>
      </c>
      <c r="AU289" s="512">
        <f t="shared" si="139"/>
        <v>0.53761588034600405</v>
      </c>
      <c r="AV289" s="511">
        <f t="shared" si="140"/>
        <v>-40251</v>
      </c>
      <c r="AW289" s="558">
        <f t="shared" si="141"/>
        <v>-0.46238411965399595</v>
      </c>
      <c r="AX289" s="513">
        <f t="shared" si="142"/>
        <v>814151</v>
      </c>
      <c r="AY289" s="514">
        <f t="shared" si="143"/>
        <v>0.94564150573029127</v>
      </c>
      <c r="AZ289" s="513">
        <f t="shared" si="144"/>
        <v>87051</v>
      </c>
      <c r="BA289" s="515" t="str">
        <f t="shared" si="145"/>
        <v>Vendido</v>
      </c>
      <c r="BB289" s="516" t="str">
        <f t="shared" si="146"/>
        <v>Cliente Atrasado</v>
      </c>
      <c r="BC289" s="551">
        <v>35</v>
      </c>
      <c r="BD289" s="693">
        <f t="shared" si="147"/>
        <v>1</v>
      </c>
      <c r="BE289" s="693">
        <f t="shared" si="148"/>
        <v>36</v>
      </c>
      <c r="BF289" s="517">
        <v>6000</v>
      </c>
      <c r="BG289" s="517">
        <v>2400</v>
      </c>
      <c r="BH289" s="693">
        <f t="shared" si="149"/>
        <v>13</v>
      </c>
      <c r="BI289" s="693">
        <f t="shared" si="150"/>
        <v>34</v>
      </c>
      <c r="BJ289" s="655">
        <f t="shared" si="168"/>
        <v>87600</v>
      </c>
      <c r="BK289" s="518">
        <f t="shared" si="151"/>
        <v>21600</v>
      </c>
      <c r="BL289" s="518">
        <f t="shared" si="152"/>
        <v>25200</v>
      </c>
      <c r="BM289" s="518">
        <f t="shared" si="153"/>
        <v>0</v>
      </c>
      <c r="BN289" s="518">
        <f t="shared" si="154"/>
        <v>0</v>
      </c>
      <c r="BO289" s="655">
        <f t="shared" ref="BO289:BO295" si="169">IF(AT289&lt;BJ289,BJ289-AT289,0)</f>
        <v>40800</v>
      </c>
      <c r="BP289" s="693" t="str">
        <f t="shared" si="155"/>
        <v/>
      </c>
      <c r="BQ289" s="695" t="s">
        <v>58</v>
      </c>
      <c r="BR289" s="519"/>
      <c r="BT289" s="439">
        <f t="shared" si="156"/>
        <v>-40800</v>
      </c>
      <c r="BU289" s="439">
        <f t="shared" si="157"/>
        <v>-40800</v>
      </c>
      <c r="BV289" s="439">
        <f t="shared" si="158"/>
        <v>0</v>
      </c>
      <c r="BY289" s="862">
        <f t="shared" si="159"/>
        <v>551386.73400000005</v>
      </c>
      <c r="BZ289" s="862">
        <f t="shared" si="160"/>
        <v>236308.6</v>
      </c>
      <c r="CA289" s="862">
        <f t="shared" si="161"/>
        <v>66166.41</v>
      </c>
      <c r="CB289" s="862">
        <f t="shared" si="162"/>
        <v>7089.26</v>
      </c>
      <c r="CC289" s="863">
        <f t="shared" si="163"/>
        <v>617553.14</v>
      </c>
      <c r="CD289" s="863">
        <f t="shared" si="164"/>
        <v>243397.86</v>
      </c>
      <c r="CE289" s="864">
        <f t="shared" si="165"/>
        <v>860951</v>
      </c>
      <c r="CF289" s="862">
        <f t="shared" si="166"/>
        <v>0</v>
      </c>
    </row>
    <row r="290" spans="1:84" s="429" customFormat="1" ht="13.9" customHeight="1" x14ac:dyDescent="0.25">
      <c r="B290" s="436">
        <v>1707</v>
      </c>
      <c r="C290" s="436" t="s">
        <v>534</v>
      </c>
      <c r="D290" s="436"/>
      <c r="E290" s="436" t="s">
        <v>691</v>
      </c>
      <c r="F290" s="429" t="s">
        <v>692</v>
      </c>
      <c r="G290" s="473">
        <v>45721</v>
      </c>
      <c r="H290" s="436" t="s">
        <v>128</v>
      </c>
      <c r="I290" s="472">
        <v>908000</v>
      </c>
      <c r="J290" s="472">
        <f>+I290*0.1</f>
        <v>90800</v>
      </c>
      <c r="K290" s="507">
        <v>0</v>
      </c>
      <c r="L290" s="507">
        <v>0</v>
      </c>
      <c r="M290" s="507">
        <v>0</v>
      </c>
      <c r="N290" s="507">
        <v>0</v>
      </c>
      <c r="O290" s="507">
        <v>0</v>
      </c>
      <c r="P290" s="507">
        <v>0</v>
      </c>
      <c r="Q290" s="507">
        <v>0</v>
      </c>
      <c r="R290" s="507">
        <v>0</v>
      </c>
      <c r="S290" s="507">
        <v>0</v>
      </c>
      <c r="T290" s="507">
        <v>0</v>
      </c>
      <c r="U290" s="507">
        <v>0</v>
      </c>
      <c r="V290" s="507">
        <v>0</v>
      </c>
      <c r="W290" s="507">
        <v>0</v>
      </c>
      <c r="X290" s="507">
        <v>0</v>
      </c>
      <c r="Y290" s="507">
        <v>0</v>
      </c>
      <c r="Z290" s="507">
        <v>0</v>
      </c>
      <c r="AA290" s="507">
        <v>0</v>
      </c>
      <c r="AB290" s="507">
        <v>0</v>
      </c>
      <c r="AC290" s="507">
        <v>0</v>
      </c>
      <c r="AD290" s="507">
        <v>0</v>
      </c>
      <c r="AE290" s="507">
        <v>0</v>
      </c>
      <c r="AF290" s="507">
        <v>0</v>
      </c>
      <c r="AG290" s="507">
        <v>0</v>
      </c>
      <c r="AH290" s="507">
        <v>0</v>
      </c>
      <c r="AI290" s="507">
        <v>10000</v>
      </c>
      <c r="AJ290" s="507">
        <f>1100+9000</f>
        <v>10100</v>
      </c>
      <c r="AK290" s="508"/>
      <c r="AL290" s="509">
        <v>5050</v>
      </c>
      <c r="AM290" s="509"/>
      <c r="AN290" s="509">
        <v>10100</v>
      </c>
      <c r="AO290" s="509">
        <v>0</v>
      </c>
      <c r="AP290" s="509">
        <v>0</v>
      </c>
      <c r="AQ290" s="509">
        <v>0</v>
      </c>
      <c r="AR290" s="509"/>
      <c r="AS290" s="509">
        <v>15150</v>
      </c>
      <c r="AT290" s="510">
        <f t="shared" si="167"/>
        <v>50400</v>
      </c>
      <c r="AU290" s="512">
        <f t="shared" si="139"/>
        <v>0.55506607929515417</v>
      </c>
      <c r="AV290" s="511">
        <f t="shared" si="140"/>
        <v>-40400</v>
      </c>
      <c r="AW290" s="558">
        <f t="shared" si="141"/>
        <v>-0.44493392070484583</v>
      </c>
      <c r="AX290" s="513">
        <f t="shared" si="142"/>
        <v>857600</v>
      </c>
      <c r="AY290" s="514">
        <f t="shared" si="143"/>
        <v>0.94449339207048455</v>
      </c>
      <c r="AZ290" s="513">
        <f t="shared" si="144"/>
        <v>90800</v>
      </c>
      <c r="BA290" s="515" t="str">
        <f t="shared" si="145"/>
        <v>Vendido</v>
      </c>
      <c r="BB290" s="516" t="str">
        <f t="shared" si="146"/>
        <v>Cliente Atrasado</v>
      </c>
      <c r="BC290" s="551">
        <v>16</v>
      </c>
      <c r="BD290" s="693">
        <f t="shared" si="147"/>
        <v>1</v>
      </c>
      <c r="BE290" s="693">
        <f t="shared" si="148"/>
        <v>17</v>
      </c>
      <c r="BF290" s="517">
        <v>10000</v>
      </c>
      <c r="BG290" s="517">
        <v>5050</v>
      </c>
      <c r="BH290" s="693">
        <f t="shared" si="149"/>
        <v>1</v>
      </c>
      <c r="BI290" s="693">
        <f t="shared" si="150"/>
        <v>10</v>
      </c>
      <c r="BJ290" s="655">
        <f t="shared" si="168"/>
        <v>60500</v>
      </c>
      <c r="BK290" s="518">
        <f t="shared" si="151"/>
        <v>5050</v>
      </c>
      <c r="BL290" s="518">
        <f t="shared" si="152"/>
        <v>45350</v>
      </c>
      <c r="BM290" s="518">
        <f t="shared" si="153"/>
        <v>0</v>
      </c>
      <c r="BN290" s="518">
        <f t="shared" si="154"/>
        <v>0</v>
      </c>
      <c r="BO290" s="655">
        <f t="shared" si="169"/>
        <v>10100</v>
      </c>
      <c r="BP290" s="693">
        <f t="shared" si="155"/>
        <v>2</v>
      </c>
      <c r="BQ290" s="696"/>
      <c r="BR290" s="519"/>
      <c r="BT290" s="439">
        <f t="shared" si="156"/>
        <v>-10100</v>
      </c>
      <c r="BU290" s="439">
        <f t="shared" si="157"/>
        <v>-10100</v>
      </c>
      <c r="BV290" s="439">
        <f t="shared" si="158"/>
        <v>0</v>
      </c>
      <c r="BY290" s="862">
        <f t="shared" si="159"/>
        <v>581518.75600000005</v>
      </c>
      <c r="BZ290" s="862">
        <f t="shared" si="160"/>
        <v>249222.32399999999</v>
      </c>
      <c r="CA290" s="862">
        <f t="shared" si="161"/>
        <v>69782.25</v>
      </c>
      <c r="CB290" s="862">
        <f t="shared" si="162"/>
        <v>7476.67</v>
      </c>
      <c r="CC290" s="863">
        <f t="shared" si="163"/>
        <v>651301.01</v>
      </c>
      <c r="CD290" s="863">
        <f t="shared" si="164"/>
        <v>256698.99</v>
      </c>
      <c r="CE290" s="864">
        <f t="shared" si="165"/>
        <v>908000</v>
      </c>
      <c r="CF290" s="862">
        <f t="shared" si="166"/>
        <v>0</v>
      </c>
    </row>
    <row r="291" spans="1:84" s="429" customFormat="1" ht="13.9" customHeight="1" x14ac:dyDescent="0.25">
      <c r="B291" s="436">
        <v>1708</v>
      </c>
      <c r="C291" s="436" t="s">
        <v>693</v>
      </c>
      <c r="D291" s="436"/>
      <c r="E291" s="436" t="s">
        <v>135</v>
      </c>
      <c r="F291" s="429" t="s">
        <v>694</v>
      </c>
      <c r="G291" s="473">
        <v>45957</v>
      </c>
      <c r="H291" s="436" t="s">
        <v>128</v>
      </c>
      <c r="I291" s="472">
        <v>1762700</v>
      </c>
      <c r="J291" s="472">
        <v>123389</v>
      </c>
      <c r="K291" s="507">
        <v>0</v>
      </c>
      <c r="L291" s="507">
        <v>0</v>
      </c>
      <c r="M291" s="507">
        <v>0</v>
      </c>
      <c r="N291" s="507">
        <v>0</v>
      </c>
      <c r="O291" s="507">
        <v>0</v>
      </c>
      <c r="P291" s="507">
        <v>0</v>
      </c>
      <c r="Q291" s="507">
        <v>0</v>
      </c>
      <c r="R291" s="507">
        <v>0</v>
      </c>
      <c r="S291" s="507">
        <v>0</v>
      </c>
      <c r="T291" s="507">
        <v>0</v>
      </c>
      <c r="U291" s="507">
        <v>0</v>
      </c>
      <c r="V291" s="507">
        <v>0</v>
      </c>
      <c r="W291" s="507">
        <v>0</v>
      </c>
      <c r="X291" s="507">
        <v>0</v>
      </c>
      <c r="Y291" s="507">
        <v>0</v>
      </c>
      <c r="Z291" s="507">
        <v>0</v>
      </c>
      <c r="AA291" s="507">
        <v>0</v>
      </c>
      <c r="AB291" s="507">
        <v>0</v>
      </c>
      <c r="AC291" s="507">
        <v>0</v>
      </c>
      <c r="AD291" s="507">
        <v>0</v>
      </c>
      <c r="AE291" s="507">
        <v>0</v>
      </c>
      <c r="AF291" s="507">
        <v>0</v>
      </c>
      <c r="AG291" s="507">
        <v>0</v>
      </c>
      <c r="AH291" s="507">
        <v>0</v>
      </c>
      <c r="AI291" s="507">
        <v>0</v>
      </c>
      <c r="AJ291" s="507">
        <v>0</v>
      </c>
      <c r="AK291" s="508"/>
      <c r="AL291" s="508"/>
      <c r="AM291" s="508"/>
      <c r="AN291" s="509">
        <v>0</v>
      </c>
      <c r="AO291" s="509">
        <v>0</v>
      </c>
      <c r="AP291" s="509">
        <v>10000</v>
      </c>
      <c r="AQ291" s="509">
        <v>14200</v>
      </c>
      <c r="AR291" s="508">
        <v>14200</v>
      </c>
      <c r="AS291" s="508">
        <v>20000</v>
      </c>
      <c r="AT291" s="510">
        <f t="shared" si="167"/>
        <v>58400</v>
      </c>
      <c r="AU291" s="512">
        <f t="shared" si="139"/>
        <v>0.47329988896903291</v>
      </c>
      <c r="AV291" s="511">
        <f t="shared" si="140"/>
        <v>-64989</v>
      </c>
      <c r="AW291" s="558">
        <f t="shared" si="141"/>
        <v>-0.52670011103096714</v>
      </c>
      <c r="AX291" s="513">
        <f t="shared" si="142"/>
        <v>1704300</v>
      </c>
      <c r="AY291" s="514">
        <f t="shared" si="143"/>
        <v>0.96686900777216767</v>
      </c>
      <c r="AZ291" s="513">
        <f t="shared" si="144"/>
        <v>123389</v>
      </c>
      <c r="BA291" s="515" t="str">
        <f t="shared" si="145"/>
        <v>Vendido</v>
      </c>
      <c r="BB291" s="516" t="str">
        <f t="shared" si="146"/>
        <v>Cliente al día</v>
      </c>
      <c r="BC291" s="551">
        <v>8</v>
      </c>
      <c r="BD291" s="693">
        <f t="shared" si="147"/>
        <v>1</v>
      </c>
      <c r="BE291" s="693">
        <f t="shared" si="148"/>
        <v>9</v>
      </c>
      <c r="BF291" s="517">
        <v>10000</v>
      </c>
      <c r="BG291" s="517">
        <v>14200</v>
      </c>
      <c r="BH291" s="693">
        <f t="shared" si="149"/>
        <v>0</v>
      </c>
      <c r="BI291" s="693">
        <f t="shared" si="150"/>
        <v>2</v>
      </c>
      <c r="BJ291" s="655">
        <f t="shared" si="168"/>
        <v>38400</v>
      </c>
      <c r="BK291" s="518">
        <f t="shared" si="151"/>
        <v>38400</v>
      </c>
      <c r="BL291" s="518">
        <f t="shared" si="152"/>
        <v>20000</v>
      </c>
      <c r="BM291" s="518">
        <f t="shared" si="153"/>
        <v>0</v>
      </c>
      <c r="BN291" s="518">
        <f t="shared" si="154"/>
        <v>20000</v>
      </c>
      <c r="BO291" s="655">
        <f t="shared" si="169"/>
        <v>0</v>
      </c>
      <c r="BP291" s="693">
        <f t="shared" si="155"/>
        <v>0</v>
      </c>
      <c r="BQ291" s="696"/>
      <c r="BR291" s="519"/>
      <c r="BT291" s="439">
        <f t="shared" si="156"/>
        <v>20000</v>
      </c>
      <c r="BU291" s="439">
        <f t="shared" si="157"/>
        <v>20000</v>
      </c>
      <c r="BV291" s="439">
        <f t="shared" si="158"/>
        <v>0</v>
      </c>
      <c r="BY291" s="862">
        <f t="shared" si="159"/>
        <v>1128902.1040000001</v>
      </c>
      <c r="BZ291" s="862">
        <f t="shared" si="160"/>
        <v>483815.18800000002</v>
      </c>
      <c r="CA291" s="862">
        <f t="shared" si="161"/>
        <v>135468.25</v>
      </c>
      <c r="CB291" s="862">
        <f t="shared" si="162"/>
        <v>14514.46</v>
      </c>
      <c r="CC291" s="863">
        <f t="shared" si="163"/>
        <v>1264370.3500000001</v>
      </c>
      <c r="CD291" s="863">
        <f t="shared" si="164"/>
        <v>498329.65</v>
      </c>
      <c r="CE291" s="864">
        <f t="shared" si="165"/>
        <v>1762700</v>
      </c>
      <c r="CF291" s="862">
        <f t="shared" si="166"/>
        <v>0</v>
      </c>
    </row>
    <row r="292" spans="1:84" s="429" customFormat="1" ht="13.9" customHeight="1" x14ac:dyDescent="0.25">
      <c r="A292" s="472" t="s">
        <v>58</v>
      </c>
      <c r="B292" s="475">
        <v>1801</v>
      </c>
      <c r="C292" s="475" t="s">
        <v>695</v>
      </c>
      <c r="D292" s="475"/>
      <c r="E292" s="475" t="s">
        <v>356</v>
      </c>
      <c r="F292" s="476" t="s">
        <v>696</v>
      </c>
      <c r="G292" s="473">
        <v>45012</v>
      </c>
      <c r="H292" s="436" t="s">
        <v>128</v>
      </c>
      <c r="I292" s="472">
        <v>1391452</v>
      </c>
      <c r="J292" s="472">
        <v>139152</v>
      </c>
      <c r="K292" s="507">
        <v>6000</v>
      </c>
      <c r="L292" s="507">
        <v>0</v>
      </c>
      <c r="M292" s="507">
        <v>7600</v>
      </c>
      <c r="N292" s="507">
        <v>0</v>
      </c>
      <c r="O292" s="507">
        <v>0</v>
      </c>
      <c r="P292" s="507">
        <v>0</v>
      </c>
      <c r="Q292" s="507">
        <v>0</v>
      </c>
      <c r="R292" s="507">
        <v>0</v>
      </c>
      <c r="S292" s="507">
        <v>0</v>
      </c>
      <c r="T292" s="507">
        <v>0</v>
      </c>
      <c r="U292" s="507">
        <v>0</v>
      </c>
      <c r="V292" s="507">
        <v>0</v>
      </c>
      <c r="W292" s="507">
        <v>0</v>
      </c>
      <c r="X292" s="507">
        <v>0</v>
      </c>
      <c r="Y292" s="507">
        <v>0</v>
      </c>
      <c r="Z292" s="507">
        <v>0</v>
      </c>
      <c r="AA292" s="507">
        <v>0</v>
      </c>
      <c r="AB292" s="507">
        <v>0</v>
      </c>
      <c r="AC292" s="507">
        <v>0</v>
      </c>
      <c r="AD292" s="507">
        <v>0</v>
      </c>
      <c r="AE292" s="507">
        <v>0</v>
      </c>
      <c r="AF292" s="507">
        <v>0</v>
      </c>
      <c r="AG292" s="507">
        <v>0</v>
      </c>
      <c r="AH292" s="507">
        <v>0</v>
      </c>
      <c r="AI292" s="507">
        <v>0</v>
      </c>
      <c r="AJ292" s="507">
        <v>0</v>
      </c>
      <c r="AK292" s="508"/>
      <c r="AL292" s="508"/>
      <c r="AM292" s="508"/>
      <c r="AN292" s="509">
        <v>0</v>
      </c>
      <c r="AO292" s="509">
        <v>0</v>
      </c>
      <c r="AP292" s="509">
        <v>0</v>
      </c>
      <c r="AQ292" s="509">
        <v>0</v>
      </c>
      <c r="AR292" s="508"/>
      <c r="AS292" s="508"/>
      <c r="AT292" s="510">
        <f t="shared" si="167"/>
        <v>13600</v>
      </c>
      <c r="AU292" s="512">
        <f t="shared" si="139"/>
        <v>9.7734851098079792E-2</v>
      </c>
      <c r="AV292" s="511">
        <f t="shared" si="140"/>
        <v>-125552</v>
      </c>
      <c r="AW292" s="558">
        <f t="shared" si="141"/>
        <v>-0.90226514890192022</v>
      </c>
      <c r="AX292" s="513">
        <f t="shared" si="142"/>
        <v>1377852</v>
      </c>
      <c r="AY292" s="514">
        <f t="shared" si="143"/>
        <v>0.99022603726179559</v>
      </c>
      <c r="AZ292" s="513">
        <f t="shared" si="144"/>
        <v>139152</v>
      </c>
      <c r="BA292" s="515" t="str">
        <f t="shared" si="145"/>
        <v>Vendido</v>
      </c>
      <c r="BB292" s="516" t="str">
        <f t="shared" si="146"/>
        <v>Cliente Atrasado</v>
      </c>
      <c r="BC292" s="551">
        <v>35</v>
      </c>
      <c r="BD292" s="693">
        <f t="shared" si="147"/>
        <v>1</v>
      </c>
      <c r="BE292" s="693">
        <f t="shared" si="148"/>
        <v>36</v>
      </c>
      <c r="BF292" s="517">
        <v>6000</v>
      </c>
      <c r="BG292" s="517">
        <v>3800</v>
      </c>
      <c r="BH292" s="693">
        <f t="shared" si="149"/>
        <v>0</v>
      </c>
      <c r="BI292" s="693">
        <f t="shared" si="150"/>
        <v>33</v>
      </c>
      <c r="BJ292" s="655">
        <f t="shared" si="168"/>
        <v>131400</v>
      </c>
      <c r="BK292" s="518">
        <f t="shared" si="151"/>
        <v>0</v>
      </c>
      <c r="BL292" s="518">
        <f t="shared" si="152"/>
        <v>13600</v>
      </c>
      <c r="BM292" s="518">
        <f t="shared" si="153"/>
        <v>0</v>
      </c>
      <c r="BN292" s="518">
        <f t="shared" si="154"/>
        <v>0</v>
      </c>
      <c r="BO292" s="655">
        <f t="shared" si="169"/>
        <v>117800</v>
      </c>
      <c r="BP292" s="693" t="str">
        <f t="shared" si="155"/>
        <v/>
      </c>
      <c r="BQ292" s="695" t="s">
        <v>58</v>
      </c>
      <c r="BR292" s="519"/>
      <c r="BT292" s="439">
        <f t="shared" si="156"/>
        <v>-117800</v>
      </c>
      <c r="BU292" s="439">
        <f t="shared" si="157"/>
        <v>-117800</v>
      </c>
      <c r="BV292" s="439">
        <f t="shared" si="158"/>
        <v>0</v>
      </c>
      <c r="BY292" s="862">
        <f t="shared" si="159"/>
        <v>891140.348</v>
      </c>
      <c r="BZ292" s="862">
        <f t="shared" si="160"/>
        <v>381917.29200000002</v>
      </c>
      <c r="CA292" s="862">
        <f t="shared" si="161"/>
        <v>106936.84</v>
      </c>
      <c r="CB292" s="862">
        <f t="shared" si="162"/>
        <v>11457.52</v>
      </c>
      <c r="CC292" s="863">
        <f t="shared" si="163"/>
        <v>998077.19</v>
      </c>
      <c r="CD292" s="863">
        <f t="shared" si="164"/>
        <v>393374.81</v>
      </c>
      <c r="CE292" s="864">
        <f t="shared" si="165"/>
        <v>1391452</v>
      </c>
      <c r="CF292" s="862">
        <f t="shared" si="166"/>
        <v>0</v>
      </c>
    </row>
    <row r="293" spans="1:84" s="429" customFormat="1" ht="13.9" customHeight="1" x14ac:dyDescent="0.25">
      <c r="A293" s="472"/>
      <c r="B293" s="436">
        <v>1802</v>
      </c>
      <c r="C293" s="436" t="s">
        <v>565</v>
      </c>
      <c r="D293" s="436"/>
      <c r="E293" s="436" t="s">
        <v>366</v>
      </c>
      <c r="F293" s="429" t="s">
        <v>697</v>
      </c>
      <c r="G293" s="473">
        <v>45064</v>
      </c>
      <c r="H293" s="436" t="s">
        <v>128</v>
      </c>
      <c r="I293" s="472">
        <v>848900</v>
      </c>
      <c r="J293" s="472">
        <v>84900</v>
      </c>
      <c r="K293" s="507">
        <v>0</v>
      </c>
      <c r="L293" s="507">
        <v>0</v>
      </c>
      <c r="M293" s="507">
        <v>6000</v>
      </c>
      <c r="N293" s="507">
        <v>2818</v>
      </c>
      <c r="O293" s="507">
        <v>2818</v>
      </c>
      <c r="P293" s="507">
        <v>2818</v>
      </c>
      <c r="Q293" s="507">
        <v>2818</v>
      </c>
      <c r="R293" s="507">
        <v>2818</v>
      </c>
      <c r="S293" s="507">
        <v>2818</v>
      </c>
      <c r="T293" s="507">
        <v>2818</v>
      </c>
      <c r="U293" s="507">
        <v>2818</v>
      </c>
      <c r="V293" s="507">
        <v>2818</v>
      </c>
      <c r="W293" s="507">
        <v>2818</v>
      </c>
      <c r="X293" s="507">
        <v>2818</v>
      </c>
      <c r="Y293" s="507">
        <v>2818</v>
      </c>
      <c r="Z293" s="507">
        <v>2818</v>
      </c>
      <c r="AA293" s="507">
        <v>2818</v>
      </c>
      <c r="AB293" s="507">
        <v>2818</v>
      </c>
      <c r="AC293" s="507">
        <v>2818</v>
      </c>
      <c r="AD293" s="507">
        <v>2818</v>
      </c>
      <c r="AE293" s="507">
        <v>2818</v>
      </c>
      <c r="AF293" s="507">
        <v>2818</v>
      </c>
      <c r="AG293" s="507">
        <v>2818</v>
      </c>
      <c r="AH293" s="507">
        <v>2818</v>
      </c>
      <c r="AI293" s="507">
        <v>2818</v>
      </c>
      <c r="AJ293" s="507">
        <v>2818</v>
      </c>
      <c r="AK293" s="508">
        <v>2818</v>
      </c>
      <c r="AL293" s="508">
        <v>2818</v>
      </c>
      <c r="AM293" s="509">
        <v>2818</v>
      </c>
      <c r="AN293" s="509">
        <v>2818</v>
      </c>
      <c r="AO293" s="509">
        <v>2818</v>
      </c>
      <c r="AP293" s="509">
        <v>0</v>
      </c>
      <c r="AQ293" s="509">
        <v>0</v>
      </c>
      <c r="AR293" s="508">
        <v>300000</v>
      </c>
      <c r="AS293" s="508"/>
      <c r="AT293" s="510">
        <f t="shared" si="167"/>
        <v>384904</v>
      </c>
      <c r="AU293" s="512">
        <f t="shared" si="139"/>
        <v>4.5336160188457004</v>
      </c>
      <c r="AV293" s="511">
        <f t="shared" si="140"/>
        <v>300004</v>
      </c>
      <c r="AW293" s="558">
        <f t="shared" si="141"/>
        <v>3.5336160188457009</v>
      </c>
      <c r="AX293" s="513">
        <f t="shared" si="142"/>
        <v>463996</v>
      </c>
      <c r="AY293" s="514">
        <f t="shared" si="143"/>
        <v>0.54658499234303215</v>
      </c>
      <c r="AZ293" s="513">
        <f t="shared" si="144"/>
        <v>84900</v>
      </c>
      <c r="BA293" s="515" t="str">
        <f t="shared" si="145"/>
        <v>Vendido</v>
      </c>
      <c r="BB293" s="516" t="str">
        <f t="shared" si="146"/>
        <v>Superávit de Enganche</v>
      </c>
      <c r="BC293" s="551">
        <v>28</v>
      </c>
      <c r="BD293" s="693">
        <f t="shared" si="147"/>
        <v>1</v>
      </c>
      <c r="BE293" s="693">
        <f t="shared" si="148"/>
        <v>29</v>
      </c>
      <c r="BF293" s="517">
        <v>6000</v>
      </c>
      <c r="BG293" s="517">
        <v>2818</v>
      </c>
      <c r="BH293" s="693">
        <f>COUNTIFS(K293:AS293,"&gt;0.01",K293:AS293,"&lt;" &amp; BF293)</f>
        <v>28</v>
      </c>
      <c r="BI293" s="693">
        <f t="shared" si="150"/>
        <v>32</v>
      </c>
      <c r="BJ293" s="655">
        <f t="shared" si="168"/>
        <v>96176</v>
      </c>
      <c r="BK293" s="518">
        <f>SUMIF(K293:AS293,"&lt;=" &amp; BG293,K293:AS293)</f>
        <v>78904</v>
      </c>
      <c r="BL293" s="518">
        <f>SUMIF(K293:AS293,"&gt;" &amp; BG293,K293:AS293)</f>
        <v>306000</v>
      </c>
      <c r="BM293" s="518">
        <f t="shared" si="153"/>
        <v>0</v>
      </c>
      <c r="BN293" s="518">
        <f t="shared" si="154"/>
        <v>288728</v>
      </c>
      <c r="BO293" s="655">
        <f t="shared" si="169"/>
        <v>0</v>
      </c>
      <c r="BP293" s="693">
        <f t="shared" si="155"/>
        <v>0</v>
      </c>
      <c r="BQ293" s="696"/>
      <c r="BR293" s="519"/>
      <c r="BT293" s="439">
        <f t="shared" si="156"/>
        <v>288728</v>
      </c>
      <c r="BU293" s="439">
        <f t="shared" si="157"/>
        <v>288728</v>
      </c>
      <c r="BV293" s="439">
        <f t="shared" si="158"/>
        <v>0</v>
      </c>
      <c r="BY293" s="862">
        <f t="shared" si="159"/>
        <v>543668.80099999998</v>
      </c>
      <c r="BZ293" s="862">
        <f t="shared" si="160"/>
        <v>233000.91500000001</v>
      </c>
      <c r="CA293" s="862">
        <f t="shared" si="161"/>
        <v>65240.26</v>
      </c>
      <c r="CB293" s="862">
        <f t="shared" si="162"/>
        <v>6990.03</v>
      </c>
      <c r="CC293" s="863">
        <f t="shared" si="163"/>
        <v>608909.06000000006</v>
      </c>
      <c r="CD293" s="863">
        <f t="shared" si="164"/>
        <v>239990.95</v>
      </c>
      <c r="CE293" s="864">
        <f t="shared" si="165"/>
        <v>848900.01</v>
      </c>
      <c r="CF293" s="862">
        <f t="shared" si="166"/>
        <v>1.0000000009313226E-2</v>
      </c>
    </row>
    <row r="294" spans="1:84" s="429" customFormat="1" ht="13.9" customHeight="1" x14ac:dyDescent="0.25">
      <c r="B294" s="877">
        <v>1803</v>
      </c>
      <c r="C294" s="436" t="s">
        <v>686</v>
      </c>
      <c r="D294" s="436"/>
      <c r="E294" s="436" t="s">
        <v>698</v>
      </c>
      <c r="F294" s="429" t="s">
        <v>699</v>
      </c>
      <c r="G294" s="473">
        <v>45976</v>
      </c>
      <c r="H294" s="436" t="s">
        <v>137</v>
      </c>
      <c r="I294" s="472">
        <v>1651500</v>
      </c>
      <c r="J294" s="472">
        <v>495500</v>
      </c>
      <c r="K294" s="507">
        <v>0</v>
      </c>
      <c r="L294" s="507">
        <v>0</v>
      </c>
      <c r="M294" s="507">
        <v>0</v>
      </c>
      <c r="N294" s="507">
        <v>0</v>
      </c>
      <c r="O294" s="507">
        <v>0</v>
      </c>
      <c r="P294" s="507">
        <v>0</v>
      </c>
      <c r="Q294" s="507">
        <v>0</v>
      </c>
      <c r="R294" s="507">
        <v>0</v>
      </c>
      <c r="S294" s="507">
        <v>0</v>
      </c>
      <c r="T294" s="507">
        <v>0</v>
      </c>
      <c r="U294" s="507">
        <v>0</v>
      </c>
      <c r="V294" s="507">
        <v>0</v>
      </c>
      <c r="W294" s="507">
        <v>0</v>
      </c>
      <c r="X294" s="507">
        <v>0</v>
      </c>
      <c r="Y294" s="507">
        <v>0</v>
      </c>
      <c r="Z294" s="507">
        <v>0</v>
      </c>
      <c r="AA294" s="507">
        <v>0</v>
      </c>
      <c r="AB294" s="507">
        <v>0</v>
      </c>
      <c r="AC294" s="507">
        <v>0</v>
      </c>
      <c r="AD294" s="507">
        <v>0</v>
      </c>
      <c r="AE294" s="507">
        <v>0</v>
      </c>
      <c r="AF294" s="507">
        <v>0</v>
      </c>
      <c r="AG294" s="507">
        <v>0</v>
      </c>
      <c r="AH294" s="507">
        <v>0</v>
      </c>
      <c r="AI294" s="507">
        <v>0</v>
      </c>
      <c r="AJ294" s="507">
        <v>0</v>
      </c>
      <c r="AK294" s="508"/>
      <c r="AL294" s="508"/>
      <c r="AM294" s="508"/>
      <c r="AN294" s="509">
        <v>0</v>
      </c>
      <c r="AO294" s="509">
        <v>0</v>
      </c>
      <c r="AP294" s="509">
        <v>0</v>
      </c>
      <c r="AQ294" s="509">
        <v>10000</v>
      </c>
      <c r="AR294" s="524">
        <v>185500</v>
      </c>
      <c r="AS294" s="524">
        <f>50000+50000</f>
        <v>100000</v>
      </c>
      <c r="AT294" s="510">
        <f t="shared" si="167"/>
        <v>295500</v>
      </c>
      <c r="AU294" s="512">
        <f t="shared" si="139"/>
        <v>0.59636730575176589</v>
      </c>
      <c r="AV294" s="511">
        <f t="shared" si="140"/>
        <v>-200000</v>
      </c>
      <c r="AW294" s="558">
        <f t="shared" si="141"/>
        <v>-0.40363269424823411</v>
      </c>
      <c r="AX294" s="513">
        <f t="shared" si="142"/>
        <v>1356000</v>
      </c>
      <c r="AY294" s="514">
        <f t="shared" si="143"/>
        <v>0.82107175295186197</v>
      </c>
      <c r="AZ294" s="513">
        <f t="shared" si="144"/>
        <v>495500</v>
      </c>
      <c r="BA294" s="515" t="str">
        <f t="shared" si="145"/>
        <v>Vendido</v>
      </c>
      <c r="BB294" s="516" t="str">
        <f t="shared" si="146"/>
        <v>Cliente al día</v>
      </c>
      <c r="BC294" s="551"/>
      <c r="BD294" s="693">
        <f t="shared" si="147"/>
        <v>0</v>
      </c>
      <c r="BE294" s="693">
        <f t="shared" si="148"/>
        <v>0</v>
      </c>
      <c r="BF294" s="517"/>
      <c r="BG294" s="517"/>
      <c r="BH294" s="693">
        <f t="shared" si="149"/>
        <v>0</v>
      </c>
      <c r="BI294" s="693">
        <f t="shared" si="150"/>
        <v>2</v>
      </c>
      <c r="BJ294" s="655">
        <f t="shared" si="168"/>
        <v>0</v>
      </c>
      <c r="BK294" s="518">
        <f t="shared" si="151"/>
        <v>0</v>
      </c>
      <c r="BL294" s="518">
        <f t="shared" si="152"/>
        <v>0</v>
      </c>
      <c r="BM294" s="518">
        <f t="shared" si="153"/>
        <v>295500</v>
      </c>
      <c r="BN294" s="518">
        <f t="shared" si="154"/>
        <v>295500</v>
      </c>
      <c r="BO294" s="655">
        <f t="shared" si="169"/>
        <v>0</v>
      </c>
      <c r="BP294" s="693" t="str">
        <f t="shared" si="155"/>
        <v/>
      </c>
      <c r="BQ294" s="696"/>
      <c r="BR294" s="519"/>
      <c r="BT294" s="439">
        <f t="shared" si="156"/>
        <v>295500</v>
      </c>
      <c r="BU294" s="439">
        <f t="shared" si="157"/>
        <v>295500</v>
      </c>
      <c r="BV294" s="439">
        <f t="shared" si="158"/>
        <v>0</v>
      </c>
      <c r="BY294" s="862">
        <f t="shared" si="159"/>
        <v>1057685.27</v>
      </c>
      <c r="BZ294" s="862">
        <f t="shared" si="160"/>
        <v>453293.68699999998</v>
      </c>
      <c r="CA294" s="862">
        <f t="shared" si="161"/>
        <v>126922.23</v>
      </c>
      <c r="CB294" s="862">
        <f t="shared" si="162"/>
        <v>13598.81</v>
      </c>
      <c r="CC294" s="863">
        <f t="shared" si="163"/>
        <v>1184607.5</v>
      </c>
      <c r="CD294" s="863">
        <f t="shared" si="164"/>
        <v>466892.5</v>
      </c>
      <c r="CE294" s="864">
        <f t="shared" si="165"/>
        <v>1651500</v>
      </c>
      <c r="CF294" s="862">
        <f t="shared" si="166"/>
        <v>0</v>
      </c>
    </row>
    <row r="295" spans="1:84" s="429" customFormat="1" ht="13.9" customHeight="1" x14ac:dyDescent="0.25">
      <c r="A295" s="472"/>
      <c r="B295" s="436">
        <v>1804</v>
      </c>
      <c r="C295" s="436" t="s">
        <v>189</v>
      </c>
      <c r="D295" s="436"/>
      <c r="E295" s="436" t="s">
        <v>383</v>
      </c>
      <c r="F295" s="429" t="s">
        <v>700</v>
      </c>
      <c r="G295" s="473">
        <v>44995</v>
      </c>
      <c r="H295" s="436" t="s">
        <v>128</v>
      </c>
      <c r="I295" s="472">
        <v>617600</v>
      </c>
      <c r="J295" s="472">
        <v>62000</v>
      </c>
      <c r="K295" s="507">
        <v>6000</v>
      </c>
      <c r="L295" s="507">
        <v>1600</v>
      </c>
      <c r="M295" s="507">
        <v>1600</v>
      </c>
      <c r="N295" s="507">
        <v>1600</v>
      </c>
      <c r="O295" s="507">
        <v>1600</v>
      </c>
      <c r="P295" s="507">
        <v>1600</v>
      </c>
      <c r="Q295" s="507">
        <v>1600</v>
      </c>
      <c r="R295" s="507">
        <v>1600</v>
      </c>
      <c r="S295" s="507">
        <v>0</v>
      </c>
      <c r="T295" s="507">
        <v>1600</v>
      </c>
      <c r="U295" s="507">
        <v>1600</v>
      </c>
      <c r="V295" s="507">
        <v>2860</v>
      </c>
      <c r="W295" s="507">
        <v>1600</v>
      </c>
      <c r="X295" s="507">
        <v>1600</v>
      </c>
      <c r="Y295" s="507">
        <v>1600</v>
      </c>
      <c r="Z295" s="507">
        <v>1600</v>
      </c>
      <c r="AA295" s="507">
        <v>1600</v>
      </c>
      <c r="AB295" s="507">
        <v>1600</v>
      </c>
      <c r="AC295" s="507">
        <v>0</v>
      </c>
      <c r="AD295" s="507">
        <v>1600</v>
      </c>
      <c r="AE295" s="507">
        <v>1600</v>
      </c>
      <c r="AF295" s="507">
        <v>1600</v>
      </c>
      <c r="AG295" s="507">
        <v>0</v>
      </c>
      <c r="AH295" s="507">
        <v>3200</v>
      </c>
      <c r="AI295" s="507">
        <v>1600</v>
      </c>
      <c r="AJ295" s="506">
        <v>1600</v>
      </c>
      <c r="AK295" s="508">
        <v>1600</v>
      </c>
      <c r="AL295" s="508">
        <v>1600</v>
      </c>
      <c r="AM295" s="509">
        <v>1600</v>
      </c>
      <c r="AN295" s="509">
        <v>1600</v>
      </c>
      <c r="AO295" s="509">
        <v>1600</v>
      </c>
      <c r="AP295" s="509">
        <v>0</v>
      </c>
      <c r="AQ295" s="509">
        <v>1600</v>
      </c>
      <c r="AR295" s="509"/>
      <c r="AS295" s="509"/>
      <c r="AT295" s="510">
        <f t="shared" si="167"/>
        <v>53660</v>
      </c>
      <c r="AU295" s="512">
        <f t="shared" si="139"/>
        <v>0.86548387096774193</v>
      </c>
      <c r="AV295" s="511">
        <f t="shared" si="140"/>
        <v>-8340</v>
      </c>
      <c r="AW295" s="558">
        <f t="shared" si="141"/>
        <v>-0.13451612903225807</v>
      </c>
      <c r="AX295" s="513">
        <f t="shared" si="142"/>
        <v>563940</v>
      </c>
      <c r="AY295" s="514">
        <f t="shared" si="143"/>
        <v>0.91311528497409322</v>
      </c>
      <c r="AZ295" s="513">
        <f t="shared" si="144"/>
        <v>62000</v>
      </c>
      <c r="BA295" s="515" t="str">
        <f t="shared" si="145"/>
        <v>Vendido</v>
      </c>
      <c r="BB295" s="516" t="str">
        <f t="shared" si="146"/>
        <v>Cliente Atrasado</v>
      </c>
      <c r="BC295" s="551">
        <v>35</v>
      </c>
      <c r="BD295" s="693">
        <f t="shared" si="147"/>
        <v>1</v>
      </c>
      <c r="BE295" s="693">
        <f t="shared" si="148"/>
        <v>36</v>
      </c>
      <c r="BF295" s="517">
        <v>6000</v>
      </c>
      <c r="BG295" s="517">
        <v>1600</v>
      </c>
      <c r="BH295" s="693">
        <f t="shared" si="149"/>
        <v>28</v>
      </c>
      <c r="BI295" s="693">
        <f t="shared" si="150"/>
        <v>34</v>
      </c>
      <c r="BJ295" s="655">
        <f t="shared" si="168"/>
        <v>60400</v>
      </c>
      <c r="BK295" s="518">
        <f t="shared" si="151"/>
        <v>41600</v>
      </c>
      <c r="BL295" s="518">
        <f t="shared" si="152"/>
        <v>12060</v>
      </c>
      <c r="BM295" s="518">
        <f t="shared" si="153"/>
        <v>0</v>
      </c>
      <c r="BN295" s="518">
        <f t="shared" si="154"/>
        <v>0</v>
      </c>
      <c r="BO295" s="655">
        <f t="shared" si="169"/>
        <v>6740</v>
      </c>
      <c r="BP295" s="693">
        <f t="shared" si="155"/>
        <v>5</v>
      </c>
      <c r="BQ295" s="696"/>
      <c r="BR295" s="519"/>
      <c r="BT295" s="439">
        <f t="shared" si="156"/>
        <v>-6740</v>
      </c>
      <c r="BU295" s="439">
        <f t="shared" si="157"/>
        <v>-6740</v>
      </c>
      <c r="BV295" s="439">
        <f t="shared" si="158"/>
        <v>0</v>
      </c>
      <c r="BY295" s="862">
        <f t="shared" si="159"/>
        <v>395535.22399999999</v>
      </c>
      <c r="BZ295" s="862">
        <f t="shared" si="160"/>
        <v>169515.09599999999</v>
      </c>
      <c r="CA295" s="862">
        <f t="shared" si="161"/>
        <v>47464.23</v>
      </c>
      <c r="CB295" s="862">
        <f t="shared" si="162"/>
        <v>5085.45</v>
      </c>
      <c r="CC295" s="863">
        <f t="shared" si="163"/>
        <v>442999.45</v>
      </c>
      <c r="CD295" s="863">
        <f t="shared" si="164"/>
        <v>174600.55</v>
      </c>
      <c r="CE295" s="864">
        <f t="shared" si="165"/>
        <v>617600</v>
      </c>
      <c r="CF295" s="862">
        <f t="shared" si="166"/>
        <v>0</v>
      </c>
    </row>
    <row r="296" spans="1:84" s="429" customFormat="1" ht="13.9" customHeight="1" x14ac:dyDescent="0.25">
      <c r="B296" s="436">
        <v>1805</v>
      </c>
      <c r="C296" s="436" t="s">
        <v>689</v>
      </c>
      <c r="D296" s="436"/>
      <c r="E296" s="436"/>
      <c r="F296" s="429" t="s">
        <v>701</v>
      </c>
      <c r="G296" s="473">
        <v>45995</v>
      </c>
      <c r="H296" s="436" t="s">
        <v>361</v>
      </c>
      <c r="I296" s="472">
        <v>1581900</v>
      </c>
      <c r="J296" s="472">
        <v>110700</v>
      </c>
      <c r="K296" s="507">
        <v>0</v>
      </c>
      <c r="L296" s="507">
        <v>0</v>
      </c>
      <c r="M296" s="507">
        <v>0</v>
      </c>
      <c r="N296" s="507">
        <v>0</v>
      </c>
      <c r="O296" s="507">
        <v>0</v>
      </c>
      <c r="P296" s="507">
        <v>0</v>
      </c>
      <c r="Q296" s="507">
        <v>0</v>
      </c>
      <c r="R296" s="507">
        <v>0</v>
      </c>
      <c r="S296" s="507">
        <v>0</v>
      </c>
      <c r="T296" s="507">
        <v>0</v>
      </c>
      <c r="U296" s="507">
        <v>0</v>
      </c>
      <c r="V296" s="507">
        <v>0</v>
      </c>
      <c r="W296" s="507">
        <v>0</v>
      </c>
      <c r="X296" s="507">
        <v>0</v>
      </c>
      <c r="Y296" s="507">
        <v>0</v>
      </c>
      <c r="Z296" s="507">
        <v>0</v>
      </c>
      <c r="AA296" s="507">
        <v>0</v>
      </c>
      <c r="AB296" s="507">
        <v>0</v>
      </c>
      <c r="AC296" s="507">
        <v>0</v>
      </c>
      <c r="AD296" s="507">
        <v>0</v>
      </c>
      <c r="AE296" s="507">
        <v>0</v>
      </c>
      <c r="AF296" s="507">
        <v>0</v>
      </c>
      <c r="AG296" s="507">
        <v>0</v>
      </c>
      <c r="AH296" s="507">
        <v>0</v>
      </c>
      <c r="AI296" s="507">
        <v>0</v>
      </c>
      <c r="AJ296" s="507">
        <v>0</v>
      </c>
      <c r="AK296" s="508"/>
      <c r="AL296" s="508"/>
      <c r="AM296" s="508"/>
      <c r="AN296" s="509">
        <v>0</v>
      </c>
      <c r="AO296" s="509">
        <v>0</v>
      </c>
      <c r="AP296" s="509">
        <v>0</v>
      </c>
      <c r="AQ296" s="509">
        <v>0</v>
      </c>
      <c r="AR296" s="508">
        <v>10000</v>
      </c>
      <c r="AS296" s="508"/>
      <c r="AT296" s="510">
        <f t="shared" si="167"/>
        <v>10000</v>
      </c>
      <c r="AU296" s="512">
        <f t="shared" ref="AU296:AU304" si="170">IFERROR((+AT296/J296),0)</f>
        <v>9.0334236675700091E-2</v>
      </c>
      <c r="AV296" s="511">
        <f t="shared" ref="AV296:AV304" si="171">+AT296-AZ296</f>
        <v>-100700</v>
      </c>
      <c r="AW296" s="558">
        <f t="shared" ref="AW296:AW304" si="172">+AV296/J296</f>
        <v>-0.90966576332429994</v>
      </c>
      <c r="AX296" s="513">
        <f t="shared" ref="AX296:AX304" si="173">+I296-AT296</f>
        <v>1571900</v>
      </c>
      <c r="AY296" s="514">
        <f t="shared" ref="AY296:AY304" si="174">+AX296/I296</f>
        <v>0.99367848789430435</v>
      </c>
      <c r="AZ296" s="513">
        <f t="shared" ref="AZ296:AZ304" si="175">IF(BA296="Vendido",J296*1,IF(BA296="Disponible",J296*0,IF(BA296="Enganche Completado",J296*1,IF(BA296="Superávit de Enganche",J296*1,0))))</f>
        <v>110700</v>
      </c>
      <c r="BA296" s="515" t="str">
        <f t="shared" ref="BA296:BA304" si="176">IF(F296=0,"Disponible",IF(F296&gt;1,"Vendido",0))</f>
        <v>Vendido</v>
      </c>
      <c r="BB296" s="516" t="str">
        <f t="shared" ref="BB296:BB304" si="177">IF(AND(BA296="Vendido",G296&gt;=0,BJ296&lt;=AT296,AT296&lt;AZ296),"Cliente al día",IF(AND(BA296="Vendido",G296&gt;=0,BJ296&lt;=AT296,AT296=AZ296),"Enganche Completado",IF(AND(BA296="Vendido",G296&gt;=0,BJ296&lt;AT296,AT296&gt;AZ296),"Superávit de Enganche",IF(AND(BA296="Disponible",G296=0,AV296=0),"Disponible","Cliente Atrasado"))))</f>
        <v>Cliente al día</v>
      </c>
      <c r="BC296" s="551"/>
      <c r="BD296" s="693">
        <f t="shared" ref="BD296:BD304" si="178">IF(BC296&gt;1,1,0)</f>
        <v>0</v>
      </c>
      <c r="BE296" s="693">
        <f t="shared" ref="BE296:BE304" si="179">+BC296+BD296</f>
        <v>0</v>
      </c>
      <c r="BF296" s="517"/>
      <c r="BG296" s="517"/>
      <c r="BH296" s="693">
        <f t="shared" ref="BH296:BH304" si="180">COUNTIFS(K296:AS296,"&gt;0.01",K296:AS296,"&lt;" &amp; BF296)</f>
        <v>0</v>
      </c>
      <c r="BI296" s="693">
        <f t="shared" ref="BI296:BI304" si="181">IF($G296&gt;0,DATEDIF($G296,$D$3,"M"),0)</f>
        <v>1</v>
      </c>
      <c r="BJ296" s="655">
        <f t="shared" ref="BJ296:BJ304" si="182">(BI296*BG296)+BF296</f>
        <v>0</v>
      </c>
      <c r="BK296" s="518">
        <f t="shared" ref="BK296:BK304" si="183">SUMIF(K296:AS296,"&lt;=" &amp; BG296,K296:AS296)</f>
        <v>0</v>
      </c>
      <c r="BL296" s="518">
        <f t="shared" ref="BL296:BL304" si="184">SUMIF(K296:AS296,"&gt;" &amp; BG296,K296:AS296)</f>
        <v>0</v>
      </c>
      <c r="BM296" s="518">
        <f t="shared" ref="BM296:BM304" si="185">AT296-BK296-BL296</f>
        <v>10000</v>
      </c>
      <c r="BN296" s="518">
        <f t="shared" ref="BN296:BN304" si="186">IF(AT296&gt;BJ296,AT296-BJ296,0)</f>
        <v>10000</v>
      </c>
      <c r="BO296" s="655">
        <f t="shared" ref="BO296:BO304" si="187">IF(AT296&lt;BJ296,BJ296-AT296,0)</f>
        <v>0</v>
      </c>
      <c r="BP296" s="693" t="str">
        <f t="shared" ref="BP296:BP304" si="188">IFERROR(IF(AND(BQ296="F&amp;F","CE"),"",ROUNDUP(IF(G296="",0,SUM(BO296/BG296)),0)),"")</f>
        <v/>
      </c>
      <c r="BQ296" s="696"/>
      <c r="BR296" s="519"/>
      <c r="BT296" s="439">
        <f t="shared" ref="BT296:BT304" si="189">+AT296-BJ296</f>
        <v>10000</v>
      </c>
      <c r="BU296" s="439">
        <f t="shared" ref="BU296:BU304" si="190">+BN296-BO296</f>
        <v>10000</v>
      </c>
      <c r="BV296" s="439">
        <f t="shared" ref="BV296:BV304" si="191">+BT296-BU296</f>
        <v>0</v>
      </c>
      <c r="BY296" s="862">
        <f t="shared" ref="BY296:BY304" si="192">ROUND(I296/1.093*70%,3)</f>
        <v>1013110.704</v>
      </c>
      <c r="BZ296" s="862">
        <f t="shared" ref="BZ296:BZ304" si="193">ROUND(I296/1.093*30%,3)</f>
        <v>434190.30200000003</v>
      </c>
      <c r="CA296" s="862">
        <f t="shared" ref="CA296:CA304" si="194">ROUND(BY296*12%,2)</f>
        <v>121573.28</v>
      </c>
      <c r="CB296" s="862">
        <f t="shared" ref="CB296:CB304" si="195">ROUND(BZ296*3%,2)</f>
        <v>13025.71</v>
      </c>
      <c r="CC296" s="863">
        <f t="shared" ref="CC296:CC304" si="196">ROUND(BY296+CA296,2)</f>
        <v>1134683.98</v>
      </c>
      <c r="CD296" s="863">
        <f t="shared" ref="CD296:CD304" si="197">ROUND(BZ296+CB296,2)</f>
        <v>447216.01</v>
      </c>
      <c r="CE296" s="864">
        <f t="shared" ref="CE296:CE304" si="198">ROUND(CC296+CD296,2)</f>
        <v>1581899.99</v>
      </c>
      <c r="CF296" s="862">
        <f t="shared" ref="CF296:CF304" si="199">CE296-I296</f>
        <v>-1.0000000009313226E-2</v>
      </c>
    </row>
    <row r="297" spans="1:84" s="429" customFormat="1" ht="13.9" customHeight="1" x14ac:dyDescent="0.25">
      <c r="A297" s="472"/>
      <c r="B297" s="436">
        <v>1806</v>
      </c>
      <c r="C297" s="436" t="s">
        <v>400</v>
      </c>
      <c r="D297" s="436"/>
      <c r="E297" s="436" t="s">
        <v>366</v>
      </c>
      <c r="F297" s="429" t="s">
        <v>702</v>
      </c>
      <c r="G297" s="473">
        <v>45014</v>
      </c>
      <c r="H297" s="436" t="s">
        <v>128</v>
      </c>
      <c r="I297" s="472">
        <v>860950.58400499995</v>
      </c>
      <c r="J297" s="472">
        <v>86150.58</v>
      </c>
      <c r="K297" s="507">
        <v>6000</v>
      </c>
      <c r="L297" s="507">
        <v>2290</v>
      </c>
      <c r="M297" s="507">
        <v>2290</v>
      </c>
      <c r="N297" s="507">
        <v>2290</v>
      </c>
      <c r="O297" s="507">
        <v>2290</v>
      </c>
      <c r="P297" s="507">
        <v>2290</v>
      </c>
      <c r="Q297" s="507">
        <v>2290</v>
      </c>
      <c r="R297" s="507">
        <v>2290</v>
      </c>
      <c r="S297" s="507">
        <v>2290</v>
      </c>
      <c r="T297" s="507">
        <v>2290</v>
      </c>
      <c r="U297" s="507">
        <v>2290</v>
      </c>
      <c r="V297" s="507">
        <v>2290</v>
      </c>
      <c r="W297" s="507">
        <v>2290</v>
      </c>
      <c r="X297" s="507">
        <v>4580</v>
      </c>
      <c r="Y297" s="507">
        <v>0</v>
      </c>
      <c r="Z297" s="507">
        <v>2290</v>
      </c>
      <c r="AA297" s="507">
        <v>2290</v>
      </c>
      <c r="AB297" s="507">
        <v>2290</v>
      </c>
      <c r="AC297" s="507">
        <v>2290</v>
      </c>
      <c r="AD297" s="507">
        <v>2290</v>
      </c>
      <c r="AE297" s="507">
        <v>2290</v>
      </c>
      <c r="AF297" s="507">
        <v>2290</v>
      </c>
      <c r="AG297" s="507">
        <v>2290</v>
      </c>
      <c r="AH297" s="507">
        <v>4580</v>
      </c>
      <c r="AI297" s="507">
        <v>2290</v>
      </c>
      <c r="AJ297" s="507">
        <v>2290</v>
      </c>
      <c r="AK297" s="508"/>
      <c r="AL297" s="508"/>
      <c r="AM297" s="509">
        <f>2290+2290</f>
        <v>4580</v>
      </c>
      <c r="AN297" s="509">
        <v>2290</v>
      </c>
      <c r="AO297" s="509">
        <v>2290</v>
      </c>
      <c r="AP297" s="509">
        <v>2290</v>
      </c>
      <c r="AQ297" s="509">
        <v>2290</v>
      </c>
      <c r="AR297" s="509">
        <v>2290</v>
      </c>
      <c r="AS297" s="509"/>
      <c r="AT297" s="510">
        <f t="shared" si="167"/>
        <v>81570</v>
      </c>
      <c r="AU297" s="512">
        <f t="shared" si="170"/>
        <v>0.9468305378791414</v>
      </c>
      <c r="AV297" s="511">
        <f t="shared" si="171"/>
        <v>-4580.5800000000017</v>
      </c>
      <c r="AW297" s="558">
        <f t="shared" si="172"/>
        <v>-5.3169462120858636E-2</v>
      </c>
      <c r="AX297" s="513">
        <f t="shared" si="173"/>
        <v>779380.58400499995</v>
      </c>
      <c r="AY297" s="514">
        <f t="shared" si="174"/>
        <v>0.90525588632445098</v>
      </c>
      <c r="AZ297" s="513">
        <f t="shared" si="175"/>
        <v>86150.58</v>
      </c>
      <c r="BA297" s="515" t="str">
        <f t="shared" si="176"/>
        <v>Vendido</v>
      </c>
      <c r="BB297" s="516" t="str">
        <f t="shared" si="177"/>
        <v>Cliente al día</v>
      </c>
      <c r="BC297" s="551">
        <v>35</v>
      </c>
      <c r="BD297" s="693">
        <f t="shared" si="178"/>
        <v>1</v>
      </c>
      <c r="BE297" s="693">
        <f t="shared" si="179"/>
        <v>36</v>
      </c>
      <c r="BF297" s="517">
        <v>6000</v>
      </c>
      <c r="BG297" s="517">
        <v>2290</v>
      </c>
      <c r="BH297" s="693">
        <f t="shared" si="180"/>
        <v>30</v>
      </c>
      <c r="BI297" s="693">
        <f t="shared" si="181"/>
        <v>33</v>
      </c>
      <c r="BJ297" s="655">
        <f t="shared" si="182"/>
        <v>81570</v>
      </c>
      <c r="BK297" s="518">
        <f t="shared" si="183"/>
        <v>61830</v>
      </c>
      <c r="BL297" s="518">
        <f t="shared" si="184"/>
        <v>19740</v>
      </c>
      <c r="BM297" s="518">
        <f t="shared" si="185"/>
        <v>0</v>
      </c>
      <c r="BN297" s="518">
        <f t="shared" si="186"/>
        <v>0</v>
      </c>
      <c r="BO297" s="655">
        <f t="shared" si="187"/>
        <v>0</v>
      </c>
      <c r="BP297" s="693">
        <f t="shared" si="188"/>
        <v>0</v>
      </c>
      <c r="BQ297" s="696"/>
      <c r="BR297" s="519"/>
      <c r="BT297" s="439">
        <f t="shared" si="189"/>
        <v>0</v>
      </c>
      <c r="BU297" s="439">
        <f t="shared" si="190"/>
        <v>0</v>
      </c>
      <c r="BV297" s="439">
        <f t="shared" si="191"/>
        <v>0</v>
      </c>
      <c r="BY297" s="862">
        <f t="shared" si="192"/>
        <v>551386.46699999995</v>
      </c>
      <c r="BZ297" s="862">
        <f t="shared" si="193"/>
        <v>236308.486</v>
      </c>
      <c r="CA297" s="862">
        <f t="shared" si="194"/>
        <v>66166.38</v>
      </c>
      <c r="CB297" s="862">
        <f t="shared" si="195"/>
        <v>7089.25</v>
      </c>
      <c r="CC297" s="863">
        <f t="shared" si="196"/>
        <v>617552.85</v>
      </c>
      <c r="CD297" s="863">
        <f t="shared" si="197"/>
        <v>243397.74</v>
      </c>
      <c r="CE297" s="864">
        <f t="shared" si="198"/>
        <v>860950.59</v>
      </c>
      <c r="CF297" s="862">
        <f t="shared" si="199"/>
        <v>5.9950000140815973E-3</v>
      </c>
    </row>
    <row r="298" spans="1:84" s="429" customFormat="1" ht="13.9" customHeight="1" x14ac:dyDescent="0.25">
      <c r="A298" s="472" t="s">
        <v>58</v>
      </c>
      <c r="B298" s="475">
        <v>1807</v>
      </c>
      <c r="C298" s="475" t="s">
        <v>703</v>
      </c>
      <c r="D298" s="475"/>
      <c r="E298" s="475" t="s">
        <v>356</v>
      </c>
      <c r="F298" s="476" t="s">
        <v>704</v>
      </c>
      <c r="G298" s="473">
        <v>45012</v>
      </c>
      <c r="H298" s="436" t="s">
        <v>128</v>
      </c>
      <c r="I298" s="472">
        <v>1131156</v>
      </c>
      <c r="J298" s="472">
        <v>113156</v>
      </c>
      <c r="K298" s="507">
        <v>6000</v>
      </c>
      <c r="L298" s="507">
        <v>0</v>
      </c>
      <c r="M298" s="507">
        <v>6100</v>
      </c>
      <c r="N298" s="507">
        <v>0</v>
      </c>
      <c r="O298" s="507">
        <v>0</v>
      </c>
      <c r="P298" s="507">
        <v>0</v>
      </c>
      <c r="Q298" s="507">
        <v>0</v>
      </c>
      <c r="R298" s="507">
        <v>0</v>
      </c>
      <c r="S298" s="507">
        <v>0</v>
      </c>
      <c r="T298" s="507">
        <v>0</v>
      </c>
      <c r="U298" s="507">
        <v>0</v>
      </c>
      <c r="V298" s="507">
        <v>0</v>
      </c>
      <c r="W298" s="507">
        <v>0</v>
      </c>
      <c r="X298" s="507">
        <v>0</v>
      </c>
      <c r="Y298" s="507">
        <v>0</v>
      </c>
      <c r="Z298" s="507">
        <v>0</v>
      </c>
      <c r="AA298" s="507">
        <v>0</v>
      </c>
      <c r="AB298" s="507">
        <v>0</v>
      </c>
      <c r="AC298" s="507">
        <v>0</v>
      </c>
      <c r="AD298" s="507">
        <v>0</v>
      </c>
      <c r="AE298" s="507">
        <v>0</v>
      </c>
      <c r="AF298" s="507">
        <v>0</v>
      </c>
      <c r="AG298" s="507">
        <v>0</v>
      </c>
      <c r="AH298" s="507">
        <v>0</v>
      </c>
      <c r="AI298" s="507">
        <v>0</v>
      </c>
      <c r="AJ298" s="507">
        <v>0</v>
      </c>
      <c r="AK298" s="508"/>
      <c r="AL298" s="508"/>
      <c r="AM298" s="508"/>
      <c r="AN298" s="509">
        <v>0</v>
      </c>
      <c r="AO298" s="509">
        <v>0</v>
      </c>
      <c r="AP298" s="509">
        <v>0</v>
      </c>
      <c r="AQ298" s="509">
        <v>0</v>
      </c>
      <c r="AR298" s="508"/>
      <c r="AS298" s="508"/>
      <c r="AT298" s="510">
        <f t="shared" si="167"/>
        <v>12100</v>
      </c>
      <c r="AU298" s="512">
        <f t="shared" si="170"/>
        <v>0.10693202304782778</v>
      </c>
      <c r="AV298" s="511">
        <f t="shared" si="171"/>
        <v>-101056</v>
      </c>
      <c r="AW298" s="558">
        <f t="shared" si="172"/>
        <v>-0.89306797695217222</v>
      </c>
      <c r="AX298" s="513">
        <f t="shared" si="173"/>
        <v>1119056</v>
      </c>
      <c r="AY298" s="514">
        <f t="shared" si="174"/>
        <v>0.98930297854584159</v>
      </c>
      <c r="AZ298" s="513">
        <f t="shared" si="175"/>
        <v>113156</v>
      </c>
      <c r="BA298" s="515" t="str">
        <f t="shared" si="176"/>
        <v>Vendido</v>
      </c>
      <c r="BB298" s="516" t="str">
        <f t="shared" si="177"/>
        <v>Cliente Atrasado</v>
      </c>
      <c r="BC298" s="551">
        <v>35</v>
      </c>
      <c r="BD298" s="693">
        <f t="shared" si="178"/>
        <v>1</v>
      </c>
      <c r="BE298" s="693">
        <f t="shared" si="179"/>
        <v>36</v>
      </c>
      <c r="BF298" s="517">
        <v>6000</v>
      </c>
      <c r="BG298" s="517">
        <v>3050</v>
      </c>
      <c r="BH298" s="693">
        <f t="shared" si="180"/>
        <v>0</v>
      </c>
      <c r="BI298" s="693">
        <f t="shared" si="181"/>
        <v>33</v>
      </c>
      <c r="BJ298" s="655">
        <f t="shared" si="182"/>
        <v>106650</v>
      </c>
      <c r="BK298" s="518">
        <f t="shared" si="183"/>
        <v>0</v>
      </c>
      <c r="BL298" s="518">
        <f t="shared" si="184"/>
        <v>12100</v>
      </c>
      <c r="BM298" s="518">
        <f t="shared" si="185"/>
        <v>0</v>
      </c>
      <c r="BN298" s="518">
        <f t="shared" si="186"/>
        <v>0</v>
      </c>
      <c r="BO298" s="655">
        <f t="shared" si="187"/>
        <v>94550</v>
      </c>
      <c r="BP298" s="693" t="str">
        <f t="shared" si="188"/>
        <v/>
      </c>
      <c r="BQ298" s="695" t="s">
        <v>58</v>
      </c>
      <c r="BR298" s="519"/>
      <c r="BT298" s="439">
        <f t="shared" si="189"/>
        <v>-94550</v>
      </c>
      <c r="BU298" s="439">
        <f t="shared" si="190"/>
        <v>-94550</v>
      </c>
      <c r="BV298" s="439">
        <f t="shared" si="191"/>
        <v>0</v>
      </c>
      <c r="BY298" s="862">
        <f t="shared" si="192"/>
        <v>724436.59699999995</v>
      </c>
      <c r="BZ298" s="862">
        <f t="shared" si="193"/>
        <v>310472.82699999999</v>
      </c>
      <c r="CA298" s="862">
        <f t="shared" si="194"/>
        <v>86932.39</v>
      </c>
      <c r="CB298" s="862">
        <f t="shared" si="195"/>
        <v>9314.18</v>
      </c>
      <c r="CC298" s="863">
        <f t="shared" si="196"/>
        <v>811368.99</v>
      </c>
      <c r="CD298" s="863">
        <f t="shared" si="197"/>
        <v>319787.01</v>
      </c>
      <c r="CE298" s="864">
        <f t="shared" si="198"/>
        <v>1131156</v>
      </c>
      <c r="CF298" s="862">
        <f t="shared" si="199"/>
        <v>0</v>
      </c>
    </row>
    <row r="299" spans="1:84" s="429" customFormat="1" ht="13.9" customHeight="1" x14ac:dyDescent="0.25">
      <c r="A299" s="472"/>
      <c r="B299" s="436">
        <v>1808</v>
      </c>
      <c r="C299" s="436" t="s">
        <v>705</v>
      </c>
      <c r="D299" s="436"/>
      <c r="E299" s="436" t="s">
        <v>366</v>
      </c>
      <c r="F299" s="429" t="s">
        <v>706</v>
      </c>
      <c r="G299" s="473">
        <v>45199</v>
      </c>
      <c r="H299" s="436" t="s">
        <v>128</v>
      </c>
      <c r="I299" s="472">
        <v>1417808.51</v>
      </c>
      <c r="J299" s="472">
        <v>141808.51</v>
      </c>
      <c r="K299" s="507">
        <v>0</v>
      </c>
      <c r="L299" s="507">
        <v>0</v>
      </c>
      <c r="M299" s="507">
        <v>0</v>
      </c>
      <c r="N299" s="507">
        <v>0</v>
      </c>
      <c r="O299" s="507">
        <v>0</v>
      </c>
      <c r="P299" s="507">
        <v>0</v>
      </c>
      <c r="Q299" s="507">
        <v>8000</v>
      </c>
      <c r="R299" s="507">
        <v>2800</v>
      </c>
      <c r="S299" s="507">
        <v>2800</v>
      </c>
      <c r="T299" s="507">
        <v>11150</v>
      </c>
      <c r="U299" s="507">
        <v>2800</v>
      </c>
      <c r="V299" s="507">
        <v>2800</v>
      </c>
      <c r="W299" s="507">
        <v>2800</v>
      </c>
      <c r="X299" s="507">
        <v>2800</v>
      </c>
      <c r="Y299" s="507">
        <v>2800</v>
      </c>
      <c r="Z299" s="507">
        <v>2800</v>
      </c>
      <c r="AA299" s="507">
        <v>22300</v>
      </c>
      <c r="AB299" s="507">
        <v>2800</v>
      </c>
      <c r="AC299" s="507">
        <v>2800</v>
      </c>
      <c r="AD299" s="507">
        <v>2800</v>
      </c>
      <c r="AE299" s="507">
        <v>2800</v>
      </c>
      <c r="AF299" s="507">
        <v>22300</v>
      </c>
      <c r="AG299" s="507">
        <v>2800</v>
      </c>
      <c r="AH299" s="507">
        <v>2800</v>
      </c>
      <c r="AI299" s="507">
        <v>2800</v>
      </c>
      <c r="AJ299" s="507">
        <v>2800</v>
      </c>
      <c r="AK299" s="508">
        <v>2800</v>
      </c>
      <c r="AL299" s="508">
        <v>2800</v>
      </c>
      <c r="AM299" s="509">
        <v>22300</v>
      </c>
      <c r="AN299" s="509">
        <v>2800</v>
      </c>
      <c r="AO299" s="509">
        <v>2558.5100000000002</v>
      </c>
      <c r="AP299" s="509">
        <v>0</v>
      </c>
      <c r="AQ299" s="509">
        <v>0</v>
      </c>
      <c r="AR299" s="509"/>
      <c r="AS299" s="509"/>
      <c r="AT299" s="510">
        <f t="shared" si="167"/>
        <v>141808.51</v>
      </c>
      <c r="AU299" s="512">
        <f t="shared" si="170"/>
        <v>1</v>
      </c>
      <c r="AV299" s="511">
        <f t="shared" si="171"/>
        <v>0</v>
      </c>
      <c r="AW299" s="558">
        <f t="shared" si="172"/>
        <v>0</v>
      </c>
      <c r="AX299" s="513">
        <f t="shared" si="173"/>
        <v>1276000</v>
      </c>
      <c r="AY299" s="514">
        <f t="shared" si="174"/>
        <v>0.89998049172380834</v>
      </c>
      <c r="AZ299" s="513">
        <f t="shared" si="175"/>
        <v>141808.51</v>
      </c>
      <c r="BA299" s="515" t="str">
        <f t="shared" si="176"/>
        <v>Vendido</v>
      </c>
      <c r="BB299" s="516" t="str">
        <f t="shared" si="177"/>
        <v>Enganche Completado</v>
      </c>
      <c r="BC299" s="551">
        <v>24</v>
      </c>
      <c r="BD299" s="693">
        <f t="shared" si="178"/>
        <v>1</v>
      </c>
      <c r="BE299" s="693">
        <f t="shared" si="179"/>
        <v>25</v>
      </c>
      <c r="BF299" s="517">
        <v>8000</v>
      </c>
      <c r="BG299" s="517">
        <v>2800</v>
      </c>
      <c r="BH299" s="693">
        <f t="shared" si="180"/>
        <v>20</v>
      </c>
      <c r="BI299" s="693">
        <f t="shared" si="181"/>
        <v>27</v>
      </c>
      <c r="BJ299" s="655">
        <f t="shared" si="182"/>
        <v>83600</v>
      </c>
      <c r="BK299" s="518">
        <f t="shared" si="183"/>
        <v>55758.51</v>
      </c>
      <c r="BL299" s="518">
        <f t="shared" si="184"/>
        <v>86050</v>
      </c>
      <c r="BM299" s="518">
        <f t="shared" si="185"/>
        <v>0</v>
      </c>
      <c r="BN299" s="518">
        <f t="shared" si="186"/>
        <v>58208.510000000009</v>
      </c>
      <c r="BO299" s="655">
        <f t="shared" si="187"/>
        <v>0</v>
      </c>
      <c r="BP299" s="693">
        <f t="shared" si="188"/>
        <v>0</v>
      </c>
      <c r="BQ299" s="696"/>
      <c r="BR299" s="519" t="s">
        <v>707</v>
      </c>
      <c r="BT299" s="439">
        <f t="shared" si="189"/>
        <v>58208.510000000009</v>
      </c>
      <c r="BU299" s="439">
        <f t="shared" si="190"/>
        <v>58208.510000000009</v>
      </c>
      <c r="BV299" s="439">
        <f t="shared" si="191"/>
        <v>0</v>
      </c>
      <c r="BY299" s="862">
        <f t="shared" si="192"/>
        <v>908020.08900000004</v>
      </c>
      <c r="BZ299" s="862">
        <f t="shared" si="193"/>
        <v>389151.467</v>
      </c>
      <c r="CA299" s="862">
        <f t="shared" si="194"/>
        <v>108962.41</v>
      </c>
      <c r="CB299" s="862">
        <f t="shared" si="195"/>
        <v>11674.54</v>
      </c>
      <c r="CC299" s="863">
        <f t="shared" si="196"/>
        <v>1016982.5</v>
      </c>
      <c r="CD299" s="863">
        <f t="shared" si="197"/>
        <v>400826.01</v>
      </c>
      <c r="CE299" s="864">
        <f t="shared" si="198"/>
        <v>1417808.51</v>
      </c>
      <c r="CF299" s="862">
        <f t="shared" si="199"/>
        <v>0</v>
      </c>
    </row>
    <row r="300" spans="1:84" s="429" customFormat="1" ht="13.9" customHeight="1" x14ac:dyDescent="0.25">
      <c r="A300" s="472" t="s">
        <v>58</v>
      </c>
      <c r="B300" s="475">
        <v>1901</v>
      </c>
      <c r="C300" s="475" t="s">
        <v>611</v>
      </c>
      <c r="D300" s="475"/>
      <c r="E300" s="475" t="s">
        <v>363</v>
      </c>
      <c r="F300" s="476" t="s">
        <v>364</v>
      </c>
      <c r="G300" s="473">
        <v>45012</v>
      </c>
      <c r="H300" s="436" t="s">
        <v>128</v>
      </c>
      <c r="I300" s="472">
        <v>738382</v>
      </c>
      <c r="J300" s="472">
        <v>73882</v>
      </c>
      <c r="K300" s="507">
        <v>0</v>
      </c>
      <c r="L300" s="507">
        <v>0</v>
      </c>
      <c r="M300" s="507">
        <v>0</v>
      </c>
      <c r="N300" s="507">
        <v>0</v>
      </c>
      <c r="O300" s="507">
        <v>0</v>
      </c>
      <c r="P300" s="507">
        <v>0</v>
      </c>
      <c r="Q300" s="507">
        <v>0</v>
      </c>
      <c r="R300" s="507">
        <v>0</v>
      </c>
      <c r="S300" s="507">
        <v>0</v>
      </c>
      <c r="T300" s="507">
        <v>0</v>
      </c>
      <c r="U300" s="507">
        <v>0</v>
      </c>
      <c r="V300" s="507">
        <v>0</v>
      </c>
      <c r="W300" s="507">
        <v>0</v>
      </c>
      <c r="X300" s="507">
        <v>0</v>
      </c>
      <c r="Y300" s="507">
        <v>0</v>
      </c>
      <c r="Z300" s="507">
        <v>0</v>
      </c>
      <c r="AA300" s="507">
        <v>0</v>
      </c>
      <c r="AB300" s="507">
        <v>0</v>
      </c>
      <c r="AC300" s="507">
        <v>0</v>
      </c>
      <c r="AD300" s="507">
        <v>0</v>
      </c>
      <c r="AE300" s="507">
        <v>0</v>
      </c>
      <c r="AF300" s="507">
        <v>0</v>
      </c>
      <c r="AG300" s="507">
        <v>0</v>
      </c>
      <c r="AH300" s="507">
        <v>0</v>
      </c>
      <c r="AI300" s="507">
        <v>0</v>
      </c>
      <c r="AJ300" s="507">
        <v>0</v>
      </c>
      <c r="AK300" s="508">
        <v>0</v>
      </c>
      <c r="AL300" s="508">
        <v>0</v>
      </c>
      <c r="AM300" s="508"/>
      <c r="AN300" s="509">
        <v>0</v>
      </c>
      <c r="AO300" s="509">
        <v>0</v>
      </c>
      <c r="AP300" s="509">
        <v>0</v>
      </c>
      <c r="AQ300" s="509">
        <v>0</v>
      </c>
      <c r="AR300" s="508"/>
      <c r="AS300" s="508"/>
      <c r="AT300" s="510">
        <f t="shared" si="167"/>
        <v>0</v>
      </c>
      <c r="AU300" s="512">
        <f t="shared" si="170"/>
        <v>0</v>
      </c>
      <c r="AV300" s="511">
        <f t="shared" si="171"/>
        <v>-73882</v>
      </c>
      <c r="AW300" s="558">
        <f t="shared" si="172"/>
        <v>-1</v>
      </c>
      <c r="AX300" s="513">
        <f t="shared" si="173"/>
        <v>738382</v>
      </c>
      <c r="AY300" s="514">
        <f t="shared" si="174"/>
        <v>1</v>
      </c>
      <c r="AZ300" s="513">
        <f t="shared" si="175"/>
        <v>73882</v>
      </c>
      <c r="BA300" s="515" t="str">
        <f t="shared" si="176"/>
        <v>Vendido</v>
      </c>
      <c r="BB300" s="516" t="str">
        <f t="shared" si="177"/>
        <v>Cliente Atrasado</v>
      </c>
      <c r="BC300" s="551">
        <v>35</v>
      </c>
      <c r="BD300" s="693">
        <f t="shared" si="178"/>
        <v>1</v>
      </c>
      <c r="BE300" s="693">
        <f t="shared" si="179"/>
        <v>36</v>
      </c>
      <c r="BF300" s="517">
        <v>15000</v>
      </c>
      <c r="BG300" s="517">
        <v>1000</v>
      </c>
      <c r="BH300" s="693">
        <f t="shared" si="180"/>
        <v>0</v>
      </c>
      <c r="BI300" s="693">
        <f t="shared" si="181"/>
        <v>33</v>
      </c>
      <c r="BJ300" s="655">
        <f t="shared" si="182"/>
        <v>48000</v>
      </c>
      <c r="BK300" s="518">
        <f t="shared" si="183"/>
        <v>0</v>
      </c>
      <c r="BL300" s="518">
        <f t="shared" si="184"/>
        <v>0</v>
      </c>
      <c r="BM300" s="518">
        <f t="shared" si="185"/>
        <v>0</v>
      </c>
      <c r="BN300" s="518">
        <f t="shared" si="186"/>
        <v>0</v>
      </c>
      <c r="BO300" s="655">
        <f t="shared" si="187"/>
        <v>48000</v>
      </c>
      <c r="BP300" s="693" t="str">
        <f t="shared" si="188"/>
        <v/>
      </c>
      <c r="BQ300" s="695" t="s">
        <v>58</v>
      </c>
      <c r="BR300" s="519"/>
      <c r="BT300" s="439">
        <f t="shared" si="189"/>
        <v>-48000</v>
      </c>
      <c r="BU300" s="439">
        <f t="shared" si="190"/>
        <v>-48000</v>
      </c>
      <c r="BV300" s="439">
        <f t="shared" si="191"/>
        <v>0</v>
      </c>
      <c r="BY300" s="862">
        <f t="shared" si="192"/>
        <v>472888.74699999997</v>
      </c>
      <c r="BZ300" s="862">
        <f t="shared" si="193"/>
        <v>202666.606</v>
      </c>
      <c r="CA300" s="862">
        <f t="shared" si="194"/>
        <v>56746.65</v>
      </c>
      <c r="CB300" s="862">
        <f t="shared" si="195"/>
        <v>6080</v>
      </c>
      <c r="CC300" s="863">
        <f t="shared" si="196"/>
        <v>529635.4</v>
      </c>
      <c r="CD300" s="863">
        <f t="shared" si="197"/>
        <v>208746.61</v>
      </c>
      <c r="CE300" s="864">
        <f t="shared" si="198"/>
        <v>738382.01</v>
      </c>
      <c r="CF300" s="862">
        <f t="shared" si="199"/>
        <v>1.0000000009313226E-2</v>
      </c>
    </row>
    <row r="301" spans="1:84" s="429" customFormat="1" ht="13.9" customHeight="1" x14ac:dyDescent="0.25">
      <c r="A301" s="472" t="s">
        <v>58</v>
      </c>
      <c r="B301" s="475">
        <v>1902</v>
      </c>
      <c r="C301" s="475" t="s">
        <v>686</v>
      </c>
      <c r="D301" s="475"/>
      <c r="E301" s="475" t="s">
        <v>363</v>
      </c>
      <c r="F301" s="476" t="s">
        <v>364</v>
      </c>
      <c r="G301" s="473">
        <v>45300</v>
      </c>
      <c r="H301" s="436" t="s">
        <v>128</v>
      </c>
      <c r="I301" s="472">
        <v>1322000</v>
      </c>
      <c r="J301" s="472">
        <f>+I301*0.1</f>
        <v>132200</v>
      </c>
      <c r="K301" s="507">
        <v>0</v>
      </c>
      <c r="L301" s="507">
        <v>0</v>
      </c>
      <c r="M301" s="507">
        <v>0</v>
      </c>
      <c r="N301" s="507">
        <v>0</v>
      </c>
      <c r="O301" s="507">
        <v>0</v>
      </c>
      <c r="P301" s="507">
        <v>0</v>
      </c>
      <c r="Q301" s="507">
        <v>0</v>
      </c>
      <c r="R301" s="507">
        <v>0</v>
      </c>
      <c r="S301" s="507">
        <v>0</v>
      </c>
      <c r="T301" s="507">
        <v>0</v>
      </c>
      <c r="U301" s="507">
        <v>0</v>
      </c>
      <c r="V301" s="507">
        <v>0</v>
      </c>
      <c r="W301" s="507">
        <v>0</v>
      </c>
      <c r="X301" s="507">
        <v>0</v>
      </c>
      <c r="Y301" s="507">
        <v>0</v>
      </c>
      <c r="Z301" s="507">
        <v>0</v>
      </c>
      <c r="AA301" s="507">
        <v>0</v>
      </c>
      <c r="AB301" s="507">
        <v>0</v>
      </c>
      <c r="AC301" s="507">
        <v>0</v>
      </c>
      <c r="AD301" s="507">
        <v>0</v>
      </c>
      <c r="AE301" s="507">
        <v>0</v>
      </c>
      <c r="AF301" s="507">
        <v>0</v>
      </c>
      <c r="AG301" s="507">
        <v>0</v>
      </c>
      <c r="AH301" s="507">
        <v>0</v>
      </c>
      <c r="AI301" s="507">
        <v>0</v>
      </c>
      <c r="AJ301" s="507">
        <v>0</v>
      </c>
      <c r="AK301" s="508">
        <v>0</v>
      </c>
      <c r="AL301" s="508">
        <v>0</v>
      </c>
      <c r="AM301" s="508"/>
      <c r="AN301" s="509">
        <v>0</v>
      </c>
      <c r="AO301" s="509">
        <v>0</v>
      </c>
      <c r="AP301" s="509">
        <v>0</v>
      </c>
      <c r="AQ301" s="509">
        <v>0</v>
      </c>
      <c r="AR301" s="508"/>
      <c r="AS301" s="508"/>
      <c r="AT301" s="510">
        <f t="shared" si="167"/>
        <v>0</v>
      </c>
      <c r="AU301" s="512">
        <f t="shared" si="170"/>
        <v>0</v>
      </c>
      <c r="AV301" s="511">
        <f t="shared" si="171"/>
        <v>-132200</v>
      </c>
      <c r="AW301" s="558">
        <f t="shared" si="172"/>
        <v>-1</v>
      </c>
      <c r="AX301" s="513">
        <f t="shared" si="173"/>
        <v>1322000</v>
      </c>
      <c r="AY301" s="514">
        <f t="shared" si="174"/>
        <v>1</v>
      </c>
      <c r="AZ301" s="513">
        <f t="shared" si="175"/>
        <v>132200</v>
      </c>
      <c r="BA301" s="515" t="str">
        <f t="shared" si="176"/>
        <v>Vendido</v>
      </c>
      <c r="BB301" s="516" t="str">
        <f t="shared" si="177"/>
        <v>Cliente Atrasado</v>
      </c>
      <c r="BC301" s="551">
        <v>28</v>
      </c>
      <c r="BD301" s="693">
        <f t="shared" si="178"/>
        <v>1</v>
      </c>
      <c r="BE301" s="693">
        <f t="shared" si="179"/>
        <v>29</v>
      </c>
      <c r="BF301" s="517">
        <v>6000</v>
      </c>
      <c r="BG301" s="517">
        <v>4507</v>
      </c>
      <c r="BH301" s="693">
        <f t="shared" si="180"/>
        <v>0</v>
      </c>
      <c r="BI301" s="693">
        <f t="shared" si="181"/>
        <v>24</v>
      </c>
      <c r="BJ301" s="655">
        <f t="shared" si="182"/>
        <v>114168</v>
      </c>
      <c r="BK301" s="518">
        <f t="shared" si="183"/>
        <v>0</v>
      </c>
      <c r="BL301" s="518">
        <f t="shared" si="184"/>
        <v>0</v>
      </c>
      <c r="BM301" s="518">
        <f t="shared" si="185"/>
        <v>0</v>
      </c>
      <c r="BN301" s="518">
        <f t="shared" si="186"/>
        <v>0</v>
      </c>
      <c r="BO301" s="655">
        <f t="shared" si="187"/>
        <v>114168</v>
      </c>
      <c r="BP301" s="693" t="str">
        <f t="shared" si="188"/>
        <v/>
      </c>
      <c r="BQ301" s="695" t="s">
        <v>58</v>
      </c>
      <c r="BR301" s="519"/>
      <c r="BT301" s="439">
        <f t="shared" si="189"/>
        <v>-114168</v>
      </c>
      <c r="BU301" s="439">
        <f t="shared" si="190"/>
        <v>-114168</v>
      </c>
      <c r="BV301" s="439">
        <f t="shared" si="191"/>
        <v>0</v>
      </c>
      <c r="BY301" s="862">
        <f t="shared" si="192"/>
        <v>846660.56700000004</v>
      </c>
      <c r="BZ301" s="862">
        <f t="shared" si="193"/>
        <v>362854.52899999998</v>
      </c>
      <c r="CA301" s="862">
        <f t="shared" si="194"/>
        <v>101599.27</v>
      </c>
      <c r="CB301" s="862">
        <f t="shared" si="195"/>
        <v>10885.64</v>
      </c>
      <c r="CC301" s="863">
        <f t="shared" si="196"/>
        <v>948259.83999999997</v>
      </c>
      <c r="CD301" s="863">
        <f t="shared" si="197"/>
        <v>373740.17</v>
      </c>
      <c r="CE301" s="864">
        <f t="shared" si="198"/>
        <v>1322000.01</v>
      </c>
      <c r="CF301" s="862">
        <f t="shared" si="199"/>
        <v>1.0000000009313226E-2</v>
      </c>
    </row>
    <row r="302" spans="1:84" s="429" customFormat="1" ht="13.9" customHeight="1" x14ac:dyDescent="0.25">
      <c r="A302" s="472" t="s">
        <v>58</v>
      </c>
      <c r="B302" s="475">
        <v>1903</v>
      </c>
      <c r="C302" s="475" t="s">
        <v>689</v>
      </c>
      <c r="D302" s="475"/>
      <c r="E302" s="475" t="s">
        <v>363</v>
      </c>
      <c r="F302" s="476" t="s">
        <v>364</v>
      </c>
      <c r="G302" s="473">
        <v>45300</v>
      </c>
      <c r="H302" s="436" t="s">
        <v>128</v>
      </c>
      <c r="I302" s="472">
        <v>1326500</v>
      </c>
      <c r="J302" s="472">
        <f>+I302*0.1</f>
        <v>132650</v>
      </c>
      <c r="K302" s="507">
        <v>0</v>
      </c>
      <c r="L302" s="507">
        <v>0</v>
      </c>
      <c r="M302" s="507">
        <v>0</v>
      </c>
      <c r="N302" s="507">
        <v>0</v>
      </c>
      <c r="O302" s="507">
        <v>0</v>
      </c>
      <c r="P302" s="507">
        <v>0</v>
      </c>
      <c r="Q302" s="507">
        <v>0</v>
      </c>
      <c r="R302" s="507">
        <v>0</v>
      </c>
      <c r="S302" s="507">
        <v>0</v>
      </c>
      <c r="T302" s="507">
        <v>0</v>
      </c>
      <c r="U302" s="507">
        <v>0</v>
      </c>
      <c r="V302" s="507">
        <v>0</v>
      </c>
      <c r="W302" s="507">
        <v>0</v>
      </c>
      <c r="X302" s="507">
        <v>0</v>
      </c>
      <c r="Y302" s="507">
        <v>0</v>
      </c>
      <c r="Z302" s="507">
        <v>0</v>
      </c>
      <c r="AA302" s="507">
        <v>0</v>
      </c>
      <c r="AB302" s="507">
        <v>0</v>
      </c>
      <c r="AC302" s="507">
        <v>0</v>
      </c>
      <c r="AD302" s="507">
        <v>0</v>
      </c>
      <c r="AE302" s="507">
        <v>0</v>
      </c>
      <c r="AF302" s="507">
        <v>0</v>
      </c>
      <c r="AG302" s="507">
        <v>0</v>
      </c>
      <c r="AH302" s="507">
        <v>0</v>
      </c>
      <c r="AI302" s="507">
        <v>0</v>
      </c>
      <c r="AJ302" s="507">
        <v>0</v>
      </c>
      <c r="AK302" s="507">
        <v>0</v>
      </c>
      <c r="AL302" s="507">
        <v>0</v>
      </c>
      <c r="AM302" s="507"/>
      <c r="AN302" s="509">
        <v>0</v>
      </c>
      <c r="AO302" s="509">
        <v>0</v>
      </c>
      <c r="AP302" s="509">
        <v>0</v>
      </c>
      <c r="AQ302" s="509">
        <v>0</v>
      </c>
      <c r="AR302" s="507"/>
      <c r="AS302" s="507"/>
      <c r="AT302" s="510">
        <f t="shared" si="167"/>
        <v>0</v>
      </c>
      <c r="AU302" s="512">
        <f t="shared" si="170"/>
        <v>0</v>
      </c>
      <c r="AV302" s="511">
        <f t="shared" si="171"/>
        <v>-132650</v>
      </c>
      <c r="AW302" s="558">
        <f t="shared" si="172"/>
        <v>-1</v>
      </c>
      <c r="AX302" s="513">
        <f t="shared" si="173"/>
        <v>1326500</v>
      </c>
      <c r="AY302" s="514">
        <f t="shared" si="174"/>
        <v>1</v>
      </c>
      <c r="AZ302" s="513">
        <f t="shared" si="175"/>
        <v>132650</v>
      </c>
      <c r="BA302" s="515" t="str">
        <f t="shared" si="176"/>
        <v>Vendido</v>
      </c>
      <c r="BB302" s="516" t="str">
        <f t="shared" si="177"/>
        <v>Cliente Atrasado</v>
      </c>
      <c r="BC302" s="551">
        <v>28</v>
      </c>
      <c r="BD302" s="693">
        <f t="shared" si="178"/>
        <v>1</v>
      </c>
      <c r="BE302" s="693">
        <f t="shared" si="179"/>
        <v>29</v>
      </c>
      <c r="BF302" s="517">
        <v>6000</v>
      </c>
      <c r="BG302" s="517">
        <v>4523</v>
      </c>
      <c r="BH302" s="693">
        <f t="shared" si="180"/>
        <v>0</v>
      </c>
      <c r="BI302" s="693">
        <f t="shared" si="181"/>
        <v>24</v>
      </c>
      <c r="BJ302" s="655">
        <f t="shared" si="182"/>
        <v>114552</v>
      </c>
      <c r="BK302" s="518">
        <f t="shared" si="183"/>
        <v>0</v>
      </c>
      <c r="BL302" s="518">
        <f t="shared" si="184"/>
        <v>0</v>
      </c>
      <c r="BM302" s="518">
        <f t="shared" si="185"/>
        <v>0</v>
      </c>
      <c r="BN302" s="518">
        <f t="shared" si="186"/>
        <v>0</v>
      </c>
      <c r="BO302" s="655">
        <f t="shared" si="187"/>
        <v>114552</v>
      </c>
      <c r="BP302" s="693" t="str">
        <f t="shared" si="188"/>
        <v/>
      </c>
      <c r="BQ302" s="695" t="s">
        <v>58</v>
      </c>
      <c r="BR302" s="519"/>
      <c r="BT302" s="439">
        <f t="shared" si="189"/>
        <v>-114552</v>
      </c>
      <c r="BU302" s="439">
        <f t="shared" si="190"/>
        <v>-114552</v>
      </c>
      <c r="BV302" s="439">
        <f t="shared" si="191"/>
        <v>0</v>
      </c>
      <c r="BY302" s="862">
        <f t="shared" si="192"/>
        <v>849542.54299999995</v>
      </c>
      <c r="BZ302" s="862">
        <f t="shared" si="193"/>
        <v>364089.66100000002</v>
      </c>
      <c r="CA302" s="862">
        <f t="shared" si="194"/>
        <v>101945.11</v>
      </c>
      <c r="CB302" s="862">
        <f t="shared" si="195"/>
        <v>10922.69</v>
      </c>
      <c r="CC302" s="863">
        <f t="shared" si="196"/>
        <v>951487.65</v>
      </c>
      <c r="CD302" s="863">
        <f t="shared" si="197"/>
        <v>375012.35</v>
      </c>
      <c r="CE302" s="864">
        <f t="shared" si="198"/>
        <v>1326500</v>
      </c>
      <c r="CF302" s="862">
        <f t="shared" si="199"/>
        <v>0</v>
      </c>
    </row>
    <row r="303" spans="1:84" s="429" customFormat="1" ht="13.9" customHeight="1" x14ac:dyDescent="0.25">
      <c r="A303" s="472" t="s">
        <v>58</v>
      </c>
      <c r="B303" s="475">
        <v>1904</v>
      </c>
      <c r="C303" s="475" t="s">
        <v>686</v>
      </c>
      <c r="D303" s="475"/>
      <c r="E303" s="475" t="s">
        <v>363</v>
      </c>
      <c r="F303" s="476" t="s">
        <v>364</v>
      </c>
      <c r="G303" s="473">
        <v>45300</v>
      </c>
      <c r="H303" s="436" t="s">
        <v>128</v>
      </c>
      <c r="I303" s="472">
        <v>1322000</v>
      </c>
      <c r="J303" s="472">
        <f>+I303*0.1</f>
        <v>132200</v>
      </c>
      <c r="K303" s="507">
        <v>0</v>
      </c>
      <c r="L303" s="507">
        <v>0</v>
      </c>
      <c r="M303" s="507">
        <v>0</v>
      </c>
      <c r="N303" s="507">
        <v>0</v>
      </c>
      <c r="O303" s="507">
        <v>0</v>
      </c>
      <c r="P303" s="507">
        <v>0</v>
      </c>
      <c r="Q303" s="507">
        <v>0</v>
      </c>
      <c r="R303" s="507">
        <v>0</v>
      </c>
      <c r="S303" s="507">
        <v>0</v>
      </c>
      <c r="T303" s="507">
        <v>0</v>
      </c>
      <c r="U303" s="507">
        <v>0</v>
      </c>
      <c r="V303" s="507">
        <v>0</v>
      </c>
      <c r="W303" s="507">
        <v>0</v>
      </c>
      <c r="X303" s="507">
        <v>0</v>
      </c>
      <c r="Y303" s="507">
        <v>0</v>
      </c>
      <c r="Z303" s="507">
        <v>0</v>
      </c>
      <c r="AA303" s="507">
        <v>0</v>
      </c>
      <c r="AB303" s="507">
        <v>0</v>
      </c>
      <c r="AC303" s="507">
        <v>0</v>
      </c>
      <c r="AD303" s="507">
        <v>0</v>
      </c>
      <c r="AE303" s="507">
        <v>0</v>
      </c>
      <c r="AF303" s="507">
        <v>0</v>
      </c>
      <c r="AG303" s="507">
        <v>0</v>
      </c>
      <c r="AH303" s="507">
        <v>0</v>
      </c>
      <c r="AI303" s="507">
        <v>0</v>
      </c>
      <c r="AJ303" s="507">
        <v>0</v>
      </c>
      <c r="AK303" s="507">
        <v>0</v>
      </c>
      <c r="AL303" s="507">
        <v>0</v>
      </c>
      <c r="AM303" s="507"/>
      <c r="AN303" s="509">
        <v>0</v>
      </c>
      <c r="AO303" s="509">
        <v>0</v>
      </c>
      <c r="AP303" s="509">
        <v>0</v>
      </c>
      <c r="AQ303" s="509">
        <v>0</v>
      </c>
      <c r="AR303" s="507"/>
      <c r="AS303" s="507"/>
      <c r="AT303" s="510">
        <f t="shared" si="167"/>
        <v>0</v>
      </c>
      <c r="AU303" s="512">
        <f t="shared" si="170"/>
        <v>0</v>
      </c>
      <c r="AV303" s="511">
        <f t="shared" si="171"/>
        <v>-132200</v>
      </c>
      <c r="AW303" s="558">
        <f t="shared" si="172"/>
        <v>-1</v>
      </c>
      <c r="AX303" s="513">
        <f t="shared" si="173"/>
        <v>1322000</v>
      </c>
      <c r="AY303" s="514">
        <f t="shared" si="174"/>
        <v>1</v>
      </c>
      <c r="AZ303" s="513">
        <f t="shared" si="175"/>
        <v>132200</v>
      </c>
      <c r="BA303" s="515" t="str">
        <f t="shared" si="176"/>
        <v>Vendido</v>
      </c>
      <c r="BB303" s="516" t="str">
        <f t="shared" si="177"/>
        <v>Cliente Atrasado</v>
      </c>
      <c r="BC303" s="551">
        <v>28</v>
      </c>
      <c r="BD303" s="693">
        <f t="shared" si="178"/>
        <v>1</v>
      </c>
      <c r="BE303" s="693">
        <f t="shared" si="179"/>
        <v>29</v>
      </c>
      <c r="BF303" s="517">
        <v>6000</v>
      </c>
      <c r="BG303" s="517">
        <v>4507</v>
      </c>
      <c r="BH303" s="693">
        <f t="shared" si="180"/>
        <v>0</v>
      </c>
      <c r="BI303" s="693">
        <f t="shared" si="181"/>
        <v>24</v>
      </c>
      <c r="BJ303" s="655">
        <f t="shared" si="182"/>
        <v>114168</v>
      </c>
      <c r="BK303" s="518">
        <f t="shared" si="183"/>
        <v>0</v>
      </c>
      <c r="BL303" s="518">
        <f t="shared" si="184"/>
        <v>0</v>
      </c>
      <c r="BM303" s="518">
        <f t="shared" si="185"/>
        <v>0</v>
      </c>
      <c r="BN303" s="518">
        <f t="shared" si="186"/>
        <v>0</v>
      </c>
      <c r="BO303" s="655">
        <f t="shared" si="187"/>
        <v>114168</v>
      </c>
      <c r="BP303" s="693" t="str">
        <f t="shared" si="188"/>
        <v/>
      </c>
      <c r="BQ303" s="695" t="s">
        <v>58</v>
      </c>
      <c r="BR303" s="519"/>
      <c r="BT303" s="439">
        <f t="shared" si="189"/>
        <v>-114168</v>
      </c>
      <c r="BU303" s="439">
        <f t="shared" si="190"/>
        <v>-114168</v>
      </c>
      <c r="BV303" s="439">
        <f t="shared" si="191"/>
        <v>0</v>
      </c>
      <c r="BY303" s="862">
        <f t="shared" si="192"/>
        <v>846660.56700000004</v>
      </c>
      <c r="BZ303" s="862">
        <f t="shared" si="193"/>
        <v>362854.52899999998</v>
      </c>
      <c r="CA303" s="862">
        <f t="shared" si="194"/>
        <v>101599.27</v>
      </c>
      <c r="CB303" s="862">
        <f t="shared" si="195"/>
        <v>10885.64</v>
      </c>
      <c r="CC303" s="863">
        <f t="shared" si="196"/>
        <v>948259.83999999997</v>
      </c>
      <c r="CD303" s="863">
        <f t="shared" si="197"/>
        <v>373740.17</v>
      </c>
      <c r="CE303" s="864">
        <f t="shared" si="198"/>
        <v>1322000.01</v>
      </c>
      <c r="CF303" s="862">
        <f t="shared" si="199"/>
        <v>1.0000000009313226E-2</v>
      </c>
    </row>
    <row r="304" spans="1:84" s="429" customFormat="1" ht="13.9" customHeight="1" x14ac:dyDescent="0.25">
      <c r="A304" s="472" t="s">
        <v>58</v>
      </c>
      <c r="B304" s="475">
        <v>1905</v>
      </c>
      <c r="C304" s="475" t="s">
        <v>463</v>
      </c>
      <c r="D304" s="475"/>
      <c r="E304" s="475" t="s">
        <v>363</v>
      </c>
      <c r="F304" s="476" t="s">
        <v>364</v>
      </c>
      <c r="G304" s="473">
        <v>45300</v>
      </c>
      <c r="H304" s="436" t="s">
        <v>128</v>
      </c>
      <c r="I304" s="472">
        <v>1365000</v>
      </c>
      <c r="J304" s="472">
        <f>+I304*0.1</f>
        <v>136500</v>
      </c>
      <c r="K304" s="507">
        <v>0</v>
      </c>
      <c r="L304" s="507">
        <v>0</v>
      </c>
      <c r="M304" s="507">
        <v>0</v>
      </c>
      <c r="N304" s="507">
        <v>0</v>
      </c>
      <c r="O304" s="507">
        <v>0</v>
      </c>
      <c r="P304" s="507">
        <v>0</v>
      </c>
      <c r="Q304" s="507">
        <v>0</v>
      </c>
      <c r="R304" s="507">
        <v>0</v>
      </c>
      <c r="S304" s="507">
        <v>0</v>
      </c>
      <c r="T304" s="507">
        <v>0</v>
      </c>
      <c r="U304" s="507">
        <v>0</v>
      </c>
      <c r="V304" s="507">
        <v>0</v>
      </c>
      <c r="W304" s="507">
        <v>0</v>
      </c>
      <c r="X304" s="507">
        <v>0</v>
      </c>
      <c r="Y304" s="507">
        <v>0</v>
      </c>
      <c r="Z304" s="507">
        <v>0</v>
      </c>
      <c r="AA304" s="507">
        <v>0</v>
      </c>
      <c r="AB304" s="507">
        <v>0</v>
      </c>
      <c r="AC304" s="507">
        <v>0</v>
      </c>
      <c r="AD304" s="507">
        <v>0</v>
      </c>
      <c r="AE304" s="507">
        <v>0</v>
      </c>
      <c r="AF304" s="507">
        <v>0</v>
      </c>
      <c r="AG304" s="507">
        <v>0</v>
      </c>
      <c r="AH304" s="507">
        <v>0</v>
      </c>
      <c r="AI304" s="507">
        <v>0</v>
      </c>
      <c r="AJ304" s="507">
        <v>0</v>
      </c>
      <c r="AK304" s="507">
        <v>0</v>
      </c>
      <c r="AL304" s="507">
        <v>0</v>
      </c>
      <c r="AM304" s="507"/>
      <c r="AN304" s="509">
        <v>0</v>
      </c>
      <c r="AO304" s="509">
        <v>0</v>
      </c>
      <c r="AP304" s="509">
        <v>0</v>
      </c>
      <c r="AQ304" s="509">
        <v>0</v>
      </c>
      <c r="AR304" s="507"/>
      <c r="AS304" s="507"/>
      <c r="AT304" s="510">
        <f t="shared" si="167"/>
        <v>0</v>
      </c>
      <c r="AU304" s="512">
        <f t="shared" si="170"/>
        <v>0</v>
      </c>
      <c r="AV304" s="511">
        <f t="shared" si="171"/>
        <v>-136500</v>
      </c>
      <c r="AW304" s="558">
        <f t="shared" si="172"/>
        <v>-1</v>
      </c>
      <c r="AX304" s="513">
        <f t="shared" si="173"/>
        <v>1365000</v>
      </c>
      <c r="AY304" s="514">
        <f t="shared" si="174"/>
        <v>1</v>
      </c>
      <c r="AZ304" s="513">
        <f t="shared" si="175"/>
        <v>136500</v>
      </c>
      <c r="BA304" s="515" t="str">
        <f t="shared" si="176"/>
        <v>Vendido</v>
      </c>
      <c r="BB304" s="516" t="str">
        <f t="shared" si="177"/>
        <v>Cliente Atrasado</v>
      </c>
      <c r="BC304" s="551">
        <v>28</v>
      </c>
      <c r="BD304" s="693">
        <f t="shared" si="178"/>
        <v>1</v>
      </c>
      <c r="BE304" s="693">
        <f t="shared" si="179"/>
        <v>29</v>
      </c>
      <c r="BF304" s="517">
        <v>6000</v>
      </c>
      <c r="BG304" s="517">
        <v>4661</v>
      </c>
      <c r="BH304" s="693">
        <f t="shared" si="180"/>
        <v>0</v>
      </c>
      <c r="BI304" s="693">
        <f t="shared" si="181"/>
        <v>24</v>
      </c>
      <c r="BJ304" s="655">
        <f t="shared" si="182"/>
        <v>117864</v>
      </c>
      <c r="BK304" s="518">
        <f t="shared" si="183"/>
        <v>0</v>
      </c>
      <c r="BL304" s="518">
        <f t="shared" si="184"/>
        <v>0</v>
      </c>
      <c r="BM304" s="518">
        <f t="shared" si="185"/>
        <v>0</v>
      </c>
      <c r="BN304" s="518">
        <f t="shared" si="186"/>
        <v>0</v>
      </c>
      <c r="BO304" s="655">
        <f t="shared" si="187"/>
        <v>117864</v>
      </c>
      <c r="BP304" s="693" t="str">
        <f t="shared" si="188"/>
        <v/>
      </c>
      <c r="BQ304" s="695" t="s">
        <v>58</v>
      </c>
      <c r="BR304" s="519"/>
      <c r="BT304" s="439">
        <f t="shared" si="189"/>
        <v>-117864</v>
      </c>
      <c r="BU304" s="439">
        <f t="shared" si="190"/>
        <v>-117864</v>
      </c>
      <c r="BV304" s="439">
        <f t="shared" si="191"/>
        <v>0</v>
      </c>
      <c r="BY304" s="862">
        <f t="shared" si="192"/>
        <v>874199.451</v>
      </c>
      <c r="BZ304" s="862">
        <f t="shared" si="193"/>
        <v>374656.908</v>
      </c>
      <c r="CA304" s="862">
        <f t="shared" si="194"/>
        <v>104903.93</v>
      </c>
      <c r="CB304" s="862">
        <f t="shared" si="195"/>
        <v>11239.71</v>
      </c>
      <c r="CC304" s="863">
        <f t="shared" si="196"/>
        <v>979103.38</v>
      </c>
      <c r="CD304" s="863">
        <f t="shared" si="197"/>
        <v>385896.62</v>
      </c>
      <c r="CE304" s="864">
        <f t="shared" si="198"/>
        <v>1365000</v>
      </c>
      <c r="CF304" s="862">
        <f t="shared" si="199"/>
        <v>0</v>
      </c>
    </row>
    <row r="305" spans="1:84" ht="15.75" thickBot="1" x14ac:dyDescent="0.3">
      <c r="A305" s="315"/>
      <c r="F305" s="429"/>
      <c r="G305" s="436"/>
      <c r="H305" s="436"/>
      <c r="I305" s="430">
        <f t="shared" ref="I305:AF305" si="200">SUM(I7:I304)</f>
        <v>315993341.15922594</v>
      </c>
      <c r="J305" s="430">
        <f t="shared" si="200"/>
        <v>33800233.042022683</v>
      </c>
      <c r="K305" s="446">
        <f>SUM(K7:K304)</f>
        <v>260570</v>
      </c>
      <c r="L305" s="446">
        <f>SUM(L7:L304)</f>
        <v>196750</v>
      </c>
      <c r="M305" s="446">
        <f>SUM(M7:M304)</f>
        <v>213977</v>
      </c>
      <c r="N305" s="446">
        <f>SUM(N7:N304)</f>
        <v>378974.85</v>
      </c>
      <c r="O305" s="446">
        <f t="shared" si="200"/>
        <v>293143</v>
      </c>
      <c r="P305" s="446">
        <f t="shared" si="200"/>
        <v>573016</v>
      </c>
      <c r="Q305" s="446">
        <f t="shared" si="200"/>
        <v>1073925.17</v>
      </c>
      <c r="R305" s="446">
        <f t="shared" si="200"/>
        <v>338868</v>
      </c>
      <c r="S305" s="446">
        <f t="shared" si="200"/>
        <v>373484</v>
      </c>
      <c r="T305" s="446">
        <f t="shared" si="200"/>
        <v>395067</v>
      </c>
      <c r="U305" s="446">
        <f t="shared" si="200"/>
        <v>469043</v>
      </c>
      <c r="V305" s="446">
        <f t="shared" si="200"/>
        <v>531499</v>
      </c>
      <c r="W305" s="446">
        <f t="shared" si="200"/>
        <v>471423</v>
      </c>
      <c r="X305" s="446">
        <f t="shared" si="200"/>
        <v>629496</v>
      </c>
      <c r="Y305" s="446">
        <f t="shared" si="200"/>
        <v>557585</v>
      </c>
      <c r="Z305" s="446">
        <f t="shared" si="200"/>
        <v>652191</v>
      </c>
      <c r="AA305" s="446">
        <f t="shared" si="200"/>
        <v>789239</v>
      </c>
      <c r="AB305" s="446">
        <f t="shared" si="200"/>
        <v>858311.05</v>
      </c>
      <c r="AC305" s="446">
        <f t="shared" si="200"/>
        <v>820615.71</v>
      </c>
      <c r="AD305" s="446">
        <f t="shared" si="200"/>
        <v>1634083.02</v>
      </c>
      <c r="AE305" s="446">
        <f t="shared" si="200"/>
        <v>944723.33000000007</v>
      </c>
      <c r="AF305" s="446">
        <f t="shared" si="200"/>
        <v>1336339.56</v>
      </c>
      <c r="AG305" s="446">
        <f t="shared" ref="AG305:AJ305" si="201">SUM(AG7:AG304)</f>
        <v>757852.36999999988</v>
      </c>
      <c r="AH305" s="446">
        <f t="shared" si="201"/>
        <v>985356.33</v>
      </c>
      <c r="AI305" s="446">
        <f t="shared" si="201"/>
        <v>1006065.33</v>
      </c>
      <c r="AJ305" s="446">
        <f t="shared" si="201"/>
        <v>1172082.43</v>
      </c>
      <c r="AK305" s="446">
        <f t="shared" ref="AK305" si="202">SUM(AK7:AK304)</f>
        <v>1212196.5900000001</v>
      </c>
      <c r="AL305" s="446">
        <f>SUM(AL7:AL304)</f>
        <v>1137467.2</v>
      </c>
      <c r="AM305" s="446">
        <f>SUM(AM7:AM304)</f>
        <v>3091782.4279999998</v>
      </c>
      <c r="AN305" s="446">
        <f t="shared" ref="AN305:AS305" si="203">SUBTOTAL(9,AN7:AN304)</f>
        <v>1072047.4300000002</v>
      </c>
      <c r="AO305" s="446">
        <f t="shared" si="203"/>
        <v>1209275.5799999998</v>
      </c>
      <c r="AP305" s="446">
        <f t="shared" si="203"/>
        <v>1541049.76</v>
      </c>
      <c r="AQ305" s="446">
        <f t="shared" si="203"/>
        <v>1282323.04</v>
      </c>
      <c r="AR305" s="446">
        <f t="shared" si="203"/>
        <v>1863313.1</v>
      </c>
      <c r="AS305" s="446">
        <f t="shared" si="203"/>
        <v>1210738.05</v>
      </c>
      <c r="AT305" s="435">
        <f t="shared" ref="AT305" si="204">SUM(AT7:AT304)</f>
        <v>31333873.32799999</v>
      </c>
      <c r="AU305" s="550">
        <f>+AT305/AT308</f>
        <v>1.0908693724109653</v>
      </c>
      <c r="AV305" s="431">
        <f>SUM(AV7:AV304)</f>
        <v>-1192459.7140226923</v>
      </c>
      <c r="AW305" s="432"/>
      <c r="AX305" s="433">
        <f>SUM(AX7:AX304)</f>
        <v>284659467.83122599</v>
      </c>
      <c r="AY305" s="434"/>
      <c r="AZ305" s="433">
        <f>SUM(AZ7:AZ304)</f>
        <v>32526333.042022686</v>
      </c>
      <c r="BA305" s="435"/>
      <c r="BB305" s="429"/>
      <c r="BC305" s="436"/>
      <c r="BD305" s="436"/>
      <c r="BE305" s="436"/>
      <c r="BF305" s="437"/>
      <c r="BG305" s="437"/>
      <c r="BH305" s="429"/>
      <c r="BI305" s="429"/>
      <c r="BJ305" s="505" t="e">
        <f>SUM(BJ7:BJ304)</f>
        <v>#VALUE!</v>
      </c>
      <c r="BK305" s="505">
        <f t="shared" ref="BK305:BN305" si="205">SUM(BK7:BK304)</f>
        <v>15908353.430000002</v>
      </c>
      <c r="BL305" s="505">
        <f t="shared" si="205"/>
        <v>13870685.988000004</v>
      </c>
      <c r="BM305" s="438">
        <f>SUM(BM7:BM304)</f>
        <v>1554833.9100000001</v>
      </c>
      <c r="BN305" s="505" t="e">
        <f t="shared" si="205"/>
        <v>#VALUE!</v>
      </c>
      <c r="BO305" s="658" t="e">
        <f>SUM(BO7:BO304)</f>
        <v>#VALUE!</v>
      </c>
      <c r="BP305" s="439"/>
      <c r="BQ305" s="699"/>
      <c r="BR305" s="429"/>
      <c r="BS305" s="429"/>
      <c r="BT305" s="429"/>
      <c r="BU305" s="429"/>
      <c r="BV305" s="429"/>
      <c r="BY305" s="862">
        <f>SUM(BY7:BY304)</f>
        <v>202374509.43700001</v>
      </c>
      <c r="BZ305" s="862">
        <f>SUM(BZ7:BZ304)</f>
        <v>86731932.618999913</v>
      </c>
      <c r="CA305" s="862">
        <f>SUM(CA7:CA304)</f>
        <v>24284941.229999993</v>
      </c>
      <c r="CB305" s="862">
        <f>SUM(CB7:CB304)</f>
        <v>2601957.8000000017</v>
      </c>
      <c r="CC305" s="866">
        <f>ROUND(SUM(CC7:CC304),2)</f>
        <v>226659450.81</v>
      </c>
      <c r="CD305" s="866">
        <f>ROUND(SUM(CD7:CD304),2)</f>
        <v>89333890.599999994</v>
      </c>
      <c r="CE305" s="867">
        <f>ROUND(SUM(CE7:CE304),2)</f>
        <v>315993341.41000003</v>
      </c>
      <c r="CF305" s="865"/>
    </row>
    <row r="306" spans="1:84" ht="15.75" thickBot="1" x14ac:dyDescent="0.3">
      <c r="A306" s="315"/>
      <c r="F306" s="440" t="s">
        <v>708</v>
      </c>
      <c r="G306" s="436"/>
      <c r="H306" s="436"/>
      <c r="I306" s="435"/>
      <c r="J306" s="541">
        <f>J305/I305</f>
        <v>0.10696501678809452</v>
      </c>
      <c r="K306" s="441">
        <f>+K353</f>
        <v>22400</v>
      </c>
      <c r="L306" s="441">
        <f>+L353</f>
        <v>15800</v>
      </c>
      <c r="M306" s="441">
        <f>+M353</f>
        <v>18923</v>
      </c>
      <c r="N306" s="441">
        <f>+N353</f>
        <v>11200</v>
      </c>
      <c r="O306" s="441">
        <f t="shared" ref="O306:AK306" si="206">+O353</f>
        <v>33546</v>
      </c>
      <c r="P306" s="441">
        <f t="shared" si="206"/>
        <v>33950</v>
      </c>
      <c r="Q306" s="441">
        <f t="shared" si="206"/>
        <v>44254</v>
      </c>
      <c r="R306" s="441">
        <f t="shared" si="206"/>
        <v>26554</v>
      </c>
      <c r="S306" s="441">
        <f t="shared" si="206"/>
        <v>39746</v>
      </c>
      <c r="T306" s="441">
        <f t="shared" si="206"/>
        <v>31822</v>
      </c>
      <c r="U306" s="441">
        <f t="shared" si="206"/>
        <v>52846</v>
      </c>
      <c r="V306" s="441">
        <f t="shared" si="206"/>
        <v>17273</v>
      </c>
      <c r="W306" s="441">
        <f t="shared" si="206"/>
        <v>27799</v>
      </c>
      <c r="X306" s="441">
        <f t="shared" si="206"/>
        <v>29359</v>
      </c>
      <c r="Y306" s="441">
        <f t="shared" si="206"/>
        <v>47873</v>
      </c>
      <c r="Z306" s="441">
        <f t="shared" si="206"/>
        <v>34704</v>
      </c>
      <c r="AA306" s="441">
        <f t="shared" si="206"/>
        <v>33190</v>
      </c>
      <c r="AB306" s="441">
        <f t="shared" si="206"/>
        <v>17708</v>
      </c>
      <c r="AC306" s="441">
        <f t="shared" si="206"/>
        <v>12300</v>
      </c>
      <c r="AD306" s="441">
        <f t="shared" si="206"/>
        <v>21876</v>
      </c>
      <c r="AE306" s="441">
        <f t="shared" si="206"/>
        <v>47170</v>
      </c>
      <c r="AF306" s="441">
        <f t="shared" si="206"/>
        <v>37776</v>
      </c>
      <c r="AG306" s="441">
        <f t="shared" si="206"/>
        <v>19137</v>
      </c>
      <c r="AH306" s="441">
        <f t="shared" si="206"/>
        <v>39198</v>
      </c>
      <c r="AI306" s="441">
        <f>+AI353</f>
        <v>39636</v>
      </c>
      <c r="AJ306" s="441">
        <f t="shared" si="206"/>
        <v>45320</v>
      </c>
      <c r="AK306" s="441">
        <f t="shared" si="206"/>
        <v>28406.38</v>
      </c>
      <c r="AL306" s="441">
        <f>+AL353</f>
        <v>18806.38</v>
      </c>
      <c r="AM306" s="441">
        <f t="shared" ref="AM306" si="207">+AM353</f>
        <v>24706.38</v>
      </c>
      <c r="AN306" s="441">
        <f>+AN353</f>
        <v>0</v>
      </c>
      <c r="AO306" s="441">
        <f>+AO353</f>
        <v>0</v>
      </c>
      <c r="AP306" s="441">
        <f>+AP353</f>
        <v>1000</v>
      </c>
      <c r="AQ306" s="441">
        <f t="shared" ref="AQ306:AS306" si="208">+AQ353</f>
        <v>0</v>
      </c>
      <c r="AR306" s="441">
        <f t="shared" ref="AR306" si="209">+AR353</f>
        <v>0</v>
      </c>
      <c r="AS306" s="441">
        <f t="shared" si="208"/>
        <v>0</v>
      </c>
      <c r="AT306" s="875">
        <f>SUM(K306:AS306)</f>
        <v>874279.14</v>
      </c>
      <c r="AU306" s="442"/>
      <c r="AV306" s="435"/>
      <c r="AW306" s="432"/>
      <c r="AX306" s="435"/>
      <c r="AY306" s="434"/>
      <c r="AZ306" s="435"/>
      <c r="BA306" s="435"/>
      <c r="BB306" s="429"/>
      <c r="BC306" s="436"/>
      <c r="BD306" s="436"/>
      <c r="BE306" s="436"/>
      <c r="BF306" s="437"/>
      <c r="BG306" s="437"/>
      <c r="BH306" s="429"/>
      <c r="BI306" s="429"/>
      <c r="BJ306" s="443"/>
      <c r="BK306" s="443"/>
      <c r="BL306" s="443" t="e">
        <f>+BJ305-BK305-BL305</f>
        <v>#VALUE!</v>
      </c>
      <c r="BM306" s="439"/>
      <c r="BN306" s="439"/>
      <c r="BO306" s="659">
        <f>SUMIF(BQ7:BQ304,"F&amp;F",BO7:BO304)</f>
        <v>2682559.02</v>
      </c>
      <c r="BP306" s="444" t="s">
        <v>709</v>
      </c>
      <c r="BQ306" s="428"/>
      <c r="BR306" s="429"/>
      <c r="BS306" s="429"/>
      <c r="BT306" s="429"/>
      <c r="BU306" s="429"/>
      <c r="BV306" s="429"/>
    </row>
    <row r="307" spans="1:84" ht="15.75" thickBot="1" x14ac:dyDescent="0.3">
      <c r="A307" s="315"/>
      <c r="F307" s="546" t="s">
        <v>710</v>
      </c>
      <c r="G307" s="547"/>
      <c r="H307" s="547"/>
      <c r="I307" s="548"/>
      <c r="J307" s="548"/>
      <c r="K307" s="549">
        <f>SUM(K305:K306)</f>
        <v>282970</v>
      </c>
      <c r="L307" s="549">
        <f t="shared" ref="L307:AJ307" si="210">SUM(L305:L306)</f>
        <v>212550</v>
      </c>
      <c r="M307" s="549">
        <f t="shared" si="210"/>
        <v>232900</v>
      </c>
      <c r="N307" s="549">
        <f t="shared" si="210"/>
        <v>390174.85</v>
      </c>
      <c r="O307" s="549">
        <f t="shared" si="210"/>
        <v>326689</v>
      </c>
      <c r="P307" s="549">
        <f t="shared" si="210"/>
        <v>606966</v>
      </c>
      <c r="Q307" s="549">
        <f t="shared" si="210"/>
        <v>1118179.17</v>
      </c>
      <c r="R307" s="549">
        <f t="shared" si="210"/>
        <v>365422</v>
      </c>
      <c r="S307" s="549">
        <f t="shared" si="210"/>
        <v>413230</v>
      </c>
      <c r="T307" s="549">
        <f t="shared" si="210"/>
        <v>426889</v>
      </c>
      <c r="U307" s="549">
        <f t="shared" si="210"/>
        <v>521889</v>
      </c>
      <c r="V307" s="549">
        <f t="shared" si="210"/>
        <v>548772</v>
      </c>
      <c r="W307" s="549">
        <f t="shared" si="210"/>
        <v>499222</v>
      </c>
      <c r="X307" s="549">
        <f t="shared" si="210"/>
        <v>658855</v>
      </c>
      <c r="Y307" s="549">
        <f t="shared" si="210"/>
        <v>605458</v>
      </c>
      <c r="Z307" s="549">
        <f t="shared" si="210"/>
        <v>686895</v>
      </c>
      <c r="AA307" s="549">
        <f t="shared" si="210"/>
        <v>822429</v>
      </c>
      <c r="AB307" s="549">
        <f t="shared" si="210"/>
        <v>876019.05</v>
      </c>
      <c r="AC307" s="549">
        <f t="shared" si="210"/>
        <v>832915.71</v>
      </c>
      <c r="AD307" s="549">
        <f t="shared" si="210"/>
        <v>1655959.02</v>
      </c>
      <c r="AE307" s="549">
        <f t="shared" si="210"/>
        <v>991893.33000000007</v>
      </c>
      <c r="AF307" s="549">
        <f t="shared" si="210"/>
        <v>1374115.56</v>
      </c>
      <c r="AG307" s="549">
        <f t="shared" si="210"/>
        <v>776989.36999999988</v>
      </c>
      <c r="AH307" s="549">
        <f t="shared" si="210"/>
        <v>1024554.33</v>
      </c>
      <c r="AI307" s="549">
        <f t="shared" si="210"/>
        <v>1045701.33</v>
      </c>
      <c r="AJ307" s="549">
        <f t="shared" si="210"/>
        <v>1217402.43</v>
      </c>
      <c r="AK307" s="549">
        <f t="shared" ref="AK307:AO307" si="211">SUM(AK305:AK306)</f>
        <v>1240602.97</v>
      </c>
      <c r="AL307" s="549">
        <f t="shared" si="211"/>
        <v>1156273.5799999998</v>
      </c>
      <c r="AM307" s="549">
        <f t="shared" si="211"/>
        <v>3116488.8079999997</v>
      </c>
      <c r="AN307" s="549">
        <f t="shared" si="211"/>
        <v>1072047.4300000002</v>
      </c>
      <c r="AO307" s="549">
        <f t="shared" si="211"/>
        <v>1209275.5799999998</v>
      </c>
      <c r="AP307" s="549">
        <f>SUM(AP305:AP306)</f>
        <v>1542049.76</v>
      </c>
      <c r="AQ307" s="549">
        <f t="shared" ref="AQ307:AS307" si="212">SUM(AQ305:AQ306)</f>
        <v>1282323.04</v>
      </c>
      <c r="AR307" s="549">
        <f t="shared" ref="AR307" si="213">SUM(AR305:AR306)</f>
        <v>1863313.1</v>
      </c>
      <c r="AS307" s="549">
        <f t="shared" si="212"/>
        <v>1210738.05</v>
      </c>
      <c r="AT307" s="548">
        <f>SUM(AT305:AT306)</f>
        <v>32208152.467999991</v>
      </c>
      <c r="AU307" s="442"/>
      <c r="AV307" s="435"/>
      <c r="AW307" s="432"/>
      <c r="AX307" s="435"/>
      <c r="AY307" s="434"/>
      <c r="AZ307" s="435"/>
      <c r="BA307" s="435"/>
      <c r="BB307" s="429"/>
      <c r="BC307" s="436"/>
      <c r="BD307" s="436"/>
      <c r="BE307" s="436"/>
      <c r="BF307" s="437"/>
      <c r="BG307" s="437"/>
      <c r="BH307" s="429"/>
      <c r="BI307" s="429"/>
      <c r="BJ307" s="443"/>
      <c r="BK307" s="443"/>
      <c r="BL307" s="443"/>
      <c r="BM307" s="439"/>
      <c r="BN307" s="439"/>
      <c r="BO307" s="446"/>
      <c r="BP307" s="444"/>
      <c r="BQ307" s="428"/>
      <c r="BR307" s="429"/>
      <c r="BS307" s="429"/>
      <c r="BT307" s="429"/>
      <c r="BU307" s="429"/>
      <c r="BV307" s="429"/>
    </row>
    <row r="308" spans="1:84" ht="15.75" thickBot="1" x14ac:dyDescent="0.3">
      <c r="F308" s="445" t="s">
        <v>711</v>
      </c>
      <c r="G308" s="436"/>
      <c r="H308" s="436"/>
      <c r="I308" s="437"/>
      <c r="J308" s="437"/>
      <c r="K308" s="441">
        <f>+'BOULEVARD PPTO'!C311</f>
        <v>153000</v>
      </c>
      <c r="L308" s="441">
        <f>+'BOULEVARD PPTO'!D311</f>
        <v>191251</v>
      </c>
      <c r="M308" s="441">
        <f>+'BOULEVARD PPTO'!E311</f>
        <v>194985</v>
      </c>
      <c r="N308" s="441">
        <f>+'BOULEVARD PPTO'!F311</f>
        <v>382932.85</v>
      </c>
      <c r="O308" s="441">
        <f>+'BOULEVARD PPTO'!G311</f>
        <v>363125.17</v>
      </c>
      <c r="P308" s="441">
        <f>+'BOULEVARD PPTO'!H311</f>
        <v>443624</v>
      </c>
      <c r="Q308" s="441">
        <f>+'BOULEVARD PPTO'!I311</f>
        <v>358437</v>
      </c>
      <c r="R308" s="441">
        <f>+'BOULEVARD PPTO'!J311</f>
        <v>369523</v>
      </c>
      <c r="S308" s="441">
        <f>+'BOULEVARD PPTO'!K311</f>
        <v>419596.00000000006</v>
      </c>
      <c r="T308" s="441">
        <f>+'BOULEVARD PPTO'!L311</f>
        <v>417982.00000000006</v>
      </c>
      <c r="U308" s="441">
        <f>+'BOULEVARD PPTO'!M311</f>
        <v>460217.00000000006</v>
      </c>
      <c r="V308" s="441">
        <f>+'BOULEVARD PPTO'!N311</f>
        <v>548348</v>
      </c>
      <c r="W308" s="441">
        <f>+'BOULEVARD PPTO'!O311</f>
        <v>597951</v>
      </c>
      <c r="X308" s="441">
        <f>+'BOULEVARD PPTO'!P311</f>
        <v>598696</v>
      </c>
      <c r="Y308" s="441">
        <f>+'BOULEVARD PPTO'!Q311</f>
        <v>672113</v>
      </c>
      <c r="Z308" s="441">
        <f>+'BOULEVARD PPTO'!R311</f>
        <v>669444</v>
      </c>
      <c r="AA308" s="441">
        <f>+'BOULEVARD PPTO'!S311</f>
        <v>775681</v>
      </c>
      <c r="AB308" s="441">
        <f>+'BOULEVARD PPTO'!T311</f>
        <v>1614016.02</v>
      </c>
      <c r="AC308" s="441">
        <f>+'BOULEVARD PPTO'!U311</f>
        <v>849639.09999999986</v>
      </c>
      <c r="AD308" s="441">
        <f>+'BOULEVARD PPTO'!V311</f>
        <v>816224</v>
      </c>
      <c r="AE308" s="441">
        <f>+'BOULEVARD PPTO'!W311</f>
        <v>988536.99999999977</v>
      </c>
      <c r="AF308" s="441">
        <f>+'BOULEVARD PPTO'!X311</f>
        <v>1686846.24</v>
      </c>
      <c r="AG308" s="441">
        <f>+'BOULEVARD PPTO'!Y311</f>
        <v>1149394.9999999998</v>
      </c>
      <c r="AH308" s="441">
        <f>+'BOULEVARD PPTO'!Z311</f>
        <v>1231992.9999999998</v>
      </c>
      <c r="AI308" s="441">
        <f>+'BOULEVARD PPTO'!AA311</f>
        <v>1286696.9999999998</v>
      </c>
      <c r="AJ308" s="441">
        <f>+'BOULEVARD PPTO'!AB311</f>
        <v>943823.21999999986</v>
      </c>
      <c r="AK308" s="441">
        <f>+'BOULEVARD PPTO'!AC311</f>
        <v>1059030.8299999998</v>
      </c>
      <c r="AL308" s="441">
        <f>+'BOULEVARD PPTO'!AD311</f>
        <v>1110485.8199999998</v>
      </c>
      <c r="AM308" s="441">
        <f>+'BOULEVARD PPTO'!AE311</f>
        <v>2967923.49</v>
      </c>
      <c r="AN308" s="441">
        <f>+'BOULEVARD PPTO'!AF311</f>
        <v>1218819.08</v>
      </c>
      <c r="AO308" s="441">
        <f>+'BOULEVARD PPTO'!AG311</f>
        <v>1264422.6999999997</v>
      </c>
      <c r="AP308" s="441">
        <f>+'BOULEVARD PPTO'!AH311</f>
        <v>804645.69000000006</v>
      </c>
      <c r="AQ308" s="441">
        <f>+'BOULEVARD PPTO'!AI311</f>
        <v>722658.08000000007</v>
      </c>
      <c r="AR308" s="441">
        <f>+'BOULEVARD PPTO'!AJ311</f>
        <v>837920.52</v>
      </c>
      <c r="AS308" s="441">
        <f>+'BOULEVARD PPTO'!AK311</f>
        <v>553780.20000000007</v>
      </c>
      <c r="AT308" s="876">
        <f>SUM(K308:AS308)</f>
        <v>28723763.00999999</v>
      </c>
      <c r="AU308" s="542">
        <v>1</v>
      </c>
      <c r="AV308" s="447"/>
      <c r="AW308" s="432"/>
      <c r="AX308" s="429"/>
      <c r="AY308" s="429"/>
      <c r="AZ308" s="434"/>
      <c r="BA308" s="429"/>
      <c r="BB308" s="429"/>
      <c r="BC308" s="436"/>
      <c r="BD308" s="436"/>
      <c r="BE308" s="436"/>
      <c r="BF308" s="437"/>
      <c r="BG308" s="437"/>
      <c r="BH308" s="448"/>
      <c r="BI308" s="448"/>
      <c r="BJ308" s="448"/>
      <c r="BK308" s="449" t="s">
        <v>712</v>
      </c>
      <c r="BL308" s="450">
        <f>+BK305+BL305-AT305</f>
        <v>-1554833.9099999852</v>
      </c>
      <c r="BM308" s="448"/>
      <c r="BN308" s="448"/>
      <c r="BO308" s="451" t="e">
        <f>+BO305-BO306</f>
        <v>#VALUE!</v>
      </c>
      <c r="BP308" s="452" t="s">
        <v>713</v>
      </c>
      <c r="BQ308" s="428"/>
      <c r="BR308" s="429"/>
      <c r="BS308" s="429"/>
      <c r="BT308" s="429"/>
      <c r="BU308" s="429"/>
      <c r="BV308" s="429"/>
    </row>
    <row r="309" spans="1:84" x14ac:dyDescent="0.25">
      <c r="F309" s="440" t="s">
        <v>714</v>
      </c>
      <c r="G309" s="436"/>
      <c r="H309" s="436"/>
      <c r="I309" s="437"/>
      <c r="J309" s="453"/>
      <c r="K309" s="448">
        <f>+K307-K308</f>
        <v>129970</v>
      </c>
      <c r="L309" s="448">
        <f t="shared" ref="L309:AJ309" si="214">+L307-L308</f>
        <v>21299</v>
      </c>
      <c r="M309" s="448">
        <f t="shared" si="214"/>
        <v>37915</v>
      </c>
      <c r="N309" s="448">
        <f t="shared" si="214"/>
        <v>7242</v>
      </c>
      <c r="O309" s="448">
        <f t="shared" si="214"/>
        <v>-36436.169999999984</v>
      </c>
      <c r="P309" s="448">
        <f t="shared" si="214"/>
        <v>163342</v>
      </c>
      <c r="Q309" s="448">
        <f t="shared" si="214"/>
        <v>759742.16999999993</v>
      </c>
      <c r="R309" s="448">
        <f t="shared" si="214"/>
        <v>-4101</v>
      </c>
      <c r="S309" s="448">
        <f t="shared" si="214"/>
        <v>-6366.0000000000582</v>
      </c>
      <c r="T309" s="448">
        <f t="shared" si="214"/>
        <v>8906.9999999999418</v>
      </c>
      <c r="U309" s="448">
        <f t="shared" si="214"/>
        <v>61671.999999999942</v>
      </c>
      <c r="V309" s="448">
        <f t="shared" si="214"/>
        <v>424</v>
      </c>
      <c r="W309" s="448">
        <f t="shared" si="214"/>
        <v>-98729</v>
      </c>
      <c r="X309" s="448">
        <f t="shared" si="214"/>
        <v>60159</v>
      </c>
      <c r="Y309" s="448">
        <f t="shared" si="214"/>
        <v>-66655</v>
      </c>
      <c r="Z309" s="448">
        <f t="shared" si="214"/>
        <v>17451</v>
      </c>
      <c r="AA309" s="448">
        <f t="shared" si="214"/>
        <v>46748</v>
      </c>
      <c r="AB309" s="448">
        <f t="shared" si="214"/>
        <v>-737996.97</v>
      </c>
      <c r="AC309" s="448">
        <f t="shared" si="214"/>
        <v>-16723.389999999898</v>
      </c>
      <c r="AD309" s="448">
        <f t="shared" si="214"/>
        <v>839735.02</v>
      </c>
      <c r="AE309" s="448">
        <f t="shared" si="214"/>
        <v>3356.3300000003073</v>
      </c>
      <c r="AF309" s="448">
        <f t="shared" si="214"/>
        <v>-312730.67999999993</v>
      </c>
      <c r="AG309" s="448">
        <f t="shared" si="214"/>
        <v>-372405.62999999989</v>
      </c>
      <c r="AH309" s="448">
        <f t="shared" si="214"/>
        <v>-207438.66999999981</v>
      </c>
      <c r="AI309" s="448">
        <f t="shared" si="214"/>
        <v>-240995.66999999981</v>
      </c>
      <c r="AJ309" s="448">
        <f t="shared" si="214"/>
        <v>273579.21000000008</v>
      </c>
      <c r="AK309" s="448">
        <f t="shared" ref="AK309:AP309" si="215">+AK307-AK308</f>
        <v>181572.14000000013</v>
      </c>
      <c r="AL309" s="448">
        <f t="shared" si="215"/>
        <v>45787.760000000009</v>
      </c>
      <c r="AM309" s="448">
        <f t="shared" si="215"/>
        <v>148565.3179999995</v>
      </c>
      <c r="AN309" s="448">
        <f t="shared" si="215"/>
        <v>-146771.64999999991</v>
      </c>
      <c r="AO309" s="448">
        <f t="shared" si="215"/>
        <v>-55147.119999999879</v>
      </c>
      <c r="AP309" s="448">
        <f t="shared" si="215"/>
        <v>737404.07</v>
      </c>
      <c r="AQ309" s="448">
        <f t="shared" ref="AQ309:AS309" si="216">+AQ307-AQ308</f>
        <v>559664.96</v>
      </c>
      <c r="AR309" s="448">
        <f t="shared" ref="AR309" si="217">+AR307-AR308</f>
        <v>1025392.5800000001</v>
      </c>
      <c r="AS309" s="448">
        <f t="shared" si="216"/>
        <v>656957.85</v>
      </c>
      <c r="AT309" s="437">
        <f>+AT305-AT308</f>
        <v>2610110.318</v>
      </c>
      <c r="AU309" s="543">
        <f>+AT309/AT308</f>
        <v>9.0869372410965349E-2</v>
      </c>
      <c r="AV309" s="437"/>
      <c r="AW309" s="454"/>
      <c r="AX309" s="434"/>
      <c r="AY309" s="429"/>
      <c r="AZ309" s="429"/>
      <c r="BA309" s="429"/>
      <c r="BB309" s="429"/>
      <c r="BC309" s="436"/>
      <c r="BD309" s="436"/>
      <c r="BE309" s="436"/>
      <c r="BF309" s="437"/>
      <c r="BG309" s="437"/>
      <c r="BH309" s="448"/>
      <c r="BI309" s="448"/>
      <c r="BJ309" s="448"/>
      <c r="BK309" s="448"/>
      <c r="BL309" s="448" t="e">
        <f>+BJ305-AT305</f>
        <v>#VALUE!</v>
      </c>
      <c r="BM309" s="448"/>
      <c r="BN309" s="448"/>
      <c r="BO309" s="455"/>
      <c r="BP309" s="456"/>
      <c r="BQ309" s="436"/>
      <c r="BR309" s="429"/>
      <c r="BS309" s="429"/>
      <c r="BT309" s="429"/>
      <c r="BU309" s="429"/>
      <c r="BV309" s="429"/>
    </row>
    <row r="310" spans="1:84" x14ac:dyDescent="0.25">
      <c r="F310" s="855" t="s">
        <v>715</v>
      </c>
      <c r="G310" s="856"/>
      <c r="H310" s="856"/>
      <c r="I310" s="857">
        <f>+I30/1.093</f>
        <v>1015689.2131747485</v>
      </c>
      <c r="J310" s="858"/>
      <c r="K310" s="854">
        <f>SUMIFS(K7:K304,$A$7:$A$304,'B5-2'!$E$1)</f>
        <v>78000</v>
      </c>
      <c r="L310" s="854">
        <f>SUMIFS(L7:L304,$A$7:$A$304,'B5-2'!$E$1)</f>
        <v>27346</v>
      </c>
      <c r="M310" s="854">
        <f>SUMIFS(M7:M304,$A$7:$A$304,'B5-2'!$E$1)</f>
        <v>34546</v>
      </c>
      <c r="N310" s="854">
        <f>SUMIFS(N7:N304,$A$7:$A$304,'B5-2'!$E$1)</f>
        <v>19346</v>
      </c>
      <c r="O310" s="854">
        <f>SUMIFS(O7:O304,$A$7:$A$304,'B5-2'!$E$1)</f>
        <v>21946</v>
      </c>
      <c r="P310" s="854">
        <f>SUMIFS(P7:P304,$A$7:$A$304,'B5-2'!$E$1)</f>
        <v>17346</v>
      </c>
      <c r="Q310" s="854">
        <f>SUMIFS(Q7:Q304,$A$7:$A$304,'B5-2'!$E$1)</f>
        <v>19746</v>
      </c>
      <c r="R310" s="854">
        <f>SUMIFS(R7:R304,$A$7:$A$304,'B5-2'!$E$1)</f>
        <v>15846</v>
      </c>
      <c r="S310" s="854">
        <f>SUMIFS(S7:S304,$A$7:$A$304,'B5-2'!$E$1)</f>
        <v>18646</v>
      </c>
      <c r="T310" s="854">
        <f>SUMIFS(T7:T304,$A$7:$A$304,'B5-2'!$E$1)</f>
        <v>15946</v>
      </c>
      <c r="U310" s="854">
        <f>SUMIFS(U7:U304,$A$7:$A$304,'B5-2'!$E$1)</f>
        <v>32846</v>
      </c>
      <c r="V310" s="854">
        <f>SUMIFS(V7:V304,$A$7:$A$304,'B5-2'!$E$1)</f>
        <v>23946</v>
      </c>
      <c r="W310" s="854">
        <f>SUMIFS(W7:W304,$A$7:$A$304,'B5-2'!$E$1)</f>
        <v>24532</v>
      </c>
      <c r="X310" s="854">
        <f>SUMIFS(X7:X304,$A$7:$A$304,'B5-2'!$E$1)</f>
        <v>56887</v>
      </c>
      <c r="Y310" s="854">
        <f>SUMIFS(Y7:Y304,$A$7:$A$304,'B5-2'!$E$1)</f>
        <v>13980</v>
      </c>
      <c r="Z310" s="854">
        <f>SUMIFS(Z7:Z304,$A$7:$A$304,'B5-2'!$E$1)</f>
        <v>20280</v>
      </c>
      <c r="AA310" s="854">
        <f>SUMIFS(AA7:AA304,$A$7:$A$304,'B5-2'!$E$1)</f>
        <v>19180</v>
      </c>
      <c r="AB310" s="854">
        <f>SUMIFS(AB7:AB304,$A$7:$A$304,'B5-2'!$E$1)</f>
        <v>20380</v>
      </c>
      <c r="AC310" s="854">
        <f>SUMIFS(AC7:AC304,$A$7:$A$304,'B5-2'!$E$1)</f>
        <v>16686</v>
      </c>
      <c r="AD310" s="854">
        <f>SUMIFS(AD7:AD304,$A$7:$A$304,'B5-2'!$E$1)</f>
        <v>10011</v>
      </c>
      <c r="AE310" s="854">
        <f>SUMIFS(AE7:AE304,$A$7:$A$304,'B5-2'!$E$1)</f>
        <v>23254</v>
      </c>
      <c r="AF310" s="854">
        <f>SUMIFS(AF7:AF304,$A$7:$A$304,'B5-2'!$E$1)</f>
        <v>8680</v>
      </c>
      <c r="AG310" s="854">
        <f>SUMIFS(AG7:AG304,$A$7:$A$304,'B5-2'!$E$1)</f>
        <v>14017</v>
      </c>
      <c r="AH310" s="854">
        <f>SUMIFS(AH7:AH304,$A$7:$A$304,'B5-2'!$E$1)</f>
        <v>8412</v>
      </c>
      <c r="AI310" s="854">
        <f>SUMIFS(AI7:AI304,$A$7:$A$304,'B5-2'!$E$1)</f>
        <v>16685</v>
      </c>
      <c r="AJ310" s="854">
        <f>SUMIFS(AJ7:AJ304,$A$7:$A$304,'B5-2'!$E$1)</f>
        <v>3075</v>
      </c>
      <c r="AK310" s="854">
        <f>SUMIFS(AK7:AK304,$A$7:$A$304,'B5-2'!$E$1)</f>
        <v>8412</v>
      </c>
      <c r="AL310" s="854">
        <f>SUMIFS(AL7:AL304,$A$7:$A$304,'B5-2'!$E$1)</f>
        <v>3075</v>
      </c>
      <c r="AM310" s="854">
        <f>SUMIFS(AM7:AM304,$A$7:$A$304,'B5-2'!$E$1)</f>
        <v>19086</v>
      </c>
      <c r="AN310" s="854">
        <f>SUMIFS(AN7:AN304,$A$7:$A$304,'B5-2'!$E$1)</f>
        <v>3075</v>
      </c>
      <c r="AO310" s="854">
        <f>SUMIFS(AO7:AO304,$A$7:$A$304,'B5-2'!$E$1)</f>
        <v>8419</v>
      </c>
      <c r="AP310" s="854">
        <f>SUMIFS(AP7:AP304,$A$7:$A$304,'B5-2'!$E$1)</f>
        <v>471075</v>
      </c>
      <c r="AQ310" s="854">
        <f>SUMIFS(AQ7:AQ304,$A$7:$A$304,'B5-2'!$E$1)</f>
        <v>3075</v>
      </c>
      <c r="AR310" s="854">
        <f>SUMIFS(AR7:AR304,$A$7:$A$304,'B5-2'!$E$1)</f>
        <v>12564</v>
      </c>
      <c r="AS310" s="854">
        <f>SUMIFS(AS7:AS304,$A$7:$A$304,'B5-2'!$E$1)</f>
        <v>89075</v>
      </c>
      <c r="AT310" s="437"/>
      <c r="AU310" s="437"/>
      <c r="AV310" s="437"/>
      <c r="AW310" s="454"/>
      <c r="AX310" s="434"/>
      <c r="AY310" s="429"/>
      <c r="AZ310" s="429"/>
      <c r="BA310" s="429"/>
      <c r="BB310" s="429"/>
      <c r="BC310" s="436"/>
      <c r="BD310" s="436"/>
      <c r="BE310" s="436"/>
      <c r="BF310" s="437"/>
      <c r="BG310" s="437"/>
      <c r="BH310" s="448"/>
      <c r="BI310" s="448"/>
      <c r="BJ310" s="448"/>
      <c r="BK310" s="448"/>
      <c r="BL310" s="448"/>
      <c r="BM310" s="448"/>
      <c r="BN310" s="448"/>
      <c r="BO310" s="455"/>
      <c r="BP310" s="456"/>
      <c r="BQ310" s="436"/>
      <c r="BR310" s="429"/>
      <c r="BS310" s="429"/>
      <c r="BT310" s="429"/>
      <c r="BU310" s="429"/>
      <c r="BV310" s="429"/>
    </row>
    <row r="311" spans="1:84" x14ac:dyDescent="0.25">
      <c r="F311" s="440"/>
      <c r="G311" s="436"/>
      <c r="H311" s="436"/>
      <c r="I311" s="437">
        <f>+I310*1%</f>
        <v>10156.892131747485</v>
      </c>
      <c r="J311" s="457"/>
      <c r="K311" s="458">
        <v>1</v>
      </c>
      <c r="L311" s="458">
        <v>1</v>
      </c>
      <c r="M311" s="458">
        <v>1</v>
      </c>
      <c r="N311" s="458">
        <v>1</v>
      </c>
      <c r="O311" s="458">
        <v>1</v>
      </c>
      <c r="P311" s="458">
        <v>1</v>
      </c>
      <c r="Q311" s="458">
        <v>1</v>
      </c>
      <c r="R311" s="458">
        <v>1</v>
      </c>
      <c r="S311" s="458">
        <v>1</v>
      </c>
      <c r="T311" s="458">
        <v>1</v>
      </c>
      <c r="U311" s="458">
        <v>1</v>
      </c>
      <c r="V311" s="458">
        <v>1</v>
      </c>
      <c r="W311" s="458">
        <v>1</v>
      </c>
      <c r="X311" s="458">
        <v>1</v>
      </c>
      <c r="Y311" s="458">
        <v>1</v>
      </c>
      <c r="Z311" s="458">
        <v>1</v>
      </c>
      <c r="AA311" s="458">
        <v>1</v>
      </c>
      <c r="AB311" s="458">
        <v>1</v>
      </c>
      <c r="AC311" s="458">
        <v>1</v>
      </c>
      <c r="AD311" s="458">
        <v>1</v>
      </c>
      <c r="AE311" s="458">
        <v>1</v>
      </c>
      <c r="AF311" s="459"/>
      <c r="AG311" s="636" t="str">
        <f t="shared" ref="AG311:AI311" si="218">IF(AG312&lt;1,"cobrado","superavit")</f>
        <v>cobrado</v>
      </c>
      <c r="AH311" s="636" t="str">
        <f t="shared" si="218"/>
        <v>cobrado</v>
      </c>
      <c r="AI311" s="636" t="str">
        <f t="shared" si="218"/>
        <v>cobrado</v>
      </c>
      <c r="AJ311" s="636" t="str">
        <f t="shared" ref="AJ311:AO311" si="219">IF(AJ312&lt;1,"cobrado","superavit")</f>
        <v>superavit</v>
      </c>
      <c r="AK311" s="636" t="str">
        <f t="shared" si="219"/>
        <v>superavit</v>
      </c>
      <c r="AL311" s="636" t="str">
        <f t="shared" si="219"/>
        <v>superavit</v>
      </c>
      <c r="AM311" s="636" t="str">
        <f t="shared" si="219"/>
        <v>superavit</v>
      </c>
      <c r="AN311" s="636" t="str">
        <f t="shared" si="219"/>
        <v>cobrado</v>
      </c>
      <c r="AO311" s="636" t="str">
        <f t="shared" si="219"/>
        <v>cobrado</v>
      </c>
      <c r="AP311" s="636" t="str">
        <f>IF(AP312&lt;1,"cobrado","superavit")</f>
        <v>superavit</v>
      </c>
      <c r="AQ311" s="636" t="str">
        <f t="shared" ref="AQ311:AS311" si="220">IF(AQ312&lt;1,"cobrado","superavit")</f>
        <v>superavit</v>
      </c>
      <c r="AR311" s="636" t="str">
        <f t="shared" si="220"/>
        <v>superavit</v>
      </c>
      <c r="AS311" s="636" t="str">
        <f t="shared" si="220"/>
        <v>superavit</v>
      </c>
      <c r="AT311" s="437"/>
      <c r="AU311" s="437"/>
      <c r="AV311" s="437"/>
      <c r="AW311" s="454"/>
      <c r="AX311" s="434"/>
      <c r="AY311" s="429"/>
      <c r="AZ311" s="429"/>
      <c r="BA311" s="429"/>
      <c r="BB311" s="429"/>
      <c r="BC311" s="436"/>
      <c r="BD311" s="436"/>
      <c r="BE311" s="436"/>
      <c r="BF311" s="437"/>
      <c r="BG311" s="437"/>
      <c r="BH311" s="448"/>
      <c r="BI311" s="448"/>
      <c r="BJ311" s="448"/>
      <c r="BK311" s="448"/>
      <c r="BL311" s="448"/>
      <c r="BM311" s="448"/>
      <c r="BN311" s="448"/>
      <c r="BO311" s="455" t="e">
        <f>+AT309+BO308</f>
        <v>#VALUE!</v>
      </c>
      <c r="BP311" s="456"/>
      <c r="BQ311" s="436"/>
      <c r="BR311" s="429"/>
      <c r="BS311" s="429"/>
      <c r="BT311" s="429"/>
      <c r="BU311" s="429"/>
      <c r="BV311" s="429"/>
    </row>
    <row r="312" spans="1:84" s="323" customFormat="1" x14ac:dyDescent="0.25">
      <c r="A312" s="324"/>
      <c r="B312" s="322"/>
      <c r="F312" s="445" t="s">
        <v>716</v>
      </c>
      <c r="G312" s="428"/>
      <c r="H312" s="428"/>
      <c r="I312" s="460">
        <f>+I311*30%</f>
        <v>3047.0676395242454</v>
      </c>
      <c r="J312" s="461"/>
      <c r="K312" s="460">
        <f>(K307*K311)/K308</f>
        <v>1.8494771241830066</v>
      </c>
      <c r="L312" s="460">
        <f t="shared" ref="L312:AF312" si="221">(L307*L311)/L308</f>
        <v>1.1113667379516969</v>
      </c>
      <c r="M312" s="460">
        <f t="shared" si="221"/>
        <v>1.1944508551939892</v>
      </c>
      <c r="N312" s="460">
        <f t="shared" si="221"/>
        <v>1.0189119319483821</v>
      </c>
      <c r="O312" s="460">
        <f t="shared" si="221"/>
        <v>0.8996594755466828</v>
      </c>
      <c r="P312" s="460">
        <f t="shared" si="221"/>
        <v>1.3681991957152904</v>
      </c>
      <c r="Q312" s="460">
        <f t="shared" si="221"/>
        <v>3.1195975024899769</v>
      </c>
      <c r="R312" s="460">
        <f t="shared" si="221"/>
        <v>0.98890190867686178</v>
      </c>
      <c r="S312" s="460">
        <f t="shared" si="221"/>
        <v>0.98482826337715312</v>
      </c>
      <c r="T312" s="633">
        <f t="shared" si="221"/>
        <v>1.0213095300754576</v>
      </c>
      <c r="U312" s="633">
        <f t="shared" si="221"/>
        <v>1.1340063491787569</v>
      </c>
      <c r="V312" s="633">
        <f t="shared" si="221"/>
        <v>1.0007732315974527</v>
      </c>
      <c r="W312" s="633">
        <f t="shared" si="221"/>
        <v>0.8348878085328062</v>
      </c>
      <c r="X312" s="633">
        <f t="shared" si="221"/>
        <v>1.1004833838876491</v>
      </c>
      <c r="Y312" s="633">
        <f t="shared" si="221"/>
        <v>0.90082768820123993</v>
      </c>
      <c r="Z312" s="633">
        <f t="shared" si="221"/>
        <v>1.0260679011239178</v>
      </c>
      <c r="AA312" s="633">
        <f t="shared" si="221"/>
        <v>1.0602670427662919</v>
      </c>
      <c r="AB312" s="633">
        <f t="shared" si="221"/>
        <v>0.54275734512226215</v>
      </c>
      <c r="AC312" s="633">
        <f t="shared" si="221"/>
        <v>0.98031706638736393</v>
      </c>
      <c r="AD312" s="633">
        <f t="shared" si="221"/>
        <v>2.0288046173599406</v>
      </c>
      <c r="AE312" s="633">
        <f t="shared" si="221"/>
        <v>1.00339524974786</v>
      </c>
      <c r="AF312" s="633">
        <f t="shared" si="221"/>
        <v>0</v>
      </c>
      <c r="AG312" s="633">
        <f t="shared" ref="AG312:AM312" si="222">(AG307/AG308)</f>
        <v>0.67599856446217366</v>
      </c>
      <c r="AH312" s="633">
        <f t="shared" si="222"/>
        <v>0.83162349948416925</v>
      </c>
      <c r="AI312" s="633">
        <f t="shared" si="222"/>
        <v>0.81270208137580191</v>
      </c>
      <c r="AJ312" s="633">
        <f t="shared" si="222"/>
        <v>1.2898627668855192</v>
      </c>
      <c r="AK312" s="633">
        <f t="shared" si="222"/>
        <v>1.1714512315000312</v>
      </c>
      <c r="AL312" s="633">
        <f t="shared" si="222"/>
        <v>1.0412321879085318</v>
      </c>
      <c r="AM312" s="633">
        <f t="shared" si="222"/>
        <v>1.0500569905189838</v>
      </c>
      <c r="AN312" s="633">
        <f>(AN307/AN308)</f>
        <v>0.87957880508401631</v>
      </c>
      <c r="AO312" s="633">
        <f>(AO307/AO308)</f>
        <v>0.95638553467918608</v>
      </c>
      <c r="AP312" s="633">
        <f>(AP307/AP308)</f>
        <v>1.9164332564808741</v>
      </c>
      <c r="AQ312" s="633">
        <f t="shared" ref="AQ312:AS312" si="223">(AQ307/AQ308)</f>
        <v>1.7744533348329821</v>
      </c>
      <c r="AR312" s="633">
        <f t="shared" ref="AR312" si="224">(AR307/AR308)</f>
        <v>2.2237348955244585</v>
      </c>
      <c r="AS312" s="633">
        <f t="shared" si="223"/>
        <v>2.186315166197708</v>
      </c>
      <c r="AT312" s="460"/>
      <c r="AU312" s="460"/>
      <c r="AV312" s="460"/>
      <c r="AW312" s="462"/>
      <c r="AX312" s="463"/>
      <c r="AY312" s="444"/>
      <c r="AZ312" s="444"/>
      <c r="BA312" s="444"/>
      <c r="BB312" s="444"/>
      <c r="BC312" s="428"/>
      <c r="BD312" s="428"/>
      <c r="BE312" s="428"/>
      <c r="BF312" s="460"/>
      <c r="BG312" s="460"/>
      <c r="BH312" s="464"/>
      <c r="BI312" s="464"/>
      <c r="BJ312" s="464"/>
      <c r="BK312" s="464"/>
      <c r="BL312" s="464"/>
      <c r="BM312" s="464"/>
      <c r="BN312" s="464"/>
      <c r="BO312" s="465" t="e">
        <f>+BO306+BO311</f>
        <v>#VALUE!</v>
      </c>
      <c r="BP312" s="452"/>
      <c r="BQ312" s="428"/>
      <c r="BR312" s="444"/>
      <c r="BS312" s="444"/>
      <c r="BT312" s="444"/>
      <c r="BU312" s="444"/>
      <c r="BV312" s="444"/>
      <c r="BY312" s="424"/>
      <c r="BZ312" s="424"/>
      <c r="CA312" s="424"/>
      <c r="CB312" s="424"/>
      <c r="CC312" s="424"/>
    </row>
    <row r="313" spans="1:84" x14ac:dyDescent="0.25">
      <c r="F313" s="440"/>
      <c r="G313" s="436"/>
      <c r="H313" s="436"/>
      <c r="I313" s="437">
        <f>+I312/12</f>
        <v>253.92230329368712</v>
      </c>
      <c r="J313" s="453"/>
      <c r="K313" s="437"/>
      <c r="L313" s="437"/>
      <c r="M313" s="437"/>
      <c r="N313" s="437"/>
      <c r="O313" s="437"/>
      <c r="P313" s="437"/>
      <c r="Q313" s="437"/>
      <c r="R313" s="437"/>
      <c r="S313" s="437"/>
      <c r="T313" s="437"/>
      <c r="U313" s="437"/>
      <c r="V313" s="437"/>
      <c r="W313" s="437"/>
      <c r="X313" s="437"/>
      <c r="Y313" s="437"/>
      <c r="Z313" s="437"/>
      <c r="AA313" s="437"/>
      <c r="AB313" s="437"/>
      <c r="AC313" s="437"/>
      <c r="AD313" s="437"/>
      <c r="AE313" s="437"/>
      <c r="AF313" s="437"/>
      <c r="AG313" s="437"/>
      <c r="AH313" s="437"/>
      <c r="AI313" s="437"/>
      <c r="AJ313" s="437"/>
      <c r="AK313" s="437"/>
      <c r="AL313" s="437"/>
      <c r="AM313" s="437"/>
      <c r="AO313" s="437"/>
      <c r="AP313" s="437"/>
      <c r="AQ313" s="437"/>
      <c r="AR313" s="437"/>
      <c r="AS313" s="437"/>
      <c r="AT313" s="634"/>
      <c r="AU313" s="437"/>
      <c r="AV313" s="437"/>
      <c r="AW313" s="454"/>
      <c r="AX313" s="434"/>
      <c r="AY313" s="429"/>
      <c r="AZ313" s="429"/>
      <c r="BA313" s="429"/>
      <c r="BB313" s="429"/>
      <c r="BC313" s="436"/>
      <c r="BD313" s="436"/>
      <c r="BE313" s="436"/>
      <c r="BF313" s="437"/>
      <c r="BG313" s="437"/>
      <c r="BH313" s="448"/>
      <c r="BI313" s="448"/>
      <c r="BJ313" s="448"/>
      <c r="BK313" s="448"/>
      <c r="BL313" s="448"/>
      <c r="BM313" s="448"/>
      <c r="BN313" s="448"/>
      <c r="BO313" s="448"/>
      <c r="BP313" s="429"/>
      <c r="BQ313" s="436"/>
      <c r="BR313" s="429"/>
      <c r="BS313" s="429"/>
      <c r="BT313" s="429"/>
      <c r="BU313" s="429"/>
      <c r="BV313" s="429"/>
    </row>
    <row r="314" spans="1:84" x14ac:dyDescent="0.25">
      <c r="B314" s="315"/>
      <c r="F314" s="445" t="s">
        <v>717</v>
      </c>
      <c r="G314" s="436"/>
      <c r="H314" s="436"/>
      <c r="I314" s="437">
        <f>+I313-239.59</f>
        <v>14.332303293687119</v>
      </c>
      <c r="J314" s="453"/>
      <c r="K314" s="448">
        <f>+'BOULEVARD PPTO'!C301</f>
        <v>240000</v>
      </c>
      <c r="L314" s="448">
        <f>+'BOULEVARD PPTO'!D301</f>
        <v>231447</v>
      </c>
      <c r="M314" s="448">
        <f>+'BOULEVARD PPTO'!E301</f>
        <v>229681</v>
      </c>
      <c r="N314" s="448">
        <f>+'BOULEVARD PPTO'!F301</f>
        <v>417628.85</v>
      </c>
      <c r="O314" s="448">
        <f>+'BOULEVARD PPTO'!G301</f>
        <v>397821.17</v>
      </c>
      <c r="P314" s="448">
        <f>+'BOULEVARD PPTO'!H301</f>
        <v>526320</v>
      </c>
      <c r="Q314" s="448">
        <f>+'BOULEVARD PPTO'!I301</f>
        <v>426343</v>
      </c>
      <c r="R314" s="448">
        <f>+'BOULEVARD PPTO'!J301</f>
        <v>443429</v>
      </c>
      <c r="S314" s="448">
        <f>+'BOULEVARD PPTO'!K301</f>
        <v>526286.55000000005</v>
      </c>
      <c r="T314" s="448">
        <f>+'BOULEVARD PPTO'!L301</f>
        <v>537872.55000000005</v>
      </c>
      <c r="U314" s="448">
        <f>+'BOULEVARD PPTO'!M301</f>
        <v>540107.55000000005</v>
      </c>
      <c r="V314" s="448">
        <f>+'BOULEVARD PPTO'!N301</f>
        <v>628238.55000000005</v>
      </c>
      <c r="W314" s="448">
        <f>+'BOULEVARD PPTO'!O301</f>
        <v>677841.55</v>
      </c>
      <c r="X314" s="448">
        <f>+'BOULEVARD PPTO'!P301</f>
        <v>686586.55</v>
      </c>
      <c r="Y314" s="448">
        <f>+'BOULEVARD PPTO'!Q301</f>
        <v>756504.55</v>
      </c>
      <c r="Z314" s="448">
        <f>+'BOULEVARD PPTO'!R301</f>
        <v>753835.55</v>
      </c>
      <c r="AA314" s="448">
        <f>+'BOULEVARD PPTO'!S301</f>
        <v>860072.55</v>
      </c>
      <c r="AB314" s="448">
        <f>+'BOULEVARD PPTO'!T301</f>
        <v>1698407.57</v>
      </c>
      <c r="AC314" s="448">
        <f>+'BOULEVARD PPTO'!U301</f>
        <v>934030.64999999991</v>
      </c>
      <c r="AD314" s="448">
        <f>+'BOULEVARD PPTO'!V301</f>
        <v>900615.55</v>
      </c>
      <c r="AE314" s="448">
        <f>+'BOULEVARD PPTO'!W301</f>
        <v>1072928.5499999998</v>
      </c>
      <c r="AF314" s="448">
        <f>+'BOULEVARD PPTO'!X301</f>
        <v>1790369.79</v>
      </c>
      <c r="AG314" s="448">
        <f>+'BOULEVARD PPTO'!Y301</f>
        <v>1233786.5499999998</v>
      </c>
      <c r="AH314" s="448">
        <f>+'BOULEVARD PPTO'!Z301</f>
        <v>1316384.5499999998</v>
      </c>
      <c r="AI314" s="448">
        <f>+'BOULEVARD PPTO'!AA301</f>
        <v>1371088.5499999998</v>
      </c>
      <c r="AJ314" s="448">
        <f>+'BOULEVARD PPTO'!AB301</f>
        <v>1028214.7699999999</v>
      </c>
      <c r="AK314" s="448">
        <f>+'BOULEVARD PPTO'!AC301</f>
        <v>1143422.3799999999</v>
      </c>
      <c r="AL314" s="448">
        <f>+'BOULEVARD PPTO'!AD301</f>
        <v>1194877.3699999999</v>
      </c>
      <c r="AM314" s="448">
        <f>+'BOULEVARD PPTO'!AE301</f>
        <v>3052315.04</v>
      </c>
      <c r="AN314" s="448">
        <f>+'BOULEVARD PPTO'!AF301</f>
        <v>1321529.46</v>
      </c>
      <c r="AO314" s="448">
        <f>+'BOULEVARD PPTO'!AG301</f>
        <v>1344248.7799999998</v>
      </c>
      <c r="AP314" s="448">
        <f>+'BOULEVARD PPTO'!AH301</f>
        <v>861800.69000000006</v>
      </c>
      <c r="AQ314" s="448">
        <f>+'BOULEVARD PPTO'!AI301</f>
        <v>779813.08000000007</v>
      </c>
      <c r="AR314" s="448">
        <f>+'BOULEVARD PPTO'!AI301</f>
        <v>779813.08000000007</v>
      </c>
      <c r="AS314" s="448">
        <f>+'BOULEVARD PPTO'!AJ301</f>
        <v>895093.52</v>
      </c>
      <c r="AT314" s="448">
        <f>+'BOULEVARD PPTO'!BC301</f>
        <v>32649504.909999985</v>
      </c>
      <c r="AU314" s="437"/>
      <c r="AV314" s="437"/>
      <c r="AW314" s="454"/>
      <c r="AX314" s="434"/>
      <c r="AY314" s="429"/>
      <c r="AZ314" s="429"/>
      <c r="BA314" s="429"/>
      <c r="BB314" s="429"/>
      <c r="BC314" s="436"/>
      <c r="BD314" s="436"/>
      <c r="BE314" s="436"/>
      <c r="BF314" s="437"/>
      <c r="BG314" s="437"/>
      <c r="BH314" s="448"/>
      <c r="BI314" s="448"/>
      <c r="BJ314" s="448"/>
      <c r="BK314" s="448"/>
      <c r="BL314" s="448"/>
      <c r="BM314" s="448"/>
      <c r="BN314" s="448"/>
      <c r="BO314" s="448"/>
      <c r="BP314" s="429"/>
      <c r="BQ314" s="436"/>
      <c r="BR314" s="429"/>
      <c r="BS314" s="429"/>
      <c r="BT314" s="429"/>
      <c r="BU314" s="429"/>
      <c r="BV314" s="429"/>
    </row>
    <row r="315" spans="1:84" x14ac:dyDescent="0.25">
      <c r="F315" s="440" t="s">
        <v>714</v>
      </c>
      <c r="G315" s="436"/>
      <c r="H315" s="436"/>
      <c r="I315" s="437"/>
      <c r="J315" s="453"/>
      <c r="K315" s="448">
        <f>+K307-K314</f>
        <v>42970</v>
      </c>
      <c r="L315" s="448">
        <f t="shared" ref="L315:AM315" si="225">+L307-L314</f>
        <v>-18897</v>
      </c>
      <c r="M315" s="448">
        <f t="shared" si="225"/>
        <v>3219</v>
      </c>
      <c r="N315" s="448">
        <f t="shared" si="225"/>
        <v>-27454</v>
      </c>
      <c r="O315" s="448">
        <f t="shared" si="225"/>
        <v>-71132.169999999984</v>
      </c>
      <c r="P315" s="448">
        <f t="shared" si="225"/>
        <v>80646</v>
      </c>
      <c r="Q315" s="448">
        <f t="shared" si="225"/>
        <v>691836.16999999993</v>
      </c>
      <c r="R315" s="448">
        <f t="shared" si="225"/>
        <v>-78007</v>
      </c>
      <c r="S315" s="448">
        <f t="shared" si="225"/>
        <v>-113056.55000000005</v>
      </c>
      <c r="T315" s="448">
        <f t="shared" si="225"/>
        <v>-110983.55000000005</v>
      </c>
      <c r="U315" s="448">
        <f t="shared" si="225"/>
        <v>-18218.550000000047</v>
      </c>
      <c r="V315" s="448">
        <f t="shared" si="225"/>
        <v>-79466.550000000047</v>
      </c>
      <c r="W315" s="448">
        <f t="shared" si="225"/>
        <v>-178619.55000000005</v>
      </c>
      <c r="X315" s="448">
        <f t="shared" si="225"/>
        <v>-27731.550000000047</v>
      </c>
      <c r="Y315" s="448">
        <f t="shared" si="225"/>
        <v>-151046.55000000005</v>
      </c>
      <c r="Z315" s="448">
        <f t="shared" si="225"/>
        <v>-66940.550000000047</v>
      </c>
      <c r="AA315" s="448">
        <f t="shared" si="225"/>
        <v>-37643.550000000047</v>
      </c>
      <c r="AB315" s="448">
        <f t="shared" si="225"/>
        <v>-822388.52</v>
      </c>
      <c r="AC315" s="448">
        <f t="shared" si="225"/>
        <v>-101114.93999999994</v>
      </c>
      <c r="AD315" s="448">
        <f t="shared" si="225"/>
        <v>755343.47</v>
      </c>
      <c r="AE315" s="448">
        <f t="shared" si="225"/>
        <v>-81035.219999999739</v>
      </c>
      <c r="AF315" s="448">
        <f t="shared" si="225"/>
        <v>-416254.23</v>
      </c>
      <c r="AG315" s="448">
        <f t="shared" si="225"/>
        <v>-456797.17999999993</v>
      </c>
      <c r="AH315" s="448">
        <f t="shared" si="225"/>
        <v>-291830.21999999986</v>
      </c>
      <c r="AI315" s="448">
        <f t="shared" si="225"/>
        <v>-325387.21999999986</v>
      </c>
      <c r="AJ315" s="448">
        <f t="shared" si="225"/>
        <v>189187.66000000003</v>
      </c>
      <c r="AK315" s="448">
        <f t="shared" si="225"/>
        <v>97180.590000000084</v>
      </c>
      <c r="AL315" s="448">
        <f t="shared" si="225"/>
        <v>-38603.790000000037</v>
      </c>
      <c r="AM315" s="448">
        <f t="shared" si="225"/>
        <v>64173.767999999691</v>
      </c>
      <c r="AN315" s="448">
        <f t="shared" ref="AN315:AS315" si="226">+AN307-AN314</f>
        <v>-249482.0299999998</v>
      </c>
      <c r="AO315" s="448">
        <f t="shared" si="226"/>
        <v>-134973.19999999995</v>
      </c>
      <c r="AP315" s="448">
        <f t="shared" si="226"/>
        <v>680249.07</v>
      </c>
      <c r="AQ315" s="448">
        <f t="shared" si="226"/>
        <v>502509.95999999996</v>
      </c>
      <c r="AR315" s="448">
        <f t="shared" ref="AR315" si="227">+AR307-AR314</f>
        <v>1083500.02</v>
      </c>
      <c r="AS315" s="448">
        <f t="shared" si="226"/>
        <v>315644.53000000003</v>
      </c>
      <c r="AT315" s="448">
        <f>+AT307-AT314</f>
        <v>-441352.44199999422</v>
      </c>
      <c r="AU315" s="437"/>
      <c r="AV315" s="437"/>
      <c r="AW315" s="454"/>
      <c r="AX315" s="434"/>
      <c r="AY315" s="429"/>
      <c r="AZ315" s="429"/>
      <c r="BA315" s="429"/>
      <c r="BB315" s="429"/>
      <c r="BC315" s="436"/>
      <c r="BD315" s="436"/>
      <c r="BE315" s="436"/>
      <c r="BF315" s="437"/>
      <c r="BG315" s="437"/>
      <c r="BH315" s="448"/>
      <c r="BI315" s="448"/>
      <c r="BJ315" s="448"/>
      <c r="BK315" s="448"/>
      <c r="BL315" s="448">
        <f>+BJ311-AT311</f>
        <v>0</v>
      </c>
      <c r="BM315" s="448"/>
      <c r="BN315" s="448"/>
      <c r="BO315" s="455"/>
      <c r="BP315" s="456"/>
      <c r="BQ315" s="436"/>
      <c r="BR315" s="429"/>
      <c r="BS315" s="429"/>
      <c r="BT315" s="429"/>
      <c r="BU315" s="429"/>
      <c r="BV315" s="429"/>
    </row>
    <row r="316" spans="1:84" x14ac:dyDescent="0.25">
      <c r="B316" s="323"/>
      <c r="J316" s="319"/>
      <c r="L316" s="316"/>
      <c r="M316" s="316"/>
      <c r="N316" s="316"/>
      <c r="O316" s="316"/>
      <c r="P316" s="316"/>
      <c r="Q316" s="316"/>
      <c r="R316" s="316"/>
      <c r="S316" s="316"/>
      <c r="T316" s="316"/>
      <c r="U316" s="316"/>
      <c r="V316" s="316"/>
      <c r="W316" s="316"/>
      <c r="X316" s="316"/>
      <c r="Y316" s="316"/>
      <c r="Z316" s="316"/>
      <c r="AA316" s="316"/>
      <c r="AB316" s="316"/>
      <c r="AC316" s="316"/>
      <c r="AD316" s="316"/>
      <c r="AE316" s="316"/>
      <c r="AF316" s="316"/>
      <c r="AG316" s="316"/>
      <c r="AH316" s="316"/>
      <c r="AI316" s="316"/>
      <c r="AJ316" s="316"/>
      <c r="AK316" s="316"/>
      <c r="AL316" s="316"/>
      <c r="AM316" s="316"/>
      <c r="AN316" s="316"/>
      <c r="AO316" s="316"/>
      <c r="AP316" s="316"/>
      <c r="AQ316" s="316"/>
      <c r="AR316" s="316"/>
      <c r="AS316" s="316"/>
      <c r="AT316" s="316"/>
      <c r="AU316" s="316"/>
      <c r="AV316" s="316"/>
      <c r="AW316" s="321"/>
      <c r="AX316" s="317"/>
      <c r="BF316" s="316"/>
      <c r="BG316" s="316"/>
    </row>
    <row r="317" spans="1:84" x14ac:dyDescent="0.25">
      <c r="B317" s="323"/>
      <c r="J317" s="319"/>
      <c r="L317" s="316"/>
      <c r="M317" s="316"/>
      <c r="N317" s="316"/>
      <c r="O317" s="316"/>
      <c r="P317" s="316"/>
      <c r="Q317" s="316"/>
      <c r="R317" s="316"/>
      <c r="S317" s="316"/>
      <c r="T317" s="316"/>
      <c r="U317" s="316"/>
      <c r="V317" s="316"/>
      <c r="W317" s="316"/>
      <c r="X317" s="316"/>
      <c r="Y317" s="316"/>
      <c r="Z317" s="316"/>
      <c r="AA317" s="316"/>
      <c r="AB317" s="316"/>
      <c r="AC317" s="316"/>
      <c r="AD317" s="316"/>
      <c r="AE317" s="316"/>
      <c r="AF317" s="316"/>
      <c r="AG317" s="316"/>
      <c r="AH317" s="316"/>
      <c r="AI317" s="316"/>
      <c r="AJ317" s="316"/>
      <c r="AK317" s="316"/>
      <c r="AL317" s="316"/>
      <c r="AM317" s="316"/>
      <c r="AN317" s="316"/>
      <c r="AO317" s="316"/>
      <c r="AP317" s="316"/>
      <c r="AQ317" s="316"/>
      <c r="AR317" s="316"/>
      <c r="AS317" s="316"/>
      <c r="AT317" s="316"/>
      <c r="AU317" s="316"/>
      <c r="AV317" s="316"/>
      <c r="AW317" s="321"/>
      <c r="AX317" s="317" t="s">
        <v>718</v>
      </c>
      <c r="BF317" s="316"/>
      <c r="BG317" s="316"/>
    </row>
    <row r="318" spans="1:84" x14ac:dyDescent="0.25">
      <c r="B318" s="323" t="s">
        <v>719</v>
      </c>
      <c r="J318" s="319"/>
      <c r="L318" s="316"/>
      <c r="M318" s="316"/>
      <c r="N318" s="316"/>
      <c r="O318" s="316"/>
      <c r="P318" s="316"/>
      <c r="Q318" s="316"/>
      <c r="R318" s="316"/>
      <c r="S318" s="316"/>
      <c r="T318" s="316"/>
      <c r="U318" s="316"/>
      <c r="V318" s="316"/>
      <c r="W318" s="316"/>
      <c r="X318" s="316"/>
      <c r="Y318" s="316"/>
      <c r="Z318" s="316"/>
      <c r="AA318" s="316"/>
      <c r="AB318" s="316"/>
      <c r="AC318" s="316"/>
      <c r="AD318" s="316"/>
      <c r="AE318" s="316"/>
      <c r="AF318" s="316"/>
      <c r="AG318" s="316"/>
      <c r="AH318" s="316"/>
      <c r="AI318" s="316"/>
      <c r="AJ318" s="316"/>
      <c r="AK318" s="316"/>
      <c r="AL318" s="316"/>
      <c r="AM318" s="316"/>
      <c r="AN318" s="316"/>
      <c r="AO318" s="316"/>
      <c r="AP318" s="316"/>
      <c r="AQ318" s="316"/>
      <c r="AR318" s="316"/>
      <c r="AS318" s="316"/>
      <c r="AT318" s="316"/>
      <c r="AU318" s="316"/>
      <c r="AV318" s="316"/>
      <c r="AW318" s="321"/>
      <c r="AX318" s="317" t="s">
        <v>720</v>
      </c>
      <c r="BF318" s="316"/>
      <c r="BG318" s="316"/>
    </row>
    <row r="319" spans="1:84" s="428" customFormat="1" ht="13.5" x14ac:dyDescent="0.25">
      <c r="A319" s="462"/>
      <c r="B319" s="428" t="s">
        <v>721</v>
      </c>
      <c r="C319" s="428" t="s">
        <v>722</v>
      </c>
      <c r="E319" s="428" t="s">
        <v>723</v>
      </c>
      <c r="F319" s="428" t="s">
        <v>724</v>
      </c>
      <c r="G319" s="428" t="s">
        <v>725</v>
      </c>
      <c r="H319" s="428" t="s">
        <v>726</v>
      </c>
      <c r="I319" s="462" t="s">
        <v>727</v>
      </c>
      <c r="J319" s="462" t="s">
        <v>728</v>
      </c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  <c r="AL319" s="462"/>
      <c r="AM319" s="462"/>
      <c r="AN319" s="462"/>
      <c r="AO319" s="462"/>
      <c r="AP319" s="462"/>
      <c r="AQ319" s="462"/>
      <c r="AR319" s="462"/>
      <c r="AS319" s="462"/>
      <c r="AT319" s="462"/>
      <c r="AU319" s="462"/>
      <c r="AX319" s="428" t="s">
        <v>729</v>
      </c>
      <c r="BF319" s="462"/>
      <c r="BG319" s="462"/>
      <c r="BH319" s="489"/>
      <c r="BI319" s="489"/>
      <c r="BJ319" s="489"/>
      <c r="BK319" s="489"/>
      <c r="BL319" s="489"/>
      <c r="BM319" s="489"/>
      <c r="BN319" s="489"/>
      <c r="BO319" s="489"/>
    </row>
    <row r="320" spans="1:84" s="429" customFormat="1" ht="13.9" customHeight="1" x14ac:dyDescent="0.25">
      <c r="A320" s="437"/>
      <c r="B320" s="436">
        <v>416</v>
      </c>
      <c r="C320" s="436" t="s">
        <v>178</v>
      </c>
      <c r="D320" s="436"/>
      <c r="E320" s="436"/>
      <c r="F320" s="482" t="s">
        <v>730</v>
      </c>
      <c r="G320" s="473"/>
      <c r="H320" s="436" t="s">
        <v>374</v>
      </c>
      <c r="I320" s="472">
        <v>726855.42868637398</v>
      </c>
      <c r="J320" s="472">
        <v>72685.542868637407</v>
      </c>
      <c r="K320" s="472">
        <v>0</v>
      </c>
      <c r="L320" s="437">
        <v>0</v>
      </c>
      <c r="M320" s="437">
        <v>0</v>
      </c>
      <c r="N320" s="437">
        <v>0</v>
      </c>
      <c r="O320" s="437">
        <v>0</v>
      </c>
      <c r="P320" s="437">
        <v>0</v>
      </c>
      <c r="Q320" s="437">
        <v>8000</v>
      </c>
      <c r="R320" s="437">
        <v>0</v>
      </c>
      <c r="S320" s="437">
        <v>5292</v>
      </c>
      <c r="T320" s="437">
        <v>2646</v>
      </c>
      <c r="U320" s="437">
        <v>2646</v>
      </c>
      <c r="V320" s="437">
        <v>0</v>
      </c>
      <c r="W320" s="437">
        <v>0</v>
      </c>
      <c r="X320" s="437">
        <v>0</v>
      </c>
      <c r="Y320" s="437">
        <v>0</v>
      </c>
      <c r="Z320" s="437">
        <v>0</v>
      </c>
      <c r="AA320" s="437">
        <v>0</v>
      </c>
      <c r="AB320" s="437">
        <v>0</v>
      </c>
      <c r="AC320" s="437">
        <v>0</v>
      </c>
      <c r="AD320" s="472">
        <v>0</v>
      </c>
      <c r="AE320" s="472">
        <v>0</v>
      </c>
      <c r="AF320" s="472"/>
      <c r="AG320" s="472"/>
      <c r="AH320" s="472"/>
      <c r="AI320" s="472"/>
      <c r="AJ320" s="472"/>
      <c r="AK320" s="472"/>
      <c r="AL320" s="472">
        <v>0</v>
      </c>
      <c r="AM320" s="472">
        <v>0</v>
      </c>
      <c r="AN320" s="544">
        <v>0</v>
      </c>
      <c r="AO320" s="544">
        <v>0</v>
      </c>
      <c r="AP320" s="544">
        <v>0</v>
      </c>
      <c r="AQ320" s="544">
        <v>0</v>
      </c>
      <c r="AR320" s="544">
        <v>0</v>
      </c>
      <c r="AS320" s="544">
        <v>0</v>
      </c>
      <c r="AT320" s="490">
        <f>SUM(K320:AS320)</f>
        <v>18584</v>
      </c>
      <c r="AW320" s="436"/>
      <c r="BC320" s="436"/>
      <c r="BD320" s="436"/>
      <c r="BE320" s="436"/>
      <c r="BF320" s="437"/>
      <c r="BG320" s="437"/>
      <c r="BH320" s="448"/>
      <c r="BI320" s="448"/>
      <c r="BJ320" s="448"/>
      <c r="BK320" s="448"/>
      <c r="BL320" s="448"/>
      <c r="BM320" s="448"/>
      <c r="BN320" s="448"/>
      <c r="BO320" s="448"/>
      <c r="BQ320" s="436"/>
    </row>
    <row r="321" spans="1:70" s="429" customFormat="1" ht="13.9" customHeight="1" x14ac:dyDescent="0.25">
      <c r="A321" s="437"/>
      <c r="B321" s="436">
        <v>707</v>
      </c>
      <c r="C321" s="436" t="s">
        <v>465</v>
      </c>
      <c r="D321" s="436"/>
      <c r="E321" s="482" t="s">
        <v>366</v>
      </c>
      <c r="F321" s="482" t="s">
        <v>731</v>
      </c>
      <c r="G321" s="473">
        <v>45153</v>
      </c>
      <c r="H321" s="436" t="s">
        <v>128</v>
      </c>
      <c r="I321" s="472">
        <v>722900</v>
      </c>
      <c r="J321" s="472">
        <v>72300</v>
      </c>
      <c r="K321" s="437">
        <v>0</v>
      </c>
      <c r="L321" s="437">
        <v>0</v>
      </c>
      <c r="M321" s="437">
        <v>0</v>
      </c>
      <c r="N321" s="437">
        <v>0</v>
      </c>
      <c r="O321" s="437">
        <v>0</v>
      </c>
      <c r="P321" s="437">
        <v>6000</v>
      </c>
      <c r="Q321" s="437">
        <v>2652</v>
      </c>
      <c r="R321" s="437">
        <v>2652</v>
      </c>
      <c r="S321" s="437">
        <v>2652</v>
      </c>
      <c r="T321" s="437">
        <v>0</v>
      </c>
      <c r="U321" s="437">
        <v>2652</v>
      </c>
      <c r="V321" s="437">
        <v>0</v>
      </c>
      <c r="W321" s="437">
        <v>0</v>
      </c>
      <c r="X321" s="437">
        <v>5304</v>
      </c>
      <c r="Y321" s="437">
        <v>0</v>
      </c>
      <c r="Z321" s="437">
        <v>5304</v>
      </c>
      <c r="AA321" s="437">
        <v>5304</v>
      </c>
      <c r="AB321" s="437">
        <v>0</v>
      </c>
      <c r="AC321" s="437">
        <v>0</v>
      </c>
      <c r="AD321" s="472">
        <v>0</v>
      </c>
      <c r="AE321" s="434">
        <v>0</v>
      </c>
      <c r="AF321" s="434">
        <v>0</v>
      </c>
      <c r="AG321" s="434">
        <v>0</v>
      </c>
      <c r="AH321" s="434">
        <v>0</v>
      </c>
      <c r="AI321" s="434">
        <v>0</v>
      </c>
      <c r="AJ321" s="434"/>
      <c r="AK321" s="434"/>
      <c r="AL321" s="472">
        <v>0</v>
      </c>
      <c r="AM321" s="472">
        <v>0</v>
      </c>
      <c r="AN321" s="544">
        <v>0</v>
      </c>
      <c r="AO321" s="544">
        <v>0</v>
      </c>
      <c r="AP321" s="544">
        <v>0</v>
      </c>
      <c r="AQ321" s="544">
        <v>0</v>
      </c>
      <c r="AR321" s="544">
        <v>0</v>
      </c>
      <c r="AS321" s="544">
        <v>0</v>
      </c>
      <c r="AT321" s="490">
        <f t="shared" ref="AT321:AT347" si="228">SUM(K321:AS321)</f>
        <v>32520</v>
      </c>
      <c r="AW321" s="436"/>
      <c r="BC321" s="436"/>
      <c r="BD321" s="436"/>
      <c r="BE321" s="436"/>
      <c r="BF321" s="437"/>
      <c r="BG321" s="437"/>
      <c r="BH321" s="448"/>
      <c r="BI321" s="448"/>
      <c r="BJ321" s="448"/>
      <c r="BK321" s="448"/>
      <c r="BL321" s="448"/>
      <c r="BM321" s="448"/>
      <c r="BN321" s="448"/>
      <c r="BO321" s="448"/>
      <c r="BQ321" s="436"/>
    </row>
    <row r="322" spans="1:70" s="429" customFormat="1" ht="13.9" customHeight="1" x14ac:dyDescent="0.25">
      <c r="A322" s="437"/>
      <c r="B322" s="436">
        <v>711</v>
      </c>
      <c r="C322" s="436" t="s">
        <v>469</v>
      </c>
      <c r="D322" s="436"/>
      <c r="E322" s="482" t="s">
        <v>366</v>
      </c>
      <c r="F322" s="482" t="s">
        <v>732</v>
      </c>
      <c r="G322" s="473">
        <v>45239</v>
      </c>
      <c r="H322" s="436" t="s">
        <v>128</v>
      </c>
      <c r="I322" s="472">
        <v>1181561.5</v>
      </c>
      <c r="J322" s="472">
        <v>118161.5</v>
      </c>
      <c r="K322" s="472">
        <v>0</v>
      </c>
      <c r="L322" s="437">
        <v>0</v>
      </c>
      <c r="M322" s="437">
        <v>0</v>
      </c>
      <c r="N322" s="437">
        <v>0</v>
      </c>
      <c r="O322" s="437">
        <v>0</v>
      </c>
      <c r="P322" s="437">
        <v>0</v>
      </c>
      <c r="Q322" s="437">
        <v>0</v>
      </c>
      <c r="R322" s="437">
        <v>0</v>
      </c>
      <c r="S322" s="437">
        <v>5500</v>
      </c>
      <c r="T322" s="437">
        <v>5121</v>
      </c>
      <c r="U322" s="437">
        <v>5121</v>
      </c>
      <c r="V322" s="437">
        <v>5121</v>
      </c>
      <c r="W322" s="437">
        <v>5121</v>
      </c>
      <c r="X322" s="437">
        <v>0</v>
      </c>
      <c r="Y322" s="437">
        <v>5121</v>
      </c>
      <c r="Z322" s="437">
        <v>5121</v>
      </c>
      <c r="AA322" s="437">
        <v>0</v>
      </c>
      <c r="AB322" s="437">
        <v>0</v>
      </c>
      <c r="AC322" s="437">
        <v>0</v>
      </c>
      <c r="AD322" s="472">
        <v>0</v>
      </c>
      <c r="AE322" s="472">
        <v>0</v>
      </c>
      <c r="AF322" s="472"/>
      <c r="AG322" s="472"/>
      <c r="AH322" s="472"/>
      <c r="AI322" s="472"/>
      <c r="AJ322" s="472"/>
      <c r="AK322" s="472"/>
      <c r="AL322" s="472">
        <v>0</v>
      </c>
      <c r="AM322" s="472">
        <v>0</v>
      </c>
      <c r="AN322" s="544">
        <v>0</v>
      </c>
      <c r="AO322" s="544">
        <v>0</v>
      </c>
      <c r="AP322" s="544">
        <v>0</v>
      </c>
      <c r="AQ322" s="544">
        <v>0</v>
      </c>
      <c r="AR322" s="544">
        <v>0</v>
      </c>
      <c r="AS322" s="544">
        <v>0</v>
      </c>
      <c r="AT322" s="490">
        <f t="shared" si="228"/>
        <v>36226</v>
      </c>
      <c r="AW322" s="436"/>
      <c r="BC322" s="436"/>
      <c r="BD322" s="436"/>
      <c r="BE322" s="436"/>
      <c r="BF322" s="437"/>
      <c r="BG322" s="437"/>
      <c r="BH322" s="448"/>
      <c r="BI322" s="448"/>
      <c r="BJ322" s="448"/>
      <c r="BK322" s="448"/>
      <c r="BL322" s="448"/>
      <c r="BM322" s="448"/>
      <c r="BN322" s="448"/>
      <c r="BO322" s="448"/>
      <c r="BQ322" s="436"/>
    </row>
    <row r="323" spans="1:70" s="429" customFormat="1" ht="13.9" customHeight="1" x14ac:dyDescent="0.25">
      <c r="A323" s="437"/>
      <c r="B323" s="436">
        <v>1009</v>
      </c>
      <c r="C323" s="436" t="s">
        <v>563</v>
      </c>
      <c r="D323" s="436"/>
      <c r="E323" s="482"/>
      <c r="F323" s="482" t="s">
        <v>733</v>
      </c>
      <c r="G323" s="473">
        <v>44930</v>
      </c>
      <c r="H323" s="436" t="s">
        <v>719</v>
      </c>
      <c r="I323" s="472">
        <v>1515084.48</v>
      </c>
      <c r="J323" s="472">
        <v>152084.48000000001</v>
      </c>
      <c r="K323" s="437"/>
      <c r="L323" s="437">
        <v>12000</v>
      </c>
      <c r="M323" s="437">
        <v>3000</v>
      </c>
      <c r="N323" s="437">
        <v>3000</v>
      </c>
      <c r="O323" s="437">
        <v>0</v>
      </c>
      <c r="P323" s="437">
        <v>0</v>
      </c>
      <c r="Q323" s="437">
        <v>6000</v>
      </c>
      <c r="R323" s="437">
        <v>0</v>
      </c>
      <c r="S323" s="437">
        <v>0</v>
      </c>
      <c r="T323" s="437">
        <v>3000</v>
      </c>
      <c r="U323" s="437">
        <v>3000</v>
      </c>
      <c r="V323" s="437">
        <v>0</v>
      </c>
      <c r="W323" s="437">
        <v>3000</v>
      </c>
      <c r="X323" s="437">
        <v>3000</v>
      </c>
      <c r="Y323" s="437">
        <v>0</v>
      </c>
      <c r="Z323" s="437">
        <v>3000</v>
      </c>
      <c r="AA323" s="437">
        <v>0</v>
      </c>
      <c r="AB323" s="437">
        <v>0</v>
      </c>
      <c r="AC323" s="437">
        <v>0</v>
      </c>
      <c r="AD323" s="472">
        <v>0</v>
      </c>
      <c r="AE323" s="434"/>
      <c r="AF323" s="434"/>
      <c r="AG323" s="434"/>
      <c r="AH323" s="434"/>
      <c r="AI323" s="434"/>
      <c r="AJ323" s="434"/>
      <c r="AK323" s="434"/>
      <c r="AL323" s="472">
        <v>0</v>
      </c>
      <c r="AM323" s="472">
        <v>0</v>
      </c>
      <c r="AN323" s="544">
        <v>0</v>
      </c>
      <c r="AO323" s="544">
        <v>0</v>
      </c>
      <c r="AP323" s="544">
        <v>0</v>
      </c>
      <c r="AQ323" s="544">
        <v>0</v>
      </c>
      <c r="AR323" s="544">
        <v>0</v>
      </c>
      <c r="AS323" s="544">
        <v>0</v>
      </c>
      <c r="AT323" s="490">
        <f t="shared" si="228"/>
        <v>39000</v>
      </c>
      <c r="AW323" s="436"/>
      <c r="BC323" s="436"/>
      <c r="BD323" s="436"/>
      <c r="BE323" s="436"/>
      <c r="BF323" s="437"/>
      <c r="BG323" s="437"/>
      <c r="BH323" s="448"/>
      <c r="BI323" s="448"/>
      <c r="BJ323" s="448"/>
      <c r="BK323" s="448"/>
      <c r="BL323" s="448"/>
      <c r="BM323" s="448"/>
      <c r="BN323" s="448"/>
      <c r="BO323" s="448"/>
      <c r="BQ323" s="436"/>
    </row>
    <row r="324" spans="1:70" s="429" customFormat="1" ht="13.9" customHeight="1" x14ac:dyDescent="0.25">
      <c r="A324" s="437"/>
      <c r="B324" s="436">
        <v>1315</v>
      </c>
      <c r="C324" s="436" t="s">
        <v>400</v>
      </c>
      <c r="D324" s="436"/>
      <c r="E324" s="436"/>
      <c r="F324" s="482" t="s">
        <v>734</v>
      </c>
      <c r="G324" s="473"/>
      <c r="H324" s="436" t="s">
        <v>374</v>
      </c>
      <c r="I324" s="472">
        <v>1072218.69827634</v>
      </c>
      <c r="J324" s="472">
        <v>107221.86982763401</v>
      </c>
      <c r="K324" s="472">
        <v>0</v>
      </c>
      <c r="L324" s="437">
        <v>0</v>
      </c>
      <c r="M324" s="437">
        <v>0</v>
      </c>
      <c r="N324" s="437">
        <v>6000</v>
      </c>
      <c r="O324" s="437">
        <v>3100</v>
      </c>
      <c r="P324" s="437">
        <v>3100</v>
      </c>
      <c r="Q324" s="437">
        <v>3100</v>
      </c>
      <c r="R324" s="437">
        <v>3100</v>
      </c>
      <c r="S324" s="437">
        <v>0</v>
      </c>
      <c r="T324" s="437">
        <v>3100</v>
      </c>
      <c r="U324" s="437">
        <v>0</v>
      </c>
      <c r="V324" s="437">
        <v>0</v>
      </c>
      <c r="W324" s="437">
        <v>0</v>
      </c>
      <c r="X324" s="437">
        <v>3100</v>
      </c>
      <c r="Y324" s="437">
        <v>3100</v>
      </c>
      <c r="Z324" s="437">
        <v>0</v>
      </c>
      <c r="AA324" s="437">
        <v>0</v>
      </c>
      <c r="AB324" s="437">
        <v>0</v>
      </c>
      <c r="AC324" s="437">
        <v>0</v>
      </c>
      <c r="AD324" s="472">
        <v>0</v>
      </c>
      <c r="AE324" s="472">
        <v>0</v>
      </c>
      <c r="AF324" s="472"/>
      <c r="AG324" s="472"/>
      <c r="AH324" s="472"/>
      <c r="AI324" s="472"/>
      <c r="AJ324" s="472"/>
      <c r="AK324" s="472"/>
      <c r="AL324" s="472">
        <v>0</v>
      </c>
      <c r="AM324" s="472">
        <v>0</v>
      </c>
      <c r="AN324" s="544">
        <v>0</v>
      </c>
      <c r="AO324" s="544">
        <v>0</v>
      </c>
      <c r="AP324" s="544">
        <v>0</v>
      </c>
      <c r="AQ324" s="544">
        <v>0</v>
      </c>
      <c r="AR324" s="544">
        <v>0</v>
      </c>
      <c r="AS324" s="544">
        <v>0</v>
      </c>
      <c r="AT324" s="490">
        <f t="shared" si="228"/>
        <v>27700</v>
      </c>
      <c r="AW324" s="436"/>
      <c r="BC324" s="436"/>
      <c r="BD324" s="436"/>
      <c r="BE324" s="436"/>
      <c r="BF324" s="437"/>
      <c r="BG324" s="437"/>
      <c r="BH324" s="448"/>
      <c r="BI324" s="448"/>
      <c r="BJ324" s="448"/>
      <c r="BK324" s="448"/>
      <c r="BL324" s="448"/>
      <c r="BM324" s="448"/>
      <c r="BN324" s="448"/>
      <c r="BO324" s="448"/>
      <c r="BQ324" s="436"/>
    </row>
    <row r="325" spans="1:70" s="429" customFormat="1" ht="13.9" customHeight="1" x14ac:dyDescent="0.25">
      <c r="A325" s="437"/>
      <c r="B325" s="436">
        <v>1501</v>
      </c>
      <c r="C325" s="436" t="s">
        <v>662</v>
      </c>
      <c r="D325" s="436"/>
      <c r="E325" s="482" t="s">
        <v>366</v>
      </c>
      <c r="F325" s="482" t="s">
        <v>735</v>
      </c>
      <c r="G325" s="473">
        <v>45135</v>
      </c>
      <c r="H325" s="436" t="s">
        <v>128</v>
      </c>
      <c r="I325" s="472">
        <v>1231200</v>
      </c>
      <c r="J325" s="472">
        <v>123200</v>
      </c>
      <c r="K325" s="472">
        <v>0</v>
      </c>
      <c r="L325" s="437">
        <v>0</v>
      </c>
      <c r="M325" s="437">
        <v>0</v>
      </c>
      <c r="N325" s="437">
        <v>0</v>
      </c>
      <c r="O325" s="437">
        <v>6000</v>
      </c>
      <c r="P325" s="437">
        <v>4500</v>
      </c>
      <c r="Q325" s="437">
        <v>4500</v>
      </c>
      <c r="R325" s="437">
        <v>4500</v>
      </c>
      <c r="S325" s="437">
        <v>4500</v>
      </c>
      <c r="T325" s="437">
        <v>4500</v>
      </c>
      <c r="U325" s="437">
        <v>19500</v>
      </c>
      <c r="V325" s="437">
        <v>0</v>
      </c>
      <c r="W325" s="437">
        <v>4500</v>
      </c>
      <c r="X325" s="437">
        <v>4500</v>
      </c>
      <c r="Y325" s="437">
        <v>4500</v>
      </c>
      <c r="Z325" s="437">
        <v>4500</v>
      </c>
      <c r="AA325" s="437">
        <v>4500</v>
      </c>
      <c r="AB325" s="437">
        <v>0</v>
      </c>
      <c r="AC325" s="437">
        <v>0</v>
      </c>
      <c r="AD325" s="472">
        <v>0</v>
      </c>
      <c r="AE325" s="472">
        <v>4500</v>
      </c>
      <c r="AF325" s="472">
        <v>4500</v>
      </c>
      <c r="AG325" s="472">
        <v>4000</v>
      </c>
      <c r="AH325" s="472">
        <v>3500</v>
      </c>
      <c r="AI325" s="472"/>
      <c r="AJ325" s="472"/>
      <c r="AK325" s="472"/>
      <c r="AL325" s="472">
        <v>0</v>
      </c>
      <c r="AM325" s="472">
        <v>0</v>
      </c>
      <c r="AN325" s="544">
        <v>0</v>
      </c>
      <c r="AO325" s="544">
        <v>0</v>
      </c>
      <c r="AP325" s="544">
        <v>0</v>
      </c>
      <c r="AQ325" s="544">
        <v>0</v>
      </c>
      <c r="AR325" s="544">
        <v>0</v>
      </c>
      <c r="AS325" s="544">
        <v>0</v>
      </c>
      <c r="AT325" s="490">
        <f t="shared" si="228"/>
        <v>87000</v>
      </c>
      <c r="AU325" s="437"/>
      <c r="AV325" s="437"/>
      <c r="AW325" s="454"/>
      <c r="AX325" s="437"/>
      <c r="BC325" s="436"/>
      <c r="BD325" s="436"/>
      <c r="BE325" s="436"/>
      <c r="BF325" s="437"/>
      <c r="BG325" s="437"/>
      <c r="BH325" s="448"/>
      <c r="BI325" s="448"/>
      <c r="BJ325" s="448"/>
      <c r="BK325" s="448"/>
      <c r="BL325" s="448"/>
      <c r="BM325" s="448"/>
      <c r="BN325" s="448"/>
      <c r="BO325" s="448"/>
      <c r="BQ325" s="436"/>
    </row>
    <row r="326" spans="1:70" s="429" customFormat="1" ht="13.9" customHeight="1" x14ac:dyDescent="0.25">
      <c r="A326" s="437"/>
      <c r="B326" s="436">
        <v>1020</v>
      </c>
      <c r="C326" s="436" t="s">
        <v>186</v>
      </c>
      <c r="D326" s="436"/>
      <c r="E326" s="429" t="s">
        <v>423</v>
      </c>
      <c r="F326" s="482" t="s">
        <v>736</v>
      </c>
      <c r="G326" s="473">
        <v>45626</v>
      </c>
      <c r="H326" s="436" t="s">
        <v>128</v>
      </c>
      <c r="I326" s="472">
        <f>903785.86+356211.52</f>
        <v>1259997.3799999999</v>
      </c>
      <c r="J326" s="472">
        <v>125997.37</v>
      </c>
      <c r="K326" s="472">
        <v>0</v>
      </c>
      <c r="L326" s="437">
        <v>0</v>
      </c>
      <c r="M326" s="437">
        <v>0</v>
      </c>
      <c r="N326" s="437">
        <v>0</v>
      </c>
      <c r="O326" s="437">
        <v>0</v>
      </c>
      <c r="P326" s="437">
        <v>0</v>
      </c>
      <c r="Q326" s="437">
        <v>0</v>
      </c>
      <c r="R326" s="437">
        <v>0</v>
      </c>
      <c r="S326" s="437">
        <v>0</v>
      </c>
      <c r="T326" s="437">
        <v>0</v>
      </c>
      <c r="U326" s="437">
        <v>0</v>
      </c>
      <c r="V326" s="437">
        <v>0</v>
      </c>
      <c r="W326" s="437">
        <v>0</v>
      </c>
      <c r="X326" s="437">
        <v>0</v>
      </c>
      <c r="Y326" s="437">
        <v>0</v>
      </c>
      <c r="Z326" s="437">
        <v>0</v>
      </c>
      <c r="AA326" s="437">
        <v>0</v>
      </c>
      <c r="AB326" s="437">
        <v>0</v>
      </c>
      <c r="AC326" s="437">
        <v>0</v>
      </c>
      <c r="AD326" s="472">
        <v>0</v>
      </c>
      <c r="AE326" s="472">
        <v>10000</v>
      </c>
      <c r="AF326" s="472"/>
      <c r="AG326" s="472"/>
      <c r="AH326" s="472"/>
      <c r="AI326" s="472"/>
      <c r="AJ326" s="472"/>
      <c r="AK326" s="472"/>
      <c r="AL326" s="472">
        <v>0</v>
      </c>
      <c r="AM326" s="472">
        <v>0</v>
      </c>
      <c r="AN326" s="544">
        <v>0</v>
      </c>
      <c r="AO326" s="544">
        <v>0</v>
      </c>
      <c r="AP326" s="544">
        <v>0</v>
      </c>
      <c r="AQ326" s="544">
        <v>0</v>
      </c>
      <c r="AR326" s="544">
        <v>0</v>
      </c>
      <c r="AS326" s="544">
        <v>0</v>
      </c>
      <c r="AT326" s="490">
        <f t="shared" si="228"/>
        <v>10000</v>
      </c>
      <c r="AW326" s="436"/>
      <c r="BC326" s="436"/>
      <c r="BD326" s="436"/>
      <c r="BE326" s="436"/>
      <c r="BF326" s="437"/>
      <c r="BG326" s="437"/>
      <c r="BH326" s="448"/>
      <c r="BI326" s="448"/>
      <c r="BJ326" s="448"/>
      <c r="BK326" s="448"/>
      <c r="BL326" s="448"/>
      <c r="BM326" s="448"/>
      <c r="BN326" s="448"/>
      <c r="BO326" s="448"/>
      <c r="BQ326" s="436"/>
    </row>
    <row r="327" spans="1:70" s="429" customFormat="1" ht="13.9" customHeight="1" x14ac:dyDescent="0.25">
      <c r="A327" s="437"/>
      <c r="B327" s="436">
        <v>1114</v>
      </c>
      <c r="C327" s="436" t="s">
        <v>611</v>
      </c>
      <c r="D327" s="436"/>
      <c r="E327" s="482" t="s">
        <v>366</v>
      </c>
      <c r="F327" s="482" t="s">
        <v>737</v>
      </c>
      <c r="G327" s="473">
        <v>45065</v>
      </c>
      <c r="H327" s="436" t="s">
        <v>128</v>
      </c>
      <c r="I327" s="472">
        <v>748092.41</v>
      </c>
      <c r="J327" s="472">
        <v>74892.41</v>
      </c>
      <c r="K327" s="472">
        <v>0</v>
      </c>
      <c r="L327" s="437">
        <v>0</v>
      </c>
      <c r="M327" s="437">
        <v>6000</v>
      </c>
      <c r="N327" s="437">
        <v>0</v>
      </c>
      <c r="O327" s="437"/>
      <c r="P327" s="437"/>
      <c r="Q327" s="437">
        <v>0</v>
      </c>
      <c r="R327" s="437">
        <v>0</v>
      </c>
      <c r="S327" s="437">
        <v>0</v>
      </c>
      <c r="T327" s="437">
        <v>0</v>
      </c>
      <c r="U327" s="437">
        <v>0</v>
      </c>
      <c r="V327" s="437">
        <v>0</v>
      </c>
      <c r="W327" s="437">
        <v>0</v>
      </c>
      <c r="X327" s="437">
        <v>0</v>
      </c>
      <c r="Y327" s="437"/>
      <c r="Z327" s="437">
        <v>0</v>
      </c>
      <c r="AA327" s="437"/>
      <c r="AB327" s="437"/>
      <c r="AC327" s="437">
        <v>0</v>
      </c>
      <c r="AD327" s="472"/>
      <c r="AE327" s="472"/>
      <c r="AF327" s="472"/>
      <c r="AG327" s="472"/>
      <c r="AH327" s="472"/>
      <c r="AI327" s="472"/>
      <c r="AJ327" s="472"/>
      <c r="AK327" s="472"/>
      <c r="AL327" s="472">
        <v>0</v>
      </c>
      <c r="AM327" s="472">
        <v>0</v>
      </c>
      <c r="AN327" s="544">
        <v>0</v>
      </c>
      <c r="AO327" s="544">
        <v>0</v>
      </c>
      <c r="AP327" s="544">
        <v>0</v>
      </c>
      <c r="AQ327" s="544">
        <v>0</v>
      </c>
      <c r="AR327" s="544">
        <v>0</v>
      </c>
      <c r="AS327" s="544">
        <v>0</v>
      </c>
      <c r="AT327" s="490">
        <f t="shared" si="228"/>
        <v>6000</v>
      </c>
      <c r="AW327" s="436"/>
      <c r="BC327" s="436"/>
      <c r="BD327" s="436"/>
      <c r="BE327" s="436"/>
      <c r="BF327" s="437"/>
      <c r="BG327" s="437"/>
      <c r="BH327" s="448"/>
      <c r="BI327" s="448"/>
      <c r="BJ327" s="448"/>
      <c r="BK327" s="448"/>
      <c r="BL327" s="448"/>
      <c r="BM327" s="448"/>
      <c r="BN327" s="448"/>
      <c r="BO327" s="448"/>
      <c r="BQ327" s="436"/>
    </row>
    <row r="328" spans="1:70" s="429" customFormat="1" ht="13.9" customHeight="1" x14ac:dyDescent="0.25">
      <c r="A328" s="437"/>
      <c r="B328" s="436">
        <v>1114</v>
      </c>
      <c r="C328" s="436" t="s">
        <v>611</v>
      </c>
      <c r="D328" s="436"/>
      <c r="E328" s="482" t="s">
        <v>366</v>
      </c>
      <c r="F328" s="482" t="s">
        <v>738</v>
      </c>
      <c r="G328" s="473">
        <v>45440</v>
      </c>
      <c r="H328" s="436" t="s">
        <v>128</v>
      </c>
      <c r="I328" s="472">
        <v>748092.41</v>
      </c>
      <c r="J328" s="472">
        <v>74892.41</v>
      </c>
      <c r="K328" s="472">
        <v>0</v>
      </c>
      <c r="L328" s="437">
        <v>0</v>
      </c>
      <c r="M328" s="437"/>
      <c r="N328" s="437">
        <v>0</v>
      </c>
      <c r="O328" s="437">
        <v>6000</v>
      </c>
      <c r="P328" s="437">
        <v>2650</v>
      </c>
      <c r="Q328" s="437">
        <v>2650</v>
      </c>
      <c r="R328" s="437">
        <v>2650</v>
      </c>
      <c r="S328" s="437">
        <v>2650</v>
      </c>
      <c r="T328" s="437"/>
      <c r="U328" s="437">
        <v>0</v>
      </c>
      <c r="V328" s="437">
        <v>0</v>
      </c>
      <c r="W328" s="437">
        <v>0</v>
      </c>
      <c r="X328" s="437">
        <v>0</v>
      </c>
      <c r="Y328" s="437"/>
      <c r="Z328" s="437">
        <v>0</v>
      </c>
      <c r="AA328" s="437"/>
      <c r="AB328" s="437"/>
      <c r="AC328" s="437">
        <v>0</v>
      </c>
      <c r="AD328" s="472"/>
      <c r="AE328" s="472"/>
      <c r="AF328" s="472"/>
      <c r="AG328" s="472"/>
      <c r="AH328" s="472"/>
      <c r="AI328" s="472"/>
      <c r="AJ328" s="472"/>
      <c r="AK328" s="472"/>
      <c r="AL328" s="472">
        <v>0</v>
      </c>
      <c r="AM328" s="472">
        <v>0</v>
      </c>
      <c r="AN328" s="544">
        <v>0</v>
      </c>
      <c r="AO328" s="544">
        <v>0</v>
      </c>
      <c r="AP328" s="544">
        <v>0</v>
      </c>
      <c r="AQ328" s="544">
        <v>0</v>
      </c>
      <c r="AR328" s="544">
        <v>0</v>
      </c>
      <c r="AS328" s="544">
        <v>0</v>
      </c>
      <c r="AT328" s="490">
        <f t="shared" si="228"/>
        <v>16600</v>
      </c>
      <c r="AW328" s="436"/>
      <c r="BC328" s="436"/>
      <c r="BD328" s="436"/>
      <c r="BE328" s="436"/>
      <c r="BF328" s="437"/>
      <c r="BG328" s="437"/>
      <c r="BH328" s="448"/>
      <c r="BI328" s="448"/>
      <c r="BJ328" s="448"/>
      <c r="BK328" s="448"/>
      <c r="BL328" s="448"/>
      <c r="BM328" s="448"/>
      <c r="BN328" s="448"/>
      <c r="BO328" s="448"/>
      <c r="BQ328" s="436"/>
    </row>
    <row r="329" spans="1:70" s="429" customFormat="1" ht="13.9" customHeight="1" x14ac:dyDescent="0.25">
      <c r="A329" s="437"/>
      <c r="B329" s="436">
        <v>1410</v>
      </c>
      <c r="C329" s="436" t="s">
        <v>175</v>
      </c>
      <c r="D329" s="436"/>
      <c r="E329" s="436" t="s">
        <v>383</v>
      </c>
      <c r="F329" s="482" t="s">
        <v>739</v>
      </c>
      <c r="G329" s="473">
        <v>45012</v>
      </c>
      <c r="H329" s="436" t="s">
        <v>128</v>
      </c>
      <c r="I329" s="472">
        <v>845100</v>
      </c>
      <c r="J329" s="472">
        <v>84600</v>
      </c>
      <c r="K329" s="472">
        <v>6000</v>
      </c>
      <c r="L329" s="437">
        <v>2200</v>
      </c>
      <c r="M329" s="437">
        <v>2200</v>
      </c>
      <c r="N329" s="437">
        <v>2200</v>
      </c>
      <c r="O329" s="437">
        <v>0</v>
      </c>
      <c r="P329" s="437">
        <v>2200</v>
      </c>
      <c r="Q329" s="437">
        <v>2200</v>
      </c>
      <c r="R329" s="437">
        <v>0</v>
      </c>
      <c r="S329" s="437">
        <v>0</v>
      </c>
      <c r="T329" s="437">
        <v>0</v>
      </c>
      <c r="U329" s="437">
        <v>0</v>
      </c>
      <c r="V329" s="437">
        <v>0</v>
      </c>
      <c r="W329" s="437">
        <v>0</v>
      </c>
      <c r="X329" s="437">
        <v>0</v>
      </c>
      <c r="Y329" s="437">
        <v>0</v>
      </c>
      <c r="Z329" s="437">
        <v>0</v>
      </c>
      <c r="AA329" s="437">
        <v>0</v>
      </c>
      <c r="AB329" s="437">
        <v>0</v>
      </c>
      <c r="AC329" s="437">
        <v>0</v>
      </c>
      <c r="AD329" s="472">
        <v>0</v>
      </c>
      <c r="AE329" s="472">
        <v>0</v>
      </c>
      <c r="AF329" s="472">
        <v>0</v>
      </c>
      <c r="AG329" s="472"/>
      <c r="AH329" s="472"/>
      <c r="AI329" s="472"/>
      <c r="AJ329" s="472"/>
      <c r="AK329" s="472"/>
      <c r="AL329" s="472">
        <v>0</v>
      </c>
      <c r="AM329" s="472">
        <v>0</v>
      </c>
      <c r="AN329" s="544">
        <v>0</v>
      </c>
      <c r="AO329" s="544">
        <v>0</v>
      </c>
      <c r="AP329" s="544">
        <v>0</v>
      </c>
      <c r="AQ329" s="544">
        <v>0</v>
      </c>
      <c r="AR329" s="544">
        <v>0</v>
      </c>
      <c r="AS329" s="544">
        <v>0</v>
      </c>
      <c r="AT329" s="490">
        <f t="shared" si="228"/>
        <v>17000</v>
      </c>
      <c r="AW329" s="436"/>
      <c r="BC329" s="436"/>
      <c r="BD329" s="436"/>
      <c r="BE329" s="436"/>
      <c r="BF329" s="437"/>
      <c r="BG329" s="437"/>
      <c r="BH329" s="448"/>
      <c r="BI329" s="448"/>
      <c r="BJ329" s="448"/>
      <c r="BK329" s="448"/>
      <c r="BL329" s="448"/>
      <c r="BM329" s="448"/>
      <c r="BN329" s="448"/>
      <c r="BO329" s="448"/>
      <c r="BQ329" s="436"/>
    </row>
    <row r="330" spans="1:70" s="429" customFormat="1" ht="13.9" customHeight="1" x14ac:dyDescent="0.25">
      <c r="A330" s="437"/>
      <c r="B330" s="436">
        <v>607</v>
      </c>
      <c r="C330" s="436" t="s">
        <v>465</v>
      </c>
      <c r="D330" s="436"/>
      <c r="E330" s="436" t="s">
        <v>366</v>
      </c>
      <c r="F330" s="482" t="s">
        <v>740</v>
      </c>
      <c r="G330" s="473">
        <v>45152</v>
      </c>
      <c r="H330" s="436" t="s">
        <v>128</v>
      </c>
      <c r="I330" s="472">
        <v>722900</v>
      </c>
      <c r="J330" s="472">
        <v>72300</v>
      </c>
      <c r="K330" s="472">
        <v>0</v>
      </c>
      <c r="L330" s="437">
        <v>0</v>
      </c>
      <c r="M330" s="437">
        <v>0</v>
      </c>
      <c r="N330" s="437">
        <v>0</v>
      </c>
      <c r="O330" s="437">
        <v>0</v>
      </c>
      <c r="P330" s="437">
        <v>6000</v>
      </c>
      <c r="Q330" s="437">
        <v>2652</v>
      </c>
      <c r="R330" s="437">
        <v>2652</v>
      </c>
      <c r="S330" s="437">
        <v>2652</v>
      </c>
      <c r="T330" s="437">
        <v>2652</v>
      </c>
      <c r="U330" s="437">
        <v>2652</v>
      </c>
      <c r="V330" s="437">
        <v>2652</v>
      </c>
      <c r="W330" s="437">
        <v>2652</v>
      </c>
      <c r="X330" s="437">
        <v>2652</v>
      </c>
      <c r="Y330" s="437">
        <v>2652</v>
      </c>
      <c r="Z330" s="437">
        <v>0</v>
      </c>
      <c r="AA330" s="437">
        <v>5304</v>
      </c>
      <c r="AB330" s="437">
        <v>2652</v>
      </c>
      <c r="AC330" s="437">
        <v>0</v>
      </c>
      <c r="AD330" s="472">
        <v>2652</v>
      </c>
      <c r="AE330" s="472">
        <v>0</v>
      </c>
      <c r="AF330" s="472">
        <v>0</v>
      </c>
      <c r="AG330" s="472">
        <v>0</v>
      </c>
      <c r="AH330" s="472">
        <v>0</v>
      </c>
      <c r="AI330" s="472">
        <v>0</v>
      </c>
      <c r="AJ330" s="472">
        <v>5000</v>
      </c>
      <c r="AK330" s="472">
        <v>5000</v>
      </c>
      <c r="AL330" s="472">
        <v>0</v>
      </c>
      <c r="AM330" s="472">
        <v>0</v>
      </c>
      <c r="AN330" s="544">
        <v>0</v>
      </c>
      <c r="AO330" s="544">
        <v>0</v>
      </c>
      <c r="AP330" s="544">
        <v>0</v>
      </c>
      <c r="AQ330" s="544">
        <v>0</v>
      </c>
      <c r="AR330" s="544">
        <v>0</v>
      </c>
      <c r="AS330" s="544">
        <v>0</v>
      </c>
      <c r="AT330" s="490">
        <f t="shared" si="228"/>
        <v>50476</v>
      </c>
      <c r="AW330" s="436"/>
      <c r="BC330" s="436"/>
      <c r="BD330" s="436"/>
      <c r="BE330" s="436"/>
      <c r="BF330" s="437"/>
      <c r="BG330" s="437"/>
      <c r="BH330" s="448"/>
      <c r="BI330" s="448"/>
      <c r="BJ330" s="448"/>
      <c r="BK330" s="448"/>
      <c r="BL330" s="448"/>
      <c r="BM330" s="448"/>
      <c r="BN330" s="448"/>
      <c r="BO330" s="448"/>
      <c r="BQ330" s="436"/>
    </row>
    <row r="331" spans="1:70" s="429" customFormat="1" ht="13.9" customHeight="1" x14ac:dyDescent="0.25">
      <c r="A331" s="472"/>
      <c r="B331" s="436">
        <v>418</v>
      </c>
      <c r="C331" s="436" t="s">
        <v>200</v>
      </c>
      <c r="D331" s="436" t="s">
        <v>741</v>
      </c>
      <c r="E331" s="436" t="s">
        <v>366</v>
      </c>
      <c r="F331" s="482" t="s">
        <v>742</v>
      </c>
      <c r="G331" s="473">
        <v>45240</v>
      </c>
      <c r="H331" s="436" t="s">
        <v>128</v>
      </c>
      <c r="I331" s="472">
        <v>720472.5</v>
      </c>
      <c r="J331" s="472">
        <v>72072.5</v>
      </c>
      <c r="K331" s="472">
        <v>0</v>
      </c>
      <c r="L331" s="437">
        <v>0</v>
      </c>
      <c r="M331" s="437">
        <v>0</v>
      </c>
      <c r="N331" s="437">
        <v>0</v>
      </c>
      <c r="O331" s="437">
        <v>0</v>
      </c>
      <c r="P331" s="437">
        <v>0</v>
      </c>
      <c r="Q331" s="437">
        <v>0</v>
      </c>
      <c r="R331" s="437">
        <v>0</v>
      </c>
      <c r="S331" s="437">
        <v>5500</v>
      </c>
      <c r="T331" s="437">
        <v>3026</v>
      </c>
      <c r="U331" s="437">
        <v>6052</v>
      </c>
      <c r="V331" s="437">
        <v>0</v>
      </c>
      <c r="W331" s="437">
        <v>3026</v>
      </c>
      <c r="X331" s="437">
        <v>3026</v>
      </c>
      <c r="Y331" s="437">
        <v>0</v>
      </c>
      <c r="Z331" s="437">
        <v>3026</v>
      </c>
      <c r="AA331" s="437">
        <v>6052</v>
      </c>
      <c r="AB331" s="437">
        <v>3026</v>
      </c>
      <c r="AC331" s="437">
        <v>0</v>
      </c>
      <c r="AD331" s="472">
        <v>0</v>
      </c>
      <c r="AE331" s="472">
        <v>0</v>
      </c>
      <c r="AF331" s="472">
        <f>3026+3026</f>
        <v>6052</v>
      </c>
      <c r="AG331" s="472">
        <v>0</v>
      </c>
      <c r="AH331" s="472">
        <v>0</v>
      </c>
      <c r="AI331" s="472">
        <v>0</v>
      </c>
      <c r="AJ331" s="472">
        <v>0</v>
      </c>
      <c r="AK331" s="472">
        <v>0</v>
      </c>
      <c r="AL331" s="472">
        <v>0</v>
      </c>
      <c r="AM331" s="472">
        <v>0</v>
      </c>
      <c r="AN331" s="544">
        <v>0</v>
      </c>
      <c r="AO331" s="544">
        <v>0</v>
      </c>
      <c r="AP331" s="544">
        <v>0</v>
      </c>
      <c r="AQ331" s="544">
        <v>0</v>
      </c>
      <c r="AR331" s="544">
        <v>0</v>
      </c>
      <c r="AS331" s="544">
        <v>0</v>
      </c>
      <c r="AT331" s="490">
        <f t="shared" si="228"/>
        <v>38786</v>
      </c>
      <c r="AW331" s="436"/>
      <c r="BC331" s="436"/>
      <c r="BD331" s="436"/>
      <c r="BE331" s="436"/>
      <c r="BF331" s="437"/>
      <c r="BG331" s="437"/>
      <c r="BH331" s="448"/>
      <c r="BI331" s="448"/>
      <c r="BJ331" s="448"/>
      <c r="BK331" s="448"/>
      <c r="BL331" s="448"/>
      <c r="BM331" s="448"/>
      <c r="BN331" s="448"/>
      <c r="BO331" s="448"/>
      <c r="BQ331" s="436"/>
    </row>
    <row r="332" spans="1:70" s="429" customFormat="1" ht="13.9" customHeight="1" x14ac:dyDescent="0.25">
      <c r="A332" s="472"/>
      <c r="B332" s="436">
        <v>503</v>
      </c>
      <c r="C332" s="436" t="s">
        <v>400</v>
      </c>
      <c r="D332" s="436"/>
      <c r="E332" s="436" t="s">
        <v>366</v>
      </c>
      <c r="F332" s="482" t="s">
        <v>743</v>
      </c>
      <c r="G332" s="473">
        <v>45565</v>
      </c>
      <c r="H332" s="436" t="s">
        <v>128</v>
      </c>
      <c r="I332" s="472">
        <v>1036610</v>
      </c>
      <c r="J332" s="472">
        <v>103710</v>
      </c>
      <c r="K332" s="472">
        <v>0</v>
      </c>
      <c r="L332" s="437">
        <v>0</v>
      </c>
      <c r="M332" s="437">
        <v>0</v>
      </c>
      <c r="N332" s="437">
        <v>0</v>
      </c>
      <c r="O332" s="437">
        <v>0</v>
      </c>
      <c r="P332" s="437">
        <v>0</v>
      </c>
      <c r="Q332" s="437">
        <v>0</v>
      </c>
      <c r="R332" s="437">
        <v>0</v>
      </c>
      <c r="S332" s="437">
        <v>0</v>
      </c>
      <c r="T332" s="437">
        <v>0</v>
      </c>
      <c r="U332" s="437">
        <v>0</v>
      </c>
      <c r="V332" s="437">
        <v>0</v>
      </c>
      <c r="W332" s="437">
        <v>0</v>
      </c>
      <c r="X332" s="437">
        <v>0</v>
      </c>
      <c r="Y332" s="437">
        <v>0</v>
      </c>
      <c r="Z332" s="437">
        <v>0</v>
      </c>
      <c r="AA332" s="437">
        <v>0</v>
      </c>
      <c r="AB332" s="437">
        <v>0</v>
      </c>
      <c r="AC332" s="437">
        <v>7000</v>
      </c>
      <c r="AD332" s="472">
        <v>6447</v>
      </c>
      <c r="AE332" s="472">
        <v>6447</v>
      </c>
      <c r="AF332" s="472">
        <v>6447</v>
      </c>
      <c r="AG332" s="472">
        <v>0</v>
      </c>
      <c r="AH332" s="472">
        <v>0</v>
      </c>
      <c r="AI332" s="472">
        <v>0</v>
      </c>
      <c r="AJ332" s="472">
        <v>0</v>
      </c>
      <c r="AK332" s="472">
        <v>0</v>
      </c>
      <c r="AL332" s="472">
        <v>0</v>
      </c>
      <c r="AM332" s="472">
        <v>0</v>
      </c>
      <c r="AN332" s="544">
        <v>0</v>
      </c>
      <c r="AO332" s="544">
        <v>0</v>
      </c>
      <c r="AP332" s="544">
        <v>0</v>
      </c>
      <c r="AQ332" s="544">
        <v>0</v>
      </c>
      <c r="AR332" s="544">
        <v>0</v>
      </c>
      <c r="AS332" s="544">
        <v>0</v>
      </c>
      <c r="AT332" s="490">
        <f t="shared" si="228"/>
        <v>26341</v>
      </c>
      <c r="AW332" s="436"/>
      <c r="BC332" s="436"/>
      <c r="BD332" s="436"/>
      <c r="BE332" s="436"/>
      <c r="BF332" s="437"/>
      <c r="BG332" s="437"/>
      <c r="BH332" s="448"/>
      <c r="BI332" s="448"/>
      <c r="BJ332" s="448"/>
      <c r="BK332" s="448"/>
      <c r="BL332" s="448"/>
      <c r="BM332" s="448"/>
      <c r="BN332" s="448"/>
      <c r="BO332" s="448"/>
      <c r="BQ332" s="436"/>
      <c r="BR332" s="429" t="s">
        <v>744</v>
      </c>
    </row>
    <row r="333" spans="1:70" s="429" customFormat="1" ht="13.9" customHeight="1" x14ac:dyDescent="0.25">
      <c r="A333" s="472"/>
      <c r="B333" s="436">
        <v>504</v>
      </c>
      <c r="C333" s="436" t="s">
        <v>175</v>
      </c>
      <c r="D333" s="436" t="s">
        <v>741</v>
      </c>
      <c r="E333" s="436" t="s">
        <v>366</v>
      </c>
      <c r="F333" s="482" t="s">
        <v>745</v>
      </c>
      <c r="G333" s="473">
        <v>45420</v>
      </c>
      <c r="H333" s="436" t="s">
        <v>128</v>
      </c>
      <c r="I333" s="472">
        <v>887400</v>
      </c>
      <c r="J333" s="472">
        <v>88800</v>
      </c>
      <c r="K333" s="472">
        <v>0</v>
      </c>
      <c r="L333" s="437">
        <v>0</v>
      </c>
      <c r="M333" s="437">
        <v>0</v>
      </c>
      <c r="N333" s="437">
        <v>0</v>
      </c>
      <c r="O333" s="437">
        <v>0</v>
      </c>
      <c r="P333" s="437">
        <v>0</v>
      </c>
      <c r="Q333" s="437">
        <v>0</v>
      </c>
      <c r="R333" s="437">
        <v>0</v>
      </c>
      <c r="S333" s="437">
        <v>0</v>
      </c>
      <c r="T333" s="437">
        <v>0</v>
      </c>
      <c r="U333" s="437">
        <v>0</v>
      </c>
      <c r="V333" s="437">
        <v>0</v>
      </c>
      <c r="W333" s="437">
        <v>0</v>
      </c>
      <c r="X333" s="437">
        <v>0</v>
      </c>
      <c r="Y333" s="437">
        <v>8000</v>
      </c>
      <c r="Z333" s="437">
        <v>4253</v>
      </c>
      <c r="AA333" s="437">
        <v>4253</v>
      </c>
      <c r="AB333" s="437">
        <v>4253</v>
      </c>
      <c r="AC333" s="437">
        <v>0</v>
      </c>
      <c r="AD333" s="472">
        <v>0</v>
      </c>
      <c r="AE333" s="472">
        <v>0</v>
      </c>
      <c r="AF333" s="472">
        <v>0</v>
      </c>
      <c r="AG333" s="472">
        <v>0</v>
      </c>
      <c r="AH333" s="472">
        <v>0</v>
      </c>
      <c r="AI333" s="472">
        <v>0</v>
      </c>
      <c r="AJ333" s="472">
        <v>0</v>
      </c>
      <c r="AK333" s="472">
        <v>0</v>
      </c>
      <c r="AL333" s="472">
        <v>0</v>
      </c>
      <c r="AM333" s="472">
        <v>0</v>
      </c>
      <c r="AN333" s="544">
        <v>0</v>
      </c>
      <c r="AO333" s="544">
        <v>0</v>
      </c>
      <c r="AP333" s="544">
        <v>0</v>
      </c>
      <c r="AQ333" s="544">
        <v>0</v>
      </c>
      <c r="AR333" s="544">
        <v>0</v>
      </c>
      <c r="AS333" s="544">
        <v>0</v>
      </c>
      <c r="AT333" s="490">
        <f t="shared" si="228"/>
        <v>20759</v>
      </c>
      <c r="AW333" s="436"/>
      <c r="BC333" s="436"/>
      <c r="BD333" s="436"/>
      <c r="BE333" s="436"/>
      <c r="BF333" s="437"/>
      <c r="BG333" s="437"/>
      <c r="BH333" s="448"/>
      <c r="BI333" s="448"/>
      <c r="BJ333" s="448"/>
      <c r="BK333" s="448"/>
      <c r="BL333" s="448"/>
      <c r="BM333" s="448"/>
      <c r="BN333" s="448"/>
      <c r="BO333" s="448"/>
      <c r="BQ333" s="436"/>
      <c r="BR333" s="429" t="s">
        <v>744</v>
      </c>
    </row>
    <row r="334" spans="1:70" s="429" customFormat="1" ht="13.9" customHeight="1" x14ac:dyDescent="0.25">
      <c r="A334" s="472"/>
      <c r="B334" s="436">
        <v>602</v>
      </c>
      <c r="C334" s="436" t="s">
        <v>134</v>
      </c>
      <c r="D334" s="436"/>
      <c r="E334" s="436" t="s">
        <v>366</v>
      </c>
      <c r="F334" s="482" t="s">
        <v>746</v>
      </c>
      <c r="G334" s="473">
        <v>45610</v>
      </c>
      <c r="H334" s="436" t="s">
        <v>137</v>
      </c>
      <c r="I334" s="472">
        <v>1529194.3266091</v>
      </c>
      <c r="J334" s="472">
        <f>+I334*0.1</f>
        <v>152919.43266091001</v>
      </c>
      <c r="K334" s="472">
        <v>0</v>
      </c>
      <c r="L334" s="437">
        <v>0</v>
      </c>
      <c r="M334" s="437">
        <v>0</v>
      </c>
      <c r="N334" s="437">
        <v>0</v>
      </c>
      <c r="O334" s="437">
        <v>0</v>
      </c>
      <c r="P334" s="437">
        <v>0</v>
      </c>
      <c r="Q334" s="437">
        <v>0</v>
      </c>
      <c r="R334" s="437">
        <v>0</v>
      </c>
      <c r="S334" s="437">
        <v>0</v>
      </c>
      <c r="T334" s="437">
        <v>0</v>
      </c>
      <c r="U334" s="437">
        <v>0</v>
      </c>
      <c r="V334" s="437">
        <v>0</v>
      </c>
      <c r="W334" s="437">
        <v>0</v>
      </c>
      <c r="X334" s="437">
        <v>0</v>
      </c>
      <c r="Y334" s="437">
        <v>0</v>
      </c>
      <c r="Z334" s="437">
        <v>0</v>
      </c>
      <c r="AA334" s="437">
        <v>0</v>
      </c>
      <c r="AB334" s="437">
        <v>0</v>
      </c>
      <c r="AC334" s="437">
        <v>0</v>
      </c>
      <c r="AD334" s="472">
        <v>0</v>
      </c>
      <c r="AE334" s="472">
        <v>5000</v>
      </c>
      <c r="AF334" s="472">
        <v>0</v>
      </c>
      <c r="AG334" s="472">
        <v>0</v>
      </c>
      <c r="AH334" s="472">
        <v>0</v>
      </c>
      <c r="AI334" s="472">
        <v>0</v>
      </c>
      <c r="AJ334" s="472">
        <v>0</v>
      </c>
      <c r="AK334" s="472">
        <v>0</v>
      </c>
      <c r="AL334" s="472">
        <v>0</v>
      </c>
      <c r="AM334" s="472">
        <v>0</v>
      </c>
      <c r="AN334" s="544">
        <v>0</v>
      </c>
      <c r="AO334" s="544">
        <v>0</v>
      </c>
      <c r="AP334" s="544">
        <v>0</v>
      </c>
      <c r="AQ334" s="544">
        <v>0</v>
      </c>
      <c r="AR334" s="544">
        <v>0</v>
      </c>
      <c r="AS334" s="544">
        <v>0</v>
      </c>
      <c r="AT334" s="490">
        <f t="shared" si="228"/>
        <v>5000</v>
      </c>
      <c r="AW334" s="436"/>
      <c r="BC334" s="436"/>
      <c r="BD334" s="436"/>
      <c r="BE334" s="436"/>
      <c r="BF334" s="437"/>
      <c r="BG334" s="437"/>
      <c r="BH334" s="448"/>
      <c r="BI334" s="448"/>
      <c r="BJ334" s="448"/>
      <c r="BK334" s="448"/>
      <c r="BL334" s="448"/>
      <c r="BM334" s="448"/>
      <c r="BN334" s="448"/>
      <c r="BO334" s="448"/>
      <c r="BQ334" s="436"/>
      <c r="BR334" s="429" t="s">
        <v>744</v>
      </c>
    </row>
    <row r="335" spans="1:70" s="429" customFormat="1" ht="13.9" customHeight="1" x14ac:dyDescent="0.25">
      <c r="A335" s="472"/>
      <c r="B335" s="436">
        <v>1305</v>
      </c>
      <c r="C335" s="436" t="s">
        <v>192</v>
      </c>
      <c r="D335" s="436"/>
      <c r="E335" s="436" t="s">
        <v>366</v>
      </c>
      <c r="F335" s="482" t="s">
        <v>747</v>
      </c>
      <c r="G335" s="473">
        <v>45008</v>
      </c>
      <c r="H335" s="436" t="s">
        <v>128</v>
      </c>
      <c r="I335" s="472">
        <v>663200</v>
      </c>
      <c r="J335" s="472">
        <v>66400</v>
      </c>
      <c r="K335" s="472">
        <v>4400</v>
      </c>
      <c r="L335" s="437">
        <v>1600</v>
      </c>
      <c r="M335" s="437">
        <v>1723</v>
      </c>
      <c r="N335" s="437">
        <v>0</v>
      </c>
      <c r="O335" s="437">
        <v>3446</v>
      </c>
      <c r="P335" s="437">
        <v>1723</v>
      </c>
      <c r="Q335" s="437">
        <v>1723</v>
      </c>
      <c r="R335" s="437">
        <v>1723</v>
      </c>
      <c r="S335" s="437">
        <v>1723</v>
      </c>
      <c r="T335" s="437">
        <v>0</v>
      </c>
      <c r="U335" s="437">
        <v>3446</v>
      </c>
      <c r="V335" s="437">
        <v>1723</v>
      </c>
      <c r="W335" s="437">
        <v>1723</v>
      </c>
      <c r="X335" s="437">
        <v>0</v>
      </c>
      <c r="Y335" s="437">
        <v>1723</v>
      </c>
      <c r="Z335" s="437">
        <v>1723</v>
      </c>
      <c r="AA335" s="437">
        <v>0</v>
      </c>
      <c r="AB335" s="437">
        <v>0</v>
      </c>
      <c r="AC335" s="437">
        <v>0</v>
      </c>
      <c r="AD335" s="472">
        <v>0</v>
      </c>
      <c r="AE335" s="472">
        <v>3446</v>
      </c>
      <c r="AF335" s="472">
        <v>0</v>
      </c>
      <c r="AG335" s="472">
        <v>0</v>
      </c>
      <c r="AH335" s="472">
        <v>0</v>
      </c>
      <c r="AI335" s="472">
        <v>0</v>
      </c>
      <c r="AJ335" s="472">
        <v>0</v>
      </c>
      <c r="AK335" s="472">
        <v>0</v>
      </c>
      <c r="AL335" s="472">
        <v>0</v>
      </c>
      <c r="AM335" s="472">
        <v>0</v>
      </c>
      <c r="AN335" s="544">
        <v>0</v>
      </c>
      <c r="AO335" s="544">
        <v>0</v>
      </c>
      <c r="AP335" s="544">
        <v>0</v>
      </c>
      <c r="AQ335" s="544">
        <v>0</v>
      </c>
      <c r="AR335" s="544">
        <v>0</v>
      </c>
      <c r="AS335" s="544">
        <v>0</v>
      </c>
      <c r="AT335" s="490">
        <f t="shared" si="228"/>
        <v>31845</v>
      </c>
      <c r="AW335" s="436"/>
      <c r="BC335" s="436"/>
      <c r="BD335" s="436"/>
      <c r="BE335" s="436"/>
      <c r="BF335" s="437"/>
      <c r="BG335" s="437"/>
      <c r="BH335" s="448"/>
      <c r="BI335" s="448"/>
      <c r="BJ335" s="448"/>
      <c r="BK335" s="448"/>
      <c r="BL335" s="448"/>
      <c r="BM335" s="448"/>
      <c r="BN335" s="448"/>
      <c r="BO335" s="448"/>
      <c r="BQ335" s="436"/>
      <c r="BR335" s="429" t="s">
        <v>744</v>
      </c>
    </row>
    <row r="336" spans="1:70" s="429" customFormat="1" ht="13.9" customHeight="1" x14ac:dyDescent="0.25">
      <c r="A336" s="472"/>
      <c r="B336" s="436">
        <v>315</v>
      </c>
      <c r="C336" s="436" t="s">
        <v>125</v>
      </c>
      <c r="D336" s="436" t="s">
        <v>741</v>
      </c>
      <c r="E336" s="436" t="s">
        <v>126</v>
      </c>
      <c r="F336" s="482" t="s">
        <v>127</v>
      </c>
      <c r="G336" s="473">
        <v>45752</v>
      </c>
      <c r="H336" s="436" t="s">
        <v>748</v>
      </c>
      <c r="I336" s="472">
        <v>1543626.9723517401</v>
      </c>
      <c r="J336" s="472">
        <v>154426.97</v>
      </c>
      <c r="K336" s="472">
        <v>0</v>
      </c>
      <c r="L336" s="437">
        <v>0</v>
      </c>
      <c r="M336" s="437">
        <v>0</v>
      </c>
      <c r="N336" s="437">
        <v>0</v>
      </c>
      <c r="O336" s="437">
        <v>0</v>
      </c>
      <c r="P336" s="437">
        <v>0</v>
      </c>
      <c r="Q336" s="437">
        <v>0</v>
      </c>
      <c r="R336" s="437">
        <v>0</v>
      </c>
      <c r="S336" s="437">
        <v>0</v>
      </c>
      <c r="T336" s="437">
        <v>0</v>
      </c>
      <c r="U336" s="437">
        <v>0</v>
      </c>
      <c r="V336" s="437">
        <v>0</v>
      </c>
      <c r="W336" s="437">
        <v>0</v>
      </c>
      <c r="X336" s="437">
        <v>0</v>
      </c>
      <c r="Y336" s="437">
        <v>0</v>
      </c>
      <c r="Z336" s="437">
        <v>0</v>
      </c>
      <c r="AA336" s="437">
        <v>0</v>
      </c>
      <c r="AB336" s="437">
        <v>0</v>
      </c>
      <c r="AC336" s="437">
        <v>0</v>
      </c>
      <c r="AD336" s="472">
        <v>0</v>
      </c>
      <c r="AE336" s="472">
        <v>0</v>
      </c>
      <c r="AF336" s="472">
        <v>0</v>
      </c>
      <c r="AG336" s="472">
        <v>0</v>
      </c>
      <c r="AH336" s="472">
        <v>0</v>
      </c>
      <c r="AI336" s="472">
        <v>0</v>
      </c>
      <c r="AJ336" s="472">
        <v>10000</v>
      </c>
      <c r="AK336" s="472"/>
      <c r="AL336" s="472">
        <v>0</v>
      </c>
      <c r="AM336" s="472">
        <v>0</v>
      </c>
      <c r="AN336" s="544">
        <v>0</v>
      </c>
      <c r="AO336" s="544">
        <v>0</v>
      </c>
      <c r="AP336" s="544">
        <v>0</v>
      </c>
      <c r="AQ336" s="544">
        <v>0</v>
      </c>
      <c r="AR336" s="544">
        <v>0</v>
      </c>
      <c r="AS336" s="544">
        <v>0</v>
      </c>
      <c r="AT336" s="490">
        <f t="shared" si="228"/>
        <v>10000</v>
      </c>
      <c r="AW336" s="436"/>
      <c r="BC336" s="436"/>
      <c r="BD336" s="436"/>
      <c r="BE336" s="436"/>
      <c r="BF336" s="437"/>
      <c r="BG336" s="437"/>
      <c r="BH336" s="448"/>
      <c r="BI336" s="448"/>
      <c r="BJ336" s="448"/>
      <c r="BK336" s="448"/>
      <c r="BL336" s="448"/>
      <c r="BM336" s="448"/>
      <c r="BN336" s="448"/>
      <c r="BO336" s="448"/>
      <c r="BQ336" s="436"/>
    </row>
    <row r="337" spans="1:76" s="429" customFormat="1" ht="13.9" customHeight="1" x14ac:dyDescent="0.25">
      <c r="A337" s="472"/>
      <c r="B337" s="436">
        <v>405</v>
      </c>
      <c r="C337" s="436" t="s">
        <v>391</v>
      </c>
      <c r="D337" s="436" t="s">
        <v>749</v>
      </c>
      <c r="E337" s="436" t="s">
        <v>366</v>
      </c>
      <c r="F337" s="482" t="s">
        <v>750</v>
      </c>
      <c r="G337" s="473">
        <v>45731</v>
      </c>
      <c r="H337" s="436" t="s">
        <v>137</v>
      </c>
      <c r="I337" s="472">
        <v>1112465.60916772</v>
      </c>
      <c r="J337" s="472">
        <v>111265.61</v>
      </c>
      <c r="K337" s="472">
        <v>0</v>
      </c>
      <c r="L337" s="437">
        <v>0</v>
      </c>
      <c r="M337" s="437">
        <v>0</v>
      </c>
      <c r="N337" s="437">
        <v>0</v>
      </c>
      <c r="O337" s="437">
        <v>0</v>
      </c>
      <c r="P337" s="437">
        <v>0</v>
      </c>
      <c r="Q337" s="437">
        <v>0</v>
      </c>
      <c r="R337" s="437">
        <v>0</v>
      </c>
      <c r="S337" s="437">
        <v>0</v>
      </c>
      <c r="T337" s="437">
        <v>0</v>
      </c>
      <c r="U337" s="437">
        <v>0</v>
      </c>
      <c r="V337" s="437">
        <v>0</v>
      </c>
      <c r="W337" s="437">
        <v>0</v>
      </c>
      <c r="X337" s="437">
        <v>0</v>
      </c>
      <c r="Y337" s="437">
        <v>0</v>
      </c>
      <c r="Z337" s="437">
        <v>0</v>
      </c>
      <c r="AA337" s="437">
        <v>0</v>
      </c>
      <c r="AB337" s="437">
        <v>0</v>
      </c>
      <c r="AC337" s="437">
        <v>0</v>
      </c>
      <c r="AD337" s="472">
        <v>0</v>
      </c>
      <c r="AE337" s="472">
        <v>0</v>
      </c>
      <c r="AF337" s="472">
        <v>0</v>
      </c>
      <c r="AG337" s="472">
        <v>0</v>
      </c>
      <c r="AH337" s="472">
        <v>0</v>
      </c>
      <c r="AI337" s="472">
        <v>10000</v>
      </c>
      <c r="AJ337" s="472">
        <v>5000</v>
      </c>
      <c r="AK337" s="472"/>
      <c r="AL337" s="472">
        <v>0</v>
      </c>
      <c r="AM337" s="472">
        <v>0</v>
      </c>
      <c r="AN337" s="544">
        <v>0</v>
      </c>
      <c r="AO337" s="544">
        <v>0</v>
      </c>
      <c r="AP337" s="544">
        <v>0</v>
      </c>
      <c r="AQ337" s="544">
        <v>0</v>
      </c>
      <c r="AR337" s="544">
        <v>0</v>
      </c>
      <c r="AS337" s="544">
        <v>0</v>
      </c>
      <c r="AT337" s="490">
        <f t="shared" si="228"/>
        <v>15000</v>
      </c>
      <c r="AW337" s="436"/>
      <c r="BC337" s="436"/>
      <c r="BD337" s="436"/>
      <c r="BE337" s="436"/>
      <c r="BF337" s="437"/>
      <c r="BG337" s="437"/>
      <c r="BH337" s="448"/>
      <c r="BI337" s="448"/>
      <c r="BJ337" s="448"/>
      <c r="BK337" s="448"/>
      <c r="BL337" s="448"/>
      <c r="BM337" s="448"/>
      <c r="BN337" s="448"/>
      <c r="BO337" s="448"/>
      <c r="BQ337" s="436"/>
      <c r="BR337" s="429" t="s">
        <v>751</v>
      </c>
    </row>
    <row r="338" spans="1:76" s="429" customFormat="1" ht="13.5" x14ac:dyDescent="0.25">
      <c r="A338" s="472"/>
      <c r="B338" s="436">
        <v>1108</v>
      </c>
      <c r="C338" s="436" t="s">
        <v>467</v>
      </c>
      <c r="D338" s="436" t="s">
        <v>749</v>
      </c>
      <c r="E338" s="436" t="s">
        <v>383</v>
      </c>
      <c r="F338" s="482" t="s">
        <v>605</v>
      </c>
      <c r="G338" s="473">
        <v>45013</v>
      </c>
      <c r="H338" s="436" t="s">
        <v>128</v>
      </c>
      <c r="I338" s="472">
        <v>1100438.98</v>
      </c>
      <c r="J338" s="472">
        <v>110138.98</v>
      </c>
      <c r="K338" s="472">
        <v>6000</v>
      </c>
      <c r="L338" s="437">
        <v>0</v>
      </c>
      <c r="M338" s="437">
        <v>0</v>
      </c>
      <c r="N338" s="437">
        <v>0</v>
      </c>
      <c r="O338" s="437">
        <v>0</v>
      </c>
      <c r="P338" s="437">
        <v>0</v>
      </c>
      <c r="Q338" s="437">
        <v>0</v>
      </c>
      <c r="R338" s="437">
        <v>0</v>
      </c>
      <c r="S338" s="437">
        <v>0</v>
      </c>
      <c r="T338" s="437">
        <v>0</v>
      </c>
      <c r="U338" s="437">
        <v>0</v>
      </c>
      <c r="V338" s="437">
        <v>0</v>
      </c>
      <c r="W338" s="437">
        <v>0</v>
      </c>
      <c r="X338" s="437">
        <v>0</v>
      </c>
      <c r="Y338" s="437">
        <v>15000</v>
      </c>
      <c r="Z338" s="437">
        <v>0</v>
      </c>
      <c r="AA338" s="437">
        <v>0</v>
      </c>
      <c r="AB338" s="437">
        <v>0</v>
      </c>
      <c r="AC338" s="437">
        <v>0</v>
      </c>
      <c r="AD338" s="472">
        <v>0</v>
      </c>
      <c r="AE338" s="472">
        <v>0</v>
      </c>
      <c r="AF338" s="472">
        <v>0</v>
      </c>
      <c r="AG338" s="472">
        <v>0</v>
      </c>
      <c r="AH338" s="472">
        <v>0</v>
      </c>
      <c r="AI338" s="472">
        <v>0</v>
      </c>
      <c r="AJ338" s="472">
        <v>0</v>
      </c>
      <c r="AK338" s="472"/>
      <c r="AL338" s="472">
        <v>0</v>
      </c>
      <c r="AM338" s="472">
        <v>0</v>
      </c>
      <c r="AN338" s="544">
        <v>0</v>
      </c>
      <c r="AO338" s="544">
        <v>0</v>
      </c>
      <c r="AP338" s="544">
        <v>0</v>
      </c>
      <c r="AQ338" s="544">
        <v>0</v>
      </c>
      <c r="AR338" s="544">
        <v>0</v>
      </c>
      <c r="AS338" s="544">
        <v>0</v>
      </c>
      <c r="AT338" s="490">
        <f t="shared" si="228"/>
        <v>21000</v>
      </c>
      <c r="AW338" s="436"/>
      <c r="BC338" s="436"/>
      <c r="BD338" s="436"/>
      <c r="BE338" s="436"/>
      <c r="BF338" s="437"/>
      <c r="BG338" s="437"/>
      <c r="BH338" s="448"/>
      <c r="BI338" s="448"/>
      <c r="BJ338" s="448"/>
      <c r="BK338" s="448"/>
      <c r="BL338" s="448"/>
      <c r="BM338" s="448"/>
      <c r="BN338" s="448"/>
      <c r="BO338" s="448"/>
      <c r="BQ338" s="436"/>
      <c r="BR338" s="429" t="s">
        <v>751</v>
      </c>
    </row>
    <row r="339" spans="1:76" s="429" customFormat="1" ht="13.9" customHeight="1" x14ac:dyDescent="0.25">
      <c r="A339" s="472"/>
      <c r="B339" s="436">
        <v>1020</v>
      </c>
      <c r="C339" s="436" t="s">
        <v>186</v>
      </c>
      <c r="D339" s="436" t="s">
        <v>752</v>
      </c>
      <c r="E339" s="436" t="s">
        <v>366</v>
      </c>
      <c r="F339" s="482" t="s">
        <v>753</v>
      </c>
      <c r="G339" s="473">
        <v>45714</v>
      </c>
      <c r="H339" s="436" t="s">
        <v>137</v>
      </c>
      <c r="I339" s="472">
        <f>903785.86+356211.52</f>
        <v>1259997.3799999999</v>
      </c>
      <c r="J339" s="472">
        <v>125997.37</v>
      </c>
      <c r="K339" s="472">
        <v>0</v>
      </c>
      <c r="L339" s="437">
        <v>0</v>
      </c>
      <c r="M339" s="437">
        <v>0</v>
      </c>
      <c r="N339" s="437">
        <v>0</v>
      </c>
      <c r="O339" s="437">
        <v>0</v>
      </c>
      <c r="P339" s="437">
        <v>0</v>
      </c>
      <c r="Q339" s="437">
        <v>0</v>
      </c>
      <c r="R339" s="437">
        <v>0</v>
      </c>
      <c r="S339" s="437">
        <v>0</v>
      </c>
      <c r="T339" s="437">
        <v>0</v>
      </c>
      <c r="U339" s="437">
        <v>0</v>
      </c>
      <c r="V339" s="437">
        <v>0</v>
      </c>
      <c r="W339" s="437">
        <v>0</v>
      </c>
      <c r="X339" s="437">
        <v>0</v>
      </c>
      <c r="Y339" s="437">
        <v>0</v>
      </c>
      <c r="Z339" s="437">
        <v>0</v>
      </c>
      <c r="AA339" s="437">
        <v>0</v>
      </c>
      <c r="AB339" s="437">
        <v>0</v>
      </c>
      <c r="AC339" s="437">
        <v>0</v>
      </c>
      <c r="AD339" s="472">
        <v>0</v>
      </c>
      <c r="AE339" s="472">
        <v>0</v>
      </c>
      <c r="AF339" s="472">
        <v>0</v>
      </c>
      <c r="AG339" s="472">
        <v>0</v>
      </c>
      <c r="AH339" s="472">
        <v>3000</v>
      </c>
      <c r="AI339" s="472">
        <v>7000</v>
      </c>
      <c r="AJ339" s="472">
        <v>0</v>
      </c>
      <c r="AK339" s="472"/>
      <c r="AL339" s="472">
        <v>0</v>
      </c>
      <c r="AM339" s="472">
        <v>0</v>
      </c>
      <c r="AN339" s="544">
        <v>0</v>
      </c>
      <c r="AO339" s="544">
        <v>0</v>
      </c>
      <c r="AP339" s="544">
        <v>0</v>
      </c>
      <c r="AQ339" s="544">
        <v>0</v>
      </c>
      <c r="AR339" s="544">
        <v>0</v>
      </c>
      <c r="AS339" s="544">
        <v>0</v>
      </c>
      <c r="AT339" s="490">
        <f t="shared" si="228"/>
        <v>10000</v>
      </c>
      <c r="AW339" s="436"/>
      <c r="BC339" s="436"/>
      <c r="BD339" s="436"/>
      <c r="BE339" s="436"/>
      <c r="BF339" s="437"/>
      <c r="BG339" s="437"/>
      <c r="BH339" s="448"/>
      <c r="BI339" s="448"/>
      <c r="BJ339" s="448"/>
      <c r="BK339" s="448"/>
      <c r="BL339" s="448"/>
      <c r="BM339" s="448"/>
      <c r="BN339" s="448"/>
      <c r="BO339" s="448"/>
      <c r="BQ339" s="436"/>
      <c r="BR339" s="429" t="s">
        <v>751</v>
      </c>
    </row>
    <row r="340" spans="1:76" s="429" customFormat="1" ht="13.9" customHeight="1" x14ac:dyDescent="0.25">
      <c r="A340" s="472"/>
      <c r="B340" s="436">
        <v>1318</v>
      </c>
      <c r="C340" s="436" t="s">
        <v>619</v>
      </c>
      <c r="D340" s="436" t="s">
        <v>749</v>
      </c>
      <c r="E340" s="436" t="s">
        <v>366</v>
      </c>
      <c r="F340" s="482" t="s">
        <v>754</v>
      </c>
      <c r="G340" s="473">
        <v>45616</v>
      </c>
      <c r="H340" s="436" t="s">
        <v>128</v>
      </c>
      <c r="I340" s="472">
        <f>969007.88+381917.65</f>
        <v>1350925.53</v>
      </c>
      <c r="J340" s="472">
        <v>135125.53</v>
      </c>
      <c r="K340" s="472">
        <v>0</v>
      </c>
      <c r="L340" s="437">
        <v>0</v>
      </c>
      <c r="M340" s="437">
        <v>0</v>
      </c>
      <c r="N340" s="437">
        <v>0</v>
      </c>
      <c r="O340" s="437">
        <v>0</v>
      </c>
      <c r="P340" s="437">
        <v>0</v>
      </c>
      <c r="Q340" s="437">
        <v>0</v>
      </c>
      <c r="R340" s="437">
        <v>0</v>
      </c>
      <c r="S340" s="437">
        <v>0</v>
      </c>
      <c r="T340" s="437">
        <v>0</v>
      </c>
      <c r="U340" s="437">
        <v>0</v>
      </c>
      <c r="V340" s="437">
        <v>0</v>
      </c>
      <c r="W340" s="437">
        <v>0</v>
      </c>
      <c r="X340" s="437">
        <v>0</v>
      </c>
      <c r="Y340" s="437">
        <v>0</v>
      </c>
      <c r="Z340" s="437">
        <v>0</v>
      </c>
      <c r="AA340" s="437">
        <v>0</v>
      </c>
      <c r="AB340" s="437">
        <v>0</v>
      </c>
      <c r="AC340" s="437">
        <v>0</v>
      </c>
      <c r="AD340" s="472">
        <v>0</v>
      </c>
      <c r="AE340" s="472">
        <v>5000</v>
      </c>
      <c r="AF340" s="472">
        <v>5000</v>
      </c>
      <c r="AG340" s="472">
        <v>7360</v>
      </c>
      <c r="AH340" s="472">
        <v>7358</v>
      </c>
      <c r="AI340" s="472">
        <v>0</v>
      </c>
      <c r="AJ340" s="472">
        <v>0</v>
      </c>
      <c r="AK340" s="472"/>
      <c r="AL340" s="472">
        <v>0</v>
      </c>
      <c r="AM340" s="472">
        <v>0</v>
      </c>
      <c r="AN340" s="544">
        <v>0</v>
      </c>
      <c r="AO340" s="544">
        <v>0</v>
      </c>
      <c r="AP340" s="544">
        <v>0</v>
      </c>
      <c r="AQ340" s="544">
        <v>0</v>
      </c>
      <c r="AR340" s="544">
        <v>0</v>
      </c>
      <c r="AS340" s="544">
        <v>0</v>
      </c>
      <c r="AT340" s="490">
        <f t="shared" si="228"/>
        <v>24718</v>
      </c>
      <c r="AW340" s="436"/>
      <c r="BC340" s="436"/>
      <c r="BD340" s="436"/>
      <c r="BE340" s="436"/>
      <c r="BF340" s="437"/>
      <c r="BG340" s="437"/>
      <c r="BH340" s="448"/>
      <c r="BI340" s="448"/>
      <c r="BJ340" s="448"/>
      <c r="BK340" s="448"/>
      <c r="BL340" s="448"/>
      <c r="BM340" s="448"/>
      <c r="BN340" s="448"/>
      <c r="BO340" s="448"/>
      <c r="BQ340" s="436"/>
      <c r="BR340" s="429" t="s">
        <v>751</v>
      </c>
    </row>
    <row r="341" spans="1:76" s="429" customFormat="1" ht="13.9" customHeight="1" x14ac:dyDescent="0.25">
      <c r="A341" s="472"/>
      <c r="B341" s="436">
        <v>1019</v>
      </c>
      <c r="C341" s="436" t="s">
        <v>412</v>
      </c>
      <c r="D341" s="436" t="s">
        <v>749</v>
      </c>
      <c r="E341" s="436" t="s">
        <v>366</v>
      </c>
      <c r="F341" s="482" t="s">
        <v>755</v>
      </c>
      <c r="G341" s="473">
        <v>45016</v>
      </c>
      <c r="H341" s="436" t="s">
        <v>128</v>
      </c>
      <c r="I341" s="472">
        <v>913168.92461999995</v>
      </c>
      <c r="J341" s="472">
        <v>154568.92000000001</v>
      </c>
      <c r="K341" s="472">
        <v>6000</v>
      </c>
      <c r="L341" s="437">
        <v>0</v>
      </c>
      <c r="M341" s="437">
        <v>0</v>
      </c>
      <c r="N341" s="437">
        <v>0</v>
      </c>
      <c r="O341" s="437">
        <v>0</v>
      </c>
      <c r="P341" s="437">
        <v>0</v>
      </c>
      <c r="Q341" s="437">
        <v>0</v>
      </c>
      <c r="R341" s="437">
        <v>0</v>
      </c>
      <c r="S341" s="437">
        <v>0</v>
      </c>
      <c r="T341" s="437">
        <v>0</v>
      </c>
      <c r="U341" s="437">
        <v>0</v>
      </c>
      <c r="V341" s="437">
        <v>0</v>
      </c>
      <c r="W341" s="437">
        <v>0</v>
      </c>
      <c r="X341" s="437">
        <v>0</v>
      </c>
      <c r="Y341" s="437">
        <v>0</v>
      </c>
      <c r="Z341" s="437">
        <v>0</v>
      </c>
      <c r="AA341" s="437">
        <v>0</v>
      </c>
      <c r="AB341" s="437">
        <v>0</v>
      </c>
      <c r="AC341" s="437">
        <v>0</v>
      </c>
      <c r="AD341" s="472">
        <v>0</v>
      </c>
      <c r="AE341" s="472">
        <v>0</v>
      </c>
      <c r="AF341" s="472">
        <v>0</v>
      </c>
      <c r="AG341" s="472">
        <v>0</v>
      </c>
      <c r="AH341" s="472">
        <v>0</v>
      </c>
      <c r="AI341" s="472">
        <v>0</v>
      </c>
      <c r="AJ341" s="472">
        <v>0</v>
      </c>
      <c r="AK341" s="472"/>
      <c r="AL341" s="472">
        <v>0</v>
      </c>
      <c r="AM341" s="472">
        <v>0</v>
      </c>
      <c r="AN341" s="544">
        <v>0</v>
      </c>
      <c r="AO341" s="544">
        <v>0</v>
      </c>
      <c r="AP341" s="544">
        <v>0</v>
      </c>
      <c r="AQ341" s="544">
        <v>0</v>
      </c>
      <c r="AR341" s="544">
        <v>0</v>
      </c>
      <c r="AS341" s="544">
        <v>0</v>
      </c>
      <c r="AT341" s="490">
        <f t="shared" si="228"/>
        <v>6000</v>
      </c>
      <c r="AW341" s="436"/>
      <c r="BC341" s="436"/>
      <c r="BD341" s="436"/>
      <c r="BE341" s="436"/>
      <c r="BF341" s="437"/>
      <c r="BG341" s="437"/>
      <c r="BH341" s="448"/>
      <c r="BI341" s="448"/>
      <c r="BJ341" s="448"/>
      <c r="BK341" s="448"/>
      <c r="BL341" s="448"/>
      <c r="BM341" s="448"/>
      <c r="BN341" s="448"/>
      <c r="BO341" s="448"/>
      <c r="BQ341" s="436"/>
      <c r="BR341" s="429" t="s">
        <v>751</v>
      </c>
    </row>
    <row r="342" spans="1:76" s="492" customFormat="1" ht="13.9" customHeight="1" x14ac:dyDescent="0.25">
      <c r="A342" s="491"/>
      <c r="B342" s="436">
        <v>1020</v>
      </c>
      <c r="C342" s="436" t="s">
        <v>186</v>
      </c>
      <c r="D342" s="436"/>
      <c r="E342" s="436" t="s">
        <v>366</v>
      </c>
      <c r="F342" s="482" t="s">
        <v>753</v>
      </c>
      <c r="G342" s="473">
        <v>45714</v>
      </c>
      <c r="H342" s="436" t="s">
        <v>137</v>
      </c>
      <c r="I342" s="472">
        <f>903785.86+356211.52</f>
        <v>1259997.3799999999</v>
      </c>
      <c r="J342" s="472">
        <v>125997.37</v>
      </c>
      <c r="K342" s="472">
        <v>0</v>
      </c>
      <c r="L342" s="437">
        <v>0</v>
      </c>
      <c r="M342" s="437">
        <v>0</v>
      </c>
      <c r="N342" s="437">
        <v>0</v>
      </c>
      <c r="O342" s="437">
        <v>0</v>
      </c>
      <c r="P342" s="437">
        <v>0</v>
      </c>
      <c r="Q342" s="437">
        <v>0</v>
      </c>
      <c r="R342" s="437">
        <v>0</v>
      </c>
      <c r="S342" s="437">
        <v>0</v>
      </c>
      <c r="T342" s="437">
        <v>0</v>
      </c>
      <c r="U342" s="437">
        <v>0</v>
      </c>
      <c r="V342" s="437">
        <v>0</v>
      </c>
      <c r="W342" s="437">
        <v>0</v>
      </c>
      <c r="X342" s="437">
        <v>0</v>
      </c>
      <c r="Y342" s="437">
        <v>0</v>
      </c>
      <c r="Z342" s="437">
        <v>0</v>
      </c>
      <c r="AA342" s="437">
        <v>0</v>
      </c>
      <c r="AB342" s="437">
        <v>0</v>
      </c>
      <c r="AC342" s="437">
        <v>0</v>
      </c>
      <c r="AD342" s="472">
        <v>0</v>
      </c>
      <c r="AE342" s="472">
        <v>0</v>
      </c>
      <c r="AF342" s="472">
        <v>0</v>
      </c>
      <c r="AG342" s="472">
        <v>0</v>
      </c>
      <c r="AH342" s="472">
        <v>3000</v>
      </c>
      <c r="AI342" s="472">
        <v>7000</v>
      </c>
      <c r="AJ342" s="472">
        <v>0</v>
      </c>
      <c r="AK342" s="472"/>
      <c r="AL342" s="472">
        <v>0</v>
      </c>
      <c r="AM342" s="472">
        <v>0</v>
      </c>
      <c r="AN342" s="544">
        <v>0</v>
      </c>
      <c r="AO342" s="544">
        <v>0</v>
      </c>
      <c r="AP342" s="544">
        <v>0</v>
      </c>
      <c r="AQ342" s="544">
        <v>0</v>
      </c>
      <c r="AR342" s="544">
        <v>0</v>
      </c>
      <c r="AS342" s="544">
        <v>0</v>
      </c>
      <c r="AT342" s="490">
        <f t="shared" si="228"/>
        <v>10000</v>
      </c>
      <c r="AU342" s="429"/>
      <c r="AV342" s="429"/>
      <c r="AW342" s="436"/>
      <c r="AX342" s="429"/>
      <c r="AY342" s="429"/>
      <c r="AZ342" s="429"/>
      <c r="BA342" s="429"/>
      <c r="BB342" s="429"/>
      <c r="BC342" s="436"/>
      <c r="BD342" s="436"/>
      <c r="BE342" s="436"/>
      <c r="BF342" s="437"/>
      <c r="BG342" s="437"/>
      <c r="BH342" s="448"/>
      <c r="BI342" s="448"/>
      <c r="BJ342" s="448"/>
      <c r="BK342" s="448"/>
      <c r="BL342" s="448"/>
      <c r="BM342" s="448"/>
      <c r="BN342" s="448"/>
      <c r="BO342" s="448"/>
      <c r="BP342" s="429"/>
      <c r="BQ342" s="436"/>
      <c r="BR342" s="429" t="s">
        <v>756</v>
      </c>
    </row>
    <row r="343" spans="1:76" s="492" customFormat="1" ht="13.9" customHeight="1" x14ac:dyDescent="0.25">
      <c r="A343" s="491"/>
      <c r="B343" s="436">
        <v>614</v>
      </c>
      <c r="C343" s="436" t="s">
        <v>476</v>
      </c>
      <c r="D343" s="436" t="s">
        <v>336</v>
      </c>
      <c r="E343" s="436" t="s">
        <v>423</v>
      </c>
      <c r="F343" s="482" t="s">
        <v>757</v>
      </c>
      <c r="G343" s="473">
        <v>45580</v>
      </c>
      <c r="H343" s="436" t="s">
        <v>128</v>
      </c>
      <c r="I343" s="472">
        <v>1509908.4</v>
      </c>
      <c r="J343" s="472">
        <v>151908.4</v>
      </c>
      <c r="K343" s="472">
        <v>0</v>
      </c>
      <c r="L343" s="437">
        <v>0</v>
      </c>
      <c r="M343" s="437">
        <v>0</v>
      </c>
      <c r="N343" s="437">
        <v>0</v>
      </c>
      <c r="O343" s="437">
        <v>0</v>
      </c>
      <c r="P343" s="437">
        <v>0</v>
      </c>
      <c r="Q343" s="437">
        <v>0</v>
      </c>
      <c r="R343" s="437">
        <v>0</v>
      </c>
      <c r="S343" s="437">
        <v>0</v>
      </c>
      <c r="T343" s="437">
        <v>0</v>
      </c>
      <c r="U343" s="437">
        <v>0</v>
      </c>
      <c r="V343" s="437">
        <v>0</v>
      </c>
      <c r="W343" s="437">
        <v>0</v>
      </c>
      <c r="X343" s="437">
        <v>0</v>
      </c>
      <c r="Y343" s="437">
        <v>0</v>
      </c>
      <c r="Z343" s="437">
        <v>0</v>
      </c>
      <c r="AA343" s="437">
        <v>0</v>
      </c>
      <c r="AB343" s="437">
        <v>0</v>
      </c>
      <c r="AC343" s="437">
        <v>0</v>
      </c>
      <c r="AD343" s="472">
        <v>5000</v>
      </c>
      <c r="AE343" s="472">
        <v>5000</v>
      </c>
      <c r="AF343" s="472">
        <v>0</v>
      </c>
      <c r="AG343" s="472">
        <v>0</v>
      </c>
      <c r="AH343" s="472">
        <v>0</v>
      </c>
      <c r="AI343" s="472">
        <v>0</v>
      </c>
      <c r="AJ343" s="472">
        <v>0</v>
      </c>
      <c r="AK343" s="472"/>
      <c r="AL343" s="472">
        <v>0</v>
      </c>
      <c r="AM343" s="472">
        <v>0</v>
      </c>
      <c r="AN343" s="544">
        <v>0</v>
      </c>
      <c r="AO343" s="544">
        <v>0</v>
      </c>
      <c r="AP343" s="544">
        <v>0</v>
      </c>
      <c r="AQ343" s="544">
        <v>0</v>
      </c>
      <c r="AR343" s="544">
        <v>0</v>
      </c>
      <c r="AS343" s="544">
        <v>0</v>
      </c>
      <c r="AT343" s="490">
        <f t="shared" si="228"/>
        <v>10000</v>
      </c>
      <c r="AU343" s="429"/>
      <c r="AV343" s="429"/>
      <c r="AW343" s="436"/>
      <c r="AX343" s="429"/>
      <c r="AY343" s="429"/>
      <c r="AZ343" s="429"/>
      <c r="BA343" s="429"/>
      <c r="BB343" s="429"/>
      <c r="BC343" s="436"/>
      <c r="BD343" s="436"/>
      <c r="BE343" s="436"/>
      <c r="BF343" s="437"/>
      <c r="BG343" s="437"/>
      <c r="BH343" s="448"/>
      <c r="BI343" s="448"/>
      <c r="BJ343" s="448"/>
      <c r="BK343" s="448"/>
      <c r="BL343" s="448"/>
      <c r="BM343" s="448"/>
      <c r="BN343" s="448"/>
      <c r="BO343" s="448"/>
      <c r="BP343" s="429"/>
      <c r="BQ343" s="436"/>
      <c r="BR343" s="429" t="s">
        <v>756</v>
      </c>
    </row>
    <row r="344" spans="1:76" s="429" customFormat="1" ht="13.9" customHeight="1" x14ac:dyDescent="0.25">
      <c r="A344" s="486"/>
      <c r="B344" s="436">
        <v>1501</v>
      </c>
      <c r="C344" s="436" t="s">
        <v>662</v>
      </c>
      <c r="D344" s="436"/>
      <c r="E344" s="436" t="s">
        <v>366</v>
      </c>
      <c r="F344" s="482" t="s">
        <v>758</v>
      </c>
      <c r="G344" s="473">
        <v>45749</v>
      </c>
      <c r="H344" s="436" t="s">
        <v>137</v>
      </c>
      <c r="I344" s="472">
        <v>1450747.8</v>
      </c>
      <c r="J344" s="472">
        <v>145147.79999999999</v>
      </c>
      <c r="K344" s="472">
        <v>0</v>
      </c>
      <c r="L344" s="437">
        <v>0</v>
      </c>
      <c r="M344" s="437">
        <v>0</v>
      </c>
      <c r="N344" s="437">
        <v>0</v>
      </c>
      <c r="O344" s="437">
        <v>0</v>
      </c>
      <c r="P344" s="437">
        <v>0</v>
      </c>
      <c r="Q344" s="437">
        <v>0</v>
      </c>
      <c r="R344" s="437">
        <v>0</v>
      </c>
      <c r="S344" s="437">
        <v>0</v>
      </c>
      <c r="T344" s="437">
        <v>0</v>
      </c>
      <c r="U344" s="437">
        <v>0</v>
      </c>
      <c r="V344" s="437">
        <v>0</v>
      </c>
      <c r="W344" s="437">
        <v>0</v>
      </c>
      <c r="X344" s="437">
        <v>0</v>
      </c>
      <c r="Y344" s="437">
        <v>0</v>
      </c>
      <c r="Z344" s="437">
        <v>0</v>
      </c>
      <c r="AA344" s="437">
        <v>0</v>
      </c>
      <c r="AB344" s="437">
        <v>0</v>
      </c>
      <c r="AC344" s="437">
        <v>0</v>
      </c>
      <c r="AD344" s="472">
        <v>0</v>
      </c>
      <c r="AE344" s="472">
        <v>0</v>
      </c>
      <c r="AF344" s="472">
        <v>0</v>
      </c>
      <c r="AG344" s="472">
        <v>0</v>
      </c>
      <c r="AH344" s="472">
        <v>0</v>
      </c>
      <c r="AI344" s="472">
        <v>0</v>
      </c>
      <c r="AJ344" s="472">
        <f>5000+5000</f>
        <v>10000</v>
      </c>
      <c r="AK344" s="472"/>
      <c r="AL344" s="472">
        <v>0</v>
      </c>
      <c r="AM344" s="472">
        <v>0</v>
      </c>
      <c r="AN344" s="544">
        <v>0</v>
      </c>
      <c r="AO344" s="544">
        <v>0</v>
      </c>
      <c r="AP344" s="544">
        <v>0</v>
      </c>
      <c r="AQ344" s="544">
        <v>0</v>
      </c>
      <c r="AR344" s="544">
        <v>0</v>
      </c>
      <c r="AS344" s="544">
        <v>0</v>
      </c>
      <c r="AT344" s="490">
        <f t="shared" si="228"/>
        <v>10000</v>
      </c>
      <c r="AW344" s="436"/>
      <c r="BC344" s="436"/>
      <c r="BD344" s="436"/>
      <c r="BE344" s="436"/>
      <c r="BF344" s="437"/>
      <c r="BG344" s="437"/>
      <c r="BH344" s="448"/>
      <c r="BI344" s="448"/>
      <c r="BJ344" s="448"/>
      <c r="BK344" s="448"/>
      <c r="BL344" s="448"/>
      <c r="BM344" s="448"/>
      <c r="BN344" s="448"/>
      <c r="BO344" s="448"/>
      <c r="BQ344" s="436"/>
      <c r="BR344" s="469" t="s">
        <v>759</v>
      </c>
      <c r="BS344" s="470"/>
      <c r="BT344" s="492"/>
      <c r="BU344" s="492"/>
      <c r="BV344" s="492"/>
      <c r="BW344" s="492"/>
      <c r="BX344" s="492"/>
    </row>
    <row r="345" spans="1:76" s="429" customFormat="1" ht="13.9" customHeight="1" x14ac:dyDescent="0.25">
      <c r="A345" s="486"/>
      <c r="B345" s="436">
        <v>303</v>
      </c>
      <c r="C345" s="436" t="s">
        <v>192</v>
      </c>
      <c r="D345" s="436"/>
      <c r="E345" s="436" t="s">
        <v>366</v>
      </c>
      <c r="F345" s="482" t="s">
        <v>612</v>
      </c>
      <c r="G345" s="473">
        <v>45693</v>
      </c>
      <c r="H345" s="436" t="s">
        <v>128</v>
      </c>
      <c r="I345" s="472">
        <v>934918.44645199704</v>
      </c>
      <c r="J345" s="472">
        <f t="shared" ref="J345" si="229">+I345*0.1</f>
        <v>93491.844645199715</v>
      </c>
      <c r="K345" s="472">
        <v>0</v>
      </c>
      <c r="L345" s="437">
        <v>0</v>
      </c>
      <c r="M345" s="437">
        <v>0</v>
      </c>
      <c r="N345" s="437">
        <v>0</v>
      </c>
      <c r="O345" s="437">
        <v>0</v>
      </c>
      <c r="P345" s="437">
        <v>0</v>
      </c>
      <c r="Q345" s="437">
        <v>0</v>
      </c>
      <c r="R345" s="437">
        <v>0</v>
      </c>
      <c r="S345" s="437">
        <v>0</v>
      </c>
      <c r="T345" s="437">
        <v>0</v>
      </c>
      <c r="U345" s="437">
        <v>0</v>
      </c>
      <c r="V345" s="437">
        <v>0</v>
      </c>
      <c r="W345" s="437">
        <v>0</v>
      </c>
      <c r="X345" s="437">
        <v>0</v>
      </c>
      <c r="Y345" s="437">
        <v>0</v>
      </c>
      <c r="Z345" s="437">
        <v>0</v>
      </c>
      <c r="AA345" s="437">
        <v>0</v>
      </c>
      <c r="AB345" s="437">
        <v>0</v>
      </c>
      <c r="AC345" s="437">
        <v>0</v>
      </c>
      <c r="AD345" s="472">
        <v>0</v>
      </c>
      <c r="AE345" s="472">
        <v>0</v>
      </c>
      <c r="AF345" s="472">
        <v>0</v>
      </c>
      <c r="AG345" s="472">
        <v>0</v>
      </c>
      <c r="AH345" s="472">
        <v>5000</v>
      </c>
      <c r="AI345" s="472">
        <v>4316</v>
      </c>
      <c r="AJ345" s="472">
        <v>4000</v>
      </c>
      <c r="AK345" s="472">
        <v>4000</v>
      </c>
      <c r="AL345" s="472">
        <v>0</v>
      </c>
      <c r="AM345" s="472">
        <v>0</v>
      </c>
      <c r="AN345" s="544">
        <v>0</v>
      </c>
      <c r="AO345" s="544">
        <v>0</v>
      </c>
      <c r="AP345" s="544">
        <v>0</v>
      </c>
      <c r="AQ345" s="544">
        <v>0</v>
      </c>
      <c r="AR345" s="544">
        <v>0</v>
      </c>
      <c r="AS345" s="544">
        <v>0</v>
      </c>
      <c r="AT345" s="490">
        <f t="shared" si="228"/>
        <v>17316</v>
      </c>
      <c r="AW345" s="436"/>
      <c r="BC345" s="436"/>
      <c r="BD345" s="436"/>
      <c r="BE345" s="436"/>
      <c r="BF345" s="437"/>
      <c r="BG345" s="437"/>
      <c r="BH345" s="448"/>
      <c r="BI345" s="448"/>
      <c r="BJ345" s="448"/>
      <c r="BK345" s="448"/>
      <c r="BL345" s="448"/>
      <c r="BM345" s="448"/>
      <c r="BN345" s="448"/>
      <c r="BO345" s="448"/>
      <c r="BQ345" s="436"/>
      <c r="BS345" s="470"/>
      <c r="BT345" s="492"/>
      <c r="BU345" s="492"/>
      <c r="BV345" s="492"/>
      <c r="BW345" s="492"/>
      <c r="BX345" s="492"/>
    </row>
    <row r="346" spans="1:76" s="429" customFormat="1" ht="13.9" customHeight="1" x14ac:dyDescent="0.25">
      <c r="A346" s="493"/>
      <c r="B346" s="436">
        <v>1607</v>
      </c>
      <c r="C346" s="436" t="s">
        <v>398</v>
      </c>
      <c r="D346" s="436"/>
      <c r="E346" s="436" t="s">
        <v>383</v>
      </c>
      <c r="F346" s="482" t="s">
        <v>678</v>
      </c>
      <c r="G346" s="473">
        <v>45077</v>
      </c>
      <c r="H346" s="436" t="s">
        <v>128</v>
      </c>
      <c r="I346" s="437">
        <v>1164200</v>
      </c>
      <c r="J346" s="437">
        <v>102510</v>
      </c>
      <c r="K346" s="437">
        <v>0</v>
      </c>
      <c r="L346" s="437">
        <v>0</v>
      </c>
      <c r="M346" s="437">
        <v>6000</v>
      </c>
      <c r="N346" s="437">
        <v>0</v>
      </c>
      <c r="O346" s="437">
        <v>3000</v>
      </c>
      <c r="P346" s="437">
        <v>0</v>
      </c>
      <c r="Q346" s="437">
        <v>3000</v>
      </c>
      <c r="R346" s="437">
        <v>1500</v>
      </c>
      <c r="S346" s="437">
        <v>1500</v>
      </c>
      <c r="T346" s="437">
        <v>0</v>
      </c>
      <c r="U346" s="437">
        <v>0</v>
      </c>
      <c r="V346" s="437">
        <v>0</v>
      </c>
      <c r="W346" s="437">
        <v>0</v>
      </c>
      <c r="X346" s="437">
        <v>0</v>
      </c>
      <c r="Y346" s="437">
        <v>0</v>
      </c>
      <c r="Z346" s="437">
        <v>0</v>
      </c>
      <c r="AA346" s="437">
        <v>0</v>
      </c>
      <c r="AB346" s="437">
        <v>0</v>
      </c>
      <c r="AC346" s="437">
        <v>0</v>
      </c>
      <c r="AD346" s="437">
        <v>0</v>
      </c>
      <c r="AE346" s="437">
        <v>0</v>
      </c>
      <c r="AF346" s="437">
        <v>0</v>
      </c>
      <c r="AG346" s="437">
        <v>0</v>
      </c>
      <c r="AH346" s="437">
        <v>0</v>
      </c>
      <c r="AI346" s="437">
        <v>0</v>
      </c>
      <c r="AJ346" s="437">
        <v>0</v>
      </c>
      <c r="AK346" s="437"/>
      <c r="AL346" s="472">
        <v>0</v>
      </c>
      <c r="AM346" s="472">
        <v>0</v>
      </c>
      <c r="AN346" s="544">
        <v>0</v>
      </c>
      <c r="AO346" s="544">
        <v>0</v>
      </c>
      <c r="AP346" s="544">
        <v>0</v>
      </c>
      <c r="AQ346" s="544">
        <v>0</v>
      </c>
      <c r="AR346" s="544">
        <v>0</v>
      </c>
      <c r="AS346" s="544">
        <v>0</v>
      </c>
      <c r="AT346" s="490">
        <f t="shared" si="228"/>
        <v>15000</v>
      </c>
      <c r="AW346" s="436"/>
      <c r="BC346" s="436"/>
      <c r="BD346" s="436"/>
      <c r="BE346" s="436"/>
      <c r="BF346" s="437"/>
      <c r="BG346" s="437"/>
      <c r="BH346" s="448"/>
      <c r="BI346" s="448"/>
      <c r="BJ346" s="448"/>
      <c r="BK346" s="448"/>
      <c r="BL346" s="448"/>
      <c r="BM346" s="448"/>
      <c r="BN346" s="448"/>
      <c r="BO346" s="448"/>
      <c r="BQ346" s="436"/>
      <c r="BS346" s="470"/>
      <c r="BT346" s="492"/>
      <c r="BU346" s="492"/>
      <c r="BV346" s="492"/>
      <c r="BW346" s="492"/>
      <c r="BX346" s="492"/>
    </row>
    <row r="347" spans="1:76" s="429" customFormat="1" ht="13.9" customHeight="1" x14ac:dyDescent="0.25">
      <c r="A347" s="472"/>
      <c r="B347" s="547">
        <v>602</v>
      </c>
      <c r="C347" s="547" t="s">
        <v>134</v>
      </c>
      <c r="D347" s="547"/>
      <c r="E347" s="547" t="s">
        <v>135</v>
      </c>
      <c r="F347" s="556" t="s">
        <v>136</v>
      </c>
      <c r="G347" s="557">
        <v>45815</v>
      </c>
      <c r="H347" s="547" t="s">
        <v>137</v>
      </c>
      <c r="I347" s="544">
        <v>1529194.3266091</v>
      </c>
      <c r="J347" s="544">
        <v>152894.32999999999</v>
      </c>
      <c r="K347" s="544">
        <v>0</v>
      </c>
      <c r="L347" s="544">
        <v>0</v>
      </c>
      <c r="M347" s="544">
        <v>0</v>
      </c>
      <c r="N347" s="544">
        <v>0</v>
      </c>
      <c r="O347" s="544">
        <v>0</v>
      </c>
      <c r="P347" s="544">
        <v>0</v>
      </c>
      <c r="Q347" s="544">
        <v>0</v>
      </c>
      <c r="R347" s="544">
        <v>0</v>
      </c>
      <c r="S347" s="544">
        <v>0</v>
      </c>
      <c r="T347" s="544">
        <v>0</v>
      </c>
      <c r="U347" s="544">
        <v>0</v>
      </c>
      <c r="V347" s="544">
        <v>0</v>
      </c>
      <c r="W347" s="544">
        <v>0</v>
      </c>
      <c r="X347" s="544">
        <v>0</v>
      </c>
      <c r="Y347" s="544">
        <v>0</v>
      </c>
      <c r="Z347" s="544">
        <v>0</v>
      </c>
      <c r="AA347" s="544">
        <v>0</v>
      </c>
      <c r="AB347" s="544">
        <v>0</v>
      </c>
      <c r="AC347" s="544">
        <v>0</v>
      </c>
      <c r="AD347" s="544">
        <v>0</v>
      </c>
      <c r="AE347" s="544">
        <v>0</v>
      </c>
      <c r="AF347" s="544">
        <v>0</v>
      </c>
      <c r="AG347" s="544">
        <v>0</v>
      </c>
      <c r="AH347" s="544">
        <v>0</v>
      </c>
      <c r="AI347" s="544">
        <v>0</v>
      </c>
      <c r="AJ347" s="544">
        <v>0</v>
      </c>
      <c r="AK347" s="544"/>
      <c r="AL347" s="544">
        <v>10000</v>
      </c>
      <c r="AM347" s="544"/>
      <c r="AN347" s="544">
        <v>0</v>
      </c>
      <c r="AO347" s="544">
        <v>0</v>
      </c>
      <c r="AP347" s="544">
        <v>0</v>
      </c>
      <c r="AQ347" s="544">
        <v>0</v>
      </c>
      <c r="AR347" s="544">
        <v>0</v>
      </c>
      <c r="AS347" s="544">
        <v>0</v>
      </c>
      <c r="AT347" s="490">
        <f t="shared" si="228"/>
        <v>10000</v>
      </c>
      <c r="AW347" s="436"/>
      <c r="BC347" s="436"/>
      <c r="BD347" s="436"/>
      <c r="BE347" s="436"/>
      <c r="BF347" s="437"/>
      <c r="BG347" s="437"/>
      <c r="BH347" s="448"/>
      <c r="BI347" s="448"/>
      <c r="BJ347" s="448"/>
      <c r="BK347" s="448"/>
      <c r="BL347" s="448"/>
      <c r="BM347" s="448"/>
      <c r="BN347" s="448"/>
      <c r="BO347" s="448"/>
      <c r="BQ347" s="436"/>
      <c r="BT347" s="492"/>
      <c r="BU347" s="492"/>
      <c r="BV347" s="492"/>
      <c r="BW347" s="492"/>
      <c r="BX347" s="492"/>
    </row>
    <row r="348" spans="1:76" s="429" customFormat="1" ht="13.9" customHeight="1" x14ac:dyDescent="0.25">
      <c r="A348" s="472"/>
      <c r="B348" s="547">
        <v>612</v>
      </c>
      <c r="C348" s="547" t="s">
        <v>406</v>
      </c>
      <c r="D348" s="547" t="s">
        <v>336</v>
      </c>
      <c r="E348" s="547" t="s">
        <v>366</v>
      </c>
      <c r="F348" s="556" t="s">
        <v>760</v>
      </c>
      <c r="G348" s="557">
        <v>45310</v>
      </c>
      <c r="H348" s="547" t="s">
        <v>128</v>
      </c>
      <c r="I348" s="544">
        <v>703500</v>
      </c>
      <c r="J348" s="544">
        <v>70400</v>
      </c>
      <c r="K348" s="544">
        <v>0</v>
      </c>
      <c r="L348" s="544">
        <v>0</v>
      </c>
      <c r="M348" s="544">
        <v>0</v>
      </c>
      <c r="N348" s="544">
        <v>0</v>
      </c>
      <c r="O348" s="544">
        <v>6000</v>
      </c>
      <c r="P348" s="544">
        <v>2477</v>
      </c>
      <c r="Q348" s="544">
        <v>2477</v>
      </c>
      <c r="R348" s="544">
        <v>2477</v>
      </c>
      <c r="S348" s="544">
        <v>2477</v>
      </c>
      <c r="T348" s="544">
        <v>2477</v>
      </c>
      <c r="U348" s="544">
        <v>2477</v>
      </c>
      <c r="V348" s="544">
        <v>2477</v>
      </c>
      <c r="W348" s="544">
        <v>2477</v>
      </c>
      <c r="X348" s="544">
        <v>2477</v>
      </c>
      <c r="Y348" s="544">
        <v>2477</v>
      </c>
      <c r="Z348" s="544">
        <v>2477</v>
      </c>
      <c r="AA348" s="544">
        <v>2477</v>
      </c>
      <c r="AB348" s="544">
        <v>2477</v>
      </c>
      <c r="AC348" s="544">
        <v>0</v>
      </c>
      <c r="AD348" s="544">
        <v>2477</v>
      </c>
      <c r="AE348" s="544">
        <v>2477</v>
      </c>
      <c r="AF348" s="544">
        <v>2477</v>
      </c>
      <c r="AG348" s="544">
        <v>2477</v>
      </c>
      <c r="AH348" s="544">
        <v>0</v>
      </c>
      <c r="AI348" s="544">
        <v>0</v>
      </c>
      <c r="AJ348" s="544">
        <v>0</v>
      </c>
      <c r="AK348" s="544">
        <v>2786.38</v>
      </c>
      <c r="AL348" s="544">
        <v>2786.38</v>
      </c>
      <c r="AM348" s="544">
        <v>2786.38</v>
      </c>
      <c r="AN348" s="544">
        <v>0</v>
      </c>
      <c r="AO348" s="544">
        <v>0</v>
      </c>
      <c r="AP348" s="544">
        <v>0</v>
      </c>
      <c r="AQ348" s="544">
        <v>0</v>
      </c>
      <c r="AR348" s="544">
        <v>0</v>
      </c>
      <c r="AS348" s="544">
        <v>0</v>
      </c>
      <c r="AT348" s="490">
        <f t="shared" ref="AT348:AT351" si="230">SUM(K348:AS348)</f>
        <v>56468.139999999992</v>
      </c>
      <c r="AW348" s="436"/>
      <c r="BC348" s="436"/>
      <c r="BD348" s="436"/>
      <c r="BE348" s="436"/>
      <c r="BF348" s="437"/>
      <c r="BG348" s="437"/>
      <c r="BH348" s="448"/>
      <c r="BI348" s="448"/>
      <c r="BJ348" s="448"/>
      <c r="BK348" s="448"/>
      <c r="BL348" s="448"/>
      <c r="BM348" s="448"/>
      <c r="BN348" s="448"/>
      <c r="BO348" s="448"/>
      <c r="BQ348" s="436"/>
      <c r="BT348" s="492"/>
      <c r="BU348" s="492"/>
      <c r="BV348" s="492"/>
      <c r="BW348" s="492"/>
      <c r="BX348" s="492"/>
    </row>
    <row r="349" spans="1:76" s="429" customFormat="1" ht="13.9" customHeight="1" x14ac:dyDescent="0.25">
      <c r="A349" s="472"/>
      <c r="B349" s="547">
        <v>1611</v>
      </c>
      <c r="C349" s="547" t="s">
        <v>563</v>
      </c>
      <c r="D349" s="547"/>
      <c r="E349" s="547" t="s">
        <v>383</v>
      </c>
      <c r="F349" s="556" t="s">
        <v>761</v>
      </c>
      <c r="G349" s="557">
        <v>45114</v>
      </c>
      <c r="H349" s="547" t="s">
        <v>128</v>
      </c>
      <c r="I349" s="544">
        <v>1437500</v>
      </c>
      <c r="J349" s="544">
        <v>143800</v>
      </c>
      <c r="K349" s="544">
        <v>0</v>
      </c>
      <c r="L349" s="544">
        <v>0</v>
      </c>
      <c r="M349" s="544">
        <v>0</v>
      </c>
      <c r="N349" s="544">
        <v>0</v>
      </c>
      <c r="O349" s="544">
        <v>6000</v>
      </c>
      <c r="P349" s="544">
        <v>5300</v>
      </c>
      <c r="Q349" s="544">
        <v>5300</v>
      </c>
      <c r="R349" s="544">
        <v>5300</v>
      </c>
      <c r="S349" s="544">
        <v>5300</v>
      </c>
      <c r="T349" s="544">
        <v>5300</v>
      </c>
      <c r="U349" s="544">
        <v>5300</v>
      </c>
      <c r="V349" s="544">
        <v>5300</v>
      </c>
      <c r="W349" s="544">
        <v>5300</v>
      </c>
      <c r="X349" s="544">
        <v>5300</v>
      </c>
      <c r="Y349" s="544">
        <v>5300</v>
      </c>
      <c r="Z349" s="544">
        <v>5300</v>
      </c>
      <c r="AA349" s="544">
        <v>5300</v>
      </c>
      <c r="AB349" s="544">
        <v>5300</v>
      </c>
      <c r="AC349" s="544">
        <v>5300</v>
      </c>
      <c r="AD349" s="544">
        <v>5300</v>
      </c>
      <c r="AE349" s="544">
        <v>5300</v>
      </c>
      <c r="AF349" s="544">
        <v>5300</v>
      </c>
      <c r="AG349" s="544">
        <v>5300</v>
      </c>
      <c r="AH349" s="544">
        <v>5300</v>
      </c>
      <c r="AI349" s="544">
        <v>5300</v>
      </c>
      <c r="AJ349" s="544">
        <v>5300</v>
      </c>
      <c r="AK349" s="544">
        <v>10600</v>
      </c>
      <c r="AL349" s="544"/>
      <c r="AM349" s="544">
        <v>15900</v>
      </c>
      <c r="AN349" s="544">
        <v>0</v>
      </c>
      <c r="AO349" s="544">
        <v>0</v>
      </c>
      <c r="AP349" s="544">
        <v>0</v>
      </c>
      <c r="AQ349" s="544">
        <v>0</v>
      </c>
      <c r="AR349" s="544">
        <v>0</v>
      </c>
      <c r="AS349" s="544">
        <v>0</v>
      </c>
      <c r="AT349" s="490">
        <f t="shared" si="230"/>
        <v>143800</v>
      </c>
      <c r="AW349" s="436"/>
      <c r="BC349" s="436"/>
      <c r="BD349" s="436"/>
      <c r="BE349" s="436"/>
      <c r="BF349" s="437"/>
      <c r="BG349" s="437"/>
      <c r="BH349" s="448"/>
      <c r="BI349" s="448"/>
      <c r="BJ349" s="448"/>
      <c r="BK349" s="448"/>
      <c r="BL349" s="448"/>
      <c r="BM349" s="448"/>
      <c r="BN349" s="448"/>
      <c r="BO349" s="448"/>
      <c r="BQ349" s="436"/>
      <c r="BT349" s="492"/>
      <c r="BU349" s="492"/>
      <c r="BV349" s="492"/>
      <c r="BW349" s="492"/>
      <c r="BX349" s="492"/>
    </row>
    <row r="350" spans="1:76" s="429" customFormat="1" ht="13.9" customHeight="1" x14ac:dyDescent="0.25">
      <c r="A350" s="472"/>
      <c r="B350" s="547">
        <v>906</v>
      </c>
      <c r="C350" s="547" t="s">
        <v>536</v>
      </c>
      <c r="D350" s="547"/>
      <c r="E350" s="547" t="s">
        <v>366</v>
      </c>
      <c r="F350" s="556" t="s">
        <v>762</v>
      </c>
      <c r="G350" s="557">
        <v>45645</v>
      </c>
      <c r="H350" s="547" t="s">
        <v>128</v>
      </c>
      <c r="I350" s="544">
        <v>1102644.5780410699</v>
      </c>
      <c r="J350" s="544">
        <v>110344.58</v>
      </c>
      <c r="K350" s="544">
        <v>0</v>
      </c>
      <c r="L350" s="544">
        <v>0</v>
      </c>
      <c r="M350" s="544">
        <v>0</v>
      </c>
      <c r="N350" s="544">
        <v>0</v>
      </c>
      <c r="O350" s="544">
        <v>0</v>
      </c>
      <c r="P350" s="544">
        <v>0</v>
      </c>
      <c r="Q350" s="544">
        <v>0</v>
      </c>
      <c r="R350" s="544">
        <v>0</v>
      </c>
      <c r="S350" s="544">
        <v>0</v>
      </c>
      <c r="T350" s="544">
        <v>0</v>
      </c>
      <c r="U350" s="544">
        <v>0</v>
      </c>
      <c r="V350" s="544">
        <v>0</v>
      </c>
      <c r="W350" s="544">
        <v>0</v>
      </c>
      <c r="X350" s="544">
        <v>0</v>
      </c>
      <c r="Y350" s="544">
        <v>0</v>
      </c>
      <c r="Z350" s="544">
        <v>0</v>
      </c>
      <c r="AA350" s="544">
        <v>0</v>
      </c>
      <c r="AB350" s="544">
        <v>0</v>
      </c>
      <c r="AC350" s="544">
        <v>0</v>
      </c>
      <c r="AD350" s="544">
        <v>0</v>
      </c>
      <c r="AE350" s="544">
        <v>0</v>
      </c>
      <c r="AF350" s="544">
        <v>8000</v>
      </c>
      <c r="AG350" s="544">
        <v>0</v>
      </c>
      <c r="AH350" s="544">
        <v>12040</v>
      </c>
      <c r="AI350" s="544">
        <v>6020</v>
      </c>
      <c r="AJ350" s="544">
        <v>6020</v>
      </c>
      <c r="AK350" s="544">
        <v>6020</v>
      </c>
      <c r="AL350" s="544">
        <v>6020</v>
      </c>
      <c r="AM350" s="544">
        <v>6020</v>
      </c>
      <c r="AN350" s="544">
        <v>0</v>
      </c>
      <c r="AO350" s="544">
        <v>0</v>
      </c>
      <c r="AP350" s="544">
        <v>0</v>
      </c>
      <c r="AQ350" s="544">
        <v>0</v>
      </c>
      <c r="AR350" s="544">
        <v>0</v>
      </c>
      <c r="AS350" s="544">
        <v>0</v>
      </c>
      <c r="AT350" s="490">
        <f t="shared" si="230"/>
        <v>50140</v>
      </c>
      <c r="AW350" s="436"/>
      <c r="BC350" s="436"/>
      <c r="BD350" s="436"/>
      <c r="BE350" s="436"/>
      <c r="BF350" s="437"/>
      <c r="BG350" s="437"/>
      <c r="BH350" s="448"/>
      <c r="BI350" s="448"/>
      <c r="BJ350" s="448"/>
      <c r="BK350" s="448"/>
      <c r="BL350" s="448"/>
      <c r="BM350" s="448"/>
      <c r="BN350" s="448"/>
      <c r="BO350" s="448"/>
      <c r="BQ350" s="436"/>
      <c r="BT350" s="492"/>
      <c r="BU350" s="492"/>
      <c r="BV350" s="492"/>
      <c r="BW350" s="492"/>
      <c r="BX350" s="492"/>
    </row>
    <row r="351" spans="1:76" s="429" customFormat="1" ht="13.9" customHeight="1" x14ac:dyDescent="0.25">
      <c r="A351" s="472"/>
      <c r="B351" s="547">
        <v>207</v>
      </c>
      <c r="C351" s="547" t="s">
        <v>398</v>
      </c>
      <c r="D351" s="547"/>
      <c r="E351" s="547" t="s">
        <v>135</v>
      </c>
      <c r="F351" s="556" t="s">
        <v>763</v>
      </c>
      <c r="G351" s="557">
        <v>45956</v>
      </c>
      <c r="H351" s="547" t="s">
        <v>137</v>
      </c>
      <c r="I351" s="544">
        <v>1509100</v>
      </c>
      <c r="J351" s="544">
        <v>105600</v>
      </c>
      <c r="K351" s="544">
        <v>0</v>
      </c>
      <c r="L351" s="544">
        <v>0</v>
      </c>
      <c r="M351" s="544">
        <v>0</v>
      </c>
      <c r="N351" s="544">
        <v>0</v>
      </c>
      <c r="O351" s="544">
        <v>0</v>
      </c>
      <c r="P351" s="544">
        <v>0</v>
      </c>
      <c r="Q351" s="544">
        <v>0</v>
      </c>
      <c r="R351" s="544">
        <v>0</v>
      </c>
      <c r="S351" s="544">
        <v>0</v>
      </c>
      <c r="T351" s="544">
        <v>0</v>
      </c>
      <c r="U351" s="544">
        <v>0</v>
      </c>
      <c r="V351" s="544">
        <v>0</v>
      </c>
      <c r="W351" s="544">
        <v>0</v>
      </c>
      <c r="X351" s="544">
        <v>0</v>
      </c>
      <c r="Y351" s="544">
        <v>0</v>
      </c>
      <c r="Z351" s="544">
        <v>0</v>
      </c>
      <c r="AA351" s="544">
        <v>0</v>
      </c>
      <c r="AB351" s="544">
        <v>0</v>
      </c>
      <c r="AC351" s="544">
        <v>0</v>
      </c>
      <c r="AD351" s="544">
        <v>0</v>
      </c>
      <c r="AE351" s="544">
        <v>0</v>
      </c>
      <c r="AF351" s="544">
        <v>0</v>
      </c>
      <c r="AG351" s="544">
        <v>0</v>
      </c>
      <c r="AH351" s="544">
        <v>0</v>
      </c>
      <c r="AI351" s="544">
        <v>0</v>
      </c>
      <c r="AJ351" s="544">
        <v>0</v>
      </c>
      <c r="AK351" s="544"/>
      <c r="AL351" s="544"/>
      <c r="AM351" s="544"/>
      <c r="AN351" s="544">
        <v>0</v>
      </c>
      <c r="AO351" s="544">
        <v>0</v>
      </c>
      <c r="AP351" s="544">
        <v>1000</v>
      </c>
      <c r="AQ351" s="544">
        <v>0</v>
      </c>
      <c r="AR351" s="544"/>
      <c r="AS351" s="544"/>
      <c r="AT351" s="490">
        <f t="shared" si="230"/>
        <v>1000</v>
      </c>
      <c r="AW351" s="436"/>
      <c r="BC351" s="436"/>
      <c r="BD351" s="436"/>
      <c r="BE351" s="436"/>
      <c r="BF351" s="437"/>
      <c r="BG351" s="437"/>
      <c r="BH351" s="448"/>
      <c r="BI351" s="448"/>
      <c r="BJ351" s="448"/>
      <c r="BK351" s="448"/>
      <c r="BL351" s="448"/>
      <c r="BM351" s="448"/>
      <c r="BN351" s="448"/>
      <c r="BO351" s="448"/>
      <c r="BQ351" s="436"/>
      <c r="BT351" s="492"/>
      <c r="BU351" s="492"/>
      <c r="BV351" s="492"/>
      <c r="BW351" s="492"/>
      <c r="BX351" s="492"/>
    </row>
    <row r="352" spans="1:76" s="429" customFormat="1" ht="13.9" customHeight="1" x14ac:dyDescent="0.25">
      <c r="A352" s="472"/>
      <c r="B352" s="436"/>
      <c r="C352" s="436"/>
      <c r="D352" s="436"/>
      <c r="E352" s="436"/>
      <c r="F352" s="482"/>
      <c r="G352" s="473"/>
      <c r="H352" s="436"/>
      <c r="I352" s="472"/>
      <c r="J352" s="472"/>
      <c r="K352" s="472"/>
      <c r="L352" s="437"/>
      <c r="M352" s="437"/>
      <c r="N352" s="437"/>
      <c r="O352" s="437"/>
      <c r="P352" s="437"/>
      <c r="Q352" s="437"/>
      <c r="R352" s="437"/>
      <c r="S352" s="437"/>
      <c r="T352" s="437"/>
      <c r="U352" s="437"/>
      <c r="V352" s="437"/>
      <c r="W352" s="437"/>
      <c r="X352" s="437"/>
      <c r="Y352" s="437"/>
      <c r="Z352" s="437"/>
      <c r="AA352" s="437"/>
      <c r="AB352" s="437"/>
      <c r="AC352" s="437"/>
      <c r="AD352" s="472"/>
      <c r="AE352" s="472"/>
      <c r="AF352" s="472"/>
      <c r="AG352" s="472"/>
      <c r="AH352" s="472"/>
      <c r="AI352" s="472"/>
      <c r="AJ352" s="472"/>
      <c r="AK352" s="472"/>
      <c r="AL352" s="472"/>
      <c r="AM352" s="472"/>
      <c r="AN352" s="472"/>
      <c r="AO352" s="472"/>
      <c r="AP352" s="472"/>
      <c r="AQ352" s="472"/>
      <c r="AR352" s="472"/>
      <c r="AS352" s="472"/>
      <c r="AT352" s="472"/>
      <c r="AW352" s="436"/>
      <c r="BC352" s="436"/>
      <c r="BD352" s="436"/>
      <c r="BE352" s="436"/>
      <c r="BF352" s="437"/>
      <c r="BG352" s="437"/>
      <c r="BH352" s="448"/>
      <c r="BI352" s="448"/>
      <c r="BJ352" s="448"/>
      <c r="BK352" s="448"/>
      <c r="BL352" s="448"/>
      <c r="BM352" s="448"/>
      <c r="BN352" s="448"/>
      <c r="BO352" s="448"/>
      <c r="BQ352" s="436"/>
    </row>
    <row r="353" spans="1:69" s="444" customFormat="1" ht="13.9" customHeight="1" thickBot="1" x14ac:dyDescent="0.3">
      <c r="A353" s="460"/>
      <c r="B353" s="428"/>
      <c r="C353" s="428"/>
      <c r="D353" s="428"/>
      <c r="E353" s="428"/>
      <c r="F353" s="494"/>
      <c r="G353" s="495"/>
      <c r="H353" s="428" t="s">
        <v>764</v>
      </c>
      <c r="I353" s="474"/>
      <c r="J353" s="474"/>
      <c r="K353" s="496">
        <f t="shared" ref="K353:AT353" si="231">SUM(K320:K352)</f>
        <v>22400</v>
      </c>
      <c r="L353" s="496">
        <f t="shared" si="231"/>
        <v>15800</v>
      </c>
      <c r="M353" s="496">
        <f t="shared" si="231"/>
        <v>18923</v>
      </c>
      <c r="N353" s="496">
        <f t="shared" si="231"/>
        <v>11200</v>
      </c>
      <c r="O353" s="496">
        <f t="shared" si="231"/>
        <v>33546</v>
      </c>
      <c r="P353" s="496">
        <f t="shared" si="231"/>
        <v>33950</v>
      </c>
      <c r="Q353" s="496">
        <f t="shared" si="231"/>
        <v>44254</v>
      </c>
      <c r="R353" s="496">
        <f t="shared" si="231"/>
        <v>26554</v>
      </c>
      <c r="S353" s="496">
        <f t="shared" si="231"/>
        <v>39746</v>
      </c>
      <c r="T353" s="496">
        <f t="shared" si="231"/>
        <v>31822</v>
      </c>
      <c r="U353" s="496">
        <f t="shared" si="231"/>
        <v>52846</v>
      </c>
      <c r="V353" s="496">
        <f t="shared" si="231"/>
        <v>17273</v>
      </c>
      <c r="W353" s="496">
        <f t="shared" si="231"/>
        <v>27799</v>
      </c>
      <c r="X353" s="496">
        <f t="shared" si="231"/>
        <v>29359</v>
      </c>
      <c r="Y353" s="496">
        <f t="shared" si="231"/>
        <v>47873</v>
      </c>
      <c r="Z353" s="496">
        <f t="shared" si="231"/>
        <v>34704</v>
      </c>
      <c r="AA353" s="496">
        <f t="shared" si="231"/>
        <v>33190</v>
      </c>
      <c r="AB353" s="496">
        <f t="shared" si="231"/>
        <v>17708</v>
      </c>
      <c r="AC353" s="496">
        <f t="shared" si="231"/>
        <v>12300</v>
      </c>
      <c r="AD353" s="496">
        <f t="shared" si="231"/>
        <v>21876</v>
      </c>
      <c r="AE353" s="496">
        <f t="shared" si="231"/>
        <v>47170</v>
      </c>
      <c r="AF353" s="496">
        <f t="shared" si="231"/>
        <v>37776</v>
      </c>
      <c r="AG353" s="496">
        <f t="shared" si="231"/>
        <v>19137</v>
      </c>
      <c r="AH353" s="496">
        <f t="shared" si="231"/>
        <v>39198</v>
      </c>
      <c r="AI353" s="496">
        <f t="shared" si="231"/>
        <v>39636</v>
      </c>
      <c r="AJ353" s="496">
        <f t="shared" si="231"/>
        <v>45320</v>
      </c>
      <c r="AK353" s="496">
        <f t="shared" si="231"/>
        <v>28406.38</v>
      </c>
      <c r="AL353" s="496">
        <f t="shared" si="231"/>
        <v>18806.38</v>
      </c>
      <c r="AM353" s="496">
        <f t="shared" si="231"/>
        <v>24706.38</v>
      </c>
      <c r="AN353" s="496">
        <f t="shared" si="231"/>
        <v>0</v>
      </c>
      <c r="AO353" s="496">
        <f t="shared" si="231"/>
        <v>0</v>
      </c>
      <c r="AP353" s="496">
        <f t="shared" si="231"/>
        <v>1000</v>
      </c>
      <c r="AQ353" s="496">
        <f t="shared" si="231"/>
        <v>0</v>
      </c>
      <c r="AR353" s="496">
        <f t="shared" si="231"/>
        <v>0</v>
      </c>
      <c r="AS353" s="496">
        <f t="shared" si="231"/>
        <v>0</v>
      </c>
      <c r="AT353" s="496">
        <f t="shared" si="231"/>
        <v>874279.14</v>
      </c>
      <c r="AW353" s="428"/>
      <c r="BC353" s="428"/>
      <c r="BD353" s="428"/>
      <c r="BE353" s="428"/>
      <c r="BF353" s="460"/>
      <c r="BG353" s="460"/>
      <c r="BH353" s="464"/>
      <c r="BI353" s="464"/>
      <c r="BJ353" s="464"/>
      <c r="BK353" s="464"/>
      <c r="BL353" s="464"/>
      <c r="BM353" s="464"/>
      <c r="BN353" s="464"/>
      <c r="BO353" s="464"/>
      <c r="BQ353" s="428"/>
    </row>
    <row r="354" spans="1:69" s="429" customFormat="1" ht="13.5" x14ac:dyDescent="0.25">
      <c r="A354" s="437"/>
      <c r="B354" s="436"/>
      <c r="C354" s="436"/>
      <c r="D354" s="436"/>
      <c r="E354" s="436"/>
      <c r="F354" s="482"/>
      <c r="G354" s="473"/>
      <c r="H354" s="436"/>
      <c r="I354" s="472"/>
      <c r="J354" s="472"/>
      <c r="K354" s="472"/>
      <c r="L354" s="437"/>
      <c r="M354" s="437"/>
      <c r="N354" s="437"/>
      <c r="O354" s="437"/>
      <c r="P354" s="437"/>
      <c r="Q354" s="437"/>
      <c r="R354" s="437"/>
      <c r="S354" s="437"/>
      <c r="T354" s="437"/>
      <c r="U354" s="437"/>
      <c r="V354" s="437"/>
      <c r="W354" s="437"/>
      <c r="X354" s="437"/>
      <c r="Y354" s="437"/>
      <c r="Z354" s="437"/>
      <c r="AA354" s="437"/>
      <c r="AB354" s="437"/>
      <c r="AC354" s="437"/>
      <c r="AD354" s="472"/>
      <c r="AE354" s="472"/>
      <c r="AF354" s="472"/>
      <c r="AG354" s="472"/>
      <c r="AH354" s="472"/>
      <c r="AI354" s="472"/>
      <c r="AJ354" s="472"/>
      <c r="AK354" s="472"/>
      <c r="AL354" s="472"/>
      <c r="AM354" s="472"/>
      <c r="AN354" s="472"/>
      <c r="AO354" s="472"/>
      <c r="AP354" s="472"/>
      <c r="AQ354" s="472"/>
      <c r="AR354" s="472"/>
      <c r="AS354" s="472"/>
      <c r="AW354" s="436"/>
      <c r="BC354" s="436"/>
      <c r="BD354" s="436"/>
      <c r="BE354" s="436"/>
      <c r="BF354" s="437"/>
      <c r="BG354" s="437"/>
      <c r="BH354" s="448"/>
      <c r="BI354" s="448"/>
      <c r="BJ354" s="448"/>
      <c r="BK354" s="448"/>
      <c r="BL354" s="448"/>
      <c r="BM354" s="448"/>
      <c r="BN354" s="448"/>
      <c r="BO354" s="448"/>
      <c r="BQ354" s="436"/>
    </row>
    <row r="355" spans="1:69" s="429" customFormat="1" ht="13.5" x14ac:dyDescent="0.25">
      <c r="A355" s="437"/>
      <c r="B355" s="436"/>
      <c r="G355" s="436"/>
      <c r="H355" s="436"/>
      <c r="I355" s="437"/>
      <c r="J355" s="437"/>
      <c r="K355" s="437"/>
      <c r="AW355" s="436"/>
      <c r="BC355" s="436"/>
      <c r="BD355" s="436"/>
      <c r="BE355" s="436"/>
      <c r="BF355" s="437"/>
      <c r="BG355" s="437"/>
      <c r="BH355" s="448"/>
      <c r="BI355" s="448"/>
      <c r="BJ355" s="448"/>
      <c r="BK355" s="448"/>
      <c r="BL355" s="448"/>
      <c r="BM355" s="448"/>
      <c r="BN355" s="448"/>
      <c r="BO355" s="448"/>
      <c r="BQ355" s="436"/>
    </row>
    <row r="356" spans="1:69" s="429" customFormat="1" ht="13.5" x14ac:dyDescent="0.25">
      <c r="A356" s="437"/>
      <c r="B356" s="497" t="s">
        <v>765</v>
      </c>
      <c r="G356" s="436"/>
      <c r="H356" s="436"/>
      <c r="I356" s="437"/>
      <c r="J356" s="437"/>
      <c r="K356" s="437"/>
      <c r="AW356" s="436"/>
      <c r="BC356" s="436"/>
      <c r="BD356" s="436"/>
      <c r="BE356" s="436"/>
      <c r="BF356" s="437"/>
      <c r="BG356" s="437"/>
      <c r="BH356" s="448"/>
      <c r="BI356" s="448"/>
      <c r="BJ356" s="448"/>
      <c r="BK356" s="448"/>
      <c r="BL356" s="448"/>
      <c r="BM356" s="448"/>
      <c r="BN356" s="448"/>
      <c r="BO356" s="448"/>
      <c r="BQ356" s="436"/>
    </row>
    <row r="357" spans="1:69" s="428" customFormat="1" ht="13.5" x14ac:dyDescent="0.25">
      <c r="A357" s="462"/>
      <c r="B357" s="428" t="s">
        <v>721</v>
      </c>
      <c r="C357" s="428" t="s">
        <v>722</v>
      </c>
      <c r="E357" s="428" t="s">
        <v>65</v>
      </c>
      <c r="F357" s="428" t="s">
        <v>724</v>
      </c>
      <c r="G357" s="428" t="s">
        <v>725</v>
      </c>
      <c r="H357" s="428" t="s">
        <v>766</v>
      </c>
      <c r="I357" s="462" t="s">
        <v>727</v>
      </c>
      <c r="J357" s="462" t="s">
        <v>767</v>
      </c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  <c r="AL357" s="462"/>
      <c r="AM357" s="462"/>
      <c r="AN357" s="462"/>
      <c r="AO357" s="462"/>
      <c r="AP357" s="462"/>
      <c r="AQ357" s="462"/>
      <c r="AR357" s="462"/>
      <c r="AS357" s="462"/>
      <c r="AT357" s="462"/>
      <c r="AU357" s="462"/>
      <c r="BF357" s="462"/>
      <c r="BG357" s="462"/>
      <c r="BH357" s="489"/>
      <c r="BI357" s="489"/>
      <c r="BJ357" s="489"/>
      <c r="BK357" s="489"/>
      <c r="BL357" s="489"/>
      <c r="BM357" s="489"/>
      <c r="BN357" s="489"/>
      <c r="BO357" s="489"/>
    </row>
    <row r="358" spans="1:69" s="429" customFormat="1" ht="13.5" x14ac:dyDescent="0.25">
      <c r="A358" s="437"/>
      <c r="B358" s="436">
        <v>503</v>
      </c>
      <c r="E358" s="429" t="s">
        <v>366</v>
      </c>
      <c r="F358" s="429" t="s">
        <v>768</v>
      </c>
      <c r="G358" s="473">
        <v>45565</v>
      </c>
      <c r="H358" s="473">
        <v>45565</v>
      </c>
      <c r="I358" s="437">
        <v>1036610</v>
      </c>
      <c r="J358" s="499">
        <v>2375</v>
      </c>
      <c r="K358" s="437"/>
      <c r="AW358" s="436"/>
      <c r="BC358" s="436"/>
      <c r="BD358" s="436"/>
      <c r="BE358" s="436"/>
      <c r="BF358" s="437"/>
      <c r="BG358" s="437"/>
      <c r="BH358" s="448"/>
      <c r="BI358" s="448"/>
      <c r="BJ358" s="448"/>
      <c r="BK358" s="448"/>
      <c r="BL358" s="448"/>
      <c r="BM358" s="448"/>
      <c r="BN358" s="448"/>
      <c r="BO358" s="448"/>
      <c r="BQ358" s="436"/>
    </row>
    <row r="359" spans="1:69" s="429" customFormat="1" ht="13.5" x14ac:dyDescent="0.25">
      <c r="A359" s="437"/>
      <c r="B359" s="436">
        <v>504</v>
      </c>
      <c r="E359" s="429" t="s">
        <v>366</v>
      </c>
      <c r="F359" s="429" t="s">
        <v>769</v>
      </c>
      <c r="G359" s="473">
        <v>45420</v>
      </c>
      <c r="H359" s="473">
        <v>45420</v>
      </c>
      <c r="I359" s="437">
        <v>887400</v>
      </c>
      <c r="J359" s="499">
        <v>1590</v>
      </c>
      <c r="K359" s="437"/>
      <c r="AW359" s="436"/>
      <c r="BC359" s="436"/>
      <c r="BD359" s="436"/>
      <c r="BE359" s="436"/>
      <c r="BF359" s="437"/>
      <c r="BG359" s="437"/>
      <c r="BH359" s="448"/>
      <c r="BI359" s="448"/>
      <c r="BJ359" s="448"/>
      <c r="BK359" s="448"/>
      <c r="BL359" s="448"/>
      <c r="BM359" s="448"/>
      <c r="BN359" s="448"/>
      <c r="BO359" s="448"/>
      <c r="BQ359" s="436"/>
    </row>
    <row r="360" spans="1:69" s="429" customFormat="1" ht="13.5" x14ac:dyDescent="0.25">
      <c r="A360" s="437"/>
      <c r="B360" s="436">
        <v>607</v>
      </c>
      <c r="E360" s="429" t="s">
        <v>366</v>
      </c>
      <c r="F360" s="429" t="s">
        <v>770</v>
      </c>
      <c r="G360" s="473">
        <v>45152</v>
      </c>
      <c r="H360" s="473">
        <v>45152</v>
      </c>
      <c r="I360" s="437">
        <v>722900</v>
      </c>
      <c r="J360" s="499">
        <v>379</v>
      </c>
      <c r="K360" s="437"/>
      <c r="AW360" s="436"/>
      <c r="BC360" s="436"/>
      <c r="BD360" s="436"/>
      <c r="BE360" s="436"/>
      <c r="BF360" s="437"/>
      <c r="BG360" s="437"/>
      <c r="BH360" s="448"/>
      <c r="BI360" s="448"/>
      <c r="BJ360" s="448"/>
      <c r="BK360" s="448"/>
      <c r="BL360" s="448"/>
      <c r="BM360" s="448"/>
      <c r="BN360" s="448"/>
      <c r="BO360" s="448"/>
      <c r="BQ360" s="436"/>
    </row>
    <row r="361" spans="1:69" s="429" customFormat="1" ht="13.5" x14ac:dyDescent="0.25">
      <c r="A361" s="437"/>
      <c r="B361" s="436">
        <v>914</v>
      </c>
      <c r="E361" s="429" t="s">
        <v>771</v>
      </c>
      <c r="F361" s="429" t="s">
        <v>772</v>
      </c>
      <c r="G361" s="473">
        <v>45122</v>
      </c>
      <c r="H361" s="473">
        <v>45122</v>
      </c>
      <c r="I361" s="437">
        <v>883300</v>
      </c>
      <c r="J361" s="499">
        <v>289</v>
      </c>
      <c r="K361" s="437"/>
      <c r="AU361" s="498">
        <v>45122</v>
      </c>
      <c r="AW361" s="436"/>
      <c r="BC361" s="436"/>
      <c r="BD361" s="436"/>
      <c r="BE361" s="436"/>
      <c r="BF361" s="437"/>
      <c r="BG361" s="437"/>
      <c r="BH361" s="448"/>
      <c r="BI361" s="448"/>
      <c r="BJ361" s="448"/>
      <c r="BK361" s="448"/>
      <c r="BL361" s="448"/>
      <c r="BM361" s="448"/>
      <c r="BN361" s="448"/>
      <c r="BO361" s="448"/>
      <c r="BQ361" s="436"/>
    </row>
    <row r="362" spans="1:69" s="429" customFormat="1" ht="13.5" x14ac:dyDescent="0.25">
      <c r="A362" s="437"/>
      <c r="B362" s="436">
        <v>1305</v>
      </c>
      <c r="E362" s="429" t="s">
        <v>366</v>
      </c>
      <c r="F362" s="429" t="s">
        <v>773</v>
      </c>
      <c r="G362" s="473">
        <v>45078</v>
      </c>
      <c r="H362" s="473">
        <v>45031</v>
      </c>
      <c r="I362" s="437">
        <v>663200</v>
      </c>
      <c r="J362" s="499" t="s">
        <v>774</v>
      </c>
      <c r="K362" s="437"/>
      <c r="AW362" s="436"/>
      <c r="BC362" s="436"/>
      <c r="BD362" s="436"/>
      <c r="BE362" s="436"/>
      <c r="BF362" s="437"/>
      <c r="BG362" s="437"/>
      <c r="BH362" s="448"/>
      <c r="BI362" s="448"/>
      <c r="BJ362" s="448"/>
      <c r="BK362" s="448"/>
      <c r="BL362" s="448"/>
      <c r="BM362" s="448"/>
      <c r="BN362" s="448"/>
      <c r="BO362" s="448"/>
      <c r="BQ362" s="436"/>
    </row>
    <row r="363" spans="1:69" s="429" customFormat="1" ht="13.5" x14ac:dyDescent="0.25">
      <c r="A363" s="437"/>
      <c r="B363" s="436">
        <v>1308</v>
      </c>
      <c r="E363" s="429" t="s">
        <v>775</v>
      </c>
      <c r="F363" s="429" t="s">
        <v>776</v>
      </c>
      <c r="G363" s="473">
        <v>45092</v>
      </c>
      <c r="H363" s="473">
        <v>45065</v>
      </c>
      <c r="I363" s="437"/>
      <c r="J363" s="499">
        <v>139</v>
      </c>
      <c r="K363" s="437"/>
      <c r="AW363" s="436"/>
      <c r="BC363" s="436"/>
      <c r="BD363" s="436"/>
      <c r="BE363" s="436"/>
      <c r="BF363" s="437"/>
      <c r="BG363" s="437"/>
      <c r="BH363" s="448"/>
      <c r="BI363" s="448"/>
      <c r="BJ363" s="448"/>
      <c r="BK363" s="448"/>
      <c r="BL363" s="448"/>
      <c r="BM363" s="448"/>
      <c r="BN363" s="448"/>
      <c r="BO363" s="448"/>
      <c r="BQ363" s="436"/>
    </row>
    <row r="364" spans="1:69" s="429" customFormat="1" ht="13.5" x14ac:dyDescent="0.25">
      <c r="A364" s="437"/>
      <c r="B364" s="436">
        <v>1502</v>
      </c>
      <c r="C364" s="436"/>
      <c r="D364" s="436"/>
      <c r="E364" s="436" t="s">
        <v>383</v>
      </c>
      <c r="F364" s="482" t="s">
        <v>777</v>
      </c>
      <c r="G364" s="473" t="s">
        <v>778</v>
      </c>
      <c r="H364" s="473">
        <v>45089</v>
      </c>
      <c r="I364" s="472">
        <v>1249200</v>
      </c>
      <c r="J364" s="500">
        <v>219</v>
      </c>
      <c r="K364" s="472"/>
      <c r="L364" s="437"/>
      <c r="M364" s="437"/>
      <c r="N364" s="437"/>
      <c r="O364" s="437"/>
      <c r="P364" s="437"/>
      <c r="Q364" s="437"/>
      <c r="R364" s="437"/>
      <c r="S364" s="437"/>
      <c r="T364" s="437"/>
      <c r="U364" s="437"/>
      <c r="V364" s="437"/>
      <c r="W364" s="437"/>
      <c r="X364" s="437"/>
      <c r="Y364" s="437"/>
      <c r="Z364" s="437"/>
      <c r="AA364" s="437"/>
      <c r="AB364" s="437"/>
      <c r="AC364" s="437"/>
      <c r="AD364" s="472"/>
      <c r="AE364" s="472"/>
      <c r="AF364" s="472"/>
      <c r="AG364" s="472"/>
      <c r="AH364" s="472"/>
      <c r="AI364" s="472"/>
      <c r="AJ364" s="472"/>
      <c r="AK364" s="472"/>
      <c r="AL364" s="472"/>
      <c r="AM364" s="472"/>
      <c r="AN364" s="472"/>
      <c r="AO364" s="472"/>
      <c r="AP364" s="472"/>
      <c r="AQ364" s="472"/>
      <c r="AR364" s="472"/>
      <c r="AS364" s="472"/>
      <c r="AU364" s="429" t="s">
        <v>779</v>
      </c>
      <c r="AW364" s="436"/>
      <c r="BC364" s="436"/>
      <c r="BD364" s="436"/>
      <c r="BE364" s="436"/>
      <c r="BF364" s="437"/>
      <c r="BG364" s="437"/>
      <c r="BH364" s="448"/>
      <c r="BI364" s="448"/>
      <c r="BJ364" s="448"/>
      <c r="BK364" s="448"/>
      <c r="BL364" s="448"/>
      <c r="BM364" s="448"/>
      <c r="BN364" s="448"/>
      <c r="BO364" s="448"/>
      <c r="BQ364" s="436"/>
    </row>
    <row r="365" spans="1:69" s="429" customFormat="1" ht="13.5" x14ac:dyDescent="0.25">
      <c r="A365" s="437"/>
      <c r="B365" s="436">
        <v>1509</v>
      </c>
      <c r="E365" s="429" t="s">
        <v>780</v>
      </c>
      <c r="F365" s="429" t="s">
        <v>781</v>
      </c>
      <c r="G365" s="473">
        <v>44986</v>
      </c>
      <c r="H365" s="473">
        <v>45010</v>
      </c>
      <c r="I365" s="437">
        <v>858400</v>
      </c>
      <c r="J365" s="499">
        <v>25</v>
      </c>
      <c r="K365" s="437"/>
      <c r="AW365" s="436"/>
      <c r="BC365" s="436"/>
      <c r="BD365" s="436"/>
      <c r="BE365" s="436"/>
      <c r="BF365" s="437"/>
      <c r="BG365" s="437"/>
      <c r="BH365" s="448"/>
      <c r="BI365" s="448"/>
      <c r="BJ365" s="448"/>
      <c r="BK365" s="448"/>
      <c r="BL365" s="448"/>
      <c r="BM365" s="448"/>
      <c r="BN365" s="448"/>
      <c r="BO365" s="448"/>
      <c r="BQ365" s="436"/>
    </row>
    <row r="366" spans="1:69" s="429" customFormat="1" ht="13.5" x14ac:dyDescent="0.25">
      <c r="A366" s="437"/>
      <c r="B366" s="436">
        <v>1607</v>
      </c>
      <c r="E366" s="429" t="s">
        <v>383</v>
      </c>
      <c r="F366" s="429" t="s">
        <v>782</v>
      </c>
      <c r="G366" s="473">
        <v>45440</v>
      </c>
      <c r="H366" s="473">
        <v>45440</v>
      </c>
      <c r="I366" s="437">
        <v>1164200</v>
      </c>
      <c r="J366" s="499">
        <v>177</v>
      </c>
      <c r="K366" s="437"/>
      <c r="AW366" s="436"/>
      <c r="BC366" s="436"/>
      <c r="BD366" s="436"/>
      <c r="BE366" s="436"/>
      <c r="BF366" s="437"/>
      <c r="BG366" s="437"/>
      <c r="BH366" s="448"/>
      <c r="BI366" s="448"/>
      <c r="BJ366" s="448"/>
      <c r="BK366" s="448"/>
      <c r="BL366" s="448"/>
      <c r="BM366" s="448"/>
      <c r="BN366" s="448"/>
      <c r="BO366" s="448"/>
      <c r="BQ366" s="436"/>
    </row>
    <row r="367" spans="1:69" x14ac:dyDescent="0.25">
      <c r="BF367" s="316"/>
      <c r="BG367" s="316"/>
    </row>
    <row r="368" spans="1:69" x14ac:dyDescent="0.25">
      <c r="BF368" s="316"/>
      <c r="BG368" s="316"/>
    </row>
    <row r="369" spans="58:59" x14ac:dyDescent="0.25">
      <c r="BF369" s="316"/>
      <c r="BG369" s="316"/>
    </row>
    <row r="370" spans="58:59" x14ac:dyDescent="0.25">
      <c r="BF370" s="316"/>
      <c r="BG370" s="316"/>
    </row>
    <row r="371" spans="58:59" x14ac:dyDescent="0.25">
      <c r="BF371" s="316"/>
      <c r="BG371" s="316"/>
    </row>
    <row r="372" spans="58:59" x14ac:dyDescent="0.25">
      <c r="BF372" s="316"/>
      <c r="BG372" s="316"/>
    </row>
    <row r="373" spans="58:59" x14ac:dyDescent="0.25">
      <c r="BF373" s="316"/>
      <c r="BG373" s="316"/>
    </row>
    <row r="374" spans="58:59" x14ac:dyDescent="0.25">
      <c r="BF374" s="316"/>
      <c r="BG374" s="316"/>
    </row>
  </sheetData>
  <autoFilter ref="A6:CF315" xr:uid="{AE84F94B-45BD-43CE-8E9C-F45AB01E0CF8}"/>
  <mergeCells count="1">
    <mergeCell ref="BY5:CF5"/>
  </mergeCells>
  <conditionalFormatting sqref="B7:B304">
    <cfRule type="duplicateValues" dxfId="100" priority="1"/>
  </conditionalFormatting>
  <conditionalFormatting sqref="B348:B351">
    <cfRule type="duplicateValues" dxfId="99" priority="718"/>
  </conditionalFormatting>
  <conditionalFormatting sqref="K7:AH7 AJ7:AN7 K8:AN158">
    <cfRule type="cellIs" dxfId="98" priority="145" operator="lessThan">
      <formula>0.01</formula>
    </cfRule>
  </conditionalFormatting>
  <conditionalFormatting sqref="K348:AS351">
    <cfRule type="cellIs" dxfId="97" priority="13" operator="lessThan">
      <formula>0.01</formula>
    </cfRule>
  </conditionalFormatting>
  <conditionalFormatting sqref="K309:AT309">
    <cfRule type="cellIs" dxfId="96" priority="137" operator="lessThan">
      <formula>0.01</formula>
    </cfRule>
    <cfRule type="cellIs" dxfId="95" priority="138" operator="greaterThan">
      <formula>0</formula>
    </cfRule>
  </conditionalFormatting>
  <conditionalFormatting sqref="K315:AT315">
    <cfRule type="cellIs" dxfId="94" priority="38" operator="lessThan">
      <formula>0.01</formula>
    </cfRule>
    <cfRule type="cellIs" dxfId="93" priority="39" operator="greaterThan">
      <formula>0.01</formula>
    </cfRule>
  </conditionalFormatting>
  <conditionalFormatting sqref="AG311:AS311">
    <cfRule type="expression" dxfId="92" priority="14">
      <formula>AG311="cobrado"</formula>
    </cfRule>
  </conditionalFormatting>
  <conditionalFormatting sqref="AG312:AS312">
    <cfRule type="expression" dxfId="91" priority="15">
      <formula>AG312&lt;1</formula>
    </cfRule>
  </conditionalFormatting>
  <conditionalFormatting sqref="AO7:AQ158 AR7:AS304 K159:AQ304">
    <cfRule type="cellIs" dxfId="90" priority="2" operator="lessThan">
      <formula>0.01</formula>
    </cfRule>
  </conditionalFormatting>
  <conditionalFormatting sqref="AT7:AT304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{47966493-1BC4-4352-9617-0714AE1D4FA1}</x14:id>
        </ext>
      </extLst>
    </cfRule>
  </conditionalFormatting>
  <conditionalFormatting sqref="AV7:AV304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{C2BFFAA8-EFD0-485A-B5FC-528E4D29F4B6}</x14:id>
        </ext>
      </extLst>
    </cfRule>
  </conditionalFormatting>
  <conditionalFormatting sqref="AV348:AV351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{9EF41812-F23A-49C3-94F7-25264D3E1657}</x14:id>
        </ext>
      </extLst>
    </cfRule>
  </conditionalFormatting>
  <conditionalFormatting sqref="AW7:AW304">
    <cfRule type="expression" dxfId="89" priority="21">
      <formula>AW7&lt;0</formula>
    </cfRule>
  </conditionalFormatting>
  <conditionalFormatting sqref="AW348:AW351">
    <cfRule type="expression" dxfId="88" priority="5">
      <formula>AW348&lt;0</formula>
    </cfRule>
  </conditionalFormatting>
  <conditionalFormatting sqref="BB7:BB304">
    <cfRule type="containsText" dxfId="87" priority="61" operator="containsText" text="Cliente al día">
      <formula>NOT(ISERROR(SEARCH("Cliente al día",BB7)))</formula>
    </cfRule>
    <cfRule type="containsText" dxfId="86" priority="62" operator="containsText" text="Superávit de Enganche">
      <formula>NOT(ISERROR(SEARCH("Superávit de Enganche",BB7)))</formula>
    </cfRule>
    <cfRule type="containsText" dxfId="85" priority="63" operator="containsText" text="Enganche Completado">
      <formula>NOT(ISERROR(SEARCH("Enganche Completado",BB7)))</formula>
    </cfRule>
    <cfRule type="containsText" dxfId="84" priority="64" operator="containsText" text="Cliente Atrasado">
      <formula>NOT(ISERROR(SEARCH("Cliente Atrasado",BB7)))</formula>
    </cfRule>
  </conditionalFormatting>
  <conditionalFormatting sqref="BB348:BB351">
    <cfRule type="containsText" dxfId="83" priority="7" operator="containsText" text="Cliente al día">
      <formula>NOT(ISERROR(SEARCH("Cliente al día",BB348)))</formula>
    </cfRule>
    <cfRule type="containsText" dxfId="82" priority="8" operator="containsText" text="Superávit de Enganche">
      <formula>NOT(ISERROR(SEARCH("Superávit de Enganche",BB348)))</formula>
    </cfRule>
    <cfRule type="containsText" dxfId="81" priority="9" operator="containsText" text="Enganche Completado">
      <formula>NOT(ISERROR(SEARCH("Enganche Completado",BB348)))</formula>
    </cfRule>
    <cfRule type="containsText" dxfId="80" priority="10" operator="containsText" text="Cliente Atrasado">
      <formula>NOT(ISERROR(SEARCH("Cliente Atrasado",BB348)))</formula>
    </cfRule>
  </conditionalFormatting>
  <pageMargins left="0.7" right="0.7" top="0.75" bottom="0.75" header="0.3" footer="0.3"/>
  <pageSetup fitToWidth="0" fitToHeight="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966493-1BC4-4352-9617-0714AE1D4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AT7:AT304</xm:sqref>
        </x14:conditionalFormatting>
        <x14:conditionalFormatting xmlns:xm="http://schemas.microsoft.com/office/excel/2006/main">
          <x14:cfRule type="dataBar" id="{C2BFFAA8-EFD0-485A-B5FC-528E4D29F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AV7:AV304</xm:sqref>
        </x14:conditionalFormatting>
        <x14:conditionalFormatting xmlns:xm="http://schemas.microsoft.com/office/excel/2006/main">
          <x14:cfRule type="dataBar" id="{9EF41812-F23A-49C3-94F7-25264D3E16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AV348:AV351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388D-6314-48CD-A1E4-C8EC25B7568E}">
  <sheetPr>
    <tabColor rgb="FFFF0000"/>
  </sheetPr>
  <dimension ref="A1:Q42"/>
  <sheetViews>
    <sheetView showGridLines="0" zoomScale="80" zoomScaleNormal="80" workbookViewId="0">
      <selection activeCell="D26" sqref="D26"/>
    </sheetView>
  </sheetViews>
  <sheetFormatPr defaultColWidth="11.42578125" defaultRowHeight="14.25" x14ac:dyDescent="0.2"/>
  <cols>
    <col min="1" max="4" width="11.7109375" style="794" customWidth="1"/>
    <col min="5" max="6" width="35.7109375" style="794" customWidth="1"/>
    <col min="7" max="8" width="13.7109375" style="794" customWidth="1"/>
    <col min="9" max="9" width="5.7109375" style="794" customWidth="1"/>
    <col min="10" max="13" width="11.7109375" style="794" customWidth="1"/>
    <col min="14" max="15" width="35.7109375" style="794" customWidth="1"/>
    <col min="16" max="17" width="13.7109375" style="794" customWidth="1"/>
    <col min="18" max="16384" width="11.42578125" style="794"/>
  </cols>
  <sheetData>
    <row r="1" spans="1:17" ht="15.75" x14ac:dyDescent="0.2">
      <c r="A1" s="908" t="s">
        <v>783</v>
      </c>
      <c r="B1" s="909"/>
      <c r="C1" s="909"/>
      <c r="D1" s="909"/>
      <c r="E1" s="909"/>
      <c r="F1" s="909"/>
      <c r="G1" s="910"/>
      <c r="H1" s="814"/>
      <c r="J1" s="908" t="s">
        <v>783</v>
      </c>
      <c r="K1" s="909"/>
      <c r="L1" s="909"/>
      <c r="M1" s="909"/>
      <c r="N1" s="909"/>
      <c r="O1" s="909"/>
      <c r="P1" s="910"/>
      <c r="Q1" s="814"/>
    </row>
    <row r="2" spans="1:17" x14ac:dyDescent="0.2">
      <c r="A2" s="911" t="s">
        <v>784</v>
      </c>
      <c r="B2" s="912"/>
      <c r="C2" s="912"/>
      <c r="D2" s="912"/>
      <c r="E2" s="912"/>
      <c r="F2" s="912"/>
      <c r="G2" s="913"/>
      <c r="H2" s="814"/>
      <c r="J2" s="911" t="s">
        <v>784</v>
      </c>
      <c r="K2" s="912"/>
      <c r="L2" s="912"/>
      <c r="M2" s="912"/>
      <c r="N2" s="912"/>
      <c r="O2" s="912"/>
      <c r="P2" s="913"/>
      <c r="Q2" s="814"/>
    </row>
    <row r="3" spans="1:17" x14ac:dyDescent="0.2">
      <c r="A3" s="911" t="s">
        <v>785</v>
      </c>
      <c r="B3" s="912"/>
      <c r="C3" s="912"/>
      <c r="D3" s="912"/>
      <c r="E3" s="912"/>
      <c r="F3" s="912"/>
      <c r="G3" s="913"/>
      <c r="H3" s="814"/>
      <c r="J3" s="911" t="s">
        <v>785</v>
      </c>
      <c r="K3" s="912"/>
      <c r="L3" s="912"/>
      <c r="M3" s="912"/>
      <c r="N3" s="912"/>
      <c r="O3" s="912"/>
      <c r="P3" s="913"/>
      <c r="Q3" s="814"/>
    </row>
    <row r="4" spans="1:17" x14ac:dyDescent="0.2">
      <c r="A4" s="911" t="s">
        <v>786</v>
      </c>
      <c r="B4" s="912"/>
      <c r="C4" s="912"/>
      <c r="D4" s="912"/>
      <c r="E4" s="912"/>
      <c r="F4" s="912"/>
      <c r="G4" s="913"/>
      <c r="H4" s="814"/>
      <c r="J4" s="911" t="s">
        <v>786</v>
      </c>
      <c r="K4" s="912"/>
      <c r="L4" s="912"/>
      <c r="M4" s="912"/>
      <c r="N4" s="912"/>
      <c r="O4" s="912"/>
      <c r="P4" s="913"/>
      <c r="Q4" s="814"/>
    </row>
    <row r="5" spans="1:17" ht="15" thickBot="1" x14ac:dyDescent="0.25">
      <c r="A5" s="914">
        <v>45961</v>
      </c>
      <c r="B5" s="915"/>
      <c r="C5" s="915"/>
      <c r="D5" s="916"/>
      <c r="E5" s="916"/>
      <c r="F5" s="916"/>
      <c r="G5" s="917"/>
      <c r="H5" s="814"/>
      <c r="J5" s="914">
        <v>45930</v>
      </c>
      <c r="K5" s="915"/>
      <c r="L5" s="915"/>
      <c r="M5" s="916"/>
      <c r="N5" s="916"/>
      <c r="O5" s="916"/>
      <c r="P5" s="917"/>
      <c r="Q5" s="814"/>
    </row>
    <row r="6" spans="1:17" x14ac:dyDescent="0.2">
      <c r="A6" s="815" t="s">
        <v>787</v>
      </c>
      <c r="B6" s="815" t="s">
        <v>788</v>
      </c>
      <c r="C6" s="815" t="s">
        <v>789</v>
      </c>
      <c r="D6" s="815" t="s">
        <v>790</v>
      </c>
      <c r="E6" s="815" t="s">
        <v>791</v>
      </c>
      <c r="F6" s="815" t="s">
        <v>792</v>
      </c>
      <c r="G6" s="816" t="s">
        <v>793</v>
      </c>
      <c r="H6" s="816" t="s">
        <v>794</v>
      </c>
      <c r="J6" s="815" t="s">
        <v>787</v>
      </c>
      <c r="K6" s="815" t="s">
        <v>788</v>
      </c>
      <c r="L6" s="815" t="s">
        <v>789</v>
      </c>
      <c r="M6" s="815" t="s">
        <v>790</v>
      </c>
      <c r="N6" s="815" t="s">
        <v>791</v>
      </c>
      <c r="O6" s="815" t="s">
        <v>792</v>
      </c>
      <c r="P6" s="816" t="s">
        <v>793</v>
      </c>
      <c r="Q6" s="816" t="s">
        <v>794</v>
      </c>
    </row>
    <row r="7" spans="1:17" x14ac:dyDescent="0.2">
      <c r="A7" s="817" t="s">
        <v>795</v>
      </c>
      <c r="B7" s="818">
        <v>1022255810</v>
      </c>
      <c r="C7" s="818"/>
      <c r="D7" s="819">
        <v>45939</v>
      </c>
      <c r="E7" s="820" t="s">
        <v>796</v>
      </c>
      <c r="F7" s="821" t="s">
        <v>797</v>
      </c>
      <c r="G7" s="822">
        <v>6950</v>
      </c>
      <c r="H7" s="814"/>
      <c r="J7" s="817" t="s">
        <v>795</v>
      </c>
      <c r="K7" s="818">
        <v>793155648</v>
      </c>
      <c r="L7" s="818"/>
      <c r="M7" s="819">
        <v>45902</v>
      </c>
      <c r="N7" s="820" t="s">
        <v>798</v>
      </c>
      <c r="O7" s="821" t="s">
        <v>145</v>
      </c>
      <c r="P7" s="822">
        <v>2415</v>
      </c>
      <c r="Q7" s="814"/>
    </row>
    <row r="8" spans="1:17" x14ac:dyDescent="0.2">
      <c r="A8" s="817" t="s">
        <v>795</v>
      </c>
      <c r="B8" s="818">
        <v>1040522482</v>
      </c>
      <c r="C8" s="818"/>
      <c r="D8" s="819">
        <v>45943</v>
      </c>
      <c r="E8" s="820" t="s">
        <v>796</v>
      </c>
      <c r="F8" s="821" t="s">
        <v>799</v>
      </c>
      <c r="G8" s="822">
        <v>10000</v>
      </c>
      <c r="H8" s="814"/>
      <c r="J8" s="817" t="s">
        <v>795</v>
      </c>
      <c r="K8" s="818">
        <v>843436535</v>
      </c>
      <c r="L8" s="818"/>
      <c r="M8" s="819">
        <v>45910</v>
      </c>
      <c r="N8" s="820" t="s">
        <v>800</v>
      </c>
      <c r="O8" s="821" t="s">
        <v>801</v>
      </c>
      <c r="P8" s="822">
        <v>12000</v>
      </c>
      <c r="Q8" s="814"/>
    </row>
    <row r="9" spans="1:17" x14ac:dyDescent="0.2">
      <c r="A9" s="817" t="s">
        <v>795</v>
      </c>
      <c r="B9" s="818">
        <v>1063686760</v>
      </c>
      <c r="C9" s="818"/>
      <c r="D9" s="819">
        <v>45946</v>
      </c>
      <c r="E9" s="820" t="s">
        <v>802</v>
      </c>
      <c r="F9" s="821" t="s">
        <v>803</v>
      </c>
      <c r="G9" s="822">
        <v>5000</v>
      </c>
      <c r="H9" s="814"/>
      <c r="J9" s="817" t="s">
        <v>795</v>
      </c>
      <c r="K9" s="818">
        <v>883106321</v>
      </c>
      <c r="L9" s="818"/>
      <c r="M9" s="819" t="s">
        <v>804</v>
      </c>
      <c r="N9" s="820" t="s">
        <v>805</v>
      </c>
      <c r="O9" s="839" t="s">
        <v>145</v>
      </c>
      <c r="P9" s="822">
        <v>1670</v>
      </c>
      <c r="Q9" s="823">
        <f>SUM(P7:P9)</f>
        <v>16085</v>
      </c>
    </row>
    <row r="10" spans="1:17" x14ac:dyDescent="0.2">
      <c r="A10" s="817" t="s">
        <v>795</v>
      </c>
      <c r="B10" s="818">
        <v>1070609092</v>
      </c>
      <c r="C10" s="818"/>
      <c r="D10" s="819">
        <v>45947</v>
      </c>
      <c r="E10" s="820" t="s">
        <v>796</v>
      </c>
      <c r="F10" s="821" t="s">
        <v>806</v>
      </c>
      <c r="G10" s="822">
        <v>217000</v>
      </c>
      <c r="H10" s="814"/>
      <c r="J10" s="824"/>
      <c r="K10" s="824"/>
      <c r="L10" s="824"/>
      <c r="M10" s="825"/>
      <c r="N10" s="826"/>
      <c r="O10" s="827"/>
      <c r="P10" s="828"/>
      <c r="Q10" s="814"/>
    </row>
    <row r="11" spans="1:17" ht="15" thickBot="1" x14ac:dyDescent="0.25">
      <c r="A11" s="817" t="s">
        <v>795</v>
      </c>
      <c r="B11" s="818">
        <v>1070627590</v>
      </c>
      <c r="C11" s="818"/>
      <c r="D11" s="819">
        <v>45947</v>
      </c>
      <c r="E11" s="820" t="s">
        <v>807</v>
      </c>
      <c r="F11" s="821" t="s">
        <v>808</v>
      </c>
      <c r="G11" s="822">
        <v>251000</v>
      </c>
      <c r="H11" s="814"/>
      <c r="J11" s="814"/>
      <c r="K11" s="814"/>
      <c r="L11" s="814"/>
      <c r="M11" s="814"/>
      <c r="N11" s="814"/>
      <c r="O11" s="814"/>
      <c r="P11" s="814"/>
      <c r="Q11" s="814"/>
    </row>
    <row r="12" spans="1:17" ht="15.75" x14ac:dyDescent="0.2">
      <c r="A12" s="817" t="s">
        <v>795</v>
      </c>
      <c r="B12" s="818">
        <v>1072136561</v>
      </c>
      <c r="C12" s="818"/>
      <c r="D12" s="819">
        <v>45947</v>
      </c>
      <c r="E12" s="820" t="s">
        <v>805</v>
      </c>
      <c r="F12" s="821" t="s">
        <v>145</v>
      </c>
      <c r="G12" s="822">
        <v>1670</v>
      </c>
      <c r="H12" s="814"/>
      <c r="J12" s="908" t="s">
        <v>809</v>
      </c>
      <c r="K12" s="909"/>
      <c r="L12" s="909"/>
      <c r="M12" s="909"/>
      <c r="N12" s="909"/>
      <c r="O12" s="909"/>
      <c r="P12" s="910"/>
      <c r="Q12" s="814"/>
    </row>
    <row r="13" spans="1:17" x14ac:dyDescent="0.2">
      <c r="A13" s="817" t="s">
        <v>795</v>
      </c>
      <c r="B13" s="818">
        <v>1119138050</v>
      </c>
      <c r="C13" s="818"/>
      <c r="D13" s="819" t="s">
        <v>810</v>
      </c>
      <c r="E13" s="820" t="s">
        <v>811</v>
      </c>
      <c r="F13" s="821" t="s">
        <v>812</v>
      </c>
      <c r="G13" s="822">
        <v>1000</v>
      </c>
      <c r="H13" s="814"/>
      <c r="J13" s="911" t="s">
        <v>784</v>
      </c>
      <c r="K13" s="912"/>
      <c r="L13" s="912"/>
      <c r="M13" s="912"/>
      <c r="N13" s="912"/>
      <c r="O13" s="912"/>
      <c r="P13" s="913"/>
      <c r="Q13" s="814"/>
    </row>
    <row r="14" spans="1:17" x14ac:dyDescent="0.2">
      <c r="A14" s="817" t="s">
        <v>795</v>
      </c>
      <c r="B14" s="818">
        <v>1123896557</v>
      </c>
      <c r="C14" s="818"/>
      <c r="D14" s="819" t="s">
        <v>813</v>
      </c>
      <c r="E14" s="820" t="s">
        <v>814</v>
      </c>
      <c r="F14" s="821" t="s">
        <v>815</v>
      </c>
      <c r="G14" s="822">
        <v>10000</v>
      </c>
      <c r="H14" s="814"/>
      <c r="J14" s="911" t="s">
        <v>816</v>
      </c>
      <c r="K14" s="912"/>
      <c r="L14" s="912"/>
      <c r="M14" s="912"/>
      <c r="N14" s="912"/>
      <c r="O14" s="912"/>
      <c r="P14" s="913"/>
      <c r="Q14" s="814"/>
    </row>
    <row r="15" spans="1:17" x14ac:dyDescent="0.2">
      <c r="A15" s="817" t="s">
        <v>795</v>
      </c>
      <c r="B15" s="818">
        <v>1130079328</v>
      </c>
      <c r="C15" s="818"/>
      <c r="D15" s="819" t="s">
        <v>817</v>
      </c>
      <c r="E15" s="820" t="s">
        <v>796</v>
      </c>
      <c r="F15" s="821" t="s">
        <v>818</v>
      </c>
      <c r="G15" s="822">
        <v>29451.21</v>
      </c>
      <c r="H15" s="814"/>
      <c r="J15" s="911" t="s">
        <v>786</v>
      </c>
      <c r="K15" s="912"/>
      <c r="L15" s="912"/>
      <c r="M15" s="912"/>
      <c r="N15" s="912"/>
      <c r="O15" s="912"/>
      <c r="P15" s="913"/>
      <c r="Q15" s="814"/>
    </row>
    <row r="16" spans="1:17" ht="15" thickBot="1" x14ac:dyDescent="0.25">
      <c r="A16" s="817" t="s">
        <v>795</v>
      </c>
      <c r="B16" s="818">
        <v>1130087856</v>
      </c>
      <c r="C16" s="818"/>
      <c r="D16" s="819" t="s">
        <v>817</v>
      </c>
      <c r="E16" s="820" t="s">
        <v>796</v>
      </c>
      <c r="F16" s="821" t="s">
        <v>819</v>
      </c>
      <c r="G16" s="822">
        <v>22790.45</v>
      </c>
      <c r="H16" s="814"/>
      <c r="J16" s="914">
        <v>45930</v>
      </c>
      <c r="K16" s="915"/>
      <c r="L16" s="915"/>
      <c r="M16" s="916"/>
      <c r="N16" s="916"/>
      <c r="O16" s="916"/>
      <c r="P16" s="917"/>
      <c r="Q16" s="814"/>
    </row>
    <row r="17" spans="1:17" ht="15" thickBot="1" x14ac:dyDescent="0.25">
      <c r="A17" s="817" t="s">
        <v>795</v>
      </c>
      <c r="B17" s="818">
        <v>1142048038</v>
      </c>
      <c r="C17" s="818"/>
      <c r="D17" s="819" t="s">
        <v>820</v>
      </c>
      <c r="E17" s="820" t="s">
        <v>796</v>
      </c>
      <c r="F17" s="821" t="s">
        <v>821</v>
      </c>
      <c r="G17" s="822">
        <v>30000</v>
      </c>
      <c r="H17" s="823">
        <f>SUM(G7:G17)</f>
        <v>584861.65999999992</v>
      </c>
      <c r="J17" s="914">
        <v>45930</v>
      </c>
      <c r="K17" s="915"/>
      <c r="L17" s="915"/>
      <c r="M17" s="916"/>
      <c r="N17" s="916"/>
      <c r="O17" s="916"/>
      <c r="P17" s="917"/>
      <c r="Q17" s="814"/>
    </row>
    <row r="18" spans="1:17" x14ac:dyDescent="0.2">
      <c r="A18" s="824"/>
      <c r="B18" s="824"/>
      <c r="C18" s="824"/>
      <c r="D18" s="825"/>
      <c r="E18" s="826"/>
      <c r="F18" s="827"/>
      <c r="G18" s="828"/>
      <c r="H18" s="814"/>
      <c r="J18" s="815" t="s">
        <v>787</v>
      </c>
      <c r="K18" s="815" t="s">
        <v>788</v>
      </c>
      <c r="L18" s="815" t="s">
        <v>789</v>
      </c>
      <c r="M18" s="815" t="s">
        <v>790</v>
      </c>
      <c r="N18" s="815" t="s">
        <v>791</v>
      </c>
      <c r="O18" s="815" t="s">
        <v>792</v>
      </c>
      <c r="P18" s="816" t="s">
        <v>793</v>
      </c>
      <c r="Q18" s="814"/>
    </row>
    <row r="19" spans="1:17" x14ac:dyDescent="0.2">
      <c r="A19" s="824"/>
      <c r="B19" s="824"/>
      <c r="C19" s="824"/>
      <c r="D19" s="825"/>
      <c r="E19" s="826"/>
      <c r="F19" s="827"/>
      <c r="G19" s="828"/>
      <c r="H19" s="814"/>
      <c r="J19" s="840" t="s">
        <v>822</v>
      </c>
      <c r="K19" s="795">
        <v>901229653</v>
      </c>
      <c r="L19" s="795"/>
      <c r="M19" s="796" t="s">
        <v>823</v>
      </c>
      <c r="N19" s="797" t="s">
        <v>824</v>
      </c>
      <c r="O19" s="798" t="s">
        <v>825</v>
      </c>
      <c r="P19" s="799">
        <v>1700</v>
      </c>
      <c r="Q19" s="814"/>
    </row>
    <row r="20" spans="1:17" ht="15" thickBot="1" x14ac:dyDescent="0.25">
      <c r="A20" s="814"/>
      <c r="B20" s="814"/>
      <c r="C20" s="814"/>
      <c r="D20" s="814"/>
      <c r="E20" s="814"/>
      <c r="F20" s="814"/>
      <c r="G20" s="814"/>
      <c r="H20" s="814"/>
      <c r="J20" s="840" t="s">
        <v>822</v>
      </c>
      <c r="K20" s="795">
        <v>902440547</v>
      </c>
      <c r="L20" s="795"/>
      <c r="M20" s="796" t="s">
        <v>823</v>
      </c>
      <c r="N20" s="797" t="s">
        <v>824</v>
      </c>
      <c r="O20" s="798" t="s">
        <v>825</v>
      </c>
      <c r="P20" s="799">
        <v>20</v>
      </c>
      <c r="Q20" s="814"/>
    </row>
    <row r="21" spans="1:17" ht="15.75" x14ac:dyDescent="0.2">
      <c r="A21" s="908" t="s">
        <v>826</v>
      </c>
      <c r="B21" s="909"/>
      <c r="C21" s="909"/>
      <c r="D21" s="909"/>
      <c r="E21" s="909"/>
      <c r="F21" s="909"/>
      <c r="G21" s="910"/>
      <c r="H21" s="814"/>
      <c r="J21" s="840" t="s">
        <v>822</v>
      </c>
      <c r="K21" s="795">
        <v>964489228</v>
      </c>
      <c r="L21" s="795"/>
      <c r="M21" s="796">
        <v>45930</v>
      </c>
      <c r="N21" s="797" t="s">
        <v>827</v>
      </c>
      <c r="O21" s="798" t="s">
        <v>828</v>
      </c>
      <c r="P21" s="799">
        <v>1500</v>
      </c>
      <c r="Q21" s="823">
        <f>SUM(P19:P21)</f>
        <v>3220</v>
      </c>
    </row>
    <row r="22" spans="1:17" x14ac:dyDescent="0.2">
      <c r="A22" s="911" t="s">
        <v>829</v>
      </c>
      <c r="B22" s="912"/>
      <c r="C22" s="912"/>
      <c r="D22" s="912"/>
      <c r="E22" s="912"/>
      <c r="F22" s="912"/>
      <c r="G22" s="913"/>
      <c r="H22" s="814"/>
      <c r="J22" s="814"/>
      <c r="K22" s="814"/>
      <c r="L22" s="814"/>
      <c r="M22" s="814"/>
      <c r="N22" s="814"/>
      <c r="O22" s="814"/>
      <c r="P22" s="814"/>
      <c r="Q22" s="814"/>
    </row>
    <row r="23" spans="1:17" ht="15" thickBot="1" x14ac:dyDescent="0.25">
      <c r="A23" s="911" t="s">
        <v>830</v>
      </c>
      <c r="B23" s="912"/>
      <c r="C23" s="912"/>
      <c r="D23" s="912"/>
      <c r="E23" s="912"/>
      <c r="F23" s="912"/>
      <c r="G23" s="913"/>
      <c r="H23" s="814"/>
      <c r="J23" s="814"/>
      <c r="K23" s="814"/>
      <c r="L23" s="814"/>
      <c r="M23" s="814"/>
      <c r="N23" s="814"/>
      <c r="O23" s="814"/>
      <c r="P23" s="814"/>
      <c r="Q23" s="814"/>
    </row>
    <row r="24" spans="1:17" ht="15.75" x14ac:dyDescent="0.2">
      <c r="A24" s="911" t="s">
        <v>786</v>
      </c>
      <c r="B24" s="912"/>
      <c r="C24" s="912"/>
      <c r="D24" s="912"/>
      <c r="E24" s="912"/>
      <c r="F24" s="912"/>
      <c r="G24" s="913"/>
      <c r="H24" s="814"/>
      <c r="J24" s="908" t="s">
        <v>826</v>
      </c>
      <c r="K24" s="909"/>
      <c r="L24" s="909"/>
      <c r="M24" s="909"/>
      <c r="N24" s="909"/>
      <c r="O24" s="909"/>
      <c r="P24" s="910"/>
      <c r="Q24" s="814"/>
    </row>
    <row r="25" spans="1:17" ht="15" thickBot="1" x14ac:dyDescent="0.25">
      <c r="A25" s="914">
        <v>45961</v>
      </c>
      <c r="B25" s="915"/>
      <c r="C25" s="915"/>
      <c r="D25" s="916"/>
      <c r="E25" s="916"/>
      <c r="F25" s="916"/>
      <c r="G25" s="917"/>
      <c r="H25" s="814"/>
      <c r="J25" s="911" t="s">
        <v>829</v>
      </c>
      <c r="K25" s="912"/>
      <c r="L25" s="912"/>
      <c r="M25" s="912"/>
      <c r="N25" s="912"/>
      <c r="O25" s="912"/>
      <c r="P25" s="913"/>
      <c r="Q25" s="814"/>
    </row>
    <row r="26" spans="1:17" x14ac:dyDescent="0.2">
      <c r="A26" s="829" t="s">
        <v>787</v>
      </c>
      <c r="B26" s="829" t="s">
        <v>788</v>
      </c>
      <c r="C26" s="815" t="s">
        <v>789</v>
      </c>
      <c r="D26" s="830" t="s">
        <v>790</v>
      </c>
      <c r="E26" s="815" t="s">
        <v>791</v>
      </c>
      <c r="F26" s="815" t="s">
        <v>792</v>
      </c>
      <c r="G26" s="831" t="s">
        <v>793</v>
      </c>
      <c r="H26" s="814"/>
      <c r="J26" s="911" t="s">
        <v>830</v>
      </c>
      <c r="K26" s="912"/>
      <c r="L26" s="912"/>
      <c r="M26" s="912"/>
      <c r="N26" s="912"/>
      <c r="O26" s="912"/>
      <c r="P26" s="913"/>
      <c r="Q26" s="814"/>
    </row>
    <row r="27" spans="1:17" x14ac:dyDescent="0.2">
      <c r="A27" s="832" t="s">
        <v>795</v>
      </c>
      <c r="B27" s="833">
        <v>523107337</v>
      </c>
      <c r="C27" s="795"/>
      <c r="D27" s="834">
        <v>45944</v>
      </c>
      <c r="E27" s="835" t="s">
        <v>831</v>
      </c>
      <c r="F27" s="798"/>
      <c r="G27" s="836">
        <v>1272.22</v>
      </c>
      <c r="H27" s="814"/>
      <c r="J27" s="911" t="s">
        <v>786</v>
      </c>
      <c r="K27" s="912"/>
      <c r="L27" s="912"/>
      <c r="M27" s="912"/>
      <c r="N27" s="912"/>
      <c r="O27" s="912"/>
      <c r="P27" s="913"/>
      <c r="Q27" s="814"/>
    </row>
    <row r="28" spans="1:17" ht="15" thickBot="1" x14ac:dyDescent="0.25">
      <c r="A28" s="832" t="s">
        <v>795</v>
      </c>
      <c r="B28" s="833">
        <v>737003628</v>
      </c>
      <c r="C28" s="795"/>
      <c r="D28" s="834">
        <v>45951</v>
      </c>
      <c r="E28" s="835" t="s">
        <v>831</v>
      </c>
      <c r="F28" s="798"/>
      <c r="G28" s="836">
        <v>1500</v>
      </c>
      <c r="H28" s="814"/>
      <c r="J28" s="914">
        <v>45930</v>
      </c>
      <c r="K28" s="915"/>
      <c r="L28" s="915"/>
      <c r="M28" s="916"/>
      <c r="N28" s="916"/>
      <c r="O28" s="916"/>
      <c r="P28" s="917"/>
      <c r="Q28" s="814"/>
    </row>
    <row r="29" spans="1:17" x14ac:dyDescent="0.2">
      <c r="A29" s="832" t="s">
        <v>795</v>
      </c>
      <c r="B29" s="833">
        <v>741403452</v>
      </c>
      <c r="C29" s="795"/>
      <c r="D29" s="834">
        <v>45952</v>
      </c>
      <c r="E29" s="835" t="s">
        <v>832</v>
      </c>
      <c r="F29" s="798"/>
      <c r="G29" s="836">
        <v>1.93</v>
      </c>
      <c r="H29" s="814"/>
      <c r="J29" s="815" t="s">
        <v>787</v>
      </c>
      <c r="K29" s="815" t="s">
        <v>788</v>
      </c>
      <c r="L29" s="815" t="s">
        <v>789</v>
      </c>
      <c r="M29" s="815" t="s">
        <v>790</v>
      </c>
      <c r="N29" s="815" t="s">
        <v>791</v>
      </c>
      <c r="O29" s="815" t="s">
        <v>792</v>
      </c>
      <c r="P29" s="816" t="s">
        <v>793</v>
      </c>
      <c r="Q29" s="814"/>
    </row>
    <row r="30" spans="1:17" x14ac:dyDescent="0.2">
      <c r="A30" s="832" t="s">
        <v>795</v>
      </c>
      <c r="B30" s="833">
        <v>878900863</v>
      </c>
      <c r="C30" s="795"/>
      <c r="D30" s="834">
        <v>45956</v>
      </c>
      <c r="E30" s="835" t="s">
        <v>831</v>
      </c>
      <c r="F30" s="798"/>
      <c r="G30" s="836">
        <v>1500</v>
      </c>
      <c r="H30" s="814"/>
      <c r="J30" s="840" t="s">
        <v>795</v>
      </c>
      <c r="K30" s="795">
        <v>1351983156</v>
      </c>
      <c r="L30" s="795"/>
      <c r="M30" s="796">
        <v>45901</v>
      </c>
      <c r="N30" s="797"/>
      <c r="O30" s="797" t="s">
        <v>833</v>
      </c>
      <c r="P30" s="799">
        <v>750</v>
      </c>
      <c r="Q30" s="814"/>
    </row>
    <row r="31" spans="1:17" x14ac:dyDescent="0.2">
      <c r="A31" s="832" t="s">
        <v>795</v>
      </c>
      <c r="B31" s="833">
        <v>1052997285</v>
      </c>
      <c r="C31" s="795"/>
      <c r="D31" s="834">
        <v>45961</v>
      </c>
      <c r="E31" s="835" t="s">
        <v>831</v>
      </c>
      <c r="F31" s="798"/>
      <c r="G31" s="836">
        <v>1500</v>
      </c>
      <c r="H31" s="814"/>
      <c r="J31" s="840" t="s">
        <v>795</v>
      </c>
      <c r="K31" s="795">
        <v>1351983184</v>
      </c>
      <c r="L31" s="795"/>
      <c r="M31" s="796">
        <v>45901</v>
      </c>
      <c r="N31" s="797"/>
      <c r="O31" s="797" t="s">
        <v>833</v>
      </c>
      <c r="P31" s="799">
        <v>1400</v>
      </c>
      <c r="Q31" s="814"/>
    </row>
    <row r="32" spans="1:17" x14ac:dyDescent="0.2">
      <c r="A32" s="832" t="s">
        <v>795</v>
      </c>
      <c r="B32" s="833">
        <v>1065329846</v>
      </c>
      <c r="C32" s="795"/>
      <c r="D32" s="834">
        <v>45961</v>
      </c>
      <c r="E32" s="835" t="s">
        <v>831</v>
      </c>
      <c r="F32" s="798"/>
      <c r="G32" s="836">
        <v>1045.45</v>
      </c>
      <c r="H32" s="837">
        <f>SUM(G27:G32)</f>
        <v>6819.5999999999995</v>
      </c>
      <c r="J32" s="840" t="s">
        <v>795</v>
      </c>
      <c r="K32" s="795">
        <v>1426101102</v>
      </c>
      <c r="L32" s="795"/>
      <c r="M32" s="796">
        <v>45902</v>
      </c>
      <c r="N32" s="797"/>
      <c r="O32" s="797" t="s">
        <v>834</v>
      </c>
      <c r="P32" s="799">
        <v>750</v>
      </c>
      <c r="Q32" s="814"/>
    </row>
    <row r="33" spans="1:17" x14ac:dyDescent="0.2">
      <c r="A33" s="814"/>
      <c r="B33" s="814"/>
      <c r="C33" s="814"/>
      <c r="D33" s="814"/>
      <c r="E33" s="814"/>
      <c r="F33" s="814"/>
      <c r="G33" s="814"/>
      <c r="H33" s="838">
        <f>H17+H32</f>
        <v>591681.25999999989</v>
      </c>
      <c r="J33" s="840" t="s">
        <v>795</v>
      </c>
      <c r="K33" s="795">
        <v>1707253232</v>
      </c>
      <c r="L33" s="795"/>
      <c r="M33" s="796">
        <v>45911</v>
      </c>
      <c r="N33" s="797"/>
      <c r="O33" s="797" t="s">
        <v>831</v>
      </c>
      <c r="P33" s="799">
        <v>1500</v>
      </c>
      <c r="Q33" s="814"/>
    </row>
    <row r="34" spans="1:17" x14ac:dyDescent="0.2">
      <c r="A34" s="814"/>
      <c r="B34" s="814"/>
      <c r="C34" s="814"/>
      <c r="D34" s="814"/>
      <c r="E34" s="814"/>
      <c r="F34" s="814"/>
      <c r="G34" s="814"/>
      <c r="H34" s="814"/>
      <c r="J34" s="840" t="s">
        <v>795</v>
      </c>
      <c r="K34" s="795">
        <v>48089519</v>
      </c>
      <c r="L34" s="795"/>
      <c r="M34" s="796">
        <v>45913</v>
      </c>
      <c r="N34" s="797"/>
      <c r="O34" s="797" t="s">
        <v>835</v>
      </c>
      <c r="P34" s="799">
        <v>1272.22</v>
      </c>
      <c r="Q34" s="814"/>
    </row>
    <row r="35" spans="1:17" x14ac:dyDescent="0.2">
      <c r="J35" s="840" t="s">
        <v>795</v>
      </c>
      <c r="K35" s="795">
        <v>2063051797</v>
      </c>
      <c r="L35" s="795"/>
      <c r="M35" s="796">
        <v>45925</v>
      </c>
      <c r="N35" s="797"/>
      <c r="O35" s="797" t="s">
        <v>831</v>
      </c>
      <c r="P35" s="799">
        <v>1000</v>
      </c>
      <c r="Q35" s="814"/>
    </row>
    <row r="36" spans="1:17" x14ac:dyDescent="0.2">
      <c r="J36" s="840" t="s">
        <v>795</v>
      </c>
      <c r="K36" s="795">
        <v>2084186553</v>
      </c>
      <c r="L36" s="795"/>
      <c r="M36" s="796">
        <v>45925</v>
      </c>
      <c r="N36" s="797"/>
      <c r="O36" s="797" t="s">
        <v>831</v>
      </c>
      <c r="P36" s="799">
        <v>1432</v>
      </c>
      <c r="Q36" s="814"/>
    </row>
    <row r="37" spans="1:17" x14ac:dyDescent="0.2">
      <c r="J37" s="840" t="s">
        <v>795</v>
      </c>
      <c r="K37" s="795">
        <v>23541907</v>
      </c>
      <c r="L37" s="795"/>
      <c r="M37" s="796">
        <v>45928</v>
      </c>
      <c r="N37" s="797"/>
      <c r="O37" s="797" t="s">
        <v>831</v>
      </c>
      <c r="P37" s="799">
        <v>1125</v>
      </c>
      <c r="Q37" s="814"/>
    </row>
    <row r="38" spans="1:17" x14ac:dyDescent="0.2">
      <c r="J38" s="840" t="s">
        <v>795</v>
      </c>
      <c r="K38" s="795">
        <v>23938976</v>
      </c>
      <c r="L38" s="795"/>
      <c r="M38" s="796">
        <v>45928</v>
      </c>
      <c r="N38" s="797"/>
      <c r="O38" s="797" t="s">
        <v>831</v>
      </c>
      <c r="P38" s="799">
        <v>347.06</v>
      </c>
      <c r="Q38" s="814"/>
    </row>
    <row r="39" spans="1:17" x14ac:dyDescent="0.2">
      <c r="J39" s="840" t="s">
        <v>795</v>
      </c>
      <c r="K39" s="795">
        <v>110214721</v>
      </c>
      <c r="L39" s="795"/>
      <c r="M39" s="796">
        <v>45930</v>
      </c>
      <c r="N39" s="797"/>
      <c r="O39" s="797" t="s">
        <v>831</v>
      </c>
      <c r="P39" s="799">
        <v>1500</v>
      </c>
      <c r="Q39" s="814"/>
    </row>
    <row r="40" spans="1:17" x14ac:dyDescent="0.2">
      <c r="J40" s="840" t="s">
        <v>795</v>
      </c>
      <c r="K40" s="795">
        <v>111716644</v>
      </c>
      <c r="L40" s="795"/>
      <c r="M40" s="796">
        <v>45930</v>
      </c>
      <c r="N40" s="797"/>
      <c r="O40" s="797" t="s">
        <v>836</v>
      </c>
      <c r="P40" s="799">
        <v>1400</v>
      </c>
      <c r="Q40" s="837">
        <f>SUM(P30:P40)</f>
        <v>12476.28</v>
      </c>
    </row>
    <row r="41" spans="1:17" x14ac:dyDescent="0.2">
      <c r="J41" s="814"/>
      <c r="K41" s="814"/>
      <c r="L41" s="814"/>
      <c r="M41" s="814"/>
      <c r="N41" s="814"/>
      <c r="O41" s="814"/>
      <c r="P41" s="814"/>
      <c r="Q41" s="838">
        <f>+Q9+Q21+Q40</f>
        <v>31781.279999999999</v>
      </c>
    </row>
    <row r="42" spans="1:17" x14ac:dyDescent="0.2">
      <c r="J42" s="814"/>
      <c r="K42" s="814"/>
      <c r="L42" s="814"/>
      <c r="M42" s="814"/>
      <c r="N42" s="814"/>
      <c r="O42" s="814"/>
      <c r="P42" s="814"/>
      <c r="Q42" s="814"/>
    </row>
  </sheetData>
  <mergeCells count="26">
    <mergeCell ref="J28:P28"/>
    <mergeCell ref="J12:P12"/>
    <mergeCell ref="J13:P13"/>
    <mergeCell ref="J14:P14"/>
    <mergeCell ref="J15:P15"/>
    <mergeCell ref="J16:P16"/>
    <mergeCell ref="J17:P17"/>
    <mergeCell ref="J24:P24"/>
    <mergeCell ref="J25:P25"/>
    <mergeCell ref="J26:P26"/>
    <mergeCell ref="J27:P27"/>
    <mergeCell ref="J1:P1"/>
    <mergeCell ref="J2:P2"/>
    <mergeCell ref="J3:P3"/>
    <mergeCell ref="J4:P4"/>
    <mergeCell ref="J5:P5"/>
    <mergeCell ref="A21:G21"/>
    <mergeCell ref="A22:G22"/>
    <mergeCell ref="A23:G23"/>
    <mergeCell ref="A24:G24"/>
    <mergeCell ref="A25:G25"/>
    <mergeCell ref="A1:G1"/>
    <mergeCell ref="A2:G2"/>
    <mergeCell ref="A3:G3"/>
    <mergeCell ref="A4:G4"/>
    <mergeCell ref="A5:G5"/>
  </mergeCells>
  <conditionalFormatting sqref="B6:B17">
    <cfRule type="duplicateValues" dxfId="79" priority="523"/>
  </conditionalFormatting>
  <conditionalFormatting sqref="B18:B19">
    <cfRule type="duplicateValues" dxfId="78" priority="302"/>
  </conditionalFormatting>
  <conditionalFormatting sqref="C7:C17">
    <cfRule type="duplicateValues" dxfId="77" priority="524"/>
  </conditionalFormatting>
  <conditionalFormatting sqref="C18:C19">
    <cfRule type="duplicateValues" dxfId="76" priority="303"/>
    <cfRule type="duplicateValues" dxfId="75" priority="304"/>
  </conditionalFormatting>
  <conditionalFormatting sqref="C27:C32">
    <cfRule type="duplicateValues" dxfId="74" priority="522"/>
  </conditionalFormatting>
  <conditionalFormatting sqref="G12:G13">
    <cfRule type="duplicateValues" dxfId="73" priority="1"/>
  </conditionalFormatting>
  <conditionalFormatting sqref="H17">
    <cfRule type="duplicateValues" dxfId="72" priority="30"/>
  </conditionalFormatting>
  <conditionalFormatting sqref="H32:H33">
    <cfRule type="duplicateValues" dxfId="71" priority="29"/>
  </conditionalFormatting>
  <conditionalFormatting sqref="K6">
    <cfRule type="duplicateValues" dxfId="70" priority="4"/>
  </conditionalFormatting>
  <conditionalFormatting sqref="K7:K9">
    <cfRule type="duplicateValues" dxfId="69" priority="25"/>
  </conditionalFormatting>
  <conditionalFormatting sqref="K10">
    <cfRule type="duplicateValues" dxfId="68" priority="21"/>
  </conditionalFormatting>
  <conditionalFormatting sqref="K18">
    <cfRule type="duplicateValues" dxfId="67" priority="3"/>
  </conditionalFormatting>
  <conditionalFormatting sqref="K29">
    <cfRule type="duplicateValues" dxfId="66" priority="2"/>
  </conditionalFormatting>
  <conditionalFormatting sqref="L7:L9">
    <cfRule type="duplicateValues" dxfId="65" priority="26"/>
  </conditionalFormatting>
  <conditionalFormatting sqref="L10">
    <cfRule type="duplicateValues" dxfId="64" priority="22"/>
    <cfRule type="duplicateValues" dxfId="63" priority="23"/>
  </conditionalFormatting>
  <conditionalFormatting sqref="L19:L21">
    <cfRule type="duplicateValues" dxfId="62" priority="20"/>
  </conditionalFormatting>
  <conditionalFormatting sqref="L30:L40">
    <cfRule type="duplicateValues" dxfId="61" priority="17"/>
    <cfRule type="duplicateValues" dxfId="60" priority="18"/>
  </conditionalFormatting>
  <conditionalFormatting sqref="N32:N40">
    <cfRule type="duplicateValues" dxfId="59" priority="15"/>
  </conditionalFormatting>
  <conditionalFormatting sqref="P7:P9">
    <cfRule type="duplicateValues" dxfId="58" priority="27"/>
  </conditionalFormatting>
  <conditionalFormatting sqref="P10">
    <cfRule type="duplicateValues" dxfId="57" priority="24"/>
  </conditionalFormatting>
  <conditionalFormatting sqref="P19:P21">
    <cfRule type="duplicateValues" dxfId="56" priority="19"/>
  </conditionalFormatting>
  <conditionalFormatting sqref="P30:P40">
    <cfRule type="duplicateValues" dxfId="55" priority="16"/>
  </conditionalFormatting>
  <conditionalFormatting sqref="Q9">
    <cfRule type="duplicateValues" dxfId="54" priority="14"/>
  </conditionalFormatting>
  <conditionalFormatting sqref="Q21">
    <cfRule type="duplicateValues" dxfId="53" priority="13"/>
  </conditionalFormatting>
  <conditionalFormatting sqref="Q40:Q41">
    <cfRule type="duplicateValues" dxfId="52" priority="12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F6AD-7638-4EE9-B201-E5A130C4C52F}">
  <sheetPr>
    <tabColor theme="1"/>
    <outlinePr summaryBelow="0"/>
  </sheetPr>
  <dimension ref="A1:AW611"/>
  <sheetViews>
    <sheetView showGridLines="0" zoomScale="80" zoomScaleNormal="80" workbookViewId="0">
      <pane xSplit="7" ySplit="8" topLeftCell="AI252" activePane="bottomRight" state="frozen"/>
      <selection pane="topRight" activeCell="AK284" sqref="AK284"/>
      <selection pane="bottomLeft" activeCell="AK284" sqref="AK284"/>
      <selection pane="bottomRight" activeCell="AK284" sqref="AK284"/>
    </sheetView>
  </sheetViews>
  <sheetFormatPr defaultColWidth="11" defaultRowHeight="15" customHeight="1" outlineLevelRow="1" outlineLevelCol="1" x14ac:dyDescent="0.25"/>
  <cols>
    <col min="1" max="1" width="4.28515625" style="316" hidden="1" customWidth="1" outlineLevel="1"/>
    <col min="2" max="2" width="7.7109375" style="318" customWidth="1" collapsed="1"/>
    <col min="3" max="4" width="11.7109375" style="315" hidden="1" customWidth="1" outlineLevel="1"/>
    <col min="5" max="5" width="13.7109375" style="315" hidden="1" customWidth="1" outlineLevel="1"/>
    <col min="6" max="6" width="45.7109375" style="315" customWidth="1" collapsed="1"/>
    <col min="7" max="7" width="12.42578125" style="318" customWidth="1"/>
    <col min="8" max="8" width="12.28515625" style="316" customWidth="1" outlineLevel="1"/>
    <col min="9" max="16" width="12.28515625" style="315" customWidth="1" outlineLevel="1"/>
    <col min="17" max="17" width="12.28515625" style="315" customWidth="1"/>
    <col min="18" max="22" width="12.28515625" style="315" customWidth="1" outlineLevel="1"/>
    <col min="23" max="23" width="12.28515625" style="315" customWidth="1"/>
    <col min="24" max="26" width="12.28515625" style="315" customWidth="1" outlineLevel="1"/>
    <col min="27" max="27" width="12.28515625" style="315" customWidth="1" outlineLevel="1" collapsed="1"/>
    <col min="28" max="28" width="12.28515625" style="315" customWidth="1" outlineLevel="1"/>
    <col min="29" max="29" width="12.28515625" style="315" customWidth="1"/>
    <col min="30" max="34" width="12.28515625" style="315" customWidth="1" outlineLevel="1"/>
    <col min="35" max="35" width="12.28515625" style="315" customWidth="1"/>
    <col min="36" max="40" width="12.28515625" style="315" customWidth="1" outlineLevel="1"/>
    <col min="41" max="41" width="12.28515625" style="315" customWidth="1"/>
    <col min="42" max="42" width="13.7109375" style="315" customWidth="1"/>
    <col min="43" max="43" width="13.7109375" style="318" customWidth="1"/>
    <col min="44" max="44" width="14.7109375" style="315" customWidth="1" outlineLevel="1"/>
    <col min="45" max="45" width="10.7109375" style="315" customWidth="1" outlineLevel="1"/>
    <col min="46" max="46" width="9.7109375" style="315" customWidth="1"/>
    <col min="47" max="47" width="17.85546875" style="315" bestFit="1" customWidth="1"/>
    <col min="48" max="48" width="12.7109375" style="315" customWidth="1"/>
    <col min="49" max="16384" width="11" style="315"/>
  </cols>
  <sheetData>
    <row r="1" spans="1:48" s="581" customFormat="1" ht="15" customHeight="1" x14ac:dyDescent="0.25">
      <c r="A1" s="691"/>
      <c r="B1" s="564"/>
      <c r="G1" s="564"/>
      <c r="H1" s="691"/>
      <c r="AQ1" s="564"/>
    </row>
    <row r="2" spans="1:48" s="581" customFormat="1" ht="15.75" x14ac:dyDescent="0.25">
      <c r="A2" s="691"/>
      <c r="B2" s="750" t="s">
        <v>341</v>
      </c>
      <c r="E2" s="682"/>
      <c r="G2" s="564"/>
      <c r="H2" s="691"/>
      <c r="AI2" s="652"/>
      <c r="AJ2" s="652"/>
      <c r="AK2" s="652"/>
      <c r="AL2" s="652"/>
      <c r="AM2" s="652"/>
      <c r="AN2" s="652"/>
      <c r="AO2" s="652"/>
      <c r="AP2" s="652"/>
      <c r="AQ2" s="751"/>
    </row>
    <row r="3" spans="1:48" s="581" customFormat="1" ht="15.75" x14ac:dyDescent="0.25">
      <c r="A3" s="752"/>
      <c r="B3" s="670" t="s">
        <v>342</v>
      </c>
      <c r="G3" s="564"/>
      <c r="H3" s="691"/>
      <c r="AQ3" s="564"/>
    </row>
    <row r="4" spans="1:48" s="581" customFormat="1" ht="15.75" x14ac:dyDescent="0.25">
      <c r="A4" s="691"/>
      <c r="B4" s="670" t="s">
        <v>837</v>
      </c>
      <c r="G4" s="753" t="s">
        <v>838</v>
      </c>
      <c r="AD4" s="754">
        <f>AD307</f>
        <v>-67997.63</v>
      </c>
      <c r="AE4" s="754">
        <f>AE307</f>
        <v>119387.33000000002</v>
      </c>
      <c r="AF4" s="754">
        <f>AF307</f>
        <v>20435.330000000002</v>
      </c>
      <c r="AG4" s="754">
        <f>AG307</f>
        <v>144254.43000000002</v>
      </c>
      <c r="AH4" s="754">
        <f t="shared" ref="AH4" si="0">AH307</f>
        <v>162044.33000000002</v>
      </c>
      <c r="AI4" s="754">
        <f t="shared" ref="AI4:AK4" si="1">AI307</f>
        <v>13284.949999999997</v>
      </c>
      <c r="AJ4" s="754">
        <f t="shared" si="1"/>
        <v>162031.32799999998</v>
      </c>
      <c r="AK4" s="754">
        <f t="shared" si="1"/>
        <v>-93950.080000000002</v>
      </c>
      <c r="AL4" s="754">
        <f>AL307</f>
        <v>-44292.549999999988</v>
      </c>
      <c r="AM4" s="754">
        <f>AM307</f>
        <v>295252.06999999995</v>
      </c>
      <c r="AN4" s="754">
        <f>AN307</f>
        <v>0</v>
      </c>
      <c r="AO4" s="754">
        <f>AO307</f>
        <v>0</v>
      </c>
      <c r="AQ4" s="564"/>
      <c r="AV4" s="754">
        <f>SUM(AV9:AV306)</f>
        <v>447292.13999999996</v>
      </c>
    </row>
    <row r="5" spans="1:48" s="581" customFormat="1" ht="15.75" x14ac:dyDescent="0.25">
      <c r="A5" s="691"/>
      <c r="B5" s="670" t="s">
        <v>839</v>
      </c>
      <c r="F5" s="664"/>
      <c r="G5" s="755">
        <v>45961</v>
      </c>
      <c r="H5" s="665"/>
      <c r="I5" s="665"/>
      <c r="J5" s="665"/>
      <c r="K5" s="665"/>
      <c r="L5" s="665"/>
      <c r="M5" s="665"/>
      <c r="N5" s="665"/>
      <c r="O5" s="665"/>
      <c r="P5" s="665"/>
      <c r="Q5" s="665"/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  <c r="AC5" s="665"/>
      <c r="AD5" s="665"/>
      <c r="AE5" s="665"/>
      <c r="AF5" s="665"/>
      <c r="AG5" s="665"/>
      <c r="AH5" s="665"/>
      <c r="AI5" s="665"/>
      <c r="AJ5" s="665"/>
      <c r="AK5" s="665"/>
      <c r="AL5" s="665"/>
      <c r="AM5" s="665"/>
      <c r="AN5" s="665"/>
      <c r="AO5" s="665"/>
      <c r="AP5" s="665"/>
      <c r="AQ5" s="665"/>
      <c r="AT5" s="665"/>
    </row>
    <row r="6" spans="1:48" s="581" customFormat="1" ht="12.75" customHeight="1" outlineLevel="1" x14ac:dyDescent="0.25">
      <c r="A6" s="691"/>
      <c r="B6" s="664"/>
      <c r="C6" s="664"/>
      <c r="D6" s="664"/>
      <c r="E6" s="664"/>
      <c r="F6" s="664"/>
      <c r="G6" s="676" t="s">
        <v>840</v>
      </c>
      <c r="H6" s="664">
        <v>1</v>
      </c>
      <c r="I6" s="664">
        <f t="shared" ref="I6:AO6" si="2">IF(I7="No aplica","",H6+1)</f>
        <v>2</v>
      </c>
      <c r="J6" s="664">
        <f t="shared" si="2"/>
        <v>3</v>
      </c>
      <c r="K6" s="664">
        <f t="shared" si="2"/>
        <v>4</v>
      </c>
      <c r="L6" s="664">
        <f t="shared" si="2"/>
        <v>5</v>
      </c>
      <c r="M6" s="664">
        <f t="shared" si="2"/>
        <v>6</v>
      </c>
      <c r="N6" s="664">
        <f t="shared" si="2"/>
        <v>7</v>
      </c>
      <c r="O6" s="664">
        <f t="shared" si="2"/>
        <v>8</v>
      </c>
      <c r="P6" s="664">
        <f t="shared" si="2"/>
        <v>9</v>
      </c>
      <c r="Q6" s="664">
        <f t="shared" si="2"/>
        <v>10</v>
      </c>
      <c r="R6" s="664">
        <f t="shared" si="2"/>
        <v>11</v>
      </c>
      <c r="S6" s="664">
        <f t="shared" si="2"/>
        <v>12</v>
      </c>
      <c r="T6" s="664">
        <f t="shared" si="2"/>
        <v>13</v>
      </c>
      <c r="U6" s="664">
        <f t="shared" si="2"/>
        <v>14</v>
      </c>
      <c r="V6" s="664">
        <f t="shared" si="2"/>
        <v>15</v>
      </c>
      <c r="W6" s="664">
        <f t="shared" si="2"/>
        <v>16</v>
      </c>
      <c r="X6" s="664">
        <f t="shared" si="2"/>
        <v>17</v>
      </c>
      <c r="Y6" s="664">
        <f t="shared" si="2"/>
        <v>18</v>
      </c>
      <c r="Z6" s="664">
        <f t="shared" si="2"/>
        <v>19</v>
      </c>
      <c r="AA6" s="664">
        <f t="shared" si="2"/>
        <v>20</v>
      </c>
      <c r="AB6" s="664">
        <f t="shared" si="2"/>
        <v>21</v>
      </c>
      <c r="AC6" s="664">
        <f t="shared" si="2"/>
        <v>22</v>
      </c>
      <c r="AD6" s="664">
        <f t="shared" si="2"/>
        <v>23</v>
      </c>
      <c r="AE6" s="664">
        <f t="shared" si="2"/>
        <v>24</v>
      </c>
      <c r="AF6" s="664">
        <f t="shared" si="2"/>
        <v>25</v>
      </c>
      <c r="AG6" s="664">
        <f t="shared" si="2"/>
        <v>26</v>
      </c>
      <c r="AH6" s="664">
        <f t="shared" si="2"/>
        <v>27</v>
      </c>
      <c r="AI6" s="664">
        <f t="shared" si="2"/>
        <v>28</v>
      </c>
      <c r="AJ6" s="664">
        <f t="shared" si="2"/>
        <v>29</v>
      </c>
      <c r="AK6" s="664">
        <f t="shared" si="2"/>
        <v>30</v>
      </c>
      <c r="AL6" s="664">
        <f t="shared" si="2"/>
        <v>31</v>
      </c>
      <c r="AM6" s="664">
        <f t="shared" si="2"/>
        <v>32</v>
      </c>
      <c r="AN6" s="664" t="str">
        <f t="shared" si="2"/>
        <v/>
      </c>
      <c r="AO6" s="664" t="str">
        <f t="shared" si="2"/>
        <v/>
      </c>
      <c r="AP6" s="664"/>
      <c r="AQ6" s="664"/>
      <c r="AT6" s="665"/>
    </row>
    <row r="7" spans="1:48" s="581" customFormat="1" ht="12.75" customHeight="1" outlineLevel="1" x14ac:dyDescent="0.25">
      <c r="A7" s="691"/>
      <c r="B7" s="664"/>
      <c r="C7" s="664"/>
      <c r="D7" s="664"/>
      <c r="E7" s="664"/>
      <c r="F7" s="664"/>
      <c r="G7" s="676"/>
      <c r="H7" s="665">
        <f t="shared" ref="H7:AO7" si="3">IF(H8&lt;=$G$5,H8,"No aplica")</f>
        <v>45016</v>
      </c>
      <c r="I7" s="665">
        <f t="shared" si="3"/>
        <v>45046</v>
      </c>
      <c r="J7" s="665">
        <f t="shared" si="3"/>
        <v>45077</v>
      </c>
      <c r="K7" s="665">
        <f t="shared" si="3"/>
        <v>45107</v>
      </c>
      <c r="L7" s="665">
        <f t="shared" si="3"/>
        <v>45138</v>
      </c>
      <c r="M7" s="665">
        <f t="shared" si="3"/>
        <v>45169</v>
      </c>
      <c r="N7" s="665">
        <f t="shared" si="3"/>
        <v>45199</v>
      </c>
      <c r="O7" s="665">
        <f t="shared" si="3"/>
        <v>45230</v>
      </c>
      <c r="P7" s="665">
        <f t="shared" si="3"/>
        <v>45260</v>
      </c>
      <c r="Q7" s="665">
        <f t="shared" si="3"/>
        <v>45291</v>
      </c>
      <c r="R7" s="665">
        <f t="shared" si="3"/>
        <v>45322</v>
      </c>
      <c r="S7" s="665">
        <f t="shared" si="3"/>
        <v>45351</v>
      </c>
      <c r="T7" s="665">
        <f t="shared" si="3"/>
        <v>45382</v>
      </c>
      <c r="U7" s="665">
        <f t="shared" si="3"/>
        <v>45412</v>
      </c>
      <c r="V7" s="665">
        <f t="shared" si="3"/>
        <v>45443</v>
      </c>
      <c r="W7" s="665">
        <f t="shared" si="3"/>
        <v>45473</v>
      </c>
      <c r="X7" s="665">
        <f t="shared" si="3"/>
        <v>45504</v>
      </c>
      <c r="Y7" s="665">
        <f t="shared" si="3"/>
        <v>45535</v>
      </c>
      <c r="Z7" s="665">
        <f t="shared" si="3"/>
        <v>45565</v>
      </c>
      <c r="AA7" s="665">
        <f t="shared" si="3"/>
        <v>45596</v>
      </c>
      <c r="AB7" s="665">
        <f t="shared" si="3"/>
        <v>45626</v>
      </c>
      <c r="AC7" s="665">
        <f t="shared" si="3"/>
        <v>45657</v>
      </c>
      <c r="AD7" s="665">
        <f t="shared" si="3"/>
        <v>45688</v>
      </c>
      <c r="AE7" s="665">
        <f t="shared" si="3"/>
        <v>45716</v>
      </c>
      <c r="AF7" s="665">
        <f t="shared" si="3"/>
        <v>45747</v>
      </c>
      <c r="AG7" s="665">
        <f t="shared" si="3"/>
        <v>45777</v>
      </c>
      <c r="AH7" s="665">
        <f t="shared" si="3"/>
        <v>45808</v>
      </c>
      <c r="AI7" s="665">
        <f t="shared" si="3"/>
        <v>45838</v>
      </c>
      <c r="AJ7" s="665">
        <f t="shared" si="3"/>
        <v>45869</v>
      </c>
      <c r="AK7" s="665">
        <f t="shared" si="3"/>
        <v>45900</v>
      </c>
      <c r="AL7" s="665">
        <f t="shared" si="3"/>
        <v>45930</v>
      </c>
      <c r="AM7" s="665">
        <f t="shared" si="3"/>
        <v>45961</v>
      </c>
      <c r="AN7" s="665" t="str">
        <f t="shared" si="3"/>
        <v>No aplica</v>
      </c>
      <c r="AO7" s="665" t="str">
        <f t="shared" si="3"/>
        <v>No aplica</v>
      </c>
      <c r="AP7" s="665"/>
      <c r="AQ7" s="665"/>
      <c r="AT7" s="665"/>
    </row>
    <row r="8" spans="1:48" ht="45" customHeight="1" outlineLevel="1" x14ac:dyDescent="0.25">
      <c r="A8" s="758" t="s">
        <v>841</v>
      </c>
      <c r="B8" s="684" t="s">
        <v>131</v>
      </c>
      <c r="C8" s="684" t="s">
        <v>132</v>
      </c>
      <c r="D8" s="684" t="s">
        <v>331</v>
      </c>
      <c r="E8" s="684" t="s">
        <v>65</v>
      </c>
      <c r="F8" s="684" t="s">
        <v>66</v>
      </c>
      <c r="G8" s="684" t="s">
        <v>133</v>
      </c>
      <c r="H8" s="685">
        <v>45016</v>
      </c>
      <c r="I8" s="685">
        <v>45046</v>
      </c>
      <c r="J8" s="685">
        <v>45077</v>
      </c>
      <c r="K8" s="685">
        <v>45107</v>
      </c>
      <c r="L8" s="685">
        <v>45138</v>
      </c>
      <c r="M8" s="685">
        <v>45169</v>
      </c>
      <c r="N8" s="685">
        <v>45199</v>
      </c>
      <c r="O8" s="685">
        <v>45230</v>
      </c>
      <c r="P8" s="685">
        <v>45260</v>
      </c>
      <c r="Q8" s="685">
        <v>45291</v>
      </c>
      <c r="R8" s="685">
        <v>45322</v>
      </c>
      <c r="S8" s="685">
        <v>45351</v>
      </c>
      <c r="T8" s="685">
        <v>45382</v>
      </c>
      <c r="U8" s="685">
        <v>45412</v>
      </c>
      <c r="V8" s="685">
        <v>45443</v>
      </c>
      <c r="W8" s="685">
        <v>45473</v>
      </c>
      <c r="X8" s="685">
        <v>45504</v>
      </c>
      <c r="Y8" s="685">
        <v>45535</v>
      </c>
      <c r="Z8" s="685">
        <v>45565</v>
      </c>
      <c r="AA8" s="685">
        <v>45596</v>
      </c>
      <c r="AB8" s="685">
        <v>45626</v>
      </c>
      <c r="AC8" s="685">
        <v>45657</v>
      </c>
      <c r="AD8" s="685">
        <v>45688</v>
      </c>
      <c r="AE8" s="685">
        <v>45716</v>
      </c>
      <c r="AF8" s="685">
        <v>45747</v>
      </c>
      <c r="AG8" s="685">
        <v>45777</v>
      </c>
      <c r="AH8" s="685">
        <v>45808</v>
      </c>
      <c r="AI8" s="685">
        <v>45838</v>
      </c>
      <c r="AJ8" s="685">
        <v>45869</v>
      </c>
      <c r="AK8" s="685">
        <v>45900</v>
      </c>
      <c r="AL8" s="685">
        <v>45930</v>
      </c>
      <c r="AM8" s="685">
        <v>45961</v>
      </c>
      <c r="AN8" s="685">
        <v>45991</v>
      </c>
      <c r="AO8" s="685">
        <v>46022</v>
      </c>
      <c r="AP8" s="686" t="str">
        <f>"DELTA AL "&amp;TEXT(G5,"DD MMM YYY")</f>
        <v>DELTA AL 31 oct 2025</v>
      </c>
      <c r="AQ8" s="757" t="s">
        <v>842</v>
      </c>
      <c r="AR8" s="672" t="s">
        <v>843</v>
      </c>
      <c r="AS8" s="672" t="s">
        <v>844</v>
      </c>
      <c r="AT8" s="672" t="s">
        <v>845</v>
      </c>
      <c r="AU8" s="759" t="s">
        <v>846</v>
      </c>
      <c r="AV8" s="757" t="s">
        <v>847</v>
      </c>
    </row>
    <row r="9" spans="1:48" s="581" customFormat="1" ht="12.4" customHeight="1" outlineLevel="1" x14ac:dyDescent="0.25">
      <c r="A9" s="703">
        <f>'BOULEVARD 5'!BQ7</f>
        <v>0</v>
      </c>
      <c r="B9" s="564">
        <f>'BOULEVARD 5'!B7</f>
        <v>101</v>
      </c>
      <c r="C9" s="564" t="s">
        <v>355</v>
      </c>
      <c r="D9" s="564"/>
      <c r="E9" s="564" t="str">
        <f>IF('BOULEVARD 5'!E7&lt;&gt;0,'BOULEVARD 5'!E7,"")</f>
        <v>Jose Franco</v>
      </c>
      <c r="F9" s="581" t="str">
        <f>IF('BOULEVARD 5'!F7&lt;&gt;0,'BOULEVARD 5'!F7,"")</f>
        <v>Karla Michelle Abril Valencia De Galicia</v>
      </c>
      <c r="G9" s="566">
        <f>IF('BOULEVARD 5'!G7="","",'BOULEVARD 5'!G7)</f>
        <v>45012</v>
      </c>
      <c r="H9" s="756">
        <f>IF(OR($A9="F&amp;F",$A9="CE",H$7="No aplica"),0,'BOULEVARD 5'!K7-'BOULEVARD PPTO'!C2)</f>
        <v>0</v>
      </c>
      <c r="I9" s="756">
        <f>IF(OR($A9="F&amp;F",$A9="CE",I$7="No aplica"),0,'BOULEVARD 5'!L7-'BOULEVARD PPTO'!D2)</f>
        <v>0</v>
      </c>
      <c r="J9" s="756">
        <f>IF(OR($A9="F&amp;F",$A9="CE",J$7="No aplica"),0,'BOULEVARD 5'!M7-'BOULEVARD PPTO'!E2)</f>
        <v>0</v>
      </c>
      <c r="K9" s="756">
        <f>IF(OR($A9="F&amp;F",$A9="CE",K$7="No aplica"),0,'BOULEVARD 5'!N7-'BOULEVARD PPTO'!F2)</f>
        <v>0</v>
      </c>
      <c r="L9" s="756">
        <f>IF(OR($A9="F&amp;F",$A9="CE",L$7="No aplica"),0,'BOULEVARD 5'!O7-'BOULEVARD PPTO'!G2)</f>
        <v>30</v>
      </c>
      <c r="M9" s="756">
        <f>IF(OR($A9="F&amp;F",$A9="CE",M$7="No aplica"),0,'BOULEVARD 5'!P7-'BOULEVARD PPTO'!H2)</f>
        <v>0</v>
      </c>
      <c r="N9" s="756">
        <f>IF(OR($A9="F&amp;F",$A9="CE",N$7="No aplica"),0,'BOULEVARD 5'!Q7-'BOULEVARD PPTO'!I2)</f>
        <v>0</v>
      </c>
      <c r="O9" s="756">
        <f>IF(OR($A9="F&amp;F",$A9="CE",O$7="No aplica"),0,'BOULEVARD 5'!R7-'BOULEVARD PPTO'!J2)</f>
        <v>0</v>
      </c>
      <c r="P9" s="756">
        <f>IF(OR($A9="F&amp;F",$A9="CE",P$7="No aplica"),0,'BOULEVARD 5'!S7-'BOULEVARD PPTO'!K2)</f>
        <v>0</v>
      </c>
      <c r="Q9" s="760">
        <f>IF(OR($A9="F&amp;F",$A9="CE",Q$7="No aplica"),0,'BOULEVARD 5'!T7-'BOULEVARD PPTO'!L2)</f>
        <v>0</v>
      </c>
      <c r="R9" s="760">
        <f>IF(OR($A9="F&amp;F",$A9="CE",R$7="No aplica"),0,'BOULEVARD 5'!U7-'BOULEVARD PPTO'!M2)</f>
        <v>0</v>
      </c>
      <c r="S9" s="760">
        <f>IF(OR($A9="F&amp;F",$A9="CE",S$7="No aplica"),0,'BOULEVARD 5'!V7-'BOULEVARD PPTO'!N2)</f>
        <v>0</v>
      </c>
      <c r="T9" s="760">
        <f>IF(OR($A9="F&amp;F",$A9="CE",T$7="No aplica"),0,'BOULEVARD 5'!W7-'BOULEVARD PPTO'!O2)</f>
        <v>0</v>
      </c>
      <c r="U9" s="760">
        <f>IF(OR($A9="F&amp;F",$A9="CE",U$7="No aplica"),0,'BOULEVARD 5'!X7-'BOULEVARD PPTO'!P2)</f>
        <v>0</v>
      </c>
      <c r="V9" s="760">
        <f>IF(OR($A9="F&amp;F",$A9="CE",V$7="No aplica"),0,'BOULEVARD 5'!Y7-'BOULEVARD PPTO'!Q2)</f>
        <v>0</v>
      </c>
      <c r="W9" s="760">
        <f>IF(OR($A9="F&amp;F",$A9="CE",W$7="No aplica"),0,'BOULEVARD 5'!Z7-'BOULEVARD PPTO'!R2)</f>
        <v>0</v>
      </c>
      <c r="X9" s="760">
        <f>IF(OR($A9="F&amp;F",$A9="CE",X$7="No aplica"),0,'BOULEVARD 5'!AA7-'BOULEVARD PPTO'!S2)</f>
        <v>0</v>
      </c>
      <c r="Y9" s="760">
        <f>IF(OR($A9="F&amp;F",$A9="CE",Y$7="No aplica"),0,'BOULEVARD 5'!AB7-'BOULEVARD PPTO'!T2)</f>
        <v>0</v>
      </c>
      <c r="Z9" s="760">
        <f>IF(OR($A9="F&amp;F",$A9="CE",Z$7="No aplica"),0,'BOULEVARD 5'!AC7-'BOULEVARD PPTO'!U2)</f>
        <v>0</v>
      </c>
      <c r="AA9" s="760">
        <f>IF(OR($A9="F&amp;F",$A9="CE",AA$7="No aplica"),0,'BOULEVARD 5'!AD7-'BOULEVARD PPTO'!V2)</f>
        <v>0</v>
      </c>
      <c r="AB9" s="760">
        <f>IF(OR($A9="F&amp;F",$A9="CE",AB$7="No aplica"),0,'BOULEVARD 5'!AE7-'BOULEVARD PPTO'!W2)</f>
        <v>0</v>
      </c>
      <c r="AC9" s="760">
        <f>IF(OR($A9="F&amp;F",$A9="CE",AC$7="No aplica"),0,'BOULEVARD 5'!AF7-'BOULEVARD PPTO'!X2)</f>
        <v>0</v>
      </c>
      <c r="AD9" s="760">
        <f>IF(OR($A9="F&amp;F",$A9="CE",AD$7="No aplica"),0,'BOULEVARD 5'!AG7-'BOULEVARD PPTO'!Y2)</f>
        <v>0</v>
      </c>
      <c r="AE9" s="760">
        <f>IF(OR($A9="F&amp;F",$A9="CE",AE$7="No aplica"),0,'BOULEVARD 5'!AH7-'BOULEVARD PPTO'!Z2)</f>
        <v>0</v>
      </c>
      <c r="AF9" s="760">
        <f>IF(OR($A9="F&amp;F",$A9="CE",AF$7="No aplica"),0,'BOULEVARD 5'!AI7-'BOULEVARD PPTO'!AA2)</f>
        <v>0</v>
      </c>
      <c r="AG9" s="760">
        <f>IF(OR($A9="F&amp;F",$A9="CE",AG$7="No aplica"),0,'BOULEVARD 5'!AJ7-'BOULEVARD PPTO'!AB2)</f>
        <v>0</v>
      </c>
      <c r="AH9" s="760">
        <f>IF(OR($A9="F&amp;F",$A9="CE",AH$7="No aplica"),0,'BOULEVARD 5'!AK7-'BOULEVARD PPTO'!AC2)</f>
        <v>0</v>
      </c>
      <c r="AI9" s="760">
        <f>IF(OR($A9="F&amp;F",$A9="CE",AI$7="No aplica"),0,'BOULEVARD 5'!AL7-'BOULEVARD PPTO'!AD2)</f>
        <v>0</v>
      </c>
      <c r="AJ9" s="760">
        <f>IF(OR($A9="F&amp;F",$A9="CE",AJ$7="No aplica"),0,'BOULEVARD 5'!AM7-'BOULEVARD PPTO'!AE2)</f>
        <v>0</v>
      </c>
      <c r="AK9" s="760">
        <f>IF(OR($A9="F&amp;F",$A9="CE",AK$7="No aplica"),0,'BOULEVARD 5'!AN7-'BOULEVARD PPTO'!AF2)</f>
        <v>0</v>
      </c>
      <c r="AL9" s="760">
        <f>IF(OR($A9="F&amp;F",$A9="CE",AL$7="No aplica"),0,'BOULEVARD 5'!AO7-'BOULEVARD PPTO'!AG2)</f>
        <v>0</v>
      </c>
      <c r="AM9" s="760">
        <f>IF(OR($A9="F&amp;F",$A9="CE",AM$7="No aplica"),0,'BOULEVARD 5'!AP7-'BOULEVARD PPTO'!AH2)</f>
        <v>0</v>
      </c>
      <c r="AN9" s="760">
        <f>IF(OR($A9="F&amp;F",$A9="CE",AN$7="No aplica"),0,'BOULEVARD 5'!AQ7-'BOULEVARD PPTO'!AI2)</f>
        <v>0</v>
      </c>
      <c r="AO9" s="760">
        <f>IF(OR($A9="F&amp;F",$A9="CE",AO$7="No aplica"),0,'BOULEVARD 5'!AS7-'BOULEVARD PPTO'!AJ2)</f>
        <v>0</v>
      </c>
      <c r="AP9" s="761">
        <f>SUBTOTAL(9,H9:AO9)</f>
        <v>30</v>
      </c>
      <c r="AQ9" s="761">
        <f>IF(OR(A9="F&amp;F",A9="CE"),0,AQ314-AP314)</f>
        <v>-1690</v>
      </c>
      <c r="AR9" s="674">
        <f>IF(A9=0,'BOULEVARD 5'!BF7,0)</f>
        <v>6000</v>
      </c>
      <c r="AS9" s="674">
        <f>IF(A9=0,'BOULEVARD 5'!BG7,0)</f>
        <v>1670</v>
      </c>
      <c r="AT9" s="675" t="str">
        <f t="shared" ref="AT9:AT72" si="4">IF(G9="","No Vendido","Vendido")</f>
        <v>Vendido</v>
      </c>
      <c r="AU9" s="581" t="str">
        <f t="shared" ref="AU9:AU33" si="5">IF(AP9&gt;0,"A FAVOR DEL CLIENTE",IF(AP9&lt;0,"POR COBRAR",IF(AP9=0,"","N/A")))</f>
        <v>A FAVOR DEL CLIENTE</v>
      </c>
      <c r="AV9" s="760">
        <f t="shared" ref="AV9:AV11" si="6">IF(_xlfn.XLOOKUP($G$5,$Q$8:$AO$8,$Q9:$AO9)&gt;0,_xlfn.XLOOKUP($G$5,$Q$8:$AO$8,$Q9:$AO9),0)</f>
        <v>0</v>
      </c>
    </row>
    <row r="10" spans="1:48" s="581" customFormat="1" ht="12.4" customHeight="1" outlineLevel="1" x14ac:dyDescent="0.25">
      <c r="A10" s="703">
        <f>'BOULEVARD 5'!BQ8</f>
        <v>0</v>
      </c>
      <c r="B10" s="564">
        <v>102</v>
      </c>
      <c r="C10" s="564" t="s">
        <v>358</v>
      </c>
      <c r="D10" s="564"/>
      <c r="E10" s="564" t="str">
        <f>IF('BOULEVARD 5'!E8&lt;&gt;0,'BOULEVARD 5'!E8,"")</f>
        <v>Erwin Cardona</v>
      </c>
      <c r="F10" s="581" t="str">
        <f>IF('BOULEVARD 5'!F8&lt;&gt;0,'BOULEVARD 5'!F8,"")</f>
        <v>Irma Leticia Villatoro Bucaro</v>
      </c>
      <c r="G10" s="566">
        <f>IF('BOULEVARD 5'!G8="","",'BOULEVARD 5'!G8)</f>
        <v>46012</v>
      </c>
      <c r="H10" s="756">
        <f>IF(OR($A10="F&amp;F",$A10="CE",H$7="No aplica"),0,'BOULEVARD 5'!K8-'BOULEVARD PPTO'!C3)</f>
        <v>0</v>
      </c>
      <c r="I10" s="756">
        <f>IF(OR($A10="F&amp;F",$A10="CE",I$7="No aplica"),0,'BOULEVARD 5'!L8-'BOULEVARD PPTO'!D3)</f>
        <v>0</v>
      </c>
      <c r="J10" s="756">
        <f>IF(OR($A10="F&amp;F",$A10="CE",J$7="No aplica"),0,'BOULEVARD 5'!M8-'BOULEVARD PPTO'!E3)</f>
        <v>0</v>
      </c>
      <c r="K10" s="756">
        <f>IF(OR($A10="F&amp;F",$A10="CE",K$7="No aplica"),0,'BOULEVARD 5'!N8-'BOULEVARD PPTO'!F3)</f>
        <v>0</v>
      </c>
      <c r="L10" s="756">
        <f>IF(OR($A10="F&amp;F",$A10="CE",L$7="No aplica"),0,'BOULEVARD 5'!O8-'BOULEVARD PPTO'!G3)</f>
        <v>0</v>
      </c>
      <c r="M10" s="756">
        <f>IF(OR($A10="F&amp;F",$A10="CE",M$7="No aplica"),0,'BOULEVARD 5'!P8-'BOULEVARD PPTO'!H3)</f>
        <v>0</v>
      </c>
      <c r="N10" s="756">
        <f>IF(OR($A10="F&amp;F",$A10="CE",N$7="No aplica"),0,'BOULEVARD 5'!Q8-'BOULEVARD PPTO'!I3)</f>
        <v>0</v>
      </c>
      <c r="O10" s="756">
        <f>IF(OR($A10="F&amp;F",$A10="CE",O$7="No aplica"),0,'BOULEVARD 5'!R8-'BOULEVARD PPTO'!J3)</f>
        <v>0</v>
      </c>
      <c r="P10" s="756">
        <f>IF(OR($A10="F&amp;F",$A10="CE",P$7="No aplica"),0,'BOULEVARD 5'!S8-'BOULEVARD PPTO'!K3)</f>
        <v>0</v>
      </c>
      <c r="Q10" s="760">
        <f>IF(OR($A10="F&amp;F",$A10="CE",Q$7="No aplica"),0,'BOULEVARD 5'!T8-'BOULEVARD PPTO'!L3)</f>
        <v>0</v>
      </c>
      <c r="R10" s="760">
        <f>IF(OR($A10="F&amp;F",$A10="CE",R$7="No aplica"),0,'BOULEVARD 5'!U8-'BOULEVARD PPTO'!M3)</f>
        <v>0</v>
      </c>
      <c r="S10" s="760">
        <f>IF(OR($A10="F&amp;F",$A10="CE",S$7="No aplica"),0,'BOULEVARD 5'!V8-'BOULEVARD PPTO'!N3)</f>
        <v>0</v>
      </c>
      <c r="T10" s="760">
        <f>IF(OR($A10="F&amp;F",$A10="CE",T$7="No aplica"),0,'BOULEVARD 5'!W8-'BOULEVARD PPTO'!O3)</f>
        <v>0</v>
      </c>
      <c r="U10" s="760">
        <f>IF(OR($A10="F&amp;F",$A10="CE",U$7="No aplica"),0,'BOULEVARD 5'!X8-'BOULEVARD PPTO'!P3)</f>
        <v>0</v>
      </c>
      <c r="V10" s="760">
        <f>IF(OR($A10="F&amp;F",$A10="CE",V$7="No aplica"),0,'BOULEVARD 5'!Y8-'BOULEVARD PPTO'!Q3)</f>
        <v>0</v>
      </c>
      <c r="W10" s="760">
        <f>IF(OR($A10="F&amp;F",$A10="CE",W$7="No aplica"),0,'BOULEVARD 5'!Z8-'BOULEVARD PPTO'!R3)</f>
        <v>0</v>
      </c>
      <c r="X10" s="760">
        <f>IF(OR($A10="F&amp;F",$A10="CE",X$7="No aplica"),0,'BOULEVARD 5'!AA8-'BOULEVARD PPTO'!S3)</f>
        <v>0</v>
      </c>
      <c r="Y10" s="760">
        <f>IF(OR($A10="F&amp;F",$A10="CE",Y$7="No aplica"),0,'BOULEVARD 5'!AB8-'BOULEVARD PPTO'!T3)</f>
        <v>0</v>
      </c>
      <c r="Z10" s="760">
        <f>IF(OR($A10="F&amp;F",$A10="CE",Z$7="No aplica"),0,'BOULEVARD 5'!AC8-'BOULEVARD PPTO'!U3)</f>
        <v>0</v>
      </c>
      <c r="AA10" s="760">
        <f>IF(OR($A10="F&amp;F",$A10="CE",AA$7="No aplica"),0,'BOULEVARD 5'!AD8-'BOULEVARD PPTO'!V3)</f>
        <v>0</v>
      </c>
      <c r="AB10" s="760">
        <f>IF(OR($A10="F&amp;F",$A10="CE",AB$7="No aplica"),0,'BOULEVARD 5'!AE8-'BOULEVARD PPTO'!W3)</f>
        <v>0</v>
      </c>
      <c r="AC10" s="760">
        <f>IF(OR($A10="F&amp;F",$A10="CE",AC$7="No aplica"),0,'BOULEVARD 5'!AF8-'BOULEVARD PPTO'!X3)</f>
        <v>0</v>
      </c>
      <c r="AD10" s="760">
        <f>IF(OR($A10="F&amp;F",$A10="CE",AD$7="No aplica"),0,'BOULEVARD 5'!AG8-'BOULEVARD PPTO'!Y3)</f>
        <v>0</v>
      </c>
      <c r="AE10" s="760">
        <f>IF(OR($A10="F&amp;F",$A10="CE",AE$7="No aplica"),0,'BOULEVARD 5'!AH8-'BOULEVARD PPTO'!Z3)</f>
        <v>0</v>
      </c>
      <c r="AF10" s="760">
        <f>IF(OR($A10="F&amp;F",$A10="CE",AF$7="No aplica"),0,'BOULEVARD 5'!AI8-'BOULEVARD PPTO'!AA3)</f>
        <v>0</v>
      </c>
      <c r="AG10" s="760">
        <f>IF(OR($A10="F&amp;F",$A10="CE",AG$7="No aplica"),0,'BOULEVARD 5'!AJ8-'BOULEVARD PPTO'!AB3)</f>
        <v>0</v>
      </c>
      <c r="AH10" s="760">
        <f>IF(OR($A10="F&amp;F",$A10="CE",AH$7="No aplica"),0,'BOULEVARD 5'!AK8-'BOULEVARD PPTO'!AC3)</f>
        <v>0</v>
      </c>
      <c r="AI10" s="760">
        <f>IF(OR($A10="F&amp;F",$A10="CE",AI$7="No aplica"),0,'BOULEVARD 5'!AL8-'BOULEVARD PPTO'!AD3)</f>
        <v>0</v>
      </c>
      <c r="AJ10" s="760">
        <f>IF(OR($A10="F&amp;F",$A10="CE",AJ$7="No aplica"),0,'BOULEVARD 5'!AM8-'BOULEVARD PPTO'!AE3)</f>
        <v>0</v>
      </c>
      <c r="AK10" s="760">
        <f>IF(OR($A10="F&amp;F",$A10="CE",AK$7="No aplica"),0,'BOULEVARD 5'!AN8-'BOULEVARD PPTO'!AF3)</f>
        <v>0</v>
      </c>
      <c r="AL10" s="760">
        <f>IF(OR($A10="F&amp;F",$A10="CE",AL$7="No aplica"),0,'BOULEVARD 5'!AO8-'BOULEVARD PPTO'!AG3)</f>
        <v>0</v>
      </c>
      <c r="AM10" s="760">
        <f>IF(OR($A10="F&amp;F",$A10="CE",AM$7="No aplica"),0,'BOULEVARD 5'!AP8-'BOULEVARD PPTO'!AH3)</f>
        <v>0</v>
      </c>
      <c r="AN10" s="760">
        <f>IF(OR($A10="F&amp;F",$A10="CE",AN$7="No aplica"),0,'BOULEVARD 5'!AQ8-'BOULEVARD PPTO'!AI3)</f>
        <v>0</v>
      </c>
      <c r="AO10" s="760">
        <f>IF(OR($A10="F&amp;F",$A10="CE",AO$7="No aplica"),0,'BOULEVARD 5'!AS8-'BOULEVARD PPTO'!AJ3)</f>
        <v>0</v>
      </c>
      <c r="AP10" s="761">
        <f t="shared" ref="AP10:AP73" si="7">SUBTOTAL(9,H10:AO10)</f>
        <v>0</v>
      </c>
      <c r="AQ10" s="761">
        <f t="shared" ref="AQ10:AQ73" si="8">IF(OR(A10="F&amp;F",A10="CE"),0,AQ315-AP315)</f>
        <v>9589.2900000000009</v>
      </c>
      <c r="AR10" s="674">
        <f>IF(A10=0,'BOULEVARD 5'!BF8,0)</f>
        <v>0</v>
      </c>
      <c r="AS10" s="674">
        <f>IF(A10=0,'BOULEVARD 5'!BG8,0)</f>
        <v>0</v>
      </c>
      <c r="AT10" s="675" t="str">
        <f t="shared" si="4"/>
        <v>Vendido</v>
      </c>
      <c r="AU10" s="581" t="str">
        <f t="shared" si="5"/>
        <v/>
      </c>
      <c r="AV10" s="760">
        <f>IF(_xlfn.XLOOKUP($G$5,$Q$8:$AO$8,$Q10:$AO10)&gt;0,_xlfn.XLOOKUP($G$5,$Q$8:$AO$8,$Q10:$AO10),0)</f>
        <v>0</v>
      </c>
    </row>
    <row r="11" spans="1:48" s="581" customFormat="1" ht="12.4" customHeight="1" outlineLevel="1" x14ac:dyDescent="0.25">
      <c r="A11" s="703" t="str">
        <f>'BOULEVARD 5'!BQ9</f>
        <v>F&amp;F</v>
      </c>
      <c r="B11" s="704">
        <v>103</v>
      </c>
      <c r="C11" s="704" t="s">
        <v>362</v>
      </c>
      <c r="D11" s="704"/>
      <c r="E11" s="704" t="str">
        <f>IF('BOULEVARD 5'!E9&lt;&gt;0,'BOULEVARD 5'!E9,"")</f>
        <v>Ronaldo</v>
      </c>
      <c r="F11" s="705" t="str">
        <f>IF('BOULEVARD 5'!F9&lt;&gt;0,'BOULEVARD 5'!F9,"")</f>
        <v>International Coffee Industry, S.A</v>
      </c>
      <c r="G11" s="566">
        <f>IF('BOULEVARD 5'!G9="","",'BOULEVARD 5'!G9)</f>
        <v>45300</v>
      </c>
      <c r="H11" s="756">
        <f>IF(OR($A11="F&amp;F",$A11="CE",H$7="No aplica"),0,'BOULEVARD 5'!K9-'BOULEVARD PPTO'!C4)</f>
        <v>0</v>
      </c>
      <c r="I11" s="756">
        <f>IF(OR($A11="F&amp;F",$A11="CE",I$7="No aplica"),0,'BOULEVARD 5'!L9-'BOULEVARD PPTO'!D4)</f>
        <v>0</v>
      </c>
      <c r="J11" s="756">
        <f>IF(OR($A11="F&amp;F",$A11="CE",J$7="No aplica"),0,'BOULEVARD 5'!M9-'BOULEVARD PPTO'!E4)</f>
        <v>0</v>
      </c>
      <c r="K11" s="756">
        <f>IF(OR($A11="F&amp;F",$A11="CE",K$7="No aplica"),0,'BOULEVARD 5'!N9-'BOULEVARD PPTO'!F4)</f>
        <v>0</v>
      </c>
      <c r="L11" s="756">
        <f>IF(OR($A11="F&amp;F",$A11="CE",L$7="No aplica"),0,'BOULEVARD 5'!O9-'BOULEVARD PPTO'!G4)</f>
        <v>0</v>
      </c>
      <c r="M11" s="756">
        <f>IF(OR($A11="F&amp;F",$A11="CE",M$7="No aplica"),0,'BOULEVARD 5'!P9-'BOULEVARD PPTO'!H4)</f>
        <v>0</v>
      </c>
      <c r="N11" s="756">
        <f>IF(OR($A11="F&amp;F",$A11="CE",N$7="No aplica"),0,'BOULEVARD 5'!Q9-'BOULEVARD PPTO'!I4)</f>
        <v>0</v>
      </c>
      <c r="O11" s="756">
        <f>IF(OR($A11="F&amp;F",$A11="CE",O$7="No aplica"),0,'BOULEVARD 5'!R9-'BOULEVARD PPTO'!J4)</f>
        <v>0</v>
      </c>
      <c r="P11" s="756">
        <f>IF(OR($A11="F&amp;F",$A11="CE",P$7="No aplica"),0,'BOULEVARD 5'!S9-'BOULEVARD PPTO'!K4)</f>
        <v>0</v>
      </c>
      <c r="Q11" s="760">
        <f>IF(OR($A11="F&amp;F",$A11="CE",Q$7="No aplica"),0,'BOULEVARD 5'!T9-'BOULEVARD PPTO'!L4)</f>
        <v>0</v>
      </c>
      <c r="R11" s="760">
        <f>IF(OR($A11="F&amp;F",$A11="CE",R$7="No aplica"),0,'BOULEVARD 5'!U9-'BOULEVARD PPTO'!M4)</f>
        <v>0</v>
      </c>
      <c r="S11" s="760">
        <f>IF(OR($A11="F&amp;F",$A11="CE",S$7="No aplica"),0,'BOULEVARD 5'!V9-'BOULEVARD PPTO'!N4)</f>
        <v>0</v>
      </c>
      <c r="T11" s="760">
        <f>IF(OR($A11="F&amp;F",$A11="CE",T$7="No aplica"),0,'BOULEVARD 5'!W9-'BOULEVARD PPTO'!O4)</f>
        <v>0</v>
      </c>
      <c r="U11" s="760">
        <f>IF(OR($A11="F&amp;F",$A11="CE",U$7="No aplica"),0,'BOULEVARD 5'!X9-'BOULEVARD PPTO'!P4)</f>
        <v>0</v>
      </c>
      <c r="V11" s="760">
        <f>IF(OR($A11="F&amp;F",$A11="CE",V$7="No aplica"),0,'BOULEVARD 5'!Y9-'BOULEVARD PPTO'!Q4)</f>
        <v>0</v>
      </c>
      <c r="W11" s="760">
        <f>IF(OR($A11="F&amp;F",$A11="CE",W$7="No aplica"),0,'BOULEVARD 5'!Z9-'BOULEVARD PPTO'!R4)</f>
        <v>0</v>
      </c>
      <c r="X11" s="760">
        <f>IF(OR($A11="F&amp;F",$A11="CE",X$7="No aplica"),0,'BOULEVARD 5'!AA9-'BOULEVARD PPTO'!S4)</f>
        <v>0</v>
      </c>
      <c r="Y11" s="760">
        <f>IF(OR($A11="F&amp;F",$A11="CE",Y$7="No aplica"),0,'BOULEVARD 5'!AB9-'BOULEVARD PPTO'!T4)</f>
        <v>0</v>
      </c>
      <c r="Z11" s="760">
        <f>IF(OR($A11="F&amp;F",$A11="CE",Z$7="No aplica"),0,'BOULEVARD 5'!AC9-'BOULEVARD PPTO'!U4)</f>
        <v>0</v>
      </c>
      <c r="AA11" s="760">
        <f>IF(OR($A11="F&amp;F",$A11="CE",AA$7="No aplica"),0,'BOULEVARD 5'!AD9-'BOULEVARD PPTO'!V4)</f>
        <v>0</v>
      </c>
      <c r="AB11" s="760">
        <f>IF(OR($A11="F&amp;F",$A11="CE",AB$7="No aplica"),0,'BOULEVARD 5'!AE9-'BOULEVARD PPTO'!W4)</f>
        <v>0</v>
      </c>
      <c r="AC11" s="760">
        <f>IF(OR($A11="F&amp;F",$A11="CE",AC$7="No aplica"),0,'BOULEVARD 5'!AF9-'BOULEVARD PPTO'!X4)</f>
        <v>0</v>
      </c>
      <c r="AD11" s="760">
        <f>IF(OR($A11="F&amp;F",$A11="CE",AD$7="No aplica"),0,'BOULEVARD 5'!AG9-'BOULEVARD PPTO'!Y4)</f>
        <v>0</v>
      </c>
      <c r="AE11" s="760">
        <f>IF(OR($A11="F&amp;F",$A11="CE",AE$7="No aplica"),0,'BOULEVARD 5'!AH9-'BOULEVARD PPTO'!Z4)</f>
        <v>0</v>
      </c>
      <c r="AF11" s="760">
        <f>IF(OR($A11="F&amp;F",$A11="CE",AF$7="No aplica"),0,'BOULEVARD 5'!AI9-'BOULEVARD PPTO'!AA4)</f>
        <v>0</v>
      </c>
      <c r="AG11" s="760">
        <f>IF(OR($A11="F&amp;F",$A11="CE",AG$7="No aplica"),0,'BOULEVARD 5'!AJ9-'BOULEVARD PPTO'!AB4)</f>
        <v>0</v>
      </c>
      <c r="AH11" s="760">
        <f>IF(OR($A11="F&amp;F",$A11="CE",AH$7="No aplica"),0,'BOULEVARD 5'!AK9-'BOULEVARD PPTO'!AC4)</f>
        <v>0</v>
      </c>
      <c r="AI11" s="760">
        <f>IF(OR($A11="F&amp;F",$A11="CE",AI$7="No aplica"),0,'BOULEVARD 5'!AL9-'BOULEVARD PPTO'!AD4)</f>
        <v>0</v>
      </c>
      <c r="AJ11" s="760">
        <f>IF(OR($A11="F&amp;F",$A11="CE",AJ$7="No aplica"),0,'BOULEVARD 5'!AM9-'BOULEVARD PPTO'!AE4)</f>
        <v>0</v>
      </c>
      <c r="AK11" s="760">
        <f>IF(OR($A11="F&amp;F",$A11="CE",AK$7="No aplica"),0,'BOULEVARD 5'!AN9-'BOULEVARD PPTO'!AF4)</f>
        <v>0</v>
      </c>
      <c r="AL11" s="760">
        <f>IF(OR($A11="F&amp;F",$A11="CE",AL$7="No aplica"),0,'BOULEVARD 5'!AO9-'BOULEVARD PPTO'!AG4)</f>
        <v>0</v>
      </c>
      <c r="AM11" s="760">
        <f>IF(OR($A11="F&amp;F",$A11="CE",AM$7="No aplica"),0,'BOULEVARD 5'!AP9-'BOULEVARD PPTO'!AH4)</f>
        <v>0</v>
      </c>
      <c r="AN11" s="760">
        <f>IF(OR($A11="F&amp;F",$A11="CE",AN$7="No aplica"),0,'BOULEVARD 5'!AQ9-'BOULEVARD PPTO'!AI4)</f>
        <v>0</v>
      </c>
      <c r="AO11" s="760">
        <f>IF(OR($A11="F&amp;F",$A11="CE",AO$7="No aplica"),0,'BOULEVARD 5'!AS9-'BOULEVARD PPTO'!AJ4)</f>
        <v>0</v>
      </c>
      <c r="AP11" s="761">
        <f t="shared" si="7"/>
        <v>0</v>
      </c>
      <c r="AQ11" s="761">
        <f t="shared" si="8"/>
        <v>0</v>
      </c>
      <c r="AR11" s="674">
        <f>IF(A11=0,'BOULEVARD 5'!BF9,0)</f>
        <v>0</v>
      </c>
      <c r="AS11" s="674">
        <f>IF(A11=0,'BOULEVARD 5'!BG9,0)</f>
        <v>0</v>
      </c>
      <c r="AT11" s="675" t="str">
        <f t="shared" si="4"/>
        <v>Vendido</v>
      </c>
      <c r="AU11" s="581" t="str">
        <f t="shared" si="5"/>
        <v/>
      </c>
      <c r="AV11" s="760">
        <f t="shared" si="6"/>
        <v>0</v>
      </c>
    </row>
    <row r="12" spans="1:48" s="581" customFormat="1" ht="12.4" customHeight="1" outlineLevel="1" x14ac:dyDescent="0.25">
      <c r="A12" s="703">
        <f>'BOULEVARD 5'!BQ10</f>
        <v>0</v>
      </c>
      <c r="B12" s="564">
        <v>104</v>
      </c>
      <c r="C12" s="564" t="s">
        <v>365</v>
      </c>
      <c r="D12" s="564"/>
      <c r="E12" s="564" t="str">
        <f>IF('BOULEVARD 5'!E10&lt;&gt;0,'BOULEVARD 5'!E10,"")</f>
        <v>Antonio Rada</v>
      </c>
      <c r="F12" s="581" t="str">
        <f>IF('BOULEVARD 5'!F10&lt;&gt;0,'BOULEVARD 5'!F10,"")</f>
        <v>Jonathan José Morales Salazar</v>
      </c>
      <c r="G12" s="566">
        <f>IF('BOULEVARD 5'!G10="","",'BOULEVARD 5'!G10)</f>
        <v>45140</v>
      </c>
      <c r="H12" s="756">
        <f>IF(OR($A12="F&amp;F",$A12="CE",H$7="No aplica"),0,'BOULEVARD 5'!K10-'BOULEVARD PPTO'!C5)</f>
        <v>0</v>
      </c>
      <c r="I12" s="756">
        <f>IF(OR($A12="F&amp;F",$A12="CE",I$7="No aplica"),0,'BOULEVARD 5'!L10-'BOULEVARD PPTO'!D5)</f>
        <v>0</v>
      </c>
      <c r="J12" s="756">
        <f>IF(OR($A12="F&amp;F",$A12="CE",J$7="No aplica"),0,'BOULEVARD 5'!M10-'BOULEVARD PPTO'!E5)</f>
        <v>0</v>
      </c>
      <c r="K12" s="756">
        <f>IF(OR($A12="F&amp;F",$A12="CE",K$7="No aplica"),0,'BOULEVARD 5'!N10-'BOULEVARD PPTO'!F5)</f>
        <v>0</v>
      </c>
      <c r="L12" s="756">
        <f>IF(OR($A12="F&amp;F",$A12="CE",L$7="No aplica"),0,'BOULEVARD 5'!O10-'BOULEVARD PPTO'!G5)</f>
        <v>0</v>
      </c>
      <c r="M12" s="756">
        <f>IF(OR($A12="F&amp;F",$A12="CE",M$7="No aplica"),0,'BOULEVARD 5'!P10-'BOULEVARD PPTO'!H5)</f>
        <v>-94000</v>
      </c>
      <c r="N12" s="756">
        <f>IF(OR($A12="F&amp;F",$A12="CE",N$7="No aplica"),0,'BOULEVARD 5'!Q10-'BOULEVARD PPTO'!I5)</f>
        <v>92176</v>
      </c>
      <c r="O12" s="756">
        <f>IF(OR($A12="F&amp;F",$A12="CE",O$7="No aplica"),0,'BOULEVARD 5'!R10-'BOULEVARD PPTO'!J5)</f>
        <v>0</v>
      </c>
      <c r="P12" s="756">
        <f>IF(OR($A12="F&amp;F",$A12="CE",P$7="No aplica"),0,'BOULEVARD 5'!S10-'BOULEVARD PPTO'!K5)</f>
        <v>0</v>
      </c>
      <c r="Q12" s="760">
        <f>IF(OR($A12="F&amp;F",$A12="CE",Q$7="No aplica"),0,'BOULEVARD 5'!T10-'BOULEVARD PPTO'!L5)</f>
        <v>0</v>
      </c>
      <c r="R12" s="760">
        <f>IF(OR($A12="F&amp;F",$A12="CE",R$7="No aplica"),0,'BOULEVARD 5'!U10-'BOULEVARD PPTO'!M5)</f>
        <v>0</v>
      </c>
      <c r="S12" s="760">
        <f>IF(OR($A12="F&amp;F",$A12="CE",S$7="No aplica"),0,'BOULEVARD 5'!V10-'BOULEVARD PPTO'!N5)</f>
        <v>0</v>
      </c>
      <c r="T12" s="760">
        <f>IF(OR($A12="F&amp;F",$A12="CE",T$7="No aplica"),0,'BOULEVARD 5'!W10-'BOULEVARD PPTO'!O5)</f>
        <v>0</v>
      </c>
      <c r="U12" s="760">
        <f>IF(OR($A12="F&amp;F",$A12="CE",U$7="No aplica"),0,'BOULEVARD 5'!X10-'BOULEVARD PPTO'!P5)</f>
        <v>0</v>
      </c>
      <c r="V12" s="760">
        <f>IF(OR($A12="F&amp;F",$A12="CE",V$7="No aplica"),0,'BOULEVARD 5'!Y10-'BOULEVARD PPTO'!Q5)</f>
        <v>0</v>
      </c>
      <c r="W12" s="760">
        <f>IF(OR($A12="F&amp;F",$A12="CE",W$7="No aplica"),0,'BOULEVARD 5'!Z10-'BOULEVARD PPTO'!R5)</f>
        <v>0</v>
      </c>
      <c r="X12" s="760">
        <f>IF(OR($A12="F&amp;F",$A12="CE",X$7="No aplica"),0,'BOULEVARD 5'!AA10-'BOULEVARD PPTO'!S5)</f>
        <v>0</v>
      </c>
      <c r="Y12" s="760">
        <f>IF(OR($A12="F&amp;F",$A12="CE",Y$7="No aplica"),0,'BOULEVARD 5'!AB10-'BOULEVARD PPTO'!T5)</f>
        <v>0</v>
      </c>
      <c r="Z12" s="760">
        <f>IF(OR($A12="F&amp;F",$A12="CE",Z$7="No aplica"),0,'BOULEVARD 5'!AC10-'BOULEVARD PPTO'!U5)</f>
        <v>0</v>
      </c>
      <c r="AA12" s="760">
        <f>IF(OR($A12="F&amp;F",$A12="CE",AA$7="No aplica"),0,'BOULEVARD 5'!AD10-'BOULEVARD PPTO'!V5)</f>
        <v>0</v>
      </c>
      <c r="AB12" s="760">
        <f>IF(OR($A12="F&amp;F",$A12="CE",AB$7="No aplica"),0,'BOULEVARD 5'!AE10-'BOULEVARD PPTO'!W5)</f>
        <v>0</v>
      </c>
      <c r="AC12" s="760">
        <f>IF(OR($A12="F&amp;F",$A12="CE",AC$7="No aplica"),0,'BOULEVARD 5'!AF10-'BOULEVARD PPTO'!X5)</f>
        <v>0</v>
      </c>
      <c r="AD12" s="760">
        <f>IF(OR($A12="F&amp;F",$A12="CE",AD$7="No aplica"),0,'BOULEVARD 5'!AG10-'BOULEVARD PPTO'!Y5)</f>
        <v>0</v>
      </c>
      <c r="AE12" s="760">
        <f>IF(OR($A12="F&amp;F",$A12="CE",AE$7="No aplica"),0,'BOULEVARD 5'!AH10-'BOULEVARD PPTO'!Z5)</f>
        <v>0</v>
      </c>
      <c r="AF12" s="760">
        <f>IF(OR($A12="F&amp;F",$A12="CE",AF$7="No aplica"),0,'BOULEVARD 5'!AI10-'BOULEVARD PPTO'!AA5)</f>
        <v>0</v>
      </c>
      <c r="AG12" s="760">
        <f>IF(OR($A12="F&amp;F",$A12="CE",AG$7="No aplica"),0,'BOULEVARD 5'!AJ10-'BOULEVARD PPTO'!AB5)</f>
        <v>0</v>
      </c>
      <c r="AH12" s="760">
        <f>IF(OR($A12="F&amp;F",$A12="CE",AH$7="No aplica"),0,'BOULEVARD 5'!AK10-'BOULEVARD PPTO'!AC5)</f>
        <v>0</v>
      </c>
      <c r="AI12" s="760">
        <f>IF(OR($A12="F&amp;F",$A12="CE",AI$7="No aplica"),0,'BOULEVARD 5'!AL10-'BOULEVARD PPTO'!AD5)</f>
        <v>0</v>
      </c>
      <c r="AJ12" s="760">
        <f>IF(OR($A12="F&amp;F",$A12="CE",AJ$7="No aplica"),0,'BOULEVARD 5'!AM10-'BOULEVARD PPTO'!AE5)</f>
        <v>0</v>
      </c>
      <c r="AK12" s="760">
        <f>IF(OR($A12="F&amp;F",$A12="CE",AK$7="No aplica"),0,'BOULEVARD 5'!AN10-'BOULEVARD PPTO'!AF5)</f>
        <v>0</v>
      </c>
      <c r="AL12" s="760">
        <f>IF(OR($A12="F&amp;F",$A12="CE",AL$7="No aplica"),0,'BOULEVARD 5'!AO10-'BOULEVARD PPTO'!AG5)</f>
        <v>0</v>
      </c>
      <c r="AM12" s="760">
        <f>IF(OR($A12="F&amp;F",$A12="CE",AM$7="No aplica"),0,'BOULEVARD 5'!AP10-'BOULEVARD PPTO'!AH5)</f>
        <v>1824</v>
      </c>
      <c r="AN12" s="760">
        <f>IF(OR($A12="F&amp;F",$A12="CE",AN$7="No aplica"),0,'BOULEVARD 5'!AQ10-'BOULEVARD PPTO'!AI5)</f>
        <v>0</v>
      </c>
      <c r="AO12" s="760">
        <f>IF(OR($A12="F&amp;F",$A12="CE",AO$7="No aplica"),0,'BOULEVARD 5'!AS10-'BOULEVARD PPTO'!AJ5)</f>
        <v>0</v>
      </c>
      <c r="AP12" s="761">
        <f t="shared" si="7"/>
        <v>0</v>
      </c>
      <c r="AQ12" s="761">
        <f t="shared" si="8"/>
        <v>0</v>
      </c>
      <c r="AR12" s="674">
        <f>IF(A12=0,'BOULEVARD 5'!BF10,0)</f>
        <v>100000</v>
      </c>
      <c r="AS12" s="674">
        <f>IF(A12=0,'BOULEVARD 5'!BG10,0)</f>
        <v>1824</v>
      </c>
      <c r="AT12" s="675" t="str">
        <f t="shared" si="4"/>
        <v>Vendido</v>
      </c>
      <c r="AU12" s="581" t="str">
        <f t="shared" si="5"/>
        <v/>
      </c>
      <c r="AV12" s="760">
        <f t="shared" ref="AV12:AV17" si="9">IF(_xlfn.XLOOKUP($G$5,$Q$8:$AO$8,$Q12:$AO12)&gt;0,_xlfn.XLOOKUP($G$5,$Q$8:$AO$8,$Q12:$AO12),0)</f>
        <v>1824</v>
      </c>
    </row>
    <row r="13" spans="1:48" s="581" customFormat="1" ht="12.4" customHeight="1" outlineLevel="1" x14ac:dyDescent="0.25">
      <c r="A13" s="703">
        <f>'BOULEVARD 5'!BQ11</f>
        <v>0</v>
      </c>
      <c r="B13" s="564">
        <v>105</v>
      </c>
      <c r="C13" s="564" t="s">
        <v>369</v>
      </c>
      <c r="D13" s="564"/>
      <c r="E13" s="564" t="str">
        <f>IF('BOULEVARD 5'!E11&lt;&gt;0,'BOULEVARD 5'!E11,"")</f>
        <v>Erwin Cardona</v>
      </c>
      <c r="F13" s="581" t="str">
        <f>IF('BOULEVARD 5'!F11&lt;&gt;0,'BOULEVARD 5'!F11,"")</f>
        <v>Nery Adolfo Ortíz Alvarez</v>
      </c>
      <c r="G13" s="566">
        <f>IF('BOULEVARD 5'!G11="","",'BOULEVARD 5'!G11)</f>
        <v>46000</v>
      </c>
      <c r="H13" s="756">
        <f>IF(OR($A13="F&amp;F",$A13="CE",H$7="No aplica"),0,'BOULEVARD 5'!K11-'BOULEVARD PPTO'!C6)</f>
        <v>0</v>
      </c>
      <c r="I13" s="756">
        <f>IF(OR($A13="F&amp;F",$A13="CE",I$7="No aplica"),0,'BOULEVARD 5'!L11-'BOULEVARD PPTO'!D6)</f>
        <v>0</v>
      </c>
      <c r="J13" s="756">
        <f>IF(OR($A13="F&amp;F",$A13="CE",J$7="No aplica"),0,'BOULEVARD 5'!M11-'BOULEVARD PPTO'!E6)</f>
        <v>0</v>
      </c>
      <c r="K13" s="756">
        <f>IF(OR($A13="F&amp;F",$A13="CE",K$7="No aplica"),0,'BOULEVARD 5'!N11-'BOULEVARD PPTO'!F6)</f>
        <v>0</v>
      </c>
      <c r="L13" s="756">
        <f>IF(OR($A13="F&amp;F",$A13="CE",L$7="No aplica"),0,'BOULEVARD 5'!O11-'BOULEVARD PPTO'!G6)</f>
        <v>0</v>
      </c>
      <c r="M13" s="756">
        <f>IF(OR($A13="F&amp;F",$A13="CE",M$7="No aplica"),0,'BOULEVARD 5'!P11-'BOULEVARD PPTO'!H6)</f>
        <v>0</v>
      </c>
      <c r="N13" s="756">
        <f>IF(OR($A13="F&amp;F",$A13="CE",N$7="No aplica"),0,'BOULEVARD 5'!Q11-'BOULEVARD PPTO'!I6)</f>
        <v>0</v>
      </c>
      <c r="O13" s="756">
        <f>IF(OR($A13="F&amp;F",$A13="CE",O$7="No aplica"),0,'BOULEVARD 5'!R11-'BOULEVARD PPTO'!J6)</f>
        <v>0</v>
      </c>
      <c r="P13" s="756">
        <f>IF(OR($A13="F&amp;F",$A13="CE",P$7="No aplica"),0,'BOULEVARD 5'!S11-'BOULEVARD PPTO'!K6)</f>
        <v>0</v>
      </c>
      <c r="Q13" s="760">
        <f>IF(OR($A13="F&amp;F",$A13="CE",Q$7="No aplica"),0,'BOULEVARD 5'!T11-'BOULEVARD PPTO'!L6)</f>
        <v>0</v>
      </c>
      <c r="R13" s="760">
        <f>IF(OR($A13="F&amp;F",$A13="CE",R$7="No aplica"),0,'BOULEVARD 5'!U11-'BOULEVARD PPTO'!M6)</f>
        <v>0</v>
      </c>
      <c r="S13" s="760">
        <f>IF(OR($A13="F&amp;F",$A13="CE",S$7="No aplica"),0,'BOULEVARD 5'!V11-'BOULEVARD PPTO'!N6)</f>
        <v>0</v>
      </c>
      <c r="T13" s="760">
        <f>IF(OR($A13="F&amp;F",$A13="CE",T$7="No aplica"),0,'BOULEVARD 5'!W11-'BOULEVARD PPTO'!O6)</f>
        <v>0</v>
      </c>
      <c r="U13" s="760">
        <f>IF(OR($A13="F&amp;F",$A13="CE",U$7="No aplica"),0,'BOULEVARD 5'!X11-'BOULEVARD PPTO'!P6)</f>
        <v>0</v>
      </c>
      <c r="V13" s="760">
        <f>IF(OR($A13="F&amp;F",$A13="CE",V$7="No aplica"),0,'BOULEVARD 5'!Y11-'BOULEVARD PPTO'!Q6)</f>
        <v>0</v>
      </c>
      <c r="W13" s="760">
        <f>IF(OR($A13="F&amp;F",$A13="CE",W$7="No aplica"),0,'BOULEVARD 5'!Z11-'BOULEVARD PPTO'!R6)</f>
        <v>0</v>
      </c>
      <c r="X13" s="760">
        <f>IF(OR($A13="F&amp;F",$A13="CE",X$7="No aplica"),0,'BOULEVARD 5'!AA11-'BOULEVARD PPTO'!S6)</f>
        <v>0</v>
      </c>
      <c r="Y13" s="760">
        <f>IF(OR($A13="F&amp;F",$A13="CE",Y$7="No aplica"),0,'BOULEVARD 5'!AB11-'BOULEVARD PPTO'!T6)</f>
        <v>0</v>
      </c>
      <c r="Z13" s="760">
        <f>IF(OR($A13="F&amp;F",$A13="CE",Z$7="No aplica"),0,'BOULEVARD 5'!AC11-'BOULEVARD PPTO'!U6)</f>
        <v>0</v>
      </c>
      <c r="AA13" s="760">
        <f>IF(OR($A13="F&amp;F",$A13="CE",AA$7="No aplica"),0,'BOULEVARD 5'!AD11-'BOULEVARD PPTO'!V6)</f>
        <v>0</v>
      </c>
      <c r="AB13" s="760">
        <f>IF(OR($A13="F&amp;F",$A13="CE",AB$7="No aplica"),0,'BOULEVARD 5'!AE11-'BOULEVARD PPTO'!W6)</f>
        <v>0</v>
      </c>
      <c r="AC13" s="760">
        <f>IF(OR($A13="F&amp;F",$A13="CE",AC$7="No aplica"),0,'BOULEVARD 5'!AF11-'BOULEVARD PPTO'!X6)</f>
        <v>0</v>
      </c>
      <c r="AD13" s="760">
        <f>IF(OR($A13="F&amp;F",$A13="CE",AD$7="No aplica"),0,'BOULEVARD 5'!AG11-'BOULEVARD PPTO'!Y6)</f>
        <v>0</v>
      </c>
      <c r="AE13" s="760">
        <f>IF(OR($A13="F&amp;F",$A13="CE",AE$7="No aplica"),0,'BOULEVARD 5'!AH11-'BOULEVARD PPTO'!Z6)</f>
        <v>0</v>
      </c>
      <c r="AF13" s="760">
        <f>IF(OR($A13="F&amp;F",$A13="CE",AF$7="No aplica"),0,'BOULEVARD 5'!AI11-'BOULEVARD PPTO'!AA6)</f>
        <v>0</v>
      </c>
      <c r="AG13" s="760">
        <f>IF(OR($A13="F&amp;F",$A13="CE",AG$7="No aplica"),0,'BOULEVARD 5'!AJ11-'BOULEVARD PPTO'!AB6)</f>
        <v>0</v>
      </c>
      <c r="AH13" s="760">
        <f>IF(OR($A13="F&amp;F",$A13="CE",AH$7="No aplica"),0,'BOULEVARD 5'!AK11-'BOULEVARD PPTO'!AC6)</f>
        <v>0</v>
      </c>
      <c r="AI13" s="760">
        <f>IF(OR($A13="F&amp;F",$A13="CE",AI$7="No aplica"),0,'BOULEVARD 5'!AL11-'BOULEVARD PPTO'!AD6)</f>
        <v>0</v>
      </c>
      <c r="AJ13" s="760">
        <f>IF(OR($A13="F&amp;F",$A13="CE",AJ$7="No aplica"),0,'BOULEVARD 5'!AM11-'BOULEVARD PPTO'!AE6)</f>
        <v>0</v>
      </c>
      <c r="AK13" s="760">
        <f>IF(OR($A13="F&amp;F",$A13="CE",AK$7="No aplica"),0,'BOULEVARD 5'!AN11-'BOULEVARD PPTO'!AF6)</f>
        <v>0</v>
      </c>
      <c r="AL13" s="760">
        <f>IF(OR($A13="F&amp;F",$A13="CE",AL$7="No aplica"),0,'BOULEVARD 5'!AO11-'BOULEVARD PPTO'!AG6)</f>
        <v>0</v>
      </c>
      <c r="AM13" s="760">
        <f>IF(OR($A13="F&amp;F",$A13="CE",AM$7="No aplica"),0,'BOULEVARD 5'!AP11-'BOULEVARD PPTO'!AH6)</f>
        <v>0</v>
      </c>
      <c r="AN13" s="760">
        <f>IF(OR($A13="F&amp;F",$A13="CE",AN$7="No aplica"),0,'BOULEVARD 5'!AQ11-'BOULEVARD PPTO'!AI6)</f>
        <v>0</v>
      </c>
      <c r="AO13" s="760">
        <f>IF(OR($A13="F&amp;F",$A13="CE",AO$7="No aplica"),0,'BOULEVARD 5'!AS11-'BOULEVARD PPTO'!AJ6)</f>
        <v>0</v>
      </c>
      <c r="AP13" s="761">
        <f t="shared" si="7"/>
        <v>0</v>
      </c>
      <c r="AQ13" s="761">
        <f t="shared" si="8"/>
        <v>10000</v>
      </c>
      <c r="AR13" s="674">
        <f>IF(A13=0,'BOULEVARD 5'!BF11,0)</f>
        <v>0</v>
      </c>
      <c r="AS13" s="674">
        <f>IF(A13=0,'BOULEVARD 5'!BG11,0)</f>
        <v>0</v>
      </c>
      <c r="AT13" s="675" t="str">
        <f t="shared" si="4"/>
        <v>Vendido</v>
      </c>
      <c r="AU13" s="581" t="str">
        <f t="shared" si="5"/>
        <v/>
      </c>
      <c r="AV13" s="760">
        <f t="shared" si="9"/>
        <v>0</v>
      </c>
    </row>
    <row r="14" spans="1:48" s="581" customFormat="1" ht="12.4" customHeight="1" outlineLevel="1" x14ac:dyDescent="0.25">
      <c r="A14" s="703">
        <f>'BOULEVARD 5'!BQ12</f>
        <v>0</v>
      </c>
      <c r="B14" s="564">
        <v>106</v>
      </c>
      <c r="C14" s="564" t="s">
        <v>371</v>
      </c>
      <c r="D14" s="564"/>
      <c r="E14" s="564" t="str">
        <f>IF('BOULEVARD 5'!E12&lt;&gt;0,'BOULEVARD 5'!E12,"")</f>
        <v>Erwin Cardona</v>
      </c>
      <c r="F14" s="581" t="str">
        <f>IF('BOULEVARD 5'!F12&lt;&gt;0,'BOULEVARD 5'!F12,"")</f>
        <v>Claudia Ruth Marianella Paiz Herrera de Alvarez</v>
      </c>
      <c r="G14" s="566">
        <f>IF('BOULEVARD 5'!G12="","",'BOULEVARD 5'!G12)</f>
        <v>46013</v>
      </c>
      <c r="H14" s="756">
        <f>IF(OR($A14="F&amp;F",$A14="CE",H$7="No aplica"),0,'BOULEVARD 5'!K12-'BOULEVARD PPTO'!C7)</f>
        <v>0</v>
      </c>
      <c r="I14" s="756">
        <f>IF(OR($A14="F&amp;F",$A14="CE",I$7="No aplica"),0,'BOULEVARD 5'!L12-'BOULEVARD PPTO'!D7)</f>
        <v>0</v>
      </c>
      <c r="J14" s="756">
        <f>IF(OR($A14="F&amp;F",$A14="CE",J$7="No aplica"),0,'BOULEVARD 5'!M12-'BOULEVARD PPTO'!E7)</f>
        <v>0</v>
      </c>
      <c r="K14" s="756">
        <f>IF(OR($A14="F&amp;F",$A14="CE",K$7="No aplica"),0,'BOULEVARD 5'!N12-'BOULEVARD PPTO'!F7)</f>
        <v>0</v>
      </c>
      <c r="L14" s="756">
        <f>IF(OR($A14="F&amp;F",$A14="CE",L$7="No aplica"),0,'BOULEVARD 5'!O12-'BOULEVARD PPTO'!G7)</f>
        <v>0</v>
      </c>
      <c r="M14" s="756">
        <f>IF(OR($A14="F&amp;F",$A14="CE",M$7="No aplica"),0,'BOULEVARD 5'!P12-'BOULEVARD PPTO'!H7)</f>
        <v>0</v>
      </c>
      <c r="N14" s="756">
        <f>IF(OR($A14="F&amp;F",$A14="CE",N$7="No aplica"),0,'BOULEVARD 5'!Q12-'BOULEVARD PPTO'!I7)</f>
        <v>0</v>
      </c>
      <c r="O14" s="756">
        <f>IF(OR($A14="F&amp;F",$A14="CE",O$7="No aplica"),0,'BOULEVARD 5'!R12-'BOULEVARD PPTO'!J7)</f>
        <v>0</v>
      </c>
      <c r="P14" s="756">
        <f>IF(OR($A14="F&amp;F",$A14="CE",P$7="No aplica"),0,'BOULEVARD 5'!S12-'BOULEVARD PPTO'!K7)</f>
        <v>0</v>
      </c>
      <c r="Q14" s="760">
        <f>IF(OR($A14="F&amp;F",$A14="CE",Q$7="No aplica"),0,'BOULEVARD 5'!T12-'BOULEVARD PPTO'!L7)</f>
        <v>0</v>
      </c>
      <c r="R14" s="760">
        <f>IF(OR($A14="F&amp;F",$A14="CE",R$7="No aplica"),0,'BOULEVARD 5'!U12-'BOULEVARD PPTO'!M7)</f>
        <v>0</v>
      </c>
      <c r="S14" s="760">
        <f>IF(OR($A14="F&amp;F",$A14="CE",S$7="No aplica"),0,'BOULEVARD 5'!V12-'BOULEVARD PPTO'!N7)</f>
        <v>0</v>
      </c>
      <c r="T14" s="760">
        <f>IF(OR($A14="F&amp;F",$A14="CE",T$7="No aplica"),0,'BOULEVARD 5'!W12-'BOULEVARD PPTO'!O7)</f>
        <v>0</v>
      </c>
      <c r="U14" s="760">
        <f>IF(OR($A14="F&amp;F",$A14="CE",U$7="No aplica"),0,'BOULEVARD 5'!X12-'BOULEVARD PPTO'!P7)</f>
        <v>0</v>
      </c>
      <c r="V14" s="760">
        <f>IF(OR($A14="F&amp;F",$A14="CE",V$7="No aplica"),0,'BOULEVARD 5'!Y12-'BOULEVARD PPTO'!Q7)</f>
        <v>0</v>
      </c>
      <c r="W14" s="760">
        <f>IF(OR($A14="F&amp;F",$A14="CE",W$7="No aplica"),0,'BOULEVARD 5'!Z12-'BOULEVARD PPTO'!R7)</f>
        <v>0</v>
      </c>
      <c r="X14" s="760">
        <f>IF(OR($A14="F&amp;F",$A14="CE",X$7="No aplica"),0,'BOULEVARD 5'!AA12-'BOULEVARD PPTO'!S7)</f>
        <v>0</v>
      </c>
      <c r="Y14" s="760">
        <f>IF(OR($A14="F&amp;F",$A14="CE",Y$7="No aplica"),0,'BOULEVARD 5'!AB12-'BOULEVARD PPTO'!T7)</f>
        <v>0</v>
      </c>
      <c r="Z14" s="760">
        <f>IF(OR($A14="F&amp;F",$A14="CE",Z$7="No aplica"),0,'BOULEVARD 5'!AC12-'BOULEVARD PPTO'!U7)</f>
        <v>0</v>
      </c>
      <c r="AA14" s="760">
        <f>IF(OR($A14="F&amp;F",$A14="CE",AA$7="No aplica"),0,'BOULEVARD 5'!AD12-'BOULEVARD PPTO'!V7)</f>
        <v>0</v>
      </c>
      <c r="AB14" s="760">
        <f>IF(OR($A14="F&amp;F",$A14="CE",AB$7="No aplica"),0,'BOULEVARD 5'!AE12-'BOULEVARD PPTO'!W7)</f>
        <v>0</v>
      </c>
      <c r="AC14" s="760">
        <f>IF(OR($A14="F&amp;F",$A14="CE",AC$7="No aplica"),0,'BOULEVARD 5'!AF12-'BOULEVARD PPTO'!X7)</f>
        <v>0</v>
      </c>
      <c r="AD14" s="760">
        <f>IF(OR($A14="F&amp;F",$A14="CE",AD$7="No aplica"),0,'BOULEVARD 5'!AG12-'BOULEVARD PPTO'!Y7)</f>
        <v>0</v>
      </c>
      <c r="AE14" s="760">
        <f>IF(OR($A14="F&amp;F",$A14="CE",AE$7="No aplica"),0,'BOULEVARD 5'!AH12-'BOULEVARD PPTO'!Z7)</f>
        <v>0</v>
      </c>
      <c r="AF14" s="760">
        <f>IF(OR($A14="F&amp;F",$A14="CE",AF$7="No aplica"),0,'BOULEVARD 5'!AI12-'BOULEVARD PPTO'!AA7)</f>
        <v>0</v>
      </c>
      <c r="AG14" s="760">
        <f>IF(OR($A14="F&amp;F",$A14="CE",AG$7="No aplica"),0,'BOULEVARD 5'!AJ12-'BOULEVARD PPTO'!AB7)</f>
        <v>0</v>
      </c>
      <c r="AH14" s="760">
        <f>IF(OR($A14="F&amp;F",$A14="CE",AH$7="No aplica"),0,'BOULEVARD 5'!AK12-'BOULEVARD PPTO'!AC7)</f>
        <v>0</v>
      </c>
      <c r="AI14" s="760">
        <f>IF(OR($A14="F&amp;F",$A14="CE",AI$7="No aplica"),0,'BOULEVARD 5'!AL12-'BOULEVARD PPTO'!AD7)</f>
        <v>0</v>
      </c>
      <c r="AJ14" s="760">
        <f>IF(OR($A14="F&amp;F",$A14="CE",AJ$7="No aplica"),0,'BOULEVARD 5'!AM12-'BOULEVARD PPTO'!AE7)</f>
        <v>0</v>
      </c>
      <c r="AK14" s="760">
        <f>IF(OR($A14="F&amp;F",$A14="CE",AK$7="No aplica"),0,'BOULEVARD 5'!AN12-'BOULEVARD PPTO'!AF7)</f>
        <v>0</v>
      </c>
      <c r="AL14" s="760">
        <f>IF(OR($A14="F&amp;F",$A14="CE",AL$7="No aplica"),0,'BOULEVARD 5'!AO12-'BOULEVARD PPTO'!AG7)</f>
        <v>0</v>
      </c>
      <c r="AM14" s="760">
        <f>IF(OR($A14="F&amp;F",$A14="CE",AM$7="No aplica"),0,'BOULEVARD 5'!AP12-'BOULEVARD PPTO'!AH7)</f>
        <v>0</v>
      </c>
      <c r="AN14" s="760">
        <f>IF(OR($A14="F&amp;F",$A14="CE",AN$7="No aplica"),0,'BOULEVARD 5'!AQ12-'BOULEVARD PPTO'!AI7)</f>
        <v>0</v>
      </c>
      <c r="AO14" s="760">
        <f>IF(OR($A14="F&amp;F",$A14="CE",AO$7="No aplica"),0,'BOULEVARD 5'!AS12-'BOULEVARD PPTO'!AJ7)</f>
        <v>0</v>
      </c>
      <c r="AP14" s="761">
        <f t="shared" si="7"/>
        <v>0</v>
      </c>
      <c r="AQ14" s="761">
        <f t="shared" si="8"/>
        <v>24100</v>
      </c>
      <c r="AR14" s="674">
        <f>IF(A14=0,'BOULEVARD 5'!BF12,0)</f>
        <v>0</v>
      </c>
      <c r="AS14" s="674">
        <f>IF(A14=0,'BOULEVARD 5'!BG12,0)</f>
        <v>0</v>
      </c>
      <c r="AT14" s="675" t="str">
        <f t="shared" si="4"/>
        <v>Vendido</v>
      </c>
      <c r="AU14" s="581" t="str">
        <f t="shared" si="5"/>
        <v/>
      </c>
      <c r="AV14" s="760">
        <f t="shared" si="9"/>
        <v>0</v>
      </c>
    </row>
    <row r="15" spans="1:48" s="581" customFormat="1" ht="12.4" customHeight="1" outlineLevel="1" x14ac:dyDescent="0.25">
      <c r="A15" s="703">
        <f>'BOULEVARD 5'!BQ13</f>
        <v>0</v>
      </c>
      <c r="B15" s="564">
        <v>107</v>
      </c>
      <c r="C15" s="564" t="s">
        <v>373</v>
      </c>
      <c r="D15" s="564"/>
      <c r="E15" s="564" t="str">
        <f>IF('BOULEVARD 5'!E13&lt;&gt;0,'BOULEVARD 5'!E13,"")</f>
        <v/>
      </c>
      <c r="F15" s="581" t="str">
        <f>IF('BOULEVARD 5'!F13&lt;&gt;0,'BOULEVARD 5'!F13,"")</f>
        <v/>
      </c>
      <c r="G15" s="566" t="str">
        <f>IF('BOULEVARD 5'!G13="","",'BOULEVARD 5'!G13)</f>
        <v/>
      </c>
      <c r="H15" s="756">
        <f>IF(OR($A15="F&amp;F",$A15="CE",H$7="No aplica"),0,'BOULEVARD 5'!K13-'BOULEVARD PPTO'!C8)</f>
        <v>0</v>
      </c>
      <c r="I15" s="756">
        <f>IF(OR($A15="F&amp;F",$A15="CE",I$7="No aplica"),0,'BOULEVARD 5'!L13-'BOULEVARD PPTO'!D8)</f>
        <v>0</v>
      </c>
      <c r="J15" s="756">
        <f>IF(OR($A15="F&amp;F",$A15="CE",J$7="No aplica"),0,'BOULEVARD 5'!M13-'BOULEVARD PPTO'!E8)</f>
        <v>0</v>
      </c>
      <c r="K15" s="756">
        <f>IF(OR($A15="F&amp;F",$A15="CE",K$7="No aplica"),0,'BOULEVARD 5'!N13-'BOULEVARD PPTO'!F8)</f>
        <v>0</v>
      </c>
      <c r="L15" s="756">
        <f>IF(OR($A15="F&amp;F",$A15="CE",L$7="No aplica"),0,'BOULEVARD 5'!O13-'BOULEVARD PPTO'!G8)</f>
        <v>0</v>
      </c>
      <c r="M15" s="756">
        <f>IF(OR($A15="F&amp;F",$A15="CE",M$7="No aplica"),0,'BOULEVARD 5'!P13-'BOULEVARD PPTO'!H8)</f>
        <v>0</v>
      </c>
      <c r="N15" s="756">
        <f>IF(OR($A15="F&amp;F",$A15="CE",N$7="No aplica"),0,'BOULEVARD 5'!Q13-'BOULEVARD PPTO'!I8)</f>
        <v>0</v>
      </c>
      <c r="O15" s="756">
        <f>IF(OR($A15="F&amp;F",$A15="CE",O$7="No aplica"),0,'BOULEVARD 5'!R13-'BOULEVARD PPTO'!J8)</f>
        <v>0</v>
      </c>
      <c r="P15" s="756">
        <f>IF(OR($A15="F&amp;F",$A15="CE",P$7="No aplica"),0,'BOULEVARD 5'!S13-'BOULEVARD PPTO'!K8)</f>
        <v>0</v>
      </c>
      <c r="Q15" s="760">
        <f>IF(OR($A15="F&amp;F",$A15="CE",Q$7="No aplica"),0,'BOULEVARD 5'!T13-'BOULEVARD PPTO'!L8)</f>
        <v>0</v>
      </c>
      <c r="R15" s="760">
        <f>IF(OR($A15="F&amp;F",$A15="CE",R$7="No aplica"),0,'BOULEVARD 5'!U13-'BOULEVARD PPTO'!M8)</f>
        <v>0</v>
      </c>
      <c r="S15" s="760">
        <f>IF(OR($A15="F&amp;F",$A15="CE",S$7="No aplica"),0,'BOULEVARD 5'!V13-'BOULEVARD PPTO'!N8)</f>
        <v>0</v>
      </c>
      <c r="T15" s="760">
        <f>IF(OR($A15="F&amp;F",$A15="CE",T$7="No aplica"),0,'BOULEVARD 5'!W13-'BOULEVARD PPTO'!O8)</f>
        <v>0</v>
      </c>
      <c r="U15" s="760">
        <f>IF(OR($A15="F&amp;F",$A15="CE",U$7="No aplica"),0,'BOULEVARD 5'!X13-'BOULEVARD PPTO'!P8)</f>
        <v>0</v>
      </c>
      <c r="V15" s="760">
        <f>IF(OR($A15="F&amp;F",$A15="CE",V$7="No aplica"),0,'BOULEVARD 5'!Y13-'BOULEVARD PPTO'!Q8)</f>
        <v>0</v>
      </c>
      <c r="W15" s="760">
        <f>IF(OR($A15="F&amp;F",$A15="CE",W$7="No aplica"),0,'BOULEVARD 5'!Z13-'BOULEVARD PPTO'!R8)</f>
        <v>0</v>
      </c>
      <c r="X15" s="760">
        <f>IF(OR($A15="F&amp;F",$A15="CE",X$7="No aplica"),0,'BOULEVARD 5'!AA13-'BOULEVARD PPTO'!S8)</f>
        <v>0</v>
      </c>
      <c r="Y15" s="760">
        <f>IF(OR($A15="F&amp;F",$A15="CE",Y$7="No aplica"),0,'BOULEVARD 5'!AB13-'BOULEVARD PPTO'!T8)</f>
        <v>0</v>
      </c>
      <c r="Z15" s="760">
        <f>IF(OR($A15="F&amp;F",$A15="CE",Z$7="No aplica"),0,'BOULEVARD 5'!AC13-'BOULEVARD PPTO'!U8)</f>
        <v>0</v>
      </c>
      <c r="AA15" s="760">
        <f>IF(OR($A15="F&amp;F",$A15="CE",AA$7="No aplica"),0,'BOULEVARD 5'!AD13-'BOULEVARD PPTO'!V8)</f>
        <v>0</v>
      </c>
      <c r="AB15" s="760">
        <f>IF(OR($A15="F&amp;F",$A15="CE",AB$7="No aplica"),0,'BOULEVARD 5'!AE13-'BOULEVARD PPTO'!W8)</f>
        <v>0</v>
      </c>
      <c r="AC15" s="760">
        <f>IF(OR($A15="F&amp;F",$A15="CE",AC$7="No aplica"),0,'BOULEVARD 5'!AF13-'BOULEVARD PPTO'!X8)</f>
        <v>0</v>
      </c>
      <c r="AD15" s="760">
        <f>IF(OR($A15="F&amp;F",$A15="CE",AD$7="No aplica"),0,'BOULEVARD 5'!AG13-'BOULEVARD PPTO'!Y8)</f>
        <v>0</v>
      </c>
      <c r="AE15" s="760">
        <f>IF(OR($A15="F&amp;F",$A15="CE",AE$7="No aplica"),0,'BOULEVARD 5'!AH13-'BOULEVARD PPTO'!Z8)</f>
        <v>0</v>
      </c>
      <c r="AF15" s="760">
        <f>IF(OR($A15="F&amp;F",$A15="CE",AF$7="No aplica"),0,'BOULEVARD 5'!AI13-'BOULEVARD PPTO'!AA8)</f>
        <v>0</v>
      </c>
      <c r="AG15" s="760">
        <f>IF(OR($A15="F&amp;F",$A15="CE",AG$7="No aplica"),0,'BOULEVARD 5'!AJ13-'BOULEVARD PPTO'!AB8)</f>
        <v>0</v>
      </c>
      <c r="AH15" s="760">
        <f>IF(OR($A15="F&amp;F",$A15="CE",AH$7="No aplica"),0,'BOULEVARD 5'!AK13-'BOULEVARD PPTO'!AC8)</f>
        <v>0</v>
      </c>
      <c r="AI15" s="760">
        <f>IF(OR($A15="F&amp;F",$A15="CE",AI$7="No aplica"),0,'BOULEVARD 5'!AL13-'BOULEVARD PPTO'!AD8)</f>
        <v>0</v>
      </c>
      <c r="AJ15" s="760">
        <f>IF(OR($A15="F&amp;F",$A15="CE",AJ$7="No aplica"),0,'BOULEVARD 5'!AM13-'BOULEVARD PPTO'!AE8)</f>
        <v>0</v>
      </c>
      <c r="AK15" s="760">
        <f>IF(OR($A15="F&amp;F",$A15="CE",AK$7="No aplica"),0,'BOULEVARD 5'!AN13-'BOULEVARD PPTO'!AF8)</f>
        <v>0</v>
      </c>
      <c r="AL15" s="760">
        <f>IF(OR($A15="F&amp;F",$A15="CE",AL$7="No aplica"),0,'BOULEVARD 5'!AO13-'BOULEVARD PPTO'!AG8)</f>
        <v>0</v>
      </c>
      <c r="AM15" s="760">
        <f>IF(OR($A15="F&amp;F",$A15="CE",AM$7="No aplica"),0,'BOULEVARD 5'!AP13-'BOULEVARD PPTO'!AH8)</f>
        <v>0</v>
      </c>
      <c r="AN15" s="760">
        <f>IF(OR($A15="F&amp;F",$A15="CE",AN$7="No aplica"),0,'BOULEVARD 5'!AQ13-'BOULEVARD PPTO'!AI8)</f>
        <v>0</v>
      </c>
      <c r="AO15" s="760">
        <f>IF(OR($A15="F&amp;F",$A15="CE",AO$7="No aplica"),0,'BOULEVARD 5'!AS13-'BOULEVARD PPTO'!AJ8)</f>
        <v>0</v>
      </c>
      <c r="AP15" s="761">
        <f t="shared" si="7"/>
        <v>0</v>
      </c>
      <c r="AQ15" s="761">
        <f t="shared" si="8"/>
        <v>0</v>
      </c>
      <c r="AR15" s="674">
        <f>IF(A15=0,'BOULEVARD 5'!BF13,0)</f>
        <v>0</v>
      </c>
      <c r="AS15" s="674">
        <f>IF(A15=0,'BOULEVARD 5'!BG13,0)</f>
        <v>0</v>
      </c>
      <c r="AT15" s="675" t="str">
        <f t="shared" si="4"/>
        <v>No Vendido</v>
      </c>
      <c r="AU15" s="581" t="str">
        <f t="shared" si="5"/>
        <v/>
      </c>
      <c r="AV15" s="760">
        <f t="shared" si="9"/>
        <v>0</v>
      </c>
    </row>
    <row r="16" spans="1:48" s="581" customFormat="1" ht="12.4" customHeight="1" outlineLevel="1" x14ac:dyDescent="0.25">
      <c r="A16" s="703">
        <f>'BOULEVARD 5'!BQ14</f>
        <v>0</v>
      </c>
      <c r="B16" s="564">
        <v>108</v>
      </c>
      <c r="C16" s="564" t="s">
        <v>375</v>
      </c>
      <c r="D16" s="564"/>
      <c r="E16" s="564" t="str">
        <f>IF('BOULEVARD 5'!E14&lt;&gt;0,'BOULEVARD 5'!E14,"")</f>
        <v/>
      </c>
      <c r="F16" s="581" t="str">
        <f>IF('BOULEVARD 5'!F14&lt;&gt;0,'BOULEVARD 5'!F14,"")</f>
        <v/>
      </c>
      <c r="G16" s="566" t="str">
        <f>IF('BOULEVARD 5'!G14="","",'BOULEVARD 5'!G14)</f>
        <v/>
      </c>
      <c r="H16" s="756">
        <f>IF(OR($A16="F&amp;F",$A16="CE",H$7="No aplica"),0,'BOULEVARD 5'!K14-'BOULEVARD PPTO'!C9)</f>
        <v>0</v>
      </c>
      <c r="I16" s="756">
        <f>IF(OR($A16="F&amp;F",$A16="CE",I$7="No aplica"),0,'BOULEVARD 5'!L14-'BOULEVARD PPTO'!D9)</f>
        <v>0</v>
      </c>
      <c r="J16" s="756">
        <f>IF(OR($A16="F&amp;F",$A16="CE",J$7="No aplica"),0,'BOULEVARD 5'!M14-'BOULEVARD PPTO'!E9)</f>
        <v>0</v>
      </c>
      <c r="K16" s="756">
        <f>IF(OR($A16="F&amp;F",$A16="CE",K$7="No aplica"),0,'BOULEVARD 5'!N14-'BOULEVARD PPTO'!F9)</f>
        <v>0</v>
      </c>
      <c r="L16" s="756">
        <f>IF(OR($A16="F&amp;F",$A16="CE",L$7="No aplica"),0,'BOULEVARD 5'!O14-'BOULEVARD PPTO'!G9)</f>
        <v>0</v>
      </c>
      <c r="M16" s="756">
        <f>IF(OR($A16="F&amp;F",$A16="CE",M$7="No aplica"),0,'BOULEVARD 5'!P14-'BOULEVARD PPTO'!H9)</f>
        <v>0</v>
      </c>
      <c r="N16" s="756">
        <f>IF(OR($A16="F&amp;F",$A16="CE",N$7="No aplica"),0,'BOULEVARD 5'!Q14-'BOULEVARD PPTO'!I9)</f>
        <v>0</v>
      </c>
      <c r="O16" s="756">
        <f>IF(OR($A16="F&amp;F",$A16="CE",O$7="No aplica"),0,'BOULEVARD 5'!R14-'BOULEVARD PPTO'!J9)</f>
        <v>0</v>
      </c>
      <c r="P16" s="756">
        <f>IF(OR($A16="F&amp;F",$A16="CE",P$7="No aplica"),0,'BOULEVARD 5'!S14-'BOULEVARD PPTO'!K9)</f>
        <v>0</v>
      </c>
      <c r="Q16" s="760">
        <f>IF(OR($A16="F&amp;F",$A16="CE",Q$7="No aplica"),0,'BOULEVARD 5'!T14-'BOULEVARD PPTO'!L9)</f>
        <v>0</v>
      </c>
      <c r="R16" s="760">
        <f>IF(OR($A16="F&amp;F",$A16="CE",R$7="No aplica"),0,'BOULEVARD 5'!U14-'BOULEVARD PPTO'!M9)</f>
        <v>0</v>
      </c>
      <c r="S16" s="760">
        <f>IF(OR($A16="F&amp;F",$A16="CE",S$7="No aplica"),0,'BOULEVARD 5'!V14-'BOULEVARD PPTO'!N9)</f>
        <v>0</v>
      </c>
      <c r="T16" s="760">
        <f>IF(OR($A16="F&amp;F",$A16="CE",T$7="No aplica"),0,'BOULEVARD 5'!W14-'BOULEVARD PPTO'!O9)</f>
        <v>0</v>
      </c>
      <c r="U16" s="760">
        <f>IF(OR($A16="F&amp;F",$A16="CE",U$7="No aplica"),0,'BOULEVARD 5'!X14-'BOULEVARD PPTO'!P9)</f>
        <v>0</v>
      </c>
      <c r="V16" s="760">
        <f>IF(OR($A16="F&amp;F",$A16="CE",V$7="No aplica"),0,'BOULEVARD 5'!Y14-'BOULEVARD PPTO'!Q9)</f>
        <v>0</v>
      </c>
      <c r="W16" s="760">
        <f>IF(OR($A16="F&amp;F",$A16="CE",W$7="No aplica"),0,'BOULEVARD 5'!Z14-'BOULEVARD PPTO'!R9)</f>
        <v>0</v>
      </c>
      <c r="X16" s="760">
        <f>IF(OR($A16="F&amp;F",$A16="CE",X$7="No aplica"),0,'BOULEVARD 5'!AA14-'BOULEVARD PPTO'!S9)</f>
        <v>0</v>
      </c>
      <c r="Y16" s="760">
        <f>IF(OR($A16="F&amp;F",$A16="CE",Y$7="No aplica"),0,'BOULEVARD 5'!AB14-'BOULEVARD PPTO'!T9)</f>
        <v>0</v>
      </c>
      <c r="Z16" s="760">
        <f>IF(OR($A16="F&amp;F",$A16="CE",Z$7="No aplica"),0,'BOULEVARD 5'!AC14-'BOULEVARD PPTO'!U9)</f>
        <v>0</v>
      </c>
      <c r="AA16" s="760">
        <f>IF(OR($A16="F&amp;F",$A16="CE",AA$7="No aplica"),0,'BOULEVARD 5'!AD14-'BOULEVARD PPTO'!V9)</f>
        <v>0</v>
      </c>
      <c r="AB16" s="760">
        <f>IF(OR($A16="F&amp;F",$A16="CE",AB$7="No aplica"),0,'BOULEVARD 5'!AE14-'BOULEVARD PPTO'!W9)</f>
        <v>0</v>
      </c>
      <c r="AC16" s="760">
        <f>IF(OR($A16="F&amp;F",$A16="CE",AC$7="No aplica"),0,'BOULEVARD 5'!AF14-'BOULEVARD PPTO'!X9)</f>
        <v>0</v>
      </c>
      <c r="AD16" s="760">
        <f>IF(OR($A16="F&amp;F",$A16="CE",AD$7="No aplica"),0,'BOULEVARD 5'!AG14-'BOULEVARD PPTO'!Y9)</f>
        <v>0</v>
      </c>
      <c r="AE16" s="760">
        <f>IF(OR($A16="F&amp;F",$A16="CE",AE$7="No aplica"),0,'BOULEVARD 5'!AH14-'BOULEVARD PPTO'!Z9)</f>
        <v>0</v>
      </c>
      <c r="AF16" s="760">
        <f>IF(OR($A16="F&amp;F",$A16="CE",AF$7="No aplica"),0,'BOULEVARD 5'!AI14-'BOULEVARD PPTO'!AA9)</f>
        <v>0</v>
      </c>
      <c r="AG16" s="760">
        <f>IF(OR($A16="F&amp;F",$A16="CE",AG$7="No aplica"),0,'BOULEVARD 5'!AJ14-'BOULEVARD PPTO'!AB9)</f>
        <v>0</v>
      </c>
      <c r="AH16" s="760">
        <f>IF(OR($A16="F&amp;F",$A16="CE",AH$7="No aplica"),0,'BOULEVARD 5'!AK14-'BOULEVARD PPTO'!AC9)</f>
        <v>0</v>
      </c>
      <c r="AI16" s="760">
        <f>IF(OR($A16="F&amp;F",$A16="CE",AI$7="No aplica"),0,'BOULEVARD 5'!AL14-'BOULEVARD PPTO'!AD9)</f>
        <v>0</v>
      </c>
      <c r="AJ16" s="760">
        <f>IF(OR($A16="F&amp;F",$A16="CE",AJ$7="No aplica"),0,'BOULEVARD 5'!AM14-'BOULEVARD PPTO'!AE9)</f>
        <v>0</v>
      </c>
      <c r="AK16" s="760">
        <f>IF(OR($A16="F&amp;F",$A16="CE",AK$7="No aplica"),0,'BOULEVARD 5'!AN14-'BOULEVARD PPTO'!AF9)</f>
        <v>0</v>
      </c>
      <c r="AL16" s="760">
        <f>IF(OR($A16="F&amp;F",$A16="CE",AL$7="No aplica"),0,'BOULEVARD 5'!AO14-'BOULEVARD PPTO'!AG9)</f>
        <v>0</v>
      </c>
      <c r="AM16" s="760">
        <f>IF(OR($A16="F&amp;F",$A16="CE",AM$7="No aplica"),0,'BOULEVARD 5'!AP14-'BOULEVARD PPTO'!AH9)</f>
        <v>0</v>
      </c>
      <c r="AN16" s="760">
        <f>IF(OR($A16="F&amp;F",$A16="CE",AN$7="No aplica"),0,'BOULEVARD 5'!AQ14-'BOULEVARD PPTO'!AI9)</f>
        <v>0</v>
      </c>
      <c r="AO16" s="760">
        <f>IF(OR($A16="F&amp;F",$A16="CE",AO$7="No aplica"),0,'BOULEVARD 5'!AS14-'BOULEVARD PPTO'!AJ9)</f>
        <v>0</v>
      </c>
      <c r="AP16" s="761">
        <f t="shared" si="7"/>
        <v>0</v>
      </c>
      <c r="AQ16" s="761">
        <f t="shared" si="8"/>
        <v>0</v>
      </c>
      <c r="AR16" s="674">
        <f>IF(A16=0,'BOULEVARD 5'!BF14,0)</f>
        <v>0</v>
      </c>
      <c r="AS16" s="674">
        <f>IF(A16=0,'BOULEVARD 5'!BG14,0)</f>
        <v>0</v>
      </c>
      <c r="AT16" s="675" t="str">
        <f t="shared" si="4"/>
        <v>No Vendido</v>
      </c>
      <c r="AU16" s="581" t="str">
        <f t="shared" si="5"/>
        <v/>
      </c>
      <c r="AV16" s="760">
        <f t="shared" si="9"/>
        <v>0</v>
      </c>
    </row>
    <row r="17" spans="1:48" s="581" customFormat="1" ht="12.4" customHeight="1" outlineLevel="1" x14ac:dyDescent="0.25">
      <c r="A17" s="703">
        <f>'BOULEVARD 5'!BQ15</f>
        <v>0</v>
      </c>
      <c r="B17" s="564">
        <v>109</v>
      </c>
      <c r="C17" s="564" t="s">
        <v>376</v>
      </c>
      <c r="D17" s="564"/>
      <c r="E17" s="564" t="str">
        <f>IF('BOULEVARD 5'!E15&lt;&gt;0,'BOULEVARD 5'!E15,"")</f>
        <v>Antonio Rada</v>
      </c>
      <c r="F17" s="581" t="str">
        <f>IF('BOULEVARD 5'!F15&lt;&gt;0,'BOULEVARD 5'!F15,"")</f>
        <v>Laura Elisa Ovalle Gonzalez</v>
      </c>
      <c r="G17" s="566">
        <f>IF('BOULEVARD 5'!G15="","",'BOULEVARD 5'!G15)</f>
        <v>45471</v>
      </c>
      <c r="H17" s="756">
        <f>IF(OR($A17="F&amp;F",$A17="CE",H$7="No aplica"),0,'BOULEVARD 5'!K15-'BOULEVARD PPTO'!C10)</f>
        <v>0</v>
      </c>
      <c r="I17" s="756">
        <f>IF(OR($A17="F&amp;F",$A17="CE",I$7="No aplica"),0,'BOULEVARD 5'!L15-'BOULEVARD PPTO'!D10)</f>
        <v>0</v>
      </c>
      <c r="J17" s="756">
        <f>IF(OR($A17="F&amp;F",$A17="CE",J$7="No aplica"),0,'BOULEVARD 5'!M15-'BOULEVARD PPTO'!E10)</f>
        <v>0</v>
      </c>
      <c r="K17" s="756">
        <f>IF(OR($A17="F&amp;F",$A17="CE",K$7="No aplica"),0,'BOULEVARD 5'!N15-'BOULEVARD PPTO'!F10)</f>
        <v>0</v>
      </c>
      <c r="L17" s="756">
        <f>IF(OR($A17="F&amp;F",$A17="CE",L$7="No aplica"),0,'BOULEVARD 5'!O15-'BOULEVARD PPTO'!G10)</f>
        <v>0</v>
      </c>
      <c r="M17" s="756">
        <f>IF(OR($A17="F&amp;F",$A17="CE",M$7="No aplica"),0,'BOULEVARD 5'!P15-'BOULEVARD PPTO'!H10)</f>
        <v>0</v>
      </c>
      <c r="N17" s="756">
        <f>IF(OR($A17="F&amp;F",$A17="CE",N$7="No aplica"),0,'BOULEVARD 5'!Q15-'BOULEVARD PPTO'!I10)</f>
        <v>0</v>
      </c>
      <c r="O17" s="756">
        <f>IF(OR($A17="F&amp;F",$A17="CE",O$7="No aplica"),0,'BOULEVARD 5'!R15-'BOULEVARD PPTO'!J10)</f>
        <v>0</v>
      </c>
      <c r="P17" s="756">
        <f>IF(OR($A17="F&amp;F",$A17="CE",P$7="No aplica"),0,'BOULEVARD 5'!S15-'BOULEVARD PPTO'!K10)</f>
        <v>0</v>
      </c>
      <c r="Q17" s="760">
        <f>IF(OR($A17="F&amp;F",$A17="CE",Q$7="No aplica"),0,'BOULEVARD 5'!T15-'BOULEVARD PPTO'!L10)</f>
        <v>0</v>
      </c>
      <c r="R17" s="760">
        <f>IF(OR($A17="F&amp;F",$A17="CE",R$7="No aplica"),0,'BOULEVARD 5'!U15-'BOULEVARD PPTO'!M10)</f>
        <v>0</v>
      </c>
      <c r="S17" s="760">
        <f>IF(OR($A17="F&amp;F",$A17="CE",S$7="No aplica"),0,'BOULEVARD 5'!V15-'BOULEVARD PPTO'!N10)</f>
        <v>0</v>
      </c>
      <c r="T17" s="760">
        <f>IF(OR($A17="F&amp;F",$A17="CE",T$7="No aplica"),0,'BOULEVARD 5'!W15-'BOULEVARD PPTO'!O10)</f>
        <v>0</v>
      </c>
      <c r="U17" s="760">
        <f>IF(OR($A17="F&amp;F",$A17="CE",U$7="No aplica"),0,'BOULEVARD 5'!X15-'BOULEVARD PPTO'!P10)</f>
        <v>0</v>
      </c>
      <c r="V17" s="760">
        <f>IF(OR($A17="F&amp;F",$A17="CE",V$7="No aplica"),0,'BOULEVARD 5'!Y15-'BOULEVARD PPTO'!Q10)</f>
        <v>0</v>
      </c>
      <c r="W17" s="760">
        <f>IF(OR($A17="F&amp;F",$A17="CE",W$7="No aplica"),0,'BOULEVARD 5'!Z15-'BOULEVARD PPTO'!R10)</f>
        <v>0</v>
      </c>
      <c r="X17" s="760">
        <f>IF(OR($A17="F&amp;F",$A17="CE",X$7="No aplica"),0,'BOULEVARD 5'!AA15-'BOULEVARD PPTO'!S10)</f>
        <v>0</v>
      </c>
      <c r="Y17" s="760">
        <f>IF(OR($A17="F&amp;F",$A17="CE",Y$7="No aplica"),0,'BOULEVARD 5'!AB15-'BOULEVARD PPTO'!T10)</f>
        <v>0</v>
      </c>
      <c r="Z17" s="760">
        <f>IF(OR($A17="F&amp;F",$A17="CE",Z$7="No aplica"),0,'BOULEVARD 5'!AC15-'BOULEVARD PPTO'!U10)</f>
        <v>0</v>
      </c>
      <c r="AA17" s="760">
        <f>IF(OR($A17="F&amp;F",$A17="CE",AA$7="No aplica"),0,'BOULEVARD 5'!AD15-'BOULEVARD PPTO'!V10)</f>
        <v>0</v>
      </c>
      <c r="AB17" s="760">
        <f>IF(OR($A17="F&amp;F",$A17="CE",AB$7="No aplica"),0,'BOULEVARD 5'!AE15-'BOULEVARD PPTO'!W10)</f>
        <v>0</v>
      </c>
      <c r="AC17" s="760">
        <f>IF(OR($A17="F&amp;F",$A17="CE",AC$7="No aplica"),0,'BOULEVARD 5'!AF15-'BOULEVARD PPTO'!X10)</f>
        <v>0</v>
      </c>
      <c r="AD17" s="760">
        <f>IF(OR($A17="F&amp;F",$A17="CE",AD$7="No aplica"),0,'BOULEVARD 5'!AG15-'BOULEVARD PPTO'!Y10)</f>
        <v>0</v>
      </c>
      <c r="AE17" s="760">
        <f>IF(OR($A17="F&amp;F",$A17="CE",AE$7="No aplica"),0,'BOULEVARD 5'!AH15-'BOULEVARD PPTO'!Z10)</f>
        <v>0</v>
      </c>
      <c r="AF17" s="760">
        <f>IF(OR($A17="F&amp;F",$A17="CE",AF$7="No aplica"),0,'BOULEVARD 5'!AI15-'BOULEVARD PPTO'!AA10)</f>
        <v>0</v>
      </c>
      <c r="AG17" s="760">
        <f>IF(OR($A17="F&amp;F",$A17="CE",AG$7="No aplica"),0,'BOULEVARD 5'!AJ15-'BOULEVARD PPTO'!AB10)</f>
        <v>0</v>
      </c>
      <c r="AH17" s="760">
        <f>IF(OR($A17="F&amp;F",$A17="CE",AH$7="No aplica"),0,'BOULEVARD 5'!AK15-'BOULEVARD PPTO'!AC10)</f>
        <v>0</v>
      </c>
      <c r="AI17" s="760">
        <f>IF(OR($A17="F&amp;F",$A17="CE",AI$7="No aplica"),0,'BOULEVARD 5'!AL15-'BOULEVARD PPTO'!AD10)</f>
        <v>0</v>
      </c>
      <c r="AJ17" s="760">
        <f>IF(OR($A17="F&amp;F",$A17="CE",AJ$7="No aplica"),0,'BOULEVARD 5'!AM15-'BOULEVARD PPTO'!AE10)</f>
        <v>0</v>
      </c>
      <c r="AK17" s="760">
        <f>IF(OR($A17="F&amp;F",$A17="CE",AK$7="No aplica"),0,'BOULEVARD 5'!AN15-'BOULEVARD PPTO'!AF10)</f>
        <v>0</v>
      </c>
      <c r="AL17" s="760">
        <f>IF(OR($A17="F&amp;F",$A17="CE",AL$7="No aplica"),0,'BOULEVARD 5'!AO15-'BOULEVARD PPTO'!AG10)</f>
        <v>0</v>
      </c>
      <c r="AM17" s="760">
        <f>IF(OR($A17="F&amp;F",$A17="CE",AM$7="No aplica"),0,'BOULEVARD 5'!AP15-'BOULEVARD PPTO'!AH10)</f>
        <v>-7704</v>
      </c>
      <c r="AN17" s="760">
        <f>IF(OR($A17="F&amp;F",$A17="CE",AN$7="No aplica"),0,'BOULEVARD 5'!AQ15-'BOULEVARD PPTO'!AI10)</f>
        <v>0</v>
      </c>
      <c r="AO17" s="760">
        <f>IF(OR($A17="F&amp;F",$A17="CE",AO$7="No aplica"),0,'BOULEVARD 5'!AS15-'BOULEVARD PPTO'!AJ10)</f>
        <v>0</v>
      </c>
      <c r="AP17" s="761">
        <f t="shared" si="7"/>
        <v>-7704</v>
      </c>
      <c r="AQ17" s="761">
        <f t="shared" si="8"/>
        <v>-4</v>
      </c>
      <c r="AR17" s="674">
        <f>IF(A17=0,'BOULEVARD 5'!BF15,0)</f>
        <v>10000</v>
      </c>
      <c r="AS17" s="674">
        <f>IF(A17=0,'BOULEVARD 5'!BG15,0)</f>
        <v>7704</v>
      </c>
      <c r="AT17" s="675" t="str">
        <f t="shared" si="4"/>
        <v>Vendido</v>
      </c>
      <c r="AU17" s="581" t="str">
        <f t="shared" si="5"/>
        <v>POR COBRAR</v>
      </c>
      <c r="AV17" s="760">
        <f t="shared" si="9"/>
        <v>0</v>
      </c>
    </row>
    <row r="18" spans="1:48" s="581" customFormat="1" ht="12.4" customHeight="1" outlineLevel="1" x14ac:dyDescent="0.25">
      <c r="A18" s="703">
        <f>'BOULEVARD 5'!BQ16</f>
        <v>0</v>
      </c>
      <c r="B18" s="564">
        <v>110</v>
      </c>
      <c r="C18" s="564" t="s">
        <v>378</v>
      </c>
      <c r="D18" s="564"/>
      <c r="E18" s="564" t="str">
        <f>IF('BOULEVARD 5'!E16&lt;&gt;0,'BOULEVARD 5'!E16,"")</f>
        <v>Antonio Rada</v>
      </c>
      <c r="F18" s="581" t="str">
        <f>IF('BOULEVARD 5'!F16&lt;&gt;0,'BOULEVARD 5'!F16,"")</f>
        <v>Karla Suzel Ruiz Sanchinelli De Alonzo</v>
      </c>
      <c r="G18" s="566">
        <f>IF('BOULEVARD 5'!G16="","",'BOULEVARD 5'!G16)</f>
        <v>45088</v>
      </c>
      <c r="H18" s="756">
        <f>IF(OR($A18="F&amp;F",$A18="CE",H$7="No aplica"),0,'BOULEVARD 5'!K16-'BOULEVARD PPTO'!C11)</f>
        <v>0</v>
      </c>
      <c r="I18" s="756">
        <f>IF(OR($A18="F&amp;F",$A18="CE",I$7="No aplica"),0,'BOULEVARD 5'!L16-'BOULEVARD PPTO'!D11)</f>
        <v>0</v>
      </c>
      <c r="J18" s="756">
        <f>IF(OR($A18="F&amp;F",$A18="CE",J$7="No aplica"),0,'BOULEVARD 5'!M16-'BOULEVARD PPTO'!E11)</f>
        <v>0</v>
      </c>
      <c r="K18" s="756">
        <f>IF(OR($A18="F&amp;F",$A18="CE",K$7="No aplica"),0,'BOULEVARD 5'!N16-'BOULEVARD PPTO'!F11)</f>
        <v>6000</v>
      </c>
      <c r="L18" s="756">
        <f>IF(OR($A18="F&amp;F",$A18="CE",L$7="No aplica"),0,'BOULEVARD 5'!O16-'BOULEVARD PPTO'!G11)</f>
        <v>-6000</v>
      </c>
      <c r="M18" s="756">
        <f>IF(OR($A18="F&amp;F",$A18="CE",M$7="No aplica"),0,'BOULEVARD 5'!P16-'BOULEVARD PPTO'!H11)</f>
        <v>0</v>
      </c>
      <c r="N18" s="756">
        <f>IF(OR($A18="F&amp;F",$A18="CE",N$7="No aplica"),0,'BOULEVARD 5'!Q16-'BOULEVARD PPTO'!I11)</f>
        <v>0</v>
      </c>
      <c r="O18" s="756">
        <f>IF(OR($A18="F&amp;F",$A18="CE",O$7="No aplica"),0,'BOULEVARD 5'!R16-'BOULEVARD PPTO'!J11)</f>
        <v>0</v>
      </c>
      <c r="P18" s="756">
        <f>IF(OR($A18="F&amp;F",$A18="CE",P$7="No aplica"),0,'BOULEVARD 5'!S16-'BOULEVARD PPTO'!K11)</f>
        <v>0</v>
      </c>
      <c r="Q18" s="760">
        <f>IF(OR($A18="F&amp;F",$A18="CE",Q$7="No aplica"),0,'BOULEVARD 5'!T16-'BOULEVARD PPTO'!L11)</f>
        <v>0</v>
      </c>
      <c r="R18" s="760">
        <f>IF(OR($A18="F&amp;F",$A18="CE",R$7="No aplica"),0,'BOULEVARD 5'!U16-'BOULEVARD PPTO'!M11)</f>
        <v>0</v>
      </c>
      <c r="S18" s="760">
        <f>IF(OR($A18="F&amp;F",$A18="CE",S$7="No aplica"),0,'BOULEVARD 5'!V16-'BOULEVARD PPTO'!N11)</f>
        <v>0</v>
      </c>
      <c r="T18" s="760">
        <f>IF(OR($A18="F&amp;F",$A18="CE",T$7="No aplica"),0,'BOULEVARD 5'!W16-'BOULEVARD PPTO'!O11)</f>
        <v>0</v>
      </c>
      <c r="U18" s="760">
        <f>IF(OR($A18="F&amp;F",$A18="CE",U$7="No aplica"),0,'BOULEVARD 5'!X16-'BOULEVARD PPTO'!P11)</f>
        <v>0</v>
      </c>
      <c r="V18" s="760">
        <f>IF(OR($A18="F&amp;F",$A18="CE",V$7="No aplica"),0,'BOULEVARD 5'!Y16-'BOULEVARD PPTO'!Q11)</f>
        <v>0</v>
      </c>
      <c r="W18" s="760">
        <f>IF(OR($A18="F&amp;F",$A18="CE",W$7="No aplica"),0,'BOULEVARD 5'!Z16-'BOULEVARD PPTO'!R11)</f>
        <v>0</v>
      </c>
      <c r="X18" s="760">
        <f>IF(OR($A18="F&amp;F",$A18="CE",X$7="No aplica"),0,'BOULEVARD 5'!AA16-'BOULEVARD PPTO'!S11)</f>
        <v>0</v>
      </c>
      <c r="Y18" s="760">
        <f>IF(OR($A18="F&amp;F",$A18="CE",Y$7="No aplica"),0,'BOULEVARD 5'!AB16-'BOULEVARD PPTO'!T11)</f>
        <v>0</v>
      </c>
      <c r="Z18" s="760">
        <f>IF(OR($A18="F&amp;F",$A18="CE",Z$7="No aplica"),0,'BOULEVARD 5'!AC16-'BOULEVARD PPTO'!U11)</f>
        <v>0</v>
      </c>
      <c r="AA18" s="760">
        <f>IF(OR($A18="F&amp;F",$A18="CE",AA$7="No aplica"),0,'BOULEVARD 5'!AD16-'BOULEVARD PPTO'!V11)</f>
        <v>0</v>
      </c>
      <c r="AB18" s="760">
        <f>IF(OR($A18="F&amp;F",$A18="CE",AB$7="No aplica"),0,'BOULEVARD 5'!AE16-'BOULEVARD PPTO'!W11)</f>
        <v>0</v>
      </c>
      <c r="AC18" s="760">
        <f>IF(OR($A18="F&amp;F",$A18="CE",AC$7="No aplica"),0,'BOULEVARD 5'!AF16-'BOULEVARD PPTO'!X11)</f>
        <v>0</v>
      </c>
      <c r="AD18" s="760">
        <f>IF(OR($A18="F&amp;F",$A18="CE",AD$7="No aplica"),0,'BOULEVARD 5'!AG16-'BOULEVARD PPTO'!Y11)</f>
        <v>0</v>
      </c>
      <c r="AE18" s="760">
        <f>IF(OR($A18="F&amp;F",$A18="CE",AE$7="No aplica"),0,'BOULEVARD 5'!AH16-'BOULEVARD PPTO'!Z11)</f>
        <v>0</v>
      </c>
      <c r="AF18" s="760">
        <f>IF(OR($A18="F&amp;F",$A18="CE",AF$7="No aplica"),0,'BOULEVARD 5'!AI16-'BOULEVARD PPTO'!AA11)</f>
        <v>0</v>
      </c>
      <c r="AG18" s="760">
        <f>IF(OR($A18="F&amp;F",$A18="CE",AG$7="No aplica"),0,'BOULEVARD 5'!AJ16-'BOULEVARD PPTO'!AB11)</f>
        <v>0</v>
      </c>
      <c r="AH18" s="760">
        <f>IF(OR($A18="F&amp;F",$A18="CE",AH$7="No aplica"),0,'BOULEVARD 5'!AK16-'BOULEVARD PPTO'!AC11)</f>
        <v>0</v>
      </c>
      <c r="AI18" s="760">
        <f>IF(OR($A18="F&amp;F",$A18="CE",AI$7="No aplica"),0,'BOULEVARD 5'!AL16-'BOULEVARD PPTO'!AD11)</f>
        <v>0</v>
      </c>
      <c r="AJ18" s="760">
        <f>IF(OR($A18="F&amp;F",$A18="CE",AJ$7="No aplica"),0,'BOULEVARD 5'!AM16-'BOULEVARD PPTO'!AE11)</f>
        <v>0</v>
      </c>
      <c r="AK18" s="760">
        <f>IF(OR($A18="F&amp;F",$A18="CE",AK$7="No aplica"),0,'BOULEVARD 5'!AN16-'BOULEVARD PPTO'!AF11)</f>
        <v>0</v>
      </c>
      <c r="AL18" s="760">
        <f>IF(OR($A18="F&amp;F",$A18="CE",AL$7="No aplica"),0,'BOULEVARD 5'!AO16-'BOULEVARD PPTO'!AG11)</f>
        <v>-12</v>
      </c>
      <c r="AM18" s="760">
        <f>IF(OR($A18="F&amp;F",$A18="CE",AM$7="No aplica"),0,'BOULEVARD 5'!AP16-'BOULEVARD PPTO'!AH11)</f>
        <v>2388</v>
      </c>
      <c r="AN18" s="760">
        <f>IF(OR($A18="F&amp;F",$A18="CE",AN$7="No aplica"),0,'BOULEVARD 5'!AQ16-'BOULEVARD PPTO'!AI11)</f>
        <v>0</v>
      </c>
      <c r="AO18" s="760">
        <f>IF(OR($A18="F&amp;F",$A18="CE",AO$7="No aplica"),0,'BOULEVARD 5'!AS16-'BOULEVARD PPTO'!AJ11)</f>
        <v>0</v>
      </c>
      <c r="AP18" s="761">
        <f>SUBTOTAL(9,H18:AO18)</f>
        <v>2376</v>
      </c>
      <c r="AQ18" s="761">
        <f t="shared" si="8"/>
        <v>7152</v>
      </c>
      <c r="AR18" s="674">
        <f>IF(A18=0,'BOULEVARD 5'!BF16,0)</f>
        <v>6000</v>
      </c>
      <c r="AS18" s="674">
        <f>IF(A18=0,'BOULEVARD 5'!BG16,0)</f>
        <v>2388</v>
      </c>
      <c r="AT18" s="675" t="str">
        <f t="shared" si="4"/>
        <v>Vendido</v>
      </c>
      <c r="AU18" s="581" t="str">
        <f t="shared" si="5"/>
        <v>A FAVOR DEL CLIENTE</v>
      </c>
      <c r="AV18" s="760">
        <f t="shared" ref="AV18:AV73" si="10">IF(_xlfn.XLOOKUP($G$5,$Q$8:$AO$8,$Q18:$AO18)&gt;0,_xlfn.XLOOKUP($G$5,$Q$8:$AO$8,$Q18:$AO18),0)</f>
        <v>2388</v>
      </c>
    </row>
    <row r="19" spans="1:48" s="581" customFormat="1" ht="12.4" customHeight="1" outlineLevel="1" x14ac:dyDescent="0.25">
      <c r="A19" s="703">
        <f>'BOULEVARD 5'!BQ17</f>
        <v>0</v>
      </c>
      <c r="B19" s="564">
        <v>111</v>
      </c>
      <c r="C19" s="564" t="s">
        <v>380</v>
      </c>
      <c r="D19" s="564"/>
      <c r="E19" s="564" t="str">
        <f>IF('BOULEVARD 5'!E17&lt;&gt;0,'BOULEVARD 5'!E17,"")</f>
        <v>Jose Franco</v>
      </c>
      <c r="F19" s="581" t="str">
        <f>IF('BOULEVARD 5'!F17&lt;&gt;0,'BOULEVARD 5'!F17,"")</f>
        <v>Jonathan José Morales Salazar / Ingrid Liseth Barillas López</v>
      </c>
      <c r="G19" s="566">
        <f>IF('BOULEVARD 5'!G17="","",'BOULEVARD 5'!G17)</f>
        <v>45012</v>
      </c>
      <c r="H19" s="756">
        <f>IF(OR($A19="F&amp;F",$A19="CE",H$7="No aplica"),0,'BOULEVARD 5'!K17-'BOULEVARD PPTO'!C12)</f>
        <v>0</v>
      </c>
      <c r="I19" s="756">
        <f>IF(OR($A19="F&amp;F",$A19="CE",I$7="No aplica"),0,'BOULEVARD 5'!L17-'BOULEVARD PPTO'!D12)</f>
        <v>-1000</v>
      </c>
      <c r="J19" s="756">
        <f>IF(OR($A19="F&amp;F",$A19="CE",J$7="No aplica"),0,'BOULEVARD 5'!M17-'BOULEVARD PPTO'!E12)</f>
        <v>1000</v>
      </c>
      <c r="K19" s="756">
        <f>IF(OR($A19="F&amp;F",$A19="CE",K$7="No aplica"),0,'BOULEVARD 5'!N17-'BOULEVARD PPTO'!F12)</f>
        <v>0</v>
      </c>
      <c r="L19" s="756">
        <f>IF(OR($A19="F&amp;F",$A19="CE",L$7="No aplica"),0,'BOULEVARD 5'!O17-'BOULEVARD PPTO'!G12)</f>
        <v>0</v>
      </c>
      <c r="M19" s="756">
        <f>IF(OR($A19="F&amp;F",$A19="CE",M$7="No aplica"),0,'BOULEVARD 5'!P17-'BOULEVARD PPTO'!H12)</f>
        <v>0</v>
      </c>
      <c r="N19" s="756">
        <f>IF(OR($A19="F&amp;F",$A19="CE",N$7="No aplica"),0,'BOULEVARD 5'!Q17-'BOULEVARD PPTO'!I12)</f>
        <v>0</v>
      </c>
      <c r="O19" s="756">
        <f>IF(OR($A19="F&amp;F",$A19="CE",O$7="No aplica"),0,'BOULEVARD 5'!R17-'BOULEVARD PPTO'!J12)</f>
        <v>0</v>
      </c>
      <c r="P19" s="756">
        <f>IF(OR($A19="F&amp;F",$A19="CE",P$7="No aplica"),0,'BOULEVARD 5'!S17-'BOULEVARD PPTO'!K12)</f>
        <v>0</v>
      </c>
      <c r="Q19" s="760">
        <f>IF(OR($A19="F&amp;F",$A19="CE",Q$7="No aplica"),0,'BOULEVARD 5'!T17-'BOULEVARD PPTO'!L12)</f>
        <v>0</v>
      </c>
      <c r="R19" s="760">
        <f>IF(OR($A19="F&amp;F",$A19="CE",R$7="No aplica"),0,'BOULEVARD 5'!U17-'BOULEVARD PPTO'!M12)</f>
        <v>0</v>
      </c>
      <c r="S19" s="760">
        <f>IF(OR($A19="F&amp;F",$A19="CE",S$7="No aplica"),0,'BOULEVARD 5'!V17-'BOULEVARD PPTO'!N12)</f>
        <v>0</v>
      </c>
      <c r="T19" s="760">
        <f>IF(OR($A19="F&amp;F",$A19="CE",T$7="No aplica"),0,'BOULEVARD 5'!W17-'BOULEVARD PPTO'!O12)</f>
        <v>0</v>
      </c>
      <c r="U19" s="760">
        <f>IF(OR($A19="F&amp;F",$A19="CE",U$7="No aplica"),0,'BOULEVARD 5'!X17-'BOULEVARD PPTO'!P12)</f>
        <v>0</v>
      </c>
      <c r="V19" s="760">
        <f>IF(OR($A19="F&amp;F",$A19="CE",V$7="No aplica"),0,'BOULEVARD 5'!Y17-'BOULEVARD PPTO'!Q12)</f>
        <v>0</v>
      </c>
      <c r="W19" s="760">
        <f>IF(OR($A19="F&amp;F",$A19="CE",W$7="No aplica"),0,'BOULEVARD 5'!Z17-'BOULEVARD PPTO'!R12)</f>
        <v>0</v>
      </c>
      <c r="X19" s="760">
        <f>IF(OR($A19="F&amp;F",$A19="CE",X$7="No aplica"),0,'BOULEVARD 5'!AA17-'BOULEVARD PPTO'!S12)</f>
        <v>0</v>
      </c>
      <c r="Y19" s="760">
        <f>IF(OR($A19="F&amp;F",$A19="CE",Y$7="No aplica"),0,'BOULEVARD 5'!AB17-'BOULEVARD PPTO'!T12)</f>
        <v>0</v>
      </c>
      <c r="Z19" s="760">
        <f>IF(OR($A19="F&amp;F",$A19="CE",Z$7="No aplica"),0,'BOULEVARD 5'!AC17-'BOULEVARD PPTO'!U12)</f>
        <v>0</v>
      </c>
      <c r="AA19" s="760">
        <f>IF(OR($A19="F&amp;F",$A19="CE",AA$7="No aplica"),0,'BOULEVARD 5'!AD17-'BOULEVARD PPTO'!V12)</f>
        <v>0</v>
      </c>
      <c r="AB19" s="760">
        <f>IF(OR($A19="F&amp;F",$A19="CE",AB$7="No aplica"),0,'BOULEVARD 5'!AE17-'BOULEVARD PPTO'!W12)</f>
        <v>0</v>
      </c>
      <c r="AC19" s="760">
        <f>IF(OR($A19="F&amp;F",$A19="CE",AC$7="No aplica"),0,'BOULEVARD 5'!AF17-'BOULEVARD PPTO'!X12)</f>
        <v>0</v>
      </c>
      <c r="AD19" s="760">
        <f>IF(OR($A19="F&amp;F",$A19="CE",AD$7="No aplica"),0,'BOULEVARD 5'!AG17-'BOULEVARD PPTO'!Y12)</f>
        <v>0</v>
      </c>
      <c r="AE19" s="760">
        <f>IF(OR($A19="F&amp;F",$A19="CE",AE$7="No aplica"),0,'BOULEVARD 5'!AH17-'BOULEVARD PPTO'!Z12)</f>
        <v>0</v>
      </c>
      <c r="AF19" s="760">
        <f>IF(OR($A19="F&amp;F",$A19="CE",AF$7="No aplica"),0,'BOULEVARD 5'!AI17-'BOULEVARD PPTO'!AA12)</f>
        <v>0</v>
      </c>
      <c r="AG19" s="760">
        <f>IF(OR($A19="F&amp;F",$A19="CE",AG$7="No aplica"),0,'BOULEVARD 5'!AJ17-'BOULEVARD PPTO'!AB12)</f>
        <v>0</v>
      </c>
      <c r="AH19" s="760">
        <f>IF(OR($A19="F&amp;F",$A19="CE",AH$7="No aplica"),0,'BOULEVARD 5'!AK17-'BOULEVARD PPTO'!AC12)</f>
        <v>0</v>
      </c>
      <c r="AI19" s="760">
        <f>IF(OR($A19="F&amp;F",$A19="CE",AI$7="No aplica"),0,'BOULEVARD 5'!AL17-'BOULEVARD PPTO'!AD12)</f>
        <v>0</v>
      </c>
      <c r="AJ19" s="760">
        <f>IF(OR($A19="F&amp;F",$A19="CE",AJ$7="No aplica"),0,'BOULEVARD 5'!AM17-'BOULEVARD PPTO'!AE12)</f>
        <v>0</v>
      </c>
      <c r="AK19" s="760">
        <f>IF(OR($A19="F&amp;F",$A19="CE",AK$7="No aplica"),0,'BOULEVARD 5'!AN17-'BOULEVARD PPTO'!AF12)</f>
        <v>0</v>
      </c>
      <c r="AL19" s="760">
        <f>IF(OR($A19="F&amp;F",$A19="CE",AL$7="No aplica"),0,'BOULEVARD 5'!AO17-'BOULEVARD PPTO'!AG12)</f>
        <v>0</v>
      </c>
      <c r="AM19" s="760">
        <f>IF(OR($A19="F&amp;F",$A19="CE",AM$7="No aplica"),0,'BOULEVARD 5'!AP17-'BOULEVARD PPTO'!AH12)</f>
        <v>0</v>
      </c>
      <c r="AN19" s="760">
        <f>IF(OR($A19="F&amp;F",$A19="CE",AN$7="No aplica"),0,'BOULEVARD 5'!AQ17-'BOULEVARD PPTO'!AI12)</f>
        <v>0</v>
      </c>
      <c r="AO19" s="760">
        <f>IF(OR($A19="F&amp;F",$A19="CE",AO$7="No aplica"),0,'BOULEVARD 5'!AS17-'BOULEVARD PPTO'!AJ12)</f>
        <v>0</v>
      </c>
      <c r="AP19" s="761">
        <f t="shared" si="7"/>
        <v>0</v>
      </c>
      <c r="AQ19" s="761">
        <f t="shared" si="8"/>
        <v>-2640</v>
      </c>
      <c r="AR19" s="674">
        <f>IF(A19=0,'BOULEVARD 5'!BF17,0)</f>
        <v>6000</v>
      </c>
      <c r="AS19" s="674">
        <f>IF(A19=0,'BOULEVARD 5'!BG17,0)</f>
        <v>1820</v>
      </c>
      <c r="AT19" s="675" t="str">
        <f t="shared" si="4"/>
        <v>Vendido</v>
      </c>
      <c r="AU19" s="581" t="str">
        <f t="shared" si="5"/>
        <v/>
      </c>
      <c r="AV19" s="760">
        <f t="shared" si="10"/>
        <v>0</v>
      </c>
    </row>
    <row r="20" spans="1:48" s="581" customFormat="1" ht="12.4" customHeight="1" outlineLevel="1" x14ac:dyDescent="0.25">
      <c r="A20" s="703">
        <f>'BOULEVARD 5'!BQ18</f>
        <v>0</v>
      </c>
      <c r="B20" s="564">
        <v>112</v>
      </c>
      <c r="C20" s="564" t="s">
        <v>382</v>
      </c>
      <c r="D20" s="564"/>
      <c r="E20" s="564" t="str">
        <f>IF('BOULEVARD 5'!E18&lt;&gt;0,'BOULEVARD 5'!E18,"")</f>
        <v>Brenda Búcaro</v>
      </c>
      <c r="F20" s="581" t="str">
        <f>IF('BOULEVARD 5'!F18&lt;&gt;0,'BOULEVARD 5'!F18,"")</f>
        <v>Herbert Osiel Ramos Alfaro / Paula María Vásquez Cifuentes</v>
      </c>
      <c r="G20" s="566">
        <f>IF('BOULEVARD 5'!G18="","",'BOULEVARD 5'!G18)</f>
        <v>45006</v>
      </c>
      <c r="H20" s="756">
        <f>IF(OR($A20="F&amp;F",$A20="CE",H$7="No aplica"),0,'BOULEVARD 5'!K18-'BOULEVARD PPTO'!C13)</f>
        <v>0</v>
      </c>
      <c r="I20" s="756">
        <f>IF(OR($A20="F&amp;F",$A20="CE",I$7="No aplica"),0,'BOULEVARD 5'!L18-'BOULEVARD PPTO'!D13)</f>
        <v>26</v>
      </c>
      <c r="J20" s="756">
        <f>IF(OR($A20="F&amp;F",$A20="CE",J$7="No aplica"),0,'BOULEVARD 5'!M18-'BOULEVARD PPTO'!E13)</f>
        <v>26</v>
      </c>
      <c r="K20" s="756">
        <f>IF(OR($A20="F&amp;F",$A20="CE",K$7="No aplica"),0,'BOULEVARD 5'!N18-'BOULEVARD PPTO'!F13)</f>
        <v>26</v>
      </c>
      <c r="L20" s="756">
        <f>IF(OR($A20="F&amp;F",$A20="CE",L$7="No aplica"),0,'BOULEVARD 5'!O18-'BOULEVARD PPTO'!G13)</f>
        <v>26</v>
      </c>
      <c r="M20" s="756">
        <f>IF(OR($A20="F&amp;F",$A20="CE",M$7="No aplica"),0,'BOULEVARD 5'!P18-'BOULEVARD PPTO'!H13)</f>
        <v>26</v>
      </c>
      <c r="N20" s="756">
        <f>IF(OR($A20="F&amp;F",$A20="CE",N$7="No aplica"),0,'BOULEVARD 5'!Q18-'BOULEVARD PPTO'!I13)</f>
        <v>26</v>
      </c>
      <c r="O20" s="756">
        <f>IF(OR($A20="F&amp;F",$A20="CE",O$7="No aplica"),0,'BOULEVARD 5'!R18-'BOULEVARD PPTO'!J13)</f>
        <v>26</v>
      </c>
      <c r="P20" s="756">
        <f>IF(OR($A20="F&amp;F",$A20="CE",P$7="No aplica"),0,'BOULEVARD 5'!S18-'BOULEVARD PPTO'!K13)</f>
        <v>26</v>
      </c>
      <c r="Q20" s="760">
        <f>IF(OR($A20="F&amp;F",$A20="CE",Q$7="No aplica"),0,'BOULEVARD 5'!T18-'BOULEVARD PPTO'!L13)</f>
        <v>26</v>
      </c>
      <c r="R20" s="760">
        <f>IF(OR($A20="F&amp;F",$A20="CE",R$7="No aplica"),0,'BOULEVARD 5'!U18-'BOULEVARD PPTO'!M13)</f>
        <v>26</v>
      </c>
      <c r="S20" s="760">
        <f>IF(OR($A20="F&amp;F",$A20="CE",S$7="No aplica"),0,'BOULEVARD 5'!V18-'BOULEVARD PPTO'!N13)</f>
        <v>26</v>
      </c>
      <c r="T20" s="760">
        <f>IF(OR($A20="F&amp;F",$A20="CE",T$7="No aplica"),0,'BOULEVARD 5'!W18-'BOULEVARD PPTO'!O13)</f>
        <v>26</v>
      </c>
      <c r="U20" s="760">
        <f>IF(OR($A20="F&amp;F",$A20="CE",U$7="No aplica"),0,'BOULEVARD 5'!X18-'BOULEVARD PPTO'!P13)</f>
        <v>26</v>
      </c>
      <c r="V20" s="760">
        <f>IF(OR($A20="F&amp;F",$A20="CE",V$7="No aplica"),0,'BOULEVARD 5'!Y18-'BOULEVARD PPTO'!Q13)</f>
        <v>26</v>
      </c>
      <c r="W20" s="760">
        <f>IF(OR($A20="F&amp;F",$A20="CE",W$7="No aplica"),0,'BOULEVARD 5'!Z18-'BOULEVARD PPTO'!R13)</f>
        <v>26</v>
      </c>
      <c r="X20" s="760">
        <f>IF(OR($A20="F&amp;F",$A20="CE",X$7="No aplica"),0,'BOULEVARD 5'!AA18-'BOULEVARD PPTO'!S13)</f>
        <v>26</v>
      </c>
      <c r="Y20" s="760">
        <f>IF(OR($A20="F&amp;F",$A20="CE",Y$7="No aplica"),0,'BOULEVARD 5'!AB18-'BOULEVARD PPTO'!T13)</f>
        <v>26</v>
      </c>
      <c r="Z20" s="760">
        <f>IF(OR($A20="F&amp;F",$A20="CE",Z$7="No aplica"),0,'BOULEVARD 5'!AC18-'BOULEVARD PPTO'!U13)</f>
        <v>26</v>
      </c>
      <c r="AA20" s="760">
        <f>IF(OR($A20="F&amp;F",$A20="CE",AA$7="No aplica"),0,'BOULEVARD 5'!AD18-'BOULEVARD PPTO'!V13)</f>
        <v>26</v>
      </c>
      <c r="AB20" s="760">
        <f>IF(OR($A20="F&amp;F",$A20="CE",AB$7="No aplica"),0,'BOULEVARD 5'!AE18-'BOULEVARD PPTO'!W13)</f>
        <v>26</v>
      </c>
      <c r="AC20" s="760">
        <f>IF(OR($A20="F&amp;F",$A20="CE",AC$7="No aplica"),0,'BOULEVARD 5'!AF18-'BOULEVARD PPTO'!X13)</f>
        <v>26</v>
      </c>
      <c r="AD20" s="760">
        <f>IF(OR($A20="F&amp;F",$A20="CE",AD$7="No aplica"),0,'BOULEVARD 5'!AG18-'BOULEVARD PPTO'!Y13)</f>
        <v>176</v>
      </c>
      <c r="AE20" s="760">
        <f>IF(OR($A20="F&amp;F",$A20="CE",AE$7="No aplica"),0,'BOULEVARD 5'!AH18-'BOULEVARD PPTO'!Z13)</f>
        <v>1702</v>
      </c>
      <c r="AF20" s="760">
        <f>IF(OR($A20="F&amp;F",$A20="CE",AF$7="No aplica"),0,'BOULEVARD 5'!AI18-'BOULEVARD PPTO'!AA13)</f>
        <v>-1800</v>
      </c>
      <c r="AG20" s="760">
        <f>IF(OR($A20="F&amp;F",$A20="CE",AG$7="No aplica"),0,'BOULEVARD 5'!AJ18-'BOULEVARD PPTO'!AB13)</f>
        <v>26</v>
      </c>
      <c r="AH20" s="760">
        <f>IF(OR($A20="F&amp;F",$A20="CE",AH$7="No aplica"),0,'BOULEVARD 5'!AK18-'BOULEVARD PPTO'!AC13)</f>
        <v>26</v>
      </c>
      <c r="AI20" s="760">
        <f>IF(OR($A20="F&amp;F",$A20="CE",AI$7="No aplica"),0,'BOULEVARD 5'!AL18-'BOULEVARD PPTO'!AD13)</f>
        <v>1852</v>
      </c>
      <c r="AJ20" s="760">
        <f>IF(OR($A20="F&amp;F",$A20="CE",AJ$7="No aplica"),0,'BOULEVARD 5'!AM18-'BOULEVARD PPTO'!AE13)</f>
        <v>-1800</v>
      </c>
      <c r="AK20" s="760">
        <f>IF(OR($A20="F&amp;F",$A20="CE",AK$7="No aplica"),0,'BOULEVARD 5'!AN18-'BOULEVARD PPTO'!AF13)</f>
        <v>26</v>
      </c>
      <c r="AL20" s="760">
        <f>IF(OR($A20="F&amp;F",$A20="CE",AL$7="No aplica"),0,'BOULEVARD 5'!AO18-'BOULEVARD PPTO'!AG13)</f>
        <v>26</v>
      </c>
      <c r="AM20" s="760">
        <f>IF(OR($A20="F&amp;F",$A20="CE",AM$7="No aplica"),0,'BOULEVARD 5'!AP18-'BOULEVARD PPTO'!AH13)</f>
        <v>26</v>
      </c>
      <c r="AN20" s="760">
        <f>IF(OR($A20="F&amp;F",$A20="CE",AN$7="No aplica"),0,'BOULEVARD 5'!AQ18-'BOULEVARD PPTO'!AI13)</f>
        <v>0</v>
      </c>
      <c r="AO20" s="760">
        <f>IF(OR($A20="F&amp;F",$A20="CE",AO$7="No aplica"),0,'BOULEVARD 5'!AS18-'BOULEVARD PPTO'!AJ13)</f>
        <v>0</v>
      </c>
      <c r="AP20" s="761">
        <f t="shared" si="7"/>
        <v>806</v>
      </c>
      <c r="AQ20" s="761">
        <f t="shared" si="8"/>
        <v>-1816</v>
      </c>
      <c r="AR20" s="674">
        <f>IF(A20=0,'BOULEVARD 5'!BF18,0)</f>
        <v>6000</v>
      </c>
      <c r="AS20" s="674">
        <f>IF(A20=0,'BOULEVARD 5'!BG18,0)</f>
        <v>1826</v>
      </c>
      <c r="AT20" s="675" t="str">
        <f t="shared" si="4"/>
        <v>Vendido</v>
      </c>
      <c r="AU20" s="581" t="str">
        <f t="shared" si="5"/>
        <v>A FAVOR DEL CLIENTE</v>
      </c>
      <c r="AV20" s="760">
        <f t="shared" si="10"/>
        <v>26</v>
      </c>
    </row>
    <row r="21" spans="1:48" s="581" customFormat="1" ht="12.4" customHeight="1" outlineLevel="1" x14ac:dyDescent="0.25">
      <c r="A21" s="703" t="str">
        <f>'BOULEVARD 5'!BQ19</f>
        <v>CE</v>
      </c>
      <c r="B21" s="706">
        <v>113</v>
      </c>
      <c r="C21" s="564" t="s">
        <v>385</v>
      </c>
      <c r="D21" s="707" t="s">
        <v>386</v>
      </c>
      <c r="E21" s="564" t="str">
        <f>IF('BOULEVARD 5'!E19&lt;&gt;0,'BOULEVARD 5'!E19,"")</f>
        <v>Antonio Rada</v>
      </c>
      <c r="F21" s="581" t="str">
        <f>IF('BOULEVARD 5'!F19&lt;&gt;0,'BOULEVARD 5'!F19,"")</f>
        <v>Rodrigo Rodas Pazos</v>
      </c>
      <c r="G21" s="566">
        <f>IF('BOULEVARD 5'!G19="","",'BOULEVARD 5'!G19)</f>
        <v>45616</v>
      </c>
      <c r="H21" s="756">
        <f>IF(OR($A21="F&amp;F",$A21="CE",H$7="No aplica"),0,'BOULEVARD 5'!K19-'BOULEVARD PPTO'!C14)</f>
        <v>0</v>
      </c>
      <c r="I21" s="756">
        <f>IF(OR($A21="F&amp;F",$A21="CE",I$7="No aplica"),0,'BOULEVARD 5'!L19-'BOULEVARD PPTO'!D14)</f>
        <v>0</v>
      </c>
      <c r="J21" s="756">
        <f>IF(OR($A21="F&amp;F",$A21="CE",J$7="No aplica"),0,'BOULEVARD 5'!M19-'BOULEVARD PPTO'!E14)</f>
        <v>0</v>
      </c>
      <c r="K21" s="756">
        <f>IF(OR($A21="F&amp;F",$A21="CE",K$7="No aplica"),0,'BOULEVARD 5'!N19-'BOULEVARD PPTO'!F14)</f>
        <v>0</v>
      </c>
      <c r="L21" s="756">
        <f>IF(OR($A21="F&amp;F",$A21="CE",L$7="No aplica"),0,'BOULEVARD 5'!O19-'BOULEVARD PPTO'!G14)</f>
        <v>0</v>
      </c>
      <c r="M21" s="756">
        <f>IF(OR($A21="F&amp;F",$A21="CE",M$7="No aplica"),0,'BOULEVARD 5'!P19-'BOULEVARD PPTO'!H14)</f>
        <v>0</v>
      </c>
      <c r="N21" s="756">
        <f>IF(OR($A21="F&amp;F",$A21="CE",N$7="No aplica"),0,'BOULEVARD 5'!Q19-'BOULEVARD PPTO'!I14)</f>
        <v>0</v>
      </c>
      <c r="O21" s="756">
        <f>IF(OR($A21="F&amp;F",$A21="CE",O$7="No aplica"),0,'BOULEVARD 5'!R19-'BOULEVARD PPTO'!J14)</f>
        <v>0</v>
      </c>
      <c r="P21" s="756">
        <f>IF(OR($A21="F&amp;F",$A21="CE",P$7="No aplica"),0,'BOULEVARD 5'!S19-'BOULEVARD PPTO'!K14)</f>
        <v>0</v>
      </c>
      <c r="Q21" s="760">
        <f>IF(OR($A21="F&amp;F",$A21="CE",Q$7="No aplica"),0,'BOULEVARD 5'!T19-'BOULEVARD PPTO'!L14)</f>
        <v>0</v>
      </c>
      <c r="R21" s="760">
        <f>IF(OR($A21="F&amp;F",$A21="CE",R$7="No aplica"),0,'BOULEVARD 5'!U19-'BOULEVARD PPTO'!M14)</f>
        <v>0</v>
      </c>
      <c r="S21" s="760">
        <f>IF(OR($A21="F&amp;F",$A21="CE",S$7="No aplica"),0,'BOULEVARD 5'!V19-'BOULEVARD PPTO'!N14)</f>
        <v>0</v>
      </c>
      <c r="T21" s="760">
        <f>IF(OR($A21="F&amp;F",$A21="CE",T$7="No aplica"),0,'BOULEVARD 5'!W19-'BOULEVARD PPTO'!O14)</f>
        <v>0</v>
      </c>
      <c r="U21" s="760">
        <f>IF(OR($A21="F&amp;F",$A21="CE",U$7="No aplica"),0,'BOULEVARD 5'!X19-'BOULEVARD PPTO'!P14)</f>
        <v>0</v>
      </c>
      <c r="V21" s="760">
        <f>IF(OR($A21="F&amp;F",$A21="CE",V$7="No aplica"),0,'BOULEVARD 5'!Y19-'BOULEVARD PPTO'!Q14)</f>
        <v>0</v>
      </c>
      <c r="W21" s="760">
        <f>IF(OR($A21="F&amp;F",$A21="CE",W$7="No aplica"),0,'BOULEVARD 5'!Z19-'BOULEVARD PPTO'!R14)</f>
        <v>0</v>
      </c>
      <c r="X21" s="760">
        <f>IF(OR($A21="F&amp;F",$A21="CE",X$7="No aplica"),0,'BOULEVARD 5'!AA19-'BOULEVARD PPTO'!S14)</f>
        <v>0</v>
      </c>
      <c r="Y21" s="760">
        <f>IF(OR($A21="F&amp;F",$A21="CE",Y$7="No aplica"),0,'BOULEVARD 5'!AB19-'BOULEVARD PPTO'!T14)</f>
        <v>0</v>
      </c>
      <c r="Z21" s="760">
        <f>IF(OR($A21="F&amp;F",$A21="CE",Z$7="No aplica"),0,'BOULEVARD 5'!AC19-'BOULEVARD PPTO'!U14)</f>
        <v>0</v>
      </c>
      <c r="AA21" s="760">
        <f>IF(OR($A21="F&amp;F",$A21="CE",AA$7="No aplica"),0,'BOULEVARD 5'!AD19-'BOULEVARD PPTO'!V14)</f>
        <v>0</v>
      </c>
      <c r="AB21" s="760">
        <f>IF(OR($A21="F&amp;F",$A21="CE",AB$7="No aplica"),0,'BOULEVARD 5'!AE19-'BOULEVARD PPTO'!W14)</f>
        <v>0</v>
      </c>
      <c r="AC21" s="760">
        <f>IF(OR($A21="F&amp;F",$A21="CE",AC$7="No aplica"),0,'BOULEVARD 5'!AF19-'BOULEVARD PPTO'!X14)</f>
        <v>0</v>
      </c>
      <c r="AD21" s="760">
        <f>IF(OR($A21="F&amp;F",$A21="CE",AD$7="No aplica"),0,'BOULEVARD 5'!AG19-'BOULEVARD PPTO'!Y14)</f>
        <v>0</v>
      </c>
      <c r="AE21" s="760">
        <f>IF(OR($A21="F&amp;F",$A21="CE",AE$7="No aplica"),0,'BOULEVARD 5'!AH19-'BOULEVARD PPTO'!Z14)</f>
        <v>0</v>
      </c>
      <c r="AF21" s="760">
        <f>IF(OR($A21="F&amp;F",$A21="CE",AF$7="No aplica"),0,'BOULEVARD 5'!AI19-'BOULEVARD PPTO'!AA14)</f>
        <v>0</v>
      </c>
      <c r="AG21" s="760">
        <f>IF(OR($A21="F&amp;F",$A21="CE",AG$7="No aplica"),0,'BOULEVARD 5'!AJ19-'BOULEVARD PPTO'!AB14)</f>
        <v>0</v>
      </c>
      <c r="AH21" s="760">
        <f>IF(OR($A21="F&amp;F",$A21="CE",AH$7="No aplica"),0,'BOULEVARD 5'!AK19-'BOULEVARD PPTO'!AC14)</f>
        <v>0</v>
      </c>
      <c r="AI21" s="760">
        <f>IF(OR($A21="F&amp;F",$A21="CE",AI$7="No aplica"),0,'BOULEVARD 5'!AL19-'BOULEVARD PPTO'!AD14)</f>
        <v>0</v>
      </c>
      <c r="AJ21" s="760">
        <f>IF(OR($A21="F&amp;F",$A21="CE",AJ$7="No aplica"),0,'BOULEVARD 5'!AM19-'BOULEVARD PPTO'!AE14)</f>
        <v>0</v>
      </c>
      <c r="AK21" s="760">
        <f>IF(OR($A21="F&amp;F",$A21="CE",AK$7="No aplica"),0,'BOULEVARD 5'!AN19-'BOULEVARD PPTO'!AF14)</f>
        <v>0</v>
      </c>
      <c r="AL21" s="760">
        <f>IF(OR($A21="F&amp;F",$A21="CE",AL$7="No aplica"),0,'BOULEVARD 5'!AO19-'BOULEVARD PPTO'!AG14)</f>
        <v>0</v>
      </c>
      <c r="AM21" s="760">
        <f>IF(OR($A21="F&amp;F",$A21="CE",AM$7="No aplica"),0,'BOULEVARD 5'!AP19-'BOULEVARD PPTO'!AH14)</f>
        <v>0</v>
      </c>
      <c r="AN21" s="760">
        <f>IF(OR($A21="F&amp;F",$A21="CE",AN$7="No aplica"),0,'BOULEVARD 5'!AQ19-'BOULEVARD PPTO'!AI14)</f>
        <v>0</v>
      </c>
      <c r="AO21" s="760">
        <f>IF(OR($A21="F&amp;F",$A21="CE",AO$7="No aplica"),0,'BOULEVARD 5'!AS19-'BOULEVARD PPTO'!AJ14)</f>
        <v>0</v>
      </c>
      <c r="AP21" s="761">
        <f t="shared" si="7"/>
        <v>0</v>
      </c>
      <c r="AQ21" s="761">
        <f t="shared" si="8"/>
        <v>0</v>
      </c>
      <c r="AR21" s="674">
        <f>IF(A21=0,'BOULEVARD 5'!BF19,0)</f>
        <v>0</v>
      </c>
      <c r="AS21" s="674">
        <f>IF(A21=0,'BOULEVARD 5'!BG19,0)</f>
        <v>0</v>
      </c>
      <c r="AT21" s="675" t="str">
        <f t="shared" si="4"/>
        <v>Vendido</v>
      </c>
      <c r="AU21" s="581" t="str">
        <f t="shared" si="5"/>
        <v/>
      </c>
      <c r="AV21" s="760">
        <f t="shared" si="10"/>
        <v>0</v>
      </c>
    </row>
    <row r="22" spans="1:48" s="581" customFormat="1" ht="12.4" customHeight="1" outlineLevel="1" x14ac:dyDescent="0.25">
      <c r="A22" s="703" t="str">
        <f>'BOULEVARD 5'!BQ20</f>
        <v>F&amp;F</v>
      </c>
      <c r="B22" s="704">
        <v>114</v>
      </c>
      <c r="C22" s="704" t="s">
        <v>389</v>
      </c>
      <c r="D22" s="704"/>
      <c r="E22" s="704" t="str">
        <f>IF('BOULEVARD 5'!E20&lt;&gt;0,'BOULEVARD 5'!E20,"")</f>
        <v>Antonio Rada</v>
      </c>
      <c r="F22" s="705" t="str">
        <f>IF('BOULEVARD 5'!F20&lt;&gt;0,'BOULEVARD 5'!F20,"")</f>
        <v>Mauricio Arimany Monzon</v>
      </c>
      <c r="G22" s="566">
        <f>IF('BOULEVARD 5'!G20="","",'BOULEVARD 5'!G20)</f>
        <v>45012</v>
      </c>
      <c r="H22" s="756">
        <f>IF(OR($A22="F&amp;F",$A22="CE",H$7="No aplica"),0,'BOULEVARD 5'!K20-'BOULEVARD PPTO'!C15)</f>
        <v>0</v>
      </c>
      <c r="I22" s="756">
        <f>IF(OR($A22="F&amp;F",$A22="CE",I$7="No aplica"),0,'BOULEVARD 5'!L20-'BOULEVARD PPTO'!D15)</f>
        <v>0</v>
      </c>
      <c r="J22" s="756">
        <f>IF(OR($A22="F&amp;F",$A22="CE",J$7="No aplica"),0,'BOULEVARD 5'!M20-'BOULEVARD PPTO'!E15)</f>
        <v>0</v>
      </c>
      <c r="K22" s="756">
        <f>IF(OR($A22="F&amp;F",$A22="CE",K$7="No aplica"),0,'BOULEVARD 5'!N20-'BOULEVARD PPTO'!F15)</f>
        <v>0</v>
      </c>
      <c r="L22" s="756">
        <f>IF(OR($A22="F&amp;F",$A22="CE",L$7="No aplica"),0,'BOULEVARD 5'!O20-'BOULEVARD PPTO'!G15)</f>
        <v>0</v>
      </c>
      <c r="M22" s="756">
        <f>IF(OR($A22="F&amp;F",$A22="CE",M$7="No aplica"),0,'BOULEVARD 5'!P20-'BOULEVARD PPTO'!H15)</f>
        <v>0</v>
      </c>
      <c r="N22" s="756">
        <f>IF(OR($A22="F&amp;F",$A22="CE",N$7="No aplica"),0,'BOULEVARD 5'!Q20-'BOULEVARD PPTO'!I15)</f>
        <v>0</v>
      </c>
      <c r="O22" s="756">
        <f>IF(OR($A22="F&amp;F",$A22="CE",O$7="No aplica"),0,'BOULEVARD 5'!R20-'BOULEVARD PPTO'!J15)</f>
        <v>0</v>
      </c>
      <c r="P22" s="756">
        <f>IF(OR($A22="F&amp;F",$A22="CE",P$7="No aplica"),0,'BOULEVARD 5'!S20-'BOULEVARD PPTO'!K15)</f>
        <v>0</v>
      </c>
      <c r="Q22" s="760">
        <f>IF(OR($A22="F&amp;F",$A22="CE",Q$7="No aplica"),0,'BOULEVARD 5'!T20-'BOULEVARD PPTO'!L15)</f>
        <v>0</v>
      </c>
      <c r="R22" s="760">
        <f>IF(OR($A22="F&amp;F",$A22="CE",R$7="No aplica"),0,'BOULEVARD 5'!U20-'BOULEVARD PPTO'!M15)</f>
        <v>0</v>
      </c>
      <c r="S22" s="760">
        <f>IF(OR($A22="F&amp;F",$A22="CE",S$7="No aplica"),0,'BOULEVARD 5'!V20-'BOULEVARD PPTO'!N15)</f>
        <v>0</v>
      </c>
      <c r="T22" s="760">
        <f>IF(OR($A22="F&amp;F",$A22="CE",T$7="No aplica"),0,'BOULEVARD 5'!W20-'BOULEVARD PPTO'!O15)</f>
        <v>0</v>
      </c>
      <c r="U22" s="760">
        <f>IF(OR($A22="F&amp;F",$A22="CE",U$7="No aplica"),0,'BOULEVARD 5'!X20-'BOULEVARD PPTO'!P15)</f>
        <v>0</v>
      </c>
      <c r="V22" s="760">
        <f>IF(OR($A22="F&amp;F",$A22="CE",V$7="No aplica"),0,'BOULEVARD 5'!Y20-'BOULEVARD PPTO'!Q15)</f>
        <v>0</v>
      </c>
      <c r="W22" s="760">
        <f>IF(OR($A22="F&amp;F",$A22="CE",W$7="No aplica"),0,'BOULEVARD 5'!Z20-'BOULEVARD PPTO'!R15)</f>
        <v>0</v>
      </c>
      <c r="X22" s="760">
        <f>IF(OR($A22="F&amp;F",$A22="CE",X$7="No aplica"),0,'BOULEVARD 5'!AA20-'BOULEVARD PPTO'!S15)</f>
        <v>0</v>
      </c>
      <c r="Y22" s="760">
        <f>IF(OR($A22="F&amp;F",$A22="CE",Y$7="No aplica"),0,'BOULEVARD 5'!AB20-'BOULEVARD PPTO'!T15)</f>
        <v>0</v>
      </c>
      <c r="Z22" s="760">
        <f>IF(OR($A22="F&amp;F",$A22="CE",Z$7="No aplica"),0,'BOULEVARD 5'!AC20-'BOULEVARD PPTO'!U15)</f>
        <v>0</v>
      </c>
      <c r="AA22" s="760">
        <f>IF(OR($A22="F&amp;F",$A22="CE",AA$7="No aplica"),0,'BOULEVARD 5'!AD20-'BOULEVARD PPTO'!V15)</f>
        <v>0</v>
      </c>
      <c r="AB22" s="760">
        <f>IF(OR($A22="F&amp;F",$A22="CE",AB$7="No aplica"),0,'BOULEVARD 5'!AE20-'BOULEVARD PPTO'!W15)</f>
        <v>0</v>
      </c>
      <c r="AC22" s="760">
        <f>IF(OR($A22="F&amp;F",$A22="CE",AC$7="No aplica"),0,'BOULEVARD 5'!AF20-'BOULEVARD PPTO'!X15)</f>
        <v>0</v>
      </c>
      <c r="AD22" s="760">
        <f>IF(OR($A22="F&amp;F",$A22="CE",AD$7="No aplica"),0,'BOULEVARD 5'!AG20-'BOULEVARD PPTO'!Y15)</f>
        <v>0</v>
      </c>
      <c r="AE22" s="760">
        <f>IF(OR($A22="F&amp;F",$A22="CE",AE$7="No aplica"),0,'BOULEVARD 5'!AH20-'BOULEVARD PPTO'!Z15)</f>
        <v>0</v>
      </c>
      <c r="AF22" s="760">
        <f>IF(OR($A22="F&amp;F",$A22="CE",AF$7="No aplica"),0,'BOULEVARD 5'!AI20-'BOULEVARD PPTO'!AA15)</f>
        <v>0</v>
      </c>
      <c r="AG22" s="760">
        <f>IF(OR($A22="F&amp;F",$A22="CE",AG$7="No aplica"),0,'BOULEVARD 5'!AJ20-'BOULEVARD PPTO'!AB15)</f>
        <v>0</v>
      </c>
      <c r="AH22" s="760">
        <f>IF(OR($A22="F&amp;F",$A22="CE",AH$7="No aplica"),0,'BOULEVARD 5'!AK20-'BOULEVARD PPTO'!AC15)</f>
        <v>0</v>
      </c>
      <c r="AI22" s="760">
        <f>IF(OR($A22="F&amp;F",$A22="CE",AI$7="No aplica"),0,'BOULEVARD 5'!AL20-'BOULEVARD PPTO'!AD15)</f>
        <v>0</v>
      </c>
      <c r="AJ22" s="760">
        <f>IF(OR($A22="F&amp;F",$A22="CE",AJ$7="No aplica"),0,'BOULEVARD 5'!AM20-'BOULEVARD PPTO'!AE15)</f>
        <v>0</v>
      </c>
      <c r="AK22" s="760">
        <f>IF(OR($A22="F&amp;F",$A22="CE",AK$7="No aplica"),0,'BOULEVARD 5'!AN20-'BOULEVARD PPTO'!AF15)</f>
        <v>0</v>
      </c>
      <c r="AL22" s="760">
        <f>IF(OR($A22="F&amp;F",$A22="CE",AL$7="No aplica"),0,'BOULEVARD 5'!AO20-'BOULEVARD PPTO'!AG15)</f>
        <v>0</v>
      </c>
      <c r="AM22" s="760">
        <f>IF(OR($A22="F&amp;F",$A22="CE",AM$7="No aplica"),0,'BOULEVARD 5'!AP20-'BOULEVARD PPTO'!AH15)</f>
        <v>0</v>
      </c>
      <c r="AN22" s="760">
        <f>IF(OR($A22="F&amp;F",$A22="CE",AN$7="No aplica"),0,'BOULEVARD 5'!AQ20-'BOULEVARD PPTO'!AI15)</f>
        <v>0</v>
      </c>
      <c r="AO22" s="760">
        <f>IF(OR($A22="F&amp;F",$A22="CE",AO$7="No aplica"),0,'BOULEVARD 5'!AS20-'BOULEVARD PPTO'!AJ15)</f>
        <v>0</v>
      </c>
      <c r="AP22" s="761">
        <f t="shared" si="7"/>
        <v>0</v>
      </c>
      <c r="AQ22" s="761">
        <f t="shared" si="8"/>
        <v>0</v>
      </c>
      <c r="AR22" s="674">
        <f>IF(A22=0,'BOULEVARD 5'!BF20,0)</f>
        <v>0</v>
      </c>
      <c r="AS22" s="674">
        <f>IF(A22=0,'BOULEVARD 5'!BG20,0)</f>
        <v>0</v>
      </c>
      <c r="AT22" s="675" t="str">
        <f t="shared" si="4"/>
        <v>Vendido</v>
      </c>
      <c r="AU22" s="581" t="str">
        <f t="shared" si="5"/>
        <v/>
      </c>
      <c r="AV22" s="760">
        <f t="shared" si="10"/>
        <v>0</v>
      </c>
    </row>
    <row r="23" spans="1:48" s="581" customFormat="1" ht="12.4" customHeight="1" outlineLevel="1" x14ac:dyDescent="0.25">
      <c r="A23" s="703">
        <f>'BOULEVARD 5'!BQ21</f>
        <v>0</v>
      </c>
      <c r="B23" s="564">
        <v>201</v>
      </c>
      <c r="C23" s="564" t="s">
        <v>391</v>
      </c>
      <c r="D23" s="564"/>
      <c r="E23" s="564" t="str">
        <f>IF('BOULEVARD 5'!E21&lt;&gt;0,'BOULEVARD 5'!E21,"")</f>
        <v/>
      </c>
      <c r="F23" s="581" t="str">
        <f>IF('BOULEVARD 5'!F21&lt;&gt;0,'BOULEVARD 5'!F21,"")</f>
        <v/>
      </c>
      <c r="G23" s="566" t="str">
        <f>IF('BOULEVARD 5'!G21="","",'BOULEVARD 5'!G21)</f>
        <v/>
      </c>
      <c r="H23" s="756">
        <f>IF(OR($A23="F&amp;F",$A23="CE",H$7="No aplica"),0,'BOULEVARD 5'!K21-'BOULEVARD PPTO'!C16)</f>
        <v>0</v>
      </c>
      <c r="I23" s="756">
        <f>IF(OR($A23="F&amp;F",$A23="CE",I$7="No aplica"),0,'BOULEVARD 5'!L21-'BOULEVARD PPTO'!D16)</f>
        <v>0</v>
      </c>
      <c r="J23" s="756">
        <f>IF(OR($A23="F&amp;F",$A23="CE",J$7="No aplica"),0,'BOULEVARD 5'!M21-'BOULEVARD PPTO'!E16)</f>
        <v>0</v>
      </c>
      <c r="K23" s="756">
        <f>IF(OR($A23="F&amp;F",$A23="CE",K$7="No aplica"),0,'BOULEVARD 5'!N21-'BOULEVARD PPTO'!F16)</f>
        <v>0</v>
      </c>
      <c r="L23" s="756">
        <f>IF(OR($A23="F&amp;F",$A23="CE",L$7="No aplica"),0,'BOULEVARD 5'!O21-'BOULEVARD PPTO'!G16)</f>
        <v>0</v>
      </c>
      <c r="M23" s="756">
        <f>IF(OR($A23="F&amp;F",$A23="CE",M$7="No aplica"),0,'BOULEVARD 5'!P21-'BOULEVARD PPTO'!H16)</f>
        <v>0</v>
      </c>
      <c r="N23" s="756">
        <f>IF(OR($A23="F&amp;F",$A23="CE",N$7="No aplica"),0,'BOULEVARD 5'!Q21-'BOULEVARD PPTO'!I16)</f>
        <v>0</v>
      </c>
      <c r="O23" s="756">
        <f>IF(OR($A23="F&amp;F",$A23="CE",O$7="No aplica"),0,'BOULEVARD 5'!R21-'BOULEVARD PPTO'!J16)</f>
        <v>0</v>
      </c>
      <c r="P23" s="756">
        <f>IF(OR($A23="F&amp;F",$A23="CE",P$7="No aplica"),0,'BOULEVARD 5'!S21-'BOULEVARD PPTO'!K16)</f>
        <v>0</v>
      </c>
      <c r="Q23" s="760">
        <f>IF(OR($A23="F&amp;F",$A23="CE",Q$7="No aplica"),0,'BOULEVARD 5'!T21-'BOULEVARD PPTO'!L16)</f>
        <v>0</v>
      </c>
      <c r="R23" s="760">
        <f>IF(OR($A23="F&amp;F",$A23="CE",R$7="No aplica"),0,'BOULEVARD 5'!U21-'BOULEVARD PPTO'!M16)</f>
        <v>0</v>
      </c>
      <c r="S23" s="760">
        <f>IF(OR($A23="F&amp;F",$A23="CE",S$7="No aplica"),0,'BOULEVARD 5'!V21-'BOULEVARD PPTO'!N16)</f>
        <v>0</v>
      </c>
      <c r="T23" s="760">
        <f>IF(OR($A23="F&amp;F",$A23="CE",T$7="No aplica"),0,'BOULEVARD 5'!W21-'BOULEVARD PPTO'!O16)</f>
        <v>0</v>
      </c>
      <c r="U23" s="760">
        <f>IF(OR($A23="F&amp;F",$A23="CE",U$7="No aplica"),0,'BOULEVARD 5'!X21-'BOULEVARD PPTO'!P16)</f>
        <v>0</v>
      </c>
      <c r="V23" s="760">
        <f>IF(OR($A23="F&amp;F",$A23="CE",V$7="No aplica"),0,'BOULEVARD 5'!Y21-'BOULEVARD PPTO'!Q16)</f>
        <v>0</v>
      </c>
      <c r="W23" s="760">
        <f>IF(OR($A23="F&amp;F",$A23="CE",W$7="No aplica"),0,'BOULEVARD 5'!Z21-'BOULEVARD PPTO'!R16)</f>
        <v>0</v>
      </c>
      <c r="X23" s="760">
        <f>IF(OR($A23="F&amp;F",$A23="CE",X$7="No aplica"),0,'BOULEVARD 5'!AA21-'BOULEVARD PPTO'!S16)</f>
        <v>0</v>
      </c>
      <c r="Y23" s="760">
        <f>IF(OR($A23="F&amp;F",$A23="CE",Y$7="No aplica"),0,'BOULEVARD 5'!AB21-'BOULEVARD PPTO'!T16)</f>
        <v>0</v>
      </c>
      <c r="Z23" s="760">
        <f>IF(OR($A23="F&amp;F",$A23="CE",Z$7="No aplica"),0,'BOULEVARD 5'!AC21-'BOULEVARD PPTO'!U16)</f>
        <v>0</v>
      </c>
      <c r="AA23" s="760">
        <f>IF(OR($A23="F&amp;F",$A23="CE",AA$7="No aplica"),0,'BOULEVARD 5'!AD21-'BOULEVARD PPTO'!V16)</f>
        <v>0</v>
      </c>
      <c r="AB23" s="760">
        <f>IF(OR($A23="F&amp;F",$A23="CE",AB$7="No aplica"),0,'BOULEVARD 5'!AE21-'BOULEVARD PPTO'!W16)</f>
        <v>0</v>
      </c>
      <c r="AC23" s="760">
        <f>IF(OR($A23="F&amp;F",$A23="CE",AC$7="No aplica"),0,'BOULEVARD 5'!AF21-'BOULEVARD PPTO'!X16)</f>
        <v>0</v>
      </c>
      <c r="AD23" s="760">
        <f>IF(OR($A23="F&amp;F",$A23="CE",AD$7="No aplica"),0,'BOULEVARD 5'!AG21-'BOULEVARD PPTO'!Y16)</f>
        <v>0</v>
      </c>
      <c r="AE23" s="760">
        <f>IF(OR($A23="F&amp;F",$A23="CE",AE$7="No aplica"),0,'BOULEVARD 5'!AH21-'BOULEVARD PPTO'!Z16)</f>
        <v>0</v>
      </c>
      <c r="AF23" s="760">
        <f>IF(OR($A23="F&amp;F",$A23="CE",AF$7="No aplica"),0,'BOULEVARD 5'!AI21-'BOULEVARD PPTO'!AA16)</f>
        <v>0</v>
      </c>
      <c r="AG23" s="760">
        <f>IF(OR($A23="F&amp;F",$A23="CE",AG$7="No aplica"),0,'BOULEVARD 5'!AJ21-'BOULEVARD PPTO'!AB16)</f>
        <v>0</v>
      </c>
      <c r="AH23" s="760">
        <f>IF(OR($A23="F&amp;F",$A23="CE",AH$7="No aplica"),0,'BOULEVARD 5'!AK21-'BOULEVARD PPTO'!AC16)</f>
        <v>0</v>
      </c>
      <c r="AI23" s="760">
        <f>IF(OR($A23="F&amp;F",$A23="CE",AI$7="No aplica"),0,'BOULEVARD 5'!AL21-'BOULEVARD PPTO'!AD16)</f>
        <v>0</v>
      </c>
      <c r="AJ23" s="760">
        <f>IF(OR($A23="F&amp;F",$A23="CE",AJ$7="No aplica"),0,'BOULEVARD 5'!AM21-'BOULEVARD PPTO'!AE16)</f>
        <v>0</v>
      </c>
      <c r="AK23" s="760">
        <f>IF(OR($A23="F&amp;F",$A23="CE",AK$7="No aplica"),0,'BOULEVARD 5'!AN21-'BOULEVARD PPTO'!AF16)</f>
        <v>0</v>
      </c>
      <c r="AL23" s="760">
        <f>IF(OR($A23="F&amp;F",$A23="CE",AL$7="No aplica"),0,'BOULEVARD 5'!AO21-'BOULEVARD PPTO'!AG16)</f>
        <v>0</v>
      </c>
      <c r="AM23" s="760">
        <f>IF(OR($A23="F&amp;F",$A23="CE",AM$7="No aplica"),0,'BOULEVARD 5'!AP21-'BOULEVARD PPTO'!AH16)</f>
        <v>0</v>
      </c>
      <c r="AN23" s="760">
        <f>IF(OR($A23="F&amp;F",$A23="CE",AN$7="No aplica"),0,'BOULEVARD 5'!AQ21-'BOULEVARD PPTO'!AI16)</f>
        <v>0</v>
      </c>
      <c r="AO23" s="760">
        <f>IF(OR($A23="F&amp;F",$A23="CE",AO$7="No aplica"),0,'BOULEVARD 5'!AS21-'BOULEVARD PPTO'!AJ16)</f>
        <v>0</v>
      </c>
      <c r="AP23" s="761">
        <f t="shared" si="7"/>
        <v>0</v>
      </c>
      <c r="AQ23" s="761">
        <f t="shared" si="8"/>
        <v>0</v>
      </c>
      <c r="AR23" s="674">
        <f>IF(A23=0,'BOULEVARD 5'!BF21,0)</f>
        <v>0</v>
      </c>
      <c r="AS23" s="674">
        <f>IF(A23=0,'BOULEVARD 5'!BG21,0)</f>
        <v>0</v>
      </c>
      <c r="AT23" s="675" t="str">
        <f t="shared" si="4"/>
        <v>No Vendido</v>
      </c>
      <c r="AU23" s="581" t="str">
        <f t="shared" si="5"/>
        <v/>
      </c>
      <c r="AV23" s="760">
        <f t="shared" si="10"/>
        <v>0</v>
      </c>
    </row>
    <row r="24" spans="1:48" s="581" customFormat="1" ht="12.4" customHeight="1" outlineLevel="1" x14ac:dyDescent="0.25">
      <c r="A24" s="703">
        <f>'BOULEVARD 5'!BQ22</f>
        <v>0</v>
      </c>
      <c r="B24" s="708">
        <v>202</v>
      </c>
      <c r="C24" s="564" t="s">
        <v>194</v>
      </c>
      <c r="D24" s="564"/>
      <c r="E24" s="564" t="str">
        <f>IF('BOULEVARD 5'!E22&lt;&gt;0,'BOULEVARD 5'!E22,"")</f>
        <v>Antonio Rada</v>
      </c>
      <c r="F24" s="581" t="str">
        <f>IF('BOULEVARD 5'!F22&lt;&gt;0,'BOULEVARD 5'!F22,"")</f>
        <v>Bella Rosana Chaveque Gonzalez</v>
      </c>
      <c r="G24" s="566">
        <f>IF('BOULEVARD 5'!G22="","",'BOULEVARD 5'!G22)</f>
        <v>45736</v>
      </c>
      <c r="H24" s="756">
        <f>IF(OR($A24="F&amp;F",$A24="CE",H$7="No aplica"),0,'BOULEVARD 5'!K22-'BOULEVARD PPTO'!C17)</f>
        <v>0</v>
      </c>
      <c r="I24" s="756">
        <f>IF(OR($A24="F&amp;F",$A24="CE",I$7="No aplica"),0,'BOULEVARD 5'!L22-'BOULEVARD PPTO'!D17)</f>
        <v>0</v>
      </c>
      <c r="J24" s="756">
        <f>IF(OR($A24="F&amp;F",$A24="CE",J$7="No aplica"),0,'BOULEVARD 5'!M22-'BOULEVARD PPTO'!E17)</f>
        <v>0</v>
      </c>
      <c r="K24" s="756">
        <f>IF(OR($A24="F&amp;F",$A24="CE",K$7="No aplica"),0,'BOULEVARD 5'!N22-'BOULEVARD PPTO'!F17)</f>
        <v>0</v>
      </c>
      <c r="L24" s="756">
        <f>IF(OR($A24="F&amp;F",$A24="CE",L$7="No aplica"),0,'BOULEVARD 5'!O22-'BOULEVARD PPTO'!G17)</f>
        <v>0</v>
      </c>
      <c r="M24" s="756">
        <f>IF(OR($A24="F&amp;F",$A24="CE",M$7="No aplica"),0,'BOULEVARD 5'!P22-'BOULEVARD PPTO'!H17)</f>
        <v>0</v>
      </c>
      <c r="N24" s="756">
        <f>IF(OR($A24="F&amp;F",$A24="CE",N$7="No aplica"),0,'BOULEVARD 5'!Q22-'BOULEVARD PPTO'!I17)</f>
        <v>0</v>
      </c>
      <c r="O24" s="756">
        <f>IF(OR($A24="F&amp;F",$A24="CE",O$7="No aplica"),0,'BOULEVARD 5'!R22-'BOULEVARD PPTO'!J17)</f>
        <v>0</v>
      </c>
      <c r="P24" s="756">
        <f>IF(OR($A24="F&amp;F",$A24="CE",P$7="No aplica"),0,'BOULEVARD 5'!S22-'BOULEVARD PPTO'!K17)</f>
        <v>0</v>
      </c>
      <c r="Q24" s="760">
        <f>IF(OR($A24="F&amp;F",$A24="CE",Q$7="No aplica"),0,'BOULEVARD 5'!T22-'BOULEVARD PPTO'!L17)</f>
        <v>0</v>
      </c>
      <c r="R24" s="760">
        <f>IF(OR($A24="F&amp;F",$A24="CE",R$7="No aplica"),0,'BOULEVARD 5'!U22-'BOULEVARD PPTO'!M17)</f>
        <v>0</v>
      </c>
      <c r="S24" s="760">
        <f>IF(OR($A24="F&amp;F",$A24="CE",S$7="No aplica"),0,'BOULEVARD 5'!V22-'BOULEVARD PPTO'!N17)</f>
        <v>0</v>
      </c>
      <c r="T24" s="760">
        <f>IF(OR($A24="F&amp;F",$A24="CE",T$7="No aplica"),0,'BOULEVARD 5'!W22-'BOULEVARD PPTO'!O17)</f>
        <v>0</v>
      </c>
      <c r="U24" s="760">
        <f>IF(OR($A24="F&amp;F",$A24="CE",U$7="No aplica"),0,'BOULEVARD 5'!X22-'BOULEVARD PPTO'!P17)</f>
        <v>0</v>
      </c>
      <c r="V24" s="760">
        <f>IF(OR($A24="F&amp;F",$A24="CE",V$7="No aplica"),0,'BOULEVARD 5'!Y22-'BOULEVARD PPTO'!Q17)</f>
        <v>0</v>
      </c>
      <c r="W24" s="760">
        <f>IF(OR($A24="F&amp;F",$A24="CE",W$7="No aplica"),0,'BOULEVARD 5'!Z22-'BOULEVARD PPTO'!R17)</f>
        <v>0</v>
      </c>
      <c r="X24" s="760">
        <f>IF(OR($A24="F&amp;F",$A24="CE",X$7="No aplica"),0,'BOULEVARD 5'!AA22-'BOULEVARD PPTO'!S17)</f>
        <v>0</v>
      </c>
      <c r="Y24" s="760">
        <f>IF(OR($A24="F&amp;F",$A24="CE",Y$7="No aplica"),0,'BOULEVARD 5'!AB22-'BOULEVARD PPTO'!T17)</f>
        <v>0</v>
      </c>
      <c r="Z24" s="760">
        <f>IF(OR($A24="F&amp;F",$A24="CE",Z$7="No aplica"),0,'BOULEVARD 5'!AC22-'BOULEVARD PPTO'!U17)</f>
        <v>0</v>
      </c>
      <c r="AA24" s="760">
        <f>IF(OR($A24="F&amp;F",$A24="CE",AA$7="No aplica"),0,'BOULEVARD 5'!AD22-'BOULEVARD PPTO'!V17)</f>
        <v>0</v>
      </c>
      <c r="AB24" s="760">
        <f>IF(OR($A24="F&amp;F",$A24="CE",AB$7="No aplica"),0,'BOULEVARD 5'!AE22-'BOULEVARD PPTO'!W17)</f>
        <v>0</v>
      </c>
      <c r="AC24" s="760">
        <f>IF(OR($A24="F&amp;F",$A24="CE",AC$7="No aplica"),0,'BOULEVARD 5'!AF22-'BOULEVARD PPTO'!X17)</f>
        <v>0</v>
      </c>
      <c r="AD24" s="760">
        <f>IF(OR($A24="F&amp;F",$A24="CE",AD$7="No aplica"),0,'BOULEVARD 5'!AG22-'BOULEVARD PPTO'!Y17)</f>
        <v>0</v>
      </c>
      <c r="AE24" s="760">
        <f>IF(OR($A24="F&amp;F",$A24="CE",AE$7="No aplica"),0,'BOULEVARD 5'!AH22-'BOULEVARD PPTO'!Z17)</f>
        <v>0</v>
      </c>
      <c r="AF24" s="760">
        <f>IF(OR($A24="F&amp;F",$A24="CE",AF$7="No aplica"),0,'BOULEVARD 5'!AI22-'BOULEVARD PPTO'!AA17)</f>
        <v>0</v>
      </c>
      <c r="AG24" s="760">
        <f>IF(OR($A24="F&amp;F",$A24="CE",AG$7="No aplica"),0,'BOULEVARD 5'!AJ22-'BOULEVARD PPTO'!AB17)</f>
        <v>1269</v>
      </c>
      <c r="AH24" s="760">
        <f>IF(OR($A24="F&amp;F",$A24="CE",AH$7="No aplica"),0,'BOULEVARD 5'!AK22-'BOULEVARD PPTO'!AC17)</f>
        <v>1269</v>
      </c>
      <c r="AI24" s="760">
        <f>IF(OR($A24="F&amp;F",$A24="CE",AI$7="No aplica"),0,'BOULEVARD 5'!AL22-'BOULEVARD PPTO'!AD17)</f>
        <v>-231</v>
      </c>
      <c r="AJ24" s="760">
        <f>IF(OR($A24="F&amp;F",$A24="CE",AJ$7="No aplica"),0,'BOULEVARD 5'!AM22-'BOULEVARD PPTO'!AE17)</f>
        <v>1269</v>
      </c>
      <c r="AK24" s="760">
        <f>IF(OR($A24="F&amp;F",$A24="CE",AK$7="No aplica"),0,'BOULEVARD 5'!AN22-'BOULEVARD PPTO'!AF17)</f>
        <v>-731</v>
      </c>
      <c r="AL24" s="760">
        <f>IF(OR($A24="F&amp;F",$A24="CE",AL$7="No aplica"),0,'BOULEVARD 5'!AO22-'BOULEVARD PPTO'!AG17)</f>
        <v>-731</v>
      </c>
      <c r="AM24" s="760">
        <f>IF(OR($A24="F&amp;F",$A24="CE",AM$7="No aplica"),0,'BOULEVARD 5'!AP22-'BOULEVARD PPTO'!AH17)</f>
        <v>-731</v>
      </c>
      <c r="AN24" s="760">
        <f>IF(OR($A24="F&amp;F",$A24="CE",AN$7="No aplica"),0,'BOULEVARD 5'!AQ22-'BOULEVARD PPTO'!AI17)</f>
        <v>0</v>
      </c>
      <c r="AO24" s="760">
        <f>IF(OR($A24="F&amp;F",$A24="CE",AO$7="No aplica"),0,'BOULEVARD 5'!AS22-'BOULEVARD PPTO'!AJ17)</f>
        <v>0</v>
      </c>
      <c r="AP24" s="761">
        <f t="shared" si="7"/>
        <v>1383</v>
      </c>
      <c r="AQ24" s="761">
        <f t="shared" si="8"/>
        <v>-32230.190000000002</v>
      </c>
      <c r="AR24" s="674">
        <f>IF(A24=0,'BOULEVARD 5'!BF22,0)</f>
        <v>10000</v>
      </c>
      <c r="AS24" s="674">
        <f>IF(A24=0,'BOULEVARD 5'!BG22,0)</f>
        <v>8731</v>
      </c>
      <c r="AT24" s="675" t="str">
        <f t="shared" si="4"/>
        <v>Vendido</v>
      </c>
      <c r="AU24" s="581" t="str">
        <f t="shared" si="5"/>
        <v>A FAVOR DEL CLIENTE</v>
      </c>
      <c r="AV24" s="760">
        <f t="shared" si="10"/>
        <v>0</v>
      </c>
    </row>
    <row r="25" spans="1:48" s="581" customFormat="1" ht="12.4" customHeight="1" outlineLevel="1" x14ac:dyDescent="0.25">
      <c r="A25" s="703">
        <f>'BOULEVARD 5'!BQ23</f>
        <v>0</v>
      </c>
      <c r="B25" s="564">
        <v>203</v>
      </c>
      <c r="C25" s="564" t="s">
        <v>393</v>
      </c>
      <c r="D25" s="564"/>
      <c r="E25" s="564" t="str">
        <f>IF('BOULEVARD 5'!E23&lt;&gt;0,'BOULEVARD 5'!E23,"")</f>
        <v/>
      </c>
      <c r="F25" s="581" t="str">
        <f>IF('BOULEVARD 5'!F23&lt;&gt;0,'BOULEVARD 5'!F23,"")</f>
        <v/>
      </c>
      <c r="G25" s="566" t="str">
        <f>IF('BOULEVARD 5'!G23="","",'BOULEVARD 5'!G23)</f>
        <v/>
      </c>
      <c r="H25" s="756">
        <f>IF(OR($A25="F&amp;F",$A25="CE",H$7="No aplica"),0,'BOULEVARD 5'!K23-'BOULEVARD PPTO'!C18)</f>
        <v>0</v>
      </c>
      <c r="I25" s="756">
        <f>IF(OR($A25="F&amp;F",$A25="CE",I$7="No aplica"),0,'BOULEVARD 5'!L23-'BOULEVARD PPTO'!D18)</f>
        <v>0</v>
      </c>
      <c r="J25" s="756">
        <f>IF(OR($A25="F&amp;F",$A25="CE",J$7="No aplica"),0,'BOULEVARD 5'!M23-'BOULEVARD PPTO'!E18)</f>
        <v>0</v>
      </c>
      <c r="K25" s="756">
        <f>IF(OR($A25="F&amp;F",$A25="CE",K$7="No aplica"),0,'BOULEVARD 5'!N23-'BOULEVARD PPTO'!F18)</f>
        <v>0</v>
      </c>
      <c r="L25" s="756">
        <f>IF(OR($A25="F&amp;F",$A25="CE",L$7="No aplica"),0,'BOULEVARD 5'!O23-'BOULEVARD PPTO'!G18)</f>
        <v>0</v>
      </c>
      <c r="M25" s="756">
        <f>IF(OR($A25="F&amp;F",$A25="CE",M$7="No aplica"),0,'BOULEVARD 5'!P23-'BOULEVARD PPTO'!H18)</f>
        <v>0</v>
      </c>
      <c r="N25" s="756">
        <f>IF(OR($A25="F&amp;F",$A25="CE",N$7="No aplica"),0,'BOULEVARD 5'!Q23-'BOULEVARD PPTO'!I18)</f>
        <v>0</v>
      </c>
      <c r="O25" s="756">
        <f>IF(OR($A25="F&amp;F",$A25="CE",O$7="No aplica"),0,'BOULEVARD 5'!R23-'BOULEVARD PPTO'!J18)</f>
        <v>0</v>
      </c>
      <c r="P25" s="756">
        <f>IF(OR($A25="F&amp;F",$A25="CE",P$7="No aplica"),0,'BOULEVARD 5'!S23-'BOULEVARD PPTO'!K18)</f>
        <v>0</v>
      </c>
      <c r="Q25" s="760">
        <f>IF(OR($A25="F&amp;F",$A25="CE",Q$7="No aplica"),0,'BOULEVARD 5'!T23-'BOULEVARD PPTO'!L18)</f>
        <v>0</v>
      </c>
      <c r="R25" s="760">
        <f>IF(OR($A25="F&amp;F",$A25="CE",R$7="No aplica"),0,'BOULEVARD 5'!U23-'BOULEVARD PPTO'!M18)</f>
        <v>0</v>
      </c>
      <c r="S25" s="760">
        <f>IF(OR($A25="F&amp;F",$A25="CE",S$7="No aplica"),0,'BOULEVARD 5'!V23-'BOULEVARD PPTO'!N18)</f>
        <v>0</v>
      </c>
      <c r="T25" s="760">
        <f>IF(OR($A25="F&amp;F",$A25="CE",T$7="No aplica"),0,'BOULEVARD 5'!W23-'BOULEVARD PPTO'!O18)</f>
        <v>0</v>
      </c>
      <c r="U25" s="760">
        <f>IF(OR($A25="F&amp;F",$A25="CE",U$7="No aplica"),0,'BOULEVARD 5'!X23-'BOULEVARD PPTO'!P18)</f>
        <v>0</v>
      </c>
      <c r="V25" s="760">
        <f>IF(OR($A25="F&amp;F",$A25="CE",V$7="No aplica"),0,'BOULEVARD 5'!Y23-'BOULEVARD PPTO'!Q18)</f>
        <v>0</v>
      </c>
      <c r="W25" s="760">
        <f>IF(OR($A25="F&amp;F",$A25="CE",W$7="No aplica"),0,'BOULEVARD 5'!Z23-'BOULEVARD PPTO'!R18)</f>
        <v>0</v>
      </c>
      <c r="X25" s="760">
        <f>IF(OR($A25="F&amp;F",$A25="CE",X$7="No aplica"),0,'BOULEVARD 5'!AA23-'BOULEVARD PPTO'!S18)</f>
        <v>0</v>
      </c>
      <c r="Y25" s="760">
        <f>IF(OR($A25="F&amp;F",$A25="CE",Y$7="No aplica"),0,'BOULEVARD 5'!AB23-'BOULEVARD PPTO'!T18)</f>
        <v>0</v>
      </c>
      <c r="Z25" s="760">
        <f>IF(OR($A25="F&amp;F",$A25="CE",Z$7="No aplica"),0,'BOULEVARD 5'!AC23-'BOULEVARD PPTO'!U18)</f>
        <v>0</v>
      </c>
      <c r="AA25" s="760">
        <f>IF(OR($A25="F&amp;F",$A25="CE",AA$7="No aplica"),0,'BOULEVARD 5'!AD23-'BOULEVARD PPTO'!V18)</f>
        <v>0</v>
      </c>
      <c r="AB25" s="760">
        <f>IF(OR($A25="F&amp;F",$A25="CE",AB$7="No aplica"),0,'BOULEVARD 5'!AE23-'BOULEVARD PPTO'!W18)</f>
        <v>0</v>
      </c>
      <c r="AC25" s="760">
        <f>IF(OR($A25="F&amp;F",$A25="CE",AC$7="No aplica"),0,'BOULEVARD 5'!AF23-'BOULEVARD PPTO'!X18)</f>
        <v>0</v>
      </c>
      <c r="AD25" s="760">
        <f>IF(OR($A25="F&amp;F",$A25="CE",AD$7="No aplica"),0,'BOULEVARD 5'!AG23-'BOULEVARD PPTO'!Y18)</f>
        <v>0</v>
      </c>
      <c r="AE25" s="760">
        <f>IF(OR($A25="F&amp;F",$A25="CE",AE$7="No aplica"),0,'BOULEVARD 5'!AH23-'BOULEVARD PPTO'!Z18)</f>
        <v>0</v>
      </c>
      <c r="AF25" s="760">
        <f>IF(OR($A25="F&amp;F",$A25="CE",AF$7="No aplica"),0,'BOULEVARD 5'!AI23-'BOULEVARD PPTO'!AA18)</f>
        <v>0</v>
      </c>
      <c r="AG25" s="760">
        <f>IF(OR($A25="F&amp;F",$A25="CE",AG$7="No aplica"),0,'BOULEVARD 5'!AJ23-'BOULEVARD PPTO'!AB18)</f>
        <v>0</v>
      </c>
      <c r="AH25" s="760">
        <f>IF(OR($A25="F&amp;F",$A25="CE",AH$7="No aplica"),0,'BOULEVARD 5'!AK23-'BOULEVARD PPTO'!AC18)</f>
        <v>0</v>
      </c>
      <c r="AI25" s="760">
        <f>IF(OR($A25="F&amp;F",$A25="CE",AI$7="No aplica"),0,'BOULEVARD 5'!AL23-'BOULEVARD PPTO'!AD18)</f>
        <v>0</v>
      </c>
      <c r="AJ25" s="760">
        <f>IF(OR($A25="F&amp;F",$A25="CE",AJ$7="No aplica"),0,'BOULEVARD 5'!AM23-'BOULEVARD PPTO'!AE18)</f>
        <v>0</v>
      </c>
      <c r="AK25" s="760">
        <f>IF(OR($A25="F&amp;F",$A25="CE",AK$7="No aplica"),0,'BOULEVARD 5'!AN23-'BOULEVARD PPTO'!AF18)</f>
        <v>0</v>
      </c>
      <c r="AL25" s="760">
        <f>IF(OR($A25="F&amp;F",$A25="CE",AL$7="No aplica"),0,'BOULEVARD 5'!AO23-'BOULEVARD PPTO'!AG18)</f>
        <v>0</v>
      </c>
      <c r="AM25" s="760">
        <f>IF(OR($A25="F&amp;F",$A25="CE",AM$7="No aplica"),0,'BOULEVARD 5'!AP23-'BOULEVARD PPTO'!AH18)</f>
        <v>0</v>
      </c>
      <c r="AN25" s="760">
        <f>IF(OR($A25="F&amp;F",$A25="CE",AN$7="No aplica"),0,'BOULEVARD 5'!AQ23-'BOULEVARD PPTO'!AI18)</f>
        <v>0</v>
      </c>
      <c r="AO25" s="760">
        <f>IF(OR($A25="F&amp;F",$A25="CE",AO$7="No aplica"),0,'BOULEVARD 5'!AS23-'BOULEVARD PPTO'!AJ18)</f>
        <v>0</v>
      </c>
      <c r="AP25" s="761">
        <f t="shared" si="7"/>
        <v>0</v>
      </c>
      <c r="AQ25" s="761">
        <f t="shared" si="8"/>
        <v>0</v>
      </c>
      <c r="AR25" s="674">
        <f>IF(A25=0,'BOULEVARD 5'!BF23,0)</f>
        <v>0</v>
      </c>
      <c r="AS25" s="674">
        <f>IF(A25=0,'BOULEVARD 5'!BG23,0)</f>
        <v>0</v>
      </c>
      <c r="AT25" s="675" t="str">
        <f t="shared" si="4"/>
        <v>No Vendido</v>
      </c>
      <c r="AU25" s="581" t="str">
        <f t="shared" si="5"/>
        <v/>
      </c>
      <c r="AV25" s="760">
        <f t="shared" si="10"/>
        <v>0</v>
      </c>
    </row>
    <row r="26" spans="1:48" s="581" customFormat="1" ht="12.4" customHeight="1" outlineLevel="1" x14ac:dyDescent="0.25">
      <c r="A26" s="703">
        <f>'BOULEVARD 5'!BQ24</f>
        <v>0</v>
      </c>
      <c r="B26" s="564">
        <v>204</v>
      </c>
      <c r="C26" s="564" t="s">
        <v>172</v>
      </c>
      <c r="D26" s="564"/>
      <c r="E26" s="564" t="str">
        <f>IF('BOULEVARD 5'!E24&lt;&gt;0,'BOULEVARD 5'!E24,"")</f>
        <v>Antonio Rada</v>
      </c>
      <c r="F26" s="581" t="str">
        <f>IF('BOULEVARD 5'!F24&lt;&gt;0,'BOULEVARD 5'!F24,"")</f>
        <v>Paulette Leslie Wauthion Jimenez</v>
      </c>
      <c r="G26" s="566">
        <f>IF('BOULEVARD 5'!G24="","",'BOULEVARD 5'!G24)</f>
        <v>45596</v>
      </c>
      <c r="H26" s="756">
        <f>IF(OR($A26="F&amp;F",$A26="CE",H$7="No aplica"),0,'BOULEVARD 5'!K24-'BOULEVARD PPTO'!C19)</f>
        <v>0</v>
      </c>
      <c r="I26" s="756">
        <f>IF(OR($A26="F&amp;F",$A26="CE",I$7="No aplica"),0,'BOULEVARD 5'!L24-'BOULEVARD PPTO'!D19)</f>
        <v>0</v>
      </c>
      <c r="J26" s="756">
        <f>IF(OR($A26="F&amp;F",$A26="CE",J$7="No aplica"),0,'BOULEVARD 5'!M24-'BOULEVARD PPTO'!E19)</f>
        <v>0</v>
      </c>
      <c r="K26" s="756">
        <f>IF(OR($A26="F&amp;F",$A26="CE",K$7="No aplica"),0,'BOULEVARD 5'!N24-'BOULEVARD PPTO'!F19)</f>
        <v>0</v>
      </c>
      <c r="L26" s="756">
        <f>IF(OR($A26="F&amp;F",$A26="CE",L$7="No aplica"),0,'BOULEVARD 5'!O24-'BOULEVARD PPTO'!G19)</f>
        <v>0</v>
      </c>
      <c r="M26" s="756">
        <f>IF(OR($A26="F&amp;F",$A26="CE",M$7="No aplica"),0,'BOULEVARD 5'!P24-'BOULEVARD PPTO'!H19)</f>
        <v>0</v>
      </c>
      <c r="N26" s="756">
        <f>IF(OR($A26="F&amp;F",$A26="CE",N$7="No aplica"),0,'BOULEVARD 5'!Q24-'BOULEVARD PPTO'!I19)</f>
        <v>0</v>
      </c>
      <c r="O26" s="756">
        <f>IF(OR($A26="F&amp;F",$A26="CE",O$7="No aplica"),0,'BOULEVARD 5'!R24-'BOULEVARD PPTO'!J19)</f>
        <v>0</v>
      </c>
      <c r="P26" s="756">
        <f>IF(OR($A26="F&amp;F",$A26="CE",P$7="No aplica"),0,'BOULEVARD 5'!S24-'BOULEVARD PPTO'!K19)</f>
        <v>0</v>
      </c>
      <c r="Q26" s="760">
        <f>IF(OR($A26="F&amp;F",$A26="CE",Q$7="No aplica"),0,'BOULEVARD 5'!T24-'BOULEVARD PPTO'!L19)</f>
        <v>0</v>
      </c>
      <c r="R26" s="760">
        <f>IF(OR($A26="F&amp;F",$A26="CE",R$7="No aplica"),0,'BOULEVARD 5'!U24-'BOULEVARD PPTO'!M19)</f>
        <v>0</v>
      </c>
      <c r="S26" s="760">
        <f>IF(OR($A26="F&amp;F",$A26="CE",S$7="No aplica"),0,'BOULEVARD 5'!V24-'BOULEVARD PPTO'!N19)</f>
        <v>0</v>
      </c>
      <c r="T26" s="760">
        <f>IF(OR($A26="F&amp;F",$A26="CE",T$7="No aplica"),0,'BOULEVARD 5'!W24-'BOULEVARD PPTO'!O19)</f>
        <v>0</v>
      </c>
      <c r="U26" s="760">
        <f>IF(OR($A26="F&amp;F",$A26="CE",U$7="No aplica"),0,'BOULEVARD 5'!X24-'BOULEVARD PPTO'!P19)</f>
        <v>0</v>
      </c>
      <c r="V26" s="760">
        <f>IF(OR($A26="F&amp;F",$A26="CE",V$7="No aplica"),0,'BOULEVARD 5'!Y24-'BOULEVARD PPTO'!Q19)</f>
        <v>0</v>
      </c>
      <c r="W26" s="760">
        <f>IF(OR($A26="F&amp;F",$A26="CE",W$7="No aplica"),0,'BOULEVARD 5'!Z24-'BOULEVARD PPTO'!R19)</f>
        <v>0</v>
      </c>
      <c r="X26" s="760">
        <f>IF(OR($A26="F&amp;F",$A26="CE",X$7="No aplica"),0,'BOULEVARD 5'!AA24-'BOULEVARD PPTO'!S19)</f>
        <v>0</v>
      </c>
      <c r="Y26" s="760">
        <f>IF(OR($A26="F&amp;F",$A26="CE",Y$7="No aplica"),0,'BOULEVARD 5'!AB24-'BOULEVARD PPTO'!T19)</f>
        <v>0</v>
      </c>
      <c r="Z26" s="760">
        <f>IF(OR($A26="F&amp;F",$A26="CE",Z$7="No aplica"),0,'BOULEVARD 5'!AC24-'BOULEVARD PPTO'!U19)</f>
        <v>0</v>
      </c>
      <c r="AA26" s="760">
        <f>IF(OR($A26="F&amp;F",$A26="CE",AA$7="No aplica"),0,'BOULEVARD 5'!AD24-'BOULEVARD PPTO'!V19)</f>
        <v>-5000</v>
      </c>
      <c r="AB26" s="760">
        <f>IF(OR($A26="F&amp;F",$A26="CE",AB$7="No aplica"),0,'BOULEVARD 5'!AE24-'BOULEVARD PPTO'!W19)</f>
        <v>-4821</v>
      </c>
      <c r="AC26" s="760">
        <f>IF(OR($A26="F&amp;F",$A26="CE",AC$7="No aplica"),0,'BOULEVARD 5'!AF24-'BOULEVARD PPTO'!X19)</f>
        <v>10179</v>
      </c>
      <c r="AD26" s="760">
        <f>IF(OR($A26="F&amp;F",$A26="CE",AD$7="No aplica"),0,'BOULEVARD 5'!AG24-'BOULEVARD PPTO'!Y19)</f>
        <v>2679</v>
      </c>
      <c r="AE26" s="760">
        <f>IF(OR($A26="F&amp;F",$A26="CE",AE$7="No aplica"),0,'BOULEVARD 5'!AH24-'BOULEVARD PPTO'!Z19)</f>
        <v>179</v>
      </c>
      <c r="AF26" s="760">
        <f>IF(OR($A26="F&amp;F",$A26="CE",AF$7="No aplica"),0,'BOULEVARD 5'!AI24-'BOULEVARD PPTO'!AA19)</f>
        <v>5179</v>
      </c>
      <c r="AG26" s="760">
        <f>IF(OR($A26="F&amp;F",$A26="CE",AG$7="No aplica"),0,'BOULEVARD 5'!AJ24-'BOULEVARD PPTO'!AB19)</f>
        <v>5179</v>
      </c>
      <c r="AH26" s="760">
        <f>IF(OR($A26="F&amp;F",$A26="CE",AH$7="No aplica"),0,'BOULEVARD 5'!AK24-'BOULEVARD PPTO'!AC19)</f>
        <v>2679</v>
      </c>
      <c r="AI26" s="760">
        <f>IF(OR($A26="F&amp;F",$A26="CE",AI$7="No aplica"),0,'BOULEVARD 5'!AL24-'BOULEVARD PPTO'!AD19)</f>
        <v>5179</v>
      </c>
      <c r="AJ26" s="760">
        <f>IF(OR($A26="F&amp;F",$A26="CE",AJ$7="No aplica"),0,'BOULEVARD 5'!AM24-'BOULEVARD PPTO'!AE19)</f>
        <v>5179</v>
      </c>
      <c r="AK26" s="760">
        <f>IF(OR($A26="F&amp;F",$A26="CE",AK$7="No aplica"),0,'BOULEVARD 5'!AN24-'BOULEVARD PPTO'!AF19)</f>
        <v>5179</v>
      </c>
      <c r="AL26" s="760">
        <f>IF(OR($A26="F&amp;F",$A26="CE",AL$7="No aplica"),0,'BOULEVARD 5'!AO24-'BOULEVARD PPTO'!AG19)</f>
        <v>179</v>
      </c>
      <c r="AM26" s="760">
        <f>IF(OR($A26="F&amp;F",$A26="CE",AM$7="No aplica"),0,'BOULEVARD 5'!AP24-'BOULEVARD PPTO'!AH19)</f>
        <v>179</v>
      </c>
      <c r="AN26" s="760">
        <f>IF(OR($A26="F&amp;F",$A26="CE",AN$7="No aplica"),0,'BOULEVARD 5'!AQ24-'BOULEVARD PPTO'!AI19)</f>
        <v>0</v>
      </c>
      <c r="AO26" s="760">
        <f>IF(OR($A26="F&amp;F",$A26="CE",AO$7="No aplica"),0,'BOULEVARD 5'!AS24-'BOULEVARD PPTO'!AJ19)</f>
        <v>0</v>
      </c>
      <c r="AP26" s="761">
        <f t="shared" si="7"/>
        <v>32148</v>
      </c>
      <c r="AQ26" s="761">
        <f t="shared" si="8"/>
        <v>13405</v>
      </c>
      <c r="AR26" s="674">
        <f>IF(A26=0,'BOULEVARD 5'!BF24,0)</f>
        <v>10000</v>
      </c>
      <c r="AS26" s="674">
        <f>IF(A26=0,'BOULEVARD 5'!BG24,0)</f>
        <v>4821</v>
      </c>
      <c r="AT26" s="675" t="str">
        <f t="shared" si="4"/>
        <v>Vendido</v>
      </c>
      <c r="AU26" s="581" t="str">
        <f t="shared" si="5"/>
        <v>A FAVOR DEL CLIENTE</v>
      </c>
      <c r="AV26" s="760">
        <f t="shared" si="10"/>
        <v>179</v>
      </c>
    </row>
    <row r="27" spans="1:48" s="581" customFormat="1" ht="12.4" customHeight="1" outlineLevel="1" x14ac:dyDescent="0.25">
      <c r="A27" s="703">
        <f>'BOULEVARD 5'!BQ25</f>
        <v>0</v>
      </c>
      <c r="B27" s="564">
        <v>205</v>
      </c>
      <c r="C27" s="564" t="s">
        <v>395</v>
      </c>
      <c r="D27" s="564"/>
      <c r="E27" s="564" t="str">
        <f>IF('BOULEVARD 5'!E25&lt;&gt;0,'BOULEVARD 5'!E25,"")</f>
        <v>Sofia Paredes</v>
      </c>
      <c r="F27" s="581" t="str">
        <f>IF('BOULEVARD 5'!F25&lt;&gt;0,'BOULEVARD 5'!F25,"")</f>
        <v>Javier Adolfo Hernandez Leon</v>
      </c>
      <c r="G27" s="566">
        <f>IF('BOULEVARD 5'!G25="","",'BOULEVARD 5'!G25)</f>
        <v>45706</v>
      </c>
      <c r="H27" s="756">
        <f>IF(OR($A27="F&amp;F",$A27="CE",H$7="No aplica"),0,'BOULEVARD 5'!K25-'BOULEVARD PPTO'!C20)</f>
        <v>0</v>
      </c>
      <c r="I27" s="756">
        <f>IF(OR($A27="F&amp;F",$A27="CE",I$7="No aplica"),0,'BOULEVARD 5'!L25-'BOULEVARD PPTO'!D20)</f>
        <v>0</v>
      </c>
      <c r="J27" s="756">
        <f>IF(OR($A27="F&amp;F",$A27="CE",J$7="No aplica"),0,'BOULEVARD 5'!M25-'BOULEVARD PPTO'!E20)</f>
        <v>0</v>
      </c>
      <c r="K27" s="756">
        <f>IF(OR($A27="F&amp;F",$A27="CE",K$7="No aplica"),0,'BOULEVARD 5'!N25-'BOULEVARD PPTO'!F20)</f>
        <v>0</v>
      </c>
      <c r="L27" s="756">
        <f>IF(OR($A27="F&amp;F",$A27="CE",L$7="No aplica"),0,'BOULEVARD 5'!O25-'BOULEVARD PPTO'!G20)</f>
        <v>0</v>
      </c>
      <c r="M27" s="756">
        <f>IF(OR($A27="F&amp;F",$A27="CE",M$7="No aplica"),0,'BOULEVARD 5'!P25-'BOULEVARD PPTO'!H20)</f>
        <v>0</v>
      </c>
      <c r="N27" s="756">
        <f>IF(OR($A27="F&amp;F",$A27="CE",N$7="No aplica"),0,'BOULEVARD 5'!Q25-'BOULEVARD PPTO'!I20)</f>
        <v>0</v>
      </c>
      <c r="O27" s="756">
        <f>IF(OR($A27="F&amp;F",$A27="CE",O$7="No aplica"),0,'BOULEVARD 5'!R25-'BOULEVARD PPTO'!J20)</f>
        <v>0</v>
      </c>
      <c r="P27" s="756">
        <f>IF(OR($A27="F&amp;F",$A27="CE",P$7="No aplica"),0,'BOULEVARD 5'!S25-'BOULEVARD PPTO'!K20)</f>
        <v>0</v>
      </c>
      <c r="Q27" s="760">
        <f>IF(OR($A27="F&amp;F",$A27="CE",Q$7="No aplica"),0,'BOULEVARD 5'!T25-'BOULEVARD PPTO'!L20)</f>
        <v>0</v>
      </c>
      <c r="R27" s="760">
        <f>IF(OR($A27="F&amp;F",$A27="CE",R$7="No aplica"),0,'BOULEVARD 5'!U25-'BOULEVARD PPTO'!M20)</f>
        <v>0</v>
      </c>
      <c r="S27" s="760">
        <f>IF(OR($A27="F&amp;F",$A27="CE",S$7="No aplica"),0,'BOULEVARD 5'!V25-'BOULEVARD PPTO'!N20)</f>
        <v>0</v>
      </c>
      <c r="T27" s="760">
        <f>IF(OR($A27="F&amp;F",$A27="CE",T$7="No aplica"),0,'BOULEVARD 5'!W25-'BOULEVARD PPTO'!O20)</f>
        <v>0</v>
      </c>
      <c r="U27" s="760">
        <f>IF(OR($A27="F&amp;F",$A27="CE",U$7="No aplica"),0,'BOULEVARD 5'!X25-'BOULEVARD PPTO'!P20)</f>
        <v>0</v>
      </c>
      <c r="V27" s="760">
        <f>IF(OR($A27="F&amp;F",$A27="CE",V$7="No aplica"),0,'BOULEVARD 5'!Y25-'BOULEVARD PPTO'!Q20)</f>
        <v>0</v>
      </c>
      <c r="W27" s="760">
        <f>IF(OR($A27="F&amp;F",$A27="CE",W$7="No aplica"),0,'BOULEVARD 5'!Z25-'BOULEVARD PPTO'!R20)</f>
        <v>0</v>
      </c>
      <c r="X27" s="760">
        <f>IF(OR($A27="F&amp;F",$A27="CE",X$7="No aplica"),0,'BOULEVARD 5'!AA25-'BOULEVARD PPTO'!S20)</f>
        <v>0</v>
      </c>
      <c r="Y27" s="760">
        <f>IF(OR($A27="F&amp;F",$A27="CE",Y$7="No aplica"),0,'BOULEVARD 5'!AB25-'BOULEVARD PPTO'!T20)</f>
        <v>0</v>
      </c>
      <c r="Z27" s="760">
        <f>IF(OR($A27="F&amp;F",$A27="CE",Z$7="No aplica"),0,'BOULEVARD 5'!AC25-'BOULEVARD PPTO'!U20)</f>
        <v>0</v>
      </c>
      <c r="AA27" s="760">
        <f>IF(OR($A27="F&amp;F",$A27="CE",AA$7="No aplica"),0,'BOULEVARD 5'!AD25-'BOULEVARD PPTO'!V20)</f>
        <v>0</v>
      </c>
      <c r="AB27" s="760">
        <f>IF(OR($A27="F&amp;F",$A27="CE",AB$7="No aplica"),0,'BOULEVARD 5'!AE25-'BOULEVARD PPTO'!W20)</f>
        <v>0</v>
      </c>
      <c r="AC27" s="760">
        <f>IF(OR($A27="F&amp;F",$A27="CE",AC$7="No aplica"),0,'BOULEVARD 5'!AF25-'BOULEVARD PPTO'!X20)</f>
        <v>0</v>
      </c>
      <c r="AD27" s="760">
        <f>IF(OR($A27="F&amp;F",$A27="CE",AD$7="No aplica"),0,'BOULEVARD 5'!AG25-'BOULEVARD PPTO'!Y20)</f>
        <v>-10000</v>
      </c>
      <c r="AE27" s="760">
        <f>IF(OR($A27="F&amp;F",$A27="CE",AE$7="No aplica"),0,'BOULEVARD 5'!AH25-'BOULEVARD PPTO'!Z20)</f>
        <v>2097</v>
      </c>
      <c r="AF27" s="760">
        <f>IF(OR($A27="F&amp;F",$A27="CE",AF$7="No aplica"),0,'BOULEVARD 5'!AI25-'BOULEVARD PPTO'!AA20)</f>
        <v>0</v>
      </c>
      <c r="AG27" s="760">
        <f>IF(OR($A27="F&amp;F",$A27="CE",AG$7="No aplica"),0,'BOULEVARD 5'!AJ25-'BOULEVARD PPTO'!AB20)</f>
        <v>0</v>
      </c>
      <c r="AH27" s="760">
        <f>IF(OR($A27="F&amp;F",$A27="CE",AH$7="No aplica"),0,'BOULEVARD 5'!AK25-'BOULEVARD PPTO'!AC20)</f>
        <v>0</v>
      </c>
      <c r="AI27" s="760">
        <f>IF(OR($A27="F&amp;F",$A27="CE",AI$7="No aplica"),0,'BOULEVARD 5'!AL25-'BOULEVARD PPTO'!AD20)</f>
        <v>0</v>
      </c>
      <c r="AJ27" s="760">
        <f>IF(OR($A27="F&amp;F",$A27="CE",AJ$7="No aplica"),0,'BOULEVARD 5'!AM25-'BOULEVARD PPTO'!AE20)</f>
        <v>0</v>
      </c>
      <c r="AK27" s="760">
        <f>IF(OR($A27="F&amp;F",$A27="CE",AK$7="No aplica"),0,'BOULEVARD 5'!AN25-'BOULEVARD PPTO'!AF20)</f>
        <v>0</v>
      </c>
      <c r="AL27" s="760">
        <f>IF(OR($A27="F&amp;F",$A27="CE",AL$7="No aplica"),0,'BOULEVARD 5'!AO25-'BOULEVARD PPTO'!AG20)</f>
        <v>0</v>
      </c>
      <c r="AM27" s="760">
        <f>IF(OR($A27="F&amp;F",$A27="CE",AM$7="No aplica"),0,'BOULEVARD 5'!AP25-'BOULEVARD PPTO'!AH20)</f>
        <v>0</v>
      </c>
      <c r="AN27" s="760">
        <f>IF(OR($A27="F&amp;F",$A27="CE",AN$7="No aplica"),0,'BOULEVARD 5'!AQ25-'BOULEVARD PPTO'!AI20)</f>
        <v>0</v>
      </c>
      <c r="AO27" s="760">
        <f>IF(OR($A27="F&amp;F",$A27="CE",AO$7="No aplica"),0,'BOULEVARD 5'!AS25-'BOULEVARD PPTO'!AJ20)</f>
        <v>0</v>
      </c>
      <c r="AP27" s="761">
        <f t="shared" si="7"/>
        <v>-7903</v>
      </c>
      <c r="AQ27" s="761">
        <f t="shared" si="8"/>
        <v>-39522.820000000007</v>
      </c>
      <c r="AR27" s="674">
        <f>IF(A27=0,'BOULEVARD 5'!BF25,0)</f>
        <v>10000</v>
      </c>
      <c r="AS27" s="674">
        <f>IF(A27=0,'BOULEVARD 5'!BG25,0)</f>
        <v>7903</v>
      </c>
      <c r="AT27" s="675" t="str">
        <f t="shared" si="4"/>
        <v>Vendido</v>
      </c>
      <c r="AU27" s="581" t="str">
        <f t="shared" si="5"/>
        <v>POR COBRAR</v>
      </c>
      <c r="AV27" s="760">
        <f t="shared" si="10"/>
        <v>0</v>
      </c>
    </row>
    <row r="28" spans="1:48" s="581" customFormat="1" ht="12.4" customHeight="1" outlineLevel="1" x14ac:dyDescent="0.25">
      <c r="A28" s="703">
        <f>'BOULEVARD 5'!BQ26</f>
        <v>0</v>
      </c>
      <c r="B28" s="564">
        <v>206</v>
      </c>
      <c r="C28" s="564" t="s">
        <v>397</v>
      </c>
      <c r="D28" s="564"/>
      <c r="E28" s="564" t="str">
        <f>IF('BOULEVARD 5'!E26&lt;&gt;0,'BOULEVARD 5'!E26,"")</f>
        <v/>
      </c>
      <c r="F28" s="581" t="str">
        <f>IF('BOULEVARD 5'!F26&lt;&gt;0,'BOULEVARD 5'!F26,"")</f>
        <v/>
      </c>
      <c r="G28" s="566" t="str">
        <f>IF('BOULEVARD 5'!G26="","",'BOULEVARD 5'!G26)</f>
        <v/>
      </c>
      <c r="H28" s="756">
        <f>IF(OR($A28="F&amp;F",$A28="CE",H$7="No aplica"),0,'BOULEVARD 5'!K26-'BOULEVARD PPTO'!C21)</f>
        <v>0</v>
      </c>
      <c r="I28" s="756">
        <f>IF(OR($A28="F&amp;F",$A28="CE",I$7="No aplica"),0,'BOULEVARD 5'!L26-'BOULEVARD PPTO'!D21)</f>
        <v>0</v>
      </c>
      <c r="J28" s="756">
        <f>IF(OR($A28="F&amp;F",$A28="CE",J$7="No aplica"),0,'BOULEVARD 5'!M26-'BOULEVARD PPTO'!E21)</f>
        <v>0</v>
      </c>
      <c r="K28" s="756">
        <f>IF(OR($A28="F&amp;F",$A28="CE",K$7="No aplica"),0,'BOULEVARD 5'!N26-'BOULEVARD PPTO'!F21)</f>
        <v>0</v>
      </c>
      <c r="L28" s="756">
        <f>IF(OR($A28="F&amp;F",$A28="CE",L$7="No aplica"),0,'BOULEVARD 5'!O26-'BOULEVARD PPTO'!G21)</f>
        <v>0</v>
      </c>
      <c r="M28" s="756">
        <f>IF(OR($A28="F&amp;F",$A28="CE",M$7="No aplica"),0,'BOULEVARD 5'!P26-'BOULEVARD PPTO'!H21)</f>
        <v>0</v>
      </c>
      <c r="N28" s="756">
        <f>IF(OR($A28="F&amp;F",$A28="CE",N$7="No aplica"),0,'BOULEVARD 5'!Q26-'BOULEVARD PPTO'!I21)</f>
        <v>0</v>
      </c>
      <c r="O28" s="756">
        <f>IF(OR($A28="F&amp;F",$A28="CE",O$7="No aplica"),0,'BOULEVARD 5'!R26-'BOULEVARD PPTO'!J21)</f>
        <v>0</v>
      </c>
      <c r="P28" s="756">
        <f>IF(OR($A28="F&amp;F",$A28="CE",P$7="No aplica"),0,'BOULEVARD 5'!S26-'BOULEVARD PPTO'!K21)</f>
        <v>0</v>
      </c>
      <c r="Q28" s="760">
        <f>IF(OR($A28="F&amp;F",$A28="CE",Q$7="No aplica"),0,'BOULEVARD 5'!T26-'BOULEVARD PPTO'!L21)</f>
        <v>0</v>
      </c>
      <c r="R28" s="760">
        <f>IF(OR($A28="F&amp;F",$A28="CE",R$7="No aplica"),0,'BOULEVARD 5'!U26-'BOULEVARD PPTO'!M21)</f>
        <v>0</v>
      </c>
      <c r="S28" s="760">
        <f>IF(OR($A28="F&amp;F",$A28="CE",S$7="No aplica"),0,'BOULEVARD 5'!V26-'BOULEVARD PPTO'!N21)</f>
        <v>0</v>
      </c>
      <c r="T28" s="760">
        <f>IF(OR($A28="F&amp;F",$A28="CE",T$7="No aplica"),0,'BOULEVARD 5'!W26-'BOULEVARD PPTO'!O21)</f>
        <v>0</v>
      </c>
      <c r="U28" s="760">
        <f>IF(OR($A28="F&amp;F",$A28="CE",U$7="No aplica"),0,'BOULEVARD 5'!X26-'BOULEVARD PPTO'!P21)</f>
        <v>0</v>
      </c>
      <c r="V28" s="760">
        <f>IF(OR($A28="F&amp;F",$A28="CE",V$7="No aplica"),0,'BOULEVARD 5'!Y26-'BOULEVARD PPTO'!Q21)</f>
        <v>0</v>
      </c>
      <c r="W28" s="760">
        <f>IF(OR($A28="F&amp;F",$A28="CE",W$7="No aplica"),0,'BOULEVARD 5'!Z26-'BOULEVARD PPTO'!R21)</f>
        <v>0</v>
      </c>
      <c r="X28" s="760">
        <f>IF(OR($A28="F&amp;F",$A28="CE",X$7="No aplica"),0,'BOULEVARD 5'!AA26-'BOULEVARD PPTO'!S21)</f>
        <v>0</v>
      </c>
      <c r="Y28" s="760">
        <f>IF(OR($A28="F&amp;F",$A28="CE",Y$7="No aplica"),0,'BOULEVARD 5'!AB26-'BOULEVARD PPTO'!T21)</f>
        <v>0</v>
      </c>
      <c r="Z28" s="760">
        <f>IF(OR($A28="F&amp;F",$A28="CE",Z$7="No aplica"),0,'BOULEVARD 5'!AC26-'BOULEVARD PPTO'!U21)</f>
        <v>0</v>
      </c>
      <c r="AA28" s="760">
        <f>IF(OR($A28="F&amp;F",$A28="CE",AA$7="No aplica"),0,'BOULEVARD 5'!AD26-'BOULEVARD PPTO'!V21)</f>
        <v>0</v>
      </c>
      <c r="AB28" s="760">
        <f>IF(OR($A28="F&amp;F",$A28="CE",AB$7="No aplica"),0,'BOULEVARD 5'!AE26-'BOULEVARD PPTO'!W21)</f>
        <v>0</v>
      </c>
      <c r="AC28" s="760">
        <f>IF(OR($A28="F&amp;F",$A28="CE",AC$7="No aplica"),0,'BOULEVARD 5'!AF26-'BOULEVARD PPTO'!X21)</f>
        <v>0</v>
      </c>
      <c r="AD28" s="760">
        <f>IF(OR($A28="F&amp;F",$A28="CE",AD$7="No aplica"),0,'BOULEVARD 5'!AG26-'BOULEVARD PPTO'!Y21)</f>
        <v>0</v>
      </c>
      <c r="AE28" s="760">
        <f>IF(OR($A28="F&amp;F",$A28="CE",AE$7="No aplica"),0,'BOULEVARD 5'!AH26-'BOULEVARD PPTO'!Z21)</f>
        <v>0</v>
      </c>
      <c r="AF28" s="760">
        <f>IF(OR($A28="F&amp;F",$A28="CE",AF$7="No aplica"),0,'BOULEVARD 5'!AI26-'BOULEVARD PPTO'!AA21)</f>
        <v>0</v>
      </c>
      <c r="AG28" s="760">
        <f>IF(OR($A28="F&amp;F",$A28="CE",AG$7="No aplica"),0,'BOULEVARD 5'!AJ26-'BOULEVARD PPTO'!AB21)</f>
        <v>0</v>
      </c>
      <c r="AH28" s="760">
        <f>IF(OR($A28="F&amp;F",$A28="CE",AH$7="No aplica"),0,'BOULEVARD 5'!AK26-'BOULEVARD PPTO'!AC21)</f>
        <v>0</v>
      </c>
      <c r="AI28" s="760">
        <f>IF(OR($A28="F&amp;F",$A28="CE",AI$7="No aplica"),0,'BOULEVARD 5'!AL26-'BOULEVARD PPTO'!AD21)</f>
        <v>0</v>
      </c>
      <c r="AJ28" s="760">
        <f>IF(OR($A28="F&amp;F",$A28="CE",AJ$7="No aplica"),0,'BOULEVARD 5'!AM26-'BOULEVARD PPTO'!AE21)</f>
        <v>0</v>
      </c>
      <c r="AK28" s="760">
        <f>IF(OR($A28="F&amp;F",$A28="CE",AK$7="No aplica"),0,'BOULEVARD 5'!AN26-'BOULEVARD PPTO'!AF21)</f>
        <v>0</v>
      </c>
      <c r="AL28" s="760">
        <f>IF(OR($A28="F&amp;F",$A28="CE",AL$7="No aplica"),0,'BOULEVARD 5'!AO26-'BOULEVARD PPTO'!AG21)</f>
        <v>0</v>
      </c>
      <c r="AM28" s="760">
        <f>IF(OR($A28="F&amp;F",$A28="CE",AM$7="No aplica"),0,'BOULEVARD 5'!AP26-'BOULEVARD PPTO'!AH21)</f>
        <v>0</v>
      </c>
      <c r="AN28" s="760">
        <f>IF(OR($A28="F&amp;F",$A28="CE",AN$7="No aplica"),0,'BOULEVARD 5'!AQ26-'BOULEVARD PPTO'!AI21)</f>
        <v>0</v>
      </c>
      <c r="AO28" s="760">
        <f>IF(OR($A28="F&amp;F",$A28="CE",AO$7="No aplica"),0,'BOULEVARD 5'!AS26-'BOULEVARD PPTO'!AJ21)</f>
        <v>0</v>
      </c>
      <c r="AP28" s="761">
        <f t="shared" si="7"/>
        <v>0</v>
      </c>
      <c r="AQ28" s="761">
        <f t="shared" si="8"/>
        <v>0</v>
      </c>
      <c r="AR28" s="674">
        <f>IF(A28=0,'BOULEVARD 5'!BF26,0)</f>
        <v>0</v>
      </c>
      <c r="AS28" s="674">
        <f>IF(A28=0,'BOULEVARD 5'!BG26,0)</f>
        <v>0</v>
      </c>
      <c r="AT28" s="675" t="str">
        <f t="shared" si="4"/>
        <v>No Vendido</v>
      </c>
      <c r="AU28" s="581" t="str">
        <f t="shared" si="5"/>
        <v/>
      </c>
      <c r="AV28" s="760">
        <f t="shared" si="10"/>
        <v>0</v>
      </c>
    </row>
    <row r="29" spans="1:48" s="581" customFormat="1" ht="12.4" customHeight="1" outlineLevel="1" x14ac:dyDescent="0.25">
      <c r="A29" s="703">
        <f>'BOULEVARD 5'!BQ27</f>
        <v>0</v>
      </c>
      <c r="B29" s="564">
        <v>207</v>
      </c>
      <c r="C29" s="564" t="s">
        <v>398</v>
      </c>
      <c r="D29" s="564"/>
      <c r="E29" s="564" t="str">
        <f>IF('BOULEVARD 5'!E27&lt;&gt;0,'BOULEVARD 5'!E27,"")</f>
        <v>Anahí Cisneros</v>
      </c>
      <c r="F29" s="581" t="str">
        <f>IF('BOULEVARD 5'!F27&lt;&gt;0,'BOULEVARD 5'!F27,"")</f>
        <v/>
      </c>
      <c r="G29" s="566" t="str">
        <f>IF('BOULEVARD 5'!G27="","",'BOULEVARD 5'!G27)</f>
        <v/>
      </c>
      <c r="H29" s="756">
        <f>IF(OR($A29="F&amp;F",$A29="CE",H$7="No aplica"),0,'BOULEVARD 5'!K27-'BOULEVARD PPTO'!C22)</f>
        <v>0</v>
      </c>
      <c r="I29" s="756">
        <f>IF(OR($A29="F&amp;F",$A29="CE",I$7="No aplica"),0,'BOULEVARD 5'!L27-'BOULEVARD PPTO'!D22)</f>
        <v>0</v>
      </c>
      <c r="J29" s="756">
        <f>IF(OR($A29="F&amp;F",$A29="CE",J$7="No aplica"),0,'BOULEVARD 5'!M27-'BOULEVARD PPTO'!E22)</f>
        <v>0</v>
      </c>
      <c r="K29" s="756">
        <f>IF(OR($A29="F&amp;F",$A29="CE",K$7="No aplica"),0,'BOULEVARD 5'!N27-'BOULEVARD PPTO'!F22)</f>
        <v>0</v>
      </c>
      <c r="L29" s="756">
        <f>IF(OR($A29="F&amp;F",$A29="CE",L$7="No aplica"),0,'BOULEVARD 5'!O27-'BOULEVARD PPTO'!G22)</f>
        <v>0</v>
      </c>
      <c r="M29" s="756">
        <f>IF(OR($A29="F&amp;F",$A29="CE",M$7="No aplica"),0,'BOULEVARD 5'!P27-'BOULEVARD PPTO'!H22)</f>
        <v>0</v>
      </c>
      <c r="N29" s="756">
        <f>IF(OR($A29="F&amp;F",$A29="CE",N$7="No aplica"),0,'BOULEVARD 5'!Q27-'BOULEVARD PPTO'!I22)</f>
        <v>0</v>
      </c>
      <c r="O29" s="756">
        <f>IF(OR($A29="F&amp;F",$A29="CE",O$7="No aplica"),0,'BOULEVARD 5'!R27-'BOULEVARD PPTO'!J22)</f>
        <v>0</v>
      </c>
      <c r="P29" s="756">
        <f>IF(OR($A29="F&amp;F",$A29="CE",P$7="No aplica"),0,'BOULEVARD 5'!S27-'BOULEVARD PPTO'!K22)</f>
        <v>0</v>
      </c>
      <c r="Q29" s="760">
        <f>IF(OR($A29="F&amp;F",$A29="CE",Q$7="No aplica"),0,'BOULEVARD 5'!T27-'BOULEVARD PPTO'!L22)</f>
        <v>0</v>
      </c>
      <c r="R29" s="760">
        <f>IF(OR($A29="F&amp;F",$A29="CE",R$7="No aplica"),0,'BOULEVARD 5'!U27-'BOULEVARD PPTO'!M22)</f>
        <v>0</v>
      </c>
      <c r="S29" s="760">
        <f>IF(OR($A29="F&amp;F",$A29="CE",S$7="No aplica"),0,'BOULEVARD 5'!V27-'BOULEVARD PPTO'!N22)</f>
        <v>0</v>
      </c>
      <c r="T29" s="760">
        <f>IF(OR($A29="F&amp;F",$A29="CE",T$7="No aplica"),0,'BOULEVARD 5'!W27-'BOULEVARD PPTO'!O22)</f>
        <v>0</v>
      </c>
      <c r="U29" s="760">
        <f>IF(OR($A29="F&amp;F",$A29="CE",U$7="No aplica"),0,'BOULEVARD 5'!X27-'BOULEVARD PPTO'!P22)</f>
        <v>0</v>
      </c>
      <c r="V29" s="760">
        <f>IF(OR($A29="F&amp;F",$A29="CE",V$7="No aplica"),0,'BOULEVARD 5'!Y27-'BOULEVARD PPTO'!Q22)</f>
        <v>0</v>
      </c>
      <c r="W29" s="760">
        <f>IF(OR($A29="F&amp;F",$A29="CE",W$7="No aplica"),0,'BOULEVARD 5'!Z27-'BOULEVARD PPTO'!R22)</f>
        <v>0</v>
      </c>
      <c r="X29" s="760">
        <f>IF(OR($A29="F&amp;F",$A29="CE",X$7="No aplica"),0,'BOULEVARD 5'!AA27-'BOULEVARD PPTO'!S22)</f>
        <v>0</v>
      </c>
      <c r="Y29" s="760">
        <f>IF(OR($A29="F&amp;F",$A29="CE",Y$7="No aplica"),0,'BOULEVARD 5'!AB27-'BOULEVARD PPTO'!T22)</f>
        <v>0</v>
      </c>
      <c r="Z29" s="760">
        <f>IF(OR($A29="F&amp;F",$A29="CE",Z$7="No aplica"),0,'BOULEVARD 5'!AC27-'BOULEVARD PPTO'!U22)</f>
        <v>0</v>
      </c>
      <c r="AA29" s="760">
        <f>IF(OR($A29="F&amp;F",$A29="CE",AA$7="No aplica"),0,'BOULEVARD 5'!AD27-'BOULEVARD PPTO'!V22)</f>
        <v>0</v>
      </c>
      <c r="AB29" s="760">
        <f>IF(OR($A29="F&amp;F",$A29="CE",AB$7="No aplica"),0,'BOULEVARD 5'!AE27-'BOULEVARD PPTO'!W22)</f>
        <v>0</v>
      </c>
      <c r="AC29" s="760">
        <f>IF(OR($A29="F&amp;F",$A29="CE",AC$7="No aplica"),0,'BOULEVARD 5'!AF27-'BOULEVARD PPTO'!X22)</f>
        <v>0</v>
      </c>
      <c r="AD29" s="760">
        <f>IF(OR($A29="F&amp;F",$A29="CE",AD$7="No aplica"),0,'BOULEVARD 5'!AG27-'BOULEVARD PPTO'!Y22)</f>
        <v>0</v>
      </c>
      <c r="AE29" s="760">
        <f>IF(OR($A29="F&amp;F",$A29="CE",AE$7="No aplica"),0,'BOULEVARD 5'!AH27-'BOULEVARD PPTO'!Z22)</f>
        <v>0</v>
      </c>
      <c r="AF29" s="760">
        <f>IF(OR($A29="F&amp;F",$A29="CE",AF$7="No aplica"),0,'BOULEVARD 5'!AI27-'BOULEVARD PPTO'!AA22)</f>
        <v>0</v>
      </c>
      <c r="AG29" s="760">
        <f>IF(OR($A29="F&amp;F",$A29="CE",AG$7="No aplica"),0,'BOULEVARD 5'!AJ27-'BOULEVARD PPTO'!AB22)</f>
        <v>0</v>
      </c>
      <c r="AH29" s="760">
        <f>IF(OR($A29="F&amp;F",$A29="CE",AH$7="No aplica"),0,'BOULEVARD 5'!AK27-'BOULEVARD PPTO'!AC22)</f>
        <v>0</v>
      </c>
      <c r="AI29" s="760">
        <f>IF(OR($A29="F&amp;F",$A29="CE",AI$7="No aplica"),0,'BOULEVARD 5'!AL27-'BOULEVARD PPTO'!AD22)</f>
        <v>0</v>
      </c>
      <c r="AJ29" s="760">
        <f>IF(OR($A29="F&amp;F",$A29="CE",AJ$7="No aplica"),0,'BOULEVARD 5'!AM27-'BOULEVARD PPTO'!AE22)</f>
        <v>0</v>
      </c>
      <c r="AK29" s="760">
        <f>IF(OR($A29="F&amp;F",$A29="CE",AK$7="No aplica"),0,'BOULEVARD 5'!AN27-'BOULEVARD PPTO'!AF22)</f>
        <v>0</v>
      </c>
      <c r="AL29" s="760">
        <f>IF(OR($A29="F&amp;F",$A29="CE",AL$7="No aplica"),0,'BOULEVARD 5'!AO27-'BOULEVARD PPTO'!AG22)</f>
        <v>0</v>
      </c>
      <c r="AM29" s="760">
        <f>IF(OR($A29="F&amp;F",$A29="CE",AM$7="No aplica"),0,'BOULEVARD 5'!AP27-'BOULEVARD PPTO'!AH22)</f>
        <v>0</v>
      </c>
      <c r="AN29" s="760">
        <f>IF(OR($A29="F&amp;F",$A29="CE",AN$7="No aplica"),0,'BOULEVARD 5'!AQ27-'BOULEVARD PPTO'!AI22)</f>
        <v>0</v>
      </c>
      <c r="AO29" s="760">
        <f>IF(OR($A29="F&amp;F",$A29="CE",AO$7="No aplica"),0,'BOULEVARD 5'!AS27-'BOULEVARD PPTO'!AJ22)</f>
        <v>0</v>
      </c>
      <c r="AP29" s="761">
        <f t="shared" si="7"/>
        <v>0</v>
      </c>
      <c r="AQ29" s="761">
        <f t="shared" si="8"/>
        <v>0</v>
      </c>
      <c r="AR29" s="674">
        <f>IF(A29=0,'BOULEVARD 5'!BF27,0)</f>
        <v>0</v>
      </c>
      <c r="AS29" s="674">
        <f>IF(A29=0,'BOULEVARD 5'!BG27,0)</f>
        <v>0</v>
      </c>
      <c r="AT29" s="675" t="str">
        <f t="shared" si="4"/>
        <v>No Vendido</v>
      </c>
      <c r="AU29" s="581" t="str">
        <f t="shared" si="5"/>
        <v/>
      </c>
      <c r="AV29" s="760">
        <f t="shared" si="10"/>
        <v>0</v>
      </c>
    </row>
    <row r="30" spans="1:48" s="581" customFormat="1" ht="12.4" customHeight="1" outlineLevel="1" x14ac:dyDescent="0.25">
      <c r="A30" s="703">
        <f>'BOULEVARD 5'!BQ28</f>
        <v>0</v>
      </c>
      <c r="B30" s="564">
        <v>208</v>
      </c>
      <c r="C30" s="564" t="s">
        <v>399</v>
      </c>
      <c r="D30" s="564"/>
      <c r="E30" s="564" t="str">
        <f>IF('BOULEVARD 5'!E28&lt;&gt;0,'BOULEVARD 5'!E28,"")</f>
        <v/>
      </c>
      <c r="F30" s="581" t="str">
        <f>IF('BOULEVARD 5'!F28&lt;&gt;0,'BOULEVARD 5'!F28,"")</f>
        <v/>
      </c>
      <c r="G30" s="566" t="str">
        <f>IF('BOULEVARD 5'!G28="","",'BOULEVARD 5'!G28)</f>
        <v/>
      </c>
      <c r="H30" s="756">
        <f>IF(OR($A30="F&amp;F",$A30="CE",H$7="No aplica"),0,'BOULEVARD 5'!K28-'BOULEVARD PPTO'!C23)</f>
        <v>0</v>
      </c>
      <c r="I30" s="756">
        <f>IF(OR($A30="F&amp;F",$A30="CE",I$7="No aplica"),0,'BOULEVARD 5'!L28-'BOULEVARD PPTO'!D23)</f>
        <v>0</v>
      </c>
      <c r="J30" s="756">
        <f>IF(OR($A30="F&amp;F",$A30="CE",J$7="No aplica"),0,'BOULEVARD 5'!M28-'BOULEVARD PPTO'!E23)</f>
        <v>0</v>
      </c>
      <c r="K30" s="756">
        <f>IF(OR($A30="F&amp;F",$A30="CE",K$7="No aplica"),0,'BOULEVARD 5'!N28-'BOULEVARD PPTO'!F23)</f>
        <v>0</v>
      </c>
      <c r="L30" s="756">
        <f>IF(OR($A30="F&amp;F",$A30="CE",L$7="No aplica"),0,'BOULEVARD 5'!O28-'BOULEVARD PPTO'!G23)</f>
        <v>0</v>
      </c>
      <c r="M30" s="756">
        <f>IF(OR($A30="F&amp;F",$A30="CE",M$7="No aplica"),0,'BOULEVARD 5'!P28-'BOULEVARD PPTO'!H23)</f>
        <v>0</v>
      </c>
      <c r="N30" s="756">
        <f>IF(OR($A30="F&amp;F",$A30="CE",N$7="No aplica"),0,'BOULEVARD 5'!Q28-'BOULEVARD PPTO'!I23)</f>
        <v>0</v>
      </c>
      <c r="O30" s="756">
        <f>IF(OR($A30="F&amp;F",$A30="CE",O$7="No aplica"),0,'BOULEVARD 5'!R28-'BOULEVARD PPTO'!J23)</f>
        <v>0</v>
      </c>
      <c r="P30" s="756">
        <f>IF(OR($A30="F&amp;F",$A30="CE",P$7="No aplica"),0,'BOULEVARD 5'!S28-'BOULEVARD PPTO'!K23)</f>
        <v>0</v>
      </c>
      <c r="Q30" s="760">
        <f>IF(OR($A30="F&amp;F",$A30="CE",Q$7="No aplica"),0,'BOULEVARD 5'!T28-'BOULEVARD PPTO'!L23)</f>
        <v>0</v>
      </c>
      <c r="R30" s="760">
        <f>IF(OR($A30="F&amp;F",$A30="CE",R$7="No aplica"),0,'BOULEVARD 5'!U28-'BOULEVARD PPTO'!M23)</f>
        <v>0</v>
      </c>
      <c r="S30" s="760">
        <f>IF(OR($A30="F&amp;F",$A30="CE",S$7="No aplica"),0,'BOULEVARD 5'!V28-'BOULEVARD PPTO'!N23)</f>
        <v>0</v>
      </c>
      <c r="T30" s="760">
        <f>IF(OR($A30="F&amp;F",$A30="CE",T$7="No aplica"),0,'BOULEVARD 5'!W28-'BOULEVARD PPTO'!O23)</f>
        <v>0</v>
      </c>
      <c r="U30" s="760">
        <f>IF(OR($A30="F&amp;F",$A30="CE",U$7="No aplica"),0,'BOULEVARD 5'!X28-'BOULEVARD PPTO'!P23)</f>
        <v>0</v>
      </c>
      <c r="V30" s="760">
        <f>IF(OR($A30="F&amp;F",$A30="CE",V$7="No aplica"),0,'BOULEVARD 5'!Y28-'BOULEVARD PPTO'!Q23)</f>
        <v>0</v>
      </c>
      <c r="W30" s="760">
        <f>IF(OR($A30="F&amp;F",$A30="CE",W$7="No aplica"),0,'BOULEVARD 5'!Z28-'BOULEVARD PPTO'!R23)</f>
        <v>0</v>
      </c>
      <c r="X30" s="760">
        <f>IF(OR($A30="F&amp;F",$A30="CE",X$7="No aplica"),0,'BOULEVARD 5'!AA28-'BOULEVARD PPTO'!S23)</f>
        <v>0</v>
      </c>
      <c r="Y30" s="760">
        <f>IF(OR($A30="F&amp;F",$A30="CE",Y$7="No aplica"),0,'BOULEVARD 5'!AB28-'BOULEVARD PPTO'!T23)</f>
        <v>0</v>
      </c>
      <c r="Z30" s="760">
        <f>IF(OR($A30="F&amp;F",$A30="CE",Z$7="No aplica"),0,'BOULEVARD 5'!AC28-'BOULEVARD PPTO'!U23)</f>
        <v>0</v>
      </c>
      <c r="AA30" s="760">
        <f>IF(OR($A30="F&amp;F",$A30="CE",AA$7="No aplica"),0,'BOULEVARD 5'!AD28-'BOULEVARD PPTO'!V23)</f>
        <v>0</v>
      </c>
      <c r="AB30" s="760">
        <f>IF(OR($A30="F&amp;F",$A30="CE",AB$7="No aplica"),0,'BOULEVARD 5'!AE28-'BOULEVARD PPTO'!W23)</f>
        <v>0</v>
      </c>
      <c r="AC30" s="760">
        <f>IF(OR($A30="F&amp;F",$A30="CE",AC$7="No aplica"),0,'BOULEVARD 5'!AF28-'BOULEVARD PPTO'!X23)</f>
        <v>0</v>
      </c>
      <c r="AD30" s="760">
        <f>IF(OR($A30="F&amp;F",$A30="CE",AD$7="No aplica"),0,'BOULEVARD 5'!AG28-'BOULEVARD PPTO'!Y23)</f>
        <v>0</v>
      </c>
      <c r="AE30" s="760">
        <f>IF(OR($A30="F&amp;F",$A30="CE",AE$7="No aplica"),0,'BOULEVARD 5'!AH28-'BOULEVARD PPTO'!Z23)</f>
        <v>0</v>
      </c>
      <c r="AF30" s="760">
        <f>IF(OR($A30="F&amp;F",$A30="CE",AF$7="No aplica"),0,'BOULEVARD 5'!AI28-'BOULEVARD PPTO'!AA23)</f>
        <v>0</v>
      </c>
      <c r="AG30" s="760">
        <f>IF(OR($A30="F&amp;F",$A30="CE",AG$7="No aplica"),0,'BOULEVARD 5'!AJ28-'BOULEVARD PPTO'!AB23)</f>
        <v>0</v>
      </c>
      <c r="AH30" s="760">
        <f>IF(OR($A30="F&amp;F",$A30="CE",AH$7="No aplica"),0,'BOULEVARD 5'!AK28-'BOULEVARD PPTO'!AC23)</f>
        <v>0</v>
      </c>
      <c r="AI30" s="760">
        <f>IF(OR($A30="F&amp;F",$A30="CE",AI$7="No aplica"),0,'BOULEVARD 5'!AL28-'BOULEVARD PPTO'!AD23)</f>
        <v>0</v>
      </c>
      <c r="AJ30" s="760">
        <f>IF(OR($A30="F&amp;F",$A30="CE",AJ$7="No aplica"),0,'BOULEVARD 5'!AM28-'BOULEVARD PPTO'!AE23)</f>
        <v>0</v>
      </c>
      <c r="AK30" s="760">
        <f>IF(OR($A30="F&amp;F",$A30="CE",AK$7="No aplica"),0,'BOULEVARD 5'!AN28-'BOULEVARD PPTO'!AF23)</f>
        <v>0</v>
      </c>
      <c r="AL30" s="760">
        <f>IF(OR($A30="F&amp;F",$A30="CE",AL$7="No aplica"),0,'BOULEVARD 5'!AO28-'BOULEVARD PPTO'!AG23)</f>
        <v>0</v>
      </c>
      <c r="AM30" s="760">
        <f>IF(OR($A30="F&amp;F",$A30="CE",AM$7="No aplica"),0,'BOULEVARD 5'!AP28-'BOULEVARD PPTO'!AH23)</f>
        <v>0</v>
      </c>
      <c r="AN30" s="760">
        <f>IF(OR($A30="F&amp;F",$A30="CE",AN$7="No aplica"),0,'BOULEVARD 5'!AQ28-'BOULEVARD PPTO'!AI23)</f>
        <v>0</v>
      </c>
      <c r="AO30" s="760">
        <f>IF(OR($A30="F&amp;F",$A30="CE",AO$7="No aplica"),0,'BOULEVARD 5'!AS28-'BOULEVARD PPTO'!AJ23)</f>
        <v>0</v>
      </c>
      <c r="AP30" s="761">
        <f t="shared" si="7"/>
        <v>0</v>
      </c>
      <c r="AQ30" s="761">
        <f t="shared" si="8"/>
        <v>0</v>
      </c>
      <c r="AR30" s="674">
        <f>IF(A30=0,'BOULEVARD 5'!BF28,0)</f>
        <v>0</v>
      </c>
      <c r="AS30" s="674">
        <f>IF(A30=0,'BOULEVARD 5'!BG28,0)</f>
        <v>0</v>
      </c>
      <c r="AT30" s="675" t="str">
        <f t="shared" si="4"/>
        <v>No Vendido</v>
      </c>
      <c r="AU30" s="581" t="str">
        <f t="shared" si="5"/>
        <v/>
      </c>
      <c r="AV30" s="760">
        <f t="shared" si="10"/>
        <v>0</v>
      </c>
    </row>
    <row r="31" spans="1:48" s="581" customFormat="1" ht="12.4" customHeight="1" outlineLevel="1" x14ac:dyDescent="0.25">
      <c r="A31" s="703" t="str">
        <f>'BOULEVARD 5'!BQ29</f>
        <v>CE</v>
      </c>
      <c r="B31" s="708">
        <v>209</v>
      </c>
      <c r="C31" s="564" t="s">
        <v>400</v>
      </c>
      <c r="D31" s="707" t="s">
        <v>386</v>
      </c>
      <c r="E31" s="564" t="str">
        <f>IF('BOULEVARD 5'!E29&lt;&gt;0,'BOULEVARD 5'!E29,"")</f>
        <v>Antonio Rada</v>
      </c>
      <c r="F31" s="581" t="str">
        <f>IF('BOULEVARD 5'!F29&lt;&gt;0,'BOULEVARD 5'!F29,"")</f>
        <v>Igor Alejandro Salazar Zamora</v>
      </c>
      <c r="G31" s="566">
        <f>IF('BOULEVARD 5'!G29="","",'BOULEVARD 5'!G29)</f>
        <v>45838</v>
      </c>
      <c r="H31" s="756">
        <f>IF(OR($A31="F&amp;F",$A31="CE",H$7="No aplica"),0,'BOULEVARD 5'!K29-'BOULEVARD PPTO'!C24)</f>
        <v>0</v>
      </c>
      <c r="I31" s="756">
        <f>IF(OR($A31="F&amp;F",$A31="CE",I$7="No aplica"),0,'BOULEVARD 5'!L29-'BOULEVARD PPTO'!D24)</f>
        <v>0</v>
      </c>
      <c r="J31" s="756">
        <f>IF(OR($A31="F&amp;F",$A31="CE",J$7="No aplica"),0,'BOULEVARD 5'!M29-'BOULEVARD PPTO'!E24)</f>
        <v>0</v>
      </c>
      <c r="K31" s="756">
        <f>IF(OR($A31="F&amp;F",$A31="CE",K$7="No aplica"),0,'BOULEVARD 5'!N29-'BOULEVARD PPTO'!F24)</f>
        <v>0</v>
      </c>
      <c r="L31" s="756">
        <f>IF(OR($A31="F&amp;F",$A31="CE",L$7="No aplica"),0,'BOULEVARD 5'!O29-'BOULEVARD PPTO'!G24)</f>
        <v>0</v>
      </c>
      <c r="M31" s="756">
        <f>IF(OR($A31="F&amp;F",$A31="CE",M$7="No aplica"),0,'BOULEVARD 5'!P29-'BOULEVARD PPTO'!H24)</f>
        <v>0</v>
      </c>
      <c r="N31" s="756">
        <f>IF(OR($A31="F&amp;F",$A31="CE",N$7="No aplica"),0,'BOULEVARD 5'!Q29-'BOULEVARD PPTO'!I24)</f>
        <v>0</v>
      </c>
      <c r="O31" s="756">
        <f>IF(OR($A31="F&amp;F",$A31="CE",O$7="No aplica"),0,'BOULEVARD 5'!R29-'BOULEVARD PPTO'!J24)</f>
        <v>0</v>
      </c>
      <c r="P31" s="756">
        <f>IF(OR($A31="F&amp;F",$A31="CE",P$7="No aplica"),0,'BOULEVARD 5'!S29-'BOULEVARD PPTO'!K24)</f>
        <v>0</v>
      </c>
      <c r="Q31" s="760">
        <f>IF(OR($A31="F&amp;F",$A31="CE",Q$7="No aplica"),0,'BOULEVARD 5'!T29-'BOULEVARD PPTO'!L24)</f>
        <v>0</v>
      </c>
      <c r="R31" s="760">
        <f>IF(OR($A31="F&amp;F",$A31="CE",R$7="No aplica"),0,'BOULEVARD 5'!U29-'BOULEVARD PPTO'!M24)</f>
        <v>0</v>
      </c>
      <c r="S31" s="760">
        <f>IF(OR($A31="F&amp;F",$A31="CE",S$7="No aplica"),0,'BOULEVARD 5'!V29-'BOULEVARD PPTO'!N24)</f>
        <v>0</v>
      </c>
      <c r="T31" s="760">
        <f>IF(OR($A31="F&amp;F",$A31="CE",T$7="No aplica"),0,'BOULEVARD 5'!W29-'BOULEVARD PPTO'!O24)</f>
        <v>0</v>
      </c>
      <c r="U31" s="760">
        <f>IF(OR($A31="F&amp;F",$A31="CE",U$7="No aplica"),0,'BOULEVARD 5'!X29-'BOULEVARD PPTO'!P24)</f>
        <v>0</v>
      </c>
      <c r="V31" s="760">
        <f>IF(OR($A31="F&amp;F",$A31="CE",V$7="No aplica"),0,'BOULEVARD 5'!Y29-'BOULEVARD PPTO'!Q24)</f>
        <v>0</v>
      </c>
      <c r="W31" s="760">
        <f>IF(OR($A31="F&amp;F",$A31="CE",W$7="No aplica"),0,'BOULEVARD 5'!Z29-'BOULEVARD PPTO'!R24)</f>
        <v>0</v>
      </c>
      <c r="X31" s="760">
        <f>IF(OR($A31="F&amp;F",$A31="CE",X$7="No aplica"),0,'BOULEVARD 5'!AA29-'BOULEVARD PPTO'!S24)</f>
        <v>0</v>
      </c>
      <c r="Y31" s="760">
        <f>IF(OR($A31="F&amp;F",$A31="CE",Y$7="No aplica"),0,'BOULEVARD 5'!AB29-'BOULEVARD PPTO'!T24)</f>
        <v>0</v>
      </c>
      <c r="Z31" s="760">
        <f>IF(OR($A31="F&amp;F",$A31="CE",Z$7="No aplica"),0,'BOULEVARD 5'!AC29-'BOULEVARD PPTO'!U24)</f>
        <v>0</v>
      </c>
      <c r="AA31" s="760">
        <f>IF(OR($A31="F&amp;F",$A31="CE",AA$7="No aplica"),0,'BOULEVARD 5'!AD29-'BOULEVARD PPTO'!V24)</f>
        <v>0</v>
      </c>
      <c r="AB31" s="760">
        <f>IF(OR($A31="F&amp;F",$A31="CE",AB$7="No aplica"),0,'BOULEVARD 5'!AE29-'BOULEVARD PPTO'!W24)</f>
        <v>0</v>
      </c>
      <c r="AC31" s="760">
        <f>IF(OR($A31="F&amp;F",$A31="CE",AC$7="No aplica"),0,'BOULEVARD 5'!AF29-'BOULEVARD PPTO'!X24)</f>
        <v>0</v>
      </c>
      <c r="AD31" s="760">
        <f>IF(OR($A31="F&amp;F",$A31="CE",AD$7="No aplica"),0,'BOULEVARD 5'!AG29-'BOULEVARD PPTO'!Y24)</f>
        <v>0</v>
      </c>
      <c r="AE31" s="760">
        <f>IF(OR($A31="F&amp;F",$A31="CE",AE$7="No aplica"),0,'BOULEVARD 5'!AH29-'BOULEVARD PPTO'!Z24)</f>
        <v>0</v>
      </c>
      <c r="AF31" s="760">
        <f>IF(OR($A31="F&amp;F",$A31="CE",AF$7="No aplica"),0,'BOULEVARD 5'!AI29-'BOULEVARD PPTO'!AA24)</f>
        <v>0</v>
      </c>
      <c r="AG31" s="760">
        <f>IF(OR($A31="F&amp;F",$A31="CE",AG$7="No aplica"),0,'BOULEVARD 5'!AJ29-'BOULEVARD PPTO'!AB24)</f>
        <v>0</v>
      </c>
      <c r="AH31" s="760">
        <f>IF(OR($A31="F&amp;F",$A31="CE",AH$7="No aplica"),0,'BOULEVARD 5'!AK29-'BOULEVARD PPTO'!AC24)</f>
        <v>0</v>
      </c>
      <c r="AI31" s="760">
        <f>IF(OR($A31="F&amp;F",$A31="CE",AI$7="No aplica"),0,'BOULEVARD 5'!AL29-'BOULEVARD PPTO'!AD24)</f>
        <v>0</v>
      </c>
      <c r="AJ31" s="760">
        <f>IF(OR($A31="F&amp;F",$A31="CE",AJ$7="No aplica"),0,'BOULEVARD 5'!AM29-'BOULEVARD PPTO'!AE24)</f>
        <v>0</v>
      </c>
      <c r="AK31" s="760">
        <f>IF(OR($A31="F&amp;F",$A31="CE",AK$7="No aplica"),0,'BOULEVARD 5'!AN29-'BOULEVARD PPTO'!AF24)</f>
        <v>0</v>
      </c>
      <c r="AL31" s="760">
        <f>IF(OR($A31="F&amp;F",$A31="CE",AL$7="No aplica"),0,'BOULEVARD 5'!AO29-'BOULEVARD PPTO'!AG24)</f>
        <v>0</v>
      </c>
      <c r="AM31" s="760">
        <f>IF(OR($A31="F&amp;F",$A31="CE",AM$7="No aplica"),0,'BOULEVARD 5'!AP29-'BOULEVARD PPTO'!AH24)</f>
        <v>0</v>
      </c>
      <c r="AN31" s="760">
        <f>IF(OR($A31="F&amp;F",$A31="CE",AN$7="No aplica"),0,'BOULEVARD 5'!AQ29-'BOULEVARD PPTO'!AI24)</f>
        <v>0</v>
      </c>
      <c r="AO31" s="760">
        <f>IF(OR($A31="F&amp;F",$A31="CE",AO$7="No aplica"),0,'BOULEVARD 5'!AS29-'BOULEVARD PPTO'!AJ24)</f>
        <v>0</v>
      </c>
      <c r="AP31" s="761">
        <f t="shared" si="7"/>
        <v>0</v>
      </c>
      <c r="AQ31" s="761">
        <f t="shared" si="8"/>
        <v>0</v>
      </c>
      <c r="AR31" s="674">
        <f>IF(A31=0,'BOULEVARD 5'!BF29,0)</f>
        <v>0</v>
      </c>
      <c r="AS31" s="674">
        <f>IF(A31=0,'BOULEVARD 5'!BG29,0)</f>
        <v>0</v>
      </c>
      <c r="AT31" s="675" t="str">
        <f t="shared" si="4"/>
        <v>Vendido</v>
      </c>
      <c r="AU31" s="581" t="str">
        <f t="shared" si="5"/>
        <v/>
      </c>
      <c r="AV31" s="760">
        <f t="shared" si="10"/>
        <v>0</v>
      </c>
    </row>
    <row r="32" spans="1:48" s="581" customFormat="1" ht="12.4" customHeight="1" outlineLevel="1" x14ac:dyDescent="0.25">
      <c r="A32" s="703">
        <f>'BOULEVARD 5'!BQ30</f>
        <v>0</v>
      </c>
      <c r="B32" s="564">
        <v>210</v>
      </c>
      <c r="C32" s="564" t="s">
        <v>175</v>
      </c>
      <c r="D32" s="564"/>
      <c r="E32" s="564" t="str">
        <f>IF('BOULEVARD 5'!E30&lt;&gt;0,'BOULEVARD 5'!E30,"")</f>
        <v>Laura Molina</v>
      </c>
      <c r="F32" s="581" t="str">
        <f>IF('BOULEVARD 5'!F30&lt;&gt;0,'BOULEVARD 5'!F30,"")</f>
        <v>Carlos Alejandro de León Samayoa</v>
      </c>
      <c r="G32" s="566">
        <f>IF('BOULEVARD 5'!G30="","",'BOULEVARD 5'!G30)</f>
        <v>45859</v>
      </c>
      <c r="H32" s="756">
        <f>IF(OR($A32="F&amp;F",$A32="CE",H$7="No aplica"),0,'BOULEVARD 5'!K30-'BOULEVARD PPTO'!C25)</f>
        <v>0</v>
      </c>
      <c r="I32" s="756">
        <f>IF(OR($A32="F&amp;F",$A32="CE",I$7="No aplica"),0,'BOULEVARD 5'!L30-'BOULEVARD PPTO'!D25)</f>
        <v>0</v>
      </c>
      <c r="J32" s="756">
        <f>IF(OR($A32="F&amp;F",$A32="CE",J$7="No aplica"),0,'BOULEVARD 5'!M30-'BOULEVARD PPTO'!E25)</f>
        <v>0</v>
      </c>
      <c r="K32" s="756">
        <f>IF(OR($A32="F&amp;F",$A32="CE",K$7="No aplica"),0,'BOULEVARD 5'!N30-'BOULEVARD PPTO'!F25)</f>
        <v>0</v>
      </c>
      <c r="L32" s="756">
        <f>IF(OR($A32="F&amp;F",$A32="CE",L$7="No aplica"),0,'BOULEVARD 5'!O30-'BOULEVARD PPTO'!G25)</f>
        <v>0</v>
      </c>
      <c r="M32" s="756">
        <f>IF(OR($A32="F&amp;F",$A32="CE",M$7="No aplica"),0,'BOULEVARD 5'!P30-'BOULEVARD PPTO'!H25)</f>
        <v>0</v>
      </c>
      <c r="N32" s="756">
        <f>IF(OR($A32="F&amp;F",$A32="CE",N$7="No aplica"),0,'BOULEVARD 5'!Q30-'BOULEVARD PPTO'!I25)</f>
        <v>0</v>
      </c>
      <c r="O32" s="756">
        <f>IF(OR($A32="F&amp;F",$A32="CE",O$7="No aplica"),0,'BOULEVARD 5'!R30-'BOULEVARD PPTO'!J25)</f>
        <v>0</v>
      </c>
      <c r="P32" s="756">
        <f>IF(OR($A32="F&amp;F",$A32="CE",P$7="No aplica"),0,'BOULEVARD 5'!S30-'BOULEVARD PPTO'!K25)</f>
        <v>0</v>
      </c>
      <c r="Q32" s="760">
        <f>IF(OR($A32="F&amp;F",$A32="CE",Q$7="No aplica"),0,'BOULEVARD 5'!T30-'BOULEVARD PPTO'!L25)</f>
        <v>0</v>
      </c>
      <c r="R32" s="760">
        <f>IF(OR($A32="F&amp;F",$A32="CE",R$7="No aplica"),0,'BOULEVARD 5'!U30-'BOULEVARD PPTO'!M25)</f>
        <v>0</v>
      </c>
      <c r="S32" s="760">
        <f>IF(OR($A32="F&amp;F",$A32="CE",S$7="No aplica"),0,'BOULEVARD 5'!V30-'BOULEVARD PPTO'!N25)</f>
        <v>0</v>
      </c>
      <c r="T32" s="760">
        <f>IF(OR($A32="F&amp;F",$A32="CE",T$7="No aplica"),0,'BOULEVARD 5'!W30-'BOULEVARD PPTO'!O25)</f>
        <v>0</v>
      </c>
      <c r="U32" s="760">
        <f>IF(OR($A32="F&amp;F",$A32="CE",U$7="No aplica"),0,'BOULEVARD 5'!X30-'BOULEVARD PPTO'!P25)</f>
        <v>0</v>
      </c>
      <c r="V32" s="760">
        <f>IF(OR($A32="F&amp;F",$A32="CE",V$7="No aplica"),0,'BOULEVARD 5'!Y30-'BOULEVARD PPTO'!Q25)</f>
        <v>0</v>
      </c>
      <c r="W32" s="760">
        <f>IF(OR($A32="F&amp;F",$A32="CE",W$7="No aplica"),0,'BOULEVARD 5'!Z30-'BOULEVARD PPTO'!R25)</f>
        <v>0</v>
      </c>
      <c r="X32" s="760">
        <f>IF(OR($A32="F&amp;F",$A32="CE",X$7="No aplica"),0,'BOULEVARD 5'!AA30-'BOULEVARD PPTO'!S25)</f>
        <v>0</v>
      </c>
      <c r="Y32" s="760">
        <f>IF(OR($A32="F&amp;F",$A32="CE",Y$7="No aplica"),0,'BOULEVARD 5'!AB30-'BOULEVARD PPTO'!T25)</f>
        <v>0</v>
      </c>
      <c r="Z32" s="760">
        <f>IF(OR($A32="F&amp;F",$A32="CE",Z$7="No aplica"),0,'BOULEVARD 5'!AC30-'BOULEVARD PPTO'!U25)</f>
        <v>0</v>
      </c>
      <c r="AA32" s="760">
        <f>IF(OR($A32="F&amp;F",$A32="CE",AA$7="No aplica"),0,'BOULEVARD 5'!AD30-'BOULEVARD PPTO'!V25)</f>
        <v>0</v>
      </c>
      <c r="AB32" s="760">
        <f>IF(OR($A32="F&amp;F",$A32="CE",AB$7="No aplica"),0,'BOULEVARD 5'!AE30-'BOULEVARD PPTO'!W25)</f>
        <v>0</v>
      </c>
      <c r="AC32" s="760">
        <f>IF(OR($A32="F&amp;F",$A32="CE",AC$7="No aplica"),0,'BOULEVARD 5'!AF30-'BOULEVARD PPTO'!X25)</f>
        <v>0</v>
      </c>
      <c r="AD32" s="760">
        <f>IF(OR($A32="F&amp;F",$A32="CE",AD$7="No aplica"),0,'BOULEVARD 5'!AG30-'BOULEVARD PPTO'!Y25)</f>
        <v>0</v>
      </c>
      <c r="AE32" s="760">
        <f>IF(OR($A32="F&amp;F",$A32="CE",AE$7="No aplica"),0,'BOULEVARD 5'!AH30-'BOULEVARD PPTO'!Z25)</f>
        <v>0</v>
      </c>
      <c r="AF32" s="760">
        <f>IF(OR($A32="F&amp;F",$A32="CE",AF$7="No aplica"),0,'BOULEVARD 5'!AI30-'BOULEVARD PPTO'!AA25)</f>
        <v>0</v>
      </c>
      <c r="AG32" s="760">
        <f>IF(OR($A32="F&amp;F",$A32="CE",AG$7="No aplica"),0,'BOULEVARD 5'!AJ30-'BOULEVARD PPTO'!AB25)</f>
        <v>0</v>
      </c>
      <c r="AH32" s="760">
        <f>IF(OR($A32="F&amp;F",$A32="CE",AH$7="No aplica"),0,'BOULEVARD 5'!AK30-'BOULEVARD PPTO'!AC25)</f>
        <v>0</v>
      </c>
      <c r="AI32" s="760">
        <f>IF(OR($A32="F&amp;F",$A32="CE",AI$7="No aplica"),0,'BOULEVARD 5'!AL30-'BOULEVARD PPTO'!AD25)</f>
        <v>0</v>
      </c>
      <c r="AJ32" s="760">
        <f>IF(OR($A32="F&amp;F",$A32="CE",AJ$7="No aplica"),0,'BOULEVARD 5'!AM30-'BOULEVARD PPTO'!AE25)</f>
        <v>0</v>
      </c>
      <c r="AK32" s="760">
        <f>IF(OR($A32="F&amp;F",$A32="CE",AK$7="No aplica"),0,'BOULEVARD 5'!AN30-'BOULEVARD PPTO'!AF25)</f>
        <v>0</v>
      </c>
      <c r="AL32" s="760">
        <f>IF(OR($A32="F&amp;F",$A32="CE",AL$7="No aplica"),0,'BOULEVARD 5'!AO30-'BOULEVARD PPTO'!AG25)</f>
        <v>0</v>
      </c>
      <c r="AM32" s="760">
        <f>IF(OR($A32="F&amp;F",$A32="CE",AM$7="No aplica"),0,'BOULEVARD 5'!AP30-'BOULEVARD PPTO'!AH25)</f>
        <v>0</v>
      </c>
      <c r="AN32" s="760">
        <f>IF(OR($A32="F&amp;F",$A32="CE",AN$7="No aplica"),0,'BOULEVARD 5'!AQ30-'BOULEVARD PPTO'!AI25)</f>
        <v>0</v>
      </c>
      <c r="AO32" s="760">
        <f>IF(OR($A32="F&amp;F",$A32="CE",AO$7="No aplica"),0,'BOULEVARD 5'!AS30-'BOULEVARD PPTO'!AJ25)</f>
        <v>0</v>
      </c>
      <c r="AP32" s="761">
        <f t="shared" si="7"/>
        <v>0</v>
      </c>
      <c r="AQ32" s="761">
        <f t="shared" si="8"/>
        <v>-43658.300000000017</v>
      </c>
      <c r="AR32" s="674">
        <f>IF(A32=0,'BOULEVARD 5'!BF30,0)</f>
        <v>15000</v>
      </c>
      <c r="AS32" s="674">
        <f>IF(A32=0,'BOULEVARD 5'!BG30,0)</f>
        <v>8731.66</v>
      </c>
      <c r="AT32" s="675" t="str">
        <f t="shared" si="4"/>
        <v>Vendido</v>
      </c>
      <c r="AU32" s="581" t="str">
        <f t="shared" si="5"/>
        <v/>
      </c>
      <c r="AV32" s="760">
        <f t="shared" si="10"/>
        <v>0</v>
      </c>
    </row>
    <row r="33" spans="1:49" s="581" customFormat="1" ht="12.4" customHeight="1" outlineLevel="1" x14ac:dyDescent="0.25">
      <c r="A33" s="703">
        <f>'BOULEVARD 5'!BQ31</f>
        <v>0</v>
      </c>
      <c r="B33" s="564">
        <v>211</v>
      </c>
      <c r="C33" s="564" t="s">
        <v>125</v>
      </c>
      <c r="D33" s="564"/>
      <c r="E33" s="564" t="str">
        <f>IF('BOULEVARD 5'!E31&lt;&gt;0,'BOULEVARD 5'!E31,"")</f>
        <v/>
      </c>
      <c r="F33" s="581" t="str">
        <f>IF('BOULEVARD 5'!F31&lt;&gt;0,'BOULEVARD 5'!F31,"")</f>
        <v/>
      </c>
      <c r="G33" s="566" t="str">
        <f>IF('BOULEVARD 5'!G31="","",'BOULEVARD 5'!G31)</f>
        <v/>
      </c>
      <c r="H33" s="756">
        <f>IF(OR($A33="F&amp;F",$A33="CE",H$7="No aplica"),0,'BOULEVARD 5'!K31-'BOULEVARD PPTO'!C26)</f>
        <v>0</v>
      </c>
      <c r="I33" s="756">
        <f>IF(OR($A33="F&amp;F",$A33="CE",I$7="No aplica"),0,'BOULEVARD 5'!L31-'BOULEVARD PPTO'!D26)</f>
        <v>0</v>
      </c>
      <c r="J33" s="756">
        <f>IF(OR($A33="F&amp;F",$A33="CE",J$7="No aplica"),0,'BOULEVARD 5'!M31-'BOULEVARD PPTO'!E26)</f>
        <v>0</v>
      </c>
      <c r="K33" s="756">
        <f>IF(OR($A33="F&amp;F",$A33="CE",K$7="No aplica"),0,'BOULEVARD 5'!N31-'BOULEVARD PPTO'!F26)</f>
        <v>0</v>
      </c>
      <c r="L33" s="756">
        <f>IF(OR($A33="F&amp;F",$A33="CE",L$7="No aplica"),0,'BOULEVARD 5'!O31-'BOULEVARD PPTO'!G26)</f>
        <v>0</v>
      </c>
      <c r="M33" s="756">
        <f>IF(OR($A33="F&amp;F",$A33="CE",M$7="No aplica"),0,'BOULEVARD 5'!P31-'BOULEVARD PPTO'!H26)</f>
        <v>0</v>
      </c>
      <c r="N33" s="756">
        <f>IF(OR($A33="F&amp;F",$A33="CE",N$7="No aplica"),0,'BOULEVARD 5'!Q31-'BOULEVARD PPTO'!I26)</f>
        <v>0</v>
      </c>
      <c r="O33" s="756">
        <f>IF(OR($A33="F&amp;F",$A33="CE",O$7="No aplica"),0,'BOULEVARD 5'!R31-'BOULEVARD PPTO'!J26)</f>
        <v>0</v>
      </c>
      <c r="P33" s="756">
        <f>IF(OR($A33="F&amp;F",$A33="CE",P$7="No aplica"),0,'BOULEVARD 5'!S31-'BOULEVARD PPTO'!K26)</f>
        <v>0</v>
      </c>
      <c r="Q33" s="760">
        <f>IF(OR($A33="F&amp;F",$A33="CE",Q$7="No aplica"),0,'BOULEVARD 5'!T31-'BOULEVARD PPTO'!L26)</f>
        <v>0</v>
      </c>
      <c r="R33" s="760">
        <f>IF(OR($A33="F&amp;F",$A33="CE",R$7="No aplica"),0,'BOULEVARD 5'!U31-'BOULEVARD PPTO'!M26)</f>
        <v>0</v>
      </c>
      <c r="S33" s="760">
        <f>IF(OR($A33="F&amp;F",$A33="CE",S$7="No aplica"),0,'BOULEVARD 5'!V31-'BOULEVARD PPTO'!N26)</f>
        <v>0</v>
      </c>
      <c r="T33" s="760">
        <f>IF(OR($A33="F&amp;F",$A33="CE",T$7="No aplica"),0,'BOULEVARD 5'!W31-'BOULEVARD PPTO'!O26)</f>
        <v>0</v>
      </c>
      <c r="U33" s="760">
        <f>IF(OR($A33="F&amp;F",$A33="CE",U$7="No aplica"),0,'BOULEVARD 5'!X31-'BOULEVARD PPTO'!P26)</f>
        <v>0</v>
      </c>
      <c r="V33" s="760">
        <f>IF(OR($A33="F&amp;F",$A33="CE",V$7="No aplica"),0,'BOULEVARD 5'!Y31-'BOULEVARD PPTO'!Q26)</f>
        <v>0</v>
      </c>
      <c r="W33" s="760">
        <f>IF(OR($A33="F&amp;F",$A33="CE",W$7="No aplica"),0,'BOULEVARD 5'!Z31-'BOULEVARD PPTO'!R26)</f>
        <v>0</v>
      </c>
      <c r="X33" s="760">
        <f>IF(OR($A33="F&amp;F",$A33="CE",X$7="No aplica"),0,'BOULEVARD 5'!AA31-'BOULEVARD PPTO'!S26)</f>
        <v>0</v>
      </c>
      <c r="Y33" s="760">
        <f>IF(OR($A33="F&amp;F",$A33="CE",Y$7="No aplica"),0,'BOULEVARD 5'!AB31-'BOULEVARD PPTO'!T26)</f>
        <v>0</v>
      </c>
      <c r="Z33" s="760">
        <f>IF(OR($A33="F&amp;F",$A33="CE",Z$7="No aplica"),0,'BOULEVARD 5'!AC31-'BOULEVARD PPTO'!U26)</f>
        <v>0</v>
      </c>
      <c r="AA33" s="760">
        <f>IF(OR($A33="F&amp;F",$A33="CE",AA$7="No aplica"),0,'BOULEVARD 5'!AD31-'BOULEVARD PPTO'!V26)</f>
        <v>0</v>
      </c>
      <c r="AB33" s="760">
        <f>IF(OR($A33="F&amp;F",$A33="CE",AB$7="No aplica"),0,'BOULEVARD 5'!AE31-'BOULEVARD PPTO'!W26)</f>
        <v>0</v>
      </c>
      <c r="AC33" s="760">
        <f>IF(OR($A33="F&amp;F",$A33="CE",AC$7="No aplica"),0,'BOULEVARD 5'!AF31-'BOULEVARD PPTO'!X26)</f>
        <v>0</v>
      </c>
      <c r="AD33" s="760">
        <f>IF(OR($A33="F&amp;F",$A33="CE",AD$7="No aplica"),0,'BOULEVARD 5'!AG31-'BOULEVARD PPTO'!Y26)</f>
        <v>0</v>
      </c>
      <c r="AE33" s="760">
        <f>IF(OR($A33="F&amp;F",$A33="CE",AE$7="No aplica"),0,'BOULEVARD 5'!AH31-'BOULEVARD PPTO'!Z26)</f>
        <v>0</v>
      </c>
      <c r="AF33" s="760">
        <f>IF(OR($A33="F&amp;F",$A33="CE",AF$7="No aplica"),0,'BOULEVARD 5'!AI31-'BOULEVARD PPTO'!AA26)</f>
        <v>0</v>
      </c>
      <c r="AG33" s="760">
        <f>IF(OR($A33="F&amp;F",$A33="CE",AG$7="No aplica"),0,'BOULEVARD 5'!AJ31-'BOULEVARD PPTO'!AB26)</f>
        <v>0</v>
      </c>
      <c r="AH33" s="760">
        <f>IF(OR($A33="F&amp;F",$A33="CE",AH$7="No aplica"),0,'BOULEVARD 5'!AK31-'BOULEVARD PPTO'!AC26)</f>
        <v>0</v>
      </c>
      <c r="AI33" s="760">
        <f>IF(OR($A33="F&amp;F",$A33="CE",AI$7="No aplica"),0,'BOULEVARD 5'!AL31-'BOULEVARD PPTO'!AD26)</f>
        <v>0</v>
      </c>
      <c r="AJ33" s="760">
        <f>IF(OR($A33="F&amp;F",$A33="CE",AJ$7="No aplica"),0,'BOULEVARD 5'!AM31-'BOULEVARD PPTO'!AE26)</f>
        <v>0</v>
      </c>
      <c r="AK33" s="760">
        <f>IF(OR($A33="F&amp;F",$A33="CE",AK$7="No aplica"),0,'BOULEVARD 5'!AN31-'BOULEVARD PPTO'!AF26)</f>
        <v>0</v>
      </c>
      <c r="AL33" s="760">
        <f>IF(OR($A33="F&amp;F",$A33="CE",AL$7="No aplica"),0,'BOULEVARD 5'!AO31-'BOULEVARD PPTO'!AG26)</f>
        <v>0</v>
      </c>
      <c r="AM33" s="760">
        <f>IF(OR($A33="F&amp;F",$A33="CE",AM$7="No aplica"),0,'BOULEVARD 5'!AP31-'BOULEVARD PPTO'!AH26)</f>
        <v>0</v>
      </c>
      <c r="AN33" s="760">
        <f>IF(OR($A33="F&amp;F",$A33="CE",AN$7="No aplica"),0,'BOULEVARD 5'!AQ31-'BOULEVARD PPTO'!AI26)</f>
        <v>0</v>
      </c>
      <c r="AO33" s="760">
        <f>IF(OR($A33="F&amp;F",$A33="CE",AO$7="No aplica"),0,'BOULEVARD 5'!AS31-'BOULEVARD PPTO'!AJ26)</f>
        <v>0</v>
      </c>
      <c r="AP33" s="761">
        <f t="shared" si="7"/>
        <v>0</v>
      </c>
      <c r="AQ33" s="761">
        <f t="shared" si="8"/>
        <v>0</v>
      </c>
      <c r="AR33" s="674">
        <f>IF(A33=0,'BOULEVARD 5'!BF31,0)</f>
        <v>0</v>
      </c>
      <c r="AS33" s="674">
        <f>IF(A33=0,'BOULEVARD 5'!BG31,0)</f>
        <v>0</v>
      </c>
      <c r="AT33" s="675" t="str">
        <f t="shared" si="4"/>
        <v>No Vendido</v>
      </c>
      <c r="AU33" s="581" t="str">
        <f t="shared" si="5"/>
        <v/>
      </c>
      <c r="AV33" s="760">
        <f t="shared" si="10"/>
        <v>0</v>
      </c>
    </row>
    <row r="34" spans="1:49" s="581" customFormat="1" ht="12.4" customHeight="1" outlineLevel="1" x14ac:dyDescent="0.25">
      <c r="A34" s="703">
        <f>'BOULEVARD 5'!BQ32</f>
        <v>0</v>
      </c>
      <c r="B34" s="564">
        <v>212</v>
      </c>
      <c r="C34" s="564" t="s">
        <v>178</v>
      </c>
      <c r="D34" s="564"/>
      <c r="E34" s="564" t="str">
        <f>IF('BOULEVARD 5'!E32&lt;&gt;0,'BOULEVARD 5'!E32,"")</f>
        <v>Antonio Rada</v>
      </c>
      <c r="F34" s="581" t="str">
        <f>IF('BOULEVARD 5'!F32&lt;&gt;0,'BOULEVARD 5'!F32,"")</f>
        <v>Julio Eduardo Farnes Bucaro</v>
      </c>
      <c r="G34" s="566">
        <f>IF('BOULEVARD 5'!G32="","",'BOULEVARD 5'!G32)</f>
        <v>45244</v>
      </c>
      <c r="H34" s="756">
        <f>IF(OR($A34="F&amp;F",$A34="CE",H$7="No aplica"),0,'BOULEVARD 5'!K32-'BOULEVARD PPTO'!C27)</f>
        <v>0</v>
      </c>
      <c r="I34" s="756">
        <f>IF(OR($A34="F&amp;F",$A34="CE",I$7="No aplica"),0,'BOULEVARD 5'!L32-'BOULEVARD PPTO'!D27)</f>
        <v>0</v>
      </c>
      <c r="J34" s="756">
        <f>IF(OR($A34="F&amp;F",$A34="CE",J$7="No aplica"),0,'BOULEVARD 5'!M32-'BOULEVARD PPTO'!E27)</f>
        <v>0</v>
      </c>
      <c r="K34" s="756">
        <f>IF(OR($A34="F&amp;F",$A34="CE",K$7="No aplica"),0,'BOULEVARD 5'!N32-'BOULEVARD PPTO'!F27)</f>
        <v>0</v>
      </c>
      <c r="L34" s="756">
        <f>IF(OR($A34="F&amp;F",$A34="CE",L$7="No aplica"),0,'BOULEVARD 5'!O32-'BOULEVARD PPTO'!G27)</f>
        <v>0</v>
      </c>
      <c r="M34" s="756">
        <f>IF(OR($A34="F&amp;F",$A34="CE",M$7="No aplica"),0,'BOULEVARD 5'!P32-'BOULEVARD PPTO'!H27)</f>
        <v>0</v>
      </c>
      <c r="N34" s="756">
        <f>IF(OR($A34="F&amp;F",$A34="CE",N$7="No aplica"),0,'BOULEVARD 5'!Q32-'BOULEVARD PPTO'!I27)</f>
        <v>0</v>
      </c>
      <c r="O34" s="756">
        <f>IF(OR($A34="F&amp;F",$A34="CE",O$7="No aplica"),0,'BOULEVARD 5'!R32-'BOULEVARD PPTO'!J27)</f>
        <v>0</v>
      </c>
      <c r="P34" s="756">
        <f>IF(OR($A34="F&amp;F",$A34="CE",P$7="No aplica"),0,'BOULEVARD 5'!S32-'BOULEVARD PPTO'!K27)</f>
        <v>0</v>
      </c>
      <c r="Q34" s="760">
        <f>IF(OR($A34="F&amp;F",$A34="CE",Q$7="No aplica"),0,'BOULEVARD 5'!T32-'BOULEVARD PPTO'!L27)</f>
        <v>0</v>
      </c>
      <c r="R34" s="760">
        <f>IF(OR($A34="F&amp;F",$A34="CE",R$7="No aplica"),0,'BOULEVARD 5'!U32-'BOULEVARD PPTO'!M27)</f>
        <v>0</v>
      </c>
      <c r="S34" s="760">
        <f>IF(OR($A34="F&amp;F",$A34="CE",S$7="No aplica"),0,'BOULEVARD 5'!V32-'BOULEVARD PPTO'!N27)</f>
        <v>0</v>
      </c>
      <c r="T34" s="760">
        <f>IF(OR($A34="F&amp;F",$A34="CE",T$7="No aplica"),0,'BOULEVARD 5'!W32-'BOULEVARD PPTO'!O27)</f>
        <v>0</v>
      </c>
      <c r="U34" s="760">
        <f>IF(OR($A34="F&amp;F",$A34="CE",U$7="No aplica"),0,'BOULEVARD 5'!X32-'BOULEVARD PPTO'!P27)</f>
        <v>0</v>
      </c>
      <c r="V34" s="760">
        <f>IF(OR($A34="F&amp;F",$A34="CE",V$7="No aplica"),0,'BOULEVARD 5'!Y32-'BOULEVARD PPTO'!Q27)</f>
        <v>0</v>
      </c>
      <c r="W34" s="760">
        <f>IF(OR($A34="F&amp;F",$A34="CE",W$7="No aplica"),0,'BOULEVARD 5'!Z32-'BOULEVARD PPTO'!R27)</f>
        <v>0</v>
      </c>
      <c r="X34" s="760">
        <f>IF(OR($A34="F&amp;F",$A34="CE",X$7="No aplica"),0,'BOULEVARD 5'!AA32-'BOULEVARD PPTO'!S27)</f>
        <v>0</v>
      </c>
      <c r="Y34" s="760">
        <f>IF(OR($A34="F&amp;F",$A34="CE",Y$7="No aplica"),0,'BOULEVARD 5'!AB32-'BOULEVARD PPTO'!T27)</f>
        <v>0</v>
      </c>
      <c r="Z34" s="760">
        <f>IF(OR($A34="F&amp;F",$A34="CE",Z$7="No aplica"),0,'BOULEVARD 5'!AC32-'BOULEVARD PPTO'!U27)</f>
        <v>0</v>
      </c>
      <c r="AA34" s="760">
        <f>IF(OR($A34="F&amp;F",$A34="CE",AA$7="No aplica"),0,'BOULEVARD 5'!AD32-'BOULEVARD PPTO'!V27)</f>
        <v>0</v>
      </c>
      <c r="AB34" s="760">
        <f>IF(OR($A34="F&amp;F",$A34="CE",AB$7="No aplica"),0,'BOULEVARD 5'!AE32-'BOULEVARD PPTO'!W27)</f>
        <v>0</v>
      </c>
      <c r="AC34" s="760">
        <f>IF(OR($A34="F&amp;F",$A34="CE",AC$7="No aplica"),0,'BOULEVARD 5'!AF32-'BOULEVARD PPTO'!X27)</f>
        <v>0</v>
      </c>
      <c r="AD34" s="760">
        <f>IF(OR($A34="F&amp;F",$A34="CE",AD$7="No aplica"),0,'BOULEVARD 5'!AG32-'BOULEVARD PPTO'!Y27)</f>
        <v>0</v>
      </c>
      <c r="AE34" s="760">
        <f>IF(OR($A34="F&amp;F",$A34="CE",AE$7="No aplica"),0,'BOULEVARD 5'!AH32-'BOULEVARD PPTO'!Z27)</f>
        <v>0</v>
      </c>
      <c r="AF34" s="760">
        <f>IF(OR($A34="F&amp;F",$A34="CE",AF$7="No aplica"),0,'BOULEVARD 5'!AI32-'BOULEVARD PPTO'!AA27)</f>
        <v>0</v>
      </c>
      <c r="AG34" s="760">
        <f>IF(OR($A34="F&amp;F",$A34="CE",AG$7="No aplica"),0,'BOULEVARD 5'!AJ32-'BOULEVARD PPTO'!AB27)</f>
        <v>0</v>
      </c>
      <c r="AH34" s="760">
        <f>IF(OR($A34="F&amp;F",$A34="CE",AH$7="No aplica"),0,'BOULEVARD 5'!AK32-'BOULEVARD PPTO'!AC27)</f>
        <v>0</v>
      </c>
      <c r="AI34" s="760">
        <f>IF(OR($A34="F&amp;F",$A34="CE",AI$7="No aplica"),0,'BOULEVARD 5'!AL32-'BOULEVARD PPTO'!AD27)</f>
        <v>0</v>
      </c>
      <c r="AJ34" s="760">
        <f>IF(OR($A34="F&amp;F",$A34="CE",AJ$7="No aplica"),0,'BOULEVARD 5'!AM32-'BOULEVARD PPTO'!AE27)</f>
        <v>0</v>
      </c>
      <c r="AK34" s="760">
        <f>IF(OR($A34="F&amp;F",$A34="CE",AK$7="No aplica"),0,'BOULEVARD 5'!AN32-'BOULEVARD PPTO'!AF27)</f>
        <v>0</v>
      </c>
      <c r="AL34" s="760">
        <f>IF(OR($A34="F&amp;F",$A34="CE",AL$7="No aplica"),0,'BOULEVARD 5'!AO32-'BOULEVARD PPTO'!AG27)</f>
        <v>-1.5</v>
      </c>
      <c r="AM34" s="760">
        <f>IF(OR($A34="F&amp;F",$A34="CE",AM$7="No aplica"),0,'BOULEVARD 5'!AP32-'BOULEVARD PPTO'!AH27)</f>
        <v>0</v>
      </c>
      <c r="AN34" s="760">
        <f>IF(OR($A34="F&amp;F",$A34="CE",AN$7="No aplica"),0,'BOULEVARD 5'!AQ32-'BOULEVARD PPTO'!AI27)</f>
        <v>0</v>
      </c>
      <c r="AO34" s="760">
        <f>IF(OR($A34="F&amp;F",$A34="CE",AO$7="No aplica"),0,'BOULEVARD 5'!AS32-'BOULEVARD PPTO'!AJ27)</f>
        <v>0</v>
      </c>
      <c r="AP34" s="761">
        <f t="shared" si="7"/>
        <v>-1.5</v>
      </c>
      <c r="AQ34" s="761">
        <f t="shared" si="8"/>
        <v>-1.5</v>
      </c>
      <c r="AR34" s="674">
        <f>IF(A34=0,'BOULEVARD 5'!BF32,0)</f>
        <v>8000</v>
      </c>
      <c r="AS34" s="674">
        <f>IF(A34=0,'BOULEVARD 5'!BG32,0)</f>
        <v>2888</v>
      </c>
      <c r="AT34" s="675" t="str">
        <f t="shared" si="4"/>
        <v>Vendido</v>
      </c>
      <c r="AU34" s="581" t="str">
        <f>IF(AP34&gt;0,"A FAVOR DEL CLIENTE",IF(AP34&lt;0,"POR COBRAR",IF(AP34=0,"","N/A")))</f>
        <v>POR COBRAR</v>
      </c>
      <c r="AV34" s="760">
        <f t="shared" si="10"/>
        <v>0</v>
      </c>
    </row>
    <row r="35" spans="1:49" s="581" customFormat="1" ht="12.4" customHeight="1" outlineLevel="1" x14ac:dyDescent="0.25">
      <c r="A35" s="703">
        <f>'BOULEVARD 5'!BQ33</f>
        <v>0</v>
      </c>
      <c r="B35" s="564">
        <v>213</v>
      </c>
      <c r="C35" s="564" t="s">
        <v>406</v>
      </c>
      <c r="D35" s="564"/>
      <c r="E35" s="564" t="str">
        <f>IF('BOULEVARD 5'!E33&lt;&gt;0,'BOULEVARD 5'!E33,"")</f>
        <v>Sofia Paredes</v>
      </c>
      <c r="F35" s="581" t="str">
        <f>IF('BOULEVARD 5'!F33&lt;&gt;0,'BOULEVARD 5'!F33,"")</f>
        <v xml:space="preserve">Carlos Humberto Rivera Carrillo </v>
      </c>
      <c r="G35" s="566">
        <f>IF('BOULEVARD 5'!G33="","",'BOULEVARD 5'!G33)</f>
        <v>45695</v>
      </c>
      <c r="H35" s="756">
        <f>IF(OR($A35="F&amp;F",$A35="CE",H$7="No aplica"),0,'BOULEVARD 5'!K33-'BOULEVARD PPTO'!C28)</f>
        <v>0</v>
      </c>
      <c r="I35" s="756">
        <f>IF(OR($A35="F&amp;F",$A35="CE",I$7="No aplica"),0,'BOULEVARD 5'!L33-'BOULEVARD PPTO'!D28)</f>
        <v>0</v>
      </c>
      <c r="J35" s="756">
        <f>IF(OR($A35="F&amp;F",$A35="CE",J$7="No aplica"),0,'BOULEVARD 5'!M33-'BOULEVARD PPTO'!E28)</f>
        <v>0</v>
      </c>
      <c r="K35" s="756">
        <f>IF(OR($A35="F&amp;F",$A35="CE",K$7="No aplica"),0,'BOULEVARD 5'!N33-'BOULEVARD PPTO'!F28)</f>
        <v>0</v>
      </c>
      <c r="L35" s="756">
        <f>IF(OR($A35="F&amp;F",$A35="CE",L$7="No aplica"),0,'BOULEVARD 5'!O33-'BOULEVARD PPTO'!G28)</f>
        <v>0</v>
      </c>
      <c r="M35" s="756">
        <f>IF(OR($A35="F&amp;F",$A35="CE",M$7="No aplica"),0,'BOULEVARD 5'!P33-'BOULEVARD PPTO'!H28)</f>
        <v>0</v>
      </c>
      <c r="N35" s="756">
        <f>IF(OR($A35="F&amp;F",$A35="CE",N$7="No aplica"),0,'BOULEVARD 5'!Q33-'BOULEVARD PPTO'!I28)</f>
        <v>0</v>
      </c>
      <c r="O35" s="756">
        <f>IF(OR($A35="F&amp;F",$A35="CE",O$7="No aplica"),0,'BOULEVARD 5'!R33-'BOULEVARD PPTO'!J28)</f>
        <v>0</v>
      </c>
      <c r="P35" s="756">
        <f>IF(OR($A35="F&amp;F",$A35="CE",P$7="No aplica"),0,'BOULEVARD 5'!S33-'BOULEVARD PPTO'!K28)</f>
        <v>0</v>
      </c>
      <c r="Q35" s="760">
        <f>IF(OR($A35="F&amp;F",$A35="CE",Q$7="No aplica"),0,'BOULEVARD 5'!T33-'BOULEVARD PPTO'!L28)</f>
        <v>0</v>
      </c>
      <c r="R35" s="760">
        <f>IF(OR($A35="F&amp;F",$A35="CE",R$7="No aplica"),0,'BOULEVARD 5'!U33-'BOULEVARD PPTO'!M28)</f>
        <v>0</v>
      </c>
      <c r="S35" s="760">
        <f>IF(OR($A35="F&amp;F",$A35="CE",S$7="No aplica"),0,'BOULEVARD 5'!V33-'BOULEVARD PPTO'!N28)</f>
        <v>0</v>
      </c>
      <c r="T35" s="760">
        <f>IF(OR($A35="F&amp;F",$A35="CE",T$7="No aplica"),0,'BOULEVARD 5'!W33-'BOULEVARD PPTO'!O28)</f>
        <v>0</v>
      </c>
      <c r="U35" s="760">
        <f>IF(OR($A35="F&amp;F",$A35="CE",U$7="No aplica"),0,'BOULEVARD 5'!X33-'BOULEVARD PPTO'!P28)</f>
        <v>0</v>
      </c>
      <c r="V35" s="760">
        <f>IF(OR($A35="F&amp;F",$A35="CE",V$7="No aplica"),0,'BOULEVARD 5'!Y33-'BOULEVARD PPTO'!Q28)</f>
        <v>0</v>
      </c>
      <c r="W35" s="760">
        <f>IF(OR($A35="F&amp;F",$A35="CE",W$7="No aplica"),0,'BOULEVARD 5'!Z33-'BOULEVARD PPTO'!R28)</f>
        <v>0</v>
      </c>
      <c r="X35" s="760">
        <f>IF(OR($A35="F&amp;F",$A35="CE",X$7="No aplica"),0,'BOULEVARD 5'!AA33-'BOULEVARD PPTO'!S28)</f>
        <v>0</v>
      </c>
      <c r="Y35" s="760">
        <f>IF(OR($A35="F&amp;F",$A35="CE",Y$7="No aplica"),0,'BOULEVARD 5'!AB33-'BOULEVARD PPTO'!T28)</f>
        <v>0</v>
      </c>
      <c r="Z35" s="760">
        <f>IF(OR($A35="F&amp;F",$A35="CE",Z$7="No aplica"),0,'BOULEVARD 5'!AC33-'BOULEVARD PPTO'!U28)</f>
        <v>0</v>
      </c>
      <c r="AA35" s="760">
        <f>IF(OR($A35="F&amp;F",$A35="CE",AA$7="No aplica"),0,'BOULEVARD 5'!AD33-'BOULEVARD PPTO'!V28)</f>
        <v>0</v>
      </c>
      <c r="AB35" s="760">
        <f>IF(OR($A35="F&amp;F",$A35="CE",AB$7="No aplica"),0,'BOULEVARD 5'!AE33-'BOULEVARD PPTO'!W28)</f>
        <v>0</v>
      </c>
      <c r="AC35" s="760">
        <f>IF(OR($A35="F&amp;F",$A35="CE",AC$7="No aplica"),0,'BOULEVARD 5'!AF33-'BOULEVARD PPTO'!X28)</f>
        <v>0</v>
      </c>
      <c r="AD35" s="760">
        <f>IF(OR($A35="F&amp;F",$A35="CE",AD$7="No aplica"),0,'BOULEVARD 5'!AG33-'BOULEVARD PPTO'!Y28)</f>
        <v>0</v>
      </c>
      <c r="AE35" s="760">
        <f>IF(OR($A35="F&amp;F",$A35="CE",AE$7="No aplica"),0,'BOULEVARD 5'!AH33-'BOULEVARD PPTO'!Z28)</f>
        <v>0</v>
      </c>
      <c r="AF35" s="760">
        <f>IF(OR($A35="F&amp;F",$A35="CE",AF$7="No aplica"),0,'BOULEVARD 5'!AI33-'BOULEVARD PPTO'!AA28)</f>
        <v>-4420</v>
      </c>
      <c r="AG35" s="760">
        <f>IF(OR($A35="F&amp;F",$A35="CE",AG$7="No aplica"),0,'BOULEVARD 5'!AJ33-'BOULEVARD PPTO'!AB28)</f>
        <v>7119.7199999999993</v>
      </c>
      <c r="AH35" s="760">
        <f>IF(OR($A35="F&amp;F",$A35="CE",AH$7="No aplica"),0,'BOULEVARD 5'!AK33-'BOULEVARD PPTO'!AC28)</f>
        <v>580</v>
      </c>
      <c r="AI35" s="760">
        <f>IF(OR($A35="F&amp;F",$A35="CE",AI$7="No aplica"),0,'BOULEVARD 5'!AL33-'BOULEVARD PPTO'!AD28)</f>
        <v>-4420</v>
      </c>
      <c r="AJ35" s="760">
        <f>IF(OR($A35="F&amp;F",$A35="CE",AJ$7="No aplica"),0,'BOULEVARD 5'!AM33-'BOULEVARD PPTO'!AE28)</f>
        <v>5580</v>
      </c>
      <c r="AK35" s="760">
        <f>IF(OR($A35="F&amp;F",$A35="CE",AK$7="No aplica"),0,'BOULEVARD 5'!AN33-'BOULEVARD PPTO'!AF28)</f>
        <v>-4420</v>
      </c>
      <c r="AL35" s="760">
        <f>IF(OR($A35="F&amp;F",$A35="CE",AL$7="No aplica"),0,'BOULEVARD 5'!AO33-'BOULEVARD PPTO'!AG28)</f>
        <v>580</v>
      </c>
      <c r="AM35" s="760">
        <f>IF(OR($A35="F&amp;F",$A35="CE",AM$7="No aplica"),0,'BOULEVARD 5'!AP33-'BOULEVARD PPTO'!AH28)</f>
        <v>580</v>
      </c>
      <c r="AN35" s="760">
        <f>IF(OR($A35="F&amp;F",$A35="CE",AN$7="No aplica"),0,'BOULEVARD 5'!AQ33-'BOULEVARD PPTO'!AI28)</f>
        <v>0</v>
      </c>
      <c r="AO35" s="760">
        <f>IF(OR($A35="F&amp;F",$A35="CE",AO$7="No aplica"),0,'BOULEVARD 5'!AS33-'BOULEVARD PPTO'!AJ28)</f>
        <v>0</v>
      </c>
      <c r="AP35" s="761">
        <f t="shared" si="7"/>
        <v>1179.7199999999993</v>
      </c>
      <c r="AQ35" s="761">
        <f t="shared" si="8"/>
        <v>-24179.020000000004</v>
      </c>
      <c r="AR35" s="674">
        <f>IF(A35=0,'BOULEVARD 5'!BF33,0)</f>
        <v>10000</v>
      </c>
      <c r="AS35" s="674">
        <f>IF(A35=0,'BOULEVARD 5'!BG33,0)</f>
        <v>4420</v>
      </c>
      <c r="AT35" s="675" t="str">
        <f t="shared" si="4"/>
        <v>Vendido</v>
      </c>
      <c r="AU35" s="581" t="str">
        <f t="shared" ref="AU35:AU98" si="11">IF(AP35&gt;0,"A FAVOR DEL CLIENTE",IF(AP35&lt;0,"POR COBRAR",IF(AP35=0,"","N/A")))</f>
        <v>A FAVOR DEL CLIENTE</v>
      </c>
      <c r="AV35" s="760">
        <f t="shared" si="10"/>
        <v>580</v>
      </c>
    </row>
    <row r="36" spans="1:49" s="581" customFormat="1" ht="12.4" customHeight="1" outlineLevel="1" x14ac:dyDescent="0.25">
      <c r="A36" s="703">
        <f>'BOULEVARD 5'!BQ34</f>
        <v>0</v>
      </c>
      <c r="B36" s="564">
        <v>214</v>
      </c>
      <c r="C36" s="564" t="s">
        <v>200</v>
      </c>
      <c r="D36" s="564"/>
      <c r="E36" s="564" t="str">
        <f>IF('BOULEVARD 5'!E34&lt;&gt;0,'BOULEVARD 5'!E34,"")</f>
        <v>Antonio Rada</v>
      </c>
      <c r="F36" s="581" t="str">
        <f>IF('BOULEVARD 5'!F34&lt;&gt;0,'BOULEVARD 5'!F34,"")</f>
        <v>Jorge Daniel Baca Chiroy</v>
      </c>
      <c r="G36" s="566">
        <f>IF('BOULEVARD 5'!G34="","",'BOULEVARD 5'!G34)</f>
        <v>45259</v>
      </c>
      <c r="H36" s="756">
        <f>IF(OR($A36="F&amp;F",$A36="CE",H$7="No aplica"),0,'BOULEVARD 5'!K34-'BOULEVARD PPTO'!C29)</f>
        <v>0</v>
      </c>
      <c r="I36" s="756">
        <f>IF(OR($A36="F&amp;F",$A36="CE",I$7="No aplica"),0,'BOULEVARD 5'!L34-'BOULEVARD PPTO'!D29)</f>
        <v>0</v>
      </c>
      <c r="J36" s="756">
        <f>IF(OR($A36="F&amp;F",$A36="CE",J$7="No aplica"),0,'BOULEVARD 5'!M34-'BOULEVARD PPTO'!E29)</f>
        <v>0</v>
      </c>
      <c r="K36" s="756">
        <f>IF(OR($A36="F&amp;F",$A36="CE",K$7="No aplica"),0,'BOULEVARD 5'!N34-'BOULEVARD PPTO'!F29)</f>
        <v>0</v>
      </c>
      <c r="L36" s="756">
        <f>IF(OR($A36="F&amp;F",$A36="CE",L$7="No aplica"),0,'BOULEVARD 5'!O34-'BOULEVARD PPTO'!G29)</f>
        <v>0</v>
      </c>
      <c r="M36" s="756">
        <f>IF(OR($A36="F&amp;F",$A36="CE",M$7="No aplica"),0,'BOULEVARD 5'!P34-'BOULEVARD PPTO'!H29)</f>
        <v>0</v>
      </c>
      <c r="N36" s="756">
        <f>IF(OR($A36="F&amp;F",$A36="CE",N$7="No aplica"),0,'BOULEVARD 5'!Q34-'BOULEVARD PPTO'!I29)</f>
        <v>0</v>
      </c>
      <c r="O36" s="756">
        <f>IF(OR($A36="F&amp;F",$A36="CE",O$7="No aplica"),0,'BOULEVARD 5'!R34-'BOULEVARD PPTO'!J29)</f>
        <v>0</v>
      </c>
      <c r="P36" s="756">
        <f>IF(OR($A36="F&amp;F",$A36="CE",P$7="No aplica"),0,'BOULEVARD 5'!S34-'BOULEVARD PPTO'!K29)</f>
        <v>0</v>
      </c>
      <c r="Q36" s="760">
        <f>IF(OR($A36="F&amp;F",$A36="CE",Q$7="No aplica"),0,'BOULEVARD 5'!T34-'BOULEVARD PPTO'!L29)</f>
        <v>-1</v>
      </c>
      <c r="R36" s="760">
        <f>IF(OR($A36="F&amp;F",$A36="CE",R$7="No aplica"),0,'BOULEVARD 5'!U34-'BOULEVARD PPTO'!M29)</f>
        <v>-1</v>
      </c>
      <c r="S36" s="760">
        <f>IF(OR($A36="F&amp;F",$A36="CE",S$7="No aplica"),0,'BOULEVARD 5'!V34-'BOULEVARD PPTO'!N29)</f>
        <v>-3026</v>
      </c>
      <c r="T36" s="760">
        <f>IF(OR($A36="F&amp;F",$A36="CE",T$7="No aplica"),0,'BOULEVARD 5'!W34-'BOULEVARD PPTO'!O29)</f>
        <v>-3026</v>
      </c>
      <c r="U36" s="760">
        <f>IF(OR($A36="F&amp;F",$A36="CE",U$7="No aplica"),0,'BOULEVARD 5'!X34-'BOULEVARD PPTO'!P29)</f>
        <v>-3026</v>
      </c>
      <c r="V36" s="760">
        <f>IF(OR($A36="F&amp;F",$A36="CE",V$7="No aplica"),0,'BOULEVARD 5'!Y34-'BOULEVARD PPTO'!Q29)</f>
        <v>-3026</v>
      </c>
      <c r="W36" s="760">
        <f>IF(OR($A36="F&amp;F",$A36="CE",W$7="No aplica"),0,'BOULEVARD 5'!Z34-'BOULEVARD PPTO'!R29)</f>
        <v>3024</v>
      </c>
      <c r="X36" s="760">
        <f>IF(OR($A36="F&amp;F",$A36="CE",X$7="No aplica"),0,'BOULEVARD 5'!AA34-'BOULEVARD PPTO'!S29)</f>
        <v>-3026</v>
      </c>
      <c r="Y36" s="760">
        <f>IF(OR($A36="F&amp;F",$A36="CE",Y$7="No aplica"),0,'BOULEVARD 5'!AB34-'BOULEVARD PPTO'!T29)</f>
        <v>-3026</v>
      </c>
      <c r="Z36" s="760">
        <f>IF(OR($A36="F&amp;F",$A36="CE",Z$7="No aplica"),0,'BOULEVARD 5'!AC34-'BOULEVARD PPTO'!U29)</f>
        <v>12104</v>
      </c>
      <c r="AA36" s="760">
        <f>IF(OR($A36="F&amp;F",$A36="CE",AA$7="No aplica"),0,'BOULEVARD 5'!AD34-'BOULEVARD PPTO'!V29)</f>
        <v>-3026</v>
      </c>
      <c r="AB36" s="760">
        <f>IF(OR($A36="F&amp;F",$A36="CE",AB$7="No aplica"),0,'BOULEVARD 5'!AE34-'BOULEVARD PPTO'!W29)</f>
        <v>6052</v>
      </c>
      <c r="AC36" s="760">
        <f>IF(OR($A36="F&amp;F",$A36="CE",AC$7="No aplica"),0,'BOULEVARD 5'!AF34-'BOULEVARD PPTO'!X29)</f>
        <v>-3026</v>
      </c>
      <c r="AD36" s="760">
        <f>IF(OR($A36="F&amp;F",$A36="CE",AD$7="No aplica"),0,'BOULEVARD 5'!AG34-'BOULEVARD PPTO'!Y29)</f>
        <v>-3026</v>
      </c>
      <c r="AE36" s="760">
        <f>IF(OR($A36="F&amp;F",$A36="CE",AE$7="No aplica"),0,'BOULEVARD 5'!AH34-'BOULEVARD PPTO'!Z29)</f>
        <v>6052</v>
      </c>
      <c r="AF36" s="760">
        <f>IF(OR($A36="F&amp;F",$A36="CE",AF$7="No aplica"),0,'BOULEVARD 5'!AI34-'BOULEVARD PPTO'!AA29)</f>
        <v>-3026</v>
      </c>
      <c r="AG36" s="760">
        <f>IF(OR($A36="F&amp;F",$A36="CE",AG$7="No aplica"),0,'BOULEVARD 5'!AJ34-'BOULEVARD PPTO'!AB29)</f>
        <v>3030</v>
      </c>
      <c r="AH36" s="760">
        <f>IF(OR($A36="F&amp;F",$A36="CE",AH$7="No aplica"),0,'BOULEVARD 5'!AK34-'BOULEVARD PPTO'!AC29)</f>
        <v>-1</v>
      </c>
      <c r="AI36" s="760">
        <f>IF(OR($A36="F&amp;F",$A36="CE",AI$7="No aplica"),0,'BOULEVARD 5'!AL34-'BOULEVARD PPTO'!AD29)</f>
        <v>9079.5</v>
      </c>
      <c r="AJ36" s="760">
        <f>IF(OR($A36="F&amp;F",$A36="CE",AJ$7="No aplica"),0,'BOULEVARD 5'!AM34-'BOULEVARD PPTO'!AE29)</f>
        <v>-3026</v>
      </c>
      <c r="AK36" s="760">
        <f>IF(OR($A36="F&amp;F",$A36="CE",AK$7="No aplica"),0,'BOULEVARD 5'!AN34-'BOULEVARD PPTO'!AF29)</f>
        <v>-3026</v>
      </c>
      <c r="AL36" s="760">
        <f>IF(OR($A36="F&amp;F",$A36="CE",AL$7="No aplica"),0,'BOULEVARD 5'!AO34-'BOULEVARD PPTO'!AG29)</f>
        <v>-3026.5</v>
      </c>
      <c r="AM36" s="760">
        <f>IF(OR($A36="F&amp;F",$A36="CE",AM$7="No aplica"),0,'BOULEVARD 5'!AP34-'BOULEVARD PPTO'!AH29)</f>
        <v>0</v>
      </c>
      <c r="AN36" s="760">
        <f>IF(OR($A36="F&amp;F",$A36="CE",AN$7="No aplica"),0,'BOULEVARD 5'!AQ34-'BOULEVARD PPTO'!AI29)</f>
        <v>0</v>
      </c>
      <c r="AO36" s="760">
        <f>IF(OR($A36="F&amp;F",$A36="CE",AO$7="No aplica"),0,'BOULEVARD 5'!AS34-'BOULEVARD PPTO'!AJ29)</f>
        <v>0</v>
      </c>
      <c r="AP36" s="761">
        <f t="shared" si="7"/>
        <v>0</v>
      </c>
      <c r="AQ36" s="761">
        <f t="shared" si="8"/>
        <v>0</v>
      </c>
      <c r="AR36" s="674">
        <f>IF(A36=0,'BOULEVARD 5'!BF34,0)</f>
        <v>5500</v>
      </c>
      <c r="AS36" s="674">
        <f>IF(A36=0,'BOULEVARD 5'!BG34,0)</f>
        <v>3026</v>
      </c>
      <c r="AT36" s="675" t="str">
        <f t="shared" si="4"/>
        <v>Vendido</v>
      </c>
      <c r="AU36" s="581" t="str">
        <f t="shared" si="11"/>
        <v/>
      </c>
      <c r="AV36" s="760">
        <f t="shared" si="10"/>
        <v>0</v>
      </c>
      <c r="AW36" s="581" t="s">
        <v>848</v>
      </c>
    </row>
    <row r="37" spans="1:49" s="581" customFormat="1" ht="12.4" customHeight="1" outlineLevel="1" x14ac:dyDescent="0.25">
      <c r="A37" s="703">
        <f>'BOULEVARD 5'!BQ35</f>
        <v>0</v>
      </c>
      <c r="B37" s="564">
        <v>215</v>
      </c>
      <c r="C37" s="564" t="s">
        <v>409</v>
      </c>
      <c r="D37" s="564"/>
      <c r="E37" s="564" t="str">
        <f>IF('BOULEVARD 5'!E35&lt;&gt;0,'BOULEVARD 5'!E35,"")</f>
        <v>Antonio Rada</v>
      </c>
      <c r="F37" s="581" t="str">
        <f>IF('BOULEVARD 5'!F35&lt;&gt;0,'BOULEVARD 5'!F35,"")</f>
        <v>Lidia Elizabeth Pocasangre Rac</v>
      </c>
      <c r="G37" s="566">
        <f>IF('BOULEVARD 5'!G35="","",'BOULEVARD 5'!G35)</f>
        <v>45353</v>
      </c>
      <c r="H37" s="756">
        <f>IF(OR($A37="F&amp;F",$A37="CE",H$7="No aplica"),0,'BOULEVARD 5'!K35-'BOULEVARD PPTO'!C30)</f>
        <v>0</v>
      </c>
      <c r="I37" s="756">
        <f>IF(OR($A37="F&amp;F",$A37="CE",I$7="No aplica"),0,'BOULEVARD 5'!L35-'BOULEVARD PPTO'!D30)</f>
        <v>0</v>
      </c>
      <c r="J37" s="756">
        <f>IF(OR($A37="F&amp;F",$A37="CE",J$7="No aplica"),0,'BOULEVARD 5'!M35-'BOULEVARD PPTO'!E30)</f>
        <v>0</v>
      </c>
      <c r="K37" s="756">
        <f>IF(OR($A37="F&amp;F",$A37="CE",K$7="No aplica"),0,'BOULEVARD 5'!N35-'BOULEVARD PPTO'!F30)</f>
        <v>0</v>
      </c>
      <c r="L37" s="756">
        <f>IF(OR($A37="F&amp;F",$A37="CE",L$7="No aplica"),0,'BOULEVARD 5'!O35-'BOULEVARD PPTO'!G30)</f>
        <v>0</v>
      </c>
      <c r="M37" s="756">
        <f>IF(OR($A37="F&amp;F",$A37="CE",M$7="No aplica"),0,'BOULEVARD 5'!P35-'BOULEVARD PPTO'!H30)</f>
        <v>0</v>
      </c>
      <c r="N37" s="756">
        <f>IF(OR($A37="F&amp;F",$A37="CE",N$7="No aplica"),0,'BOULEVARD 5'!Q35-'BOULEVARD PPTO'!I30)</f>
        <v>0</v>
      </c>
      <c r="O37" s="756">
        <f>IF(OR($A37="F&amp;F",$A37="CE",O$7="No aplica"),0,'BOULEVARD 5'!R35-'BOULEVARD PPTO'!J30)</f>
        <v>0</v>
      </c>
      <c r="P37" s="756">
        <f>IF(OR($A37="F&amp;F",$A37="CE",P$7="No aplica"),0,'BOULEVARD 5'!S35-'BOULEVARD PPTO'!K30)</f>
        <v>0</v>
      </c>
      <c r="Q37" s="760">
        <f>IF(OR($A37="F&amp;F",$A37="CE",Q$7="No aplica"),0,'BOULEVARD 5'!T35-'BOULEVARD PPTO'!L30)</f>
        <v>0</v>
      </c>
      <c r="R37" s="760">
        <f>IF(OR($A37="F&amp;F",$A37="CE",R$7="No aplica"),0,'BOULEVARD 5'!U35-'BOULEVARD PPTO'!M30)</f>
        <v>0</v>
      </c>
      <c r="S37" s="760">
        <f>IF(OR($A37="F&amp;F",$A37="CE",S$7="No aplica"),0,'BOULEVARD 5'!V35-'BOULEVARD PPTO'!N30)</f>
        <v>0</v>
      </c>
      <c r="T37" s="760">
        <f>IF(OR($A37="F&amp;F",$A37="CE",T$7="No aplica"),0,'BOULEVARD 5'!W35-'BOULEVARD PPTO'!O30)</f>
        <v>0</v>
      </c>
      <c r="U37" s="760">
        <f>IF(OR($A37="F&amp;F",$A37="CE",U$7="No aplica"),0,'BOULEVARD 5'!X35-'BOULEVARD PPTO'!P30)</f>
        <v>78</v>
      </c>
      <c r="V37" s="760">
        <f>IF(OR($A37="F&amp;F",$A37="CE",V$7="No aplica"),0,'BOULEVARD 5'!Y35-'BOULEVARD PPTO'!Q30)</f>
        <v>78</v>
      </c>
      <c r="W37" s="760">
        <f>IF(OR($A37="F&amp;F",$A37="CE",W$7="No aplica"),0,'BOULEVARD 5'!Z35-'BOULEVARD PPTO'!R30)</f>
        <v>78</v>
      </c>
      <c r="X37" s="760">
        <f>IF(OR($A37="F&amp;F",$A37="CE",X$7="No aplica"),0,'BOULEVARD 5'!AA35-'BOULEVARD PPTO'!S30)</f>
        <v>78</v>
      </c>
      <c r="Y37" s="760">
        <f>IF(OR($A37="F&amp;F",$A37="CE",Y$7="No aplica"),0,'BOULEVARD 5'!AB35-'BOULEVARD PPTO'!T30)</f>
        <v>78</v>
      </c>
      <c r="Z37" s="760">
        <f>IF(OR($A37="F&amp;F",$A37="CE",Z$7="No aplica"),0,'BOULEVARD 5'!AC35-'BOULEVARD PPTO'!U30)</f>
        <v>78</v>
      </c>
      <c r="AA37" s="760">
        <f>IF(OR($A37="F&amp;F",$A37="CE",AA$7="No aplica"),0,'BOULEVARD 5'!AD35-'BOULEVARD PPTO'!V30)</f>
        <v>-422</v>
      </c>
      <c r="AB37" s="760">
        <f>IF(OR($A37="F&amp;F",$A37="CE",AB$7="No aplica"),0,'BOULEVARD 5'!AE35-'BOULEVARD PPTO'!W30)</f>
        <v>578</v>
      </c>
      <c r="AC37" s="760">
        <f>IF(OR($A37="F&amp;F",$A37="CE",AC$7="No aplica"),0,'BOULEVARD 5'!AF35-'BOULEVARD PPTO'!X30)</f>
        <v>78</v>
      </c>
      <c r="AD37" s="760">
        <f>IF(OR($A37="F&amp;F",$A37="CE",AD$7="No aplica"),0,'BOULEVARD 5'!AG35-'BOULEVARD PPTO'!Y30)</f>
        <v>78</v>
      </c>
      <c r="AE37" s="760">
        <f>IF(OR($A37="F&amp;F",$A37="CE",AE$7="No aplica"),0,'BOULEVARD 5'!AH35-'BOULEVARD PPTO'!Z30)</f>
        <v>78</v>
      </c>
      <c r="AF37" s="760">
        <f>IF(OR($A37="F&amp;F",$A37="CE",AF$7="No aplica"),0,'BOULEVARD 5'!AI35-'BOULEVARD PPTO'!AA30)</f>
        <v>78</v>
      </c>
      <c r="AG37" s="760">
        <f>IF(OR($A37="F&amp;F",$A37="CE",AG$7="No aplica"),0,'BOULEVARD 5'!AJ35-'BOULEVARD PPTO'!AB30)</f>
        <v>78</v>
      </c>
      <c r="AH37" s="760">
        <f>IF(OR($A37="F&amp;F",$A37="CE",AH$7="No aplica"),0,'BOULEVARD 5'!AK35-'BOULEVARD PPTO'!AC30)</f>
        <v>78</v>
      </c>
      <c r="AI37" s="760">
        <f>IF(OR($A37="F&amp;F",$A37="CE",AI$7="No aplica"),0,'BOULEVARD 5'!AL35-'BOULEVARD PPTO'!AD30)</f>
        <v>78</v>
      </c>
      <c r="AJ37" s="760">
        <f>IF(OR($A37="F&amp;F",$A37="CE",AJ$7="No aplica"),0,'BOULEVARD 5'!AM35-'BOULEVARD PPTO'!AE30)</f>
        <v>78</v>
      </c>
      <c r="AK37" s="760">
        <f>IF(OR($A37="F&amp;F",$A37="CE",AK$7="No aplica"),0,'BOULEVARD 5'!AN35-'BOULEVARD PPTO'!AF30)</f>
        <v>78</v>
      </c>
      <c r="AL37" s="760">
        <f>IF(OR($A37="F&amp;F",$A37="CE",AL$7="No aplica"),0,'BOULEVARD 5'!AO35-'BOULEVARD PPTO'!AG30)</f>
        <v>74</v>
      </c>
      <c r="AM37" s="760">
        <f>IF(OR($A37="F&amp;F",$A37="CE",AM$7="No aplica"),0,'BOULEVARD 5'!AP35-'BOULEVARD PPTO'!AH30)</f>
        <v>0</v>
      </c>
      <c r="AN37" s="760">
        <f>IF(OR($A37="F&amp;F",$A37="CE",AN$7="No aplica"),0,'BOULEVARD 5'!AQ35-'BOULEVARD PPTO'!AI30)</f>
        <v>0</v>
      </c>
      <c r="AO37" s="760">
        <f>IF(OR($A37="F&amp;F",$A37="CE",AO$7="No aplica"),0,'BOULEVARD 5'!AS35-'BOULEVARD PPTO'!AJ30)</f>
        <v>0</v>
      </c>
      <c r="AP37" s="761">
        <f t="shared" si="7"/>
        <v>1400</v>
      </c>
      <c r="AQ37" s="761">
        <f t="shared" si="8"/>
        <v>3400</v>
      </c>
      <c r="AR37" s="674">
        <f>IF(A37=0,'BOULEVARD 5'!BF35,0)</f>
        <v>8000</v>
      </c>
      <c r="AS37" s="674">
        <f>IF(A37=0,'BOULEVARD 5'!BG35,0)</f>
        <v>4922</v>
      </c>
      <c r="AT37" s="675" t="str">
        <f t="shared" si="4"/>
        <v>Vendido</v>
      </c>
      <c r="AU37" s="581" t="str">
        <f t="shared" si="11"/>
        <v>A FAVOR DEL CLIENTE</v>
      </c>
      <c r="AV37" s="760">
        <f t="shared" si="10"/>
        <v>0</v>
      </c>
    </row>
    <row r="38" spans="1:49" s="581" customFormat="1" ht="12.4" customHeight="1" outlineLevel="1" x14ac:dyDescent="0.25">
      <c r="A38" s="703">
        <f>'BOULEVARD 5'!BQ36</f>
        <v>0</v>
      </c>
      <c r="B38" s="708">
        <v>216</v>
      </c>
      <c r="C38" s="564" t="s">
        <v>184</v>
      </c>
      <c r="D38" s="707" t="s">
        <v>386</v>
      </c>
      <c r="E38" s="564" t="str">
        <f>IF('BOULEVARD 5'!E36&lt;&gt;0,'BOULEVARD 5'!E36,"")</f>
        <v>Antonio Rada</v>
      </c>
      <c r="F38" s="581" t="str">
        <f>IF('BOULEVARD 5'!F36&lt;&gt;0,'BOULEVARD 5'!F36,"")</f>
        <v>Narvesters Gabriell Moreno Cedeño</v>
      </c>
      <c r="G38" s="566">
        <f>IF('BOULEVARD 5'!G36="","",'BOULEVARD 5'!G36)</f>
        <v>45360</v>
      </c>
      <c r="H38" s="756">
        <f>IF(OR($A38="F&amp;F",$A38="CE",H$7="No aplica"),0,'BOULEVARD 5'!K36-'BOULEVARD PPTO'!C31)</f>
        <v>0</v>
      </c>
      <c r="I38" s="756">
        <f>IF(OR($A38="F&amp;F",$A38="CE",I$7="No aplica"),0,'BOULEVARD 5'!L36-'BOULEVARD PPTO'!D31)</f>
        <v>0</v>
      </c>
      <c r="J38" s="756">
        <f>IF(OR($A38="F&amp;F",$A38="CE",J$7="No aplica"),0,'BOULEVARD 5'!M36-'BOULEVARD PPTO'!E31)</f>
        <v>0</v>
      </c>
      <c r="K38" s="756">
        <f>IF(OR($A38="F&amp;F",$A38="CE",K$7="No aplica"),0,'BOULEVARD 5'!N36-'BOULEVARD PPTO'!F31)</f>
        <v>0</v>
      </c>
      <c r="L38" s="756">
        <f>IF(OR($A38="F&amp;F",$A38="CE",L$7="No aplica"),0,'BOULEVARD 5'!O36-'BOULEVARD PPTO'!G31)</f>
        <v>0</v>
      </c>
      <c r="M38" s="756">
        <f>IF(OR($A38="F&amp;F",$A38="CE",M$7="No aplica"),0,'BOULEVARD 5'!P36-'BOULEVARD PPTO'!H31)</f>
        <v>0</v>
      </c>
      <c r="N38" s="756">
        <f>IF(OR($A38="F&amp;F",$A38="CE",N$7="No aplica"),0,'BOULEVARD 5'!Q36-'BOULEVARD PPTO'!I31)</f>
        <v>0</v>
      </c>
      <c r="O38" s="756">
        <f>IF(OR($A38="F&amp;F",$A38="CE",O$7="No aplica"),0,'BOULEVARD 5'!R36-'BOULEVARD PPTO'!J31)</f>
        <v>0</v>
      </c>
      <c r="P38" s="756">
        <f>IF(OR($A38="F&amp;F",$A38="CE",P$7="No aplica"),0,'BOULEVARD 5'!S36-'BOULEVARD PPTO'!K31)</f>
        <v>0</v>
      </c>
      <c r="Q38" s="760">
        <f>IF(OR($A38="F&amp;F",$A38="CE",Q$7="No aplica"),0,'BOULEVARD 5'!T36-'BOULEVARD PPTO'!L31)</f>
        <v>0</v>
      </c>
      <c r="R38" s="760">
        <f>IF(OR($A38="F&amp;F",$A38="CE",R$7="No aplica"),0,'BOULEVARD 5'!U36-'BOULEVARD PPTO'!M31)</f>
        <v>0</v>
      </c>
      <c r="S38" s="760">
        <f>IF(OR($A38="F&amp;F",$A38="CE",S$7="No aplica"),0,'BOULEVARD 5'!V36-'BOULEVARD PPTO'!N31)</f>
        <v>0</v>
      </c>
      <c r="T38" s="760">
        <f>IF(OR($A38="F&amp;F",$A38="CE",T$7="No aplica"),0,'BOULEVARD 5'!W36-'BOULEVARD PPTO'!O31)</f>
        <v>0</v>
      </c>
      <c r="U38" s="760">
        <f>IF(OR($A38="F&amp;F",$A38="CE",U$7="No aplica"),0,'BOULEVARD 5'!X36-'BOULEVARD PPTO'!P31)</f>
        <v>0</v>
      </c>
      <c r="V38" s="760">
        <f>IF(OR($A38="F&amp;F",$A38="CE",V$7="No aplica"),0,'BOULEVARD 5'!Y36-'BOULEVARD PPTO'!Q31)</f>
        <v>0</v>
      </c>
      <c r="W38" s="760">
        <f>IF(OR($A38="F&amp;F",$A38="CE",W$7="No aplica"),0,'BOULEVARD 5'!Z36-'BOULEVARD PPTO'!R31)</f>
        <v>0</v>
      </c>
      <c r="X38" s="760">
        <f>IF(OR($A38="F&amp;F",$A38="CE",X$7="No aplica"),0,'BOULEVARD 5'!AA36-'BOULEVARD PPTO'!S31)</f>
        <v>5006</v>
      </c>
      <c r="Y38" s="760">
        <f>IF(OR($A38="F&amp;F",$A38="CE",Y$7="No aplica"),0,'BOULEVARD 5'!AB36-'BOULEVARD PPTO'!T31)</f>
        <v>10012</v>
      </c>
      <c r="Z38" s="760">
        <f>IF(OR($A38="F&amp;F",$A38="CE",Z$7="No aplica"),0,'BOULEVARD 5'!AC36-'BOULEVARD PPTO'!U31)</f>
        <v>15018</v>
      </c>
      <c r="AA38" s="760">
        <f>IF(OR($A38="F&amp;F",$A38="CE",AA$7="No aplica"),0,'BOULEVARD 5'!AD36-'BOULEVARD PPTO'!V31)</f>
        <v>20024</v>
      </c>
      <c r="AB38" s="760">
        <f>IF(OR($A38="F&amp;F",$A38="CE",AB$7="No aplica"),0,'BOULEVARD 5'!AE36-'BOULEVARD PPTO'!W31)</f>
        <v>24994</v>
      </c>
      <c r="AC38" s="760">
        <f>IF(OR($A38="F&amp;F",$A38="CE",AC$7="No aplica"),0,'BOULEVARD 5'!AF36-'BOULEVARD PPTO'!X31)</f>
        <v>29994</v>
      </c>
      <c r="AD38" s="760">
        <f>IF(OR($A38="F&amp;F",$A38="CE",AD$7="No aplica"),0,'BOULEVARD 5'!AG36-'BOULEVARD PPTO'!Y31)</f>
        <v>34994</v>
      </c>
      <c r="AE38" s="760">
        <f>IF(OR($A38="F&amp;F",$A38="CE",AE$7="No aplica"),0,'BOULEVARD 5'!AH36-'BOULEVARD PPTO'!Z31)</f>
        <v>34994</v>
      </c>
      <c r="AF38" s="760">
        <f>IF(OR($A38="F&amp;F",$A38="CE",AF$7="No aplica"),0,'BOULEVARD 5'!AI36-'BOULEVARD PPTO'!AA31)</f>
        <v>34994</v>
      </c>
      <c r="AG38" s="760">
        <f>IF(OR($A38="F&amp;F",$A38="CE",AG$7="No aplica"),0,'BOULEVARD 5'!AJ36-'BOULEVARD PPTO'!AB31)</f>
        <v>44994</v>
      </c>
      <c r="AH38" s="760">
        <f>IF(OR($A38="F&amp;F",$A38="CE",AH$7="No aplica"),0,'BOULEVARD 5'!AK36-'BOULEVARD PPTO'!AC31)</f>
        <v>44994</v>
      </c>
      <c r="AI38" s="760">
        <f>IF(OR($A38="F&amp;F",$A38="CE",AI$7="No aplica"),0,'BOULEVARD 5'!AL36-'BOULEVARD PPTO'!AD31)</f>
        <v>44994</v>
      </c>
      <c r="AJ38" s="760">
        <f>IF(OR($A38="F&amp;F",$A38="CE",AJ$7="No aplica"),0,'BOULEVARD 5'!AM36-'BOULEVARD PPTO'!AE31)</f>
        <v>46994</v>
      </c>
      <c r="AK38" s="760">
        <f>IF(OR($A38="F&amp;F",$A38="CE",AK$7="No aplica"),0,'BOULEVARD 5'!AN36-'BOULEVARD PPTO'!AF31)</f>
        <v>54994</v>
      </c>
      <c r="AL38" s="760">
        <f>IF(OR($A38="F&amp;F",$A38="CE",AL$7="No aplica"),0,'BOULEVARD 5'!AO36-'BOULEVARD PPTO'!AG31)</f>
        <v>39002</v>
      </c>
      <c r="AM38" s="760">
        <f>IF(OR($A38="F&amp;F",$A38="CE",AM$7="No aplica"),0,'BOULEVARD 5'!AP36-'BOULEVARD PPTO'!AH31)</f>
        <v>45000</v>
      </c>
      <c r="AN38" s="760">
        <f>IF(OR($A38="F&amp;F",$A38="CE",AN$7="No aplica"),0,'BOULEVARD 5'!AQ36-'BOULEVARD PPTO'!AI31)</f>
        <v>0</v>
      </c>
      <c r="AO38" s="760">
        <f>IF(OR($A38="F&amp;F",$A38="CE",AO$7="No aplica"),0,'BOULEVARD 5'!AS36-'BOULEVARD PPTO'!AJ31)</f>
        <v>0</v>
      </c>
      <c r="AP38" s="761">
        <f t="shared" si="7"/>
        <v>531002</v>
      </c>
      <c r="AQ38" s="761">
        <f t="shared" si="8"/>
        <v>682600</v>
      </c>
      <c r="AR38" s="674">
        <f>IF(A38=0,'BOULEVARD 5'!BF36,0)</f>
        <v>8000</v>
      </c>
      <c r="AS38" s="674">
        <f>IF(A38=0,'BOULEVARD 5'!BG36,0)</f>
        <v>5006</v>
      </c>
      <c r="AT38" s="675" t="str">
        <f t="shared" si="4"/>
        <v>Vendido</v>
      </c>
      <c r="AU38" s="581" t="str">
        <f t="shared" si="11"/>
        <v>A FAVOR DEL CLIENTE</v>
      </c>
      <c r="AV38" s="760">
        <f t="shared" si="10"/>
        <v>45000</v>
      </c>
    </row>
    <row r="39" spans="1:49" s="581" customFormat="1" ht="12.4" customHeight="1" outlineLevel="1" x14ac:dyDescent="0.25">
      <c r="A39" s="703">
        <f>'BOULEVARD 5'!BQ37</f>
        <v>0</v>
      </c>
      <c r="B39" s="564">
        <v>301</v>
      </c>
      <c r="C39" s="564" t="s">
        <v>412</v>
      </c>
      <c r="D39" s="564"/>
      <c r="E39" s="564" t="str">
        <f>IF('BOULEVARD 5'!E37&lt;&gt;0,'BOULEVARD 5'!E37,"")</f>
        <v>Antonio Rada</v>
      </c>
      <c r="F39" s="581" t="str">
        <f>IF('BOULEVARD 5'!F37&lt;&gt;0,'BOULEVARD 5'!F37,"")</f>
        <v>Jonathan Kiril Thomas Menkos</v>
      </c>
      <c r="G39" s="566">
        <f>IF('BOULEVARD 5'!G37="","",'BOULEVARD 5'!G37)</f>
        <v>45494</v>
      </c>
      <c r="H39" s="756">
        <f>IF(OR($A39="F&amp;F",$A39="CE",H$7="No aplica"),0,'BOULEVARD 5'!K37-'BOULEVARD PPTO'!C32)</f>
        <v>0</v>
      </c>
      <c r="I39" s="756">
        <f>IF(OR($A39="F&amp;F",$A39="CE",I$7="No aplica"),0,'BOULEVARD 5'!L37-'BOULEVARD PPTO'!D32)</f>
        <v>0</v>
      </c>
      <c r="J39" s="756">
        <f>IF(OR($A39="F&amp;F",$A39="CE",J$7="No aplica"),0,'BOULEVARD 5'!M37-'BOULEVARD PPTO'!E32)</f>
        <v>0</v>
      </c>
      <c r="K39" s="756">
        <f>IF(OR($A39="F&amp;F",$A39="CE",K$7="No aplica"),0,'BOULEVARD 5'!N37-'BOULEVARD PPTO'!F32)</f>
        <v>0</v>
      </c>
      <c r="L39" s="756">
        <f>IF(OR($A39="F&amp;F",$A39="CE",L$7="No aplica"),0,'BOULEVARD 5'!O37-'BOULEVARD PPTO'!G32)</f>
        <v>0</v>
      </c>
      <c r="M39" s="756">
        <f>IF(OR($A39="F&amp;F",$A39="CE",M$7="No aplica"),0,'BOULEVARD 5'!P37-'BOULEVARD PPTO'!H32)</f>
        <v>0</v>
      </c>
      <c r="N39" s="756">
        <f>IF(OR($A39="F&amp;F",$A39="CE",N$7="No aplica"),0,'BOULEVARD 5'!Q37-'BOULEVARD PPTO'!I32)</f>
        <v>0</v>
      </c>
      <c r="O39" s="756">
        <f>IF(OR($A39="F&amp;F",$A39="CE",O$7="No aplica"),0,'BOULEVARD 5'!R37-'BOULEVARD PPTO'!J32)</f>
        <v>0</v>
      </c>
      <c r="P39" s="756">
        <f>IF(OR($A39="F&amp;F",$A39="CE",P$7="No aplica"),0,'BOULEVARD 5'!S37-'BOULEVARD PPTO'!K32)</f>
        <v>0</v>
      </c>
      <c r="Q39" s="760">
        <f>IF(OR($A39="F&amp;F",$A39="CE",Q$7="No aplica"),0,'BOULEVARD 5'!T37-'BOULEVARD PPTO'!L32)</f>
        <v>0</v>
      </c>
      <c r="R39" s="760">
        <f>IF(OR($A39="F&amp;F",$A39="CE",R$7="No aplica"),0,'BOULEVARD 5'!U37-'BOULEVARD PPTO'!M32)</f>
        <v>0</v>
      </c>
      <c r="S39" s="760">
        <f>IF(OR($A39="F&amp;F",$A39="CE",S$7="No aplica"),0,'BOULEVARD 5'!V37-'BOULEVARD PPTO'!N32)</f>
        <v>0</v>
      </c>
      <c r="T39" s="760">
        <f>IF(OR($A39="F&amp;F",$A39="CE",T$7="No aplica"),0,'BOULEVARD 5'!W37-'BOULEVARD PPTO'!O32)</f>
        <v>0</v>
      </c>
      <c r="U39" s="760">
        <f>IF(OR($A39="F&amp;F",$A39="CE",U$7="No aplica"),0,'BOULEVARD 5'!X37-'BOULEVARD PPTO'!P32)</f>
        <v>0</v>
      </c>
      <c r="V39" s="760">
        <f>IF(OR($A39="F&amp;F",$A39="CE",V$7="No aplica"),0,'BOULEVARD 5'!Y37-'BOULEVARD PPTO'!Q32)</f>
        <v>0</v>
      </c>
      <c r="W39" s="760">
        <f>IF(OR($A39="F&amp;F",$A39="CE",W$7="No aplica"),0,'BOULEVARD 5'!Z37-'BOULEVARD PPTO'!R32)</f>
        <v>0</v>
      </c>
      <c r="X39" s="760">
        <f>IF(OR($A39="F&amp;F",$A39="CE",X$7="No aplica"),0,'BOULEVARD 5'!AA37-'BOULEVARD PPTO'!S32)</f>
        <v>0</v>
      </c>
      <c r="Y39" s="760">
        <f>IF(OR($A39="F&amp;F",$A39="CE",Y$7="No aplica"),0,'BOULEVARD 5'!AB37-'BOULEVARD PPTO'!T32)</f>
        <v>6900</v>
      </c>
      <c r="Z39" s="760">
        <f>IF(OR($A39="F&amp;F",$A39="CE",Z$7="No aplica"),0,'BOULEVARD 5'!AC37-'BOULEVARD PPTO'!U32)</f>
        <v>0</v>
      </c>
      <c r="AA39" s="760">
        <f>IF(OR($A39="F&amp;F",$A39="CE",AA$7="No aplica"),0,'BOULEVARD 5'!AD37-'BOULEVARD PPTO'!V32)</f>
        <v>-6900</v>
      </c>
      <c r="AB39" s="760">
        <f>IF(OR($A39="F&amp;F",$A39="CE",AB$7="No aplica"),0,'BOULEVARD 5'!AE37-'BOULEVARD PPTO'!W32)</f>
        <v>0</v>
      </c>
      <c r="AC39" s="760">
        <f>IF(OR($A39="F&amp;F",$A39="CE",AC$7="No aplica"),0,'BOULEVARD 5'!AF37-'BOULEVARD PPTO'!X32)</f>
        <v>0</v>
      </c>
      <c r="AD39" s="760">
        <f>IF(OR($A39="F&amp;F",$A39="CE",AD$7="No aplica"),0,'BOULEVARD 5'!AG37-'BOULEVARD PPTO'!Y32)</f>
        <v>0</v>
      </c>
      <c r="AE39" s="760">
        <f>IF(OR($A39="F&amp;F",$A39="CE",AE$7="No aplica"),0,'BOULEVARD 5'!AH37-'BOULEVARD PPTO'!Z32)</f>
        <v>0</v>
      </c>
      <c r="AF39" s="760">
        <f>IF(OR($A39="F&amp;F",$A39="CE",AF$7="No aplica"),0,'BOULEVARD 5'!AI37-'BOULEVARD PPTO'!AA32)</f>
        <v>0</v>
      </c>
      <c r="AG39" s="760">
        <f>IF(OR($A39="F&amp;F",$A39="CE",AG$7="No aplica"),0,'BOULEVARD 5'!AJ37-'BOULEVARD PPTO'!AB32)</f>
        <v>0</v>
      </c>
      <c r="AH39" s="760">
        <f>IF(OR($A39="F&amp;F",$A39="CE",AH$7="No aplica"),0,'BOULEVARD 5'!AK37-'BOULEVARD PPTO'!AC32)</f>
        <v>0</v>
      </c>
      <c r="AI39" s="760">
        <f>IF(OR($A39="F&amp;F",$A39="CE",AI$7="No aplica"),0,'BOULEVARD 5'!AL37-'BOULEVARD PPTO'!AD32)</f>
        <v>0</v>
      </c>
      <c r="AJ39" s="760">
        <f>IF(OR($A39="F&amp;F",$A39="CE",AJ$7="No aplica"),0,'BOULEVARD 5'!AM37-'BOULEVARD PPTO'!AE32)</f>
        <v>0</v>
      </c>
      <c r="AK39" s="760">
        <f>IF(OR($A39="F&amp;F",$A39="CE",AK$7="No aplica"),0,'BOULEVARD 5'!AN37-'BOULEVARD PPTO'!AF32)</f>
        <v>0</v>
      </c>
      <c r="AL39" s="760">
        <f>IF(OR($A39="F&amp;F",$A39="CE",AL$7="No aplica"),0,'BOULEVARD 5'!AO37-'BOULEVARD PPTO'!AG32)</f>
        <v>0</v>
      </c>
      <c r="AM39" s="760">
        <f>IF(OR($A39="F&amp;F",$A39="CE",AM$7="No aplica"),0,'BOULEVARD 5'!AP37-'BOULEVARD PPTO'!AH32)</f>
        <v>0</v>
      </c>
      <c r="AN39" s="760">
        <f>IF(OR($A39="F&amp;F",$A39="CE",AN$7="No aplica"),0,'BOULEVARD 5'!AQ37-'BOULEVARD PPTO'!AI32)</f>
        <v>0</v>
      </c>
      <c r="AO39" s="760">
        <f>IF(OR($A39="F&amp;F",$A39="CE",AO$7="No aplica"),0,'BOULEVARD 5'!AS37-'BOULEVARD PPTO'!AJ32)</f>
        <v>0</v>
      </c>
      <c r="AP39" s="761">
        <f t="shared" si="7"/>
        <v>0</v>
      </c>
      <c r="AQ39" s="761">
        <f t="shared" si="8"/>
        <v>0</v>
      </c>
      <c r="AR39" s="674">
        <f>IF(A39=0,'BOULEVARD 5'!BF37,0)</f>
        <v>10000</v>
      </c>
      <c r="AS39" s="674">
        <f>IF(A39=0,'BOULEVARD 5'!BG37,0)</f>
        <v>6900</v>
      </c>
      <c r="AT39" s="675" t="str">
        <f t="shared" si="4"/>
        <v>Vendido</v>
      </c>
      <c r="AU39" s="581" t="str">
        <f t="shared" si="11"/>
        <v/>
      </c>
      <c r="AV39" s="760">
        <f t="shared" si="10"/>
        <v>0</v>
      </c>
    </row>
    <row r="40" spans="1:49" s="581" customFormat="1" ht="12.4" customHeight="1" outlineLevel="1" x14ac:dyDescent="0.25">
      <c r="A40" s="703">
        <f>'BOULEVARD 5'!BQ38</f>
        <v>0</v>
      </c>
      <c r="B40" s="564">
        <v>302</v>
      </c>
      <c r="C40" s="564" t="s">
        <v>186</v>
      </c>
      <c r="D40" s="564"/>
      <c r="E40" s="564" t="str">
        <f>IF('BOULEVARD 5'!E38&lt;&gt;0,'BOULEVARD 5'!E38,"")</f>
        <v>Anahí Cisneros</v>
      </c>
      <c r="F40" s="581" t="str">
        <f>IF('BOULEVARD 5'!F38&lt;&gt;0,'BOULEVARD 5'!F38,"")</f>
        <v>José Ignacio Ramírez Soto</v>
      </c>
      <c r="G40" s="566">
        <f>IF('BOULEVARD 5'!G38="","",'BOULEVARD 5'!G38)</f>
        <v>45898</v>
      </c>
      <c r="H40" s="756">
        <f>IF(OR($A40="F&amp;F",$A40="CE",H$7="No aplica"),0,'BOULEVARD 5'!K38-'BOULEVARD PPTO'!C33)</f>
        <v>0</v>
      </c>
      <c r="I40" s="756">
        <f>IF(OR($A40="F&amp;F",$A40="CE",I$7="No aplica"),0,'BOULEVARD 5'!L38-'BOULEVARD PPTO'!D33)</f>
        <v>0</v>
      </c>
      <c r="J40" s="756">
        <f>IF(OR($A40="F&amp;F",$A40="CE",J$7="No aplica"),0,'BOULEVARD 5'!M38-'BOULEVARD PPTO'!E33)</f>
        <v>0</v>
      </c>
      <c r="K40" s="756">
        <f>IF(OR($A40="F&amp;F",$A40="CE",K$7="No aplica"),0,'BOULEVARD 5'!N38-'BOULEVARD PPTO'!F33)</f>
        <v>0</v>
      </c>
      <c r="L40" s="756">
        <f>IF(OR($A40="F&amp;F",$A40="CE",L$7="No aplica"),0,'BOULEVARD 5'!O38-'BOULEVARD PPTO'!G33)</f>
        <v>0</v>
      </c>
      <c r="M40" s="756">
        <f>IF(OR($A40="F&amp;F",$A40="CE",M$7="No aplica"),0,'BOULEVARD 5'!P38-'BOULEVARD PPTO'!H33)</f>
        <v>0</v>
      </c>
      <c r="N40" s="756">
        <f>IF(OR($A40="F&amp;F",$A40="CE",N$7="No aplica"),0,'BOULEVARD 5'!Q38-'BOULEVARD PPTO'!I33)</f>
        <v>0</v>
      </c>
      <c r="O40" s="756">
        <f>IF(OR($A40="F&amp;F",$A40="CE",O$7="No aplica"),0,'BOULEVARD 5'!R38-'BOULEVARD PPTO'!J33)</f>
        <v>0</v>
      </c>
      <c r="P40" s="756">
        <f>IF(OR($A40="F&amp;F",$A40="CE",P$7="No aplica"),0,'BOULEVARD 5'!S38-'BOULEVARD PPTO'!K33)</f>
        <v>0</v>
      </c>
      <c r="Q40" s="760">
        <f>IF(OR($A40="F&amp;F",$A40="CE",Q$7="No aplica"),0,'BOULEVARD 5'!T38-'BOULEVARD PPTO'!L33)</f>
        <v>0</v>
      </c>
      <c r="R40" s="760">
        <f>IF(OR($A40="F&amp;F",$A40="CE",R$7="No aplica"),0,'BOULEVARD 5'!U38-'BOULEVARD PPTO'!M33)</f>
        <v>0</v>
      </c>
      <c r="S40" s="760">
        <f>IF(OR($A40="F&amp;F",$A40="CE",S$7="No aplica"),0,'BOULEVARD 5'!V38-'BOULEVARD PPTO'!N33)</f>
        <v>0</v>
      </c>
      <c r="T40" s="760">
        <f>IF(OR($A40="F&amp;F",$A40="CE",T$7="No aplica"),0,'BOULEVARD 5'!W38-'BOULEVARD PPTO'!O33)</f>
        <v>0</v>
      </c>
      <c r="U40" s="760">
        <f>IF(OR($A40="F&amp;F",$A40="CE",U$7="No aplica"),0,'BOULEVARD 5'!X38-'BOULEVARD PPTO'!P33)</f>
        <v>0</v>
      </c>
      <c r="V40" s="760">
        <f>IF(OR($A40="F&amp;F",$A40="CE",V$7="No aplica"),0,'BOULEVARD 5'!Y38-'BOULEVARD PPTO'!Q33)</f>
        <v>0</v>
      </c>
      <c r="W40" s="760">
        <f>IF(OR($A40="F&amp;F",$A40="CE",W$7="No aplica"),0,'BOULEVARD 5'!Z38-'BOULEVARD PPTO'!R33)</f>
        <v>0</v>
      </c>
      <c r="X40" s="760">
        <f>IF(OR($A40="F&amp;F",$A40="CE",X$7="No aplica"),0,'BOULEVARD 5'!AA38-'BOULEVARD PPTO'!S33)</f>
        <v>0</v>
      </c>
      <c r="Y40" s="760">
        <f>IF(OR($A40="F&amp;F",$A40="CE",Y$7="No aplica"),0,'BOULEVARD 5'!AB38-'BOULEVARD PPTO'!T33)</f>
        <v>0</v>
      </c>
      <c r="Z40" s="760">
        <f>IF(OR($A40="F&amp;F",$A40="CE",Z$7="No aplica"),0,'BOULEVARD 5'!AC38-'BOULEVARD PPTO'!U33)</f>
        <v>0</v>
      </c>
      <c r="AA40" s="760">
        <f>IF(OR($A40="F&amp;F",$A40="CE",AA$7="No aplica"),0,'BOULEVARD 5'!AD38-'BOULEVARD PPTO'!V33)</f>
        <v>0</v>
      </c>
      <c r="AB40" s="760">
        <f>IF(OR($A40="F&amp;F",$A40="CE",AB$7="No aplica"),0,'BOULEVARD 5'!AE38-'BOULEVARD PPTO'!W33)</f>
        <v>0</v>
      </c>
      <c r="AC40" s="760">
        <f>IF(OR($A40="F&amp;F",$A40="CE",AC$7="No aplica"),0,'BOULEVARD 5'!AF38-'BOULEVARD PPTO'!X33)</f>
        <v>0</v>
      </c>
      <c r="AD40" s="760">
        <f>IF(OR($A40="F&amp;F",$A40="CE",AD$7="No aplica"),0,'BOULEVARD 5'!AG38-'BOULEVARD PPTO'!Y33)</f>
        <v>0</v>
      </c>
      <c r="AE40" s="760">
        <f>IF(OR($A40="F&amp;F",$A40="CE",AE$7="No aplica"),0,'BOULEVARD 5'!AH38-'BOULEVARD PPTO'!Z33)</f>
        <v>0</v>
      </c>
      <c r="AF40" s="760">
        <f>IF(OR($A40="F&amp;F",$A40="CE",AF$7="No aplica"),0,'BOULEVARD 5'!AI38-'BOULEVARD PPTO'!AA33)</f>
        <v>0</v>
      </c>
      <c r="AG40" s="760">
        <f>IF(OR($A40="F&amp;F",$A40="CE",AG$7="No aplica"),0,'BOULEVARD 5'!AJ38-'BOULEVARD PPTO'!AB33)</f>
        <v>0</v>
      </c>
      <c r="AH40" s="760">
        <f>IF(OR($A40="F&amp;F",$A40="CE",AH$7="No aplica"),0,'BOULEVARD 5'!AK38-'BOULEVARD PPTO'!AC33)</f>
        <v>0</v>
      </c>
      <c r="AI40" s="760">
        <f>IF(OR($A40="F&amp;F",$A40="CE",AI$7="No aplica"),0,'BOULEVARD 5'!AL38-'BOULEVARD PPTO'!AD33)</f>
        <v>0</v>
      </c>
      <c r="AJ40" s="760">
        <f>IF(OR($A40="F&amp;F",$A40="CE",AJ$7="No aplica"),0,'BOULEVARD 5'!AM38-'BOULEVARD PPTO'!AE33)</f>
        <v>0</v>
      </c>
      <c r="AK40" s="760">
        <f>IF(OR($A40="F&amp;F",$A40="CE",AK$7="No aplica"),0,'BOULEVARD 5'!AN38-'BOULEVARD PPTO'!AF33)</f>
        <v>10000</v>
      </c>
      <c r="AL40" s="760">
        <f>IF(OR($A40="F&amp;F",$A40="CE",AL$7="No aplica"),0,'BOULEVARD 5'!AO38-'BOULEVARD PPTO'!AG33)</f>
        <v>9200</v>
      </c>
      <c r="AM40" s="760">
        <f>IF(OR($A40="F&amp;F",$A40="CE",AM$7="No aplica"),0,'BOULEVARD 5'!AP38-'BOULEVARD PPTO'!AH33)</f>
        <v>9200</v>
      </c>
      <c r="AN40" s="760">
        <f>IF(OR($A40="F&amp;F",$A40="CE",AN$7="No aplica"),0,'BOULEVARD 5'!AQ38-'BOULEVARD PPTO'!AI33)</f>
        <v>0</v>
      </c>
      <c r="AO40" s="760">
        <f>IF(OR($A40="F&amp;F",$A40="CE",AO$7="No aplica"),0,'BOULEVARD 5'!AS38-'BOULEVARD PPTO'!AJ33)</f>
        <v>0</v>
      </c>
      <c r="AP40" s="761">
        <f t="shared" si="7"/>
        <v>28400</v>
      </c>
      <c r="AQ40" s="761">
        <f t="shared" si="8"/>
        <v>46800</v>
      </c>
      <c r="AR40" s="674">
        <f>IF(A40=0,'BOULEVARD 5'!BF38,0)</f>
        <v>10000</v>
      </c>
      <c r="AS40" s="674">
        <f>IF(A40=0,'BOULEVARD 5'!BG38,0)</f>
        <v>9200</v>
      </c>
      <c r="AT40" s="675" t="str">
        <f t="shared" si="4"/>
        <v>Vendido</v>
      </c>
      <c r="AU40" s="581" t="str">
        <f t="shared" si="11"/>
        <v>A FAVOR DEL CLIENTE</v>
      </c>
      <c r="AV40" s="760">
        <f t="shared" si="10"/>
        <v>9200</v>
      </c>
    </row>
    <row r="41" spans="1:49" s="581" customFormat="1" ht="12.4" customHeight="1" outlineLevel="1" x14ac:dyDescent="0.25">
      <c r="A41" s="703">
        <f>'BOULEVARD 5'!BQ39</f>
        <v>0</v>
      </c>
      <c r="B41" s="564">
        <v>303</v>
      </c>
      <c r="C41" s="564" t="s">
        <v>192</v>
      </c>
      <c r="D41" s="564"/>
      <c r="E41" s="564" t="str">
        <f>IF('BOULEVARD 5'!E39&lt;&gt;0,'BOULEVARD 5'!E39,"")</f>
        <v>Erwin Cardona</v>
      </c>
      <c r="F41" s="581" t="str">
        <f>IF('BOULEVARD 5'!F39&lt;&gt;0,'BOULEVARD 5'!F39,"")</f>
        <v>Pedro Antonio Gomar Chávez</v>
      </c>
      <c r="G41" s="566" t="str">
        <f>IF('BOULEVARD 5'!G39="","",'BOULEVARD 5'!G39)</f>
        <v>27/11/205</v>
      </c>
      <c r="H41" s="756">
        <f>IF(OR($A41="F&amp;F",$A41="CE",H$7="No aplica"),0,'BOULEVARD 5'!K39-'BOULEVARD PPTO'!C34)</f>
        <v>0</v>
      </c>
      <c r="I41" s="756">
        <f>IF(OR($A41="F&amp;F",$A41="CE",I$7="No aplica"),0,'BOULEVARD 5'!L39-'BOULEVARD PPTO'!D34)</f>
        <v>0</v>
      </c>
      <c r="J41" s="756">
        <f>IF(OR($A41="F&amp;F",$A41="CE",J$7="No aplica"),0,'BOULEVARD 5'!M39-'BOULEVARD PPTO'!E34)</f>
        <v>0</v>
      </c>
      <c r="K41" s="756">
        <f>IF(OR($A41="F&amp;F",$A41="CE",K$7="No aplica"),0,'BOULEVARD 5'!N39-'BOULEVARD PPTO'!F34)</f>
        <v>0</v>
      </c>
      <c r="L41" s="756">
        <f>IF(OR($A41="F&amp;F",$A41="CE",L$7="No aplica"),0,'BOULEVARD 5'!O39-'BOULEVARD PPTO'!G34)</f>
        <v>0</v>
      </c>
      <c r="M41" s="756">
        <f>IF(OR($A41="F&amp;F",$A41="CE",M$7="No aplica"),0,'BOULEVARD 5'!P39-'BOULEVARD PPTO'!H34)</f>
        <v>0</v>
      </c>
      <c r="N41" s="756">
        <f>IF(OR($A41="F&amp;F",$A41="CE",N$7="No aplica"),0,'BOULEVARD 5'!Q39-'BOULEVARD PPTO'!I34)</f>
        <v>0</v>
      </c>
      <c r="O41" s="756">
        <f>IF(OR($A41="F&amp;F",$A41="CE",O$7="No aplica"),0,'BOULEVARD 5'!R39-'BOULEVARD PPTO'!J34)</f>
        <v>0</v>
      </c>
      <c r="P41" s="756">
        <f>IF(OR($A41="F&amp;F",$A41="CE",P$7="No aplica"),0,'BOULEVARD 5'!S39-'BOULEVARD PPTO'!K34)</f>
        <v>0</v>
      </c>
      <c r="Q41" s="760">
        <f>IF(OR($A41="F&amp;F",$A41="CE",Q$7="No aplica"),0,'BOULEVARD 5'!T39-'BOULEVARD PPTO'!L34)</f>
        <v>0</v>
      </c>
      <c r="R41" s="760">
        <f>IF(OR($A41="F&amp;F",$A41="CE",R$7="No aplica"),0,'BOULEVARD 5'!U39-'BOULEVARD PPTO'!M34)</f>
        <v>0</v>
      </c>
      <c r="S41" s="760">
        <f>IF(OR($A41="F&amp;F",$A41="CE",S$7="No aplica"),0,'BOULEVARD 5'!V39-'BOULEVARD PPTO'!N34)</f>
        <v>0</v>
      </c>
      <c r="T41" s="760">
        <f>IF(OR($A41="F&amp;F",$A41="CE",T$7="No aplica"),0,'BOULEVARD 5'!W39-'BOULEVARD PPTO'!O34)</f>
        <v>0</v>
      </c>
      <c r="U41" s="760">
        <f>IF(OR($A41="F&amp;F",$A41="CE",U$7="No aplica"),0,'BOULEVARD 5'!X39-'BOULEVARD PPTO'!P34)</f>
        <v>0</v>
      </c>
      <c r="V41" s="760">
        <f>IF(OR($A41="F&amp;F",$A41="CE",V$7="No aplica"),0,'BOULEVARD 5'!Y39-'BOULEVARD PPTO'!Q34)</f>
        <v>0</v>
      </c>
      <c r="W41" s="760">
        <f>IF(OR($A41="F&amp;F",$A41="CE",W$7="No aplica"),0,'BOULEVARD 5'!Z39-'BOULEVARD PPTO'!R34)</f>
        <v>0</v>
      </c>
      <c r="X41" s="760">
        <f>IF(OR($A41="F&amp;F",$A41="CE",X$7="No aplica"),0,'BOULEVARD 5'!AA39-'BOULEVARD PPTO'!S34)</f>
        <v>0</v>
      </c>
      <c r="Y41" s="760">
        <f>IF(OR($A41="F&amp;F",$A41="CE",Y$7="No aplica"),0,'BOULEVARD 5'!AB39-'BOULEVARD PPTO'!T34)</f>
        <v>0</v>
      </c>
      <c r="Z41" s="760">
        <f>IF(OR($A41="F&amp;F",$A41="CE",Z$7="No aplica"),0,'BOULEVARD 5'!AC39-'BOULEVARD PPTO'!U34)</f>
        <v>0</v>
      </c>
      <c r="AA41" s="760">
        <f>IF(OR($A41="F&amp;F",$A41="CE",AA$7="No aplica"),0,'BOULEVARD 5'!AD39-'BOULEVARD PPTO'!V34)</f>
        <v>0</v>
      </c>
      <c r="AB41" s="760">
        <f>IF(OR($A41="F&amp;F",$A41="CE",AB$7="No aplica"),0,'BOULEVARD 5'!AE39-'BOULEVARD PPTO'!W34)</f>
        <v>0</v>
      </c>
      <c r="AC41" s="760">
        <f>IF(OR($A41="F&amp;F",$A41="CE",AC$7="No aplica"),0,'BOULEVARD 5'!AF39-'BOULEVARD PPTO'!X34)</f>
        <v>0</v>
      </c>
      <c r="AD41" s="760">
        <f>IF(OR($A41="F&amp;F",$A41="CE",AD$7="No aplica"),0,'BOULEVARD 5'!AG39-'BOULEVARD PPTO'!Y34)</f>
        <v>0</v>
      </c>
      <c r="AE41" s="760">
        <f>IF(OR($A41="F&amp;F",$A41="CE",AE$7="No aplica"),0,'BOULEVARD 5'!AH39-'BOULEVARD PPTO'!Z34)</f>
        <v>0</v>
      </c>
      <c r="AF41" s="760">
        <f>IF(OR($A41="F&amp;F",$A41="CE",AF$7="No aplica"),0,'BOULEVARD 5'!AI39-'BOULEVARD PPTO'!AA34)</f>
        <v>0</v>
      </c>
      <c r="AG41" s="760">
        <f>IF(OR($A41="F&amp;F",$A41="CE",AG$7="No aplica"),0,'BOULEVARD 5'!AJ39-'BOULEVARD PPTO'!AB34)</f>
        <v>0</v>
      </c>
      <c r="AH41" s="760">
        <f>IF(OR($A41="F&amp;F",$A41="CE",AH$7="No aplica"),0,'BOULEVARD 5'!AK39-'BOULEVARD PPTO'!AC34)</f>
        <v>0</v>
      </c>
      <c r="AI41" s="760">
        <f>IF(OR($A41="F&amp;F",$A41="CE",AI$7="No aplica"),0,'BOULEVARD 5'!AL39-'BOULEVARD PPTO'!AD34)</f>
        <v>0</v>
      </c>
      <c r="AJ41" s="760">
        <f>IF(OR($A41="F&amp;F",$A41="CE",AJ$7="No aplica"),0,'BOULEVARD 5'!AM39-'BOULEVARD PPTO'!AE34)</f>
        <v>0</v>
      </c>
      <c r="AK41" s="760">
        <f>IF(OR($A41="F&amp;F",$A41="CE",AK$7="No aplica"),0,'BOULEVARD 5'!AN39-'BOULEVARD PPTO'!AF34)</f>
        <v>0</v>
      </c>
      <c r="AL41" s="760">
        <f>IF(OR($A41="F&amp;F",$A41="CE",AL$7="No aplica"),0,'BOULEVARD 5'!AO39-'BOULEVARD PPTO'!AG34)</f>
        <v>0</v>
      </c>
      <c r="AM41" s="760">
        <f>IF(OR($A41="F&amp;F",$A41="CE",AM$7="No aplica"),0,'BOULEVARD 5'!AP39-'BOULEVARD PPTO'!AH34)</f>
        <v>0</v>
      </c>
      <c r="AN41" s="760">
        <f>IF(OR($A41="F&amp;F",$A41="CE",AN$7="No aplica"),0,'BOULEVARD 5'!AQ39-'BOULEVARD PPTO'!AI34)</f>
        <v>0</v>
      </c>
      <c r="AO41" s="760">
        <f>IF(OR($A41="F&amp;F",$A41="CE",AO$7="No aplica"),0,'BOULEVARD 5'!AS39-'BOULEVARD PPTO'!AJ34)</f>
        <v>0</v>
      </c>
      <c r="AP41" s="761">
        <f t="shared" si="7"/>
        <v>0</v>
      </c>
      <c r="AQ41" s="761">
        <f t="shared" si="8"/>
        <v>0</v>
      </c>
      <c r="AR41" s="674">
        <f>IF(A41=0,'BOULEVARD 5'!BF39,0)</f>
        <v>0</v>
      </c>
      <c r="AS41" s="674">
        <f>IF(A41=0,'BOULEVARD 5'!BG39,0)</f>
        <v>0</v>
      </c>
      <c r="AT41" s="675" t="str">
        <f t="shared" si="4"/>
        <v>Vendido</v>
      </c>
      <c r="AU41" s="581" t="str">
        <f t="shared" si="11"/>
        <v/>
      </c>
      <c r="AV41" s="760">
        <f t="shared" si="10"/>
        <v>0</v>
      </c>
    </row>
    <row r="42" spans="1:49" s="581" customFormat="1" ht="12.4" customHeight="1" outlineLevel="1" x14ac:dyDescent="0.25">
      <c r="A42" s="703">
        <f>'BOULEVARD 5'!BQ40</f>
        <v>0</v>
      </c>
      <c r="B42" s="564">
        <v>304</v>
      </c>
      <c r="C42" s="564" t="s">
        <v>198</v>
      </c>
      <c r="D42" s="564"/>
      <c r="E42" s="564" t="str">
        <f>IF('BOULEVARD 5'!E40&lt;&gt;0,'BOULEVARD 5'!E40,"")</f>
        <v>Antonio Rada</v>
      </c>
      <c r="F42" s="581" t="str">
        <f>IF('BOULEVARD 5'!F40&lt;&gt;0,'BOULEVARD 5'!F40,"")</f>
        <v>Ricardo Alberto Vásquez Monterroso</v>
      </c>
      <c r="G42" s="566">
        <f>IF('BOULEVARD 5'!G40="","",'BOULEVARD 5'!G40)</f>
        <v>45719</v>
      </c>
      <c r="H42" s="756">
        <f>IF(OR($A42="F&amp;F",$A42="CE",H$7="No aplica"),0,'BOULEVARD 5'!K40-'BOULEVARD PPTO'!C35)</f>
        <v>0</v>
      </c>
      <c r="I42" s="756">
        <f>IF(OR($A42="F&amp;F",$A42="CE",I$7="No aplica"),0,'BOULEVARD 5'!L40-'BOULEVARD PPTO'!D35)</f>
        <v>0</v>
      </c>
      <c r="J42" s="756">
        <f>IF(OR($A42="F&amp;F",$A42="CE",J$7="No aplica"),0,'BOULEVARD 5'!M40-'BOULEVARD PPTO'!E35)</f>
        <v>0</v>
      </c>
      <c r="K42" s="756">
        <f>IF(OR($A42="F&amp;F",$A42="CE",K$7="No aplica"),0,'BOULEVARD 5'!N40-'BOULEVARD PPTO'!F35)</f>
        <v>0</v>
      </c>
      <c r="L42" s="756">
        <f>IF(OR($A42="F&amp;F",$A42="CE",L$7="No aplica"),0,'BOULEVARD 5'!O40-'BOULEVARD PPTO'!G35)</f>
        <v>0</v>
      </c>
      <c r="M42" s="756">
        <f>IF(OR($A42="F&amp;F",$A42="CE",M$7="No aplica"),0,'BOULEVARD 5'!P40-'BOULEVARD PPTO'!H35)</f>
        <v>0</v>
      </c>
      <c r="N42" s="756">
        <f>IF(OR($A42="F&amp;F",$A42="CE",N$7="No aplica"),0,'BOULEVARD 5'!Q40-'BOULEVARD PPTO'!I35)</f>
        <v>0</v>
      </c>
      <c r="O42" s="756">
        <f>IF(OR($A42="F&amp;F",$A42="CE",O$7="No aplica"),0,'BOULEVARD 5'!R40-'BOULEVARD PPTO'!J35)</f>
        <v>0</v>
      </c>
      <c r="P42" s="756">
        <f>IF(OR($A42="F&amp;F",$A42="CE",P$7="No aplica"),0,'BOULEVARD 5'!S40-'BOULEVARD PPTO'!K35)</f>
        <v>0</v>
      </c>
      <c r="Q42" s="760">
        <f>IF(OR($A42="F&amp;F",$A42="CE",Q$7="No aplica"),0,'BOULEVARD 5'!T40-'BOULEVARD PPTO'!L35)</f>
        <v>0</v>
      </c>
      <c r="R42" s="760">
        <f>IF(OR($A42="F&amp;F",$A42="CE",R$7="No aplica"),0,'BOULEVARD 5'!U40-'BOULEVARD PPTO'!M35)</f>
        <v>0</v>
      </c>
      <c r="S42" s="760">
        <f>IF(OR($A42="F&amp;F",$A42="CE",S$7="No aplica"),0,'BOULEVARD 5'!V40-'BOULEVARD PPTO'!N35)</f>
        <v>0</v>
      </c>
      <c r="T42" s="760">
        <f>IF(OR($A42="F&amp;F",$A42="CE",T$7="No aplica"),0,'BOULEVARD 5'!W40-'BOULEVARD PPTO'!O35)</f>
        <v>0</v>
      </c>
      <c r="U42" s="760">
        <f>IF(OR($A42="F&amp;F",$A42="CE",U$7="No aplica"),0,'BOULEVARD 5'!X40-'BOULEVARD PPTO'!P35)</f>
        <v>0</v>
      </c>
      <c r="V42" s="760">
        <f>IF(OR($A42="F&amp;F",$A42="CE",V$7="No aplica"),0,'BOULEVARD 5'!Y40-'BOULEVARD PPTO'!Q35)</f>
        <v>0</v>
      </c>
      <c r="W42" s="760">
        <f>IF(OR($A42="F&amp;F",$A42="CE",W$7="No aplica"),0,'BOULEVARD 5'!Z40-'BOULEVARD PPTO'!R35)</f>
        <v>0</v>
      </c>
      <c r="X42" s="760">
        <f>IF(OR($A42="F&amp;F",$A42="CE",X$7="No aplica"),0,'BOULEVARD 5'!AA40-'BOULEVARD PPTO'!S35)</f>
        <v>0</v>
      </c>
      <c r="Y42" s="760">
        <f>IF(OR($A42="F&amp;F",$A42="CE",Y$7="No aplica"),0,'BOULEVARD 5'!AB40-'BOULEVARD PPTO'!T35)</f>
        <v>0</v>
      </c>
      <c r="Z42" s="760">
        <f>IF(OR($A42="F&amp;F",$A42="CE",Z$7="No aplica"),0,'BOULEVARD 5'!AC40-'BOULEVARD PPTO'!U35)</f>
        <v>0</v>
      </c>
      <c r="AA42" s="760">
        <f>IF(OR($A42="F&amp;F",$A42="CE",AA$7="No aplica"),0,'BOULEVARD 5'!AD40-'BOULEVARD PPTO'!V35)</f>
        <v>0</v>
      </c>
      <c r="AB42" s="760">
        <f>IF(OR($A42="F&amp;F",$A42="CE",AB$7="No aplica"),0,'BOULEVARD 5'!AE40-'BOULEVARD PPTO'!W35)</f>
        <v>0</v>
      </c>
      <c r="AC42" s="760">
        <f>IF(OR($A42="F&amp;F",$A42="CE",AC$7="No aplica"),0,'BOULEVARD 5'!AF40-'BOULEVARD PPTO'!X35)</f>
        <v>0</v>
      </c>
      <c r="AD42" s="760">
        <f>IF(OR($A42="F&amp;F",$A42="CE",AD$7="No aplica"),0,'BOULEVARD 5'!AG40-'BOULEVARD PPTO'!Y35)</f>
        <v>0</v>
      </c>
      <c r="AE42" s="760">
        <f>IF(OR($A42="F&amp;F",$A42="CE",AE$7="No aplica"),0,'BOULEVARD 5'!AH40-'BOULEVARD PPTO'!Z35)</f>
        <v>0</v>
      </c>
      <c r="AF42" s="760">
        <f>IF(OR($A42="F&amp;F",$A42="CE",AF$7="No aplica"),0,'BOULEVARD 5'!AI40-'BOULEVARD PPTO'!AA35)</f>
        <v>0</v>
      </c>
      <c r="AG42" s="760">
        <f>IF(OR($A42="F&amp;F",$A42="CE",AG$7="No aplica"),0,'BOULEVARD 5'!AJ40-'BOULEVARD PPTO'!AB35)</f>
        <v>0</v>
      </c>
      <c r="AH42" s="760">
        <f>IF(OR($A42="F&amp;F",$A42="CE",AH$7="No aplica"),0,'BOULEVARD 5'!AK40-'BOULEVARD PPTO'!AC35)</f>
        <v>0</v>
      </c>
      <c r="AI42" s="760">
        <f>IF(OR($A42="F&amp;F",$A42="CE",AI$7="No aplica"),0,'BOULEVARD 5'!AL40-'BOULEVARD PPTO'!AD35)</f>
        <v>0</v>
      </c>
      <c r="AJ42" s="760">
        <f>IF(OR($A42="F&amp;F",$A42="CE",AJ$7="No aplica"),0,'BOULEVARD 5'!AM40-'BOULEVARD PPTO'!AE35)</f>
        <v>0</v>
      </c>
      <c r="AK42" s="760">
        <f>IF(OR($A42="F&amp;F",$A42="CE",AK$7="No aplica"),0,'BOULEVARD 5'!AN40-'BOULEVARD PPTO'!AF35)</f>
        <v>0</v>
      </c>
      <c r="AL42" s="760">
        <f>IF(OR($A42="F&amp;F",$A42="CE",AL$7="No aplica"),0,'BOULEVARD 5'!AO40-'BOULEVARD PPTO'!AG35)</f>
        <v>0</v>
      </c>
      <c r="AM42" s="760">
        <f>IF(OR($A42="F&amp;F",$A42="CE",AM$7="No aplica"),0,'BOULEVARD 5'!AP40-'BOULEVARD PPTO'!AH35)</f>
        <v>0</v>
      </c>
      <c r="AN42" s="760">
        <f>IF(OR($A42="F&amp;F",$A42="CE",AN$7="No aplica"),0,'BOULEVARD 5'!AQ40-'BOULEVARD PPTO'!AI35)</f>
        <v>0</v>
      </c>
      <c r="AO42" s="760">
        <f>IF(OR($A42="F&amp;F",$A42="CE",AO$7="No aplica"),0,'BOULEVARD 5'!AS40-'BOULEVARD PPTO'!AJ35)</f>
        <v>0</v>
      </c>
      <c r="AP42" s="761">
        <f t="shared" si="7"/>
        <v>0</v>
      </c>
      <c r="AQ42" s="761">
        <f t="shared" si="8"/>
        <v>-20975.199999999997</v>
      </c>
      <c r="AR42" s="674">
        <f>IF(A42=0,'BOULEVARD 5'!BF40,0)</f>
        <v>10000</v>
      </c>
      <c r="AS42" s="674">
        <f>IF(A42=0,'BOULEVARD 5'!BG40,0)</f>
        <v>5244</v>
      </c>
      <c r="AT42" s="675" t="str">
        <f t="shared" si="4"/>
        <v>Vendido</v>
      </c>
      <c r="AU42" s="581" t="str">
        <f t="shared" si="11"/>
        <v/>
      </c>
      <c r="AV42" s="760">
        <f t="shared" si="10"/>
        <v>0</v>
      </c>
    </row>
    <row r="43" spans="1:49" s="581" customFormat="1" ht="12.4" customHeight="1" outlineLevel="1" x14ac:dyDescent="0.25">
      <c r="A43" s="703">
        <f>'BOULEVARD 5'!BQ41</f>
        <v>0</v>
      </c>
      <c r="B43" s="564">
        <v>305</v>
      </c>
      <c r="C43" s="564" t="s">
        <v>391</v>
      </c>
      <c r="D43" s="564"/>
      <c r="E43" s="564" t="str">
        <f>IF('BOULEVARD 5'!E41&lt;&gt;0,'BOULEVARD 5'!E41,"")</f>
        <v>Antonio Rada</v>
      </c>
      <c r="F43" s="581" t="str">
        <f>IF('BOULEVARD 5'!F41&lt;&gt;0,'BOULEVARD 5'!F41,"")</f>
        <v>Josue Alejandro Arias Perez</v>
      </c>
      <c r="G43" s="566">
        <f>IF('BOULEVARD 5'!G41="","",'BOULEVARD 5'!G41)</f>
        <v>45748</v>
      </c>
      <c r="H43" s="756">
        <f>IF(OR($A43="F&amp;F",$A43="CE",H$7="No aplica"),0,'BOULEVARD 5'!K41-'BOULEVARD PPTO'!C36)</f>
        <v>0</v>
      </c>
      <c r="I43" s="756">
        <f>IF(OR($A43="F&amp;F",$A43="CE",I$7="No aplica"),0,'BOULEVARD 5'!L41-'BOULEVARD PPTO'!D36)</f>
        <v>0</v>
      </c>
      <c r="J43" s="756">
        <f>IF(OR($A43="F&amp;F",$A43="CE",J$7="No aplica"),0,'BOULEVARD 5'!M41-'BOULEVARD PPTO'!E36)</f>
        <v>0</v>
      </c>
      <c r="K43" s="756">
        <f>IF(OR($A43="F&amp;F",$A43="CE",K$7="No aplica"),0,'BOULEVARD 5'!N41-'BOULEVARD PPTO'!F36)</f>
        <v>0</v>
      </c>
      <c r="L43" s="756">
        <f>IF(OR($A43="F&amp;F",$A43="CE",L$7="No aplica"),0,'BOULEVARD 5'!O41-'BOULEVARD PPTO'!G36)</f>
        <v>0</v>
      </c>
      <c r="M43" s="756">
        <f>IF(OR($A43="F&amp;F",$A43="CE",M$7="No aplica"),0,'BOULEVARD 5'!P41-'BOULEVARD PPTO'!H36)</f>
        <v>0</v>
      </c>
      <c r="N43" s="756">
        <f>IF(OR($A43="F&amp;F",$A43="CE",N$7="No aplica"),0,'BOULEVARD 5'!Q41-'BOULEVARD PPTO'!I36)</f>
        <v>0</v>
      </c>
      <c r="O43" s="756">
        <f>IF(OR($A43="F&amp;F",$A43="CE",O$7="No aplica"),0,'BOULEVARD 5'!R41-'BOULEVARD PPTO'!J36)</f>
        <v>0</v>
      </c>
      <c r="P43" s="756">
        <f>IF(OR($A43="F&amp;F",$A43="CE",P$7="No aplica"),0,'BOULEVARD 5'!S41-'BOULEVARD PPTO'!K36)</f>
        <v>0</v>
      </c>
      <c r="Q43" s="760">
        <f>IF(OR($A43="F&amp;F",$A43="CE",Q$7="No aplica"),0,'BOULEVARD 5'!T41-'BOULEVARD PPTO'!L36)</f>
        <v>0</v>
      </c>
      <c r="R43" s="760">
        <f>IF(OR($A43="F&amp;F",$A43="CE",R$7="No aplica"),0,'BOULEVARD 5'!U41-'BOULEVARD PPTO'!M36)</f>
        <v>0</v>
      </c>
      <c r="S43" s="760">
        <f>IF(OR($A43="F&amp;F",$A43="CE",S$7="No aplica"),0,'BOULEVARD 5'!V41-'BOULEVARD PPTO'!N36)</f>
        <v>0</v>
      </c>
      <c r="T43" s="760">
        <f>IF(OR($A43="F&amp;F",$A43="CE",T$7="No aplica"),0,'BOULEVARD 5'!W41-'BOULEVARD PPTO'!O36)</f>
        <v>0</v>
      </c>
      <c r="U43" s="760">
        <f>IF(OR($A43="F&amp;F",$A43="CE",U$7="No aplica"),0,'BOULEVARD 5'!X41-'BOULEVARD PPTO'!P36)</f>
        <v>0</v>
      </c>
      <c r="V43" s="760">
        <f>IF(OR($A43="F&amp;F",$A43="CE",V$7="No aplica"),0,'BOULEVARD 5'!Y41-'BOULEVARD PPTO'!Q36)</f>
        <v>0</v>
      </c>
      <c r="W43" s="760">
        <f>IF(OR($A43="F&amp;F",$A43="CE",W$7="No aplica"),0,'BOULEVARD 5'!Z41-'BOULEVARD PPTO'!R36)</f>
        <v>0</v>
      </c>
      <c r="X43" s="760">
        <f>IF(OR($A43="F&amp;F",$A43="CE",X$7="No aplica"),0,'BOULEVARD 5'!AA41-'BOULEVARD PPTO'!S36)</f>
        <v>0</v>
      </c>
      <c r="Y43" s="760">
        <f>IF(OR($A43="F&amp;F",$A43="CE",Y$7="No aplica"),0,'BOULEVARD 5'!AB41-'BOULEVARD PPTO'!T36)</f>
        <v>0</v>
      </c>
      <c r="Z43" s="760">
        <f>IF(OR($A43="F&amp;F",$A43="CE",Z$7="No aplica"),0,'BOULEVARD 5'!AC41-'BOULEVARD PPTO'!U36)</f>
        <v>0</v>
      </c>
      <c r="AA43" s="760">
        <f>IF(OR($A43="F&amp;F",$A43="CE",AA$7="No aplica"),0,'BOULEVARD 5'!AD41-'BOULEVARD PPTO'!V36)</f>
        <v>0</v>
      </c>
      <c r="AB43" s="760">
        <f>IF(OR($A43="F&amp;F",$A43="CE",AB$7="No aplica"),0,'BOULEVARD 5'!AE41-'BOULEVARD PPTO'!W36)</f>
        <v>0</v>
      </c>
      <c r="AC43" s="760">
        <f>IF(OR($A43="F&amp;F",$A43="CE",AC$7="No aplica"),0,'BOULEVARD 5'!AF41-'BOULEVARD PPTO'!X36)</f>
        <v>0</v>
      </c>
      <c r="AD43" s="760">
        <f>IF(OR($A43="F&amp;F",$A43="CE",AD$7="No aplica"),0,'BOULEVARD 5'!AG41-'BOULEVARD PPTO'!Y36)</f>
        <v>0</v>
      </c>
      <c r="AE43" s="760">
        <f>IF(OR($A43="F&amp;F",$A43="CE",AE$7="No aplica"),0,'BOULEVARD 5'!AH41-'BOULEVARD PPTO'!Z36)</f>
        <v>0</v>
      </c>
      <c r="AF43" s="760">
        <f>IF(OR($A43="F&amp;F",$A43="CE",AF$7="No aplica"),0,'BOULEVARD 5'!AI41-'BOULEVARD PPTO'!AA36)</f>
        <v>0</v>
      </c>
      <c r="AG43" s="760">
        <f>IF(OR($A43="F&amp;F",$A43="CE",AG$7="No aplica"),0,'BOULEVARD 5'!AJ41-'BOULEVARD PPTO'!AB36)</f>
        <v>0</v>
      </c>
      <c r="AH43" s="760">
        <f>IF(OR($A43="F&amp;F",$A43="CE",AH$7="No aplica"),0,'BOULEVARD 5'!AK41-'BOULEVARD PPTO'!AC36)</f>
        <v>0</v>
      </c>
      <c r="AI43" s="760">
        <f>IF(OR($A43="F&amp;F",$A43="CE",AI$7="No aplica"),0,'BOULEVARD 5'!AL41-'BOULEVARD PPTO'!AD36)</f>
        <v>0</v>
      </c>
      <c r="AJ43" s="760">
        <f>IF(OR($A43="F&amp;F",$A43="CE",AJ$7="No aplica"),0,'BOULEVARD 5'!AM41-'BOULEVARD PPTO'!AE36)</f>
        <v>0</v>
      </c>
      <c r="AK43" s="760">
        <f>IF(OR($A43="F&amp;F",$A43="CE",AK$7="No aplica"),0,'BOULEVARD 5'!AN41-'BOULEVARD PPTO'!AF36)</f>
        <v>0</v>
      </c>
      <c r="AL43" s="760">
        <f>IF(OR($A43="F&amp;F",$A43="CE",AL$7="No aplica"),0,'BOULEVARD 5'!AO41-'BOULEVARD PPTO'!AG36)</f>
        <v>0</v>
      </c>
      <c r="AM43" s="760">
        <f>IF(OR($A43="F&amp;F",$A43="CE",AM$7="No aplica"),0,'BOULEVARD 5'!AP41-'BOULEVARD PPTO'!AH36)</f>
        <v>-3500</v>
      </c>
      <c r="AN43" s="760">
        <f>IF(OR($A43="F&amp;F",$A43="CE",AN$7="No aplica"),0,'BOULEVARD 5'!AQ41-'BOULEVARD PPTO'!AI36)</f>
        <v>0</v>
      </c>
      <c r="AO43" s="760">
        <f>IF(OR($A43="F&amp;F",$A43="CE",AO$7="No aplica"),0,'BOULEVARD 5'!AS41-'BOULEVARD PPTO'!AJ36)</f>
        <v>0</v>
      </c>
      <c r="AP43" s="761">
        <f t="shared" si="7"/>
        <v>-3500</v>
      </c>
      <c r="AQ43" s="761">
        <f t="shared" si="8"/>
        <v>-50265.61</v>
      </c>
      <c r="AR43" s="674">
        <f>IF(A43=0,'BOULEVARD 5'!BF41,0)</f>
        <v>15000</v>
      </c>
      <c r="AS43" s="674">
        <f>IF(A43=0,'BOULEVARD 5'!BG41,0)</f>
        <v>3500</v>
      </c>
      <c r="AT43" s="675" t="str">
        <f t="shared" si="4"/>
        <v>Vendido</v>
      </c>
      <c r="AU43" s="581" t="str">
        <f t="shared" si="11"/>
        <v>POR COBRAR</v>
      </c>
      <c r="AV43" s="760">
        <f t="shared" si="10"/>
        <v>0</v>
      </c>
    </row>
    <row r="44" spans="1:49" s="581" customFormat="1" ht="12.4" customHeight="1" outlineLevel="1" x14ac:dyDescent="0.25">
      <c r="A44" s="703">
        <f>'BOULEVARD 5'!BQ42</f>
        <v>0</v>
      </c>
      <c r="B44" s="564">
        <v>306</v>
      </c>
      <c r="C44" s="564" t="s">
        <v>194</v>
      </c>
      <c r="D44" s="564"/>
      <c r="E44" s="564" t="str">
        <f>IF('BOULEVARD 5'!E42&lt;&gt;0,'BOULEVARD 5'!E42,"")</f>
        <v>Anahí Cisneros</v>
      </c>
      <c r="F44" s="581" t="str">
        <f>IF('BOULEVARD 5'!F42&lt;&gt;0,'BOULEVARD 5'!F42,"")</f>
        <v>Ricardo José Ruiz Álvarez</v>
      </c>
      <c r="G44" s="566">
        <f>IF('BOULEVARD 5'!G42="","",'BOULEVARD 5'!G42)</f>
        <v>46033</v>
      </c>
      <c r="H44" s="756">
        <f>IF(OR($A44="F&amp;F",$A44="CE",H$7="No aplica"),0,'BOULEVARD 5'!K42-'BOULEVARD PPTO'!C37)</f>
        <v>0</v>
      </c>
      <c r="I44" s="756">
        <f>IF(OR($A44="F&amp;F",$A44="CE",I$7="No aplica"),0,'BOULEVARD 5'!L42-'BOULEVARD PPTO'!D37)</f>
        <v>0</v>
      </c>
      <c r="J44" s="756">
        <f>IF(OR($A44="F&amp;F",$A44="CE",J$7="No aplica"),0,'BOULEVARD 5'!M42-'BOULEVARD PPTO'!E37)</f>
        <v>0</v>
      </c>
      <c r="K44" s="756">
        <f>IF(OR($A44="F&amp;F",$A44="CE",K$7="No aplica"),0,'BOULEVARD 5'!N42-'BOULEVARD PPTO'!F37)</f>
        <v>0</v>
      </c>
      <c r="L44" s="756">
        <f>IF(OR($A44="F&amp;F",$A44="CE",L$7="No aplica"),0,'BOULEVARD 5'!O42-'BOULEVARD PPTO'!G37)</f>
        <v>0</v>
      </c>
      <c r="M44" s="756">
        <f>IF(OR($A44="F&amp;F",$A44="CE",M$7="No aplica"),0,'BOULEVARD 5'!P42-'BOULEVARD PPTO'!H37)</f>
        <v>0</v>
      </c>
      <c r="N44" s="756">
        <f>IF(OR($A44="F&amp;F",$A44="CE",N$7="No aplica"),0,'BOULEVARD 5'!Q42-'BOULEVARD PPTO'!I37)</f>
        <v>0</v>
      </c>
      <c r="O44" s="756">
        <f>IF(OR($A44="F&amp;F",$A44="CE",O$7="No aplica"),0,'BOULEVARD 5'!R42-'BOULEVARD PPTO'!J37)</f>
        <v>0</v>
      </c>
      <c r="P44" s="756">
        <f>IF(OR($A44="F&amp;F",$A44="CE",P$7="No aplica"),0,'BOULEVARD 5'!S42-'BOULEVARD PPTO'!K37)</f>
        <v>0</v>
      </c>
      <c r="Q44" s="760">
        <f>IF(OR($A44="F&amp;F",$A44="CE",Q$7="No aplica"),0,'BOULEVARD 5'!T42-'BOULEVARD PPTO'!L37)</f>
        <v>0</v>
      </c>
      <c r="R44" s="760">
        <f>IF(OR($A44="F&amp;F",$A44="CE",R$7="No aplica"),0,'BOULEVARD 5'!U42-'BOULEVARD PPTO'!M37)</f>
        <v>0</v>
      </c>
      <c r="S44" s="760">
        <f>IF(OR($A44="F&amp;F",$A44="CE",S$7="No aplica"),0,'BOULEVARD 5'!V42-'BOULEVARD PPTO'!N37)</f>
        <v>0</v>
      </c>
      <c r="T44" s="760">
        <f>IF(OR($A44="F&amp;F",$A44="CE",T$7="No aplica"),0,'BOULEVARD 5'!W42-'BOULEVARD PPTO'!O37)</f>
        <v>0</v>
      </c>
      <c r="U44" s="760">
        <f>IF(OR($A44="F&amp;F",$A44="CE",U$7="No aplica"),0,'BOULEVARD 5'!X42-'BOULEVARD PPTO'!P37)</f>
        <v>0</v>
      </c>
      <c r="V44" s="760">
        <f>IF(OR($A44="F&amp;F",$A44="CE",V$7="No aplica"),0,'BOULEVARD 5'!Y42-'BOULEVARD PPTO'!Q37)</f>
        <v>0</v>
      </c>
      <c r="W44" s="760">
        <f>IF(OR($A44="F&amp;F",$A44="CE",W$7="No aplica"),0,'BOULEVARD 5'!Z42-'BOULEVARD PPTO'!R37)</f>
        <v>0</v>
      </c>
      <c r="X44" s="760">
        <f>IF(OR($A44="F&amp;F",$A44="CE",X$7="No aplica"),0,'BOULEVARD 5'!AA42-'BOULEVARD PPTO'!S37)</f>
        <v>0</v>
      </c>
      <c r="Y44" s="760">
        <f>IF(OR($A44="F&amp;F",$A44="CE",Y$7="No aplica"),0,'BOULEVARD 5'!AB42-'BOULEVARD PPTO'!T37)</f>
        <v>0</v>
      </c>
      <c r="Z44" s="760">
        <f>IF(OR($A44="F&amp;F",$A44="CE",Z$7="No aplica"),0,'BOULEVARD 5'!AC42-'BOULEVARD PPTO'!U37)</f>
        <v>0</v>
      </c>
      <c r="AA44" s="760">
        <f>IF(OR($A44="F&amp;F",$A44="CE",AA$7="No aplica"),0,'BOULEVARD 5'!AD42-'BOULEVARD PPTO'!V37)</f>
        <v>0</v>
      </c>
      <c r="AB44" s="760">
        <f>IF(OR($A44="F&amp;F",$A44="CE",AB$7="No aplica"),0,'BOULEVARD 5'!AE42-'BOULEVARD PPTO'!W37)</f>
        <v>0</v>
      </c>
      <c r="AC44" s="760">
        <f>IF(OR($A44="F&amp;F",$A44="CE",AC$7="No aplica"),0,'BOULEVARD 5'!AF42-'BOULEVARD PPTO'!X37)</f>
        <v>0</v>
      </c>
      <c r="AD44" s="760">
        <f>IF(OR($A44="F&amp;F",$A44="CE",AD$7="No aplica"),0,'BOULEVARD 5'!AG42-'BOULEVARD PPTO'!Y37)</f>
        <v>0</v>
      </c>
      <c r="AE44" s="760">
        <f>IF(OR($A44="F&amp;F",$A44="CE",AE$7="No aplica"),0,'BOULEVARD 5'!AH42-'BOULEVARD PPTO'!Z37)</f>
        <v>0</v>
      </c>
      <c r="AF44" s="760">
        <f>IF(OR($A44="F&amp;F",$A44="CE",AF$7="No aplica"),0,'BOULEVARD 5'!AI42-'BOULEVARD PPTO'!AA37)</f>
        <v>0</v>
      </c>
      <c r="AG44" s="760">
        <f>IF(OR($A44="F&amp;F",$A44="CE",AG$7="No aplica"),0,'BOULEVARD 5'!AJ42-'BOULEVARD PPTO'!AB37)</f>
        <v>0</v>
      </c>
      <c r="AH44" s="760">
        <f>IF(OR($A44="F&amp;F",$A44="CE",AH$7="No aplica"),0,'BOULEVARD 5'!AK42-'BOULEVARD PPTO'!AC37)</f>
        <v>0</v>
      </c>
      <c r="AI44" s="760">
        <f>IF(OR($A44="F&amp;F",$A44="CE",AI$7="No aplica"),0,'BOULEVARD 5'!AL42-'BOULEVARD PPTO'!AD37)</f>
        <v>0</v>
      </c>
      <c r="AJ44" s="760">
        <f>IF(OR($A44="F&amp;F",$A44="CE",AJ$7="No aplica"),0,'BOULEVARD 5'!AM42-'BOULEVARD PPTO'!AE37)</f>
        <v>0</v>
      </c>
      <c r="AK44" s="760">
        <f>IF(OR($A44="F&amp;F",$A44="CE",AK$7="No aplica"),0,'BOULEVARD 5'!AN42-'BOULEVARD PPTO'!AF37)</f>
        <v>0</v>
      </c>
      <c r="AL44" s="760">
        <f>IF(OR($A44="F&amp;F",$A44="CE",AL$7="No aplica"),0,'BOULEVARD 5'!AO42-'BOULEVARD PPTO'!AG37)</f>
        <v>0</v>
      </c>
      <c r="AM44" s="760">
        <f>IF(OR($A44="F&amp;F",$A44="CE",AM$7="No aplica"),0,'BOULEVARD 5'!AP42-'BOULEVARD PPTO'!AH37)</f>
        <v>0</v>
      </c>
      <c r="AN44" s="760">
        <f>IF(OR($A44="F&amp;F",$A44="CE",AN$7="No aplica"),0,'BOULEVARD 5'!AQ42-'BOULEVARD PPTO'!AI37)</f>
        <v>0</v>
      </c>
      <c r="AO44" s="760">
        <f>IF(OR($A44="F&amp;F",$A44="CE",AO$7="No aplica"),0,'BOULEVARD 5'!AS42-'BOULEVARD PPTO'!AJ37)</f>
        <v>0</v>
      </c>
      <c r="AP44" s="761">
        <f t="shared" si="7"/>
        <v>0</v>
      </c>
      <c r="AQ44" s="761">
        <f t="shared" si="8"/>
        <v>10000</v>
      </c>
      <c r="AR44" s="674">
        <f>IF(A44=0,'BOULEVARD 5'!BF42,0)</f>
        <v>0</v>
      </c>
      <c r="AS44" s="674">
        <f>IF(A44=0,'BOULEVARD 5'!BG42,0)</f>
        <v>0</v>
      </c>
      <c r="AT44" s="675" t="str">
        <f t="shared" si="4"/>
        <v>Vendido</v>
      </c>
      <c r="AU44" s="581" t="str">
        <f t="shared" si="11"/>
        <v/>
      </c>
      <c r="AV44" s="760">
        <f t="shared" si="10"/>
        <v>0</v>
      </c>
    </row>
    <row r="45" spans="1:49" s="581" customFormat="1" ht="12.4" customHeight="1" outlineLevel="1" x14ac:dyDescent="0.25">
      <c r="A45" s="703">
        <f>'BOULEVARD 5'!BQ43</f>
        <v>0</v>
      </c>
      <c r="B45" s="564">
        <v>307</v>
      </c>
      <c r="C45" s="564" t="s">
        <v>393</v>
      </c>
      <c r="D45" s="564"/>
      <c r="E45" s="564" t="str">
        <f>IF('BOULEVARD 5'!E43&lt;&gt;0,'BOULEVARD 5'!E43,"")</f>
        <v>Erwin Cardona</v>
      </c>
      <c r="F45" s="581" t="str">
        <f>IF('BOULEVARD 5'!F43&lt;&gt;0,'BOULEVARD 5'!F43,"")</f>
        <v>Héctor Salvador Júarez Hernández/Angee Brizel Canelas Diaz</v>
      </c>
      <c r="G45" s="566">
        <f>IF('BOULEVARD 5'!G43="","",'BOULEVARD 5'!G43)</f>
        <v>45999</v>
      </c>
      <c r="H45" s="756">
        <f>IF(OR($A45="F&amp;F",$A45="CE",H$7="No aplica"),0,'BOULEVARD 5'!K43-'BOULEVARD PPTO'!C38)</f>
        <v>0</v>
      </c>
      <c r="I45" s="756">
        <f>IF(OR($A45="F&amp;F",$A45="CE",I$7="No aplica"),0,'BOULEVARD 5'!L43-'BOULEVARD PPTO'!D38)</f>
        <v>0</v>
      </c>
      <c r="J45" s="756">
        <f>IF(OR($A45="F&amp;F",$A45="CE",J$7="No aplica"),0,'BOULEVARD 5'!M43-'BOULEVARD PPTO'!E38)</f>
        <v>0</v>
      </c>
      <c r="K45" s="756">
        <f>IF(OR($A45="F&amp;F",$A45="CE",K$7="No aplica"),0,'BOULEVARD 5'!N43-'BOULEVARD PPTO'!F38)</f>
        <v>0</v>
      </c>
      <c r="L45" s="756">
        <f>IF(OR($A45="F&amp;F",$A45="CE",L$7="No aplica"),0,'BOULEVARD 5'!O43-'BOULEVARD PPTO'!G38)</f>
        <v>0</v>
      </c>
      <c r="M45" s="756">
        <f>IF(OR($A45="F&amp;F",$A45="CE",M$7="No aplica"),0,'BOULEVARD 5'!P43-'BOULEVARD PPTO'!H38)</f>
        <v>0</v>
      </c>
      <c r="N45" s="756">
        <f>IF(OR($A45="F&amp;F",$A45="CE",N$7="No aplica"),0,'BOULEVARD 5'!Q43-'BOULEVARD PPTO'!I38)</f>
        <v>0</v>
      </c>
      <c r="O45" s="756">
        <f>IF(OR($A45="F&amp;F",$A45="CE",O$7="No aplica"),0,'BOULEVARD 5'!R43-'BOULEVARD PPTO'!J38)</f>
        <v>0</v>
      </c>
      <c r="P45" s="756">
        <f>IF(OR($A45="F&amp;F",$A45="CE",P$7="No aplica"),0,'BOULEVARD 5'!S43-'BOULEVARD PPTO'!K38)</f>
        <v>0</v>
      </c>
      <c r="Q45" s="760">
        <f>IF(OR($A45="F&amp;F",$A45="CE",Q$7="No aplica"),0,'BOULEVARD 5'!T43-'BOULEVARD PPTO'!L38)</f>
        <v>0</v>
      </c>
      <c r="R45" s="760">
        <f>IF(OR($A45="F&amp;F",$A45="CE",R$7="No aplica"),0,'BOULEVARD 5'!U43-'BOULEVARD PPTO'!M38)</f>
        <v>0</v>
      </c>
      <c r="S45" s="760">
        <f>IF(OR($A45="F&amp;F",$A45="CE",S$7="No aplica"),0,'BOULEVARD 5'!V43-'BOULEVARD PPTO'!N38)</f>
        <v>0</v>
      </c>
      <c r="T45" s="760">
        <f>IF(OR($A45="F&amp;F",$A45="CE",T$7="No aplica"),0,'BOULEVARD 5'!W43-'BOULEVARD PPTO'!O38)</f>
        <v>0</v>
      </c>
      <c r="U45" s="760">
        <f>IF(OR($A45="F&amp;F",$A45="CE",U$7="No aplica"),0,'BOULEVARD 5'!X43-'BOULEVARD PPTO'!P38)</f>
        <v>0</v>
      </c>
      <c r="V45" s="760">
        <f>IF(OR($A45="F&amp;F",$A45="CE",V$7="No aplica"),0,'BOULEVARD 5'!Y43-'BOULEVARD PPTO'!Q38)</f>
        <v>0</v>
      </c>
      <c r="W45" s="760">
        <f>IF(OR($A45="F&amp;F",$A45="CE",W$7="No aplica"),0,'BOULEVARD 5'!Z43-'BOULEVARD PPTO'!R38)</f>
        <v>0</v>
      </c>
      <c r="X45" s="760">
        <f>IF(OR($A45="F&amp;F",$A45="CE",X$7="No aplica"),0,'BOULEVARD 5'!AA43-'BOULEVARD PPTO'!S38)</f>
        <v>0</v>
      </c>
      <c r="Y45" s="760">
        <f>IF(OR($A45="F&amp;F",$A45="CE",Y$7="No aplica"),0,'BOULEVARD 5'!AB43-'BOULEVARD PPTO'!T38)</f>
        <v>0</v>
      </c>
      <c r="Z45" s="760">
        <f>IF(OR($A45="F&amp;F",$A45="CE",Z$7="No aplica"),0,'BOULEVARD 5'!AC43-'BOULEVARD PPTO'!U38)</f>
        <v>0</v>
      </c>
      <c r="AA45" s="760">
        <f>IF(OR($A45="F&amp;F",$A45="CE",AA$7="No aplica"),0,'BOULEVARD 5'!AD43-'BOULEVARD PPTO'!V38)</f>
        <v>0</v>
      </c>
      <c r="AB45" s="760">
        <f>IF(OR($A45="F&amp;F",$A45="CE",AB$7="No aplica"),0,'BOULEVARD 5'!AE43-'BOULEVARD PPTO'!W38)</f>
        <v>0</v>
      </c>
      <c r="AC45" s="760">
        <f>IF(OR($A45="F&amp;F",$A45="CE",AC$7="No aplica"),0,'BOULEVARD 5'!AF43-'BOULEVARD PPTO'!X38)</f>
        <v>0</v>
      </c>
      <c r="AD45" s="760">
        <f>IF(OR($A45="F&amp;F",$A45="CE",AD$7="No aplica"),0,'BOULEVARD 5'!AG43-'BOULEVARD PPTO'!Y38)</f>
        <v>0</v>
      </c>
      <c r="AE45" s="760">
        <f>IF(OR($A45="F&amp;F",$A45="CE",AE$7="No aplica"),0,'BOULEVARD 5'!AH43-'BOULEVARD PPTO'!Z38)</f>
        <v>0</v>
      </c>
      <c r="AF45" s="760">
        <f>IF(OR($A45="F&amp;F",$A45="CE",AF$7="No aplica"),0,'BOULEVARD 5'!AI43-'BOULEVARD PPTO'!AA38)</f>
        <v>0</v>
      </c>
      <c r="AG45" s="760">
        <f>IF(OR($A45="F&amp;F",$A45="CE",AG$7="No aplica"),0,'BOULEVARD 5'!AJ43-'BOULEVARD PPTO'!AB38)</f>
        <v>0</v>
      </c>
      <c r="AH45" s="760">
        <f>IF(OR($A45="F&amp;F",$A45="CE",AH$7="No aplica"),0,'BOULEVARD 5'!AK43-'BOULEVARD PPTO'!AC38)</f>
        <v>0</v>
      </c>
      <c r="AI45" s="760">
        <f>IF(OR($A45="F&amp;F",$A45="CE",AI$7="No aplica"),0,'BOULEVARD 5'!AL43-'BOULEVARD PPTO'!AD38)</f>
        <v>0</v>
      </c>
      <c r="AJ45" s="760">
        <f>IF(OR($A45="F&amp;F",$A45="CE",AJ$7="No aplica"),0,'BOULEVARD 5'!AM43-'BOULEVARD PPTO'!AE38)</f>
        <v>0</v>
      </c>
      <c r="AK45" s="760">
        <f>IF(OR($A45="F&amp;F",$A45="CE",AK$7="No aplica"),0,'BOULEVARD 5'!AN43-'BOULEVARD PPTO'!AF38)</f>
        <v>0</v>
      </c>
      <c r="AL45" s="760">
        <f>IF(OR($A45="F&amp;F",$A45="CE",AL$7="No aplica"),0,'BOULEVARD 5'!AO43-'BOULEVARD PPTO'!AG38)</f>
        <v>0</v>
      </c>
      <c r="AM45" s="760">
        <f>IF(OR($A45="F&amp;F",$A45="CE",AM$7="No aplica"),0,'BOULEVARD 5'!AP43-'BOULEVARD PPTO'!AH38)</f>
        <v>0</v>
      </c>
      <c r="AN45" s="760">
        <f>IF(OR($A45="F&amp;F",$A45="CE",AN$7="No aplica"),0,'BOULEVARD 5'!AQ43-'BOULEVARD PPTO'!AI38)</f>
        <v>0</v>
      </c>
      <c r="AO45" s="760">
        <f>IF(OR($A45="F&amp;F",$A45="CE",AO$7="No aplica"),0,'BOULEVARD 5'!AS43-'BOULEVARD PPTO'!AJ38)</f>
        <v>0</v>
      </c>
      <c r="AP45" s="761">
        <f t="shared" si="7"/>
        <v>0</v>
      </c>
      <c r="AQ45" s="761">
        <f t="shared" si="8"/>
        <v>20000</v>
      </c>
      <c r="AR45" s="674">
        <f>IF(A45=0,'BOULEVARD 5'!BF43,0)</f>
        <v>0</v>
      </c>
      <c r="AS45" s="674">
        <f>IF(A45=0,'BOULEVARD 5'!BG43,0)</f>
        <v>0</v>
      </c>
      <c r="AT45" s="675" t="str">
        <f t="shared" si="4"/>
        <v>Vendido</v>
      </c>
      <c r="AU45" s="581" t="str">
        <f t="shared" si="11"/>
        <v/>
      </c>
      <c r="AV45" s="760">
        <f t="shared" si="10"/>
        <v>0</v>
      </c>
    </row>
    <row r="46" spans="1:49" s="581" customFormat="1" ht="12.4" customHeight="1" outlineLevel="1" x14ac:dyDescent="0.25">
      <c r="A46" s="703">
        <f>'BOULEVARD 5'!BQ44</f>
        <v>0</v>
      </c>
      <c r="B46" s="564">
        <v>308</v>
      </c>
      <c r="C46" s="564" t="s">
        <v>172</v>
      </c>
      <c r="D46" s="564"/>
      <c r="E46" s="564" t="str">
        <f>IF('BOULEVARD 5'!E44&lt;&gt;0,'BOULEVARD 5'!E44,"")</f>
        <v>Antonio Rada</v>
      </c>
      <c r="F46" s="581" t="str">
        <f>IF('BOULEVARD 5'!F44&lt;&gt;0,'BOULEVARD 5'!F44,"")</f>
        <v>Ricardo Alberto Vásquez Monterroso</v>
      </c>
      <c r="G46" s="566">
        <f>IF('BOULEVARD 5'!G44="","",'BOULEVARD 5'!G44)</f>
        <v>45719</v>
      </c>
      <c r="H46" s="756">
        <f>IF(OR($A46="F&amp;F",$A46="CE",H$7="No aplica"),0,'BOULEVARD 5'!K44-'BOULEVARD PPTO'!C39)</f>
        <v>0</v>
      </c>
      <c r="I46" s="756">
        <f>IF(OR($A46="F&amp;F",$A46="CE",I$7="No aplica"),0,'BOULEVARD 5'!L44-'BOULEVARD PPTO'!D39)</f>
        <v>0</v>
      </c>
      <c r="J46" s="756">
        <f>IF(OR($A46="F&amp;F",$A46="CE",J$7="No aplica"),0,'BOULEVARD 5'!M44-'BOULEVARD PPTO'!E39)</f>
        <v>0</v>
      </c>
      <c r="K46" s="756">
        <f>IF(OR($A46="F&amp;F",$A46="CE",K$7="No aplica"),0,'BOULEVARD 5'!N44-'BOULEVARD PPTO'!F39)</f>
        <v>0</v>
      </c>
      <c r="L46" s="756">
        <f>IF(OR($A46="F&amp;F",$A46="CE",L$7="No aplica"),0,'BOULEVARD 5'!O44-'BOULEVARD PPTO'!G39)</f>
        <v>0</v>
      </c>
      <c r="M46" s="756">
        <f>IF(OR($A46="F&amp;F",$A46="CE",M$7="No aplica"),0,'BOULEVARD 5'!P44-'BOULEVARD PPTO'!H39)</f>
        <v>0</v>
      </c>
      <c r="N46" s="756">
        <f>IF(OR($A46="F&amp;F",$A46="CE",N$7="No aplica"),0,'BOULEVARD 5'!Q44-'BOULEVARD PPTO'!I39)</f>
        <v>0</v>
      </c>
      <c r="O46" s="756">
        <f>IF(OR($A46="F&amp;F",$A46="CE",O$7="No aplica"),0,'BOULEVARD 5'!R44-'BOULEVARD PPTO'!J39)</f>
        <v>0</v>
      </c>
      <c r="P46" s="756">
        <f>IF(OR($A46="F&amp;F",$A46="CE",P$7="No aplica"),0,'BOULEVARD 5'!S44-'BOULEVARD PPTO'!K39)</f>
        <v>0</v>
      </c>
      <c r="Q46" s="760">
        <f>IF(OR($A46="F&amp;F",$A46="CE",Q$7="No aplica"),0,'BOULEVARD 5'!T44-'BOULEVARD PPTO'!L39)</f>
        <v>0</v>
      </c>
      <c r="R46" s="760">
        <f>IF(OR($A46="F&amp;F",$A46="CE",R$7="No aplica"),0,'BOULEVARD 5'!U44-'BOULEVARD PPTO'!M39)</f>
        <v>0</v>
      </c>
      <c r="S46" s="760">
        <f>IF(OR($A46="F&amp;F",$A46="CE",S$7="No aplica"),0,'BOULEVARD 5'!V44-'BOULEVARD PPTO'!N39)</f>
        <v>0</v>
      </c>
      <c r="T46" s="760">
        <f>IF(OR($A46="F&amp;F",$A46="CE",T$7="No aplica"),0,'BOULEVARD 5'!W44-'BOULEVARD PPTO'!O39)</f>
        <v>0</v>
      </c>
      <c r="U46" s="760">
        <f>IF(OR($A46="F&amp;F",$A46="CE",U$7="No aplica"),0,'BOULEVARD 5'!X44-'BOULEVARD PPTO'!P39)</f>
        <v>0</v>
      </c>
      <c r="V46" s="760">
        <f>IF(OR($A46="F&amp;F",$A46="CE",V$7="No aplica"),0,'BOULEVARD 5'!Y44-'BOULEVARD PPTO'!Q39)</f>
        <v>0</v>
      </c>
      <c r="W46" s="760">
        <f>IF(OR($A46="F&amp;F",$A46="CE",W$7="No aplica"),0,'BOULEVARD 5'!Z44-'BOULEVARD PPTO'!R39)</f>
        <v>0</v>
      </c>
      <c r="X46" s="760">
        <f>IF(OR($A46="F&amp;F",$A46="CE",X$7="No aplica"),0,'BOULEVARD 5'!AA44-'BOULEVARD PPTO'!S39)</f>
        <v>0</v>
      </c>
      <c r="Y46" s="760">
        <f>IF(OR($A46="F&amp;F",$A46="CE",Y$7="No aplica"),0,'BOULEVARD 5'!AB44-'BOULEVARD PPTO'!T39)</f>
        <v>0</v>
      </c>
      <c r="Z46" s="760">
        <f>IF(OR($A46="F&amp;F",$A46="CE",Z$7="No aplica"),0,'BOULEVARD 5'!AC44-'BOULEVARD PPTO'!U39)</f>
        <v>0</v>
      </c>
      <c r="AA46" s="760">
        <f>IF(OR($A46="F&amp;F",$A46="CE",AA$7="No aplica"),0,'BOULEVARD 5'!AD44-'BOULEVARD PPTO'!V39)</f>
        <v>0</v>
      </c>
      <c r="AB46" s="760">
        <f>IF(OR($A46="F&amp;F",$A46="CE",AB$7="No aplica"),0,'BOULEVARD 5'!AE44-'BOULEVARD PPTO'!W39)</f>
        <v>0</v>
      </c>
      <c r="AC46" s="760">
        <f>IF(OR($A46="F&amp;F",$A46="CE",AC$7="No aplica"),0,'BOULEVARD 5'!AF44-'BOULEVARD PPTO'!X39)</f>
        <v>0</v>
      </c>
      <c r="AD46" s="760">
        <f>IF(OR($A46="F&amp;F",$A46="CE",AD$7="No aplica"),0,'BOULEVARD 5'!AG44-'BOULEVARD PPTO'!Y39)</f>
        <v>0</v>
      </c>
      <c r="AE46" s="760">
        <f>IF(OR($A46="F&amp;F",$A46="CE",AE$7="No aplica"),0,'BOULEVARD 5'!AH44-'BOULEVARD PPTO'!Z39)</f>
        <v>0</v>
      </c>
      <c r="AF46" s="760">
        <f>IF(OR($A46="F&amp;F",$A46="CE",AF$7="No aplica"),0,'BOULEVARD 5'!AI44-'BOULEVARD PPTO'!AA39)</f>
        <v>0</v>
      </c>
      <c r="AG46" s="760">
        <f>IF(OR($A46="F&amp;F",$A46="CE",AG$7="No aplica"),0,'BOULEVARD 5'!AJ44-'BOULEVARD PPTO'!AB39)</f>
        <v>0</v>
      </c>
      <c r="AH46" s="760">
        <f>IF(OR($A46="F&amp;F",$A46="CE",AH$7="No aplica"),0,'BOULEVARD 5'!AK44-'BOULEVARD PPTO'!AC39)</f>
        <v>0</v>
      </c>
      <c r="AI46" s="760">
        <f>IF(OR($A46="F&amp;F",$A46="CE",AI$7="No aplica"),0,'BOULEVARD 5'!AL44-'BOULEVARD PPTO'!AD39)</f>
        <v>0</v>
      </c>
      <c r="AJ46" s="760">
        <f>IF(OR($A46="F&amp;F",$A46="CE",AJ$7="No aplica"),0,'BOULEVARD 5'!AM44-'BOULEVARD PPTO'!AE39)</f>
        <v>0</v>
      </c>
      <c r="AK46" s="760">
        <f>IF(OR($A46="F&amp;F",$A46="CE",AK$7="No aplica"),0,'BOULEVARD 5'!AN44-'BOULEVARD PPTO'!AF39)</f>
        <v>0</v>
      </c>
      <c r="AL46" s="760">
        <f>IF(OR($A46="F&amp;F",$A46="CE",AL$7="No aplica"),0,'BOULEVARD 5'!AO44-'BOULEVARD PPTO'!AG39)</f>
        <v>0</v>
      </c>
      <c r="AM46" s="760">
        <f>IF(OR($A46="F&amp;F",$A46="CE",AM$7="No aplica"),0,'BOULEVARD 5'!AP44-'BOULEVARD PPTO'!AH39)</f>
        <v>0</v>
      </c>
      <c r="AN46" s="760">
        <f>IF(OR($A46="F&amp;F",$A46="CE",AN$7="No aplica"),0,'BOULEVARD 5'!AQ44-'BOULEVARD PPTO'!AI39)</f>
        <v>0</v>
      </c>
      <c r="AO46" s="760">
        <f>IF(OR($A46="F&amp;F",$A46="CE",AO$7="No aplica"),0,'BOULEVARD 5'!AS44-'BOULEVARD PPTO'!AJ39)</f>
        <v>0</v>
      </c>
      <c r="AP46" s="761">
        <f t="shared" si="7"/>
        <v>0</v>
      </c>
      <c r="AQ46" s="761">
        <f t="shared" si="8"/>
        <v>-26668.190000000002</v>
      </c>
      <c r="AR46" s="674">
        <f>IF(A46=0,'BOULEVARD 5'!BF44,0)</f>
        <v>10000</v>
      </c>
      <c r="AS46" s="674">
        <f>IF(A46=0,'BOULEVARD 5'!BG44,0)</f>
        <v>6666</v>
      </c>
      <c r="AT46" s="675" t="str">
        <f t="shared" si="4"/>
        <v>Vendido</v>
      </c>
      <c r="AU46" s="581" t="str">
        <f t="shared" si="11"/>
        <v/>
      </c>
      <c r="AV46" s="760">
        <f t="shared" si="10"/>
        <v>0</v>
      </c>
    </row>
    <row r="47" spans="1:49" s="581" customFormat="1" ht="12.4" customHeight="1" outlineLevel="1" x14ac:dyDescent="0.25">
      <c r="A47" s="703">
        <f>'BOULEVARD 5'!BQ45</f>
        <v>0</v>
      </c>
      <c r="B47" s="564">
        <v>309</v>
      </c>
      <c r="C47" s="564" t="s">
        <v>395</v>
      </c>
      <c r="D47" s="564"/>
      <c r="E47" s="564" t="str">
        <f>IF('BOULEVARD 5'!E45&lt;&gt;0,'BOULEVARD 5'!E45,"")</f>
        <v>Antonio Rada</v>
      </c>
      <c r="F47" s="581" t="str">
        <f>IF('BOULEVARD 5'!F45&lt;&gt;0,'BOULEVARD 5'!F45,"")</f>
        <v>Leonel Bernardo Molina Gramajo</v>
      </c>
      <c r="G47" s="566">
        <f>IF('BOULEVARD 5'!G45="","",'BOULEVARD 5'!G45)</f>
        <v>45516</v>
      </c>
      <c r="H47" s="756">
        <f>IF(OR($A47="F&amp;F",$A47="CE",H$7="No aplica"),0,'BOULEVARD 5'!K45-'BOULEVARD PPTO'!C40)</f>
        <v>0</v>
      </c>
      <c r="I47" s="756">
        <f>IF(OR($A47="F&amp;F",$A47="CE",I$7="No aplica"),0,'BOULEVARD 5'!L45-'BOULEVARD PPTO'!D40)</f>
        <v>0</v>
      </c>
      <c r="J47" s="756">
        <f>IF(OR($A47="F&amp;F",$A47="CE",J$7="No aplica"),0,'BOULEVARD 5'!M45-'BOULEVARD PPTO'!E40)</f>
        <v>0</v>
      </c>
      <c r="K47" s="756">
        <f>IF(OR($A47="F&amp;F",$A47="CE",K$7="No aplica"),0,'BOULEVARD 5'!N45-'BOULEVARD PPTO'!F40)</f>
        <v>0</v>
      </c>
      <c r="L47" s="756">
        <f>IF(OR($A47="F&amp;F",$A47="CE",L$7="No aplica"),0,'BOULEVARD 5'!O45-'BOULEVARD PPTO'!G40)</f>
        <v>0</v>
      </c>
      <c r="M47" s="756">
        <f>IF(OR($A47="F&amp;F",$A47="CE",M$7="No aplica"),0,'BOULEVARD 5'!P45-'BOULEVARD PPTO'!H40)</f>
        <v>0</v>
      </c>
      <c r="N47" s="756">
        <f>IF(OR($A47="F&amp;F",$A47="CE",N$7="No aplica"),0,'BOULEVARD 5'!Q45-'BOULEVARD PPTO'!I40)</f>
        <v>0</v>
      </c>
      <c r="O47" s="756">
        <f>IF(OR($A47="F&amp;F",$A47="CE",O$7="No aplica"),0,'BOULEVARD 5'!R45-'BOULEVARD PPTO'!J40)</f>
        <v>0</v>
      </c>
      <c r="P47" s="756">
        <f>IF(OR($A47="F&amp;F",$A47="CE",P$7="No aplica"),0,'BOULEVARD 5'!S45-'BOULEVARD PPTO'!K40)</f>
        <v>0</v>
      </c>
      <c r="Q47" s="760">
        <f>IF(OR($A47="F&amp;F",$A47="CE",Q$7="No aplica"),0,'BOULEVARD 5'!T45-'BOULEVARD PPTO'!L40)</f>
        <v>0</v>
      </c>
      <c r="R47" s="760">
        <f>IF(OR($A47="F&amp;F",$A47="CE",R$7="No aplica"),0,'BOULEVARD 5'!U45-'BOULEVARD PPTO'!M40)</f>
        <v>0</v>
      </c>
      <c r="S47" s="760">
        <f>IF(OR($A47="F&amp;F",$A47="CE",S$7="No aplica"),0,'BOULEVARD 5'!V45-'BOULEVARD PPTO'!N40)</f>
        <v>0</v>
      </c>
      <c r="T47" s="760">
        <f>IF(OR($A47="F&amp;F",$A47="CE",T$7="No aplica"),0,'BOULEVARD 5'!W45-'BOULEVARD PPTO'!O40)</f>
        <v>0</v>
      </c>
      <c r="U47" s="760">
        <f>IF(OR($A47="F&amp;F",$A47="CE",U$7="No aplica"),0,'BOULEVARD 5'!X45-'BOULEVARD PPTO'!P40)</f>
        <v>0</v>
      </c>
      <c r="V47" s="760">
        <f>IF(OR($A47="F&amp;F",$A47="CE",V$7="No aplica"),0,'BOULEVARD 5'!Y45-'BOULEVARD PPTO'!Q40)</f>
        <v>0</v>
      </c>
      <c r="W47" s="760">
        <f>IF(OR($A47="F&amp;F",$A47="CE",W$7="No aplica"),0,'BOULEVARD 5'!Z45-'BOULEVARD PPTO'!R40)</f>
        <v>0</v>
      </c>
      <c r="X47" s="760">
        <f>IF(OR($A47="F&amp;F",$A47="CE",X$7="No aplica"),0,'BOULEVARD 5'!AA45-'BOULEVARD PPTO'!S40)</f>
        <v>0</v>
      </c>
      <c r="Y47" s="760">
        <f>IF(OR($A47="F&amp;F",$A47="CE",Y$7="No aplica"),0,'BOULEVARD 5'!AB45-'BOULEVARD PPTO'!T40)</f>
        <v>0</v>
      </c>
      <c r="Z47" s="760">
        <f>IF(OR($A47="F&amp;F",$A47="CE",Z$7="No aplica"),0,'BOULEVARD 5'!AC45-'BOULEVARD PPTO'!U40)</f>
        <v>0</v>
      </c>
      <c r="AA47" s="760">
        <f>IF(OR($A47="F&amp;F",$A47="CE",AA$7="No aplica"),0,'BOULEVARD 5'!AD45-'BOULEVARD PPTO'!V40)</f>
        <v>0</v>
      </c>
      <c r="AB47" s="760">
        <f>IF(OR($A47="F&amp;F",$A47="CE",AB$7="No aplica"),0,'BOULEVARD 5'!AE45-'BOULEVARD PPTO'!W40)</f>
        <v>0</v>
      </c>
      <c r="AC47" s="760">
        <f>IF(OR($A47="F&amp;F",$A47="CE",AC$7="No aplica"),0,'BOULEVARD 5'!AF45-'BOULEVARD PPTO'!X40)</f>
        <v>-25000</v>
      </c>
      <c r="AD47" s="760">
        <f>IF(OR($A47="F&amp;F",$A47="CE",AD$7="No aplica"),0,'BOULEVARD 5'!AG45-'BOULEVARD PPTO'!Y40)</f>
        <v>-2500</v>
      </c>
      <c r="AE47" s="760">
        <f>IF(OR($A47="F&amp;F",$A47="CE",AE$7="No aplica"),0,'BOULEVARD 5'!AH45-'BOULEVARD PPTO'!Z40)</f>
        <v>0</v>
      </c>
      <c r="AF47" s="760">
        <f>IF(OR($A47="F&amp;F",$A47="CE",AF$7="No aplica"),0,'BOULEVARD 5'!AI45-'BOULEVARD PPTO'!AA40)</f>
        <v>-2500</v>
      </c>
      <c r="AG47" s="760">
        <f>IF(OR($A47="F&amp;F",$A47="CE",AG$7="No aplica"),0,'BOULEVARD 5'!AJ45-'BOULEVARD PPTO'!AB40)</f>
        <v>5000</v>
      </c>
      <c r="AH47" s="760">
        <f>IF(OR($A47="F&amp;F",$A47="CE",AH$7="No aplica"),0,'BOULEVARD 5'!AK45-'BOULEVARD PPTO'!AC40)</f>
        <v>0</v>
      </c>
      <c r="AI47" s="760">
        <f>IF(OR($A47="F&amp;F",$A47="CE",AI$7="No aplica"),0,'BOULEVARD 5'!AL45-'BOULEVARD PPTO'!AD40)</f>
        <v>0</v>
      </c>
      <c r="AJ47" s="760">
        <f>IF(OR($A47="F&amp;F",$A47="CE",AJ$7="No aplica"),0,'BOULEVARD 5'!AM45-'BOULEVARD PPTO'!AE40)</f>
        <v>2500</v>
      </c>
      <c r="AK47" s="760">
        <f>IF(OR($A47="F&amp;F",$A47="CE",AK$7="No aplica"),0,'BOULEVARD 5'!AN45-'BOULEVARD PPTO'!AF40)</f>
        <v>-32500</v>
      </c>
      <c r="AL47" s="760">
        <f>IF(OR($A47="F&amp;F",$A47="CE",AL$7="No aplica"),0,'BOULEVARD 5'!AO45-'BOULEVARD PPTO'!AG40)</f>
        <v>0</v>
      </c>
      <c r="AM47" s="760">
        <f>IF(OR($A47="F&amp;F",$A47="CE",AM$7="No aplica"),0,'BOULEVARD 5'!AP45-'BOULEVARD PPTO'!AH40)</f>
        <v>2500</v>
      </c>
      <c r="AN47" s="760">
        <f>IF(OR($A47="F&amp;F",$A47="CE",AN$7="No aplica"),0,'BOULEVARD 5'!AQ45-'BOULEVARD PPTO'!AI40)</f>
        <v>0</v>
      </c>
      <c r="AO47" s="760">
        <f>IF(OR($A47="F&amp;F",$A47="CE",AO$7="No aplica"),0,'BOULEVARD 5'!AS45-'BOULEVARD PPTO'!AJ40)</f>
        <v>0</v>
      </c>
      <c r="AP47" s="761">
        <f t="shared" si="7"/>
        <v>-52500</v>
      </c>
      <c r="AQ47" s="761">
        <f t="shared" si="8"/>
        <v>-77590</v>
      </c>
      <c r="AR47" s="674">
        <f>IF(A47=0,'BOULEVARD 5'!BF45,0)</f>
        <v>5000</v>
      </c>
      <c r="AS47" s="674">
        <f>IF(A47=0,'BOULEVARD 5'!BG45,0)</f>
        <v>2500</v>
      </c>
      <c r="AT47" s="675" t="str">
        <f t="shared" si="4"/>
        <v>Vendido</v>
      </c>
      <c r="AU47" s="581" t="str">
        <f t="shared" si="11"/>
        <v>POR COBRAR</v>
      </c>
      <c r="AV47" s="760">
        <f t="shared" si="10"/>
        <v>2500</v>
      </c>
    </row>
    <row r="48" spans="1:49" s="581" customFormat="1" ht="12.4" customHeight="1" outlineLevel="1" x14ac:dyDescent="0.25">
      <c r="A48" s="703">
        <f>'BOULEVARD 5'!BQ46</f>
        <v>0</v>
      </c>
      <c r="B48" s="564">
        <v>310</v>
      </c>
      <c r="C48" s="564" t="s">
        <v>397</v>
      </c>
      <c r="D48" s="564"/>
      <c r="E48" s="564" t="str">
        <f>IF('BOULEVARD 5'!E46&lt;&gt;0,'BOULEVARD 5'!E46,"")</f>
        <v>Erwin Cardona</v>
      </c>
      <c r="F48" s="581" t="str">
        <f>IF('BOULEVARD 5'!F46&lt;&gt;0,'BOULEVARD 5'!F46,"")</f>
        <v>Fernando Javier Rosales Gramajo</v>
      </c>
      <c r="G48" s="566">
        <f>IF('BOULEVARD 5'!G46="","",'BOULEVARD 5'!G46)</f>
        <v>46000</v>
      </c>
      <c r="H48" s="756">
        <f>IF(OR($A48="F&amp;F",$A48="CE",H$7="No aplica"),0,'BOULEVARD 5'!K46-'BOULEVARD PPTO'!C41)</f>
        <v>0</v>
      </c>
      <c r="I48" s="756">
        <f>IF(OR($A48="F&amp;F",$A48="CE",I$7="No aplica"),0,'BOULEVARD 5'!L46-'BOULEVARD PPTO'!D41)</f>
        <v>0</v>
      </c>
      <c r="J48" s="756">
        <f>IF(OR($A48="F&amp;F",$A48="CE",J$7="No aplica"),0,'BOULEVARD 5'!M46-'BOULEVARD PPTO'!E41)</f>
        <v>0</v>
      </c>
      <c r="K48" s="756">
        <f>IF(OR($A48="F&amp;F",$A48="CE",K$7="No aplica"),0,'BOULEVARD 5'!N46-'BOULEVARD PPTO'!F41)</f>
        <v>0</v>
      </c>
      <c r="L48" s="756">
        <f>IF(OR($A48="F&amp;F",$A48="CE",L$7="No aplica"),0,'BOULEVARD 5'!O46-'BOULEVARD PPTO'!G41)</f>
        <v>0</v>
      </c>
      <c r="M48" s="756">
        <f>IF(OR($A48="F&amp;F",$A48="CE",M$7="No aplica"),0,'BOULEVARD 5'!P46-'BOULEVARD PPTO'!H41)</f>
        <v>0</v>
      </c>
      <c r="N48" s="756">
        <f>IF(OR($A48="F&amp;F",$A48="CE",N$7="No aplica"),0,'BOULEVARD 5'!Q46-'BOULEVARD PPTO'!I41)</f>
        <v>0</v>
      </c>
      <c r="O48" s="756">
        <f>IF(OR($A48="F&amp;F",$A48="CE",O$7="No aplica"),0,'BOULEVARD 5'!R46-'BOULEVARD PPTO'!J41)</f>
        <v>0</v>
      </c>
      <c r="P48" s="756">
        <f>IF(OR($A48="F&amp;F",$A48="CE",P$7="No aplica"),0,'BOULEVARD 5'!S46-'BOULEVARD PPTO'!K41)</f>
        <v>0</v>
      </c>
      <c r="Q48" s="760">
        <f>IF(OR($A48="F&amp;F",$A48="CE",Q$7="No aplica"),0,'BOULEVARD 5'!T46-'BOULEVARD PPTO'!L41)</f>
        <v>0</v>
      </c>
      <c r="R48" s="760">
        <f>IF(OR($A48="F&amp;F",$A48="CE",R$7="No aplica"),0,'BOULEVARD 5'!U46-'BOULEVARD PPTO'!M41)</f>
        <v>0</v>
      </c>
      <c r="S48" s="760">
        <f>IF(OR($A48="F&amp;F",$A48="CE",S$7="No aplica"),0,'BOULEVARD 5'!V46-'BOULEVARD PPTO'!N41)</f>
        <v>0</v>
      </c>
      <c r="T48" s="760">
        <f>IF(OR($A48="F&amp;F",$A48="CE",T$7="No aplica"),0,'BOULEVARD 5'!W46-'BOULEVARD PPTO'!O41)</f>
        <v>0</v>
      </c>
      <c r="U48" s="760">
        <f>IF(OR($A48="F&amp;F",$A48="CE",U$7="No aplica"),0,'BOULEVARD 5'!X46-'BOULEVARD PPTO'!P41)</f>
        <v>0</v>
      </c>
      <c r="V48" s="760">
        <f>IF(OR($A48="F&amp;F",$A48="CE",V$7="No aplica"),0,'BOULEVARD 5'!Y46-'BOULEVARD PPTO'!Q41)</f>
        <v>0</v>
      </c>
      <c r="W48" s="760">
        <f>IF(OR($A48="F&amp;F",$A48="CE",W$7="No aplica"),0,'BOULEVARD 5'!Z46-'BOULEVARD PPTO'!R41)</f>
        <v>0</v>
      </c>
      <c r="X48" s="760">
        <f>IF(OR($A48="F&amp;F",$A48="CE",X$7="No aplica"),0,'BOULEVARD 5'!AA46-'BOULEVARD PPTO'!S41)</f>
        <v>0</v>
      </c>
      <c r="Y48" s="760">
        <f>IF(OR($A48="F&amp;F",$A48="CE",Y$7="No aplica"),0,'BOULEVARD 5'!AB46-'BOULEVARD PPTO'!T41)</f>
        <v>0</v>
      </c>
      <c r="Z48" s="760">
        <f>IF(OR($A48="F&amp;F",$A48="CE",Z$7="No aplica"),0,'BOULEVARD 5'!AC46-'BOULEVARD PPTO'!U41)</f>
        <v>0</v>
      </c>
      <c r="AA48" s="760">
        <f>IF(OR($A48="F&amp;F",$A48="CE",AA$7="No aplica"),0,'BOULEVARD 5'!AD46-'BOULEVARD PPTO'!V41)</f>
        <v>0</v>
      </c>
      <c r="AB48" s="760">
        <f>IF(OR($A48="F&amp;F",$A48="CE",AB$7="No aplica"),0,'BOULEVARD 5'!AE46-'BOULEVARD PPTO'!W41)</f>
        <v>0</v>
      </c>
      <c r="AC48" s="760">
        <f>IF(OR($A48="F&amp;F",$A48="CE",AC$7="No aplica"),0,'BOULEVARD 5'!AF46-'BOULEVARD PPTO'!X41)</f>
        <v>0</v>
      </c>
      <c r="AD48" s="760">
        <f>IF(OR($A48="F&amp;F",$A48="CE",AD$7="No aplica"),0,'BOULEVARD 5'!AG46-'BOULEVARD PPTO'!Y41)</f>
        <v>0</v>
      </c>
      <c r="AE48" s="760">
        <f>IF(OR($A48="F&amp;F",$A48="CE",AE$7="No aplica"),0,'BOULEVARD 5'!AH46-'BOULEVARD PPTO'!Z41)</f>
        <v>0</v>
      </c>
      <c r="AF48" s="760">
        <f>IF(OR($A48="F&amp;F",$A48="CE",AF$7="No aplica"),0,'BOULEVARD 5'!AI46-'BOULEVARD PPTO'!AA41)</f>
        <v>0</v>
      </c>
      <c r="AG48" s="760">
        <f>IF(OR($A48="F&amp;F",$A48="CE",AG$7="No aplica"),0,'BOULEVARD 5'!AJ46-'BOULEVARD PPTO'!AB41)</f>
        <v>0</v>
      </c>
      <c r="AH48" s="760">
        <f>IF(OR($A48="F&amp;F",$A48="CE",AH$7="No aplica"),0,'BOULEVARD 5'!AK46-'BOULEVARD PPTO'!AC41)</f>
        <v>0</v>
      </c>
      <c r="AI48" s="760">
        <f>IF(OR($A48="F&amp;F",$A48="CE",AI$7="No aplica"),0,'BOULEVARD 5'!AL46-'BOULEVARD PPTO'!AD41)</f>
        <v>0</v>
      </c>
      <c r="AJ48" s="760">
        <f>IF(OR($A48="F&amp;F",$A48="CE",AJ$7="No aplica"),0,'BOULEVARD 5'!AM46-'BOULEVARD PPTO'!AE41)</f>
        <v>0</v>
      </c>
      <c r="AK48" s="760">
        <f>IF(OR($A48="F&amp;F",$A48="CE",AK$7="No aplica"),0,'BOULEVARD 5'!AN46-'BOULEVARD PPTO'!AF41)</f>
        <v>0</v>
      </c>
      <c r="AL48" s="760">
        <f>IF(OR($A48="F&amp;F",$A48="CE",AL$7="No aplica"),0,'BOULEVARD 5'!AO46-'BOULEVARD PPTO'!AG41)</f>
        <v>0</v>
      </c>
      <c r="AM48" s="760">
        <f>IF(OR($A48="F&amp;F",$A48="CE",AM$7="No aplica"),0,'BOULEVARD 5'!AP46-'BOULEVARD PPTO'!AH41)</f>
        <v>0</v>
      </c>
      <c r="AN48" s="760">
        <f>IF(OR($A48="F&amp;F",$A48="CE",AN$7="No aplica"),0,'BOULEVARD 5'!AQ46-'BOULEVARD PPTO'!AI41)</f>
        <v>0</v>
      </c>
      <c r="AO48" s="760">
        <f>IF(OR($A48="F&amp;F",$A48="CE",AO$7="No aplica"),0,'BOULEVARD 5'!AS46-'BOULEVARD PPTO'!AJ41)</f>
        <v>0</v>
      </c>
      <c r="AP48" s="761">
        <f t="shared" si="7"/>
        <v>0</v>
      </c>
      <c r="AQ48" s="761">
        <f t="shared" si="8"/>
        <v>10000</v>
      </c>
      <c r="AR48" s="674">
        <f>IF(A48=0,'BOULEVARD 5'!BF46,0)</f>
        <v>0</v>
      </c>
      <c r="AS48" s="674">
        <f>IF(A48=0,'BOULEVARD 5'!BG46,0)</f>
        <v>0</v>
      </c>
      <c r="AT48" s="675" t="str">
        <f t="shared" si="4"/>
        <v>Vendido</v>
      </c>
      <c r="AU48" s="581" t="str">
        <f t="shared" si="11"/>
        <v/>
      </c>
      <c r="AV48" s="760">
        <f t="shared" si="10"/>
        <v>0</v>
      </c>
    </row>
    <row r="49" spans="1:49" s="581" customFormat="1" ht="12.4" customHeight="1" outlineLevel="1" x14ac:dyDescent="0.25">
      <c r="A49" s="703" t="str">
        <f>'BOULEVARD 5'!BQ47</f>
        <v>CE</v>
      </c>
      <c r="B49" s="708">
        <v>311</v>
      </c>
      <c r="C49" s="564" t="s">
        <v>398</v>
      </c>
      <c r="D49" s="707" t="s">
        <v>386</v>
      </c>
      <c r="E49" s="564" t="str">
        <f>IF('BOULEVARD 5'!E47&lt;&gt;0,'BOULEVARD 5'!E47,"")</f>
        <v>Diana Alvarez</v>
      </c>
      <c r="F49" s="581" t="str">
        <f>IF('BOULEVARD 5'!F47&lt;&gt;0,'BOULEVARD 5'!F47,"")</f>
        <v>Miguel Angel Teletor Riz</v>
      </c>
      <c r="G49" s="566">
        <f>IF('BOULEVARD 5'!G47="","",'BOULEVARD 5'!G47)</f>
        <v>45562</v>
      </c>
      <c r="H49" s="756">
        <f>IF(OR($A49="F&amp;F",$A49="CE",H$7="No aplica"),0,'BOULEVARD 5'!K47-'BOULEVARD PPTO'!C42)</f>
        <v>0</v>
      </c>
      <c r="I49" s="756">
        <f>IF(OR($A49="F&amp;F",$A49="CE",I$7="No aplica"),0,'BOULEVARD 5'!L47-'BOULEVARD PPTO'!D42)</f>
        <v>0</v>
      </c>
      <c r="J49" s="756">
        <f>IF(OR($A49="F&amp;F",$A49="CE",J$7="No aplica"),0,'BOULEVARD 5'!M47-'BOULEVARD PPTO'!E42)</f>
        <v>0</v>
      </c>
      <c r="K49" s="756">
        <f>IF(OR($A49="F&amp;F",$A49="CE",K$7="No aplica"),0,'BOULEVARD 5'!N47-'BOULEVARD PPTO'!F42)</f>
        <v>0</v>
      </c>
      <c r="L49" s="756">
        <f>IF(OR($A49="F&amp;F",$A49="CE",L$7="No aplica"),0,'BOULEVARD 5'!O47-'BOULEVARD PPTO'!G42)</f>
        <v>0</v>
      </c>
      <c r="M49" s="756">
        <f>IF(OR($A49="F&amp;F",$A49="CE",M$7="No aplica"),0,'BOULEVARD 5'!P47-'BOULEVARD PPTO'!H42)</f>
        <v>0</v>
      </c>
      <c r="N49" s="756">
        <f>IF(OR($A49="F&amp;F",$A49="CE",N$7="No aplica"),0,'BOULEVARD 5'!Q47-'BOULEVARD PPTO'!I42)</f>
        <v>0</v>
      </c>
      <c r="O49" s="756">
        <f>IF(OR($A49="F&amp;F",$A49="CE",O$7="No aplica"),0,'BOULEVARD 5'!R47-'BOULEVARD PPTO'!J42)</f>
        <v>0</v>
      </c>
      <c r="P49" s="756">
        <f>IF(OR($A49="F&amp;F",$A49="CE",P$7="No aplica"),0,'BOULEVARD 5'!S47-'BOULEVARD PPTO'!K42)</f>
        <v>0</v>
      </c>
      <c r="Q49" s="760">
        <f>IF(OR($A49="F&amp;F",$A49="CE",Q$7="No aplica"),0,'BOULEVARD 5'!T47-'BOULEVARD PPTO'!L42)</f>
        <v>0</v>
      </c>
      <c r="R49" s="760">
        <f>IF(OR($A49="F&amp;F",$A49="CE",R$7="No aplica"),0,'BOULEVARD 5'!U47-'BOULEVARD PPTO'!M42)</f>
        <v>0</v>
      </c>
      <c r="S49" s="760">
        <f>IF(OR($A49="F&amp;F",$A49="CE",S$7="No aplica"),0,'BOULEVARD 5'!V47-'BOULEVARD PPTO'!N42)</f>
        <v>0</v>
      </c>
      <c r="T49" s="760">
        <f>IF(OR($A49="F&amp;F",$A49="CE",T$7="No aplica"),0,'BOULEVARD 5'!W47-'BOULEVARD PPTO'!O42)</f>
        <v>0</v>
      </c>
      <c r="U49" s="760">
        <f>IF(OR($A49="F&amp;F",$A49="CE",U$7="No aplica"),0,'BOULEVARD 5'!X47-'BOULEVARD PPTO'!P42)</f>
        <v>0</v>
      </c>
      <c r="V49" s="760">
        <f>IF(OR($A49="F&amp;F",$A49="CE",V$7="No aplica"),0,'BOULEVARD 5'!Y47-'BOULEVARD PPTO'!Q42)</f>
        <v>0</v>
      </c>
      <c r="W49" s="760">
        <f>IF(OR($A49="F&amp;F",$A49="CE",W$7="No aplica"),0,'BOULEVARD 5'!Z47-'BOULEVARD PPTO'!R42)</f>
        <v>0</v>
      </c>
      <c r="X49" s="760">
        <f>IF(OR($A49="F&amp;F",$A49="CE",X$7="No aplica"),0,'BOULEVARD 5'!AA47-'BOULEVARD PPTO'!S42)</f>
        <v>0</v>
      </c>
      <c r="Y49" s="760">
        <f>IF(OR($A49="F&amp;F",$A49="CE",Y$7="No aplica"),0,'BOULEVARD 5'!AB47-'BOULEVARD PPTO'!T42)</f>
        <v>0</v>
      </c>
      <c r="Z49" s="760">
        <f>IF(OR($A49="F&amp;F",$A49="CE",Z$7="No aplica"),0,'BOULEVARD 5'!AC47-'BOULEVARD PPTO'!U42)</f>
        <v>0</v>
      </c>
      <c r="AA49" s="760">
        <f>IF(OR($A49="F&amp;F",$A49="CE",AA$7="No aplica"),0,'BOULEVARD 5'!AD47-'BOULEVARD PPTO'!V42)</f>
        <v>0</v>
      </c>
      <c r="AB49" s="760">
        <f>IF(OR($A49="F&amp;F",$A49="CE",AB$7="No aplica"),0,'BOULEVARD 5'!AE47-'BOULEVARD PPTO'!W42)</f>
        <v>0</v>
      </c>
      <c r="AC49" s="760">
        <f>IF(OR($A49="F&amp;F",$A49="CE",AC$7="No aplica"),0,'BOULEVARD 5'!AF47-'BOULEVARD PPTO'!X42)</f>
        <v>0</v>
      </c>
      <c r="AD49" s="760">
        <f>IF(OR($A49="F&amp;F",$A49="CE",AD$7="No aplica"),0,'BOULEVARD 5'!AG47-'BOULEVARD PPTO'!Y42)</f>
        <v>0</v>
      </c>
      <c r="AE49" s="760">
        <f>IF(OR($A49="F&amp;F",$A49="CE",AE$7="No aplica"),0,'BOULEVARD 5'!AH47-'BOULEVARD PPTO'!Z42)</f>
        <v>0</v>
      </c>
      <c r="AF49" s="760">
        <f>IF(OR($A49="F&amp;F",$A49="CE",AF$7="No aplica"),0,'BOULEVARD 5'!AI47-'BOULEVARD PPTO'!AA42)</f>
        <v>0</v>
      </c>
      <c r="AG49" s="760">
        <f>IF(OR($A49="F&amp;F",$A49="CE",AG$7="No aplica"),0,'BOULEVARD 5'!AJ47-'BOULEVARD PPTO'!AB42)</f>
        <v>0</v>
      </c>
      <c r="AH49" s="760">
        <f>IF(OR($A49="F&amp;F",$A49="CE",AH$7="No aplica"),0,'BOULEVARD 5'!AK47-'BOULEVARD PPTO'!AC42)</f>
        <v>0</v>
      </c>
      <c r="AI49" s="760">
        <f>IF(OR($A49="F&amp;F",$A49="CE",AI$7="No aplica"),0,'BOULEVARD 5'!AL47-'BOULEVARD PPTO'!AD42)</f>
        <v>0</v>
      </c>
      <c r="AJ49" s="760">
        <f>IF(OR($A49="F&amp;F",$A49="CE",AJ$7="No aplica"),0,'BOULEVARD 5'!AM47-'BOULEVARD PPTO'!AE42)</f>
        <v>0</v>
      </c>
      <c r="AK49" s="760">
        <f>IF(OR($A49="F&amp;F",$A49="CE",AK$7="No aplica"),0,'BOULEVARD 5'!AN47-'BOULEVARD PPTO'!AF42)</f>
        <v>0</v>
      </c>
      <c r="AL49" s="760">
        <f>IF(OR($A49="F&amp;F",$A49="CE",AL$7="No aplica"),0,'BOULEVARD 5'!AO47-'BOULEVARD PPTO'!AG42)</f>
        <v>0</v>
      </c>
      <c r="AM49" s="760">
        <f>IF(OR($A49="F&amp;F",$A49="CE",AM$7="No aplica"),0,'BOULEVARD 5'!AP47-'BOULEVARD PPTO'!AH42)</f>
        <v>0</v>
      </c>
      <c r="AN49" s="760">
        <f>IF(OR($A49="F&amp;F",$A49="CE",AN$7="No aplica"),0,'BOULEVARD 5'!AQ47-'BOULEVARD PPTO'!AI42)</f>
        <v>0</v>
      </c>
      <c r="AO49" s="760">
        <f>IF(OR($A49="F&amp;F",$A49="CE",AO$7="No aplica"),0,'BOULEVARD 5'!AS47-'BOULEVARD PPTO'!AJ42)</f>
        <v>0</v>
      </c>
      <c r="AP49" s="761">
        <f t="shared" si="7"/>
        <v>0</v>
      </c>
      <c r="AQ49" s="761">
        <f t="shared" si="8"/>
        <v>0</v>
      </c>
      <c r="AR49" s="674">
        <f>IF(A49=0,'BOULEVARD 5'!BF47,0)</f>
        <v>0</v>
      </c>
      <c r="AS49" s="674">
        <f>IF(A49=0,'BOULEVARD 5'!BG47,0)</f>
        <v>0</v>
      </c>
      <c r="AT49" s="675" t="str">
        <f t="shared" si="4"/>
        <v>Vendido</v>
      </c>
      <c r="AU49" s="581" t="str">
        <f t="shared" si="11"/>
        <v/>
      </c>
      <c r="AV49" s="760">
        <f t="shared" si="10"/>
        <v>0</v>
      </c>
    </row>
    <row r="50" spans="1:49" s="581" customFormat="1" ht="12.4" customHeight="1" outlineLevel="1" x14ac:dyDescent="0.25">
      <c r="A50" s="703">
        <f>'BOULEVARD 5'!BQ48</f>
        <v>0</v>
      </c>
      <c r="B50" s="564">
        <v>312</v>
      </c>
      <c r="C50" s="564" t="s">
        <v>399</v>
      </c>
      <c r="D50" s="564"/>
      <c r="E50" s="564" t="str">
        <f>IF('BOULEVARD 5'!E48&lt;&gt;0,'BOULEVARD 5'!E48,"")</f>
        <v>Antonio Rada</v>
      </c>
      <c r="F50" s="581" t="str">
        <f>IF('BOULEVARD 5'!F48&lt;&gt;0,'BOULEVARD 5'!F48,"")</f>
        <v>Freddy Alejandro Chinchilla Culajay</v>
      </c>
      <c r="G50" s="566">
        <f>IF('BOULEVARD 5'!G48="","",'BOULEVARD 5'!G48)</f>
        <v>45650</v>
      </c>
      <c r="H50" s="756">
        <f>IF(OR($A50="F&amp;F",$A50="CE",H$7="No aplica"),0,'BOULEVARD 5'!K48-'BOULEVARD PPTO'!C43)</f>
        <v>0</v>
      </c>
      <c r="I50" s="756">
        <f>IF(OR($A50="F&amp;F",$A50="CE",I$7="No aplica"),0,'BOULEVARD 5'!L48-'BOULEVARD PPTO'!D43)</f>
        <v>0</v>
      </c>
      <c r="J50" s="756">
        <f>IF(OR($A50="F&amp;F",$A50="CE",J$7="No aplica"),0,'BOULEVARD 5'!M48-'BOULEVARD PPTO'!E43)</f>
        <v>0</v>
      </c>
      <c r="K50" s="756">
        <f>IF(OR($A50="F&amp;F",$A50="CE",K$7="No aplica"),0,'BOULEVARD 5'!N48-'BOULEVARD PPTO'!F43)</f>
        <v>0</v>
      </c>
      <c r="L50" s="756">
        <f>IF(OR($A50="F&amp;F",$A50="CE",L$7="No aplica"),0,'BOULEVARD 5'!O48-'BOULEVARD PPTO'!G43)</f>
        <v>0</v>
      </c>
      <c r="M50" s="756">
        <f>IF(OR($A50="F&amp;F",$A50="CE",M$7="No aplica"),0,'BOULEVARD 5'!P48-'BOULEVARD PPTO'!H43)</f>
        <v>0</v>
      </c>
      <c r="N50" s="756">
        <f>IF(OR($A50="F&amp;F",$A50="CE",N$7="No aplica"),0,'BOULEVARD 5'!Q48-'BOULEVARD PPTO'!I43)</f>
        <v>0</v>
      </c>
      <c r="O50" s="756">
        <f>IF(OR($A50="F&amp;F",$A50="CE",O$7="No aplica"),0,'BOULEVARD 5'!R48-'BOULEVARD PPTO'!J43)</f>
        <v>0</v>
      </c>
      <c r="P50" s="756">
        <f>IF(OR($A50="F&amp;F",$A50="CE",P$7="No aplica"),0,'BOULEVARD 5'!S48-'BOULEVARD PPTO'!K43)</f>
        <v>0</v>
      </c>
      <c r="Q50" s="760">
        <f>IF(OR($A50="F&amp;F",$A50="CE",Q$7="No aplica"),0,'BOULEVARD 5'!T48-'BOULEVARD PPTO'!L43)</f>
        <v>0</v>
      </c>
      <c r="R50" s="760">
        <f>IF(OR($A50="F&amp;F",$A50="CE",R$7="No aplica"),0,'BOULEVARD 5'!U48-'BOULEVARD PPTO'!M43)</f>
        <v>0</v>
      </c>
      <c r="S50" s="760">
        <f>IF(OR($A50="F&amp;F",$A50="CE",S$7="No aplica"),0,'BOULEVARD 5'!V48-'BOULEVARD PPTO'!N43)</f>
        <v>0</v>
      </c>
      <c r="T50" s="760">
        <f>IF(OR($A50="F&amp;F",$A50="CE",T$7="No aplica"),0,'BOULEVARD 5'!W48-'BOULEVARD PPTO'!O43)</f>
        <v>0</v>
      </c>
      <c r="U50" s="760">
        <f>IF(OR($A50="F&amp;F",$A50="CE",U$7="No aplica"),0,'BOULEVARD 5'!X48-'BOULEVARD PPTO'!P43)</f>
        <v>0</v>
      </c>
      <c r="V50" s="760">
        <f>IF(OR($A50="F&amp;F",$A50="CE",V$7="No aplica"),0,'BOULEVARD 5'!Y48-'BOULEVARD PPTO'!Q43)</f>
        <v>0</v>
      </c>
      <c r="W50" s="760">
        <f>IF(OR($A50="F&amp;F",$A50="CE",W$7="No aplica"),0,'BOULEVARD 5'!Z48-'BOULEVARD PPTO'!R43)</f>
        <v>0</v>
      </c>
      <c r="X50" s="760">
        <f>IF(OR($A50="F&amp;F",$A50="CE",X$7="No aplica"),0,'BOULEVARD 5'!AA48-'BOULEVARD PPTO'!S43)</f>
        <v>0</v>
      </c>
      <c r="Y50" s="760">
        <f>IF(OR($A50="F&amp;F",$A50="CE",Y$7="No aplica"),0,'BOULEVARD 5'!AB48-'BOULEVARD PPTO'!T43)</f>
        <v>0</v>
      </c>
      <c r="Z50" s="760">
        <f>IF(OR($A50="F&amp;F",$A50="CE",Z$7="No aplica"),0,'BOULEVARD 5'!AC48-'BOULEVARD PPTO'!U43)</f>
        <v>0</v>
      </c>
      <c r="AA50" s="760">
        <f>IF(OR($A50="F&amp;F",$A50="CE",AA$7="No aplica"),0,'BOULEVARD 5'!AD48-'BOULEVARD PPTO'!V43)</f>
        <v>0</v>
      </c>
      <c r="AB50" s="760">
        <f>IF(OR($A50="F&amp;F",$A50="CE",AB$7="No aplica"),0,'BOULEVARD 5'!AE48-'BOULEVARD PPTO'!W43)</f>
        <v>0</v>
      </c>
      <c r="AC50" s="760">
        <f>IF(OR($A50="F&amp;F",$A50="CE",AC$7="No aplica"),0,'BOULEVARD 5'!AF48-'BOULEVARD PPTO'!X43)</f>
        <v>8000</v>
      </c>
      <c r="AD50" s="760">
        <f>IF(OR($A50="F&amp;F",$A50="CE",AD$7="No aplica"),0,'BOULEVARD 5'!AG48-'BOULEVARD PPTO'!Y43)</f>
        <v>-8000</v>
      </c>
      <c r="AE50" s="760">
        <f>IF(OR($A50="F&amp;F",$A50="CE",AE$7="No aplica"),0,'BOULEVARD 5'!AH48-'BOULEVARD PPTO'!Z43)</f>
        <v>0</v>
      </c>
      <c r="AF50" s="760">
        <f>IF(OR($A50="F&amp;F",$A50="CE",AF$7="No aplica"),0,'BOULEVARD 5'!AI48-'BOULEVARD PPTO'!AA43)</f>
        <v>0</v>
      </c>
      <c r="AG50" s="760">
        <f>IF(OR($A50="F&amp;F",$A50="CE",AG$7="No aplica"),0,'BOULEVARD 5'!AJ48-'BOULEVARD PPTO'!AB43)</f>
        <v>0</v>
      </c>
      <c r="AH50" s="760">
        <f>IF(OR($A50="F&amp;F",$A50="CE",AH$7="No aplica"),0,'BOULEVARD 5'!AK48-'BOULEVARD PPTO'!AC43)</f>
        <v>0</v>
      </c>
      <c r="AI50" s="760">
        <f>IF(OR($A50="F&amp;F",$A50="CE",AI$7="No aplica"),0,'BOULEVARD 5'!AL48-'BOULEVARD PPTO'!AD43)</f>
        <v>0</v>
      </c>
      <c r="AJ50" s="760">
        <f>IF(OR($A50="F&amp;F",$A50="CE",AJ$7="No aplica"),0,'BOULEVARD 5'!AM48-'BOULEVARD PPTO'!AE43)</f>
        <v>0</v>
      </c>
      <c r="AK50" s="760">
        <f>IF(OR($A50="F&amp;F",$A50="CE",AK$7="No aplica"),0,'BOULEVARD 5'!AN48-'BOULEVARD PPTO'!AF43)</f>
        <v>0</v>
      </c>
      <c r="AL50" s="760">
        <f>IF(OR($A50="F&amp;F",$A50="CE",AL$7="No aplica"),0,'BOULEVARD 5'!AO48-'BOULEVARD PPTO'!AG43)</f>
        <v>0</v>
      </c>
      <c r="AM50" s="760">
        <f>IF(OR($A50="F&amp;F",$A50="CE",AM$7="No aplica"),0,'BOULEVARD 5'!AP48-'BOULEVARD PPTO'!AH43)</f>
        <v>0</v>
      </c>
      <c r="AN50" s="760">
        <f>IF(OR($A50="F&amp;F",$A50="CE",AN$7="No aplica"),0,'BOULEVARD 5'!AQ48-'BOULEVARD PPTO'!AI43)</f>
        <v>0</v>
      </c>
      <c r="AO50" s="760">
        <f>IF(OR($A50="F&amp;F",$A50="CE",AO$7="No aplica"),0,'BOULEVARD 5'!AS48-'BOULEVARD PPTO'!AJ43)</f>
        <v>0</v>
      </c>
      <c r="AP50" s="761">
        <f t="shared" si="7"/>
        <v>0</v>
      </c>
      <c r="AQ50" s="761">
        <f t="shared" si="8"/>
        <v>-39250.320000000007</v>
      </c>
      <c r="AR50" s="674">
        <f>IF(A50=0,'BOULEVARD 5'!BF48,0)</f>
        <v>8000</v>
      </c>
      <c r="AS50" s="674">
        <f>IF(A50=0,'BOULEVARD 5'!BG48,0)</f>
        <v>7851</v>
      </c>
      <c r="AT50" s="675" t="str">
        <f t="shared" si="4"/>
        <v>Vendido</v>
      </c>
      <c r="AU50" s="581" t="str">
        <f t="shared" si="11"/>
        <v/>
      </c>
      <c r="AV50" s="760">
        <f t="shared" si="10"/>
        <v>0</v>
      </c>
      <c r="AW50" s="682" t="s">
        <v>849</v>
      </c>
    </row>
    <row r="51" spans="1:49" s="581" customFormat="1" ht="12.4" customHeight="1" outlineLevel="1" x14ac:dyDescent="0.25">
      <c r="A51" s="703">
        <f>'BOULEVARD 5'!BQ49</f>
        <v>0</v>
      </c>
      <c r="B51" s="564">
        <v>313</v>
      </c>
      <c r="C51" s="564" t="s">
        <v>400</v>
      </c>
      <c r="D51" s="564"/>
      <c r="E51" s="564" t="str">
        <f>IF('BOULEVARD 5'!E49&lt;&gt;0,'BOULEVARD 5'!E49,"")</f>
        <v>Antonio Rada</v>
      </c>
      <c r="F51" s="581" t="str">
        <f>IF('BOULEVARD 5'!F49&lt;&gt;0,'BOULEVARD 5'!F49,"")</f>
        <v>Leslly Franzoli Cortez Avila</v>
      </c>
      <c r="G51" s="566">
        <f>IF('BOULEVARD 5'!G49="","",'BOULEVARD 5'!G49)</f>
        <v>45419</v>
      </c>
      <c r="H51" s="756">
        <f>IF(OR($A51="F&amp;F",$A51="CE",H$7="No aplica"),0,'BOULEVARD 5'!K49-'BOULEVARD PPTO'!C44)</f>
        <v>0</v>
      </c>
      <c r="I51" s="756">
        <f>IF(OR($A51="F&amp;F",$A51="CE",I$7="No aplica"),0,'BOULEVARD 5'!L49-'BOULEVARD PPTO'!D44)</f>
        <v>0</v>
      </c>
      <c r="J51" s="756">
        <f>IF(OR($A51="F&amp;F",$A51="CE",J$7="No aplica"),0,'BOULEVARD 5'!M49-'BOULEVARD PPTO'!E44)</f>
        <v>0</v>
      </c>
      <c r="K51" s="756">
        <f>IF(OR($A51="F&amp;F",$A51="CE",K$7="No aplica"),0,'BOULEVARD 5'!N49-'BOULEVARD PPTO'!F44)</f>
        <v>0</v>
      </c>
      <c r="L51" s="756">
        <f>IF(OR($A51="F&amp;F",$A51="CE",L$7="No aplica"),0,'BOULEVARD 5'!O49-'BOULEVARD PPTO'!G44)</f>
        <v>0</v>
      </c>
      <c r="M51" s="756">
        <f>IF(OR($A51="F&amp;F",$A51="CE",M$7="No aplica"),0,'BOULEVARD 5'!P49-'BOULEVARD PPTO'!H44)</f>
        <v>0</v>
      </c>
      <c r="N51" s="756">
        <f>IF(OR($A51="F&amp;F",$A51="CE",N$7="No aplica"),0,'BOULEVARD 5'!Q49-'BOULEVARD PPTO'!I44)</f>
        <v>0</v>
      </c>
      <c r="O51" s="756">
        <f>IF(OR($A51="F&amp;F",$A51="CE",O$7="No aplica"),0,'BOULEVARD 5'!R49-'BOULEVARD PPTO'!J44)</f>
        <v>0</v>
      </c>
      <c r="P51" s="756">
        <f>IF(OR($A51="F&amp;F",$A51="CE",P$7="No aplica"),0,'BOULEVARD 5'!S49-'BOULEVARD PPTO'!K44)</f>
        <v>0</v>
      </c>
      <c r="Q51" s="760">
        <f>IF(OR($A51="F&amp;F",$A51="CE",Q$7="No aplica"),0,'BOULEVARD 5'!T49-'BOULEVARD PPTO'!L44)</f>
        <v>0</v>
      </c>
      <c r="R51" s="760">
        <f>IF(OR($A51="F&amp;F",$A51="CE",R$7="No aplica"),0,'BOULEVARD 5'!U49-'BOULEVARD PPTO'!M44)</f>
        <v>0</v>
      </c>
      <c r="S51" s="760">
        <f>IF(OR($A51="F&amp;F",$A51="CE",S$7="No aplica"),0,'BOULEVARD 5'!V49-'BOULEVARD PPTO'!N44)</f>
        <v>0</v>
      </c>
      <c r="T51" s="760">
        <f>IF(OR($A51="F&amp;F",$A51="CE",T$7="No aplica"),0,'BOULEVARD 5'!W49-'BOULEVARD PPTO'!O44)</f>
        <v>0</v>
      </c>
      <c r="U51" s="760">
        <f>IF(OR($A51="F&amp;F",$A51="CE",U$7="No aplica"),0,'BOULEVARD 5'!X49-'BOULEVARD PPTO'!P44)</f>
        <v>0</v>
      </c>
      <c r="V51" s="760">
        <f>IF(OR($A51="F&amp;F",$A51="CE",V$7="No aplica"),0,'BOULEVARD 5'!Y49-'BOULEVARD PPTO'!Q44)</f>
        <v>-20000</v>
      </c>
      <c r="W51" s="760">
        <f>IF(OR($A51="F&amp;F",$A51="CE",W$7="No aplica"),0,'BOULEVARD 5'!Z49-'BOULEVARD PPTO'!R44)</f>
        <v>0</v>
      </c>
      <c r="X51" s="760">
        <f>IF(OR($A51="F&amp;F",$A51="CE",X$7="No aplica"),0,'BOULEVARD 5'!AA49-'BOULEVARD PPTO'!S44)</f>
        <v>20000</v>
      </c>
      <c r="Y51" s="760">
        <f>IF(OR($A51="F&amp;F",$A51="CE",Y$7="No aplica"),0,'BOULEVARD 5'!AB49-'BOULEVARD PPTO'!T44)</f>
        <v>0</v>
      </c>
      <c r="Z51" s="760">
        <f>IF(OR($A51="F&amp;F",$A51="CE",Z$7="No aplica"),0,'BOULEVARD 5'!AC49-'BOULEVARD PPTO'!U44)</f>
        <v>0</v>
      </c>
      <c r="AA51" s="760">
        <f>IF(OR($A51="F&amp;F",$A51="CE",AA$7="No aplica"),0,'BOULEVARD 5'!AD49-'BOULEVARD PPTO'!V44)</f>
        <v>4253</v>
      </c>
      <c r="AB51" s="760">
        <f>IF(OR($A51="F&amp;F",$A51="CE",AB$7="No aplica"),0,'BOULEVARD 5'!AE49-'BOULEVARD PPTO'!W44)</f>
        <v>-4253</v>
      </c>
      <c r="AC51" s="760">
        <f>IF(OR($A51="F&amp;F",$A51="CE",AC$7="No aplica"),0,'BOULEVARD 5'!AF49-'BOULEVARD PPTO'!X44)</f>
        <v>0</v>
      </c>
      <c r="AD51" s="760">
        <f>IF(OR($A51="F&amp;F",$A51="CE",AD$7="No aplica"),0,'BOULEVARD 5'!AG49-'BOULEVARD PPTO'!Y44)</f>
        <v>0</v>
      </c>
      <c r="AE51" s="760">
        <f>IF(OR($A51="F&amp;F",$A51="CE",AE$7="No aplica"),0,'BOULEVARD 5'!AH49-'BOULEVARD PPTO'!Z44)</f>
        <v>0</v>
      </c>
      <c r="AF51" s="760">
        <f>IF(OR($A51="F&amp;F",$A51="CE",AF$7="No aplica"),0,'BOULEVARD 5'!AI49-'BOULEVARD PPTO'!AA44)</f>
        <v>0</v>
      </c>
      <c r="AG51" s="760">
        <f>IF(OR($A51="F&amp;F",$A51="CE",AG$7="No aplica"),0,'BOULEVARD 5'!AJ49-'BOULEVARD PPTO'!AB44)</f>
        <v>4253</v>
      </c>
      <c r="AH51" s="760">
        <f>IF(OR($A51="F&amp;F",$A51="CE",AH$7="No aplica"),0,'BOULEVARD 5'!AK49-'BOULEVARD PPTO'!AC44)</f>
        <v>-4253</v>
      </c>
      <c r="AI51" s="760">
        <f>IF(OR($A51="F&amp;F",$A51="CE",AI$7="No aplica"),0,'BOULEVARD 5'!AL49-'BOULEVARD PPTO'!AD44)</f>
        <v>0</v>
      </c>
      <c r="AJ51" s="760">
        <f>IF(OR($A51="F&amp;F",$A51="CE",AJ$7="No aplica"),0,'BOULEVARD 5'!AM49-'BOULEVARD PPTO'!AE44)</f>
        <v>0</v>
      </c>
      <c r="AK51" s="760">
        <f>IF(OR($A51="F&amp;F",$A51="CE",AK$7="No aplica"),0,'BOULEVARD 5'!AN49-'BOULEVARD PPTO'!AF44)</f>
        <v>4253</v>
      </c>
      <c r="AL51" s="760">
        <f>IF(OR($A51="F&amp;F",$A51="CE",AL$7="No aplica"),0,'BOULEVARD 5'!AO49-'BOULEVARD PPTO'!AG44)</f>
        <v>-4253</v>
      </c>
      <c r="AM51" s="760">
        <f>IF(OR($A51="F&amp;F",$A51="CE",AM$7="No aplica"),0,'BOULEVARD 5'!AP49-'BOULEVARD PPTO'!AH44)</f>
        <v>4253</v>
      </c>
      <c r="AN51" s="760">
        <f>IF(OR($A51="F&amp;F",$A51="CE",AN$7="No aplica"),0,'BOULEVARD 5'!AQ49-'BOULEVARD PPTO'!AI44)</f>
        <v>0</v>
      </c>
      <c r="AO51" s="760">
        <f>IF(OR($A51="F&amp;F",$A51="CE",AO$7="No aplica"),0,'BOULEVARD 5'!AS49-'BOULEVARD PPTO'!AJ44)</f>
        <v>0</v>
      </c>
      <c r="AP51" s="761">
        <f t="shared" si="7"/>
        <v>4253</v>
      </c>
      <c r="AQ51" s="761">
        <f t="shared" si="8"/>
        <v>7</v>
      </c>
      <c r="AR51" s="674">
        <f>IF(A51=0,'BOULEVARD 5'!BF49,0)</f>
        <v>28000</v>
      </c>
      <c r="AS51" s="674">
        <f>IF(A51=0,'BOULEVARD 5'!BG49,0)</f>
        <v>4253</v>
      </c>
      <c r="AT51" s="675" t="str">
        <f t="shared" si="4"/>
        <v>Vendido</v>
      </c>
      <c r="AU51" s="581" t="str">
        <f t="shared" si="11"/>
        <v>A FAVOR DEL CLIENTE</v>
      </c>
      <c r="AV51" s="760">
        <f t="shared" si="10"/>
        <v>4253</v>
      </c>
    </row>
    <row r="52" spans="1:49" s="581" customFormat="1" ht="12.4" customHeight="1" outlineLevel="1" x14ac:dyDescent="0.25">
      <c r="A52" s="703">
        <f>'BOULEVARD 5'!BQ50</f>
        <v>0</v>
      </c>
      <c r="B52" s="564">
        <v>314</v>
      </c>
      <c r="C52" s="564" t="s">
        <v>175</v>
      </c>
      <c r="D52" s="564"/>
      <c r="E52" s="564" t="str">
        <f>IF('BOULEVARD 5'!E50&lt;&gt;0,'BOULEVARD 5'!E50,"")</f>
        <v>Laura Molina</v>
      </c>
      <c r="F52" s="581" t="str">
        <f>IF('BOULEVARD 5'!F50&lt;&gt;0,'BOULEVARD 5'!F50,"")</f>
        <v>Arcely Contreras</v>
      </c>
      <c r="G52" s="566">
        <f>IF('BOULEVARD 5'!G50="","",'BOULEVARD 5'!G50)</f>
        <v>45880</v>
      </c>
      <c r="H52" s="756">
        <f>IF(OR($A52="F&amp;F",$A52="CE",H$7="No aplica"),0,'BOULEVARD 5'!K50-'BOULEVARD PPTO'!C45)</f>
        <v>0</v>
      </c>
      <c r="I52" s="756">
        <f>IF(OR($A52="F&amp;F",$A52="CE",I$7="No aplica"),0,'BOULEVARD 5'!L50-'BOULEVARD PPTO'!D45)</f>
        <v>0</v>
      </c>
      <c r="J52" s="756">
        <f>IF(OR($A52="F&amp;F",$A52="CE",J$7="No aplica"),0,'BOULEVARD 5'!M50-'BOULEVARD PPTO'!E45)</f>
        <v>0</v>
      </c>
      <c r="K52" s="756">
        <f>IF(OR($A52="F&amp;F",$A52="CE",K$7="No aplica"),0,'BOULEVARD 5'!N50-'BOULEVARD PPTO'!F45)</f>
        <v>0</v>
      </c>
      <c r="L52" s="756">
        <f>IF(OR($A52="F&amp;F",$A52="CE",L$7="No aplica"),0,'BOULEVARD 5'!O50-'BOULEVARD PPTO'!G45)</f>
        <v>0</v>
      </c>
      <c r="M52" s="756">
        <f>IF(OR($A52="F&amp;F",$A52="CE",M$7="No aplica"),0,'BOULEVARD 5'!P50-'BOULEVARD PPTO'!H45)</f>
        <v>0</v>
      </c>
      <c r="N52" s="756">
        <f>IF(OR($A52="F&amp;F",$A52="CE",N$7="No aplica"),0,'BOULEVARD 5'!Q50-'BOULEVARD PPTO'!I45)</f>
        <v>0</v>
      </c>
      <c r="O52" s="756">
        <f>IF(OR($A52="F&amp;F",$A52="CE",O$7="No aplica"),0,'BOULEVARD 5'!R50-'BOULEVARD PPTO'!J45)</f>
        <v>0</v>
      </c>
      <c r="P52" s="756">
        <f>IF(OR($A52="F&amp;F",$A52="CE",P$7="No aplica"),0,'BOULEVARD 5'!S50-'BOULEVARD PPTO'!K45)</f>
        <v>0</v>
      </c>
      <c r="Q52" s="760">
        <f>IF(OR($A52="F&amp;F",$A52="CE",Q$7="No aplica"),0,'BOULEVARD 5'!T50-'BOULEVARD PPTO'!L45)</f>
        <v>0</v>
      </c>
      <c r="R52" s="760">
        <f>IF(OR($A52="F&amp;F",$A52="CE",R$7="No aplica"),0,'BOULEVARD 5'!U50-'BOULEVARD PPTO'!M45)</f>
        <v>0</v>
      </c>
      <c r="S52" s="760">
        <f>IF(OR($A52="F&amp;F",$A52="CE",S$7="No aplica"),0,'BOULEVARD 5'!V50-'BOULEVARD PPTO'!N45)</f>
        <v>0</v>
      </c>
      <c r="T52" s="760">
        <f>IF(OR($A52="F&amp;F",$A52="CE",T$7="No aplica"),0,'BOULEVARD 5'!W50-'BOULEVARD PPTO'!O45)</f>
        <v>0</v>
      </c>
      <c r="U52" s="760">
        <f>IF(OR($A52="F&amp;F",$A52="CE",U$7="No aplica"),0,'BOULEVARD 5'!X50-'BOULEVARD PPTO'!P45)</f>
        <v>0</v>
      </c>
      <c r="V52" s="760">
        <f>IF(OR($A52="F&amp;F",$A52="CE",V$7="No aplica"),0,'BOULEVARD 5'!Y50-'BOULEVARD PPTO'!Q45)</f>
        <v>0</v>
      </c>
      <c r="W52" s="760">
        <f>IF(OR($A52="F&amp;F",$A52="CE",W$7="No aplica"),0,'BOULEVARD 5'!Z50-'BOULEVARD PPTO'!R45)</f>
        <v>0</v>
      </c>
      <c r="X52" s="760">
        <f>IF(OR($A52="F&amp;F",$A52="CE",X$7="No aplica"),0,'BOULEVARD 5'!AA50-'BOULEVARD PPTO'!S45)</f>
        <v>0</v>
      </c>
      <c r="Y52" s="760">
        <f>IF(OR($A52="F&amp;F",$A52="CE",Y$7="No aplica"),0,'BOULEVARD 5'!AB50-'BOULEVARD PPTO'!T45)</f>
        <v>0</v>
      </c>
      <c r="Z52" s="760">
        <f>IF(OR($A52="F&amp;F",$A52="CE",Z$7="No aplica"),0,'BOULEVARD 5'!AC50-'BOULEVARD PPTO'!U45)</f>
        <v>0</v>
      </c>
      <c r="AA52" s="760">
        <f>IF(OR($A52="F&amp;F",$A52="CE",AA$7="No aplica"),0,'BOULEVARD 5'!AD50-'BOULEVARD PPTO'!V45)</f>
        <v>0</v>
      </c>
      <c r="AB52" s="760">
        <f>IF(OR($A52="F&amp;F",$A52="CE",AB$7="No aplica"),0,'BOULEVARD 5'!AE50-'BOULEVARD PPTO'!W45)</f>
        <v>0</v>
      </c>
      <c r="AC52" s="760">
        <f>IF(OR($A52="F&amp;F",$A52="CE",AC$7="No aplica"),0,'BOULEVARD 5'!AF50-'BOULEVARD PPTO'!X45)</f>
        <v>0</v>
      </c>
      <c r="AD52" s="760">
        <f>IF(OR($A52="F&amp;F",$A52="CE",AD$7="No aplica"),0,'BOULEVARD 5'!AG50-'BOULEVARD PPTO'!Y45)</f>
        <v>0</v>
      </c>
      <c r="AE52" s="760">
        <f>IF(OR($A52="F&amp;F",$A52="CE",AE$7="No aplica"),0,'BOULEVARD 5'!AH50-'BOULEVARD PPTO'!Z45)</f>
        <v>0</v>
      </c>
      <c r="AF52" s="760">
        <f>IF(OR($A52="F&amp;F",$A52="CE",AF$7="No aplica"),0,'BOULEVARD 5'!AI50-'BOULEVARD PPTO'!AA45)</f>
        <v>0</v>
      </c>
      <c r="AG52" s="760">
        <f>IF(OR($A52="F&amp;F",$A52="CE",AG$7="No aplica"),0,'BOULEVARD 5'!AJ50-'BOULEVARD PPTO'!AB45)</f>
        <v>0</v>
      </c>
      <c r="AH52" s="760">
        <f>IF(OR($A52="F&amp;F",$A52="CE",AH$7="No aplica"),0,'BOULEVARD 5'!AK50-'BOULEVARD PPTO'!AC45)</f>
        <v>0</v>
      </c>
      <c r="AI52" s="760">
        <f>IF(OR($A52="F&amp;F",$A52="CE",AI$7="No aplica"),0,'BOULEVARD 5'!AL50-'BOULEVARD PPTO'!AD45)</f>
        <v>0</v>
      </c>
      <c r="AJ52" s="760">
        <f>IF(OR($A52="F&amp;F",$A52="CE",AJ$7="No aplica"),0,'BOULEVARD 5'!AM50-'BOULEVARD PPTO'!AE45)</f>
        <v>0</v>
      </c>
      <c r="AK52" s="760">
        <f>IF(OR($A52="F&amp;F",$A52="CE",AK$7="No aplica"),0,'BOULEVARD 5'!AN50-'BOULEVARD PPTO'!AF45)</f>
        <v>10000</v>
      </c>
      <c r="AL52" s="760">
        <f>IF(OR($A52="F&amp;F",$A52="CE",AL$7="No aplica"),0,'BOULEVARD 5'!AO50-'BOULEVARD PPTO'!AG45)</f>
        <v>6774.83</v>
      </c>
      <c r="AM52" s="760">
        <f>IF(OR($A52="F&amp;F",$A52="CE",AM$7="No aplica"),0,'BOULEVARD 5'!AP50-'BOULEVARD PPTO'!AH45)</f>
        <v>6774.83</v>
      </c>
      <c r="AN52" s="760">
        <f>IF(OR($A52="F&amp;F",$A52="CE",AN$7="No aplica"),0,'BOULEVARD 5'!AQ50-'BOULEVARD PPTO'!AI45)</f>
        <v>0</v>
      </c>
      <c r="AO52" s="760">
        <f>IF(OR($A52="F&amp;F",$A52="CE",AO$7="No aplica"),0,'BOULEVARD 5'!AS50-'BOULEVARD PPTO'!AJ45)</f>
        <v>0</v>
      </c>
      <c r="AP52" s="761">
        <f t="shared" si="7"/>
        <v>23549.660000000003</v>
      </c>
      <c r="AQ52" s="761">
        <f t="shared" si="8"/>
        <v>43874.150000000009</v>
      </c>
      <c r="AR52" s="674">
        <f>IF(A52=0,'BOULEVARD 5'!BF50,0)</f>
        <v>10000</v>
      </c>
      <c r="AS52" s="674">
        <f>IF(A52=0,'BOULEVARD 5'!BG50,0)</f>
        <v>6774.83</v>
      </c>
      <c r="AT52" s="675" t="str">
        <f t="shared" si="4"/>
        <v>Vendido</v>
      </c>
      <c r="AU52" s="581" t="str">
        <f t="shared" si="11"/>
        <v>A FAVOR DEL CLIENTE</v>
      </c>
      <c r="AV52" s="760">
        <f t="shared" si="10"/>
        <v>6774.83</v>
      </c>
    </row>
    <row r="53" spans="1:49" s="581" customFormat="1" ht="12.4" customHeight="1" outlineLevel="1" x14ac:dyDescent="0.25">
      <c r="A53" s="703">
        <f>'BOULEVARD 5'!BQ51</f>
        <v>0</v>
      </c>
      <c r="B53" s="564">
        <v>315</v>
      </c>
      <c r="C53" s="564" t="s">
        <v>125</v>
      </c>
      <c r="D53" s="564"/>
      <c r="E53" s="564" t="str">
        <f>IF('BOULEVARD 5'!E51&lt;&gt;0,'BOULEVARD 5'!E51,"")</f>
        <v>Sofia Paredes</v>
      </c>
      <c r="F53" s="581" t="str">
        <f>IF('BOULEVARD 5'!F51&lt;&gt;0,'BOULEVARD 5'!F51,"")</f>
        <v>Lilian America Roldan Ochoa</v>
      </c>
      <c r="G53" s="566">
        <f>IF('BOULEVARD 5'!G51="","",'BOULEVARD 5'!G51)</f>
        <v>45752</v>
      </c>
      <c r="H53" s="756">
        <f>IF(OR($A53="F&amp;F",$A53="CE",H$7="No aplica"),0,'BOULEVARD 5'!K51-'BOULEVARD PPTO'!C46)</f>
        <v>0</v>
      </c>
      <c r="I53" s="756">
        <f>IF(OR($A53="F&amp;F",$A53="CE",I$7="No aplica"),0,'BOULEVARD 5'!L51-'BOULEVARD PPTO'!D46)</f>
        <v>0</v>
      </c>
      <c r="J53" s="756">
        <f>IF(OR($A53="F&amp;F",$A53="CE",J$7="No aplica"),0,'BOULEVARD 5'!M51-'BOULEVARD PPTO'!E46)</f>
        <v>0</v>
      </c>
      <c r="K53" s="756">
        <f>IF(OR($A53="F&amp;F",$A53="CE",K$7="No aplica"),0,'BOULEVARD 5'!N51-'BOULEVARD PPTO'!F46)</f>
        <v>0</v>
      </c>
      <c r="L53" s="756">
        <f>IF(OR($A53="F&amp;F",$A53="CE",L$7="No aplica"),0,'BOULEVARD 5'!O51-'BOULEVARD PPTO'!G46)</f>
        <v>0</v>
      </c>
      <c r="M53" s="756">
        <f>IF(OR($A53="F&amp;F",$A53="CE",M$7="No aplica"),0,'BOULEVARD 5'!P51-'BOULEVARD PPTO'!H46)</f>
        <v>0</v>
      </c>
      <c r="N53" s="756">
        <f>IF(OR($A53="F&amp;F",$A53="CE",N$7="No aplica"),0,'BOULEVARD 5'!Q51-'BOULEVARD PPTO'!I46)</f>
        <v>0</v>
      </c>
      <c r="O53" s="756">
        <f>IF(OR($A53="F&amp;F",$A53="CE",O$7="No aplica"),0,'BOULEVARD 5'!R51-'BOULEVARD PPTO'!J46)</f>
        <v>0</v>
      </c>
      <c r="P53" s="756">
        <f>IF(OR($A53="F&amp;F",$A53="CE",P$7="No aplica"),0,'BOULEVARD 5'!S51-'BOULEVARD PPTO'!K46)</f>
        <v>0</v>
      </c>
      <c r="Q53" s="760">
        <f>IF(OR($A53="F&amp;F",$A53="CE",Q$7="No aplica"),0,'BOULEVARD 5'!T51-'BOULEVARD PPTO'!L46)</f>
        <v>0</v>
      </c>
      <c r="R53" s="760">
        <f>IF(OR($A53="F&amp;F",$A53="CE",R$7="No aplica"),0,'BOULEVARD 5'!U51-'BOULEVARD PPTO'!M46)</f>
        <v>0</v>
      </c>
      <c r="S53" s="760">
        <f>IF(OR($A53="F&amp;F",$A53="CE",S$7="No aplica"),0,'BOULEVARD 5'!V51-'BOULEVARD PPTO'!N46)</f>
        <v>0</v>
      </c>
      <c r="T53" s="760">
        <f>IF(OR($A53="F&amp;F",$A53="CE",T$7="No aplica"),0,'BOULEVARD 5'!W51-'BOULEVARD PPTO'!O46)</f>
        <v>0</v>
      </c>
      <c r="U53" s="760">
        <f>IF(OR($A53="F&amp;F",$A53="CE",U$7="No aplica"),0,'BOULEVARD 5'!X51-'BOULEVARD PPTO'!P46)</f>
        <v>0</v>
      </c>
      <c r="V53" s="760">
        <f>IF(OR($A53="F&amp;F",$A53="CE",V$7="No aplica"),0,'BOULEVARD 5'!Y51-'BOULEVARD PPTO'!Q46)</f>
        <v>0</v>
      </c>
      <c r="W53" s="760">
        <f>IF(OR($A53="F&amp;F",$A53="CE",W$7="No aplica"),0,'BOULEVARD 5'!Z51-'BOULEVARD PPTO'!R46)</f>
        <v>0</v>
      </c>
      <c r="X53" s="760">
        <f>IF(OR($A53="F&amp;F",$A53="CE",X$7="No aplica"),0,'BOULEVARD 5'!AA51-'BOULEVARD PPTO'!S46)</f>
        <v>0</v>
      </c>
      <c r="Y53" s="760">
        <f>IF(OR($A53="F&amp;F",$A53="CE",Y$7="No aplica"),0,'BOULEVARD 5'!AB51-'BOULEVARD PPTO'!T46)</f>
        <v>0</v>
      </c>
      <c r="Z53" s="760">
        <f>IF(OR($A53="F&amp;F",$A53="CE",Z$7="No aplica"),0,'BOULEVARD 5'!AC51-'BOULEVARD PPTO'!U46)</f>
        <v>0</v>
      </c>
      <c r="AA53" s="760">
        <f>IF(OR($A53="F&amp;F",$A53="CE",AA$7="No aplica"),0,'BOULEVARD 5'!AD51-'BOULEVARD PPTO'!V46)</f>
        <v>0</v>
      </c>
      <c r="AB53" s="760">
        <f>IF(OR($A53="F&amp;F",$A53="CE",AB$7="No aplica"),0,'BOULEVARD 5'!AE51-'BOULEVARD PPTO'!W46)</f>
        <v>0</v>
      </c>
      <c r="AC53" s="760">
        <f>IF(OR($A53="F&amp;F",$A53="CE",AC$7="No aplica"),0,'BOULEVARD 5'!AF51-'BOULEVARD PPTO'!X46)</f>
        <v>0</v>
      </c>
      <c r="AD53" s="760">
        <f>IF(OR($A53="F&amp;F",$A53="CE",AD$7="No aplica"),0,'BOULEVARD 5'!AG51-'BOULEVARD PPTO'!Y46)</f>
        <v>0</v>
      </c>
      <c r="AE53" s="760">
        <f>IF(OR($A53="F&amp;F",$A53="CE",AE$7="No aplica"),0,'BOULEVARD 5'!AH51-'BOULEVARD PPTO'!Z46)</f>
        <v>0</v>
      </c>
      <c r="AF53" s="760">
        <f>IF(OR($A53="F&amp;F",$A53="CE",AF$7="No aplica"),0,'BOULEVARD 5'!AI51-'BOULEVARD PPTO'!AA46)</f>
        <v>0</v>
      </c>
      <c r="AG53" s="760">
        <f>IF(OR($A53="F&amp;F",$A53="CE",AG$7="No aplica"),0,'BOULEVARD 5'!AJ51-'BOULEVARD PPTO'!AB46)</f>
        <v>0</v>
      </c>
      <c r="AH53" s="760">
        <f>IF(OR($A53="F&amp;F",$A53="CE",AH$7="No aplica"),0,'BOULEVARD 5'!AK51-'BOULEVARD PPTO'!AC46)</f>
        <v>-1110</v>
      </c>
      <c r="AI53" s="760">
        <f>IF(OR($A53="F&amp;F",$A53="CE",AI$7="No aplica"),0,'BOULEVARD 5'!AL51-'BOULEVARD PPTO'!AD46)</f>
        <v>-11110</v>
      </c>
      <c r="AJ53" s="760">
        <f>IF(OR($A53="F&amp;F",$A53="CE",AJ$7="No aplica"),0,'BOULEVARD 5'!AM51-'BOULEVARD PPTO'!AE46)</f>
        <v>-1086</v>
      </c>
      <c r="AK53" s="760">
        <f>IF(OR($A53="F&amp;F",$A53="CE",AK$7="No aplica"),0,'BOULEVARD 5'!AN51-'BOULEVARD PPTO'!AF46)</f>
        <v>890</v>
      </c>
      <c r="AL53" s="760">
        <f>IF(OR($A53="F&amp;F",$A53="CE",AL$7="No aplica"),0,'BOULEVARD 5'!AO51-'BOULEVARD PPTO'!AG46)</f>
        <v>890</v>
      </c>
      <c r="AM53" s="760">
        <f>IF(OR($A53="F&amp;F",$A53="CE",AM$7="No aplica"),0,'BOULEVARD 5'!AP51-'BOULEVARD PPTO'!AH46)</f>
        <v>10890</v>
      </c>
      <c r="AN53" s="760">
        <f>IF(OR($A53="F&amp;F",$A53="CE",AN$7="No aplica"),0,'BOULEVARD 5'!AQ51-'BOULEVARD PPTO'!AI46)</f>
        <v>0</v>
      </c>
      <c r="AO53" s="760">
        <f>IF(OR($A53="F&amp;F",$A53="CE",AO$7="No aplica"),0,'BOULEVARD 5'!AS51-'BOULEVARD PPTO'!AJ46)</f>
        <v>0</v>
      </c>
      <c r="AP53" s="761">
        <f t="shared" si="7"/>
        <v>-636</v>
      </c>
      <c r="AQ53" s="761">
        <f t="shared" si="8"/>
        <v>-56402.98000000001</v>
      </c>
      <c r="AR53" s="674">
        <f>IF(A53=0,'BOULEVARD 5'!BF51,0)</f>
        <v>10000</v>
      </c>
      <c r="AS53" s="674">
        <f>IF(A53=0,'BOULEVARD 5'!BG51,0)</f>
        <v>11110</v>
      </c>
      <c r="AT53" s="675" t="str">
        <f t="shared" si="4"/>
        <v>Vendido</v>
      </c>
      <c r="AU53" s="581" t="str">
        <f t="shared" si="11"/>
        <v>POR COBRAR</v>
      </c>
      <c r="AV53" s="760">
        <f t="shared" si="10"/>
        <v>10890</v>
      </c>
      <c r="AW53" s="682" t="s">
        <v>850</v>
      </c>
    </row>
    <row r="54" spans="1:49" s="581" customFormat="1" ht="12.4" customHeight="1" outlineLevel="1" x14ac:dyDescent="0.25">
      <c r="A54" s="703">
        <f>'BOULEVARD 5'!BQ52</f>
        <v>0</v>
      </c>
      <c r="B54" s="564">
        <v>316</v>
      </c>
      <c r="C54" s="564" t="s">
        <v>178</v>
      </c>
      <c r="D54" s="564"/>
      <c r="E54" s="564" t="str">
        <f>IF('BOULEVARD 5'!E52&lt;&gt;0,'BOULEVARD 5'!E52,"")</f>
        <v>Antonio Rada</v>
      </c>
      <c r="F54" s="581" t="str">
        <f>IF('BOULEVARD 5'!F52&lt;&gt;0,'BOULEVARD 5'!F52,"")</f>
        <v>Allan Omar Alvarado Vásquez</v>
      </c>
      <c r="G54" s="566">
        <f>IF('BOULEVARD 5'!G52="","",'BOULEVARD 5'!G52)</f>
        <v>45228</v>
      </c>
      <c r="H54" s="756">
        <f>IF(OR($A54="F&amp;F",$A54="CE",H$7="No aplica"),0,'BOULEVARD 5'!K52-'BOULEVARD PPTO'!C47)</f>
        <v>0</v>
      </c>
      <c r="I54" s="756">
        <f>IF(OR($A54="F&amp;F",$A54="CE",I$7="No aplica"),0,'BOULEVARD 5'!L52-'BOULEVARD PPTO'!D47)</f>
        <v>0</v>
      </c>
      <c r="J54" s="756">
        <f>IF(OR($A54="F&amp;F",$A54="CE",J$7="No aplica"),0,'BOULEVARD 5'!M52-'BOULEVARD PPTO'!E47)</f>
        <v>0</v>
      </c>
      <c r="K54" s="756">
        <f>IF(OR($A54="F&amp;F",$A54="CE",K$7="No aplica"),0,'BOULEVARD 5'!N52-'BOULEVARD PPTO'!F47)</f>
        <v>0</v>
      </c>
      <c r="L54" s="756">
        <f>IF(OR($A54="F&amp;F",$A54="CE",L$7="No aplica"),0,'BOULEVARD 5'!O52-'BOULEVARD PPTO'!G47)</f>
        <v>0</v>
      </c>
      <c r="M54" s="756">
        <f>IF(OR($A54="F&amp;F",$A54="CE",M$7="No aplica"),0,'BOULEVARD 5'!P52-'BOULEVARD PPTO'!H47)</f>
        <v>0</v>
      </c>
      <c r="N54" s="756">
        <f>IF(OR($A54="F&amp;F",$A54="CE",N$7="No aplica"),0,'BOULEVARD 5'!Q52-'BOULEVARD PPTO'!I47)</f>
        <v>0</v>
      </c>
      <c r="O54" s="756">
        <f>IF(OR($A54="F&amp;F",$A54="CE",O$7="No aplica"),0,'BOULEVARD 5'!R52-'BOULEVARD PPTO'!J47)</f>
        <v>0</v>
      </c>
      <c r="P54" s="756">
        <f>IF(OR($A54="F&amp;F",$A54="CE",P$7="No aplica"),0,'BOULEVARD 5'!S52-'BOULEVARD PPTO'!K47)</f>
        <v>0</v>
      </c>
      <c r="Q54" s="760">
        <f>IF(OR($A54="F&amp;F",$A54="CE",Q$7="No aplica"),0,'BOULEVARD 5'!T52-'BOULEVARD PPTO'!L47)</f>
        <v>0</v>
      </c>
      <c r="R54" s="760">
        <f>IF(OR($A54="F&amp;F",$A54="CE",R$7="No aplica"),0,'BOULEVARD 5'!U52-'BOULEVARD PPTO'!M47)</f>
        <v>0</v>
      </c>
      <c r="S54" s="760">
        <f>IF(OR($A54="F&amp;F",$A54="CE",S$7="No aplica"),0,'BOULEVARD 5'!V52-'BOULEVARD PPTO'!N47)</f>
        <v>0</v>
      </c>
      <c r="T54" s="760">
        <f>IF(OR($A54="F&amp;F",$A54="CE",T$7="No aplica"),0,'BOULEVARD 5'!W52-'BOULEVARD PPTO'!O47)</f>
        <v>0</v>
      </c>
      <c r="U54" s="760">
        <f>IF(OR($A54="F&amp;F",$A54="CE",U$7="No aplica"),0,'BOULEVARD 5'!X52-'BOULEVARD PPTO'!P47)</f>
        <v>0</v>
      </c>
      <c r="V54" s="760">
        <f>IF(OR($A54="F&amp;F",$A54="CE",V$7="No aplica"),0,'BOULEVARD 5'!Y52-'BOULEVARD PPTO'!Q47)</f>
        <v>2735</v>
      </c>
      <c r="W54" s="760">
        <f>IF(OR($A54="F&amp;F",$A54="CE",W$7="No aplica"),0,'BOULEVARD 5'!Z52-'BOULEVARD PPTO'!R47)</f>
        <v>0</v>
      </c>
      <c r="X54" s="760">
        <f>IF(OR($A54="F&amp;F",$A54="CE",X$7="No aplica"),0,'BOULEVARD 5'!AA52-'BOULEVARD PPTO'!S47)</f>
        <v>-2735</v>
      </c>
      <c r="Y54" s="760">
        <f>IF(OR($A54="F&amp;F",$A54="CE",Y$7="No aplica"),0,'BOULEVARD 5'!AB52-'BOULEVARD PPTO'!T47)</f>
        <v>0</v>
      </c>
      <c r="Z54" s="760">
        <f>IF(OR($A54="F&amp;F",$A54="CE",Z$7="No aplica"),0,'BOULEVARD 5'!AC52-'BOULEVARD PPTO'!U47)</f>
        <v>0</v>
      </c>
      <c r="AA54" s="760">
        <f>IF(OR($A54="F&amp;F",$A54="CE",AA$7="No aplica"),0,'BOULEVARD 5'!AD52-'BOULEVARD PPTO'!V47)</f>
        <v>0</v>
      </c>
      <c r="AB54" s="760">
        <f>IF(OR($A54="F&amp;F",$A54="CE",AB$7="No aplica"),0,'BOULEVARD 5'!AE52-'BOULEVARD PPTO'!W47)</f>
        <v>0</v>
      </c>
      <c r="AC54" s="760">
        <f>IF(OR($A54="F&amp;F",$A54="CE",AC$7="No aplica"),0,'BOULEVARD 5'!AF52-'BOULEVARD PPTO'!X47)</f>
        <v>0</v>
      </c>
      <c r="AD54" s="760">
        <f>IF(OR($A54="F&amp;F",$A54="CE",AD$7="No aplica"),0,'BOULEVARD 5'!AG52-'BOULEVARD PPTO'!Y47)</f>
        <v>0</v>
      </c>
      <c r="AE54" s="760">
        <f>IF(OR($A54="F&amp;F",$A54="CE",AE$7="No aplica"),0,'BOULEVARD 5'!AH52-'BOULEVARD PPTO'!Z47)</f>
        <v>0</v>
      </c>
      <c r="AF54" s="760">
        <f>IF(OR($A54="F&amp;F",$A54="CE",AF$7="No aplica"),0,'BOULEVARD 5'!AI52-'BOULEVARD PPTO'!AA47)</f>
        <v>0</v>
      </c>
      <c r="AG54" s="760">
        <f>IF(OR($A54="F&amp;F",$A54="CE",AG$7="No aplica"),0,'BOULEVARD 5'!AJ52-'BOULEVARD PPTO'!AB47)</f>
        <v>0</v>
      </c>
      <c r="AH54" s="760">
        <f>IF(OR($A54="F&amp;F",$A54="CE",AH$7="No aplica"),0,'BOULEVARD 5'!AK52-'BOULEVARD PPTO'!AC47)</f>
        <v>0</v>
      </c>
      <c r="AI54" s="760">
        <f>IF(OR($A54="F&amp;F",$A54="CE",AI$7="No aplica"),0,'BOULEVARD 5'!AL52-'BOULEVARD PPTO'!AD47)</f>
        <v>0</v>
      </c>
      <c r="AJ54" s="760">
        <f>IF(OR($A54="F&amp;F",$A54="CE",AJ$7="No aplica"),0,'BOULEVARD 5'!AM52-'BOULEVARD PPTO'!AE47)</f>
        <v>0</v>
      </c>
      <c r="AK54" s="760">
        <f>IF(OR($A54="F&amp;F",$A54="CE",AK$7="No aplica"),0,'BOULEVARD 5'!AN52-'BOULEVARD PPTO'!AF47)</f>
        <v>0</v>
      </c>
      <c r="AL54" s="760">
        <f>IF(OR($A54="F&amp;F",$A54="CE",AL$7="No aplica"),0,'BOULEVARD 5'!AO52-'BOULEVARD PPTO'!AG47)</f>
        <v>-2726.44</v>
      </c>
      <c r="AM54" s="760">
        <f>IF(OR($A54="F&amp;F",$A54="CE",AM$7="No aplica"),0,'BOULEVARD 5'!AP52-'BOULEVARD PPTO'!AH47)</f>
        <v>2735</v>
      </c>
      <c r="AN54" s="760">
        <f>IF(OR($A54="F&amp;F",$A54="CE",AN$7="No aplica"),0,'BOULEVARD 5'!AQ52-'BOULEVARD PPTO'!AI47)</f>
        <v>0</v>
      </c>
      <c r="AO54" s="760">
        <f>IF(OR($A54="F&amp;F",$A54="CE",AO$7="No aplica"),0,'BOULEVARD 5'!AS52-'BOULEVARD PPTO'!AJ47)</f>
        <v>0</v>
      </c>
      <c r="AP54" s="761">
        <f t="shared" si="7"/>
        <v>8.5599999999999454</v>
      </c>
      <c r="AQ54" s="761">
        <f t="shared" si="8"/>
        <v>8.5599999999976717</v>
      </c>
      <c r="AR54" s="674">
        <f>IF(A54=0,'BOULEVARD 5'!BF52,0)</f>
        <v>8000</v>
      </c>
      <c r="AS54" s="674">
        <f>IF(A54=0,'BOULEVARD 5'!BG52,0)</f>
        <v>2735</v>
      </c>
      <c r="AT54" s="675" t="str">
        <f t="shared" si="4"/>
        <v>Vendido</v>
      </c>
      <c r="AU54" s="581" t="str">
        <f t="shared" si="11"/>
        <v>A FAVOR DEL CLIENTE</v>
      </c>
      <c r="AV54" s="760">
        <f t="shared" si="10"/>
        <v>2735</v>
      </c>
    </row>
    <row r="55" spans="1:49" s="581" customFormat="1" ht="12.4" customHeight="1" outlineLevel="1" x14ac:dyDescent="0.25">
      <c r="A55" s="703">
        <f>'BOULEVARD 5'!BQ53</f>
        <v>0</v>
      </c>
      <c r="B55" s="564">
        <v>317</v>
      </c>
      <c r="C55" s="564" t="s">
        <v>406</v>
      </c>
      <c r="D55" s="564"/>
      <c r="E55" s="564" t="str">
        <f>IF('BOULEVARD 5'!E53&lt;&gt;0,'BOULEVARD 5'!E53,"")</f>
        <v>Antonio Rada</v>
      </c>
      <c r="F55" s="581" t="str">
        <f>IF('BOULEVARD 5'!F53&lt;&gt;0,'BOULEVARD 5'!F53,"")</f>
        <v>Antonio Meneses Hernandez</v>
      </c>
      <c r="G55" s="566">
        <f>IF('BOULEVARD 5'!G53="","",'BOULEVARD 5'!G53)</f>
        <v>45258</v>
      </c>
      <c r="H55" s="756">
        <f>IF(OR($A55="F&amp;F",$A55="CE",H$7="No aplica"),0,'BOULEVARD 5'!K53-'BOULEVARD PPTO'!C48)</f>
        <v>0</v>
      </c>
      <c r="I55" s="756">
        <f>IF(OR($A55="F&amp;F",$A55="CE",I$7="No aplica"),0,'BOULEVARD 5'!L53-'BOULEVARD PPTO'!D48)</f>
        <v>0</v>
      </c>
      <c r="J55" s="756">
        <f>IF(OR($A55="F&amp;F",$A55="CE",J$7="No aplica"),0,'BOULEVARD 5'!M53-'BOULEVARD PPTO'!E48)</f>
        <v>0</v>
      </c>
      <c r="K55" s="756">
        <f>IF(OR($A55="F&amp;F",$A55="CE",K$7="No aplica"),0,'BOULEVARD 5'!N53-'BOULEVARD PPTO'!F48)</f>
        <v>0</v>
      </c>
      <c r="L55" s="756">
        <f>IF(OR($A55="F&amp;F",$A55="CE",L$7="No aplica"),0,'BOULEVARD 5'!O53-'BOULEVARD PPTO'!G48)</f>
        <v>0</v>
      </c>
      <c r="M55" s="756">
        <f>IF(OR($A55="F&amp;F",$A55="CE",M$7="No aplica"),0,'BOULEVARD 5'!P53-'BOULEVARD PPTO'!H48)</f>
        <v>0</v>
      </c>
      <c r="N55" s="756">
        <f>IF(OR($A55="F&amp;F",$A55="CE",N$7="No aplica"),0,'BOULEVARD 5'!Q53-'BOULEVARD PPTO'!I48)</f>
        <v>0</v>
      </c>
      <c r="O55" s="756">
        <f>IF(OR($A55="F&amp;F",$A55="CE",O$7="No aplica"),0,'BOULEVARD 5'!R53-'BOULEVARD PPTO'!J48)</f>
        <v>0</v>
      </c>
      <c r="P55" s="756">
        <f>IF(OR($A55="F&amp;F",$A55="CE",P$7="No aplica"),0,'BOULEVARD 5'!S53-'BOULEVARD PPTO'!K48)</f>
        <v>0</v>
      </c>
      <c r="Q55" s="760">
        <f>IF(OR($A55="F&amp;F",$A55="CE",Q$7="No aplica"),0,'BOULEVARD 5'!T53-'BOULEVARD PPTO'!L48)</f>
        <v>0</v>
      </c>
      <c r="R55" s="760">
        <f>IF(OR($A55="F&amp;F",$A55="CE",R$7="No aplica"),0,'BOULEVARD 5'!U53-'BOULEVARD PPTO'!M48)</f>
        <v>0</v>
      </c>
      <c r="S55" s="760">
        <f>IF(OR($A55="F&amp;F",$A55="CE",S$7="No aplica"),0,'BOULEVARD 5'!V53-'BOULEVARD PPTO'!N48)</f>
        <v>0</v>
      </c>
      <c r="T55" s="760">
        <f>IF(OR($A55="F&amp;F",$A55="CE",T$7="No aplica"),0,'BOULEVARD 5'!W53-'BOULEVARD PPTO'!O48)</f>
        <v>0</v>
      </c>
      <c r="U55" s="760">
        <f>IF(OR($A55="F&amp;F",$A55="CE",U$7="No aplica"),0,'BOULEVARD 5'!X53-'BOULEVARD PPTO'!P48)</f>
        <v>0</v>
      </c>
      <c r="V55" s="760">
        <f>IF(OR($A55="F&amp;F",$A55="CE",V$7="No aplica"),0,'BOULEVARD 5'!Y53-'BOULEVARD PPTO'!Q48)</f>
        <v>0</v>
      </c>
      <c r="W55" s="760">
        <f>IF(OR($A55="F&amp;F",$A55="CE",W$7="No aplica"),0,'BOULEVARD 5'!Z53-'BOULEVARD PPTO'!R48)</f>
        <v>0</v>
      </c>
      <c r="X55" s="760">
        <f>IF(OR($A55="F&amp;F",$A55="CE",X$7="No aplica"),0,'BOULEVARD 5'!AA53-'BOULEVARD PPTO'!S48)</f>
        <v>0</v>
      </c>
      <c r="Y55" s="760">
        <f>IF(OR($A55="F&amp;F",$A55="CE",Y$7="No aplica"),0,'BOULEVARD 5'!AB53-'BOULEVARD PPTO'!T48)</f>
        <v>0</v>
      </c>
      <c r="Z55" s="760">
        <f>IF(OR($A55="F&amp;F",$A55="CE",Z$7="No aplica"),0,'BOULEVARD 5'!AC53-'BOULEVARD PPTO'!U48)</f>
        <v>0</v>
      </c>
      <c r="AA55" s="760">
        <f>IF(OR($A55="F&amp;F",$A55="CE",AA$7="No aplica"),0,'BOULEVARD 5'!AD53-'BOULEVARD PPTO'!V48)</f>
        <v>0</v>
      </c>
      <c r="AB55" s="760">
        <f>IF(OR($A55="F&amp;F",$A55="CE",AB$7="No aplica"),0,'BOULEVARD 5'!AE53-'BOULEVARD PPTO'!W48)</f>
        <v>0</v>
      </c>
      <c r="AC55" s="760">
        <f>IF(OR($A55="F&amp;F",$A55="CE",AC$7="No aplica"),0,'BOULEVARD 5'!AF53-'BOULEVARD PPTO'!X48)</f>
        <v>0</v>
      </c>
      <c r="AD55" s="760">
        <f>IF(OR($A55="F&amp;F",$A55="CE",AD$7="No aplica"),0,'BOULEVARD 5'!AG53-'BOULEVARD PPTO'!Y48)</f>
        <v>0</v>
      </c>
      <c r="AE55" s="760">
        <f>IF(OR($A55="F&amp;F",$A55="CE",AE$7="No aplica"),0,'BOULEVARD 5'!AH53-'BOULEVARD PPTO'!Z48)</f>
        <v>0</v>
      </c>
      <c r="AF55" s="760">
        <f>IF(OR($A55="F&amp;F",$A55="CE",AF$7="No aplica"),0,'BOULEVARD 5'!AI53-'BOULEVARD PPTO'!AA48)</f>
        <v>0</v>
      </c>
      <c r="AG55" s="760">
        <f>IF(OR($A55="F&amp;F",$A55="CE",AG$7="No aplica"),0,'BOULEVARD 5'!AJ53-'BOULEVARD PPTO'!AB48)</f>
        <v>0</v>
      </c>
      <c r="AH55" s="760">
        <f>IF(OR($A55="F&amp;F",$A55="CE",AH$7="No aplica"),0,'BOULEVARD 5'!AK53-'BOULEVARD PPTO'!AC48)</f>
        <v>0</v>
      </c>
      <c r="AI55" s="760">
        <f>IF(OR($A55="F&amp;F",$A55="CE",AI$7="No aplica"),0,'BOULEVARD 5'!AL53-'BOULEVARD PPTO'!AD48)</f>
        <v>0</v>
      </c>
      <c r="AJ55" s="760">
        <f>IF(OR($A55="F&amp;F",$A55="CE",AJ$7="No aplica"),0,'BOULEVARD 5'!AM53-'BOULEVARD PPTO'!AE48)</f>
        <v>0</v>
      </c>
      <c r="AK55" s="760">
        <f>IF(OR($A55="F&amp;F",$A55="CE",AK$7="No aplica"),0,'BOULEVARD 5'!AN53-'BOULEVARD PPTO'!AF48)</f>
        <v>0</v>
      </c>
      <c r="AL55" s="760">
        <f>IF(OR($A55="F&amp;F",$A55="CE",AL$7="No aplica"),0,'BOULEVARD 5'!AO53-'BOULEVARD PPTO'!AG48)</f>
        <v>0</v>
      </c>
      <c r="AM55" s="760">
        <f>IF(OR($A55="F&amp;F",$A55="CE",AM$7="No aplica"),0,'BOULEVARD 5'!AP53-'BOULEVARD PPTO'!AH48)</f>
        <v>3031</v>
      </c>
      <c r="AN55" s="760">
        <f>IF(OR($A55="F&amp;F",$A55="CE",AN$7="No aplica"),0,'BOULEVARD 5'!AQ53-'BOULEVARD PPTO'!AI48)</f>
        <v>0</v>
      </c>
      <c r="AO55" s="760">
        <f>IF(OR($A55="F&amp;F",$A55="CE",AO$7="No aplica"),0,'BOULEVARD 5'!AS53-'BOULEVARD PPTO'!AJ48)</f>
        <v>0</v>
      </c>
      <c r="AP55" s="761">
        <f t="shared" si="7"/>
        <v>3031</v>
      </c>
      <c r="AQ55" s="761">
        <f t="shared" si="8"/>
        <v>3031</v>
      </c>
      <c r="AR55" s="674">
        <f>IF(A55=0,'BOULEVARD 5'!BF53,0)</f>
        <v>5500</v>
      </c>
      <c r="AS55" s="674">
        <f>IF(A55=0,'BOULEVARD 5'!BG53,0)</f>
        <v>3031</v>
      </c>
      <c r="AT55" s="675" t="str">
        <f t="shared" si="4"/>
        <v>Vendido</v>
      </c>
      <c r="AU55" s="581" t="str">
        <f t="shared" si="11"/>
        <v>A FAVOR DEL CLIENTE</v>
      </c>
      <c r="AV55" s="760">
        <f t="shared" si="10"/>
        <v>3031</v>
      </c>
    </row>
    <row r="56" spans="1:49" s="581" customFormat="1" ht="12.4" customHeight="1" outlineLevel="1" x14ac:dyDescent="0.25">
      <c r="A56" s="703">
        <f>'BOULEVARD 5'!BQ54</f>
        <v>0</v>
      </c>
      <c r="B56" s="564">
        <v>318</v>
      </c>
      <c r="C56" s="564" t="s">
        <v>200</v>
      </c>
      <c r="D56" s="564"/>
      <c r="E56" s="564" t="str">
        <f>IF('BOULEVARD 5'!E54&lt;&gt;0,'BOULEVARD 5'!E54,"")</f>
        <v>Antonio Rada</v>
      </c>
      <c r="F56" s="581" t="str">
        <f>IF('BOULEVARD 5'!F54&lt;&gt;0,'BOULEVARD 5'!F54,"")</f>
        <v>Jose Reynaldo Linares</v>
      </c>
      <c r="G56" s="566">
        <f>IF('BOULEVARD 5'!G54="","",'BOULEVARD 5'!G54)</f>
        <v>45242</v>
      </c>
      <c r="H56" s="756">
        <f>IF(OR($A56="F&amp;F",$A56="CE",H$7="No aplica"),0,'BOULEVARD 5'!K54-'BOULEVARD PPTO'!C49)</f>
        <v>0</v>
      </c>
      <c r="I56" s="756">
        <f>IF(OR($A56="F&amp;F",$A56="CE",I$7="No aplica"),0,'BOULEVARD 5'!L54-'BOULEVARD PPTO'!D49)</f>
        <v>0</v>
      </c>
      <c r="J56" s="756">
        <f>IF(OR($A56="F&amp;F",$A56="CE",J$7="No aplica"),0,'BOULEVARD 5'!M54-'BOULEVARD PPTO'!E49)</f>
        <v>0</v>
      </c>
      <c r="K56" s="756">
        <f>IF(OR($A56="F&amp;F",$A56="CE",K$7="No aplica"),0,'BOULEVARD 5'!N54-'BOULEVARD PPTO'!F49)</f>
        <v>0</v>
      </c>
      <c r="L56" s="756">
        <f>IF(OR($A56="F&amp;F",$A56="CE",L$7="No aplica"),0,'BOULEVARD 5'!O54-'BOULEVARD PPTO'!G49)</f>
        <v>0</v>
      </c>
      <c r="M56" s="756">
        <f>IF(OR($A56="F&amp;F",$A56="CE",M$7="No aplica"),0,'BOULEVARD 5'!P54-'BOULEVARD PPTO'!H49)</f>
        <v>0</v>
      </c>
      <c r="N56" s="756">
        <f>IF(OR($A56="F&amp;F",$A56="CE",N$7="No aplica"),0,'BOULEVARD 5'!Q54-'BOULEVARD PPTO'!I49)</f>
        <v>0</v>
      </c>
      <c r="O56" s="756">
        <f>IF(OR($A56="F&amp;F",$A56="CE",O$7="No aplica"),0,'BOULEVARD 5'!R54-'BOULEVARD PPTO'!J49)</f>
        <v>0</v>
      </c>
      <c r="P56" s="756">
        <f>IF(OR($A56="F&amp;F",$A56="CE",P$7="No aplica"),0,'BOULEVARD 5'!S54-'BOULEVARD PPTO'!K49)</f>
        <v>0</v>
      </c>
      <c r="Q56" s="760">
        <f>IF(OR($A56="F&amp;F",$A56="CE",Q$7="No aplica"),0,'BOULEVARD 5'!T54-'BOULEVARD PPTO'!L49)</f>
        <v>0</v>
      </c>
      <c r="R56" s="760">
        <f>IF(OR($A56="F&amp;F",$A56="CE",R$7="No aplica"),0,'BOULEVARD 5'!U54-'BOULEVARD PPTO'!M49)</f>
        <v>0</v>
      </c>
      <c r="S56" s="760">
        <f>IF(OR($A56="F&amp;F",$A56="CE",S$7="No aplica"),0,'BOULEVARD 5'!V54-'BOULEVARD PPTO'!N49)</f>
        <v>0</v>
      </c>
      <c r="T56" s="760">
        <f>IF(OR($A56="F&amp;F",$A56="CE",T$7="No aplica"),0,'BOULEVARD 5'!W54-'BOULEVARD PPTO'!O49)</f>
        <v>0</v>
      </c>
      <c r="U56" s="760">
        <f>IF(OR($A56="F&amp;F",$A56="CE",U$7="No aplica"),0,'BOULEVARD 5'!X54-'BOULEVARD PPTO'!P49)</f>
        <v>0</v>
      </c>
      <c r="V56" s="760">
        <f>IF(OR($A56="F&amp;F",$A56="CE",V$7="No aplica"),0,'BOULEVARD 5'!Y54-'BOULEVARD PPTO'!Q49)</f>
        <v>0</v>
      </c>
      <c r="W56" s="760">
        <f>IF(OR($A56="F&amp;F",$A56="CE",W$7="No aplica"),0,'BOULEVARD 5'!Z54-'BOULEVARD PPTO'!R49)</f>
        <v>0</v>
      </c>
      <c r="X56" s="760">
        <f>IF(OR($A56="F&amp;F",$A56="CE",X$7="No aplica"),0,'BOULEVARD 5'!AA54-'BOULEVARD PPTO'!S49)</f>
        <v>0</v>
      </c>
      <c r="Y56" s="760">
        <f>IF(OR($A56="F&amp;F",$A56="CE",Y$7="No aplica"),0,'BOULEVARD 5'!AB54-'BOULEVARD PPTO'!T49)</f>
        <v>0</v>
      </c>
      <c r="Z56" s="760">
        <f>IF(OR($A56="F&amp;F",$A56="CE",Z$7="No aplica"),0,'BOULEVARD 5'!AC54-'BOULEVARD PPTO'!U49)</f>
        <v>0</v>
      </c>
      <c r="AA56" s="760">
        <f>IF(OR($A56="F&amp;F",$A56="CE",AA$7="No aplica"),0,'BOULEVARD 5'!AD54-'BOULEVARD PPTO'!V49)</f>
        <v>0</v>
      </c>
      <c r="AB56" s="760">
        <f>IF(OR($A56="F&amp;F",$A56="CE",AB$7="No aplica"),0,'BOULEVARD 5'!AE54-'BOULEVARD PPTO'!W49)</f>
        <v>0</v>
      </c>
      <c r="AC56" s="760">
        <f>IF(OR($A56="F&amp;F",$A56="CE",AC$7="No aplica"),0,'BOULEVARD 5'!AF54-'BOULEVARD PPTO'!X49)</f>
        <v>0</v>
      </c>
      <c r="AD56" s="760">
        <f>IF(OR($A56="F&amp;F",$A56="CE",AD$7="No aplica"),0,'BOULEVARD 5'!AG54-'BOULEVARD PPTO'!Y49)</f>
        <v>0</v>
      </c>
      <c r="AE56" s="760">
        <f>IF(OR($A56="F&amp;F",$A56="CE",AE$7="No aplica"),0,'BOULEVARD 5'!AH54-'BOULEVARD PPTO'!Z49)</f>
        <v>0</v>
      </c>
      <c r="AF56" s="760">
        <f>IF(OR($A56="F&amp;F",$A56="CE",AF$7="No aplica"),0,'BOULEVARD 5'!AI54-'BOULEVARD PPTO'!AA49)</f>
        <v>0</v>
      </c>
      <c r="AG56" s="760">
        <f>IF(OR($A56="F&amp;F",$A56="CE",AG$7="No aplica"),0,'BOULEVARD 5'!AJ54-'BOULEVARD PPTO'!AB49)</f>
        <v>0</v>
      </c>
      <c r="AH56" s="760">
        <f>IF(OR($A56="F&amp;F",$A56="CE",AH$7="No aplica"),0,'BOULEVARD 5'!AK54-'BOULEVARD PPTO'!AC49)</f>
        <v>0</v>
      </c>
      <c r="AI56" s="760">
        <f>IF(OR($A56="F&amp;F",$A56="CE",AI$7="No aplica"),0,'BOULEVARD 5'!AL54-'BOULEVARD PPTO'!AD49)</f>
        <v>0</v>
      </c>
      <c r="AJ56" s="760">
        <f>IF(OR($A56="F&amp;F",$A56="CE",AJ$7="No aplica"),0,'BOULEVARD 5'!AM54-'BOULEVARD PPTO'!AE49)</f>
        <v>0</v>
      </c>
      <c r="AK56" s="760">
        <f>IF(OR($A56="F&amp;F",$A56="CE",AK$7="No aplica"),0,'BOULEVARD 5'!AN54-'BOULEVARD PPTO'!AF49)</f>
        <v>0</v>
      </c>
      <c r="AL56" s="760">
        <f>IF(OR($A56="F&amp;F",$A56="CE",AL$7="No aplica"),0,'BOULEVARD 5'!AO54-'BOULEVARD PPTO'!AG49)</f>
        <v>0</v>
      </c>
      <c r="AM56" s="760">
        <f>IF(OR($A56="F&amp;F",$A56="CE",AM$7="No aplica"),0,'BOULEVARD 5'!AP54-'BOULEVARD PPTO'!AH49)</f>
        <v>0</v>
      </c>
      <c r="AN56" s="760">
        <f>IF(OR($A56="F&amp;F",$A56="CE",AN$7="No aplica"),0,'BOULEVARD 5'!AQ54-'BOULEVARD PPTO'!AI49)</f>
        <v>0</v>
      </c>
      <c r="AO56" s="760">
        <f>IF(OR($A56="F&amp;F",$A56="CE",AO$7="No aplica"),0,'BOULEVARD 5'!AS54-'BOULEVARD PPTO'!AJ49)</f>
        <v>0</v>
      </c>
      <c r="AP56" s="761">
        <f t="shared" si="7"/>
        <v>0</v>
      </c>
      <c r="AQ56" s="761">
        <f t="shared" si="8"/>
        <v>0</v>
      </c>
      <c r="AR56" s="674">
        <f>IF(A56=0,'BOULEVARD 5'!BF54,0)</f>
        <v>5500</v>
      </c>
      <c r="AS56" s="674">
        <f>IF(A56=0,'BOULEVARD 5'!BG54,0)</f>
        <v>3026</v>
      </c>
      <c r="AT56" s="675" t="str">
        <f t="shared" si="4"/>
        <v>Vendido</v>
      </c>
      <c r="AU56" s="581" t="str">
        <f t="shared" si="11"/>
        <v/>
      </c>
      <c r="AV56" s="760">
        <f t="shared" si="10"/>
        <v>0</v>
      </c>
    </row>
    <row r="57" spans="1:49" s="581" customFormat="1" ht="12.4" customHeight="1" outlineLevel="1" x14ac:dyDescent="0.25">
      <c r="A57" s="703">
        <f>'BOULEVARD 5'!BQ55</f>
        <v>0</v>
      </c>
      <c r="B57" s="564">
        <v>319</v>
      </c>
      <c r="C57" s="564" t="s">
        <v>409</v>
      </c>
      <c r="D57" s="564"/>
      <c r="E57" s="564" t="str">
        <f>IF('BOULEVARD 5'!E55&lt;&gt;0,'BOULEVARD 5'!E55,"")</f>
        <v>Antonio Rada</v>
      </c>
      <c r="F57" s="581" t="str">
        <f>IF('BOULEVARD 5'!F55&lt;&gt;0,'BOULEVARD 5'!F55,"")</f>
        <v>Aaron Fabrizio Tello Merida</v>
      </c>
      <c r="G57" s="566">
        <f>IF('BOULEVARD 5'!G55="","",'BOULEVARD 5'!G55)</f>
        <v>45340</v>
      </c>
      <c r="H57" s="756">
        <f>IF(OR($A57="F&amp;F",$A57="CE",H$7="No aplica"),0,'BOULEVARD 5'!K55-'BOULEVARD PPTO'!C50)</f>
        <v>0</v>
      </c>
      <c r="I57" s="756">
        <f>IF(OR($A57="F&amp;F",$A57="CE",I$7="No aplica"),0,'BOULEVARD 5'!L55-'BOULEVARD PPTO'!D50)</f>
        <v>0</v>
      </c>
      <c r="J57" s="756">
        <f>IF(OR($A57="F&amp;F",$A57="CE",J$7="No aplica"),0,'BOULEVARD 5'!M55-'BOULEVARD PPTO'!E50)</f>
        <v>0</v>
      </c>
      <c r="K57" s="756">
        <f>IF(OR($A57="F&amp;F",$A57="CE",K$7="No aplica"),0,'BOULEVARD 5'!N55-'BOULEVARD PPTO'!F50)</f>
        <v>0</v>
      </c>
      <c r="L57" s="756">
        <f>IF(OR($A57="F&amp;F",$A57="CE",L$7="No aplica"),0,'BOULEVARD 5'!O55-'BOULEVARD PPTO'!G50)</f>
        <v>0</v>
      </c>
      <c r="M57" s="756">
        <f>IF(OR($A57="F&amp;F",$A57="CE",M$7="No aplica"),0,'BOULEVARD 5'!P55-'BOULEVARD PPTO'!H50)</f>
        <v>0</v>
      </c>
      <c r="N57" s="756">
        <f>IF(OR($A57="F&amp;F",$A57="CE",N$7="No aplica"),0,'BOULEVARD 5'!Q55-'BOULEVARD PPTO'!I50)</f>
        <v>0</v>
      </c>
      <c r="O57" s="756">
        <f>IF(OR($A57="F&amp;F",$A57="CE",O$7="No aplica"),0,'BOULEVARD 5'!R55-'BOULEVARD PPTO'!J50)</f>
        <v>0</v>
      </c>
      <c r="P57" s="756">
        <f>IF(OR($A57="F&amp;F",$A57="CE",P$7="No aplica"),0,'BOULEVARD 5'!S55-'BOULEVARD PPTO'!K50)</f>
        <v>0</v>
      </c>
      <c r="Q57" s="760">
        <f>IF(OR($A57="F&amp;F",$A57="CE",Q$7="No aplica"),0,'BOULEVARD 5'!T55-'BOULEVARD PPTO'!L50)</f>
        <v>0</v>
      </c>
      <c r="R57" s="760">
        <f>IF(OR($A57="F&amp;F",$A57="CE",R$7="No aplica"),0,'BOULEVARD 5'!U55-'BOULEVARD PPTO'!M50)</f>
        <v>0</v>
      </c>
      <c r="S57" s="760">
        <f>IF(OR($A57="F&amp;F",$A57="CE",S$7="No aplica"),0,'BOULEVARD 5'!V55-'BOULEVARD PPTO'!N50)</f>
        <v>0</v>
      </c>
      <c r="T57" s="760">
        <f>IF(OR($A57="F&amp;F",$A57="CE",T$7="No aplica"),0,'BOULEVARD 5'!W55-'BOULEVARD PPTO'!O50)</f>
        <v>2337</v>
      </c>
      <c r="U57" s="760">
        <f>IF(OR($A57="F&amp;F",$A57="CE",U$7="No aplica"),0,'BOULEVARD 5'!X55-'BOULEVARD PPTO'!P50)</f>
        <v>2337</v>
      </c>
      <c r="V57" s="760">
        <f>IF(OR($A57="F&amp;F",$A57="CE",V$7="No aplica"),0,'BOULEVARD 5'!Y55-'BOULEVARD PPTO'!Q50)</f>
        <v>2337</v>
      </c>
      <c r="W57" s="760">
        <f>IF(OR($A57="F&amp;F",$A57="CE",W$7="No aplica"),0,'BOULEVARD 5'!Z55-'BOULEVARD PPTO'!R50)</f>
        <v>2337</v>
      </c>
      <c r="X57" s="760">
        <f>IF(OR($A57="F&amp;F",$A57="CE",X$7="No aplica"),0,'BOULEVARD 5'!AA55-'BOULEVARD PPTO'!S50)</f>
        <v>9337</v>
      </c>
      <c r="Y57" s="760">
        <f>IF(OR($A57="F&amp;F",$A57="CE",Y$7="No aplica"),0,'BOULEVARD 5'!AB55-'BOULEVARD PPTO'!T50)</f>
        <v>2337</v>
      </c>
      <c r="Z57" s="760">
        <f>IF(OR($A57="F&amp;F",$A57="CE",Z$7="No aplica"),0,'BOULEVARD 5'!AC55-'BOULEVARD PPTO'!U50)</f>
        <v>2337</v>
      </c>
      <c r="AA57" s="760">
        <f>IF(OR($A57="F&amp;F",$A57="CE",AA$7="No aplica"),0,'BOULEVARD 5'!AD55-'BOULEVARD PPTO'!V50)</f>
        <v>2337</v>
      </c>
      <c r="AB57" s="760">
        <f>IF(OR($A57="F&amp;F",$A57="CE",AB$7="No aplica"),0,'BOULEVARD 5'!AE55-'BOULEVARD PPTO'!W50)</f>
        <v>2337</v>
      </c>
      <c r="AC57" s="760">
        <f>IF(OR($A57="F&amp;F",$A57="CE",AC$7="No aplica"),0,'BOULEVARD 5'!AF55-'BOULEVARD PPTO'!X50)</f>
        <v>2337</v>
      </c>
      <c r="AD57" s="760">
        <f>IF(OR($A57="F&amp;F",$A57="CE",AD$7="No aplica"),0,'BOULEVARD 5'!AG55-'BOULEVARD PPTO'!Y50)</f>
        <v>12337</v>
      </c>
      <c r="AE57" s="760">
        <f>IF(OR($A57="F&amp;F",$A57="CE",AE$7="No aplica"),0,'BOULEVARD 5'!AH55-'BOULEVARD PPTO'!Z50)</f>
        <v>2337</v>
      </c>
      <c r="AF57" s="760">
        <f>IF(OR($A57="F&amp;F",$A57="CE",AF$7="No aplica"),0,'BOULEVARD 5'!AI55-'BOULEVARD PPTO'!AA50)</f>
        <v>2337</v>
      </c>
      <c r="AG57" s="760">
        <f>IF(OR($A57="F&amp;F",$A57="CE",AG$7="No aplica"),0,'BOULEVARD 5'!AJ55-'BOULEVARD PPTO'!AB50)</f>
        <v>2337</v>
      </c>
      <c r="AH57" s="760">
        <f>IF(OR($A57="F&amp;F",$A57="CE",AH$7="No aplica"),0,'BOULEVARD 5'!AK55-'BOULEVARD PPTO'!AC50)</f>
        <v>2337</v>
      </c>
      <c r="AI57" s="760">
        <f>IF(OR($A57="F&amp;F",$A57="CE",AI$7="No aplica"),0,'BOULEVARD 5'!AL55-'BOULEVARD PPTO'!AD50)</f>
        <v>2337</v>
      </c>
      <c r="AJ57" s="760">
        <f>IF(OR($A57="F&amp;F",$A57="CE",AJ$7="No aplica"),0,'BOULEVARD 5'!AM55-'BOULEVARD PPTO'!AE50)</f>
        <v>2337</v>
      </c>
      <c r="AK57" s="760">
        <f>IF(OR($A57="F&amp;F",$A57="CE",AK$7="No aplica"),0,'BOULEVARD 5'!AN55-'BOULEVARD PPTO'!AF50)</f>
        <v>2337</v>
      </c>
      <c r="AL57" s="760">
        <f>IF(OR($A57="F&amp;F",$A57="CE",AL$7="No aplica"),0,'BOULEVARD 5'!AO55-'BOULEVARD PPTO'!AG50)</f>
        <v>2334</v>
      </c>
      <c r="AM57" s="760">
        <f>IF(OR($A57="F&amp;F",$A57="CE",AM$7="No aplica"),0,'BOULEVARD 5'!AP55-'BOULEVARD PPTO'!AH50)</f>
        <v>7000</v>
      </c>
      <c r="AN57" s="760">
        <f>IF(OR($A57="F&amp;F",$A57="CE",AN$7="No aplica"),0,'BOULEVARD 5'!AQ55-'BOULEVARD PPTO'!AI50)</f>
        <v>0</v>
      </c>
      <c r="AO57" s="760">
        <f>IF(OR($A57="F&amp;F",$A57="CE",AO$7="No aplica"),0,'BOULEVARD 5'!AS55-'BOULEVARD PPTO'!AJ50)</f>
        <v>0</v>
      </c>
      <c r="AP57" s="761">
        <f t="shared" si="7"/>
        <v>68400</v>
      </c>
      <c r="AQ57" s="761">
        <f t="shared" si="8"/>
        <v>96400</v>
      </c>
      <c r="AR57" s="674">
        <f>IF(A57=0,'BOULEVARD 5'!BF55,0)</f>
        <v>8000</v>
      </c>
      <c r="AS57" s="674">
        <f>IF(A57=0,'BOULEVARD 5'!BG55,0)</f>
        <v>4663</v>
      </c>
      <c r="AT57" s="675" t="str">
        <f t="shared" si="4"/>
        <v>Vendido</v>
      </c>
      <c r="AU57" s="581" t="str">
        <f t="shared" si="11"/>
        <v>A FAVOR DEL CLIENTE</v>
      </c>
      <c r="AV57" s="760">
        <f t="shared" si="10"/>
        <v>7000</v>
      </c>
    </row>
    <row r="58" spans="1:49" s="581" customFormat="1" ht="12.4" customHeight="1" outlineLevel="1" x14ac:dyDescent="0.25">
      <c r="A58" s="703">
        <f>'BOULEVARD 5'!BQ56</f>
        <v>0</v>
      </c>
      <c r="B58" s="564">
        <v>320</v>
      </c>
      <c r="C58" s="564" t="s">
        <v>184</v>
      </c>
      <c r="D58" s="564"/>
      <c r="E58" s="564" t="str">
        <f>IF('BOULEVARD 5'!E56&lt;&gt;0,'BOULEVARD 5'!E56,"")</f>
        <v>Antonio Rada</v>
      </c>
      <c r="F58" s="581" t="str">
        <f>IF('BOULEVARD 5'!F56&lt;&gt;0,'BOULEVARD 5'!F56,"")</f>
        <v>Santiago Taracena Puga</v>
      </c>
      <c r="G58" s="566">
        <f>IF('BOULEVARD 5'!G56="","",'BOULEVARD 5'!G56)</f>
        <v>45150</v>
      </c>
      <c r="H58" s="756">
        <f>IF(OR($A58="F&amp;F",$A58="CE",H$7="No aplica"),0,'BOULEVARD 5'!K56-'BOULEVARD PPTO'!C51)</f>
        <v>0</v>
      </c>
      <c r="I58" s="756">
        <f>IF(OR($A58="F&amp;F",$A58="CE",I$7="No aplica"),0,'BOULEVARD 5'!L56-'BOULEVARD PPTO'!D51)</f>
        <v>0</v>
      </c>
      <c r="J58" s="756">
        <f>IF(OR($A58="F&amp;F",$A58="CE",J$7="No aplica"),0,'BOULEVARD 5'!M56-'BOULEVARD PPTO'!E51)</f>
        <v>0</v>
      </c>
      <c r="K58" s="756">
        <f>IF(OR($A58="F&amp;F",$A58="CE",K$7="No aplica"),0,'BOULEVARD 5'!N56-'BOULEVARD PPTO'!F51)</f>
        <v>0</v>
      </c>
      <c r="L58" s="756">
        <f>IF(OR($A58="F&amp;F",$A58="CE",L$7="No aplica"),0,'BOULEVARD 5'!O56-'BOULEVARD PPTO'!G51)</f>
        <v>0</v>
      </c>
      <c r="M58" s="756">
        <f>IF(OR($A58="F&amp;F",$A58="CE",M$7="No aplica"),0,'BOULEVARD 5'!P56-'BOULEVARD PPTO'!H51)</f>
        <v>0</v>
      </c>
      <c r="N58" s="756">
        <f>IF(OR($A58="F&amp;F",$A58="CE",N$7="No aplica"),0,'BOULEVARD 5'!Q56-'BOULEVARD PPTO'!I51)</f>
        <v>0</v>
      </c>
      <c r="O58" s="756">
        <f>IF(OR($A58="F&amp;F",$A58="CE",O$7="No aplica"),0,'BOULEVARD 5'!R56-'BOULEVARD PPTO'!J51)</f>
        <v>0</v>
      </c>
      <c r="P58" s="756">
        <f>IF(OR($A58="F&amp;F",$A58="CE",P$7="No aplica"),0,'BOULEVARD 5'!S56-'BOULEVARD PPTO'!K51)</f>
        <v>0</v>
      </c>
      <c r="Q58" s="760">
        <f>IF(OR($A58="F&amp;F",$A58="CE",Q$7="No aplica"),0,'BOULEVARD 5'!T56-'BOULEVARD PPTO'!L51)</f>
        <v>0</v>
      </c>
      <c r="R58" s="760">
        <f>IF(OR($A58="F&amp;F",$A58="CE",R$7="No aplica"),0,'BOULEVARD 5'!U56-'BOULEVARD PPTO'!M51)</f>
        <v>0</v>
      </c>
      <c r="S58" s="760">
        <f>IF(OR($A58="F&amp;F",$A58="CE",S$7="No aplica"),0,'BOULEVARD 5'!V56-'BOULEVARD PPTO'!N51)</f>
        <v>0</v>
      </c>
      <c r="T58" s="760">
        <f>IF(OR($A58="F&amp;F",$A58="CE",T$7="No aplica"),0,'BOULEVARD 5'!W56-'BOULEVARD PPTO'!O51)</f>
        <v>0</v>
      </c>
      <c r="U58" s="760">
        <f>IF(OR($A58="F&amp;F",$A58="CE",U$7="No aplica"),0,'BOULEVARD 5'!X56-'BOULEVARD PPTO'!P51)</f>
        <v>0</v>
      </c>
      <c r="V58" s="760">
        <f>IF(OR($A58="F&amp;F",$A58="CE",V$7="No aplica"),0,'BOULEVARD 5'!Y56-'BOULEVARD PPTO'!Q51)</f>
        <v>0</v>
      </c>
      <c r="W58" s="760">
        <f>IF(OR($A58="F&amp;F",$A58="CE",W$7="No aplica"),0,'BOULEVARD 5'!Z56-'BOULEVARD PPTO'!R51)</f>
        <v>0</v>
      </c>
      <c r="X58" s="760">
        <f>IF(OR($A58="F&amp;F",$A58="CE",X$7="No aplica"),0,'BOULEVARD 5'!AA56-'BOULEVARD PPTO'!S51)</f>
        <v>0</v>
      </c>
      <c r="Y58" s="760">
        <f>IF(OR($A58="F&amp;F",$A58="CE",Y$7="No aplica"),0,'BOULEVARD 5'!AB56-'BOULEVARD PPTO'!T51)</f>
        <v>0</v>
      </c>
      <c r="Z58" s="760">
        <f>IF(OR($A58="F&amp;F",$A58="CE",Z$7="No aplica"),0,'BOULEVARD 5'!AC56-'BOULEVARD PPTO'!U51)</f>
        <v>0</v>
      </c>
      <c r="AA58" s="760">
        <f>IF(OR($A58="F&amp;F",$A58="CE",AA$7="No aplica"),0,'BOULEVARD 5'!AD56-'BOULEVARD PPTO'!V51)</f>
        <v>0</v>
      </c>
      <c r="AB58" s="760">
        <f>IF(OR($A58="F&amp;F",$A58="CE",AB$7="No aplica"),0,'BOULEVARD 5'!AE56-'BOULEVARD PPTO'!W51)</f>
        <v>0</v>
      </c>
      <c r="AC58" s="760">
        <f>IF(OR($A58="F&amp;F",$A58="CE",AC$7="No aplica"),0,'BOULEVARD 5'!AF56-'BOULEVARD PPTO'!X51)</f>
        <v>0</v>
      </c>
      <c r="AD58" s="760">
        <f>IF(OR($A58="F&amp;F",$A58="CE",AD$7="No aplica"),0,'BOULEVARD 5'!AG56-'BOULEVARD PPTO'!Y51)</f>
        <v>0</v>
      </c>
      <c r="AE58" s="760">
        <f>IF(OR($A58="F&amp;F",$A58="CE",AE$7="No aplica"),0,'BOULEVARD 5'!AH56-'BOULEVARD PPTO'!Z51)</f>
        <v>0</v>
      </c>
      <c r="AF58" s="760">
        <f>IF(OR($A58="F&amp;F",$A58="CE",AF$7="No aplica"),0,'BOULEVARD 5'!AI56-'BOULEVARD PPTO'!AA51)</f>
        <v>0</v>
      </c>
      <c r="AG58" s="760">
        <f>IF(OR($A58="F&amp;F",$A58="CE",AG$7="No aplica"),0,'BOULEVARD 5'!AJ56-'BOULEVARD PPTO'!AB51)</f>
        <v>0</v>
      </c>
      <c r="AH58" s="760">
        <f>IF(OR($A58="F&amp;F",$A58="CE",AH$7="No aplica"),0,'BOULEVARD 5'!AK56-'BOULEVARD PPTO'!AC51)</f>
        <v>0</v>
      </c>
      <c r="AI58" s="760">
        <f>IF(OR($A58="F&amp;F",$A58="CE",AI$7="No aplica"),0,'BOULEVARD 5'!AL56-'BOULEVARD PPTO'!AD51)</f>
        <v>0</v>
      </c>
      <c r="AJ58" s="760">
        <f>IF(OR($A58="F&amp;F",$A58="CE",AJ$7="No aplica"),0,'BOULEVARD 5'!AM56-'BOULEVARD PPTO'!AE51)</f>
        <v>0</v>
      </c>
      <c r="AK58" s="760">
        <f>IF(OR($A58="F&amp;F",$A58="CE",AK$7="No aplica"),0,'BOULEVARD 5'!AN56-'BOULEVARD PPTO'!AF51)</f>
        <v>0</v>
      </c>
      <c r="AL58" s="760">
        <f>IF(OR($A58="F&amp;F",$A58="CE",AL$7="No aplica"),0,'BOULEVARD 5'!AO56-'BOULEVARD PPTO'!AG51)</f>
        <v>0</v>
      </c>
      <c r="AM58" s="760">
        <f>IF(OR($A58="F&amp;F",$A58="CE",AM$7="No aplica"),0,'BOULEVARD 5'!AP56-'BOULEVARD PPTO'!AH51)</f>
        <v>0</v>
      </c>
      <c r="AN58" s="760">
        <f>IF(OR($A58="F&amp;F",$A58="CE",AN$7="No aplica"),0,'BOULEVARD 5'!AQ56-'BOULEVARD PPTO'!AI51)</f>
        <v>0</v>
      </c>
      <c r="AO58" s="760">
        <f>IF(OR($A58="F&amp;F",$A58="CE",AO$7="No aplica"),0,'BOULEVARD 5'!AS56-'BOULEVARD PPTO'!AJ51)</f>
        <v>0</v>
      </c>
      <c r="AP58" s="761">
        <f t="shared" si="7"/>
        <v>0</v>
      </c>
      <c r="AQ58" s="761">
        <f t="shared" si="8"/>
        <v>0</v>
      </c>
      <c r="AR58" s="674">
        <f>IF(A58=0,'BOULEVARD 5'!BF56,0)</f>
        <v>6000</v>
      </c>
      <c r="AS58" s="674">
        <f>IF(A58=0,'BOULEVARD 5'!BG56,0)</f>
        <v>3684</v>
      </c>
      <c r="AT58" s="675" t="str">
        <f t="shared" si="4"/>
        <v>Vendido</v>
      </c>
      <c r="AU58" s="581" t="str">
        <f t="shared" si="11"/>
        <v/>
      </c>
      <c r="AV58" s="760">
        <f t="shared" si="10"/>
        <v>0</v>
      </c>
    </row>
    <row r="59" spans="1:49" s="581" customFormat="1" ht="12.4" customHeight="1" outlineLevel="1" x14ac:dyDescent="0.25">
      <c r="A59" s="703">
        <f>'BOULEVARD 5'!BQ57</f>
        <v>0</v>
      </c>
      <c r="B59" s="564">
        <v>401</v>
      </c>
      <c r="C59" s="564" t="s">
        <v>412</v>
      </c>
      <c r="D59" s="564"/>
      <c r="E59" s="564" t="str">
        <f>IF('BOULEVARD 5'!E57&lt;&gt;0,'BOULEVARD 5'!E57,"")</f>
        <v>Antonio Rada</v>
      </c>
      <c r="F59" s="581" t="str">
        <f>IF('BOULEVARD 5'!F57&lt;&gt;0,'BOULEVARD 5'!F57,"")</f>
        <v>Sara Veronica Ortíz De León</v>
      </c>
      <c r="G59" s="566">
        <f>IF('BOULEVARD 5'!G57="","",'BOULEVARD 5'!G57)</f>
        <v>45320</v>
      </c>
      <c r="H59" s="756">
        <f>IF(OR($A59="F&amp;F",$A59="CE",H$7="No aplica"),0,'BOULEVARD 5'!K57-'BOULEVARD PPTO'!C52)</f>
        <v>0</v>
      </c>
      <c r="I59" s="756">
        <f>IF(OR($A59="F&amp;F",$A59="CE",I$7="No aplica"),0,'BOULEVARD 5'!L57-'BOULEVARD PPTO'!D52)</f>
        <v>0</v>
      </c>
      <c r="J59" s="756">
        <f>IF(OR($A59="F&amp;F",$A59="CE",J$7="No aplica"),0,'BOULEVARD 5'!M57-'BOULEVARD PPTO'!E52)</f>
        <v>0</v>
      </c>
      <c r="K59" s="756">
        <f>IF(OR($A59="F&amp;F",$A59="CE",K$7="No aplica"),0,'BOULEVARD 5'!N57-'BOULEVARD PPTO'!F52)</f>
        <v>0</v>
      </c>
      <c r="L59" s="756">
        <f>IF(OR($A59="F&amp;F",$A59="CE",L$7="No aplica"),0,'BOULEVARD 5'!O57-'BOULEVARD PPTO'!G52)</f>
        <v>0</v>
      </c>
      <c r="M59" s="756">
        <f>IF(OR($A59="F&amp;F",$A59="CE",M$7="No aplica"),0,'BOULEVARD 5'!P57-'BOULEVARD PPTO'!H52)</f>
        <v>0</v>
      </c>
      <c r="N59" s="756">
        <f>IF(OR($A59="F&amp;F",$A59="CE",N$7="No aplica"),0,'BOULEVARD 5'!Q57-'BOULEVARD PPTO'!I52)</f>
        <v>0</v>
      </c>
      <c r="O59" s="756">
        <f>IF(OR($A59="F&amp;F",$A59="CE",O$7="No aplica"),0,'BOULEVARD 5'!R57-'BOULEVARD PPTO'!J52)</f>
        <v>0</v>
      </c>
      <c r="P59" s="756">
        <f>IF(OR($A59="F&amp;F",$A59="CE",P$7="No aplica"),0,'BOULEVARD 5'!S57-'BOULEVARD PPTO'!K52)</f>
        <v>0</v>
      </c>
      <c r="Q59" s="760">
        <f>IF(OR($A59="F&amp;F",$A59="CE",Q$7="No aplica"),0,'BOULEVARD 5'!T57-'BOULEVARD PPTO'!L52)</f>
        <v>0</v>
      </c>
      <c r="R59" s="760">
        <f>IF(OR($A59="F&amp;F",$A59="CE",R$7="No aplica"),0,'BOULEVARD 5'!U57-'BOULEVARD PPTO'!M52)</f>
        <v>0</v>
      </c>
      <c r="S59" s="760">
        <f>IF(OR($A59="F&amp;F",$A59="CE",S$7="No aplica"),0,'BOULEVARD 5'!V57-'BOULEVARD PPTO'!N52)</f>
        <v>0</v>
      </c>
      <c r="T59" s="760">
        <f>IF(OR($A59="F&amp;F",$A59="CE",T$7="No aplica"),0,'BOULEVARD 5'!W57-'BOULEVARD PPTO'!O52)</f>
        <v>0</v>
      </c>
      <c r="U59" s="760">
        <f>IF(OR($A59="F&amp;F",$A59="CE",U$7="No aplica"),0,'BOULEVARD 5'!X57-'BOULEVARD PPTO'!P52)</f>
        <v>5370</v>
      </c>
      <c r="V59" s="760">
        <f>IF(OR($A59="F&amp;F",$A59="CE",V$7="No aplica"),0,'BOULEVARD 5'!Y57-'BOULEVARD PPTO'!Q52)</f>
        <v>-5370</v>
      </c>
      <c r="W59" s="760">
        <f>IF(OR($A59="F&amp;F",$A59="CE",W$7="No aplica"),0,'BOULEVARD 5'!Z57-'BOULEVARD PPTO'!R52)</f>
        <v>0</v>
      </c>
      <c r="X59" s="760">
        <f>IF(OR($A59="F&amp;F",$A59="CE",X$7="No aplica"),0,'BOULEVARD 5'!AA57-'BOULEVARD PPTO'!S52)</f>
        <v>0</v>
      </c>
      <c r="Y59" s="760">
        <f>IF(OR($A59="F&amp;F",$A59="CE",Y$7="No aplica"),0,'BOULEVARD 5'!AB57-'BOULEVARD PPTO'!T52)</f>
        <v>0</v>
      </c>
      <c r="Z59" s="760">
        <f>IF(OR($A59="F&amp;F",$A59="CE",Z$7="No aplica"),0,'BOULEVARD 5'!AC57-'BOULEVARD PPTO'!U52)</f>
        <v>0</v>
      </c>
      <c r="AA59" s="760">
        <f>IF(OR($A59="F&amp;F",$A59="CE",AA$7="No aplica"),0,'BOULEVARD 5'!AD57-'BOULEVARD PPTO'!V52)</f>
        <v>0</v>
      </c>
      <c r="AB59" s="760">
        <f>IF(OR($A59="F&amp;F",$A59="CE",AB$7="No aplica"),0,'BOULEVARD 5'!AE57-'BOULEVARD PPTO'!W52)</f>
        <v>0</v>
      </c>
      <c r="AC59" s="760">
        <f>IF(OR($A59="F&amp;F",$A59="CE",AC$7="No aplica"),0,'BOULEVARD 5'!AF57-'BOULEVARD PPTO'!X52)</f>
        <v>0</v>
      </c>
      <c r="AD59" s="760">
        <f>IF(OR($A59="F&amp;F",$A59="CE",AD$7="No aplica"),0,'BOULEVARD 5'!AG57-'BOULEVARD PPTO'!Y52)</f>
        <v>0</v>
      </c>
      <c r="AE59" s="760">
        <f>IF(OR($A59="F&amp;F",$A59="CE",AE$7="No aplica"),0,'BOULEVARD 5'!AH57-'BOULEVARD PPTO'!Z52)</f>
        <v>0</v>
      </c>
      <c r="AF59" s="760">
        <f>IF(OR($A59="F&amp;F",$A59="CE",AF$7="No aplica"),0,'BOULEVARD 5'!AI57-'BOULEVARD PPTO'!AA52)</f>
        <v>0</v>
      </c>
      <c r="AG59" s="760">
        <f>IF(OR($A59="F&amp;F",$A59="CE",AG$7="No aplica"),0,'BOULEVARD 5'!AJ57-'BOULEVARD PPTO'!AB52)</f>
        <v>0</v>
      </c>
      <c r="AH59" s="760">
        <f>IF(OR($A59="F&amp;F",$A59="CE",AH$7="No aplica"),0,'BOULEVARD 5'!AK57-'BOULEVARD PPTO'!AC52)</f>
        <v>0</v>
      </c>
      <c r="AI59" s="760">
        <f>IF(OR($A59="F&amp;F",$A59="CE",AI$7="No aplica"),0,'BOULEVARD 5'!AL57-'BOULEVARD PPTO'!AD52)</f>
        <v>0</v>
      </c>
      <c r="AJ59" s="760">
        <f>IF(OR($A59="F&amp;F",$A59="CE",AJ$7="No aplica"),0,'BOULEVARD 5'!AM57-'BOULEVARD PPTO'!AE52)</f>
        <v>0</v>
      </c>
      <c r="AK59" s="760">
        <f>IF(OR($A59="F&amp;F",$A59="CE",AK$7="No aplica"),0,'BOULEVARD 5'!AN57-'BOULEVARD PPTO'!AF52)</f>
        <v>0</v>
      </c>
      <c r="AL59" s="760">
        <f>IF(OR($A59="F&amp;F",$A59="CE",AL$7="No aplica"),0,'BOULEVARD 5'!AO57-'BOULEVARD PPTO'!AG52)</f>
        <v>0</v>
      </c>
      <c r="AM59" s="760">
        <f>IF(OR($A59="F&amp;F",$A59="CE",AM$7="No aplica"),0,'BOULEVARD 5'!AP57-'BOULEVARD PPTO'!AH52)</f>
        <v>5370</v>
      </c>
      <c r="AN59" s="760">
        <f>IF(OR($A59="F&amp;F",$A59="CE",AN$7="No aplica"),0,'BOULEVARD 5'!AQ57-'BOULEVARD PPTO'!AI52)</f>
        <v>0</v>
      </c>
      <c r="AO59" s="760">
        <f>IF(OR($A59="F&amp;F",$A59="CE",AO$7="No aplica"),0,'BOULEVARD 5'!AS57-'BOULEVARD PPTO'!AJ52)</f>
        <v>0</v>
      </c>
      <c r="AP59" s="761">
        <f t="shared" si="7"/>
        <v>5370</v>
      </c>
      <c r="AQ59" s="761">
        <f t="shared" si="8"/>
        <v>5370</v>
      </c>
      <c r="AR59" s="674">
        <f>IF(A59=0,'BOULEVARD 5'!BF57,0)</f>
        <v>8000</v>
      </c>
      <c r="AS59" s="674">
        <f>IF(A59=0,'BOULEVARD 5'!BG57,0)</f>
        <v>5370</v>
      </c>
      <c r="AT59" s="675" t="str">
        <f t="shared" si="4"/>
        <v>Vendido</v>
      </c>
      <c r="AU59" s="581" t="str">
        <f t="shared" si="11"/>
        <v>A FAVOR DEL CLIENTE</v>
      </c>
      <c r="AV59" s="760">
        <f t="shared" si="10"/>
        <v>5370</v>
      </c>
    </row>
    <row r="60" spans="1:49" s="581" customFormat="1" ht="12.4" customHeight="1" outlineLevel="1" x14ac:dyDescent="0.25">
      <c r="A60" s="703">
        <f>'BOULEVARD 5'!BQ58</f>
        <v>0</v>
      </c>
      <c r="B60" s="564">
        <v>402</v>
      </c>
      <c r="C60" s="564" t="s">
        <v>186</v>
      </c>
      <c r="D60" s="564"/>
      <c r="E60" s="564" t="str">
        <f>IF('BOULEVARD 5'!E58&lt;&gt;0,'BOULEVARD 5'!E58,"")</f>
        <v>Antonio Rada</v>
      </c>
      <c r="F60" s="581" t="str">
        <f>IF('BOULEVARD 5'!F58&lt;&gt;0,'BOULEVARD 5'!F58,"")</f>
        <v>Guillermo Vinicio Cotto Mux</v>
      </c>
      <c r="G60" s="566">
        <f>IF('BOULEVARD 5'!G58="","",'BOULEVARD 5'!G58)</f>
        <v>45263</v>
      </c>
      <c r="H60" s="756">
        <f>IF(OR($A60="F&amp;F",$A60="CE",H$7="No aplica"),0,'BOULEVARD 5'!K58-'BOULEVARD PPTO'!C53)</f>
        <v>0</v>
      </c>
      <c r="I60" s="756">
        <f>IF(OR($A60="F&amp;F",$A60="CE",I$7="No aplica"),0,'BOULEVARD 5'!L58-'BOULEVARD PPTO'!D53)</f>
        <v>0</v>
      </c>
      <c r="J60" s="756">
        <f>IF(OR($A60="F&amp;F",$A60="CE",J$7="No aplica"),0,'BOULEVARD 5'!M58-'BOULEVARD PPTO'!E53)</f>
        <v>0</v>
      </c>
      <c r="K60" s="756">
        <f>IF(OR($A60="F&amp;F",$A60="CE",K$7="No aplica"),0,'BOULEVARD 5'!N58-'BOULEVARD PPTO'!F53)</f>
        <v>0</v>
      </c>
      <c r="L60" s="756">
        <f>IF(OR($A60="F&amp;F",$A60="CE",L$7="No aplica"),0,'BOULEVARD 5'!O58-'BOULEVARD PPTO'!G53)</f>
        <v>0</v>
      </c>
      <c r="M60" s="756">
        <f>IF(OR($A60="F&amp;F",$A60="CE",M$7="No aplica"),0,'BOULEVARD 5'!P58-'BOULEVARD PPTO'!H53)</f>
        <v>0</v>
      </c>
      <c r="N60" s="756">
        <f>IF(OR($A60="F&amp;F",$A60="CE",N$7="No aplica"),0,'BOULEVARD 5'!Q58-'BOULEVARD PPTO'!I53)</f>
        <v>0</v>
      </c>
      <c r="O60" s="756">
        <f>IF(OR($A60="F&amp;F",$A60="CE",O$7="No aplica"),0,'BOULEVARD 5'!R58-'BOULEVARD PPTO'!J53)</f>
        <v>0</v>
      </c>
      <c r="P60" s="756">
        <f>IF(OR($A60="F&amp;F",$A60="CE",P$7="No aplica"),0,'BOULEVARD 5'!S58-'BOULEVARD PPTO'!K53)</f>
        <v>0</v>
      </c>
      <c r="Q60" s="760">
        <f>IF(OR($A60="F&amp;F",$A60="CE",Q$7="No aplica"),0,'BOULEVARD 5'!T58-'BOULEVARD PPTO'!L53)</f>
        <v>0</v>
      </c>
      <c r="R60" s="760">
        <f>IF(OR($A60="F&amp;F",$A60="CE",R$7="No aplica"),0,'BOULEVARD 5'!U58-'BOULEVARD PPTO'!M53)</f>
        <v>-3</v>
      </c>
      <c r="S60" s="760">
        <f>IF(OR($A60="F&amp;F",$A60="CE",S$7="No aplica"),0,'BOULEVARD 5'!V58-'BOULEVARD PPTO'!N53)</f>
        <v>3</v>
      </c>
      <c r="T60" s="760">
        <f>IF(OR($A60="F&amp;F",$A60="CE",T$7="No aplica"),0,'BOULEVARD 5'!W58-'BOULEVARD PPTO'!O53)</f>
        <v>0</v>
      </c>
      <c r="U60" s="760">
        <f>IF(OR($A60="F&amp;F",$A60="CE",U$7="No aplica"),0,'BOULEVARD 5'!X58-'BOULEVARD PPTO'!P53)</f>
        <v>0</v>
      </c>
      <c r="V60" s="760">
        <f>IF(OR($A60="F&amp;F",$A60="CE",V$7="No aplica"),0,'BOULEVARD 5'!Y58-'BOULEVARD PPTO'!Q53)</f>
        <v>0</v>
      </c>
      <c r="W60" s="760">
        <f>IF(OR($A60="F&amp;F",$A60="CE",W$7="No aplica"),0,'BOULEVARD 5'!Z58-'BOULEVARD PPTO'!R53)</f>
        <v>0</v>
      </c>
      <c r="X60" s="760">
        <f>IF(OR($A60="F&amp;F",$A60="CE",X$7="No aplica"),0,'BOULEVARD 5'!AA58-'BOULEVARD PPTO'!S53)</f>
        <v>0</v>
      </c>
      <c r="Y60" s="760">
        <f>IF(OR($A60="F&amp;F",$A60="CE",Y$7="No aplica"),0,'BOULEVARD 5'!AB58-'BOULEVARD PPTO'!T53)</f>
        <v>0</v>
      </c>
      <c r="Z60" s="760">
        <f>IF(OR($A60="F&amp;F",$A60="CE",Z$7="No aplica"),0,'BOULEVARD 5'!AC58-'BOULEVARD PPTO'!U53)</f>
        <v>0</v>
      </c>
      <c r="AA60" s="760">
        <f>IF(OR($A60="F&amp;F",$A60="CE",AA$7="No aplica"),0,'BOULEVARD 5'!AD58-'BOULEVARD PPTO'!V53)</f>
        <v>0</v>
      </c>
      <c r="AB60" s="760">
        <f>IF(OR($A60="F&amp;F",$A60="CE",AB$7="No aplica"),0,'BOULEVARD 5'!AE58-'BOULEVARD PPTO'!W53)</f>
        <v>0</v>
      </c>
      <c r="AC60" s="760">
        <f>IF(OR($A60="F&amp;F",$A60="CE",AC$7="No aplica"),0,'BOULEVARD 5'!AF58-'BOULEVARD PPTO'!X53)</f>
        <v>0</v>
      </c>
      <c r="AD60" s="760">
        <f>IF(OR($A60="F&amp;F",$A60="CE",AD$7="No aplica"),0,'BOULEVARD 5'!AG58-'BOULEVARD PPTO'!Y53)</f>
        <v>0</v>
      </c>
      <c r="AE60" s="760">
        <f>IF(OR($A60="F&amp;F",$A60="CE",AE$7="No aplica"),0,'BOULEVARD 5'!AH58-'BOULEVARD PPTO'!Z53)</f>
        <v>0</v>
      </c>
      <c r="AF60" s="760">
        <f>IF(OR($A60="F&amp;F",$A60="CE",AF$7="No aplica"),0,'BOULEVARD 5'!AI58-'BOULEVARD PPTO'!AA53)</f>
        <v>0</v>
      </c>
      <c r="AG60" s="760">
        <f>IF(OR($A60="F&amp;F",$A60="CE",AG$7="No aplica"),0,'BOULEVARD 5'!AJ58-'BOULEVARD PPTO'!AB53)</f>
        <v>0</v>
      </c>
      <c r="AH60" s="760">
        <f>IF(OR($A60="F&amp;F",$A60="CE",AH$7="No aplica"),0,'BOULEVARD 5'!AK58-'BOULEVARD PPTO'!AC53)</f>
        <v>0</v>
      </c>
      <c r="AI60" s="760">
        <f>IF(OR($A60="F&amp;F",$A60="CE",AI$7="No aplica"),0,'BOULEVARD 5'!AL58-'BOULEVARD PPTO'!AD53)</f>
        <v>0</v>
      </c>
      <c r="AJ60" s="760">
        <f>IF(OR($A60="F&amp;F",$A60="CE",AJ$7="No aplica"),0,'BOULEVARD 5'!AM58-'BOULEVARD PPTO'!AE53)</f>
        <v>0</v>
      </c>
      <c r="AK60" s="760">
        <f>IF(OR($A60="F&amp;F",$A60="CE",AK$7="No aplica"),0,'BOULEVARD 5'!AN58-'BOULEVARD PPTO'!AF53)</f>
        <v>0</v>
      </c>
      <c r="AL60" s="760">
        <f>IF(OR($A60="F&amp;F",$A60="CE",AL$7="No aplica"),0,'BOULEVARD 5'!AO58-'BOULEVARD PPTO'!AG53)</f>
        <v>0</v>
      </c>
      <c r="AM60" s="760">
        <f>IF(OR($A60="F&amp;F",$A60="CE",AM$7="No aplica"),0,'BOULEVARD 5'!AP58-'BOULEVARD PPTO'!AH53)</f>
        <v>0</v>
      </c>
      <c r="AN60" s="760">
        <f>IF(OR($A60="F&amp;F",$A60="CE",AN$7="No aplica"),0,'BOULEVARD 5'!AQ58-'BOULEVARD PPTO'!AI53)</f>
        <v>0</v>
      </c>
      <c r="AO60" s="760">
        <f>IF(OR($A60="F&amp;F",$A60="CE",AO$7="No aplica"),0,'BOULEVARD 5'!AS58-'BOULEVARD PPTO'!AJ53)</f>
        <v>0</v>
      </c>
      <c r="AP60" s="761">
        <f t="shared" si="7"/>
        <v>0</v>
      </c>
      <c r="AQ60" s="761">
        <f t="shared" si="8"/>
        <v>0</v>
      </c>
      <c r="AR60" s="674">
        <f>IF(A60=0,'BOULEVARD 5'!BF58,0)</f>
        <v>5500</v>
      </c>
      <c r="AS60" s="674">
        <f>IF(A60=0,'BOULEVARD 5'!BG58,0)</f>
        <v>5222</v>
      </c>
      <c r="AT60" s="675" t="str">
        <f t="shared" si="4"/>
        <v>Vendido</v>
      </c>
      <c r="AU60" s="581" t="str">
        <f t="shared" si="11"/>
        <v/>
      </c>
      <c r="AV60" s="760">
        <f t="shared" si="10"/>
        <v>0</v>
      </c>
    </row>
    <row r="61" spans="1:49" s="581" customFormat="1" ht="12.4" customHeight="1" outlineLevel="1" x14ac:dyDescent="0.25">
      <c r="A61" s="703">
        <f>'BOULEVARD 5'!BQ59</f>
        <v>0</v>
      </c>
      <c r="B61" s="564">
        <v>403</v>
      </c>
      <c r="C61" s="564" t="s">
        <v>192</v>
      </c>
      <c r="D61" s="564"/>
      <c r="E61" s="564" t="str">
        <f>IF('BOULEVARD 5'!E59&lt;&gt;0,'BOULEVARD 5'!E59,"")</f>
        <v>Antonio Rada</v>
      </c>
      <c r="F61" s="581" t="str">
        <f>IF('BOULEVARD 5'!F59&lt;&gt;0,'BOULEVARD 5'!F59,"")</f>
        <v>Denis Estuardo Mazariegos Fuentes</v>
      </c>
      <c r="G61" s="566">
        <f>IF('BOULEVARD 5'!G59="","",'BOULEVARD 5'!G59)</f>
        <v>45158</v>
      </c>
      <c r="H61" s="756">
        <f>IF(OR($A61="F&amp;F",$A61="CE",H$7="No aplica"),0,'BOULEVARD 5'!K59-'BOULEVARD PPTO'!C54)</f>
        <v>0</v>
      </c>
      <c r="I61" s="756">
        <f>IF(OR($A61="F&amp;F",$A61="CE",I$7="No aplica"),0,'BOULEVARD 5'!L59-'BOULEVARD PPTO'!D54)</f>
        <v>0</v>
      </c>
      <c r="J61" s="756">
        <f>IF(OR($A61="F&amp;F",$A61="CE",J$7="No aplica"),0,'BOULEVARD 5'!M59-'BOULEVARD PPTO'!E54)</f>
        <v>0</v>
      </c>
      <c r="K61" s="756">
        <f>IF(OR($A61="F&amp;F",$A61="CE",K$7="No aplica"),0,'BOULEVARD 5'!N59-'BOULEVARD PPTO'!F54)</f>
        <v>0</v>
      </c>
      <c r="L61" s="756">
        <f>IF(OR($A61="F&amp;F",$A61="CE",L$7="No aplica"),0,'BOULEVARD 5'!O59-'BOULEVARD PPTO'!G54)</f>
        <v>0</v>
      </c>
      <c r="M61" s="756">
        <f>IF(OR($A61="F&amp;F",$A61="CE",M$7="No aplica"),0,'BOULEVARD 5'!P59-'BOULEVARD PPTO'!H54)</f>
        <v>0</v>
      </c>
      <c r="N61" s="756">
        <f>IF(OR($A61="F&amp;F",$A61="CE",N$7="No aplica"),0,'BOULEVARD 5'!Q59-'BOULEVARD PPTO'!I54)</f>
        <v>0</v>
      </c>
      <c r="O61" s="756">
        <f>IF(OR($A61="F&amp;F",$A61="CE",O$7="No aplica"),0,'BOULEVARD 5'!R59-'BOULEVARD PPTO'!J54)</f>
        <v>0</v>
      </c>
      <c r="P61" s="756">
        <f>IF(OR($A61="F&amp;F",$A61="CE",P$7="No aplica"),0,'BOULEVARD 5'!S59-'BOULEVARD PPTO'!K54)</f>
        <v>0</v>
      </c>
      <c r="Q61" s="760">
        <f>IF(OR($A61="F&amp;F",$A61="CE",Q$7="No aplica"),0,'BOULEVARD 5'!T59-'BOULEVARD PPTO'!L54)</f>
        <v>0</v>
      </c>
      <c r="R61" s="760">
        <f>IF(OR($A61="F&amp;F",$A61="CE",R$7="No aplica"),0,'BOULEVARD 5'!U59-'BOULEVARD PPTO'!M54)</f>
        <v>0</v>
      </c>
      <c r="S61" s="760">
        <f>IF(OR($A61="F&amp;F",$A61="CE",S$7="No aplica"),0,'BOULEVARD 5'!V59-'BOULEVARD PPTO'!N54)</f>
        <v>0</v>
      </c>
      <c r="T61" s="760">
        <f>IF(OR($A61="F&amp;F",$A61="CE",T$7="No aplica"),0,'BOULEVARD 5'!W59-'BOULEVARD PPTO'!O54)</f>
        <v>0</v>
      </c>
      <c r="U61" s="760">
        <f>IF(OR($A61="F&amp;F",$A61="CE",U$7="No aplica"),0,'BOULEVARD 5'!X59-'BOULEVARD PPTO'!P54)</f>
        <v>0</v>
      </c>
      <c r="V61" s="760">
        <f>IF(OR($A61="F&amp;F",$A61="CE",V$7="No aplica"),0,'BOULEVARD 5'!Y59-'BOULEVARD PPTO'!Q54)</f>
        <v>0</v>
      </c>
      <c r="W61" s="760">
        <f>IF(OR($A61="F&amp;F",$A61="CE",W$7="No aplica"),0,'BOULEVARD 5'!Z59-'BOULEVARD PPTO'!R54)</f>
        <v>0</v>
      </c>
      <c r="X61" s="760">
        <f>IF(OR($A61="F&amp;F",$A61="CE",X$7="No aplica"),0,'BOULEVARD 5'!AA59-'BOULEVARD PPTO'!S54)</f>
        <v>0</v>
      </c>
      <c r="Y61" s="760">
        <f>IF(OR($A61="F&amp;F",$A61="CE",Y$7="No aplica"),0,'BOULEVARD 5'!AB59-'BOULEVARD PPTO'!T54)</f>
        <v>0</v>
      </c>
      <c r="Z61" s="760">
        <f>IF(OR($A61="F&amp;F",$A61="CE",Z$7="No aplica"),0,'BOULEVARD 5'!AC59-'BOULEVARD PPTO'!U54)</f>
        <v>0</v>
      </c>
      <c r="AA61" s="760">
        <f>IF(OR($A61="F&amp;F",$A61="CE",AA$7="No aplica"),0,'BOULEVARD 5'!AD59-'BOULEVARD PPTO'!V54)</f>
        <v>0</v>
      </c>
      <c r="AB61" s="760">
        <f>IF(OR($A61="F&amp;F",$A61="CE",AB$7="No aplica"),0,'BOULEVARD 5'!AE59-'BOULEVARD PPTO'!W54)</f>
        <v>0</v>
      </c>
      <c r="AC61" s="760">
        <f>IF(OR($A61="F&amp;F",$A61="CE",AC$7="No aplica"),0,'BOULEVARD 5'!AF59-'BOULEVARD PPTO'!X54)</f>
        <v>0</v>
      </c>
      <c r="AD61" s="760">
        <f>IF(OR($A61="F&amp;F",$A61="CE",AD$7="No aplica"),0,'BOULEVARD 5'!AG59-'BOULEVARD PPTO'!Y54)</f>
        <v>0</v>
      </c>
      <c r="AE61" s="760">
        <f>IF(OR($A61="F&amp;F",$A61="CE",AE$7="No aplica"),0,'BOULEVARD 5'!AH59-'BOULEVARD PPTO'!Z54)</f>
        <v>0</v>
      </c>
      <c r="AF61" s="760">
        <f>IF(OR($A61="F&amp;F",$A61="CE",AF$7="No aplica"),0,'BOULEVARD 5'!AI59-'BOULEVARD PPTO'!AA54)</f>
        <v>0</v>
      </c>
      <c r="AG61" s="760">
        <f>IF(OR($A61="F&amp;F",$A61="CE",AG$7="No aplica"),0,'BOULEVARD 5'!AJ59-'BOULEVARD PPTO'!AB54)</f>
        <v>0</v>
      </c>
      <c r="AH61" s="760">
        <f>IF(OR($A61="F&amp;F",$A61="CE",AH$7="No aplica"),0,'BOULEVARD 5'!AK59-'BOULEVARD PPTO'!AC54)</f>
        <v>0</v>
      </c>
      <c r="AI61" s="760">
        <f>IF(OR($A61="F&amp;F",$A61="CE",AI$7="No aplica"),0,'BOULEVARD 5'!AL59-'BOULEVARD PPTO'!AD54)</f>
        <v>0</v>
      </c>
      <c r="AJ61" s="760">
        <f>IF(OR($A61="F&amp;F",$A61="CE",AJ$7="No aplica"),0,'BOULEVARD 5'!AM59-'BOULEVARD PPTO'!AE54)</f>
        <v>-2560</v>
      </c>
      <c r="AK61" s="760">
        <f>IF(OR($A61="F&amp;F",$A61="CE",AK$7="No aplica"),0,'BOULEVARD 5'!AN59-'BOULEVARD PPTO'!AF54)</f>
        <v>-2560</v>
      </c>
      <c r="AL61" s="760">
        <f>IF(OR($A61="F&amp;F",$A61="CE",AL$7="No aplica"),0,'BOULEVARD 5'!AO59-'BOULEVARD PPTO'!AG54)</f>
        <v>-2560</v>
      </c>
      <c r="AM61" s="760">
        <f>IF(OR($A61="F&amp;F",$A61="CE",AM$7="No aplica"),0,'BOULEVARD 5'!AP59-'BOULEVARD PPTO'!AH54)</f>
        <v>0</v>
      </c>
      <c r="AN61" s="760">
        <f>IF(OR($A61="F&amp;F",$A61="CE",AN$7="No aplica"),0,'BOULEVARD 5'!AQ59-'BOULEVARD PPTO'!AI54)</f>
        <v>0</v>
      </c>
      <c r="AO61" s="760">
        <f>IF(OR($A61="F&amp;F",$A61="CE",AO$7="No aplica"),0,'BOULEVARD 5'!AS59-'BOULEVARD PPTO'!AJ54)</f>
        <v>0</v>
      </c>
      <c r="AP61" s="761">
        <f t="shared" si="7"/>
        <v>-7680</v>
      </c>
      <c r="AQ61" s="761">
        <f t="shared" si="8"/>
        <v>-7680</v>
      </c>
      <c r="AR61" s="674">
        <f>IF(A61=0,'BOULEVARD 5'!BF59,0)</f>
        <v>6000</v>
      </c>
      <c r="AS61" s="674">
        <f>IF(A61=0,'BOULEVARD 5'!BG59,0)</f>
        <v>2560</v>
      </c>
      <c r="AT61" s="675" t="str">
        <f t="shared" si="4"/>
        <v>Vendido</v>
      </c>
      <c r="AU61" s="581" t="str">
        <f t="shared" si="11"/>
        <v>POR COBRAR</v>
      </c>
      <c r="AV61" s="760">
        <f t="shared" si="10"/>
        <v>0</v>
      </c>
    </row>
    <row r="62" spans="1:49" s="581" customFormat="1" ht="12.4" customHeight="1" outlineLevel="1" x14ac:dyDescent="0.25">
      <c r="A62" s="703">
        <f>'BOULEVARD 5'!BQ60</f>
        <v>0</v>
      </c>
      <c r="B62" s="564">
        <v>404</v>
      </c>
      <c r="C62" s="564" t="s">
        <v>198</v>
      </c>
      <c r="D62" s="564"/>
      <c r="E62" s="564" t="str">
        <f>IF('BOULEVARD 5'!E60&lt;&gt;0,'BOULEVARD 5'!E60,"")</f>
        <v>Brenda Búcaro</v>
      </c>
      <c r="F62" s="581" t="str">
        <f>IF('BOULEVARD 5'!F60&lt;&gt;0,'BOULEVARD 5'!F60,"")</f>
        <v>Gerson Andre Villatoro Urizar</v>
      </c>
      <c r="G62" s="566">
        <f>IF('BOULEVARD 5'!G60="","",'BOULEVARD 5'!G60)</f>
        <v>45230</v>
      </c>
      <c r="H62" s="756">
        <f>IF(OR($A62="F&amp;F",$A62="CE",H$7="No aplica"),0,'BOULEVARD 5'!K60-'BOULEVARD PPTO'!C55)</f>
        <v>0</v>
      </c>
      <c r="I62" s="756">
        <f>IF(OR($A62="F&amp;F",$A62="CE",I$7="No aplica"),0,'BOULEVARD 5'!L60-'BOULEVARD PPTO'!D55)</f>
        <v>0</v>
      </c>
      <c r="J62" s="756">
        <f>IF(OR($A62="F&amp;F",$A62="CE",J$7="No aplica"),0,'BOULEVARD 5'!M60-'BOULEVARD PPTO'!E55)</f>
        <v>0</v>
      </c>
      <c r="K62" s="756">
        <f>IF(OR($A62="F&amp;F",$A62="CE",K$7="No aplica"),0,'BOULEVARD 5'!N60-'BOULEVARD PPTO'!F55)</f>
        <v>0</v>
      </c>
      <c r="L62" s="756">
        <f>IF(OR($A62="F&amp;F",$A62="CE",L$7="No aplica"),0,'BOULEVARD 5'!O60-'BOULEVARD PPTO'!G55)</f>
        <v>0</v>
      </c>
      <c r="M62" s="756">
        <f>IF(OR($A62="F&amp;F",$A62="CE",M$7="No aplica"),0,'BOULEVARD 5'!P60-'BOULEVARD PPTO'!H55)</f>
        <v>0</v>
      </c>
      <c r="N62" s="756">
        <f>IF(OR($A62="F&amp;F",$A62="CE",N$7="No aplica"),0,'BOULEVARD 5'!Q60-'BOULEVARD PPTO'!I55)</f>
        <v>0</v>
      </c>
      <c r="O62" s="756">
        <f>IF(OR($A62="F&amp;F",$A62="CE",O$7="No aplica"),0,'BOULEVARD 5'!R60-'BOULEVARD PPTO'!J55)</f>
        <v>0</v>
      </c>
      <c r="P62" s="756">
        <f>IF(OR($A62="F&amp;F",$A62="CE",P$7="No aplica"),0,'BOULEVARD 5'!S60-'BOULEVARD PPTO'!K55)</f>
        <v>0</v>
      </c>
      <c r="Q62" s="760">
        <f>IF(OR($A62="F&amp;F",$A62="CE",Q$7="No aplica"),0,'BOULEVARD 5'!T60-'BOULEVARD PPTO'!L55)</f>
        <v>0</v>
      </c>
      <c r="R62" s="760">
        <f>IF(OR($A62="F&amp;F",$A62="CE",R$7="No aplica"),0,'BOULEVARD 5'!U60-'BOULEVARD PPTO'!M55)</f>
        <v>0</v>
      </c>
      <c r="S62" s="760">
        <f>IF(OR($A62="F&amp;F",$A62="CE",S$7="No aplica"),0,'BOULEVARD 5'!V60-'BOULEVARD PPTO'!N55)</f>
        <v>0</v>
      </c>
      <c r="T62" s="760">
        <f>IF(OR($A62="F&amp;F",$A62="CE",T$7="No aplica"),0,'BOULEVARD 5'!W60-'BOULEVARD PPTO'!O55)</f>
        <v>0</v>
      </c>
      <c r="U62" s="760">
        <f>IF(OR($A62="F&amp;F",$A62="CE",U$7="No aplica"),0,'BOULEVARD 5'!X60-'BOULEVARD PPTO'!P55)</f>
        <v>2791</v>
      </c>
      <c r="V62" s="760">
        <f>IF(OR($A62="F&amp;F",$A62="CE",V$7="No aplica"),0,'BOULEVARD 5'!Y60-'BOULEVARD PPTO'!Q55)</f>
        <v>-2791</v>
      </c>
      <c r="W62" s="760">
        <f>IF(OR($A62="F&amp;F",$A62="CE",W$7="No aplica"),0,'BOULEVARD 5'!Z60-'BOULEVARD PPTO'!R55)</f>
        <v>0</v>
      </c>
      <c r="X62" s="760">
        <f>IF(OR($A62="F&amp;F",$A62="CE",X$7="No aplica"),0,'BOULEVARD 5'!AA60-'BOULEVARD PPTO'!S55)</f>
        <v>0</v>
      </c>
      <c r="Y62" s="760">
        <f>IF(OR($A62="F&amp;F",$A62="CE",Y$7="No aplica"),0,'BOULEVARD 5'!AB60-'BOULEVARD PPTO'!T55)</f>
        <v>2791</v>
      </c>
      <c r="Z62" s="760">
        <f>IF(OR($A62="F&amp;F",$A62="CE",Z$7="No aplica"),0,'BOULEVARD 5'!AC60-'BOULEVARD PPTO'!U55)</f>
        <v>-2791</v>
      </c>
      <c r="AA62" s="760">
        <f>IF(OR($A62="F&amp;F",$A62="CE",AA$7="No aplica"),0,'BOULEVARD 5'!AD60-'BOULEVARD PPTO'!V55)</f>
        <v>0</v>
      </c>
      <c r="AB62" s="760">
        <f>IF(OR($A62="F&amp;F",$A62="CE",AB$7="No aplica"),0,'BOULEVARD 5'!AE60-'BOULEVARD PPTO'!W55)</f>
        <v>0</v>
      </c>
      <c r="AC62" s="760">
        <f>IF(OR($A62="F&amp;F",$A62="CE",AC$7="No aplica"),0,'BOULEVARD 5'!AF60-'BOULEVARD PPTO'!X55)</f>
        <v>-2791</v>
      </c>
      <c r="AD62" s="760">
        <f>IF(OR($A62="F&amp;F",$A62="CE",AD$7="No aplica"),0,'BOULEVARD 5'!AG60-'BOULEVARD PPTO'!Y55)</f>
        <v>0</v>
      </c>
      <c r="AE62" s="760">
        <f>IF(OR($A62="F&amp;F",$A62="CE",AE$7="No aplica"),0,'BOULEVARD 5'!AH60-'BOULEVARD PPTO'!Z55)</f>
        <v>0</v>
      </c>
      <c r="AF62" s="760">
        <f>IF(OR($A62="F&amp;F",$A62="CE",AF$7="No aplica"),0,'BOULEVARD 5'!AI60-'BOULEVARD PPTO'!AA55)</f>
        <v>0</v>
      </c>
      <c r="AG62" s="760">
        <f>IF(OR($A62="F&amp;F",$A62="CE",AG$7="No aplica"),0,'BOULEVARD 5'!AJ60-'BOULEVARD PPTO'!AB55)</f>
        <v>0</v>
      </c>
      <c r="AH62" s="760">
        <f>IF(OR($A62="F&amp;F",$A62="CE",AH$7="No aplica"),0,'BOULEVARD 5'!AK60-'BOULEVARD PPTO'!AC55)</f>
        <v>0</v>
      </c>
      <c r="AI62" s="760">
        <f>IF(OR($A62="F&amp;F",$A62="CE",AI$7="No aplica"),0,'BOULEVARD 5'!AL60-'BOULEVARD PPTO'!AD55)</f>
        <v>0</v>
      </c>
      <c r="AJ62" s="760">
        <f>IF(OR($A62="F&amp;F",$A62="CE",AJ$7="No aplica"),0,'BOULEVARD 5'!AM60-'BOULEVARD PPTO'!AE55)</f>
        <v>0</v>
      </c>
      <c r="AK62" s="760">
        <f>IF(OR($A62="F&amp;F",$A62="CE",AK$7="No aplica"),0,'BOULEVARD 5'!AN60-'BOULEVARD PPTO'!AF55)</f>
        <v>0</v>
      </c>
      <c r="AL62" s="760">
        <f>IF(OR($A62="F&amp;F",$A62="CE",AL$7="No aplica"),0,'BOULEVARD 5'!AO60-'BOULEVARD PPTO'!AG55)</f>
        <v>2791</v>
      </c>
      <c r="AM62" s="760">
        <f>IF(OR($A62="F&amp;F",$A62="CE",AM$7="No aplica"),0,'BOULEVARD 5'!AP60-'BOULEVARD PPTO'!AH55)</f>
        <v>0</v>
      </c>
      <c r="AN62" s="760">
        <f>IF(OR($A62="F&amp;F",$A62="CE",AN$7="No aplica"),0,'BOULEVARD 5'!AQ60-'BOULEVARD PPTO'!AI55)</f>
        <v>0</v>
      </c>
      <c r="AO62" s="760">
        <f>IF(OR($A62="F&amp;F",$A62="CE",AO$7="No aplica"),0,'BOULEVARD 5'!AS60-'BOULEVARD PPTO'!AJ55)</f>
        <v>0</v>
      </c>
      <c r="AP62" s="761">
        <f t="shared" si="7"/>
        <v>0</v>
      </c>
      <c r="AQ62" s="761">
        <f t="shared" si="8"/>
        <v>23000</v>
      </c>
      <c r="AR62" s="674">
        <f>IF(A62=0,'BOULEVARD 5'!BF60,0)</f>
        <v>8000</v>
      </c>
      <c r="AS62" s="674">
        <f>IF(A62=0,'BOULEVARD 5'!BG60,0)</f>
        <v>2791</v>
      </c>
      <c r="AT62" s="675" t="str">
        <f t="shared" si="4"/>
        <v>Vendido</v>
      </c>
      <c r="AU62" s="581" t="str">
        <f t="shared" si="11"/>
        <v/>
      </c>
      <c r="AV62" s="760">
        <f t="shared" si="10"/>
        <v>0</v>
      </c>
    </row>
    <row r="63" spans="1:49" s="581" customFormat="1" ht="12.4" customHeight="1" outlineLevel="1" x14ac:dyDescent="0.25">
      <c r="A63" s="703">
        <f>'BOULEVARD 5'!BQ61</f>
        <v>0</v>
      </c>
      <c r="B63" s="564">
        <v>405</v>
      </c>
      <c r="C63" s="564" t="s">
        <v>391</v>
      </c>
      <c r="D63" s="564"/>
      <c r="E63" s="564" t="str">
        <f>IF('BOULEVARD 5'!E61&lt;&gt;0,'BOULEVARD 5'!E61,"")</f>
        <v/>
      </c>
      <c r="F63" s="581" t="str">
        <f>IF('BOULEVARD 5'!F61&lt;&gt;0,'BOULEVARD 5'!F61,"")</f>
        <v>Mario Saul Aragón Zepeda</v>
      </c>
      <c r="G63" s="566">
        <f>IF('BOULEVARD 5'!G61="","",'BOULEVARD 5'!G61)</f>
        <v>45995</v>
      </c>
      <c r="H63" s="756">
        <f>IF(OR($A63="F&amp;F",$A63="CE",H$7="No aplica"),0,'BOULEVARD 5'!K61-'BOULEVARD PPTO'!C56)</f>
        <v>0</v>
      </c>
      <c r="I63" s="756">
        <f>IF(OR($A63="F&amp;F",$A63="CE",I$7="No aplica"),0,'BOULEVARD 5'!L61-'BOULEVARD PPTO'!D56)</f>
        <v>0</v>
      </c>
      <c r="J63" s="756">
        <f>IF(OR($A63="F&amp;F",$A63="CE",J$7="No aplica"),0,'BOULEVARD 5'!M61-'BOULEVARD PPTO'!E56)</f>
        <v>0</v>
      </c>
      <c r="K63" s="756">
        <f>IF(OR($A63="F&amp;F",$A63="CE",K$7="No aplica"),0,'BOULEVARD 5'!N61-'BOULEVARD PPTO'!F56)</f>
        <v>0</v>
      </c>
      <c r="L63" s="756">
        <f>IF(OR($A63="F&amp;F",$A63="CE",L$7="No aplica"),0,'BOULEVARD 5'!O61-'BOULEVARD PPTO'!G56)</f>
        <v>0</v>
      </c>
      <c r="M63" s="756">
        <f>IF(OR($A63="F&amp;F",$A63="CE",M$7="No aplica"),0,'BOULEVARD 5'!P61-'BOULEVARD PPTO'!H56)</f>
        <v>0</v>
      </c>
      <c r="N63" s="756">
        <f>IF(OR($A63="F&amp;F",$A63="CE",N$7="No aplica"),0,'BOULEVARD 5'!Q61-'BOULEVARD PPTO'!I56)</f>
        <v>0</v>
      </c>
      <c r="O63" s="756">
        <f>IF(OR($A63="F&amp;F",$A63="CE",O$7="No aplica"),0,'BOULEVARD 5'!R61-'BOULEVARD PPTO'!J56)</f>
        <v>0</v>
      </c>
      <c r="P63" s="756">
        <f>IF(OR($A63="F&amp;F",$A63="CE",P$7="No aplica"),0,'BOULEVARD 5'!S61-'BOULEVARD PPTO'!K56)</f>
        <v>0</v>
      </c>
      <c r="Q63" s="760">
        <f>IF(OR($A63="F&amp;F",$A63="CE",Q$7="No aplica"),0,'BOULEVARD 5'!T61-'BOULEVARD PPTO'!L56)</f>
        <v>0</v>
      </c>
      <c r="R63" s="760">
        <f>IF(OR($A63="F&amp;F",$A63="CE",R$7="No aplica"),0,'BOULEVARD 5'!U61-'BOULEVARD PPTO'!M56)</f>
        <v>0</v>
      </c>
      <c r="S63" s="760">
        <f>IF(OR($A63="F&amp;F",$A63="CE",S$7="No aplica"),0,'BOULEVARD 5'!V61-'BOULEVARD PPTO'!N56)</f>
        <v>0</v>
      </c>
      <c r="T63" s="760">
        <f>IF(OR($A63="F&amp;F",$A63="CE",T$7="No aplica"),0,'BOULEVARD 5'!W61-'BOULEVARD PPTO'!O56)</f>
        <v>0</v>
      </c>
      <c r="U63" s="760">
        <f>IF(OR($A63="F&amp;F",$A63="CE",U$7="No aplica"),0,'BOULEVARD 5'!X61-'BOULEVARD PPTO'!P56)</f>
        <v>0</v>
      </c>
      <c r="V63" s="760">
        <f>IF(OR($A63="F&amp;F",$A63="CE",V$7="No aplica"),0,'BOULEVARD 5'!Y61-'BOULEVARD PPTO'!Q56)</f>
        <v>0</v>
      </c>
      <c r="W63" s="760">
        <f>IF(OR($A63="F&amp;F",$A63="CE",W$7="No aplica"),0,'BOULEVARD 5'!Z61-'BOULEVARD PPTO'!R56)</f>
        <v>0</v>
      </c>
      <c r="X63" s="760">
        <f>IF(OR($A63="F&amp;F",$A63="CE",X$7="No aplica"),0,'BOULEVARD 5'!AA61-'BOULEVARD PPTO'!S56)</f>
        <v>0</v>
      </c>
      <c r="Y63" s="760">
        <f>IF(OR($A63="F&amp;F",$A63="CE",Y$7="No aplica"),0,'BOULEVARD 5'!AB61-'BOULEVARD PPTO'!T56)</f>
        <v>0</v>
      </c>
      <c r="Z63" s="760">
        <f>IF(OR($A63="F&amp;F",$A63="CE",Z$7="No aplica"),0,'BOULEVARD 5'!AC61-'BOULEVARD PPTO'!U56)</f>
        <v>0</v>
      </c>
      <c r="AA63" s="760">
        <f>IF(OR($A63="F&amp;F",$A63="CE",AA$7="No aplica"),0,'BOULEVARD 5'!AD61-'BOULEVARD PPTO'!V56)</f>
        <v>0</v>
      </c>
      <c r="AB63" s="760">
        <f>IF(OR($A63="F&amp;F",$A63="CE",AB$7="No aplica"),0,'BOULEVARD 5'!AE61-'BOULEVARD PPTO'!W56)</f>
        <v>0</v>
      </c>
      <c r="AC63" s="760">
        <f>IF(OR($A63="F&amp;F",$A63="CE",AC$7="No aplica"),0,'BOULEVARD 5'!AF61-'BOULEVARD PPTO'!X56)</f>
        <v>0</v>
      </c>
      <c r="AD63" s="760">
        <f>IF(OR($A63="F&amp;F",$A63="CE",AD$7="No aplica"),0,'BOULEVARD 5'!AG61-'BOULEVARD PPTO'!Y56)</f>
        <v>0</v>
      </c>
      <c r="AE63" s="760">
        <f>IF(OR($A63="F&amp;F",$A63="CE",AE$7="No aplica"),0,'BOULEVARD 5'!AH61-'BOULEVARD PPTO'!Z56)</f>
        <v>0</v>
      </c>
      <c r="AF63" s="760">
        <f>IF(OR($A63="F&amp;F",$A63="CE",AF$7="No aplica"),0,'BOULEVARD 5'!AI61-'BOULEVARD PPTO'!AA56)</f>
        <v>0</v>
      </c>
      <c r="AG63" s="760">
        <f>IF(OR($A63="F&amp;F",$A63="CE",AG$7="No aplica"),0,'BOULEVARD 5'!AJ61-'BOULEVARD PPTO'!AB56)</f>
        <v>0</v>
      </c>
      <c r="AH63" s="760">
        <f>IF(OR($A63="F&amp;F",$A63="CE",AH$7="No aplica"),0,'BOULEVARD 5'!AK61-'BOULEVARD PPTO'!AC56)</f>
        <v>0</v>
      </c>
      <c r="AI63" s="760">
        <f>IF(OR($A63="F&amp;F",$A63="CE",AI$7="No aplica"),0,'BOULEVARD 5'!AL61-'BOULEVARD PPTO'!AD56)</f>
        <v>0</v>
      </c>
      <c r="AJ63" s="760">
        <f>IF(OR($A63="F&amp;F",$A63="CE",AJ$7="No aplica"),0,'BOULEVARD 5'!AM61-'BOULEVARD PPTO'!AE56)</f>
        <v>0</v>
      </c>
      <c r="AK63" s="760">
        <f>IF(OR($A63="F&amp;F",$A63="CE",AK$7="No aplica"),0,'BOULEVARD 5'!AN61-'BOULEVARD PPTO'!AF56)</f>
        <v>0</v>
      </c>
      <c r="AL63" s="760">
        <f>IF(OR($A63="F&amp;F",$A63="CE",AL$7="No aplica"),0,'BOULEVARD 5'!AO61-'BOULEVARD PPTO'!AG56)</f>
        <v>0</v>
      </c>
      <c r="AM63" s="760">
        <f>IF(OR($A63="F&amp;F",$A63="CE",AM$7="No aplica"),0,'BOULEVARD 5'!AP61-'BOULEVARD PPTO'!AH56)</f>
        <v>0</v>
      </c>
      <c r="AN63" s="760">
        <f>IF(OR($A63="F&amp;F",$A63="CE",AN$7="No aplica"),0,'BOULEVARD 5'!AQ61-'BOULEVARD PPTO'!AI56)</f>
        <v>0</v>
      </c>
      <c r="AO63" s="760">
        <f>IF(OR($A63="F&amp;F",$A63="CE",AO$7="No aplica"),0,'BOULEVARD 5'!AS61-'BOULEVARD PPTO'!AJ56)</f>
        <v>0</v>
      </c>
      <c r="AP63" s="761">
        <f t="shared" si="7"/>
        <v>0</v>
      </c>
      <c r="AQ63" s="761">
        <f t="shared" si="8"/>
        <v>10000</v>
      </c>
      <c r="AR63" s="674">
        <f>IF(A63=0,'BOULEVARD 5'!BF61,0)</f>
        <v>0</v>
      </c>
      <c r="AS63" s="674">
        <f>IF(A63=0,'BOULEVARD 5'!BG61,0)</f>
        <v>0</v>
      </c>
      <c r="AT63" s="675" t="str">
        <f t="shared" si="4"/>
        <v>Vendido</v>
      </c>
      <c r="AU63" s="581" t="str">
        <f t="shared" si="11"/>
        <v/>
      </c>
      <c r="AV63" s="760">
        <f t="shared" si="10"/>
        <v>0</v>
      </c>
    </row>
    <row r="64" spans="1:49" s="581" customFormat="1" ht="12.4" customHeight="1" outlineLevel="1" x14ac:dyDescent="0.25">
      <c r="A64" s="703">
        <f>'BOULEVARD 5'!BQ62</f>
        <v>0</v>
      </c>
      <c r="B64" s="564">
        <v>406</v>
      </c>
      <c r="C64" s="564" t="s">
        <v>194</v>
      </c>
      <c r="D64" s="564"/>
      <c r="E64" s="564" t="str">
        <f>IF('BOULEVARD 5'!E62&lt;&gt;0,'BOULEVARD 5'!E62,"")</f>
        <v>SIN DATOS</v>
      </c>
      <c r="F64" s="581" t="str">
        <f>IF('BOULEVARD 5'!F62&lt;&gt;0,'BOULEVARD 5'!F62,"")</f>
        <v xml:space="preserve">Andrea Joanna Hidalgo Mendizábal </v>
      </c>
      <c r="G64" s="566">
        <f>IF('BOULEVARD 5'!G62="","",'BOULEVARD 5'!G62)</f>
        <v>45800</v>
      </c>
      <c r="H64" s="756">
        <f>IF(OR($A64="F&amp;F",$A64="CE",H$7="No aplica"),0,'BOULEVARD 5'!K62-'BOULEVARD PPTO'!C57)</f>
        <v>0</v>
      </c>
      <c r="I64" s="756">
        <f>IF(OR($A64="F&amp;F",$A64="CE",I$7="No aplica"),0,'BOULEVARD 5'!L62-'BOULEVARD PPTO'!D57)</f>
        <v>0</v>
      </c>
      <c r="J64" s="756">
        <f>IF(OR($A64="F&amp;F",$A64="CE",J$7="No aplica"),0,'BOULEVARD 5'!M62-'BOULEVARD PPTO'!E57)</f>
        <v>0</v>
      </c>
      <c r="K64" s="756">
        <f>IF(OR($A64="F&amp;F",$A64="CE",K$7="No aplica"),0,'BOULEVARD 5'!N62-'BOULEVARD PPTO'!F57)</f>
        <v>0</v>
      </c>
      <c r="L64" s="756">
        <f>IF(OR($A64="F&amp;F",$A64="CE",L$7="No aplica"),0,'BOULEVARD 5'!O62-'BOULEVARD PPTO'!G57)</f>
        <v>0</v>
      </c>
      <c r="M64" s="756">
        <f>IF(OR($A64="F&amp;F",$A64="CE",M$7="No aplica"),0,'BOULEVARD 5'!P62-'BOULEVARD PPTO'!H57)</f>
        <v>0</v>
      </c>
      <c r="N64" s="756">
        <f>IF(OR($A64="F&amp;F",$A64="CE",N$7="No aplica"),0,'BOULEVARD 5'!Q62-'BOULEVARD PPTO'!I57)</f>
        <v>0</v>
      </c>
      <c r="O64" s="756">
        <f>IF(OR($A64="F&amp;F",$A64="CE",O$7="No aplica"),0,'BOULEVARD 5'!R62-'BOULEVARD PPTO'!J57)</f>
        <v>0</v>
      </c>
      <c r="P64" s="756">
        <f>IF(OR($A64="F&amp;F",$A64="CE",P$7="No aplica"),0,'BOULEVARD 5'!S62-'BOULEVARD PPTO'!K57)</f>
        <v>0</v>
      </c>
      <c r="Q64" s="760">
        <f>IF(OR($A64="F&amp;F",$A64="CE",Q$7="No aplica"),0,'BOULEVARD 5'!T62-'BOULEVARD PPTO'!L57)</f>
        <v>0</v>
      </c>
      <c r="R64" s="760">
        <f>IF(OR($A64="F&amp;F",$A64="CE",R$7="No aplica"),0,'BOULEVARD 5'!U62-'BOULEVARD PPTO'!M57)</f>
        <v>0</v>
      </c>
      <c r="S64" s="760">
        <f>IF(OR($A64="F&amp;F",$A64="CE",S$7="No aplica"),0,'BOULEVARD 5'!V62-'BOULEVARD PPTO'!N57)</f>
        <v>0</v>
      </c>
      <c r="T64" s="760">
        <f>IF(OR($A64="F&amp;F",$A64="CE",T$7="No aplica"),0,'BOULEVARD 5'!W62-'BOULEVARD PPTO'!O57)</f>
        <v>0</v>
      </c>
      <c r="U64" s="760">
        <f>IF(OR($A64="F&amp;F",$A64="CE",U$7="No aplica"),0,'BOULEVARD 5'!X62-'BOULEVARD PPTO'!P57)</f>
        <v>0</v>
      </c>
      <c r="V64" s="760">
        <f>IF(OR($A64="F&amp;F",$A64="CE",V$7="No aplica"),0,'BOULEVARD 5'!Y62-'BOULEVARD PPTO'!Q57)</f>
        <v>0</v>
      </c>
      <c r="W64" s="760">
        <f>IF(OR($A64="F&amp;F",$A64="CE",W$7="No aplica"),0,'BOULEVARD 5'!Z62-'BOULEVARD PPTO'!R57)</f>
        <v>0</v>
      </c>
      <c r="X64" s="760">
        <f>IF(OR($A64="F&amp;F",$A64="CE",X$7="No aplica"),0,'BOULEVARD 5'!AA62-'BOULEVARD PPTO'!S57)</f>
        <v>0</v>
      </c>
      <c r="Y64" s="760">
        <f>IF(OR($A64="F&amp;F",$A64="CE",Y$7="No aplica"),0,'BOULEVARD 5'!AB62-'BOULEVARD PPTO'!T57)</f>
        <v>0</v>
      </c>
      <c r="Z64" s="760">
        <f>IF(OR($A64="F&amp;F",$A64="CE",Z$7="No aplica"),0,'BOULEVARD 5'!AC62-'BOULEVARD PPTO'!U57)</f>
        <v>0</v>
      </c>
      <c r="AA64" s="760">
        <f>IF(OR($A64="F&amp;F",$A64="CE",AA$7="No aplica"),0,'BOULEVARD 5'!AD62-'BOULEVARD PPTO'!V57)</f>
        <v>0</v>
      </c>
      <c r="AB64" s="760">
        <f>IF(OR($A64="F&amp;F",$A64="CE",AB$7="No aplica"),0,'BOULEVARD 5'!AE62-'BOULEVARD PPTO'!W57)</f>
        <v>0</v>
      </c>
      <c r="AC64" s="760">
        <f>IF(OR($A64="F&amp;F",$A64="CE",AC$7="No aplica"),0,'BOULEVARD 5'!AF62-'BOULEVARD PPTO'!X57)</f>
        <v>0</v>
      </c>
      <c r="AD64" s="760">
        <f>IF(OR($A64="F&amp;F",$A64="CE",AD$7="No aplica"),0,'BOULEVARD 5'!AG62-'BOULEVARD PPTO'!Y57)</f>
        <v>0</v>
      </c>
      <c r="AE64" s="760">
        <f>IF(OR($A64="F&amp;F",$A64="CE",AE$7="No aplica"),0,'BOULEVARD 5'!AH62-'BOULEVARD PPTO'!Z57)</f>
        <v>0</v>
      </c>
      <c r="AF64" s="760">
        <f>IF(OR($A64="F&amp;F",$A64="CE",AF$7="No aplica"),0,'BOULEVARD 5'!AI62-'BOULEVARD PPTO'!AA57)</f>
        <v>0</v>
      </c>
      <c r="AG64" s="760">
        <f>IF(OR($A64="F&amp;F",$A64="CE",AG$7="No aplica"),0,'BOULEVARD 5'!AJ62-'BOULEVARD PPTO'!AB57)</f>
        <v>0</v>
      </c>
      <c r="AH64" s="760">
        <f>IF(OR($A64="F&amp;F",$A64="CE",AH$7="No aplica"),0,'BOULEVARD 5'!AK62-'BOULEVARD PPTO'!AC57)</f>
        <v>0</v>
      </c>
      <c r="AI64" s="760">
        <f>IF(OR($A64="F&amp;F",$A64="CE",AI$7="No aplica"),0,'BOULEVARD 5'!AL62-'BOULEVARD PPTO'!AD57)</f>
        <v>8363</v>
      </c>
      <c r="AJ64" s="760">
        <f>IF(OR($A64="F&amp;F",$A64="CE",AJ$7="No aplica"),0,'BOULEVARD 5'!AM62-'BOULEVARD PPTO'!AE57)</f>
        <v>8363</v>
      </c>
      <c r="AK64" s="760">
        <f>IF(OR($A64="F&amp;F",$A64="CE",AK$7="No aplica"),0,'BOULEVARD 5'!AN62-'BOULEVARD PPTO'!AF57)</f>
        <v>-8371</v>
      </c>
      <c r="AL64" s="760">
        <f>IF(OR($A64="F&amp;F",$A64="CE",AL$7="No aplica"),0,'BOULEVARD 5'!AO62-'BOULEVARD PPTO'!AG57)</f>
        <v>-8371</v>
      </c>
      <c r="AM64" s="760">
        <f>IF(OR($A64="F&amp;F",$A64="CE",AM$7="No aplica"),0,'BOULEVARD 5'!AP62-'BOULEVARD PPTO'!AH57)</f>
        <v>-4</v>
      </c>
      <c r="AN64" s="760">
        <f>IF(OR($A64="F&amp;F",$A64="CE",AN$7="No aplica"),0,'BOULEVARD 5'!AQ62-'BOULEVARD PPTO'!AI57)</f>
        <v>0</v>
      </c>
      <c r="AO64" s="760">
        <f>IF(OR($A64="F&amp;F",$A64="CE",AO$7="No aplica"),0,'BOULEVARD 5'!AS62-'BOULEVARD PPTO'!AJ57)</f>
        <v>0</v>
      </c>
      <c r="AP64" s="761">
        <f t="shared" si="7"/>
        <v>-20</v>
      </c>
      <c r="AQ64" s="761">
        <f t="shared" si="8"/>
        <v>-33516</v>
      </c>
      <c r="AR64" s="674">
        <f>IF(A64=0,'BOULEVARD 5'!BF62,0)</f>
        <v>10000</v>
      </c>
      <c r="AS64" s="674">
        <f>IF(A64=0,'BOULEVARD 5'!BG62,0)</f>
        <v>8371</v>
      </c>
      <c r="AT64" s="675" t="str">
        <f t="shared" si="4"/>
        <v>Vendido</v>
      </c>
      <c r="AU64" s="581" t="str">
        <f t="shared" si="11"/>
        <v>POR COBRAR</v>
      </c>
      <c r="AV64" s="760">
        <f t="shared" si="10"/>
        <v>0</v>
      </c>
    </row>
    <row r="65" spans="1:48" s="581" customFormat="1" ht="12.4" customHeight="1" outlineLevel="1" x14ac:dyDescent="0.25">
      <c r="A65" s="703">
        <f>'BOULEVARD 5'!BQ63</f>
        <v>0</v>
      </c>
      <c r="B65" s="564">
        <v>407</v>
      </c>
      <c r="C65" s="564" t="s">
        <v>393</v>
      </c>
      <c r="D65" s="564"/>
      <c r="E65" s="564" t="str">
        <f>IF('BOULEVARD 5'!E63&lt;&gt;0,'BOULEVARD 5'!E63,"")</f>
        <v>Laura Molina</v>
      </c>
      <c r="F65" s="581" t="str">
        <f>IF('BOULEVARD 5'!F63&lt;&gt;0,'BOULEVARD 5'!F63,"")</f>
        <v>Alberto Antonio Arrecis Rosales</v>
      </c>
      <c r="G65" s="566">
        <f>IF('BOULEVARD 5'!G63="","",'BOULEVARD 5'!G63)</f>
        <v>45883</v>
      </c>
      <c r="H65" s="756">
        <f>IF(OR($A65="F&amp;F",$A65="CE",H$7="No aplica"),0,'BOULEVARD 5'!K63-'BOULEVARD PPTO'!C58)</f>
        <v>0</v>
      </c>
      <c r="I65" s="756">
        <f>IF(OR($A65="F&amp;F",$A65="CE",I$7="No aplica"),0,'BOULEVARD 5'!L63-'BOULEVARD PPTO'!D58)</f>
        <v>0</v>
      </c>
      <c r="J65" s="756">
        <f>IF(OR($A65="F&amp;F",$A65="CE",J$7="No aplica"),0,'BOULEVARD 5'!M63-'BOULEVARD PPTO'!E58)</f>
        <v>0</v>
      </c>
      <c r="K65" s="756">
        <f>IF(OR($A65="F&amp;F",$A65="CE",K$7="No aplica"),0,'BOULEVARD 5'!N63-'BOULEVARD PPTO'!F58)</f>
        <v>0</v>
      </c>
      <c r="L65" s="756">
        <f>IF(OR($A65="F&amp;F",$A65="CE",L$7="No aplica"),0,'BOULEVARD 5'!O63-'BOULEVARD PPTO'!G58)</f>
        <v>0</v>
      </c>
      <c r="M65" s="756">
        <f>IF(OR($A65="F&amp;F",$A65="CE",M$7="No aplica"),0,'BOULEVARD 5'!P63-'BOULEVARD PPTO'!H58)</f>
        <v>0</v>
      </c>
      <c r="N65" s="756">
        <f>IF(OR($A65="F&amp;F",$A65="CE",N$7="No aplica"),0,'BOULEVARD 5'!Q63-'BOULEVARD PPTO'!I58)</f>
        <v>0</v>
      </c>
      <c r="O65" s="756">
        <f>IF(OR($A65="F&amp;F",$A65="CE",O$7="No aplica"),0,'BOULEVARD 5'!R63-'BOULEVARD PPTO'!J58)</f>
        <v>0</v>
      </c>
      <c r="P65" s="756">
        <f>IF(OR($A65="F&amp;F",$A65="CE",P$7="No aplica"),0,'BOULEVARD 5'!S63-'BOULEVARD PPTO'!K58)</f>
        <v>0</v>
      </c>
      <c r="Q65" s="760">
        <f>IF(OR($A65="F&amp;F",$A65="CE",Q$7="No aplica"),0,'BOULEVARD 5'!T63-'BOULEVARD PPTO'!L58)</f>
        <v>0</v>
      </c>
      <c r="R65" s="760">
        <f>IF(OR($A65="F&amp;F",$A65="CE",R$7="No aplica"),0,'BOULEVARD 5'!U63-'BOULEVARD PPTO'!M58)</f>
        <v>0</v>
      </c>
      <c r="S65" s="760">
        <f>IF(OR($A65="F&amp;F",$A65="CE",S$7="No aplica"),0,'BOULEVARD 5'!V63-'BOULEVARD PPTO'!N58)</f>
        <v>0</v>
      </c>
      <c r="T65" s="760">
        <f>IF(OR($A65="F&amp;F",$A65="CE",T$7="No aplica"),0,'BOULEVARD 5'!W63-'BOULEVARD PPTO'!O58)</f>
        <v>0</v>
      </c>
      <c r="U65" s="760">
        <f>IF(OR($A65="F&amp;F",$A65="CE",U$7="No aplica"),0,'BOULEVARD 5'!X63-'BOULEVARD PPTO'!P58)</f>
        <v>0</v>
      </c>
      <c r="V65" s="760">
        <f>IF(OR($A65="F&amp;F",$A65="CE",V$7="No aplica"),0,'BOULEVARD 5'!Y63-'BOULEVARD PPTO'!Q58)</f>
        <v>0</v>
      </c>
      <c r="W65" s="760">
        <f>IF(OR($A65="F&amp;F",$A65="CE",W$7="No aplica"),0,'BOULEVARD 5'!Z63-'BOULEVARD PPTO'!R58)</f>
        <v>0</v>
      </c>
      <c r="X65" s="760">
        <f>IF(OR($A65="F&amp;F",$A65="CE",X$7="No aplica"),0,'BOULEVARD 5'!AA63-'BOULEVARD PPTO'!S58)</f>
        <v>0</v>
      </c>
      <c r="Y65" s="760">
        <f>IF(OR($A65="F&amp;F",$A65="CE",Y$7="No aplica"),0,'BOULEVARD 5'!AB63-'BOULEVARD PPTO'!T58)</f>
        <v>0</v>
      </c>
      <c r="Z65" s="760">
        <f>IF(OR($A65="F&amp;F",$A65="CE",Z$7="No aplica"),0,'BOULEVARD 5'!AC63-'BOULEVARD PPTO'!U58)</f>
        <v>0</v>
      </c>
      <c r="AA65" s="760">
        <f>IF(OR($A65="F&amp;F",$A65="CE",AA$7="No aplica"),0,'BOULEVARD 5'!AD63-'BOULEVARD PPTO'!V58)</f>
        <v>0</v>
      </c>
      <c r="AB65" s="760">
        <f>IF(OR($A65="F&amp;F",$A65="CE",AB$7="No aplica"),0,'BOULEVARD 5'!AE63-'BOULEVARD PPTO'!W58)</f>
        <v>0</v>
      </c>
      <c r="AC65" s="760">
        <f>IF(OR($A65="F&amp;F",$A65="CE",AC$7="No aplica"),0,'BOULEVARD 5'!AF63-'BOULEVARD PPTO'!X58)</f>
        <v>0</v>
      </c>
      <c r="AD65" s="760">
        <f>IF(OR($A65="F&amp;F",$A65="CE",AD$7="No aplica"),0,'BOULEVARD 5'!AG63-'BOULEVARD PPTO'!Y58)</f>
        <v>0</v>
      </c>
      <c r="AE65" s="760">
        <f>IF(OR($A65="F&amp;F",$A65="CE",AE$7="No aplica"),0,'BOULEVARD 5'!AH63-'BOULEVARD PPTO'!Z58)</f>
        <v>0</v>
      </c>
      <c r="AF65" s="760">
        <f>IF(OR($A65="F&amp;F",$A65="CE",AF$7="No aplica"),0,'BOULEVARD 5'!AI63-'BOULEVARD PPTO'!AA58)</f>
        <v>0</v>
      </c>
      <c r="AG65" s="760">
        <f>IF(OR($A65="F&amp;F",$A65="CE",AG$7="No aplica"),0,'BOULEVARD 5'!AJ63-'BOULEVARD PPTO'!AB58)</f>
        <v>0</v>
      </c>
      <c r="AH65" s="760">
        <f>IF(OR($A65="F&amp;F",$A65="CE",AH$7="No aplica"),0,'BOULEVARD 5'!AK63-'BOULEVARD PPTO'!AC58)</f>
        <v>0</v>
      </c>
      <c r="AI65" s="760">
        <f>IF(OR($A65="F&amp;F",$A65="CE",AI$7="No aplica"),0,'BOULEVARD 5'!AL63-'BOULEVARD PPTO'!AD58)</f>
        <v>0</v>
      </c>
      <c r="AJ65" s="760">
        <f>IF(OR($A65="F&amp;F",$A65="CE",AJ$7="No aplica"),0,'BOULEVARD 5'!AM63-'BOULEVARD PPTO'!AE58)</f>
        <v>0</v>
      </c>
      <c r="AK65" s="760">
        <f>IF(OR($A65="F&amp;F",$A65="CE",AK$7="No aplica"),0,'BOULEVARD 5'!AN63-'BOULEVARD PPTO'!AF58)</f>
        <v>10000</v>
      </c>
      <c r="AL65" s="760">
        <f>IF(OR($A65="F&amp;F",$A65="CE",AL$7="No aplica"),0,'BOULEVARD 5'!AO63-'BOULEVARD PPTO'!AG58)</f>
        <v>7041.47</v>
      </c>
      <c r="AM65" s="760">
        <f>IF(OR($A65="F&amp;F",$A65="CE",AM$7="No aplica"),0,'BOULEVARD 5'!AP63-'BOULEVARD PPTO'!AH58)</f>
        <v>7041.47</v>
      </c>
      <c r="AN65" s="760">
        <f>IF(OR($A65="F&amp;F",$A65="CE",AN$7="No aplica"),0,'BOULEVARD 5'!AQ63-'BOULEVARD PPTO'!AI58)</f>
        <v>0</v>
      </c>
      <c r="AO65" s="760">
        <f>IF(OR($A65="F&amp;F",$A65="CE",AO$7="No aplica"),0,'BOULEVARD 5'!AS63-'BOULEVARD PPTO'!AJ58)</f>
        <v>0</v>
      </c>
      <c r="AP65" s="761">
        <f t="shared" si="7"/>
        <v>24082.940000000002</v>
      </c>
      <c r="AQ65" s="761">
        <f t="shared" si="8"/>
        <v>45207.350000000006</v>
      </c>
      <c r="AR65" s="674">
        <f>IF(A65=0,'BOULEVARD 5'!BF63,0)</f>
        <v>10000</v>
      </c>
      <c r="AS65" s="674">
        <f>IF(A65=0,'BOULEVARD 5'!BG63,0)</f>
        <v>7041.47</v>
      </c>
      <c r="AT65" s="675" t="str">
        <f t="shared" si="4"/>
        <v>Vendido</v>
      </c>
      <c r="AU65" s="581" t="str">
        <f t="shared" si="11"/>
        <v>A FAVOR DEL CLIENTE</v>
      </c>
      <c r="AV65" s="760">
        <f t="shared" si="10"/>
        <v>7041.47</v>
      </c>
    </row>
    <row r="66" spans="1:48" s="581" customFormat="1" ht="12.4" customHeight="1" outlineLevel="1" x14ac:dyDescent="0.25">
      <c r="A66" s="703" t="str">
        <f>'BOULEVARD 5'!BQ64</f>
        <v>CE</v>
      </c>
      <c r="B66" s="708">
        <v>408</v>
      </c>
      <c r="C66" s="564" t="s">
        <v>172</v>
      </c>
      <c r="D66" s="647" t="s">
        <v>336</v>
      </c>
      <c r="E66" s="564" t="str">
        <f>IF('BOULEVARD 5'!E64&lt;&gt;0,'BOULEVARD 5'!E64,"")</f>
        <v>Antonio Rada</v>
      </c>
      <c r="F66" s="581" t="str">
        <f>IF('BOULEVARD 5'!F64&lt;&gt;0,'BOULEVARD 5'!F64,"")</f>
        <v>Maria Gabriela Chang Quan De Garcia</v>
      </c>
      <c r="G66" s="566">
        <f>IF('BOULEVARD 5'!G64="","",'BOULEVARD 5'!G64)</f>
        <v>45335</v>
      </c>
      <c r="H66" s="756">
        <f>IF(OR($A66="F&amp;F",$A66="CE",H$7="No aplica"),0,'BOULEVARD 5'!K64-'BOULEVARD PPTO'!C59)</f>
        <v>0</v>
      </c>
      <c r="I66" s="756">
        <f>IF(OR($A66="F&amp;F",$A66="CE",I$7="No aplica"),0,'BOULEVARD 5'!L64-'BOULEVARD PPTO'!D59)</f>
        <v>0</v>
      </c>
      <c r="J66" s="756">
        <f>IF(OR($A66="F&amp;F",$A66="CE",J$7="No aplica"),0,'BOULEVARD 5'!M64-'BOULEVARD PPTO'!E59)</f>
        <v>0</v>
      </c>
      <c r="K66" s="756">
        <f>IF(OR($A66="F&amp;F",$A66="CE",K$7="No aplica"),0,'BOULEVARD 5'!N64-'BOULEVARD PPTO'!F59)</f>
        <v>0</v>
      </c>
      <c r="L66" s="756">
        <f>IF(OR($A66="F&amp;F",$A66="CE",L$7="No aplica"),0,'BOULEVARD 5'!O64-'BOULEVARD PPTO'!G59)</f>
        <v>0</v>
      </c>
      <c r="M66" s="756">
        <f>IF(OR($A66="F&amp;F",$A66="CE",M$7="No aplica"),0,'BOULEVARD 5'!P64-'BOULEVARD PPTO'!H59)</f>
        <v>0</v>
      </c>
      <c r="N66" s="756">
        <f>IF(OR($A66="F&amp;F",$A66="CE",N$7="No aplica"),0,'BOULEVARD 5'!Q64-'BOULEVARD PPTO'!I59)</f>
        <v>0</v>
      </c>
      <c r="O66" s="756">
        <f>IF(OR($A66="F&amp;F",$A66="CE",O$7="No aplica"),0,'BOULEVARD 5'!R64-'BOULEVARD PPTO'!J59)</f>
        <v>0</v>
      </c>
      <c r="P66" s="756">
        <f>IF(OR($A66="F&amp;F",$A66="CE",P$7="No aplica"),0,'BOULEVARD 5'!S64-'BOULEVARD PPTO'!K59)</f>
        <v>0</v>
      </c>
      <c r="Q66" s="760">
        <f>IF(OR($A66="F&amp;F",$A66="CE",Q$7="No aplica"),0,'BOULEVARD 5'!T64-'BOULEVARD PPTO'!L59)</f>
        <v>0</v>
      </c>
      <c r="R66" s="760">
        <f>IF(OR($A66="F&amp;F",$A66="CE",R$7="No aplica"),0,'BOULEVARD 5'!U64-'BOULEVARD PPTO'!M59)</f>
        <v>0</v>
      </c>
      <c r="S66" s="760">
        <f>IF(OR($A66="F&amp;F",$A66="CE",S$7="No aplica"),0,'BOULEVARD 5'!V64-'BOULEVARD PPTO'!N59)</f>
        <v>0</v>
      </c>
      <c r="T66" s="760">
        <f>IF(OR($A66="F&amp;F",$A66="CE",T$7="No aplica"),0,'BOULEVARD 5'!W64-'BOULEVARD PPTO'!O59)</f>
        <v>0</v>
      </c>
      <c r="U66" s="760">
        <f>IF(OR($A66="F&amp;F",$A66="CE",U$7="No aplica"),0,'BOULEVARD 5'!X64-'BOULEVARD PPTO'!P59)</f>
        <v>0</v>
      </c>
      <c r="V66" s="760">
        <f>IF(OR($A66="F&amp;F",$A66="CE",V$7="No aplica"),0,'BOULEVARD 5'!Y64-'BOULEVARD PPTO'!Q59)</f>
        <v>0</v>
      </c>
      <c r="W66" s="760">
        <f>IF(OR($A66="F&amp;F",$A66="CE",W$7="No aplica"),0,'BOULEVARD 5'!Z64-'BOULEVARD PPTO'!R59)</f>
        <v>0</v>
      </c>
      <c r="X66" s="760">
        <f>IF(OR($A66="F&amp;F",$A66="CE",X$7="No aplica"),0,'BOULEVARD 5'!AA64-'BOULEVARD PPTO'!S59)</f>
        <v>0</v>
      </c>
      <c r="Y66" s="760">
        <f>IF(OR($A66="F&amp;F",$A66="CE",Y$7="No aplica"),0,'BOULEVARD 5'!AB64-'BOULEVARD PPTO'!T59)</f>
        <v>0</v>
      </c>
      <c r="Z66" s="760">
        <f>IF(OR($A66="F&amp;F",$A66="CE",Z$7="No aplica"),0,'BOULEVARD 5'!AC64-'BOULEVARD PPTO'!U59)</f>
        <v>0</v>
      </c>
      <c r="AA66" s="760">
        <f>IF(OR($A66="F&amp;F",$A66="CE",AA$7="No aplica"),0,'BOULEVARD 5'!AD64-'BOULEVARD PPTO'!V59)</f>
        <v>0</v>
      </c>
      <c r="AB66" s="760">
        <f>IF(OR($A66="F&amp;F",$A66="CE",AB$7="No aplica"),0,'BOULEVARD 5'!AE64-'BOULEVARD PPTO'!W59)</f>
        <v>0</v>
      </c>
      <c r="AC66" s="760">
        <f>IF(OR($A66="F&amp;F",$A66="CE",AC$7="No aplica"),0,'BOULEVARD 5'!AF64-'BOULEVARD PPTO'!X59)</f>
        <v>0</v>
      </c>
      <c r="AD66" s="760">
        <f>IF(OR($A66="F&amp;F",$A66="CE",AD$7="No aplica"),0,'BOULEVARD 5'!AG64-'BOULEVARD PPTO'!Y59)</f>
        <v>0</v>
      </c>
      <c r="AE66" s="760">
        <f>IF(OR($A66="F&amp;F",$A66="CE",AE$7="No aplica"),0,'BOULEVARD 5'!AH64-'BOULEVARD PPTO'!Z59)</f>
        <v>0</v>
      </c>
      <c r="AF66" s="760">
        <f>IF(OR($A66="F&amp;F",$A66="CE",AF$7="No aplica"),0,'BOULEVARD 5'!AI64-'BOULEVARD PPTO'!AA59)</f>
        <v>0</v>
      </c>
      <c r="AG66" s="760">
        <f>IF(OR($A66="F&amp;F",$A66="CE",AG$7="No aplica"),0,'BOULEVARD 5'!AJ64-'BOULEVARD PPTO'!AB59)</f>
        <v>0</v>
      </c>
      <c r="AH66" s="760">
        <f>IF(OR($A66="F&amp;F",$A66="CE",AH$7="No aplica"),0,'BOULEVARD 5'!AK64-'BOULEVARD PPTO'!AC59)</f>
        <v>0</v>
      </c>
      <c r="AI66" s="760">
        <f>IF(OR($A66="F&amp;F",$A66="CE",AI$7="No aplica"),0,'BOULEVARD 5'!AL64-'BOULEVARD PPTO'!AD59)</f>
        <v>0</v>
      </c>
      <c r="AJ66" s="760">
        <f>IF(OR($A66="F&amp;F",$A66="CE",AJ$7="No aplica"),0,'BOULEVARD 5'!AM64-'BOULEVARD PPTO'!AE59)</f>
        <v>0</v>
      </c>
      <c r="AK66" s="760">
        <f>IF(OR($A66="F&amp;F",$A66="CE",AK$7="No aplica"),0,'BOULEVARD 5'!AN64-'BOULEVARD PPTO'!AF59)</f>
        <v>0</v>
      </c>
      <c r="AL66" s="760">
        <f>IF(OR($A66="F&amp;F",$A66="CE",AL$7="No aplica"),0,'BOULEVARD 5'!AO64-'BOULEVARD PPTO'!AG59)</f>
        <v>0</v>
      </c>
      <c r="AM66" s="760">
        <f>IF(OR($A66="F&amp;F",$A66="CE",AM$7="No aplica"),0,'BOULEVARD 5'!AP64-'BOULEVARD PPTO'!AH59)</f>
        <v>0</v>
      </c>
      <c r="AN66" s="760">
        <f>IF(OR($A66="F&amp;F",$A66="CE",AN$7="No aplica"),0,'BOULEVARD 5'!AQ64-'BOULEVARD PPTO'!AI59)</f>
        <v>0</v>
      </c>
      <c r="AO66" s="760">
        <f>IF(OR($A66="F&amp;F",$A66="CE",AO$7="No aplica"),0,'BOULEVARD 5'!AS64-'BOULEVARD PPTO'!AJ59)</f>
        <v>0</v>
      </c>
      <c r="AP66" s="761">
        <f t="shared" si="7"/>
        <v>0</v>
      </c>
      <c r="AQ66" s="761">
        <f t="shared" si="8"/>
        <v>0</v>
      </c>
      <c r="AR66" s="674">
        <f>IF(A66=0,'BOULEVARD 5'!BF64,0)</f>
        <v>0</v>
      </c>
      <c r="AS66" s="674">
        <f>IF(A66=0,'BOULEVARD 5'!BG64,0)</f>
        <v>0</v>
      </c>
      <c r="AT66" s="675" t="str">
        <f t="shared" si="4"/>
        <v>Vendido</v>
      </c>
      <c r="AU66" s="581" t="str">
        <f t="shared" si="11"/>
        <v/>
      </c>
      <c r="AV66" s="760">
        <f t="shared" si="10"/>
        <v>0</v>
      </c>
    </row>
    <row r="67" spans="1:48" s="581" customFormat="1" ht="12.4" customHeight="1" outlineLevel="1" x14ac:dyDescent="0.25">
      <c r="A67" s="703">
        <f>'BOULEVARD 5'!BQ65</f>
        <v>0</v>
      </c>
      <c r="B67" s="564">
        <v>409</v>
      </c>
      <c r="C67" s="564" t="s">
        <v>395</v>
      </c>
      <c r="D67" s="564"/>
      <c r="E67" s="564" t="str">
        <f>IF('BOULEVARD 5'!E65&lt;&gt;0,'BOULEVARD 5'!E65,"")</f>
        <v>Antonio Rada</v>
      </c>
      <c r="F67" s="581" t="str">
        <f>IF('BOULEVARD 5'!F65&lt;&gt;0,'BOULEVARD 5'!F65,"")</f>
        <v>Rafael Leonidas Tabic Borja</v>
      </c>
      <c r="G67" s="566">
        <f>IF('BOULEVARD 5'!G65="","",'BOULEVARD 5'!G65)</f>
        <v>45512</v>
      </c>
      <c r="H67" s="756">
        <f>IF(OR($A67="F&amp;F",$A67="CE",H$7="No aplica"),0,'BOULEVARD 5'!K65-'BOULEVARD PPTO'!C60)</f>
        <v>0</v>
      </c>
      <c r="I67" s="756">
        <f>IF(OR($A67="F&amp;F",$A67="CE",I$7="No aplica"),0,'BOULEVARD 5'!L65-'BOULEVARD PPTO'!D60)</f>
        <v>0</v>
      </c>
      <c r="J67" s="756">
        <f>IF(OR($A67="F&amp;F",$A67="CE",J$7="No aplica"),0,'BOULEVARD 5'!M65-'BOULEVARD PPTO'!E60)</f>
        <v>0</v>
      </c>
      <c r="K67" s="756">
        <f>IF(OR($A67="F&amp;F",$A67="CE",K$7="No aplica"),0,'BOULEVARD 5'!N65-'BOULEVARD PPTO'!F60)</f>
        <v>0</v>
      </c>
      <c r="L67" s="756">
        <f>IF(OR($A67="F&amp;F",$A67="CE",L$7="No aplica"),0,'BOULEVARD 5'!O65-'BOULEVARD PPTO'!G60)</f>
        <v>0</v>
      </c>
      <c r="M67" s="756">
        <f>IF(OR($A67="F&amp;F",$A67="CE",M$7="No aplica"),0,'BOULEVARD 5'!P65-'BOULEVARD PPTO'!H60)</f>
        <v>0</v>
      </c>
      <c r="N67" s="756">
        <f>IF(OR($A67="F&amp;F",$A67="CE",N$7="No aplica"),0,'BOULEVARD 5'!Q65-'BOULEVARD PPTO'!I60)</f>
        <v>0</v>
      </c>
      <c r="O67" s="756">
        <f>IF(OR($A67="F&amp;F",$A67="CE",O$7="No aplica"),0,'BOULEVARD 5'!R65-'BOULEVARD PPTO'!J60)</f>
        <v>0</v>
      </c>
      <c r="P67" s="756">
        <f>IF(OR($A67="F&amp;F",$A67="CE",P$7="No aplica"),0,'BOULEVARD 5'!S65-'BOULEVARD PPTO'!K60)</f>
        <v>0</v>
      </c>
      <c r="Q67" s="760">
        <f>IF(OR($A67="F&amp;F",$A67="CE",Q$7="No aplica"),0,'BOULEVARD 5'!T65-'BOULEVARD PPTO'!L60)</f>
        <v>0</v>
      </c>
      <c r="R67" s="760">
        <f>IF(OR($A67="F&amp;F",$A67="CE",R$7="No aplica"),0,'BOULEVARD 5'!U65-'BOULEVARD PPTO'!M60)</f>
        <v>0</v>
      </c>
      <c r="S67" s="760">
        <f>IF(OR($A67="F&amp;F",$A67="CE",S$7="No aplica"),0,'BOULEVARD 5'!V65-'BOULEVARD PPTO'!N60)</f>
        <v>0</v>
      </c>
      <c r="T67" s="760">
        <f>IF(OR($A67="F&amp;F",$A67="CE",T$7="No aplica"),0,'BOULEVARD 5'!W65-'BOULEVARD PPTO'!O60)</f>
        <v>0</v>
      </c>
      <c r="U67" s="760">
        <f>IF(OR($A67="F&amp;F",$A67="CE",U$7="No aplica"),0,'BOULEVARD 5'!X65-'BOULEVARD PPTO'!P60)</f>
        <v>0</v>
      </c>
      <c r="V67" s="760">
        <f>IF(OR($A67="F&amp;F",$A67="CE",V$7="No aplica"),0,'BOULEVARD 5'!Y65-'BOULEVARD PPTO'!Q60)</f>
        <v>0</v>
      </c>
      <c r="W67" s="760">
        <f>IF(OR($A67="F&amp;F",$A67="CE",W$7="No aplica"),0,'BOULEVARD 5'!Z65-'BOULEVARD PPTO'!R60)</f>
        <v>0</v>
      </c>
      <c r="X67" s="760">
        <f>IF(OR($A67="F&amp;F",$A67="CE",X$7="No aplica"),0,'BOULEVARD 5'!AA65-'BOULEVARD PPTO'!S60)</f>
        <v>0</v>
      </c>
      <c r="Y67" s="760">
        <f>IF(OR($A67="F&amp;F",$A67="CE",Y$7="No aplica"),0,'BOULEVARD 5'!AB65-'BOULEVARD PPTO'!T60)</f>
        <v>0</v>
      </c>
      <c r="Z67" s="760">
        <f>IF(OR($A67="F&amp;F",$A67="CE",Z$7="No aplica"),0,'BOULEVARD 5'!AC65-'BOULEVARD PPTO'!U60)</f>
        <v>38</v>
      </c>
      <c r="AA67" s="760">
        <f>IF(OR($A67="F&amp;F",$A67="CE",AA$7="No aplica"),0,'BOULEVARD 5'!AD65-'BOULEVARD PPTO'!V60)</f>
        <v>238</v>
      </c>
      <c r="AB67" s="760">
        <f>IF(OR($A67="F&amp;F",$A67="CE",AB$7="No aplica"),0,'BOULEVARD 5'!AE65-'BOULEVARD PPTO'!W60)</f>
        <v>438</v>
      </c>
      <c r="AC67" s="760">
        <f>IF(OR($A67="F&amp;F",$A67="CE",AC$7="No aplica"),0,'BOULEVARD 5'!AF65-'BOULEVARD PPTO'!X60)</f>
        <v>8238</v>
      </c>
      <c r="AD67" s="760">
        <f>IF(OR($A67="F&amp;F",$A67="CE",AD$7="No aplica"),0,'BOULEVARD 5'!AG65-'BOULEVARD PPTO'!Y60)</f>
        <v>-7762</v>
      </c>
      <c r="AE67" s="760">
        <f>IF(OR($A67="F&amp;F",$A67="CE",AE$7="No aplica"),0,'BOULEVARD 5'!AH65-'BOULEVARD PPTO'!Z60)</f>
        <v>238</v>
      </c>
      <c r="AF67" s="760">
        <f>IF(OR($A67="F&amp;F",$A67="CE",AF$7="No aplica"),0,'BOULEVARD 5'!AI65-'BOULEVARD PPTO'!AA60)</f>
        <v>238</v>
      </c>
      <c r="AG67" s="760">
        <f>IF(OR($A67="F&amp;F",$A67="CE",AG$7="No aplica"),0,'BOULEVARD 5'!AJ65-'BOULEVARD PPTO'!AB60)</f>
        <v>238</v>
      </c>
      <c r="AH67" s="760">
        <f>IF(OR($A67="F&amp;F",$A67="CE",AH$7="No aplica"),0,'BOULEVARD 5'!AK65-'BOULEVARD PPTO'!AC60)</f>
        <v>238</v>
      </c>
      <c r="AI67" s="760">
        <f>IF(OR($A67="F&amp;F",$A67="CE",AI$7="No aplica"),0,'BOULEVARD 5'!AL65-'BOULEVARD PPTO'!AD60)</f>
        <v>238</v>
      </c>
      <c r="AJ67" s="760">
        <f>IF(OR($A67="F&amp;F",$A67="CE",AJ$7="No aplica"),0,'BOULEVARD 5'!AM65-'BOULEVARD PPTO'!AE60)</f>
        <v>238</v>
      </c>
      <c r="AK67" s="760">
        <f>IF(OR($A67="F&amp;F",$A67="CE",AK$7="No aplica"),0,'BOULEVARD 5'!AN65-'BOULEVARD PPTO'!AF60)</f>
        <v>238</v>
      </c>
      <c r="AL67" s="760">
        <f>IF(OR($A67="F&amp;F",$A67="CE",AL$7="No aplica"),0,'BOULEVARD 5'!AO65-'BOULEVARD PPTO'!AG60)</f>
        <v>238</v>
      </c>
      <c r="AM67" s="760">
        <f>IF(OR($A67="F&amp;F",$A67="CE",AM$7="No aplica"),0,'BOULEVARD 5'!AP65-'BOULEVARD PPTO'!AH60)</f>
        <v>238</v>
      </c>
      <c r="AN67" s="760">
        <f>IF(OR($A67="F&amp;F",$A67="CE",AN$7="No aplica"),0,'BOULEVARD 5'!AQ65-'BOULEVARD PPTO'!AI60)</f>
        <v>0</v>
      </c>
      <c r="AO67" s="760">
        <f>IF(OR($A67="F&amp;F",$A67="CE",AO$7="No aplica"),0,'BOULEVARD 5'!AS65-'BOULEVARD PPTO'!AJ60)</f>
        <v>0</v>
      </c>
      <c r="AP67" s="761">
        <f t="shared" si="7"/>
        <v>3332</v>
      </c>
      <c r="AQ67" s="761">
        <f t="shared" si="8"/>
        <v>3810</v>
      </c>
      <c r="AR67" s="674">
        <f>IF(A67=0,'BOULEVARD 5'!BF65,0)</f>
        <v>10000</v>
      </c>
      <c r="AS67" s="674">
        <f>IF(A67=0,'BOULEVARD 5'!BG65,0)</f>
        <v>8000</v>
      </c>
      <c r="AT67" s="675" t="str">
        <f t="shared" si="4"/>
        <v>Vendido</v>
      </c>
      <c r="AU67" s="581" t="str">
        <f t="shared" si="11"/>
        <v>A FAVOR DEL CLIENTE</v>
      </c>
      <c r="AV67" s="760">
        <f t="shared" si="10"/>
        <v>238</v>
      </c>
    </row>
    <row r="68" spans="1:48" s="581" customFormat="1" ht="12.4" customHeight="1" outlineLevel="1" x14ac:dyDescent="0.25">
      <c r="A68" s="703">
        <f>'BOULEVARD 5'!BQ66</f>
        <v>0</v>
      </c>
      <c r="B68" s="564">
        <v>410</v>
      </c>
      <c r="C68" s="564" t="s">
        <v>397</v>
      </c>
      <c r="D68" s="564"/>
      <c r="E68" s="564" t="str">
        <f>IF('BOULEVARD 5'!E66&lt;&gt;0,'BOULEVARD 5'!E66,"")</f>
        <v>Anahí Cisneros</v>
      </c>
      <c r="F68" s="581" t="str">
        <f>IF('BOULEVARD 5'!F66&lt;&gt;0,'BOULEVARD 5'!F66,"")</f>
        <v>Josué Ernesto Herrera Aguilar</v>
      </c>
      <c r="G68" s="566">
        <f>IF('BOULEVARD 5'!G66="","",'BOULEVARD 5'!G66)</f>
        <v>45849</v>
      </c>
      <c r="H68" s="756">
        <f>IF(OR($A68="F&amp;F",$A68="CE",H$7="No aplica"),0,'BOULEVARD 5'!K66-'BOULEVARD PPTO'!C61)</f>
        <v>0</v>
      </c>
      <c r="I68" s="756">
        <f>IF(OR($A68="F&amp;F",$A68="CE",I$7="No aplica"),0,'BOULEVARD 5'!L66-'BOULEVARD PPTO'!D61)</f>
        <v>0</v>
      </c>
      <c r="J68" s="756">
        <f>IF(OR($A68="F&amp;F",$A68="CE",J$7="No aplica"),0,'BOULEVARD 5'!M66-'BOULEVARD PPTO'!E61)</f>
        <v>0</v>
      </c>
      <c r="K68" s="756">
        <f>IF(OR($A68="F&amp;F",$A68="CE",K$7="No aplica"),0,'BOULEVARD 5'!N66-'BOULEVARD PPTO'!F61)</f>
        <v>0</v>
      </c>
      <c r="L68" s="756">
        <f>IF(OR($A68="F&amp;F",$A68="CE",L$7="No aplica"),0,'BOULEVARD 5'!O66-'BOULEVARD PPTO'!G61)</f>
        <v>0</v>
      </c>
      <c r="M68" s="756">
        <f>IF(OR($A68="F&amp;F",$A68="CE",M$7="No aplica"),0,'BOULEVARD 5'!P66-'BOULEVARD PPTO'!H61)</f>
        <v>0</v>
      </c>
      <c r="N68" s="756">
        <f>IF(OR($A68="F&amp;F",$A68="CE",N$7="No aplica"),0,'BOULEVARD 5'!Q66-'BOULEVARD PPTO'!I61)</f>
        <v>0</v>
      </c>
      <c r="O68" s="756">
        <f>IF(OR($A68="F&amp;F",$A68="CE",O$7="No aplica"),0,'BOULEVARD 5'!R66-'BOULEVARD PPTO'!J61)</f>
        <v>0</v>
      </c>
      <c r="P68" s="756">
        <f>IF(OR($A68="F&amp;F",$A68="CE",P$7="No aplica"),0,'BOULEVARD 5'!S66-'BOULEVARD PPTO'!K61)</f>
        <v>0</v>
      </c>
      <c r="Q68" s="760">
        <f>IF(OR($A68="F&amp;F",$A68="CE",Q$7="No aplica"),0,'BOULEVARD 5'!T66-'BOULEVARD PPTO'!L61)</f>
        <v>0</v>
      </c>
      <c r="R68" s="760">
        <f>IF(OR($A68="F&amp;F",$A68="CE",R$7="No aplica"),0,'BOULEVARD 5'!U66-'BOULEVARD PPTO'!M61)</f>
        <v>0</v>
      </c>
      <c r="S68" s="760">
        <f>IF(OR($A68="F&amp;F",$A68="CE",S$7="No aplica"),0,'BOULEVARD 5'!V66-'BOULEVARD PPTO'!N61)</f>
        <v>0</v>
      </c>
      <c r="T68" s="760">
        <f>IF(OR($A68="F&amp;F",$A68="CE",T$7="No aplica"),0,'BOULEVARD 5'!W66-'BOULEVARD PPTO'!O61)</f>
        <v>0</v>
      </c>
      <c r="U68" s="760">
        <f>IF(OR($A68="F&amp;F",$A68="CE",U$7="No aplica"),0,'BOULEVARD 5'!X66-'BOULEVARD PPTO'!P61)</f>
        <v>0</v>
      </c>
      <c r="V68" s="760">
        <f>IF(OR($A68="F&amp;F",$A68="CE",V$7="No aplica"),0,'BOULEVARD 5'!Y66-'BOULEVARD PPTO'!Q61)</f>
        <v>0</v>
      </c>
      <c r="W68" s="760">
        <f>IF(OR($A68="F&amp;F",$A68="CE",W$7="No aplica"),0,'BOULEVARD 5'!Z66-'BOULEVARD PPTO'!R61)</f>
        <v>0</v>
      </c>
      <c r="X68" s="760">
        <f>IF(OR($A68="F&amp;F",$A68="CE",X$7="No aplica"),0,'BOULEVARD 5'!AA66-'BOULEVARD PPTO'!S61)</f>
        <v>0</v>
      </c>
      <c r="Y68" s="760">
        <f>IF(OR($A68="F&amp;F",$A68="CE",Y$7="No aplica"),0,'BOULEVARD 5'!AB66-'BOULEVARD PPTO'!T61)</f>
        <v>0</v>
      </c>
      <c r="Z68" s="760">
        <f>IF(OR($A68="F&amp;F",$A68="CE",Z$7="No aplica"),0,'BOULEVARD 5'!AC66-'BOULEVARD PPTO'!U61)</f>
        <v>0</v>
      </c>
      <c r="AA68" s="760">
        <f>IF(OR($A68="F&amp;F",$A68="CE",AA$7="No aplica"),0,'BOULEVARD 5'!AD66-'BOULEVARD PPTO'!V61)</f>
        <v>0</v>
      </c>
      <c r="AB68" s="760">
        <f>IF(OR($A68="F&amp;F",$A68="CE",AB$7="No aplica"),0,'BOULEVARD 5'!AE66-'BOULEVARD PPTO'!W61)</f>
        <v>0</v>
      </c>
      <c r="AC68" s="760">
        <f>IF(OR($A68="F&amp;F",$A68="CE",AC$7="No aplica"),0,'BOULEVARD 5'!AF66-'BOULEVARD PPTO'!X61)</f>
        <v>0</v>
      </c>
      <c r="AD68" s="760">
        <f>IF(OR($A68="F&amp;F",$A68="CE",AD$7="No aplica"),0,'BOULEVARD 5'!AG66-'BOULEVARD PPTO'!Y61)</f>
        <v>0</v>
      </c>
      <c r="AE68" s="760">
        <f>IF(OR($A68="F&amp;F",$A68="CE",AE$7="No aplica"),0,'BOULEVARD 5'!AH66-'BOULEVARD PPTO'!Z61)</f>
        <v>0</v>
      </c>
      <c r="AF68" s="760">
        <f>IF(OR($A68="F&amp;F",$A68="CE",AF$7="No aplica"),0,'BOULEVARD 5'!AI66-'BOULEVARD PPTO'!AA61)</f>
        <v>0</v>
      </c>
      <c r="AG68" s="760">
        <f>IF(OR($A68="F&amp;F",$A68="CE",AG$7="No aplica"),0,'BOULEVARD 5'!AJ66-'BOULEVARD PPTO'!AB61)</f>
        <v>0</v>
      </c>
      <c r="AH68" s="760">
        <f>IF(OR($A68="F&amp;F",$A68="CE",AH$7="No aplica"),0,'BOULEVARD 5'!AK66-'BOULEVARD PPTO'!AC61)</f>
        <v>0</v>
      </c>
      <c r="AI68" s="760">
        <f>IF(OR($A68="F&amp;F",$A68="CE",AI$7="No aplica"),0,'BOULEVARD 5'!AL66-'BOULEVARD PPTO'!AD61)</f>
        <v>0</v>
      </c>
      <c r="AJ68" s="760">
        <f>IF(OR($A68="F&amp;F",$A68="CE",AJ$7="No aplica"),0,'BOULEVARD 5'!AM66-'BOULEVARD PPTO'!AE61)</f>
        <v>0</v>
      </c>
      <c r="AK68" s="760">
        <f>IF(OR($A68="F&amp;F",$A68="CE",AK$7="No aplica"),0,'BOULEVARD 5'!AN66-'BOULEVARD PPTO'!AF61)</f>
        <v>-5.4600000000009459</v>
      </c>
      <c r="AL68" s="760">
        <f>IF(OR($A68="F&amp;F",$A68="CE",AL$7="No aplica"),0,'BOULEVARD 5'!AO66-'BOULEVARD PPTO'!AG61)</f>
        <v>-5.4600000000009459</v>
      </c>
      <c r="AM68" s="760">
        <f>IF(OR($A68="F&amp;F",$A68="CE",AM$7="No aplica"),0,'BOULEVARD 5'!AP66-'BOULEVARD PPTO'!AH61)</f>
        <v>-5.4600000000009459</v>
      </c>
      <c r="AN68" s="760">
        <f>IF(OR($A68="F&amp;F",$A68="CE",AN$7="No aplica"),0,'BOULEVARD 5'!AQ66-'BOULEVARD PPTO'!AI61)</f>
        <v>0</v>
      </c>
      <c r="AO68" s="760">
        <f>IF(OR($A68="F&amp;F",$A68="CE",AO$7="No aplica"),0,'BOULEVARD 5'!AS66-'BOULEVARD PPTO'!AJ61)</f>
        <v>0</v>
      </c>
      <c r="AP68" s="761">
        <f t="shared" si="7"/>
        <v>-16.380000000002838</v>
      </c>
      <c r="AQ68" s="761">
        <f t="shared" si="8"/>
        <v>-47552.960000000021</v>
      </c>
      <c r="AR68" s="674">
        <f>IF(A68=0,'BOULEVARD 5'!BF66,0)</f>
        <v>15000</v>
      </c>
      <c r="AS68" s="674">
        <f>IF(A68=0,'BOULEVARD 5'!BG66,0)</f>
        <v>9504.0400000000009</v>
      </c>
      <c r="AT68" s="675" t="str">
        <f t="shared" si="4"/>
        <v>Vendido</v>
      </c>
      <c r="AU68" s="581" t="str">
        <f t="shared" si="11"/>
        <v>POR COBRAR</v>
      </c>
      <c r="AV68" s="760">
        <f t="shared" si="10"/>
        <v>0</v>
      </c>
    </row>
    <row r="69" spans="1:48" s="581" customFormat="1" ht="12.4" customHeight="1" outlineLevel="1" x14ac:dyDescent="0.25">
      <c r="A69" s="703">
        <f>'BOULEVARD 5'!BQ67</f>
        <v>0</v>
      </c>
      <c r="B69" s="564">
        <v>411</v>
      </c>
      <c r="C69" s="564" t="s">
        <v>398</v>
      </c>
      <c r="D69" s="564"/>
      <c r="E69" s="564" t="str">
        <f>IF('BOULEVARD 5'!E67&lt;&gt;0,'BOULEVARD 5'!E67,"")</f>
        <v>Anahí Cisneros</v>
      </c>
      <c r="F69" s="581" t="str">
        <f>IF('BOULEVARD 5'!F67&lt;&gt;0,'BOULEVARD 5'!F67,"")</f>
        <v>Sonia Elizabeth Gómez Méndez de García</v>
      </c>
      <c r="G69" s="566">
        <f>IF('BOULEVARD 5'!G67="","",'BOULEVARD 5'!G67)</f>
        <v>45971</v>
      </c>
      <c r="H69" s="756">
        <f>IF(OR($A69="F&amp;F",$A69="CE",H$7="No aplica"),0,'BOULEVARD 5'!K67-'BOULEVARD PPTO'!C62)</f>
        <v>0</v>
      </c>
      <c r="I69" s="756">
        <f>IF(OR($A69="F&amp;F",$A69="CE",I$7="No aplica"),0,'BOULEVARD 5'!L67-'BOULEVARD PPTO'!D62)</f>
        <v>0</v>
      </c>
      <c r="J69" s="756">
        <f>IF(OR($A69="F&amp;F",$A69="CE",J$7="No aplica"),0,'BOULEVARD 5'!M67-'BOULEVARD PPTO'!E62)</f>
        <v>0</v>
      </c>
      <c r="K69" s="756">
        <f>IF(OR($A69="F&amp;F",$A69="CE",K$7="No aplica"),0,'BOULEVARD 5'!N67-'BOULEVARD PPTO'!F62)</f>
        <v>0</v>
      </c>
      <c r="L69" s="756">
        <f>IF(OR($A69="F&amp;F",$A69="CE",L$7="No aplica"),0,'BOULEVARD 5'!O67-'BOULEVARD PPTO'!G62)</f>
        <v>0</v>
      </c>
      <c r="M69" s="756">
        <f>IF(OR($A69="F&amp;F",$A69="CE",M$7="No aplica"),0,'BOULEVARD 5'!P67-'BOULEVARD PPTO'!H62)</f>
        <v>0</v>
      </c>
      <c r="N69" s="756">
        <f>IF(OR($A69="F&amp;F",$A69="CE",N$7="No aplica"),0,'BOULEVARD 5'!Q67-'BOULEVARD PPTO'!I62)</f>
        <v>0</v>
      </c>
      <c r="O69" s="756">
        <f>IF(OR($A69="F&amp;F",$A69="CE",O$7="No aplica"),0,'BOULEVARD 5'!R67-'BOULEVARD PPTO'!J62)</f>
        <v>0</v>
      </c>
      <c r="P69" s="756">
        <f>IF(OR($A69="F&amp;F",$A69="CE",P$7="No aplica"),0,'BOULEVARD 5'!S67-'BOULEVARD PPTO'!K62)</f>
        <v>0</v>
      </c>
      <c r="Q69" s="760">
        <f>IF(OR($A69="F&amp;F",$A69="CE",Q$7="No aplica"),0,'BOULEVARD 5'!T67-'BOULEVARD PPTO'!L62)</f>
        <v>0</v>
      </c>
      <c r="R69" s="760">
        <f>IF(OR($A69="F&amp;F",$A69="CE",R$7="No aplica"),0,'BOULEVARD 5'!U67-'BOULEVARD PPTO'!M62)</f>
        <v>0</v>
      </c>
      <c r="S69" s="760">
        <f>IF(OR($A69="F&amp;F",$A69="CE",S$7="No aplica"),0,'BOULEVARD 5'!V67-'BOULEVARD PPTO'!N62)</f>
        <v>0</v>
      </c>
      <c r="T69" s="760">
        <f>IF(OR($A69="F&amp;F",$A69="CE",T$7="No aplica"),0,'BOULEVARD 5'!W67-'BOULEVARD PPTO'!O62)</f>
        <v>0</v>
      </c>
      <c r="U69" s="760">
        <f>IF(OR($A69="F&amp;F",$A69="CE",U$7="No aplica"),0,'BOULEVARD 5'!X67-'BOULEVARD PPTO'!P62)</f>
        <v>0</v>
      </c>
      <c r="V69" s="760">
        <f>IF(OR($A69="F&amp;F",$A69="CE",V$7="No aplica"),0,'BOULEVARD 5'!Y67-'BOULEVARD PPTO'!Q62)</f>
        <v>0</v>
      </c>
      <c r="W69" s="760">
        <f>IF(OR($A69="F&amp;F",$A69="CE",W$7="No aplica"),0,'BOULEVARD 5'!Z67-'BOULEVARD PPTO'!R62)</f>
        <v>0</v>
      </c>
      <c r="X69" s="760">
        <f>IF(OR($A69="F&amp;F",$A69="CE",X$7="No aplica"),0,'BOULEVARD 5'!AA67-'BOULEVARD PPTO'!S62)</f>
        <v>0</v>
      </c>
      <c r="Y69" s="760">
        <f>IF(OR($A69="F&amp;F",$A69="CE",Y$7="No aplica"),0,'BOULEVARD 5'!AB67-'BOULEVARD PPTO'!T62)</f>
        <v>0</v>
      </c>
      <c r="Z69" s="760">
        <f>IF(OR($A69="F&amp;F",$A69="CE",Z$7="No aplica"),0,'BOULEVARD 5'!AC67-'BOULEVARD PPTO'!U62)</f>
        <v>0</v>
      </c>
      <c r="AA69" s="760">
        <f>IF(OR($A69="F&amp;F",$A69="CE",AA$7="No aplica"),0,'BOULEVARD 5'!AD67-'BOULEVARD PPTO'!V62)</f>
        <v>0</v>
      </c>
      <c r="AB69" s="760">
        <f>IF(OR($A69="F&amp;F",$A69="CE",AB$7="No aplica"),0,'BOULEVARD 5'!AE67-'BOULEVARD PPTO'!W62)</f>
        <v>0</v>
      </c>
      <c r="AC69" s="760">
        <f>IF(OR($A69="F&amp;F",$A69="CE",AC$7="No aplica"),0,'BOULEVARD 5'!AF67-'BOULEVARD PPTO'!X62)</f>
        <v>0</v>
      </c>
      <c r="AD69" s="760">
        <f>IF(OR($A69="F&amp;F",$A69="CE",AD$7="No aplica"),0,'BOULEVARD 5'!AG67-'BOULEVARD PPTO'!Y62)</f>
        <v>0</v>
      </c>
      <c r="AE69" s="760">
        <f>IF(OR($A69="F&amp;F",$A69="CE",AE$7="No aplica"),0,'BOULEVARD 5'!AH67-'BOULEVARD PPTO'!Z62)</f>
        <v>0</v>
      </c>
      <c r="AF69" s="760">
        <f>IF(OR($A69="F&amp;F",$A69="CE",AF$7="No aplica"),0,'BOULEVARD 5'!AI67-'BOULEVARD PPTO'!AA62)</f>
        <v>0</v>
      </c>
      <c r="AG69" s="760">
        <f>IF(OR($A69="F&amp;F",$A69="CE",AG$7="No aplica"),0,'BOULEVARD 5'!AJ67-'BOULEVARD PPTO'!AB62)</f>
        <v>0</v>
      </c>
      <c r="AH69" s="760">
        <f>IF(OR($A69="F&amp;F",$A69="CE",AH$7="No aplica"),0,'BOULEVARD 5'!AK67-'BOULEVARD PPTO'!AC62)</f>
        <v>0</v>
      </c>
      <c r="AI69" s="760">
        <f>IF(OR($A69="F&amp;F",$A69="CE",AI$7="No aplica"),0,'BOULEVARD 5'!AL67-'BOULEVARD PPTO'!AD62)</f>
        <v>0</v>
      </c>
      <c r="AJ69" s="760">
        <f>IF(OR($A69="F&amp;F",$A69="CE",AJ$7="No aplica"),0,'BOULEVARD 5'!AM67-'BOULEVARD PPTO'!AE62)</f>
        <v>0</v>
      </c>
      <c r="AK69" s="760">
        <f>IF(OR($A69="F&amp;F",$A69="CE",AK$7="No aplica"),0,'BOULEVARD 5'!AN67-'BOULEVARD PPTO'!AF62)</f>
        <v>0</v>
      </c>
      <c r="AL69" s="760">
        <f>IF(OR($A69="F&amp;F",$A69="CE",AL$7="No aplica"),0,'BOULEVARD 5'!AO67-'BOULEVARD PPTO'!AG62)</f>
        <v>0</v>
      </c>
      <c r="AM69" s="760">
        <f>IF(OR($A69="F&amp;F",$A69="CE",AM$7="No aplica"),0,'BOULEVARD 5'!AP67-'BOULEVARD PPTO'!AH62)</f>
        <v>0</v>
      </c>
      <c r="AN69" s="760">
        <f>IF(OR($A69="F&amp;F",$A69="CE",AN$7="No aplica"),0,'BOULEVARD 5'!AQ67-'BOULEVARD PPTO'!AI62)</f>
        <v>0</v>
      </c>
      <c r="AO69" s="760">
        <f>IF(OR($A69="F&amp;F",$A69="CE",AO$7="No aplica"),0,'BOULEVARD 5'!AS67-'BOULEVARD PPTO'!AJ62)</f>
        <v>0</v>
      </c>
      <c r="AP69" s="761">
        <f t="shared" si="7"/>
        <v>0</v>
      </c>
      <c r="AQ69" s="761">
        <f t="shared" si="8"/>
        <v>9589.2900000000009</v>
      </c>
      <c r="AR69" s="674">
        <f>IF(A69=0,'BOULEVARD 5'!BF67,0)</f>
        <v>0</v>
      </c>
      <c r="AS69" s="674">
        <f>IF(A69=0,'BOULEVARD 5'!BG67,0)</f>
        <v>0</v>
      </c>
      <c r="AT69" s="675" t="str">
        <f t="shared" si="4"/>
        <v>Vendido</v>
      </c>
      <c r="AU69" s="581" t="str">
        <f t="shared" si="11"/>
        <v/>
      </c>
      <c r="AV69" s="760">
        <f t="shared" si="10"/>
        <v>0</v>
      </c>
    </row>
    <row r="70" spans="1:48" s="581" customFormat="1" ht="12.4" customHeight="1" outlineLevel="1" x14ac:dyDescent="0.25">
      <c r="A70" s="703">
        <f>'BOULEVARD 5'!BQ68</f>
        <v>0</v>
      </c>
      <c r="B70" s="564">
        <v>412</v>
      </c>
      <c r="C70" s="564" t="s">
        <v>399</v>
      </c>
      <c r="D70" s="564"/>
      <c r="E70" s="564" t="str">
        <f>IF('BOULEVARD 5'!E68&lt;&gt;0,'BOULEVARD 5'!E68,"")</f>
        <v>Anahí Cisneros</v>
      </c>
      <c r="F70" s="581" t="str">
        <f>IF('BOULEVARD 5'!F68&lt;&gt;0,'BOULEVARD 5'!F68,"")</f>
        <v>Silvia Rose Mary Monzón Paniagua</v>
      </c>
      <c r="G70" s="566">
        <f>IF('BOULEVARD 5'!G68="","",'BOULEVARD 5'!G68)</f>
        <v>45971</v>
      </c>
      <c r="H70" s="756">
        <f>IF(OR($A70="F&amp;F",$A70="CE",H$7="No aplica"),0,'BOULEVARD 5'!K68-'BOULEVARD PPTO'!C63)</f>
        <v>0</v>
      </c>
      <c r="I70" s="756">
        <f>IF(OR($A70="F&amp;F",$A70="CE",I$7="No aplica"),0,'BOULEVARD 5'!L68-'BOULEVARD PPTO'!D63)</f>
        <v>0</v>
      </c>
      <c r="J70" s="756">
        <f>IF(OR($A70="F&amp;F",$A70="CE",J$7="No aplica"),0,'BOULEVARD 5'!M68-'BOULEVARD PPTO'!E63)</f>
        <v>0</v>
      </c>
      <c r="K70" s="756">
        <f>IF(OR($A70="F&amp;F",$A70="CE",K$7="No aplica"),0,'BOULEVARD 5'!N68-'BOULEVARD PPTO'!F63)</f>
        <v>0</v>
      </c>
      <c r="L70" s="756">
        <f>IF(OR($A70="F&amp;F",$A70="CE",L$7="No aplica"),0,'BOULEVARD 5'!O68-'BOULEVARD PPTO'!G63)</f>
        <v>0</v>
      </c>
      <c r="M70" s="756">
        <f>IF(OR($A70="F&amp;F",$A70="CE",M$7="No aplica"),0,'BOULEVARD 5'!P68-'BOULEVARD PPTO'!H63)</f>
        <v>0</v>
      </c>
      <c r="N70" s="756">
        <f>IF(OR($A70="F&amp;F",$A70="CE",N$7="No aplica"),0,'BOULEVARD 5'!Q68-'BOULEVARD PPTO'!I63)</f>
        <v>0</v>
      </c>
      <c r="O70" s="756">
        <f>IF(OR($A70="F&amp;F",$A70="CE",O$7="No aplica"),0,'BOULEVARD 5'!R68-'BOULEVARD PPTO'!J63)</f>
        <v>0</v>
      </c>
      <c r="P70" s="756">
        <f>IF(OR($A70="F&amp;F",$A70="CE",P$7="No aplica"),0,'BOULEVARD 5'!S68-'BOULEVARD PPTO'!K63)</f>
        <v>0</v>
      </c>
      <c r="Q70" s="760">
        <f>IF(OR($A70="F&amp;F",$A70="CE",Q$7="No aplica"),0,'BOULEVARD 5'!T68-'BOULEVARD PPTO'!L63)</f>
        <v>0</v>
      </c>
      <c r="R70" s="760">
        <f>IF(OR($A70="F&amp;F",$A70="CE",R$7="No aplica"),0,'BOULEVARD 5'!U68-'BOULEVARD PPTO'!M63)</f>
        <v>0</v>
      </c>
      <c r="S70" s="760">
        <f>IF(OR($A70="F&amp;F",$A70="CE",S$7="No aplica"),0,'BOULEVARD 5'!V68-'BOULEVARD PPTO'!N63)</f>
        <v>0</v>
      </c>
      <c r="T70" s="760">
        <f>IF(OR($A70="F&amp;F",$A70="CE",T$7="No aplica"),0,'BOULEVARD 5'!W68-'BOULEVARD PPTO'!O63)</f>
        <v>0</v>
      </c>
      <c r="U70" s="760">
        <f>IF(OR($A70="F&amp;F",$A70="CE",U$7="No aplica"),0,'BOULEVARD 5'!X68-'BOULEVARD PPTO'!P63)</f>
        <v>0</v>
      </c>
      <c r="V70" s="760">
        <f>IF(OR($A70="F&amp;F",$A70="CE",V$7="No aplica"),0,'BOULEVARD 5'!Y68-'BOULEVARD PPTO'!Q63)</f>
        <v>0</v>
      </c>
      <c r="W70" s="760">
        <f>IF(OR($A70="F&amp;F",$A70="CE",W$7="No aplica"),0,'BOULEVARD 5'!Z68-'BOULEVARD PPTO'!R63)</f>
        <v>0</v>
      </c>
      <c r="X70" s="760">
        <f>IF(OR($A70="F&amp;F",$A70="CE",X$7="No aplica"),0,'BOULEVARD 5'!AA68-'BOULEVARD PPTO'!S63)</f>
        <v>0</v>
      </c>
      <c r="Y70" s="760">
        <f>IF(OR($A70="F&amp;F",$A70="CE",Y$7="No aplica"),0,'BOULEVARD 5'!AB68-'BOULEVARD PPTO'!T63)</f>
        <v>0</v>
      </c>
      <c r="Z70" s="760">
        <f>IF(OR($A70="F&amp;F",$A70="CE",Z$7="No aplica"),0,'BOULEVARD 5'!AC68-'BOULEVARD PPTO'!U63)</f>
        <v>0</v>
      </c>
      <c r="AA70" s="760">
        <f>IF(OR($A70="F&amp;F",$A70="CE",AA$7="No aplica"),0,'BOULEVARD 5'!AD68-'BOULEVARD PPTO'!V63)</f>
        <v>0</v>
      </c>
      <c r="AB70" s="760">
        <f>IF(OR($A70="F&amp;F",$A70="CE",AB$7="No aplica"),0,'BOULEVARD 5'!AE68-'BOULEVARD PPTO'!W63)</f>
        <v>0</v>
      </c>
      <c r="AC70" s="760">
        <f>IF(OR($A70="F&amp;F",$A70="CE",AC$7="No aplica"),0,'BOULEVARD 5'!AF68-'BOULEVARD PPTO'!X63)</f>
        <v>0</v>
      </c>
      <c r="AD70" s="760">
        <f>IF(OR($A70="F&amp;F",$A70="CE",AD$7="No aplica"),0,'BOULEVARD 5'!AG68-'BOULEVARD PPTO'!Y63)</f>
        <v>0</v>
      </c>
      <c r="AE70" s="760">
        <f>IF(OR($A70="F&amp;F",$A70="CE",AE$7="No aplica"),0,'BOULEVARD 5'!AH68-'BOULEVARD PPTO'!Z63)</f>
        <v>0</v>
      </c>
      <c r="AF70" s="760">
        <f>IF(OR($A70="F&amp;F",$A70="CE",AF$7="No aplica"),0,'BOULEVARD 5'!AI68-'BOULEVARD PPTO'!AA63)</f>
        <v>0</v>
      </c>
      <c r="AG70" s="760">
        <f>IF(OR($A70="F&amp;F",$A70="CE",AG$7="No aplica"),0,'BOULEVARD 5'!AJ68-'BOULEVARD PPTO'!AB63)</f>
        <v>0</v>
      </c>
      <c r="AH70" s="760">
        <f>IF(OR($A70="F&amp;F",$A70="CE",AH$7="No aplica"),0,'BOULEVARD 5'!AK68-'BOULEVARD PPTO'!AC63)</f>
        <v>0</v>
      </c>
      <c r="AI70" s="760">
        <f>IF(OR($A70="F&amp;F",$A70="CE",AI$7="No aplica"),0,'BOULEVARD 5'!AL68-'BOULEVARD PPTO'!AD63)</f>
        <v>0</v>
      </c>
      <c r="AJ70" s="760">
        <f>IF(OR($A70="F&amp;F",$A70="CE",AJ$7="No aplica"),0,'BOULEVARD 5'!AM68-'BOULEVARD PPTO'!AE63)</f>
        <v>0</v>
      </c>
      <c r="AK70" s="760">
        <f>IF(OR($A70="F&amp;F",$A70="CE",AK$7="No aplica"),0,'BOULEVARD 5'!AN68-'BOULEVARD PPTO'!AF63)</f>
        <v>0</v>
      </c>
      <c r="AL70" s="760">
        <f>IF(OR($A70="F&amp;F",$A70="CE",AL$7="No aplica"),0,'BOULEVARD 5'!AO68-'BOULEVARD PPTO'!AG63)</f>
        <v>0</v>
      </c>
      <c r="AM70" s="760">
        <f>IF(OR($A70="F&amp;F",$A70="CE",AM$7="No aplica"),0,'BOULEVARD 5'!AP68-'BOULEVARD PPTO'!AH63)</f>
        <v>0</v>
      </c>
      <c r="AN70" s="760">
        <f>IF(OR($A70="F&amp;F",$A70="CE",AN$7="No aplica"),0,'BOULEVARD 5'!AQ68-'BOULEVARD PPTO'!AI63)</f>
        <v>0</v>
      </c>
      <c r="AO70" s="760">
        <f>IF(OR($A70="F&amp;F",$A70="CE",AO$7="No aplica"),0,'BOULEVARD 5'!AS68-'BOULEVARD PPTO'!AJ63)</f>
        <v>0</v>
      </c>
      <c r="AP70" s="761">
        <f t="shared" si="7"/>
        <v>0</v>
      </c>
      <c r="AQ70" s="761">
        <f t="shared" si="8"/>
        <v>78148</v>
      </c>
      <c r="AR70" s="674">
        <f>IF(A70=0,'BOULEVARD 5'!BF68,0)</f>
        <v>0</v>
      </c>
      <c r="AS70" s="674">
        <f>IF(A70=0,'BOULEVARD 5'!BG68,0)</f>
        <v>0</v>
      </c>
      <c r="AT70" s="675" t="str">
        <f t="shared" si="4"/>
        <v>Vendido</v>
      </c>
      <c r="AU70" s="581" t="str">
        <f t="shared" si="11"/>
        <v/>
      </c>
      <c r="AV70" s="760">
        <f t="shared" si="10"/>
        <v>0</v>
      </c>
    </row>
    <row r="71" spans="1:48" s="581" customFormat="1" ht="12.4" customHeight="1" outlineLevel="1" x14ac:dyDescent="0.25">
      <c r="A71" s="703">
        <f>'BOULEVARD 5'!BQ69</f>
        <v>0</v>
      </c>
      <c r="B71" s="564">
        <v>413</v>
      </c>
      <c r="C71" s="564" t="s">
        <v>400</v>
      </c>
      <c r="D71" s="564"/>
      <c r="E71" s="564" t="str">
        <f>IF('BOULEVARD 5'!E69&lt;&gt;0,'BOULEVARD 5'!E69,"")</f>
        <v>Sofia Paredes</v>
      </c>
      <c r="F71" s="581" t="str">
        <f>IF('BOULEVARD 5'!F69&lt;&gt;0,'BOULEVARD 5'!F69,"")</f>
        <v>Cindy Carolina Toscano Merida</v>
      </c>
      <c r="G71" s="566">
        <f>IF('BOULEVARD 5'!G69="","",'BOULEVARD 5'!G69)</f>
        <v>45688</v>
      </c>
      <c r="H71" s="756">
        <f>IF(OR($A71="F&amp;F",$A71="CE",H$7="No aplica"),0,'BOULEVARD 5'!K69-'BOULEVARD PPTO'!C64)</f>
        <v>0</v>
      </c>
      <c r="I71" s="756">
        <f>IF(OR($A71="F&amp;F",$A71="CE",I$7="No aplica"),0,'BOULEVARD 5'!L69-'BOULEVARD PPTO'!D64)</f>
        <v>0</v>
      </c>
      <c r="J71" s="756">
        <f>IF(OR($A71="F&amp;F",$A71="CE",J$7="No aplica"),0,'BOULEVARD 5'!M69-'BOULEVARD PPTO'!E64)</f>
        <v>0</v>
      </c>
      <c r="K71" s="756">
        <f>IF(OR($A71="F&amp;F",$A71="CE",K$7="No aplica"),0,'BOULEVARD 5'!N69-'BOULEVARD PPTO'!F64)</f>
        <v>0</v>
      </c>
      <c r="L71" s="756">
        <f>IF(OR($A71="F&amp;F",$A71="CE",L$7="No aplica"),0,'BOULEVARD 5'!O69-'BOULEVARD PPTO'!G64)</f>
        <v>0</v>
      </c>
      <c r="M71" s="756">
        <f>IF(OR($A71="F&amp;F",$A71="CE",M$7="No aplica"),0,'BOULEVARD 5'!P69-'BOULEVARD PPTO'!H64)</f>
        <v>0</v>
      </c>
      <c r="N71" s="756">
        <f>IF(OR($A71="F&amp;F",$A71="CE",N$7="No aplica"),0,'BOULEVARD 5'!Q69-'BOULEVARD PPTO'!I64)</f>
        <v>0</v>
      </c>
      <c r="O71" s="756">
        <f>IF(OR($A71="F&amp;F",$A71="CE",O$7="No aplica"),0,'BOULEVARD 5'!R69-'BOULEVARD PPTO'!J64)</f>
        <v>0</v>
      </c>
      <c r="P71" s="756">
        <f>IF(OR($A71="F&amp;F",$A71="CE",P$7="No aplica"),0,'BOULEVARD 5'!S69-'BOULEVARD PPTO'!K64)</f>
        <v>0</v>
      </c>
      <c r="Q71" s="760">
        <f>IF(OR($A71="F&amp;F",$A71="CE",Q$7="No aplica"),0,'BOULEVARD 5'!T69-'BOULEVARD PPTO'!L64)</f>
        <v>0</v>
      </c>
      <c r="R71" s="760">
        <f>IF(OR($A71="F&amp;F",$A71="CE",R$7="No aplica"),0,'BOULEVARD 5'!U69-'BOULEVARD PPTO'!M64)</f>
        <v>0</v>
      </c>
      <c r="S71" s="760">
        <f>IF(OR($A71="F&amp;F",$A71="CE",S$7="No aplica"),0,'BOULEVARD 5'!V69-'BOULEVARD PPTO'!N64)</f>
        <v>0</v>
      </c>
      <c r="T71" s="760">
        <f>IF(OR($A71="F&amp;F",$A71="CE",T$7="No aplica"),0,'BOULEVARD 5'!W69-'BOULEVARD PPTO'!O64)</f>
        <v>0</v>
      </c>
      <c r="U71" s="760">
        <f>IF(OR($A71="F&amp;F",$A71="CE",U$7="No aplica"),0,'BOULEVARD 5'!X69-'BOULEVARD PPTO'!P64)</f>
        <v>0</v>
      </c>
      <c r="V71" s="760">
        <f>IF(OR($A71="F&amp;F",$A71="CE",V$7="No aplica"),0,'BOULEVARD 5'!Y69-'BOULEVARD PPTO'!Q64)</f>
        <v>0</v>
      </c>
      <c r="W71" s="760">
        <f>IF(OR($A71="F&amp;F",$A71="CE",W$7="No aplica"),0,'BOULEVARD 5'!Z69-'BOULEVARD PPTO'!R64)</f>
        <v>0</v>
      </c>
      <c r="X71" s="760">
        <f>IF(OR($A71="F&amp;F",$A71="CE",X$7="No aplica"),0,'BOULEVARD 5'!AA69-'BOULEVARD PPTO'!S64)</f>
        <v>0</v>
      </c>
      <c r="Y71" s="760">
        <f>IF(OR($A71="F&amp;F",$A71="CE",Y$7="No aplica"),0,'BOULEVARD 5'!AB69-'BOULEVARD PPTO'!T64)</f>
        <v>0</v>
      </c>
      <c r="Z71" s="760">
        <f>IF(OR($A71="F&amp;F",$A71="CE",Z$7="No aplica"),0,'BOULEVARD 5'!AC69-'BOULEVARD PPTO'!U64)</f>
        <v>0</v>
      </c>
      <c r="AA71" s="760">
        <f>IF(OR($A71="F&amp;F",$A71="CE",AA$7="No aplica"),0,'BOULEVARD 5'!AD69-'BOULEVARD PPTO'!V64)</f>
        <v>0</v>
      </c>
      <c r="AB71" s="760">
        <f>IF(OR($A71="F&amp;F",$A71="CE",AB$7="No aplica"),0,'BOULEVARD 5'!AE69-'BOULEVARD PPTO'!W64)</f>
        <v>0</v>
      </c>
      <c r="AC71" s="760">
        <f>IF(OR($A71="F&amp;F",$A71="CE",AC$7="No aplica"),0,'BOULEVARD 5'!AF69-'BOULEVARD PPTO'!X64)</f>
        <v>0</v>
      </c>
      <c r="AD71" s="760">
        <f>IF(OR($A71="F&amp;F",$A71="CE",AD$7="No aplica"),0,'BOULEVARD 5'!AG69-'BOULEVARD PPTO'!Y64)</f>
        <v>0</v>
      </c>
      <c r="AE71" s="760">
        <f>IF(OR($A71="F&amp;F",$A71="CE",AE$7="No aplica"),0,'BOULEVARD 5'!AH69-'BOULEVARD PPTO'!Z64)</f>
        <v>0</v>
      </c>
      <c r="AF71" s="760">
        <f>IF(OR($A71="F&amp;F",$A71="CE",AF$7="No aplica"),0,'BOULEVARD 5'!AI69-'BOULEVARD PPTO'!AA64)</f>
        <v>0</v>
      </c>
      <c r="AG71" s="760">
        <f>IF(OR($A71="F&amp;F",$A71="CE",AG$7="No aplica"),0,'BOULEVARD 5'!AJ69-'BOULEVARD PPTO'!AB64)</f>
        <v>0</v>
      </c>
      <c r="AH71" s="760">
        <f>IF(OR($A71="F&amp;F",$A71="CE",AH$7="No aplica"),0,'BOULEVARD 5'!AK69-'BOULEVARD PPTO'!AC64)</f>
        <v>0</v>
      </c>
      <c r="AI71" s="760">
        <f>IF(OR($A71="F&amp;F",$A71="CE",AI$7="No aplica"),0,'BOULEVARD 5'!AL69-'BOULEVARD PPTO'!AD64)</f>
        <v>0</v>
      </c>
      <c r="AJ71" s="760">
        <f>IF(OR($A71="F&amp;F",$A71="CE",AJ$7="No aplica"),0,'BOULEVARD 5'!AM69-'BOULEVARD PPTO'!AE64)</f>
        <v>0</v>
      </c>
      <c r="AK71" s="760">
        <f>IF(OR($A71="F&amp;F",$A71="CE",AK$7="No aplica"),0,'BOULEVARD 5'!AN69-'BOULEVARD PPTO'!AF64)</f>
        <v>0</v>
      </c>
      <c r="AL71" s="760">
        <f>IF(OR($A71="F&amp;F",$A71="CE",AL$7="No aplica"),0,'BOULEVARD 5'!AO69-'BOULEVARD PPTO'!AG64)</f>
        <v>0</v>
      </c>
      <c r="AM71" s="760">
        <f>IF(OR($A71="F&amp;F",$A71="CE",AM$7="No aplica"),0,'BOULEVARD 5'!AP69-'BOULEVARD PPTO'!AH64)</f>
        <v>0</v>
      </c>
      <c r="AN71" s="760">
        <f>IF(OR($A71="F&amp;F",$A71="CE",AN$7="No aplica"),0,'BOULEVARD 5'!AQ69-'BOULEVARD PPTO'!AI64)</f>
        <v>0</v>
      </c>
      <c r="AO71" s="760">
        <f>IF(OR($A71="F&amp;F",$A71="CE",AO$7="No aplica"),0,'BOULEVARD 5'!AS69-'BOULEVARD PPTO'!AJ64)</f>
        <v>0</v>
      </c>
      <c r="AP71" s="761">
        <f t="shared" si="7"/>
        <v>0</v>
      </c>
      <c r="AQ71" s="761">
        <f t="shared" si="8"/>
        <v>-24090.429999999993</v>
      </c>
      <c r="AR71" s="674">
        <f>IF(A71=0,'BOULEVARD 5'!BF69,0)</f>
        <v>10000</v>
      </c>
      <c r="AS71" s="674">
        <f>IF(A71=0,'BOULEVARD 5'!BG69,0)</f>
        <v>6022</v>
      </c>
      <c r="AT71" s="675" t="str">
        <f t="shared" si="4"/>
        <v>Vendido</v>
      </c>
      <c r="AU71" s="581" t="str">
        <f t="shared" si="11"/>
        <v/>
      </c>
      <c r="AV71" s="760">
        <f t="shared" si="10"/>
        <v>0</v>
      </c>
    </row>
    <row r="72" spans="1:48" s="581" customFormat="1" ht="12.4" customHeight="1" outlineLevel="1" x14ac:dyDescent="0.25">
      <c r="A72" s="703">
        <f>'BOULEVARD 5'!BQ70</f>
        <v>0</v>
      </c>
      <c r="B72" s="564">
        <v>414</v>
      </c>
      <c r="C72" s="564" t="s">
        <v>175</v>
      </c>
      <c r="D72" s="564"/>
      <c r="E72" s="564" t="str">
        <f>IF('BOULEVARD 5'!E70&lt;&gt;0,'BOULEVARD 5'!E70,"")</f>
        <v>Antonio Rada</v>
      </c>
      <c r="F72" s="581" t="str">
        <f>IF('BOULEVARD 5'!F70&lt;&gt;0,'BOULEVARD 5'!F70,"")</f>
        <v>Carolina Rivas Le Sage De Alonzo</v>
      </c>
      <c r="G72" s="566">
        <f>IF('BOULEVARD 5'!G70="","",'BOULEVARD 5'!G70)</f>
        <v>45439</v>
      </c>
      <c r="H72" s="756">
        <f>IF(OR($A72="F&amp;F",$A72="CE",H$7="No aplica"),0,'BOULEVARD 5'!K70-'BOULEVARD PPTO'!C65)</f>
        <v>0</v>
      </c>
      <c r="I72" s="756">
        <f>IF(OR($A72="F&amp;F",$A72="CE",I$7="No aplica"),0,'BOULEVARD 5'!L70-'BOULEVARD PPTO'!D65)</f>
        <v>0</v>
      </c>
      <c r="J72" s="756">
        <f>IF(OR($A72="F&amp;F",$A72="CE",J$7="No aplica"),0,'BOULEVARD 5'!M70-'BOULEVARD PPTO'!E65)</f>
        <v>0</v>
      </c>
      <c r="K72" s="756">
        <f>IF(OR($A72="F&amp;F",$A72="CE",K$7="No aplica"),0,'BOULEVARD 5'!N70-'BOULEVARD PPTO'!F65)</f>
        <v>0</v>
      </c>
      <c r="L72" s="756">
        <f>IF(OR($A72="F&amp;F",$A72="CE",L$7="No aplica"),0,'BOULEVARD 5'!O70-'BOULEVARD PPTO'!G65)</f>
        <v>0</v>
      </c>
      <c r="M72" s="756">
        <f>IF(OR($A72="F&amp;F",$A72="CE",M$7="No aplica"),0,'BOULEVARD 5'!P70-'BOULEVARD PPTO'!H65)</f>
        <v>0</v>
      </c>
      <c r="N72" s="756">
        <f>IF(OR($A72="F&amp;F",$A72="CE",N$7="No aplica"),0,'BOULEVARD 5'!Q70-'BOULEVARD PPTO'!I65)</f>
        <v>0</v>
      </c>
      <c r="O72" s="756">
        <f>IF(OR($A72="F&amp;F",$A72="CE",O$7="No aplica"),0,'BOULEVARD 5'!R70-'BOULEVARD PPTO'!J65)</f>
        <v>0</v>
      </c>
      <c r="P72" s="756">
        <f>IF(OR($A72="F&amp;F",$A72="CE",P$7="No aplica"),0,'BOULEVARD 5'!S70-'BOULEVARD PPTO'!K65)</f>
        <v>0</v>
      </c>
      <c r="Q72" s="760">
        <f>IF(OR($A72="F&amp;F",$A72="CE",Q$7="No aplica"),0,'BOULEVARD 5'!T70-'BOULEVARD PPTO'!L65)</f>
        <v>0</v>
      </c>
      <c r="R72" s="760">
        <f>IF(OR($A72="F&amp;F",$A72="CE",R$7="No aplica"),0,'BOULEVARD 5'!U70-'BOULEVARD PPTO'!M65)</f>
        <v>0</v>
      </c>
      <c r="S72" s="760">
        <f>IF(OR($A72="F&amp;F",$A72="CE",S$7="No aplica"),0,'BOULEVARD 5'!V70-'BOULEVARD PPTO'!N65)</f>
        <v>0</v>
      </c>
      <c r="T72" s="760">
        <f>IF(OR($A72="F&amp;F",$A72="CE",T$7="No aplica"),0,'BOULEVARD 5'!W70-'BOULEVARD PPTO'!O65)</f>
        <v>0</v>
      </c>
      <c r="U72" s="760">
        <f>IF(OR($A72="F&amp;F",$A72="CE",U$7="No aplica"),0,'BOULEVARD 5'!X70-'BOULEVARD PPTO'!P65)</f>
        <v>0</v>
      </c>
      <c r="V72" s="760">
        <f>IF(OR($A72="F&amp;F",$A72="CE",V$7="No aplica"),0,'BOULEVARD 5'!Y70-'BOULEVARD PPTO'!Q65)</f>
        <v>0</v>
      </c>
      <c r="W72" s="760">
        <f>IF(OR($A72="F&amp;F",$A72="CE",W$7="No aplica"),0,'BOULEVARD 5'!Z70-'BOULEVARD PPTO'!R65)</f>
        <v>0</v>
      </c>
      <c r="X72" s="760">
        <f>IF(OR($A72="F&amp;F",$A72="CE",X$7="No aplica"),0,'BOULEVARD 5'!AA70-'BOULEVARD PPTO'!S65)</f>
        <v>0</v>
      </c>
      <c r="Y72" s="760">
        <f>IF(OR($A72="F&amp;F",$A72="CE",Y$7="No aplica"),0,'BOULEVARD 5'!AB70-'BOULEVARD PPTO'!T65)</f>
        <v>0</v>
      </c>
      <c r="Z72" s="760">
        <f>IF(OR($A72="F&amp;F",$A72="CE",Z$7="No aplica"),0,'BOULEVARD 5'!AC70-'BOULEVARD PPTO'!U65)</f>
        <v>0</v>
      </c>
      <c r="AA72" s="760">
        <f>IF(OR($A72="F&amp;F",$A72="CE",AA$7="No aplica"),0,'BOULEVARD 5'!AD70-'BOULEVARD PPTO'!V65)</f>
        <v>0</v>
      </c>
      <c r="AB72" s="760">
        <f>IF(OR($A72="F&amp;F",$A72="CE",AB$7="No aplica"),0,'BOULEVARD 5'!AE70-'BOULEVARD PPTO'!W65)</f>
        <v>0</v>
      </c>
      <c r="AC72" s="760">
        <f>IF(OR($A72="F&amp;F",$A72="CE",AC$7="No aplica"),0,'BOULEVARD 5'!AF70-'BOULEVARD PPTO'!X65)</f>
        <v>0</v>
      </c>
      <c r="AD72" s="760">
        <f>IF(OR($A72="F&amp;F",$A72="CE",AD$7="No aplica"),0,'BOULEVARD 5'!AG70-'BOULEVARD PPTO'!Y65)</f>
        <v>0</v>
      </c>
      <c r="AE72" s="760">
        <f>IF(OR($A72="F&amp;F",$A72="CE",AE$7="No aplica"),0,'BOULEVARD 5'!AH70-'BOULEVARD PPTO'!Z65)</f>
        <v>0</v>
      </c>
      <c r="AF72" s="760">
        <f>IF(OR($A72="F&amp;F",$A72="CE",AF$7="No aplica"),0,'BOULEVARD 5'!AI70-'BOULEVARD PPTO'!AA65)</f>
        <v>0</v>
      </c>
      <c r="AG72" s="760">
        <f>IF(OR($A72="F&amp;F",$A72="CE",AG$7="No aplica"),0,'BOULEVARD 5'!AJ70-'BOULEVARD PPTO'!AB65)</f>
        <v>0</v>
      </c>
      <c r="AH72" s="760">
        <f>IF(OR($A72="F&amp;F",$A72="CE",AH$7="No aplica"),0,'BOULEVARD 5'!AK70-'BOULEVARD PPTO'!AC65)</f>
        <v>0</v>
      </c>
      <c r="AI72" s="760">
        <f>IF(OR($A72="F&amp;F",$A72="CE",AI$7="No aplica"),0,'BOULEVARD 5'!AL70-'BOULEVARD PPTO'!AD65)</f>
        <v>0</v>
      </c>
      <c r="AJ72" s="760">
        <f>IF(OR($A72="F&amp;F",$A72="CE",AJ$7="No aplica"),0,'BOULEVARD 5'!AM70-'BOULEVARD PPTO'!AE65)</f>
        <v>0</v>
      </c>
      <c r="AK72" s="760">
        <f>IF(OR($A72="F&amp;F",$A72="CE",AK$7="No aplica"),0,'BOULEVARD 5'!AN70-'BOULEVARD PPTO'!AF65)</f>
        <v>0</v>
      </c>
      <c r="AL72" s="760">
        <f>IF(OR($A72="F&amp;F",$A72="CE",AL$7="No aplica"),0,'BOULEVARD 5'!AO70-'BOULEVARD PPTO'!AG65)</f>
        <v>0</v>
      </c>
      <c r="AM72" s="760">
        <f>IF(OR($A72="F&amp;F",$A72="CE",AM$7="No aplica"),0,'BOULEVARD 5'!AP70-'BOULEVARD PPTO'!AH65)</f>
        <v>0</v>
      </c>
      <c r="AN72" s="760">
        <f>IF(OR($A72="F&amp;F",$A72="CE",AN$7="No aplica"),0,'BOULEVARD 5'!AQ70-'BOULEVARD PPTO'!AI65)</f>
        <v>0</v>
      </c>
      <c r="AO72" s="760">
        <f>IF(OR($A72="F&amp;F",$A72="CE",AO$7="No aplica"),0,'BOULEVARD 5'!AS70-'BOULEVARD PPTO'!AJ65)</f>
        <v>0</v>
      </c>
      <c r="AP72" s="761">
        <f t="shared" si="7"/>
        <v>0</v>
      </c>
      <c r="AQ72" s="761">
        <f t="shared" si="8"/>
        <v>79993</v>
      </c>
      <c r="AR72" s="674">
        <f>IF(A72=0,'BOULEVARD 5'!BF70,0)</f>
        <v>10000</v>
      </c>
      <c r="AS72" s="674">
        <f>IF(A72=0,'BOULEVARD 5'!BG70,0)</f>
        <v>4147</v>
      </c>
      <c r="AT72" s="675" t="str">
        <f t="shared" si="4"/>
        <v>Vendido</v>
      </c>
      <c r="AU72" s="581" t="str">
        <f t="shared" si="11"/>
        <v/>
      </c>
      <c r="AV72" s="760">
        <f t="shared" si="10"/>
        <v>0</v>
      </c>
    </row>
    <row r="73" spans="1:48" s="581" customFormat="1" ht="12.4" customHeight="1" outlineLevel="1" x14ac:dyDescent="0.25">
      <c r="A73" s="703">
        <f>'BOULEVARD 5'!BQ71</f>
        <v>0</v>
      </c>
      <c r="B73" s="564">
        <v>415</v>
      </c>
      <c r="C73" s="564" t="s">
        <v>125</v>
      </c>
      <c r="D73" s="564"/>
      <c r="E73" s="564" t="str">
        <f>IF('BOULEVARD 5'!E71&lt;&gt;0,'BOULEVARD 5'!E71,"")</f>
        <v>Anahí Cisneros</v>
      </c>
      <c r="F73" s="581" t="str">
        <f>IF('BOULEVARD 5'!F71&lt;&gt;0,'BOULEVARD 5'!F71,"")</f>
        <v>Kevin Mario Andrés Leal Morales / Flor de María Herrera Reyes de Gil</v>
      </c>
      <c r="G73" s="566">
        <f>IF('BOULEVARD 5'!G71="","",'BOULEVARD 5'!G71)</f>
        <v>45818</v>
      </c>
      <c r="H73" s="756">
        <f>IF(OR($A73="F&amp;F",$A73="CE",H$7="No aplica"),0,'BOULEVARD 5'!K71-'BOULEVARD PPTO'!C66)</f>
        <v>0</v>
      </c>
      <c r="I73" s="756">
        <f>IF(OR($A73="F&amp;F",$A73="CE",I$7="No aplica"),0,'BOULEVARD 5'!L71-'BOULEVARD PPTO'!D66)</f>
        <v>0</v>
      </c>
      <c r="J73" s="756">
        <f>IF(OR($A73="F&amp;F",$A73="CE",J$7="No aplica"),0,'BOULEVARD 5'!M71-'BOULEVARD PPTO'!E66)</f>
        <v>0</v>
      </c>
      <c r="K73" s="756">
        <f>IF(OR($A73="F&amp;F",$A73="CE",K$7="No aplica"),0,'BOULEVARD 5'!N71-'BOULEVARD PPTO'!F66)</f>
        <v>0</v>
      </c>
      <c r="L73" s="756">
        <f>IF(OR($A73="F&amp;F",$A73="CE",L$7="No aplica"),0,'BOULEVARD 5'!O71-'BOULEVARD PPTO'!G66)</f>
        <v>0</v>
      </c>
      <c r="M73" s="756">
        <f>IF(OR($A73="F&amp;F",$A73="CE",M$7="No aplica"),0,'BOULEVARD 5'!P71-'BOULEVARD PPTO'!H66)</f>
        <v>0</v>
      </c>
      <c r="N73" s="756">
        <f>IF(OR($A73="F&amp;F",$A73="CE",N$7="No aplica"),0,'BOULEVARD 5'!Q71-'BOULEVARD PPTO'!I66)</f>
        <v>0</v>
      </c>
      <c r="O73" s="756">
        <f>IF(OR($A73="F&amp;F",$A73="CE",O$7="No aplica"),0,'BOULEVARD 5'!R71-'BOULEVARD PPTO'!J66)</f>
        <v>0</v>
      </c>
      <c r="P73" s="756">
        <f>IF(OR($A73="F&amp;F",$A73="CE",P$7="No aplica"),0,'BOULEVARD 5'!S71-'BOULEVARD PPTO'!K66)</f>
        <v>0</v>
      </c>
      <c r="Q73" s="760">
        <f>IF(OR($A73="F&amp;F",$A73="CE",Q$7="No aplica"),0,'BOULEVARD 5'!T71-'BOULEVARD PPTO'!L66)</f>
        <v>0</v>
      </c>
      <c r="R73" s="760">
        <f>IF(OR($A73="F&amp;F",$A73="CE",R$7="No aplica"),0,'BOULEVARD 5'!U71-'BOULEVARD PPTO'!M66)</f>
        <v>0</v>
      </c>
      <c r="S73" s="760">
        <f>IF(OR($A73="F&amp;F",$A73="CE",S$7="No aplica"),0,'BOULEVARD 5'!V71-'BOULEVARD PPTO'!N66)</f>
        <v>0</v>
      </c>
      <c r="T73" s="760">
        <f>IF(OR($A73="F&amp;F",$A73="CE",T$7="No aplica"),0,'BOULEVARD 5'!W71-'BOULEVARD PPTO'!O66)</f>
        <v>0</v>
      </c>
      <c r="U73" s="760">
        <f>IF(OR($A73="F&amp;F",$A73="CE",U$7="No aplica"),0,'BOULEVARD 5'!X71-'BOULEVARD PPTO'!P66)</f>
        <v>0</v>
      </c>
      <c r="V73" s="760">
        <f>IF(OR($A73="F&amp;F",$A73="CE",V$7="No aplica"),0,'BOULEVARD 5'!Y71-'BOULEVARD PPTO'!Q66)</f>
        <v>0</v>
      </c>
      <c r="W73" s="760">
        <f>IF(OR($A73="F&amp;F",$A73="CE",W$7="No aplica"),0,'BOULEVARD 5'!Z71-'BOULEVARD PPTO'!R66)</f>
        <v>0</v>
      </c>
      <c r="X73" s="760">
        <f>IF(OR($A73="F&amp;F",$A73="CE",X$7="No aplica"),0,'BOULEVARD 5'!AA71-'BOULEVARD PPTO'!S66)</f>
        <v>0</v>
      </c>
      <c r="Y73" s="760">
        <f>IF(OR($A73="F&amp;F",$A73="CE",Y$7="No aplica"),0,'BOULEVARD 5'!AB71-'BOULEVARD PPTO'!T66)</f>
        <v>0</v>
      </c>
      <c r="Z73" s="760">
        <f>IF(OR($A73="F&amp;F",$A73="CE",Z$7="No aplica"),0,'BOULEVARD 5'!AC71-'BOULEVARD PPTO'!U66)</f>
        <v>0</v>
      </c>
      <c r="AA73" s="760">
        <f>IF(OR($A73="F&amp;F",$A73="CE",AA$7="No aplica"),0,'BOULEVARD 5'!AD71-'BOULEVARD PPTO'!V66)</f>
        <v>0</v>
      </c>
      <c r="AB73" s="760">
        <f>IF(OR($A73="F&amp;F",$A73="CE",AB$7="No aplica"),0,'BOULEVARD 5'!AE71-'BOULEVARD PPTO'!W66)</f>
        <v>0</v>
      </c>
      <c r="AC73" s="760">
        <f>IF(OR($A73="F&amp;F",$A73="CE",AC$7="No aplica"),0,'BOULEVARD 5'!AF71-'BOULEVARD PPTO'!X66)</f>
        <v>0</v>
      </c>
      <c r="AD73" s="760">
        <f>IF(OR($A73="F&amp;F",$A73="CE",AD$7="No aplica"),0,'BOULEVARD 5'!AG71-'BOULEVARD PPTO'!Y66)</f>
        <v>0</v>
      </c>
      <c r="AE73" s="760">
        <f>IF(OR($A73="F&amp;F",$A73="CE",AE$7="No aplica"),0,'BOULEVARD 5'!AH71-'BOULEVARD PPTO'!Z66)</f>
        <v>0</v>
      </c>
      <c r="AF73" s="760">
        <f>IF(OR($A73="F&amp;F",$A73="CE",AF$7="No aplica"),0,'BOULEVARD 5'!AI71-'BOULEVARD PPTO'!AA66)</f>
        <v>0</v>
      </c>
      <c r="AG73" s="760">
        <f>IF(OR($A73="F&amp;F",$A73="CE",AG$7="No aplica"),0,'BOULEVARD 5'!AJ71-'BOULEVARD PPTO'!AB66)</f>
        <v>0</v>
      </c>
      <c r="AH73" s="760">
        <f>IF(OR($A73="F&amp;F",$A73="CE",AH$7="No aplica"),0,'BOULEVARD 5'!AK71-'BOULEVARD PPTO'!AC66)</f>
        <v>0</v>
      </c>
      <c r="AI73" s="760">
        <f>IF(OR($A73="F&amp;F",$A73="CE",AI$7="No aplica"),0,'BOULEVARD 5'!AL71-'BOULEVARD PPTO'!AD66)</f>
        <v>0</v>
      </c>
      <c r="AJ73" s="760">
        <f>IF(OR($A73="F&amp;F",$A73="CE",AJ$7="No aplica"),0,'BOULEVARD 5'!AM71-'BOULEVARD PPTO'!AE66)</f>
        <v>0</v>
      </c>
      <c r="AK73" s="760">
        <f>IF(OR($A73="F&amp;F",$A73="CE",AK$7="No aplica"),0,'BOULEVARD 5'!AN71-'BOULEVARD PPTO'!AF66)</f>
        <v>0</v>
      </c>
      <c r="AL73" s="760">
        <f>IF(OR($A73="F&amp;F",$A73="CE",AL$7="No aplica"),0,'BOULEVARD 5'!AO71-'BOULEVARD PPTO'!AG66)</f>
        <v>0</v>
      </c>
      <c r="AM73" s="760">
        <f>IF(OR($A73="F&amp;F",$A73="CE",AM$7="No aplica"),0,'BOULEVARD 5'!AP71-'BOULEVARD PPTO'!AH66)</f>
        <v>0</v>
      </c>
      <c r="AN73" s="760">
        <f>IF(OR($A73="F&amp;F",$A73="CE",AN$7="No aplica"),0,'BOULEVARD 5'!AQ71-'BOULEVARD PPTO'!AI66)</f>
        <v>0</v>
      </c>
      <c r="AO73" s="760">
        <f>IF(OR($A73="F&amp;F",$A73="CE",AO$7="No aplica"),0,'BOULEVARD 5'!AS71-'BOULEVARD PPTO'!AJ66)</f>
        <v>0</v>
      </c>
      <c r="AP73" s="761">
        <f t="shared" si="7"/>
        <v>0</v>
      </c>
      <c r="AQ73" s="761">
        <f t="shared" si="8"/>
        <v>-90218.97</v>
      </c>
      <c r="AR73" s="674">
        <f>IF(A73=0,'BOULEVARD 5'!BF71,0)</f>
        <v>15000</v>
      </c>
      <c r="AS73" s="674">
        <f>IF(A73=0,'BOULEVARD 5'!BG71,0)</f>
        <v>18044</v>
      </c>
      <c r="AT73" s="675" t="str">
        <f t="shared" ref="AT73:AT136" si="12">IF(G73="","No Vendido","Vendido")</f>
        <v>Vendido</v>
      </c>
      <c r="AU73" s="581" t="str">
        <f t="shared" si="11"/>
        <v/>
      </c>
      <c r="AV73" s="760">
        <f t="shared" si="10"/>
        <v>0</v>
      </c>
    </row>
    <row r="74" spans="1:48" s="586" customFormat="1" ht="12.4" customHeight="1" outlineLevel="1" x14ac:dyDescent="0.25">
      <c r="A74" s="703">
        <f>'BOULEVARD 5'!BQ72</f>
        <v>0</v>
      </c>
      <c r="B74" s="585">
        <v>416</v>
      </c>
      <c r="C74" s="585" t="s">
        <v>178</v>
      </c>
      <c r="D74" s="585"/>
      <c r="E74" s="585" t="str">
        <f>IF('BOULEVARD 5'!E72&lt;&gt;0,'BOULEVARD 5'!E72,"")</f>
        <v>Sofia Paredes</v>
      </c>
      <c r="F74" s="586" t="str">
        <f>IF('BOULEVARD 5'!F72&lt;&gt;0,'BOULEVARD 5'!F72,"")</f>
        <v xml:space="preserve">Carlos Humberto Rivera Carrillo </v>
      </c>
      <c r="G74" s="566">
        <f>IF('BOULEVARD 5'!G72="","",'BOULEVARD 5'!G72)</f>
        <v>45695</v>
      </c>
      <c r="H74" s="756">
        <f>IF(OR($A74="F&amp;F",$A74="CE",H$7="No aplica"),0,'BOULEVARD 5'!K72-'BOULEVARD PPTO'!C67)</f>
        <v>0</v>
      </c>
      <c r="I74" s="756">
        <f>IF(OR($A74="F&amp;F",$A74="CE",I$7="No aplica"),0,'BOULEVARD 5'!L72-'BOULEVARD PPTO'!D67)</f>
        <v>0</v>
      </c>
      <c r="J74" s="756">
        <f>IF(OR($A74="F&amp;F",$A74="CE",J$7="No aplica"),0,'BOULEVARD 5'!M72-'BOULEVARD PPTO'!E67)</f>
        <v>0</v>
      </c>
      <c r="K74" s="756">
        <f>IF(OR($A74="F&amp;F",$A74="CE",K$7="No aplica"),0,'BOULEVARD 5'!N72-'BOULEVARD PPTO'!F67)</f>
        <v>0</v>
      </c>
      <c r="L74" s="756">
        <f>IF(OR($A74="F&amp;F",$A74="CE",L$7="No aplica"),0,'BOULEVARD 5'!O72-'BOULEVARD PPTO'!G67)</f>
        <v>0</v>
      </c>
      <c r="M74" s="756">
        <f>IF(OR($A74="F&amp;F",$A74="CE",M$7="No aplica"),0,'BOULEVARD 5'!P72-'BOULEVARD PPTO'!H67)</f>
        <v>0</v>
      </c>
      <c r="N74" s="756">
        <f>IF(OR($A74="F&amp;F",$A74="CE",N$7="No aplica"),0,'BOULEVARD 5'!Q72-'BOULEVARD PPTO'!I67)</f>
        <v>0</v>
      </c>
      <c r="O74" s="756">
        <f>IF(OR($A74="F&amp;F",$A74="CE",O$7="No aplica"),0,'BOULEVARD 5'!R72-'BOULEVARD PPTO'!J67)</f>
        <v>0</v>
      </c>
      <c r="P74" s="756">
        <f>IF(OR($A74="F&amp;F",$A74="CE",P$7="No aplica"),0,'BOULEVARD 5'!S72-'BOULEVARD PPTO'!K67)</f>
        <v>0</v>
      </c>
      <c r="Q74" s="760">
        <f>IF(OR($A74="F&amp;F",$A74="CE",Q$7="No aplica"),0,'BOULEVARD 5'!T72-'BOULEVARD PPTO'!L67)</f>
        <v>0</v>
      </c>
      <c r="R74" s="760">
        <f>IF(OR($A74="F&amp;F",$A74="CE",R$7="No aplica"),0,'BOULEVARD 5'!U72-'BOULEVARD PPTO'!M67)</f>
        <v>0</v>
      </c>
      <c r="S74" s="760">
        <f>IF(OR($A74="F&amp;F",$A74="CE",S$7="No aplica"),0,'BOULEVARD 5'!V72-'BOULEVARD PPTO'!N67)</f>
        <v>0</v>
      </c>
      <c r="T74" s="760">
        <f>IF(OR($A74="F&amp;F",$A74="CE",T$7="No aplica"),0,'BOULEVARD 5'!W72-'BOULEVARD PPTO'!O67)</f>
        <v>0</v>
      </c>
      <c r="U74" s="760">
        <f>IF(OR($A74="F&amp;F",$A74="CE",U$7="No aplica"),0,'BOULEVARD 5'!X72-'BOULEVARD PPTO'!P67)</f>
        <v>0</v>
      </c>
      <c r="V74" s="760">
        <f>IF(OR($A74="F&amp;F",$A74="CE",V$7="No aplica"),0,'BOULEVARD 5'!Y72-'BOULEVARD PPTO'!Q67)</f>
        <v>0</v>
      </c>
      <c r="W74" s="760">
        <f>IF(OR($A74="F&amp;F",$A74="CE",W$7="No aplica"),0,'BOULEVARD 5'!Z72-'BOULEVARD PPTO'!R67)</f>
        <v>0</v>
      </c>
      <c r="X74" s="760">
        <f>IF(OR($A74="F&amp;F",$A74="CE",X$7="No aplica"),0,'BOULEVARD 5'!AA72-'BOULEVARD PPTO'!S67)</f>
        <v>0</v>
      </c>
      <c r="Y74" s="760">
        <f>IF(OR($A74="F&amp;F",$A74="CE",Y$7="No aplica"),0,'BOULEVARD 5'!AB72-'BOULEVARD PPTO'!T67)</f>
        <v>0</v>
      </c>
      <c r="Z74" s="760">
        <f>IF(OR($A74="F&amp;F",$A74="CE",Z$7="No aplica"),0,'BOULEVARD 5'!AC72-'BOULEVARD PPTO'!U67)</f>
        <v>0</v>
      </c>
      <c r="AA74" s="760">
        <f>IF(OR($A74="F&amp;F",$A74="CE",AA$7="No aplica"),0,'BOULEVARD 5'!AD72-'BOULEVARD PPTO'!V67)</f>
        <v>0</v>
      </c>
      <c r="AB74" s="760">
        <f>IF(OR($A74="F&amp;F",$A74="CE",AB$7="No aplica"),0,'BOULEVARD 5'!AE72-'BOULEVARD PPTO'!W67)</f>
        <v>0</v>
      </c>
      <c r="AC74" s="760">
        <f>IF(OR($A74="F&amp;F",$A74="CE",AC$7="No aplica"),0,'BOULEVARD 5'!AF72-'BOULEVARD PPTO'!X67)</f>
        <v>0</v>
      </c>
      <c r="AD74" s="760">
        <f>IF(OR($A74="F&amp;F",$A74="CE",AD$7="No aplica"),0,'BOULEVARD 5'!AG72-'BOULEVARD PPTO'!Y67)</f>
        <v>0</v>
      </c>
      <c r="AE74" s="760">
        <f>IF(OR($A74="F&amp;F",$A74="CE",AE$7="No aplica"),0,'BOULEVARD 5'!AH72-'BOULEVARD PPTO'!Z67)</f>
        <v>0</v>
      </c>
      <c r="AF74" s="760">
        <f>IF(OR($A74="F&amp;F",$A74="CE",AF$7="No aplica"),0,'BOULEVARD 5'!AI72-'BOULEVARD PPTO'!AA67)</f>
        <v>-4371</v>
      </c>
      <c r="AG74" s="760">
        <f>IF(OR($A74="F&amp;F",$A74="CE",AG$7="No aplica"),0,'BOULEVARD 5'!AJ72-'BOULEVARD PPTO'!AB67)</f>
        <v>7168.7199999999993</v>
      </c>
      <c r="AH74" s="760">
        <f>IF(OR($A74="F&amp;F",$A74="CE",AH$7="No aplica"),0,'BOULEVARD 5'!AK72-'BOULEVARD PPTO'!AC67)</f>
        <v>629</v>
      </c>
      <c r="AI74" s="760">
        <f>IF(OR($A74="F&amp;F",$A74="CE",AI$7="No aplica"),0,'BOULEVARD 5'!AL72-'BOULEVARD PPTO'!AD67)</f>
        <v>-4371</v>
      </c>
      <c r="AJ74" s="760">
        <f>IF(OR($A74="F&amp;F",$A74="CE",AJ$7="No aplica"),0,'BOULEVARD 5'!AM72-'BOULEVARD PPTO'!AE67)</f>
        <v>5629</v>
      </c>
      <c r="AK74" s="760">
        <f>IF(OR($A74="F&amp;F",$A74="CE",AK$7="No aplica"),0,'BOULEVARD 5'!AN72-'BOULEVARD PPTO'!AF67)</f>
        <v>-4371</v>
      </c>
      <c r="AL74" s="760">
        <f>IF(OR($A74="F&amp;F",$A74="CE",AL$7="No aplica"),0,'BOULEVARD 5'!AO72-'BOULEVARD PPTO'!AG67)</f>
        <v>629</v>
      </c>
      <c r="AM74" s="760">
        <f>IF(OR($A74="F&amp;F",$A74="CE",AM$7="No aplica"),0,'BOULEVARD 5'!AP72-'BOULEVARD PPTO'!AH67)</f>
        <v>629</v>
      </c>
      <c r="AN74" s="760">
        <f>IF(OR($A74="F&amp;F",$A74="CE",AN$7="No aplica"),0,'BOULEVARD 5'!AQ72-'BOULEVARD PPTO'!AI67)</f>
        <v>0</v>
      </c>
      <c r="AO74" s="760">
        <f>IF(OR($A74="F&amp;F",$A74="CE",AO$7="No aplica"),0,'BOULEVARD 5'!AS72-'BOULEVARD PPTO'!AJ67)</f>
        <v>0</v>
      </c>
      <c r="AP74" s="761">
        <f t="shared" ref="AP74:AP137" si="13">SUBTOTAL(9,H74:AO74)</f>
        <v>1571.7199999999993</v>
      </c>
      <c r="AQ74" s="761">
        <f t="shared" ref="AQ74:AQ137" si="14">IF(OR(A74="F&amp;F",A74="CE"),0,AQ379-AP379)</f>
        <v>-23391.459999999992</v>
      </c>
      <c r="AR74" s="674">
        <f>IF(A74=0,'BOULEVARD 5'!BF72,0)</f>
        <v>10000</v>
      </c>
      <c r="AS74" s="674">
        <f>IF(A74=0,'BOULEVARD 5'!BG72,0)</f>
        <v>4371</v>
      </c>
      <c r="AT74" s="675" t="str">
        <f t="shared" si="12"/>
        <v>Vendido</v>
      </c>
      <c r="AU74" s="581" t="str">
        <f t="shared" si="11"/>
        <v>A FAVOR DEL CLIENTE</v>
      </c>
      <c r="AV74" s="760">
        <f t="shared" ref="AV74:AV137" si="15">IF(_xlfn.XLOOKUP($G$5,$Q$8:$AO$8,$Q74:$AO74)&gt;0,_xlfn.XLOOKUP($G$5,$Q$8:$AO$8,$Q74:$AO74),0)</f>
        <v>629</v>
      </c>
    </row>
    <row r="75" spans="1:48" s="581" customFormat="1" ht="12.4" customHeight="1" outlineLevel="1" x14ac:dyDescent="0.25">
      <c r="A75" s="703">
        <f>'BOULEVARD 5'!BQ73</f>
        <v>0</v>
      </c>
      <c r="B75" s="564">
        <v>417</v>
      </c>
      <c r="C75" s="564" t="s">
        <v>406</v>
      </c>
      <c r="D75" s="564"/>
      <c r="E75" s="564" t="str">
        <f>IF('BOULEVARD 5'!E73&lt;&gt;0,'BOULEVARD 5'!E73,"")</f>
        <v>Antonio Rada</v>
      </c>
      <c r="F75" s="581" t="str">
        <f>IF('BOULEVARD 5'!F73&lt;&gt;0,'BOULEVARD 5'!F73,"")</f>
        <v>Miguel Angel Flores Linares</v>
      </c>
      <c r="G75" s="566">
        <f>IF('BOULEVARD 5'!G73="","",'BOULEVARD 5'!G73)</f>
        <v>45249</v>
      </c>
      <c r="H75" s="756">
        <f>IF(OR($A75="F&amp;F",$A75="CE",H$7="No aplica"),0,'BOULEVARD 5'!K73-'BOULEVARD PPTO'!C68)</f>
        <v>0</v>
      </c>
      <c r="I75" s="756">
        <f>IF(OR($A75="F&amp;F",$A75="CE",I$7="No aplica"),0,'BOULEVARD 5'!L73-'BOULEVARD PPTO'!D68)</f>
        <v>0</v>
      </c>
      <c r="J75" s="756">
        <f>IF(OR($A75="F&amp;F",$A75="CE",J$7="No aplica"),0,'BOULEVARD 5'!M73-'BOULEVARD PPTO'!E68)</f>
        <v>0</v>
      </c>
      <c r="K75" s="756">
        <f>IF(OR($A75="F&amp;F",$A75="CE",K$7="No aplica"),0,'BOULEVARD 5'!N73-'BOULEVARD PPTO'!F68)</f>
        <v>0</v>
      </c>
      <c r="L75" s="756">
        <f>IF(OR($A75="F&amp;F",$A75="CE",L$7="No aplica"),0,'BOULEVARD 5'!O73-'BOULEVARD PPTO'!G68)</f>
        <v>0</v>
      </c>
      <c r="M75" s="756">
        <f>IF(OR($A75="F&amp;F",$A75="CE",M$7="No aplica"),0,'BOULEVARD 5'!P73-'BOULEVARD PPTO'!H68)</f>
        <v>0</v>
      </c>
      <c r="N75" s="756">
        <f>IF(OR($A75="F&amp;F",$A75="CE",N$7="No aplica"),0,'BOULEVARD 5'!Q73-'BOULEVARD PPTO'!I68)</f>
        <v>0</v>
      </c>
      <c r="O75" s="756">
        <f>IF(OR($A75="F&amp;F",$A75="CE",O$7="No aplica"),0,'BOULEVARD 5'!R73-'BOULEVARD PPTO'!J68)</f>
        <v>0</v>
      </c>
      <c r="P75" s="756">
        <f>IF(OR($A75="F&amp;F",$A75="CE",P$7="No aplica"),0,'BOULEVARD 5'!S73-'BOULEVARD PPTO'!K68)</f>
        <v>0</v>
      </c>
      <c r="Q75" s="760">
        <f>IF(OR($A75="F&amp;F",$A75="CE",Q$7="No aplica"),0,'BOULEVARD 5'!T73-'BOULEVARD PPTO'!L68)</f>
        <v>0</v>
      </c>
      <c r="R75" s="760">
        <f>IF(OR($A75="F&amp;F",$A75="CE",R$7="No aplica"),0,'BOULEVARD 5'!U73-'BOULEVARD PPTO'!M68)</f>
        <v>0</v>
      </c>
      <c r="S75" s="760">
        <f>IF(OR($A75="F&amp;F",$A75="CE",S$7="No aplica"),0,'BOULEVARD 5'!V73-'BOULEVARD PPTO'!N68)</f>
        <v>0</v>
      </c>
      <c r="T75" s="760">
        <f>IF(OR($A75="F&amp;F",$A75="CE",T$7="No aplica"),0,'BOULEVARD 5'!W73-'BOULEVARD PPTO'!O68)</f>
        <v>0</v>
      </c>
      <c r="U75" s="760">
        <f>IF(OR($A75="F&amp;F",$A75="CE",U$7="No aplica"),0,'BOULEVARD 5'!X73-'BOULEVARD PPTO'!P68)</f>
        <v>0</v>
      </c>
      <c r="V75" s="760">
        <f>IF(OR($A75="F&amp;F",$A75="CE",V$7="No aplica"),0,'BOULEVARD 5'!Y73-'BOULEVARD PPTO'!Q68)</f>
        <v>0</v>
      </c>
      <c r="W75" s="760">
        <f>IF(OR($A75="F&amp;F",$A75="CE",W$7="No aplica"),0,'BOULEVARD 5'!Z73-'BOULEVARD PPTO'!R68)</f>
        <v>0</v>
      </c>
      <c r="X75" s="760">
        <f>IF(OR($A75="F&amp;F",$A75="CE",X$7="No aplica"),0,'BOULEVARD 5'!AA73-'BOULEVARD PPTO'!S68)</f>
        <v>0</v>
      </c>
      <c r="Y75" s="760">
        <f>IF(OR($A75="F&amp;F",$A75="CE",Y$7="No aplica"),0,'BOULEVARD 5'!AB73-'BOULEVARD PPTO'!T68)</f>
        <v>0</v>
      </c>
      <c r="Z75" s="760">
        <f>IF(OR($A75="F&amp;F",$A75="CE",Z$7="No aplica"),0,'BOULEVARD 5'!AC73-'BOULEVARD PPTO'!U68)</f>
        <v>0</v>
      </c>
      <c r="AA75" s="760">
        <f>IF(OR($A75="F&amp;F",$A75="CE",AA$7="No aplica"),0,'BOULEVARD 5'!AD73-'BOULEVARD PPTO'!V68)</f>
        <v>0</v>
      </c>
      <c r="AB75" s="760">
        <f>IF(OR($A75="F&amp;F",$A75="CE",AB$7="No aplica"),0,'BOULEVARD 5'!AE73-'BOULEVARD PPTO'!W68)</f>
        <v>0</v>
      </c>
      <c r="AC75" s="760">
        <f>IF(OR($A75="F&amp;F",$A75="CE",AC$7="No aplica"),0,'BOULEVARD 5'!AF73-'BOULEVARD PPTO'!X68)</f>
        <v>0</v>
      </c>
      <c r="AD75" s="760">
        <f>IF(OR($A75="F&amp;F",$A75="CE",AD$7="No aplica"),0,'BOULEVARD 5'!AG73-'BOULEVARD PPTO'!Y68)</f>
        <v>0</v>
      </c>
      <c r="AE75" s="760">
        <f>IF(OR($A75="F&amp;F",$A75="CE",AE$7="No aplica"),0,'BOULEVARD 5'!AH73-'BOULEVARD PPTO'!Z68)</f>
        <v>0</v>
      </c>
      <c r="AF75" s="760">
        <f>IF(OR($A75="F&amp;F",$A75="CE",AF$7="No aplica"),0,'BOULEVARD 5'!AI73-'BOULEVARD PPTO'!AA68)</f>
        <v>0</v>
      </c>
      <c r="AG75" s="760">
        <f>IF(OR($A75="F&amp;F",$A75="CE",AG$7="No aplica"),0,'BOULEVARD 5'!AJ73-'BOULEVARD PPTO'!AB68)</f>
        <v>0</v>
      </c>
      <c r="AH75" s="760">
        <f>IF(OR($A75="F&amp;F",$A75="CE",AH$7="No aplica"),0,'BOULEVARD 5'!AK73-'BOULEVARD PPTO'!AC68)</f>
        <v>0</v>
      </c>
      <c r="AI75" s="760">
        <f>IF(OR($A75="F&amp;F",$A75="CE",AI$7="No aplica"),0,'BOULEVARD 5'!AL73-'BOULEVARD PPTO'!AD68)</f>
        <v>0</v>
      </c>
      <c r="AJ75" s="760">
        <f>IF(OR($A75="F&amp;F",$A75="CE",AJ$7="No aplica"),0,'BOULEVARD 5'!AM73-'BOULEVARD PPTO'!AE68)</f>
        <v>0</v>
      </c>
      <c r="AK75" s="760">
        <f>IF(OR($A75="F&amp;F",$A75="CE",AK$7="No aplica"),0,'BOULEVARD 5'!AN73-'BOULEVARD PPTO'!AF68)</f>
        <v>0</v>
      </c>
      <c r="AL75" s="760">
        <f>IF(OR($A75="F&amp;F",$A75="CE",AL$7="No aplica"),0,'BOULEVARD 5'!AO73-'BOULEVARD PPTO'!AG68)</f>
        <v>0</v>
      </c>
      <c r="AM75" s="760">
        <f>IF(OR($A75="F&amp;F",$A75="CE",AM$7="No aplica"),0,'BOULEVARD 5'!AP73-'BOULEVARD PPTO'!AH68)</f>
        <v>0</v>
      </c>
      <c r="AN75" s="760">
        <f>IF(OR($A75="F&amp;F",$A75="CE",AN$7="No aplica"),0,'BOULEVARD 5'!AQ73-'BOULEVARD PPTO'!AI68)</f>
        <v>0</v>
      </c>
      <c r="AO75" s="760">
        <f>IF(OR($A75="F&amp;F",$A75="CE",AO$7="No aplica"),0,'BOULEVARD 5'!AS73-'BOULEVARD PPTO'!AJ68)</f>
        <v>0</v>
      </c>
      <c r="AP75" s="761">
        <f t="shared" si="13"/>
        <v>0</v>
      </c>
      <c r="AQ75" s="761">
        <f t="shared" si="14"/>
        <v>0</v>
      </c>
      <c r="AR75" s="674">
        <f>IF(A75=0,'BOULEVARD 5'!BF73,0)</f>
        <v>5500</v>
      </c>
      <c r="AS75" s="674">
        <f>IF(A75=0,'BOULEVARD 5'!BG73,0)</f>
        <v>3031</v>
      </c>
      <c r="AT75" s="675" t="str">
        <f t="shared" si="12"/>
        <v>Vendido</v>
      </c>
      <c r="AU75" s="581" t="str">
        <f t="shared" si="11"/>
        <v/>
      </c>
      <c r="AV75" s="760">
        <f t="shared" si="15"/>
        <v>0</v>
      </c>
    </row>
    <row r="76" spans="1:48" s="581" customFormat="1" ht="12.4" customHeight="1" outlineLevel="1" x14ac:dyDescent="0.25">
      <c r="A76" s="703">
        <f>'BOULEVARD 5'!BQ74</f>
        <v>0</v>
      </c>
      <c r="B76" s="564">
        <v>418</v>
      </c>
      <c r="C76" s="564" t="s">
        <v>200</v>
      </c>
      <c r="D76" s="564"/>
      <c r="E76" s="564" t="str">
        <f>IF('BOULEVARD 5'!E74&lt;&gt;0,'BOULEVARD 5'!E74,"")</f>
        <v>Antonio Rada</v>
      </c>
      <c r="F76" s="581" t="str">
        <f>IF('BOULEVARD 5'!F74&lt;&gt;0,'BOULEVARD 5'!F74,"")</f>
        <v xml:space="preserve">Antonio Vicente Tzep Tahay </v>
      </c>
      <c r="G76" s="566">
        <f>IF('BOULEVARD 5'!G74="","",'BOULEVARD 5'!G74)</f>
        <v>45785</v>
      </c>
      <c r="H76" s="756">
        <f>IF(OR($A76="F&amp;F",$A76="CE",H$7="No aplica"),0,'BOULEVARD 5'!K74-'BOULEVARD PPTO'!C69)</f>
        <v>0</v>
      </c>
      <c r="I76" s="756">
        <f>IF(OR($A76="F&amp;F",$A76="CE",I$7="No aplica"),0,'BOULEVARD 5'!L74-'BOULEVARD PPTO'!D69)</f>
        <v>0</v>
      </c>
      <c r="J76" s="756">
        <f>IF(OR($A76="F&amp;F",$A76="CE",J$7="No aplica"),0,'BOULEVARD 5'!M74-'BOULEVARD PPTO'!E69)</f>
        <v>0</v>
      </c>
      <c r="K76" s="756">
        <f>IF(OR($A76="F&amp;F",$A76="CE",K$7="No aplica"),0,'BOULEVARD 5'!N74-'BOULEVARD PPTO'!F69)</f>
        <v>0</v>
      </c>
      <c r="L76" s="756">
        <f>IF(OR($A76="F&amp;F",$A76="CE",L$7="No aplica"),0,'BOULEVARD 5'!O74-'BOULEVARD PPTO'!G69)</f>
        <v>0</v>
      </c>
      <c r="M76" s="756">
        <f>IF(OR($A76="F&amp;F",$A76="CE",M$7="No aplica"),0,'BOULEVARD 5'!P74-'BOULEVARD PPTO'!H69)</f>
        <v>0</v>
      </c>
      <c r="N76" s="756">
        <f>IF(OR($A76="F&amp;F",$A76="CE",N$7="No aplica"),0,'BOULEVARD 5'!Q74-'BOULEVARD PPTO'!I69)</f>
        <v>0</v>
      </c>
      <c r="O76" s="756">
        <f>IF(OR($A76="F&amp;F",$A76="CE",O$7="No aplica"),0,'BOULEVARD 5'!R74-'BOULEVARD PPTO'!J69)</f>
        <v>0</v>
      </c>
      <c r="P76" s="756">
        <f>IF(OR($A76="F&amp;F",$A76="CE",P$7="No aplica"),0,'BOULEVARD 5'!S74-'BOULEVARD PPTO'!K69)</f>
        <v>0</v>
      </c>
      <c r="Q76" s="760">
        <f>IF(OR($A76="F&amp;F",$A76="CE",Q$7="No aplica"),0,'BOULEVARD 5'!T74-'BOULEVARD PPTO'!L69)</f>
        <v>0</v>
      </c>
      <c r="R76" s="760">
        <f>IF(OR($A76="F&amp;F",$A76="CE",R$7="No aplica"),0,'BOULEVARD 5'!U74-'BOULEVARD PPTO'!M69)</f>
        <v>0</v>
      </c>
      <c r="S76" s="760">
        <f>IF(OR($A76="F&amp;F",$A76="CE",S$7="No aplica"),0,'BOULEVARD 5'!V74-'BOULEVARD PPTO'!N69)</f>
        <v>0</v>
      </c>
      <c r="T76" s="760">
        <f>IF(OR($A76="F&amp;F",$A76="CE",T$7="No aplica"),0,'BOULEVARD 5'!W74-'BOULEVARD PPTO'!O69)</f>
        <v>0</v>
      </c>
      <c r="U76" s="760">
        <f>IF(OR($A76="F&amp;F",$A76="CE",U$7="No aplica"),0,'BOULEVARD 5'!X74-'BOULEVARD PPTO'!P69)</f>
        <v>0</v>
      </c>
      <c r="V76" s="760">
        <f>IF(OR($A76="F&amp;F",$A76="CE",V$7="No aplica"),0,'BOULEVARD 5'!Y74-'BOULEVARD PPTO'!Q69)</f>
        <v>0</v>
      </c>
      <c r="W76" s="760">
        <f>IF(OR($A76="F&amp;F",$A76="CE",W$7="No aplica"),0,'BOULEVARD 5'!Z74-'BOULEVARD PPTO'!R69)</f>
        <v>0</v>
      </c>
      <c r="X76" s="760">
        <f>IF(OR($A76="F&amp;F",$A76="CE",X$7="No aplica"),0,'BOULEVARD 5'!AA74-'BOULEVARD PPTO'!S69)</f>
        <v>0</v>
      </c>
      <c r="Y76" s="760">
        <f>IF(OR($A76="F&amp;F",$A76="CE",Y$7="No aplica"),0,'BOULEVARD 5'!AB74-'BOULEVARD PPTO'!T69)</f>
        <v>0</v>
      </c>
      <c r="Z76" s="760">
        <f>IF(OR($A76="F&amp;F",$A76="CE",Z$7="No aplica"),0,'BOULEVARD 5'!AC74-'BOULEVARD PPTO'!U69)</f>
        <v>0</v>
      </c>
      <c r="AA76" s="760">
        <f>IF(OR($A76="F&amp;F",$A76="CE",AA$7="No aplica"),0,'BOULEVARD 5'!AD74-'BOULEVARD PPTO'!V69)</f>
        <v>0</v>
      </c>
      <c r="AB76" s="760">
        <f>IF(OR($A76="F&amp;F",$A76="CE",AB$7="No aplica"),0,'BOULEVARD 5'!AE74-'BOULEVARD PPTO'!W69)</f>
        <v>0</v>
      </c>
      <c r="AC76" s="760">
        <f>IF(OR($A76="F&amp;F",$A76="CE",AC$7="No aplica"),0,'BOULEVARD 5'!AF74-'BOULEVARD PPTO'!X69)</f>
        <v>0</v>
      </c>
      <c r="AD76" s="760">
        <f>IF(OR($A76="F&amp;F",$A76="CE",AD$7="No aplica"),0,'BOULEVARD 5'!AG74-'BOULEVARD PPTO'!Y69)</f>
        <v>0</v>
      </c>
      <c r="AE76" s="760">
        <f>IF(OR($A76="F&amp;F",$A76="CE",AE$7="No aplica"),0,'BOULEVARD 5'!AH74-'BOULEVARD PPTO'!Z69)</f>
        <v>0</v>
      </c>
      <c r="AF76" s="760">
        <f>IF(OR($A76="F&amp;F",$A76="CE",AF$7="No aplica"),0,'BOULEVARD 5'!AI74-'BOULEVARD PPTO'!AA69)</f>
        <v>0</v>
      </c>
      <c r="AG76" s="760">
        <f>IF(OR($A76="F&amp;F",$A76="CE",AG$7="No aplica"),0,'BOULEVARD 5'!AJ74-'BOULEVARD PPTO'!AB69)</f>
        <v>0</v>
      </c>
      <c r="AH76" s="760">
        <f>IF(OR($A76="F&amp;F",$A76="CE",AH$7="No aplica"),0,'BOULEVARD 5'!AK74-'BOULEVARD PPTO'!AC69)</f>
        <v>0</v>
      </c>
      <c r="AI76" s="760">
        <f>IF(OR($A76="F&amp;F",$A76="CE",AI$7="No aplica"),0,'BOULEVARD 5'!AL74-'BOULEVARD PPTO'!AD69)</f>
        <v>0</v>
      </c>
      <c r="AJ76" s="760">
        <f>IF(OR($A76="F&amp;F",$A76="CE",AJ$7="No aplica"),0,'BOULEVARD 5'!AM74-'BOULEVARD PPTO'!AE69)</f>
        <v>-5423</v>
      </c>
      <c r="AK76" s="760">
        <f>IF(OR($A76="F&amp;F",$A76="CE",AK$7="No aplica"),0,'BOULEVARD 5'!AN74-'BOULEVARD PPTO'!AF69)</f>
        <v>-5423</v>
      </c>
      <c r="AL76" s="760">
        <f>IF(OR($A76="F&amp;F",$A76="CE",AL$7="No aplica"),0,'BOULEVARD 5'!AO74-'BOULEVARD PPTO'!AG69)</f>
        <v>10846</v>
      </c>
      <c r="AM76" s="760">
        <f>IF(OR($A76="F&amp;F",$A76="CE",AM$7="No aplica"),0,'BOULEVARD 5'!AP74-'BOULEVARD PPTO'!AH69)</f>
        <v>-5423</v>
      </c>
      <c r="AN76" s="760">
        <f>IF(OR($A76="F&amp;F",$A76="CE",AN$7="No aplica"),0,'BOULEVARD 5'!AQ74-'BOULEVARD PPTO'!AI69)</f>
        <v>0</v>
      </c>
      <c r="AO76" s="760">
        <f>IF(OR($A76="F&amp;F",$A76="CE",AO$7="No aplica"),0,'BOULEVARD 5'!AS74-'BOULEVARD PPTO'!AJ69)</f>
        <v>0</v>
      </c>
      <c r="AP76" s="761">
        <f t="shared" si="13"/>
        <v>-5423</v>
      </c>
      <c r="AQ76" s="761">
        <f t="shared" si="14"/>
        <v>-43384</v>
      </c>
      <c r="AR76" s="674">
        <f>IF(A76=0,'BOULEVARD 5'!BF74,0)</f>
        <v>10000</v>
      </c>
      <c r="AS76" s="674">
        <f>IF(A76=0,'BOULEVARD 5'!BG74,0)</f>
        <v>5423</v>
      </c>
      <c r="AT76" s="675" t="str">
        <f t="shared" si="12"/>
        <v>Vendido</v>
      </c>
      <c r="AU76" s="581" t="str">
        <f t="shared" si="11"/>
        <v>POR COBRAR</v>
      </c>
      <c r="AV76" s="760">
        <f t="shared" si="15"/>
        <v>0</v>
      </c>
    </row>
    <row r="77" spans="1:48" s="581" customFormat="1" ht="12.4" customHeight="1" outlineLevel="1" x14ac:dyDescent="0.25">
      <c r="A77" s="703">
        <f>'BOULEVARD 5'!BQ75</f>
        <v>0</v>
      </c>
      <c r="B77" s="564">
        <v>419</v>
      </c>
      <c r="C77" s="564" t="s">
        <v>409</v>
      </c>
      <c r="D77" s="564"/>
      <c r="E77" s="564" t="str">
        <f>IF('BOULEVARD 5'!E75&lt;&gt;0,'BOULEVARD 5'!E75,"")</f>
        <v>Antonio Rada</v>
      </c>
      <c r="F77" s="581" t="str">
        <f>IF('BOULEVARD 5'!F75&lt;&gt;0,'BOULEVARD 5'!F75,"")</f>
        <v>Andrea Elizabeth Ortiz Perez</v>
      </c>
      <c r="G77" s="566">
        <f>IF('BOULEVARD 5'!G75="","",'BOULEVARD 5'!G75)</f>
        <v>45231</v>
      </c>
      <c r="H77" s="756">
        <f>IF(OR($A77="F&amp;F",$A77="CE",H$7="No aplica"),0,'BOULEVARD 5'!K75-'BOULEVARD PPTO'!C70)</f>
        <v>0</v>
      </c>
      <c r="I77" s="756">
        <f>IF(OR($A77="F&amp;F",$A77="CE",I$7="No aplica"),0,'BOULEVARD 5'!L75-'BOULEVARD PPTO'!D70)</f>
        <v>0</v>
      </c>
      <c r="J77" s="756">
        <f>IF(OR($A77="F&amp;F",$A77="CE",J$7="No aplica"),0,'BOULEVARD 5'!M75-'BOULEVARD PPTO'!E70)</f>
        <v>0</v>
      </c>
      <c r="K77" s="756">
        <f>IF(OR($A77="F&amp;F",$A77="CE",K$7="No aplica"),0,'BOULEVARD 5'!N75-'BOULEVARD PPTO'!F70)</f>
        <v>0</v>
      </c>
      <c r="L77" s="756">
        <f>IF(OR($A77="F&amp;F",$A77="CE",L$7="No aplica"),0,'BOULEVARD 5'!O75-'BOULEVARD PPTO'!G70)</f>
        <v>0</v>
      </c>
      <c r="M77" s="756">
        <f>IF(OR($A77="F&amp;F",$A77="CE",M$7="No aplica"),0,'BOULEVARD 5'!P75-'BOULEVARD PPTO'!H70)</f>
        <v>0</v>
      </c>
      <c r="N77" s="756">
        <f>IF(OR($A77="F&amp;F",$A77="CE",N$7="No aplica"),0,'BOULEVARD 5'!Q75-'BOULEVARD PPTO'!I70)</f>
        <v>0</v>
      </c>
      <c r="O77" s="756">
        <f>IF(OR($A77="F&amp;F",$A77="CE",O$7="No aplica"),0,'BOULEVARD 5'!R75-'BOULEVARD PPTO'!J70)</f>
        <v>0</v>
      </c>
      <c r="P77" s="756">
        <f>IF(OR($A77="F&amp;F",$A77="CE",P$7="No aplica"),0,'BOULEVARD 5'!S75-'BOULEVARD PPTO'!K70)</f>
        <v>0</v>
      </c>
      <c r="Q77" s="760">
        <f>IF(OR($A77="F&amp;F",$A77="CE",Q$7="No aplica"),0,'BOULEVARD 5'!T75-'BOULEVARD PPTO'!L70)</f>
        <v>0</v>
      </c>
      <c r="R77" s="760">
        <f>IF(OR($A77="F&amp;F",$A77="CE",R$7="No aplica"),0,'BOULEVARD 5'!U75-'BOULEVARD PPTO'!M70)</f>
        <v>0</v>
      </c>
      <c r="S77" s="760">
        <f>IF(OR($A77="F&amp;F",$A77="CE",S$7="No aplica"),0,'BOULEVARD 5'!V75-'BOULEVARD PPTO'!N70)</f>
        <v>0</v>
      </c>
      <c r="T77" s="760">
        <f>IF(OR($A77="F&amp;F",$A77="CE",T$7="No aplica"),0,'BOULEVARD 5'!W75-'BOULEVARD PPTO'!O70)</f>
        <v>0</v>
      </c>
      <c r="U77" s="760">
        <f>IF(OR($A77="F&amp;F",$A77="CE",U$7="No aplica"),0,'BOULEVARD 5'!X75-'BOULEVARD PPTO'!P70)</f>
        <v>0</v>
      </c>
      <c r="V77" s="760">
        <f>IF(OR($A77="F&amp;F",$A77="CE",V$7="No aplica"),0,'BOULEVARD 5'!Y75-'BOULEVARD PPTO'!Q70)</f>
        <v>0</v>
      </c>
      <c r="W77" s="760">
        <f>IF(OR($A77="F&amp;F",$A77="CE",W$7="No aplica"),0,'BOULEVARD 5'!Z75-'BOULEVARD PPTO'!R70)</f>
        <v>0</v>
      </c>
      <c r="X77" s="760">
        <f>IF(OR($A77="F&amp;F",$A77="CE",X$7="No aplica"),0,'BOULEVARD 5'!AA75-'BOULEVARD PPTO'!S70)</f>
        <v>0</v>
      </c>
      <c r="Y77" s="760">
        <f>IF(OR($A77="F&amp;F",$A77="CE",Y$7="No aplica"),0,'BOULEVARD 5'!AB75-'BOULEVARD PPTO'!T70)</f>
        <v>0</v>
      </c>
      <c r="Z77" s="760">
        <f>IF(OR($A77="F&amp;F",$A77="CE",Z$7="No aplica"),0,'BOULEVARD 5'!AC75-'BOULEVARD PPTO'!U70)</f>
        <v>0</v>
      </c>
      <c r="AA77" s="760">
        <f>IF(OR($A77="F&amp;F",$A77="CE",AA$7="No aplica"),0,'BOULEVARD 5'!AD75-'BOULEVARD PPTO'!V70)</f>
        <v>0</v>
      </c>
      <c r="AB77" s="760">
        <f>IF(OR($A77="F&amp;F",$A77="CE",AB$7="No aplica"),0,'BOULEVARD 5'!AE75-'BOULEVARD PPTO'!W70)</f>
        <v>0</v>
      </c>
      <c r="AC77" s="760">
        <f>IF(OR($A77="F&amp;F",$A77="CE",AC$7="No aplica"),0,'BOULEVARD 5'!AF75-'BOULEVARD PPTO'!X70)</f>
        <v>0</v>
      </c>
      <c r="AD77" s="760">
        <f>IF(OR($A77="F&amp;F",$A77="CE",AD$7="No aplica"),0,'BOULEVARD 5'!AG75-'BOULEVARD PPTO'!Y70)</f>
        <v>0</v>
      </c>
      <c r="AE77" s="760">
        <f>IF(OR($A77="F&amp;F",$A77="CE",AE$7="No aplica"),0,'BOULEVARD 5'!AH75-'BOULEVARD PPTO'!Z70)</f>
        <v>0</v>
      </c>
      <c r="AF77" s="760">
        <f>IF(OR($A77="F&amp;F",$A77="CE",AF$7="No aplica"),0,'BOULEVARD 5'!AI75-'BOULEVARD PPTO'!AA70)</f>
        <v>0</v>
      </c>
      <c r="AG77" s="760">
        <f>IF(OR($A77="F&amp;F",$A77="CE",AG$7="No aplica"),0,'BOULEVARD 5'!AJ75-'BOULEVARD PPTO'!AB70)</f>
        <v>0</v>
      </c>
      <c r="AH77" s="760">
        <f>IF(OR($A77="F&amp;F",$A77="CE",AH$7="No aplica"),0,'BOULEVARD 5'!AK75-'BOULEVARD PPTO'!AC70)</f>
        <v>0</v>
      </c>
      <c r="AI77" s="760">
        <f>IF(OR($A77="F&amp;F",$A77="CE",AI$7="No aplica"),0,'BOULEVARD 5'!AL75-'BOULEVARD PPTO'!AD70)</f>
        <v>0</v>
      </c>
      <c r="AJ77" s="760">
        <f>IF(OR($A77="F&amp;F",$A77="CE",AJ$7="No aplica"),0,'BOULEVARD 5'!AM75-'BOULEVARD PPTO'!AE70)</f>
        <v>0</v>
      </c>
      <c r="AK77" s="760">
        <f>IF(OR($A77="F&amp;F",$A77="CE",AK$7="No aplica"),0,'BOULEVARD 5'!AN75-'BOULEVARD PPTO'!AF70)</f>
        <v>0</v>
      </c>
      <c r="AL77" s="760">
        <f>IF(OR($A77="F&amp;F",$A77="CE",AL$7="No aplica"),0,'BOULEVARD 5'!AO75-'BOULEVARD PPTO'!AG70)</f>
        <v>-6</v>
      </c>
      <c r="AM77" s="760">
        <f>IF(OR($A77="F&amp;F",$A77="CE",AM$7="No aplica"),0,'BOULEVARD 5'!AP75-'BOULEVARD PPTO'!AH70)</f>
        <v>0</v>
      </c>
      <c r="AN77" s="760">
        <f>IF(OR($A77="F&amp;F",$A77="CE",AN$7="No aplica"),0,'BOULEVARD 5'!AQ75-'BOULEVARD PPTO'!AI70)</f>
        <v>0</v>
      </c>
      <c r="AO77" s="760">
        <f>IF(OR($A77="F&amp;F",$A77="CE",AO$7="No aplica"),0,'BOULEVARD 5'!AS75-'BOULEVARD PPTO'!AJ70)</f>
        <v>0</v>
      </c>
      <c r="AP77" s="761">
        <f t="shared" si="13"/>
        <v>-6</v>
      </c>
      <c r="AQ77" s="761">
        <f t="shared" si="14"/>
        <v>-6</v>
      </c>
      <c r="AR77" s="674">
        <f>IF(A77=0,'BOULEVARD 5'!BF75,0)</f>
        <v>8000</v>
      </c>
      <c r="AS77" s="674">
        <f>IF(A77=0,'BOULEVARD 5'!BG75,0)</f>
        <v>4027</v>
      </c>
      <c r="AT77" s="675" t="str">
        <f t="shared" si="12"/>
        <v>Vendido</v>
      </c>
      <c r="AU77" s="581" t="str">
        <f t="shared" si="11"/>
        <v>POR COBRAR</v>
      </c>
      <c r="AV77" s="760">
        <f t="shared" si="15"/>
        <v>0</v>
      </c>
    </row>
    <row r="78" spans="1:48" s="581" customFormat="1" ht="12.4" customHeight="1" outlineLevel="1" x14ac:dyDescent="0.25">
      <c r="A78" s="703">
        <f>'BOULEVARD 5'!BQ76</f>
        <v>0</v>
      </c>
      <c r="B78" s="564">
        <v>420</v>
      </c>
      <c r="C78" s="564" t="s">
        <v>184</v>
      </c>
      <c r="D78" s="564"/>
      <c r="E78" s="564" t="str">
        <f>IF('BOULEVARD 5'!E76&lt;&gt;0,'BOULEVARD 5'!E76,"")</f>
        <v>Antonio Rada</v>
      </c>
      <c r="F78" s="581" t="str">
        <f>IF('BOULEVARD 5'!F76&lt;&gt;0,'BOULEVARD 5'!F76,"")</f>
        <v>Rodriga Virginia Figueroa Perez</v>
      </c>
      <c r="G78" s="566">
        <f>IF('BOULEVARD 5'!G76="","",'BOULEVARD 5'!G76)</f>
        <v>45490</v>
      </c>
      <c r="H78" s="756">
        <f>IF(OR($A78="F&amp;F",$A78="CE",H$7="No aplica"),0,'BOULEVARD 5'!K76-'BOULEVARD PPTO'!C71)</f>
        <v>0</v>
      </c>
      <c r="I78" s="756">
        <f>IF(OR($A78="F&amp;F",$A78="CE",I$7="No aplica"),0,'BOULEVARD 5'!L76-'BOULEVARD PPTO'!D71)</f>
        <v>0</v>
      </c>
      <c r="J78" s="756">
        <f>IF(OR($A78="F&amp;F",$A78="CE",J$7="No aplica"),0,'BOULEVARD 5'!M76-'BOULEVARD PPTO'!E71)</f>
        <v>0</v>
      </c>
      <c r="K78" s="756">
        <f>IF(OR($A78="F&amp;F",$A78="CE",K$7="No aplica"),0,'BOULEVARD 5'!N76-'BOULEVARD PPTO'!F71)</f>
        <v>0</v>
      </c>
      <c r="L78" s="756">
        <f>IF(OR($A78="F&amp;F",$A78="CE",L$7="No aplica"),0,'BOULEVARD 5'!O76-'BOULEVARD PPTO'!G71)</f>
        <v>0</v>
      </c>
      <c r="M78" s="756">
        <f>IF(OR($A78="F&amp;F",$A78="CE",M$7="No aplica"),0,'BOULEVARD 5'!P76-'BOULEVARD PPTO'!H71)</f>
        <v>0</v>
      </c>
      <c r="N78" s="756">
        <f>IF(OR($A78="F&amp;F",$A78="CE",N$7="No aplica"),0,'BOULEVARD 5'!Q76-'BOULEVARD PPTO'!I71)</f>
        <v>0</v>
      </c>
      <c r="O78" s="756">
        <f>IF(OR($A78="F&amp;F",$A78="CE",O$7="No aplica"),0,'BOULEVARD 5'!R76-'BOULEVARD PPTO'!J71)</f>
        <v>0</v>
      </c>
      <c r="P78" s="756">
        <f>IF(OR($A78="F&amp;F",$A78="CE",P$7="No aplica"),0,'BOULEVARD 5'!S76-'BOULEVARD PPTO'!K71)</f>
        <v>0</v>
      </c>
      <c r="Q78" s="760">
        <f>IF(OR($A78="F&amp;F",$A78="CE",Q$7="No aplica"),0,'BOULEVARD 5'!T76-'BOULEVARD PPTO'!L71)</f>
        <v>0</v>
      </c>
      <c r="R78" s="760">
        <f>IF(OR($A78="F&amp;F",$A78="CE",R$7="No aplica"),0,'BOULEVARD 5'!U76-'BOULEVARD PPTO'!M71)</f>
        <v>0</v>
      </c>
      <c r="S78" s="760">
        <f>IF(OR($A78="F&amp;F",$A78="CE",S$7="No aplica"),0,'BOULEVARD 5'!V76-'BOULEVARD PPTO'!N71)</f>
        <v>0</v>
      </c>
      <c r="T78" s="760">
        <f>IF(OR($A78="F&amp;F",$A78="CE",T$7="No aplica"),0,'BOULEVARD 5'!W76-'BOULEVARD PPTO'!O71)</f>
        <v>0</v>
      </c>
      <c r="U78" s="760">
        <f>IF(OR($A78="F&amp;F",$A78="CE",U$7="No aplica"),0,'BOULEVARD 5'!X76-'BOULEVARD PPTO'!P71)</f>
        <v>0</v>
      </c>
      <c r="V78" s="760">
        <f>IF(OR($A78="F&amp;F",$A78="CE",V$7="No aplica"),0,'BOULEVARD 5'!Y76-'BOULEVARD PPTO'!Q71)</f>
        <v>0</v>
      </c>
      <c r="W78" s="760">
        <f>IF(OR($A78="F&amp;F",$A78="CE",W$7="No aplica"),0,'BOULEVARD 5'!Z76-'BOULEVARD PPTO'!R71)</f>
        <v>0</v>
      </c>
      <c r="X78" s="760">
        <f>IF(OR($A78="F&amp;F",$A78="CE",X$7="No aplica"),0,'BOULEVARD 5'!AA76-'BOULEVARD PPTO'!S71)</f>
        <v>0</v>
      </c>
      <c r="Y78" s="760">
        <f>IF(OR($A78="F&amp;F",$A78="CE",Y$7="No aplica"),0,'BOULEVARD 5'!AB76-'BOULEVARD PPTO'!T71)</f>
        <v>0</v>
      </c>
      <c r="Z78" s="760">
        <f>IF(OR($A78="F&amp;F",$A78="CE",Z$7="No aplica"),0,'BOULEVARD 5'!AC76-'BOULEVARD PPTO'!U71)</f>
        <v>0</v>
      </c>
      <c r="AA78" s="760">
        <f>IF(OR($A78="F&amp;F",$A78="CE",AA$7="No aplica"),0,'BOULEVARD 5'!AD76-'BOULEVARD PPTO'!V71)</f>
        <v>0</v>
      </c>
      <c r="AB78" s="760">
        <f>IF(OR($A78="F&amp;F",$A78="CE",AB$7="No aplica"),0,'BOULEVARD 5'!AE76-'BOULEVARD PPTO'!W71)</f>
        <v>0</v>
      </c>
      <c r="AC78" s="760">
        <f>IF(OR($A78="F&amp;F",$A78="CE",AC$7="No aplica"),0,'BOULEVARD 5'!AF76-'BOULEVARD PPTO'!X71)</f>
        <v>0</v>
      </c>
      <c r="AD78" s="760">
        <f>IF(OR($A78="F&amp;F",$A78="CE",AD$7="No aplica"),0,'BOULEVARD 5'!AG76-'BOULEVARD PPTO'!Y71)</f>
        <v>0</v>
      </c>
      <c r="AE78" s="760">
        <f>IF(OR($A78="F&amp;F",$A78="CE",AE$7="No aplica"),0,'BOULEVARD 5'!AH76-'BOULEVARD PPTO'!Z71)</f>
        <v>0</v>
      </c>
      <c r="AF78" s="760">
        <f>IF(OR($A78="F&amp;F",$A78="CE",AF$7="No aplica"),0,'BOULEVARD 5'!AI76-'BOULEVARD PPTO'!AA71)</f>
        <v>0</v>
      </c>
      <c r="AG78" s="760">
        <f>IF(OR($A78="F&amp;F",$A78="CE",AG$7="No aplica"),0,'BOULEVARD 5'!AJ76-'BOULEVARD PPTO'!AB71)</f>
        <v>0</v>
      </c>
      <c r="AH78" s="760">
        <f>IF(OR($A78="F&amp;F",$A78="CE",AH$7="No aplica"),0,'BOULEVARD 5'!AK76-'BOULEVARD PPTO'!AC71)</f>
        <v>0</v>
      </c>
      <c r="AI78" s="760">
        <f>IF(OR($A78="F&amp;F",$A78="CE",AI$7="No aplica"),0,'BOULEVARD 5'!AL76-'BOULEVARD PPTO'!AD71)</f>
        <v>0</v>
      </c>
      <c r="AJ78" s="760">
        <f>IF(OR($A78="F&amp;F",$A78="CE",AJ$7="No aplica"),0,'BOULEVARD 5'!AM76-'BOULEVARD PPTO'!AE71)</f>
        <v>0</v>
      </c>
      <c r="AK78" s="760">
        <f>IF(OR($A78="F&amp;F",$A78="CE",AK$7="No aplica"),0,'BOULEVARD 5'!AN76-'BOULEVARD PPTO'!AF71)</f>
        <v>0</v>
      </c>
      <c r="AL78" s="760">
        <f>IF(OR($A78="F&amp;F",$A78="CE",AL$7="No aplica"),0,'BOULEVARD 5'!AO76-'BOULEVARD PPTO'!AG71)</f>
        <v>0</v>
      </c>
      <c r="AM78" s="760">
        <f>IF(OR($A78="F&amp;F",$A78="CE",AM$7="No aplica"),0,'BOULEVARD 5'!AP76-'BOULEVARD PPTO'!AH71)</f>
        <v>0</v>
      </c>
      <c r="AN78" s="760">
        <f>IF(OR($A78="F&amp;F",$A78="CE",AN$7="No aplica"),0,'BOULEVARD 5'!AQ76-'BOULEVARD PPTO'!AI71)</f>
        <v>0</v>
      </c>
      <c r="AO78" s="760">
        <f>IF(OR($A78="F&amp;F",$A78="CE",AO$7="No aplica"),0,'BOULEVARD 5'!AS76-'BOULEVARD PPTO'!AJ71)</f>
        <v>0</v>
      </c>
      <c r="AP78" s="761">
        <f t="shared" si="13"/>
        <v>0</v>
      </c>
      <c r="AQ78" s="761">
        <f t="shared" si="14"/>
        <v>0</v>
      </c>
      <c r="AR78" s="674">
        <f>IF(A78=0,'BOULEVARD 5'!BF76,0)</f>
        <v>10000</v>
      </c>
      <c r="AS78" s="674">
        <f>IF(A78=0,'BOULEVARD 5'!BG76,0)</f>
        <v>6276</v>
      </c>
      <c r="AT78" s="675" t="str">
        <f t="shared" si="12"/>
        <v>Vendido</v>
      </c>
      <c r="AU78" s="581" t="str">
        <f t="shared" si="11"/>
        <v/>
      </c>
      <c r="AV78" s="760">
        <f t="shared" si="15"/>
        <v>0</v>
      </c>
    </row>
    <row r="79" spans="1:48" s="581" customFormat="1" ht="12.4" customHeight="1" outlineLevel="1" x14ac:dyDescent="0.25">
      <c r="A79" s="703">
        <f>'BOULEVARD 5'!BQ77</f>
        <v>0</v>
      </c>
      <c r="B79" s="564">
        <v>501</v>
      </c>
      <c r="C79" s="564" t="s">
        <v>456</v>
      </c>
      <c r="D79" s="564"/>
      <c r="E79" s="564" t="str">
        <f>IF('BOULEVARD 5'!E77&lt;&gt;0,'BOULEVARD 5'!E77,"")</f>
        <v>Sofia Paredes</v>
      </c>
      <c r="F79" s="581" t="str">
        <f>IF('BOULEVARD 5'!F77&lt;&gt;0,'BOULEVARD 5'!F77,"")</f>
        <v>Erick Guillermo Ruano Garcia</v>
      </c>
      <c r="G79" s="566">
        <f>IF('BOULEVARD 5'!G77="","",'BOULEVARD 5'!G77)</f>
        <v>45681</v>
      </c>
      <c r="H79" s="756">
        <f>IF(OR($A79="F&amp;F",$A79="CE",H$7="No aplica"),0,'BOULEVARD 5'!K77-'BOULEVARD PPTO'!C72)</f>
        <v>0</v>
      </c>
      <c r="I79" s="756">
        <f>IF(OR($A79="F&amp;F",$A79="CE",I$7="No aplica"),0,'BOULEVARD 5'!L77-'BOULEVARD PPTO'!D72)</f>
        <v>0</v>
      </c>
      <c r="J79" s="756">
        <f>IF(OR($A79="F&amp;F",$A79="CE",J$7="No aplica"),0,'BOULEVARD 5'!M77-'BOULEVARD PPTO'!E72)</f>
        <v>0</v>
      </c>
      <c r="K79" s="756">
        <f>IF(OR($A79="F&amp;F",$A79="CE",K$7="No aplica"),0,'BOULEVARD 5'!N77-'BOULEVARD PPTO'!F72)</f>
        <v>0</v>
      </c>
      <c r="L79" s="756">
        <f>IF(OR($A79="F&amp;F",$A79="CE",L$7="No aplica"),0,'BOULEVARD 5'!O77-'BOULEVARD PPTO'!G72)</f>
        <v>0</v>
      </c>
      <c r="M79" s="756">
        <f>IF(OR($A79="F&amp;F",$A79="CE",M$7="No aplica"),0,'BOULEVARD 5'!P77-'BOULEVARD PPTO'!H72)</f>
        <v>0</v>
      </c>
      <c r="N79" s="756">
        <f>IF(OR($A79="F&amp;F",$A79="CE",N$7="No aplica"),0,'BOULEVARD 5'!Q77-'BOULEVARD PPTO'!I72)</f>
        <v>0</v>
      </c>
      <c r="O79" s="756">
        <f>IF(OR($A79="F&amp;F",$A79="CE",O$7="No aplica"),0,'BOULEVARD 5'!R77-'BOULEVARD PPTO'!J72)</f>
        <v>0</v>
      </c>
      <c r="P79" s="756">
        <f>IF(OR($A79="F&amp;F",$A79="CE",P$7="No aplica"),0,'BOULEVARD 5'!S77-'BOULEVARD PPTO'!K72)</f>
        <v>0</v>
      </c>
      <c r="Q79" s="760">
        <f>IF(OR($A79="F&amp;F",$A79="CE",Q$7="No aplica"),0,'BOULEVARD 5'!T77-'BOULEVARD PPTO'!L72)</f>
        <v>0</v>
      </c>
      <c r="R79" s="760">
        <f>IF(OR($A79="F&amp;F",$A79="CE",R$7="No aplica"),0,'BOULEVARD 5'!U77-'BOULEVARD PPTO'!M72)</f>
        <v>0</v>
      </c>
      <c r="S79" s="760">
        <f>IF(OR($A79="F&amp;F",$A79="CE",S$7="No aplica"),0,'BOULEVARD 5'!V77-'BOULEVARD PPTO'!N72)</f>
        <v>0</v>
      </c>
      <c r="T79" s="760">
        <f>IF(OR($A79="F&amp;F",$A79="CE",T$7="No aplica"),0,'BOULEVARD 5'!W77-'BOULEVARD PPTO'!O72)</f>
        <v>0</v>
      </c>
      <c r="U79" s="760">
        <f>IF(OR($A79="F&amp;F",$A79="CE",U$7="No aplica"),0,'BOULEVARD 5'!X77-'BOULEVARD PPTO'!P72)</f>
        <v>0</v>
      </c>
      <c r="V79" s="760">
        <f>IF(OR($A79="F&amp;F",$A79="CE",V$7="No aplica"),0,'BOULEVARD 5'!Y77-'BOULEVARD PPTO'!Q72)</f>
        <v>0</v>
      </c>
      <c r="W79" s="760">
        <f>IF(OR($A79="F&amp;F",$A79="CE",W$7="No aplica"),0,'BOULEVARD 5'!Z77-'BOULEVARD PPTO'!R72)</f>
        <v>0</v>
      </c>
      <c r="X79" s="760">
        <f>IF(OR($A79="F&amp;F",$A79="CE",X$7="No aplica"),0,'BOULEVARD 5'!AA77-'BOULEVARD PPTO'!S72)</f>
        <v>0</v>
      </c>
      <c r="Y79" s="760">
        <f>IF(OR($A79="F&amp;F",$A79="CE",Y$7="No aplica"),0,'BOULEVARD 5'!AB77-'BOULEVARD PPTO'!T72)</f>
        <v>0</v>
      </c>
      <c r="Z79" s="760">
        <f>IF(OR($A79="F&amp;F",$A79="CE",Z$7="No aplica"),0,'BOULEVARD 5'!AC77-'BOULEVARD PPTO'!U72)</f>
        <v>0</v>
      </c>
      <c r="AA79" s="760">
        <f>IF(OR($A79="F&amp;F",$A79="CE",AA$7="No aplica"),0,'BOULEVARD 5'!AD77-'BOULEVARD PPTO'!V72)</f>
        <v>0</v>
      </c>
      <c r="AB79" s="760">
        <f>IF(OR($A79="F&amp;F",$A79="CE",AB$7="No aplica"),0,'BOULEVARD 5'!AE77-'BOULEVARD PPTO'!W72)</f>
        <v>0</v>
      </c>
      <c r="AC79" s="760">
        <f>IF(OR($A79="F&amp;F",$A79="CE",AC$7="No aplica"),0,'BOULEVARD 5'!AF77-'BOULEVARD PPTO'!X72)</f>
        <v>0</v>
      </c>
      <c r="AD79" s="760">
        <f>IF(OR($A79="F&amp;F",$A79="CE",AD$7="No aplica"),0,'BOULEVARD 5'!AG77-'BOULEVARD PPTO'!Y72)</f>
        <v>0</v>
      </c>
      <c r="AE79" s="760">
        <f>IF(OR($A79="F&amp;F",$A79="CE",AE$7="No aplica"),0,'BOULEVARD 5'!AH77-'BOULEVARD PPTO'!Z72)</f>
        <v>0</v>
      </c>
      <c r="AF79" s="760">
        <f>IF(OR($A79="F&amp;F",$A79="CE",AF$7="No aplica"),0,'BOULEVARD 5'!AI77-'BOULEVARD PPTO'!AA72)</f>
        <v>0</v>
      </c>
      <c r="AG79" s="760">
        <f>IF(OR($A79="F&amp;F",$A79="CE",AG$7="No aplica"),0,'BOULEVARD 5'!AJ77-'BOULEVARD PPTO'!AB72)</f>
        <v>0</v>
      </c>
      <c r="AH79" s="760">
        <f>IF(OR($A79="F&amp;F",$A79="CE",AH$7="No aplica"),0,'BOULEVARD 5'!AK77-'BOULEVARD PPTO'!AC72)</f>
        <v>0</v>
      </c>
      <c r="AI79" s="760">
        <f>IF(OR($A79="F&amp;F",$A79="CE",AI$7="No aplica"),0,'BOULEVARD 5'!AL77-'BOULEVARD PPTO'!AD72)</f>
        <v>0</v>
      </c>
      <c r="AJ79" s="760">
        <f>IF(OR($A79="F&amp;F",$A79="CE",AJ$7="No aplica"),0,'BOULEVARD 5'!AM77-'BOULEVARD PPTO'!AE72)</f>
        <v>0</v>
      </c>
      <c r="AK79" s="760">
        <f>IF(OR($A79="F&amp;F",$A79="CE",AK$7="No aplica"),0,'BOULEVARD 5'!AN77-'BOULEVARD PPTO'!AF72)</f>
        <v>0</v>
      </c>
      <c r="AL79" s="760">
        <f>IF(OR($A79="F&amp;F",$A79="CE",AL$7="No aplica"),0,'BOULEVARD 5'!AO77-'BOULEVARD PPTO'!AG72)</f>
        <v>0</v>
      </c>
      <c r="AM79" s="760">
        <f>IF(OR($A79="F&amp;F",$A79="CE",AM$7="No aplica"),0,'BOULEVARD 5'!AP77-'BOULEVARD PPTO'!AH72)</f>
        <v>0</v>
      </c>
      <c r="AN79" s="760">
        <f>IF(OR($A79="F&amp;F",$A79="CE",AN$7="No aplica"),0,'BOULEVARD 5'!AQ77-'BOULEVARD PPTO'!AI72)</f>
        <v>0</v>
      </c>
      <c r="AO79" s="760">
        <f>IF(OR($A79="F&amp;F",$A79="CE",AO$7="No aplica"),0,'BOULEVARD 5'!AS77-'BOULEVARD PPTO'!AJ72)</f>
        <v>0</v>
      </c>
      <c r="AP79" s="761">
        <f t="shared" si="13"/>
        <v>0</v>
      </c>
      <c r="AQ79" s="761">
        <f t="shared" si="14"/>
        <v>-35085.440000000002</v>
      </c>
      <c r="AR79" s="674">
        <f>IF(A79=0,'BOULEVARD 5'!BF77,0)</f>
        <v>10000</v>
      </c>
      <c r="AS79" s="674">
        <f>IF(A79=0,'BOULEVARD 5'!BG77,0)</f>
        <v>8772</v>
      </c>
      <c r="AT79" s="675" t="str">
        <f t="shared" si="12"/>
        <v>Vendido</v>
      </c>
      <c r="AU79" s="581" t="str">
        <f t="shared" si="11"/>
        <v/>
      </c>
      <c r="AV79" s="760">
        <f t="shared" si="15"/>
        <v>0</v>
      </c>
    </row>
    <row r="80" spans="1:48" s="581" customFormat="1" ht="12.4" customHeight="1" outlineLevel="1" x14ac:dyDescent="0.25">
      <c r="A80" s="703">
        <f>'BOULEVARD 5'!BQ78</f>
        <v>0</v>
      </c>
      <c r="B80" s="564">
        <v>502</v>
      </c>
      <c r="C80" s="564" t="s">
        <v>134</v>
      </c>
      <c r="D80" s="564"/>
      <c r="E80" s="564" t="str">
        <f>IF('BOULEVARD 5'!E78&lt;&gt;0,'BOULEVARD 5'!E78,"")</f>
        <v>Laura Molina</v>
      </c>
      <c r="F80" s="581" t="str">
        <f>IF('BOULEVARD 5'!F78&lt;&gt;0,'BOULEVARD 5'!F78,"")</f>
        <v>Rudy Baldemar Villeda Vanegas / Marcia Corina Hernández Ruiz de Villeda</v>
      </c>
      <c r="G80" s="566">
        <f>IF('BOULEVARD 5'!G78="","",'BOULEVARD 5'!G78)</f>
        <v>45832</v>
      </c>
      <c r="H80" s="756">
        <f>IF(OR($A80="F&amp;F",$A80="CE",H$7="No aplica"),0,'BOULEVARD 5'!K78-'BOULEVARD PPTO'!C73)</f>
        <v>0</v>
      </c>
      <c r="I80" s="756">
        <f>IF(OR($A80="F&amp;F",$A80="CE",I$7="No aplica"),0,'BOULEVARD 5'!L78-'BOULEVARD PPTO'!D73)</f>
        <v>0</v>
      </c>
      <c r="J80" s="756">
        <f>IF(OR($A80="F&amp;F",$A80="CE",J$7="No aplica"),0,'BOULEVARD 5'!M78-'BOULEVARD PPTO'!E73)</f>
        <v>0</v>
      </c>
      <c r="K80" s="756">
        <f>IF(OR($A80="F&amp;F",$A80="CE",K$7="No aplica"),0,'BOULEVARD 5'!N78-'BOULEVARD PPTO'!F73)</f>
        <v>0</v>
      </c>
      <c r="L80" s="756">
        <f>IF(OR($A80="F&amp;F",$A80="CE",L$7="No aplica"),0,'BOULEVARD 5'!O78-'BOULEVARD PPTO'!G73)</f>
        <v>0</v>
      </c>
      <c r="M80" s="756">
        <f>IF(OR($A80="F&amp;F",$A80="CE",M$7="No aplica"),0,'BOULEVARD 5'!P78-'BOULEVARD PPTO'!H73)</f>
        <v>0</v>
      </c>
      <c r="N80" s="756">
        <f>IF(OR($A80="F&amp;F",$A80="CE",N$7="No aplica"),0,'BOULEVARD 5'!Q78-'BOULEVARD PPTO'!I73)</f>
        <v>0</v>
      </c>
      <c r="O80" s="756">
        <f>IF(OR($A80="F&amp;F",$A80="CE",O$7="No aplica"),0,'BOULEVARD 5'!R78-'BOULEVARD PPTO'!J73)</f>
        <v>0</v>
      </c>
      <c r="P80" s="756">
        <f>IF(OR($A80="F&amp;F",$A80="CE",P$7="No aplica"),0,'BOULEVARD 5'!S78-'BOULEVARD PPTO'!K73)</f>
        <v>0</v>
      </c>
      <c r="Q80" s="760">
        <f>IF(OR($A80="F&amp;F",$A80="CE",Q$7="No aplica"),0,'BOULEVARD 5'!T78-'BOULEVARD PPTO'!L73)</f>
        <v>0</v>
      </c>
      <c r="R80" s="760">
        <f>IF(OR($A80="F&amp;F",$A80="CE",R$7="No aplica"),0,'BOULEVARD 5'!U78-'BOULEVARD PPTO'!M73)</f>
        <v>0</v>
      </c>
      <c r="S80" s="760">
        <f>IF(OR($A80="F&amp;F",$A80="CE",S$7="No aplica"),0,'BOULEVARD 5'!V78-'BOULEVARD PPTO'!N73)</f>
        <v>0</v>
      </c>
      <c r="T80" s="760">
        <f>IF(OR($A80="F&amp;F",$A80="CE",T$7="No aplica"),0,'BOULEVARD 5'!W78-'BOULEVARD PPTO'!O73)</f>
        <v>0</v>
      </c>
      <c r="U80" s="760">
        <f>IF(OR($A80="F&amp;F",$A80="CE",U$7="No aplica"),0,'BOULEVARD 5'!X78-'BOULEVARD PPTO'!P73)</f>
        <v>0</v>
      </c>
      <c r="V80" s="760">
        <f>IF(OR($A80="F&amp;F",$A80="CE",V$7="No aplica"),0,'BOULEVARD 5'!Y78-'BOULEVARD PPTO'!Q73)</f>
        <v>0</v>
      </c>
      <c r="W80" s="760">
        <f>IF(OR($A80="F&amp;F",$A80="CE",W$7="No aplica"),0,'BOULEVARD 5'!Z78-'BOULEVARD PPTO'!R73)</f>
        <v>0</v>
      </c>
      <c r="X80" s="760">
        <f>IF(OR($A80="F&amp;F",$A80="CE",X$7="No aplica"),0,'BOULEVARD 5'!AA78-'BOULEVARD PPTO'!S73)</f>
        <v>0</v>
      </c>
      <c r="Y80" s="760">
        <f>IF(OR($A80="F&amp;F",$A80="CE",Y$7="No aplica"),0,'BOULEVARD 5'!AB78-'BOULEVARD PPTO'!T73)</f>
        <v>0</v>
      </c>
      <c r="Z80" s="760">
        <f>IF(OR($A80="F&amp;F",$A80="CE",Z$7="No aplica"),0,'BOULEVARD 5'!AC78-'BOULEVARD PPTO'!U73)</f>
        <v>0</v>
      </c>
      <c r="AA80" s="760">
        <f>IF(OR($A80="F&amp;F",$A80="CE",AA$7="No aplica"),0,'BOULEVARD 5'!AD78-'BOULEVARD PPTO'!V73)</f>
        <v>0</v>
      </c>
      <c r="AB80" s="760">
        <f>IF(OR($A80="F&amp;F",$A80="CE",AB$7="No aplica"),0,'BOULEVARD 5'!AE78-'BOULEVARD PPTO'!W73)</f>
        <v>0</v>
      </c>
      <c r="AC80" s="760">
        <f>IF(OR($A80="F&amp;F",$A80="CE",AC$7="No aplica"),0,'BOULEVARD 5'!AF78-'BOULEVARD PPTO'!X73)</f>
        <v>0</v>
      </c>
      <c r="AD80" s="760">
        <f>IF(OR($A80="F&amp;F",$A80="CE",AD$7="No aplica"),0,'BOULEVARD 5'!AG78-'BOULEVARD PPTO'!Y73)</f>
        <v>0</v>
      </c>
      <c r="AE80" s="760">
        <f>IF(OR($A80="F&amp;F",$A80="CE",AE$7="No aplica"),0,'BOULEVARD 5'!AH78-'BOULEVARD PPTO'!Z73)</f>
        <v>0</v>
      </c>
      <c r="AF80" s="760">
        <f>IF(OR($A80="F&amp;F",$A80="CE",AF$7="No aplica"),0,'BOULEVARD 5'!AI78-'BOULEVARD PPTO'!AA73)</f>
        <v>0</v>
      </c>
      <c r="AG80" s="760">
        <f>IF(OR($A80="F&amp;F",$A80="CE",AG$7="No aplica"),0,'BOULEVARD 5'!AJ78-'BOULEVARD PPTO'!AB73)</f>
        <v>0</v>
      </c>
      <c r="AH80" s="760">
        <f>IF(OR($A80="F&amp;F",$A80="CE",AH$7="No aplica"),0,'BOULEVARD 5'!AK78-'BOULEVARD PPTO'!AC73)</f>
        <v>0</v>
      </c>
      <c r="AI80" s="760">
        <f>IF(OR($A80="F&amp;F",$A80="CE",AI$7="No aplica"),0,'BOULEVARD 5'!AL78-'BOULEVARD PPTO'!AD73)</f>
        <v>0</v>
      </c>
      <c r="AJ80" s="760">
        <f>IF(OR($A80="F&amp;F",$A80="CE",AJ$7="No aplica"),0,'BOULEVARD 5'!AM78-'BOULEVARD PPTO'!AE73)</f>
        <v>0</v>
      </c>
      <c r="AK80" s="760">
        <f>IF(OR($A80="F&amp;F",$A80="CE",AK$7="No aplica"),0,'BOULEVARD 5'!AN78-'BOULEVARD PPTO'!AF73)</f>
        <v>0</v>
      </c>
      <c r="AL80" s="760">
        <f>IF(OR($A80="F&amp;F",$A80="CE",AL$7="No aplica"),0,'BOULEVARD 5'!AO78-'BOULEVARD PPTO'!AG73)</f>
        <v>0</v>
      </c>
      <c r="AM80" s="760">
        <f>IF(OR($A80="F&amp;F",$A80="CE",AM$7="No aplica"),0,'BOULEVARD 5'!AP78-'BOULEVARD PPTO'!AH73)</f>
        <v>0</v>
      </c>
      <c r="AN80" s="760">
        <f>IF(OR($A80="F&amp;F",$A80="CE",AN$7="No aplica"),0,'BOULEVARD 5'!AQ78-'BOULEVARD PPTO'!AI73)</f>
        <v>0</v>
      </c>
      <c r="AO80" s="760">
        <f>IF(OR($A80="F&amp;F",$A80="CE",AO$7="No aplica"),0,'BOULEVARD 5'!AS78-'BOULEVARD PPTO'!AJ73)</f>
        <v>0</v>
      </c>
      <c r="AP80" s="761">
        <f t="shared" si="13"/>
        <v>0</v>
      </c>
      <c r="AQ80" s="761">
        <f t="shared" si="14"/>
        <v>-93150</v>
      </c>
      <c r="AR80" s="674">
        <f>IF(A80=0,'BOULEVARD 5'!BF78,0)</f>
        <v>15000</v>
      </c>
      <c r="AS80" s="674">
        <f>IF(A80=0,'BOULEVARD 5'!BG78,0)</f>
        <v>18630</v>
      </c>
      <c r="AT80" s="675" t="str">
        <f t="shared" si="12"/>
        <v>Vendido</v>
      </c>
      <c r="AU80" s="581" t="str">
        <f t="shared" si="11"/>
        <v/>
      </c>
      <c r="AV80" s="760">
        <f t="shared" si="15"/>
        <v>0</v>
      </c>
    </row>
    <row r="81" spans="1:48" s="581" customFormat="1" ht="12.4" customHeight="1" outlineLevel="1" x14ac:dyDescent="0.25">
      <c r="A81" s="703">
        <f>'BOULEVARD 5'!BQ79</f>
        <v>0</v>
      </c>
      <c r="B81" s="564">
        <v>503</v>
      </c>
      <c r="C81" s="564" t="s">
        <v>400</v>
      </c>
      <c r="D81" s="564"/>
      <c r="E81" s="564" t="str">
        <f>IF('BOULEVARD 5'!E79&lt;&gt;0,'BOULEVARD 5'!E79,"")</f>
        <v>Antonio Rada</v>
      </c>
      <c r="F81" s="581" t="str">
        <f>IF('BOULEVARD 5'!F79&lt;&gt;0,'BOULEVARD 5'!F79,"")</f>
        <v>David Eduardo Orellana Rivera</v>
      </c>
      <c r="G81" s="566">
        <f>IF('BOULEVARD 5'!G79="","",'BOULEVARD 5'!G79)</f>
        <v>45798</v>
      </c>
      <c r="H81" s="756">
        <f>IF(OR($A81="F&amp;F",$A81="CE",H$7="No aplica"),0,'BOULEVARD 5'!K79-'BOULEVARD PPTO'!C74)</f>
        <v>0</v>
      </c>
      <c r="I81" s="756">
        <f>IF(OR($A81="F&amp;F",$A81="CE",I$7="No aplica"),0,'BOULEVARD 5'!L79-'BOULEVARD PPTO'!D74)</f>
        <v>0</v>
      </c>
      <c r="J81" s="756">
        <f>IF(OR($A81="F&amp;F",$A81="CE",J$7="No aplica"),0,'BOULEVARD 5'!M79-'BOULEVARD PPTO'!E74)</f>
        <v>0</v>
      </c>
      <c r="K81" s="756">
        <f>IF(OR($A81="F&amp;F",$A81="CE",K$7="No aplica"),0,'BOULEVARD 5'!N79-'BOULEVARD PPTO'!F74)</f>
        <v>0</v>
      </c>
      <c r="L81" s="756">
        <f>IF(OR($A81="F&amp;F",$A81="CE",L$7="No aplica"),0,'BOULEVARD 5'!O79-'BOULEVARD PPTO'!G74)</f>
        <v>0</v>
      </c>
      <c r="M81" s="756">
        <f>IF(OR($A81="F&amp;F",$A81="CE",M$7="No aplica"),0,'BOULEVARD 5'!P79-'BOULEVARD PPTO'!H74)</f>
        <v>0</v>
      </c>
      <c r="N81" s="756">
        <f>IF(OR($A81="F&amp;F",$A81="CE",N$7="No aplica"),0,'BOULEVARD 5'!Q79-'BOULEVARD PPTO'!I74)</f>
        <v>0</v>
      </c>
      <c r="O81" s="756">
        <f>IF(OR($A81="F&amp;F",$A81="CE",O$7="No aplica"),0,'BOULEVARD 5'!R79-'BOULEVARD PPTO'!J74)</f>
        <v>0</v>
      </c>
      <c r="P81" s="756">
        <f>IF(OR($A81="F&amp;F",$A81="CE",P$7="No aplica"),0,'BOULEVARD 5'!S79-'BOULEVARD PPTO'!K74)</f>
        <v>0</v>
      </c>
      <c r="Q81" s="760">
        <f>IF(OR($A81="F&amp;F",$A81="CE",Q$7="No aplica"),0,'BOULEVARD 5'!T79-'BOULEVARD PPTO'!L74)</f>
        <v>0</v>
      </c>
      <c r="R81" s="760">
        <f>IF(OR($A81="F&amp;F",$A81="CE",R$7="No aplica"),0,'BOULEVARD 5'!U79-'BOULEVARD PPTO'!M74)</f>
        <v>0</v>
      </c>
      <c r="S81" s="760">
        <f>IF(OR($A81="F&amp;F",$A81="CE",S$7="No aplica"),0,'BOULEVARD 5'!V79-'BOULEVARD PPTO'!N74)</f>
        <v>0</v>
      </c>
      <c r="T81" s="760">
        <f>IF(OR($A81="F&amp;F",$A81="CE",T$7="No aplica"),0,'BOULEVARD 5'!W79-'BOULEVARD PPTO'!O74)</f>
        <v>0</v>
      </c>
      <c r="U81" s="760">
        <f>IF(OR($A81="F&amp;F",$A81="CE",U$7="No aplica"),0,'BOULEVARD 5'!X79-'BOULEVARD PPTO'!P74)</f>
        <v>0</v>
      </c>
      <c r="V81" s="760">
        <f>IF(OR($A81="F&amp;F",$A81="CE",V$7="No aplica"),0,'BOULEVARD 5'!Y79-'BOULEVARD PPTO'!Q74)</f>
        <v>0</v>
      </c>
      <c r="W81" s="760">
        <f>IF(OR($A81="F&amp;F",$A81="CE",W$7="No aplica"),0,'BOULEVARD 5'!Z79-'BOULEVARD PPTO'!R74)</f>
        <v>0</v>
      </c>
      <c r="X81" s="760">
        <f>IF(OR($A81="F&amp;F",$A81="CE",X$7="No aplica"),0,'BOULEVARD 5'!AA79-'BOULEVARD PPTO'!S74)</f>
        <v>0</v>
      </c>
      <c r="Y81" s="760">
        <f>IF(OR($A81="F&amp;F",$A81="CE",Y$7="No aplica"),0,'BOULEVARD 5'!AB79-'BOULEVARD PPTO'!T74)</f>
        <v>0</v>
      </c>
      <c r="Z81" s="760">
        <f>IF(OR($A81="F&amp;F",$A81="CE",Z$7="No aplica"),0,'BOULEVARD 5'!AC79-'BOULEVARD PPTO'!U74)</f>
        <v>0</v>
      </c>
      <c r="AA81" s="760">
        <f>IF(OR($A81="F&amp;F",$A81="CE",AA$7="No aplica"),0,'BOULEVARD 5'!AD79-'BOULEVARD PPTO'!V74)</f>
        <v>0</v>
      </c>
      <c r="AB81" s="760">
        <f>IF(OR($A81="F&amp;F",$A81="CE",AB$7="No aplica"),0,'BOULEVARD 5'!AE79-'BOULEVARD PPTO'!W74)</f>
        <v>0</v>
      </c>
      <c r="AC81" s="760">
        <f>IF(OR($A81="F&amp;F",$A81="CE",AC$7="No aplica"),0,'BOULEVARD 5'!AF79-'BOULEVARD PPTO'!X74)</f>
        <v>0</v>
      </c>
      <c r="AD81" s="760">
        <f>IF(OR($A81="F&amp;F",$A81="CE",AD$7="No aplica"),0,'BOULEVARD 5'!AG79-'BOULEVARD PPTO'!Y74)</f>
        <v>0</v>
      </c>
      <c r="AE81" s="760">
        <f>IF(OR($A81="F&amp;F",$A81="CE",AE$7="No aplica"),0,'BOULEVARD 5'!AH79-'BOULEVARD PPTO'!Z74)</f>
        <v>0</v>
      </c>
      <c r="AF81" s="760">
        <f>IF(OR($A81="F&amp;F",$A81="CE",AF$7="No aplica"),0,'BOULEVARD 5'!AI79-'BOULEVARD PPTO'!AA74)</f>
        <v>0</v>
      </c>
      <c r="AG81" s="760">
        <f>IF(OR($A81="F&amp;F",$A81="CE",AG$7="No aplica"),0,'BOULEVARD 5'!AJ79-'BOULEVARD PPTO'!AB74)</f>
        <v>0</v>
      </c>
      <c r="AH81" s="760">
        <f>IF(OR($A81="F&amp;F",$A81="CE",AH$7="No aplica"),0,'BOULEVARD 5'!AK79-'BOULEVARD PPTO'!AC74)</f>
        <v>0</v>
      </c>
      <c r="AI81" s="760">
        <f>IF(OR($A81="F&amp;F",$A81="CE",AI$7="No aplica"),0,'BOULEVARD 5'!AL79-'BOULEVARD PPTO'!AD74)</f>
        <v>-7106</v>
      </c>
      <c r="AJ81" s="760">
        <f>IF(OR($A81="F&amp;F",$A81="CE",AJ$7="No aplica"),0,'BOULEVARD 5'!AM79-'BOULEVARD PPTO'!AE74)</f>
        <v>-10736</v>
      </c>
      <c r="AK81" s="760">
        <f>IF(OR($A81="F&amp;F",$A81="CE",AK$7="No aplica"),0,'BOULEVARD 5'!AN79-'BOULEVARD PPTO'!AF74)</f>
        <v>-10736</v>
      </c>
      <c r="AL81" s="760">
        <f>IF(OR($A81="F&amp;F",$A81="CE",AL$7="No aplica"),0,'BOULEVARD 5'!AO79-'BOULEVARD PPTO'!AG74)</f>
        <v>-10736</v>
      </c>
      <c r="AM81" s="760">
        <f>IF(OR($A81="F&amp;F",$A81="CE",AM$7="No aplica"),0,'BOULEVARD 5'!AP79-'BOULEVARD PPTO'!AH74)</f>
        <v>-18630</v>
      </c>
      <c r="AN81" s="760">
        <f>IF(OR($A81="F&amp;F",$A81="CE",AN$7="No aplica"),0,'BOULEVARD 5'!AQ79-'BOULEVARD PPTO'!AI74)</f>
        <v>0</v>
      </c>
      <c r="AO81" s="760">
        <f>IF(OR($A81="F&amp;F",$A81="CE",AO$7="No aplica"),0,'BOULEVARD 5'!AS79-'BOULEVARD PPTO'!AJ74)</f>
        <v>0</v>
      </c>
      <c r="AP81" s="761">
        <f t="shared" si="13"/>
        <v>-57944</v>
      </c>
      <c r="AQ81" s="761">
        <f t="shared" si="14"/>
        <v>-183304.1</v>
      </c>
      <c r="AR81" s="674">
        <f>IF(A81=0,'BOULEVARD 5'!BF79,0)</f>
        <v>10000</v>
      </c>
      <c r="AS81" s="674">
        <f>IF(A81=0,'BOULEVARD 5'!BG79,0)</f>
        <v>7894</v>
      </c>
      <c r="AT81" s="675" t="str">
        <f t="shared" si="12"/>
        <v>Vendido</v>
      </c>
      <c r="AU81" s="581" t="str">
        <f t="shared" si="11"/>
        <v>POR COBRAR</v>
      </c>
      <c r="AV81" s="760">
        <f t="shared" si="15"/>
        <v>0</v>
      </c>
    </row>
    <row r="82" spans="1:48" s="581" customFormat="1" ht="12.4" customHeight="1" outlineLevel="1" x14ac:dyDescent="0.25">
      <c r="A82" s="703">
        <f>'BOULEVARD 5'!BQ80</f>
        <v>0</v>
      </c>
      <c r="B82" s="564">
        <v>504</v>
      </c>
      <c r="C82" s="564" t="s">
        <v>175</v>
      </c>
      <c r="D82" s="564"/>
      <c r="E82" s="564" t="str">
        <f>IF('BOULEVARD 5'!E80&lt;&gt;0,'BOULEVARD 5'!E80,"")</f>
        <v>Antonio Rada</v>
      </c>
      <c r="F82" s="581" t="str">
        <f>IF('BOULEVARD 5'!F80&lt;&gt;0,'BOULEVARD 5'!F80,"")</f>
        <v>Jaquelyn Andrea España Siliezar</v>
      </c>
      <c r="G82" s="566">
        <f>IF('BOULEVARD 5'!G80="","",'BOULEVARD 5'!G80)</f>
        <v>45788</v>
      </c>
      <c r="H82" s="756">
        <f>IF(OR($A82="F&amp;F",$A82="CE",H$7="No aplica"),0,'BOULEVARD 5'!K80-'BOULEVARD PPTO'!C75)</f>
        <v>0</v>
      </c>
      <c r="I82" s="756">
        <f>IF(OR($A82="F&amp;F",$A82="CE",I$7="No aplica"),0,'BOULEVARD 5'!L80-'BOULEVARD PPTO'!D75)</f>
        <v>0</v>
      </c>
      <c r="J82" s="756">
        <f>IF(OR($A82="F&amp;F",$A82="CE",J$7="No aplica"),0,'BOULEVARD 5'!M80-'BOULEVARD PPTO'!E75)</f>
        <v>0</v>
      </c>
      <c r="K82" s="756">
        <f>IF(OR($A82="F&amp;F",$A82="CE",K$7="No aplica"),0,'BOULEVARD 5'!N80-'BOULEVARD PPTO'!F75)</f>
        <v>0</v>
      </c>
      <c r="L82" s="756">
        <f>IF(OR($A82="F&amp;F",$A82="CE",L$7="No aplica"),0,'BOULEVARD 5'!O80-'BOULEVARD PPTO'!G75)</f>
        <v>0</v>
      </c>
      <c r="M82" s="756">
        <f>IF(OR($A82="F&amp;F",$A82="CE",M$7="No aplica"),0,'BOULEVARD 5'!P80-'BOULEVARD PPTO'!H75)</f>
        <v>0</v>
      </c>
      <c r="N82" s="756">
        <f>IF(OR($A82="F&amp;F",$A82="CE",N$7="No aplica"),0,'BOULEVARD 5'!Q80-'BOULEVARD PPTO'!I75)</f>
        <v>0</v>
      </c>
      <c r="O82" s="756">
        <f>IF(OR($A82="F&amp;F",$A82="CE",O$7="No aplica"),0,'BOULEVARD 5'!R80-'BOULEVARD PPTO'!J75)</f>
        <v>0</v>
      </c>
      <c r="P82" s="756">
        <f>IF(OR($A82="F&amp;F",$A82="CE",P$7="No aplica"),0,'BOULEVARD 5'!S80-'BOULEVARD PPTO'!K75)</f>
        <v>0</v>
      </c>
      <c r="Q82" s="760">
        <f>IF(OR($A82="F&amp;F",$A82="CE",Q$7="No aplica"),0,'BOULEVARD 5'!T80-'BOULEVARD PPTO'!L75)</f>
        <v>0</v>
      </c>
      <c r="R82" s="760">
        <f>IF(OR($A82="F&amp;F",$A82="CE",R$7="No aplica"),0,'BOULEVARD 5'!U80-'BOULEVARD PPTO'!M75)</f>
        <v>0</v>
      </c>
      <c r="S82" s="760">
        <f>IF(OR($A82="F&amp;F",$A82="CE",S$7="No aplica"),0,'BOULEVARD 5'!V80-'BOULEVARD PPTO'!N75)</f>
        <v>0</v>
      </c>
      <c r="T82" s="760">
        <f>IF(OR($A82="F&amp;F",$A82="CE",T$7="No aplica"),0,'BOULEVARD 5'!W80-'BOULEVARD PPTO'!O75)</f>
        <v>0</v>
      </c>
      <c r="U82" s="760">
        <f>IF(OR($A82="F&amp;F",$A82="CE",U$7="No aplica"),0,'BOULEVARD 5'!X80-'BOULEVARD PPTO'!P75)</f>
        <v>0</v>
      </c>
      <c r="V82" s="760">
        <f>IF(OR($A82="F&amp;F",$A82="CE",V$7="No aplica"),0,'BOULEVARD 5'!Y80-'BOULEVARD PPTO'!Q75)</f>
        <v>0</v>
      </c>
      <c r="W82" s="760">
        <f>IF(OR($A82="F&amp;F",$A82="CE",W$7="No aplica"),0,'BOULEVARD 5'!Z80-'BOULEVARD PPTO'!R75)</f>
        <v>0</v>
      </c>
      <c r="X82" s="760">
        <f>IF(OR($A82="F&amp;F",$A82="CE",X$7="No aplica"),0,'BOULEVARD 5'!AA80-'BOULEVARD PPTO'!S75)</f>
        <v>0</v>
      </c>
      <c r="Y82" s="760">
        <f>IF(OR($A82="F&amp;F",$A82="CE",Y$7="No aplica"),0,'BOULEVARD 5'!AB80-'BOULEVARD PPTO'!T75)</f>
        <v>0</v>
      </c>
      <c r="Z82" s="760">
        <f>IF(OR($A82="F&amp;F",$A82="CE",Z$7="No aplica"),0,'BOULEVARD 5'!AC80-'BOULEVARD PPTO'!U75)</f>
        <v>0</v>
      </c>
      <c r="AA82" s="760">
        <f>IF(OR($A82="F&amp;F",$A82="CE",AA$7="No aplica"),0,'BOULEVARD 5'!AD80-'BOULEVARD PPTO'!V75)</f>
        <v>0</v>
      </c>
      <c r="AB82" s="760">
        <f>IF(OR($A82="F&amp;F",$A82="CE",AB$7="No aplica"),0,'BOULEVARD 5'!AE80-'BOULEVARD PPTO'!W75)</f>
        <v>0</v>
      </c>
      <c r="AC82" s="760">
        <f>IF(OR($A82="F&amp;F",$A82="CE",AC$7="No aplica"),0,'BOULEVARD 5'!AF80-'BOULEVARD PPTO'!X75)</f>
        <v>0</v>
      </c>
      <c r="AD82" s="760">
        <f>IF(OR($A82="F&amp;F",$A82="CE",AD$7="No aplica"),0,'BOULEVARD 5'!AG80-'BOULEVARD PPTO'!Y75)</f>
        <v>0</v>
      </c>
      <c r="AE82" s="760">
        <f>IF(OR($A82="F&amp;F",$A82="CE",AE$7="No aplica"),0,'BOULEVARD 5'!AH80-'BOULEVARD PPTO'!Z75)</f>
        <v>0</v>
      </c>
      <c r="AF82" s="760">
        <f>IF(OR($A82="F&amp;F",$A82="CE",AF$7="No aplica"),0,'BOULEVARD 5'!AI80-'BOULEVARD PPTO'!AA75)</f>
        <v>0</v>
      </c>
      <c r="AG82" s="760">
        <f>IF(OR($A82="F&amp;F",$A82="CE",AG$7="No aplica"),0,'BOULEVARD 5'!AJ80-'BOULEVARD PPTO'!AB75)</f>
        <v>0</v>
      </c>
      <c r="AH82" s="760">
        <f>IF(OR($A82="F&amp;F",$A82="CE",AH$7="No aplica"),0,'BOULEVARD 5'!AK80-'BOULEVARD PPTO'!AC75)</f>
        <v>0</v>
      </c>
      <c r="AI82" s="760">
        <f>IF(OR($A82="F&amp;F",$A82="CE",AI$7="No aplica"),0,'BOULEVARD 5'!AL80-'BOULEVARD PPTO'!AD75)</f>
        <v>0</v>
      </c>
      <c r="AJ82" s="760">
        <f>IF(OR($A82="F&amp;F",$A82="CE",AJ$7="No aplica"),0,'BOULEVARD 5'!AM80-'BOULEVARD PPTO'!AE75)</f>
        <v>0</v>
      </c>
      <c r="AK82" s="760">
        <f>IF(OR($A82="F&amp;F",$A82="CE",AK$7="No aplica"),0,'BOULEVARD 5'!AN80-'BOULEVARD PPTO'!AF75)</f>
        <v>0</v>
      </c>
      <c r="AL82" s="760">
        <f>IF(OR($A82="F&amp;F",$A82="CE",AL$7="No aplica"),0,'BOULEVARD 5'!AO80-'BOULEVARD PPTO'!AG75)</f>
        <v>0</v>
      </c>
      <c r="AM82" s="760">
        <f>IF(OR($A82="F&amp;F",$A82="CE",AM$7="No aplica"),0,'BOULEVARD 5'!AP80-'BOULEVARD PPTO'!AH75)</f>
        <v>0</v>
      </c>
      <c r="AN82" s="760">
        <f>IF(OR($A82="F&amp;F",$A82="CE",AN$7="No aplica"),0,'BOULEVARD 5'!AQ80-'BOULEVARD PPTO'!AI75)</f>
        <v>0</v>
      </c>
      <c r="AO82" s="760">
        <f>IF(OR($A82="F&amp;F",$A82="CE",AO$7="No aplica"),0,'BOULEVARD 5'!AS80-'BOULEVARD PPTO'!AJ75)</f>
        <v>0</v>
      </c>
      <c r="AP82" s="761">
        <f t="shared" si="13"/>
        <v>0</v>
      </c>
      <c r="AQ82" s="761">
        <f t="shared" si="14"/>
        <v>-31576</v>
      </c>
      <c r="AR82" s="674">
        <f>IF(A82=0,'BOULEVARD 5'!BF80,0)</f>
        <v>10000</v>
      </c>
      <c r="AS82" s="674">
        <f>IF(A82=0,'BOULEVARD 5'!BG80,0)</f>
        <v>7894</v>
      </c>
      <c r="AT82" s="675" t="str">
        <f t="shared" si="12"/>
        <v>Vendido</v>
      </c>
      <c r="AU82" s="581" t="str">
        <f t="shared" si="11"/>
        <v/>
      </c>
      <c r="AV82" s="760">
        <f t="shared" si="15"/>
        <v>0</v>
      </c>
    </row>
    <row r="83" spans="1:48" s="581" customFormat="1" ht="12.4" customHeight="1" outlineLevel="1" x14ac:dyDescent="0.25">
      <c r="A83" s="703">
        <f>'BOULEVARD 5'!BQ81</f>
        <v>0</v>
      </c>
      <c r="B83" s="564">
        <v>505</v>
      </c>
      <c r="C83" s="564" t="s">
        <v>461</v>
      </c>
      <c r="D83" s="564"/>
      <c r="E83" s="564" t="str">
        <f>IF('BOULEVARD 5'!E81&lt;&gt;0,'BOULEVARD 5'!E81,"")</f>
        <v>Antonio Rada</v>
      </c>
      <c r="F83" s="581" t="str">
        <f>IF('BOULEVARD 5'!F81&lt;&gt;0,'BOULEVARD 5'!F81,"")</f>
        <v>Nancy Eugenia Cisneros Sanchez De Davila</v>
      </c>
      <c r="G83" s="566">
        <f>IF('BOULEVARD 5'!G81="","",'BOULEVARD 5'!G81)</f>
        <v>45503</v>
      </c>
      <c r="H83" s="756">
        <f>IF(OR($A83="F&amp;F",$A83="CE",H$7="No aplica"),0,'BOULEVARD 5'!K81-'BOULEVARD PPTO'!C76)</f>
        <v>0</v>
      </c>
      <c r="I83" s="756">
        <f>IF(OR($A83="F&amp;F",$A83="CE",I$7="No aplica"),0,'BOULEVARD 5'!L81-'BOULEVARD PPTO'!D76)</f>
        <v>0</v>
      </c>
      <c r="J83" s="756">
        <f>IF(OR($A83="F&amp;F",$A83="CE",J$7="No aplica"),0,'BOULEVARD 5'!M81-'BOULEVARD PPTO'!E76)</f>
        <v>0</v>
      </c>
      <c r="K83" s="756">
        <f>IF(OR($A83="F&amp;F",$A83="CE",K$7="No aplica"),0,'BOULEVARD 5'!N81-'BOULEVARD PPTO'!F76)</f>
        <v>0</v>
      </c>
      <c r="L83" s="756">
        <f>IF(OR($A83="F&amp;F",$A83="CE",L$7="No aplica"),0,'BOULEVARD 5'!O81-'BOULEVARD PPTO'!G76)</f>
        <v>0</v>
      </c>
      <c r="M83" s="756">
        <f>IF(OR($A83="F&amp;F",$A83="CE",M$7="No aplica"),0,'BOULEVARD 5'!P81-'BOULEVARD PPTO'!H76)</f>
        <v>0</v>
      </c>
      <c r="N83" s="756">
        <f>IF(OR($A83="F&amp;F",$A83="CE",N$7="No aplica"),0,'BOULEVARD 5'!Q81-'BOULEVARD PPTO'!I76)</f>
        <v>0</v>
      </c>
      <c r="O83" s="756">
        <f>IF(OR($A83="F&amp;F",$A83="CE",O$7="No aplica"),0,'BOULEVARD 5'!R81-'BOULEVARD PPTO'!J76)</f>
        <v>0</v>
      </c>
      <c r="P83" s="756">
        <f>IF(OR($A83="F&amp;F",$A83="CE",P$7="No aplica"),0,'BOULEVARD 5'!S81-'BOULEVARD PPTO'!K76)</f>
        <v>0</v>
      </c>
      <c r="Q83" s="760">
        <f>IF(OR($A83="F&amp;F",$A83="CE",Q$7="No aplica"),0,'BOULEVARD 5'!T81-'BOULEVARD PPTO'!L76)</f>
        <v>0</v>
      </c>
      <c r="R83" s="760">
        <f>IF(OR($A83="F&amp;F",$A83="CE",R$7="No aplica"),0,'BOULEVARD 5'!U81-'BOULEVARD PPTO'!M76)</f>
        <v>0</v>
      </c>
      <c r="S83" s="760">
        <f>IF(OR($A83="F&amp;F",$A83="CE",S$7="No aplica"),0,'BOULEVARD 5'!V81-'BOULEVARD PPTO'!N76)</f>
        <v>0</v>
      </c>
      <c r="T83" s="760">
        <f>IF(OR($A83="F&amp;F",$A83="CE",T$7="No aplica"),0,'BOULEVARD 5'!W81-'BOULEVARD PPTO'!O76)</f>
        <v>0</v>
      </c>
      <c r="U83" s="760">
        <f>IF(OR($A83="F&amp;F",$A83="CE",U$7="No aplica"),0,'BOULEVARD 5'!X81-'BOULEVARD PPTO'!P76)</f>
        <v>0</v>
      </c>
      <c r="V83" s="760">
        <f>IF(OR($A83="F&amp;F",$A83="CE",V$7="No aplica"),0,'BOULEVARD 5'!Y81-'BOULEVARD PPTO'!Q76)</f>
        <v>0</v>
      </c>
      <c r="W83" s="760">
        <f>IF(OR($A83="F&amp;F",$A83="CE",W$7="No aplica"),0,'BOULEVARD 5'!Z81-'BOULEVARD PPTO'!R76)</f>
        <v>0</v>
      </c>
      <c r="X83" s="760">
        <f>IF(OR($A83="F&amp;F",$A83="CE",X$7="No aplica"),0,'BOULEVARD 5'!AA81-'BOULEVARD PPTO'!S76)</f>
        <v>0</v>
      </c>
      <c r="Y83" s="760">
        <f>IF(OR($A83="F&amp;F",$A83="CE",Y$7="No aplica"),0,'BOULEVARD 5'!AB81-'BOULEVARD PPTO'!T76)</f>
        <v>0</v>
      </c>
      <c r="Z83" s="760">
        <f>IF(OR($A83="F&amp;F",$A83="CE",Z$7="No aplica"),0,'BOULEVARD 5'!AC81-'BOULEVARD PPTO'!U76)</f>
        <v>0</v>
      </c>
      <c r="AA83" s="760">
        <f>IF(OR($A83="F&amp;F",$A83="CE",AA$7="No aplica"),0,'BOULEVARD 5'!AD81-'BOULEVARD PPTO'!V76)</f>
        <v>0</v>
      </c>
      <c r="AB83" s="760">
        <f>IF(OR($A83="F&amp;F",$A83="CE",AB$7="No aplica"),0,'BOULEVARD 5'!AE81-'BOULEVARD PPTO'!W76)</f>
        <v>0</v>
      </c>
      <c r="AC83" s="760">
        <f>IF(OR($A83="F&amp;F",$A83="CE",AC$7="No aplica"),0,'BOULEVARD 5'!AF81-'BOULEVARD PPTO'!X76)</f>
        <v>0</v>
      </c>
      <c r="AD83" s="760">
        <f>IF(OR($A83="F&amp;F",$A83="CE",AD$7="No aplica"),0,'BOULEVARD 5'!AG81-'BOULEVARD PPTO'!Y76)</f>
        <v>0</v>
      </c>
      <c r="AE83" s="760">
        <f>IF(OR($A83="F&amp;F",$A83="CE",AE$7="No aplica"),0,'BOULEVARD 5'!AH81-'BOULEVARD PPTO'!Z76)</f>
        <v>0</v>
      </c>
      <c r="AF83" s="760">
        <f>IF(OR($A83="F&amp;F",$A83="CE",AF$7="No aplica"),0,'BOULEVARD 5'!AI81-'BOULEVARD PPTO'!AA76)</f>
        <v>0</v>
      </c>
      <c r="AG83" s="760">
        <f>IF(OR($A83="F&amp;F",$A83="CE",AG$7="No aplica"),0,'BOULEVARD 5'!AJ81-'BOULEVARD PPTO'!AB76)</f>
        <v>0</v>
      </c>
      <c r="AH83" s="760">
        <f>IF(OR($A83="F&amp;F",$A83="CE",AH$7="No aplica"),0,'BOULEVARD 5'!AK81-'BOULEVARD PPTO'!AC76)</f>
        <v>0</v>
      </c>
      <c r="AI83" s="760">
        <f>IF(OR($A83="F&amp;F",$A83="CE",AI$7="No aplica"),0,'BOULEVARD 5'!AL81-'BOULEVARD PPTO'!AD76)</f>
        <v>0</v>
      </c>
      <c r="AJ83" s="760">
        <f>IF(OR($A83="F&amp;F",$A83="CE",AJ$7="No aplica"),0,'BOULEVARD 5'!AM81-'BOULEVARD PPTO'!AE76)</f>
        <v>0</v>
      </c>
      <c r="AK83" s="760">
        <f>IF(OR($A83="F&amp;F",$A83="CE",AK$7="No aplica"),0,'BOULEVARD 5'!AN81-'BOULEVARD PPTO'!AF76)</f>
        <v>-7645</v>
      </c>
      <c r="AL83" s="760">
        <f>IF(OR($A83="F&amp;F",$A83="CE",AL$7="No aplica"),0,'BOULEVARD 5'!AO81-'BOULEVARD PPTO'!AG76)</f>
        <v>7645</v>
      </c>
      <c r="AM83" s="760">
        <f>IF(OR($A83="F&amp;F",$A83="CE",AM$7="No aplica"),0,'BOULEVARD 5'!AP81-'BOULEVARD PPTO'!AH76)</f>
        <v>0</v>
      </c>
      <c r="AN83" s="760">
        <f>IF(OR($A83="F&amp;F",$A83="CE",AN$7="No aplica"),0,'BOULEVARD 5'!AQ81-'BOULEVARD PPTO'!AI76)</f>
        <v>0</v>
      </c>
      <c r="AO83" s="760">
        <f>IF(OR($A83="F&amp;F",$A83="CE",AO$7="No aplica"),0,'BOULEVARD 5'!AS81-'BOULEVARD PPTO'!AJ76)</f>
        <v>0</v>
      </c>
      <c r="AP83" s="761">
        <f t="shared" si="13"/>
        <v>0</v>
      </c>
      <c r="AQ83" s="761">
        <f t="shared" si="14"/>
        <v>7643</v>
      </c>
      <c r="AR83" s="674">
        <f>IF(A83=0,'BOULEVARD 5'!BF81,0)</f>
        <v>10000</v>
      </c>
      <c r="AS83" s="674">
        <f>IF(A83=0,'BOULEVARD 5'!BG81,0)</f>
        <v>7645</v>
      </c>
      <c r="AT83" s="675" t="str">
        <f t="shared" si="12"/>
        <v>Vendido</v>
      </c>
      <c r="AU83" s="581" t="str">
        <f t="shared" si="11"/>
        <v/>
      </c>
      <c r="AV83" s="760">
        <f t="shared" si="15"/>
        <v>0</v>
      </c>
    </row>
    <row r="84" spans="1:48" s="581" customFormat="1" ht="12.4" customHeight="1" outlineLevel="1" x14ac:dyDescent="0.25">
      <c r="A84" s="703">
        <f>'BOULEVARD 5'!BQ82</f>
        <v>0</v>
      </c>
      <c r="B84" s="564">
        <v>506</v>
      </c>
      <c r="C84" s="564" t="s">
        <v>463</v>
      </c>
      <c r="D84" s="564"/>
      <c r="E84" s="564" t="str">
        <f>IF('BOULEVARD 5'!E82&lt;&gt;0,'BOULEVARD 5'!E82,"")</f>
        <v>Antonio Rada</v>
      </c>
      <c r="F84" s="581" t="str">
        <f>IF('BOULEVARD 5'!F82&lt;&gt;0,'BOULEVARD 5'!F82,"")</f>
        <v>Carlos Eduardo Miranda Y Nancy Patricia Medina</v>
      </c>
      <c r="G84" s="566">
        <f>IF('BOULEVARD 5'!G82="","",'BOULEVARD 5'!G82)</f>
        <v>45580</v>
      </c>
      <c r="H84" s="756">
        <f>IF(OR($A84="F&amp;F",$A84="CE",H$7="No aplica"),0,'BOULEVARD 5'!K82-'BOULEVARD PPTO'!C77)</f>
        <v>0</v>
      </c>
      <c r="I84" s="756">
        <f>IF(OR($A84="F&amp;F",$A84="CE",I$7="No aplica"),0,'BOULEVARD 5'!L82-'BOULEVARD PPTO'!D77)</f>
        <v>0</v>
      </c>
      <c r="J84" s="756">
        <f>IF(OR($A84="F&amp;F",$A84="CE",J$7="No aplica"),0,'BOULEVARD 5'!M82-'BOULEVARD PPTO'!E77)</f>
        <v>0</v>
      </c>
      <c r="K84" s="756">
        <f>IF(OR($A84="F&amp;F",$A84="CE",K$7="No aplica"),0,'BOULEVARD 5'!N82-'BOULEVARD PPTO'!F77)</f>
        <v>0</v>
      </c>
      <c r="L84" s="756">
        <f>IF(OR($A84="F&amp;F",$A84="CE",L$7="No aplica"),0,'BOULEVARD 5'!O82-'BOULEVARD PPTO'!G77)</f>
        <v>0</v>
      </c>
      <c r="M84" s="756">
        <f>IF(OR($A84="F&amp;F",$A84="CE",M$7="No aplica"),0,'BOULEVARD 5'!P82-'BOULEVARD PPTO'!H77)</f>
        <v>0</v>
      </c>
      <c r="N84" s="756">
        <f>IF(OR($A84="F&amp;F",$A84="CE",N$7="No aplica"),0,'BOULEVARD 5'!Q82-'BOULEVARD PPTO'!I77)</f>
        <v>0</v>
      </c>
      <c r="O84" s="756">
        <f>IF(OR($A84="F&amp;F",$A84="CE",O$7="No aplica"),0,'BOULEVARD 5'!R82-'BOULEVARD PPTO'!J77)</f>
        <v>0</v>
      </c>
      <c r="P84" s="756">
        <f>IF(OR($A84="F&amp;F",$A84="CE",P$7="No aplica"),0,'BOULEVARD 5'!S82-'BOULEVARD PPTO'!K77)</f>
        <v>0</v>
      </c>
      <c r="Q84" s="760">
        <f>IF(OR($A84="F&amp;F",$A84="CE",Q$7="No aplica"),0,'BOULEVARD 5'!T82-'BOULEVARD PPTO'!L77)</f>
        <v>0</v>
      </c>
      <c r="R84" s="760">
        <f>IF(OR($A84="F&amp;F",$A84="CE",R$7="No aplica"),0,'BOULEVARD 5'!U82-'BOULEVARD PPTO'!M77)</f>
        <v>0</v>
      </c>
      <c r="S84" s="760">
        <f>IF(OR($A84="F&amp;F",$A84="CE",S$7="No aplica"),0,'BOULEVARD 5'!V82-'BOULEVARD PPTO'!N77)</f>
        <v>0</v>
      </c>
      <c r="T84" s="760">
        <f>IF(OR($A84="F&amp;F",$A84="CE",T$7="No aplica"),0,'BOULEVARD 5'!W82-'BOULEVARD PPTO'!O77)</f>
        <v>0</v>
      </c>
      <c r="U84" s="760">
        <f>IF(OR($A84="F&amp;F",$A84="CE",U$7="No aplica"),0,'BOULEVARD 5'!X82-'BOULEVARD PPTO'!P77)</f>
        <v>0</v>
      </c>
      <c r="V84" s="760">
        <f>IF(OR($A84="F&amp;F",$A84="CE",V$7="No aplica"),0,'BOULEVARD 5'!Y82-'BOULEVARD PPTO'!Q77)</f>
        <v>0</v>
      </c>
      <c r="W84" s="760">
        <f>IF(OR($A84="F&amp;F",$A84="CE",W$7="No aplica"),0,'BOULEVARD 5'!Z82-'BOULEVARD PPTO'!R77)</f>
        <v>0</v>
      </c>
      <c r="X84" s="760">
        <f>IF(OR($A84="F&amp;F",$A84="CE",X$7="No aplica"),0,'BOULEVARD 5'!AA82-'BOULEVARD PPTO'!S77)</f>
        <v>0</v>
      </c>
      <c r="Y84" s="760">
        <f>IF(OR($A84="F&amp;F",$A84="CE",Y$7="No aplica"),0,'BOULEVARD 5'!AB82-'BOULEVARD PPTO'!T77)</f>
        <v>0</v>
      </c>
      <c r="Z84" s="760">
        <f>IF(OR($A84="F&amp;F",$A84="CE",Z$7="No aplica"),0,'BOULEVARD 5'!AC82-'BOULEVARD PPTO'!U77)</f>
        <v>0</v>
      </c>
      <c r="AA84" s="760">
        <f>IF(OR($A84="F&amp;F",$A84="CE",AA$7="No aplica"),0,'BOULEVARD 5'!AD82-'BOULEVARD PPTO'!V77)</f>
        <v>0</v>
      </c>
      <c r="AB84" s="760">
        <f>IF(OR($A84="F&amp;F",$A84="CE",AB$7="No aplica"),0,'BOULEVARD 5'!AE82-'BOULEVARD PPTO'!W77)</f>
        <v>-45</v>
      </c>
      <c r="AC84" s="760">
        <f>IF(OR($A84="F&amp;F",$A84="CE",AC$7="No aplica"),0,'BOULEVARD 5'!AF82-'BOULEVARD PPTO'!X77)</f>
        <v>-45</v>
      </c>
      <c r="AD84" s="760">
        <f>IF(OR($A84="F&amp;F",$A84="CE",AD$7="No aplica"),0,'BOULEVARD 5'!AG82-'BOULEVARD PPTO'!Y77)</f>
        <v>-9185</v>
      </c>
      <c r="AE84" s="760">
        <f>IF(OR($A84="F&amp;F",$A84="CE",AE$7="No aplica"),0,'BOULEVARD 5'!AH82-'BOULEVARD PPTO'!Z77)</f>
        <v>9095</v>
      </c>
      <c r="AF84" s="760">
        <f>IF(OR($A84="F&amp;F",$A84="CE",AF$7="No aplica"),0,'BOULEVARD 5'!AI82-'BOULEVARD PPTO'!AA77)</f>
        <v>-45</v>
      </c>
      <c r="AG84" s="760">
        <f>IF(OR($A84="F&amp;F",$A84="CE",AG$7="No aplica"),0,'BOULEVARD 5'!AJ82-'BOULEVARD PPTO'!AB77)</f>
        <v>-45</v>
      </c>
      <c r="AH84" s="760">
        <f>IF(OR($A84="F&amp;F",$A84="CE",AH$7="No aplica"),0,'BOULEVARD 5'!AK82-'BOULEVARD PPTO'!AC77)</f>
        <v>-45</v>
      </c>
      <c r="AI84" s="760">
        <f>IF(OR($A84="F&amp;F",$A84="CE",AI$7="No aplica"),0,'BOULEVARD 5'!AL82-'BOULEVARD PPTO'!AD77)</f>
        <v>-9185</v>
      </c>
      <c r="AJ84" s="760">
        <f>IF(OR($A84="F&amp;F",$A84="CE",AJ$7="No aplica"),0,'BOULEVARD 5'!AM82-'BOULEVARD PPTO'!AE77)</f>
        <v>9095</v>
      </c>
      <c r="AK84" s="760">
        <f>IF(OR($A84="F&amp;F",$A84="CE",AK$7="No aplica"),0,'BOULEVARD 5'!AN82-'BOULEVARD PPTO'!AF77)</f>
        <v>-45</v>
      </c>
      <c r="AL84" s="760">
        <f>IF(OR($A84="F&amp;F",$A84="CE",AL$7="No aplica"),0,'BOULEVARD 5'!AO82-'BOULEVARD PPTO'!AG77)</f>
        <v>-45</v>
      </c>
      <c r="AM84" s="760">
        <f>IF(OR($A84="F&amp;F",$A84="CE",AM$7="No aplica"),0,'BOULEVARD 5'!AP82-'BOULEVARD PPTO'!AH77)</f>
        <v>-45</v>
      </c>
      <c r="AN84" s="760">
        <f>IF(OR($A84="F&amp;F",$A84="CE",AN$7="No aplica"),0,'BOULEVARD 5'!AQ82-'BOULEVARD PPTO'!AI77)</f>
        <v>0</v>
      </c>
      <c r="AO84" s="760">
        <f>IF(OR($A84="F&amp;F",$A84="CE",AO$7="No aplica"),0,'BOULEVARD 5'!AS82-'BOULEVARD PPTO'!AJ77)</f>
        <v>0</v>
      </c>
      <c r="AP84" s="761">
        <f t="shared" si="13"/>
        <v>-540</v>
      </c>
      <c r="AQ84" s="761">
        <f t="shared" si="14"/>
        <v>-635</v>
      </c>
      <c r="AR84" s="674">
        <f>IF(A84=0,'BOULEVARD 5'!BF82,0)</f>
        <v>10000</v>
      </c>
      <c r="AS84" s="674">
        <f>IF(A84=0,'BOULEVARD 5'!BG82,0)</f>
        <v>9185</v>
      </c>
      <c r="AT84" s="675" t="str">
        <f t="shared" si="12"/>
        <v>Vendido</v>
      </c>
      <c r="AU84" s="581" t="str">
        <f t="shared" si="11"/>
        <v>POR COBRAR</v>
      </c>
      <c r="AV84" s="760">
        <f t="shared" si="15"/>
        <v>0</v>
      </c>
    </row>
    <row r="85" spans="1:48" s="581" customFormat="1" ht="12.4" customHeight="1" outlineLevel="1" x14ac:dyDescent="0.25">
      <c r="A85" s="703">
        <f>'BOULEVARD 5'!BQ83</f>
        <v>0</v>
      </c>
      <c r="B85" s="564">
        <v>507</v>
      </c>
      <c r="C85" s="564" t="s">
        <v>465</v>
      </c>
      <c r="D85" s="564"/>
      <c r="E85" s="564" t="str">
        <f>IF('BOULEVARD 5'!E83&lt;&gt;0,'BOULEVARD 5'!E83,"")</f>
        <v>Antonio Rada</v>
      </c>
      <c r="F85" s="581" t="str">
        <f>IF('BOULEVARD 5'!F83&lt;&gt;0,'BOULEVARD 5'!F83,"")</f>
        <v>Osmin Otoniel Oliva Córdova</v>
      </c>
      <c r="G85" s="566">
        <f>IF('BOULEVARD 5'!G83="","",'BOULEVARD 5'!G83)</f>
        <v>45155</v>
      </c>
      <c r="H85" s="756">
        <f>IF(OR($A85="F&amp;F",$A85="CE",H$7="No aplica"),0,'BOULEVARD 5'!K83-'BOULEVARD PPTO'!C78)</f>
        <v>0</v>
      </c>
      <c r="I85" s="756">
        <f>IF(OR($A85="F&amp;F",$A85="CE",I$7="No aplica"),0,'BOULEVARD 5'!L83-'BOULEVARD PPTO'!D78)</f>
        <v>0</v>
      </c>
      <c r="J85" s="756">
        <f>IF(OR($A85="F&amp;F",$A85="CE",J$7="No aplica"),0,'BOULEVARD 5'!M83-'BOULEVARD PPTO'!E78)</f>
        <v>0</v>
      </c>
      <c r="K85" s="756">
        <f>IF(OR($A85="F&amp;F",$A85="CE",K$7="No aplica"),0,'BOULEVARD 5'!N83-'BOULEVARD PPTO'!F78)</f>
        <v>0</v>
      </c>
      <c r="L85" s="756">
        <f>IF(OR($A85="F&amp;F",$A85="CE",L$7="No aplica"),0,'BOULEVARD 5'!O83-'BOULEVARD PPTO'!G78)</f>
        <v>0</v>
      </c>
      <c r="M85" s="756">
        <f>IF(OR($A85="F&amp;F",$A85="CE",M$7="No aplica"),0,'BOULEVARD 5'!P83-'BOULEVARD PPTO'!H78)</f>
        <v>0</v>
      </c>
      <c r="N85" s="756">
        <f>IF(OR($A85="F&amp;F",$A85="CE",N$7="No aplica"),0,'BOULEVARD 5'!Q83-'BOULEVARD PPTO'!I78)</f>
        <v>0</v>
      </c>
      <c r="O85" s="756">
        <f>IF(OR($A85="F&amp;F",$A85="CE",O$7="No aplica"),0,'BOULEVARD 5'!R83-'BOULEVARD PPTO'!J78)</f>
        <v>0</v>
      </c>
      <c r="P85" s="756">
        <f>IF(OR($A85="F&amp;F",$A85="CE",P$7="No aplica"),0,'BOULEVARD 5'!S83-'BOULEVARD PPTO'!K78)</f>
        <v>0</v>
      </c>
      <c r="Q85" s="760">
        <f>IF(OR($A85="F&amp;F",$A85="CE",Q$7="No aplica"),0,'BOULEVARD 5'!T83-'BOULEVARD PPTO'!L78)</f>
        <v>7600</v>
      </c>
      <c r="R85" s="760">
        <f>IF(OR($A85="F&amp;F",$A85="CE",R$7="No aplica"),0,'BOULEVARD 5'!U83-'BOULEVARD PPTO'!M78)</f>
        <v>-2652</v>
      </c>
      <c r="S85" s="760">
        <f>IF(OR($A85="F&amp;F",$A85="CE",S$7="No aplica"),0,'BOULEVARD 5'!V83-'BOULEVARD PPTO'!N78)</f>
        <v>0</v>
      </c>
      <c r="T85" s="760">
        <f>IF(OR($A85="F&amp;F",$A85="CE",T$7="No aplica"),0,'BOULEVARD 5'!W83-'BOULEVARD PPTO'!O78)</f>
        <v>0</v>
      </c>
      <c r="U85" s="760">
        <f>IF(OR($A85="F&amp;F",$A85="CE",U$7="No aplica"),0,'BOULEVARD 5'!X83-'BOULEVARD PPTO'!P78)</f>
        <v>0</v>
      </c>
      <c r="V85" s="760">
        <f>IF(OR($A85="F&amp;F",$A85="CE",V$7="No aplica"),0,'BOULEVARD 5'!Y83-'BOULEVARD PPTO'!Q78)</f>
        <v>0</v>
      </c>
      <c r="W85" s="760">
        <f>IF(OR($A85="F&amp;F",$A85="CE",W$7="No aplica"),0,'BOULEVARD 5'!Z83-'BOULEVARD PPTO'!R78)</f>
        <v>0</v>
      </c>
      <c r="X85" s="760">
        <f>IF(OR($A85="F&amp;F",$A85="CE",X$7="No aplica"),0,'BOULEVARD 5'!AA83-'BOULEVARD PPTO'!S78)</f>
        <v>0</v>
      </c>
      <c r="Y85" s="760">
        <f>IF(OR($A85="F&amp;F",$A85="CE",Y$7="No aplica"),0,'BOULEVARD 5'!AB83-'BOULEVARD PPTO'!T78)</f>
        <v>0</v>
      </c>
      <c r="Z85" s="760">
        <f>IF(OR($A85="F&amp;F",$A85="CE",Z$7="No aplica"),0,'BOULEVARD 5'!AC83-'BOULEVARD PPTO'!U78)</f>
        <v>0</v>
      </c>
      <c r="AA85" s="760">
        <f>IF(OR($A85="F&amp;F",$A85="CE",AA$7="No aplica"),0,'BOULEVARD 5'!AD83-'BOULEVARD PPTO'!V78)</f>
        <v>0</v>
      </c>
      <c r="AB85" s="760">
        <f>IF(OR($A85="F&amp;F",$A85="CE",AB$7="No aplica"),0,'BOULEVARD 5'!AE83-'BOULEVARD PPTO'!W78)</f>
        <v>0</v>
      </c>
      <c r="AC85" s="760">
        <f>IF(OR($A85="F&amp;F",$A85="CE",AC$7="No aplica"),0,'BOULEVARD 5'!AF83-'BOULEVARD PPTO'!X78)</f>
        <v>0</v>
      </c>
      <c r="AD85" s="760">
        <f>IF(OR($A85="F&amp;F",$A85="CE",AD$7="No aplica"),0,'BOULEVARD 5'!AG83-'BOULEVARD PPTO'!Y78)</f>
        <v>0</v>
      </c>
      <c r="AE85" s="760">
        <f>IF(OR($A85="F&amp;F",$A85="CE",AE$7="No aplica"),0,'BOULEVARD 5'!AH83-'BOULEVARD PPTO'!Z78)</f>
        <v>0</v>
      </c>
      <c r="AF85" s="760">
        <f>IF(OR($A85="F&amp;F",$A85="CE",AF$7="No aplica"),0,'BOULEVARD 5'!AI83-'BOULEVARD PPTO'!AA78)</f>
        <v>0</v>
      </c>
      <c r="AG85" s="760">
        <f>IF(OR($A85="F&amp;F",$A85="CE",AG$7="No aplica"),0,'BOULEVARD 5'!AJ83-'BOULEVARD PPTO'!AB78)</f>
        <v>0</v>
      </c>
      <c r="AH85" s="760">
        <f>IF(OR($A85="F&amp;F",$A85="CE",AH$7="No aplica"),0,'BOULEVARD 5'!AK83-'BOULEVARD PPTO'!AC78)</f>
        <v>0</v>
      </c>
      <c r="AI85" s="760">
        <f>IF(OR($A85="F&amp;F",$A85="CE",AI$7="No aplica"),0,'BOULEVARD 5'!AL83-'BOULEVARD PPTO'!AD78)</f>
        <v>0</v>
      </c>
      <c r="AJ85" s="760">
        <f>IF(OR($A85="F&amp;F",$A85="CE",AJ$7="No aplica"),0,'BOULEVARD 5'!AM83-'BOULEVARD PPTO'!AE78)</f>
        <v>0</v>
      </c>
      <c r="AK85" s="760">
        <f>IF(OR($A85="F&amp;F",$A85="CE",AK$7="No aplica"),0,'BOULEVARD 5'!AN83-'BOULEVARD PPTO'!AF78)</f>
        <v>0</v>
      </c>
      <c r="AL85" s="760">
        <f>IF(OR($A85="F&amp;F",$A85="CE",AL$7="No aplica"),0,'BOULEVARD 5'!AO83-'BOULEVARD PPTO'!AG78)</f>
        <v>0</v>
      </c>
      <c r="AM85" s="760">
        <f>IF(OR($A85="F&amp;F",$A85="CE",AM$7="No aplica"),0,'BOULEVARD 5'!AP83-'BOULEVARD PPTO'!AH78)</f>
        <v>2652</v>
      </c>
      <c r="AN85" s="760">
        <f>IF(OR($A85="F&amp;F",$A85="CE",AN$7="No aplica"),0,'BOULEVARD 5'!AQ83-'BOULEVARD PPTO'!AI78)</f>
        <v>0</v>
      </c>
      <c r="AO85" s="760">
        <f>IF(OR($A85="F&amp;F",$A85="CE",AO$7="No aplica"),0,'BOULEVARD 5'!AS83-'BOULEVARD PPTO'!AJ78)</f>
        <v>0</v>
      </c>
      <c r="AP85" s="761">
        <f t="shared" si="13"/>
        <v>7600</v>
      </c>
      <c r="AQ85" s="761">
        <f t="shared" si="14"/>
        <v>10252</v>
      </c>
      <c r="AR85" s="674">
        <f>IF(A85=0,'BOULEVARD 5'!BF83,0)</f>
        <v>6000</v>
      </c>
      <c r="AS85" s="674">
        <f>IF(A85=0,'BOULEVARD 5'!BG83,0)</f>
        <v>2652</v>
      </c>
      <c r="AT85" s="675" t="str">
        <f t="shared" si="12"/>
        <v>Vendido</v>
      </c>
      <c r="AU85" s="581" t="str">
        <f t="shared" si="11"/>
        <v>A FAVOR DEL CLIENTE</v>
      </c>
      <c r="AV85" s="760">
        <f t="shared" si="15"/>
        <v>2652</v>
      </c>
    </row>
    <row r="86" spans="1:48" s="581" customFormat="1" ht="12.4" customHeight="1" outlineLevel="1" x14ac:dyDescent="0.25">
      <c r="A86" s="703">
        <f>'BOULEVARD 5'!BQ84</f>
        <v>0</v>
      </c>
      <c r="B86" s="564">
        <v>508</v>
      </c>
      <c r="C86" s="564" t="s">
        <v>467</v>
      </c>
      <c r="D86" s="564"/>
      <c r="E86" s="564" t="str">
        <f>IF('BOULEVARD 5'!E84&lt;&gt;0,'BOULEVARD 5'!E84,"")</f>
        <v>Antonio Rada</v>
      </c>
      <c r="F86" s="581" t="str">
        <f>IF('BOULEVARD 5'!F84&lt;&gt;0,'BOULEVARD 5'!F84,"")</f>
        <v>Evelyn Aida Samayoa San Jose</v>
      </c>
      <c r="G86" s="566">
        <f>IF('BOULEVARD 5'!G84="","",'BOULEVARD 5'!G84)</f>
        <v>45394</v>
      </c>
      <c r="H86" s="756">
        <f>IF(OR($A86="F&amp;F",$A86="CE",H$7="No aplica"),0,'BOULEVARD 5'!K84-'BOULEVARD PPTO'!C79)</f>
        <v>0</v>
      </c>
      <c r="I86" s="756">
        <f>IF(OR($A86="F&amp;F",$A86="CE",I$7="No aplica"),0,'BOULEVARD 5'!L84-'BOULEVARD PPTO'!D79)</f>
        <v>0</v>
      </c>
      <c r="J86" s="756">
        <f>IF(OR($A86="F&amp;F",$A86="CE",J$7="No aplica"),0,'BOULEVARD 5'!M84-'BOULEVARD PPTO'!E79)</f>
        <v>0</v>
      </c>
      <c r="K86" s="756">
        <f>IF(OR($A86="F&amp;F",$A86="CE",K$7="No aplica"),0,'BOULEVARD 5'!N84-'BOULEVARD PPTO'!F79)</f>
        <v>0</v>
      </c>
      <c r="L86" s="756">
        <f>IF(OR($A86="F&amp;F",$A86="CE",L$7="No aplica"),0,'BOULEVARD 5'!O84-'BOULEVARD PPTO'!G79)</f>
        <v>0</v>
      </c>
      <c r="M86" s="756">
        <f>IF(OR($A86="F&amp;F",$A86="CE",M$7="No aplica"),0,'BOULEVARD 5'!P84-'BOULEVARD PPTO'!H79)</f>
        <v>0</v>
      </c>
      <c r="N86" s="756">
        <f>IF(OR($A86="F&amp;F",$A86="CE",N$7="No aplica"),0,'BOULEVARD 5'!Q84-'BOULEVARD PPTO'!I79)</f>
        <v>0</v>
      </c>
      <c r="O86" s="756">
        <f>IF(OR($A86="F&amp;F",$A86="CE",O$7="No aplica"),0,'BOULEVARD 5'!R84-'BOULEVARD PPTO'!J79)</f>
        <v>0</v>
      </c>
      <c r="P86" s="756">
        <f>IF(OR($A86="F&amp;F",$A86="CE",P$7="No aplica"),0,'BOULEVARD 5'!S84-'BOULEVARD PPTO'!K79)</f>
        <v>0</v>
      </c>
      <c r="Q86" s="760">
        <f>IF(OR($A86="F&amp;F",$A86="CE",Q$7="No aplica"),0,'BOULEVARD 5'!T84-'BOULEVARD PPTO'!L79)</f>
        <v>0</v>
      </c>
      <c r="R86" s="760">
        <f>IF(OR($A86="F&amp;F",$A86="CE",R$7="No aplica"),0,'BOULEVARD 5'!U84-'BOULEVARD PPTO'!M79)</f>
        <v>0</v>
      </c>
      <c r="S86" s="760">
        <f>IF(OR($A86="F&amp;F",$A86="CE",S$7="No aplica"),0,'BOULEVARD 5'!V84-'BOULEVARD PPTO'!N79)</f>
        <v>0</v>
      </c>
      <c r="T86" s="760">
        <f>IF(OR($A86="F&amp;F",$A86="CE",T$7="No aplica"),0,'BOULEVARD 5'!W84-'BOULEVARD PPTO'!O79)</f>
        <v>0</v>
      </c>
      <c r="U86" s="760">
        <f>IF(OR($A86="F&amp;F",$A86="CE",U$7="No aplica"),0,'BOULEVARD 5'!X84-'BOULEVARD PPTO'!P79)</f>
        <v>0</v>
      </c>
      <c r="V86" s="760">
        <f>IF(OR($A86="F&amp;F",$A86="CE",V$7="No aplica"),0,'BOULEVARD 5'!Y84-'BOULEVARD PPTO'!Q79)</f>
        <v>6</v>
      </c>
      <c r="W86" s="760">
        <f>IF(OR($A86="F&amp;F",$A86="CE",W$7="No aplica"),0,'BOULEVARD 5'!Z84-'BOULEVARD PPTO'!R79)</f>
        <v>6</v>
      </c>
      <c r="X86" s="760">
        <f>IF(OR($A86="F&amp;F",$A86="CE",X$7="No aplica"),0,'BOULEVARD 5'!AA84-'BOULEVARD PPTO'!S79)</f>
        <v>6</v>
      </c>
      <c r="Y86" s="760">
        <f>IF(OR($A86="F&amp;F",$A86="CE",Y$7="No aplica"),0,'BOULEVARD 5'!AB84-'BOULEVARD PPTO'!T79)</f>
        <v>6</v>
      </c>
      <c r="Z86" s="760">
        <f>IF(OR($A86="F&amp;F",$A86="CE",Z$7="No aplica"),0,'BOULEVARD 5'!AC84-'BOULEVARD PPTO'!U79)</f>
        <v>6506</v>
      </c>
      <c r="AA86" s="760">
        <f>IF(OR($A86="F&amp;F",$A86="CE",AA$7="No aplica"),0,'BOULEVARD 5'!AD84-'BOULEVARD PPTO'!V79)</f>
        <v>-6494</v>
      </c>
      <c r="AB86" s="760">
        <f>IF(OR($A86="F&amp;F",$A86="CE",AB$7="No aplica"),0,'BOULEVARD 5'!AE84-'BOULEVARD PPTO'!W79)</f>
        <v>6</v>
      </c>
      <c r="AC86" s="760">
        <f>IF(OR($A86="F&amp;F",$A86="CE",AC$7="No aplica"),0,'BOULEVARD 5'!AF84-'BOULEVARD PPTO'!X79)</f>
        <v>6506</v>
      </c>
      <c r="AD86" s="760">
        <f>IF(OR($A86="F&amp;F",$A86="CE",AD$7="No aplica"),0,'BOULEVARD 5'!AG84-'BOULEVARD PPTO'!Y79)</f>
        <v>-6494</v>
      </c>
      <c r="AE86" s="760">
        <f>IF(OR($A86="F&amp;F",$A86="CE",AE$7="No aplica"),0,'BOULEVARD 5'!AH84-'BOULEVARD PPTO'!Z79)</f>
        <v>6</v>
      </c>
      <c r="AF86" s="760">
        <f>IF(OR($A86="F&amp;F",$A86="CE",AF$7="No aplica"),0,'BOULEVARD 5'!AI84-'BOULEVARD PPTO'!AA79)</f>
        <v>6</v>
      </c>
      <c r="AG86" s="760">
        <f>IF(OR($A86="F&amp;F",$A86="CE",AG$7="No aplica"),0,'BOULEVARD 5'!AJ84-'BOULEVARD PPTO'!AB79)</f>
        <v>6</v>
      </c>
      <c r="AH86" s="760">
        <f>IF(OR($A86="F&amp;F",$A86="CE",AH$7="No aplica"),0,'BOULEVARD 5'!AK84-'BOULEVARD PPTO'!AC79)</f>
        <v>6</v>
      </c>
      <c r="AI86" s="760">
        <f>IF(OR($A86="F&amp;F",$A86="CE",AI$7="No aplica"),0,'BOULEVARD 5'!AL84-'BOULEVARD PPTO'!AD79)</f>
        <v>6</v>
      </c>
      <c r="AJ86" s="760">
        <f>IF(OR($A86="F&amp;F",$A86="CE",AJ$7="No aplica"),0,'BOULEVARD 5'!AM84-'BOULEVARD PPTO'!AE79)</f>
        <v>-6494</v>
      </c>
      <c r="AK86" s="760">
        <f>IF(OR($A86="F&amp;F",$A86="CE",AK$7="No aplica"),0,'BOULEVARD 5'!AN84-'BOULEVARD PPTO'!AF79)</f>
        <v>6</v>
      </c>
      <c r="AL86" s="760">
        <f>IF(OR($A86="F&amp;F",$A86="CE",AL$7="No aplica"),0,'BOULEVARD 5'!AO84-'BOULEVARD PPTO'!AG79)</f>
        <v>11</v>
      </c>
      <c r="AM86" s="760">
        <f>IF(OR($A86="F&amp;F",$A86="CE",AM$7="No aplica"),0,'BOULEVARD 5'!AP84-'BOULEVARD PPTO'!AH79)</f>
        <v>6500</v>
      </c>
      <c r="AN86" s="760">
        <f>IF(OR($A86="F&amp;F",$A86="CE",AN$7="No aplica"),0,'BOULEVARD 5'!AQ84-'BOULEVARD PPTO'!AI79)</f>
        <v>0</v>
      </c>
      <c r="AO86" s="760">
        <f>IF(OR($A86="F&amp;F",$A86="CE",AO$7="No aplica"),0,'BOULEVARD 5'!AS84-'BOULEVARD PPTO'!AJ79)</f>
        <v>0</v>
      </c>
      <c r="AP86" s="761">
        <f t="shared" si="13"/>
        <v>107</v>
      </c>
      <c r="AQ86" s="761">
        <f t="shared" si="14"/>
        <v>19607</v>
      </c>
      <c r="AR86" s="674">
        <f>IF(A86=0,'BOULEVARD 5'!BF84,0)</f>
        <v>8000</v>
      </c>
      <c r="AS86" s="674">
        <f>IF(A86=0,'BOULEVARD 5'!BG84,0)</f>
        <v>6494</v>
      </c>
      <c r="AT86" s="675" t="str">
        <f t="shared" si="12"/>
        <v>Vendido</v>
      </c>
      <c r="AU86" s="581" t="str">
        <f t="shared" si="11"/>
        <v>A FAVOR DEL CLIENTE</v>
      </c>
      <c r="AV86" s="760">
        <f t="shared" si="15"/>
        <v>6500</v>
      </c>
    </row>
    <row r="87" spans="1:48" s="581" customFormat="1" ht="12.4" customHeight="1" outlineLevel="1" x14ac:dyDescent="0.25">
      <c r="A87" s="703">
        <f>'BOULEVARD 5'!BQ85</f>
        <v>0</v>
      </c>
      <c r="B87" s="564">
        <v>509</v>
      </c>
      <c r="C87" s="564" t="s">
        <v>469</v>
      </c>
      <c r="D87" s="564"/>
      <c r="E87" s="564" t="str">
        <f>IF('BOULEVARD 5'!E85&lt;&gt;0,'BOULEVARD 5'!E85,"")</f>
        <v>Antonio Rada</v>
      </c>
      <c r="F87" s="581" t="str">
        <f>IF('BOULEVARD 5'!F85&lt;&gt;0,'BOULEVARD 5'!F85,"")</f>
        <v>Anabella Alburez Aja</v>
      </c>
      <c r="G87" s="566">
        <f>IF('BOULEVARD 5'!G85="","",'BOULEVARD 5'!G85)</f>
        <v>45473</v>
      </c>
      <c r="H87" s="756">
        <f>IF(OR($A87="F&amp;F",$A87="CE",H$7="No aplica"),0,'BOULEVARD 5'!K85-'BOULEVARD PPTO'!C80)</f>
        <v>0</v>
      </c>
      <c r="I87" s="756">
        <f>IF(OR($A87="F&amp;F",$A87="CE",I$7="No aplica"),0,'BOULEVARD 5'!L85-'BOULEVARD PPTO'!D80)</f>
        <v>0</v>
      </c>
      <c r="J87" s="756">
        <f>IF(OR($A87="F&amp;F",$A87="CE",J$7="No aplica"),0,'BOULEVARD 5'!M85-'BOULEVARD PPTO'!E80)</f>
        <v>0</v>
      </c>
      <c r="K87" s="756">
        <f>IF(OR($A87="F&amp;F",$A87="CE",K$7="No aplica"),0,'BOULEVARD 5'!N85-'BOULEVARD PPTO'!F80)</f>
        <v>0</v>
      </c>
      <c r="L87" s="756">
        <f>IF(OR($A87="F&amp;F",$A87="CE",L$7="No aplica"),0,'BOULEVARD 5'!O85-'BOULEVARD PPTO'!G80)</f>
        <v>0</v>
      </c>
      <c r="M87" s="756">
        <f>IF(OR($A87="F&amp;F",$A87="CE",M$7="No aplica"),0,'BOULEVARD 5'!P85-'BOULEVARD PPTO'!H80)</f>
        <v>0</v>
      </c>
      <c r="N87" s="756">
        <f>IF(OR($A87="F&amp;F",$A87="CE",N$7="No aplica"),0,'BOULEVARD 5'!Q85-'BOULEVARD PPTO'!I80)</f>
        <v>0</v>
      </c>
      <c r="O87" s="756">
        <f>IF(OR($A87="F&amp;F",$A87="CE",O$7="No aplica"),0,'BOULEVARD 5'!R85-'BOULEVARD PPTO'!J80)</f>
        <v>0</v>
      </c>
      <c r="P87" s="756">
        <f>IF(OR($A87="F&amp;F",$A87="CE",P$7="No aplica"),0,'BOULEVARD 5'!S85-'BOULEVARD PPTO'!K80)</f>
        <v>0</v>
      </c>
      <c r="Q87" s="760">
        <f>IF(OR($A87="F&amp;F",$A87="CE",Q$7="No aplica"),0,'BOULEVARD 5'!T85-'BOULEVARD PPTO'!L80)</f>
        <v>0</v>
      </c>
      <c r="R87" s="760">
        <f>IF(OR($A87="F&amp;F",$A87="CE",R$7="No aplica"),0,'BOULEVARD 5'!U85-'BOULEVARD PPTO'!M80)</f>
        <v>0</v>
      </c>
      <c r="S87" s="760">
        <f>IF(OR($A87="F&amp;F",$A87="CE",S$7="No aplica"),0,'BOULEVARD 5'!V85-'BOULEVARD PPTO'!N80)</f>
        <v>0</v>
      </c>
      <c r="T87" s="760">
        <f>IF(OR($A87="F&amp;F",$A87="CE",T$7="No aplica"),0,'BOULEVARD 5'!W85-'BOULEVARD PPTO'!O80)</f>
        <v>0</v>
      </c>
      <c r="U87" s="760">
        <f>IF(OR($A87="F&amp;F",$A87="CE",U$7="No aplica"),0,'BOULEVARD 5'!X85-'BOULEVARD PPTO'!P80)</f>
        <v>0</v>
      </c>
      <c r="V87" s="760">
        <f>IF(OR($A87="F&amp;F",$A87="CE",V$7="No aplica"),0,'BOULEVARD 5'!Y85-'BOULEVARD PPTO'!Q80)</f>
        <v>0</v>
      </c>
      <c r="W87" s="760">
        <f>IF(OR($A87="F&amp;F",$A87="CE",W$7="No aplica"),0,'BOULEVARD 5'!Z85-'BOULEVARD PPTO'!R80)</f>
        <v>0</v>
      </c>
      <c r="X87" s="760">
        <f>IF(OR($A87="F&amp;F",$A87="CE",X$7="No aplica"),0,'BOULEVARD 5'!AA85-'BOULEVARD PPTO'!S80)</f>
        <v>-6009</v>
      </c>
      <c r="Y87" s="760">
        <f>IF(OR($A87="F&amp;F",$A87="CE",Y$7="No aplica"),0,'BOULEVARD 5'!AB85-'BOULEVARD PPTO'!T80)</f>
        <v>0</v>
      </c>
      <c r="Z87" s="760">
        <f>IF(OR($A87="F&amp;F",$A87="CE",Z$7="No aplica"),0,'BOULEVARD 5'!AC85-'BOULEVARD PPTO'!U80)</f>
        <v>0</v>
      </c>
      <c r="AA87" s="760">
        <f>IF(OR($A87="F&amp;F",$A87="CE",AA$7="No aplica"),0,'BOULEVARD 5'!AD85-'BOULEVARD PPTO'!V80)</f>
        <v>-6009</v>
      </c>
      <c r="AB87" s="760">
        <f>IF(OR($A87="F&amp;F",$A87="CE",AB$7="No aplica"),0,'BOULEVARD 5'!AE85-'BOULEVARD PPTO'!W80)</f>
        <v>0</v>
      </c>
      <c r="AC87" s="760">
        <f>IF(OR($A87="F&amp;F",$A87="CE",AC$7="No aplica"),0,'BOULEVARD 5'!AF85-'BOULEVARD PPTO'!X80)</f>
        <v>6009</v>
      </c>
      <c r="AD87" s="760">
        <f>IF(OR($A87="F&amp;F",$A87="CE",AD$7="No aplica"),0,'BOULEVARD 5'!AG85-'BOULEVARD PPTO'!Y80)</f>
        <v>6009</v>
      </c>
      <c r="AE87" s="760">
        <f>IF(OR($A87="F&amp;F",$A87="CE",AE$7="No aplica"),0,'BOULEVARD 5'!AH85-'BOULEVARD PPTO'!Z80)</f>
        <v>-6009</v>
      </c>
      <c r="AF87" s="760">
        <f>IF(OR($A87="F&amp;F",$A87="CE",AF$7="No aplica"),0,'BOULEVARD 5'!AI85-'BOULEVARD PPTO'!AA80)</f>
        <v>0</v>
      </c>
      <c r="AG87" s="760">
        <f>IF(OR($A87="F&amp;F",$A87="CE",AG$7="No aplica"),0,'BOULEVARD 5'!AJ85-'BOULEVARD PPTO'!AB80)</f>
        <v>0</v>
      </c>
      <c r="AH87" s="760">
        <f>IF(OR($A87="F&amp;F",$A87="CE",AH$7="No aplica"),0,'BOULEVARD 5'!AK85-'BOULEVARD PPTO'!AC80)</f>
        <v>-6009</v>
      </c>
      <c r="AI87" s="760">
        <f>IF(OR($A87="F&amp;F",$A87="CE",AI$7="No aplica"),0,'BOULEVARD 5'!AL85-'BOULEVARD PPTO'!AD80)</f>
        <v>0</v>
      </c>
      <c r="AJ87" s="760">
        <f>IF(OR($A87="F&amp;F",$A87="CE",AJ$7="No aplica"),0,'BOULEVARD 5'!AM85-'BOULEVARD PPTO'!AE80)</f>
        <v>12018</v>
      </c>
      <c r="AK87" s="760">
        <f>IF(OR($A87="F&amp;F",$A87="CE",AK$7="No aplica"),0,'BOULEVARD 5'!AN85-'BOULEVARD PPTO'!AF80)</f>
        <v>0</v>
      </c>
      <c r="AL87" s="760">
        <f>IF(OR($A87="F&amp;F",$A87="CE",AL$7="No aplica"),0,'BOULEVARD 5'!AO85-'BOULEVARD PPTO'!AG80)</f>
        <v>-6009</v>
      </c>
      <c r="AM87" s="760">
        <f>IF(OR($A87="F&amp;F",$A87="CE",AM$7="No aplica"),0,'BOULEVARD 5'!AP85-'BOULEVARD PPTO'!AH80)</f>
        <v>-6009</v>
      </c>
      <c r="AN87" s="760">
        <f>IF(OR($A87="F&amp;F",$A87="CE",AN$7="No aplica"),0,'BOULEVARD 5'!AQ85-'BOULEVARD PPTO'!AI80)</f>
        <v>0</v>
      </c>
      <c r="AO87" s="760">
        <f>IF(OR($A87="F&amp;F",$A87="CE",AO$7="No aplica"),0,'BOULEVARD 5'!AS85-'BOULEVARD PPTO'!AJ80)</f>
        <v>0</v>
      </c>
      <c r="AP87" s="761">
        <f t="shared" si="13"/>
        <v>-12018</v>
      </c>
      <c r="AQ87" s="761">
        <f t="shared" si="14"/>
        <v>3.5</v>
      </c>
      <c r="AR87" s="674">
        <f>IF(A87=0,'BOULEVARD 5'!BF85,0)</f>
        <v>10000</v>
      </c>
      <c r="AS87" s="674">
        <f>IF(A87=0,'BOULEVARD 5'!BG85,0)</f>
        <v>6009</v>
      </c>
      <c r="AT87" s="675" t="str">
        <f t="shared" si="12"/>
        <v>Vendido</v>
      </c>
      <c r="AU87" s="581" t="str">
        <f t="shared" si="11"/>
        <v>POR COBRAR</v>
      </c>
      <c r="AV87" s="760">
        <f t="shared" si="15"/>
        <v>0</v>
      </c>
    </row>
    <row r="88" spans="1:48" s="581" customFormat="1" ht="12.4" customHeight="1" outlineLevel="1" x14ac:dyDescent="0.25">
      <c r="A88" s="703">
        <f>'BOULEVARD 5'!BQ86</f>
        <v>0</v>
      </c>
      <c r="B88" s="564">
        <v>510</v>
      </c>
      <c r="C88" s="564" t="s">
        <v>467</v>
      </c>
      <c r="D88" s="564"/>
      <c r="E88" s="564" t="str">
        <f>IF('BOULEVARD 5'!E86&lt;&gt;0,'BOULEVARD 5'!E86,"")</f>
        <v>Antonio Rada</v>
      </c>
      <c r="F88" s="581" t="str">
        <f>IF('BOULEVARD 5'!F86&lt;&gt;0,'BOULEVARD 5'!F86,"")</f>
        <v>Francis Ayleen Funes Castellanos</v>
      </c>
      <c r="G88" s="566">
        <f>IF('BOULEVARD 5'!G86="","",'BOULEVARD 5'!G86)</f>
        <v>45352</v>
      </c>
      <c r="H88" s="756">
        <f>IF(OR($A88="F&amp;F",$A88="CE",H$7="No aplica"),0,'BOULEVARD 5'!K86-'BOULEVARD PPTO'!C81)</f>
        <v>0</v>
      </c>
      <c r="I88" s="756">
        <f>IF(OR($A88="F&amp;F",$A88="CE",I$7="No aplica"),0,'BOULEVARD 5'!L86-'BOULEVARD PPTO'!D81)</f>
        <v>0</v>
      </c>
      <c r="J88" s="756">
        <f>IF(OR($A88="F&amp;F",$A88="CE",J$7="No aplica"),0,'BOULEVARD 5'!M86-'BOULEVARD PPTO'!E81)</f>
        <v>0</v>
      </c>
      <c r="K88" s="756">
        <f>IF(OR($A88="F&amp;F",$A88="CE",K$7="No aplica"),0,'BOULEVARD 5'!N86-'BOULEVARD PPTO'!F81)</f>
        <v>0</v>
      </c>
      <c r="L88" s="756">
        <f>IF(OR($A88="F&amp;F",$A88="CE",L$7="No aplica"),0,'BOULEVARD 5'!O86-'BOULEVARD PPTO'!G81)</f>
        <v>0</v>
      </c>
      <c r="M88" s="756">
        <f>IF(OR($A88="F&amp;F",$A88="CE",M$7="No aplica"),0,'BOULEVARD 5'!P86-'BOULEVARD PPTO'!H81)</f>
        <v>0</v>
      </c>
      <c r="N88" s="756">
        <f>IF(OR($A88="F&amp;F",$A88="CE",N$7="No aplica"),0,'BOULEVARD 5'!Q86-'BOULEVARD PPTO'!I81)</f>
        <v>0</v>
      </c>
      <c r="O88" s="756">
        <f>IF(OR($A88="F&amp;F",$A88="CE",O$7="No aplica"),0,'BOULEVARD 5'!R86-'BOULEVARD PPTO'!J81)</f>
        <v>0</v>
      </c>
      <c r="P88" s="756">
        <f>IF(OR($A88="F&amp;F",$A88="CE",P$7="No aplica"),0,'BOULEVARD 5'!S86-'BOULEVARD PPTO'!K81)</f>
        <v>0</v>
      </c>
      <c r="Q88" s="760">
        <f>IF(OR($A88="F&amp;F",$A88="CE",Q$7="No aplica"),0,'BOULEVARD 5'!T86-'BOULEVARD PPTO'!L81)</f>
        <v>0</v>
      </c>
      <c r="R88" s="760">
        <f>IF(OR($A88="F&amp;F",$A88="CE",R$7="No aplica"),0,'BOULEVARD 5'!U86-'BOULEVARD PPTO'!M81)</f>
        <v>0</v>
      </c>
      <c r="S88" s="760">
        <f>IF(OR($A88="F&amp;F",$A88="CE",S$7="No aplica"),0,'BOULEVARD 5'!V86-'BOULEVARD PPTO'!N81)</f>
        <v>0</v>
      </c>
      <c r="T88" s="760">
        <f>IF(OR($A88="F&amp;F",$A88="CE",T$7="No aplica"),0,'BOULEVARD 5'!W86-'BOULEVARD PPTO'!O81)</f>
        <v>0</v>
      </c>
      <c r="U88" s="760">
        <f>IF(OR($A88="F&amp;F",$A88="CE",U$7="No aplica"),0,'BOULEVARD 5'!X86-'BOULEVARD PPTO'!P81)</f>
        <v>0</v>
      </c>
      <c r="V88" s="760">
        <f>IF(OR($A88="F&amp;F",$A88="CE",V$7="No aplica"),0,'BOULEVARD 5'!Y86-'BOULEVARD PPTO'!Q81)</f>
        <v>0</v>
      </c>
      <c r="W88" s="760">
        <f>IF(OR($A88="F&amp;F",$A88="CE",W$7="No aplica"),0,'BOULEVARD 5'!Z86-'BOULEVARD PPTO'!R81)</f>
        <v>0</v>
      </c>
      <c r="X88" s="760">
        <f>IF(OR($A88="F&amp;F",$A88="CE",X$7="No aplica"),0,'BOULEVARD 5'!AA86-'BOULEVARD PPTO'!S81)</f>
        <v>0</v>
      </c>
      <c r="Y88" s="760">
        <f>IF(OR($A88="F&amp;F",$A88="CE",Y$7="No aplica"),0,'BOULEVARD 5'!AB86-'BOULEVARD PPTO'!T81)</f>
        <v>0</v>
      </c>
      <c r="Z88" s="760">
        <f>IF(OR($A88="F&amp;F",$A88="CE",Z$7="No aplica"),0,'BOULEVARD 5'!AC86-'BOULEVARD PPTO'!U81)</f>
        <v>0</v>
      </c>
      <c r="AA88" s="760">
        <f>IF(OR($A88="F&amp;F",$A88="CE",AA$7="No aplica"),0,'BOULEVARD 5'!AD86-'BOULEVARD PPTO'!V81)</f>
        <v>0</v>
      </c>
      <c r="AB88" s="760">
        <f>IF(OR($A88="F&amp;F",$A88="CE",AB$7="No aplica"),0,'BOULEVARD 5'!AE86-'BOULEVARD PPTO'!W81)</f>
        <v>0.32999999999992724</v>
      </c>
      <c r="AC88" s="760">
        <f>IF(OR($A88="F&amp;F",$A88="CE",AC$7="No aplica"),0,'BOULEVARD 5'!AF86-'BOULEVARD PPTO'!X81)</f>
        <v>0.32999999999992724</v>
      </c>
      <c r="AD88" s="760">
        <f>IF(OR($A88="F&amp;F",$A88="CE",AD$7="No aplica"),0,'BOULEVARD 5'!AG86-'BOULEVARD PPTO'!Y81)</f>
        <v>0.32999999999992724</v>
      </c>
      <c r="AE88" s="760">
        <f>IF(OR($A88="F&amp;F",$A88="CE",AE$7="No aplica"),0,'BOULEVARD 5'!AH86-'BOULEVARD PPTO'!Z81)</f>
        <v>0.32999999999992724</v>
      </c>
      <c r="AF88" s="760">
        <f>IF(OR($A88="F&amp;F",$A88="CE",AF$7="No aplica"),0,'BOULEVARD 5'!AI86-'BOULEVARD PPTO'!AA81)</f>
        <v>0.32999999999992724</v>
      </c>
      <c r="AG88" s="760">
        <f>IF(OR($A88="F&amp;F",$A88="CE",AG$7="No aplica"),0,'BOULEVARD 5'!AJ86-'BOULEVARD PPTO'!AB81)</f>
        <v>0.32999999999992724</v>
      </c>
      <c r="AH88" s="760">
        <f>IF(OR($A88="F&amp;F",$A88="CE",AH$7="No aplica"),0,'BOULEVARD 5'!AK86-'BOULEVARD PPTO'!AC81)</f>
        <v>0.32999999999992724</v>
      </c>
      <c r="AI88" s="760">
        <f>IF(OR($A88="F&amp;F",$A88="CE",AI$7="No aplica"),0,'BOULEVARD 5'!AL86-'BOULEVARD PPTO'!AD81)</f>
        <v>0.32999999999992724</v>
      </c>
      <c r="AJ88" s="760">
        <f>IF(OR($A88="F&amp;F",$A88="CE",AJ$7="No aplica"),0,'BOULEVARD 5'!AM86-'BOULEVARD PPTO'!AE81)</f>
        <v>-133</v>
      </c>
      <c r="AK88" s="760">
        <f>IF(OR($A88="F&amp;F",$A88="CE",AK$7="No aplica"),0,'BOULEVARD 5'!AN86-'BOULEVARD PPTO'!AF81)</f>
        <v>-1737.6400000000003</v>
      </c>
      <c r="AL88" s="760">
        <f>IF(OR($A88="F&amp;F",$A88="CE",AL$7="No aplica"),0,'BOULEVARD 5'!AO86-'BOULEVARD PPTO'!AG81)</f>
        <v>-2132</v>
      </c>
      <c r="AM88" s="760">
        <f>IF(OR($A88="F&amp;F",$A88="CE",AM$7="No aplica"),0,'BOULEVARD 5'!AP86-'BOULEVARD PPTO'!AH81)</f>
        <v>0</v>
      </c>
      <c r="AN88" s="760">
        <f>IF(OR($A88="F&amp;F",$A88="CE",AN$7="No aplica"),0,'BOULEVARD 5'!AQ86-'BOULEVARD PPTO'!AI81)</f>
        <v>0</v>
      </c>
      <c r="AO88" s="760">
        <f>IF(OR($A88="F&amp;F",$A88="CE",AO$7="No aplica"),0,'BOULEVARD 5'!AS86-'BOULEVARD PPTO'!AJ81)</f>
        <v>0</v>
      </c>
      <c r="AP88" s="761">
        <f t="shared" si="13"/>
        <v>-4000.0000000000009</v>
      </c>
      <c r="AQ88" s="761">
        <f t="shared" si="14"/>
        <v>-3999.9999999999854</v>
      </c>
      <c r="AR88" s="674">
        <f>IF(A88=0,'BOULEVARD 5'!BF86,0)</f>
        <v>8000</v>
      </c>
      <c r="AS88" s="674">
        <f>IF(A88=0,'BOULEVARD 5'!BG86,0)</f>
        <v>6133</v>
      </c>
      <c r="AT88" s="675" t="str">
        <f t="shared" si="12"/>
        <v>Vendido</v>
      </c>
      <c r="AU88" s="581" t="str">
        <f t="shared" si="11"/>
        <v>POR COBRAR</v>
      </c>
      <c r="AV88" s="760">
        <f t="shared" si="15"/>
        <v>0</v>
      </c>
    </row>
    <row r="89" spans="1:48" s="581" customFormat="1" ht="12.4" customHeight="1" outlineLevel="1" x14ac:dyDescent="0.25">
      <c r="A89" s="703">
        <f>'BOULEVARD 5'!BQ87</f>
        <v>0</v>
      </c>
      <c r="B89" s="564">
        <v>511</v>
      </c>
      <c r="C89" s="564" t="s">
        <v>469</v>
      </c>
      <c r="D89" s="564"/>
      <c r="E89" s="564" t="str">
        <f>IF('BOULEVARD 5'!E87&lt;&gt;0,'BOULEVARD 5'!E87,"")</f>
        <v>Antonio Rada</v>
      </c>
      <c r="F89" s="581" t="str">
        <f>IF('BOULEVARD 5'!F87&lt;&gt;0,'BOULEVARD 5'!F87,"")</f>
        <v>Hugo Leonel Roca Morales</v>
      </c>
      <c r="G89" s="566">
        <f>IF('BOULEVARD 5'!G87="","",'BOULEVARD 5'!G87)</f>
        <v>45470</v>
      </c>
      <c r="H89" s="756">
        <f>IF(OR($A89="F&amp;F",$A89="CE",H$7="No aplica"),0,'BOULEVARD 5'!K87-'BOULEVARD PPTO'!C82)</f>
        <v>0</v>
      </c>
      <c r="I89" s="756">
        <f>IF(OR($A89="F&amp;F",$A89="CE",I$7="No aplica"),0,'BOULEVARD 5'!L87-'BOULEVARD PPTO'!D82)</f>
        <v>0</v>
      </c>
      <c r="J89" s="756">
        <f>IF(OR($A89="F&amp;F",$A89="CE",J$7="No aplica"),0,'BOULEVARD 5'!M87-'BOULEVARD PPTO'!E82)</f>
        <v>0</v>
      </c>
      <c r="K89" s="756">
        <f>IF(OR($A89="F&amp;F",$A89="CE",K$7="No aplica"),0,'BOULEVARD 5'!N87-'BOULEVARD PPTO'!F82)</f>
        <v>0</v>
      </c>
      <c r="L89" s="756">
        <f>IF(OR($A89="F&amp;F",$A89="CE",L$7="No aplica"),0,'BOULEVARD 5'!O87-'BOULEVARD PPTO'!G82)</f>
        <v>0</v>
      </c>
      <c r="M89" s="756">
        <f>IF(OR($A89="F&amp;F",$A89="CE",M$7="No aplica"),0,'BOULEVARD 5'!P87-'BOULEVARD PPTO'!H82)</f>
        <v>0</v>
      </c>
      <c r="N89" s="756">
        <f>IF(OR($A89="F&amp;F",$A89="CE",N$7="No aplica"),0,'BOULEVARD 5'!Q87-'BOULEVARD PPTO'!I82)</f>
        <v>0</v>
      </c>
      <c r="O89" s="756">
        <f>IF(OR($A89="F&amp;F",$A89="CE",O$7="No aplica"),0,'BOULEVARD 5'!R87-'BOULEVARD PPTO'!J82)</f>
        <v>0</v>
      </c>
      <c r="P89" s="756">
        <f>IF(OR($A89="F&amp;F",$A89="CE",P$7="No aplica"),0,'BOULEVARD 5'!S87-'BOULEVARD PPTO'!K82)</f>
        <v>0</v>
      </c>
      <c r="Q89" s="760">
        <f>IF(OR($A89="F&amp;F",$A89="CE",Q$7="No aplica"),0,'BOULEVARD 5'!T87-'BOULEVARD PPTO'!L82)</f>
        <v>0</v>
      </c>
      <c r="R89" s="760">
        <f>IF(OR($A89="F&amp;F",$A89="CE",R$7="No aplica"),0,'BOULEVARD 5'!U87-'BOULEVARD PPTO'!M82)</f>
        <v>0</v>
      </c>
      <c r="S89" s="760">
        <f>IF(OR($A89="F&amp;F",$A89="CE",S$7="No aplica"),0,'BOULEVARD 5'!V87-'BOULEVARD PPTO'!N82)</f>
        <v>0</v>
      </c>
      <c r="T89" s="760">
        <f>IF(OR($A89="F&amp;F",$A89="CE",T$7="No aplica"),0,'BOULEVARD 5'!W87-'BOULEVARD PPTO'!O82)</f>
        <v>0</v>
      </c>
      <c r="U89" s="760">
        <f>IF(OR($A89="F&amp;F",$A89="CE",U$7="No aplica"),0,'BOULEVARD 5'!X87-'BOULEVARD PPTO'!P82)</f>
        <v>0</v>
      </c>
      <c r="V89" s="760">
        <f>IF(OR($A89="F&amp;F",$A89="CE",V$7="No aplica"),0,'BOULEVARD 5'!Y87-'BOULEVARD PPTO'!Q82)</f>
        <v>0</v>
      </c>
      <c r="W89" s="760">
        <f>IF(OR($A89="F&amp;F",$A89="CE",W$7="No aplica"),0,'BOULEVARD 5'!Z87-'BOULEVARD PPTO'!R82)</f>
        <v>0</v>
      </c>
      <c r="X89" s="760">
        <f>IF(OR($A89="F&amp;F",$A89="CE",X$7="No aplica"),0,'BOULEVARD 5'!AA87-'BOULEVARD PPTO'!S82)</f>
        <v>10000</v>
      </c>
      <c r="Y89" s="760">
        <f>IF(OR($A89="F&amp;F",$A89="CE",Y$7="No aplica"),0,'BOULEVARD 5'!AB87-'BOULEVARD PPTO'!T82)</f>
        <v>0</v>
      </c>
      <c r="Z89" s="760">
        <f>IF(OR($A89="F&amp;F",$A89="CE",Z$7="No aplica"),0,'BOULEVARD 5'!AC87-'BOULEVARD PPTO'!U82)</f>
        <v>10000</v>
      </c>
      <c r="AA89" s="760">
        <f>IF(OR($A89="F&amp;F",$A89="CE",AA$7="No aplica"),0,'BOULEVARD 5'!AD87-'BOULEVARD PPTO'!V82)</f>
        <v>0</v>
      </c>
      <c r="AB89" s="760">
        <f>IF(OR($A89="F&amp;F",$A89="CE",AB$7="No aplica"),0,'BOULEVARD 5'!AE87-'BOULEVARD PPTO'!W82)</f>
        <v>3991</v>
      </c>
      <c r="AC89" s="760">
        <f>IF(OR($A89="F&amp;F",$A89="CE",AC$7="No aplica"),0,'BOULEVARD 5'!AF87-'BOULEVARD PPTO'!X82)</f>
        <v>-6009</v>
      </c>
      <c r="AD89" s="760">
        <f>IF(OR($A89="F&amp;F",$A89="CE",AD$7="No aplica"),0,'BOULEVARD 5'!AG87-'BOULEVARD PPTO'!Y82)</f>
        <v>18991</v>
      </c>
      <c r="AE89" s="760">
        <f>IF(OR($A89="F&amp;F",$A89="CE",AE$7="No aplica"),0,'BOULEVARD 5'!AH87-'BOULEVARD PPTO'!Z82)</f>
        <v>1491</v>
      </c>
      <c r="AF89" s="760">
        <f>IF(OR($A89="F&amp;F",$A89="CE",AF$7="No aplica"),0,'BOULEVARD 5'!AI87-'BOULEVARD PPTO'!AA82)</f>
        <v>3991</v>
      </c>
      <c r="AG89" s="760">
        <f>IF(OR($A89="F&amp;F",$A89="CE",AG$7="No aplica"),0,'BOULEVARD 5'!AJ87-'BOULEVARD PPTO'!AB82)</f>
        <v>-6009</v>
      </c>
      <c r="AH89" s="760">
        <f>IF(OR($A89="F&amp;F",$A89="CE",AH$7="No aplica"),0,'BOULEVARD 5'!AK87-'BOULEVARD PPTO'!AC82)</f>
        <v>3991</v>
      </c>
      <c r="AI89" s="760">
        <f>IF(OR($A89="F&amp;F",$A89="CE",AI$7="No aplica"),0,'BOULEVARD 5'!AL87-'BOULEVARD PPTO'!AD82)</f>
        <v>-6009</v>
      </c>
      <c r="AJ89" s="760">
        <f>IF(OR($A89="F&amp;F",$A89="CE",AJ$7="No aplica"),0,'BOULEVARD 5'!AM87-'BOULEVARD PPTO'!AE82)</f>
        <v>1491</v>
      </c>
      <c r="AK89" s="760">
        <f>IF(OR($A89="F&amp;F",$A89="CE",AK$7="No aplica"),0,'BOULEVARD 5'!AN87-'BOULEVARD PPTO'!AF82)</f>
        <v>3991</v>
      </c>
      <c r="AL89" s="760">
        <f>IF(OR($A89="F&amp;F",$A89="CE",AL$7="No aplica"),0,'BOULEVARD 5'!AO87-'BOULEVARD PPTO'!AG82)</f>
        <v>3991</v>
      </c>
      <c r="AM89" s="760">
        <f>IF(OR($A89="F&amp;F",$A89="CE",AM$7="No aplica"),0,'BOULEVARD 5'!AP87-'BOULEVARD PPTO'!AH82)</f>
        <v>-6009</v>
      </c>
      <c r="AN89" s="760">
        <f>IF(OR($A89="F&amp;F",$A89="CE",AN$7="No aplica"),0,'BOULEVARD 5'!AQ87-'BOULEVARD PPTO'!AI82)</f>
        <v>0</v>
      </c>
      <c r="AO89" s="760">
        <f>IF(OR($A89="F&amp;F",$A89="CE",AO$7="No aplica"),0,'BOULEVARD 5'!AS87-'BOULEVARD PPTO'!AJ82)</f>
        <v>0</v>
      </c>
      <c r="AP89" s="761">
        <f t="shared" si="13"/>
        <v>37892</v>
      </c>
      <c r="AQ89" s="761">
        <f t="shared" si="14"/>
        <v>39865.5</v>
      </c>
      <c r="AR89" s="674">
        <f>IF(A89=0,'BOULEVARD 5'!BF87,0)</f>
        <v>10000</v>
      </c>
      <c r="AS89" s="674">
        <f>IF(A89=0,'BOULEVARD 5'!BG87,0)</f>
        <v>6009</v>
      </c>
      <c r="AT89" s="675" t="str">
        <f t="shared" si="12"/>
        <v>Vendido</v>
      </c>
      <c r="AU89" s="581" t="str">
        <f t="shared" si="11"/>
        <v>A FAVOR DEL CLIENTE</v>
      </c>
      <c r="AV89" s="760">
        <f t="shared" si="15"/>
        <v>0</v>
      </c>
    </row>
    <row r="90" spans="1:48" s="581" customFormat="1" ht="12.4" customHeight="1" outlineLevel="1" x14ac:dyDescent="0.25">
      <c r="A90" s="703">
        <f>'BOULEVARD 5'!BQ88</f>
        <v>0</v>
      </c>
      <c r="B90" s="564">
        <v>512</v>
      </c>
      <c r="C90" s="564" t="s">
        <v>406</v>
      </c>
      <c r="D90" s="564"/>
      <c r="E90" s="564" t="str">
        <f>IF('BOULEVARD 5'!E88&lt;&gt;0,'BOULEVARD 5'!E88,"")</f>
        <v>Antonio Rada</v>
      </c>
      <c r="F90" s="581" t="str">
        <f>IF('BOULEVARD 5'!F88&lt;&gt;0,'BOULEVARD 5'!F88,"")</f>
        <v>Oscar Antonio Gonzalez Hurtarte</v>
      </c>
      <c r="G90" s="566">
        <f>IF('BOULEVARD 5'!G88="","",'BOULEVARD 5'!G88)</f>
        <v>45125</v>
      </c>
      <c r="H90" s="756">
        <f>IF(OR($A90="F&amp;F",$A90="CE",H$7="No aplica"),0,'BOULEVARD 5'!K88-'BOULEVARD PPTO'!C83)</f>
        <v>0</v>
      </c>
      <c r="I90" s="756">
        <f>IF(OR($A90="F&amp;F",$A90="CE",I$7="No aplica"),0,'BOULEVARD 5'!L88-'BOULEVARD PPTO'!D83)</f>
        <v>0</v>
      </c>
      <c r="J90" s="756">
        <f>IF(OR($A90="F&amp;F",$A90="CE",J$7="No aplica"),0,'BOULEVARD 5'!M88-'BOULEVARD PPTO'!E83)</f>
        <v>0</v>
      </c>
      <c r="K90" s="756">
        <f>IF(OR($A90="F&amp;F",$A90="CE",K$7="No aplica"),0,'BOULEVARD 5'!N88-'BOULEVARD PPTO'!F83)</f>
        <v>0</v>
      </c>
      <c r="L90" s="756">
        <f>IF(OR($A90="F&amp;F",$A90="CE",L$7="No aplica"),0,'BOULEVARD 5'!O88-'BOULEVARD PPTO'!G83)</f>
        <v>0</v>
      </c>
      <c r="M90" s="756">
        <f>IF(OR($A90="F&amp;F",$A90="CE",M$7="No aplica"),0,'BOULEVARD 5'!P88-'BOULEVARD PPTO'!H83)</f>
        <v>0</v>
      </c>
      <c r="N90" s="756">
        <f>IF(OR($A90="F&amp;F",$A90="CE",N$7="No aplica"),0,'BOULEVARD 5'!Q88-'BOULEVARD PPTO'!I83)</f>
        <v>0</v>
      </c>
      <c r="O90" s="756">
        <f>IF(OR($A90="F&amp;F",$A90="CE",O$7="No aplica"),0,'BOULEVARD 5'!R88-'BOULEVARD PPTO'!J83)</f>
        <v>0</v>
      </c>
      <c r="P90" s="756">
        <f>IF(OR($A90="F&amp;F",$A90="CE",P$7="No aplica"),0,'BOULEVARD 5'!S88-'BOULEVARD PPTO'!K83)</f>
        <v>0</v>
      </c>
      <c r="Q90" s="760">
        <f>IF(OR($A90="F&amp;F",$A90="CE",Q$7="No aplica"),0,'BOULEVARD 5'!T88-'BOULEVARD PPTO'!L83)</f>
        <v>-2477</v>
      </c>
      <c r="R90" s="760">
        <f>IF(OR($A90="F&amp;F",$A90="CE",R$7="No aplica"),0,'BOULEVARD 5'!U88-'BOULEVARD PPTO'!M83)</f>
        <v>2477</v>
      </c>
      <c r="S90" s="760">
        <f>IF(OR($A90="F&amp;F",$A90="CE",S$7="No aplica"),0,'BOULEVARD 5'!V88-'BOULEVARD PPTO'!N83)</f>
        <v>0</v>
      </c>
      <c r="T90" s="760">
        <f>IF(OR($A90="F&amp;F",$A90="CE",T$7="No aplica"),0,'BOULEVARD 5'!W88-'BOULEVARD PPTO'!O83)</f>
        <v>0</v>
      </c>
      <c r="U90" s="760">
        <f>IF(OR($A90="F&amp;F",$A90="CE",U$7="No aplica"),0,'BOULEVARD 5'!X88-'BOULEVARD PPTO'!P83)</f>
        <v>0</v>
      </c>
      <c r="V90" s="760">
        <f>IF(OR($A90="F&amp;F",$A90="CE",V$7="No aplica"),0,'BOULEVARD 5'!Y88-'BOULEVARD PPTO'!Q83)</f>
        <v>0</v>
      </c>
      <c r="W90" s="760">
        <f>IF(OR($A90="F&amp;F",$A90="CE",W$7="No aplica"),0,'BOULEVARD 5'!Z88-'BOULEVARD PPTO'!R83)</f>
        <v>0</v>
      </c>
      <c r="X90" s="760">
        <f>IF(OR($A90="F&amp;F",$A90="CE",X$7="No aplica"),0,'BOULEVARD 5'!AA88-'BOULEVARD PPTO'!S83)</f>
        <v>0</v>
      </c>
      <c r="Y90" s="760">
        <f>IF(OR($A90="F&amp;F",$A90="CE",Y$7="No aplica"),0,'BOULEVARD 5'!AB88-'BOULEVARD PPTO'!T83)</f>
        <v>0</v>
      </c>
      <c r="Z90" s="760">
        <f>IF(OR($A90="F&amp;F",$A90="CE",Z$7="No aplica"),0,'BOULEVARD 5'!AC88-'BOULEVARD PPTO'!U83)</f>
        <v>-2477</v>
      </c>
      <c r="AA90" s="760">
        <f>IF(OR($A90="F&amp;F",$A90="CE",AA$7="No aplica"),0,'BOULEVARD 5'!AD88-'BOULEVARD PPTO'!V83)</f>
        <v>0</v>
      </c>
      <c r="AB90" s="760">
        <f>IF(OR($A90="F&amp;F",$A90="CE",AB$7="No aplica"),0,'BOULEVARD 5'!AE88-'BOULEVARD PPTO'!W83)</f>
        <v>0</v>
      </c>
      <c r="AC90" s="760">
        <f>IF(OR($A90="F&amp;F",$A90="CE",AC$7="No aplica"),0,'BOULEVARD 5'!AF88-'BOULEVARD PPTO'!X83)</f>
        <v>-2477</v>
      </c>
      <c r="AD90" s="760">
        <f>IF(OR($A90="F&amp;F",$A90="CE",AD$7="No aplica"),0,'BOULEVARD 5'!AG88-'BOULEVARD PPTO'!Y83)</f>
        <v>-2477</v>
      </c>
      <c r="AE90" s="760">
        <f>IF(OR($A90="F&amp;F",$A90="CE",AE$7="No aplica"),0,'BOULEVARD 5'!AH88-'BOULEVARD PPTO'!Z83)</f>
        <v>7431</v>
      </c>
      <c r="AF90" s="760">
        <f>IF(OR($A90="F&amp;F",$A90="CE",AF$7="No aplica"),0,'BOULEVARD 5'!AI88-'BOULEVARD PPTO'!AA83)</f>
        <v>-2477</v>
      </c>
      <c r="AG90" s="760">
        <f>IF(OR($A90="F&amp;F",$A90="CE",AG$7="No aplica"),0,'BOULEVARD 5'!AJ88-'BOULEVARD PPTO'!AB83)</f>
        <v>2477</v>
      </c>
      <c r="AH90" s="760">
        <f>IF(OR($A90="F&amp;F",$A90="CE",AH$7="No aplica"),0,'BOULEVARD 5'!AK88-'BOULEVARD PPTO'!AC83)</f>
        <v>0</v>
      </c>
      <c r="AI90" s="760">
        <f>IF(OR($A90="F&amp;F",$A90="CE",AI$7="No aplica"),0,'BOULEVARD 5'!AL88-'BOULEVARD PPTO'!AD83)</f>
        <v>-2477</v>
      </c>
      <c r="AJ90" s="760">
        <f>IF(OR($A90="F&amp;F",$A90="CE",AJ$7="No aplica"),0,'BOULEVARD 5'!AM88-'BOULEVARD PPTO'!AE83)</f>
        <v>2477</v>
      </c>
      <c r="AK90" s="760">
        <f>IF(OR($A90="F&amp;F",$A90="CE",AK$7="No aplica"),0,'BOULEVARD 5'!AN88-'BOULEVARD PPTO'!AF83)</f>
        <v>-2477</v>
      </c>
      <c r="AL90" s="760">
        <f>IF(OR($A90="F&amp;F",$A90="CE",AL$7="No aplica"),0,'BOULEVARD 5'!AO88-'BOULEVARD PPTO'!AG83)</f>
        <v>2</v>
      </c>
      <c r="AM90" s="760">
        <f>IF(OR($A90="F&amp;F",$A90="CE",AM$7="No aplica"),0,'BOULEVARD 5'!AP88-'BOULEVARD PPTO'!AH83)</f>
        <v>2477</v>
      </c>
      <c r="AN90" s="760">
        <f>IF(OR($A90="F&amp;F",$A90="CE",AN$7="No aplica"),0,'BOULEVARD 5'!AQ88-'BOULEVARD PPTO'!AI83)</f>
        <v>0</v>
      </c>
      <c r="AO90" s="760">
        <f>IF(OR($A90="F&amp;F",$A90="CE",AO$7="No aplica"),0,'BOULEVARD 5'!AS88-'BOULEVARD PPTO'!AJ83)</f>
        <v>0</v>
      </c>
      <c r="AP90" s="761">
        <f t="shared" si="13"/>
        <v>2</v>
      </c>
      <c r="AQ90" s="761">
        <f t="shared" si="14"/>
        <v>2</v>
      </c>
      <c r="AR90" s="674">
        <f>IF(A90=0,'BOULEVARD 5'!BF88,0)</f>
        <v>6000</v>
      </c>
      <c r="AS90" s="674">
        <f>IF(A90=0,'BOULEVARD 5'!BG88,0)</f>
        <v>2477</v>
      </c>
      <c r="AT90" s="675" t="str">
        <f t="shared" si="12"/>
        <v>Vendido</v>
      </c>
      <c r="AU90" s="581" t="str">
        <f t="shared" si="11"/>
        <v>A FAVOR DEL CLIENTE</v>
      </c>
      <c r="AV90" s="760">
        <f t="shared" si="15"/>
        <v>2477</v>
      </c>
    </row>
    <row r="91" spans="1:48" s="581" customFormat="1" ht="12.4" customHeight="1" outlineLevel="1" x14ac:dyDescent="0.25">
      <c r="A91" s="703">
        <f>'BOULEVARD 5'!BQ89</f>
        <v>0</v>
      </c>
      <c r="B91" s="564">
        <v>513</v>
      </c>
      <c r="C91" s="564" t="s">
        <v>181</v>
      </c>
      <c r="D91" s="564"/>
      <c r="E91" s="564" t="str">
        <f>IF('BOULEVARD 5'!E89&lt;&gt;0,'BOULEVARD 5'!E89,"")</f>
        <v>Antonio Rada</v>
      </c>
      <c r="F91" s="581" t="str">
        <f>IF('BOULEVARD 5'!F89&lt;&gt;0,'BOULEVARD 5'!F89,"")</f>
        <v>Maria Fernanda Cabrera Valdez</v>
      </c>
      <c r="G91" s="566">
        <f>IF('BOULEVARD 5'!G89="","",'BOULEVARD 5'!G89)</f>
        <v>45123</v>
      </c>
      <c r="H91" s="756">
        <f>IF(OR($A91="F&amp;F",$A91="CE",H$7="No aplica"),0,'BOULEVARD 5'!K89-'BOULEVARD PPTO'!C84)</f>
        <v>0</v>
      </c>
      <c r="I91" s="756">
        <f>IF(OR($A91="F&amp;F",$A91="CE",I$7="No aplica"),0,'BOULEVARD 5'!L89-'BOULEVARD PPTO'!D84)</f>
        <v>0</v>
      </c>
      <c r="J91" s="756">
        <f>IF(OR($A91="F&amp;F",$A91="CE",J$7="No aplica"),0,'BOULEVARD 5'!M89-'BOULEVARD PPTO'!E84)</f>
        <v>0</v>
      </c>
      <c r="K91" s="756">
        <f>IF(OR($A91="F&amp;F",$A91="CE",K$7="No aplica"),0,'BOULEVARD 5'!N89-'BOULEVARD PPTO'!F84)</f>
        <v>0</v>
      </c>
      <c r="L91" s="756">
        <f>IF(OR($A91="F&amp;F",$A91="CE",L$7="No aplica"),0,'BOULEVARD 5'!O89-'BOULEVARD PPTO'!G84)</f>
        <v>0</v>
      </c>
      <c r="M91" s="756">
        <f>IF(OR($A91="F&amp;F",$A91="CE",M$7="No aplica"),0,'BOULEVARD 5'!P89-'BOULEVARD PPTO'!H84)</f>
        <v>-2415</v>
      </c>
      <c r="N91" s="756">
        <f>IF(OR($A91="F&amp;F",$A91="CE",N$7="No aplica"),0,'BOULEVARD 5'!Q89-'BOULEVARD PPTO'!I84)</f>
        <v>4830</v>
      </c>
      <c r="O91" s="756">
        <f>IF(OR($A91="F&amp;F",$A91="CE",O$7="No aplica"),0,'BOULEVARD 5'!R89-'BOULEVARD PPTO'!J84)</f>
        <v>0</v>
      </c>
      <c r="P91" s="756">
        <f>IF(OR($A91="F&amp;F",$A91="CE",P$7="No aplica"),0,'BOULEVARD 5'!S89-'BOULEVARD PPTO'!K84)</f>
        <v>-2415</v>
      </c>
      <c r="Q91" s="760">
        <f>IF(OR($A91="F&amp;F",$A91="CE",Q$7="No aplica"),0,'BOULEVARD 5'!T89-'BOULEVARD PPTO'!L84)</f>
        <v>-2415</v>
      </c>
      <c r="R91" s="760">
        <f>IF(OR($A91="F&amp;F",$A91="CE",R$7="No aplica"),0,'BOULEVARD 5'!U89-'BOULEVARD PPTO'!M84)</f>
        <v>2415</v>
      </c>
      <c r="S91" s="760">
        <f>IF(OR($A91="F&amp;F",$A91="CE",S$7="No aplica"),0,'BOULEVARD 5'!V89-'BOULEVARD PPTO'!N84)</f>
        <v>0</v>
      </c>
      <c r="T91" s="760">
        <f>IF(OR($A91="F&amp;F",$A91="CE",T$7="No aplica"),0,'BOULEVARD 5'!W89-'BOULEVARD PPTO'!O84)</f>
        <v>-2415</v>
      </c>
      <c r="U91" s="760">
        <f>IF(OR($A91="F&amp;F",$A91="CE",U$7="No aplica"),0,'BOULEVARD 5'!X89-'BOULEVARD PPTO'!P84)</f>
        <v>4830</v>
      </c>
      <c r="V91" s="760">
        <f>IF(OR($A91="F&amp;F",$A91="CE",V$7="No aplica"),0,'BOULEVARD 5'!Y89-'BOULEVARD PPTO'!Q84)</f>
        <v>0</v>
      </c>
      <c r="W91" s="760">
        <f>IF(OR($A91="F&amp;F",$A91="CE",W$7="No aplica"),0,'BOULEVARD 5'!Z89-'BOULEVARD PPTO'!R84)</f>
        <v>-2415</v>
      </c>
      <c r="X91" s="760">
        <f>IF(OR($A91="F&amp;F",$A91="CE",X$7="No aplica"),0,'BOULEVARD 5'!AA89-'BOULEVARD PPTO'!S84)</f>
        <v>2415</v>
      </c>
      <c r="Y91" s="760">
        <f>IF(OR($A91="F&amp;F",$A91="CE",Y$7="No aplica"),0,'BOULEVARD 5'!AB89-'BOULEVARD PPTO'!T84)</f>
        <v>-2415</v>
      </c>
      <c r="Z91" s="760">
        <f>IF(OR($A91="F&amp;F",$A91="CE",Z$7="No aplica"),0,'BOULEVARD 5'!AC89-'BOULEVARD PPTO'!U84)</f>
        <v>2415</v>
      </c>
      <c r="AA91" s="760">
        <f>IF(OR($A91="F&amp;F",$A91="CE",AA$7="No aplica"),0,'BOULEVARD 5'!AD89-'BOULEVARD PPTO'!V84)</f>
        <v>0</v>
      </c>
      <c r="AB91" s="760">
        <f>IF(OR($A91="F&amp;F",$A91="CE",AB$7="No aplica"),0,'BOULEVARD 5'!AE89-'BOULEVARD PPTO'!W84)</f>
        <v>0</v>
      </c>
      <c r="AC91" s="760">
        <f>IF(OR($A91="F&amp;F",$A91="CE",AC$7="No aplica"),0,'BOULEVARD 5'!AF89-'BOULEVARD PPTO'!X84)</f>
        <v>0</v>
      </c>
      <c r="AD91" s="760">
        <f>IF(OR($A91="F&amp;F",$A91="CE",AD$7="No aplica"),0,'BOULEVARD 5'!AG89-'BOULEVARD PPTO'!Y84)</f>
        <v>0</v>
      </c>
      <c r="AE91" s="760">
        <f>IF(OR($A91="F&amp;F",$A91="CE",AE$7="No aplica"),0,'BOULEVARD 5'!AH89-'BOULEVARD PPTO'!Z84)</f>
        <v>0</v>
      </c>
      <c r="AF91" s="760">
        <f>IF(OR($A91="F&amp;F",$A91="CE",AF$7="No aplica"),0,'BOULEVARD 5'!AI89-'BOULEVARD PPTO'!AA84)</f>
        <v>-2415</v>
      </c>
      <c r="AG91" s="760">
        <f>IF(OR($A91="F&amp;F",$A91="CE",AG$7="No aplica"),0,'BOULEVARD 5'!AJ89-'BOULEVARD PPTO'!AB84)</f>
        <v>0</v>
      </c>
      <c r="AH91" s="760">
        <f>IF(OR($A91="F&amp;F",$A91="CE",AH$7="No aplica"),0,'BOULEVARD 5'!AK89-'BOULEVARD PPTO'!AC84)</f>
        <v>0</v>
      </c>
      <c r="AI91" s="760">
        <f>IF(OR($A91="F&amp;F",$A91="CE",AI$7="No aplica"),0,'BOULEVARD 5'!AL89-'BOULEVARD PPTO'!AD84)</f>
        <v>2415</v>
      </c>
      <c r="AJ91" s="760">
        <f>IF(OR($A91="F&amp;F",$A91="CE",AJ$7="No aplica"),0,'BOULEVARD 5'!AM89-'BOULEVARD PPTO'!AE84)</f>
        <v>-2415</v>
      </c>
      <c r="AK91" s="760">
        <f>IF(OR($A91="F&amp;F",$A91="CE",AK$7="No aplica"),0,'BOULEVARD 5'!AN89-'BOULEVARD PPTO'!AF84)</f>
        <v>-2415</v>
      </c>
      <c r="AL91" s="760">
        <f>IF(OR($A91="F&amp;F",$A91="CE",AL$7="No aplica"),0,'BOULEVARD 5'!AO89-'BOULEVARD PPTO'!AG84)</f>
        <v>-10</v>
      </c>
      <c r="AM91" s="760">
        <f>IF(OR($A91="F&amp;F",$A91="CE",AM$7="No aplica"),0,'BOULEVARD 5'!AP89-'BOULEVARD PPTO'!AH84)</f>
        <v>4830</v>
      </c>
      <c r="AN91" s="760">
        <f>IF(OR($A91="F&amp;F",$A91="CE",AN$7="No aplica"),0,'BOULEVARD 5'!AQ89-'BOULEVARD PPTO'!AI84)</f>
        <v>0</v>
      </c>
      <c r="AO91" s="760">
        <f>IF(OR($A91="F&amp;F",$A91="CE",AO$7="No aplica"),0,'BOULEVARD 5'!AS89-'BOULEVARD PPTO'!AJ84)</f>
        <v>0</v>
      </c>
      <c r="AP91" s="761">
        <f t="shared" si="13"/>
        <v>2405</v>
      </c>
      <c r="AQ91" s="761">
        <f t="shared" si="14"/>
        <v>7235</v>
      </c>
      <c r="AR91" s="674">
        <f>IF(A91=0,'BOULEVARD 5'!BF89,0)</f>
        <v>6000</v>
      </c>
      <c r="AS91" s="674">
        <f>IF(A91=0,'BOULEVARD 5'!BG89,0)</f>
        <v>2415</v>
      </c>
      <c r="AT91" s="675" t="str">
        <f t="shared" si="12"/>
        <v>Vendido</v>
      </c>
      <c r="AU91" s="581" t="str">
        <f t="shared" si="11"/>
        <v>A FAVOR DEL CLIENTE</v>
      </c>
      <c r="AV91" s="760">
        <f t="shared" si="15"/>
        <v>4830</v>
      </c>
    </row>
    <row r="92" spans="1:48" s="581" customFormat="1" ht="12.4" customHeight="1" outlineLevel="1" x14ac:dyDescent="0.25">
      <c r="A92" s="703">
        <f>'BOULEVARD 5'!BQ90</f>
        <v>0</v>
      </c>
      <c r="B92" s="564">
        <v>514</v>
      </c>
      <c r="C92" s="564" t="s">
        <v>476</v>
      </c>
      <c r="D92" s="564"/>
      <c r="E92" s="564" t="str">
        <f>IF('BOULEVARD 5'!E90&lt;&gt;0,'BOULEVARD 5'!E90,"")</f>
        <v>Antonio Rada</v>
      </c>
      <c r="F92" s="581" t="str">
        <f>IF('BOULEVARD 5'!F90&lt;&gt;0,'BOULEVARD 5'!F90,"")</f>
        <v>Danya Maribel Callejas Hernandez De Herrera</v>
      </c>
      <c r="G92" s="566">
        <f>IF('BOULEVARD 5'!G90="","",'BOULEVARD 5'!G90)</f>
        <v>45741</v>
      </c>
      <c r="H92" s="756">
        <f>IF(OR($A92="F&amp;F",$A92="CE",H$7="No aplica"),0,'BOULEVARD 5'!K90-'BOULEVARD PPTO'!C85)</f>
        <v>0</v>
      </c>
      <c r="I92" s="756">
        <f>IF(OR($A92="F&amp;F",$A92="CE",I$7="No aplica"),0,'BOULEVARD 5'!L90-'BOULEVARD PPTO'!D85)</f>
        <v>0</v>
      </c>
      <c r="J92" s="756">
        <f>IF(OR($A92="F&amp;F",$A92="CE",J$7="No aplica"),0,'BOULEVARD 5'!M90-'BOULEVARD PPTO'!E85)</f>
        <v>0</v>
      </c>
      <c r="K92" s="756">
        <f>IF(OR($A92="F&amp;F",$A92="CE",K$7="No aplica"),0,'BOULEVARD 5'!N90-'BOULEVARD PPTO'!F85)</f>
        <v>0</v>
      </c>
      <c r="L92" s="756">
        <f>IF(OR($A92="F&amp;F",$A92="CE",L$7="No aplica"),0,'BOULEVARD 5'!O90-'BOULEVARD PPTO'!G85)</f>
        <v>0</v>
      </c>
      <c r="M92" s="756">
        <f>IF(OR($A92="F&amp;F",$A92="CE",M$7="No aplica"),0,'BOULEVARD 5'!P90-'BOULEVARD PPTO'!H85)</f>
        <v>0</v>
      </c>
      <c r="N92" s="756">
        <f>IF(OR($A92="F&amp;F",$A92="CE",N$7="No aplica"),0,'BOULEVARD 5'!Q90-'BOULEVARD PPTO'!I85)</f>
        <v>0</v>
      </c>
      <c r="O92" s="756">
        <f>IF(OR($A92="F&amp;F",$A92="CE",O$7="No aplica"),0,'BOULEVARD 5'!R90-'BOULEVARD PPTO'!J85)</f>
        <v>0</v>
      </c>
      <c r="P92" s="756">
        <f>IF(OR($A92="F&amp;F",$A92="CE",P$7="No aplica"),0,'BOULEVARD 5'!S90-'BOULEVARD PPTO'!K85)</f>
        <v>0</v>
      </c>
      <c r="Q92" s="760">
        <f>IF(OR($A92="F&amp;F",$A92="CE",Q$7="No aplica"),0,'BOULEVARD 5'!T90-'BOULEVARD PPTO'!L85)</f>
        <v>0</v>
      </c>
      <c r="R92" s="760">
        <f>IF(OR($A92="F&amp;F",$A92="CE",R$7="No aplica"),0,'BOULEVARD 5'!U90-'BOULEVARD PPTO'!M85)</f>
        <v>0</v>
      </c>
      <c r="S92" s="760">
        <f>IF(OR($A92="F&amp;F",$A92="CE",S$7="No aplica"),0,'BOULEVARD 5'!V90-'BOULEVARD PPTO'!N85)</f>
        <v>0</v>
      </c>
      <c r="T92" s="760">
        <f>IF(OR($A92="F&amp;F",$A92="CE",T$7="No aplica"),0,'BOULEVARD 5'!W90-'BOULEVARD PPTO'!O85)</f>
        <v>0</v>
      </c>
      <c r="U92" s="760">
        <f>IF(OR($A92="F&amp;F",$A92="CE",U$7="No aplica"),0,'BOULEVARD 5'!X90-'BOULEVARD PPTO'!P85)</f>
        <v>0</v>
      </c>
      <c r="V92" s="760">
        <f>IF(OR($A92="F&amp;F",$A92="CE",V$7="No aplica"),0,'BOULEVARD 5'!Y90-'BOULEVARD PPTO'!Q85)</f>
        <v>0</v>
      </c>
      <c r="W92" s="760">
        <f>IF(OR($A92="F&amp;F",$A92="CE",W$7="No aplica"),0,'BOULEVARD 5'!Z90-'BOULEVARD PPTO'!R85)</f>
        <v>0</v>
      </c>
      <c r="X92" s="760">
        <f>IF(OR($A92="F&amp;F",$A92="CE",X$7="No aplica"),0,'BOULEVARD 5'!AA90-'BOULEVARD PPTO'!S85)</f>
        <v>0</v>
      </c>
      <c r="Y92" s="760">
        <f>IF(OR($A92="F&amp;F",$A92="CE",Y$7="No aplica"),0,'BOULEVARD 5'!AB90-'BOULEVARD PPTO'!T85)</f>
        <v>0</v>
      </c>
      <c r="Z92" s="760">
        <f>IF(OR($A92="F&amp;F",$A92="CE",Z$7="No aplica"),0,'BOULEVARD 5'!AC90-'BOULEVARD PPTO'!U85)</f>
        <v>0</v>
      </c>
      <c r="AA92" s="760">
        <f>IF(OR($A92="F&amp;F",$A92="CE",AA$7="No aplica"),0,'BOULEVARD 5'!AD90-'BOULEVARD PPTO'!V85)</f>
        <v>0</v>
      </c>
      <c r="AB92" s="760">
        <f>IF(OR($A92="F&amp;F",$A92="CE",AB$7="No aplica"),0,'BOULEVARD 5'!AE90-'BOULEVARD PPTO'!W85)</f>
        <v>0</v>
      </c>
      <c r="AC92" s="760">
        <f>IF(OR($A92="F&amp;F",$A92="CE",AC$7="No aplica"),0,'BOULEVARD 5'!AF90-'BOULEVARD PPTO'!X85)</f>
        <v>0</v>
      </c>
      <c r="AD92" s="760">
        <f>IF(OR($A92="F&amp;F",$A92="CE",AD$7="No aplica"),0,'BOULEVARD 5'!AG90-'BOULEVARD PPTO'!Y85)</f>
        <v>0</v>
      </c>
      <c r="AE92" s="760">
        <f>IF(OR($A92="F&amp;F",$A92="CE",AE$7="No aplica"),0,'BOULEVARD 5'!AH90-'BOULEVARD PPTO'!Z85)</f>
        <v>0</v>
      </c>
      <c r="AF92" s="760">
        <f>IF(OR($A92="F&amp;F",$A92="CE",AF$7="No aplica"),0,'BOULEVARD 5'!AI90-'BOULEVARD PPTO'!AA85)</f>
        <v>10000</v>
      </c>
      <c r="AG92" s="760">
        <f>IF(OR($A92="F&amp;F",$A92="CE",AG$7="No aplica"),0,'BOULEVARD 5'!AJ90-'BOULEVARD PPTO'!AB85)</f>
        <v>10256</v>
      </c>
      <c r="AH92" s="760">
        <f>IF(OR($A92="F&amp;F",$A92="CE",AH$7="No aplica"),0,'BOULEVARD 5'!AK90-'BOULEVARD PPTO'!AC85)</f>
        <v>10256</v>
      </c>
      <c r="AI92" s="760">
        <f>IF(OR($A92="F&amp;F",$A92="CE",AI$7="No aplica"),0,'BOULEVARD 5'!AL90-'BOULEVARD PPTO'!AD85)</f>
        <v>10256</v>
      </c>
      <c r="AJ92" s="760">
        <f>IF(OR($A92="F&amp;F",$A92="CE",AJ$7="No aplica"),0,'BOULEVARD 5'!AM90-'BOULEVARD PPTO'!AE85)</f>
        <v>10256</v>
      </c>
      <c r="AK92" s="760">
        <f>IF(OR($A92="F&amp;F",$A92="CE",AK$7="No aplica"),0,'BOULEVARD 5'!AN90-'BOULEVARD PPTO'!AF85)</f>
        <v>10256</v>
      </c>
      <c r="AL92" s="760">
        <f>IF(OR($A92="F&amp;F",$A92="CE",AL$7="No aplica"),0,'BOULEVARD 5'!AO90-'BOULEVARD PPTO'!AG85)</f>
        <v>10256</v>
      </c>
      <c r="AM92" s="760">
        <f>IF(OR($A92="F&amp;F",$A92="CE",AM$7="No aplica"),0,'BOULEVARD 5'!AP90-'BOULEVARD PPTO'!AH85)</f>
        <v>10256</v>
      </c>
      <c r="AN92" s="760">
        <f>IF(OR($A92="F&amp;F",$A92="CE",AN$7="No aplica"),0,'BOULEVARD 5'!AQ90-'BOULEVARD PPTO'!AI85)</f>
        <v>0</v>
      </c>
      <c r="AO92" s="760">
        <f>IF(OR($A92="F&amp;F",$A92="CE",AO$7="No aplica"),0,'BOULEVARD 5'!AS90-'BOULEVARD PPTO'!AJ85)</f>
        <v>0</v>
      </c>
      <c r="AP92" s="761">
        <f t="shared" si="13"/>
        <v>81792</v>
      </c>
      <c r="AQ92" s="761">
        <f t="shared" si="14"/>
        <v>92048</v>
      </c>
      <c r="AR92" s="674">
        <f>IF(A92=0,'BOULEVARD 5'!BF90,0)</f>
        <v>10000</v>
      </c>
      <c r="AS92" s="674">
        <f>IF(A92=0,'BOULEVARD 5'!BG90,0)</f>
        <v>10256</v>
      </c>
      <c r="AT92" s="675" t="str">
        <f t="shared" si="12"/>
        <v>Vendido</v>
      </c>
      <c r="AU92" s="581" t="str">
        <f t="shared" si="11"/>
        <v>A FAVOR DEL CLIENTE</v>
      </c>
      <c r="AV92" s="760">
        <f t="shared" si="15"/>
        <v>10256</v>
      </c>
    </row>
    <row r="93" spans="1:48" s="581" customFormat="1" ht="12.4" customHeight="1" outlineLevel="1" x14ac:dyDescent="0.25">
      <c r="A93" s="703">
        <f>'BOULEVARD 5'!BQ91</f>
        <v>0</v>
      </c>
      <c r="B93" s="564">
        <v>515</v>
      </c>
      <c r="C93" s="564" t="s">
        <v>189</v>
      </c>
      <c r="D93" s="564"/>
      <c r="E93" s="564" t="str">
        <f>IF('BOULEVARD 5'!E91&lt;&gt;0,'BOULEVARD 5'!E91,"")</f>
        <v>Jose Franco</v>
      </c>
      <c r="F93" s="581" t="str">
        <f>IF('BOULEVARD 5'!F91&lt;&gt;0,'BOULEVARD 5'!F91,"")</f>
        <v>Ingrid Vanessa Granados Barneond</v>
      </c>
      <c r="G93" s="566">
        <f>IF('BOULEVARD 5'!G91="","",'BOULEVARD 5'!G91)</f>
        <v>45012</v>
      </c>
      <c r="H93" s="756">
        <f>IF(OR($A93="F&amp;F",$A93="CE",H$7="No aplica"),0,'BOULEVARD 5'!K91-'BOULEVARD PPTO'!C86)</f>
        <v>1570</v>
      </c>
      <c r="I93" s="756">
        <f>IF(OR($A93="F&amp;F",$A93="CE",I$7="No aplica"),0,'BOULEVARD 5'!L91-'BOULEVARD PPTO'!D86)</f>
        <v>0</v>
      </c>
      <c r="J93" s="756">
        <f>IF(OR($A93="F&amp;F",$A93="CE",J$7="No aplica"),0,'BOULEVARD 5'!M91-'BOULEVARD PPTO'!E86)</f>
        <v>0</v>
      </c>
      <c r="K93" s="756">
        <f>IF(OR($A93="F&amp;F",$A93="CE",K$7="No aplica"),0,'BOULEVARD 5'!N91-'BOULEVARD PPTO'!F86)</f>
        <v>0</v>
      </c>
      <c r="L93" s="756">
        <f>IF(OR($A93="F&amp;F",$A93="CE",L$7="No aplica"),0,'BOULEVARD 5'!O91-'BOULEVARD PPTO'!G86)</f>
        <v>0</v>
      </c>
      <c r="M93" s="756">
        <f>IF(OR($A93="F&amp;F",$A93="CE",M$7="No aplica"),0,'BOULEVARD 5'!P91-'BOULEVARD PPTO'!H86)</f>
        <v>0</v>
      </c>
      <c r="N93" s="756">
        <f>IF(OR($A93="F&amp;F",$A93="CE",N$7="No aplica"),0,'BOULEVARD 5'!Q91-'BOULEVARD PPTO'!I86)</f>
        <v>0</v>
      </c>
      <c r="O93" s="756">
        <f>IF(OR($A93="F&amp;F",$A93="CE",O$7="No aplica"),0,'BOULEVARD 5'!R91-'BOULEVARD PPTO'!J86)</f>
        <v>0</v>
      </c>
      <c r="P93" s="756">
        <f>IF(OR($A93="F&amp;F",$A93="CE",P$7="No aplica"),0,'BOULEVARD 5'!S91-'BOULEVARD PPTO'!K86)</f>
        <v>0</v>
      </c>
      <c r="Q93" s="760">
        <f>IF(OR($A93="F&amp;F",$A93="CE",Q$7="No aplica"),0,'BOULEVARD 5'!T91-'BOULEVARD PPTO'!L86)</f>
        <v>0</v>
      </c>
      <c r="R93" s="760">
        <f>IF(OR($A93="F&amp;F",$A93="CE",R$7="No aplica"),0,'BOULEVARD 5'!U91-'BOULEVARD PPTO'!M86)</f>
        <v>0</v>
      </c>
      <c r="S93" s="760">
        <f>IF(OR($A93="F&amp;F",$A93="CE",S$7="No aplica"),0,'BOULEVARD 5'!V91-'BOULEVARD PPTO'!N86)</f>
        <v>0</v>
      </c>
      <c r="T93" s="760">
        <f>IF(OR($A93="F&amp;F",$A93="CE",T$7="No aplica"),0,'BOULEVARD 5'!W91-'BOULEVARD PPTO'!O86)</f>
        <v>0</v>
      </c>
      <c r="U93" s="760">
        <f>IF(OR($A93="F&amp;F",$A93="CE",U$7="No aplica"),0,'BOULEVARD 5'!X91-'BOULEVARD PPTO'!P86)</f>
        <v>0</v>
      </c>
      <c r="V93" s="760">
        <f>IF(OR($A93="F&amp;F",$A93="CE",V$7="No aplica"),0,'BOULEVARD 5'!Y91-'BOULEVARD PPTO'!Q86)</f>
        <v>0</v>
      </c>
      <c r="W93" s="760">
        <f>IF(OR($A93="F&amp;F",$A93="CE",W$7="No aplica"),0,'BOULEVARD 5'!Z91-'BOULEVARD PPTO'!R86)</f>
        <v>0</v>
      </c>
      <c r="X93" s="760">
        <f>IF(OR($A93="F&amp;F",$A93="CE",X$7="No aplica"),0,'BOULEVARD 5'!AA91-'BOULEVARD PPTO'!S86)</f>
        <v>0</v>
      </c>
      <c r="Y93" s="760">
        <f>IF(OR($A93="F&amp;F",$A93="CE",Y$7="No aplica"),0,'BOULEVARD 5'!AB91-'BOULEVARD PPTO'!T86)</f>
        <v>0</v>
      </c>
      <c r="Z93" s="760">
        <f>IF(OR($A93="F&amp;F",$A93="CE",Z$7="No aplica"),0,'BOULEVARD 5'!AC91-'BOULEVARD PPTO'!U86)</f>
        <v>0</v>
      </c>
      <c r="AA93" s="760">
        <f>IF(OR($A93="F&amp;F",$A93="CE",AA$7="No aplica"),0,'BOULEVARD 5'!AD91-'BOULEVARD PPTO'!V86)</f>
        <v>0</v>
      </c>
      <c r="AB93" s="760">
        <f>IF(OR($A93="F&amp;F",$A93="CE",AB$7="No aplica"),0,'BOULEVARD 5'!AE91-'BOULEVARD PPTO'!W86)</f>
        <v>0</v>
      </c>
      <c r="AC93" s="760">
        <f>IF(OR($A93="F&amp;F",$A93="CE",AC$7="No aplica"),0,'BOULEVARD 5'!AF91-'BOULEVARD PPTO'!X86)</f>
        <v>0</v>
      </c>
      <c r="AD93" s="760">
        <f>IF(OR($A93="F&amp;F",$A93="CE",AD$7="No aplica"),0,'BOULEVARD 5'!AG91-'BOULEVARD PPTO'!Y86)</f>
        <v>0</v>
      </c>
      <c r="AE93" s="760">
        <f>IF(OR($A93="F&amp;F",$A93="CE",AE$7="No aplica"),0,'BOULEVARD 5'!AH91-'BOULEVARD PPTO'!Z86)</f>
        <v>0</v>
      </c>
      <c r="AF93" s="760">
        <f>IF(OR($A93="F&amp;F",$A93="CE",AF$7="No aplica"),0,'BOULEVARD 5'!AI91-'BOULEVARD PPTO'!AA86)</f>
        <v>0</v>
      </c>
      <c r="AG93" s="760">
        <f>IF(OR($A93="F&amp;F",$A93="CE",AG$7="No aplica"),0,'BOULEVARD 5'!AJ91-'BOULEVARD PPTO'!AB86)</f>
        <v>0</v>
      </c>
      <c r="AH93" s="760">
        <f>IF(OR($A93="F&amp;F",$A93="CE",AH$7="No aplica"),0,'BOULEVARD 5'!AK91-'BOULEVARD PPTO'!AC86)</f>
        <v>0</v>
      </c>
      <c r="AI93" s="760">
        <f>IF(OR($A93="F&amp;F",$A93="CE",AI$7="No aplica"),0,'BOULEVARD 5'!AL91-'BOULEVARD PPTO'!AD86)</f>
        <v>0</v>
      </c>
      <c r="AJ93" s="760">
        <f>IF(OR($A93="F&amp;F",$A93="CE",AJ$7="No aplica"),0,'BOULEVARD 5'!AM91-'BOULEVARD PPTO'!AE86)</f>
        <v>0</v>
      </c>
      <c r="AK93" s="760">
        <f>IF(OR($A93="F&amp;F",$A93="CE",AK$7="No aplica"),0,'BOULEVARD 5'!AN91-'BOULEVARD PPTO'!AF86)</f>
        <v>0</v>
      </c>
      <c r="AL93" s="760">
        <f>IF(OR($A93="F&amp;F",$A93="CE",AL$7="No aplica"),0,'BOULEVARD 5'!AO91-'BOULEVARD PPTO'!AG86)</f>
        <v>0</v>
      </c>
      <c r="AM93" s="760">
        <f>IF(OR($A93="F&amp;F",$A93="CE",AM$7="No aplica"),0,'BOULEVARD 5'!AP91-'BOULEVARD PPTO'!AH86)</f>
        <v>0</v>
      </c>
      <c r="AN93" s="760">
        <f>IF(OR($A93="F&amp;F",$A93="CE",AN$7="No aplica"),0,'BOULEVARD 5'!AQ91-'BOULEVARD PPTO'!AI86)</f>
        <v>0</v>
      </c>
      <c r="AO93" s="760">
        <f>IF(OR($A93="F&amp;F",$A93="CE",AO$7="No aplica"),0,'BOULEVARD 5'!AS91-'BOULEVARD PPTO'!AJ86)</f>
        <v>0</v>
      </c>
      <c r="AP93" s="761">
        <f t="shared" si="13"/>
        <v>1570</v>
      </c>
      <c r="AQ93" s="761">
        <f t="shared" si="14"/>
        <v>-1869.5</v>
      </c>
      <c r="AR93" s="674">
        <f>IF(A93=0,'BOULEVARD 5'!BF91,0)</f>
        <v>6000</v>
      </c>
      <c r="AS93" s="674">
        <f>IF(A93=0,'BOULEVARD 5'!BG91,0)</f>
        <v>1570</v>
      </c>
      <c r="AT93" s="675" t="str">
        <f t="shared" si="12"/>
        <v>Vendido</v>
      </c>
      <c r="AU93" s="581" t="str">
        <f t="shared" si="11"/>
        <v>A FAVOR DEL CLIENTE</v>
      </c>
      <c r="AV93" s="760">
        <f t="shared" si="15"/>
        <v>0</v>
      </c>
    </row>
    <row r="94" spans="1:48" s="581" customFormat="1" ht="12.4" customHeight="1" outlineLevel="1" x14ac:dyDescent="0.25">
      <c r="A94" s="703">
        <f>'BOULEVARD 5'!BQ92</f>
        <v>0</v>
      </c>
      <c r="B94" s="564">
        <v>516</v>
      </c>
      <c r="C94" s="564" t="s">
        <v>400</v>
      </c>
      <c r="D94" s="564"/>
      <c r="E94" s="564" t="str">
        <f>IF('BOULEVARD 5'!E92&lt;&gt;0,'BOULEVARD 5'!E92,"")</f>
        <v>Diana Alvarez</v>
      </c>
      <c r="F94" s="581" t="str">
        <f>IF('BOULEVARD 5'!F92&lt;&gt;0,'BOULEVARD 5'!F92,"")</f>
        <v>José Javier Sarceño Alfaro Y María Rosana Rivera Gallardo</v>
      </c>
      <c r="G94" s="566">
        <f>IF('BOULEVARD 5'!G92="","",'BOULEVARD 5'!G92)</f>
        <v>45557</v>
      </c>
      <c r="H94" s="756">
        <f>IF(OR($A94="F&amp;F",$A94="CE",H$7="No aplica"),0,'BOULEVARD 5'!K92-'BOULEVARD PPTO'!C87)</f>
        <v>0</v>
      </c>
      <c r="I94" s="756">
        <f>IF(OR($A94="F&amp;F",$A94="CE",I$7="No aplica"),0,'BOULEVARD 5'!L92-'BOULEVARD PPTO'!D87)</f>
        <v>0</v>
      </c>
      <c r="J94" s="756">
        <f>IF(OR($A94="F&amp;F",$A94="CE",J$7="No aplica"),0,'BOULEVARD 5'!M92-'BOULEVARD PPTO'!E87)</f>
        <v>0</v>
      </c>
      <c r="K94" s="756">
        <f>IF(OR($A94="F&amp;F",$A94="CE",K$7="No aplica"),0,'BOULEVARD 5'!N92-'BOULEVARD PPTO'!F87)</f>
        <v>0</v>
      </c>
      <c r="L94" s="756">
        <f>IF(OR($A94="F&amp;F",$A94="CE",L$7="No aplica"),0,'BOULEVARD 5'!O92-'BOULEVARD PPTO'!G87)</f>
        <v>0</v>
      </c>
      <c r="M94" s="756">
        <f>IF(OR($A94="F&amp;F",$A94="CE",M$7="No aplica"),0,'BOULEVARD 5'!P92-'BOULEVARD PPTO'!H87)</f>
        <v>0</v>
      </c>
      <c r="N94" s="756">
        <f>IF(OR($A94="F&amp;F",$A94="CE",N$7="No aplica"),0,'BOULEVARD 5'!Q92-'BOULEVARD PPTO'!I87)</f>
        <v>0</v>
      </c>
      <c r="O94" s="756">
        <f>IF(OR($A94="F&amp;F",$A94="CE",O$7="No aplica"),0,'BOULEVARD 5'!R92-'BOULEVARD PPTO'!J87)</f>
        <v>0</v>
      </c>
      <c r="P94" s="756">
        <f>IF(OR($A94="F&amp;F",$A94="CE",P$7="No aplica"),0,'BOULEVARD 5'!S92-'BOULEVARD PPTO'!K87)</f>
        <v>0</v>
      </c>
      <c r="Q94" s="760">
        <f>IF(OR($A94="F&amp;F",$A94="CE",Q$7="No aplica"),0,'BOULEVARD 5'!T92-'BOULEVARD PPTO'!L87)</f>
        <v>0</v>
      </c>
      <c r="R94" s="760">
        <f>IF(OR($A94="F&amp;F",$A94="CE",R$7="No aplica"),0,'BOULEVARD 5'!U92-'BOULEVARD PPTO'!M87)</f>
        <v>0</v>
      </c>
      <c r="S94" s="760">
        <f>IF(OR($A94="F&amp;F",$A94="CE",S$7="No aplica"),0,'BOULEVARD 5'!V92-'BOULEVARD PPTO'!N87)</f>
        <v>0</v>
      </c>
      <c r="T94" s="760">
        <f>IF(OR($A94="F&amp;F",$A94="CE",T$7="No aplica"),0,'BOULEVARD 5'!W92-'BOULEVARD PPTO'!O87)</f>
        <v>0</v>
      </c>
      <c r="U94" s="760">
        <f>IF(OR($A94="F&amp;F",$A94="CE",U$7="No aplica"),0,'BOULEVARD 5'!X92-'BOULEVARD PPTO'!P87)</f>
        <v>0</v>
      </c>
      <c r="V94" s="760">
        <f>IF(OR($A94="F&amp;F",$A94="CE",V$7="No aplica"),0,'BOULEVARD 5'!Y92-'BOULEVARD PPTO'!Q87)</f>
        <v>0</v>
      </c>
      <c r="W94" s="760">
        <f>IF(OR($A94="F&amp;F",$A94="CE",W$7="No aplica"),0,'BOULEVARD 5'!Z92-'BOULEVARD PPTO'!R87)</f>
        <v>0</v>
      </c>
      <c r="X94" s="760">
        <f>IF(OR($A94="F&amp;F",$A94="CE",X$7="No aplica"),0,'BOULEVARD 5'!AA92-'BOULEVARD PPTO'!S87)</f>
        <v>0</v>
      </c>
      <c r="Y94" s="760">
        <f>IF(OR($A94="F&amp;F",$A94="CE",Y$7="No aplica"),0,'BOULEVARD 5'!AB92-'BOULEVARD PPTO'!T87)</f>
        <v>0</v>
      </c>
      <c r="Z94" s="760">
        <f>IF(OR($A94="F&amp;F",$A94="CE",Z$7="No aplica"),0,'BOULEVARD 5'!AC92-'BOULEVARD PPTO'!U87)</f>
        <v>0</v>
      </c>
      <c r="AA94" s="760">
        <f>IF(OR($A94="F&amp;F",$A94="CE",AA$7="No aplica"),0,'BOULEVARD 5'!AD92-'BOULEVARD PPTO'!V87)</f>
        <v>0</v>
      </c>
      <c r="AB94" s="760">
        <f>IF(OR($A94="F&amp;F",$A94="CE",AB$7="No aplica"),0,'BOULEVARD 5'!AE92-'BOULEVARD PPTO'!W87)</f>
        <v>0</v>
      </c>
      <c r="AC94" s="760">
        <f>IF(OR($A94="F&amp;F",$A94="CE",AC$7="No aplica"),0,'BOULEVARD 5'!AF92-'BOULEVARD PPTO'!X87)</f>
        <v>0</v>
      </c>
      <c r="AD94" s="760">
        <f>IF(OR($A94="F&amp;F",$A94="CE",AD$7="No aplica"),0,'BOULEVARD 5'!AG92-'BOULEVARD PPTO'!Y87)</f>
        <v>0</v>
      </c>
      <c r="AE94" s="760">
        <f>IF(OR($A94="F&amp;F",$A94="CE",AE$7="No aplica"),0,'BOULEVARD 5'!AH92-'BOULEVARD PPTO'!Z87)</f>
        <v>0</v>
      </c>
      <c r="AF94" s="760">
        <f>IF(OR($A94="F&amp;F",$A94="CE",AF$7="No aplica"),0,'BOULEVARD 5'!AI92-'BOULEVARD PPTO'!AA87)</f>
        <v>0</v>
      </c>
      <c r="AG94" s="760">
        <f>IF(OR($A94="F&amp;F",$A94="CE",AG$7="No aplica"),0,'BOULEVARD 5'!AJ92-'BOULEVARD PPTO'!AB87)</f>
        <v>0</v>
      </c>
      <c r="AH94" s="760">
        <f>IF(OR($A94="F&amp;F",$A94="CE",AH$7="No aplica"),0,'BOULEVARD 5'!AK92-'BOULEVARD PPTO'!AC87)</f>
        <v>0</v>
      </c>
      <c r="AI94" s="760">
        <f>IF(OR($A94="F&amp;F",$A94="CE",AI$7="No aplica"),0,'BOULEVARD 5'!AL92-'BOULEVARD PPTO'!AD87)</f>
        <v>-6247</v>
      </c>
      <c r="AJ94" s="760">
        <f>IF(OR($A94="F&amp;F",$A94="CE",AJ$7="No aplica"),0,'BOULEVARD 5'!AM92-'BOULEVARD PPTO'!AE87)</f>
        <v>6274</v>
      </c>
      <c r="AK94" s="760">
        <f>IF(OR($A94="F&amp;F",$A94="CE",AK$7="No aplica"),0,'BOULEVARD 5'!AN92-'BOULEVARD PPTO'!AF87)</f>
        <v>0</v>
      </c>
      <c r="AL94" s="760">
        <f>IF(OR($A94="F&amp;F",$A94="CE",AL$7="No aplica"),0,'BOULEVARD 5'!AO92-'BOULEVARD PPTO'!AG87)</f>
        <v>-6247</v>
      </c>
      <c r="AM94" s="760">
        <f>IF(OR($A94="F&amp;F",$A94="CE",AM$7="No aplica"),0,'BOULEVARD 5'!AP92-'BOULEVARD PPTO'!AH87)</f>
        <v>0</v>
      </c>
      <c r="AN94" s="760">
        <f>IF(OR($A94="F&amp;F",$A94="CE",AN$7="No aplica"),0,'BOULEVARD 5'!AQ92-'BOULEVARD PPTO'!AI87)</f>
        <v>0</v>
      </c>
      <c r="AO94" s="760">
        <f>IF(OR($A94="F&amp;F",$A94="CE",AO$7="No aplica"),0,'BOULEVARD 5'!AS92-'BOULEVARD PPTO'!AJ87)</f>
        <v>0</v>
      </c>
      <c r="AP94" s="761">
        <f t="shared" si="13"/>
        <v>-6220</v>
      </c>
      <c r="AQ94" s="761">
        <f t="shared" si="14"/>
        <v>22</v>
      </c>
      <c r="AR94" s="674">
        <f>IF(A94=0,'BOULEVARD 5'!BF92,0)</f>
        <v>10000</v>
      </c>
      <c r="AS94" s="674">
        <f>IF(A94=0,'BOULEVARD 5'!BG92,0)</f>
        <v>6247</v>
      </c>
      <c r="AT94" s="675" t="str">
        <f t="shared" si="12"/>
        <v>Vendido</v>
      </c>
      <c r="AU94" s="581" t="str">
        <f t="shared" si="11"/>
        <v>POR COBRAR</v>
      </c>
      <c r="AV94" s="760">
        <f t="shared" si="15"/>
        <v>0</v>
      </c>
    </row>
    <row r="95" spans="1:48" s="581" customFormat="1" ht="12.4" customHeight="1" outlineLevel="1" x14ac:dyDescent="0.25">
      <c r="A95" s="703">
        <f>'BOULEVARD 5'!BQ93</f>
        <v>0</v>
      </c>
      <c r="B95" s="564">
        <v>517</v>
      </c>
      <c r="C95" s="564" t="s">
        <v>175</v>
      </c>
      <c r="D95" s="564"/>
      <c r="E95" s="564" t="str">
        <f>IF('BOULEVARD 5'!E93&lt;&gt;0,'BOULEVARD 5'!E93,"")</f>
        <v>Antonio Rada</v>
      </c>
      <c r="F95" s="581" t="str">
        <f>IF('BOULEVARD 5'!F93&lt;&gt;0,'BOULEVARD 5'!F93,"")</f>
        <v>Jorge Estuardo Díaz Durán Baldetti</v>
      </c>
      <c r="G95" s="566">
        <f>IF('BOULEVARD 5'!G93="","",'BOULEVARD 5'!G93)</f>
        <v>45425</v>
      </c>
      <c r="H95" s="756">
        <f>IF(OR($A95="F&amp;F",$A95="CE",H$7="No aplica"),0,'BOULEVARD 5'!K93-'BOULEVARD PPTO'!C88)</f>
        <v>0</v>
      </c>
      <c r="I95" s="756">
        <f>IF(OR($A95="F&amp;F",$A95="CE",I$7="No aplica"),0,'BOULEVARD 5'!L93-'BOULEVARD PPTO'!D88)</f>
        <v>0</v>
      </c>
      <c r="J95" s="756">
        <f>IF(OR($A95="F&amp;F",$A95="CE",J$7="No aplica"),0,'BOULEVARD 5'!M93-'BOULEVARD PPTO'!E88)</f>
        <v>0</v>
      </c>
      <c r="K95" s="756">
        <f>IF(OR($A95="F&amp;F",$A95="CE",K$7="No aplica"),0,'BOULEVARD 5'!N93-'BOULEVARD PPTO'!F88)</f>
        <v>0</v>
      </c>
      <c r="L95" s="756">
        <f>IF(OR($A95="F&amp;F",$A95="CE",L$7="No aplica"),0,'BOULEVARD 5'!O93-'BOULEVARD PPTO'!G88)</f>
        <v>0</v>
      </c>
      <c r="M95" s="756">
        <f>IF(OR($A95="F&amp;F",$A95="CE",M$7="No aplica"),0,'BOULEVARD 5'!P93-'BOULEVARD PPTO'!H88)</f>
        <v>0</v>
      </c>
      <c r="N95" s="756">
        <f>IF(OR($A95="F&amp;F",$A95="CE",N$7="No aplica"),0,'BOULEVARD 5'!Q93-'BOULEVARD PPTO'!I88)</f>
        <v>0</v>
      </c>
      <c r="O95" s="756">
        <f>IF(OR($A95="F&amp;F",$A95="CE",O$7="No aplica"),0,'BOULEVARD 5'!R93-'BOULEVARD PPTO'!J88)</f>
        <v>0</v>
      </c>
      <c r="P95" s="756">
        <f>IF(OR($A95="F&amp;F",$A95="CE",P$7="No aplica"),0,'BOULEVARD 5'!S93-'BOULEVARD PPTO'!K88)</f>
        <v>0</v>
      </c>
      <c r="Q95" s="760">
        <f>IF(OR($A95="F&amp;F",$A95="CE",Q$7="No aplica"),0,'BOULEVARD 5'!T93-'BOULEVARD PPTO'!L88)</f>
        <v>0</v>
      </c>
      <c r="R95" s="760">
        <f>IF(OR($A95="F&amp;F",$A95="CE",R$7="No aplica"),0,'BOULEVARD 5'!U93-'BOULEVARD PPTO'!M88)</f>
        <v>0</v>
      </c>
      <c r="S95" s="760">
        <f>IF(OR($A95="F&amp;F",$A95="CE",S$7="No aplica"),0,'BOULEVARD 5'!V93-'BOULEVARD PPTO'!N88)</f>
        <v>0</v>
      </c>
      <c r="T95" s="760">
        <f>IF(OR($A95="F&amp;F",$A95="CE",T$7="No aplica"),0,'BOULEVARD 5'!W93-'BOULEVARD PPTO'!O88)</f>
        <v>0</v>
      </c>
      <c r="U95" s="760">
        <f>IF(OR($A95="F&amp;F",$A95="CE",U$7="No aplica"),0,'BOULEVARD 5'!X93-'BOULEVARD PPTO'!P88)</f>
        <v>0</v>
      </c>
      <c r="V95" s="760">
        <f>IF(OR($A95="F&amp;F",$A95="CE",V$7="No aplica"),0,'BOULEVARD 5'!Y93-'BOULEVARD PPTO'!Q88)</f>
        <v>0</v>
      </c>
      <c r="W95" s="760">
        <f>IF(OR($A95="F&amp;F",$A95="CE",W$7="No aplica"),0,'BOULEVARD 5'!Z93-'BOULEVARD PPTO'!R88)</f>
        <v>-126</v>
      </c>
      <c r="X95" s="760">
        <f>IF(OR($A95="F&amp;F",$A95="CE",X$7="No aplica"),0,'BOULEVARD 5'!AA93-'BOULEVARD PPTO'!S88)</f>
        <v>0</v>
      </c>
      <c r="Y95" s="760">
        <f>IF(OR($A95="F&amp;F",$A95="CE",Y$7="No aplica"),0,'BOULEVARD 5'!AB93-'BOULEVARD PPTO'!T88)</f>
        <v>0</v>
      </c>
      <c r="Z95" s="760">
        <f>IF(OR($A95="F&amp;F",$A95="CE",Z$7="No aplica"),0,'BOULEVARD 5'!AC93-'BOULEVARD PPTO'!U88)</f>
        <v>0</v>
      </c>
      <c r="AA95" s="760">
        <f>IF(OR($A95="F&amp;F",$A95="CE",AA$7="No aplica"),0,'BOULEVARD 5'!AD93-'BOULEVARD PPTO'!V88)</f>
        <v>0</v>
      </c>
      <c r="AB95" s="760">
        <f>IF(OR($A95="F&amp;F",$A95="CE",AB$7="No aplica"),0,'BOULEVARD 5'!AE93-'BOULEVARD PPTO'!W88)</f>
        <v>4166</v>
      </c>
      <c r="AC95" s="760">
        <f>IF(OR($A95="F&amp;F",$A95="CE",AC$7="No aplica"),0,'BOULEVARD 5'!AF93-'BOULEVARD PPTO'!X88)</f>
        <v>0</v>
      </c>
      <c r="AD95" s="760">
        <f>IF(OR($A95="F&amp;F",$A95="CE",AD$7="No aplica"),0,'BOULEVARD 5'!AG93-'BOULEVARD PPTO'!Y88)</f>
        <v>-4166</v>
      </c>
      <c r="AE95" s="760">
        <f>IF(OR($A95="F&amp;F",$A95="CE",AE$7="No aplica"),0,'BOULEVARD 5'!AH93-'BOULEVARD PPTO'!Z88)</f>
        <v>0</v>
      </c>
      <c r="AF95" s="760">
        <f>IF(OR($A95="F&amp;F",$A95="CE",AF$7="No aplica"),0,'BOULEVARD 5'!AI93-'BOULEVARD PPTO'!AA88)</f>
        <v>0</v>
      </c>
      <c r="AG95" s="760">
        <f>IF(OR($A95="F&amp;F",$A95="CE",AG$7="No aplica"),0,'BOULEVARD 5'!AJ93-'BOULEVARD PPTO'!AB88)</f>
        <v>0</v>
      </c>
      <c r="AH95" s="760">
        <f>IF(OR($A95="F&amp;F",$A95="CE",AH$7="No aplica"),0,'BOULEVARD 5'!AK93-'BOULEVARD PPTO'!AC88)</f>
        <v>0</v>
      </c>
      <c r="AI95" s="760">
        <f>IF(OR($A95="F&amp;F",$A95="CE",AI$7="No aplica"),0,'BOULEVARD 5'!AL93-'BOULEVARD PPTO'!AD88)</f>
        <v>0</v>
      </c>
      <c r="AJ95" s="760">
        <f>IF(OR($A95="F&amp;F",$A95="CE",AJ$7="No aplica"),0,'BOULEVARD 5'!AM93-'BOULEVARD PPTO'!AE88)</f>
        <v>0</v>
      </c>
      <c r="AK95" s="760">
        <f>IF(OR($A95="F&amp;F",$A95="CE",AK$7="No aplica"),0,'BOULEVARD 5'!AN93-'BOULEVARD PPTO'!AF88)</f>
        <v>0</v>
      </c>
      <c r="AL95" s="760">
        <f>IF(OR($A95="F&amp;F",$A95="CE",AL$7="No aplica"),0,'BOULEVARD 5'!AO93-'BOULEVARD PPTO'!AG88)</f>
        <v>0</v>
      </c>
      <c r="AM95" s="760">
        <f>IF(OR($A95="F&amp;F",$A95="CE",AM$7="No aplica"),0,'BOULEVARD 5'!AP93-'BOULEVARD PPTO'!AH88)</f>
        <v>0</v>
      </c>
      <c r="AN95" s="760">
        <f>IF(OR($A95="F&amp;F",$A95="CE",AN$7="No aplica"),0,'BOULEVARD 5'!AQ93-'BOULEVARD PPTO'!AI88)</f>
        <v>0</v>
      </c>
      <c r="AO95" s="760">
        <f>IF(OR($A95="F&amp;F",$A95="CE",AO$7="No aplica"),0,'BOULEVARD 5'!AS93-'BOULEVARD PPTO'!AJ88)</f>
        <v>0</v>
      </c>
      <c r="AP95" s="761">
        <f t="shared" si="13"/>
        <v>-126</v>
      </c>
      <c r="AQ95" s="761">
        <f t="shared" si="14"/>
        <v>46377.880000000005</v>
      </c>
      <c r="AR95" s="674">
        <f>IF(A95=0,'BOULEVARD 5'!BF93,0)</f>
        <v>8000</v>
      </c>
      <c r="AS95" s="674">
        <f>IF(A95=0,'BOULEVARD 5'!BG93,0)</f>
        <v>4166</v>
      </c>
      <c r="AT95" s="675" t="str">
        <f t="shared" si="12"/>
        <v>Vendido</v>
      </c>
      <c r="AU95" s="581" t="str">
        <f t="shared" si="11"/>
        <v>POR COBRAR</v>
      </c>
      <c r="AV95" s="760">
        <f t="shared" si="15"/>
        <v>0</v>
      </c>
    </row>
    <row r="96" spans="1:48" s="581" customFormat="1" ht="12.4" customHeight="1" outlineLevel="1" x14ac:dyDescent="0.25">
      <c r="A96" s="703">
        <f>'BOULEVARD 5'!BQ94</f>
        <v>0</v>
      </c>
      <c r="B96" s="564">
        <v>518</v>
      </c>
      <c r="C96" s="564" t="s">
        <v>456</v>
      </c>
      <c r="D96" s="564"/>
      <c r="E96" s="564" t="str">
        <f>IF('BOULEVARD 5'!E94&lt;&gt;0,'BOULEVARD 5'!E94,"")</f>
        <v>Diana Alvarez</v>
      </c>
      <c r="F96" s="581" t="str">
        <f>IF('BOULEVARD 5'!F94&lt;&gt;0,'BOULEVARD 5'!F94,"")</f>
        <v>Karla Denisse Ariana Méndez Contreras</v>
      </c>
      <c r="G96" s="566">
        <f>IF('BOULEVARD 5'!G94="","",'BOULEVARD 5'!G94)</f>
        <v>45594</v>
      </c>
      <c r="H96" s="756">
        <f>IF(OR($A96="F&amp;F",$A96="CE",H$7="No aplica"),0,'BOULEVARD 5'!K94-'BOULEVARD PPTO'!C89)</f>
        <v>0</v>
      </c>
      <c r="I96" s="756">
        <f>IF(OR($A96="F&amp;F",$A96="CE",I$7="No aplica"),0,'BOULEVARD 5'!L94-'BOULEVARD PPTO'!D89)</f>
        <v>0</v>
      </c>
      <c r="J96" s="756">
        <f>IF(OR($A96="F&amp;F",$A96="CE",J$7="No aplica"),0,'BOULEVARD 5'!M94-'BOULEVARD PPTO'!E89)</f>
        <v>0</v>
      </c>
      <c r="K96" s="756">
        <f>IF(OR($A96="F&amp;F",$A96="CE",K$7="No aplica"),0,'BOULEVARD 5'!N94-'BOULEVARD PPTO'!F89)</f>
        <v>0</v>
      </c>
      <c r="L96" s="756">
        <f>IF(OR($A96="F&amp;F",$A96="CE",L$7="No aplica"),0,'BOULEVARD 5'!O94-'BOULEVARD PPTO'!G89)</f>
        <v>0</v>
      </c>
      <c r="M96" s="756">
        <f>IF(OR($A96="F&amp;F",$A96="CE",M$7="No aplica"),0,'BOULEVARD 5'!P94-'BOULEVARD PPTO'!H89)</f>
        <v>0</v>
      </c>
      <c r="N96" s="756">
        <f>IF(OR($A96="F&amp;F",$A96="CE",N$7="No aplica"),0,'BOULEVARD 5'!Q94-'BOULEVARD PPTO'!I89)</f>
        <v>0</v>
      </c>
      <c r="O96" s="756">
        <f>IF(OR($A96="F&amp;F",$A96="CE",O$7="No aplica"),0,'BOULEVARD 5'!R94-'BOULEVARD PPTO'!J89)</f>
        <v>0</v>
      </c>
      <c r="P96" s="756">
        <f>IF(OR($A96="F&amp;F",$A96="CE",P$7="No aplica"),0,'BOULEVARD 5'!S94-'BOULEVARD PPTO'!K89)</f>
        <v>0</v>
      </c>
      <c r="Q96" s="760">
        <f>IF(OR($A96="F&amp;F",$A96="CE",Q$7="No aplica"),0,'BOULEVARD 5'!T94-'BOULEVARD PPTO'!L89)</f>
        <v>0</v>
      </c>
      <c r="R96" s="760">
        <f>IF(OR($A96="F&amp;F",$A96="CE",R$7="No aplica"),0,'BOULEVARD 5'!U94-'BOULEVARD PPTO'!M89)</f>
        <v>0</v>
      </c>
      <c r="S96" s="760">
        <f>IF(OR($A96="F&amp;F",$A96="CE",S$7="No aplica"),0,'BOULEVARD 5'!V94-'BOULEVARD PPTO'!N89)</f>
        <v>0</v>
      </c>
      <c r="T96" s="760">
        <f>IF(OR($A96="F&amp;F",$A96="CE",T$7="No aplica"),0,'BOULEVARD 5'!W94-'BOULEVARD PPTO'!O89)</f>
        <v>0</v>
      </c>
      <c r="U96" s="760">
        <f>IF(OR($A96="F&amp;F",$A96="CE",U$7="No aplica"),0,'BOULEVARD 5'!X94-'BOULEVARD PPTO'!P89)</f>
        <v>0</v>
      </c>
      <c r="V96" s="760">
        <f>IF(OR($A96="F&amp;F",$A96="CE",V$7="No aplica"),0,'BOULEVARD 5'!Y94-'BOULEVARD PPTO'!Q89)</f>
        <v>0</v>
      </c>
      <c r="W96" s="760">
        <f>IF(OR($A96="F&amp;F",$A96="CE",W$7="No aplica"),0,'BOULEVARD 5'!Z94-'BOULEVARD PPTO'!R89)</f>
        <v>0</v>
      </c>
      <c r="X96" s="760">
        <f>IF(OR($A96="F&amp;F",$A96="CE",X$7="No aplica"),0,'BOULEVARD 5'!AA94-'BOULEVARD PPTO'!S89)</f>
        <v>0</v>
      </c>
      <c r="Y96" s="760">
        <f>IF(OR($A96="F&amp;F",$A96="CE",Y$7="No aplica"),0,'BOULEVARD 5'!AB94-'BOULEVARD PPTO'!T89)</f>
        <v>0</v>
      </c>
      <c r="Z96" s="760">
        <f>IF(OR($A96="F&amp;F",$A96="CE",Z$7="No aplica"),0,'BOULEVARD 5'!AC94-'BOULEVARD PPTO'!U89)</f>
        <v>0</v>
      </c>
      <c r="AA96" s="760">
        <f>IF(OR($A96="F&amp;F",$A96="CE",AA$7="No aplica"),0,'BOULEVARD 5'!AD94-'BOULEVARD PPTO'!V89)</f>
        <v>0</v>
      </c>
      <c r="AB96" s="760">
        <f>IF(OR($A96="F&amp;F",$A96="CE",AB$7="No aplica"),0,'BOULEVARD 5'!AE94-'BOULEVARD PPTO'!W89)</f>
        <v>-7397</v>
      </c>
      <c r="AC96" s="760">
        <f>IF(OR($A96="F&amp;F",$A96="CE",AC$7="No aplica"),0,'BOULEVARD 5'!AF94-'BOULEVARD PPTO'!X89)</f>
        <v>27603</v>
      </c>
      <c r="AD96" s="760">
        <f>IF(OR($A96="F&amp;F",$A96="CE",AD$7="No aplica"),0,'BOULEVARD 5'!AG94-'BOULEVARD PPTO'!Y89)</f>
        <v>-7397</v>
      </c>
      <c r="AE96" s="760">
        <f>IF(OR($A96="F&amp;F",$A96="CE",AE$7="No aplica"),0,'BOULEVARD 5'!AH94-'BOULEVARD PPTO'!Z89)</f>
        <v>27603</v>
      </c>
      <c r="AF96" s="760">
        <f>IF(OR($A96="F&amp;F",$A96="CE",AF$7="No aplica"),0,'BOULEVARD 5'!AI94-'BOULEVARD PPTO'!AA89)</f>
        <v>-7397</v>
      </c>
      <c r="AG96" s="760">
        <f>IF(OR($A96="F&amp;F",$A96="CE",AG$7="No aplica"),0,'BOULEVARD 5'!AJ94-'BOULEVARD PPTO'!AB89)</f>
        <v>-7397</v>
      </c>
      <c r="AH96" s="760">
        <f>IF(OR($A96="F&amp;F",$A96="CE",AH$7="No aplica"),0,'BOULEVARD 5'!AK94-'BOULEVARD PPTO'!AC89)</f>
        <v>-7397</v>
      </c>
      <c r="AI96" s="760">
        <f>IF(OR($A96="F&amp;F",$A96="CE",AI$7="No aplica"),0,'BOULEVARD 5'!AL94-'BOULEVARD PPTO'!AD89)</f>
        <v>603</v>
      </c>
      <c r="AJ96" s="760">
        <f>IF(OR($A96="F&amp;F",$A96="CE",AJ$7="No aplica"),0,'BOULEVARD 5'!AM94-'BOULEVARD PPTO'!AE89)</f>
        <v>3367</v>
      </c>
      <c r="AK96" s="760">
        <f>IF(OR($A96="F&amp;F",$A96="CE",AK$7="No aplica"),0,'BOULEVARD 5'!AN94-'BOULEVARD PPTO'!AF89)</f>
        <v>-7397</v>
      </c>
      <c r="AL96" s="760">
        <f>IF(OR($A96="F&amp;F",$A96="CE",AL$7="No aplica"),0,'BOULEVARD 5'!AO94-'BOULEVARD PPTO'!AG89)</f>
        <v>-7397</v>
      </c>
      <c r="AM96" s="760">
        <f>IF(OR($A96="F&amp;F",$A96="CE",AM$7="No aplica"),0,'BOULEVARD 5'!AP94-'BOULEVARD PPTO'!AH89)</f>
        <v>2603</v>
      </c>
      <c r="AN96" s="760">
        <f>IF(OR($A96="F&amp;F",$A96="CE",AN$7="No aplica"),0,'BOULEVARD 5'!AQ94-'BOULEVARD PPTO'!AI89)</f>
        <v>0</v>
      </c>
      <c r="AO96" s="760">
        <f>IF(OR($A96="F&amp;F",$A96="CE",AO$7="No aplica"),0,'BOULEVARD 5'!AS94-'BOULEVARD PPTO'!AJ89)</f>
        <v>0</v>
      </c>
      <c r="AP96" s="761">
        <f t="shared" si="13"/>
        <v>10000</v>
      </c>
      <c r="AQ96" s="761">
        <f t="shared" si="14"/>
        <v>399999.99999999994</v>
      </c>
      <c r="AR96" s="674">
        <f>IF(A96=0,'BOULEVARD 5'!BF94,0)</f>
        <v>10000</v>
      </c>
      <c r="AS96" s="674">
        <f>IF(A96=0,'BOULEVARD 5'!BG94,0)</f>
        <v>7397</v>
      </c>
      <c r="AT96" s="675" t="str">
        <f t="shared" si="12"/>
        <v>Vendido</v>
      </c>
      <c r="AU96" s="581" t="str">
        <f t="shared" si="11"/>
        <v>A FAVOR DEL CLIENTE</v>
      </c>
      <c r="AV96" s="760">
        <f t="shared" si="15"/>
        <v>2603</v>
      </c>
    </row>
    <row r="97" spans="1:48" s="581" customFormat="1" ht="12.4" customHeight="1" outlineLevel="1" x14ac:dyDescent="0.25">
      <c r="A97" s="703">
        <f>'BOULEVARD 5'!BQ95</f>
        <v>0</v>
      </c>
      <c r="B97" s="564">
        <v>519</v>
      </c>
      <c r="C97" s="564" t="s">
        <v>134</v>
      </c>
      <c r="D97" s="564"/>
      <c r="E97" s="564" t="str">
        <f>IF('BOULEVARD 5'!E95&lt;&gt;0,'BOULEVARD 5'!E95,"")</f>
        <v>Anahí Cisneros</v>
      </c>
      <c r="F97" s="581" t="str">
        <f>IF('BOULEVARD 5'!F95&lt;&gt;0,'BOULEVARD 5'!F95,"")</f>
        <v>Neftali Hemanuel de Leon Recinos</v>
      </c>
      <c r="G97" s="566">
        <f>IF('BOULEVARD 5'!G95="","",'BOULEVARD 5'!G95)</f>
        <v>45898</v>
      </c>
      <c r="H97" s="756">
        <f>IF(OR($A97="F&amp;F",$A97="CE",H$7="No aplica"),0,'BOULEVARD 5'!K95-'BOULEVARD PPTO'!C90)</f>
        <v>0</v>
      </c>
      <c r="I97" s="756">
        <f>IF(OR($A97="F&amp;F",$A97="CE",I$7="No aplica"),0,'BOULEVARD 5'!L95-'BOULEVARD PPTO'!D90)</f>
        <v>0</v>
      </c>
      <c r="J97" s="756">
        <f>IF(OR($A97="F&amp;F",$A97="CE",J$7="No aplica"),0,'BOULEVARD 5'!M95-'BOULEVARD PPTO'!E90)</f>
        <v>0</v>
      </c>
      <c r="K97" s="756">
        <f>IF(OR($A97="F&amp;F",$A97="CE",K$7="No aplica"),0,'BOULEVARD 5'!N95-'BOULEVARD PPTO'!F90)</f>
        <v>0</v>
      </c>
      <c r="L97" s="756">
        <f>IF(OR($A97="F&amp;F",$A97="CE",L$7="No aplica"),0,'BOULEVARD 5'!O95-'BOULEVARD PPTO'!G90)</f>
        <v>0</v>
      </c>
      <c r="M97" s="756">
        <f>IF(OR($A97="F&amp;F",$A97="CE",M$7="No aplica"),0,'BOULEVARD 5'!P95-'BOULEVARD PPTO'!H90)</f>
        <v>0</v>
      </c>
      <c r="N97" s="756">
        <f>IF(OR($A97="F&amp;F",$A97="CE",N$7="No aplica"),0,'BOULEVARD 5'!Q95-'BOULEVARD PPTO'!I90)</f>
        <v>0</v>
      </c>
      <c r="O97" s="756">
        <f>IF(OR($A97="F&amp;F",$A97="CE",O$7="No aplica"),0,'BOULEVARD 5'!R95-'BOULEVARD PPTO'!J90)</f>
        <v>0</v>
      </c>
      <c r="P97" s="756">
        <f>IF(OR($A97="F&amp;F",$A97="CE",P$7="No aplica"),0,'BOULEVARD 5'!S95-'BOULEVARD PPTO'!K90)</f>
        <v>0</v>
      </c>
      <c r="Q97" s="760">
        <f>IF(OR($A97="F&amp;F",$A97="CE",Q$7="No aplica"),0,'BOULEVARD 5'!T95-'BOULEVARD PPTO'!L90)</f>
        <v>0</v>
      </c>
      <c r="R97" s="760">
        <f>IF(OR($A97="F&amp;F",$A97="CE",R$7="No aplica"),0,'BOULEVARD 5'!U95-'BOULEVARD PPTO'!M90)</f>
        <v>0</v>
      </c>
      <c r="S97" s="760">
        <f>IF(OR($A97="F&amp;F",$A97="CE",S$7="No aplica"),0,'BOULEVARD 5'!V95-'BOULEVARD PPTO'!N90)</f>
        <v>0</v>
      </c>
      <c r="T97" s="760">
        <f>IF(OR($A97="F&amp;F",$A97="CE",T$7="No aplica"),0,'BOULEVARD 5'!W95-'BOULEVARD PPTO'!O90)</f>
        <v>0</v>
      </c>
      <c r="U97" s="760">
        <f>IF(OR($A97="F&amp;F",$A97="CE",U$7="No aplica"),0,'BOULEVARD 5'!X95-'BOULEVARD PPTO'!P90)</f>
        <v>0</v>
      </c>
      <c r="V97" s="760">
        <f>IF(OR($A97="F&amp;F",$A97="CE",V$7="No aplica"),0,'BOULEVARD 5'!Y95-'BOULEVARD PPTO'!Q90)</f>
        <v>0</v>
      </c>
      <c r="W97" s="760">
        <f>IF(OR($A97="F&amp;F",$A97="CE",W$7="No aplica"),0,'BOULEVARD 5'!Z95-'BOULEVARD PPTO'!R90)</f>
        <v>0</v>
      </c>
      <c r="X97" s="760">
        <f>IF(OR($A97="F&amp;F",$A97="CE",X$7="No aplica"),0,'BOULEVARD 5'!AA95-'BOULEVARD PPTO'!S90)</f>
        <v>0</v>
      </c>
      <c r="Y97" s="760">
        <f>IF(OR($A97="F&amp;F",$A97="CE",Y$7="No aplica"),0,'BOULEVARD 5'!AB95-'BOULEVARD PPTO'!T90)</f>
        <v>0</v>
      </c>
      <c r="Z97" s="760">
        <f>IF(OR($A97="F&amp;F",$A97="CE",Z$7="No aplica"),0,'BOULEVARD 5'!AC95-'BOULEVARD PPTO'!U90)</f>
        <v>0</v>
      </c>
      <c r="AA97" s="760">
        <f>IF(OR($A97="F&amp;F",$A97="CE",AA$7="No aplica"),0,'BOULEVARD 5'!AD95-'BOULEVARD PPTO'!V90)</f>
        <v>0</v>
      </c>
      <c r="AB97" s="760">
        <f>IF(OR($A97="F&amp;F",$A97="CE",AB$7="No aplica"),0,'BOULEVARD 5'!AE95-'BOULEVARD PPTO'!W90)</f>
        <v>0</v>
      </c>
      <c r="AC97" s="760">
        <f>IF(OR($A97="F&amp;F",$A97="CE",AC$7="No aplica"),0,'BOULEVARD 5'!AF95-'BOULEVARD PPTO'!X90)</f>
        <v>0</v>
      </c>
      <c r="AD97" s="760">
        <f>IF(OR($A97="F&amp;F",$A97="CE",AD$7="No aplica"),0,'BOULEVARD 5'!AG95-'BOULEVARD PPTO'!Y90)</f>
        <v>0</v>
      </c>
      <c r="AE97" s="760">
        <f>IF(OR($A97="F&amp;F",$A97="CE",AE$7="No aplica"),0,'BOULEVARD 5'!AH95-'BOULEVARD PPTO'!Z90)</f>
        <v>0</v>
      </c>
      <c r="AF97" s="760">
        <f>IF(OR($A97="F&amp;F",$A97="CE",AF$7="No aplica"),0,'BOULEVARD 5'!AI95-'BOULEVARD PPTO'!AA90)</f>
        <v>0</v>
      </c>
      <c r="AG97" s="760">
        <f>IF(OR($A97="F&amp;F",$A97="CE",AG$7="No aplica"),0,'BOULEVARD 5'!AJ95-'BOULEVARD PPTO'!AB90)</f>
        <v>0</v>
      </c>
      <c r="AH97" s="760">
        <f>IF(OR($A97="F&amp;F",$A97="CE",AH$7="No aplica"),0,'BOULEVARD 5'!AK95-'BOULEVARD PPTO'!AC90)</f>
        <v>0</v>
      </c>
      <c r="AI97" s="760">
        <f>IF(OR($A97="F&amp;F",$A97="CE",AI$7="No aplica"),0,'BOULEVARD 5'!AL95-'BOULEVARD PPTO'!AD90)</f>
        <v>0</v>
      </c>
      <c r="AJ97" s="760">
        <f>IF(OR($A97="F&amp;F",$A97="CE",AJ$7="No aplica"),0,'BOULEVARD 5'!AM95-'BOULEVARD PPTO'!AE90)</f>
        <v>0</v>
      </c>
      <c r="AK97" s="760">
        <f>IF(OR($A97="F&amp;F",$A97="CE",AK$7="No aplica"),0,'BOULEVARD 5'!AN95-'BOULEVARD PPTO'!AF90)</f>
        <v>0</v>
      </c>
      <c r="AL97" s="760">
        <f>IF(OR($A97="F&amp;F",$A97="CE",AL$7="No aplica"),0,'BOULEVARD 5'!AO95-'BOULEVARD PPTO'!AG90)</f>
        <v>0</v>
      </c>
      <c r="AM97" s="760">
        <f>IF(OR($A97="F&amp;F",$A97="CE",AM$7="No aplica"),0,'BOULEVARD 5'!AP95-'BOULEVARD PPTO'!AH90)</f>
        <v>0</v>
      </c>
      <c r="AN97" s="760">
        <f>IF(OR($A97="F&amp;F",$A97="CE",AN$7="No aplica"),0,'BOULEVARD 5'!AQ95-'BOULEVARD PPTO'!AI90)</f>
        <v>0</v>
      </c>
      <c r="AO97" s="760">
        <f>IF(OR($A97="F&amp;F",$A97="CE",AO$7="No aplica"),0,'BOULEVARD 5'!AS95-'BOULEVARD PPTO'!AJ90)</f>
        <v>0</v>
      </c>
      <c r="AP97" s="761">
        <f t="shared" si="13"/>
        <v>0</v>
      </c>
      <c r="AQ97" s="761">
        <f t="shared" si="14"/>
        <v>-51050</v>
      </c>
      <c r="AR97" s="674">
        <f>IF(A97=0,'BOULEVARD 5'!BF95,0)</f>
        <v>10000</v>
      </c>
      <c r="AS97" s="674">
        <f>IF(A97=0,'BOULEVARD 5'!BG95,0)</f>
        <v>10210</v>
      </c>
      <c r="AT97" s="675" t="str">
        <f t="shared" si="12"/>
        <v>Vendido</v>
      </c>
      <c r="AU97" s="581" t="str">
        <f t="shared" si="11"/>
        <v/>
      </c>
      <c r="AV97" s="760">
        <f t="shared" si="15"/>
        <v>0</v>
      </c>
    </row>
    <row r="98" spans="1:48" s="581" customFormat="1" ht="12.4" customHeight="1" outlineLevel="1" x14ac:dyDescent="0.25">
      <c r="A98" s="703">
        <f>'BOULEVARD 5'!BQ96</f>
        <v>0</v>
      </c>
      <c r="B98" s="564">
        <v>601</v>
      </c>
      <c r="C98" s="564" t="s">
        <v>456</v>
      </c>
      <c r="D98" s="564"/>
      <c r="E98" s="564" t="str">
        <f>IF('BOULEVARD 5'!E96&lt;&gt;0,'BOULEVARD 5'!E96,"")</f>
        <v>Diana Alvarez</v>
      </c>
      <c r="F98" s="581" t="str">
        <f>IF('BOULEVARD 5'!F96&lt;&gt;0,'BOULEVARD 5'!F96,"")</f>
        <v>Cedric Amilcar Rivera Fajardo</v>
      </c>
      <c r="G98" s="566">
        <f>IF('BOULEVARD 5'!G96="","",'BOULEVARD 5'!G96)</f>
        <v>45580</v>
      </c>
      <c r="H98" s="756">
        <f>IF(OR($A98="F&amp;F",$A98="CE",H$7="No aplica"),0,'BOULEVARD 5'!K96-'BOULEVARD PPTO'!C91)</f>
        <v>0</v>
      </c>
      <c r="I98" s="756">
        <f>IF(OR($A98="F&amp;F",$A98="CE",I$7="No aplica"),0,'BOULEVARD 5'!L96-'BOULEVARD PPTO'!D91)</f>
        <v>0</v>
      </c>
      <c r="J98" s="756">
        <f>IF(OR($A98="F&amp;F",$A98="CE",J$7="No aplica"),0,'BOULEVARD 5'!M96-'BOULEVARD PPTO'!E91)</f>
        <v>0</v>
      </c>
      <c r="K98" s="756">
        <f>IF(OR($A98="F&amp;F",$A98="CE",K$7="No aplica"),0,'BOULEVARD 5'!N96-'BOULEVARD PPTO'!F91)</f>
        <v>0</v>
      </c>
      <c r="L98" s="756">
        <f>IF(OR($A98="F&amp;F",$A98="CE",L$7="No aplica"),0,'BOULEVARD 5'!O96-'BOULEVARD PPTO'!G91)</f>
        <v>0</v>
      </c>
      <c r="M98" s="756">
        <f>IF(OR($A98="F&amp;F",$A98="CE",M$7="No aplica"),0,'BOULEVARD 5'!P96-'BOULEVARD PPTO'!H91)</f>
        <v>0</v>
      </c>
      <c r="N98" s="756">
        <f>IF(OR($A98="F&amp;F",$A98="CE",N$7="No aplica"),0,'BOULEVARD 5'!Q96-'BOULEVARD PPTO'!I91)</f>
        <v>0</v>
      </c>
      <c r="O98" s="756">
        <f>IF(OR($A98="F&amp;F",$A98="CE",O$7="No aplica"),0,'BOULEVARD 5'!R96-'BOULEVARD PPTO'!J91)</f>
        <v>0</v>
      </c>
      <c r="P98" s="756">
        <f>IF(OR($A98="F&amp;F",$A98="CE",P$7="No aplica"),0,'BOULEVARD 5'!S96-'BOULEVARD PPTO'!K91)</f>
        <v>0</v>
      </c>
      <c r="Q98" s="760">
        <f>IF(OR($A98="F&amp;F",$A98="CE",Q$7="No aplica"),0,'BOULEVARD 5'!T96-'BOULEVARD PPTO'!L91)</f>
        <v>0</v>
      </c>
      <c r="R98" s="760">
        <f>IF(OR($A98="F&amp;F",$A98="CE",R$7="No aplica"),0,'BOULEVARD 5'!U96-'BOULEVARD PPTO'!M91)</f>
        <v>0</v>
      </c>
      <c r="S98" s="760">
        <f>IF(OR($A98="F&amp;F",$A98="CE",S$7="No aplica"),0,'BOULEVARD 5'!V96-'BOULEVARD PPTO'!N91)</f>
        <v>0</v>
      </c>
      <c r="T98" s="760">
        <f>IF(OR($A98="F&amp;F",$A98="CE",T$7="No aplica"),0,'BOULEVARD 5'!W96-'BOULEVARD PPTO'!O91)</f>
        <v>0</v>
      </c>
      <c r="U98" s="760">
        <f>IF(OR($A98="F&amp;F",$A98="CE",U$7="No aplica"),0,'BOULEVARD 5'!X96-'BOULEVARD PPTO'!P91)</f>
        <v>0</v>
      </c>
      <c r="V98" s="760">
        <f>IF(OR($A98="F&amp;F",$A98="CE",V$7="No aplica"),0,'BOULEVARD 5'!Y96-'BOULEVARD PPTO'!Q91)</f>
        <v>0</v>
      </c>
      <c r="W98" s="760">
        <f>IF(OR($A98="F&amp;F",$A98="CE",W$7="No aplica"),0,'BOULEVARD 5'!Z96-'BOULEVARD PPTO'!R91)</f>
        <v>0</v>
      </c>
      <c r="X98" s="760">
        <f>IF(OR($A98="F&amp;F",$A98="CE",X$7="No aplica"),0,'BOULEVARD 5'!AA96-'BOULEVARD PPTO'!S91)</f>
        <v>0</v>
      </c>
      <c r="Y98" s="760">
        <f>IF(OR($A98="F&amp;F",$A98="CE",Y$7="No aplica"),0,'BOULEVARD 5'!AB96-'BOULEVARD PPTO'!T91)</f>
        <v>0</v>
      </c>
      <c r="Z98" s="760">
        <f>IF(OR($A98="F&amp;F",$A98="CE",Z$7="No aplica"),0,'BOULEVARD 5'!AC96-'BOULEVARD PPTO'!U91)</f>
        <v>0</v>
      </c>
      <c r="AA98" s="760">
        <f>IF(OR($A98="F&amp;F",$A98="CE",AA$7="No aplica"),0,'BOULEVARD 5'!AD96-'BOULEVARD PPTO'!V91)</f>
        <v>0</v>
      </c>
      <c r="AB98" s="760">
        <f>IF(OR($A98="F&amp;F",$A98="CE",AB$7="No aplica"),0,'BOULEVARD 5'!AE96-'BOULEVARD PPTO'!W91)</f>
        <v>149</v>
      </c>
      <c r="AC98" s="760">
        <f>IF(OR($A98="F&amp;F",$A98="CE",AC$7="No aplica"),0,'BOULEVARD 5'!AF96-'BOULEVARD PPTO'!X91)</f>
        <v>40149</v>
      </c>
      <c r="AD98" s="760">
        <f>IF(OR($A98="F&amp;F",$A98="CE",AD$7="No aplica"),0,'BOULEVARD 5'!AG96-'BOULEVARD PPTO'!Y91)</f>
        <v>149</v>
      </c>
      <c r="AE98" s="760">
        <f>IF(OR($A98="F&amp;F",$A98="CE",AE$7="No aplica"),0,'BOULEVARD 5'!AH96-'BOULEVARD PPTO'!Z91)</f>
        <v>149</v>
      </c>
      <c r="AF98" s="760">
        <f>IF(OR($A98="F&amp;F",$A98="CE",AF$7="No aplica"),0,'BOULEVARD 5'!AI96-'BOULEVARD PPTO'!AA91)</f>
        <v>149</v>
      </c>
      <c r="AG98" s="760">
        <f>IF(OR($A98="F&amp;F",$A98="CE",AG$7="No aplica"),0,'BOULEVARD 5'!AJ96-'BOULEVARD PPTO'!AB91)</f>
        <v>149</v>
      </c>
      <c r="AH98" s="760">
        <f>IF(OR($A98="F&amp;F",$A98="CE",AH$7="No aplica"),0,'BOULEVARD 5'!AK96-'BOULEVARD PPTO'!AC91)</f>
        <v>149</v>
      </c>
      <c r="AI98" s="760">
        <f>IF(OR($A98="F&amp;F",$A98="CE",AI$7="No aplica"),0,'BOULEVARD 5'!AL96-'BOULEVARD PPTO'!AD91)</f>
        <v>149</v>
      </c>
      <c r="AJ98" s="760">
        <f>IF(OR($A98="F&amp;F",$A98="CE",AJ$7="No aplica"),0,'BOULEVARD 5'!AM96-'BOULEVARD PPTO'!AE91)</f>
        <v>-9851</v>
      </c>
      <c r="AK98" s="760">
        <f>IF(OR($A98="F&amp;F",$A98="CE",AK$7="No aplica"),0,'BOULEVARD 5'!AN96-'BOULEVARD PPTO'!AF91)</f>
        <v>-9851</v>
      </c>
      <c r="AL98" s="760">
        <f>IF(OR($A98="F&amp;F",$A98="CE",AL$7="No aplica"),0,'BOULEVARD 5'!AO96-'BOULEVARD PPTO'!AG91)</f>
        <v>-3851</v>
      </c>
      <c r="AM98" s="760">
        <f>IF(OR($A98="F&amp;F",$A98="CE",AM$7="No aplica"),0,'BOULEVARD 5'!AP96-'BOULEVARD PPTO'!AH91)</f>
        <v>-3851</v>
      </c>
      <c r="AN98" s="760">
        <f>IF(OR($A98="F&amp;F",$A98="CE",AN$7="No aplica"),0,'BOULEVARD 5'!AQ96-'BOULEVARD PPTO'!AI91)</f>
        <v>0</v>
      </c>
      <c r="AO98" s="760">
        <f>IF(OR($A98="F&amp;F",$A98="CE",AO$7="No aplica"),0,'BOULEVARD 5'!AS96-'BOULEVARD PPTO'!AJ91)</f>
        <v>0</v>
      </c>
      <c r="AP98" s="761">
        <f t="shared" si="13"/>
        <v>13788</v>
      </c>
      <c r="AQ98" s="761">
        <f t="shared" si="14"/>
        <v>87.200000000011642</v>
      </c>
      <c r="AR98" s="674">
        <f>IF(A98=0,'BOULEVARD 5'!BF96,0)</f>
        <v>10000</v>
      </c>
      <c r="AS98" s="674">
        <f>IF(A98=0,'BOULEVARD 5'!BG96,0)</f>
        <v>9851</v>
      </c>
      <c r="AT98" s="675" t="str">
        <f t="shared" si="12"/>
        <v>Vendido</v>
      </c>
      <c r="AU98" s="581" t="str">
        <f t="shared" si="11"/>
        <v>A FAVOR DEL CLIENTE</v>
      </c>
      <c r="AV98" s="760">
        <f t="shared" si="15"/>
        <v>0</v>
      </c>
    </row>
    <row r="99" spans="1:48" s="581" customFormat="1" ht="12.4" customHeight="1" outlineLevel="1" x14ac:dyDescent="0.25">
      <c r="A99" s="703">
        <f>'BOULEVARD 5'!BQ97</f>
        <v>0</v>
      </c>
      <c r="B99" s="564">
        <v>602</v>
      </c>
      <c r="C99" s="564" t="s">
        <v>134</v>
      </c>
      <c r="D99" s="564"/>
      <c r="E99" s="709" t="str">
        <f>IF('BOULEVARD 5'!E97&lt;&gt;0,'BOULEVARD 5'!E97,"")</f>
        <v>**</v>
      </c>
      <c r="F99" s="710" t="str">
        <f>IF('BOULEVARD 5'!F97&lt;&gt;0,'BOULEVARD 5'!F97,"")</f>
        <v>Wendy Lorena Caal Garcia</v>
      </c>
      <c r="G99" s="711">
        <f>IF('BOULEVARD 5'!G97="","",'BOULEVARD 5'!G97)</f>
        <v>45896</v>
      </c>
      <c r="H99" s="756">
        <f>IF(OR($A99="F&amp;F",$A99="CE",H$7="No aplica"),0,'BOULEVARD 5'!K97-'BOULEVARD PPTO'!C92)</f>
        <v>0</v>
      </c>
      <c r="I99" s="756">
        <f>IF(OR($A99="F&amp;F",$A99="CE",I$7="No aplica"),0,'BOULEVARD 5'!L97-'BOULEVARD PPTO'!D92)</f>
        <v>0</v>
      </c>
      <c r="J99" s="756">
        <f>IF(OR($A99="F&amp;F",$A99="CE",J$7="No aplica"),0,'BOULEVARD 5'!M97-'BOULEVARD PPTO'!E92)</f>
        <v>0</v>
      </c>
      <c r="K99" s="756">
        <f>IF(OR($A99="F&amp;F",$A99="CE",K$7="No aplica"),0,'BOULEVARD 5'!N97-'BOULEVARD PPTO'!F92)</f>
        <v>0</v>
      </c>
      <c r="L99" s="756">
        <f>IF(OR($A99="F&amp;F",$A99="CE",L$7="No aplica"),0,'BOULEVARD 5'!O97-'BOULEVARD PPTO'!G92)</f>
        <v>0</v>
      </c>
      <c r="M99" s="756">
        <f>IF(OR($A99="F&amp;F",$A99="CE",M$7="No aplica"),0,'BOULEVARD 5'!P97-'BOULEVARD PPTO'!H92)</f>
        <v>0</v>
      </c>
      <c r="N99" s="756">
        <f>IF(OR($A99="F&amp;F",$A99="CE",N$7="No aplica"),0,'BOULEVARD 5'!Q97-'BOULEVARD PPTO'!I92)</f>
        <v>0</v>
      </c>
      <c r="O99" s="756">
        <f>IF(OR($A99="F&amp;F",$A99="CE",O$7="No aplica"),0,'BOULEVARD 5'!R97-'BOULEVARD PPTO'!J92)</f>
        <v>0</v>
      </c>
      <c r="P99" s="756">
        <f>IF(OR($A99="F&amp;F",$A99="CE",P$7="No aplica"),0,'BOULEVARD 5'!S97-'BOULEVARD PPTO'!K92)</f>
        <v>0</v>
      </c>
      <c r="Q99" s="760">
        <f>IF(OR($A99="F&amp;F",$A99="CE",Q$7="No aplica"),0,'BOULEVARD 5'!T97-'BOULEVARD PPTO'!L92)</f>
        <v>0</v>
      </c>
      <c r="R99" s="760">
        <f>IF(OR($A99="F&amp;F",$A99="CE",R$7="No aplica"),0,'BOULEVARD 5'!U97-'BOULEVARD PPTO'!M92)</f>
        <v>0</v>
      </c>
      <c r="S99" s="760">
        <f>IF(OR($A99="F&amp;F",$A99="CE",S$7="No aplica"),0,'BOULEVARD 5'!V97-'BOULEVARD PPTO'!N92)</f>
        <v>0</v>
      </c>
      <c r="T99" s="760">
        <f>IF(OR($A99="F&amp;F",$A99="CE",T$7="No aplica"),0,'BOULEVARD 5'!W97-'BOULEVARD PPTO'!O92)</f>
        <v>0</v>
      </c>
      <c r="U99" s="760">
        <f>IF(OR($A99="F&amp;F",$A99="CE",U$7="No aplica"),0,'BOULEVARD 5'!X97-'BOULEVARD PPTO'!P92)</f>
        <v>0</v>
      </c>
      <c r="V99" s="760">
        <f>IF(OR($A99="F&amp;F",$A99="CE",V$7="No aplica"),0,'BOULEVARD 5'!Y97-'BOULEVARD PPTO'!Q92)</f>
        <v>0</v>
      </c>
      <c r="W99" s="760">
        <f>IF(OR($A99="F&amp;F",$A99="CE",W$7="No aplica"),0,'BOULEVARD 5'!Z97-'BOULEVARD PPTO'!R92)</f>
        <v>0</v>
      </c>
      <c r="X99" s="760">
        <f>IF(OR($A99="F&amp;F",$A99="CE",X$7="No aplica"),0,'BOULEVARD 5'!AA97-'BOULEVARD PPTO'!S92)</f>
        <v>0</v>
      </c>
      <c r="Y99" s="760">
        <f>IF(OR($A99="F&amp;F",$A99="CE",Y$7="No aplica"),0,'BOULEVARD 5'!AB97-'BOULEVARD PPTO'!T92)</f>
        <v>0</v>
      </c>
      <c r="Z99" s="760">
        <f>IF(OR($A99="F&amp;F",$A99="CE",Z$7="No aplica"),0,'BOULEVARD 5'!AC97-'BOULEVARD PPTO'!U92)</f>
        <v>0</v>
      </c>
      <c r="AA99" s="760">
        <f>IF(OR($A99="F&amp;F",$A99="CE",AA$7="No aplica"),0,'BOULEVARD 5'!AD97-'BOULEVARD PPTO'!V92)</f>
        <v>0</v>
      </c>
      <c r="AB99" s="760">
        <f>IF(OR($A99="F&amp;F",$A99="CE",AB$7="No aplica"),0,'BOULEVARD 5'!AE97-'BOULEVARD PPTO'!W92)</f>
        <v>0</v>
      </c>
      <c r="AC99" s="760">
        <f>IF(OR($A99="F&amp;F",$A99="CE",AC$7="No aplica"),0,'BOULEVARD 5'!AF97-'BOULEVARD PPTO'!X92)</f>
        <v>0</v>
      </c>
      <c r="AD99" s="760">
        <f>IF(OR($A99="F&amp;F",$A99="CE",AD$7="No aplica"),0,'BOULEVARD 5'!AG97-'BOULEVARD PPTO'!Y92)</f>
        <v>0</v>
      </c>
      <c r="AE99" s="760">
        <f>IF(OR($A99="F&amp;F",$A99="CE",AE$7="No aplica"),0,'BOULEVARD 5'!AH97-'BOULEVARD PPTO'!Z92)</f>
        <v>0</v>
      </c>
      <c r="AF99" s="760">
        <f>IF(OR($A99="F&amp;F",$A99="CE",AF$7="No aplica"),0,'BOULEVARD 5'!AI97-'BOULEVARD PPTO'!AA92)</f>
        <v>0</v>
      </c>
      <c r="AG99" s="760">
        <f>IF(OR($A99="F&amp;F",$A99="CE",AG$7="No aplica"),0,'BOULEVARD 5'!AJ97-'BOULEVARD PPTO'!AB92)</f>
        <v>0</v>
      </c>
      <c r="AH99" s="760">
        <f>IF(OR($A99="F&amp;F",$A99="CE",AH$7="No aplica"),0,'BOULEVARD 5'!AK97-'BOULEVARD PPTO'!AC92)</f>
        <v>0</v>
      </c>
      <c r="AI99" s="760">
        <f>IF(OR($A99="F&amp;F",$A99="CE",AI$7="No aplica"),0,'BOULEVARD 5'!AL97-'BOULEVARD PPTO'!AD92)</f>
        <v>-10000</v>
      </c>
      <c r="AJ99" s="760">
        <f>IF(OR($A99="F&amp;F",$A99="CE",AJ$7="No aplica"),0,'BOULEVARD 5'!AM97-'BOULEVARD PPTO'!AE92)</f>
        <v>-11908</v>
      </c>
      <c r="AK99" s="760">
        <f>IF(OR($A99="F&amp;F",$A99="CE",AK$7="No aplica"),0,'BOULEVARD 5'!AN97-'BOULEVARD PPTO'!AF92)</f>
        <v>-1908</v>
      </c>
      <c r="AL99" s="760">
        <f>IF(OR($A99="F&amp;F",$A99="CE",AL$7="No aplica"),0,'BOULEVARD 5'!AO97-'BOULEVARD PPTO'!AG92)</f>
        <v>-11908</v>
      </c>
      <c r="AM99" s="760">
        <f>IF(OR($A99="F&amp;F",$A99="CE",AM$7="No aplica"),0,'BOULEVARD 5'!AP97-'BOULEVARD PPTO'!AH92)</f>
        <v>90892</v>
      </c>
      <c r="AN99" s="760">
        <f>IF(OR($A99="F&amp;F",$A99="CE",AN$7="No aplica"),0,'BOULEVARD 5'!AQ97-'BOULEVARD PPTO'!AI92)</f>
        <v>0</v>
      </c>
      <c r="AO99" s="760">
        <f>IF(OR($A99="F&amp;F",$A99="CE",AO$7="No aplica"),0,'BOULEVARD 5'!AS97-'BOULEVARD PPTO'!AJ92)</f>
        <v>0</v>
      </c>
      <c r="AP99" s="761">
        <f t="shared" si="13"/>
        <v>55168</v>
      </c>
      <c r="AQ99" s="761">
        <f t="shared" si="14"/>
        <v>-40094.329999999987</v>
      </c>
      <c r="AR99" s="674">
        <f>IF(A99=0,'BOULEVARD 5'!BF97,0)</f>
        <v>10000</v>
      </c>
      <c r="AS99" s="674">
        <f>IF(A99=0,'BOULEVARD 5'!BG97,0)</f>
        <v>0</v>
      </c>
      <c r="AT99" s="675" t="str">
        <f t="shared" si="12"/>
        <v>Vendido</v>
      </c>
      <c r="AU99" s="581" t="str">
        <f t="shared" ref="AU99:AU162" si="16">IF(AP99&gt;0,"A FAVOR DEL CLIENTE",IF(AP99&lt;0,"POR COBRAR",IF(AP99=0,"","N/A")))</f>
        <v>A FAVOR DEL CLIENTE</v>
      </c>
      <c r="AV99" s="760">
        <f t="shared" si="15"/>
        <v>90892</v>
      </c>
    </row>
    <row r="100" spans="1:48" s="581" customFormat="1" ht="12.4" customHeight="1" outlineLevel="1" x14ac:dyDescent="0.25">
      <c r="A100" s="703">
        <f>'BOULEVARD 5'!BQ98</f>
        <v>0</v>
      </c>
      <c r="B100" s="564">
        <v>603</v>
      </c>
      <c r="C100" s="564" t="s">
        <v>400</v>
      </c>
      <c r="D100" s="564"/>
      <c r="E100" s="564" t="str">
        <f>IF('BOULEVARD 5'!E98&lt;&gt;0,'BOULEVARD 5'!E98,"")</f>
        <v>Antonio Rada</v>
      </c>
      <c r="F100" s="581" t="str">
        <f>IF('BOULEVARD 5'!F98&lt;&gt;0,'BOULEVARD 5'!F98,"")</f>
        <v>Mario José Márquez Rivera / Belteton Castellanos Iveth</v>
      </c>
      <c r="G100" s="566">
        <f>IF('BOULEVARD 5'!G98="","",'BOULEVARD 5'!G98)</f>
        <v>45384</v>
      </c>
      <c r="H100" s="756">
        <f>IF(OR($A100="F&amp;F",$A100="CE",H$7="No aplica"),0,'BOULEVARD 5'!K98-'BOULEVARD PPTO'!C93)</f>
        <v>0</v>
      </c>
      <c r="I100" s="756">
        <f>IF(OR($A100="F&amp;F",$A100="CE",I$7="No aplica"),0,'BOULEVARD 5'!L98-'BOULEVARD PPTO'!D93)</f>
        <v>0</v>
      </c>
      <c r="J100" s="756">
        <f>IF(OR($A100="F&amp;F",$A100="CE",J$7="No aplica"),0,'BOULEVARD 5'!M98-'BOULEVARD PPTO'!E93)</f>
        <v>0</v>
      </c>
      <c r="K100" s="756">
        <f>IF(OR($A100="F&amp;F",$A100="CE",K$7="No aplica"),0,'BOULEVARD 5'!N98-'BOULEVARD PPTO'!F93)</f>
        <v>0</v>
      </c>
      <c r="L100" s="756">
        <f>IF(OR($A100="F&amp;F",$A100="CE",L$7="No aplica"),0,'BOULEVARD 5'!O98-'BOULEVARD PPTO'!G93)</f>
        <v>0</v>
      </c>
      <c r="M100" s="756">
        <f>IF(OR($A100="F&amp;F",$A100="CE",M$7="No aplica"),0,'BOULEVARD 5'!P98-'BOULEVARD PPTO'!H93)</f>
        <v>0</v>
      </c>
      <c r="N100" s="756">
        <f>IF(OR($A100="F&amp;F",$A100="CE",N$7="No aplica"),0,'BOULEVARD 5'!Q98-'BOULEVARD PPTO'!I93)</f>
        <v>0</v>
      </c>
      <c r="O100" s="756">
        <f>IF(OR($A100="F&amp;F",$A100="CE",O$7="No aplica"),0,'BOULEVARD 5'!R98-'BOULEVARD PPTO'!J93)</f>
        <v>0</v>
      </c>
      <c r="P100" s="756">
        <f>IF(OR($A100="F&amp;F",$A100="CE",P$7="No aplica"),0,'BOULEVARD 5'!S98-'BOULEVARD PPTO'!K93)</f>
        <v>0</v>
      </c>
      <c r="Q100" s="760">
        <f>IF(OR($A100="F&amp;F",$A100="CE",Q$7="No aplica"),0,'BOULEVARD 5'!T98-'BOULEVARD PPTO'!L93)</f>
        <v>0</v>
      </c>
      <c r="R100" s="760">
        <f>IF(OR($A100="F&amp;F",$A100="CE",R$7="No aplica"),0,'BOULEVARD 5'!U98-'BOULEVARD PPTO'!M93)</f>
        <v>0</v>
      </c>
      <c r="S100" s="760">
        <f>IF(OR($A100="F&amp;F",$A100="CE",S$7="No aplica"),0,'BOULEVARD 5'!V98-'BOULEVARD PPTO'!N93)</f>
        <v>0</v>
      </c>
      <c r="T100" s="760">
        <f>IF(OR($A100="F&amp;F",$A100="CE",T$7="No aplica"),0,'BOULEVARD 5'!W98-'BOULEVARD PPTO'!O93)</f>
        <v>0</v>
      </c>
      <c r="U100" s="760">
        <f>IF(OR($A100="F&amp;F",$A100="CE",U$7="No aplica"),0,'BOULEVARD 5'!X98-'BOULEVARD PPTO'!P93)</f>
        <v>0</v>
      </c>
      <c r="V100" s="760">
        <f>IF(OR($A100="F&amp;F",$A100="CE",V$7="No aplica"),0,'BOULEVARD 5'!Y98-'BOULEVARD PPTO'!Q93)</f>
        <v>0</v>
      </c>
      <c r="W100" s="760">
        <f>IF(OR($A100="F&amp;F",$A100="CE",W$7="No aplica"),0,'BOULEVARD 5'!Z98-'BOULEVARD PPTO'!R93)</f>
        <v>0</v>
      </c>
      <c r="X100" s="760">
        <f>IF(OR($A100="F&amp;F",$A100="CE",X$7="No aplica"),0,'BOULEVARD 5'!AA98-'BOULEVARD PPTO'!S93)</f>
        <v>0</v>
      </c>
      <c r="Y100" s="760">
        <f>IF(OR($A100="F&amp;F",$A100="CE",Y$7="No aplica"),0,'BOULEVARD 5'!AB98-'BOULEVARD PPTO'!T93)</f>
        <v>0</v>
      </c>
      <c r="Z100" s="760">
        <f>IF(OR($A100="F&amp;F",$A100="CE",Z$7="No aplica"),0,'BOULEVARD 5'!AC98-'BOULEVARD PPTO'!U93)</f>
        <v>0</v>
      </c>
      <c r="AA100" s="760">
        <f>IF(OR($A100="F&amp;F",$A100="CE",AA$7="No aplica"),0,'BOULEVARD 5'!AD98-'BOULEVARD PPTO'!V93)</f>
        <v>0</v>
      </c>
      <c r="AB100" s="760">
        <f>IF(OR($A100="F&amp;F",$A100="CE",AB$7="No aplica"),0,'BOULEVARD 5'!AE98-'BOULEVARD PPTO'!W93)</f>
        <v>0</v>
      </c>
      <c r="AC100" s="760">
        <f>IF(OR($A100="F&amp;F",$A100="CE",AC$7="No aplica"),0,'BOULEVARD 5'!AF98-'BOULEVARD PPTO'!X93)</f>
        <v>0</v>
      </c>
      <c r="AD100" s="760">
        <f>IF(OR($A100="F&amp;F",$A100="CE",AD$7="No aplica"),0,'BOULEVARD 5'!AG98-'BOULEVARD PPTO'!Y93)</f>
        <v>0</v>
      </c>
      <c r="AE100" s="760">
        <f>IF(OR($A100="F&amp;F",$A100="CE",AE$7="No aplica"),0,'BOULEVARD 5'!AH98-'BOULEVARD PPTO'!Z93)</f>
        <v>-4835</v>
      </c>
      <c r="AF100" s="760">
        <f>IF(OR($A100="F&amp;F",$A100="CE",AF$7="No aplica"),0,'BOULEVARD 5'!AI98-'BOULEVARD PPTO'!AA93)</f>
        <v>4835</v>
      </c>
      <c r="AG100" s="760">
        <f>IF(OR($A100="F&amp;F",$A100="CE",AG$7="No aplica"),0,'BOULEVARD 5'!AJ98-'BOULEVARD PPTO'!AB93)</f>
        <v>0</v>
      </c>
      <c r="AH100" s="760">
        <f>IF(OR($A100="F&amp;F",$A100="CE",AH$7="No aplica"),0,'BOULEVARD 5'!AK98-'BOULEVARD PPTO'!AC93)</f>
        <v>0</v>
      </c>
      <c r="AI100" s="760">
        <f>IF(OR($A100="F&amp;F",$A100="CE",AI$7="No aplica"),0,'BOULEVARD 5'!AL98-'BOULEVARD PPTO'!AD93)</f>
        <v>0</v>
      </c>
      <c r="AJ100" s="760">
        <f>IF(OR($A100="F&amp;F",$A100="CE",AJ$7="No aplica"),0,'BOULEVARD 5'!AM98-'BOULEVARD PPTO'!AE93)</f>
        <v>0</v>
      </c>
      <c r="AK100" s="760">
        <f>IF(OR($A100="F&amp;F",$A100="CE",AK$7="No aplica"),0,'BOULEVARD 5'!AN98-'BOULEVARD PPTO'!AF93)</f>
        <v>-2417.5</v>
      </c>
      <c r="AL100" s="760">
        <f>IF(OR($A100="F&amp;F",$A100="CE",AL$7="No aplica"),0,'BOULEVARD 5'!AO98-'BOULEVARD PPTO'!AG93)</f>
        <v>2412.5</v>
      </c>
      <c r="AM100" s="760">
        <f>IF(OR($A100="F&amp;F",$A100="CE",AM$7="No aplica"),0,'BOULEVARD 5'!AP98-'BOULEVARD PPTO'!AH93)</f>
        <v>4835</v>
      </c>
      <c r="AN100" s="760">
        <f>IF(OR($A100="F&amp;F",$A100="CE",AN$7="No aplica"),0,'BOULEVARD 5'!AQ98-'BOULEVARD PPTO'!AI93)</f>
        <v>0</v>
      </c>
      <c r="AO100" s="760">
        <f>IF(OR($A100="F&amp;F",$A100="CE",AO$7="No aplica"),0,'BOULEVARD 5'!AS98-'BOULEVARD PPTO'!AJ93)</f>
        <v>0</v>
      </c>
      <c r="AP100" s="761">
        <f t="shared" si="13"/>
        <v>4830</v>
      </c>
      <c r="AQ100" s="761">
        <f t="shared" si="14"/>
        <v>14500</v>
      </c>
      <c r="AR100" s="674">
        <f>IF(A100=0,'BOULEVARD 5'!BF98,0)</f>
        <v>8000</v>
      </c>
      <c r="AS100" s="674">
        <f>IF(A100=0,'BOULEVARD 5'!BG98,0)</f>
        <v>4835</v>
      </c>
      <c r="AT100" s="675" t="str">
        <f t="shared" si="12"/>
        <v>Vendido</v>
      </c>
      <c r="AU100" s="581" t="str">
        <f t="shared" si="16"/>
        <v>A FAVOR DEL CLIENTE</v>
      </c>
      <c r="AV100" s="760">
        <f t="shared" si="15"/>
        <v>4835</v>
      </c>
    </row>
    <row r="101" spans="1:48" s="581" customFormat="1" ht="12.4" customHeight="1" outlineLevel="1" x14ac:dyDescent="0.25">
      <c r="A101" s="703">
        <f>'BOULEVARD 5'!BQ99</f>
        <v>0</v>
      </c>
      <c r="B101" s="564">
        <v>604</v>
      </c>
      <c r="C101" s="564" t="s">
        <v>175</v>
      </c>
      <c r="D101" s="564"/>
      <c r="E101" s="564" t="str">
        <f>IF('BOULEVARD 5'!E99&lt;&gt;0,'BOULEVARD 5'!E99,"")</f>
        <v>Antonio Rada</v>
      </c>
      <c r="F101" s="581" t="str">
        <f>IF('BOULEVARD 5'!F99&lt;&gt;0,'BOULEVARD 5'!F99,"")</f>
        <v>Juan Sebastian Gaitán Serrano</v>
      </c>
      <c r="G101" s="566">
        <f>IF('BOULEVARD 5'!G99="","",'BOULEVARD 5'!G99)</f>
        <v>45411</v>
      </c>
      <c r="H101" s="756">
        <f>IF(OR($A101="F&amp;F",$A101="CE",H$7="No aplica"),0,'BOULEVARD 5'!K99-'BOULEVARD PPTO'!C94)</f>
        <v>0</v>
      </c>
      <c r="I101" s="756">
        <f>IF(OR($A101="F&amp;F",$A101="CE",I$7="No aplica"),0,'BOULEVARD 5'!L99-'BOULEVARD PPTO'!D94)</f>
        <v>0</v>
      </c>
      <c r="J101" s="756">
        <f>IF(OR($A101="F&amp;F",$A101="CE",J$7="No aplica"),0,'BOULEVARD 5'!M99-'BOULEVARD PPTO'!E94)</f>
        <v>0</v>
      </c>
      <c r="K101" s="756">
        <f>IF(OR($A101="F&amp;F",$A101="CE",K$7="No aplica"),0,'BOULEVARD 5'!N99-'BOULEVARD PPTO'!F94)</f>
        <v>0</v>
      </c>
      <c r="L101" s="756">
        <f>IF(OR($A101="F&amp;F",$A101="CE",L$7="No aplica"),0,'BOULEVARD 5'!O99-'BOULEVARD PPTO'!G94)</f>
        <v>0</v>
      </c>
      <c r="M101" s="756">
        <f>IF(OR($A101="F&amp;F",$A101="CE",M$7="No aplica"),0,'BOULEVARD 5'!P99-'BOULEVARD PPTO'!H94)</f>
        <v>0</v>
      </c>
      <c r="N101" s="756">
        <f>IF(OR($A101="F&amp;F",$A101="CE",N$7="No aplica"),0,'BOULEVARD 5'!Q99-'BOULEVARD PPTO'!I94)</f>
        <v>0</v>
      </c>
      <c r="O101" s="756">
        <f>IF(OR($A101="F&amp;F",$A101="CE",O$7="No aplica"),0,'BOULEVARD 5'!R99-'BOULEVARD PPTO'!J94)</f>
        <v>0</v>
      </c>
      <c r="P101" s="756">
        <f>IF(OR($A101="F&amp;F",$A101="CE",P$7="No aplica"),0,'BOULEVARD 5'!S99-'BOULEVARD PPTO'!K94)</f>
        <v>0</v>
      </c>
      <c r="Q101" s="760">
        <f>IF(OR($A101="F&amp;F",$A101="CE",Q$7="No aplica"),0,'BOULEVARD 5'!T99-'BOULEVARD PPTO'!L94)</f>
        <v>0</v>
      </c>
      <c r="R101" s="760">
        <f>IF(OR($A101="F&amp;F",$A101="CE",R$7="No aplica"),0,'BOULEVARD 5'!U99-'BOULEVARD PPTO'!M94)</f>
        <v>0</v>
      </c>
      <c r="S101" s="760">
        <f>IF(OR($A101="F&amp;F",$A101="CE",S$7="No aplica"),0,'BOULEVARD 5'!V99-'BOULEVARD PPTO'!N94)</f>
        <v>0</v>
      </c>
      <c r="T101" s="760">
        <f>IF(OR($A101="F&amp;F",$A101="CE",T$7="No aplica"),0,'BOULEVARD 5'!W99-'BOULEVARD PPTO'!O94)</f>
        <v>0</v>
      </c>
      <c r="U101" s="760">
        <f>IF(OR($A101="F&amp;F",$A101="CE",U$7="No aplica"),0,'BOULEVARD 5'!X99-'BOULEVARD PPTO'!P94)</f>
        <v>0</v>
      </c>
      <c r="V101" s="760">
        <f>IF(OR($A101="F&amp;F",$A101="CE",V$7="No aplica"),0,'BOULEVARD 5'!Y99-'BOULEVARD PPTO'!Q94)</f>
        <v>0</v>
      </c>
      <c r="W101" s="760">
        <f>IF(OR($A101="F&amp;F",$A101="CE",W$7="No aplica"),0,'BOULEVARD 5'!Z99-'BOULEVARD PPTO'!R94)</f>
        <v>0</v>
      </c>
      <c r="X101" s="760">
        <f>IF(OR($A101="F&amp;F",$A101="CE",X$7="No aplica"),0,'BOULEVARD 5'!AA99-'BOULEVARD PPTO'!S94)</f>
        <v>0</v>
      </c>
      <c r="Y101" s="760">
        <f>IF(OR($A101="F&amp;F",$A101="CE",Y$7="No aplica"),0,'BOULEVARD 5'!AB99-'BOULEVARD PPTO'!T94)</f>
        <v>0</v>
      </c>
      <c r="Z101" s="760">
        <f>IF(OR($A101="F&amp;F",$A101="CE",Z$7="No aplica"),0,'BOULEVARD 5'!AC99-'BOULEVARD PPTO'!U94)</f>
        <v>0</v>
      </c>
      <c r="AA101" s="760">
        <f>IF(OR($A101="F&amp;F",$A101="CE",AA$7="No aplica"),0,'BOULEVARD 5'!AD99-'BOULEVARD PPTO'!V94)</f>
        <v>0</v>
      </c>
      <c r="AB101" s="760">
        <f>IF(OR($A101="F&amp;F",$A101="CE",AB$7="No aplica"),0,'BOULEVARD 5'!AE99-'BOULEVARD PPTO'!W94)</f>
        <v>0</v>
      </c>
      <c r="AC101" s="760">
        <f>IF(OR($A101="F&amp;F",$A101="CE",AC$7="No aplica"),0,'BOULEVARD 5'!AF99-'BOULEVARD PPTO'!X94)</f>
        <v>0</v>
      </c>
      <c r="AD101" s="760">
        <f>IF(OR($A101="F&amp;F",$A101="CE",AD$7="No aplica"),0,'BOULEVARD 5'!AG99-'BOULEVARD PPTO'!Y94)</f>
        <v>0</v>
      </c>
      <c r="AE101" s="760">
        <f>IF(OR($A101="F&amp;F",$A101="CE",AE$7="No aplica"),0,'BOULEVARD 5'!AH99-'BOULEVARD PPTO'!Z94)</f>
        <v>0</v>
      </c>
      <c r="AF101" s="760">
        <f>IF(OR($A101="F&amp;F",$A101="CE",AF$7="No aplica"),0,'BOULEVARD 5'!AI99-'BOULEVARD PPTO'!AA94)</f>
        <v>0</v>
      </c>
      <c r="AG101" s="760">
        <f>IF(OR($A101="F&amp;F",$A101="CE",AG$7="No aplica"),0,'BOULEVARD 5'!AJ99-'BOULEVARD PPTO'!AB94)</f>
        <v>0</v>
      </c>
      <c r="AH101" s="760">
        <f>IF(OR($A101="F&amp;F",$A101="CE",AH$7="No aplica"),0,'BOULEVARD 5'!AK99-'BOULEVARD PPTO'!AC94)</f>
        <v>0</v>
      </c>
      <c r="AI101" s="760">
        <f>IF(OR($A101="F&amp;F",$A101="CE",AI$7="No aplica"),0,'BOULEVARD 5'!AL99-'BOULEVARD PPTO'!AD94)</f>
        <v>0</v>
      </c>
      <c r="AJ101" s="760">
        <f>IF(OR($A101="F&amp;F",$A101="CE",AJ$7="No aplica"),0,'BOULEVARD 5'!AM99-'BOULEVARD PPTO'!AE94)</f>
        <v>0</v>
      </c>
      <c r="AK101" s="760">
        <f>IF(OR($A101="F&amp;F",$A101="CE",AK$7="No aplica"),0,'BOULEVARD 5'!AN99-'BOULEVARD PPTO'!AF94)</f>
        <v>0</v>
      </c>
      <c r="AL101" s="760">
        <f>IF(OR($A101="F&amp;F",$A101="CE",AL$7="No aplica"),0,'BOULEVARD 5'!AO99-'BOULEVARD PPTO'!AG94)</f>
        <v>1</v>
      </c>
      <c r="AM101" s="760">
        <f>IF(OR($A101="F&amp;F",$A101="CE",AM$7="No aplica"),0,'BOULEVARD 5'!AP99-'BOULEVARD PPTO'!AH94)</f>
        <v>4753</v>
      </c>
      <c r="AN101" s="760">
        <f>IF(OR($A101="F&amp;F",$A101="CE",AN$7="No aplica"),0,'BOULEVARD 5'!AQ99-'BOULEVARD PPTO'!AI94)</f>
        <v>0</v>
      </c>
      <c r="AO101" s="760">
        <f>IF(OR($A101="F&amp;F",$A101="CE",AO$7="No aplica"),0,'BOULEVARD 5'!AS99-'BOULEVARD PPTO'!AJ94)</f>
        <v>0</v>
      </c>
      <c r="AP101" s="761">
        <f t="shared" si="13"/>
        <v>4754</v>
      </c>
      <c r="AQ101" s="761">
        <f t="shared" si="14"/>
        <v>14600</v>
      </c>
      <c r="AR101" s="674">
        <f>IF(A101=0,'BOULEVARD 5'!BF99,0)</f>
        <v>8000</v>
      </c>
      <c r="AS101" s="674">
        <f>IF(A101=0,'BOULEVARD 5'!BG99,0)</f>
        <v>4753</v>
      </c>
      <c r="AT101" s="675" t="str">
        <f t="shared" si="12"/>
        <v>Vendido</v>
      </c>
      <c r="AU101" s="581" t="str">
        <f t="shared" si="16"/>
        <v>A FAVOR DEL CLIENTE</v>
      </c>
      <c r="AV101" s="760">
        <f t="shared" si="15"/>
        <v>4753</v>
      </c>
    </row>
    <row r="102" spans="1:48" s="581" customFormat="1" ht="12.4" customHeight="1" outlineLevel="1" x14ac:dyDescent="0.25">
      <c r="A102" s="703">
        <f>'BOULEVARD 5'!BQ100</f>
        <v>0</v>
      </c>
      <c r="B102" s="564">
        <v>605</v>
      </c>
      <c r="C102" s="564" t="s">
        <v>461</v>
      </c>
      <c r="D102" s="564"/>
      <c r="E102" s="564" t="str">
        <f>IF('BOULEVARD 5'!E100&lt;&gt;0,'BOULEVARD 5'!E100,"")</f>
        <v>Antonio Rada</v>
      </c>
      <c r="F102" s="581" t="str">
        <f>IF('BOULEVARD 5'!F100&lt;&gt;0,'BOULEVARD 5'!F100,"")</f>
        <v>Mirna Maria Rosas Guerra</v>
      </c>
      <c r="G102" s="566">
        <f>IF('BOULEVARD 5'!G100="","",'BOULEVARD 5'!G100)</f>
        <v>45553</v>
      </c>
      <c r="H102" s="756">
        <f>IF(OR($A102="F&amp;F",$A102="CE",H$7="No aplica"),0,'BOULEVARD 5'!K100-'BOULEVARD PPTO'!C95)</f>
        <v>0</v>
      </c>
      <c r="I102" s="756">
        <f>IF(OR($A102="F&amp;F",$A102="CE",I$7="No aplica"),0,'BOULEVARD 5'!L100-'BOULEVARD PPTO'!D95)</f>
        <v>0</v>
      </c>
      <c r="J102" s="756">
        <f>IF(OR($A102="F&amp;F",$A102="CE",J$7="No aplica"),0,'BOULEVARD 5'!M100-'BOULEVARD PPTO'!E95)</f>
        <v>0</v>
      </c>
      <c r="K102" s="756">
        <f>IF(OR($A102="F&amp;F",$A102="CE",K$7="No aplica"),0,'BOULEVARD 5'!N100-'BOULEVARD PPTO'!F95)</f>
        <v>0</v>
      </c>
      <c r="L102" s="756">
        <f>IF(OR($A102="F&amp;F",$A102="CE",L$7="No aplica"),0,'BOULEVARD 5'!O100-'BOULEVARD PPTO'!G95)</f>
        <v>0</v>
      </c>
      <c r="M102" s="756">
        <f>IF(OR($A102="F&amp;F",$A102="CE",M$7="No aplica"),0,'BOULEVARD 5'!P100-'BOULEVARD PPTO'!H95)</f>
        <v>0</v>
      </c>
      <c r="N102" s="756">
        <f>IF(OR($A102="F&amp;F",$A102="CE",N$7="No aplica"),0,'BOULEVARD 5'!Q100-'BOULEVARD PPTO'!I95)</f>
        <v>0</v>
      </c>
      <c r="O102" s="756">
        <f>IF(OR($A102="F&amp;F",$A102="CE",O$7="No aplica"),0,'BOULEVARD 5'!R100-'BOULEVARD PPTO'!J95)</f>
        <v>0</v>
      </c>
      <c r="P102" s="756">
        <f>IF(OR($A102="F&amp;F",$A102="CE",P$7="No aplica"),0,'BOULEVARD 5'!S100-'BOULEVARD PPTO'!K95)</f>
        <v>0</v>
      </c>
      <c r="Q102" s="760">
        <f>IF(OR($A102="F&amp;F",$A102="CE",Q$7="No aplica"),0,'BOULEVARD 5'!T100-'BOULEVARD PPTO'!L95)</f>
        <v>0</v>
      </c>
      <c r="R102" s="760">
        <f>IF(OR($A102="F&amp;F",$A102="CE",R$7="No aplica"),0,'BOULEVARD 5'!U100-'BOULEVARD PPTO'!M95)</f>
        <v>0</v>
      </c>
      <c r="S102" s="760">
        <f>IF(OR($A102="F&amp;F",$A102="CE",S$7="No aplica"),0,'BOULEVARD 5'!V100-'BOULEVARD PPTO'!N95)</f>
        <v>0</v>
      </c>
      <c r="T102" s="760">
        <f>IF(OR($A102="F&amp;F",$A102="CE",T$7="No aplica"),0,'BOULEVARD 5'!W100-'BOULEVARD PPTO'!O95)</f>
        <v>0</v>
      </c>
      <c r="U102" s="760">
        <f>IF(OR($A102="F&amp;F",$A102="CE",U$7="No aplica"),0,'BOULEVARD 5'!X100-'BOULEVARD PPTO'!P95)</f>
        <v>0</v>
      </c>
      <c r="V102" s="760">
        <f>IF(OR($A102="F&amp;F",$A102="CE",V$7="No aplica"),0,'BOULEVARD 5'!Y100-'BOULEVARD PPTO'!Q95)</f>
        <v>0</v>
      </c>
      <c r="W102" s="760">
        <f>IF(OR($A102="F&amp;F",$A102="CE",W$7="No aplica"),0,'BOULEVARD 5'!Z100-'BOULEVARD PPTO'!R95)</f>
        <v>0</v>
      </c>
      <c r="X102" s="760">
        <f>IF(OR($A102="F&amp;F",$A102="CE",X$7="No aplica"),0,'BOULEVARD 5'!AA100-'BOULEVARD PPTO'!S95)</f>
        <v>0</v>
      </c>
      <c r="Y102" s="760">
        <f>IF(OR($A102="F&amp;F",$A102="CE",Y$7="No aplica"),0,'BOULEVARD 5'!AB100-'BOULEVARD PPTO'!T95)</f>
        <v>0</v>
      </c>
      <c r="Z102" s="760">
        <f>IF(OR($A102="F&amp;F",$A102="CE",Z$7="No aplica"),0,'BOULEVARD 5'!AC100-'BOULEVARD PPTO'!U95)</f>
        <v>0</v>
      </c>
      <c r="AA102" s="760">
        <f>IF(OR($A102="F&amp;F",$A102="CE",AA$7="No aplica"),0,'BOULEVARD 5'!AD100-'BOULEVARD PPTO'!V95)</f>
        <v>0</v>
      </c>
      <c r="AB102" s="760">
        <f>IF(OR($A102="F&amp;F",$A102="CE",AB$7="No aplica"),0,'BOULEVARD 5'!AE100-'BOULEVARD PPTO'!W95)</f>
        <v>0</v>
      </c>
      <c r="AC102" s="760">
        <f>IF(OR($A102="F&amp;F",$A102="CE",AC$7="No aplica"),0,'BOULEVARD 5'!AF100-'BOULEVARD PPTO'!X95)</f>
        <v>0</v>
      </c>
      <c r="AD102" s="760">
        <f>IF(OR($A102="F&amp;F",$A102="CE",AD$7="No aplica"),0,'BOULEVARD 5'!AG100-'BOULEVARD PPTO'!Y95)</f>
        <v>0</v>
      </c>
      <c r="AE102" s="760">
        <f>IF(OR($A102="F&amp;F",$A102="CE",AE$7="No aplica"),0,'BOULEVARD 5'!AH100-'BOULEVARD PPTO'!Z95)</f>
        <v>0</v>
      </c>
      <c r="AF102" s="760">
        <f>IF(OR($A102="F&amp;F",$A102="CE",AF$7="No aplica"),0,'BOULEVARD 5'!AI100-'BOULEVARD PPTO'!AA95)</f>
        <v>0</v>
      </c>
      <c r="AG102" s="760">
        <f>IF(OR($A102="F&amp;F",$A102="CE",AG$7="No aplica"),0,'BOULEVARD 5'!AJ100-'BOULEVARD PPTO'!AB95)</f>
        <v>0</v>
      </c>
      <c r="AH102" s="760">
        <f>IF(OR($A102="F&amp;F",$A102="CE",AH$7="No aplica"),0,'BOULEVARD 5'!AK100-'BOULEVARD PPTO'!AC95)</f>
        <v>0</v>
      </c>
      <c r="AI102" s="760">
        <f>IF(OR($A102="F&amp;F",$A102="CE",AI$7="No aplica"),0,'BOULEVARD 5'!AL100-'BOULEVARD PPTO'!AD95)</f>
        <v>0</v>
      </c>
      <c r="AJ102" s="760">
        <f>IF(OR($A102="F&amp;F",$A102="CE",AJ$7="No aplica"),0,'BOULEVARD 5'!AM100-'BOULEVARD PPTO'!AE95)</f>
        <v>0</v>
      </c>
      <c r="AK102" s="760">
        <f>IF(OR($A102="F&amp;F",$A102="CE",AK$7="No aplica"),0,'BOULEVARD 5'!AN100-'BOULEVARD PPTO'!AF95)</f>
        <v>0</v>
      </c>
      <c r="AL102" s="760">
        <f>IF(OR($A102="F&amp;F",$A102="CE",AL$7="No aplica"),0,'BOULEVARD 5'!AO100-'BOULEVARD PPTO'!AG95)</f>
        <v>0</v>
      </c>
      <c r="AM102" s="760">
        <f>IF(OR($A102="F&amp;F",$A102="CE",AM$7="No aplica"),0,'BOULEVARD 5'!AP100-'BOULEVARD PPTO'!AH95)</f>
        <v>0</v>
      </c>
      <c r="AN102" s="760">
        <f>IF(OR($A102="F&amp;F",$A102="CE",AN$7="No aplica"),0,'BOULEVARD 5'!AQ100-'BOULEVARD PPTO'!AI95)</f>
        <v>0</v>
      </c>
      <c r="AO102" s="760">
        <f>IF(OR($A102="F&amp;F",$A102="CE",AO$7="No aplica"),0,'BOULEVARD 5'!AS100-'BOULEVARD PPTO'!AJ95)</f>
        <v>0</v>
      </c>
      <c r="AP102" s="761">
        <f t="shared" si="13"/>
        <v>0</v>
      </c>
      <c r="AQ102" s="761">
        <f t="shared" si="14"/>
        <v>0</v>
      </c>
      <c r="AR102" s="674">
        <f>IF(A102=0,'BOULEVARD 5'!BF100,0)</f>
        <v>10000</v>
      </c>
      <c r="AS102" s="674">
        <f>IF(A102=0,'BOULEVARD 5'!BG100,0)</f>
        <v>8494</v>
      </c>
      <c r="AT102" s="675" t="str">
        <f t="shared" si="12"/>
        <v>Vendido</v>
      </c>
      <c r="AU102" s="581" t="str">
        <f t="shared" si="16"/>
        <v/>
      </c>
      <c r="AV102" s="760">
        <f t="shared" si="15"/>
        <v>0</v>
      </c>
    </row>
    <row r="103" spans="1:48" s="581" customFormat="1" ht="12.4" customHeight="1" outlineLevel="1" x14ac:dyDescent="0.25">
      <c r="A103" s="703">
        <f>'BOULEVARD 5'!BQ101</f>
        <v>0</v>
      </c>
      <c r="B103" s="564">
        <v>606</v>
      </c>
      <c r="C103" s="564" t="s">
        <v>463</v>
      </c>
      <c r="D103" s="564"/>
      <c r="E103" s="564" t="str">
        <f>IF('BOULEVARD 5'!E101&lt;&gt;0,'BOULEVARD 5'!E101,"")</f>
        <v>Antonio Rada</v>
      </c>
      <c r="F103" s="581" t="str">
        <f>IF('BOULEVARD 5'!F101&lt;&gt;0,'BOULEVARD 5'!F101,"")</f>
        <v>Mar Frandi Solly Gramajo Hernandez De Calderon</v>
      </c>
      <c r="G103" s="566">
        <f>IF('BOULEVARD 5'!G101="","",'BOULEVARD 5'!G101)</f>
        <v>45533</v>
      </c>
      <c r="H103" s="756">
        <f>IF(OR($A103="F&amp;F",$A103="CE",H$7="No aplica"),0,'BOULEVARD 5'!K101-'BOULEVARD PPTO'!C96)</f>
        <v>0</v>
      </c>
      <c r="I103" s="756">
        <f>IF(OR($A103="F&amp;F",$A103="CE",I$7="No aplica"),0,'BOULEVARD 5'!L101-'BOULEVARD PPTO'!D96)</f>
        <v>0</v>
      </c>
      <c r="J103" s="756">
        <f>IF(OR($A103="F&amp;F",$A103="CE",J$7="No aplica"),0,'BOULEVARD 5'!M101-'BOULEVARD PPTO'!E96)</f>
        <v>0</v>
      </c>
      <c r="K103" s="756">
        <f>IF(OR($A103="F&amp;F",$A103="CE",K$7="No aplica"),0,'BOULEVARD 5'!N101-'BOULEVARD PPTO'!F96)</f>
        <v>0</v>
      </c>
      <c r="L103" s="756">
        <f>IF(OR($A103="F&amp;F",$A103="CE",L$7="No aplica"),0,'BOULEVARD 5'!O101-'BOULEVARD PPTO'!G96)</f>
        <v>0</v>
      </c>
      <c r="M103" s="756">
        <f>IF(OR($A103="F&amp;F",$A103="CE",M$7="No aplica"),0,'BOULEVARD 5'!P101-'BOULEVARD PPTO'!H96)</f>
        <v>0</v>
      </c>
      <c r="N103" s="756">
        <f>IF(OR($A103="F&amp;F",$A103="CE",N$7="No aplica"),0,'BOULEVARD 5'!Q101-'BOULEVARD PPTO'!I96)</f>
        <v>0</v>
      </c>
      <c r="O103" s="756">
        <f>IF(OR($A103="F&amp;F",$A103="CE",O$7="No aplica"),0,'BOULEVARD 5'!R101-'BOULEVARD PPTO'!J96)</f>
        <v>0</v>
      </c>
      <c r="P103" s="756">
        <f>IF(OR($A103="F&amp;F",$A103="CE",P$7="No aplica"),0,'BOULEVARD 5'!S101-'BOULEVARD PPTO'!K96)</f>
        <v>0</v>
      </c>
      <c r="Q103" s="760">
        <f>IF(OR($A103="F&amp;F",$A103="CE",Q$7="No aplica"),0,'BOULEVARD 5'!T101-'BOULEVARD PPTO'!L96)</f>
        <v>0</v>
      </c>
      <c r="R103" s="760">
        <f>IF(OR($A103="F&amp;F",$A103="CE",R$7="No aplica"),0,'BOULEVARD 5'!U101-'BOULEVARD PPTO'!M96)</f>
        <v>0</v>
      </c>
      <c r="S103" s="760">
        <f>IF(OR($A103="F&amp;F",$A103="CE",S$7="No aplica"),0,'BOULEVARD 5'!V101-'BOULEVARD PPTO'!N96)</f>
        <v>0</v>
      </c>
      <c r="T103" s="760">
        <f>IF(OR($A103="F&amp;F",$A103="CE",T$7="No aplica"),0,'BOULEVARD 5'!W101-'BOULEVARD PPTO'!O96)</f>
        <v>0</v>
      </c>
      <c r="U103" s="760">
        <f>IF(OR($A103="F&amp;F",$A103="CE",U$7="No aplica"),0,'BOULEVARD 5'!X101-'BOULEVARD PPTO'!P96)</f>
        <v>0</v>
      </c>
      <c r="V103" s="760">
        <f>IF(OR($A103="F&amp;F",$A103="CE",V$7="No aplica"),0,'BOULEVARD 5'!Y101-'BOULEVARD PPTO'!Q96)</f>
        <v>0</v>
      </c>
      <c r="W103" s="760">
        <f>IF(OR($A103="F&amp;F",$A103="CE",W$7="No aplica"),0,'BOULEVARD 5'!Z101-'BOULEVARD PPTO'!R96)</f>
        <v>0</v>
      </c>
      <c r="X103" s="760">
        <f>IF(OR($A103="F&amp;F",$A103="CE",X$7="No aplica"),0,'BOULEVARD 5'!AA101-'BOULEVARD PPTO'!S96)</f>
        <v>0</v>
      </c>
      <c r="Y103" s="760">
        <f>IF(OR($A103="F&amp;F",$A103="CE",Y$7="No aplica"),0,'BOULEVARD 5'!AB101-'BOULEVARD PPTO'!T96)</f>
        <v>0</v>
      </c>
      <c r="Z103" s="760">
        <f>IF(OR($A103="F&amp;F",$A103="CE",Z$7="No aplica"),0,'BOULEVARD 5'!AC101-'BOULEVARD PPTO'!U96)</f>
        <v>0</v>
      </c>
      <c r="AA103" s="760">
        <f>IF(OR($A103="F&amp;F",$A103="CE",AA$7="No aplica"),0,'BOULEVARD 5'!AD101-'BOULEVARD PPTO'!V96)</f>
        <v>0</v>
      </c>
      <c r="AB103" s="760">
        <f>IF(OR($A103="F&amp;F",$A103="CE",AB$7="No aplica"),0,'BOULEVARD 5'!AE101-'BOULEVARD PPTO'!W96)</f>
        <v>0</v>
      </c>
      <c r="AC103" s="760">
        <f>IF(OR($A103="F&amp;F",$A103="CE",AC$7="No aplica"),0,'BOULEVARD 5'!AF101-'BOULEVARD PPTO'!X96)</f>
        <v>0</v>
      </c>
      <c r="AD103" s="760">
        <f>IF(OR($A103="F&amp;F",$A103="CE",AD$7="No aplica"),0,'BOULEVARD 5'!AG101-'BOULEVARD PPTO'!Y96)</f>
        <v>0</v>
      </c>
      <c r="AE103" s="760">
        <f>IF(OR($A103="F&amp;F",$A103="CE",AE$7="No aplica"),0,'BOULEVARD 5'!AH101-'BOULEVARD PPTO'!Z96)</f>
        <v>0</v>
      </c>
      <c r="AF103" s="760">
        <f>IF(OR($A103="F&amp;F",$A103="CE",AF$7="No aplica"),0,'BOULEVARD 5'!AI101-'BOULEVARD PPTO'!AA96)</f>
        <v>0</v>
      </c>
      <c r="AG103" s="760">
        <f>IF(OR($A103="F&amp;F",$A103="CE",AG$7="No aplica"),0,'BOULEVARD 5'!AJ101-'BOULEVARD PPTO'!AB96)</f>
        <v>0</v>
      </c>
      <c r="AH103" s="760">
        <f>IF(OR($A103="F&amp;F",$A103="CE",AH$7="No aplica"),0,'BOULEVARD 5'!AK101-'BOULEVARD PPTO'!AC96)</f>
        <v>0</v>
      </c>
      <c r="AI103" s="760">
        <f>IF(OR($A103="F&amp;F",$A103="CE",AI$7="No aplica"),0,'BOULEVARD 5'!AL101-'BOULEVARD PPTO'!AD96)</f>
        <v>0</v>
      </c>
      <c r="AJ103" s="760">
        <f>IF(OR($A103="F&amp;F",$A103="CE",AJ$7="No aplica"),0,'BOULEVARD 5'!AM101-'BOULEVARD PPTO'!AE96)</f>
        <v>0</v>
      </c>
      <c r="AK103" s="760">
        <f>IF(OR($A103="F&amp;F",$A103="CE",AK$7="No aplica"),0,'BOULEVARD 5'!AN101-'BOULEVARD PPTO'!AF96)</f>
        <v>0</v>
      </c>
      <c r="AL103" s="760">
        <f>IF(OR($A103="F&amp;F",$A103="CE",AL$7="No aplica"),0,'BOULEVARD 5'!AO101-'BOULEVARD PPTO'!AG96)</f>
        <v>0</v>
      </c>
      <c r="AM103" s="760">
        <f>IF(OR($A103="F&amp;F",$A103="CE",AM$7="No aplica"),0,'BOULEVARD 5'!AP101-'BOULEVARD PPTO'!AH96)</f>
        <v>0</v>
      </c>
      <c r="AN103" s="760">
        <f>IF(OR($A103="F&amp;F",$A103="CE",AN$7="No aplica"),0,'BOULEVARD 5'!AQ101-'BOULEVARD PPTO'!AI96)</f>
        <v>0</v>
      </c>
      <c r="AO103" s="760">
        <f>IF(OR($A103="F&amp;F",$A103="CE",AO$7="No aplica"),0,'BOULEVARD 5'!AS101-'BOULEVARD PPTO'!AJ96)</f>
        <v>0</v>
      </c>
      <c r="AP103" s="761">
        <f t="shared" si="13"/>
        <v>0</v>
      </c>
      <c r="AQ103" s="761">
        <f t="shared" si="14"/>
        <v>8005</v>
      </c>
      <c r="AR103" s="674">
        <f>IF(A103=0,'BOULEVARD 5'!BF101,0)</f>
        <v>10000</v>
      </c>
      <c r="AS103" s="674">
        <f>IF(A103=0,'BOULEVARD 5'!BG101,0)</f>
        <v>8000</v>
      </c>
      <c r="AT103" s="675" t="str">
        <f t="shared" si="12"/>
        <v>Vendido</v>
      </c>
      <c r="AU103" s="581" t="str">
        <f t="shared" si="16"/>
        <v/>
      </c>
      <c r="AV103" s="760">
        <f t="shared" si="15"/>
        <v>0</v>
      </c>
    </row>
    <row r="104" spans="1:48" s="581" customFormat="1" ht="12.4" customHeight="1" outlineLevel="1" x14ac:dyDescent="0.25">
      <c r="A104" s="703">
        <f>'BOULEVARD 5'!BQ102</f>
        <v>0</v>
      </c>
      <c r="B104" s="564">
        <v>607</v>
      </c>
      <c r="C104" s="564" t="s">
        <v>465</v>
      </c>
      <c r="D104" s="564"/>
      <c r="E104" s="564" t="str">
        <f>IF('BOULEVARD 5'!E102&lt;&gt;0,'BOULEVARD 5'!E102,"")</f>
        <v>Antonio Rada</v>
      </c>
      <c r="F104" s="581" t="str">
        <f>IF('BOULEVARD 5'!F102&lt;&gt;0,'BOULEVARD 5'!F102,"")</f>
        <v>Antony Williams Sajche Torres / Madelyn Kristina Sajche Torres</v>
      </c>
      <c r="G104" s="566">
        <f>IF('BOULEVARD 5'!G102="","",'BOULEVARD 5'!G102)</f>
        <v>45769</v>
      </c>
      <c r="H104" s="756">
        <f>IF(OR($A104="F&amp;F",$A104="CE",H$7="No aplica"),0,'BOULEVARD 5'!K102-'BOULEVARD PPTO'!C97)</f>
        <v>0</v>
      </c>
      <c r="I104" s="756">
        <f>IF(OR($A104="F&amp;F",$A104="CE",I$7="No aplica"),0,'BOULEVARD 5'!L102-'BOULEVARD PPTO'!D97)</f>
        <v>0</v>
      </c>
      <c r="J104" s="756">
        <f>IF(OR($A104="F&amp;F",$A104="CE",J$7="No aplica"),0,'BOULEVARD 5'!M102-'BOULEVARD PPTO'!E97)</f>
        <v>0</v>
      </c>
      <c r="K104" s="756">
        <f>IF(OR($A104="F&amp;F",$A104="CE",K$7="No aplica"),0,'BOULEVARD 5'!N102-'BOULEVARD PPTO'!F97)</f>
        <v>0</v>
      </c>
      <c r="L104" s="756">
        <f>IF(OR($A104="F&amp;F",$A104="CE",L$7="No aplica"),0,'BOULEVARD 5'!O102-'BOULEVARD PPTO'!G97)</f>
        <v>0</v>
      </c>
      <c r="M104" s="756">
        <f>IF(OR($A104="F&amp;F",$A104="CE",M$7="No aplica"),0,'BOULEVARD 5'!P102-'BOULEVARD PPTO'!H97)</f>
        <v>0</v>
      </c>
      <c r="N104" s="756">
        <f>IF(OR($A104="F&amp;F",$A104="CE",N$7="No aplica"),0,'BOULEVARD 5'!Q102-'BOULEVARD PPTO'!I97)</f>
        <v>0</v>
      </c>
      <c r="O104" s="756">
        <f>IF(OR($A104="F&amp;F",$A104="CE",O$7="No aplica"),0,'BOULEVARD 5'!R102-'BOULEVARD PPTO'!J97)</f>
        <v>0</v>
      </c>
      <c r="P104" s="756">
        <f>IF(OR($A104="F&amp;F",$A104="CE",P$7="No aplica"),0,'BOULEVARD 5'!S102-'BOULEVARD PPTO'!K97)</f>
        <v>0</v>
      </c>
      <c r="Q104" s="760">
        <f>IF(OR($A104="F&amp;F",$A104="CE",Q$7="No aplica"),0,'BOULEVARD 5'!T102-'BOULEVARD PPTO'!L97)</f>
        <v>0</v>
      </c>
      <c r="R104" s="760">
        <f>IF(OR($A104="F&amp;F",$A104="CE",R$7="No aplica"),0,'BOULEVARD 5'!U102-'BOULEVARD PPTO'!M97)</f>
        <v>0</v>
      </c>
      <c r="S104" s="760">
        <f>IF(OR($A104="F&amp;F",$A104="CE",S$7="No aplica"),0,'BOULEVARD 5'!V102-'BOULEVARD PPTO'!N97)</f>
        <v>0</v>
      </c>
      <c r="T104" s="760">
        <f>IF(OR($A104="F&amp;F",$A104="CE",T$7="No aplica"),0,'BOULEVARD 5'!W102-'BOULEVARD PPTO'!O97)</f>
        <v>0</v>
      </c>
      <c r="U104" s="760">
        <f>IF(OR($A104="F&amp;F",$A104="CE",U$7="No aplica"),0,'BOULEVARD 5'!X102-'BOULEVARD PPTO'!P97)</f>
        <v>0</v>
      </c>
      <c r="V104" s="760">
        <f>IF(OR($A104="F&amp;F",$A104="CE",V$7="No aplica"),0,'BOULEVARD 5'!Y102-'BOULEVARD PPTO'!Q97)</f>
        <v>0</v>
      </c>
      <c r="W104" s="760">
        <f>IF(OR($A104="F&amp;F",$A104="CE",W$7="No aplica"),0,'BOULEVARD 5'!Z102-'BOULEVARD PPTO'!R97)</f>
        <v>0</v>
      </c>
      <c r="X104" s="760">
        <f>IF(OR($A104="F&amp;F",$A104="CE",X$7="No aplica"),0,'BOULEVARD 5'!AA102-'BOULEVARD PPTO'!S97)</f>
        <v>0</v>
      </c>
      <c r="Y104" s="760">
        <f>IF(OR($A104="F&amp;F",$A104="CE",Y$7="No aplica"),0,'BOULEVARD 5'!AB102-'BOULEVARD PPTO'!T97)</f>
        <v>0</v>
      </c>
      <c r="Z104" s="760">
        <f>IF(OR($A104="F&amp;F",$A104="CE",Z$7="No aplica"),0,'BOULEVARD 5'!AC102-'BOULEVARD PPTO'!U97)</f>
        <v>0</v>
      </c>
      <c r="AA104" s="760">
        <f>IF(OR($A104="F&amp;F",$A104="CE",AA$7="No aplica"),0,'BOULEVARD 5'!AD102-'BOULEVARD PPTO'!V97)</f>
        <v>0</v>
      </c>
      <c r="AB104" s="760">
        <f>IF(OR($A104="F&amp;F",$A104="CE",AB$7="No aplica"),0,'BOULEVARD 5'!AE102-'BOULEVARD PPTO'!W97)</f>
        <v>0</v>
      </c>
      <c r="AC104" s="760">
        <f>IF(OR($A104="F&amp;F",$A104="CE",AC$7="No aplica"),0,'BOULEVARD 5'!AF102-'BOULEVARD PPTO'!X97)</f>
        <v>0</v>
      </c>
      <c r="AD104" s="760">
        <f>IF(OR($A104="F&amp;F",$A104="CE",AD$7="No aplica"),0,'BOULEVARD 5'!AG102-'BOULEVARD PPTO'!Y97)</f>
        <v>0</v>
      </c>
      <c r="AE104" s="760">
        <f>IF(OR($A104="F&amp;F",$A104="CE",AE$7="No aplica"),0,'BOULEVARD 5'!AH102-'BOULEVARD PPTO'!Z97)</f>
        <v>0</v>
      </c>
      <c r="AF104" s="760">
        <f>IF(OR($A104="F&amp;F",$A104="CE",AF$7="No aplica"),0,'BOULEVARD 5'!AI102-'BOULEVARD PPTO'!AA97)</f>
        <v>0</v>
      </c>
      <c r="AG104" s="760">
        <f>IF(OR($A104="F&amp;F",$A104="CE",AG$7="No aplica"),0,'BOULEVARD 5'!AJ102-'BOULEVARD PPTO'!AB97)</f>
        <v>0</v>
      </c>
      <c r="AH104" s="760">
        <f>IF(OR($A104="F&amp;F",$A104="CE",AH$7="No aplica"),0,'BOULEVARD 5'!AK102-'BOULEVARD PPTO'!AC97)</f>
        <v>0</v>
      </c>
      <c r="AI104" s="760">
        <f>IF(OR($A104="F&amp;F",$A104="CE",AI$7="No aplica"),0,'BOULEVARD 5'!AL102-'BOULEVARD PPTO'!AD97)</f>
        <v>0</v>
      </c>
      <c r="AJ104" s="760">
        <f>IF(OR($A104="F&amp;F",$A104="CE",AJ$7="No aplica"),0,'BOULEVARD 5'!AM102-'BOULEVARD PPTO'!AE97)</f>
        <v>9</v>
      </c>
      <c r="AK104" s="760">
        <f>IF(OR($A104="F&amp;F",$A104="CE",AK$7="No aplica"),0,'BOULEVARD 5'!AN102-'BOULEVARD PPTO'!AF97)</f>
        <v>0</v>
      </c>
      <c r="AL104" s="760">
        <f>IF(OR($A104="F&amp;F",$A104="CE",AL$7="No aplica"),0,'BOULEVARD 5'!AO102-'BOULEVARD PPTO'!AG97)</f>
        <v>0</v>
      </c>
      <c r="AM104" s="760">
        <f>IF(OR($A104="F&amp;F",$A104="CE",AM$7="No aplica"),0,'BOULEVARD 5'!AP102-'BOULEVARD PPTO'!AH97)</f>
        <v>0</v>
      </c>
      <c r="AN104" s="760">
        <f>IF(OR($A104="F&amp;F",$A104="CE",AN$7="No aplica"),0,'BOULEVARD 5'!AQ102-'BOULEVARD PPTO'!AI97)</f>
        <v>0</v>
      </c>
      <c r="AO104" s="760">
        <f>IF(OR($A104="F&amp;F",$A104="CE",AO$7="No aplica"),0,'BOULEVARD 5'!AS102-'BOULEVARD PPTO'!AJ97)</f>
        <v>0</v>
      </c>
      <c r="AP104" s="761">
        <f t="shared" si="13"/>
        <v>9</v>
      </c>
      <c r="AQ104" s="761">
        <f t="shared" si="14"/>
        <v>-20659</v>
      </c>
      <c r="AR104" s="674">
        <f>IF(A104=0,'BOULEVARD 5'!BF102,0)</f>
        <v>10000</v>
      </c>
      <c r="AS104" s="674">
        <f>IF(A104=0,'BOULEVARD 5'!BG102,0)</f>
        <v>5167</v>
      </c>
      <c r="AT104" s="675" t="str">
        <f t="shared" si="12"/>
        <v>Vendido</v>
      </c>
      <c r="AU104" s="581" t="str">
        <f t="shared" si="16"/>
        <v>A FAVOR DEL CLIENTE</v>
      </c>
      <c r="AV104" s="760">
        <f t="shared" si="15"/>
        <v>0</v>
      </c>
    </row>
    <row r="105" spans="1:48" s="581" customFormat="1" ht="12.4" customHeight="1" outlineLevel="1" x14ac:dyDescent="0.25">
      <c r="A105" s="703" t="str">
        <f>'BOULEVARD 5'!BQ103</f>
        <v>CE</v>
      </c>
      <c r="B105" s="708">
        <v>608</v>
      </c>
      <c r="C105" s="564" t="s">
        <v>467</v>
      </c>
      <c r="D105" s="647" t="s">
        <v>336</v>
      </c>
      <c r="E105" s="564" t="str">
        <f>IF('BOULEVARD 5'!E103&lt;&gt;0,'BOULEVARD 5'!E103,"")</f>
        <v>Antonio Rada</v>
      </c>
      <c r="F105" s="581" t="str">
        <f>IF('BOULEVARD 5'!F103&lt;&gt;0,'BOULEVARD 5'!F103,"")</f>
        <v>Alfonso Videche Rodriguez</v>
      </c>
      <c r="G105" s="566">
        <f>IF('BOULEVARD 5'!G103="","",'BOULEVARD 5'!G103)</f>
        <v>45324</v>
      </c>
      <c r="H105" s="756">
        <f>IF(OR($A105="F&amp;F",$A105="CE",H$7="No aplica"),0,'BOULEVARD 5'!K103-'BOULEVARD PPTO'!C98)</f>
        <v>0</v>
      </c>
      <c r="I105" s="756">
        <f>IF(OR($A105="F&amp;F",$A105="CE",I$7="No aplica"),0,'BOULEVARD 5'!L103-'BOULEVARD PPTO'!D98)</f>
        <v>0</v>
      </c>
      <c r="J105" s="756">
        <f>IF(OR($A105="F&amp;F",$A105="CE",J$7="No aplica"),0,'BOULEVARD 5'!M103-'BOULEVARD PPTO'!E98)</f>
        <v>0</v>
      </c>
      <c r="K105" s="756">
        <f>IF(OR($A105="F&amp;F",$A105="CE",K$7="No aplica"),0,'BOULEVARD 5'!N103-'BOULEVARD PPTO'!F98)</f>
        <v>0</v>
      </c>
      <c r="L105" s="756">
        <f>IF(OR($A105="F&amp;F",$A105="CE",L$7="No aplica"),0,'BOULEVARD 5'!O103-'BOULEVARD PPTO'!G98)</f>
        <v>0</v>
      </c>
      <c r="M105" s="756">
        <f>IF(OR($A105="F&amp;F",$A105="CE",M$7="No aplica"),0,'BOULEVARD 5'!P103-'BOULEVARD PPTO'!H98)</f>
        <v>0</v>
      </c>
      <c r="N105" s="756">
        <f>IF(OR($A105="F&amp;F",$A105="CE",N$7="No aplica"),0,'BOULEVARD 5'!Q103-'BOULEVARD PPTO'!I98)</f>
        <v>0</v>
      </c>
      <c r="O105" s="756">
        <f>IF(OR($A105="F&amp;F",$A105="CE",O$7="No aplica"),0,'BOULEVARD 5'!R103-'BOULEVARD PPTO'!J98)</f>
        <v>0</v>
      </c>
      <c r="P105" s="756">
        <f>IF(OR($A105="F&amp;F",$A105="CE",P$7="No aplica"),0,'BOULEVARD 5'!S103-'BOULEVARD PPTO'!K98)</f>
        <v>0</v>
      </c>
      <c r="Q105" s="760">
        <f>IF(OR($A105="F&amp;F",$A105="CE",Q$7="No aplica"),0,'BOULEVARD 5'!T103-'BOULEVARD PPTO'!L98)</f>
        <v>0</v>
      </c>
      <c r="R105" s="760">
        <f>IF(OR($A105="F&amp;F",$A105="CE",R$7="No aplica"),0,'BOULEVARD 5'!U103-'BOULEVARD PPTO'!M98)</f>
        <v>0</v>
      </c>
      <c r="S105" s="760">
        <f>IF(OR($A105="F&amp;F",$A105="CE",S$7="No aplica"),0,'BOULEVARD 5'!V103-'BOULEVARD PPTO'!N98)</f>
        <v>0</v>
      </c>
      <c r="T105" s="760">
        <f>IF(OR($A105="F&amp;F",$A105="CE",T$7="No aplica"),0,'BOULEVARD 5'!W103-'BOULEVARD PPTO'!O98)</f>
        <v>0</v>
      </c>
      <c r="U105" s="760">
        <f>IF(OR($A105="F&amp;F",$A105="CE",U$7="No aplica"),0,'BOULEVARD 5'!X103-'BOULEVARD PPTO'!P98)</f>
        <v>0</v>
      </c>
      <c r="V105" s="760">
        <f>IF(OR($A105="F&amp;F",$A105="CE",V$7="No aplica"),0,'BOULEVARD 5'!Y103-'BOULEVARD PPTO'!Q98)</f>
        <v>0</v>
      </c>
      <c r="W105" s="760">
        <f>IF(OR($A105="F&amp;F",$A105="CE",W$7="No aplica"),0,'BOULEVARD 5'!Z103-'BOULEVARD PPTO'!R98)</f>
        <v>0</v>
      </c>
      <c r="X105" s="760">
        <f>IF(OR($A105="F&amp;F",$A105="CE",X$7="No aplica"),0,'BOULEVARD 5'!AA103-'BOULEVARD PPTO'!S98)</f>
        <v>0</v>
      </c>
      <c r="Y105" s="760">
        <f>IF(OR($A105="F&amp;F",$A105="CE",Y$7="No aplica"),0,'BOULEVARD 5'!AB103-'BOULEVARD PPTO'!T98)</f>
        <v>0</v>
      </c>
      <c r="Z105" s="760">
        <f>IF(OR($A105="F&amp;F",$A105="CE",Z$7="No aplica"),0,'BOULEVARD 5'!AC103-'BOULEVARD PPTO'!U98)</f>
        <v>0</v>
      </c>
      <c r="AA105" s="760">
        <f>IF(OR($A105="F&amp;F",$A105="CE",AA$7="No aplica"),0,'BOULEVARD 5'!AD103-'BOULEVARD PPTO'!V98)</f>
        <v>0</v>
      </c>
      <c r="AB105" s="760">
        <f>IF(OR($A105="F&amp;F",$A105="CE",AB$7="No aplica"),0,'BOULEVARD 5'!AE103-'BOULEVARD PPTO'!W98)</f>
        <v>0</v>
      </c>
      <c r="AC105" s="760">
        <f>IF(OR($A105="F&amp;F",$A105="CE",AC$7="No aplica"),0,'BOULEVARD 5'!AF103-'BOULEVARD PPTO'!X98)</f>
        <v>0</v>
      </c>
      <c r="AD105" s="760">
        <f>IF(OR($A105="F&amp;F",$A105="CE",AD$7="No aplica"),0,'BOULEVARD 5'!AG103-'BOULEVARD PPTO'!Y98)</f>
        <v>0</v>
      </c>
      <c r="AE105" s="760">
        <f>IF(OR($A105="F&amp;F",$A105="CE",AE$7="No aplica"),0,'BOULEVARD 5'!AH103-'BOULEVARD PPTO'!Z98)</f>
        <v>0</v>
      </c>
      <c r="AF105" s="760">
        <f>IF(OR($A105="F&amp;F",$A105="CE",AF$7="No aplica"),0,'BOULEVARD 5'!AI103-'BOULEVARD PPTO'!AA98)</f>
        <v>0</v>
      </c>
      <c r="AG105" s="760">
        <f>IF(OR($A105="F&amp;F",$A105="CE",AG$7="No aplica"),0,'BOULEVARD 5'!AJ103-'BOULEVARD PPTO'!AB98)</f>
        <v>0</v>
      </c>
      <c r="AH105" s="760">
        <f>IF(OR($A105="F&amp;F",$A105="CE",AH$7="No aplica"),0,'BOULEVARD 5'!AK103-'BOULEVARD PPTO'!AC98)</f>
        <v>0</v>
      </c>
      <c r="AI105" s="760">
        <f>IF(OR($A105="F&amp;F",$A105="CE",AI$7="No aplica"),0,'BOULEVARD 5'!AL103-'BOULEVARD PPTO'!AD98)</f>
        <v>0</v>
      </c>
      <c r="AJ105" s="760">
        <f>IF(OR($A105="F&amp;F",$A105="CE",AJ$7="No aplica"),0,'BOULEVARD 5'!AM103-'BOULEVARD PPTO'!AE98)</f>
        <v>0</v>
      </c>
      <c r="AK105" s="760">
        <f>IF(OR($A105="F&amp;F",$A105="CE",AK$7="No aplica"),0,'BOULEVARD 5'!AN103-'BOULEVARD PPTO'!AF98)</f>
        <v>0</v>
      </c>
      <c r="AL105" s="760">
        <f>IF(OR($A105="F&amp;F",$A105="CE",AL$7="No aplica"),0,'BOULEVARD 5'!AO103-'BOULEVARD PPTO'!AG98)</f>
        <v>0</v>
      </c>
      <c r="AM105" s="760">
        <f>IF(OR($A105="F&amp;F",$A105="CE",AM$7="No aplica"),0,'BOULEVARD 5'!AP103-'BOULEVARD PPTO'!AH98)</f>
        <v>0</v>
      </c>
      <c r="AN105" s="760">
        <f>IF(OR($A105="F&amp;F",$A105="CE",AN$7="No aplica"),0,'BOULEVARD 5'!AQ103-'BOULEVARD PPTO'!AI98)</f>
        <v>0</v>
      </c>
      <c r="AO105" s="760">
        <f>IF(OR($A105="F&amp;F",$A105="CE",AO$7="No aplica"),0,'BOULEVARD 5'!AS103-'BOULEVARD PPTO'!AJ98)</f>
        <v>0</v>
      </c>
      <c r="AP105" s="761">
        <f t="shared" si="13"/>
        <v>0</v>
      </c>
      <c r="AQ105" s="761">
        <f t="shared" si="14"/>
        <v>0</v>
      </c>
      <c r="AR105" s="674">
        <f>IF(A105=0,'BOULEVARD 5'!BF103,0)</f>
        <v>0</v>
      </c>
      <c r="AS105" s="674">
        <f>IF(A105=0,'BOULEVARD 5'!BG103,0)</f>
        <v>0</v>
      </c>
      <c r="AT105" s="675" t="str">
        <f t="shared" si="12"/>
        <v>Vendido</v>
      </c>
      <c r="AU105" s="581" t="str">
        <f t="shared" si="16"/>
        <v/>
      </c>
      <c r="AV105" s="760">
        <f t="shared" si="15"/>
        <v>0</v>
      </c>
    </row>
    <row r="106" spans="1:48" s="581" customFormat="1" ht="12.4" customHeight="1" outlineLevel="1" x14ac:dyDescent="0.25">
      <c r="A106" s="703">
        <f>'BOULEVARD 5'!BQ104</f>
        <v>0</v>
      </c>
      <c r="B106" s="564">
        <v>609</v>
      </c>
      <c r="C106" s="564" t="s">
        <v>469</v>
      </c>
      <c r="D106" s="564"/>
      <c r="E106" s="564" t="str">
        <f>IF('BOULEVARD 5'!E104&lt;&gt;0,'BOULEVARD 5'!E104,"")</f>
        <v>Antonio Rada</v>
      </c>
      <c r="F106" s="581" t="str">
        <f>IF('BOULEVARD 5'!F104&lt;&gt;0,'BOULEVARD 5'!F104,"")</f>
        <v>Luis Augusto Franco Lopez</v>
      </c>
      <c r="G106" s="566">
        <f>IF('BOULEVARD 5'!G104="","",'BOULEVARD 5'!G104)</f>
        <v>45434</v>
      </c>
      <c r="H106" s="756">
        <f>IF(OR($A106="F&amp;F",$A106="CE",H$7="No aplica"),0,'BOULEVARD 5'!K104-'BOULEVARD PPTO'!C99)</f>
        <v>0</v>
      </c>
      <c r="I106" s="756">
        <f>IF(OR($A106="F&amp;F",$A106="CE",I$7="No aplica"),0,'BOULEVARD 5'!L104-'BOULEVARD PPTO'!D99)</f>
        <v>0</v>
      </c>
      <c r="J106" s="756">
        <f>IF(OR($A106="F&amp;F",$A106="CE",J$7="No aplica"),0,'BOULEVARD 5'!M104-'BOULEVARD PPTO'!E99)</f>
        <v>0</v>
      </c>
      <c r="K106" s="756">
        <f>IF(OR($A106="F&amp;F",$A106="CE",K$7="No aplica"),0,'BOULEVARD 5'!N104-'BOULEVARD PPTO'!F99)</f>
        <v>0</v>
      </c>
      <c r="L106" s="756">
        <f>IF(OR($A106="F&amp;F",$A106="CE",L$7="No aplica"),0,'BOULEVARD 5'!O104-'BOULEVARD PPTO'!G99)</f>
        <v>0</v>
      </c>
      <c r="M106" s="756">
        <f>IF(OR($A106="F&amp;F",$A106="CE",M$7="No aplica"),0,'BOULEVARD 5'!P104-'BOULEVARD PPTO'!H99)</f>
        <v>0</v>
      </c>
      <c r="N106" s="756">
        <f>IF(OR($A106="F&amp;F",$A106="CE",N$7="No aplica"),0,'BOULEVARD 5'!Q104-'BOULEVARD PPTO'!I99)</f>
        <v>0</v>
      </c>
      <c r="O106" s="756">
        <f>IF(OR($A106="F&amp;F",$A106="CE",O$7="No aplica"),0,'BOULEVARD 5'!R104-'BOULEVARD PPTO'!J99)</f>
        <v>0</v>
      </c>
      <c r="P106" s="756">
        <f>IF(OR($A106="F&amp;F",$A106="CE",P$7="No aplica"),0,'BOULEVARD 5'!S104-'BOULEVARD PPTO'!K99)</f>
        <v>0</v>
      </c>
      <c r="Q106" s="760">
        <f>IF(OR($A106="F&amp;F",$A106="CE",Q$7="No aplica"),0,'BOULEVARD 5'!T104-'BOULEVARD PPTO'!L99)</f>
        <v>0</v>
      </c>
      <c r="R106" s="760">
        <f>IF(OR($A106="F&amp;F",$A106="CE",R$7="No aplica"),0,'BOULEVARD 5'!U104-'BOULEVARD PPTO'!M99)</f>
        <v>0</v>
      </c>
      <c r="S106" s="760">
        <f>IF(OR($A106="F&amp;F",$A106="CE",S$7="No aplica"),0,'BOULEVARD 5'!V104-'BOULEVARD PPTO'!N99)</f>
        <v>0</v>
      </c>
      <c r="T106" s="760">
        <f>IF(OR($A106="F&amp;F",$A106="CE",T$7="No aplica"),0,'BOULEVARD 5'!W104-'BOULEVARD PPTO'!O99)</f>
        <v>0</v>
      </c>
      <c r="U106" s="760">
        <f>IF(OR($A106="F&amp;F",$A106="CE",U$7="No aplica"),0,'BOULEVARD 5'!X104-'BOULEVARD PPTO'!P99)</f>
        <v>0</v>
      </c>
      <c r="V106" s="760">
        <f>IF(OR($A106="F&amp;F",$A106="CE",V$7="No aplica"),0,'BOULEVARD 5'!Y104-'BOULEVARD PPTO'!Q99)</f>
        <v>0</v>
      </c>
      <c r="W106" s="760">
        <f>IF(OR($A106="F&amp;F",$A106="CE",W$7="No aplica"),0,'BOULEVARD 5'!Z104-'BOULEVARD PPTO'!R99)</f>
        <v>0</v>
      </c>
      <c r="X106" s="760">
        <f>IF(OR($A106="F&amp;F",$A106="CE",X$7="No aplica"),0,'BOULEVARD 5'!AA104-'BOULEVARD PPTO'!S99)</f>
        <v>0</v>
      </c>
      <c r="Y106" s="760">
        <f>IF(OR($A106="F&amp;F",$A106="CE",Y$7="No aplica"),0,'BOULEVARD 5'!AB104-'BOULEVARD PPTO'!T99)</f>
        <v>0</v>
      </c>
      <c r="Z106" s="760">
        <f>IF(OR($A106="F&amp;F",$A106="CE",Z$7="No aplica"),0,'BOULEVARD 5'!AC104-'BOULEVARD PPTO'!U99)</f>
        <v>5693</v>
      </c>
      <c r="AA106" s="760">
        <f>IF(OR($A106="F&amp;F",$A106="CE",AA$7="No aplica"),0,'BOULEVARD 5'!AD104-'BOULEVARD PPTO'!V99)</f>
        <v>-5693</v>
      </c>
      <c r="AB106" s="760">
        <f>IF(OR($A106="F&amp;F",$A106="CE",AB$7="No aplica"),0,'BOULEVARD 5'!AE104-'BOULEVARD PPTO'!W99)</f>
        <v>0</v>
      </c>
      <c r="AC106" s="760">
        <f>IF(OR($A106="F&amp;F",$A106="CE",AC$7="No aplica"),0,'BOULEVARD 5'!AF104-'BOULEVARD PPTO'!X99)</f>
        <v>0</v>
      </c>
      <c r="AD106" s="760">
        <f>IF(OR($A106="F&amp;F",$A106="CE",AD$7="No aplica"),0,'BOULEVARD 5'!AG104-'BOULEVARD PPTO'!Y99)</f>
        <v>0</v>
      </c>
      <c r="AE106" s="760">
        <f>IF(OR($A106="F&amp;F",$A106="CE",AE$7="No aplica"),0,'BOULEVARD 5'!AH104-'BOULEVARD PPTO'!Z99)</f>
        <v>0</v>
      </c>
      <c r="AF106" s="760">
        <f>IF(OR($A106="F&amp;F",$A106="CE",AF$7="No aplica"),0,'BOULEVARD 5'!AI104-'BOULEVARD PPTO'!AA99)</f>
        <v>0</v>
      </c>
      <c r="AG106" s="760">
        <f>IF(OR($A106="F&amp;F",$A106="CE",AG$7="No aplica"),0,'BOULEVARD 5'!AJ104-'BOULEVARD PPTO'!AB99)</f>
        <v>0</v>
      </c>
      <c r="AH106" s="760">
        <f>IF(OR($A106="F&amp;F",$A106="CE",AH$7="No aplica"),0,'BOULEVARD 5'!AK104-'BOULEVARD PPTO'!AC99)</f>
        <v>5693</v>
      </c>
      <c r="AI106" s="760">
        <f>IF(OR($A106="F&amp;F",$A106="CE",AI$7="No aplica"),0,'BOULEVARD 5'!AL104-'BOULEVARD PPTO'!AD99)</f>
        <v>-5693</v>
      </c>
      <c r="AJ106" s="760">
        <f>IF(OR($A106="F&amp;F",$A106="CE",AJ$7="No aplica"),0,'BOULEVARD 5'!AM104-'BOULEVARD PPTO'!AE99)</f>
        <v>0</v>
      </c>
      <c r="AK106" s="760">
        <f>IF(OR($A106="F&amp;F",$A106="CE",AK$7="No aplica"),0,'BOULEVARD 5'!AN104-'BOULEVARD PPTO'!AF99)</f>
        <v>0</v>
      </c>
      <c r="AL106" s="760">
        <f>IF(OR($A106="F&amp;F",$A106="CE",AL$7="No aplica"),0,'BOULEVARD 5'!AO104-'BOULEVARD PPTO'!AG99)</f>
        <v>0</v>
      </c>
      <c r="AM106" s="760">
        <f>IF(OR($A106="F&amp;F",$A106="CE",AM$7="No aplica"),0,'BOULEVARD 5'!AP104-'BOULEVARD PPTO'!AH99)</f>
        <v>0</v>
      </c>
      <c r="AN106" s="760">
        <f>IF(OR($A106="F&amp;F",$A106="CE",AN$7="No aplica"),0,'BOULEVARD 5'!AQ104-'BOULEVARD PPTO'!AI99)</f>
        <v>0</v>
      </c>
      <c r="AO106" s="760">
        <f>IF(OR($A106="F&amp;F",$A106="CE",AO$7="No aplica"),0,'BOULEVARD 5'!AS104-'BOULEVARD PPTO'!AJ99)</f>
        <v>0</v>
      </c>
      <c r="AP106" s="761">
        <f t="shared" si="13"/>
        <v>0</v>
      </c>
      <c r="AQ106" s="761">
        <f t="shared" si="14"/>
        <v>5.5</v>
      </c>
      <c r="AR106" s="674">
        <f>IF(A106=0,'BOULEVARD 5'!BF104,0)</f>
        <v>10000</v>
      </c>
      <c r="AS106" s="674">
        <f>IF(A106=0,'BOULEVARD 5'!BG104,0)</f>
        <v>5693</v>
      </c>
      <c r="AT106" s="675" t="str">
        <f t="shared" si="12"/>
        <v>Vendido</v>
      </c>
      <c r="AU106" s="581" t="str">
        <f t="shared" si="16"/>
        <v/>
      </c>
      <c r="AV106" s="760">
        <f t="shared" si="15"/>
        <v>0</v>
      </c>
    </row>
    <row r="107" spans="1:48" s="581" customFormat="1" ht="12.4" customHeight="1" outlineLevel="1" x14ac:dyDescent="0.25">
      <c r="A107" s="703">
        <f>'BOULEVARD 5'!BQ105</f>
        <v>0</v>
      </c>
      <c r="B107" s="564">
        <v>610</v>
      </c>
      <c r="C107" s="564" t="s">
        <v>467</v>
      </c>
      <c r="D107" s="564"/>
      <c r="E107" s="564" t="str">
        <f>IF('BOULEVARD 5'!E105&lt;&gt;0,'BOULEVARD 5'!E105,"")</f>
        <v>Antonio Rada</v>
      </c>
      <c r="F107" s="581" t="str">
        <f>IF('BOULEVARD 5'!F105&lt;&gt;0,'BOULEVARD 5'!F105,"")</f>
        <v>Andrea Nathalia Molina Mendez De Velasqeuz</v>
      </c>
      <c r="G107" s="566">
        <f>IF('BOULEVARD 5'!G105="","",'BOULEVARD 5'!G105)</f>
        <v>45351</v>
      </c>
      <c r="H107" s="756">
        <f>IF(OR($A107="F&amp;F",$A107="CE",H$7="No aplica"),0,'BOULEVARD 5'!K105-'BOULEVARD PPTO'!C100)</f>
        <v>0</v>
      </c>
      <c r="I107" s="756">
        <f>IF(OR($A107="F&amp;F",$A107="CE",I$7="No aplica"),0,'BOULEVARD 5'!L105-'BOULEVARD PPTO'!D100)</f>
        <v>0</v>
      </c>
      <c r="J107" s="756">
        <f>IF(OR($A107="F&amp;F",$A107="CE",J$7="No aplica"),0,'BOULEVARD 5'!M105-'BOULEVARD PPTO'!E100)</f>
        <v>0</v>
      </c>
      <c r="K107" s="756">
        <f>IF(OR($A107="F&amp;F",$A107="CE",K$7="No aplica"),0,'BOULEVARD 5'!N105-'BOULEVARD PPTO'!F100)</f>
        <v>0</v>
      </c>
      <c r="L107" s="756">
        <f>IF(OR($A107="F&amp;F",$A107="CE",L$7="No aplica"),0,'BOULEVARD 5'!O105-'BOULEVARD PPTO'!G100)</f>
        <v>0</v>
      </c>
      <c r="M107" s="756">
        <f>IF(OR($A107="F&amp;F",$A107="CE",M$7="No aplica"),0,'BOULEVARD 5'!P105-'BOULEVARD PPTO'!H100)</f>
        <v>0</v>
      </c>
      <c r="N107" s="756">
        <f>IF(OR($A107="F&amp;F",$A107="CE",N$7="No aplica"),0,'BOULEVARD 5'!Q105-'BOULEVARD PPTO'!I100)</f>
        <v>0</v>
      </c>
      <c r="O107" s="756">
        <f>IF(OR($A107="F&amp;F",$A107="CE",O$7="No aplica"),0,'BOULEVARD 5'!R105-'BOULEVARD PPTO'!J100)</f>
        <v>0</v>
      </c>
      <c r="P107" s="756">
        <f>IF(OR($A107="F&amp;F",$A107="CE",P$7="No aplica"),0,'BOULEVARD 5'!S105-'BOULEVARD PPTO'!K100)</f>
        <v>0</v>
      </c>
      <c r="Q107" s="760">
        <f>IF(OR($A107="F&amp;F",$A107="CE",Q$7="No aplica"),0,'BOULEVARD 5'!T105-'BOULEVARD PPTO'!L100)</f>
        <v>0</v>
      </c>
      <c r="R107" s="760">
        <f>IF(OR($A107="F&amp;F",$A107="CE",R$7="No aplica"),0,'BOULEVARD 5'!U105-'BOULEVARD PPTO'!M100)</f>
        <v>0</v>
      </c>
      <c r="S107" s="760">
        <f>IF(OR($A107="F&amp;F",$A107="CE",S$7="No aplica"),0,'BOULEVARD 5'!V105-'BOULEVARD PPTO'!N100)</f>
        <v>0</v>
      </c>
      <c r="T107" s="760">
        <f>IF(OR($A107="F&amp;F",$A107="CE",T$7="No aplica"),0,'BOULEVARD 5'!W105-'BOULEVARD PPTO'!O100)</f>
        <v>0</v>
      </c>
      <c r="U107" s="760">
        <f>IF(OR($A107="F&amp;F",$A107="CE",U$7="No aplica"),0,'BOULEVARD 5'!X105-'BOULEVARD PPTO'!P100)</f>
        <v>0</v>
      </c>
      <c r="V107" s="760">
        <f>IF(OR($A107="F&amp;F",$A107="CE",V$7="No aplica"),0,'BOULEVARD 5'!Y105-'BOULEVARD PPTO'!Q100)</f>
        <v>0</v>
      </c>
      <c r="W107" s="760">
        <f>IF(OR($A107="F&amp;F",$A107="CE",W$7="No aplica"),0,'BOULEVARD 5'!Z105-'BOULEVARD PPTO'!R100)</f>
        <v>0</v>
      </c>
      <c r="X107" s="760">
        <f>IF(OR($A107="F&amp;F",$A107="CE",X$7="No aplica"),0,'BOULEVARD 5'!AA105-'BOULEVARD PPTO'!S100)</f>
        <v>0</v>
      </c>
      <c r="Y107" s="760">
        <f>IF(OR($A107="F&amp;F",$A107="CE",Y$7="No aplica"),0,'BOULEVARD 5'!AB105-'BOULEVARD PPTO'!T100)</f>
        <v>0</v>
      </c>
      <c r="Z107" s="760">
        <f>IF(OR($A107="F&amp;F",$A107="CE",Z$7="No aplica"),0,'BOULEVARD 5'!AC105-'BOULEVARD PPTO'!U100)</f>
        <v>0</v>
      </c>
      <c r="AA107" s="760">
        <f>IF(OR($A107="F&amp;F",$A107="CE",AA$7="No aplica"),0,'BOULEVARD 5'!AD105-'BOULEVARD PPTO'!V100)</f>
        <v>0</v>
      </c>
      <c r="AB107" s="760">
        <f>IF(OR($A107="F&amp;F",$A107="CE",AB$7="No aplica"),0,'BOULEVARD 5'!AE105-'BOULEVARD PPTO'!W100)</f>
        <v>0</v>
      </c>
      <c r="AC107" s="760">
        <f>IF(OR($A107="F&amp;F",$A107="CE",AC$7="No aplica"),0,'BOULEVARD 5'!AF105-'BOULEVARD PPTO'!X100)</f>
        <v>0</v>
      </c>
      <c r="AD107" s="760">
        <f>IF(OR($A107="F&amp;F",$A107="CE",AD$7="No aplica"),0,'BOULEVARD 5'!AG105-'BOULEVARD PPTO'!Y100)</f>
        <v>0</v>
      </c>
      <c r="AE107" s="760">
        <f>IF(OR($A107="F&amp;F",$A107="CE",AE$7="No aplica"),0,'BOULEVARD 5'!AH105-'BOULEVARD PPTO'!Z100)</f>
        <v>0</v>
      </c>
      <c r="AF107" s="760">
        <f>IF(OR($A107="F&amp;F",$A107="CE",AF$7="No aplica"),0,'BOULEVARD 5'!AI105-'BOULEVARD PPTO'!AA100)</f>
        <v>0</v>
      </c>
      <c r="AG107" s="760">
        <f>IF(OR($A107="F&amp;F",$A107="CE",AG$7="No aplica"),0,'BOULEVARD 5'!AJ105-'BOULEVARD PPTO'!AB100)</f>
        <v>0</v>
      </c>
      <c r="AH107" s="760">
        <f>IF(OR($A107="F&amp;F",$A107="CE",AH$7="No aplica"),0,'BOULEVARD 5'!AK105-'BOULEVARD PPTO'!AC100)</f>
        <v>0</v>
      </c>
      <c r="AI107" s="760">
        <f>IF(OR($A107="F&amp;F",$A107="CE",AI$7="No aplica"),0,'BOULEVARD 5'!AL105-'BOULEVARD PPTO'!AD100)</f>
        <v>0</v>
      </c>
      <c r="AJ107" s="760">
        <f>IF(OR($A107="F&amp;F",$A107="CE",AJ$7="No aplica"),0,'BOULEVARD 5'!AM105-'BOULEVARD PPTO'!AE100)</f>
        <v>0</v>
      </c>
      <c r="AK107" s="760">
        <f>IF(OR($A107="F&amp;F",$A107="CE",AK$7="No aplica"),0,'BOULEVARD 5'!AN105-'BOULEVARD PPTO'!AF100)</f>
        <v>0</v>
      </c>
      <c r="AL107" s="760">
        <f>IF(OR($A107="F&amp;F",$A107="CE",AL$7="No aplica"),0,'BOULEVARD 5'!AO105-'BOULEVARD PPTO'!AG100)</f>
        <v>-5813</v>
      </c>
      <c r="AM107" s="760">
        <f>IF(OR($A107="F&amp;F",$A107="CE",AM$7="No aplica"),0,'BOULEVARD 5'!AP105-'BOULEVARD PPTO'!AH100)</f>
        <v>5813</v>
      </c>
      <c r="AN107" s="760">
        <f>IF(OR($A107="F&amp;F",$A107="CE",AN$7="No aplica"),0,'BOULEVARD 5'!AQ105-'BOULEVARD PPTO'!AI100)</f>
        <v>0</v>
      </c>
      <c r="AO107" s="760">
        <f>IF(OR($A107="F&amp;F",$A107="CE",AO$7="No aplica"),0,'BOULEVARD 5'!AS105-'BOULEVARD PPTO'!AJ100)</f>
        <v>0</v>
      </c>
      <c r="AP107" s="761">
        <f t="shared" si="13"/>
        <v>0</v>
      </c>
      <c r="AQ107" s="761">
        <f t="shared" si="14"/>
        <v>0</v>
      </c>
      <c r="AR107" s="674">
        <f>IF(A107=0,'BOULEVARD 5'!BF105,0)</f>
        <v>8000</v>
      </c>
      <c r="AS107" s="674">
        <f>IF(A107=0,'BOULEVARD 5'!BG105,0)</f>
        <v>5810</v>
      </c>
      <c r="AT107" s="675" t="str">
        <f t="shared" si="12"/>
        <v>Vendido</v>
      </c>
      <c r="AU107" s="581" t="str">
        <f t="shared" si="16"/>
        <v/>
      </c>
      <c r="AV107" s="760">
        <f t="shared" si="15"/>
        <v>5813</v>
      </c>
    </row>
    <row r="108" spans="1:48" s="581" customFormat="1" ht="12.4" customHeight="1" outlineLevel="1" x14ac:dyDescent="0.25">
      <c r="A108" s="703">
        <f>'BOULEVARD 5'!BQ106</f>
        <v>0</v>
      </c>
      <c r="B108" s="564">
        <v>611</v>
      </c>
      <c r="C108" s="564" t="s">
        <v>469</v>
      </c>
      <c r="D108" s="564"/>
      <c r="E108" s="564" t="str">
        <f>IF('BOULEVARD 5'!E106&lt;&gt;0,'BOULEVARD 5'!E106,"")</f>
        <v>Antonio Rada</v>
      </c>
      <c r="F108" s="581" t="str">
        <f>IF('BOULEVARD 5'!F106&lt;&gt;0,'BOULEVARD 5'!F106,"")</f>
        <v>Kenny Estuardo Garay Carias</v>
      </c>
      <c r="G108" s="566">
        <f>IF('BOULEVARD 5'!G106="","",'BOULEVARD 5'!G106)</f>
        <v>45835</v>
      </c>
      <c r="H108" s="756">
        <f>IF(OR($A108="F&amp;F",$A108="CE",H$7="No aplica"),0,'BOULEVARD 5'!K106-'BOULEVARD PPTO'!C101)</f>
        <v>0</v>
      </c>
      <c r="I108" s="756">
        <f>IF(OR($A108="F&amp;F",$A108="CE",I$7="No aplica"),0,'BOULEVARD 5'!L106-'BOULEVARD PPTO'!D101)</f>
        <v>0</v>
      </c>
      <c r="J108" s="756">
        <f>IF(OR($A108="F&amp;F",$A108="CE",J$7="No aplica"),0,'BOULEVARD 5'!M106-'BOULEVARD PPTO'!E101)</f>
        <v>0</v>
      </c>
      <c r="K108" s="756">
        <f>IF(OR($A108="F&amp;F",$A108="CE",K$7="No aplica"),0,'BOULEVARD 5'!N106-'BOULEVARD PPTO'!F101)</f>
        <v>0</v>
      </c>
      <c r="L108" s="756">
        <f>IF(OR($A108="F&amp;F",$A108="CE",L$7="No aplica"),0,'BOULEVARD 5'!O106-'BOULEVARD PPTO'!G101)</f>
        <v>0</v>
      </c>
      <c r="M108" s="756">
        <f>IF(OR($A108="F&amp;F",$A108="CE",M$7="No aplica"),0,'BOULEVARD 5'!P106-'BOULEVARD PPTO'!H101)</f>
        <v>0</v>
      </c>
      <c r="N108" s="756">
        <f>IF(OR($A108="F&amp;F",$A108="CE",N$7="No aplica"),0,'BOULEVARD 5'!Q106-'BOULEVARD PPTO'!I101)</f>
        <v>0</v>
      </c>
      <c r="O108" s="756">
        <f>IF(OR($A108="F&amp;F",$A108="CE",O$7="No aplica"),0,'BOULEVARD 5'!R106-'BOULEVARD PPTO'!J101)</f>
        <v>0</v>
      </c>
      <c r="P108" s="756">
        <f>IF(OR($A108="F&amp;F",$A108="CE",P$7="No aplica"),0,'BOULEVARD 5'!S106-'BOULEVARD PPTO'!K101)</f>
        <v>0</v>
      </c>
      <c r="Q108" s="760">
        <f>IF(OR($A108="F&amp;F",$A108="CE",Q$7="No aplica"),0,'BOULEVARD 5'!T106-'BOULEVARD PPTO'!L101)</f>
        <v>0</v>
      </c>
      <c r="R108" s="760">
        <f>IF(OR($A108="F&amp;F",$A108="CE",R$7="No aplica"),0,'BOULEVARD 5'!U106-'BOULEVARD PPTO'!M101)</f>
        <v>0</v>
      </c>
      <c r="S108" s="760">
        <f>IF(OR($A108="F&amp;F",$A108="CE",S$7="No aplica"),0,'BOULEVARD 5'!V106-'BOULEVARD PPTO'!N101)</f>
        <v>0</v>
      </c>
      <c r="T108" s="760">
        <f>IF(OR($A108="F&amp;F",$A108="CE",T$7="No aplica"),0,'BOULEVARD 5'!W106-'BOULEVARD PPTO'!O101)</f>
        <v>0</v>
      </c>
      <c r="U108" s="760">
        <f>IF(OR($A108="F&amp;F",$A108="CE",U$7="No aplica"),0,'BOULEVARD 5'!X106-'BOULEVARD PPTO'!P101)</f>
        <v>0</v>
      </c>
      <c r="V108" s="760">
        <f>IF(OR($A108="F&amp;F",$A108="CE",V$7="No aplica"),0,'BOULEVARD 5'!Y106-'BOULEVARD PPTO'!Q101)</f>
        <v>0</v>
      </c>
      <c r="W108" s="760">
        <f>IF(OR($A108="F&amp;F",$A108="CE",W$7="No aplica"),0,'BOULEVARD 5'!Z106-'BOULEVARD PPTO'!R101)</f>
        <v>0</v>
      </c>
      <c r="X108" s="760">
        <f>IF(OR($A108="F&amp;F",$A108="CE",X$7="No aplica"),0,'BOULEVARD 5'!AA106-'BOULEVARD PPTO'!S101)</f>
        <v>0</v>
      </c>
      <c r="Y108" s="760">
        <f>IF(OR($A108="F&amp;F",$A108="CE",Y$7="No aplica"),0,'BOULEVARD 5'!AB106-'BOULEVARD PPTO'!T101)</f>
        <v>0</v>
      </c>
      <c r="Z108" s="760">
        <f>IF(OR($A108="F&amp;F",$A108="CE",Z$7="No aplica"),0,'BOULEVARD 5'!AC106-'BOULEVARD PPTO'!U101)</f>
        <v>0</v>
      </c>
      <c r="AA108" s="760">
        <f>IF(OR($A108="F&amp;F",$A108="CE",AA$7="No aplica"),0,'BOULEVARD 5'!AD106-'BOULEVARD PPTO'!V101)</f>
        <v>0</v>
      </c>
      <c r="AB108" s="760">
        <f>IF(OR($A108="F&amp;F",$A108="CE",AB$7="No aplica"),0,'BOULEVARD 5'!AE106-'BOULEVARD PPTO'!W101)</f>
        <v>0</v>
      </c>
      <c r="AC108" s="760">
        <f>IF(OR($A108="F&amp;F",$A108="CE",AC$7="No aplica"),0,'BOULEVARD 5'!AF106-'BOULEVARD PPTO'!X101)</f>
        <v>0</v>
      </c>
      <c r="AD108" s="760">
        <f>IF(OR($A108="F&amp;F",$A108="CE",AD$7="No aplica"),0,'BOULEVARD 5'!AG106-'BOULEVARD PPTO'!Y101)</f>
        <v>0</v>
      </c>
      <c r="AE108" s="760">
        <f>IF(OR($A108="F&amp;F",$A108="CE",AE$7="No aplica"),0,'BOULEVARD 5'!AH106-'BOULEVARD PPTO'!Z101)</f>
        <v>10000</v>
      </c>
      <c r="AF108" s="760">
        <f>IF(OR($A108="F&amp;F",$A108="CE",AF$7="No aplica"),0,'BOULEVARD 5'!AI106-'BOULEVARD PPTO'!AA101)</f>
        <v>10000</v>
      </c>
      <c r="AG108" s="760">
        <f>IF(OR($A108="F&amp;F",$A108="CE",AG$7="No aplica"),0,'BOULEVARD 5'!AJ106-'BOULEVARD PPTO'!AB101)</f>
        <v>-10000</v>
      </c>
      <c r="AH108" s="760">
        <f>IF(OR($A108="F&amp;F",$A108="CE",AH$7="No aplica"),0,'BOULEVARD 5'!AK106-'BOULEVARD PPTO'!AC101)</f>
        <v>-20488</v>
      </c>
      <c r="AI108" s="760">
        <f>IF(OR($A108="F&amp;F",$A108="CE",AI$7="No aplica"),0,'BOULEVARD 5'!AL106-'BOULEVARD PPTO'!AD101)</f>
        <v>-20488</v>
      </c>
      <c r="AJ108" s="760">
        <f>IF(OR($A108="F&amp;F",$A108="CE",AJ$7="No aplica"),0,'BOULEVARD 5'!AM106-'BOULEVARD PPTO'!AE101)</f>
        <v>0</v>
      </c>
      <c r="AK108" s="760">
        <f>IF(OR($A108="F&amp;F",$A108="CE",AK$7="No aplica"),0,'BOULEVARD 5'!AN106-'BOULEVARD PPTO'!AF101)</f>
        <v>0</v>
      </c>
      <c r="AL108" s="760">
        <f>IF(OR($A108="F&amp;F",$A108="CE",AL$7="No aplica"),0,'BOULEVARD 5'!AO106-'BOULEVARD PPTO'!AG101)</f>
        <v>0</v>
      </c>
      <c r="AM108" s="760">
        <f>IF(OR($A108="F&amp;F",$A108="CE",AM$7="No aplica"),0,'BOULEVARD 5'!AP106-'BOULEVARD PPTO'!AH101)</f>
        <v>0</v>
      </c>
      <c r="AN108" s="760">
        <f>IF(OR($A108="F&amp;F",$A108="CE",AN$7="No aplica"),0,'BOULEVARD 5'!AQ106-'BOULEVARD PPTO'!AI101)</f>
        <v>0</v>
      </c>
      <c r="AO108" s="760">
        <f>IF(OR($A108="F&amp;F",$A108="CE",AO$7="No aplica"),0,'BOULEVARD 5'!AS106-'BOULEVARD PPTO'!AJ101)</f>
        <v>0</v>
      </c>
      <c r="AP108" s="761">
        <f t="shared" si="13"/>
        <v>-30976</v>
      </c>
      <c r="AQ108" s="761">
        <f t="shared" si="14"/>
        <v>-112930.70000000001</v>
      </c>
      <c r="AR108" s="674">
        <f>IF(A108=0,'BOULEVARD 5'!BF106,0)</f>
        <v>10000</v>
      </c>
      <c r="AS108" s="674">
        <f>IF(A108=0,'BOULEVARD 5'!BG106,0)</f>
        <v>20488</v>
      </c>
      <c r="AT108" s="675" t="str">
        <f t="shared" si="12"/>
        <v>Vendido</v>
      </c>
      <c r="AU108" s="581" t="str">
        <f t="shared" si="16"/>
        <v>POR COBRAR</v>
      </c>
      <c r="AV108" s="760">
        <f t="shared" si="15"/>
        <v>0</v>
      </c>
    </row>
    <row r="109" spans="1:48" s="581" customFormat="1" ht="12.4" customHeight="1" outlineLevel="1" x14ac:dyDescent="0.25">
      <c r="A109" s="703">
        <f>'BOULEVARD 5'!BQ107</f>
        <v>0</v>
      </c>
      <c r="B109" s="564">
        <v>612</v>
      </c>
      <c r="C109" s="564" t="s">
        <v>406</v>
      </c>
      <c r="D109" s="565"/>
      <c r="E109" s="564" t="str">
        <f>IF('BOULEVARD 5'!E107&lt;&gt;0,'BOULEVARD 5'!E107,"")</f>
        <v>Antonio Rada</v>
      </c>
      <c r="F109" s="581" t="str">
        <f>IF('BOULEVARD 5'!F107&lt;&gt;0,'BOULEVARD 5'!F107,"")</f>
        <v>Yonatan Morgan Acajabon</v>
      </c>
      <c r="G109" s="566">
        <f>IF('BOULEVARD 5'!G107="","",'BOULEVARD 5'!G107)</f>
        <v>45906</v>
      </c>
      <c r="H109" s="756">
        <f>IF(OR($A109="F&amp;F",$A109="CE",H$7="No aplica"),0,'BOULEVARD 5'!K107-'BOULEVARD PPTO'!C102)</f>
        <v>0</v>
      </c>
      <c r="I109" s="756">
        <f>IF(OR($A109="F&amp;F",$A109="CE",I$7="No aplica"),0,'BOULEVARD 5'!L107-'BOULEVARD PPTO'!D102)</f>
        <v>0</v>
      </c>
      <c r="J109" s="756">
        <f>IF(OR($A109="F&amp;F",$A109="CE",J$7="No aplica"),0,'BOULEVARD 5'!M107-'BOULEVARD PPTO'!E102)</f>
        <v>0</v>
      </c>
      <c r="K109" s="756">
        <f>IF(OR($A109="F&amp;F",$A109="CE",K$7="No aplica"),0,'BOULEVARD 5'!N107-'BOULEVARD PPTO'!F102)</f>
        <v>0</v>
      </c>
      <c r="L109" s="756">
        <f>IF(OR($A109="F&amp;F",$A109="CE",L$7="No aplica"),0,'BOULEVARD 5'!O107-'BOULEVARD PPTO'!G102)</f>
        <v>-6000</v>
      </c>
      <c r="M109" s="756">
        <f>IF(OR($A109="F&amp;F",$A109="CE",M$7="No aplica"),0,'BOULEVARD 5'!P107-'BOULEVARD PPTO'!H102)</f>
        <v>-2477</v>
      </c>
      <c r="N109" s="756">
        <f>IF(OR($A109="F&amp;F",$A109="CE",N$7="No aplica"),0,'BOULEVARD 5'!Q107-'BOULEVARD PPTO'!I102)</f>
        <v>-2477</v>
      </c>
      <c r="O109" s="756">
        <f>IF(OR($A109="F&amp;F",$A109="CE",O$7="No aplica"),0,'BOULEVARD 5'!R107-'BOULEVARD PPTO'!J102)</f>
        <v>-2477</v>
      </c>
      <c r="P109" s="756">
        <f>IF(OR($A109="F&amp;F",$A109="CE",P$7="No aplica"),0,'BOULEVARD 5'!S107-'BOULEVARD PPTO'!K102)</f>
        <v>-2477</v>
      </c>
      <c r="Q109" s="760">
        <f>IF(OR($A109="F&amp;F",$A109="CE",Q$7="No aplica"),0,'BOULEVARD 5'!T107-'BOULEVARD PPTO'!L102)</f>
        <v>-2477</v>
      </c>
      <c r="R109" s="760">
        <f>IF(OR($A109="F&amp;F",$A109="CE",R$7="No aplica"),0,'BOULEVARD 5'!U107-'BOULEVARD PPTO'!M102)</f>
        <v>-2477</v>
      </c>
      <c r="S109" s="760">
        <f>IF(OR($A109="F&amp;F",$A109="CE",S$7="No aplica"),0,'BOULEVARD 5'!V107-'BOULEVARD PPTO'!N102)</f>
        <v>-2477</v>
      </c>
      <c r="T109" s="760">
        <f>IF(OR($A109="F&amp;F",$A109="CE",T$7="No aplica"),0,'BOULEVARD 5'!W107-'BOULEVARD PPTO'!O102)</f>
        <v>-2477</v>
      </c>
      <c r="U109" s="760">
        <f>IF(OR($A109="F&amp;F",$A109="CE",U$7="No aplica"),0,'BOULEVARD 5'!X107-'BOULEVARD PPTO'!P102)</f>
        <v>-2477</v>
      </c>
      <c r="V109" s="760">
        <f>IF(OR($A109="F&amp;F",$A109="CE",V$7="No aplica"),0,'BOULEVARD 5'!Y107-'BOULEVARD PPTO'!Q102)</f>
        <v>-2477</v>
      </c>
      <c r="W109" s="760">
        <f>IF(OR($A109="F&amp;F",$A109="CE",W$7="No aplica"),0,'BOULEVARD 5'!Z107-'BOULEVARD PPTO'!R102)</f>
        <v>-2477</v>
      </c>
      <c r="X109" s="760">
        <f>IF(OR($A109="F&amp;F",$A109="CE",X$7="No aplica"),0,'BOULEVARD 5'!AA107-'BOULEVARD PPTO'!S102)</f>
        <v>-2477</v>
      </c>
      <c r="Y109" s="760">
        <f>IF(OR($A109="F&amp;F",$A109="CE",Y$7="No aplica"),0,'BOULEVARD 5'!AB107-'BOULEVARD PPTO'!T102)</f>
        <v>-2477</v>
      </c>
      <c r="Z109" s="760">
        <f>IF(OR($A109="F&amp;F",$A109="CE",Z$7="No aplica"),0,'BOULEVARD 5'!AC107-'BOULEVARD PPTO'!U102)</f>
        <v>-2477</v>
      </c>
      <c r="AA109" s="760">
        <f>IF(OR($A109="F&amp;F",$A109="CE",AA$7="No aplica"),0,'BOULEVARD 5'!AD107-'BOULEVARD PPTO'!V102)</f>
        <v>-2477</v>
      </c>
      <c r="AB109" s="760">
        <f>IF(OR($A109="F&amp;F",$A109="CE",AB$7="No aplica"),0,'BOULEVARD 5'!AE107-'BOULEVARD PPTO'!W102)</f>
        <v>-2477</v>
      </c>
      <c r="AC109" s="760">
        <f>IF(OR($A109="F&amp;F",$A109="CE",AC$7="No aplica"),0,'BOULEVARD 5'!AF107-'BOULEVARD PPTO'!X102)</f>
        <v>-2477</v>
      </c>
      <c r="AD109" s="760">
        <f>IF(OR($A109="F&amp;F",$A109="CE",AD$7="No aplica"),0,'BOULEVARD 5'!AG107-'BOULEVARD PPTO'!Y102)</f>
        <v>-2477</v>
      </c>
      <c r="AE109" s="760">
        <f>IF(OR($A109="F&amp;F",$A109="CE",AE$7="No aplica"),0,'BOULEVARD 5'!AH107-'BOULEVARD PPTO'!Z102)</f>
        <v>-2477</v>
      </c>
      <c r="AF109" s="760">
        <f>IF(OR($A109="F&amp;F",$A109="CE",AF$7="No aplica"),0,'BOULEVARD 5'!AI107-'BOULEVARD PPTO'!AA102)</f>
        <v>-2477</v>
      </c>
      <c r="AG109" s="760">
        <f>IF(OR($A109="F&amp;F",$A109="CE",AG$7="No aplica"),0,'BOULEVARD 5'!AJ107-'BOULEVARD PPTO'!AB102)</f>
        <v>-2477</v>
      </c>
      <c r="AH109" s="760">
        <f>IF(OR($A109="F&amp;F",$A109="CE",AH$7="No aplica"),0,'BOULEVARD 5'!AK107-'BOULEVARD PPTO'!AC102)</f>
        <v>-2477</v>
      </c>
      <c r="AI109" s="760">
        <f>IF(OR($A109="F&amp;F",$A109="CE",AI$7="No aplica"),0,'BOULEVARD 5'!AL107-'BOULEVARD PPTO'!AD102)</f>
        <v>-2786.38</v>
      </c>
      <c r="AJ109" s="760">
        <f>IF(OR($A109="F&amp;F",$A109="CE",AJ$7="No aplica"),0,'BOULEVARD 5'!AM107-'BOULEVARD PPTO'!AE102)</f>
        <v>-2786.38</v>
      </c>
      <c r="AK109" s="760">
        <f>IF(OR($A109="F&amp;F",$A109="CE",AK$7="No aplica"),0,'BOULEVARD 5'!AN107-'BOULEVARD PPTO'!AF102)</f>
        <v>-2786.38</v>
      </c>
      <c r="AL109" s="760">
        <f>IF(OR($A109="F&amp;F",$A109="CE",AL$7="No aplica"),0,'BOULEVARD 5'!AO107-'BOULEVARD PPTO'!AG102)</f>
        <v>7213.62</v>
      </c>
      <c r="AM109" s="760">
        <f>IF(OR($A109="F&amp;F",$A109="CE",AM$7="No aplica"),0,'BOULEVARD 5'!AP107-'BOULEVARD PPTO'!AH102)</f>
        <v>3513.62</v>
      </c>
      <c r="AN109" s="760">
        <f>IF(OR($A109="F&amp;F",$A109="CE",AN$7="No aplica"),0,'BOULEVARD 5'!AQ107-'BOULEVARD PPTO'!AI102)</f>
        <v>0</v>
      </c>
      <c r="AO109" s="760">
        <f>IF(OR($A109="F&amp;F",$A109="CE",AO$7="No aplica"),0,'BOULEVARD 5'!AS107-'BOULEVARD PPTO'!AJ102)</f>
        <v>0</v>
      </c>
      <c r="AP109" s="761">
        <f t="shared" si="13"/>
        <v>-58125.899999999994</v>
      </c>
      <c r="AQ109" s="761">
        <f t="shared" si="14"/>
        <v>-51098.660000000018</v>
      </c>
      <c r="AR109" s="674">
        <f>IF(A109=0,'BOULEVARD 5'!BF107,0)</f>
        <v>10000</v>
      </c>
      <c r="AS109" s="674">
        <f>IF(A109=0,'BOULEVARD 5'!BG107,0)</f>
        <v>6300</v>
      </c>
      <c r="AT109" s="675" t="str">
        <f t="shared" si="12"/>
        <v>Vendido</v>
      </c>
      <c r="AU109" s="581" t="str">
        <f t="shared" si="16"/>
        <v>POR COBRAR</v>
      </c>
      <c r="AV109" s="760">
        <f t="shared" si="15"/>
        <v>3513.62</v>
      </c>
    </row>
    <row r="110" spans="1:48" s="581" customFormat="1" ht="12.4" customHeight="1" outlineLevel="1" x14ac:dyDescent="0.25">
      <c r="A110" s="703">
        <f>'BOULEVARD 5'!BQ108</f>
        <v>0</v>
      </c>
      <c r="B110" s="564">
        <v>613</v>
      </c>
      <c r="C110" s="564" t="s">
        <v>181</v>
      </c>
      <c r="D110" s="564"/>
      <c r="E110" s="564" t="str">
        <f>IF('BOULEVARD 5'!E108&lt;&gt;0,'BOULEVARD 5'!E108,"")</f>
        <v>Antonio Rada</v>
      </c>
      <c r="F110" s="581" t="str">
        <f>IF('BOULEVARD 5'!F108&lt;&gt;0,'BOULEVARD 5'!F108,"")</f>
        <v>Sergio Oswaldo Velasquez Moreno</v>
      </c>
      <c r="G110" s="566">
        <f>IF('BOULEVARD 5'!G108="","",'BOULEVARD 5'!G108)</f>
        <v>45126</v>
      </c>
      <c r="H110" s="756">
        <f>IF(OR($A110="F&amp;F",$A110="CE",H$7="No aplica"),0,'BOULEVARD 5'!K108-'BOULEVARD PPTO'!C103)</f>
        <v>0</v>
      </c>
      <c r="I110" s="756">
        <f>IF(OR($A110="F&amp;F",$A110="CE",I$7="No aplica"),0,'BOULEVARD 5'!L108-'BOULEVARD PPTO'!D103)</f>
        <v>0</v>
      </c>
      <c r="J110" s="756">
        <f>IF(OR($A110="F&amp;F",$A110="CE",J$7="No aplica"),0,'BOULEVARD 5'!M108-'BOULEVARD PPTO'!E103)</f>
        <v>0</v>
      </c>
      <c r="K110" s="756">
        <f>IF(OR($A110="F&amp;F",$A110="CE",K$7="No aplica"),0,'BOULEVARD 5'!N108-'BOULEVARD PPTO'!F103)</f>
        <v>0</v>
      </c>
      <c r="L110" s="756">
        <f>IF(OR($A110="F&amp;F",$A110="CE",L$7="No aplica"),0,'BOULEVARD 5'!O108-'BOULEVARD PPTO'!G103)</f>
        <v>0</v>
      </c>
      <c r="M110" s="756">
        <f>IF(OR($A110="F&amp;F",$A110="CE",M$7="No aplica"),0,'BOULEVARD 5'!P108-'BOULEVARD PPTO'!H103)</f>
        <v>0</v>
      </c>
      <c r="N110" s="756">
        <f>IF(OR($A110="F&amp;F",$A110="CE",N$7="No aplica"),0,'BOULEVARD 5'!Q108-'BOULEVARD PPTO'!I103)</f>
        <v>0</v>
      </c>
      <c r="O110" s="756">
        <f>IF(OR($A110="F&amp;F",$A110="CE",O$7="No aplica"),0,'BOULEVARD 5'!R108-'BOULEVARD PPTO'!J103)</f>
        <v>0</v>
      </c>
      <c r="P110" s="756">
        <f>IF(OR($A110="F&amp;F",$A110="CE",P$7="No aplica"),0,'BOULEVARD 5'!S108-'BOULEVARD PPTO'!K103)</f>
        <v>0</v>
      </c>
      <c r="Q110" s="760">
        <f>IF(OR($A110="F&amp;F",$A110="CE",Q$7="No aplica"),0,'BOULEVARD 5'!T108-'BOULEVARD PPTO'!L103)</f>
        <v>0</v>
      </c>
      <c r="R110" s="760">
        <f>IF(OR($A110="F&amp;F",$A110="CE",R$7="No aplica"),0,'BOULEVARD 5'!U108-'BOULEVARD PPTO'!M103)</f>
        <v>0</v>
      </c>
      <c r="S110" s="760">
        <f>IF(OR($A110="F&amp;F",$A110="CE",S$7="No aplica"),0,'BOULEVARD 5'!V108-'BOULEVARD PPTO'!N103)</f>
        <v>0</v>
      </c>
      <c r="T110" s="760">
        <f>IF(OR($A110="F&amp;F",$A110="CE",T$7="No aplica"),0,'BOULEVARD 5'!W108-'BOULEVARD PPTO'!O103)</f>
        <v>10</v>
      </c>
      <c r="U110" s="760">
        <f>IF(OR($A110="F&amp;F",$A110="CE",U$7="No aplica"),0,'BOULEVARD 5'!X108-'BOULEVARD PPTO'!P103)</f>
        <v>0</v>
      </c>
      <c r="V110" s="760">
        <f>IF(OR($A110="F&amp;F",$A110="CE",V$7="No aplica"),0,'BOULEVARD 5'!Y108-'BOULEVARD PPTO'!Q103)</f>
        <v>0</v>
      </c>
      <c r="W110" s="760">
        <f>IF(OR($A110="F&amp;F",$A110="CE",W$7="No aplica"),0,'BOULEVARD 5'!Z108-'BOULEVARD PPTO'!R103)</f>
        <v>0</v>
      </c>
      <c r="X110" s="760">
        <f>IF(OR($A110="F&amp;F",$A110="CE",X$7="No aplica"),0,'BOULEVARD 5'!AA108-'BOULEVARD PPTO'!S103)</f>
        <v>0</v>
      </c>
      <c r="Y110" s="760">
        <f>IF(OR($A110="F&amp;F",$A110="CE",Y$7="No aplica"),0,'BOULEVARD 5'!AB108-'BOULEVARD PPTO'!T103)</f>
        <v>0</v>
      </c>
      <c r="Z110" s="760">
        <f>IF(OR($A110="F&amp;F",$A110="CE",Z$7="No aplica"),0,'BOULEVARD 5'!AC108-'BOULEVARD PPTO'!U103)</f>
        <v>0</v>
      </c>
      <c r="AA110" s="760">
        <f>IF(OR($A110="F&amp;F",$A110="CE",AA$7="No aplica"),0,'BOULEVARD 5'!AD108-'BOULEVARD PPTO'!V103)</f>
        <v>0</v>
      </c>
      <c r="AB110" s="760">
        <f>IF(OR($A110="F&amp;F",$A110="CE",AB$7="No aplica"),0,'BOULEVARD 5'!AE108-'BOULEVARD PPTO'!W103)</f>
        <v>-2415</v>
      </c>
      <c r="AC110" s="760">
        <f>IF(OR($A110="F&amp;F",$A110="CE",AC$7="No aplica"),0,'BOULEVARD 5'!AF108-'BOULEVARD PPTO'!X103)</f>
        <v>0</v>
      </c>
      <c r="AD110" s="760">
        <f>IF(OR($A110="F&amp;F",$A110="CE",AD$7="No aplica"),0,'BOULEVARD 5'!AG108-'BOULEVARD PPTO'!Y103)</f>
        <v>0</v>
      </c>
      <c r="AE110" s="760">
        <f>IF(OR($A110="F&amp;F",$A110="CE",AE$7="No aplica"),0,'BOULEVARD 5'!AH108-'BOULEVARD PPTO'!Z103)</f>
        <v>0</v>
      </c>
      <c r="AF110" s="760">
        <f>IF(OR($A110="F&amp;F",$A110="CE",AF$7="No aplica"),0,'BOULEVARD 5'!AI108-'BOULEVARD PPTO'!AA103)</f>
        <v>0</v>
      </c>
      <c r="AG110" s="760">
        <f>IF(OR($A110="F&amp;F",$A110="CE",AG$7="No aplica"),0,'BOULEVARD 5'!AJ108-'BOULEVARD PPTO'!AB103)</f>
        <v>0</v>
      </c>
      <c r="AH110" s="760">
        <f>IF(OR($A110="F&amp;F",$A110="CE",AH$7="No aplica"),0,'BOULEVARD 5'!AK108-'BOULEVARD PPTO'!AC103)</f>
        <v>0</v>
      </c>
      <c r="AI110" s="760">
        <f>IF(OR($A110="F&amp;F",$A110="CE",AI$7="No aplica"),0,'BOULEVARD 5'!AL108-'BOULEVARD PPTO'!AD103)</f>
        <v>2415</v>
      </c>
      <c r="AJ110" s="760">
        <f>IF(OR($A110="F&amp;F",$A110="CE",AJ$7="No aplica"),0,'BOULEVARD 5'!AM108-'BOULEVARD PPTO'!AE103)</f>
        <v>0</v>
      </c>
      <c r="AK110" s="760">
        <f>IF(OR($A110="F&amp;F",$A110="CE",AK$7="No aplica"),0,'BOULEVARD 5'!AN108-'BOULEVARD PPTO'!AF103)</f>
        <v>0</v>
      </c>
      <c r="AL110" s="760">
        <f>IF(OR($A110="F&amp;F",$A110="CE",AL$7="No aplica"),0,'BOULEVARD 5'!AO108-'BOULEVARD PPTO'!AG103)</f>
        <v>0</v>
      </c>
      <c r="AM110" s="760">
        <f>IF(OR($A110="F&amp;F",$A110="CE",AM$7="No aplica"),0,'BOULEVARD 5'!AP108-'BOULEVARD PPTO'!AH103)</f>
        <v>0</v>
      </c>
      <c r="AN110" s="760">
        <f>IF(OR($A110="F&amp;F",$A110="CE",AN$7="No aplica"),0,'BOULEVARD 5'!AQ108-'BOULEVARD PPTO'!AI103)</f>
        <v>0</v>
      </c>
      <c r="AO110" s="760">
        <f>IF(OR($A110="F&amp;F",$A110="CE",AO$7="No aplica"),0,'BOULEVARD 5'!AS108-'BOULEVARD PPTO'!AJ103)</f>
        <v>0</v>
      </c>
      <c r="AP110" s="761">
        <f t="shared" si="13"/>
        <v>10</v>
      </c>
      <c r="AQ110" s="761">
        <f t="shared" si="14"/>
        <v>10</v>
      </c>
      <c r="AR110" s="674">
        <f>IF(A110=0,'BOULEVARD 5'!BF108,0)</f>
        <v>6000</v>
      </c>
      <c r="AS110" s="674">
        <f>IF(A110=0,'BOULEVARD 5'!BG108,0)</f>
        <v>2415</v>
      </c>
      <c r="AT110" s="675" t="str">
        <f t="shared" si="12"/>
        <v>Vendido</v>
      </c>
      <c r="AU110" s="581" t="str">
        <f t="shared" si="16"/>
        <v>A FAVOR DEL CLIENTE</v>
      </c>
      <c r="AV110" s="760">
        <f t="shared" si="15"/>
        <v>0</v>
      </c>
    </row>
    <row r="111" spans="1:48" s="581" customFormat="1" ht="12.4" customHeight="1" outlineLevel="1" x14ac:dyDescent="0.25">
      <c r="A111" s="703">
        <f>'BOULEVARD 5'!BQ109</f>
        <v>0</v>
      </c>
      <c r="B111" s="564">
        <v>614</v>
      </c>
      <c r="C111" s="564" t="s">
        <v>476</v>
      </c>
      <c r="D111" s="564"/>
      <c r="E111" s="564" t="str">
        <f>IF('BOULEVARD 5'!E109&lt;&gt;0,'BOULEVARD 5'!E109,"")</f>
        <v>**</v>
      </c>
      <c r="F111" s="581" t="str">
        <f>IF('BOULEVARD 5'!F109&lt;&gt;0,'BOULEVARD 5'!F109,"")</f>
        <v>Thalia  Raquel Carredano</v>
      </c>
      <c r="G111" s="566">
        <f>IF('BOULEVARD 5'!G109="","",'BOULEVARD 5'!G109)</f>
        <v>45877</v>
      </c>
      <c r="H111" s="756">
        <f>IF(OR($A111="F&amp;F",$A111="CE",H$7="No aplica"),0,'BOULEVARD 5'!K109-'BOULEVARD PPTO'!C104)</f>
        <v>0</v>
      </c>
      <c r="I111" s="756">
        <f>IF(OR($A111="F&amp;F",$A111="CE",I$7="No aplica"),0,'BOULEVARD 5'!L109-'BOULEVARD PPTO'!D104)</f>
        <v>0</v>
      </c>
      <c r="J111" s="756">
        <f>IF(OR($A111="F&amp;F",$A111="CE",J$7="No aplica"),0,'BOULEVARD 5'!M109-'BOULEVARD PPTO'!E104)</f>
        <v>0</v>
      </c>
      <c r="K111" s="756">
        <f>IF(OR($A111="F&amp;F",$A111="CE",K$7="No aplica"),0,'BOULEVARD 5'!N109-'BOULEVARD PPTO'!F104)</f>
        <v>0</v>
      </c>
      <c r="L111" s="756">
        <f>IF(OR($A111="F&amp;F",$A111="CE",L$7="No aplica"),0,'BOULEVARD 5'!O109-'BOULEVARD PPTO'!G104)</f>
        <v>0</v>
      </c>
      <c r="M111" s="756">
        <f>IF(OR($A111="F&amp;F",$A111="CE",M$7="No aplica"),0,'BOULEVARD 5'!P109-'BOULEVARD PPTO'!H104)</f>
        <v>0</v>
      </c>
      <c r="N111" s="756">
        <f>IF(OR($A111="F&amp;F",$A111="CE",N$7="No aplica"),0,'BOULEVARD 5'!Q109-'BOULEVARD PPTO'!I104)</f>
        <v>0</v>
      </c>
      <c r="O111" s="756">
        <f>IF(OR($A111="F&amp;F",$A111="CE",O$7="No aplica"),0,'BOULEVARD 5'!R109-'BOULEVARD PPTO'!J104)</f>
        <v>0</v>
      </c>
      <c r="P111" s="756">
        <f>IF(OR($A111="F&amp;F",$A111="CE",P$7="No aplica"),0,'BOULEVARD 5'!S109-'BOULEVARD PPTO'!K104)</f>
        <v>0</v>
      </c>
      <c r="Q111" s="760">
        <f>IF(OR($A111="F&amp;F",$A111="CE",Q$7="No aplica"),0,'BOULEVARD 5'!T109-'BOULEVARD PPTO'!L104)</f>
        <v>0</v>
      </c>
      <c r="R111" s="760">
        <f>IF(OR($A111="F&amp;F",$A111="CE",R$7="No aplica"),0,'BOULEVARD 5'!U109-'BOULEVARD PPTO'!M104)</f>
        <v>0</v>
      </c>
      <c r="S111" s="760">
        <f>IF(OR($A111="F&amp;F",$A111="CE",S$7="No aplica"),0,'BOULEVARD 5'!V109-'BOULEVARD PPTO'!N104)</f>
        <v>0</v>
      </c>
      <c r="T111" s="760">
        <f>IF(OR($A111="F&amp;F",$A111="CE",T$7="No aplica"),0,'BOULEVARD 5'!W109-'BOULEVARD PPTO'!O104)</f>
        <v>0</v>
      </c>
      <c r="U111" s="760">
        <f>IF(OR($A111="F&amp;F",$A111="CE",U$7="No aplica"),0,'BOULEVARD 5'!X109-'BOULEVARD PPTO'!P104)</f>
        <v>0</v>
      </c>
      <c r="V111" s="760">
        <f>IF(OR($A111="F&amp;F",$A111="CE",V$7="No aplica"),0,'BOULEVARD 5'!Y109-'BOULEVARD PPTO'!Q104)</f>
        <v>0</v>
      </c>
      <c r="W111" s="760">
        <f>IF(OR($A111="F&amp;F",$A111="CE",W$7="No aplica"),0,'BOULEVARD 5'!Z109-'BOULEVARD PPTO'!R104)</f>
        <v>0</v>
      </c>
      <c r="X111" s="760">
        <f>IF(OR($A111="F&amp;F",$A111="CE",X$7="No aplica"),0,'BOULEVARD 5'!AA109-'BOULEVARD PPTO'!S104)</f>
        <v>0</v>
      </c>
      <c r="Y111" s="760">
        <f>IF(OR($A111="F&amp;F",$A111="CE",Y$7="No aplica"),0,'BOULEVARD 5'!AB109-'BOULEVARD PPTO'!T104)</f>
        <v>0</v>
      </c>
      <c r="Z111" s="760">
        <f>IF(OR($A111="F&amp;F",$A111="CE",Z$7="No aplica"),0,'BOULEVARD 5'!AC109-'BOULEVARD PPTO'!U104)</f>
        <v>0</v>
      </c>
      <c r="AA111" s="760">
        <f>IF(OR($A111="F&amp;F",$A111="CE",AA$7="No aplica"),0,'BOULEVARD 5'!AD109-'BOULEVARD PPTO'!V104)</f>
        <v>-10000</v>
      </c>
      <c r="AB111" s="760">
        <f>IF(OR($A111="F&amp;F",$A111="CE",AB$7="No aplica"),0,'BOULEVARD 5'!AE109-'BOULEVARD PPTO'!W104)</f>
        <v>0</v>
      </c>
      <c r="AC111" s="760">
        <f>IF(OR($A111="F&amp;F",$A111="CE",AC$7="No aplica"),0,'BOULEVARD 5'!AF109-'BOULEVARD PPTO'!X104)</f>
        <v>0</v>
      </c>
      <c r="AD111" s="760">
        <f>IF(OR($A111="F&amp;F",$A111="CE",AD$7="No aplica"),0,'BOULEVARD 5'!AG109-'BOULEVARD PPTO'!Y104)</f>
        <v>0</v>
      </c>
      <c r="AE111" s="760">
        <f>IF(OR($A111="F&amp;F",$A111="CE",AE$7="No aplica"),0,'BOULEVARD 5'!AH109-'BOULEVARD PPTO'!Z104)</f>
        <v>-10000</v>
      </c>
      <c r="AF111" s="760">
        <f>IF(OR($A111="F&amp;F",$A111="CE",AF$7="No aplica"),0,'BOULEVARD 5'!AI109-'BOULEVARD PPTO'!AA104)</f>
        <v>0</v>
      </c>
      <c r="AG111" s="760">
        <f>IF(OR($A111="F&amp;F",$A111="CE",AG$7="No aplica"),0,'BOULEVARD 5'!AJ109-'BOULEVARD PPTO'!AB104)</f>
        <v>0</v>
      </c>
      <c r="AH111" s="760">
        <f>IF(OR($A111="F&amp;F",$A111="CE",AH$7="No aplica"),0,'BOULEVARD 5'!AK109-'BOULEVARD PPTO'!AC104)</f>
        <v>0</v>
      </c>
      <c r="AI111" s="760">
        <f>IF(OR($A111="F&amp;F",$A111="CE",AI$7="No aplica"),0,'BOULEVARD 5'!AL109-'BOULEVARD PPTO'!AD104)</f>
        <v>0</v>
      </c>
      <c r="AJ111" s="760">
        <f>IF(OR($A111="F&amp;F",$A111="CE",AJ$7="No aplica"),0,'BOULEVARD 5'!AM109-'BOULEVARD PPTO'!AE104)</f>
        <v>-10000</v>
      </c>
      <c r="AK111" s="760">
        <f>IF(OR($A111="F&amp;F",$A111="CE",AK$7="No aplica"),0,'BOULEVARD 5'!AN109-'BOULEVARD PPTO'!AF104)</f>
        <v>10000</v>
      </c>
      <c r="AL111" s="760">
        <f>IF(OR($A111="F&amp;F",$A111="CE",AL$7="No aplica"),0,'BOULEVARD 5'!AO109-'BOULEVARD PPTO'!AG104)</f>
        <v>0</v>
      </c>
      <c r="AM111" s="760">
        <f>IF(OR($A111="F&amp;F",$A111="CE",AM$7="No aplica"),0,'BOULEVARD 5'!AP109-'BOULEVARD PPTO'!AH104)</f>
        <v>-20000</v>
      </c>
      <c r="AN111" s="760">
        <f>IF(OR($A111="F&amp;F",$A111="CE",AN$7="No aplica"),0,'BOULEVARD 5'!AQ109-'BOULEVARD PPTO'!AI104)</f>
        <v>0</v>
      </c>
      <c r="AO111" s="760">
        <f>IF(OR($A111="F&amp;F",$A111="CE",AO$7="No aplica"),0,'BOULEVARD 5'!AS109-'BOULEVARD PPTO'!AJ104)</f>
        <v>0</v>
      </c>
      <c r="AP111" s="761">
        <f t="shared" si="13"/>
        <v>-40000</v>
      </c>
      <c r="AQ111" s="761">
        <f t="shared" si="14"/>
        <v>-40851.359999999986</v>
      </c>
      <c r="AR111" s="674">
        <f>IF(A111=0,'BOULEVARD 5'!BF109,0)</f>
        <v>0</v>
      </c>
      <c r="AS111" s="674">
        <f>IF(A111=0,'BOULEVARD 5'!BG109,0)</f>
        <v>0</v>
      </c>
      <c r="AT111" s="675" t="str">
        <f t="shared" si="12"/>
        <v>Vendido</v>
      </c>
      <c r="AU111" s="581" t="str">
        <f t="shared" si="16"/>
        <v>POR COBRAR</v>
      </c>
      <c r="AV111" s="760">
        <f t="shared" si="15"/>
        <v>0</v>
      </c>
    </row>
    <row r="112" spans="1:48" s="581" customFormat="1" ht="12.4" customHeight="1" outlineLevel="1" x14ac:dyDescent="0.25">
      <c r="A112" s="703" t="str">
        <f>'BOULEVARD 5'!BQ110</f>
        <v>F&amp;F</v>
      </c>
      <c r="B112" s="704">
        <v>615</v>
      </c>
      <c r="C112" s="704" t="s">
        <v>189</v>
      </c>
      <c r="D112" s="704"/>
      <c r="E112" s="704" t="str">
        <f>IF('BOULEVARD 5'!E110&lt;&gt;0,'BOULEVARD 5'!E110,"")</f>
        <v>Antonio Rada</v>
      </c>
      <c r="F112" s="705" t="str">
        <f>IF('BOULEVARD 5'!F110&lt;&gt;0,'BOULEVARD 5'!F110,"")</f>
        <v>Maria De Los Angeles España Cordon</v>
      </c>
      <c r="G112" s="566">
        <f>IF('BOULEVARD 5'!G110="","",'BOULEVARD 5'!G110)</f>
        <v>45040</v>
      </c>
      <c r="H112" s="756">
        <f>IF(OR($A112="F&amp;F",$A112="CE",H$7="No aplica"),0,'BOULEVARD 5'!K110-'BOULEVARD PPTO'!C105)</f>
        <v>0</v>
      </c>
      <c r="I112" s="756">
        <f>IF(OR($A112="F&amp;F",$A112="CE",I$7="No aplica"),0,'BOULEVARD 5'!L110-'BOULEVARD PPTO'!D105)</f>
        <v>0</v>
      </c>
      <c r="J112" s="756">
        <f>IF(OR($A112="F&amp;F",$A112="CE",J$7="No aplica"),0,'BOULEVARD 5'!M110-'BOULEVARD PPTO'!E105)</f>
        <v>0</v>
      </c>
      <c r="K112" s="756">
        <f>IF(OR($A112="F&amp;F",$A112="CE",K$7="No aplica"),0,'BOULEVARD 5'!N110-'BOULEVARD PPTO'!F105)</f>
        <v>0</v>
      </c>
      <c r="L112" s="756">
        <f>IF(OR($A112="F&amp;F",$A112="CE",L$7="No aplica"),0,'BOULEVARD 5'!O110-'BOULEVARD PPTO'!G105)</f>
        <v>0</v>
      </c>
      <c r="M112" s="756">
        <f>IF(OR($A112="F&amp;F",$A112="CE",M$7="No aplica"),0,'BOULEVARD 5'!P110-'BOULEVARD PPTO'!H105)</f>
        <v>0</v>
      </c>
      <c r="N112" s="756">
        <f>IF(OR($A112="F&amp;F",$A112="CE",N$7="No aplica"),0,'BOULEVARD 5'!Q110-'BOULEVARD PPTO'!I105)</f>
        <v>0</v>
      </c>
      <c r="O112" s="756">
        <f>IF(OR($A112="F&amp;F",$A112="CE",O$7="No aplica"),0,'BOULEVARD 5'!R110-'BOULEVARD PPTO'!J105)</f>
        <v>0</v>
      </c>
      <c r="P112" s="756">
        <f>IF(OR($A112="F&amp;F",$A112="CE",P$7="No aplica"),0,'BOULEVARD 5'!S110-'BOULEVARD PPTO'!K105)</f>
        <v>0</v>
      </c>
      <c r="Q112" s="760">
        <f>IF(OR($A112="F&amp;F",$A112="CE",Q$7="No aplica"),0,'BOULEVARD 5'!T110-'BOULEVARD PPTO'!L105)</f>
        <v>0</v>
      </c>
      <c r="R112" s="760">
        <f>IF(OR($A112="F&amp;F",$A112="CE",R$7="No aplica"),0,'BOULEVARD 5'!U110-'BOULEVARD PPTO'!M105)</f>
        <v>0</v>
      </c>
      <c r="S112" s="760">
        <f>IF(OR($A112="F&amp;F",$A112="CE",S$7="No aplica"),0,'BOULEVARD 5'!V110-'BOULEVARD PPTO'!N105)</f>
        <v>0</v>
      </c>
      <c r="T112" s="760">
        <f>IF(OR($A112="F&amp;F",$A112="CE",T$7="No aplica"),0,'BOULEVARD 5'!W110-'BOULEVARD PPTO'!O105)</f>
        <v>0</v>
      </c>
      <c r="U112" s="760">
        <f>IF(OR($A112="F&amp;F",$A112="CE",U$7="No aplica"),0,'BOULEVARD 5'!X110-'BOULEVARD PPTO'!P105)</f>
        <v>0</v>
      </c>
      <c r="V112" s="760">
        <f>IF(OR($A112="F&amp;F",$A112="CE",V$7="No aplica"),0,'BOULEVARD 5'!Y110-'BOULEVARD PPTO'!Q105)</f>
        <v>0</v>
      </c>
      <c r="W112" s="760">
        <f>IF(OR($A112="F&amp;F",$A112="CE",W$7="No aplica"),0,'BOULEVARD 5'!Z110-'BOULEVARD PPTO'!R105)</f>
        <v>0</v>
      </c>
      <c r="X112" s="760">
        <f>IF(OR($A112="F&amp;F",$A112="CE",X$7="No aplica"),0,'BOULEVARD 5'!AA110-'BOULEVARD PPTO'!S105)</f>
        <v>0</v>
      </c>
      <c r="Y112" s="760">
        <f>IF(OR($A112="F&amp;F",$A112="CE",Y$7="No aplica"),0,'BOULEVARD 5'!AB110-'BOULEVARD PPTO'!T105)</f>
        <v>0</v>
      </c>
      <c r="Z112" s="760">
        <f>IF(OR($A112="F&amp;F",$A112="CE",Z$7="No aplica"),0,'BOULEVARD 5'!AC110-'BOULEVARD PPTO'!U105)</f>
        <v>0</v>
      </c>
      <c r="AA112" s="760">
        <f>IF(OR($A112="F&amp;F",$A112="CE",AA$7="No aplica"),0,'BOULEVARD 5'!AD110-'BOULEVARD PPTO'!V105)</f>
        <v>0</v>
      </c>
      <c r="AB112" s="760">
        <f>IF(OR($A112="F&amp;F",$A112="CE",AB$7="No aplica"),0,'BOULEVARD 5'!AE110-'BOULEVARD PPTO'!W105)</f>
        <v>0</v>
      </c>
      <c r="AC112" s="760">
        <f>IF(OR($A112="F&amp;F",$A112="CE",AC$7="No aplica"),0,'BOULEVARD 5'!AF110-'BOULEVARD PPTO'!X105)</f>
        <v>0</v>
      </c>
      <c r="AD112" s="760">
        <f>IF(OR($A112="F&amp;F",$A112="CE",AD$7="No aplica"),0,'BOULEVARD 5'!AG110-'BOULEVARD PPTO'!Y105)</f>
        <v>0</v>
      </c>
      <c r="AE112" s="760">
        <f>IF(OR($A112="F&amp;F",$A112="CE",AE$7="No aplica"),0,'BOULEVARD 5'!AH110-'BOULEVARD PPTO'!Z105)</f>
        <v>0</v>
      </c>
      <c r="AF112" s="760">
        <f>IF(OR($A112="F&amp;F",$A112="CE",AF$7="No aplica"),0,'BOULEVARD 5'!AI110-'BOULEVARD PPTO'!AA105)</f>
        <v>0</v>
      </c>
      <c r="AG112" s="760">
        <f>IF(OR($A112="F&amp;F",$A112="CE",AG$7="No aplica"),0,'BOULEVARD 5'!AJ110-'BOULEVARD PPTO'!AB105)</f>
        <v>0</v>
      </c>
      <c r="AH112" s="760">
        <f>IF(OR($A112="F&amp;F",$A112="CE",AH$7="No aplica"),0,'BOULEVARD 5'!AK110-'BOULEVARD PPTO'!AC105)</f>
        <v>0</v>
      </c>
      <c r="AI112" s="760">
        <f>IF(OR($A112="F&amp;F",$A112="CE",AI$7="No aplica"),0,'BOULEVARD 5'!AL110-'BOULEVARD PPTO'!AD105)</f>
        <v>0</v>
      </c>
      <c r="AJ112" s="760">
        <f>IF(OR($A112="F&amp;F",$A112="CE",AJ$7="No aplica"),0,'BOULEVARD 5'!AM110-'BOULEVARD PPTO'!AE105)</f>
        <v>0</v>
      </c>
      <c r="AK112" s="760">
        <f>IF(OR($A112="F&amp;F",$A112="CE",AK$7="No aplica"),0,'BOULEVARD 5'!AN110-'BOULEVARD PPTO'!AF105)</f>
        <v>0</v>
      </c>
      <c r="AL112" s="760">
        <f>IF(OR($A112="F&amp;F",$A112="CE",AL$7="No aplica"),0,'BOULEVARD 5'!AO110-'BOULEVARD PPTO'!AG105)</f>
        <v>0</v>
      </c>
      <c r="AM112" s="760">
        <f>IF(OR($A112="F&amp;F",$A112="CE",AM$7="No aplica"),0,'BOULEVARD 5'!AP110-'BOULEVARD PPTO'!AH105)</f>
        <v>0</v>
      </c>
      <c r="AN112" s="760">
        <f>IF(OR($A112="F&amp;F",$A112="CE",AN$7="No aplica"),0,'BOULEVARD 5'!AQ110-'BOULEVARD PPTO'!AI105)</f>
        <v>0</v>
      </c>
      <c r="AO112" s="760">
        <f>IF(OR($A112="F&amp;F",$A112="CE",AO$7="No aplica"),0,'BOULEVARD 5'!AS110-'BOULEVARD PPTO'!AJ105)</f>
        <v>0</v>
      </c>
      <c r="AP112" s="761">
        <f t="shared" si="13"/>
        <v>0</v>
      </c>
      <c r="AQ112" s="761">
        <f t="shared" si="14"/>
        <v>0</v>
      </c>
      <c r="AR112" s="674">
        <f>IF(A112=0,'BOULEVARD 5'!BF110,0)</f>
        <v>0</v>
      </c>
      <c r="AS112" s="674">
        <f>IF(A112=0,'BOULEVARD 5'!BG110,0)</f>
        <v>0</v>
      </c>
      <c r="AT112" s="675" t="str">
        <f t="shared" si="12"/>
        <v>Vendido</v>
      </c>
      <c r="AU112" s="581" t="str">
        <f t="shared" si="16"/>
        <v/>
      </c>
      <c r="AV112" s="760">
        <f t="shared" si="15"/>
        <v>0</v>
      </c>
    </row>
    <row r="113" spans="1:48" s="581" customFormat="1" ht="12.4" customHeight="1" outlineLevel="1" x14ac:dyDescent="0.25">
      <c r="A113" s="703">
        <f>'BOULEVARD 5'!BQ111</f>
        <v>0</v>
      </c>
      <c r="B113" s="564">
        <v>616</v>
      </c>
      <c r="C113" s="564" t="s">
        <v>400</v>
      </c>
      <c r="D113" s="564"/>
      <c r="E113" s="564" t="str">
        <f>IF('BOULEVARD 5'!E111&lt;&gt;0,'BOULEVARD 5'!E111,"")</f>
        <v>Antonio Rada</v>
      </c>
      <c r="F113" s="581" t="str">
        <f>IF('BOULEVARD 5'!F111&lt;&gt;0,'BOULEVARD 5'!F111,"")</f>
        <v>Edwin Estuardo Acevedo Salguero</v>
      </c>
      <c r="G113" s="566">
        <f>IF('BOULEVARD 5'!G111="","",'BOULEVARD 5'!G111)</f>
        <v>45359</v>
      </c>
      <c r="H113" s="756">
        <f>IF(OR($A113="F&amp;F",$A113="CE",H$7="No aplica"),0,'BOULEVARD 5'!K111-'BOULEVARD PPTO'!C106)</f>
        <v>0</v>
      </c>
      <c r="I113" s="756">
        <f>IF(OR($A113="F&amp;F",$A113="CE",I$7="No aplica"),0,'BOULEVARD 5'!L111-'BOULEVARD PPTO'!D106)</f>
        <v>0</v>
      </c>
      <c r="J113" s="756">
        <f>IF(OR($A113="F&amp;F",$A113="CE",J$7="No aplica"),0,'BOULEVARD 5'!M111-'BOULEVARD PPTO'!E106)</f>
        <v>0</v>
      </c>
      <c r="K113" s="756">
        <f>IF(OR($A113="F&amp;F",$A113="CE",K$7="No aplica"),0,'BOULEVARD 5'!N111-'BOULEVARD PPTO'!F106)</f>
        <v>0</v>
      </c>
      <c r="L113" s="756">
        <f>IF(OR($A113="F&amp;F",$A113="CE",L$7="No aplica"),0,'BOULEVARD 5'!O111-'BOULEVARD PPTO'!G106)</f>
        <v>0</v>
      </c>
      <c r="M113" s="756">
        <f>IF(OR($A113="F&amp;F",$A113="CE",M$7="No aplica"),0,'BOULEVARD 5'!P111-'BOULEVARD PPTO'!H106)</f>
        <v>0</v>
      </c>
      <c r="N113" s="756">
        <f>IF(OR($A113="F&amp;F",$A113="CE",N$7="No aplica"),0,'BOULEVARD 5'!Q111-'BOULEVARD PPTO'!I106)</f>
        <v>0</v>
      </c>
      <c r="O113" s="756">
        <f>IF(OR($A113="F&amp;F",$A113="CE",O$7="No aplica"),0,'BOULEVARD 5'!R111-'BOULEVARD PPTO'!J106)</f>
        <v>0</v>
      </c>
      <c r="P113" s="756">
        <f>IF(OR($A113="F&amp;F",$A113="CE",P$7="No aplica"),0,'BOULEVARD 5'!S111-'BOULEVARD PPTO'!K106)</f>
        <v>0</v>
      </c>
      <c r="Q113" s="760">
        <f>IF(OR($A113="F&amp;F",$A113="CE",Q$7="No aplica"),0,'BOULEVARD 5'!T111-'BOULEVARD PPTO'!L106)</f>
        <v>0</v>
      </c>
      <c r="R113" s="760">
        <f>IF(OR($A113="F&amp;F",$A113="CE",R$7="No aplica"),0,'BOULEVARD 5'!U111-'BOULEVARD PPTO'!M106)</f>
        <v>0</v>
      </c>
      <c r="S113" s="760">
        <f>IF(OR($A113="F&amp;F",$A113="CE",S$7="No aplica"),0,'BOULEVARD 5'!V111-'BOULEVARD PPTO'!N106)</f>
        <v>0</v>
      </c>
      <c r="T113" s="760">
        <f>IF(OR($A113="F&amp;F",$A113="CE",T$7="No aplica"),0,'BOULEVARD 5'!W111-'BOULEVARD PPTO'!O106)</f>
        <v>0</v>
      </c>
      <c r="U113" s="760">
        <f>IF(OR($A113="F&amp;F",$A113="CE",U$7="No aplica"),0,'BOULEVARD 5'!X111-'BOULEVARD PPTO'!P106)</f>
        <v>5433</v>
      </c>
      <c r="V113" s="760">
        <f>IF(OR($A113="F&amp;F",$A113="CE",V$7="No aplica"),0,'BOULEVARD 5'!Y111-'BOULEVARD PPTO'!Q106)</f>
        <v>-4567</v>
      </c>
      <c r="W113" s="760">
        <f>IF(OR($A113="F&amp;F",$A113="CE",W$7="No aplica"),0,'BOULEVARD 5'!Z111-'BOULEVARD PPTO'!R106)</f>
        <v>433</v>
      </c>
      <c r="X113" s="760">
        <f>IF(OR($A113="F&amp;F",$A113="CE",X$7="No aplica"),0,'BOULEVARD 5'!AA111-'BOULEVARD PPTO'!S106)</f>
        <v>433</v>
      </c>
      <c r="Y113" s="760">
        <f>IF(OR($A113="F&amp;F",$A113="CE",Y$7="No aplica"),0,'BOULEVARD 5'!AB111-'BOULEVARD PPTO'!T106)</f>
        <v>433</v>
      </c>
      <c r="Z113" s="760">
        <f>IF(OR($A113="F&amp;F",$A113="CE",Z$7="No aplica"),0,'BOULEVARD 5'!AC111-'BOULEVARD PPTO'!U106)</f>
        <v>433</v>
      </c>
      <c r="AA113" s="760">
        <f>IF(OR($A113="F&amp;F",$A113="CE",AA$7="No aplica"),0,'BOULEVARD 5'!AD111-'BOULEVARD PPTO'!V106)</f>
        <v>433</v>
      </c>
      <c r="AB113" s="760">
        <f>IF(OR($A113="F&amp;F",$A113="CE",AB$7="No aplica"),0,'BOULEVARD 5'!AE111-'BOULEVARD PPTO'!W106)</f>
        <v>-4567</v>
      </c>
      <c r="AC113" s="760">
        <f>IF(OR($A113="F&amp;F",$A113="CE",AC$7="No aplica"),0,'BOULEVARD 5'!AF111-'BOULEVARD PPTO'!X106)</f>
        <v>5433</v>
      </c>
      <c r="AD113" s="760">
        <f>IF(OR($A113="F&amp;F",$A113="CE",AD$7="No aplica"),0,'BOULEVARD 5'!AG111-'BOULEVARD PPTO'!Y106)</f>
        <v>433</v>
      </c>
      <c r="AE113" s="760">
        <f>IF(OR($A113="F&amp;F",$A113="CE",AE$7="No aplica"),0,'BOULEVARD 5'!AH111-'BOULEVARD PPTO'!Z106)</f>
        <v>-4567</v>
      </c>
      <c r="AF113" s="760">
        <f>IF(OR($A113="F&amp;F",$A113="CE",AF$7="No aplica"),0,'BOULEVARD 5'!AI111-'BOULEVARD PPTO'!AA106)</f>
        <v>5433</v>
      </c>
      <c r="AG113" s="760">
        <f>IF(OR($A113="F&amp;F",$A113="CE",AG$7="No aplica"),0,'BOULEVARD 5'!AJ111-'BOULEVARD PPTO'!AB106)</f>
        <v>433</v>
      </c>
      <c r="AH113" s="760">
        <f>IF(OR($A113="F&amp;F",$A113="CE",AH$7="No aplica"),0,'BOULEVARD 5'!AK111-'BOULEVARD PPTO'!AC106)</f>
        <v>433</v>
      </c>
      <c r="AI113" s="760">
        <f>IF(OR($A113="F&amp;F",$A113="CE",AI$7="No aplica"),0,'BOULEVARD 5'!AL111-'BOULEVARD PPTO'!AD106)</f>
        <v>433</v>
      </c>
      <c r="AJ113" s="760">
        <f>IF(OR($A113="F&amp;F",$A113="CE",AJ$7="No aplica"),0,'BOULEVARD 5'!AM111-'BOULEVARD PPTO'!AE106)</f>
        <v>433</v>
      </c>
      <c r="AK113" s="760">
        <f>IF(OR($A113="F&amp;F",$A113="CE",AK$7="No aplica"),0,'BOULEVARD 5'!AN111-'BOULEVARD PPTO'!AF106)</f>
        <v>433</v>
      </c>
      <c r="AL113" s="760">
        <f>IF(OR($A113="F&amp;F",$A113="CE",AL$7="No aplica"),0,'BOULEVARD 5'!AO111-'BOULEVARD PPTO'!AG106)</f>
        <v>-4561</v>
      </c>
      <c r="AM113" s="760">
        <f>IF(OR($A113="F&amp;F",$A113="CE",AM$7="No aplica"),0,'BOULEVARD 5'!AP111-'BOULEVARD PPTO'!AH106)</f>
        <v>10000</v>
      </c>
      <c r="AN113" s="760">
        <f>IF(OR($A113="F&amp;F",$A113="CE",AN$7="No aplica"),0,'BOULEVARD 5'!AQ111-'BOULEVARD PPTO'!AI106)</f>
        <v>0</v>
      </c>
      <c r="AO113" s="760">
        <f>IF(OR($A113="F&amp;F",$A113="CE",AO$7="No aplica"),0,'BOULEVARD 5'!AS111-'BOULEVARD PPTO'!AJ106)</f>
        <v>0</v>
      </c>
      <c r="AP113" s="761">
        <f t="shared" si="13"/>
        <v>12800</v>
      </c>
      <c r="AQ113" s="761">
        <f t="shared" si="14"/>
        <v>22800</v>
      </c>
      <c r="AR113" s="674">
        <f>IF(A113=0,'BOULEVARD 5'!BF111,0)</f>
        <v>8000</v>
      </c>
      <c r="AS113" s="674">
        <f>IF(A113=0,'BOULEVARD 5'!BG111,0)</f>
        <v>4567</v>
      </c>
      <c r="AT113" s="675" t="str">
        <f t="shared" si="12"/>
        <v>Vendido</v>
      </c>
      <c r="AU113" s="581" t="str">
        <f t="shared" si="16"/>
        <v>A FAVOR DEL CLIENTE</v>
      </c>
      <c r="AV113" s="760">
        <f t="shared" si="15"/>
        <v>10000</v>
      </c>
    </row>
    <row r="114" spans="1:48" s="581" customFormat="1" ht="12.4" customHeight="1" outlineLevel="1" x14ac:dyDescent="0.25">
      <c r="A114" s="703"/>
      <c r="B114" s="564">
        <v>617</v>
      </c>
      <c r="C114" s="564" t="s">
        <v>175</v>
      </c>
      <c r="D114" s="707" t="s">
        <v>501</v>
      </c>
      <c r="E114" s="564" t="str">
        <f>IF('BOULEVARD 5'!E112&lt;&gt;0,'BOULEVARD 5'!E112,"")</f>
        <v>Antonio Rada</v>
      </c>
      <c r="F114" s="581" t="str">
        <f>IF('BOULEVARD 5'!F112&lt;&gt;0,'BOULEVARD 5'!F112,"")</f>
        <v>Hans Christian Beeck Cazali</v>
      </c>
      <c r="G114" s="566">
        <f>IF('BOULEVARD 5'!G112="","",'BOULEVARD 5'!G112)</f>
        <v>45419</v>
      </c>
      <c r="H114" s="756">
        <f>IF(OR($A114="F&amp;F",$A114="CE",H$7="No aplica"),0,'BOULEVARD 5'!K112-'BOULEVARD PPTO'!C107)</f>
        <v>0</v>
      </c>
      <c r="I114" s="756">
        <f>IF(OR($A114="F&amp;F",$A114="CE",I$7="No aplica"),0,'BOULEVARD 5'!L112-'BOULEVARD PPTO'!D107)</f>
        <v>0</v>
      </c>
      <c r="J114" s="756">
        <f>IF(OR($A114="F&amp;F",$A114="CE",J$7="No aplica"),0,'BOULEVARD 5'!M112-'BOULEVARD PPTO'!E107)</f>
        <v>0</v>
      </c>
      <c r="K114" s="756">
        <f>IF(OR($A114="F&amp;F",$A114="CE",K$7="No aplica"),0,'BOULEVARD 5'!N112-'BOULEVARD PPTO'!F107)</f>
        <v>0</v>
      </c>
      <c r="L114" s="756">
        <f>IF(OR($A114="F&amp;F",$A114="CE",L$7="No aplica"),0,'BOULEVARD 5'!O112-'BOULEVARD PPTO'!G107)</f>
        <v>0</v>
      </c>
      <c r="M114" s="756">
        <f>IF(OR($A114="F&amp;F",$A114="CE",M$7="No aplica"),0,'BOULEVARD 5'!P112-'BOULEVARD PPTO'!H107)</f>
        <v>0</v>
      </c>
      <c r="N114" s="756">
        <f>IF(OR($A114="F&amp;F",$A114="CE",N$7="No aplica"),0,'BOULEVARD 5'!Q112-'BOULEVARD PPTO'!I107)</f>
        <v>0</v>
      </c>
      <c r="O114" s="756">
        <f>IF(OR($A114="F&amp;F",$A114="CE",O$7="No aplica"),0,'BOULEVARD 5'!R112-'BOULEVARD PPTO'!J107)</f>
        <v>0</v>
      </c>
      <c r="P114" s="756">
        <f>IF(OR($A114="F&amp;F",$A114="CE",P$7="No aplica"),0,'BOULEVARD 5'!S112-'BOULEVARD PPTO'!K107)</f>
        <v>0</v>
      </c>
      <c r="Q114" s="760">
        <f>IF(OR($A114="F&amp;F",$A114="CE",Q$7="No aplica"),0,'BOULEVARD 5'!T112-'BOULEVARD PPTO'!L107)</f>
        <v>0</v>
      </c>
      <c r="R114" s="760">
        <f>IF(OR($A114="F&amp;F",$A114="CE",R$7="No aplica"),0,'BOULEVARD 5'!U112-'BOULEVARD PPTO'!M107)</f>
        <v>0</v>
      </c>
      <c r="S114" s="760">
        <f>IF(OR($A114="F&amp;F",$A114="CE",S$7="No aplica"),0,'BOULEVARD 5'!V112-'BOULEVARD PPTO'!N107)</f>
        <v>0</v>
      </c>
      <c r="T114" s="760">
        <f>IF(OR($A114="F&amp;F",$A114="CE",T$7="No aplica"),0,'BOULEVARD 5'!W112-'BOULEVARD PPTO'!O107)</f>
        <v>0</v>
      </c>
      <c r="U114" s="760">
        <f>IF(OR($A114="F&amp;F",$A114="CE",U$7="No aplica"),0,'BOULEVARD 5'!X112-'BOULEVARD PPTO'!P107)</f>
        <v>0</v>
      </c>
      <c r="V114" s="760">
        <f>IF(OR($A114="F&amp;F",$A114="CE",V$7="No aplica"),0,'BOULEVARD 5'!Y112-'BOULEVARD PPTO'!Q107)</f>
        <v>0</v>
      </c>
      <c r="W114" s="760">
        <f>IF(OR($A114="F&amp;F",$A114="CE",W$7="No aplica"),0,'BOULEVARD 5'!Z112-'BOULEVARD PPTO'!R107)</f>
        <v>0</v>
      </c>
      <c r="X114" s="760">
        <f>IF(OR($A114="F&amp;F",$A114="CE",X$7="No aplica"),0,'BOULEVARD 5'!AA112-'BOULEVARD PPTO'!S107)</f>
        <v>0</v>
      </c>
      <c r="Y114" s="760">
        <f>IF(OR($A114="F&amp;F",$A114="CE",Y$7="No aplica"),0,'BOULEVARD 5'!AB112-'BOULEVARD PPTO'!T107)</f>
        <v>0</v>
      </c>
      <c r="Z114" s="760">
        <f>IF(OR($A114="F&amp;F",$A114="CE",Z$7="No aplica"),0,'BOULEVARD 5'!AC112-'BOULEVARD PPTO'!U107)</f>
        <v>0</v>
      </c>
      <c r="AA114" s="760">
        <f>IF(OR($A114="F&amp;F",$A114="CE",AA$7="No aplica"),0,'BOULEVARD 5'!AD112-'BOULEVARD PPTO'!V107)</f>
        <v>-4000</v>
      </c>
      <c r="AB114" s="760">
        <f>IF(OR($A114="F&amp;F",$A114="CE",AB$7="No aplica"),0,'BOULEVARD 5'!AE112-'BOULEVARD PPTO'!W107)</f>
        <v>0</v>
      </c>
      <c r="AC114" s="760">
        <f>IF(OR($A114="F&amp;F",$A114="CE",AC$7="No aplica"),0,'BOULEVARD 5'!AF112-'BOULEVARD PPTO'!X107)</f>
        <v>4000</v>
      </c>
      <c r="AD114" s="760">
        <f>IF(OR($A114="F&amp;F",$A114="CE",AD$7="No aplica"),0,'BOULEVARD 5'!AG112-'BOULEVARD PPTO'!Y107)</f>
        <v>-4000</v>
      </c>
      <c r="AE114" s="760">
        <f>IF(OR($A114="F&amp;F",$A114="CE",AE$7="No aplica"),0,'BOULEVARD 5'!AH112-'BOULEVARD PPTO'!Z107)</f>
        <v>4000</v>
      </c>
      <c r="AF114" s="760">
        <f>IF(OR($A114="F&amp;F",$A114="CE",AF$7="No aplica"),0,'BOULEVARD 5'!AI112-'BOULEVARD PPTO'!AA107)</f>
        <v>0</v>
      </c>
      <c r="AG114" s="760">
        <f>IF(OR($A114="F&amp;F",$A114="CE",AG$7="No aplica"),0,'BOULEVARD 5'!AJ112-'BOULEVARD PPTO'!AB107)</f>
        <v>-4000</v>
      </c>
      <c r="AH114" s="760">
        <f>IF(OR($A114="F&amp;F",$A114="CE",AH$7="No aplica"),0,'BOULEVARD 5'!AK112-'BOULEVARD PPTO'!AC107)</f>
        <v>-4000</v>
      </c>
      <c r="AI114" s="760">
        <f>IF(OR($A114="F&amp;F",$A114="CE",AI$7="No aplica"),0,'BOULEVARD 5'!AL112-'BOULEVARD PPTO'!AD107)</f>
        <v>-4000</v>
      </c>
      <c r="AJ114" s="760">
        <f>IF(OR($A114="F&amp;F",$A114="CE",AJ$7="No aplica"),0,'BOULEVARD 5'!AM112-'BOULEVARD PPTO'!AE107)</f>
        <v>0</v>
      </c>
      <c r="AK114" s="760">
        <f>IF(OR($A114="F&amp;F",$A114="CE",AK$7="No aplica"),0,'BOULEVARD 5'!AN112-'BOULEVARD PPTO'!AF107)</f>
        <v>0</v>
      </c>
      <c r="AL114" s="760">
        <f>IF(OR($A114="F&amp;F",$A114="CE",AL$7="No aplica"),0,'BOULEVARD 5'!AO112-'BOULEVARD PPTO'!AG107)</f>
        <v>0</v>
      </c>
      <c r="AM114" s="760">
        <f>IF(OR($A114="F&amp;F",$A114="CE",AM$7="No aplica"),0,'BOULEVARD 5'!AP112-'BOULEVARD PPTO'!AH107)</f>
        <v>-4000</v>
      </c>
      <c r="AN114" s="760">
        <f>IF(OR($A114="F&amp;F",$A114="CE",AN$7="No aplica"),0,'BOULEVARD 5'!AQ112-'BOULEVARD PPTO'!AI107)</f>
        <v>0</v>
      </c>
      <c r="AO114" s="760">
        <f>IF(OR($A114="F&amp;F",$A114="CE",AO$7="No aplica"),0,'BOULEVARD 5'!AS112-'BOULEVARD PPTO'!AJ107)</f>
        <v>0</v>
      </c>
      <c r="AP114" s="761">
        <f t="shared" si="13"/>
        <v>-16000</v>
      </c>
      <c r="AQ114" s="761">
        <f t="shared" si="14"/>
        <v>-24000</v>
      </c>
      <c r="AR114" s="674">
        <f>IF(A114=0,'BOULEVARD 5'!BF112,0)</f>
        <v>12800</v>
      </c>
      <c r="AS114" s="674">
        <f>IF(A114=0,'BOULEVARD 5'!BG112,0)</f>
        <v>4000</v>
      </c>
      <c r="AT114" s="675" t="str">
        <f t="shared" si="12"/>
        <v>Vendido</v>
      </c>
      <c r="AU114" s="581" t="str">
        <f t="shared" si="16"/>
        <v>POR COBRAR</v>
      </c>
      <c r="AV114" s="760">
        <f t="shared" si="15"/>
        <v>0</v>
      </c>
    </row>
    <row r="115" spans="1:48" s="581" customFormat="1" ht="12.4" customHeight="1" outlineLevel="1" x14ac:dyDescent="0.25">
      <c r="A115" s="703">
        <f>'BOULEVARD 5'!BQ113</f>
        <v>0</v>
      </c>
      <c r="B115" s="564">
        <v>618</v>
      </c>
      <c r="C115" s="564" t="s">
        <v>456</v>
      </c>
      <c r="D115" s="564"/>
      <c r="E115" s="564" t="str">
        <f>IF('BOULEVARD 5'!E113&lt;&gt;0,'BOULEVARD 5'!E113,"")</f>
        <v>Antonio Rada</v>
      </c>
      <c r="F115" s="581" t="str">
        <f>IF('BOULEVARD 5'!F113&lt;&gt;0,'BOULEVARD 5'!F113,"")</f>
        <v>Sergio Adolfo García Velásquez</v>
      </c>
      <c r="G115" s="566">
        <f>IF('BOULEVARD 5'!G113="","",'BOULEVARD 5'!G113)</f>
        <v>45772</v>
      </c>
      <c r="H115" s="756">
        <f>IF(OR($A115="F&amp;F",$A115="CE",H$7="No aplica"),0,'BOULEVARD 5'!K113-'BOULEVARD PPTO'!C108)</f>
        <v>0</v>
      </c>
      <c r="I115" s="756">
        <f>IF(OR($A115="F&amp;F",$A115="CE",I$7="No aplica"),0,'BOULEVARD 5'!L113-'BOULEVARD PPTO'!D108)</f>
        <v>0</v>
      </c>
      <c r="J115" s="756">
        <f>IF(OR($A115="F&amp;F",$A115="CE",J$7="No aplica"),0,'BOULEVARD 5'!M113-'BOULEVARD PPTO'!E108)</f>
        <v>0</v>
      </c>
      <c r="K115" s="756">
        <f>IF(OR($A115="F&amp;F",$A115="CE",K$7="No aplica"),0,'BOULEVARD 5'!N113-'BOULEVARD PPTO'!F108)</f>
        <v>0</v>
      </c>
      <c r="L115" s="756">
        <f>IF(OR($A115="F&amp;F",$A115="CE",L$7="No aplica"),0,'BOULEVARD 5'!O113-'BOULEVARD PPTO'!G108)</f>
        <v>0</v>
      </c>
      <c r="M115" s="756">
        <f>IF(OR($A115="F&amp;F",$A115="CE",M$7="No aplica"),0,'BOULEVARD 5'!P113-'BOULEVARD PPTO'!H108)</f>
        <v>0</v>
      </c>
      <c r="N115" s="756">
        <f>IF(OR($A115="F&amp;F",$A115="CE",N$7="No aplica"),0,'BOULEVARD 5'!Q113-'BOULEVARD PPTO'!I108)</f>
        <v>0</v>
      </c>
      <c r="O115" s="756">
        <f>IF(OR($A115="F&amp;F",$A115="CE",O$7="No aplica"),0,'BOULEVARD 5'!R113-'BOULEVARD PPTO'!J108)</f>
        <v>0</v>
      </c>
      <c r="P115" s="756">
        <f>IF(OR($A115="F&amp;F",$A115="CE",P$7="No aplica"),0,'BOULEVARD 5'!S113-'BOULEVARD PPTO'!K108)</f>
        <v>0</v>
      </c>
      <c r="Q115" s="760">
        <f>IF(OR($A115="F&amp;F",$A115="CE",Q$7="No aplica"),0,'BOULEVARD 5'!T113-'BOULEVARD PPTO'!L108)</f>
        <v>0</v>
      </c>
      <c r="R115" s="760">
        <f>IF(OR($A115="F&amp;F",$A115="CE",R$7="No aplica"),0,'BOULEVARD 5'!U113-'BOULEVARD PPTO'!M108)</f>
        <v>0</v>
      </c>
      <c r="S115" s="760">
        <f>IF(OR($A115="F&amp;F",$A115="CE",S$7="No aplica"),0,'BOULEVARD 5'!V113-'BOULEVARD PPTO'!N108)</f>
        <v>0</v>
      </c>
      <c r="T115" s="760">
        <f>IF(OR($A115="F&amp;F",$A115="CE",T$7="No aplica"),0,'BOULEVARD 5'!W113-'BOULEVARD PPTO'!O108)</f>
        <v>0</v>
      </c>
      <c r="U115" s="760">
        <f>IF(OR($A115="F&amp;F",$A115="CE",U$7="No aplica"),0,'BOULEVARD 5'!X113-'BOULEVARD PPTO'!P108)</f>
        <v>0</v>
      </c>
      <c r="V115" s="760">
        <f>IF(OR($A115="F&amp;F",$A115="CE",V$7="No aplica"),0,'BOULEVARD 5'!Y113-'BOULEVARD PPTO'!Q108)</f>
        <v>0</v>
      </c>
      <c r="W115" s="760">
        <f>IF(OR($A115="F&amp;F",$A115="CE",W$7="No aplica"),0,'BOULEVARD 5'!Z113-'BOULEVARD PPTO'!R108)</f>
        <v>0</v>
      </c>
      <c r="X115" s="760">
        <f>IF(OR($A115="F&amp;F",$A115="CE",X$7="No aplica"),0,'BOULEVARD 5'!AA113-'BOULEVARD PPTO'!S108)</f>
        <v>0</v>
      </c>
      <c r="Y115" s="760">
        <f>IF(OR($A115="F&amp;F",$A115="CE",Y$7="No aplica"),0,'BOULEVARD 5'!AB113-'BOULEVARD PPTO'!T108)</f>
        <v>0</v>
      </c>
      <c r="Z115" s="760">
        <f>IF(OR($A115="F&amp;F",$A115="CE",Z$7="No aplica"),0,'BOULEVARD 5'!AC113-'BOULEVARD PPTO'!U108)</f>
        <v>0</v>
      </c>
      <c r="AA115" s="760">
        <f>IF(OR($A115="F&amp;F",$A115="CE",AA$7="No aplica"),0,'BOULEVARD 5'!AD113-'BOULEVARD PPTO'!V108)</f>
        <v>0</v>
      </c>
      <c r="AB115" s="760">
        <f>IF(OR($A115="F&amp;F",$A115="CE",AB$7="No aplica"),0,'BOULEVARD 5'!AE113-'BOULEVARD PPTO'!W108)</f>
        <v>0</v>
      </c>
      <c r="AC115" s="760">
        <f>IF(OR($A115="F&amp;F",$A115="CE",AC$7="No aplica"),0,'BOULEVARD 5'!AF113-'BOULEVARD PPTO'!X108)</f>
        <v>0</v>
      </c>
      <c r="AD115" s="760">
        <f>IF(OR($A115="F&amp;F",$A115="CE",AD$7="No aplica"),0,'BOULEVARD 5'!AG113-'BOULEVARD PPTO'!Y108)</f>
        <v>0</v>
      </c>
      <c r="AE115" s="760">
        <f>IF(OR($A115="F&amp;F",$A115="CE",AE$7="No aplica"),0,'BOULEVARD 5'!AH113-'BOULEVARD PPTO'!Z108)</f>
        <v>0</v>
      </c>
      <c r="AF115" s="760">
        <f>IF(OR($A115="F&amp;F",$A115="CE",AF$7="No aplica"),0,'BOULEVARD 5'!AI113-'BOULEVARD PPTO'!AA108)</f>
        <v>10000</v>
      </c>
      <c r="AG115" s="760">
        <f>IF(OR($A115="F&amp;F",$A115="CE",AG$7="No aplica"),0,'BOULEVARD 5'!AJ113-'BOULEVARD PPTO'!AB108)</f>
        <v>0</v>
      </c>
      <c r="AH115" s="760">
        <f>IF(OR($A115="F&amp;F",$A115="CE",AH$7="No aplica"),0,'BOULEVARD 5'!AK113-'BOULEVARD PPTO'!AC108)</f>
        <v>0</v>
      </c>
      <c r="AI115" s="760">
        <f>IF(OR($A115="F&amp;F",$A115="CE",AI$7="No aplica"),0,'BOULEVARD 5'!AL113-'BOULEVARD PPTO'!AD108)</f>
        <v>0</v>
      </c>
      <c r="AJ115" s="760">
        <f>IF(OR($A115="F&amp;F",$A115="CE",AJ$7="No aplica"),0,'BOULEVARD 5'!AM113-'BOULEVARD PPTO'!AE108)</f>
        <v>0</v>
      </c>
      <c r="AK115" s="760">
        <f>IF(OR($A115="F&amp;F",$A115="CE",AK$7="No aplica"),0,'BOULEVARD 5'!AN113-'BOULEVARD PPTO'!AF108)</f>
        <v>0</v>
      </c>
      <c r="AL115" s="760">
        <f>IF(OR($A115="F&amp;F",$A115="CE",AL$7="No aplica"),0,'BOULEVARD 5'!AO113-'BOULEVARD PPTO'!AG108)</f>
        <v>0</v>
      </c>
      <c r="AM115" s="760">
        <f>IF(OR($A115="F&amp;F",$A115="CE",AM$7="No aplica"),0,'BOULEVARD 5'!AP113-'BOULEVARD PPTO'!AH108)</f>
        <v>0</v>
      </c>
      <c r="AN115" s="760">
        <f>IF(OR($A115="F&amp;F",$A115="CE",AN$7="No aplica"),0,'BOULEVARD 5'!AQ113-'BOULEVARD PPTO'!AI108)</f>
        <v>0</v>
      </c>
      <c r="AO115" s="760">
        <f>IF(OR($A115="F&amp;F",$A115="CE",AO$7="No aplica"),0,'BOULEVARD 5'!AS113-'BOULEVARD PPTO'!AJ108)</f>
        <v>0</v>
      </c>
      <c r="AP115" s="761">
        <f t="shared" si="13"/>
        <v>10000</v>
      </c>
      <c r="AQ115" s="761">
        <f t="shared" si="14"/>
        <v>-37981.440000000002</v>
      </c>
      <c r="AR115" s="674">
        <f>IF(A115=0,'BOULEVARD 5'!BF113,0)</f>
        <v>10000</v>
      </c>
      <c r="AS115" s="674">
        <f>IF(A115=0,'BOULEVARD 5'!BG113,0)</f>
        <v>6000</v>
      </c>
      <c r="AT115" s="675" t="str">
        <f t="shared" si="12"/>
        <v>Vendido</v>
      </c>
      <c r="AU115" s="581" t="str">
        <f t="shared" si="16"/>
        <v>A FAVOR DEL CLIENTE</v>
      </c>
      <c r="AV115" s="760">
        <f t="shared" si="15"/>
        <v>0</v>
      </c>
    </row>
    <row r="116" spans="1:48" s="581" customFormat="1" ht="12.4" customHeight="1" outlineLevel="1" x14ac:dyDescent="0.25">
      <c r="A116" s="703">
        <f>'BOULEVARD 5'!BQ114</f>
        <v>0</v>
      </c>
      <c r="B116" s="564">
        <v>619</v>
      </c>
      <c r="C116" s="564" t="s">
        <v>134</v>
      </c>
      <c r="D116" s="564"/>
      <c r="E116" s="564" t="str">
        <f>IF('BOULEVARD 5'!E114&lt;&gt;0,'BOULEVARD 5'!E114,"")</f>
        <v>Sofia Paredes</v>
      </c>
      <c r="F116" s="581" t="str">
        <f>IF('BOULEVARD 5'!F114&lt;&gt;0,'BOULEVARD 5'!F114,"")</f>
        <v>José Estuardo Ordoñez Cancinos</v>
      </c>
      <c r="G116" s="566">
        <f>IF('BOULEVARD 5'!G114="","",'BOULEVARD 5'!G114)</f>
        <v>45724</v>
      </c>
      <c r="H116" s="756">
        <f>IF(OR($A116="F&amp;F",$A116="CE",H$7="No aplica"),0,'BOULEVARD 5'!K114-'BOULEVARD PPTO'!C109)</f>
        <v>0</v>
      </c>
      <c r="I116" s="756">
        <f>IF(OR($A116="F&amp;F",$A116="CE",I$7="No aplica"),0,'BOULEVARD 5'!L114-'BOULEVARD PPTO'!D109)</f>
        <v>0</v>
      </c>
      <c r="J116" s="756">
        <f>IF(OR($A116="F&amp;F",$A116="CE",J$7="No aplica"),0,'BOULEVARD 5'!M114-'BOULEVARD PPTO'!E109)</f>
        <v>0</v>
      </c>
      <c r="K116" s="756">
        <f>IF(OR($A116="F&amp;F",$A116="CE",K$7="No aplica"),0,'BOULEVARD 5'!N114-'BOULEVARD PPTO'!F109)</f>
        <v>0</v>
      </c>
      <c r="L116" s="756">
        <f>IF(OR($A116="F&amp;F",$A116="CE",L$7="No aplica"),0,'BOULEVARD 5'!O114-'BOULEVARD PPTO'!G109)</f>
        <v>0</v>
      </c>
      <c r="M116" s="756">
        <f>IF(OR($A116="F&amp;F",$A116="CE",M$7="No aplica"),0,'BOULEVARD 5'!P114-'BOULEVARD PPTO'!H109)</f>
        <v>0</v>
      </c>
      <c r="N116" s="756">
        <f>IF(OR($A116="F&amp;F",$A116="CE",N$7="No aplica"),0,'BOULEVARD 5'!Q114-'BOULEVARD PPTO'!I109)</f>
        <v>0</v>
      </c>
      <c r="O116" s="756">
        <f>IF(OR($A116="F&amp;F",$A116="CE",O$7="No aplica"),0,'BOULEVARD 5'!R114-'BOULEVARD PPTO'!J109)</f>
        <v>0</v>
      </c>
      <c r="P116" s="756">
        <f>IF(OR($A116="F&amp;F",$A116="CE",P$7="No aplica"),0,'BOULEVARD 5'!S114-'BOULEVARD PPTO'!K109)</f>
        <v>0</v>
      </c>
      <c r="Q116" s="760">
        <f>IF(OR($A116="F&amp;F",$A116="CE",Q$7="No aplica"),0,'BOULEVARD 5'!T114-'BOULEVARD PPTO'!L109)</f>
        <v>0</v>
      </c>
      <c r="R116" s="760">
        <f>IF(OR($A116="F&amp;F",$A116="CE",R$7="No aplica"),0,'BOULEVARD 5'!U114-'BOULEVARD PPTO'!M109)</f>
        <v>0</v>
      </c>
      <c r="S116" s="760">
        <f>IF(OR($A116="F&amp;F",$A116="CE",S$7="No aplica"),0,'BOULEVARD 5'!V114-'BOULEVARD PPTO'!N109)</f>
        <v>0</v>
      </c>
      <c r="T116" s="760">
        <f>IF(OR($A116="F&amp;F",$A116="CE",T$7="No aplica"),0,'BOULEVARD 5'!W114-'BOULEVARD PPTO'!O109)</f>
        <v>0</v>
      </c>
      <c r="U116" s="760">
        <f>IF(OR($A116="F&amp;F",$A116="CE",U$7="No aplica"),0,'BOULEVARD 5'!X114-'BOULEVARD PPTO'!P109)</f>
        <v>0</v>
      </c>
      <c r="V116" s="760">
        <f>IF(OR($A116="F&amp;F",$A116="CE",V$7="No aplica"),0,'BOULEVARD 5'!Y114-'BOULEVARD PPTO'!Q109)</f>
        <v>0</v>
      </c>
      <c r="W116" s="760">
        <f>IF(OR($A116="F&amp;F",$A116="CE",W$7="No aplica"),0,'BOULEVARD 5'!Z114-'BOULEVARD PPTO'!R109)</f>
        <v>0</v>
      </c>
      <c r="X116" s="760">
        <f>IF(OR($A116="F&amp;F",$A116="CE",X$7="No aplica"),0,'BOULEVARD 5'!AA114-'BOULEVARD PPTO'!S109)</f>
        <v>0</v>
      </c>
      <c r="Y116" s="760">
        <f>IF(OR($A116="F&amp;F",$A116="CE",Y$7="No aplica"),0,'BOULEVARD 5'!AB114-'BOULEVARD PPTO'!T109)</f>
        <v>0</v>
      </c>
      <c r="Z116" s="760">
        <f>IF(OR($A116="F&amp;F",$A116="CE",Z$7="No aplica"),0,'BOULEVARD 5'!AC114-'BOULEVARD PPTO'!U109)</f>
        <v>0</v>
      </c>
      <c r="AA116" s="760">
        <f>IF(OR($A116="F&amp;F",$A116="CE",AA$7="No aplica"),0,'BOULEVARD 5'!AD114-'BOULEVARD PPTO'!V109)</f>
        <v>0</v>
      </c>
      <c r="AB116" s="760">
        <f>IF(OR($A116="F&amp;F",$A116="CE",AB$7="No aplica"),0,'BOULEVARD 5'!AE114-'BOULEVARD PPTO'!W109)</f>
        <v>0</v>
      </c>
      <c r="AC116" s="760">
        <f>IF(OR($A116="F&amp;F",$A116="CE",AC$7="No aplica"),0,'BOULEVARD 5'!AF114-'BOULEVARD PPTO'!X109)</f>
        <v>0</v>
      </c>
      <c r="AD116" s="760">
        <f>IF(OR($A116="F&amp;F",$A116="CE",AD$7="No aplica"),0,'BOULEVARD 5'!AG114-'BOULEVARD PPTO'!Y109)</f>
        <v>0</v>
      </c>
      <c r="AE116" s="760">
        <f>IF(OR($A116="F&amp;F",$A116="CE",AE$7="No aplica"),0,'BOULEVARD 5'!AH114-'BOULEVARD PPTO'!Z109)</f>
        <v>0</v>
      </c>
      <c r="AF116" s="760">
        <f>IF(OR($A116="F&amp;F",$A116="CE",AF$7="No aplica"),0,'BOULEVARD 5'!AI114-'BOULEVARD PPTO'!AA109)</f>
        <v>10000</v>
      </c>
      <c r="AG116" s="760">
        <f>IF(OR($A116="F&amp;F",$A116="CE",AG$7="No aplica"),0,'BOULEVARD 5'!AJ114-'BOULEVARD PPTO'!AB109)</f>
        <v>7903</v>
      </c>
      <c r="AH116" s="760">
        <f>IF(OR($A116="F&amp;F",$A116="CE",AH$7="No aplica"),0,'BOULEVARD 5'!AK114-'BOULEVARD PPTO'!AC109)</f>
        <v>12525</v>
      </c>
      <c r="AI116" s="760">
        <f>IF(OR($A116="F&amp;F",$A116="CE",AI$7="No aplica"),0,'BOULEVARD 5'!AL114-'BOULEVARD PPTO'!AD109)</f>
        <v>10214</v>
      </c>
      <c r="AJ116" s="760">
        <f>IF(OR($A116="F&amp;F",$A116="CE",AJ$7="No aplica"),0,'BOULEVARD 5'!AM114-'BOULEVARD PPTO'!AE109)</f>
        <v>10214</v>
      </c>
      <c r="AK116" s="760">
        <f>IF(OR($A116="F&amp;F",$A116="CE",AK$7="No aplica"),0,'BOULEVARD 5'!AN114-'BOULEVARD PPTO'!AF109)</f>
        <v>0</v>
      </c>
      <c r="AL116" s="760">
        <f>IF(OR($A116="F&amp;F",$A116="CE",AL$7="No aplica"),0,'BOULEVARD 5'!AO114-'BOULEVARD PPTO'!AG109)</f>
        <v>10214</v>
      </c>
      <c r="AM116" s="760">
        <f>IF(OR($A116="F&amp;F",$A116="CE",AM$7="No aplica"),0,'BOULEVARD 5'!AP114-'BOULEVARD PPTO'!AH109)</f>
        <v>10214</v>
      </c>
      <c r="AN116" s="760">
        <f>IF(OR($A116="F&amp;F",$A116="CE",AN$7="No aplica"),0,'BOULEVARD 5'!AQ114-'BOULEVARD PPTO'!AI109)</f>
        <v>0</v>
      </c>
      <c r="AO116" s="760">
        <f>IF(OR($A116="F&amp;F",$A116="CE",AO$7="No aplica"),0,'BOULEVARD 5'!AS114-'BOULEVARD PPTO'!AJ109)</f>
        <v>0</v>
      </c>
      <c r="AP116" s="761">
        <f t="shared" si="13"/>
        <v>71284</v>
      </c>
      <c r="AQ116" s="761">
        <f t="shared" si="14"/>
        <v>91712</v>
      </c>
      <c r="AR116" s="674">
        <f>IF(A116=0,'BOULEVARD 5'!BF114,0)</f>
        <v>10000</v>
      </c>
      <c r="AS116" s="674">
        <f>IF(A116=0,'BOULEVARD 5'!BG114,0)</f>
        <v>10214</v>
      </c>
      <c r="AT116" s="675" t="str">
        <f t="shared" si="12"/>
        <v>Vendido</v>
      </c>
      <c r="AU116" s="581" t="str">
        <f t="shared" si="16"/>
        <v>A FAVOR DEL CLIENTE</v>
      </c>
      <c r="AV116" s="760">
        <f t="shared" si="15"/>
        <v>10214</v>
      </c>
    </row>
    <row r="117" spans="1:48" s="581" customFormat="1" ht="12.4" customHeight="1" outlineLevel="1" x14ac:dyDescent="0.25">
      <c r="A117" s="703">
        <f>'BOULEVARD 5'!BQ115</f>
        <v>0</v>
      </c>
      <c r="B117" s="564">
        <v>701</v>
      </c>
      <c r="C117" s="564" t="s">
        <v>456</v>
      </c>
      <c r="D117" s="564"/>
      <c r="E117" s="564" t="str">
        <f>IF('BOULEVARD 5'!E115&lt;&gt;0,'BOULEVARD 5'!E115,"")</f>
        <v>Antonio Rada</v>
      </c>
      <c r="F117" s="581" t="str">
        <f>IF('BOULEVARD 5'!F115&lt;&gt;0,'BOULEVARD 5'!F115,"")</f>
        <v>Luis Francisco Villatoro Quiroa</v>
      </c>
      <c r="G117" s="566">
        <f>IF('BOULEVARD 5'!G115="","",'BOULEVARD 5'!G115)</f>
        <v>45006</v>
      </c>
      <c r="H117" s="756">
        <f>IF(OR($A117="F&amp;F",$A117="CE",H$7="No aplica"),0,'BOULEVARD 5'!K115-'BOULEVARD PPTO'!C110)</f>
        <v>0</v>
      </c>
      <c r="I117" s="756">
        <f>IF(OR($A117="F&amp;F",$A117="CE",I$7="No aplica"),0,'BOULEVARD 5'!L115-'BOULEVARD PPTO'!D110)</f>
        <v>97</v>
      </c>
      <c r="J117" s="756">
        <f>IF(OR($A117="F&amp;F",$A117="CE",J$7="No aplica"),0,'BOULEVARD 5'!M115-'BOULEVARD PPTO'!E110)</f>
        <v>-97</v>
      </c>
      <c r="K117" s="756">
        <f>IF(OR($A117="F&amp;F",$A117="CE",K$7="No aplica"),0,'BOULEVARD 5'!N115-'BOULEVARD PPTO'!F110)</f>
        <v>0</v>
      </c>
      <c r="L117" s="756">
        <f>IF(OR($A117="F&amp;F",$A117="CE",L$7="No aplica"),0,'BOULEVARD 5'!O115-'BOULEVARD PPTO'!G110)</f>
        <v>0</v>
      </c>
      <c r="M117" s="756">
        <f>IF(OR($A117="F&amp;F",$A117="CE",M$7="No aplica"),0,'BOULEVARD 5'!P115-'BOULEVARD PPTO'!H110)</f>
        <v>0</v>
      </c>
      <c r="N117" s="756">
        <f>IF(OR($A117="F&amp;F",$A117="CE",N$7="No aplica"),0,'BOULEVARD 5'!Q115-'BOULEVARD PPTO'!I110)</f>
        <v>0</v>
      </c>
      <c r="O117" s="756">
        <f>IF(OR($A117="F&amp;F",$A117="CE",O$7="No aplica"),0,'BOULEVARD 5'!R115-'BOULEVARD PPTO'!J110)</f>
        <v>0</v>
      </c>
      <c r="P117" s="756">
        <f>IF(OR($A117="F&amp;F",$A117="CE",P$7="No aplica"),0,'BOULEVARD 5'!S115-'BOULEVARD PPTO'!K110)</f>
        <v>0</v>
      </c>
      <c r="Q117" s="760">
        <f>IF(OR($A117="F&amp;F",$A117="CE",Q$7="No aplica"),0,'BOULEVARD 5'!T115-'BOULEVARD PPTO'!L110)</f>
        <v>0</v>
      </c>
      <c r="R117" s="760">
        <f>IF(OR($A117="F&amp;F",$A117="CE",R$7="No aplica"),0,'BOULEVARD 5'!U115-'BOULEVARD PPTO'!M110)</f>
        <v>0</v>
      </c>
      <c r="S117" s="760">
        <f>IF(OR($A117="F&amp;F",$A117="CE",S$7="No aplica"),0,'BOULEVARD 5'!V115-'BOULEVARD PPTO'!N110)</f>
        <v>0</v>
      </c>
      <c r="T117" s="760">
        <f>IF(OR($A117="F&amp;F",$A117="CE",T$7="No aplica"),0,'BOULEVARD 5'!W115-'BOULEVARD PPTO'!O110)</f>
        <v>0</v>
      </c>
      <c r="U117" s="760">
        <f>IF(OR($A117="F&amp;F",$A117="CE",U$7="No aplica"),0,'BOULEVARD 5'!X115-'BOULEVARD PPTO'!P110)</f>
        <v>0</v>
      </c>
      <c r="V117" s="760">
        <f>IF(OR($A117="F&amp;F",$A117="CE",V$7="No aplica"),0,'BOULEVARD 5'!Y115-'BOULEVARD PPTO'!Q110)</f>
        <v>0</v>
      </c>
      <c r="W117" s="760">
        <f>IF(OR($A117="F&amp;F",$A117="CE",W$7="No aplica"),0,'BOULEVARD 5'!Z115-'BOULEVARD PPTO'!R110)</f>
        <v>0</v>
      </c>
      <c r="X117" s="760">
        <f>IF(OR($A117="F&amp;F",$A117="CE",X$7="No aplica"),0,'BOULEVARD 5'!AA115-'BOULEVARD PPTO'!S110)</f>
        <v>0</v>
      </c>
      <c r="Y117" s="760">
        <f>IF(OR($A117="F&amp;F",$A117="CE",Y$7="No aplica"),0,'BOULEVARD 5'!AB115-'BOULEVARD PPTO'!T110)</f>
        <v>0</v>
      </c>
      <c r="Z117" s="760">
        <f>IF(OR($A117="F&amp;F",$A117="CE",Z$7="No aplica"),0,'BOULEVARD 5'!AC115-'BOULEVARD PPTO'!U110)</f>
        <v>0</v>
      </c>
      <c r="AA117" s="760">
        <f>IF(OR($A117="F&amp;F",$A117="CE",AA$7="No aplica"),0,'BOULEVARD 5'!AD115-'BOULEVARD PPTO'!V110)</f>
        <v>0</v>
      </c>
      <c r="AB117" s="760">
        <f>IF(OR($A117="F&amp;F",$A117="CE",AB$7="No aplica"),0,'BOULEVARD 5'!AE115-'BOULEVARD PPTO'!W110)</f>
        <v>0</v>
      </c>
      <c r="AC117" s="760">
        <f>IF(OR($A117="F&amp;F",$A117="CE",AC$7="No aplica"),0,'BOULEVARD 5'!AF115-'BOULEVARD PPTO'!X110)</f>
        <v>0</v>
      </c>
      <c r="AD117" s="760">
        <f>IF(OR($A117="F&amp;F",$A117="CE",AD$7="No aplica"),0,'BOULEVARD 5'!AG115-'BOULEVARD PPTO'!Y110)</f>
        <v>0</v>
      </c>
      <c r="AE117" s="760">
        <f>IF(OR($A117="F&amp;F",$A117="CE",AE$7="No aplica"),0,'BOULEVARD 5'!AH115-'BOULEVARD PPTO'!Z110)</f>
        <v>0</v>
      </c>
      <c r="AF117" s="760">
        <f>IF(OR($A117="F&amp;F",$A117="CE",AF$7="No aplica"),0,'BOULEVARD 5'!AI115-'BOULEVARD PPTO'!AA110)</f>
        <v>0</v>
      </c>
      <c r="AG117" s="760">
        <f>IF(OR($A117="F&amp;F",$A117="CE",AG$7="No aplica"),0,'BOULEVARD 5'!AJ115-'BOULEVARD PPTO'!AB110)</f>
        <v>0</v>
      </c>
      <c r="AH117" s="760">
        <f>IF(OR($A117="F&amp;F",$A117="CE",AH$7="No aplica"),0,'BOULEVARD 5'!AK115-'BOULEVARD PPTO'!AC110)</f>
        <v>0</v>
      </c>
      <c r="AI117" s="760">
        <f>IF(OR($A117="F&amp;F",$A117="CE",AI$7="No aplica"),0,'BOULEVARD 5'!AL115-'BOULEVARD PPTO'!AD110)</f>
        <v>0</v>
      </c>
      <c r="AJ117" s="760">
        <f>IF(OR($A117="F&amp;F",$A117="CE",AJ$7="No aplica"),0,'BOULEVARD 5'!AM115-'BOULEVARD PPTO'!AE110)</f>
        <v>0</v>
      </c>
      <c r="AK117" s="760">
        <f>IF(OR($A117="F&amp;F",$A117="CE",AK$7="No aplica"),0,'BOULEVARD 5'!AN115-'BOULEVARD PPTO'!AF110)</f>
        <v>0</v>
      </c>
      <c r="AL117" s="760">
        <f>IF(OR($A117="F&amp;F",$A117="CE",AL$7="No aplica"),0,'BOULEVARD 5'!AO115-'BOULEVARD PPTO'!AG110)</f>
        <v>0</v>
      </c>
      <c r="AM117" s="760">
        <f>IF(OR($A117="F&amp;F",$A117="CE",AM$7="No aplica"),0,'BOULEVARD 5'!AP115-'BOULEVARD PPTO'!AH110)</f>
        <v>0</v>
      </c>
      <c r="AN117" s="760">
        <f>IF(OR($A117="F&amp;F",$A117="CE",AN$7="No aplica"),0,'BOULEVARD 5'!AQ115-'BOULEVARD PPTO'!AI110)</f>
        <v>0</v>
      </c>
      <c r="AO117" s="760">
        <f>IF(OR($A117="F&amp;F",$A117="CE",AO$7="No aplica"),0,'BOULEVARD 5'!AS115-'BOULEVARD PPTO'!AJ110)</f>
        <v>0</v>
      </c>
      <c r="AP117" s="761">
        <f t="shared" si="13"/>
        <v>0</v>
      </c>
      <c r="AQ117" s="761">
        <f t="shared" si="14"/>
        <v>-3598</v>
      </c>
      <c r="AR117" s="674">
        <f>IF(A117=0,'BOULEVARD 5'!BF115,0)</f>
        <v>6000</v>
      </c>
      <c r="AS117" s="674">
        <f>IF(A117=0,'BOULEVARD 5'!BG115,0)</f>
        <v>3603</v>
      </c>
      <c r="AT117" s="675" t="str">
        <f t="shared" si="12"/>
        <v>Vendido</v>
      </c>
      <c r="AU117" s="581" t="str">
        <f t="shared" si="16"/>
        <v/>
      </c>
      <c r="AV117" s="760">
        <f t="shared" si="15"/>
        <v>0</v>
      </c>
    </row>
    <row r="118" spans="1:48" s="581" customFormat="1" ht="12.4" customHeight="1" outlineLevel="1" x14ac:dyDescent="0.25">
      <c r="A118" s="703">
        <f>'BOULEVARD 5'!BQ116</f>
        <v>0</v>
      </c>
      <c r="B118" s="564">
        <v>702</v>
      </c>
      <c r="C118" s="564" t="s">
        <v>134</v>
      </c>
      <c r="D118" s="564"/>
      <c r="E118" s="564" t="str">
        <f>IF('BOULEVARD 5'!E116&lt;&gt;0,'BOULEVARD 5'!E116,"")</f>
        <v>Antonio Rada</v>
      </c>
      <c r="F118" s="581" t="str">
        <f>IF('BOULEVARD 5'!F116&lt;&gt;0,'BOULEVARD 5'!F116,"")</f>
        <v>Wilson Humberto Félix Reyna</v>
      </c>
      <c r="G118" s="566">
        <f>IF('BOULEVARD 5'!G116="","",'BOULEVARD 5'!G116)</f>
        <v>45030</v>
      </c>
      <c r="H118" s="756">
        <f>IF(OR($A118="F&amp;F",$A118="CE",H$7="No aplica"),0,'BOULEVARD 5'!K116-'BOULEVARD PPTO'!C111)</f>
        <v>0</v>
      </c>
      <c r="I118" s="756">
        <f>IF(OR($A118="F&amp;F",$A118="CE",I$7="No aplica"),0,'BOULEVARD 5'!L116-'BOULEVARD PPTO'!D111)</f>
        <v>0</v>
      </c>
      <c r="J118" s="756">
        <f>IF(OR($A118="F&amp;F",$A118="CE",J$7="No aplica"),0,'BOULEVARD 5'!M116-'BOULEVARD PPTO'!E111)</f>
        <v>0</v>
      </c>
      <c r="K118" s="756">
        <f>IF(OR($A118="F&amp;F",$A118="CE",K$7="No aplica"),0,'BOULEVARD 5'!N116-'BOULEVARD PPTO'!F111)</f>
        <v>0</v>
      </c>
      <c r="L118" s="756">
        <f>IF(OR($A118="F&amp;F",$A118="CE",L$7="No aplica"),0,'BOULEVARD 5'!O116-'BOULEVARD PPTO'!G111)</f>
        <v>-1</v>
      </c>
      <c r="M118" s="756">
        <f>IF(OR($A118="F&amp;F",$A118="CE",M$7="No aplica"),0,'BOULEVARD 5'!P116-'BOULEVARD PPTO'!H111)</f>
        <v>1</v>
      </c>
      <c r="N118" s="756">
        <f>IF(OR($A118="F&amp;F",$A118="CE",N$7="No aplica"),0,'BOULEVARD 5'!Q116-'BOULEVARD PPTO'!I111)</f>
        <v>0</v>
      </c>
      <c r="O118" s="756">
        <f>IF(OR($A118="F&amp;F",$A118="CE",O$7="No aplica"),0,'BOULEVARD 5'!R116-'BOULEVARD PPTO'!J111)</f>
        <v>0</v>
      </c>
      <c r="P118" s="756">
        <f>IF(OR($A118="F&amp;F",$A118="CE",P$7="No aplica"),0,'BOULEVARD 5'!S116-'BOULEVARD PPTO'!K111)</f>
        <v>0</v>
      </c>
      <c r="Q118" s="760">
        <f>IF(OR($A118="F&amp;F",$A118="CE",Q$7="No aplica"),0,'BOULEVARD 5'!T116-'BOULEVARD PPTO'!L111)</f>
        <v>0</v>
      </c>
      <c r="R118" s="760">
        <f>IF(OR($A118="F&amp;F",$A118="CE",R$7="No aplica"),0,'BOULEVARD 5'!U116-'BOULEVARD PPTO'!M111)</f>
        <v>0</v>
      </c>
      <c r="S118" s="760">
        <f>IF(OR($A118="F&amp;F",$A118="CE",S$7="No aplica"),0,'BOULEVARD 5'!V116-'BOULEVARD PPTO'!N111)</f>
        <v>0</v>
      </c>
      <c r="T118" s="760">
        <f>IF(OR($A118="F&amp;F",$A118="CE",T$7="No aplica"),0,'BOULEVARD 5'!W116-'BOULEVARD PPTO'!O111)</f>
        <v>0</v>
      </c>
      <c r="U118" s="760">
        <f>IF(OR($A118="F&amp;F",$A118="CE",U$7="No aplica"),0,'BOULEVARD 5'!X116-'BOULEVARD PPTO'!P111)</f>
        <v>-4428</v>
      </c>
      <c r="V118" s="760">
        <f>IF(OR($A118="F&amp;F",$A118="CE",V$7="No aplica"),0,'BOULEVARD 5'!Y116-'BOULEVARD PPTO'!Q111)</f>
        <v>0</v>
      </c>
      <c r="W118" s="760">
        <f>IF(OR($A118="F&amp;F",$A118="CE",W$7="No aplica"),0,'BOULEVARD 5'!Z116-'BOULEVARD PPTO'!R111)</f>
        <v>0</v>
      </c>
      <c r="X118" s="760">
        <f>IF(OR($A118="F&amp;F",$A118="CE",X$7="No aplica"),0,'BOULEVARD 5'!AA116-'BOULEVARD PPTO'!S111)</f>
        <v>0</v>
      </c>
      <c r="Y118" s="760">
        <f>IF(OR($A118="F&amp;F",$A118="CE",Y$7="No aplica"),0,'BOULEVARD 5'!AB116-'BOULEVARD PPTO'!T111)</f>
        <v>0</v>
      </c>
      <c r="Z118" s="760">
        <f>IF(OR($A118="F&amp;F",$A118="CE",Z$7="No aplica"),0,'BOULEVARD 5'!AC116-'BOULEVARD PPTO'!U111)</f>
        <v>-4428</v>
      </c>
      <c r="AA118" s="760">
        <f>IF(OR($A118="F&amp;F",$A118="CE",AA$7="No aplica"),0,'BOULEVARD 5'!AD116-'BOULEVARD PPTO'!V111)</f>
        <v>0</v>
      </c>
      <c r="AB118" s="760">
        <f>IF(OR($A118="F&amp;F",$A118="CE",AB$7="No aplica"),0,'BOULEVARD 5'!AE116-'BOULEVARD PPTO'!W111)</f>
        <v>0</v>
      </c>
      <c r="AC118" s="760">
        <f>IF(OR($A118="F&amp;F",$A118="CE",AC$7="No aplica"),0,'BOULEVARD 5'!AF116-'BOULEVARD PPTO'!X111)</f>
        <v>0</v>
      </c>
      <c r="AD118" s="760">
        <f>IF(OR($A118="F&amp;F",$A118="CE",AD$7="No aplica"),0,'BOULEVARD 5'!AG116-'BOULEVARD PPTO'!Y111)</f>
        <v>-4428</v>
      </c>
      <c r="AE118" s="760">
        <f>IF(OR($A118="F&amp;F",$A118="CE",AE$7="No aplica"),0,'BOULEVARD 5'!AH116-'BOULEVARD PPTO'!Z111)</f>
        <v>0</v>
      </c>
      <c r="AF118" s="760">
        <f>IF(OR($A118="F&amp;F",$A118="CE",AF$7="No aplica"),0,'BOULEVARD 5'!AI116-'BOULEVARD PPTO'!AA111)</f>
        <v>-4428</v>
      </c>
      <c r="AG118" s="760">
        <f>IF(OR($A118="F&amp;F",$A118="CE",AG$7="No aplica"),0,'BOULEVARD 5'!AJ116-'BOULEVARD PPTO'!AB111)</f>
        <v>8856</v>
      </c>
      <c r="AH118" s="760">
        <f>IF(OR($A118="F&amp;F",$A118="CE",AH$7="No aplica"),0,'BOULEVARD 5'!AK116-'BOULEVARD PPTO'!AC111)</f>
        <v>0</v>
      </c>
      <c r="AI118" s="760">
        <f>IF(OR($A118="F&amp;F",$A118="CE",AI$7="No aplica"),0,'BOULEVARD 5'!AL116-'BOULEVARD PPTO'!AD111)</f>
        <v>0</v>
      </c>
      <c r="AJ118" s="760">
        <f>IF(OR($A118="F&amp;F",$A118="CE",AJ$7="No aplica"),0,'BOULEVARD 5'!AM116-'BOULEVARD PPTO'!AE111)</f>
        <v>0</v>
      </c>
      <c r="AK118" s="760">
        <f>IF(OR($A118="F&amp;F",$A118="CE",AK$7="No aplica"),0,'BOULEVARD 5'!AN116-'BOULEVARD PPTO'!AF111)</f>
        <v>-4428</v>
      </c>
      <c r="AL118" s="760">
        <f>IF(OR($A118="F&amp;F",$A118="CE",AL$7="No aplica"),0,'BOULEVARD 5'!AO116-'BOULEVARD PPTO'!AG111)</f>
        <v>13284</v>
      </c>
      <c r="AM118" s="760">
        <f>IF(OR($A118="F&amp;F",$A118="CE",AM$7="No aplica"),0,'BOULEVARD 5'!AP116-'BOULEVARD PPTO'!AH111)</f>
        <v>0</v>
      </c>
      <c r="AN118" s="760">
        <f>IF(OR($A118="F&amp;F",$A118="CE",AN$7="No aplica"),0,'BOULEVARD 5'!AQ116-'BOULEVARD PPTO'!AI111)</f>
        <v>0</v>
      </c>
      <c r="AO118" s="760">
        <f>IF(OR($A118="F&amp;F",$A118="CE",AO$7="No aplica"),0,'BOULEVARD 5'!AS116-'BOULEVARD PPTO'!AJ111)</f>
        <v>0</v>
      </c>
      <c r="AP118" s="761">
        <f t="shared" si="13"/>
        <v>0</v>
      </c>
      <c r="AQ118" s="761">
        <f t="shared" si="14"/>
        <v>0</v>
      </c>
      <c r="AR118" s="674">
        <f>IF(A118=0,'BOULEVARD 5'!BF116,0)</f>
        <v>6000</v>
      </c>
      <c r="AS118" s="674">
        <f>IF(A118=0,'BOULEVARD 5'!BG116,0)</f>
        <v>4428</v>
      </c>
      <c r="AT118" s="675" t="str">
        <f t="shared" si="12"/>
        <v>Vendido</v>
      </c>
      <c r="AU118" s="581" t="str">
        <f t="shared" si="16"/>
        <v/>
      </c>
      <c r="AV118" s="760">
        <f t="shared" si="15"/>
        <v>0</v>
      </c>
    </row>
    <row r="119" spans="1:48" s="581" customFormat="1" ht="12.4" customHeight="1" outlineLevel="1" x14ac:dyDescent="0.25">
      <c r="A119" s="703" t="str">
        <f>'BOULEVARD 5'!BQ117</f>
        <v>CE</v>
      </c>
      <c r="B119" s="708">
        <v>703</v>
      </c>
      <c r="C119" s="564" t="s">
        <v>400</v>
      </c>
      <c r="D119" s="647" t="s">
        <v>336</v>
      </c>
      <c r="E119" s="564" t="str">
        <f>IF('BOULEVARD 5'!E117&lt;&gt;0,'BOULEVARD 5'!E117,"")</f>
        <v>Antonio Rada</v>
      </c>
      <c r="F119" s="581" t="str">
        <f>IF('BOULEVARD 5'!F117&lt;&gt;0,'BOULEVARD 5'!F117,"")</f>
        <v>Daniel Augusto Santos Aragon</v>
      </c>
      <c r="G119" s="566">
        <f>IF('BOULEVARD 5'!G117="","",'BOULEVARD 5'!G117)</f>
        <v>45358</v>
      </c>
      <c r="H119" s="756">
        <f>IF(OR($A119="F&amp;F",$A119="CE",H$7="No aplica"),0,'BOULEVARD 5'!K117-'BOULEVARD PPTO'!C112)</f>
        <v>0</v>
      </c>
      <c r="I119" s="756">
        <f>IF(OR($A119="F&amp;F",$A119="CE",I$7="No aplica"),0,'BOULEVARD 5'!L117-'BOULEVARD PPTO'!D112)</f>
        <v>0</v>
      </c>
      <c r="J119" s="756">
        <f>IF(OR($A119="F&amp;F",$A119="CE",J$7="No aplica"),0,'BOULEVARD 5'!M117-'BOULEVARD PPTO'!E112)</f>
        <v>0</v>
      </c>
      <c r="K119" s="756">
        <f>IF(OR($A119="F&amp;F",$A119="CE",K$7="No aplica"),0,'BOULEVARD 5'!N117-'BOULEVARD PPTO'!F112)</f>
        <v>0</v>
      </c>
      <c r="L119" s="756">
        <f>IF(OR($A119="F&amp;F",$A119="CE",L$7="No aplica"),0,'BOULEVARD 5'!O117-'BOULEVARD PPTO'!G112)</f>
        <v>0</v>
      </c>
      <c r="M119" s="756">
        <f>IF(OR($A119="F&amp;F",$A119="CE",M$7="No aplica"),0,'BOULEVARD 5'!P117-'BOULEVARD PPTO'!H112)</f>
        <v>0</v>
      </c>
      <c r="N119" s="756">
        <f>IF(OR($A119="F&amp;F",$A119="CE",N$7="No aplica"),0,'BOULEVARD 5'!Q117-'BOULEVARD PPTO'!I112)</f>
        <v>0</v>
      </c>
      <c r="O119" s="756">
        <f>IF(OR($A119="F&amp;F",$A119="CE",O$7="No aplica"),0,'BOULEVARD 5'!R117-'BOULEVARD PPTO'!J112)</f>
        <v>0</v>
      </c>
      <c r="P119" s="756">
        <f>IF(OR($A119="F&amp;F",$A119="CE",P$7="No aplica"),0,'BOULEVARD 5'!S117-'BOULEVARD PPTO'!K112)</f>
        <v>0</v>
      </c>
      <c r="Q119" s="760">
        <f>IF(OR($A119="F&amp;F",$A119="CE",Q$7="No aplica"),0,'BOULEVARD 5'!T117-'BOULEVARD PPTO'!L112)</f>
        <v>0</v>
      </c>
      <c r="R119" s="760">
        <f>IF(OR($A119="F&amp;F",$A119="CE",R$7="No aplica"),0,'BOULEVARD 5'!U117-'BOULEVARD PPTO'!M112)</f>
        <v>0</v>
      </c>
      <c r="S119" s="760">
        <f>IF(OR($A119="F&amp;F",$A119="CE",S$7="No aplica"),0,'BOULEVARD 5'!V117-'BOULEVARD PPTO'!N112)</f>
        <v>0</v>
      </c>
      <c r="T119" s="760">
        <f>IF(OR($A119="F&amp;F",$A119="CE",T$7="No aplica"),0,'BOULEVARD 5'!W117-'BOULEVARD PPTO'!O112)</f>
        <v>0</v>
      </c>
      <c r="U119" s="760">
        <f>IF(OR($A119="F&amp;F",$A119="CE",U$7="No aplica"),0,'BOULEVARD 5'!X117-'BOULEVARD PPTO'!P112)</f>
        <v>0</v>
      </c>
      <c r="V119" s="760">
        <f>IF(OR($A119="F&amp;F",$A119="CE",V$7="No aplica"),0,'BOULEVARD 5'!Y117-'BOULEVARD PPTO'!Q112)</f>
        <v>0</v>
      </c>
      <c r="W119" s="760">
        <f>IF(OR($A119="F&amp;F",$A119="CE",W$7="No aplica"),0,'BOULEVARD 5'!Z117-'BOULEVARD PPTO'!R112)</f>
        <v>0</v>
      </c>
      <c r="X119" s="760">
        <f>IF(OR($A119="F&amp;F",$A119="CE",X$7="No aplica"),0,'BOULEVARD 5'!AA117-'BOULEVARD PPTO'!S112)</f>
        <v>0</v>
      </c>
      <c r="Y119" s="760">
        <f>IF(OR($A119="F&amp;F",$A119="CE",Y$7="No aplica"),0,'BOULEVARD 5'!AB117-'BOULEVARD PPTO'!T112)</f>
        <v>0</v>
      </c>
      <c r="Z119" s="760">
        <f>IF(OR($A119="F&amp;F",$A119="CE",Z$7="No aplica"),0,'BOULEVARD 5'!AC117-'BOULEVARD PPTO'!U112)</f>
        <v>0</v>
      </c>
      <c r="AA119" s="760">
        <f>IF(OR($A119="F&amp;F",$A119="CE",AA$7="No aplica"),0,'BOULEVARD 5'!AD117-'BOULEVARD PPTO'!V112)</f>
        <v>0</v>
      </c>
      <c r="AB119" s="760">
        <f>IF(OR($A119="F&amp;F",$A119="CE",AB$7="No aplica"),0,'BOULEVARD 5'!AE117-'BOULEVARD PPTO'!W112)</f>
        <v>0</v>
      </c>
      <c r="AC119" s="760">
        <f>IF(OR($A119="F&amp;F",$A119="CE",AC$7="No aplica"),0,'BOULEVARD 5'!AF117-'BOULEVARD PPTO'!X112)</f>
        <v>0</v>
      </c>
      <c r="AD119" s="760">
        <f>IF(OR($A119="F&amp;F",$A119="CE",AD$7="No aplica"),0,'BOULEVARD 5'!AG117-'BOULEVARD PPTO'!Y112)</f>
        <v>0</v>
      </c>
      <c r="AE119" s="760">
        <f>IF(OR($A119="F&amp;F",$A119="CE",AE$7="No aplica"),0,'BOULEVARD 5'!AH117-'BOULEVARD PPTO'!Z112)</f>
        <v>0</v>
      </c>
      <c r="AF119" s="760">
        <f>IF(OR($A119="F&amp;F",$A119="CE",AF$7="No aplica"),0,'BOULEVARD 5'!AI117-'BOULEVARD PPTO'!AA112)</f>
        <v>0</v>
      </c>
      <c r="AG119" s="760">
        <f>IF(OR($A119="F&amp;F",$A119="CE",AG$7="No aplica"),0,'BOULEVARD 5'!AJ117-'BOULEVARD PPTO'!AB112)</f>
        <v>0</v>
      </c>
      <c r="AH119" s="760">
        <f>IF(OR($A119="F&amp;F",$A119="CE",AH$7="No aplica"),0,'BOULEVARD 5'!AK117-'BOULEVARD PPTO'!AC112)</f>
        <v>0</v>
      </c>
      <c r="AI119" s="760">
        <f>IF(OR($A119="F&amp;F",$A119="CE",AI$7="No aplica"),0,'BOULEVARD 5'!AL117-'BOULEVARD PPTO'!AD112)</f>
        <v>0</v>
      </c>
      <c r="AJ119" s="760">
        <f>IF(OR($A119="F&amp;F",$A119="CE",AJ$7="No aplica"),0,'BOULEVARD 5'!AM117-'BOULEVARD PPTO'!AE112)</f>
        <v>0</v>
      </c>
      <c r="AK119" s="760">
        <f>IF(OR($A119="F&amp;F",$A119="CE",AK$7="No aplica"),0,'BOULEVARD 5'!AN117-'BOULEVARD PPTO'!AF112)</f>
        <v>0</v>
      </c>
      <c r="AL119" s="760">
        <f>IF(OR($A119="F&amp;F",$A119="CE",AL$7="No aplica"),0,'BOULEVARD 5'!AO117-'BOULEVARD PPTO'!AG112)</f>
        <v>0</v>
      </c>
      <c r="AM119" s="760">
        <f>IF(OR($A119="F&amp;F",$A119="CE",AM$7="No aplica"),0,'BOULEVARD 5'!AP117-'BOULEVARD PPTO'!AH112)</f>
        <v>0</v>
      </c>
      <c r="AN119" s="760">
        <f>IF(OR($A119="F&amp;F",$A119="CE",AN$7="No aplica"),0,'BOULEVARD 5'!AQ117-'BOULEVARD PPTO'!AI112)</f>
        <v>0</v>
      </c>
      <c r="AO119" s="760">
        <f>IF(OR($A119="F&amp;F",$A119="CE",AO$7="No aplica"),0,'BOULEVARD 5'!AS117-'BOULEVARD PPTO'!AJ112)</f>
        <v>0</v>
      </c>
      <c r="AP119" s="761">
        <f t="shared" si="13"/>
        <v>0</v>
      </c>
      <c r="AQ119" s="761">
        <f t="shared" si="14"/>
        <v>0</v>
      </c>
      <c r="AR119" s="674">
        <f>IF(A119=0,'BOULEVARD 5'!BF117,0)</f>
        <v>0</v>
      </c>
      <c r="AS119" s="674">
        <f>IF(A119=0,'BOULEVARD 5'!BG117,0)</f>
        <v>0</v>
      </c>
      <c r="AT119" s="675" t="str">
        <f t="shared" si="12"/>
        <v>Vendido</v>
      </c>
      <c r="AU119" s="581" t="str">
        <f t="shared" si="16"/>
        <v/>
      </c>
      <c r="AV119" s="760">
        <f t="shared" si="15"/>
        <v>0</v>
      </c>
    </row>
    <row r="120" spans="1:48" s="581" customFormat="1" ht="12.4" customHeight="1" outlineLevel="1" x14ac:dyDescent="0.25">
      <c r="A120" s="703">
        <f>'BOULEVARD 5'!BQ118</f>
        <v>0</v>
      </c>
      <c r="B120" s="564">
        <v>704</v>
      </c>
      <c r="C120" s="564" t="s">
        <v>175</v>
      </c>
      <c r="D120" s="564"/>
      <c r="E120" s="564" t="str">
        <f>IF('BOULEVARD 5'!E118&lt;&gt;0,'BOULEVARD 5'!E118,"")</f>
        <v>Antonio Rada</v>
      </c>
      <c r="F120" s="581" t="str">
        <f>IF('BOULEVARD 5'!F118&lt;&gt;0,'BOULEVARD 5'!F118,"")</f>
        <v>Dania Dulcidia Gutierrez Villeda</v>
      </c>
      <c r="G120" s="566">
        <f>IF('BOULEVARD 5'!G118="","",'BOULEVARD 5'!G118)</f>
        <v>45397</v>
      </c>
      <c r="H120" s="756">
        <f>IF(OR($A120="F&amp;F",$A120="CE",H$7="No aplica"),0,'BOULEVARD 5'!K118-'BOULEVARD PPTO'!C113)</f>
        <v>0</v>
      </c>
      <c r="I120" s="756">
        <f>IF(OR($A120="F&amp;F",$A120="CE",I$7="No aplica"),0,'BOULEVARD 5'!L118-'BOULEVARD PPTO'!D113)</f>
        <v>0</v>
      </c>
      <c r="J120" s="756">
        <f>IF(OR($A120="F&amp;F",$A120="CE",J$7="No aplica"),0,'BOULEVARD 5'!M118-'BOULEVARD PPTO'!E113)</f>
        <v>0</v>
      </c>
      <c r="K120" s="756">
        <f>IF(OR($A120="F&amp;F",$A120="CE",K$7="No aplica"),0,'BOULEVARD 5'!N118-'BOULEVARD PPTO'!F113)</f>
        <v>0</v>
      </c>
      <c r="L120" s="756">
        <f>IF(OR($A120="F&amp;F",$A120="CE",L$7="No aplica"),0,'BOULEVARD 5'!O118-'BOULEVARD PPTO'!G113)</f>
        <v>0</v>
      </c>
      <c r="M120" s="756">
        <f>IF(OR($A120="F&amp;F",$A120="CE",M$7="No aplica"),0,'BOULEVARD 5'!P118-'BOULEVARD PPTO'!H113)</f>
        <v>0</v>
      </c>
      <c r="N120" s="756">
        <f>IF(OR($A120="F&amp;F",$A120="CE",N$7="No aplica"),0,'BOULEVARD 5'!Q118-'BOULEVARD PPTO'!I113)</f>
        <v>0</v>
      </c>
      <c r="O120" s="756">
        <f>IF(OR($A120="F&amp;F",$A120="CE",O$7="No aplica"),0,'BOULEVARD 5'!R118-'BOULEVARD PPTO'!J113)</f>
        <v>0</v>
      </c>
      <c r="P120" s="756">
        <f>IF(OR($A120="F&amp;F",$A120="CE",P$7="No aplica"),0,'BOULEVARD 5'!S118-'BOULEVARD PPTO'!K113)</f>
        <v>0</v>
      </c>
      <c r="Q120" s="760">
        <f>IF(OR($A120="F&amp;F",$A120="CE",Q$7="No aplica"),0,'BOULEVARD 5'!T118-'BOULEVARD PPTO'!L113)</f>
        <v>0</v>
      </c>
      <c r="R120" s="760">
        <f>IF(OR($A120="F&amp;F",$A120="CE",R$7="No aplica"),0,'BOULEVARD 5'!U118-'BOULEVARD PPTO'!M113)</f>
        <v>0</v>
      </c>
      <c r="S120" s="760">
        <f>IF(OR($A120="F&amp;F",$A120="CE",S$7="No aplica"),0,'BOULEVARD 5'!V118-'BOULEVARD PPTO'!N113)</f>
        <v>0</v>
      </c>
      <c r="T120" s="760">
        <f>IF(OR($A120="F&amp;F",$A120="CE",T$7="No aplica"),0,'BOULEVARD 5'!W118-'BOULEVARD PPTO'!O113)</f>
        <v>0</v>
      </c>
      <c r="U120" s="760">
        <f>IF(OR($A120="F&amp;F",$A120="CE",U$7="No aplica"),0,'BOULEVARD 5'!X118-'BOULEVARD PPTO'!P113)</f>
        <v>0</v>
      </c>
      <c r="V120" s="760">
        <f>IF(OR($A120="F&amp;F",$A120="CE",V$7="No aplica"),0,'BOULEVARD 5'!Y118-'BOULEVARD PPTO'!Q113)</f>
        <v>0</v>
      </c>
      <c r="W120" s="760">
        <f>IF(OR($A120="F&amp;F",$A120="CE",W$7="No aplica"),0,'BOULEVARD 5'!Z118-'BOULEVARD PPTO'!R113)</f>
        <v>0</v>
      </c>
      <c r="X120" s="760">
        <f>IF(OR($A120="F&amp;F",$A120="CE",X$7="No aplica"),0,'BOULEVARD 5'!AA118-'BOULEVARD PPTO'!S113)</f>
        <v>0</v>
      </c>
      <c r="Y120" s="760">
        <f>IF(OR($A120="F&amp;F",$A120="CE",Y$7="No aplica"),0,'BOULEVARD 5'!AB118-'BOULEVARD PPTO'!T113)</f>
        <v>0</v>
      </c>
      <c r="Z120" s="760">
        <f>IF(OR($A120="F&amp;F",$A120="CE",Z$7="No aplica"),0,'BOULEVARD 5'!AC118-'BOULEVARD PPTO'!U113)</f>
        <v>0</v>
      </c>
      <c r="AA120" s="760">
        <f>IF(OR($A120="F&amp;F",$A120="CE",AA$7="No aplica"),0,'BOULEVARD 5'!AD118-'BOULEVARD PPTO'!V113)</f>
        <v>4753</v>
      </c>
      <c r="AB120" s="760">
        <f>IF(OR($A120="F&amp;F",$A120="CE",AB$7="No aplica"),0,'BOULEVARD 5'!AE118-'BOULEVARD PPTO'!W113)</f>
        <v>-4753</v>
      </c>
      <c r="AC120" s="760">
        <f>IF(OR($A120="F&amp;F",$A120="CE",AC$7="No aplica"),0,'BOULEVARD 5'!AF118-'BOULEVARD PPTO'!X113)</f>
        <v>4753</v>
      </c>
      <c r="AD120" s="760">
        <f>IF(OR($A120="F&amp;F",$A120="CE",AD$7="No aplica"),0,'BOULEVARD 5'!AG118-'BOULEVARD PPTO'!Y113)</f>
        <v>-4753</v>
      </c>
      <c r="AE120" s="760">
        <f>IF(OR($A120="F&amp;F",$A120="CE",AE$7="No aplica"),0,'BOULEVARD 5'!AH118-'BOULEVARD PPTO'!Z113)</f>
        <v>4753</v>
      </c>
      <c r="AF120" s="760">
        <f>IF(OR($A120="F&amp;F",$A120="CE",AF$7="No aplica"),0,'BOULEVARD 5'!AI118-'BOULEVARD PPTO'!AA113)</f>
        <v>0</v>
      </c>
      <c r="AG120" s="760">
        <f>IF(OR($A120="F&amp;F",$A120="CE",AG$7="No aplica"),0,'BOULEVARD 5'!AJ118-'BOULEVARD PPTO'!AB113)</f>
        <v>-4753</v>
      </c>
      <c r="AH120" s="760">
        <f>IF(OR($A120="F&amp;F",$A120="CE",AH$7="No aplica"),0,'BOULEVARD 5'!AK118-'BOULEVARD PPTO'!AC113)</f>
        <v>4753</v>
      </c>
      <c r="AI120" s="760">
        <f>IF(OR($A120="F&amp;F",$A120="CE",AI$7="No aplica"),0,'BOULEVARD 5'!AL118-'BOULEVARD PPTO'!AD113)</f>
        <v>-4753</v>
      </c>
      <c r="AJ120" s="760">
        <f>IF(OR($A120="F&amp;F",$A120="CE",AJ$7="No aplica"),0,'BOULEVARD 5'!AM118-'BOULEVARD PPTO'!AE113)</f>
        <v>4753</v>
      </c>
      <c r="AK120" s="760">
        <f>IF(OR($A120="F&amp;F",$A120="CE",AK$7="No aplica"),0,'BOULEVARD 5'!AN118-'BOULEVARD PPTO'!AF113)</f>
        <v>-4753</v>
      </c>
      <c r="AL120" s="760">
        <f>IF(OR($A120="F&amp;F",$A120="CE",AL$7="No aplica"),0,'BOULEVARD 5'!AO118-'BOULEVARD PPTO'!AG113)</f>
        <v>0</v>
      </c>
      <c r="AM120" s="760">
        <f>IF(OR($A120="F&amp;F",$A120="CE",AM$7="No aplica"),0,'BOULEVARD 5'!AP118-'BOULEVARD PPTO'!AH113)</f>
        <v>0</v>
      </c>
      <c r="AN120" s="760">
        <f>IF(OR($A120="F&amp;F",$A120="CE",AN$7="No aplica"),0,'BOULEVARD 5'!AQ118-'BOULEVARD PPTO'!AI113)</f>
        <v>0</v>
      </c>
      <c r="AO120" s="760">
        <f>IF(OR($A120="F&amp;F",$A120="CE",AO$7="No aplica"),0,'BOULEVARD 5'!AS118-'BOULEVARD PPTO'!AJ113)</f>
        <v>0</v>
      </c>
      <c r="AP120" s="761">
        <f t="shared" si="13"/>
        <v>0</v>
      </c>
      <c r="AQ120" s="761">
        <f t="shared" si="14"/>
        <v>0</v>
      </c>
      <c r="AR120" s="674">
        <f>IF(A120=0,'BOULEVARD 5'!BF118,0)</f>
        <v>8000</v>
      </c>
      <c r="AS120" s="674">
        <f>IF(A120=0,'BOULEVARD 5'!BG118,0)</f>
        <v>4753</v>
      </c>
      <c r="AT120" s="675" t="str">
        <f t="shared" si="12"/>
        <v>Vendido</v>
      </c>
      <c r="AU120" s="581" t="str">
        <f t="shared" si="16"/>
        <v/>
      </c>
      <c r="AV120" s="760">
        <f t="shared" si="15"/>
        <v>0</v>
      </c>
    </row>
    <row r="121" spans="1:48" s="581" customFormat="1" ht="12.4" customHeight="1" outlineLevel="1" x14ac:dyDescent="0.25">
      <c r="A121" s="703">
        <f>'BOULEVARD 5'!BQ119</f>
        <v>0</v>
      </c>
      <c r="B121" s="564">
        <v>705</v>
      </c>
      <c r="C121" s="564" t="s">
        <v>461</v>
      </c>
      <c r="D121" s="564"/>
      <c r="E121" s="564" t="str">
        <f>IF('BOULEVARD 5'!E119&lt;&gt;0,'BOULEVARD 5'!E119,"")</f>
        <v>Antonio Rada</v>
      </c>
      <c r="F121" s="581" t="str">
        <f>IF('BOULEVARD 5'!F119&lt;&gt;0,'BOULEVARD 5'!F119,"")</f>
        <v>Ingrid Lisbeth Dubón García De Diaz</v>
      </c>
      <c r="G121" s="566">
        <f>IF('BOULEVARD 5'!G119="","",'BOULEVARD 5'!G119)</f>
        <v>45699</v>
      </c>
      <c r="H121" s="756">
        <f>IF(OR($A121="F&amp;F",$A121="CE",H$7="No aplica"),0,'BOULEVARD 5'!K119-'BOULEVARD PPTO'!C114)</f>
        <v>0</v>
      </c>
      <c r="I121" s="756">
        <f>IF(OR($A121="F&amp;F",$A121="CE",I$7="No aplica"),0,'BOULEVARD 5'!L119-'BOULEVARD PPTO'!D114)</f>
        <v>0</v>
      </c>
      <c r="J121" s="756">
        <f>IF(OR($A121="F&amp;F",$A121="CE",J$7="No aplica"),0,'BOULEVARD 5'!M119-'BOULEVARD PPTO'!E114)</f>
        <v>0</v>
      </c>
      <c r="K121" s="756">
        <f>IF(OR($A121="F&amp;F",$A121="CE",K$7="No aplica"),0,'BOULEVARD 5'!N119-'BOULEVARD PPTO'!F114)</f>
        <v>0</v>
      </c>
      <c r="L121" s="756">
        <f>IF(OR($A121="F&amp;F",$A121="CE",L$7="No aplica"),0,'BOULEVARD 5'!O119-'BOULEVARD PPTO'!G114)</f>
        <v>0</v>
      </c>
      <c r="M121" s="756">
        <f>IF(OR($A121="F&amp;F",$A121="CE",M$7="No aplica"),0,'BOULEVARD 5'!P119-'BOULEVARD PPTO'!H114)</f>
        <v>0</v>
      </c>
      <c r="N121" s="756">
        <f>IF(OR($A121="F&amp;F",$A121="CE",N$7="No aplica"),0,'BOULEVARD 5'!Q119-'BOULEVARD PPTO'!I114)</f>
        <v>0</v>
      </c>
      <c r="O121" s="756">
        <f>IF(OR($A121="F&amp;F",$A121="CE",O$7="No aplica"),0,'BOULEVARD 5'!R119-'BOULEVARD PPTO'!J114)</f>
        <v>0</v>
      </c>
      <c r="P121" s="756">
        <f>IF(OR($A121="F&amp;F",$A121="CE",P$7="No aplica"),0,'BOULEVARD 5'!S119-'BOULEVARD PPTO'!K114)</f>
        <v>0</v>
      </c>
      <c r="Q121" s="760">
        <f>IF(OR($A121="F&amp;F",$A121="CE",Q$7="No aplica"),0,'BOULEVARD 5'!T119-'BOULEVARD PPTO'!L114)</f>
        <v>0</v>
      </c>
      <c r="R121" s="760">
        <f>IF(OR($A121="F&amp;F",$A121="CE",R$7="No aplica"),0,'BOULEVARD 5'!U119-'BOULEVARD PPTO'!M114)</f>
        <v>0</v>
      </c>
      <c r="S121" s="760">
        <f>IF(OR($A121="F&amp;F",$A121="CE",S$7="No aplica"),0,'BOULEVARD 5'!V119-'BOULEVARD PPTO'!N114)</f>
        <v>0</v>
      </c>
      <c r="T121" s="760">
        <f>IF(OR($A121="F&amp;F",$A121="CE",T$7="No aplica"),0,'BOULEVARD 5'!W119-'BOULEVARD PPTO'!O114)</f>
        <v>0</v>
      </c>
      <c r="U121" s="760">
        <f>IF(OR($A121="F&amp;F",$A121="CE",U$7="No aplica"),0,'BOULEVARD 5'!X119-'BOULEVARD PPTO'!P114)</f>
        <v>0</v>
      </c>
      <c r="V121" s="760">
        <f>IF(OR($A121="F&amp;F",$A121="CE",V$7="No aplica"),0,'BOULEVARD 5'!Y119-'BOULEVARD PPTO'!Q114)</f>
        <v>0</v>
      </c>
      <c r="W121" s="760">
        <f>IF(OR($A121="F&amp;F",$A121="CE",W$7="No aplica"),0,'BOULEVARD 5'!Z119-'BOULEVARD PPTO'!R114)</f>
        <v>0</v>
      </c>
      <c r="X121" s="760">
        <f>IF(OR($A121="F&amp;F",$A121="CE",X$7="No aplica"),0,'BOULEVARD 5'!AA119-'BOULEVARD PPTO'!S114)</f>
        <v>0</v>
      </c>
      <c r="Y121" s="760">
        <f>IF(OR($A121="F&amp;F",$A121="CE",Y$7="No aplica"),0,'BOULEVARD 5'!AB119-'BOULEVARD PPTO'!T114)</f>
        <v>0</v>
      </c>
      <c r="Z121" s="760">
        <f>IF(OR($A121="F&amp;F",$A121="CE",Z$7="No aplica"),0,'BOULEVARD 5'!AC119-'BOULEVARD PPTO'!U114)</f>
        <v>0</v>
      </c>
      <c r="AA121" s="760">
        <f>IF(OR($A121="F&amp;F",$A121="CE",AA$7="No aplica"),0,'BOULEVARD 5'!AD119-'BOULEVARD PPTO'!V114)</f>
        <v>0</v>
      </c>
      <c r="AB121" s="760">
        <f>IF(OR($A121="F&amp;F",$A121="CE",AB$7="No aplica"),0,'BOULEVARD 5'!AE119-'BOULEVARD PPTO'!W114)</f>
        <v>0</v>
      </c>
      <c r="AC121" s="760">
        <f>IF(OR($A121="F&amp;F",$A121="CE",AC$7="No aplica"),0,'BOULEVARD 5'!AF119-'BOULEVARD PPTO'!X114)</f>
        <v>0</v>
      </c>
      <c r="AD121" s="760">
        <f>IF(OR($A121="F&amp;F",$A121="CE",AD$7="No aplica"),0,'BOULEVARD 5'!AG119-'BOULEVARD PPTO'!Y114)</f>
        <v>0</v>
      </c>
      <c r="AE121" s="760">
        <f>IF(OR($A121="F&amp;F",$A121="CE",AE$7="No aplica"),0,'BOULEVARD 5'!AH119-'BOULEVARD PPTO'!Z114)</f>
        <v>0</v>
      </c>
      <c r="AF121" s="760">
        <f>IF(OR($A121="F&amp;F",$A121="CE",AF$7="No aplica"),0,'BOULEVARD 5'!AI119-'BOULEVARD PPTO'!AA114)</f>
        <v>-8647</v>
      </c>
      <c r="AG121" s="760">
        <f>IF(OR($A121="F&amp;F",$A121="CE",AG$7="No aplica"),0,'BOULEVARD 5'!AJ119-'BOULEVARD PPTO'!AB114)</f>
        <v>8647</v>
      </c>
      <c r="AH121" s="760">
        <f>IF(OR($A121="F&amp;F",$A121="CE",AH$7="No aplica"),0,'BOULEVARD 5'!AK119-'BOULEVARD PPTO'!AC114)</f>
        <v>0</v>
      </c>
      <c r="AI121" s="760">
        <f>IF(OR($A121="F&amp;F",$A121="CE",AI$7="No aplica"),0,'BOULEVARD 5'!AL119-'BOULEVARD PPTO'!AD114)</f>
        <v>0</v>
      </c>
      <c r="AJ121" s="760">
        <f>IF(OR($A121="F&amp;F",$A121="CE",AJ$7="No aplica"),0,'BOULEVARD 5'!AM119-'BOULEVARD PPTO'!AE114)</f>
        <v>0</v>
      </c>
      <c r="AK121" s="760">
        <f>IF(OR($A121="F&amp;F",$A121="CE",AK$7="No aplica"),0,'BOULEVARD 5'!AN119-'BOULEVARD PPTO'!AF114)</f>
        <v>0</v>
      </c>
      <c r="AL121" s="760">
        <f>IF(OR($A121="F&amp;F",$A121="CE",AL$7="No aplica"),0,'BOULEVARD 5'!AO119-'BOULEVARD PPTO'!AG114)</f>
        <v>0</v>
      </c>
      <c r="AM121" s="760">
        <f>IF(OR($A121="F&amp;F",$A121="CE",AM$7="No aplica"),0,'BOULEVARD 5'!AP119-'BOULEVARD PPTO'!AH114)</f>
        <v>0</v>
      </c>
      <c r="AN121" s="760">
        <f>IF(OR($A121="F&amp;F",$A121="CE",AN$7="No aplica"),0,'BOULEVARD 5'!AQ119-'BOULEVARD PPTO'!AI114)</f>
        <v>0</v>
      </c>
      <c r="AO121" s="760">
        <f>IF(OR($A121="F&amp;F",$A121="CE",AO$7="No aplica"),0,'BOULEVARD 5'!AS119-'BOULEVARD PPTO'!AJ114)</f>
        <v>0</v>
      </c>
      <c r="AP121" s="761">
        <f t="shared" si="13"/>
        <v>0</v>
      </c>
      <c r="AQ121" s="761">
        <f t="shared" si="14"/>
        <v>-43231.179999999993</v>
      </c>
      <c r="AR121" s="674">
        <f>IF(A121=0,'BOULEVARD 5'!BF119,0)</f>
        <v>10000</v>
      </c>
      <c r="AS121" s="674">
        <f>IF(A121=0,'BOULEVARD 5'!BG119,0)</f>
        <v>8647</v>
      </c>
      <c r="AT121" s="675" t="str">
        <f t="shared" si="12"/>
        <v>Vendido</v>
      </c>
      <c r="AU121" s="581" t="str">
        <f t="shared" si="16"/>
        <v/>
      </c>
      <c r="AV121" s="760">
        <f t="shared" si="15"/>
        <v>0</v>
      </c>
    </row>
    <row r="122" spans="1:48" s="581" customFormat="1" ht="12.4" customHeight="1" outlineLevel="1" x14ac:dyDescent="0.25">
      <c r="A122" s="703">
        <f>'BOULEVARD 5'!BQ120</f>
        <v>0</v>
      </c>
      <c r="B122" s="564">
        <v>706</v>
      </c>
      <c r="C122" s="564" t="s">
        <v>463</v>
      </c>
      <c r="D122" s="564"/>
      <c r="E122" s="564" t="str">
        <f>IF('BOULEVARD 5'!E120&lt;&gt;0,'BOULEVARD 5'!E120,"")</f>
        <v>Antonio Rada</v>
      </c>
      <c r="F122" s="581" t="str">
        <f>IF('BOULEVARD 5'!F120&lt;&gt;0,'BOULEVARD 5'!F120,"")</f>
        <v>Edison Gabriel Ramirez Lopez</v>
      </c>
      <c r="G122" s="566">
        <f>IF('BOULEVARD 5'!G120="","",'BOULEVARD 5'!G120)</f>
        <v>45728</v>
      </c>
      <c r="H122" s="756">
        <f>IF(OR($A122="F&amp;F",$A122="CE",H$7="No aplica"),0,'BOULEVARD 5'!K120-'BOULEVARD PPTO'!C115)</f>
        <v>0</v>
      </c>
      <c r="I122" s="756">
        <f>IF(OR($A122="F&amp;F",$A122="CE",I$7="No aplica"),0,'BOULEVARD 5'!L120-'BOULEVARD PPTO'!D115)</f>
        <v>0</v>
      </c>
      <c r="J122" s="756">
        <f>IF(OR($A122="F&amp;F",$A122="CE",J$7="No aplica"),0,'BOULEVARD 5'!M120-'BOULEVARD PPTO'!E115)</f>
        <v>0</v>
      </c>
      <c r="K122" s="756">
        <f>IF(OR($A122="F&amp;F",$A122="CE",K$7="No aplica"),0,'BOULEVARD 5'!N120-'BOULEVARD PPTO'!F115)</f>
        <v>0</v>
      </c>
      <c r="L122" s="756">
        <f>IF(OR($A122="F&amp;F",$A122="CE",L$7="No aplica"),0,'BOULEVARD 5'!O120-'BOULEVARD PPTO'!G115)</f>
        <v>0</v>
      </c>
      <c r="M122" s="756">
        <f>IF(OR($A122="F&amp;F",$A122="CE",M$7="No aplica"),0,'BOULEVARD 5'!P120-'BOULEVARD PPTO'!H115)</f>
        <v>0</v>
      </c>
      <c r="N122" s="756">
        <f>IF(OR($A122="F&amp;F",$A122="CE",N$7="No aplica"),0,'BOULEVARD 5'!Q120-'BOULEVARD PPTO'!I115)</f>
        <v>0</v>
      </c>
      <c r="O122" s="756">
        <f>IF(OR($A122="F&amp;F",$A122="CE",O$7="No aplica"),0,'BOULEVARD 5'!R120-'BOULEVARD PPTO'!J115)</f>
        <v>0</v>
      </c>
      <c r="P122" s="756">
        <f>IF(OR($A122="F&amp;F",$A122="CE",P$7="No aplica"),0,'BOULEVARD 5'!S120-'BOULEVARD PPTO'!K115)</f>
        <v>0</v>
      </c>
      <c r="Q122" s="760">
        <f>IF(OR($A122="F&amp;F",$A122="CE",Q$7="No aplica"),0,'BOULEVARD 5'!T120-'BOULEVARD PPTO'!L115)</f>
        <v>0</v>
      </c>
      <c r="R122" s="760">
        <f>IF(OR($A122="F&amp;F",$A122="CE",R$7="No aplica"),0,'BOULEVARD 5'!U120-'BOULEVARD PPTO'!M115)</f>
        <v>0</v>
      </c>
      <c r="S122" s="760">
        <f>IF(OR($A122="F&amp;F",$A122="CE",S$7="No aplica"),0,'BOULEVARD 5'!V120-'BOULEVARD PPTO'!N115)</f>
        <v>0</v>
      </c>
      <c r="T122" s="760">
        <f>IF(OR($A122="F&amp;F",$A122="CE",T$7="No aplica"),0,'BOULEVARD 5'!W120-'BOULEVARD PPTO'!O115)</f>
        <v>0</v>
      </c>
      <c r="U122" s="760">
        <f>IF(OR($A122="F&amp;F",$A122="CE",U$7="No aplica"),0,'BOULEVARD 5'!X120-'BOULEVARD PPTO'!P115)</f>
        <v>0</v>
      </c>
      <c r="V122" s="760">
        <f>IF(OR($A122="F&amp;F",$A122="CE",V$7="No aplica"),0,'BOULEVARD 5'!Y120-'BOULEVARD PPTO'!Q115)</f>
        <v>0</v>
      </c>
      <c r="W122" s="760">
        <f>IF(OR($A122="F&amp;F",$A122="CE",W$7="No aplica"),0,'BOULEVARD 5'!Z120-'BOULEVARD PPTO'!R115)</f>
        <v>0</v>
      </c>
      <c r="X122" s="760">
        <f>IF(OR($A122="F&amp;F",$A122="CE",X$7="No aplica"),0,'BOULEVARD 5'!AA120-'BOULEVARD PPTO'!S115)</f>
        <v>0</v>
      </c>
      <c r="Y122" s="760">
        <f>IF(OR($A122="F&amp;F",$A122="CE",Y$7="No aplica"),0,'BOULEVARD 5'!AB120-'BOULEVARD PPTO'!T115)</f>
        <v>0</v>
      </c>
      <c r="Z122" s="760">
        <f>IF(OR($A122="F&amp;F",$A122="CE",Z$7="No aplica"),0,'BOULEVARD 5'!AC120-'BOULEVARD PPTO'!U115)</f>
        <v>0</v>
      </c>
      <c r="AA122" s="760">
        <f>IF(OR($A122="F&amp;F",$A122="CE",AA$7="No aplica"),0,'BOULEVARD 5'!AD120-'BOULEVARD PPTO'!V115)</f>
        <v>0</v>
      </c>
      <c r="AB122" s="760">
        <f>IF(OR($A122="F&amp;F",$A122="CE",AB$7="No aplica"),0,'BOULEVARD 5'!AE120-'BOULEVARD PPTO'!W115)</f>
        <v>0</v>
      </c>
      <c r="AC122" s="760">
        <f>IF(OR($A122="F&amp;F",$A122="CE",AC$7="No aplica"),0,'BOULEVARD 5'!AF120-'BOULEVARD PPTO'!X115)</f>
        <v>0</v>
      </c>
      <c r="AD122" s="760">
        <f>IF(OR($A122="F&amp;F",$A122="CE",AD$7="No aplica"),0,'BOULEVARD 5'!AG120-'BOULEVARD PPTO'!Y115)</f>
        <v>0</v>
      </c>
      <c r="AE122" s="760">
        <f>IF(OR($A122="F&amp;F",$A122="CE",AE$7="No aplica"),0,'BOULEVARD 5'!AH120-'BOULEVARD PPTO'!Z115)</f>
        <v>0</v>
      </c>
      <c r="AF122" s="760">
        <f>IF(OR($A122="F&amp;F",$A122="CE",AF$7="No aplica"),0,'BOULEVARD 5'!AI120-'BOULEVARD PPTO'!AA115)</f>
        <v>0</v>
      </c>
      <c r="AG122" s="760">
        <f>IF(OR($A122="F&amp;F",$A122="CE",AG$7="No aplica"),0,'BOULEVARD 5'!AJ120-'BOULEVARD PPTO'!AB115)</f>
        <v>0</v>
      </c>
      <c r="AH122" s="760">
        <f>IF(OR($A122="F&amp;F",$A122="CE",AH$7="No aplica"),0,'BOULEVARD 5'!AK120-'BOULEVARD PPTO'!AC115)</f>
        <v>0</v>
      </c>
      <c r="AI122" s="760">
        <f>IF(OR($A122="F&amp;F",$A122="CE",AI$7="No aplica"),0,'BOULEVARD 5'!AL120-'BOULEVARD PPTO'!AD115)</f>
        <v>0</v>
      </c>
      <c r="AJ122" s="760">
        <f>IF(OR($A122="F&amp;F",$A122="CE",AJ$7="No aplica"),0,'BOULEVARD 5'!AM120-'BOULEVARD PPTO'!AE115)</f>
        <v>0</v>
      </c>
      <c r="AK122" s="760">
        <f>IF(OR($A122="F&amp;F",$A122="CE",AK$7="No aplica"),0,'BOULEVARD 5'!AN120-'BOULEVARD PPTO'!AF115)</f>
        <v>0</v>
      </c>
      <c r="AL122" s="760">
        <f>IF(OR($A122="F&amp;F",$A122="CE",AL$7="No aplica"),0,'BOULEVARD 5'!AO120-'BOULEVARD PPTO'!AG115)</f>
        <v>0</v>
      </c>
      <c r="AM122" s="760">
        <f>IF(OR($A122="F&amp;F",$A122="CE",AM$7="No aplica"),0,'BOULEVARD 5'!AP120-'BOULEVARD PPTO'!AH115)</f>
        <v>0</v>
      </c>
      <c r="AN122" s="760">
        <f>IF(OR($A122="F&amp;F",$A122="CE",AN$7="No aplica"),0,'BOULEVARD 5'!AQ120-'BOULEVARD PPTO'!AI115)</f>
        <v>0</v>
      </c>
      <c r="AO122" s="760">
        <f>IF(OR($A122="F&amp;F",$A122="CE",AO$7="No aplica"),0,'BOULEVARD 5'!AS120-'BOULEVARD PPTO'!AJ115)</f>
        <v>0</v>
      </c>
      <c r="AP122" s="761">
        <f t="shared" si="13"/>
        <v>0</v>
      </c>
      <c r="AQ122" s="761">
        <f t="shared" si="14"/>
        <v>-46529.700000000012</v>
      </c>
      <c r="AR122" s="674">
        <f>IF(A122=0,'BOULEVARD 5'!BF120,0)</f>
        <v>10000</v>
      </c>
      <c r="AS122" s="674">
        <f>IF(A122=0,'BOULEVARD 5'!BG120,0)</f>
        <v>9307</v>
      </c>
      <c r="AT122" s="675" t="str">
        <f t="shared" si="12"/>
        <v>Vendido</v>
      </c>
      <c r="AU122" s="581" t="str">
        <f t="shared" si="16"/>
        <v/>
      </c>
      <c r="AV122" s="760">
        <f t="shared" si="15"/>
        <v>0</v>
      </c>
    </row>
    <row r="123" spans="1:48" s="581" customFormat="1" ht="12.4" customHeight="1" outlineLevel="1" x14ac:dyDescent="0.25">
      <c r="A123" s="703">
        <f>'BOULEVARD 5'!BQ121</f>
        <v>0</v>
      </c>
      <c r="B123" s="564">
        <v>707</v>
      </c>
      <c r="C123" s="564" t="s">
        <v>465</v>
      </c>
      <c r="D123" s="564"/>
      <c r="E123" s="564" t="str">
        <f>IF('BOULEVARD 5'!E121&lt;&gt;0,'BOULEVARD 5'!E121,"")</f>
        <v>Sofia Paredes</v>
      </c>
      <c r="F123" s="581" t="str">
        <f>IF('BOULEVARD 5'!F121&lt;&gt;0,'BOULEVARD 5'!F121,"")</f>
        <v xml:space="preserve">Cristhian Paul Escobar Maldonado </v>
      </c>
      <c r="G123" s="566">
        <f>IF('BOULEVARD 5'!G121="","",'BOULEVARD 5'!G121)</f>
        <v>45751</v>
      </c>
      <c r="H123" s="756">
        <f>IF(OR($A123="F&amp;F",$A123="CE",H$7="No aplica"),0,'BOULEVARD 5'!K121-'BOULEVARD PPTO'!C116)</f>
        <v>0</v>
      </c>
      <c r="I123" s="756">
        <f>IF(OR($A123="F&amp;F",$A123="CE",I$7="No aplica"),0,'BOULEVARD 5'!L121-'BOULEVARD PPTO'!D116)</f>
        <v>0</v>
      </c>
      <c r="J123" s="756">
        <f>IF(OR($A123="F&amp;F",$A123="CE",J$7="No aplica"),0,'BOULEVARD 5'!M121-'BOULEVARD PPTO'!E116)</f>
        <v>0</v>
      </c>
      <c r="K123" s="756">
        <f>IF(OR($A123="F&amp;F",$A123="CE",K$7="No aplica"),0,'BOULEVARD 5'!N121-'BOULEVARD PPTO'!F116)</f>
        <v>0</v>
      </c>
      <c r="L123" s="756">
        <f>IF(OR($A123="F&amp;F",$A123="CE",L$7="No aplica"),0,'BOULEVARD 5'!O121-'BOULEVARD PPTO'!G116)</f>
        <v>0</v>
      </c>
      <c r="M123" s="756">
        <f>IF(OR($A123="F&amp;F",$A123="CE",M$7="No aplica"),0,'BOULEVARD 5'!P121-'BOULEVARD PPTO'!H116)</f>
        <v>0</v>
      </c>
      <c r="N123" s="756">
        <f>IF(OR($A123="F&amp;F",$A123="CE",N$7="No aplica"),0,'BOULEVARD 5'!Q121-'BOULEVARD PPTO'!I116)</f>
        <v>0</v>
      </c>
      <c r="O123" s="756">
        <f>IF(OR($A123="F&amp;F",$A123="CE",O$7="No aplica"),0,'BOULEVARD 5'!R121-'BOULEVARD PPTO'!J116)</f>
        <v>0</v>
      </c>
      <c r="P123" s="756">
        <f>IF(OR($A123="F&amp;F",$A123="CE",P$7="No aplica"),0,'BOULEVARD 5'!S121-'BOULEVARD PPTO'!K116)</f>
        <v>0</v>
      </c>
      <c r="Q123" s="760">
        <f>IF(OR($A123="F&amp;F",$A123="CE",Q$7="No aplica"),0,'BOULEVARD 5'!T121-'BOULEVARD PPTO'!L116)</f>
        <v>0</v>
      </c>
      <c r="R123" s="760">
        <f>IF(OR($A123="F&amp;F",$A123="CE",R$7="No aplica"),0,'BOULEVARD 5'!U121-'BOULEVARD PPTO'!M116)</f>
        <v>0</v>
      </c>
      <c r="S123" s="760">
        <f>IF(OR($A123="F&amp;F",$A123="CE",S$7="No aplica"),0,'BOULEVARD 5'!V121-'BOULEVARD PPTO'!N116)</f>
        <v>0</v>
      </c>
      <c r="T123" s="760">
        <f>IF(OR($A123="F&amp;F",$A123="CE",T$7="No aplica"),0,'BOULEVARD 5'!W121-'BOULEVARD PPTO'!O116)</f>
        <v>0</v>
      </c>
      <c r="U123" s="760">
        <f>IF(OR($A123="F&amp;F",$A123="CE",U$7="No aplica"),0,'BOULEVARD 5'!X121-'BOULEVARD PPTO'!P116)</f>
        <v>0</v>
      </c>
      <c r="V123" s="760">
        <f>IF(OR($A123="F&amp;F",$A123="CE",V$7="No aplica"),0,'BOULEVARD 5'!Y121-'BOULEVARD PPTO'!Q116)</f>
        <v>0</v>
      </c>
      <c r="W123" s="760">
        <f>IF(OR($A123="F&amp;F",$A123="CE",W$7="No aplica"),0,'BOULEVARD 5'!Z121-'BOULEVARD PPTO'!R116)</f>
        <v>0</v>
      </c>
      <c r="X123" s="760">
        <f>IF(OR($A123="F&amp;F",$A123="CE",X$7="No aplica"),0,'BOULEVARD 5'!AA121-'BOULEVARD PPTO'!S116)</f>
        <v>0</v>
      </c>
      <c r="Y123" s="760">
        <f>IF(OR($A123="F&amp;F",$A123="CE",Y$7="No aplica"),0,'BOULEVARD 5'!AB121-'BOULEVARD PPTO'!T116)</f>
        <v>0</v>
      </c>
      <c r="Z123" s="760">
        <f>IF(OR($A123="F&amp;F",$A123="CE",Z$7="No aplica"),0,'BOULEVARD 5'!AC121-'BOULEVARD PPTO'!U116)</f>
        <v>0</v>
      </c>
      <c r="AA123" s="760">
        <f>IF(OR($A123="F&amp;F",$A123="CE",AA$7="No aplica"),0,'BOULEVARD 5'!AD121-'BOULEVARD PPTO'!V116)</f>
        <v>0</v>
      </c>
      <c r="AB123" s="760">
        <f>IF(OR($A123="F&amp;F",$A123="CE",AB$7="No aplica"),0,'BOULEVARD 5'!AE121-'BOULEVARD PPTO'!W116)</f>
        <v>0</v>
      </c>
      <c r="AC123" s="760">
        <f>IF(OR($A123="F&amp;F",$A123="CE",AC$7="No aplica"),0,'BOULEVARD 5'!AF121-'BOULEVARD PPTO'!X116)</f>
        <v>0</v>
      </c>
      <c r="AD123" s="760">
        <f>IF(OR($A123="F&amp;F",$A123="CE",AD$7="No aplica"),0,'BOULEVARD 5'!AG121-'BOULEVARD PPTO'!Y116)</f>
        <v>0</v>
      </c>
      <c r="AE123" s="760">
        <f>IF(OR($A123="F&amp;F",$A123="CE",AE$7="No aplica"),0,'BOULEVARD 5'!AH121-'BOULEVARD PPTO'!Z116)</f>
        <v>0</v>
      </c>
      <c r="AF123" s="760">
        <f>IF(OR($A123="F&amp;F",$A123="CE",AF$7="No aplica"),0,'BOULEVARD 5'!AI121-'BOULEVARD PPTO'!AA116)</f>
        <v>0</v>
      </c>
      <c r="AG123" s="760">
        <f>IF(OR($A123="F&amp;F",$A123="CE",AG$7="No aplica"),0,'BOULEVARD 5'!AJ121-'BOULEVARD PPTO'!AB116)</f>
        <v>0</v>
      </c>
      <c r="AH123" s="760">
        <f>IF(OR($A123="F&amp;F",$A123="CE",AH$7="No aplica"),0,'BOULEVARD 5'!AK121-'BOULEVARD PPTO'!AC116)</f>
        <v>-5303</v>
      </c>
      <c r="AI123" s="760">
        <f>IF(OR($A123="F&amp;F",$A123="CE",AI$7="No aplica"),0,'BOULEVARD 5'!AL121-'BOULEVARD PPTO'!AD116)</f>
        <v>-5303</v>
      </c>
      <c r="AJ123" s="760">
        <f>IF(OR($A123="F&amp;F",$A123="CE",AJ$7="No aplica"),0,'BOULEVARD 5'!AM121-'BOULEVARD PPTO'!AE116)</f>
        <v>4697</v>
      </c>
      <c r="AK123" s="760">
        <f>IF(OR($A123="F&amp;F",$A123="CE",AK$7="No aplica"),0,'BOULEVARD 5'!AN121-'BOULEVARD PPTO'!AF116)</f>
        <v>-303</v>
      </c>
      <c r="AL123" s="760">
        <f>IF(OR($A123="F&amp;F",$A123="CE",AL$7="No aplica"),0,'BOULEVARD 5'!AO121-'BOULEVARD PPTO'!AG116)</f>
        <v>-303</v>
      </c>
      <c r="AM123" s="760">
        <f>IF(OR($A123="F&amp;F",$A123="CE",AM$7="No aplica"),0,'BOULEVARD 5'!AP121-'BOULEVARD PPTO'!AH116)</f>
        <v>-303</v>
      </c>
      <c r="AN123" s="760">
        <f>IF(OR($A123="F&amp;F",$A123="CE",AN$7="No aplica"),0,'BOULEVARD 5'!AQ121-'BOULEVARD PPTO'!AI116)</f>
        <v>0</v>
      </c>
      <c r="AO123" s="760">
        <f>IF(OR($A123="F&amp;F",$A123="CE",AO$7="No aplica"),0,'BOULEVARD 5'!AS121-'BOULEVARD PPTO'!AJ116)</f>
        <v>0</v>
      </c>
      <c r="AP123" s="761">
        <f t="shared" si="13"/>
        <v>-6818</v>
      </c>
      <c r="AQ123" s="761">
        <f t="shared" si="14"/>
        <v>-28939</v>
      </c>
      <c r="AR123" s="674">
        <f>IF(A123=0,'BOULEVARD 5'!BF121,0)</f>
        <v>5303</v>
      </c>
      <c r="AS123" s="674">
        <f>IF(A123=0,'BOULEVARD 5'!BG121,0)</f>
        <v>5303</v>
      </c>
      <c r="AT123" s="675" t="str">
        <f t="shared" si="12"/>
        <v>Vendido</v>
      </c>
      <c r="AU123" s="581" t="str">
        <f t="shared" si="16"/>
        <v>POR COBRAR</v>
      </c>
      <c r="AV123" s="760">
        <f t="shared" si="15"/>
        <v>0</v>
      </c>
    </row>
    <row r="124" spans="1:48" s="581" customFormat="1" ht="12.4" customHeight="1" outlineLevel="1" x14ac:dyDescent="0.25">
      <c r="A124" s="703" t="str">
        <f>'BOULEVARD 5'!BQ122</f>
        <v>CE</v>
      </c>
      <c r="B124" s="708">
        <v>708</v>
      </c>
      <c r="C124" s="564" t="s">
        <v>467</v>
      </c>
      <c r="D124" s="647" t="s">
        <v>336</v>
      </c>
      <c r="E124" s="564" t="str">
        <f>IF('BOULEVARD 5'!E122&lt;&gt;0,'BOULEVARD 5'!E122,"")</f>
        <v>Antonio Rada</v>
      </c>
      <c r="F124" s="581" t="str">
        <f>IF('BOULEVARD 5'!F122&lt;&gt;0,'BOULEVARD 5'!F122,"")</f>
        <v>Alfonso Videche Rodriguez</v>
      </c>
      <c r="G124" s="566">
        <f>IF('BOULEVARD 5'!G122="","",'BOULEVARD 5'!G122)</f>
        <v>45321</v>
      </c>
      <c r="H124" s="756">
        <f>IF(OR($A124="F&amp;F",$A124="CE",H$7="No aplica"),0,'BOULEVARD 5'!K122-'BOULEVARD PPTO'!C117)</f>
        <v>0</v>
      </c>
      <c r="I124" s="756">
        <f>IF(OR($A124="F&amp;F",$A124="CE",I$7="No aplica"),0,'BOULEVARD 5'!L122-'BOULEVARD PPTO'!D117)</f>
        <v>0</v>
      </c>
      <c r="J124" s="756">
        <f>IF(OR($A124="F&amp;F",$A124="CE",J$7="No aplica"),0,'BOULEVARD 5'!M122-'BOULEVARD PPTO'!E117)</f>
        <v>0</v>
      </c>
      <c r="K124" s="756">
        <f>IF(OR($A124="F&amp;F",$A124="CE",K$7="No aplica"),0,'BOULEVARD 5'!N122-'BOULEVARD PPTO'!F117)</f>
        <v>0</v>
      </c>
      <c r="L124" s="756">
        <f>IF(OR($A124="F&amp;F",$A124="CE",L$7="No aplica"),0,'BOULEVARD 5'!O122-'BOULEVARD PPTO'!G117)</f>
        <v>0</v>
      </c>
      <c r="M124" s="756">
        <f>IF(OR($A124="F&amp;F",$A124="CE",M$7="No aplica"),0,'BOULEVARD 5'!P122-'BOULEVARD PPTO'!H117)</f>
        <v>0</v>
      </c>
      <c r="N124" s="756">
        <f>IF(OR($A124="F&amp;F",$A124="CE",N$7="No aplica"),0,'BOULEVARD 5'!Q122-'BOULEVARD PPTO'!I117)</f>
        <v>0</v>
      </c>
      <c r="O124" s="756">
        <f>IF(OR($A124="F&amp;F",$A124="CE",O$7="No aplica"),0,'BOULEVARD 5'!R122-'BOULEVARD PPTO'!J117)</f>
        <v>0</v>
      </c>
      <c r="P124" s="756">
        <f>IF(OR($A124="F&amp;F",$A124="CE",P$7="No aplica"),0,'BOULEVARD 5'!S122-'BOULEVARD PPTO'!K117)</f>
        <v>0</v>
      </c>
      <c r="Q124" s="760">
        <f>IF(OR($A124="F&amp;F",$A124="CE",Q$7="No aplica"),0,'BOULEVARD 5'!T122-'BOULEVARD PPTO'!L117)</f>
        <v>0</v>
      </c>
      <c r="R124" s="760">
        <f>IF(OR($A124="F&amp;F",$A124="CE",R$7="No aplica"),0,'BOULEVARD 5'!U122-'BOULEVARD PPTO'!M117)</f>
        <v>0</v>
      </c>
      <c r="S124" s="760">
        <f>IF(OR($A124="F&amp;F",$A124="CE",S$7="No aplica"),0,'BOULEVARD 5'!V122-'BOULEVARD PPTO'!N117)</f>
        <v>0</v>
      </c>
      <c r="T124" s="760">
        <f>IF(OR($A124="F&amp;F",$A124="CE",T$7="No aplica"),0,'BOULEVARD 5'!W122-'BOULEVARD PPTO'!O117)</f>
        <v>0</v>
      </c>
      <c r="U124" s="760">
        <f>IF(OR($A124="F&amp;F",$A124="CE",U$7="No aplica"),0,'BOULEVARD 5'!X122-'BOULEVARD PPTO'!P117)</f>
        <v>0</v>
      </c>
      <c r="V124" s="760">
        <f>IF(OR($A124="F&amp;F",$A124="CE",V$7="No aplica"),0,'BOULEVARD 5'!Y122-'BOULEVARD PPTO'!Q117)</f>
        <v>0</v>
      </c>
      <c r="W124" s="760">
        <f>IF(OR($A124="F&amp;F",$A124="CE",W$7="No aplica"),0,'BOULEVARD 5'!Z122-'BOULEVARD PPTO'!R117)</f>
        <v>0</v>
      </c>
      <c r="X124" s="760">
        <f>IF(OR($A124="F&amp;F",$A124="CE",X$7="No aplica"),0,'BOULEVARD 5'!AA122-'BOULEVARD PPTO'!S117)</f>
        <v>0</v>
      </c>
      <c r="Y124" s="760">
        <f>IF(OR($A124="F&amp;F",$A124="CE",Y$7="No aplica"),0,'BOULEVARD 5'!AB122-'BOULEVARD PPTO'!T117)</f>
        <v>0</v>
      </c>
      <c r="Z124" s="760">
        <f>IF(OR($A124="F&amp;F",$A124="CE",Z$7="No aplica"),0,'BOULEVARD 5'!AC122-'BOULEVARD PPTO'!U117)</f>
        <v>0</v>
      </c>
      <c r="AA124" s="760">
        <f>IF(OR($A124="F&amp;F",$A124="CE",AA$7="No aplica"),0,'BOULEVARD 5'!AD122-'BOULEVARD PPTO'!V117)</f>
        <v>0</v>
      </c>
      <c r="AB124" s="760">
        <f>IF(OR($A124="F&amp;F",$A124="CE",AB$7="No aplica"),0,'BOULEVARD 5'!AE122-'BOULEVARD PPTO'!W117)</f>
        <v>0</v>
      </c>
      <c r="AC124" s="760">
        <f>IF(OR($A124="F&amp;F",$A124="CE",AC$7="No aplica"),0,'BOULEVARD 5'!AF122-'BOULEVARD PPTO'!X117)</f>
        <v>0</v>
      </c>
      <c r="AD124" s="760">
        <f>IF(OR($A124="F&amp;F",$A124="CE",AD$7="No aplica"),0,'BOULEVARD 5'!AG122-'BOULEVARD PPTO'!Y117)</f>
        <v>0</v>
      </c>
      <c r="AE124" s="760">
        <f>IF(OR($A124="F&amp;F",$A124="CE",AE$7="No aplica"),0,'BOULEVARD 5'!AH122-'BOULEVARD PPTO'!Z117)</f>
        <v>0</v>
      </c>
      <c r="AF124" s="760">
        <f>IF(OR($A124="F&amp;F",$A124="CE",AF$7="No aplica"),0,'BOULEVARD 5'!AI122-'BOULEVARD PPTO'!AA117)</f>
        <v>0</v>
      </c>
      <c r="AG124" s="760">
        <f>IF(OR($A124="F&amp;F",$A124="CE",AG$7="No aplica"),0,'BOULEVARD 5'!AJ122-'BOULEVARD PPTO'!AB117)</f>
        <v>0</v>
      </c>
      <c r="AH124" s="760">
        <f>IF(OR($A124="F&amp;F",$A124="CE",AH$7="No aplica"),0,'BOULEVARD 5'!AK122-'BOULEVARD PPTO'!AC117)</f>
        <v>0</v>
      </c>
      <c r="AI124" s="760">
        <f>IF(OR($A124="F&amp;F",$A124="CE",AI$7="No aplica"),0,'BOULEVARD 5'!AL122-'BOULEVARD PPTO'!AD117)</f>
        <v>0</v>
      </c>
      <c r="AJ124" s="760">
        <f>IF(OR($A124="F&amp;F",$A124="CE",AJ$7="No aplica"),0,'BOULEVARD 5'!AM122-'BOULEVARD PPTO'!AE117)</f>
        <v>0</v>
      </c>
      <c r="AK124" s="760">
        <f>IF(OR($A124="F&amp;F",$A124="CE",AK$7="No aplica"),0,'BOULEVARD 5'!AN122-'BOULEVARD PPTO'!AF117)</f>
        <v>0</v>
      </c>
      <c r="AL124" s="760">
        <f>IF(OR($A124="F&amp;F",$A124="CE",AL$7="No aplica"),0,'BOULEVARD 5'!AO122-'BOULEVARD PPTO'!AG117)</f>
        <v>0</v>
      </c>
      <c r="AM124" s="760">
        <f>IF(OR($A124="F&amp;F",$A124="CE",AM$7="No aplica"),0,'BOULEVARD 5'!AP122-'BOULEVARD PPTO'!AH117)</f>
        <v>0</v>
      </c>
      <c r="AN124" s="760">
        <f>IF(OR($A124="F&amp;F",$A124="CE",AN$7="No aplica"),0,'BOULEVARD 5'!AQ122-'BOULEVARD PPTO'!AI117)</f>
        <v>0</v>
      </c>
      <c r="AO124" s="760">
        <f>IF(OR($A124="F&amp;F",$A124="CE",AO$7="No aplica"),0,'BOULEVARD 5'!AS122-'BOULEVARD PPTO'!AJ117)</f>
        <v>0</v>
      </c>
      <c r="AP124" s="761">
        <f t="shared" si="13"/>
        <v>0</v>
      </c>
      <c r="AQ124" s="761">
        <f t="shared" si="14"/>
        <v>0</v>
      </c>
      <c r="AR124" s="674">
        <f>IF(A124=0,'BOULEVARD 5'!BF122,0)</f>
        <v>0</v>
      </c>
      <c r="AS124" s="674">
        <f>IF(A124=0,'BOULEVARD 5'!BG122,0)</f>
        <v>0</v>
      </c>
      <c r="AT124" s="675" t="str">
        <f t="shared" si="12"/>
        <v>Vendido</v>
      </c>
      <c r="AU124" s="581" t="str">
        <f t="shared" si="16"/>
        <v/>
      </c>
      <c r="AV124" s="760">
        <f t="shared" si="15"/>
        <v>0</v>
      </c>
    </row>
    <row r="125" spans="1:48" s="581" customFormat="1" ht="12.4" customHeight="1" outlineLevel="1" x14ac:dyDescent="0.25">
      <c r="A125" s="703" t="str">
        <f>'BOULEVARD 5'!BQ123</f>
        <v>F&amp;F</v>
      </c>
      <c r="B125" s="564">
        <v>709</v>
      </c>
      <c r="C125" s="564" t="s">
        <v>469</v>
      </c>
      <c r="D125" s="564"/>
      <c r="E125" s="564" t="str">
        <f>IF('BOULEVARD 5'!E123&lt;&gt;0,'BOULEVARD 5'!E123,"")</f>
        <v>Anahí Cisneros</v>
      </c>
      <c r="F125" s="581" t="str">
        <f>IF('BOULEVARD 5'!F123&lt;&gt;0,'BOULEVARD 5'!F123,"")</f>
        <v>Manuel Lizandro Ramírez Barrios</v>
      </c>
      <c r="G125" s="566">
        <f>IF('BOULEVARD 5'!G123="","",'BOULEVARD 5'!G123)</f>
        <v>45202</v>
      </c>
      <c r="H125" s="756">
        <f>IF(OR($A125="F&amp;F",$A125="CE",H$7="No aplica"),0,'BOULEVARD 5'!K123-'BOULEVARD PPTO'!C118)</f>
        <v>0</v>
      </c>
      <c r="I125" s="756">
        <f>IF(OR($A125="F&amp;F",$A125="CE",I$7="No aplica"),0,'BOULEVARD 5'!L123-'BOULEVARD PPTO'!D118)</f>
        <v>0</v>
      </c>
      <c r="J125" s="756">
        <f>IF(OR($A125="F&amp;F",$A125="CE",J$7="No aplica"),0,'BOULEVARD 5'!M123-'BOULEVARD PPTO'!E118)</f>
        <v>0</v>
      </c>
      <c r="K125" s="756">
        <f>IF(OR($A125="F&amp;F",$A125="CE",K$7="No aplica"),0,'BOULEVARD 5'!N123-'BOULEVARD PPTO'!F118)</f>
        <v>0</v>
      </c>
      <c r="L125" s="756">
        <f>IF(OR($A125="F&amp;F",$A125="CE",L$7="No aplica"),0,'BOULEVARD 5'!O123-'BOULEVARD PPTO'!G118)</f>
        <v>0</v>
      </c>
      <c r="M125" s="756">
        <f>IF(OR($A125="F&amp;F",$A125="CE",M$7="No aplica"),0,'BOULEVARD 5'!P123-'BOULEVARD PPTO'!H118)</f>
        <v>0</v>
      </c>
      <c r="N125" s="756">
        <f>IF(OR($A125="F&amp;F",$A125="CE",N$7="No aplica"),0,'BOULEVARD 5'!Q123-'BOULEVARD PPTO'!I118)</f>
        <v>0</v>
      </c>
      <c r="O125" s="756">
        <f>IF(OR($A125="F&amp;F",$A125="CE",O$7="No aplica"),0,'BOULEVARD 5'!R123-'BOULEVARD PPTO'!J118)</f>
        <v>0</v>
      </c>
      <c r="P125" s="756">
        <f>IF(OR($A125="F&amp;F",$A125="CE",P$7="No aplica"),0,'BOULEVARD 5'!S123-'BOULEVARD PPTO'!K118)</f>
        <v>0</v>
      </c>
      <c r="Q125" s="760">
        <f>IF(OR($A125="F&amp;F",$A125="CE",Q$7="No aplica"),0,'BOULEVARD 5'!T123-'BOULEVARD PPTO'!L118)</f>
        <v>0</v>
      </c>
      <c r="R125" s="760">
        <f>IF(OR($A125="F&amp;F",$A125="CE",R$7="No aplica"),0,'BOULEVARD 5'!U123-'BOULEVARD PPTO'!M118)</f>
        <v>0</v>
      </c>
      <c r="S125" s="760">
        <f>IF(OR($A125="F&amp;F",$A125="CE",S$7="No aplica"),0,'BOULEVARD 5'!V123-'BOULEVARD PPTO'!N118)</f>
        <v>0</v>
      </c>
      <c r="T125" s="760">
        <f>IF(OR($A125="F&amp;F",$A125="CE",T$7="No aplica"),0,'BOULEVARD 5'!W123-'BOULEVARD PPTO'!O118)</f>
        <v>0</v>
      </c>
      <c r="U125" s="760">
        <f>IF(OR($A125="F&amp;F",$A125="CE",U$7="No aplica"),0,'BOULEVARD 5'!X123-'BOULEVARD PPTO'!P118)</f>
        <v>0</v>
      </c>
      <c r="V125" s="760">
        <f>IF(OR($A125="F&amp;F",$A125="CE",V$7="No aplica"),0,'BOULEVARD 5'!Y123-'BOULEVARD PPTO'!Q118)</f>
        <v>0</v>
      </c>
      <c r="W125" s="760">
        <f>IF(OR($A125="F&amp;F",$A125="CE",W$7="No aplica"),0,'BOULEVARD 5'!Z123-'BOULEVARD PPTO'!R118)</f>
        <v>0</v>
      </c>
      <c r="X125" s="760">
        <f>IF(OR($A125="F&amp;F",$A125="CE",X$7="No aplica"),0,'BOULEVARD 5'!AA123-'BOULEVARD PPTO'!S118)</f>
        <v>0</v>
      </c>
      <c r="Y125" s="760">
        <f>IF(OR($A125="F&amp;F",$A125="CE",Y$7="No aplica"),0,'BOULEVARD 5'!AB123-'BOULEVARD PPTO'!T118)</f>
        <v>0</v>
      </c>
      <c r="Z125" s="760">
        <f>IF(OR($A125="F&amp;F",$A125="CE",Z$7="No aplica"),0,'BOULEVARD 5'!AC123-'BOULEVARD PPTO'!U118)</f>
        <v>0</v>
      </c>
      <c r="AA125" s="760">
        <f>IF(OR($A125="F&amp;F",$A125="CE",AA$7="No aplica"),0,'BOULEVARD 5'!AD123-'BOULEVARD PPTO'!V118)</f>
        <v>0</v>
      </c>
      <c r="AB125" s="760">
        <f>IF(OR($A125="F&amp;F",$A125="CE",AB$7="No aplica"),0,'BOULEVARD 5'!AE123-'BOULEVARD PPTO'!W118)</f>
        <v>0</v>
      </c>
      <c r="AC125" s="760">
        <f>IF(OR($A125="F&amp;F",$A125="CE",AC$7="No aplica"),0,'BOULEVARD 5'!AF123-'BOULEVARD PPTO'!X118)</f>
        <v>0</v>
      </c>
      <c r="AD125" s="760">
        <f>IF(OR($A125="F&amp;F",$A125="CE",AD$7="No aplica"),0,'BOULEVARD 5'!AG123-'BOULEVARD PPTO'!Y118)</f>
        <v>0</v>
      </c>
      <c r="AE125" s="760">
        <f>IF(OR($A125="F&amp;F",$A125="CE",AE$7="No aplica"),0,'BOULEVARD 5'!AH123-'BOULEVARD PPTO'!Z118)</f>
        <v>0</v>
      </c>
      <c r="AF125" s="760">
        <f>IF(OR($A125="F&amp;F",$A125="CE",AF$7="No aplica"),0,'BOULEVARD 5'!AI123-'BOULEVARD PPTO'!AA118)</f>
        <v>0</v>
      </c>
      <c r="AG125" s="760">
        <f>IF(OR($A125="F&amp;F",$A125="CE",AG$7="No aplica"),0,'BOULEVARD 5'!AJ123-'BOULEVARD PPTO'!AB118)</f>
        <v>0</v>
      </c>
      <c r="AH125" s="760">
        <f>IF(OR($A125="F&amp;F",$A125="CE",AH$7="No aplica"),0,'BOULEVARD 5'!AK123-'BOULEVARD PPTO'!AC118)</f>
        <v>0</v>
      </c>
      <c r="AI125" s="760">
        <f>IF(OR($A125="F&amp;F",$A125="CE",AI$7="No aplica"),0,'BOULEVARD 5'!AL123-'BOULEVARD PPTO'!AD118)</f>
        <v>0</v>
      </c>
      <c r="AJ125" s="760">
        <f>IF(OR($A125="F&amp;F",$A125="CE",AJ$7="No aplica"),0,'BOULEVARD 5'!AM123-'BOULEVARD PPTO'!AE118)</f>
        <v>0</v>
      </c>
      <c r="AK125" s="760">
        <f>IF(OR($A125="F&amp;F",$A125="CE",AK$7="No aplica"),0,'BOULEVARD 5'!AN123-'BOULEVARD PPTO'!AF118)</f>
        <v>0</v>
      </c>
      <c r="AL125" s="760">
        <f>IF(OR($A125="F&amp;F",$A125="CE",AL$7="No aplica"),0,'BOULEVARD 5'!AO123-'BOULEVARD PPTO'!AG118)</f>
        <v>0</v>
      </c>
      <c r="AM125" s="760">
        <f>IF(OR($A125="F&amp;F",$A125="CE",AM$7="No aplica"),0,'BOULEVARD 5'!AP123-'BOULEVARD PPTO'!AH118)</f>
        <v>0</v>
      </c>
      <c r="AN125" s="760">
        <f>IF(OR($A125="F&amp;F",$A125="CE",AN$7="No aplica"),0,'BOULEVARD 5'!AQ123-'BOULEVARD PPTO'!AI118)</f>
        <v>0</v>
      </c>
      <c r="AO125" s="760">
        <f>IF(OR($A125="F&amp;F",$A125="CE",AO$7="No aplica"),0,'BOULEVARD 5'!AS123-'BOULEVARD PPTO'!AJ118)</f>
        <v>0</v>
      </c>
      <c r="AP125" s="761">
        <f t="shared" si="13"/>
        <v>0</v>
      </c>
      <c r="AQ125" s="761">
        <f t="shared" si="14"/>
        <v>0</v>
      </c>
      <c r="AR125" s="674">
        <f>IF(A125=0,'BOULEVARD 5'!BF123,0)</f>
        <v>0</v>
      </c>
      <c r="AS125" s="674">
        <f>IF(A125=0,'BOULEVARD 5'!BG123,0)</f>
        <v>0</v>
      </c>
      <c r="AT125" s="675" t="str">
        <f t="shared" si="12"/>
        <v>Vendido</v>
      </c>
      <c r="AU125" s="581" t="str">
        <f t="shared" si="16"/>
        <v/>
      </c>
      <c r="AV125" s="760">
        <f t="shared" si="15"/>
        <v>0</v>
      </c>
    </row>
    <row r="126" spans="1:48" s="581" customFormat="1" ht="12.4" customHeight="1" outlineLevel="1" x14ac:dyDescent="0.25">
      <c r="A126" s="703" t="str">
        <f>'BOULEVARD 5'!BQ124</f>
        <v>F&amp;F</v>
      </c>
      <c r="B126" s="704">
        <v>710</v>
      </c>
      <c r="C126" s="704" t="s">
        <v>467</v>
      </c>
      <c r="D126" s="704"/>
      <c r="E126" s="704" t="str">
        <f>IF('BOULEVARD 5'!E124&lt;&gt;0,'BOULEVARD 5'!E124,"")</f>
        <v>Brenda Búcaro</v>
      </c>
      <c r="F126" s="705" t="str">
        <f>IF('BOULEVARD 5'!F124&lt;&gt;0,'BOULEVARD 5'!F124,"")</f>
        <v>Carlos Yon (congelado estrategia comercial)</v>
      </c>
      <c r="G126" s="566">
        <f>IF('BOULEVARD 5'!G124="","",'BOULEVARD 5'!G124)</f>
        <v>45173</v>
      </c>
      <c r="H126" s="756">
        <f>IF(OR($A126="F&amp;F",$A126="CE",H$7="No aplica"),0,'BOULEVARD 5'!K124-'BOULEVARD PPTO'!C119)</f>
        <v>0</v>
      </c>
      <c r="I126" s="756">
        <f>IF(OR($A126="F&amp;F",$A126="CE",I$7="No aplica"),0,'BOULEVARD 5'!L124-'BOULEVARD PPTO'!D119)</f>
        <v>0</v>
      </c>
      <c r="J126" s="756">
        <f>IF(OR($A126="F&amp;F",$A126="CE",J$7="No aplica"),0,'BOULEVARD 5'!M124-'BOULEVARD PPTO'!E119)</f>
        <v>0</v>
      </c>
      <c r="K126" s="756">
        <f>IF(OR($A126="F&amp;F",$A126="CE",K$7="No aplica"),0,'BOULEVARD 5'!N124-'BOULEVARD PPTO'!F119)</f>
        <v>0</v>
      </c>
      <c r="L126" s="756">
        <f>IF(OR($A126="F&amp;F",$A126="CE",L$7="No aplica"),0,'BOULEVARD 5'!O124-'BOULEVARD PPTO'!G119)</f>
        <v>0</v>
      </c>
      <c r="M126" s="756">
        <f>IF(OR($A126="F&amp;F",$A126="CE",M$7="No aplica"),0,'BOULEVARD 5'!P124-'BOULEVARD PPTO'!H119)</f>
        <v>0</v>
      </c>
      <c r="N126" s="756">
        <f>IF(OR($A126="F&amp;F",$A126="CE",N$7="No aplica"),0,'BOULEVARD 5'!Q124-'BOULEVARD PPTO'!I119)</f>
        <v>0</v>
      </c>
      <c r="O126" s="756">
        <f>IF(OR($A126="F&amp;F",$A126="CE",O$7="No aplica"),0,'BOULEVARD 5'!R124-'BOULEVARD PPTO'!J119)</f>
        <v>0</v>
      </c>
      <c r="P126" s="756">
        <f>IF(OR($A126="F&amp;F",$A126="CE",P$7="No aplica"),0,'BOULEVARD 5'!S124-'BOULEVARD PPTO'!K119)</f>
        <v>0</v>
      </c>
      <c r="Q126" s="760">
        <f>IF(OR($A126="F&amp;F",$A126="CE",Q$7="No aplica"),0,'BOULEVARD 5'!T124-'BOULEVARD PPTO'!L119)</f>
        <v>0</v>
      </c>
      <c r="R126" s="760">
        <f>IF(OR($A126="F&amp;F",$A126="CE",R$7="No aplica"),0,'BOULEVARD 5'!U124-'BOULEVARD PPTO'!M119)</f>
        <v>0</v>
      </c>
      <c r="S126" s="760">
        <f>IF(OR($A126="F&amp;F",$A126="CE",S$7="No aplica"),0,'BOULEVARD 5'!V124-'BOULEVARD PPTO'!N119)</f>
        <v>0</v>
      </c>
      <c r="T126" s="760">
        <f>IF(OR($A126="F&amp;F",$A126="CE",T$7="No aplica"),0,'BOULEVARD 5'!W124-'BOULEVARD PPTO'!O119)</f>
        <v>0</v>
      </c>
      <c r="U126" s="760">
        <f>IF(OR($A126="F&amp;F",$A126="CE",U$7="No aplica"),0,'BOULEVARD 5'!X124-'BOULEVARD PPTO'!P119)</f>
        <v>0</v>
      </c>
      <c r="V126" s="760">
        <f>IF(OR($A126="F&amp;F",$A126="CE",V$7="No aplica"),0,'BOULEVARD 5'!Y124-'BOULEVARD PPTO'!Q119)</f>
        <v>0</v>
      </c>
      <c r="W126" s="760">
        <f>IF(OR($A126="F&amp;F",$A126="CE",W$7="No aplica"),0,'BOULEVARD 5'!Z124-'BOULEVARD PPTO'!R119)</f>
        <v>0</v>
      </c>
      <c r="X126" s="760">
        <f>IF(OR($A126="F&amp;F",$A126="CE",X$7="No aplica"),0,'BOULEVARD 5'!AA124-'BOULEVARD PPTO'!S119)</f>
        <v>0</v>
      </c>
      <c r="Y126" s="760">
        <f>IF(OR($A126="F&amp;F",$A126="CE",Y$7="No aplica"),0,'BOULEVARD 5'!AB124-'BOULEVARD PPTO'!T119)</f>
        <v>0</v>
      </c>
      <c r="Z126" s="760">
        <f>IF(OR($A126="F&amp;F",$A126="CE",Z$7="No aplica"),0,'BOULEVARD 5'!AC124-'BOULEVARD PPTO'!U119)</f>
        <v>0</v>
      </c>
      <c r="AA126" s="760">
        <f>IF(OR($A126="F&amp;F",$A126="CE",AA$7="No aplica"),0,'BOULEVARD 5'!AD124-'BOULEVARD PPTO'!V119)</f>
        <v>0</v>
      </c>
      <c r="AB126" s="760">
        <f>IF(OR($A126="F&amp;F",$A126="CE",AB$7="No aplica"),0,'BOULEVARD 5'!AE124-'BOULEVARD PPTO'!W119)</f>
        <v>0</v>
      </c>
      <c r="AC126" s="760">
        <f>IF(OR($A126="F&amp;F",$A126="CE",AC$7="No aplica"),0,'BOULEVARD 5'!AF124-'BOULEVARD PPTO'!X119)</f>
        <v>0</v>
      </c>
      <c r="AD126" s="760">
        <f>IF(OR($A126="F&amp;F",$A126="CE",AD$7="No aplica"),0,'BOULEVARD 5'!AG124-'BOULEVARD PPTO'!Y119)</f>
        <v>0</v>
      </c>
      <c r="AE126" s="760">
        <f>IF(OR($A126="F&amp;F",$A126="CE",AE$7="No aplica"),0,'BOULEVARD 5'!AH124-'BOULEVARD PPTO'!Z119)</f>
        <v>0</v>
      </c>
      <c r="AF126" s="760">
        <f>IF(OR($A126="F&amp;F",$A126="CE",AF$7="No aplica"),0,'BOULEVARD 5'!AI124-'BOULEVARD PPTO'!AA119)</f>
        <v>0</v>
      </c>
      <c r="AG126" s="760">
        <f>IF(OR($A126="F&amp;F",$A126="CE",AG$7="No aplica"),0,'BOULEVARD 5'!AJ124-'BOULEVARD PPTO'!AB119)</f>
        <v>0</v>
      </c>
      <c r="AH126" s="760">
        <f>IF(OR($A126="F&amp;F",$A126="CE",AH$7="No aplica"),0,'BOULEVARD 5'!AK124-'BOULEVARD PPTO'!AC119)</f>
        <v>0</v>
      </c>
      <c r="AI126" s="760">
        <f>IF(OR($A126="F&amp;F",$A126="CE",AI$7="No aplica"),0,'BOULEVARD 5'!AL124-'BOULEVARD PPTO'!AD119)</f>
        <v>0</v>
      </c>
      <c r="AJ126" s="760">
        <f>IF(OR($A126="F&amp;F",$A126="CE",AJ$7="No aplica"),0,'BOULEVARD 5'!AM124-'BOULEVARD PPTO'!AE119)</f>
        <v>0</v>
      </c>
      <c r="AK126" s="760">
        <f>IF(OR($A126="F&amp;F",$A126="CE",AK$7="No aplica"),0,'BOULEVARD 5'!AN124-'BOULEVARD PPTO'!AF119)</f>
        <v>0</v>
      </c>
      <c r="AL126" s="760">
        <f>IF(OR($A126="F&amp;F",$A126="CE",AL$7="No aplica"),0,'BOULEVARD 5'!AO124-'BOULEVARD PPTO'!AG119)</f>
        <v>0</v>
      </c>
      <c r="AM126" s="760">
        <f>IF(OR($A126="F&amp;F",$A126="CE",AM$7="No aplica"),0,'BOULEVARD 5'!AP124-'BOULEVARD PPTO'!AH119)</f>
        <v>0</v>
      </c>
      <c r="AN126" s="760">
        <f>IF(OR($A126="F&amp;F",$A126="CE",AN$7="No aplica"),0,'BOULEVARD 5'!AQ124-'BOULEVARD PPTO'!AI119)</f>
        <v>0</v>
      </c>
      <c r="AO126" s="760">
        <f>IF(OR($A126="F&amp;F",$A126="CE",AO$7="No aplica"),0,'BOULEVARD 5'!AS124-'BOULEVARD PPTO'!AJ119)</f>
        <v>0</v>
      </c>
      <c r="AP126" s="761">
        <f t="shared" si="13"/>
        <v>0</v>
      </c>
      <c r="AQ126" s="761">
        <f t="shared" si="14"/>
        <v>0</v>
      </c>
      <c r="AR126" s="674">
        <f>IF(A126=0,'BOULEVARD 5'!BF124,0)</f>
        <v>0</v>
      </c>
      <c r="AS126" s="674">
        <f>IF(A126=0,'BOULEVARD 5'!BG124,0)</f>
        <v>0</v>
      </c>
      <c r="AT126" s="675" t="str">
        <f t="shared" si="12"/>
        <v>Vendido</v>
      </c>
      <c r="AU126" s="581" t="str">
        <f t="shared" si="16"/>
        <v/>
      </c>
      <c r="AV126" s="760">
        <f t="shared" si="15"/>
        <v>0</v>
      </c>
    </row>
    <row r="127" spans="1:48" s="581" customFormat="1" ht="12.4" customHeight="1" outlineLevel="1" x14ac:dyDescent="0.25">
      <c r="A127" s="703"/>
      <c r="B127" s="708">
        <v>711</v>
      </c>
      <c r="C127" s="564" t="s">
        <v>469</v>
      </c>
      <c r="D127" s="647" t="s">
        <v>336</v>
      </c>
      <c r="E127" s="564" t="str">
        <f>IF('BOULEVARD 5'!E125&lt;&gt;0,'BOULEVARD 5'!E125,"")</f>
        <v>Diana Alvarez</v>
      </c>
      <c r="F127" s="581" t="str">
        <f>IF('BOULEVARD 5'!F125&lt;&gt;0,'BOULEVARD 5'!F125,"")</f>
        <v>Samuel David Chavez</v>
      </c>
      <c r="G127" s="566">
        <f>IF('BOULEVARD 5'!G125="","",'BOULEVARD 5'!G125)</f>
        <v>45770</v>
      </c>
      <c r="H127" s="756">
        <f>IF(OR($A127="F&amp;F",$A127="CE",H$7="No aplica"),0,'BOULEVARD 5'!K125-'BOULEVARD PPTO'!C120)</f>
        <v>0</v>
      </c>
      <c r="I127" s="756">
        <f>IF(OR($A127="F&amp;F",$A127="CE",I$7="No aplica"),0,'BOULEVARD 5'!L125-'BOULEVARD PPTO'!D120)</f>
        <v>0</v>
      </c>
      <c r="J127" s="756">
        <f>IF(OR($A127="F&amp;F",$A127="CE",J$7="No aplica"),0,'BOULEVARD 5'!M125-'BOULEVARD PPTO'!E120)</f>
        <v>0</v>
      </c>
      <c r="K127" s="756">
        <f>IF(OR($A127="F&amp;F",$A127="CE",K$7="No aplica"),0,'BOULEVARD 5'!N125-'BOULEVARD PPTO'!F120)</f>
        <v>0</v>
      </c>
      <c r="L127" s="756">
        <f>IF(OR($A127="F&amp;F",$A127="CE",L$7="No aplica"),0,'BOULEVARD 5'!O125-'BOULEVARD PPTO'!G120)</f>
        <v>0</v>
      </c>
      <c r="M127" s="756">
        <f>IF(OR($A127="F&amp;F",$A127="CE",M$7="No aplica"),0,'BOULEVARD 5'!P125-'BOULEVARD PPTO'!H120)</f>
        <v>0</v>
      </c>
      <c r="N127" s="756">
        <f>IF(OR($A127="F&amp;F",$A127="CE",N$7="No aplica"),0,'BOULEVARD 5'!Q125-'BOULEVARD PPTO'!I120)</f>
        <v>0</v>
      </c>
      <c r="O127" s="756">
        <f>IF(OR($A127="F&amp;F",$A127="CE",O$7="No aplica"),0,'BOULEVARD 5'!R125-'BOULEVARD PPTO'!J120)</f>
        <v>0</v>
      </c>
      <c r="P127" s="756">
        <f>IF(OR($A127="F&amp;F",$A127="CE",P$7="No aplica"),0,'BOULEVARD 5'!S125-'BOULEVARD PPTO'!K120)</f>
        <v>0</v>
      </c>
      <c r="Q127" s="760">
        <f>IF(OR($A127="F&amp;F",$A127="CE",Q$7="No aplica"),0,'BOULEVARD 5'!T125-'BOULEVARD PPTO'!L120)</f>
        <v>0</v>
      </c>
      <c r="R127" s="760">
        <f>IF(OR($A127="F&amp;F",$A127="CE",R$7="No aplica"),0,'BOULEVARD 5'!U125-'BOULEVARD PPTO'!M120)</f>
        <v>0</v>
      </c>
      <c r="S127" s="760">
        <f>IF(OR($A127="F&amp;F",$A127="CE",S$7="No aplica"),0,'BOULEVARD 5'!V125-'BOULEVARD PPTO'!N120)</f>
        <v>0</v>
      </c>
      <c r="T127" s="760">
        <f>IF(OR($A127="F&amp;F",$A127="CE",T$7="No aplica"),0,'BOULEVARD 5'!W125-'BOULEVARD PPTO'!O120)</f>
        <v>0</v>
      </c>
      <c r="U127" s="760">
        <f>IF(OR($A127="F&amp;F",$A127="CE",U$7="No aplica"),0,'BOULEVARD 5'!X125-'BOULEVARD PPTO'!P120)</f>
        <v>0</v>
      </c>
      <c r="V127" s="760">
        <f>IF(OR($A127="F&amp;F",$A127="CE",V$7="No aplica"),0,'BOULEVARD 5'!Y125-'BOULEVARD PPTO'!Q120)</f>
        <v>0</v>
      </c>
      <c r="W127" s="760">
        <f>IF(OR($A127="F&amp;F",$A127="CE",W$7="No aplica"),0,'BOULEVARD 5'!Z125-'BOULEVARD PPTO'!R120)</f>
        <v>0</v>
      </c>
      <c r="X127" s="760">
        <f>IF(OR($A127="F&amp;F",$A127="CE",X$7="No aplica"),0,'BOULEVARD 5'!AA125-'BOULEVARD PPTO'!S120)</f>
        <v>0</v>
      </c>
      <c r="Y127" s="760">
        <f>IF(OR($A127="F&amp;F",$A127="CE",Y$7="No aplica"),0,'BOULEVARD 5'!AB125-'BOULEVARD PPTO'!T120)</f>
        <v>0</v>
      </c>
      <c r="Z127" s="760">
        <f>IF(OR($A127="F&amp;F",$A127="CE",Z$7="No aplica"),0,'BOULEVARD 5'!AC125-'BOULEVARD PPTO'!U120)</f>
        <v>0</v>
      </c>
      <c r="AA127" s="760">
        <f>IF(OR($A127="F&amp;F",$A127="CE",AA$7="No aplica"),0,'BOULEVARD 5'!AD125-'BOULEVARD PPTO'!V120)</f>
        <v>0</v>
      </c>
      <c r="AB127" s="760">
        <f>IF(OR($A127="F&amp;F",$A127="CE",AB$7="No aplica"),0,'BOULEVARD 5'!AE125-'BOULEVARD PPTO'!W120)</f>
        <v>10000</v>
      </c>
      <c r="AC127" s="760">
        <f>IF(OR($A127="F&amp;F",$A127="CE",AC$7="No aplica"),0,'BOULEVARD 5'!AF125-'BOULEVARD PPTO'!X120)</f>
        <v>0</v>
      </c>
      <c r="AD127" s="760">
        <f>IF(OR($A127="F&amp;F",$A127="CE",AD$7="No aplica"),0,'BOULEVARD 5'!AG125-'BOULEVARD PPTO'!Y120)</f>
        <v>0</v>
      </c>
      <c r="AE127" s="760">
        <f>IF(OR($A127="F&amp;F",$A127="CE",AE$7="No aplica"),0,'BOULEVARD 5'!AH125-'BOULEVARD PPTO'!Z120)</f>
        <v>0</v>
      </c>
      <c r="AF127" s="760">
        <f>IF(OR($A127="F&amp;F",$A127="CE",AF$7="No aplica"),0,'BOULEVARD 5'!AI125-'BOULEVARD PPTO'!AA120)</f>
        <v>-10000</v>
      </c>
      <c r="AG127" s="760">
        <f>IF(OR($A127="F&amp;F",$A127="CE",AG$7="No aplica"),0,'BOULEVARD 5'!AJ125-'BOULEVARD PPTO'!AB120)</f>
        <v>-3782</v>
      </c>
      <c r="AH127" s="760">
        <f>IF(OR($A127="F&amp;F",$A127="CE",AH$7="No aplica"),0,'BOULEVARD 5'!AK125-'BOULEVARD PPTO'!AC120)</f>
        <v>-3782</v>
      </c>
      <c r="AI127" s="760">
        <f>IF(OR($A127="F&amp;F",$A127="CE",AI$7="No aplica"),0,'BOULEVARD 5'!AL125-'BOULEVARD PPTO'!AD120)</f>
        <v>1218</v>
      </c>
      <c r="AJ127" s="760">
        <f>IF(OR($A127="F&amp;F",$A127="CE",AJ$7="No aplica"),0,'BOULEVARD 5'!AM125-'BOULEVARD PPTO'!AE120)</f>
        <v>-3782</v>
      </c>
      <c r="AK127" s="760">
        <f>IF(OR($A127="F&amp;F",$A127="CE",AK$7="No aplica"),0,'BOULEVARD 5'!AN125-'BOULEVARD PPTO'!AF120)</f>
        <v>-3782</v>
      </c>
      <c r="AL127" s="760">
        <f>IF(OR($A127="F&amp;F",$A127="CE",AL$7="No aplica"),0,'BOULEVARD 5'!AO125-'BOULEVARD PPTO'!AG120)</f>
        <v>6218</v>
      </c>
      <c r="AM127" s="760">
        <f>IF(OR($A127="F&amp;F",$A127="CE",AM$7="No aplica"),0,'BOULEVARD 5'!AP125-'BOULEVARD PPTO'!AH120)</f>
        <v>-3782</v>
      </c>
      <c r="AN127" s="760">
        <f>IF(OR($A127="F&amp;F",$A127="CE",AN$7="No aplica"),0,'BOULEVARD 5'!AQ125-'BOULEVARD PPTO'!AI120)</f>
        <v>0</v>
      </c>
      <c r="AO127" s="760">
        <f>IF(OR($A127="F&amp;F",$A127="CE",AO$7="No aplica"),0,'BOULEVARD 5'!AS125-'BOULEVARD PPTO'!AJ120)</f>
        <v>0</v>
      </c>
      <c r="AP127" s="761">
        <f t="shared" si="13"/>
        <v>-11474</v>
      </c>
      <c r="AQ127" s="761">
        <f t="shared" si="14"/>
        <v>-45512.47</v>
      </c>
      <c r="AR127" s="674">
        <f>IF(A127=0,'BOULEVARD 5'!BF125,0)</f>
        <v>60000</v>
      </c>
      <c r="AS127" s="674">
        <f>IF(A127=0,'BOULEVARD 5'!BG125,0)</f>
        <v>3782</v>
      </c>
      <c r="AT127" s="675" t="str">
        <f t="shared" si="12"/>
        <v>Vendido</v>
      </c>
      <c r="AU127" s="581" t="str">
        <f t="shared" si="16"/>
        <v>POR COBRAR</v>
      </c>
      <c r="AV127" s="760">
        <f t="shared" si="15"/>
        <v>0</v>
      </c>
    </row>
    <row r="128" spans="1:48" s="581" customFormat="1" ht="12.4" customHeight="1" outlineLevel="1" x14ac:dyDescent="0.25">
      <c r="A128" s="703">
        <f>'BOULEVARD 5'!BQ126</f>
        <v>0</v>
      </c>
      <c r="B128" s="564">
        <v>712</v>
      </c>
      <c r="C128" s="564" t="s">
        <v>406</v>
      </c>
      <c r="D128" s="564"/>
      <c r="E128" s="564" t="str">
        <f>IF('BOULEVARD 5'!E126&lt;&gt;0,'BOULEVARD 5'!E126,"")</f>
        <v>Antonio Rada</v>
      </c>
      <c r="F128" s="581" t="str">
        <f>IF('BOULEVARD 5'!F126&lt;&gt;0,'BOULEVARD 5'!F126,"")</f>
        <v>Edgar Augusto Sepúlveda Barrera</v>
      </c>
      <c r="G128" s="566">
        <f>IF('BOULEVARD 5'!G126="","",'BOULEVARD 5'!G126)</f>
        <v>45085</v>
      </c>
      <c r="H128" s="756">
        <f>IF(OR($A128="F&amp;F",$A128="CE",H$7="No aplica"),0,'BOULEVARD 5'!K126-'BOULEVARD PPTO'!C121)</f>
        <v>0</v>
      </c>
      <c r="I128" s="756">
        <f>IF(OR($A128="F&amp;F",$A128="CE",I$7="No aplica"),0,'BOULEVARD 5'!L126-'BOULEVARD PPTO'!D121)</f>
        <v>0</v>
      </c>
      <c r="J128" s="756">
        <f>IF(OR($A128="F&amp;F",$A128="CE",J$7="No aplica"),0,'BOULEVARD 5'!M126-'BOULEVARD PPTO'!E121)</f>
        <v>0</v>
      </c>
      <c r="K128" s="756">
        <f>IF(OR($A128="F&amp;F",$A128="CE",K$7="No aplica"),0,'BOULEVARD 5'!N126-'BOULEVARD PPTO'!F121)</f>
        <v>0</v>
      </c>
      <c r="L128" s="756">
        <f>IF(OR($A128="F&amp;F",$A128="CE",L$7="No aplica"),0,'BOULEVARD 5'!O126-'BOULEVARD PPTO'!G121)</f>
        <v>0</v>
      </c>
      <c r="M128" s="756">
        <f>IF(OR($A128="F&amp;F",$A128="CE",M$7="No aplica"),0,'BOULEVARD 5'!P126-'BOULEVARD PPTO'!H121)</f>
        <v>0</v>
      </c>
      <c r="N128" s="756">
        <f>IF(OR($A128="F&amp;F",$A128="CE",N$7="No aplica"),0,'BOULEVARD 5'!Q126-'BOULEVARD PPTO'!I121)</f>
        <v>0</v>
      </c>
      <c r="O128" s="756">
        <f>IF(OR($A128="F&amp;F",$A128="CE",O$7="No aplica"),0,'BOULEVARD 5'!R126-'BOULEVARD PPTO'!J121)</f>
        <v>0</v>
      </c>
      <c r="P128" s="756">
        <f>IF(OR($A128="F&amp;F",$A128="CE",P$7="No aplica"),0,'BOULEVARD 5'!S126-'BOULEVARD PPTO'!K121)</f>
        <v>0</v>
      </c>
      <c r="Q128" s="760">
        <f>IF(OR($A128="F&amp;F",$A128="CE",Q$7="No aplica"),0,'BOULEVARD 5'!T126-'BOULEVARD PPTO'!L121)</f>
        <v>0</v>
      </c>
      <c r="R128" s="760">
        <f>IF(OR($A128="F&amp;F",$A128="CE",R$7="No aplica"),0,'BOULEVARD 5'!U126-'BOULEVARD PPTO'!M121)</f>
        <v>0</v>
      </c>
      <c r="S128" s="760">
        <f>IF(OR($A128="F&amp;F",$A128="CE",S$7="No aplica"),0,'BOULEVARD 5'!V126-'BOULEVARD PPTO'!N121)</f>
        <v>0</v>
      </c>
      <c r="T128" s="760">
        <f>IF(OR($A128="F&amp;F",$A128="CE",T$7="No aplica"),0,'BOULEVARD 5'!W126-'BOULEVARD PPTO'!O121)</f>
        <v>0</v>
      </c>
      <c r="U128" s="760">
        <f>IF(OR($A128="F&amp;F",$A128="CE",U$7="No aplica"),0,'BOULEVARD 5'!X126-'BOULEVARD PPTO'!P121)</f>
        <v>0</v>
      </c>
      <c r="V128" s="760">
        <f>IF(OR($A128="F&amp;F",$A128="CE",V$7="No aplica"),0,'BOULEVARD 5'!Y126-'BOULEVARD PPTO'!Q121)</f>
        <v>0</v>
      </c>
      <c r="W128" s="760">
        <f>IF(OR($A128="F&amp;F",$A128="CE",W$7="No aplica"),0,'BOULEVARD 5'!Z126-'BOULEVARD PPTO'!R121)</f>
        <v>0</v>
      </c>
      <c r="X128" s="760">
        <f>IF(OR($A128="F&amp;F",$A128="CE",X$7="No aplica"),0,'BOULEVARD 5'!AA126-'BOULEVARD PPTO'!S121)</f>
        <v>0</v>
      </c>
      <c r="Y128" s="760">
        <f>IF(OR($A128="F&amp;F",$A128="CE",Y$7="No aplica"),0,'BOULEVARD 5'!AB126-'BOULEVARD PPTO'!T121)</f>
        <v>0</v>
      </c>
      <c r="Z128" s="760">
        <f>IF(OR($A128="F&amp;F",$A128="CE",Z$7="No aplica"),0,'BOULEVARD 5'!AC126-'BOULEVARD PPTO'!U121)</f>
        <v>0</v>
      </c>
      <c r="AA128" s="760">
        <f>IF(OR($A128="F&amp;F",$A128="CE",AA$7="No aplica"),0,'BOULEVARD 5'!AD126-'BOULEVARD PPTO'!V121)</f>
        <v>0</v>
      </c>
      <c r="AB128" s="760">
        <f>IF(OR($A128="F&amp;F",$A128="CE",AB$7="No aplica"),0,'BOULEVARD 5'!AE126-'BOULEVARD PPTO'!W121)</f>
        <v>0</v>
      </c>
      <c r="AC128" s="760">
        <f>IF(OR($A128="F&amp;F",$A128="CE",AC$7="No aplica"),0,'BOULEVARD 5'!AF126-'BOULEVARD PPTO'!X121)</f>
        <v>0</v>
      </c>
      <c r="AD128" s="760">
        <f>IF(OR($A128="F&amp;F",$A128="CE",AD$7="No aplica"),0,'BOULEVARD 5'!AG126-'BOULEVARD PPTO'!Y121)</f>
        <v>0</v>
      </c>
      <c r="AE128" s="760">
        <f>IF(OR($A128="F&amp;F",$A128="CE",AE$7="No aplica"),0,'BOULEVARD 5'!AH126-'BOULEVARD PPTO'!Z121)</f>
        <v>0</v>
      </c>
      <c r="AF128" s="760">
        <f>IF(OR($A128="F&amp;F",$A128="CE",AF$7="No aplica"),0,'BOULEVARD 5'!AI126-'BOULEVARD PPTO'!AA121)</f>
        <v>0</v>
      </c>
      <c r="AG128" s="760">
        <f>IF(OR($A128="F&amp;F",$A128="CE",AG$7="No aplica"),0,'BOULEVARD 5'!AJ126-'BOULEVARD PPTO'!AB121)</f>
        <v>0</v>
      </c>
      <c r="AH128" s="760">
        <f>IF(OR($A128="F&amp;F",$A128="CE",AH$7="No aplica"),0,'BOULEVARD 5'!AK126-'BOULEVARD PPTO'!AC121)</f>
        <v>0</v>
      </c>
      <c r="AI128" s="760">
        <f>IF(OR($A128="F&amp;F",$A128="CE",AI$7="No aplica"),0,'BOULEVARD 5'!AL126-'BOULEVARD PPTO'!AD121)</f>
        <v>0</v>
      </c>
      <c r="AJ128" s="760">
        <f>IF(OR($A128="F&amp;F",$A128="CE",AJ$7="No aplica"),0,'BOULEVARD 5'!AM126-'BOULEVARD PPTO'!AE121)</f>
        <v>0</v>
      </c>
      <c r="AK128" s="760">
        <f>IF(OR($A128="F&amp;F",$A128="CE",AK$7="No aplica"),0,'BOULEVARD 5'!AN126-'BOULEVARD PPTO'!AF121)</f>
        <v>0</v>
      </c>
      <c r="AL128" s="760">
        <f>IF(OR($A128="F&amp;F",$A128="CE",AL$7="No aplica"),0,'BOULEVARD 5'!AO126-'BOULEVARD PPTO'!AG121)</f>
        <v>0</v>
      </c>
      <c r="AM128" s="760">
        <f>IF(OR($A128="F&amp;F",$A128="CE",AM$7="No aplica"),0,'BOULEVARD 5'!AP126-'BOULEVARD PPTO'!AH121)</f>
        <v>0</v>
      </c>
      <c r="AN128" s="760">
        <f>IF(OR($A128="F&amp;F",$A128="CE",AN$7="No aplica"),0,'BOULEVARD 5'!AQ126-'BOULEVARD PPTO'!AI121)</f>
        <v>0</v>
      </c>
      <c r="AO128" s="760">
        <f>IF(OR($A128="F&amp;F",$A128="CE",AO$7="No aplica"),0,'BOULEVARD 5'!AS126-'BOULEVARD PPTO'!AJ121)</f>
        <v>0</v>
      </c>
      <c r="AP128" s="761">
        <f t="shared" si="13"/>
        <v>0</v>
      </c>
      <c r="AQ128" s="761">
        <f t="shared" si="14"/>
        <v>0</v>
      </c>
      <c r="AR128" s="674">
        <f>IF(A128=0,'BOULEVARD 5'!BF126,0)</f>
        <v>6000</v>
      </c>
      <c r="AS128" s="674">
        <f>IF(A128=0,'BOULEVARD 5'!BG126,0)</f>
        <v>2385</v>
      </c>
      <c r="AT128" s="675" t="str">
        <f t="shared" si="12"/>
        <v>Vendido</v>
      </c>
      <c r="AU128" s="581" t="str">
        <f t="shared" si="16"/>
        <v/>
      </c>
      <c r="AV128" s="760">
        <f t="shared" si="15"/>
        <v>0</v>
      </c>
    </row>
    <row r="129" spans="1:48" s="581" customFormat="1" ht="12.4" customHeight="1" outlineLevel="1" x14ac:dyDescent="0.25">
      <c r="A129" s="703" t="str">
        <f>'BOULEVARD 5'!BQ127</f>
        <v>CE</v>
      </c>
      <c r="B129" s="708">
        <v>713</v>
      </c>
      <c r="C129" s="564" t="s">
        <v>181</v>
      </c>
      <c r="D129" s="647" t="s">
        <v>336</v>
      </c>
      <c r="E129" s="564" t="str">
        <f>IF('BOULEVARD 5'!E127&lt;&gt;0,'BOULEVARD 5'!E127,"")</f>
        <v>Antonio Rada</v>
      </c>
      <c r="F129" s="581" t="str">
        <f>IF('BOULEVARD 5'!F127&lt;&gt;0,'BOULEVARD 5'!F127,"")</f>
        <v xml:space="preserve"> Luis Alejandro Pérez Ibañez</v>
      </c>
      <c r="G129" s="566">
        <f>IF('BOULEVARD 5'!G127="","",'BOULEVARD 5'!G127)</f>
        <v>45087</v>
      </c>
      <c r="H129" s="756">
        <f>IF(OR($A129="F&amp;F",$A129="CE",H$7="No aplica"),0,'BOULEVARD 5'!K127-'BOULEVARD PPTO'!C122)</f>
        <v>0</v>
      </c>
      <c r="I129" s="756">
        <f>IF(OR($A129="F&amp;F",$A129="CE",I$7="No aplica"),0,'BOULEVARD 5'!L127-'BOULEVARD PPTO'!D122)</f>
        <v>0</v>
      </c>
      <c r="J129" s="756">
        <f>IF(OR($A129="F&amp;F",$A129="CE",J$7="No aplica"),0,'BOULEVARD 5'!M127-'BOULEVARD PPTO'!E122)</f>
        <v>0</v>
      </c>
      <c r="K129" s="756">
        <f>IF(OR($A129="F&amp;F",$A129="CE",K$7="No aplica"),0,'BOULEVARD 5'!N127-'BOULEVARD PPTO'!F122)</f>
        <v>0</v>
      </c>
      <c r="L129" s="756">
        <f>IF(OR($A129="F&amp;F",$A129="CE",L$7="No aplica"),0,'BOULEVARD 5'!O127-'BOULEVARD PPTO'!G122)</f>
        <v>0</v>
      </c>
      <c r="M129" s="756">
        <f>IF(OR($A129="F&amp;F",$A129="CE",M$7="No aplica"),0,'BOULEVARD 5'!P127-'BOULEVARD PPTO'!H122)</f>
        <v>0</v>
      </c>
      <c r="N129" s="756">
        <f>IF(OR($A129="F&amp;F",$A129="CE",N$7="No aplica"),0,'BOULEVARD 5'!Q127-'BOULEVARD PPTO'!I122)</f>
        <v>0</v>
      </c>
      <c r="O129" s="756">
        <f>IF(OR($A129="F&amp;F",$A129="CE",O$7="No aplica"),0,'BOULEVARD 5'!R127-'BOULEVARD PPTO'!J122)</f>
        <v>0</v>
      </c>
      <c r="P129" s="756">
        <f>IF(OR($A129="F&amp;F",$A129="CE",P$7="No aplica"),0,'BOULEVARD 5'!S127-'BOULEVARD PPTO'!K122)</f>
        <v>0</v>
      </c>
      <c r="Q129" s="760">
        <f>IF(OR($A129="F&amp;F",$A129="CE",Q$7="No aplica"),0,'BOULEVARD 5'!T127-'BOULEVARD PPTO'!L122)</f>
        <v>0</v>
      </c>
      <c r="R129" s="760">
        <f>IF(OR($A129="F&amp;F",$A129="CE",R$7="No aplica"),0,'BOULEVARD 5'!U127-'BOULEVARD PPTO'!M122)</f>
        <v>0</v>
      </c>
      <c r="S129" s="760">
        <f>IF(OR($A129="F&amp;F",$A129="CE",S$7="No aplica"),0,'BOULEVARD 5'!V127-'BOULEVARD PPTO'!N122)</f>
        <v>0</v>
      </c>
      <c r="T129" s="760">
        <f>IF(OR($A129="F&amp;F",$A129="CE",T$7="No aplica"),0,'BOULEVARD 5'!W127-'BOULEVARD PPTO'!O122)</f>
        <v>0</v>
      </c>
      <c r="U129" s="760">
        <f>IF(OR($A129="F&amp;F",$A129="CE",U$7="No aplica"),0,'BOULEVARD 5'!X127-'BOULEVARD PPTO'!P122)</f>
        <v>0</v>
      </c>
      <c r="V129" s="760">
        <f>IF(OR($A129="F&amp;F",$A129="CE",V$7="No aplica"),0,'BOULEVARD 5'!Y127-'BOULEVARD PPTO'!Q122)</f>
        <v>0</v>
      </c>
      <c r="W129" s="760">
        <f>IF(OR($A129="F&amp;F",$A129="CE",W$7="No aplica"),0,'BOULEVARD 5'!Z127-'BOULEVARD PPTO'!R122)</f>
        <v>0</v>
      </c>
      <c r="X129" s="760">
        <f>IF(OR($A129="F&amp;F",$A129="CE",X$7="No aplica"),0,'BOULEVARD 5'!AA127-'BOULEVARD PPTO'!S122)</f>
        <v>0</v>
      </c>
      <c r="Y129" s="760">
        <f>IF(OR($A129="F&amp;F",$A129="CE",Y$7="No aplica"),0,'BOULEVARD 5'!AB127-'BOULEVARD PPTO'!T122)</f>
        <v>0</v>
      </c>
      <c r="Z129" s="760">
        <f>IF(OR($A129="F&amp;F",$A129="CE",Z$7="No aplica"),0,'BOULEVARD 5'!AC127-'BOULEVARD PPTO'!U122)</f>
        <v>0</v>
      </c>
      <c r="AA129" s="760">
        <f>IF(OR($A129="F&amp;F",$A129="CE",AA$7="No aplica"),0,'BOULEVARD 5'!AD127-'BOULEVARD PPTO'!V122)</f>
        <v>0</v>
      </c>
      <c r="AB129" s="760">
        <f>IF(OR($A129="F&amp;F",$A129="CE",AB$7="No aplica"),0,'BOULEVARD 5'!AE127-'BOULEVARD PPTO'!W122)</f>
        <v>0</v>
      </c>
      <c r="AC129" s="760">
        <f>IF(OR($A129="F&amp;F",$A129="CE",AC$7="No aplica"),0,'BOULEVARD 5'!AF127-'BOULEVARD PPTO'!X122)</f>
        <v>0</v>
      </c>
      <c r="AD129" s="760">
        <f>IF(OR($A129="F&amp;F",$A129="CE",AD$7="No aplica"),0,'BOULEVARD 5'!AG127-'BOULEVARD PPTO'!Y122)</f>
        <v>0</v>
      </c>
      <c r="AE129" s="760">
        <f>IF(OR($A129="F&amp;F",$A129="CE",AE$7="No aplica"),0,'BOULEVARD 5'!AH127-'BOULEVARD PPTO'!Z122)</f>
        <v>0</v>
      </c>
      <c r="AF129" s="760">
        <f>IF(OR($A129="F&amp;F",$A129="CE",AF$7="No aplica"),0,'BOULEVARD 5'!AI127-'BOULEVARD PPTO'!AA122)</f>
        <v>0</v>
      </c>
      <c r="AG129" s="760">
        <f>IF(OR($A129="F&amp;F",$A129="CE",AG$7="No aplica"),0,'BOULEVARD 5'!AJ127-'BOULEVARD PPTO'!AB122)</f>
        <v>0</v>
      </c>
      <c r="AH129" s="760">
        <f>IF(OR($A129="F&amp;F",$A129="CE",AH$7="No aplica"),0,'BOULEVARD 5'!AK127-'BOULEVARD PPTO'!AC122)</f>
        <v>0</v>
      </c>
      <c r="AI129" s="760">
        <f>IF(OR($A129="F&amp;F",$A129="CE",AI$7="No aplica"),0,'BOULEVARD 5'!AL127-'BOULEVARD PPTO'!AD122)</f>
        <v>0</v>
      </c>
      <c r="AJ129" s="760">
        <f>IF(OR($A129="F&amp;F",$A129="CE",AJ$7="No aplica"),0,'BOULEVARD 5'!AM127-'BOULEVARD PPTO'!AE122)</f>
        <v>0</v>
      </c>
      <c r="AK129" s="760">
        <f>IF(OR($A129="F&amp;F",$A129="CE",AK$7="No aplica"),0,'BOULEVARD 5'!AN127-'BOULEVARD PPTO'!AF122)</f>
        <v>0</v>
      </c>
      <c r="AL129" s="760">
        <f>IF(OR($A129="F&amp;F",$A129="CE",AL$7="No aplica"),0,'BOULEVARD 5'!AO127-'BOULEVARD PPTO'!AG122)</f>
        <v>0</v>
      </c>
      <c r="AM129" s="760">
        <f>IF(OR($A129="F&amp;F",$A129="CE",AM$7="No aplica"),0,'BOULEVARD 5'!AP127-'BOULEVARD PPTO'!AH122)</f>
        <v>0</v>
      </c>
      <c r="AN129" s="760">
        <f>IF(OR($A129="F&amp;F",$A129="CE",AN$7="No aplica"),0,'BOULEVARD 5'!AQ127-'BOULEVARD PPTO'!AI122)</f>
        <v>0</v>
      </c>
      <c r="AO129" s="760">
        <f>IF(OR($A129="F&amp;F",$A129="CE",AO$7="No aplica"),0,'BOULEVARD 5'!AS127-'BOULEVARD PPTO'!AJ122)</f>
        <v>0</v>
      </c>
      <c r="AP129" s="761">
        <f t="shared" si="13"/>
        <v>0</v>
      </c>
      <c r="AQ129" s="761">
        <f t="shared" si="14"/>
        <v>0</v>
      </c>
      <c r="AR129" s="674">
        <f>IF(A129=0,'BOULEVARD 5'!BF127,0)</f>
        <v>0</v>
      </c>
      <c r="AS129" s="674">
        <f>IF(A129=0,'BOULEVARD 5'!BG127,0)</f>
        <v>0</v>
      </c>
      <c r="AT129" s="675" t="str">
        <f t="shared" si="12"/>
        <v>Vendido</v>
      </c>
      <c r="AU129" s="581" t="str">
        <f t="shared" si="16"/>
        <v/>
      </c>
      <c r="AV129" s="760">
        <f t="shared" si="15"/>
        <v>0</v>
      </c>
    </row>
    <row r="130" spans="1:48" s="581" customFormat="1" ht="12.4" customHeight="1" outlineLevel="1" x14ac:dyDescent="0.25">
      <c r="A130" s="703">
        <f>'BOULEVARD 5'!BQ128</f>
        <v>0</v>
      </c>
      <c r="B130" s="564">
        <v>714</v>
      </c>
      <c r="C130" s="564" t="s">
        <v>476</v>
      </c>
      <c r="D130" s="564"/>
      <c r="E130" s="564" t="str">
        <f>IF('BOULEVARD 5'!E128&lt;&gt;0,'BOULEVARD 5'!E128,"")</f>
        <v>Antonio Rada</v>
      </c>
      <c r="F130" s="581" t="str">
        <f>IF('BOULEVARD 5'!F128&lt;&gt;0,'BOULEVARD 5'!F128,"")</f>
        <v>Jose Carlos Samayoa San Jose</v>
      </c>
      <c r="G130" s="566">
        <f>IF('BOULEVARD 5'!G128="","",'BOULEVARD 5'!G128)</f>
        <v>45393</v>
      </c>
      <c r="H130" s="756">
        <f>IF(OR($A130="F&amp;F",$A130="CE",H$7="No aplica"),0,'BOULEVARD 5'!K128-'BOULEVARD PPTO'!C123)</f>
        <v>0</v>
      </c>
      <c r="I130" s="756">
        <f>IF(OR($A130="F&amp;F",$A130="CE",I$7="No aplica"),0,'BOULEVARD 5'!L128-'BOULEVARD PPTO'!D123)</f>
        <v>0</v>
      </c>
      <c r="J130" s="756">
        <f>IF(OR($A130="F&amp;F",$A130="CE",J$7="No aplica"),0,'BOULEVARD 5'!M128-'BOULEVARD PPTO'!E123)</f>
        <v>0</v>
      </c>
      <c r="K130" s="756">
        <f>IF(OR($A130="F&amp;F",$A130="CE",K$7="No aplica"),0,'BOULEVARD 5'!N128-'BOULEVARD PPTO'!F123)</f>
        <v>0</v>
      </c>
      <c r="L130" s="756">
        <f>IF(OR($A130="F&amp;F",$A130="CE",L$7="No aplica"),0,'BOULEVARD 5'!O128-'BOULEVARD PPTO'!G123)</f>
        <v>0</v>
      </c>
      <c r="M130" s="756">
        <f>IF(OR($A130="F&amp;F",$A130="CE",M$7="No aplica"),0,'BOULEVARD 5'!P128-'BOULEVARD PPTO'!H123)</f>
        <v>0</v>
      </c>
      <c r="N130" s="756">
        <f>IF(OR($A130="F&amp;F",$A130="CE",N$7="No aplica"),0,'BOULEVARD 5'!Q128-'BOULEVARD PPTO'!I123)</f>
        <v>0</v>
      </c>
      <c r="O130" s="756">
        <f>IF(OR($A130="F&amp;F",$A130="CE",O$7="No aplica"),0,'BOULEVARD 5'!R128-'BOULEVARD PPTO'!J123)</f>
        <v>0</v>
      </c>
      <c r="P130" s="756">
        <f>IF(OR($A130="F&amp;F",$A130="CE",P$7="No aplica"),0,'BOULEVARD 5'!S128-'BOULEVARD PPTO'!K123)</f>
        <v>0</v>
      </c>
      <c r="Q130" s="760">
        <f>IF(OR($A130="F&amp;F",$A130="CE",Q$7="No aplica"),0,'BOULEVARD 5'!T128-'BOULEVARD PPTO'!L123)</f>
        <v>0</v>
      </c>
      <c r="R130" s="760">
        <f>IF(OR($A130="F&amp;F",$A130="CE",R$7="No aplica"),0,'BOULEVARD 5'!U128-'BOULEVARD PPTO'!M123)</f>
        <v>0</v>
      </c>
      <c r="S130" s="760">
        <f>IF(OR($A130="F&amp;F",$A130="CE",S$7="No aplica"),0,'BOULEVARD 5'!V128-'BOULEVARD PPTO'!N123)</f>
        <v>0</v>
      </c>
      <c r="T130" s="760">
        <f>IF(OR($A130="F&amp;F",$A130="CE",T$7="No aplica"),0,'BOULEVARD 5'!W128-'BOULEVARD PPTO'!O123)</f>
        <v>0</v>
      </c>
      <c r="U130" s="760">
        <f>IF(OR($A130="F&amp;F",$A130="CE",U$7="No aplica"),0,'BOULEVARD 5'!X128-'BOULEVARD PPTO'!P123)</f>
        <v>0</v>
      </c>
      <c r="V130" s="760">
        <f>IF(OR($A130="F&amp;F",$A130="CE",V$7="No aplica"),0,'BOULEVARD 5'!Y128-'BOULEVARD PPTO'!Q123)</f>
        <v>2011</v>
      </c>
      <c r="W130" s="760">
        <f>IF(OR($A130="F&amp;F",$A130="CE",W$7="No aplica"),0,'BOULEVARD 5'!Z128-'BOULEVARD PPTO'!R123)</f>
        <v>2011</v>
      </c>
      <c r="X130" s="760">
        <f>IF(OR($A130="F&amp;F",$A130="CE",X$7="No aplica"),0,'BOULEVARD 5'!AA128-'BOULEVARD PPTO'!S123)</f>
        <v>2011</v>
      </c>
      <c r="Y130" s="760">
        <f>IF(OR($A130="F&amp;F",$A130="CE",Y$7="No aplica"),0,'BOULEVARD 5'!AB128-'BOULEVARD PPTO'!T123)</f>
        <v>2011</v>
      </c>
      <c r="Z130" s="760">
        <f>IF(OR($A130="F&amp;F",$A130="CE",Z$7="No aplica"),0,'BOULEVARD 5'!AC128-'BOULEVARD PPTO'!U123)</f>
        <v>2011</v>
      </c>
      <c r="AA130" s="760">
        <f>IF(OR($A130="F&amp;F",$A130="CE",AA$7="No aplica"),0,'BOULEVARD 5'!AD128-'BOULEVARD PPTO'!V123)</f>
        <v>2011</v>
      </c>
      <c r="AB130" s="760">
        <f>IF(OR($A130="F&amp;F",$A130="CE",AB$7="No aplica"),0,'BOULEVARD 5'!AE128-'BOULEVARD PPTO'!W123)</f>
        <v>12011</v>
      </c>
      <c r="AC130" s="760">
        <f>IF(OR($A130="F&amp;F",$A130="CE",AC$7="No aplica"),0,'BOULEVARD 5'!AF128-'BOULEVARD PPTO'!X123)</f>
        <v>-7989</v>
      </c>
      <c r="AD130" s="760">
        <f>IF(OR($A130="F&amp;F",$A130="CE",AD$7="No aplica"),0,'BOULEVARD 5'!AG128-'BOULEVARD PPTO'!Y123)</f>
        <v>2011</v>
      </c>
      <c r="AE130" s="760">
        <f>IF(OR($A130="F&amp;F",$A130="CE",AE$7="No aplica"),0,'BOULEVARD 5'!AH128-'BOULEVARD PPTO'!Z123)</f>
        <v>2011</v>
      </c>
      <c r="AF130" s="760">
        <f>IF(OR($A130="F&amp;F",$A130="CE",AF$7="No aplica"),0,'BOULEVARD 5'!AI128-'BOULEVARD PPTO'!AA123)</f>
        <v>17011</v>
      </c>
      <c r="AG130" s="760">
        <f>IF(OR($A130="F&amp;F",$A130="CE",AG$7="No aplica"),0,'BOULEVARD 5'!AJ128-'BOULEVARD PPTO'!AB123)</f>
        <v>-7989</v>
      </c>
      <c r="AH130" s="760">
        <f>IF(OR($A130="F&amp;F",$A130="CE",AH$7="No aplica"),0,'BOULEVARD 5'!AK128-'BOULEVARD PPTO'!AC123)</f>
        <v>22011</v>
      </c>
      <c r="AI130" s="760">
        <f>IF(OR($A130="F&amp;F",$A130="CE",AI$7="No aplica"),0,'BOULEVARD 5'!AL128-'BOULEVARD PPTO'!AD123)</f>
        <v>-7989</v>
      </c>
      <c r="AJ130" s="760">
        <f>IF(OR($A130="F&amp;F",$A130="CE",AJ$7="No aplica"),0,'BOULEVARD 5'!AM128-'BOULEVARD PPTO'!AE123)</f>
        <v>18511</v>
      </c>
      <c r="AK130" s="760">
        <f>IF(OR($A130="F&amp;F",$A130="CE",AK$7="No aplica"),0,'BOULEVARD 5'!AN128-'BOULEVARD PPTO'!AF123)</f>
        <v>12011</v>
      </c>
      <c r="AL130" s="760">
        <f>IF(OR($A130="F&amp;F",$A130="CE",AL$7="No aplica"),0,'BOULEVARD 5'!AO128-'BOULEVARD PPTO'!AG123)</f>
        <v>12016</v>
      </c>
      <c r="AM130" s="760">
        <f>IF(OR($A130="F&amp;F",$A130="CE",AM$7="No aplica"),0,'BOULEVARD 5'!AP128-'BOULEVARD PPTO'!AH123)</f>
        <v>20000</v>
      </c>
      <c r="AN130" s="760">
        <f>IF(OR($A130="F&amp;F",$A130="CE",AN$7="No aplica"),0,'BOULEVARD 5'!AQ128-'BOULEVARD PPTO'!AI123)</f>
        <v>0</v>
      </c>
      <c r="AO130" s="760">
        <f>IF(OR($A130="F&amp;F",$A130="CE",AO$7="No aplica"),0,'BOULEVARD 5'!AS128-'BOULEVARD PPTO'!AJ123)</f>
        <v>0</v>
      </c>
      <c r="AP130" s="761">
        <f t="shared" si="13"/>
        <v>105692</v>
      </c>
      <c r="AQ130" s="761">
        <f t="shared" si="14"/>
        <v>167692</v>
      </c>
      <c r="AR130" s="674">
        <f>IF(A130=0,'BOULEVARD 5'!BF128,0)</f>
        <v>8000</v>
      </c>
      <c r="AS130" s="674">
        <f>IF(A130=0,'BOULEVARD 5'!BG128,0)</f>
        <v>7989</v>
      </c>
      <c r="AT130" s="675" t="str">
        <f t="shared" si="12"/>
        <v>Vendido</v>
      </c>
      <c r="AU130" s="581" t="str">
        <f t="shared" si="16"/>
        <v>A FAVOR DEL CLIENTE</v>
      </c>
      <c r="AV130" s="760">
        <f t="shared" si="15"/>
        <v>20000</v>
      </c>
    </row>
    <row r="131" spans="1:48" s="581" customFormat="1" ht="12.4" customHeight="1" outlineLevel="1" x14ac:dyDescent="0.25">
      <c r="A131" s="703">
        <f>'BOULEVARD 5'!BQ129</f>
        <v>0</v>
      </c>
      <c r="B131" s="564">
        <v>715</v>
      </c>
      <c r="C131" s="564" t="s">
        <v>189</v>
      </c>
      <c r="D131" s="564"/>
      <c r="E131" s="564" t="str">
        <f>IF('BOULEVARD 5'!E129&lt;&gt;0,'BOULEVARD 5'!E129,"")</f>
        <v>Brenda Búcaro</v>
      </c>
      <c r="F131" s="581" t="str">
        <f>IF('BOULEVARD 5'!F129&lt;&gt;0,'BOULEVARD 5'!F129,"")</f>
        <v>Cynthia Marisel Coronado Monterroso</v>
      </c>
      <c r="G131" s="566">
        <f>IF('BOULEVARD 5'!G129="","",'BOULEVARD 5'!G129)</f>
        <v>44995</v>
      </c>
      <c r="H131" s="756">
        <f>IF(OR($A131="F&amp;F",$A131="CE",H$7="No aplica"),0,'BOULEVARD 5'!K129-'BOULEVARD PPTO'!C124)</f>
        <v>0</v>
      </c>
      <c r="I131" s="756">
        <f>IF(OR($A131="F&amp;F",$A131="CE",I$7="No aplica"),0,'BOULEVARD 5'!L129-'BOULEVARD PPTO'!D124)</f>
        <v>0</v>
      </c>
      <c r="J131" s="756">
        <f>IF(OR($A131="F&amp;F",$A131="CE",J$7="No aplica"),0,'BOULEVARD 5'!M129-'BOULEVARD PPTO'!E124)</f>
        <v>0</v>
      </c>
      <c r="K131" s="756">
        <f>IF(OR($A131="F&amp;F",$A131="CE",K$7="No aplica"),0,'BOULEVARD 5'!N129-'BOULEVARD PPTO'!F124)</f>
        <v>0</v>
      </c>
      <c r="L131" s="756">
        <f>IF(OR($A131="F&amp;F",$A131="CE",L$7="No aplica"),0,'BOULEVARD 5'!O129-'BOULEVARD PPTO'!G124)</f>
        <v>0</v>
      </c>
      <c r="M131" s="756">
        <f>IF(OR($A131="F&amp;F",$A131="CE",M$7="No aplica"),0,'BOULEVARD 5'!P129-'BOULEVARD PPTO'!H124)</f>
        <v>-1600</v>
      </c>
      <c r="N131" s="756">
        <f>IF(OR($A131="F&amp;F",$A131="CE",N$7="No aplica"),0,'BOULEVARD 5'!Q129-'BOULEVARD PPTO'!I124)</f>
        <v>0</v>
      </c>
      <c r="O131" s="756">
        <f>IF(OR($A131="F&amp;F",$A131="CE",O$7="No aplica"),0,'BOULEVARD 5'!R129-'BOULEVARD PPTO'!J124)</f>
        <v>1600</v>
      </c>
      <c r="P131" s="756">
        <f>IF(OR($A131="F&amp;F",$A131="CE",P$7="No aplica"),0,'BOULEVARD 5'!S129-'BOULEVARD PPTO'!K124)</f>
        <v>0</v>
      </c>
      <c r="Q131" s="760">
        <f>IF(OR($A131="F&amp;F",$A131="CE",Q$7="No aplica"),0,'BOULEVARD 5'!T129-'BOULEVARD PPTO'!L124)</f>
        <v>0</v>
      </c>
      <c r="R131" s="760">
        <f>IF(OR($A131="F&amp;F",$A131="CE",R$7="No aplica"),0,'BOULEVARD 5'!U129-'BOULEVARD PPTO'!M124)</f>
        <v>0</v>
      </c>
      <c r="S131" s="760">
        <f>IF(OR($A131="F&amp;F",$A131="CE",S$7="No aplica"),0,'BOULEVARD 5'!V129-'BOULEVARD PPTO'!N124)</f>
        <v>0</v>
      </c>
      <c r="T131" s="760">
        <f>IF(OR($A131="F&amp;F",$A131="CE",T$7="No aplica"),0,'BOULEVARD 5'!W129-'BOULEVARD PPTO'!O124)</f>
        <v>0</v>
      </c>
      <c r="U131" s="760">
        <f>IF(OR($A131="F&amp;F",$A131="CE",U$7="No aplica"),0,'BOULEVARD 5'!X129-'BOULEVARD PPTO'!P124)</f>
        <v>0</v>
      </c>
      <c r="V131" s="760">
        <f>IF(OR($A131="F&amp;F",$A131="CE",V$7="No aplica"),0,'BOULEVARD 5'!Y129-'BOULEVARD PPTO'!Q124)</f>
        <v>0</v>
      </c>
      <c r="W131" s="760">
        <f>IF(OR($A131="F&amp;F",$A131="CE",W$7="No aplica"),0,'BOULEVARD 5'!Z129-'BOULEVARD PPTO'!R124)</f>
        <v>0</v>
      </c>
      <c r="X131" s="760">
        <f>IF(OR($A131="F&amp;F",$A131="CE",X$7="No aplica"),0,'BOULEVARD 5'!AA129-'BOULEVARD PPTO'!S124)</f>
        <v>0</v>
      </c>
      <c r="Y131" s="760">
        <f>IF(OR($A131="F&amp;F",$A131="CE",Y$7="No aplica"),0,'BOULEVARD 5'!AB129-'BOULEVARD PPTO'!T124)</f>
        <v>0</v>
      </c>
      <c r="Z131" s="760">
        <f>IF(OR($A131="F&amp;F",$A131="CE",Z$7="No aplica"),0,'BOULEVARD 5'!AC129-'BOULEVARD PPTO'!U124)</f>
        <v>0</v>
      </c>
      <c r="AA131" s="760">
        <f>IF(OR($A131="F&amp;F",$A131="CE",AA$7="No aplica"),0,'BOULEVARD 5'!AD129-'BOULEVARD PPTO'!V124)</f>
        <v>0</v>
      </c>
      <c r="AB131" s="760">
        <f>IF(OR($A131="F&amp;F",$A131="CE",AB$7="No aplica"),0,'BOULEVARD 5'!AE129-'BOULEVARD PPTO'!W124)</f>
        <v>0</v>
      </c>
      <c r="AC131" s="760">
        <f>IF(OR($A131="F&amp;F",$A131="CE",AC$7="No aplica"),0,'BOULEVARD 5'!AF129-'BOULEVARD PPTO'!X124)</f>
        <v>0</v>
      </c>
      <c r="AD131" s="760">
        <f>IF(OR($A131="F&amp;F",$A131="CE",AD$7="No aplica"),0,'BOULEVARD 5'!AG129-'BOULEVARD PPTO'!Y124)</f>
        <v>-1600</v>
      </c>
      <c r="AE131" s="760">
        <f>IF(OR($A131="F&amp;F",$A131="CE",AE$7="No aplica"),0,'BOULEVARD 5'!AH129-'BOULEVARD PPTO'!Z124)</f>
        <v>1600</v>
      </c>
      <c r="AF131" s="760">
        <f>IF(OR($A131="F&amp;F",$A131="CE",AF$7="No aplica"),0,'BOULEVARD 5'!AI129-'BOULEVARD PPTO'!AA124)</f>
        <v>0</v>
      </c>
      <c r="AG131" s="760">
        <f>IF(OR($A131="F&amp;F",$A131="CE",AG$7="No aplica"),0,'BOULEVARD 5'!AJ129-'BOULEVARD PPTO'!AB124)</f>
        <v>0</v>
      </c>
      <c r="AH131" s="760">
        <f>IF(OR($A131="F&amp;F",$A131="CE",AH$7="No aplica"),0,'BOULEVARD 5'!AK129-'BOULEVARD PPTO'!AC124)</f>
        <v>0</v>
      </c>
      <c r="AI131" s="760">
        <f>IF(OR($A131="F&amp;F",$A131="CE",AI$7="No aplica"),0,'BOULEVARD 5'!AL129-'BOULEVARD PPTO'!AD124)</f>
        <v>0</v>
      </c>
      <c r="AJ131" s="760">
        <f>IF(OR($A131="F&amp;F",$A131="CE",AJ$7="No aplica"),0,'BOULEVARD 5'!AM129-'BOULEVARD PPTO'!AE124)</f>
        <v>0</v>
      </c>
      <c r="AK131" s="760">
        <f>IF(OR($A131="F&amp;F",$A131="CE",AK$7="No aplica"),0,'BOULEVARD 5'!AN129-'BOULEVARD PPTO'!AF124)</f>
        <v>0</v>
      </c>
      <c r="AL131" s="760">
        <f>IF(OR($A131="F&amp;F",$A131="CE",AL$7="No aplica"),0,'BOULEVARD 5'!AO129-'BOULEVARD PPTO'!AG124)</f>
        <v>0</v>
      </c>
      <c r="AM131" s="760">
        <f>IF(OR($A131="F&amp;F",$A131="CE",AM$7="No aplica"),0,'BOULEVARD 5'!AP129-'BOULEVARD PPTO'!AH124)</f>
        <v>-1600</v>
      </c>
      <c r="AN131" s="760">
        <f>IF(OR($A131="F&amp;F",$A131="CE",AN$7="No aplica"),0,'BOULEVARD 5'!AQ129-'BOULEVARD PPTO'!AI124)</f>
        <v>0</v>
      </c>
      <c r="AO131" s="760">
        <f>IF(OR($A131="F&amp;F",$A131="CE",AO$7="No aplica"),0,'BOULEVARD 5'!AS129-'BOULEVARD PPTO'!AJ124)</f>
        <v>0</v>
      </c>
      <c r="AP131" s="761">
        <f t="shared" si="13"/>
        <v>-1600</v>
      </c>
      <c r="AQ131" s="761">
        <f t="shared" si="14"/>
        <v>-6400</v>
      </c>
      <c r="AR131" s="674">
        <f>IF(A131=0,'BOULEVARD 5'!BF129,0)</f>
        <v>6000</v>
      </c>
      <c r="AS131" s="674">
        <f>IF(A131=0,'BOULEVARD 5'!BG129,0)</f>
        <v>1600</v>
      </c>
      <c r="AT131" s="675" t="str">
        <f t="shared" si="12"/>
        <v>Vendido</v>
      </c>
      <c r="AU131" s="581" t="str">
        <f t="shared" si="16"/>
        <v>POR COBRAR</v>
      </c>
      <c r="AV131" s="760">
        <f t="shared" si="15"/>
        <v>0</v>
      </c>
    </row>
    <row r="132" spans="1:48" s="581" customFormat="1" ht="12.4" customHeight="1" outlineLevel="1" x14ac:dyDescent="0.25">
      <c r="A132" s="703">
        <f>'BOULEVARD 5'!BQ130</f>
        <v>0</v>
      </c>
      <c r="B132" s="564">
        <v>716</v>
      </c>
      <c r="C132" s="564" t="s">
        <v>400</v>
      </c>
      <c r="D132" s="564"/>
      <c r="E132" s="564" t="str">
        <f>IF('BOULEVARD 5'!E130&lt;&gt;0,'BOULEVARD 5'!E130,"")</f>
        <v>Antonio Rada</v>
      </c>
      <c r="F132" s="581" t="str">
        <f>IF('BOULEVARD 5'!F130&lt;&gt;0,'BOULEVARD 5'!F130,"")</f>
        <v>Lisvet  Maricelasance Alvarez De Giron</v>
      </c>
      <c r="G132" s="566">
        <f>IF('BOULEVARD 5'!G130="","",'BOULEVARD 5'!G130)</f>
        <v>45306</v>
      </c>
      <c r="H132" s="756">
        <f>IF(OR($A132="F&amp;F",$A132="CE",H$7="No aplica"),0,'BOULEVARD 5'!K130-'BOULEVARD PPTO'!C125)</f>
        <v>0</v>
      </c>
      <c r="I132" s="756">
        <f>IF(OR($A132="F&amp;F",$A132="CE",I$7="No aplica"),0,'BOULEVARD 5'!L130-'BOULEVARD PPTO'!D125)</f>
        <v>0</v>
      </c>
      <c r="J132" s="756">
        <f>IF(OR($A132="F&amp;F",$A132="CE",J$7="No aplica"),0,'BOULEVARD 5'!M130-'BOULEVARD PPTO'!E125)</f>
        <v>0</v>
      </c>
      <c r="K132" s="756">
        <f>IF(OR($A132="F&amp;F",$A132="CE",K$7="No aplica"),0,'BOULEVARD 5'!N130-'BOULEVARD PPTO'!F125)</f>
        <v>0</v>
      </c>
      <c r="L132" s="756">
        <f>IF(OR($A132="F&amp;F",$A132="CE",L$7="No aplica"),0,'BOULEVARD 5'!O130-'BOULEVARD PPTO'!G125)</f>
        <v>0</v>
      </c>
      <c r="M132" s="756">
        <f>IF(OR($A132="F&amp;F",$A132="CE",M$7="No aplica"),0,'BOULEVARD 5'!P130-'BOULEVARD PPTO'!H125)</f>
        <v>0</v>
      </c>
      <c r="N132" s="756">
        <f>IF(OR($A132="F&amp;F",$A132="CE",N$7="No aplica"),0,'BOULEVARD 5'!Q130-'BOULEVARD PPTO'!I125)</f>
        <v>0</v>
      </c>
      <c r="O132" s="756">
        <f>IF(OR($A132="F&amp;F",$A132="CE",O$7="No aplica"),0,'BOULEVARD 5'!R130-'BOULEVARD PPTO'!J125)</f>
        <v>0</v>
      </c>
      <c r="P132" s="756">
        <f>IF(OR($A132="F&amp;F",$A132="CE",P$7="No aplica"),0,'BOULEVARD 5'!S130-'BOULEVARD PPTO'!K125)</f>
        <v>0</v>
      </c>
      <c r="Q132" s="760">
        <f>IF(OR($A132="F&amp;F",$A132="CE",Q$7="No aplica"),0,'BOULEVARD 5'!T130-'BOULEVARD PPTO'!L125)</f>
        <v>0</v>
      </c>
      <c r="R132" s="760">
        <f>IF(OR($A132="F&amp;F",$A132="CE",R$7="No aplica"),0,'BOULEVARD 5'!U130-'BOULEVARD PPTO'!M125)</f>
        <v>0</v>
      </c>
      <c r="S132" s="760">
        <f>IF(OR($A132="F&amp;F",$A132="CE",S$7="No aplica"),0,'BOULEVARD 5'!V130-'BOULEVARD PPTO'!N125)</f>
        <v>0</v>
      </c>
      <c r="T132" s="760">
        <f>IF(OR($A132="F&amp;F",$A132="CE",T$7="No aplica"),0,'BOULEVARD 5'!W130-'BOULEVARD PPTO'!O125)</f>
        <v>0</v>
      </c>
      <c r="U132" s="760">
        <f>IF(OR($A132="F&amp;F",$A132="CE",U$7="No aplica"),0,'BOULEVARD 5'!X130-'BOULEVARD PPTO'!P125)</f>
        <v>0</v>
      </c>
      <c r="V132" s="760">
        <f>IF(OR($A132="F&amp;F",$A132="CE",V$7="No aplica"),0,'BOULEVARD 5'!Y130-'BOULEVARD PPTO'!Q125)</f>
        <v>0</v>
      </c>
      <c r="W132" s="760">
        <f>IF(OR($A132="F&amp;F",$A132="CE",W$7="No aplica"),0,'BOULEVARD 5'!Z130-'BOULEVARD PPTO'!R125)</f>
        <v>0</v>
      </c>
      <c r="X132" s="760">
        <f>IF(OR($A132="F&amp;F",$A132="CE",X$7="No aplica"),0,'BOULEVARD 5'!AA130-'BOULEVARD PPTO'!S125)</f>
        <v>-10</v>
      </c>
      <c r="Y132" s="760">
        <f>IF(OR($A132="F&amp;F",$A132="CE",Y$7="No aplica"),0,'BOULEVARD 5'!AB130-'BOULEVARD PPTO'!T125)</f>
        <v>-10</v>
      </c>
      <c r="Z132" s="760">
        <f>IF(OR($A132="F&amp;F",$A132="CE",Z$7="No aplica"),0,'BOULEVARD 5'!AC130-'BOULEVARD PPTO'!U125)</f>
        <v>-10</v>
      </c>
      <c r="AA132" s="760">
        <f>IF(OR($A132="F&amp;F",$A132="CE",AA$7="No aplica"),0,'BOULEVARD 5'!AD130-'BOULEVARD PPTO'!V125)</f>
        <v>-10</v>
      </c>
      <c r="AB132" s="760">
        <f>IF(OR($A132="F&amp;F",$A132="CE",AB$7="No aplica"),0,'BOULEVARD 5'!AE130-'BOULEVARD PPTO'!W125)</f>
        <v>-10</v>
      </c>
      <c r="AC132" s="760">
        <f>IF(OR($A132="F&amp;F",$A132="CE",AC$7="No aplica"),0,'BOULEVARD 5'!AF130-'BOULEVARD PPTO'!X125)</f>
        <v>-4110</v>
      </c>
      <c r="AD132" s="760">
        <f>IF(OR($A132="F&amp;F",$A132="CE",AD$7="No aplica"),0,'BOULEVARD 5'!AG130-'BOULEVARD PPTO'!Y125)</f>
        <v>-10</v>
      </c>
      <c r="AE132" s="760">
        <f>IF(OR($A132="F&amp;F",$A132="CE",AE$7="No aplica"),0,'BOULEVARD 5'!AH130-'BOULEVARD PPTO'!Z125)</f>
        <v>-10</v>
      </c>
      <c r="AF132" s="760">
        <f>IF(OR($A132="F&amp;F",$A132="CE",AF$7="No aplica"),0,'BOULEVARD 5'!AI130-'BOULEVARD PPTO'!AA125)</f>
        <v>4090</v>
      </c>
      <c r="AG132" s="760">
        <f>IF(OR($A132="F&amp;F",$A132="CE",AG$7="No aplica"),0,'BOULEVARD 5'!AJ130-'BOULEVARD PPTO'!AB125)</f>
        <v>-10</v>
      </c>
      <c r="AH132" s="760">
        <f>IF(OR($A132="F&amp;F",$A132="CE",AH$7="No aplica"),0,'BOULEVARD 5'!AK130-'BOULEVARD PPTO'!AC125)</f>
        <v>-10</v>
      </c>
      <c r="AI132" s="760">
        <f>IF(OR($A132="F&amp;F",$A132="CE",AI$7="No aplica"),0,'BOULEVARD 5'!AL130-'BOULEVARD PPTO'!AD125)</f>
        <v>-4110</v>
      </c>
      <c r="AJ132" s="760">
        <f>IF(OR($A132="F&amp;F",$A132="CE",AJ$7="No aplica"),0,'BOULEVARD 5'!AM130-'BOULEVARD PPTO'!AE125)</f>
        <v>-4110</v>
      </c>
      <c r="AK132" s="760">
        <f>IF(OR($A132="F&amp;F",$A132="CE",AK$7="No aplica"),0,'BOULEVARD 5'!AN130-'BOULEVARD PPTO'!AF125)</f>
        <v>-4110</v>
      </c>
      <c r="AL132" s="760">
        <f>IF(OR($A132="F&amp;F",$A132="CE",AL$7="No aplica"),0,'BOULEVARD 5'!AO130-'BOULEVARD PPTO'!AG125)</f>
        <v>12440</v>
      </c>
      <c r="AM132" s="760">
        <f>IF(OR($A132="F&amp;F",$A132="CE",AM$7="No aplica"),0,'BOULEVARD 5'!AP130-'BOULEVARD PPTO'!AH125)</f>
        <v>0</v>
      </c>
      <c r="AN132" s="760">
        <f>IF(OR($A132="F&amp;F",$A132="CE",AN$7="No aplica"),0,'BOULEVARD 5'!AQ130-'BOULEVARD PPTO'!AI125)</f>
        <v>0</v>
      </c>
      <c r="AO132" s="760">
        <f>IF(OR($A132="F&amp;F",$A132="CE",AO$7="No aplica"),0,'BOULEVARD 5'!AS130-'BOULEVARD PPTO'!AJ125)</f>
        <v>0</v>
      </c>
      <c r="AP132" s="761">
        <f t="shared" si="13"/>
        <v>0</v>
      </c>
      <c r="AQ132" s="761">
        <f t="shared" si="14"/>
        <v>0</v>
      </c>
      <c r="AR132" s="674">
        <f>IF(A132=0,'BOULEVARD 5'!BF130,0)</f>
        <v>8000</v>
      </c>
      <c r="AS132" s="674">
        <f>IF(A132=0,'BOULEVARD 5'!BG130,0)</f>
        <v>4110</v>
      </c>
      <c r="AT132" s="675" t="str">
        <f t="shared" si="12"/>
        <v>Vendido</v>
      </c>
      <c r="AU132" s="581" t="str">
        <f t="shared" si="16"/>
        <v/>
      </c>
      <c r="AV132" s="760">
        <f t="shared" si="15"/>
        <v>0</v>
      </c>
    </row>
    <row r="133" spans="1:48" s="581" customFormat="1" ht="12.4" customHeight="1" outlineLevel="1" x14ac:dyDescent="0.25">
      <c r="A133" s="703">
        <f>'BOULEVARD 5'!BQ131</f>
        <v>0</v>
      </c>
      <c r="B133" s="564">
        <v>717</v>
      </c>
      <c r="C133" s="564" t="s">
        <v>175</v>
      </c>
      <c r="D133" s="564"/>
      <c r="E133" s="564" t="str">
        <f>IF('BOULEVARD 5'!E131&lt;&gt;0,'BOULEVARD 5'!E131,"")</f>
        <v>Antonio Rada</v>
      </c>
      <c r="F133" s="581" t="str">
        <f>IF('BOULEVARD 5'!F131&lt;&gt;0,'BOULEVARD 5'!F131,"")</f>
        <v>Jorge Estuardo Díaz Durán Baldetti</v>
      </c>
      <c r="G133" s="566">
        <f>IF('BOULEVARD 5'!G131="","",'BOULEVARD 5'!G131)</f>
        <v>45412</v>
      </c>
      <c r="H133" s="756">
        <f>IF(OR($A133="F&amp;F",$A133="CE",H$7="No aplica"),0,'BOULEVARD 5'!K131-'BOULEVARD PPTO'!C126)</f>
        <v>0</v>
      </c>
      <c r="I133" s="756">
        <f>IF(OR($A133="F&amp;F",$A133="CE",I$7="No aplica"),0,'BOULEVARD 5'!L131-'BOULEVARD PPTO'!D126)</f>
        <v>0</v>
      </c>
      <c r="J133" s="756">
        <f>IF(OR($A133="F&amp;F",$A133="CE",J$7="No aplica"),0,'BOULEVARD 5'!M131-'BOULEVARD PPTO'!E126)</f>
        <v>0</v>
      </c>
      <c r="K133" s="756">
        <f>IF(OR($A133="F&amp;F",$A133="CE",K$7="No aplica"),0,'BOULEVARD 5'!N131-'BOULEVARD PPTO'!F126)</f>
        <v>0</v>
      </c>
      <c r="L133" s="756">
        <f>IF(OR($A133="F&amp;F",$A133="CE",L$7="No aplica"),0,'BOULEVARD 5'!O131-'BOULEVARD PPTO'!G126)</f>
        <v>0</v>
      </c>
      <c r="M133" s="756">
        <f>IF(OR($A133="F&amp;F",$A133="CE",M$7="No aplica"),0,'BOULEVARD 5'!P131-'BOULEVARD PPTO'!H126)</f>
        <v>0</v>
      </c>
      <c r="N133" s="756">
        <f>IF(OR($A133="F&amp;F",$A133="CE",N$7="No aplica"),0,'BOULEVARD 5'!Q131-'BOULEVARD PPTO'!I126)</f>
        <v>0</v>
      </c>
      <c r="O133" s="756">
        <f>IF(OR($A133="F&amp;F",$A133="CE",O$7="No aplica"),0,'BOULEVARD 5'!R131-'BOULEVARD PPTO'!J126)</f>
        <v>0</v>
      </c>
      <c r="P133" s="756">
        <f>IF(OR($A133="F&amp;F",$A133="CE",P$7="No aplica"),0,'BOULEVARD 5'!S131-'BOULEVARD PPTO'!K126)</f>
        <v>0</v>
      </c>
      <c r="Q133" s="760">
        <f>IF(OR($A133="F&amp;F",$A133="CE",Q$7="No aplica"),0,'BOULEVARD 5'!T131-'BOULEVARD PPTO'!L126)</f>
        <v>0</v>
      </c>
      <c r="R133" s="760">
        <f>IF(OR($A133="F&amp;F",$A133="CE",R$7="No aplica"),0,'BOULEVARD 5'!U131-'BOULEVARD PPTO'!M126)</f>
        <v>0</v>
      </c>
      <c r="S133" s="760">
        <f>IF(OR($A133="F&amp;F",$A133="CE",S$7="No aplica"),0,'BOULEVARD 5'!V131-'BOULEVARD PPTO'!N126)</f>
        <v>0</v>
      </c>
      <c r="T133" s="760">
        <f>IF(OR($A133="F&amp;F",$A133="CE",T$7="No aplica"),0,'BOULEVARD 5'!W131-'BOULEVARD PPTO'!O126)</f>
        <v>0</v>
      </c>
      <c r="U133" s="760">
        <f>IF(OR($A133="F&amp;F",$A133="CE",U$7="No aplica"),0,'BOULEVARD 5'!X131-'BOULEVARD PPTO'!P126)</f>
        <v>0</v>
      </c>
      <c r="V133" s="760">
        <f>IF(OR($A133="F&amp;F",$A133="CE",V$7="No aplica"),0,'BOULEVARD 5'!Y131-'BOULEVARD PPTO'!Q126)</f>
        <v>-4040</v>
      </c>
      <c r="W133" s="760">
        <f>IF(OR($A133="F&amp;F",$A133="CE",W$7="No aplica"),0,'BOULEVARD 5'!Z131-'BOULEVARD PPTO'!R126)</f>
        <v>-4040</v>
      </c>
      <c r="X133" s="760">
        <f>IF(OR($A133="F&amp;F",$A133="CE",X$7="No aplica"),0,'BOULEVARD 5'!AA131-'BOULEVARD PPTO'!S126)</f>
        <v>0</v>
      </c>
      <c r="Y133" s="760">
        <f>IF(OR($A133="F&amp;F",$A133="CE",Y$7="No aplica"),0,'BOULEVARD 5'!AB131-'BOULEVARD PPTO'!T126)</f>
        <v>0</v>
      </c>
      <c r="Z133" s="760">
        <f>IF(OR($A133="F&amp;F",$A133="CE",Z$7="No aplica"),0,'BOULEVARD 5'!AC131-'BOULEVARD PPTO'!U126)</f>
        <v>0</v>
      </c>
      <c r="AA133" s="760">
        <f>IF(OR($A133="F&amp;F",$A133="CE",AA$7="No aplica"),0,'BOULEVARD 5'!AD131-'BOULEVARD PPTO'!V126)</f>
        <v>0</v>
      </c>
      <c r="AB133" s="760">
        <f>IF(OR($A133="F&amp;F",$A133="CE",AB$7="No aplica"),0,'BOULEVARD 5'!AE131-'BOULEVARD PPTO'!W126)</f>
        <v>0</v>
      </c>
      <c r="AC133" s="760">
        <f>IF(OR($A133="F&amp;F",$A133="CE",AC$7="No aplica"),0,'BOULEVARD 5'!AF131-'BOULEVARD PPTO'!X126)</f>
        <v>0</v>
      </c>
      <c r="AD133" s="760">
        <f>IF(OR($A133="F&amp;F",$A133="CE",AD$7="No aplica"),0,'BOULEVARD 5'!AG131-'BOULEVARD PPTO'!Y126)</f>
        <v>0</v>
      </c>
      <c r="AE133" s="760">
        <f>IF(OR($A133="F&amp;F",$A133="CE",AE$7="No aplica"),0,'BOULEVARD 5'!AH131-'BOULEVARD PPTO'!Z126)</f>
        <v>0</v>
      </c>
      <c r="AF133" s="760">
        <f>IF(OR($A133="F&amp;F",$A133="CE",AF$7="No aplica"),0,'BOULEVARD 5'!AI131-'BOULEVARD PPTO'!AA126)</f>
        <v>0</v>
      </c>
      <c r="AG133" s="760">
        <f>IF(OR($A133="F&amp;F",$A133="CE",AG$7="No aplica"),0,'BOULEVARD 5'!AJ131-'BOULEVARD PPTO'!AB126)</f>
        <v>0</v>
      </c>
      <c r="AH133" s="760">
        <f>IF(OR($A133="F&amp;F",$A133="CE",AH$7="No aplica"),0,'BOULEVARD 5'!AK131-'BOULEVARD PPTO'!AC126)</f>
        <v>0</v>
      </c>
      <c r="AI133" s="760">
        <f>IF(OR($A133="F&amp;F",$A133="CE",AI$7="No aplica"),0,'BOULEVARD 5'!AL131-'BOULEVARD PPTO'!AD126)</f>
        <v>0</v>
      </c>
      <c r="AJ133" s="760">
        <f>IF(OR($A133="F&amp;F",$A133="CE",AJ$7="No aplica"),0,'BOULEVARD 5'!AM131-'BOULEVARD PPTO'!AE126)</f>
        <v>0</v>
      </c>
      <c r="AK133" s="760">
        <f>IF(OR($A133="F&amp;F",$A133="CE",AK$7="No aplica"),0,'BOULEVARD 5'!AN131-'BOULEVARD PPTO'!AF126)</f>
        <v>0</v>
      </c>
      <c r="AL133" s="760">
        <f>IF(OR($A133="F&amp;F",$A133="CE",AL$7="No aplica"),0,'BOULEVARD 5'!AO131-'BOULEVARD PPTO'!AG126)</f>
        <v>0</v>
      </c>
      <c r="AM133" s="760">
        <f>IF(OR($A133="F&amp;F",$A133="CE",AM$7="No aplica"),0,'BOULEVARD 5'!AP131-'BOULEVARD PPTO'!AH126)</f>
        <v>0</v>
      </c>
      <c r="AN133" s="760">
        <f>IF(OR($A133="F&amp;F",$A133="CE",AN$7="No aplica"),0,'BOULEVARD 5'!AQ131-'BOULEVARD PPTO'!AI126)</f>
        <v>0</v>
      </c>
      <c r="AO133" s="760">
        <f>IF(OR($A133="F&amp;F",$A133="CE",AO$7="No aplica"),0,'BOULEVARD 5'!AS131-'BOULEVARD PPTO'!AJ126)</f>
        <v>0</v>
      </c>
      <c r="AP133" s="761">
        <f t="shared" si="13"/>
        <v>-8080</v>
      </c>
      <c r="AQ133" s="761">
        <f t="shared" si="14"/>
        <v>37160</v>
      </c>
      <c r="AR133" s="674">
        <f>IF(A133=0,'BOULEVARD 5'!BF131,0)</f>
        <v>8000</v>
      </c>
      <c r="AS133" s="674">
        <f>IF(A133=0,'BOULEVARD 5'!BG131,0)</f>
        <v>4040</v>
      </c>
      <c r="AT133" s="675" t="str">
        <f t="shared" si="12"/>
        <v>Vendido</v>
      </c>
      <c r="AU133" s="581" t="str">
        <f t="shared" si="16"/>
        <v>POR COBRAR</v>
      </c>
      <c r="AV133" s="760">
        <f t="shared" si="15"/>
        <v>0</v>
      </c>
    </row>
    <row r="134" spans="1:48" s="581" customFormat="1" ht="12.4" customHeight="1" outlineLevel="1" x14ac:dyDescent="0.25">
      <c r="A134" s="703">
        <f>'BOULEVARD 5'!BQ132</f>
        <v>0</v>
      </c>
      <c r="B134" s="564">
        <v>718</v>
      </c>
      <c r="C134" s="564" t="s">
        <v>456</v>
      </c>
      <c r="D134" s="564"/>
      <c r="E134" s="564" t="str">
        <f>IF('BOULEVARD 5'!E132&lt;&gt;0,'BOULEVARD 5'!E132,"")</f>
        <v>Mario Rodriguez</v>
      </c>
      <c r="F134" s="581" t="str">
        <f>IF('BOULEVARD 5'!F132&lt;&gt;0,'BOULEVARD 5'!F132,"")</f>
        <v>Julio Fernando Flores Interiano</v>
      </c>
      <c r="G134" s="566">
        <f>IF('BOULEVARD 5'!G132="","",'BOULEVARD 5'!G132)</f>
        <v>45902</v>
      </c>
      <c r="H134" s="756">
        <f>IF(OR($A134="F&amp;F",$A134="CE",H$7="No aplica"),0,'BOULEVARD 5'!K132-'BOULEVARD PPTO'!C127)</f>
        <v>0</v>
      </c>
      <c r="I134" s="756">
        <f>IF(OR($A134="F&amp;F",$A134="CE",I$7="No aplica"),0,'BOULEVARD 5'!L132-'BOULEVARD PPTO'!D127)</f>
        <v>0</v>
      </c>
      <c r="J134" s="756">
        <f>IF(OR($A134="F&amp;F",$A134="CE",J$7="No aplica"),0,'BOULEVARD 5'!M132-'BOULEVARD PPTO'!E127)</f>
        <v>0</v>
      </c>
      <c r="K134" s="756">
        <f>IF(OR($A134="F&amp;F",$A134="CE",K$7="No aplica"),0,'BOULEVARD 5'!N132-'BOULEVARD PPTO'!F127)</f>
        <v>0</v>
      </c>
      <c r="L134" s="756">
        <f>IF(OR($A134="F&amp;F",$A134="CE",L$7="No aplica"),0,'BOULEVARD 5'!O132-'BOULEVARD PPTO'!G127)</f>
        <v>0</v>
      </c>
      <c r="M134" s="756">
        <f>IF(OR($A134="F&amp;F",$A134="CE",M$7="No aplica"),0,'BOULEVARD 5'!P132-'BOULEVARD PPTO'!H127)</f>
        <v>0</v>
      </c>
      <c r="N134" s="756">
        <f>IF(OR($A134="F&amp;F",$A134="CE",N$7="No aplica"),0,'BOULEVARD 5'!Q132-'BOULEVARD PPTO'!I127)</f>
        <v>0</v>
      </c>
      <c r="O134" s="756">
        <f>IF(OR($A134="F&amp;F",$A134="CE",O$7="No aplica"),0,'BOULEVARD 5'!R132-'BOULEVARD PPTO'!J127)</f>
        <v>0</v>
      </c>
      <c r="P134" s="756">
        <f>IF(OR($A134="F&amp;F",$A134="CE",P$7="No aplica"),0,'BOULEVARD 5'!S132-'BOULEVARD PPTO'!K127)</f>
        <v>0</v>
      </c>
      <c r="Q134" s="760">
        <f>IF(OR($A134="F&amp;F",$A134="CE",Q$7="No aplica"),0,'BOULEVARD 5'!T132-'BOULEVARD PPTO'!L127)</f>
        <v>0</v>
      </c>
      <c r="R134" s="760">
        <f>IF(OR($A134="F&amp;F",$A134="CE",R$7="No aplica"),0,'BOULEVARD 5'!U132-'BOULEVARD PPTO'!M127)</f>
        <v>0</v>
      </c>
      <c r="S134" s="760">
        <f>IF(OR($A134="F&amp;F",$A134="CE",S$7="No aplica"),0,'BOULEVARD 5'!V132-'BOULEVARD PPTO'!N127)</f>
        <v>0</v>
      </c>
      <c r="T134" s="760">
        <f>IF(OR($A134="F&amp;F",$A134="CE",T$7="No aplica"),0,'BOULEVARD 5'!W132-'BOULEVARD PPTO'!O127)</f>
        <v>0</v>
      </c>
      <c r="U134" s="760">
        <f>IF(OR($A134="F&amp;F",$A134="CE",U$7="No aplica"),0,'BOULEVARD 5'!X132-'BOULEVARD PPTO'!P127)</f>
        <v>0</v>
      </c>
      <c r="V134" s="760">
        <f>IF(OR($A134="F&amp;F",$A134="CE",V$7="No aplica"),0,'BOULEVARD 5'!Y132-'BOULEVARD PPTO'!Q127)</f>
        <v>0</v>
      </c>
      <c r="W134" s="760">
        <f>IF(OR($A134="F&amp;F",$A134="CE",W$7="No aplica"),0,'BOULEVARD 5'!Z132-'BOULEVARD PPTO'!R127)</f>
        <v>0</v>
      </c>
      <c r="X134" s="760">
        <f>IF(OR($A134="F&amp;F",$A134="CE",X$7="No aplica"),0,'BOULEVARD 5'!AA132-'BOULEVARD PPTO'!S127)</f>
        <v>0</v>
      </c>
      <c r="Y134" s="760">
        <f>IF(OR($A134="F&amp;F",$A134="CE",Y$7="No aplica"),0,'BOULEVARD 5'!AB132-'BOULEVARD PPTO'!T127)</f>
        <v>0</v>
      </c>
      <c r="Z134" s="760">
        <f>IF(OR($A134="F&amp;F",$A134="CE",Z$7="No aplica"),0,'BOULEVARD 5'!AC132-'BOULEVARD PPTO'!U127)</f>
        <v>0</v>
      </c>
      <c r="AA134" s="760">
        <f>IF(OR($A134="F&amp;F",$A134="CE",AA$7="No aplica"),0,'BOULEVARD 5'!AD132-'BOULEVARD PPTO'!V127)</f>
        <v>0</v>
      </c>
      <c r="AB134" s="760">
        <f>IF(OR($A134="F&amp;F",$A134="CE",AB$7="No aplica"),0,'BOULEVARD 5'!AE132-'BOULEVARD PPTO'!W127)</f>
        <v>0</v>
      </c>
      <c r="AC134" s="760">
        <f>IF(OR($A134="F&amp;F",$A134="CE",AC$7="No aplica"),0,'BOULEVARD 5'!AF132-'BOULEVARD PPTO'!X127)</f>
        <v>0</v>
      </c>
      <c r="AD134" s="760">
        <f>IF(OR($A134="F&amp;F",$A134="CE",AD$7="No aplica"),0,'BOULEVARD 5'!AG132-'BOULEVARD PPTO'!Y127)</f>
        <v>0</v>
      </c>
      <c r="AE134" s="760">
        <f>IF(OR($A134="F&amp;F",$A134="CE",AE$7="No aplica"),0,'BOULEVARD 5'!AH132-'BOULEVARD PPTO'!Z127)</f>
        <v>0</v>
      </c>
      <c r="AF134" s="760">
        <f>IF(OR($A134="F&amp;F",$A134="CE",AF$7="No aplica"),0,'BOULEVARD 5'!AI132-'BOULEVARD PPTO'!AA127)</f>
        <v>0</v>
      </c>
      <c r="AG134" s="760">
        <f>IF(OR($A134="F&amp;F",$A134="CE",AG$7="No aplica"),0,'BOULEVARD 5'!AJ132-'BOULEVARD PPTO'!AB127)</f>
        <v>0</v>
      </c>
      <c r="AH134" s="760">
        <f>IF(OR($A134="F&amp;F",$A134="CE",AH$7="No aplica"),0,'BOULEVARD 5'!AK132-'BOULEVARD PPTO'!AC127)</f>
        <v>0</v>
      </c>
      <c r="AI134" s="760">
        <f>IF(OR($A134="F&amp;F",$A134="CE",AI$7="No aplica"),0,'BOULEVARD 5'!AL132-'BOULEVARD PPTO'!AD127)</f>
        <v>0</v>
      </c>
      <c r="AJ134" s="760">
        <f>IF(OR($A134="F&amp;F",$A134="CE",AJ$7="No aplica"),0,'BOULEVARD 5'!AM132-'BOULEVARD PPTO'!AE127)</f>
        <v>0</v>
      </c>
      <c r="AK134" s="760">
        <f>IF(OR($A134="F&amp;F",$A134="CE",AK$7="No aplica"),0,'BOULEVARD 5'!AN132-'BOULEVARD PPTO'!AF127)</f>
        <v>0</v>
      </c>
      <c r="AL134" s="760">
        <f>IF(OR($A134="F&amp;F",$A134="CE",AL$7="No aplica"),0,'BOULEVARD 5'!AO132-'BOULEVARD PPTO'!AG127)</f>
        <v>10000</v>
      </c>
      <c r="AM134" s="760">
        <f>IF(OR($A134="F&amp;F",$A134="CE",AM$7="No aplica"),0,'BOULEVARD 5'!AP132-'BOULEVARD PPTO'!AH127)</f>
        <v>0</v>
      </c>
      <c r="AN134" s="760">
        <f>IF(OR($A134="F&amp;F",$A134="CE",AN$7="No aplica"),0,'BOULEVARD 5'!AQ132-'BOULEVARD PPTO'!AI127)</f>
        <v>0</v>
      </c>
      <c r="AO134" s="760">
        <f>IF(OR($A134="F&amp;F",$A134="CE",AO$7="No aplica"),0,'BOULEVARD 5'!AS132-'BOULEVARD PPTO'!AJ127)</f>
        <v>0</v>
      </c>
      <c r="AP134" s="761">
        <f t="shared" si="13"/>
        <v>10000</v>
      </c>
      <c r="AQ134" s="761">
        <f t="shared" si="14"/>
        <v>10000</v>
      </c>
      <c r="AR134" s="674">
        <f>IF(A134=0,'BOULEVARD 5'!BF132,0)</f>
        <v>0</v>
      </c>
      <c r="AS134" s="674">
        <f>IF(A134=0,'BOULEVARD 5'!BG132,0)</f>
        <v>0</v>
      </c>
      <c r="AT134" s="675" t="str">
        <f t="shared" si="12"/>
        <v>Vendido</v>
      </c>
      <c r="AU134" s="581" t="str">
        <f t="shared" si="16"/>
        <v>A FAVOR DEL CLIENTE</v>
      </c>
      <c r="AV134" s="760">
        <f t="shared" si="15"/>
        <v>0</v>
      </c>
    </row>
    <row r="135" spans="1:48" s="581" customFormat="1" ht="12.4" customHeight="1" outlineLevel="1" x14ac:dyDescent="0.25">
      <c r="A135" s="703">
        <f>'BOULEVARD 5'!BQ133</f>
        <v>0</v>
      </c>
      <c r="B135" s="564">
        <v>719</v>
      </c>
      <c r="C135" s="564" t="s">
        <v>134</v>
      </c>
      <c r="D135" s="564"/>
      <c r="E135" s="564" t="str">
        <f>IF('BOULEVARD 5'!E133&lt;&gt;0,'BOULEVARD 5'!E133,"")</f>
        <v>Junta Directiva</v>
      </c>
      <c r="F135" s="581" t="str">
        <f>IF('BOULEVARD 5'!F133&lt;&gt;0,'BOULEVARD 5'!F133,"")</f>
        <v>(congelado estrategia comercial) / Mario Flores</v>
      </c>
      <c r="G135" s="566">
        <f>IF('BOULEVARD 5'!G133="","",'BOULEVARD 5'!G133)</f>
        <v>45904</v>
      </c>
      <c r="H135" s="756">
        <f>IF(OR($A135="F&amp;F",$A135="CE",H$7="No aplica"),0,'BOULEVARD 5'!K133-'BOULEVARD PPTO'!C128)</f>
        <v>0</v>
      </c>
      <c r="I135" s="756">
        <f>IF(OR($A135="F&amp;F",$A135="CE",I$7="No aplica"),0,'BOULEVARD 5'!L133-'BOULEVARD PPTO'!D128)</f>
        <v>0</v>
      </c>
      <c r="J135" s="756">
        <f>IF(OR($A135="F&amp;F",$A135="CE",J$7="No aplica"),0,'BOULEVARD 5'!M133-'BOULEVARD PPTO'!E128)</f>
        <v>0</v>
      </c>
      <c r="K135" s="756">
        <f>IF(OR($A135="F&amp;F",$A135="CE",K$7="No aplica"),0,'BOULEVARD 5'!N133-'BOULEVARD PPTO'!F128)</f>
        <v>0</v>
      </c>
      <c r="L135" s="756">
        <f>IF(OR($A135="F&amp;F",$A135="CE",L$7="No aplica"),0,'BOULEVARD 5'!O133-'BOULEVARD PPTO'!G128)</f>
        <v>0</v>
      </c>
      <c r="M135" s="756">
        <f>IF(OR($A135="F&amp;F",$A135="CE",M$7="No aplica"),0,'BOULEVARD 5'!P133-'BOULEVARD PPTO'!H128)</f>
        <v>0</v>
      </c>
      <c r="N135" s="756">
        <f>IF(OR($A135="F&amp;F",$A135="CE",N$7="No aplica"),0,'BOULEVARD 5'!Q133-'BOULEVARD PPTO'!I128)</f>
        <v>0</v>
      </c>
      <c r="O135" s="756">
        <f>IF(OR($A135="F&amp;F",$A135="CE",O$7="No aplica"),0,'BOULEVARD 5'!R133-'BOULEVARD PPTO'!J128)</f>
        <v>0</v>
      </c>
      <c r="P135" s="756">
        <f>IF(OR($A135="F&amp;F",$A135="CE",P$7="No aplica"),0,'BOULEVARD 5'!S133-'BOULEVARD PPTO'!K128)</f>
        <v>0</v>
      </c>
      <c r="Q135" s="760">
        <f>IF(OR($A135="F&amp;F",$A135="CE",Q$7="No aplica"),0,'BOULEVARD 5'!T133-'BOULEVARD PPTO'!L128)</f>
        <v>0</v>
      </c>
      <c r="R135" s="760">
        <f>IF(OR($A135="F&amp;F",$A135="CE",R$7="No aplica"),0,'BOULEVARD 5'!U133-'BOULEVARD PPTO'!M128)</f>
        <v>0</v>
      </c>
      <c r="S135" s="760">
        <f>IF(OR($A135="F&amp;F",$A135="CE",S$7="No aplica"),0,'BOULEVARD 5'!V133-'BOULEVARD PPTO'!N128)</f>
        <v>0</v>
      </c>
      <c r="T135" s="760">
        <f>IF(OR($A135="F&amp;F",$A135="CE",T$7="No aplica"),0,'BOULEVARD 5'!W133-'BOULEVARD PPTO'!O128)</f>
        <v>0</v>
      </c>
      <c r="U135" s="760">
        <f>IF(OR($A135="F&amp;F",$A135="CE",U$7="No aplica"),0,'BOULEVARD 5'!X133-'BOULEVARD PPTO'!P128)</f>
        <v>0</v>
      </c>
      <c r="V135" s="760">
        <f>IF(OR($A135="F&amp;F",$A135="CE",V$7="No aplica"),0,'BOULEVARD 5'!Y133-'BOULEVARD PPTO'!Q128)</f>
        <v>0</v>
      </c>
      <c r="W135" s="760">
        <f>IF(OR($A135="F&amp;F",$A135="CE",W$7="No aplica"),0,'BOULEVARD 5'!Z133-'BOULEVARD PPTO'!R128)</f>
        <v>0</v>
      </c>
      <c r="X135" s="760">
        <f>IF(OR($A135="F&amp;F",$A135="CE",X$7="No aplica"),0,'BOULEVARD 5'!AA133-'BOULEVARD PPTO'!S128)</f>
        <v>0</v>
      </c>
      <c r="Y135" s="760">
        <f>IF(OR($A135="F&amp;F",$A135="CE",Y$7="No aplica"),0,'BOULEVARD 5'!AB133-'BOULEVARD PPTO'!T128)</f>
        <v>0</v>
      </c>
      <c r="Z135" s="760">
        <f>IF(OR($A135="F&amp;F",$A135="CE",Z$7="No aplica"),0,'BOULEVARD 5'!AC133-'BOULEVARD PPTO'!U128)</f>
        <v>0</v>
      </c>
      <c r="AA135" s="760">
        <f>IF(OR($A135="F&amp;F",$A135="CE",AA$7="No aplica"),0,'BOULEVARD 5'!AD133-'BOULEVARD PPTO'!V128)</f>
        <v>0</v>
      </c>
      <c r="AB135" s="760">
        <f>IF(OR($A135="F&amp;F",$A135="CE",AB$7="No aplica"),0,'BOULEVARD 5'!AE133-'BOULEVARD PPTO'!W128)</f>
        <v>0</v>
      </c>
      <c r="AC135" s="760">
        <f>IF(OR($A135="F&amp;F",$A135="CE",AC$7="No aplica"),0,'BOULEVARD 5'!AF133-'BOULEVARD PPTO'!X128)</f>
        <v>0</v>
      </c>
      <c r="AD135" s="760">
        <f>IF(OR($A135="F&amp;F",$A135="CE",AD$7="No aplica"),0,'BOULEVARD 5'!AG133-'BOULEVARD PPTO'!Y128)</f>
        <v>0</v>
      </c>
      <c r="AE135" s="760">
        <f>IF(OR($A135="F&amp;F",$A135="CE",AE$7="No aplica"),0,'BOULEVARD 5'!AH133-'BOULEVARD PPTO'!Z128)</f>
        <v>0</v>
      </c>
      <c r="AF135" s="760">
        <f>IF(OR($A135="F&amp;F",$A135="CE",AF$7="No aplica"),0,'BOULEVARD 5'!AI133-'BOULEVARD PPTO'!AA128)</f>
        <v>0</v>
      </c>
      <c r="AG135" s="760">
        <f>IF(OR($A135="F&amp;F",$A135="CE",AG$7="No aplica"),0,'BOULEVARD 5'!AJ133-'BOULEVARD PPTO'!AB128)</f>
        <v>0</v>
      </c>
      <c r="AH135" s="760">
        <f>IF(OR($A135="F&amp;F",$A135="CE",AH$7="No aplica"),0,'BOULEVARD 5'!AK133-'BOULEVARD PPTO'!AC128)</f>
        <v>0</v>
      </c>
      <c r="AI135" s="760">
        <f>IF(OR($A135="F&amp;F",$A135="CE",AI$7="No aplica"),0,'BOULEVARD 5'!AL133-'BOULEVARD PPTO'!AD128)</f>
        <v>0</v>
      </c>
      <c r="AJ135" s="760">
        <f>IF(OR($A135="F&amp;F",$A135="CE",AJ$7="No aplica"),0,'BOULEVARD 5'!AM133-'BOULEVARD PPTO'!AE128)</f>
        <v>0</v>
      </c>
      <c r="AK135" s="760">
        <f>IF(OR($A135="F&amp;F",$A135="CE",AK$7="No aplica"),0,'BOULEVARD 5'!AN133-'BOULEVARD PPTO'!AF128)</f>
        <v>0</v>
      </c>
      <c r="AL135" s="760">
        <f>IF(OR($A135="F&amp;F",$A135="CE",AL$7="No aplica"),0,'BOULEVARD 5'!AO133-'BOULEVARD PPTO'!AG128)</f>
        <v>0</v>
      </c>
      <c r="AM135" s="760">
        <f>IF(OR($A135="F&amp;F",$A135="CE",AM$7="No aplica"),0,'BOULEVARD 5'!AP133-'BOULEVARD PPTO'!AH128)</f>
        <v>0</v>
      </c>
      <c r="AN135" s="760">
        <f>IF(OR($A135="F&amp;F",$A135="CE",AN$7="No aplica"),0,'BOULEVARD 5'!AQ133-'BOULEVARD PPTO'!AI128)</f>
        <v>0</v>
      </c>
      <c r="AO135" s="760">
        <f>IF(OR($A135="F&amp;F",$A135="CE",AO$7="No aplica"),0,'BOULEVARD 5'!AS133-'BOULEVARD PPTO'!AJ128)</f>
        <v>0</v>
      </c>
      <c r="AP135" s="761">
        <f t="shared" si="13"/>
        <v>0</v>
      </c>
      <c r="AQ135" s="761">
        <f t="shared" si="14"/>
        <v>0</v>
      </c>
      <c r="AR135" s="674">
        <f>IF(A135=0,'BOULEVARD 5'!BF133,0)</f>
        <v>0</v>
      </c>
      <c r="AS135" s="674">
        <f>IF(A135=0,'BOULEVARD 5'!BG133,0)</f>
        <v>0</v>
      </c>
      <c r="AT135" s="675" t="str">
        <f t="shared" si="12"/>
        <v>Vendido</v>
      </c>
      <c r="AU135" s="581" t="str">
        <f t="shared" si="16"/>
        <v/>
      </c>
      <c r="AV135" s="760">
        <f t="shared" si="15"/>
        <v>0</v>
      </c>
    </row>
    <row r="136" spans="1:48" s="581" customFormat="1" ht="12.4" customHeight="1" outlineLevel="1" x14ac:dyDescent="0.25">
      <c r="A136" s="703">
        <f>'BOULEVARD 5'!BQ134</f>
        <v>0</v>
      </c>
      <c r="B136" s="564">
        <v>801</v>
      </c>
      <c r="C136" s="564" t="s">
        <v>409</v>
      </c>
      <c r="D136" s="564"/>
      <c r="E136" s="564" t="str">
        <f>IF('BOULEVARD 5'!E134&lt;&gt;0,'BOULEVARD 5'!E134,"")</f>
        <v>Antonio Rada</v>
      </c>
      <c r="F136" s="581" t="str">
        <f>IF('BOULEVARD 5'!F134&lt;&gt;0,'BOULEVARD 5'!F134,"")</f>
        <v>Pablo Jose Juarez Pereira</v>
      </c>
      <c r="G136" s="566">
        <f>IF('BOULEVARD 5'!G134="","",'BOULEVARD 5'!G134)</f>
        <v>45132</v>
      </c>
      <c r="H136" s="756">
        <f>IF(OR($A136="F&amp;F",$A136="CE",H$7="No aplica"),0,'BOULEVARD 5'!K134-'BOULEVARD PPTO'!C129)</f>
        <v>0</v>
      </c>
      <c r="I136" s="756">
        <f>IF(OR($A136="F&amp;F",$A136="CE",I$7="No aplica"),0,'BOULEVARD 5'!L134-'BOULEVARD PPTO'!D129)</f>
        <v>0</v>
      </c>
      <c r="J136" s="756">
        <f>IF(OR($A136="F&amp;F",$A136="CE",J$7="No aplica"),0,'BOULEVARD 5'!M134-'BOULEVARD PPTO'!E129)</f>
        <v>0</v>
      </c>
      <c r="K136" s="756">
        <f>IF(OR($A136="F&amp;F",$A136="CE",K$7="No aplica"),0,'BOULEVARD 5'!N134-'BOULEVARD PPTO'!F129)</f>
        <v>0</v>
      </c>
      <c r="L136" s="756">
        <f>IF(OR($A136="F&amp;F",$A136="CE",L$7="No aplica"),0,'BOULEVARD 5'!O134-'BOULEVARD PPTO'!G129)</f>
        <v>0</v>
      </c>
      <c r="M136" s="756">
        <f>IF(OR($A136="F&amp;F",$A136="CE",M$7="No aplica"),0,'BOULEVARD 5'!P134-'BOULEVARD PPTO'!H129)</f>
        <v>0</v>
      </c>
      <c r="N136" s="756">
        <f>IF(OR($A136="F&amp;F",$A136="CE",N$7="No aplica"),0,'BOULEVARD 5'!Q134-'BOULEVARD PPTO'!I129)</f>
        <v>0</v>
      </c>
      <c r="O136" s="756">
        <f>IF(OR($A136="F&amp;F",$A136="CE",O$7="No aplica"),0,'BOULEVARD 5'!R134-'BOULEVARD PPTO'!J129)</f>
        <v>0</v>
      </c>
      <c r="P136" s="756">
        <f>IF(OR($A136="F&amp;F",$A136="CE",P$7="No aplica"),0,'BOULEVARD 5'!S134-'BOULEVARD PPTO'!K129)</f>
        <v>0</v>
      </c>
      <c r="Q136" s="760">
        <f>IF(OR($A136="F&amp;F",$A136="CE",Q$7="No aplica"),0,'BOULEVARD 5'!T134-'BOULEVARD PPTO'!L129)</f>
        <v>0</v>
      </c>
      <c r="R136" s="760">
        <f>IF(OR($A136="F&amp;F",$A136="CE",R$7="No aplica"),0,'BOULEVARD 5'!U134-'BOULEVARD PPTO'!M129)</f>
        <v>0</v>
      </c>
      <c r="S136" s="760">
        <f>IF(OR($A136="F&amp;F",$A136="CE",S$7="No aplica"),0,'BOULEVARD 5'!V134-'BOULEVARD PPTO'!N129)</f>
        <v>4200</v>
      </c>
      <c r="T136" s="760">
        <f>IF(OR($A136="F&amp;F",$A136="CE",T$7="No aplica"),0,'BOULEVARD 5'!W134-'BOULEVARD PPTO'!O129)</f>
        <v>-4200</v>
      </c>
      <c r="U136" s="760">
        <f>IF(OR($A136="F&amp;F",$A136="CE",U$7="No aplica"),0,'BOULEVARD 5'!X134-'BOULEVARD PPTO'!P129)</f>
        <v>0</v>
      </c>
      <c r="V136" s="760">
        <f>IF(OR($A136="F&amp;F",$A136="CE",V$7="No aplica"),0,'BOULEVARD 5'!Y134-'BOULEVARD PPTO'!Q129)</f>
        <v>0</v>
      </c>
      <c r="W136" s="760">
        <f>IF(OR($A136="F&amp;F",$A136="CE",W$7="No aplica"),0,'BOULEVARD 5'!Z134-'BOULEVARD PPTO'!R129)</f>
        <v>-4200</v>
      </c>
      <c r="X136" s="760">
        <f>IF(OR($A136="F&amp;F",$A136="CE",X$7="No aplica"),0,'BOULEVARD 5'!AA134-'BOULEVARD PPTO'!S129)</f>
        <v>0</v>
      </c>
      <c r="Y136" s="760">
        <f>IF(OR($A136="F&amp;F",$A136="CE",Y$7="No aplica"),0,'BOULEVARD 5'!AB134-'BOULEVARD PPTO'!T129)</f>
        <v>4200</v>
      </c>
      <c r="Z136" s="760">
        <f>IF(OR($A136="F&amp;F",$A136="CE",Z$7="No aplica"),0,'BOULEVARD 5'!AC134-'BOULEVARD PPTO'!U129)</f>
        <v>-4200</v>
      </c>
      <c r="AA136" s="760">
        <f>IF(OR($A136="F&amp;F",$A136="CE",AA$7="No aplica"),0,'BOULEVARD 5'!AD134-'BOULEVARD PPTO'!V129)</f>
        <v>4200</v>
      </c>
      <c r="AB136" s="760">
        <f>IF(OR($A136="F&amp;F",$A136="CE",AB$7="No aplica"),0,'BOULEVARD 5'!AE134-'BOULEVARD PPTO'!W129)</f>
        <v>0</v>
      </c>
      <c r="AC136" s="760">
        <f>IF(OR($A136="F&amp;F",$A136="CE",AC$7="No aplica"),0,'BOULEVARD 5'!AF134-'BOULEVARD PPTO'!X129)</f>
        <v>-4200</v>
      </c>
      <c r="AD136" s="760">
        <f>IF(OR($A136="F&amp;F",$A136="CE",AD$7="No aplica"),0,'BOULEVARD 5'!AG134-'BOULEVARD PPTO'!Y129)</f>
        <v>0</v>
      </c>
      <c r="AE136" s="760">
        <f>IF(OR($A136="F&amp;F",$A136="CE",AE$7="No aplica"),0,'BOULEVARD 5'!AH134-'BOULEVARD PPTO'!Z129)</f>
        <v>4200</v>
      </c>
      <c r="AF136" s="760">
        <f>IF(OR($A136="F&amp;F",$A136="CE",AF$7="No aplica"),0,'BOULEVARD 5'!AI134-'BOULEVARD PPTO'!AA129)</f>
        <v>4200</v>
      </c>
      <c r="AG136" s="760">
        <f>IF(OR($A136="F&amp;F",$A136="CE",AG$7="No aplica"),0,'BOULEVARD 5'!AJ134-'BOULEVARD PPTO'!AB129)</f>
        <v>-4200</v>
      </c>
      <c r="AH136" s="760">
        <f>IF(OR($A136="F&amp;F",$A136="CE",AH$7="No aplica"),0,'BOULEVARD 5'!AK134-'BOULEVARD PPTO'!AC129)</f>
        <v>0</v>
      </c>
      <c r="AI136" s="760">
        <f>IF(OR($A136="F&amp;F",$A136="CE",AI$7="No aplica"),0,'BOULEVARD 5'!AL134-'BOULEVARD PPTO'!AD129)</f>
        <v>-4200</v>
      </c>
      <c r="AJ136" s="760">
        <f>IF(OR($A136="F&amp;F",$A136="CE",AJ$7="No aplica"),0,'BOULEVARD 5'!AM134-'BOULEVARD PPTO'!AE129)</f>
        <v>4200</v>
      </c>
      <c r="AK136" s="760">
        <f>IF(OR($A136="F&amp;F",$A136="CE",AK$7="No aplica"),0,'BOULEVARD 5'!AN134-'BOULEVARD PPTO'!AF129)</f>
        <v>4200</v>
      </c>
      <c r="AL136" s="760">
        <f>IF(OR($A136="F&amp;F",$A136="CE",AL$7="No aplica"),0,'BOULEVARD 5'!AO134-'BOULEVARD PPTO'!AG129)</f>
        <v>-4200</v>
      </c>
      <c r="AM136" s="760">
        <f>IF(OR($A136="F&amp;F",$A136="CE",AM$7="No aplica"),0,'BOULEVARD 5'!AP134-'BOULEVARD PPTO'!AH129)</f>
        <v>0</v>
      </c>
      <c r="AN136" s="760">
        <f>IF(OR($A136="F&amp;F",$A136="CE",AN$7="No aplica"),0,'BOULEVARD 5'!AQ134-'BOULEVARD PPTO'!AI129)</f>
        <v>0</v>
      </c>
      <c r="AO136" s="760">
        <f>IF(OR($A136="F&amp;F",$A136="CE",AO$7="No aplica"),0,'BOULEVARD 5'!AS134-'BOULEVARD PPTO'!AJ129)</f>
        <v>0</v>
      </c>
      <c r="AP136" s="761">
        <f t="shared" si="13"/>
        <v>0</v>
      </c>
      <c r="AQ136" s="761">
        <f t="shared" si="14"/>
        <v>0</v>
      </c>
      <c r="AR136" s="674">
        <f>IF(A136=0,'BOULEVARD 5'!BF134,0)</f>
        <v>6000</v>
      </c>
      <c r="AS136" s="674">
        <f>IF(A136=0,'BOULEVARD 5'!BG134,0)</f>
        <v>4200</v>
      </c>
      <c r="AT136" s="675" t="str">
        <f t="shared" si="12"/>
        <v>Vendido</v>
      </c>
      <c r="AU136" s="581" t="str">
        <f t="shared" si="16"/>
        <v/>
      </c>
      <c r="AV136" s="760">
        <f t="shared" si="15"/>
        <v>0</v>
      </c>
    </row>
    <row r="137" spans="1:48" s="581" customFormat="1" ht="12.4" customHeight="1" outlineLevel="1" x14ac:dyDescent="0.25">
      <c r="A137" s="703">
        <f>'BOULEVARD 5'!BQ135</f>
        <v>0</v>
      </c>
      <c r="B137" s="564">
        <v>802</v>
      </c>
      <c r="C137" s="564" t="s">
        <v>184</v>
      </c>
      <c r="D137" s="564"/>
      <c r="E137" s="564" t="str">
        <f>IF('BOULEVARD 5'!E135&lt;&gt;0,'BOULEVARD 5'!E135,"")</f>
        <v>Brenda Búcaro</v>
      </c>
      <c r="F137" s="581" t="str">
        <f>IF('BOULEVARD 5'!F135&lt;&gt;0,'BOULEVARD 5'!F135,"")</f>
        <v>Carmen Julia Soto Baechli De Hicks</v>
      </c>
      <c r="G137" s="566">
        <f>IF('BOULEVARD 5'!G135="","",'BOULEVARD 5'!G135)</f>
        <v>45087</v>
      </c>
      <c r="H137" s="756">
        <f>IF(OR($A137="F&amp;F",$A137="CE",H$7="No aplica"),0,'BOULEVARD 5'!K135-'BOULEVARD PPTO'!C130)</f>
        <v>0</v>
      </c>
      <c r="I137" s="756">
        <f>IF(OR($A137="F&amp;F",$A137="CE",I$7="No aplica"),0,'BOULEVARD 5'!L135-'BOULEVARD PPTO'!D130)</f>
        <v>0</v>
      </c>
      <c r="J137" s="756">
        <f>IF(OR($A137="F&amp;F",$A137="CE",J$7="No aplica"),0,'BOULEVARD 5'!M135-'BOULEVARD PPTO'!E130)</f>
        <v>0</v>
      </c>
      <c r="K137" s="756">
        <f>IF(OR($A137="F&amp;F",$A137="CE",K$7="No aplica"),0,'BOULEVARD 5'!N135-'BOULEVARD PPTO'!F130)</f>
        <v>0</v>
      </c>
      <c r="L137" s="756">
        <f>IF(OR($A137="F&amp;F",$A137="CE",L$7="No aplica"),0,'BOULEVARD 5'!O135-'BOULEVARD PPTO'!G130)</f>
        <v>-4100</v>
      </c>
      <c r="M137" s="756">
        <f>IF(OR($A137="F&amp;F",$A137="CE",M$7="No aplica"),0,'BOULEVARD 5'!P135-'BOULEVARD PPTO'!H130)</f>
        <v>4100</v>
      </c>
      <c r="N137" s="756">
        <f>IF(OR($A137="F&amp;F",$A137="CE",N$7="No aplica"),0,'BOULEVARD 5'!Q135-'BOULEVARD PPTO'!I130)</f>
        <v>0</v>
      </c>
      <c r="O137" s="756">
        <f>IF(OR($A137="F&amp;F",$A137="CE",O$7="No aplica"),0,'BOULEVARD 5'!R135-'BOULEVARD PPTO'!J130)</f>
        <v>0</v>
      </c>
      <c r="P137" s="756">
        <f>IF(OR($A137="F&amp;F",$A137="CE",P$7="No aplica"),0,'BOULEVARD 5'!S135-'BOULEVARD PPTO'!K130)</f>
        <v>0</v>
      </c>
      <c r="Q137" s="760">
        <f>IF(OR($A137="F&amp;F",$A137="CE",Q$7="No aplica"),0,'BOULEVARD 5'!T135-'BOULEVARD PPTO'!L130)</f>
        <v>0</v>
      </c>
      <c r="R137" s="760">
        <f>IF(OR($A137="F&amp;F",$A137="CE",R$7="No aplica"),0,'BOULEVARD 5'!U135-'BOULEVARD PPTO'!M130)</f>
        <v>0</v>
      </c>
      <c r="S137" s="760">
        <f>IF(OR($A137="F&amp;F",$A137="CE",S$7="No aplica"),0,'BOULEVARD 5'!V135-'BOULEVARD PPTO'!N130)</f>
        <v>0</v>
      </c>
      <c r="T137" s="760">
        <f>IF(OR($A137="F&amp;F",$A137="CE",T$7="No aplica"),0,'BOULEVARD 5'!W135-'BOULEVARD PPTO'!O130)</f>
        <v>0</v>
      </c>
      <c r="U137" s="760">
        <f>IF(OR($A137="F&amp;F",$A137="CE",U$7="No aplica"),0,'BOULEVARD 5'!X135-'BOULEVARD PPTO'!P130)</f>
        <v>0</v>
      </c>
      <c r="V137" s="760">
        <f>IF(OR($A137="F&amp;F",$A137="CE",V$7="No aplica"),0,'BOULEVARD 5'!Y135-'BOULEVARD PPTO'!Q130)</f>
        <v>0</v>
      </c>
      <c r="W137" s="760">
        <f>IF(OR($A137="F&amp;F",$A137="CE",W$7="No aplica"),0,'BOULEVARD 5'!Z135-'BOULEVARD PPTO'!R130)</f>
        <v>0</v>
      </c>
      <c r="X137" s="760">
        <f>IF(OR($A137="F&amp;F",$A137="CE",X$7="No aplica"),0,'BOULEVARD 5'!AA135-'BOULEVARD PPTO'!S130)</f>
        <v>0</v>
      </c>
      <c r="Y137" s="760">
        <f>IF(OR($A137="F&amp;F",$A137="CE",Y$7="No aplica"),0,'BOULEVARD 5'!AB135-'BOULEVARD PPTO'!T130)</f>
        <v>0</v>
      </c>
      <c r="Z137" s="760">
        <f>IF(OR($A137="F&amp;F",$A137="CE",Z$7="No aplica"),0,'BOULEVARD 5'!AC135-'BOULEVARD PPTO'!U130)</f>
        <v>0</v>
      </c>
      <c r="AA137" s="760">
        <f>IF(OR($A137="F&amp;F",$A137="CE",AA$7="No aplica"),0,'BOULEVARD 5'!AD135-'BOULEVARD PPTO'!V130)</f>
        <v>0</v>
      </c>
      <c r="AB137" s="760">
        <f>IF(OR($A137="F&amp;F",$A137="CE",AB$7="No aplica"),0,'BOULEVARD 5'!AE135-'BOULEVARD PPTO'!W130)</f>
        <v>0</v>
      </c>
      <c r="AC137" s="760">
        <f>IF(OR($A137="F&amp;F",$A137="CE",AC$7="No aplica"),0,'BOULEVARD 5'!AF135-'BOULEVARD PPTO'!X130)</f>
        <v>0</v>
      </c>
      <c r="AD137" s="760">
        <f>IF(OR($A137="F&amp;F",$A137="CE",AD$7="No aplica"),0,'BOULEVARD 5'!AG135-'BOULEVARD PPTO'!Y130)</f>
        <v>0</v>
      </c>
      <c r="AE137" s="760">
        <f>IF(OR($A137="F&amp;F",$A137="CE",AE$7="No aplica"),0,'BOULEVARD 5'!AH135-'BOULEVARD PPTO'!Z130)</f>
        <v>0</v>
      </c>
      <c r="AF137" s="760">
        <f>IF(OR($A137="F&amp;F",$A137="CE",AF$7="No aplica"),0,'BOULEVARD 5'!AI135-'BOULEVARD PPTO'!AA130)</f>
        <v>0</v>
      </c>
      <c r="AG137" s="760">
        <f>IF(OR($A137="F&amp;F",$A137="CE",AG$7="No aplica"),0,'BOULEVARD 5'!AJ135-'BOULEVARD PPTO'!AB130)</f>
        <v>0</v>
      </c>
      <c r="AH137" s="760">
        <f>IF(OR($A137="F&amp;F",$A137="CE",AH$7="No aplica"),0,'BOULEVARD 5'!AK135-'BOULEVARD PPTO'!AC130)</f>
        <v>0</v>
      </c>
      <c r="AI137" s="760">
        <f>IF(OR($A137="F&amp;F",$A137="CE",AI$7="No aplica"),0,'BOULEVARD 5'!AL135-'BOULEVARD PPTO'!AD130)</f>
        <v>0</v>
      </c>
      <c r="AJ137" s="760">
        <f>IF(OR($A137="F&amp;F",$A137="CE",AJ$7="No aplica"),0,'BOULEVARD 5'!AM135-'BOULEVARD PPTO'!AE130)</f>
        <v>0</v>
      </c>
      <c r="AK137" s="760">
        <f>IF(OR($A137="F&amp;F",$A137="CE",AK$7="No aplica"),0,'BOULEVARD 5'!AN135-'BOULEVARD PPTO'!AF130)</f>
        <v>0</v>
      </c>
      <c r="AL137" s="760">
        <f>IF(OR($A137="F&amp;F",$A137="CE",AL$7="No aplica"),0,'BOULEVARD 5'!AO135-'BOULEVARD PPTO'!AG130)</f>
        <v>0</v>
      </c>
      <c r="AM137" s="760">
        <f>IF(OR($A137="F&amp;F",$A137="CE",AM$7="No aplica"),0,'BOULEVARD 5'!AP135-'BOULEVARD PPTO'!AH130)</f>
        <v>4100</v>
      </c>
      <c r="AN137" s="760">
        <f>IF(OR($A137="F&amp;F",$A137="CE",AN$7="No aplica"),0,'BOULEVARD 5'!AQ135-'BOULEVARD PPTO'!AI130)</f>
        <v>0</v>
      </c>
      <c r="AO137" s="760">
        <f>IF(OR($A137="F&amp;F",$A137="CE",AO$7="No aplica"),0,'BOULEVARD 5'!AS135-'BOULEVARD PPTO'!AJ130)</f>
        <v>0</v>
      </c>
      <c r="AP137" s="761">
        <f t="shared" si="13"/>
        <v>4100</v>
      </c>
      <c r="AQ137" s="761">
        <f t="shared" si="14"/>
        <v>16400</v>
      </c>
      <c r="AR137" s="674">
        <f>IF(A137=0,'BOULEVARD 5'!BF135,0)</f>
        <v>6000</v>
      </c>
      <c r="AS137" s="674">
        <f>IF(A137=0,'BOULEVARD 5'!BG135,0)</f>
        <v>4100</v>
      </c>
      <c r="AT137" s="675" t="str">
        <f t="shared" ref="AT137:AT200" si="17">IF(G137="","No Vendido","Vendido")</f>
        <v>Vendido</v>
      </c>
      <c r="AU137" s="581" t="str">
        <f t="shared" si="16"/>
        <v>A FAVOR DEL CLIENTE</v>
      </c>
      <c r="AV137" s="760">
        <f t="shared" si="15"/>
        <v>4100</v>
      </c>
    </row>
    <row r="138" spans="1:48" s="581" customFormat="1" ht="12.4" customHeight="1" outlineLevel="1" x14ac:dyDescent="0.25">
      <c r="A138" s="703">
        <f>'BOULEVARD 5'!BQ136</f>
        <v>0</v>
      </c>
      <c r="B138" s="564">
        <v>803</v>
      </c>
      <c r="C138" s="564" t="s">
        <v>406</v>
      </c>
      <c r="D138" s="564"/>
      <c r="E138" s="564" t="str">
        <f>IF('BOULEVARD 5'!E136&lt;&gt;0,'BOULEVARD 5'!E136,"")</f>
        <v>Brenda Búcaro</v>
      </c>
      <c r="F138" s="581" t="str">
        <f>IF('BOULEVARD 5'!F136&lt;&gt;0,'BOULEVARD 5'!F136,"")</f>
        <v>Mauricio Antonio Leon Tres</v>
      </c>
      <c r="G138" s="566">
        <f>IF('BOULEVARD 5'!G136="","",'BOULEVARD 5'!G136)</f>
        <v>45007</v>
      </c>
      <c r="H138" s="756">
        <f>IF(OR($A138="F&amp;F",$A138="CE",H$7="No aplica"),0,'BOULEVARD 5'!K136-'BOULEVARD PPTO'!C131)</f>
        <v>0</v>
      </c>
      <c r="I138" s="756">
        <f>IF(OR($A138="F&amp;F",$A138="CE",I$7="No aplica"),0,'BOULEVARD 5'!L136-'BOULEVARD PPTO'!D131)</f>
        <v>25</v>
      </c>
      <c r="J138" s="756">
        <f>IF(OR($A138="F&amp;F",$A138="CE",J$7="No aplica"),0,'BOULEVARD 5'!M136-'BOULEVARD PPTO'!E131)</f>
        <v>25</v>
      </c>
      <c r="K138" s="756">
        <f>IF(OR($A138="F&amp;F",$A138="CE",K$7="No aplica"),0,'BOULEVARD 5'!N136-'BOULEVARD PPTO'!F131)</f>
        <v>25</v>
      </c>
      <c r="L138" s="756">
        <f>IF(OR($A138="F&amp;F",$A138="CE",L$7="No aplica"),0,'BOULEVARD 5'!O136-'BOULEVARD PPTO'!G131)</f>
        <v>0</v>
      </c>
      <c r="M138" s="756">
        <f>IF(OR($A138="F&amp;F",$A138="CE",M$7="No aplica"),0,'BOULEVARD 5'!P136-'BOULEVARD PPTO'!H131)</f>
        <v>0</v>
      </c>
      <c r="N138" s="756">
        <f>IF(OR($A138="F&amp;F",$A138="CE",N$7="No aplica"),0,'BOULEVARD 5'!Q136-'BOULEVARD PPTO'!I131)</f>
        <v>0</v>
      </c>
      <c r="O138" s="756">
        <f>IF(OR($A138="F&amp;F",$A138="CE",O$7="No aplica"),0,'BOULEVARD 5'!R136-'BOULEVARD PPTO'!J131)</f>
        <v>0</v>
      </c>
      <c r="P138" s="756">
        <f>IF(OR($A138="F&amp;F",$A138="CE",P$7="No aplica"),0,'BOULEVARD 5'!S136-'BOULEVARD PPTO'!K131)</f>
        <v>0</v>
      </c>
      <c r="Q138" s="760">
        <f>IF(OR($A138="F&amp;F",$A138="CE",Q$7="No aplica"),0,'BOULEVARD 5'!T136-'BOULEVARD PPTO'!L131)</f>
        <v>0</v>
      </c>
      <c r="R138" s="760">
        <f>IF(OR($A138="F&amp;F",$A138="CE",R$7="No aplica"),0,'BOULEVARD 5'!U136-'BOULEVARD PPTO'!M131)</f>
        <v>0</v>
      </c>
      <c r="S138" s="760">
        <f>IF(OR($A138="F&amp;F",$A138="CE",S$7="No aplica"),0,'BOULEVARD 5'!V136-'BOULEVARD PPTO'!N131)</f>
        <v>0</v>
      </c>
      <c r="T138" s="760">
        <f>IF(OR($A138="F&amp;F",$A138="CE",T$7="No aplica"),0,'BOULEVARD 5'!W136-'BOULEVARD PPTO'!O131)</f>
        <v>0</v>
      </c>
      <c r="U138" s="760">
        <f>IF(OR($A138="F&amp;F",$A138="CE",U$7="No aplica"),0,'BOULEVARD 5'!X136-'BOULEVARD PPTO'!P131)</f>
        <v>0</v>
      </c>
      <c r="V138" s="760">
        <f>IF(OR($A138="F&amp;F",$A138="CE",V$7="No aplica"),0,'BOULEVARD 5'!Y136-'BOULEVARD PPTO'!Q131)</f>
        <v>-1700</v>
      </c>
      <c r="W138" s="760">
        <f>IF(OR($A138="F&amp;F",$A138="CE",W$7="No aplica"),0,'BOULEVARD 5'!Z136-'BOULEVARD PPTO'!R131)</f>
        <v>0</v>
      </c>
      <c r="X138" s="760">
        <f>IF(OR($A138="F&amp;F",$A138="CE",X$7="No aplica"),0,'BOULEVARD 5'!AA136-'BOULEVARD PPTO'!S131)</f>
        <v>1700</v>
      </c>
      <c r="Y138" s="760">
        <f>IF(OR($A138="F&amp;F",$A138="CE",Y$7="No aplica"),0,'BOULEVARD 5'!AB136-'BOULEVARD PPTO'!T131)</f>
        <v>0</v>
      </c>
      <c r="Z138" s="760">
        <f>IF(OR($A138="F&amp;F",$A138="CE",Z$7="No aplica"),0,'BOULEVARD 5'!AC136-'BOULEVARD PPTO'!U131)</f>
        <v>0</v>
      </c>
      <c r="AA138" s="760">
        <f>IF(OR($A138="F&amp;F",$A138="CE",AA$7="No aplica"),0,'BOULEVARD 5'!AD136-'BOULEVARD PPTO'!V131)</f>
        <v>0</v>
      </c>
      <c r="AB138" s="760">
        <f>IF(OR($A138="F&amp;F",$A138="CE",AB$7="No aplica"),0,'BOULEVARD 5'!AE136-'BOULEVARD PPTO'!W131)</f>
        <v>0</v>
      </c>
      <c r="AC138" s="760">
        <f>IF(OR($A138="F&amp;F",$A138="CE",AC$7="No aplica"),0,'BOULEVARD 5'!AF136-'BOULEVARD PPTO'!X131)</f>
        <v>-1700</v>
      </c>
      <c r="AD138" s="760">
        <f>IF(OR($A138="F&amp;F",$A138="CE",AD$7="No aplica"),0,'BOULEVARD 5'!AG136-'BOULEVARD PPTO'!Y131)</f>
        <v>0</v>
      </c>
      <c r="AE138" s="760">
        <f>IF(OR($A138="F&amp;F",$A138="CE",AE$7="No aplica"),0,'BOULEVARD 5'!AH136-'BOULEVARD PPTO'!Z131)</f>
        <v>0</v>
      </c>
      <c r="AF138" s="760">
        <f>IF(OR($A138="F&amp;F",$A138="CE",AF$7="No aplica"),0,'BOULEVARD 5'!AI136-'BOULEVARD PPTO'!AA131)</f>
        <v>1700</v>
      </c>
      <c r="AG138" s="760">
        <f>IF(OR($A138="F&amp;F",$A138="CE",AG$7="No aplica"),0,'BOULEVARD 5'!AJ136-'BOULEVARD PPTO'!AB131)</f>
        <v>0</v>
      </c>
      <c r="AH138" s="760">
        <f>IF(OR($A138="F&amp;F",$A138="CE",AH$7="No aplica"),0,'BOULEVARD 5'!AK136-'BOULEVARD PPTO'!AC131)</f>
        <v>-1700</v>
      </c>
      <c r="AI138" s="760">
        <f>IF(OR($A138="F&amp;F",$A138="CE",AI$7="No aplica"),0,'BOULEVARD 5'!AL136-'BOULEVARD PPTO'!AD131)</f>
        <v>1700</v>
      </c>
      <c r="AJ138" s="760">
        <f>IF(OR($A138="F&amp;F",$A138="CE",AJ$7="No aplica"),0,'BOULEVARD 5'!AM136-'BOULEVARD PPTO'!AE131)</f>
        <v>-1700</v>
      </c>
      <c r="AK138" s="760">
        <f>IF(OR($A138="F&amp;F",$A138="CE",AK$7="No aplica"),0,'BOULEVARD 5'!AN136-'BOULEVARD PPTO'!AF131)</f>
        <v>1700</v>
      </c>
      <c r="AL138" s="760">
        <f>IF(OR($A138="F&amp;F",$A138="CE",AL$7="No aplica"),0,'BOULEVARD 5'!AO136-'BOULEVARD PPTO'!AG131)</f>
        <v>0</v>
      </c>
      <c r="AM138" s="760">
        <f>IF(OR($A138="F&amp;F",$A138="CE",AM$7="No aplica"),0,'BOULEVARD 5'!AP136-'BOULEVARD PPTO'!AH131)</f>
        <v>-1700</v>
      </c>
      <c r="AN138" s="760">
        <f>IF(OR($A138="F&amp;F",$A138="CE",AN$7="No aplica"),0,'BOULEVARD 5'!AQ136-'BOULEVARD PPTO'!AI131)</f>
        <v>0</v>
      </c>
      <c r="AO138" s="760">
        <f>IF(OR($A138="F&amp;F",$A138="CE",AO$7="No aplica"),0,'BOULEVARD 5'!AS136-'BOULEVARD PPTO'!AJ131)</f>
        <v>0</v>
      </c>
      <c r="AP138" s="761">
        <f t="shared" ref="AP138:AP201" si="18">SUBTOTAL(9,H138:AO138)</f>
        <v>-1625</v>
      </c>
      <c r="AQ138" s="761">
        <f t="shared" ref="AQ138:AQ201" si="19">IF(OR(A138="F&amp;F",A138="CE"),0,AQ443-AP443)</f>
        <v>-5625</v>
      </c>
      <c r="AR138" s="674">
        <f>IF(A138=0,'BOULEVARD 5'!BF136,0)</f>
        <v>6000</v>
      </c>
      <c r="AS138" s="674">
        <f>IF(A138=0,'BOULEVARD 5'!BG136,0)</f>
        <v>1700</v>
      </c>
      <c r="AT138" s="675" t="str">
        <f t="shared" si="17"/>
        <v>Vendido</v>
      </c>
      <c r="AU138" s="581" t="str">
        <f t="shared" si="16"/>
        <v>POR COBRAR</v>
      </c>
      <c r="AV138" s="760">
        <f t="shared" ref="AV138:AV201" si="20">IF(_xlfn.XLOOKUP($G$5,$Q$8:$AO$8,$Q138:$AO138)&gt;0,_xlfn.XLOOKUP($G$5,$Q$8:$AO$8,$Q138:$AO138),0)</f>
        <v>0</v>
      </c>
    </row>
    <row r="139" spans="1:48" s="581" customFormat="1" ht="12.4" customHeight="1" outlineLevel="1" x14ac:dyDescent="0.25">
      <c r="A139" s="703">
        <f>'BOULEVARD 5'!BQ137</f>
        <v>0</v>
      </c>
      <c r="B139" s="564">
        <v>804</v>
      </c>
      <c r="C139" s="564" t="s">
        <v>200</v>
      </c>
      <c r="D139" s="564"/>
      <c r="E139" s="564" t="str">
        <f>IF('BOULEVARD 5'!E137&lt;&gt;0,'BOULEVARD 5'!E137,"")</f>
        <v>Brenda Búcaro</v>
      </c>
      <c r="F139" s="581" t="str">
        <f>IF('BOULEVARD 5'!F137&lt;&gt;0,'BOULEVARD 5'!F137,"")</f>
        <v>Victor Hugo Caceres Morales</v>
      </c>
      <c r="G139" s="566">
        <f>IF('BOULEVARD 5'!G137="","",'BOULEVARD 5'!G137)</f>
        <v>45090</v>
      </c>
      <c r="H139" s="756">
        <f>IF(OR($A139="F&amp;F",$A139="CE",H$7="No aplica"),0,'BOULEVARD 5'!K137-'BOULEVARD PPTO'!C132)</f>
        <v>0</v>
      </c>
      <c r="I139" s="756">
        <f>IF(OR($A139="F&amp;F",$A139="CE",I$7="No aplica"),0,'BOULEVARD 5'!L137-'BOULEVARD PPTO'!D132)</f>
        <v>0</v>
      </c>
      <c r="J139" s="756">
        <f>IF(OR($A139="F&amp;F",$A139="CE",J$7="No aplica"),0,'BOULEVARD 5'!M137-'BOULEVARD PPTO'!E132)</f>
        <v>0</v>
      </c>
      <c r="K139" s="756">
        <f>IF(OR($A139="F&amp;F",$A139="CE",K$7="No aplica"),0,'BOULEVARD 5'!N137-'BOULEVARD PPTO'!F132)</f>
        <v>0</v>
      </c>
      <c r="L139" s="756">
        <f>IF(OR($A139="F&amp;F",$A139="CE",L$7="No aplica"),0,'BOULEVARD 5'!O137-'BOULEVARD PPTO'!G132)</f>
        <v>0</v>
      </c>
      <c r="M139" s="756">
        <f>IF(OR($A139="F&amp;F",$A139="CE",M$7="No aplica"),0,'BOULEVARD 5'!P137-'BOULEVARD PPTO'!H132)</f>
        <v>0</v>
      </c>
      <c r="N139" s="756">
        <f>IF(OR($A139="F&amp;F",$A139="CE",N$7="No aplica"),0,'BOULEVARD 5'!Q137-'BOULEVARD PPTO'!I132)</f>
        <v>0</v>
      </c>
      <c r="O139" s="756">
        <f>IF(OR($A139="F&amp;F",$A139="CE",O$7="No aplica"),0,'BOULEVARD 5'!R137-'BOULEVARD PPTO'!J132)</f>
        <v>0</v>
      </c>
      <c r="P139" s="756">
        <f>IF(OR($A139="F&amp;F",$A139="CE",P$7="No aplica"),0,'BOULEVARD 5'!S137-'BOULEVARD PPTO'!K132)</f>
        <v>-1500</v>
      </c>
      <c r="Q139" s="760">
        <f>IF(OR($A139="F&amp;F",$A139="CE",Q$7="No aplica"),0,'BOULEVARD 5'!T137-'BOULEVARD PPTO'!L132)</f>
        <v>0</v>
      </c>
      <c r="R139" s="760">
        <f>IF(OR($A139="F&amp;F",$A139="CE",R$7="No aplica"),0,'BOULEVARD 5'!U137-'BOULEVARD PPTO'!M132)</f>
        <v>0</v>
      </c>
      <c r="S139" s="760">
        <f>IF(OR($A139="F&amp;F",$A139="CE",S$7="No aplica"),0,'BOULEVARD 5'!V137-'BOULEVARD PPTO'!N132)</f>
        <v>0</v>
      </c>
      <c r="T139" s="760">
        <f>IF(OR($A139="F&amp;F",$A139="CE",T$7="No aplica"),0,'BOULEVARD 5'!W137-'BOULEVARD PPTO'!O132)</f>
        <v>0</v>
      </c>
      <c r="U139" s="760">
        <f>IF(OR($A139="F&amp;F",$A139="CE",U$7="No aplica"),0,'BOULEVARD 5'!X137-'BOULEVARD PPTO'!P132)</f>
        <v>0</v>
      </c>
      <c r="V139" s="760">
        <f>IF(OR($A139="F&amp;F",$A139="CE",V$7="No aplica"),0,'BOULEVARD 5'!Y137-'BOULEVARD PPTO'!Q132)</f>
        <v>1500</v>
      </c>
      <c r="W139" s="760">
        <f>IF(OR($A139="F&amp;F",$A139="CE",W$7="No aplica"),0,'BOULEVARD 5'!Z137-'BOULEVARD PPTO'!R132)</f>
        <v>-1500</v>
      </c>
      <c r="X139" s="760">
        <f>IF(OR($A139="F&amp;F",$A139="CE",X$7="No aplica"),0,'BOULEVARD 5'!AA137-'BOULEVARD PPTO'!S132)</f>
        <v>0</v>
      </c>
      <c r="Y139" s="760">
        <f>IF(OR($A139="F&amp;F",$A139="CE",Y$7="No aplica"),0,'BOULEVARD 5'!AB137-'BOULEVARD PPTO'!T132)</f>
        <v>1500</v>
      </c>
      <c r="Z139" s="760">
        <f>IF(OR($A139="F&amp;F",$A139="CE",Z$7="No aplica"),0,'BOULEVARD 5'!AC137-'BOULEVARD PPTO'!U132)</f>
        <v>0</v>
      </c>
      <c r="AA139" s="760">
        <f>IF(OR($A139="F&amp;F",$A139="CE",AA$7="No aplica"),0,'BOULEVARD 5'!AD137-'BOULEVARD PPTO'!V132)</f>
        <v>0</v>
      </c>
      <c r="AB139" s="760">
        <f>IF(OR($A139="F&amp;F",$A139="CE",AB$7="No aplica"),0,'BOULEVARD 5'!AE137-'BOULEVARD PPTO'!W132)</f>
        <v>0</v>
      </c>
      <c r="AC139" s="760">
        <f>IF(OR($A139="F&amp;F",$A139="CE",AC$7="No aplica"),0,'BOULEVARD 5'!AF137-'BOULEVARD PPTO'!X132)</f>
        <v>0</v>
      </c>
      <c r="AD139" s="760">
        <f>IF(OR($A139="F&amp;F",$A139="CE",AD$7="No aplica"),0,'BOULEVARD 5'!AG137-'BOULEVARD PPTO'!Y132)</f>
        <v>0</v>
      </c>
      <c r="AE139" s="760">
        <f>IF(OR($A139="F&amp;F",$A139="CE",AE$7="No aplica"),0,'BOULEVARD 5'!AH137-'BOULEVARD PPTO'!Z132)</f>
        <v>0</v>
      </c>
      <c r="AF139" s="760">
        <f>IF(OR($A139="F&amp;F",$A139="CE",AF$7="No aplica"),0,'BOULEVARD 5'!AI137-'BOULEVARD PPTO'!AA132)</f>
        <v>0</v>
      </c>
      <c r="AG139" s="760">
        <f>IF(OR($A139="F&amp;F",$A139="CE",AG$7="No aplica"),0,'BOULEVARD 5'!AJ137-'BOULEVARD PPTO'!AB132)</f>
        <v>5000</v>
      </c>
      <c r="AH139" s="760">
        <f>IF(OR($A139="F&amp;F",$A139="CE",AH$7="No aplica"),0,'BOULEVARD 5'!AK137-'BOULEVARD PPTO'!AC132)</f>
        <v>0</v>
      </c>
      <c r="AI139" s="760">
        <f>IF(OR($A139="F&amp;F",$A139="CE",AI$7="No aplica"),0,'BOULEVARD 5'!AL137-'BOULEVARD PPTO'!AD132)</f>
        <v>0</v>
      </c>
      <c r="AJ139" s="760">
        <f>IF(OR($A139="F&amp;F",$A139="CE",AJ$7="No aplica"),0,'BOULEVARD 5'!AM137-'BOULEVARD PPTO'!AE132)</f>
        <v>0</v>
      </c>
      <c r="AK139" s="760">
        <f>IF(OR($A139="F&amp;F",$A139="CE",AK$7="No aplica"),0,'BOULEVARD 5'!AN137-'BOULEVARD PPTO'!AF132)</f>
        <v>0</v>
      </c>
      <c r="AL139" s="760">
        <f>IF(OR($A139="F&amp;F",$A139="CE",AL$7="No aplica"),0,'BOULEVARD 5'!AO137-'BOULEVARD PPTO'!AG132)</f>
        <v>-25300</v>
      </c>
      <c r="AM139" s="760">
        <f>IF(OR($A139="F&amp;F",$A139="CE",AM$7="No aplica"),0,'BOULEVARD 5'!AP137-'BOULEVARD PPTO'!AH132)</f>
        <v>3000</v>
      </c>
      <c r="AN139" s="760">
        <f>IF(OR($A139="F&amp;F",$A139="CE",AN$7="No aplica"),0,'BOULEVARD 5'!AQ137-'BOULEVARD PPTO'!AI132)</f>
        <v>0</v>
      </c>
      <c r="AO139" s="760">
        <f>IF(OR($A139="F&amp;F",$A139="CE",AO$7="No aplica"),0,'BOULEVARD 5'!AS137-'BOULEVARD PPTO'!AJ132)</f>
        <v>0</v>
      </c>
      <c r="AP139" s="761">
        <f t="shared" si="18"/>
        <v>-17300</v>
      </c>
      <c r="AQ139" s="761">
        <f t="shared" si="19"/>
        <v>-12800</v>
      </c>
      <c r="AR139" s="674">
        <f>IF(A139=0,'BOULEVARD 5'!BF137,0)</f>
        <v>6000</v>
      </c>
      <c r="AS139" s="674">
        <f>IF(A139=0,'BOULEVARD 5'!BG137,0)</f>
        <v>1500</v>
      </c>
      <c r="AT139" s="675" t="str">
        <f t="shared" si="17"/>
        <v>Vendido</v>
      </c>
      <c r="AU139" s="581" t="str">
        <f t="shared" si="16"/>
        <v>POR COBRAR</v>
      </c>
      <c r="AV139" s="760">
        <f t="shared" si="20"/>
        <v>3000</v>
      </c>
    </row>
    <row r="140" spans="1:48" s="581" customFormat="1" ht="12.4" customHeight="1" outlineLevel="1" x14ac:dyDescent="0.25">
      <c r="A140" s="703" t="str">
        <f>'BOULEVARD 5'!BQ138</f>
        <v>CE</v>
      </c>
      <c r="B140" s="708">
        <v>805</v>
      </c>
      <c r="C140" s="564" t="s">
        <v>534</v>
      </c>
      <c r="D140" s="707" t="s">
        <v>386</v>
      </c>
      <c r="E140" s="564" t="str">
        <f>IF('BOULEVARD 5'!E138&lt;&gt;0,'BOULEVARD 5'!E138,"")</f>
        <v>Antonio Rada</v>
      </c>
      <c r="F140" s="581" t="str">
        <f>IF('BOULEVARD 5'!F138&lt;&gt;0,'BOULEVARD 5'!F138,"")</f>
        <v>Celia Julissa Flores Dávila De Gonzalez</v>
      </c>
      <c r="G140" s="566">
        <f>IF('BOULEVARD 5'!G138="","",'BOULEVARD 5'!G138)</f>
        <v>45420</v>
      </c>
      <c r="H140" s="756">
        <f>IF(OR($A140="F&amp;F",$A140="CE",H$7="No aplica"),0,'BOULEVARD 5'!K138-'BOULEVARD PPTO'!C133)</f>
        <v>0</v>
      </c>
      <c r="I140" s="756">
        <f>IF(OR($A140="F&amp;F",$A140="CE",I$7="No aplica"),0,'BOULEVARD 5'!L138-'BOULEVARD PPTO'!D133)</f>
        <v>0</v>
      </c>
      <c r="J140" s="756">
        <f>IF(OR($A140="F&amp;F",$A140="CE",J$7="No aplica"),0,'BOULEVARD 5'!M138-'BOULEVARD PPTO'!E133)</f>
        <v>0</v>
      </c>
      <c r="K140" s="756">
        <f>IF(OR($A140="F&amp;F",$A140="CE",K$7="No aplica"),0,'BOULEVARD 5'!N138-'BOULEVARD PPTO'!F133)</f>
        <v>0</v>
      </c>
      <c r="L140" s="756">
        <f>IF(OR($A140="F&amp;F",$A140="CE",L$7="No aplica"),0,'BOULEVARD 5'!O138-'BOULEVARD PPTO'!G133)</f>
        <v>0</v>
      </c>
      <c r="M140" s="756">
        <f>IF(OR($A140="F&amp;F",$A140="CE",M$7="No aplica"),0,'BOULEVARD 5'!P138-'BOULEVARD PPTO'!H133)</f>
        <v>0</v>
      </c>
      <c r="N140" s="756">
        <f>IF(OR($A140="F&amp;F",$A140="CE",N$7="No aplica"),0,'BOULEVARD 5'!Q138-'BOULEVARD PPTO'!I133)</f>
        <v>0</v>
      </c>
      <c r="O140" s="756">
        <f>IF(OR($A140="F&amp;F",$A140="CE",O$7="No aplica"),0,'BOULEVARD 5'!R138-'BOULEVARD PPTO'!J133)</f>
        <v>0</v>
      </c>
      <c r="P140" s="756">
        <f>IF(OR($A140="F&amp;F",$A140="CE",P$7="No aplica"),0,'BOULEVARD 5'!S138-'BOULEVARD PPTO'!K133)</f>
        <v>0</v>
      </c>
      <c r="Q140" s="760">
        <f>IF(OR($A140="F&amp;F",$A140="CE",Q$7="No aplica"),0,'BOULEVARD 5'!T138-'BOULEVARD PPTO'!L133)</f>
        <v>0</v>
      </c>
      <c r="R140" s="760">
        <f>IF(OR($A140="F&amp;F",$A140="CE",R$7="No aplica"),0,'BOULEVARD 5'!U138-'BOULEVARD PPTO'!M133)</f>
        <v>0</v>
      </c>
      <c r="S140" s="760">
        <f>IF(OR($A140="F&amp;F",$A140="CE",S$7="No aplica"),0,'BOULEVARD 5'!V138-'BOULEVARD PPTO'!N133)</f>
        <v>0</v>
      </c>
      <c r="T140" s="760">
        <f>IF(OR($A140="F&amp;F",$A140="CE",T$7="No aplica"),0,'BOULEVARD 5'!W138-'BOULEVARD PPTO'!O133)</f>
        <v>0</v>
      </c>
      <c r="U140" s="760">
        <f>IF(OR($A140="F&amp;F",$A140="CE",U$7="No aplica"),0,'BOULEVARD 5'!X138-'BOULEVARD PPTO'!P133)</f>
        <v>0</v>
      </c>
      <c r="V140" s="760">
        <f>IF(OR($A140="F&amp;F",$A140="CE",V$7="No aplica"),0,'BOULEVARD 5'!Y138-'BOULEVARD PPTO'!Q133)</f>
        <v>0</v>
      </c>
      <c r="W140" s="760">
        <f>IF(OR($A140="F&amp;F",$A140="CE",W$7="No aplica"),0,'BOULEVARD 5'!Z138-'BOULEVARD PPTO'!R133)</f>
        <v>0</v>
      </c>
      <c r="X140" s="760">
        <f>IF(OR($A140="F&amp;F",$A140="CE",X$7="No aplica"),0,'BOULEVARD 5'!AA138-'BOULEVARD PPTO'!S133)</f>
        <v>0</v>
      </c>
      <c r="Y140" s="760">
        <f>IF(OR($A140="F&amp;F",$A140="CE",Y$7="No aplica"),0,'BOULEVARD 5'!AB138-'BOULEVARD PPTO'!T133)</f>
        <v>0</v>
      </c>
      <c r="Z140" s="760">
        <f>IF(OR($A140="F&amp;F",$A140="CE",Z$7="No aplica"),0,'BOULEVARD 5'!AC138-'BOULEVARD PPTO'!U133)</f>
        <v>0</v>
      </c>
      <c r="AA140" s="760">
        <f>IF(OR($A140="F&amp;F",$A140="CE",AA$7="No aplica"),0,'BOULEVARD 5'!AD138-'BOULEVARD PPTO'!V133)</f>
        <v>0</v>
      </c>
      <c r="AB140" s="760">
        <f>IF(OR($A140="F&amp;F",$A140="CE",AB$7="No aplica"),0,'BOULEVARD 5'!AE138-'BOULEVARD PPTO'!W133)</f>
        <v>0</v>
      </c>
      <c r="AC140" s="760">
        <f>IF(OR($A140="F&amp;F",$A140="CE",AC$7="No aplica"),0,'BOULEVARD 5'!AF138-'BOULEVARD PPTO'!X133)</f>
        <v>0</v>
      </c>
      <c r="AD140" s="760">
        <f>IF(OR($A140="F&amp;F",$A140="CE",AD$7="No aplica"),0,'BOULEVARD 5'!AG138-'BOULEVARD PPTO'!Y133)</f>
        <v>0</v>
      </c>
      <c r="AE140" s="760">
        <f>IF(OR($A140="F&amp;F",$A140="CE",AE$7="No aplica"),0,'BOULEVARD 5'!AH138-'BOULEVARD PPTO'!Z133)</f>
        <v>0</v>
      </c>
      <c r="AF140" s="760">
        <f>IF(OR($A140="F&amp;F",$A140="CE",AF$7="No aplica"),0,'BOULEVARD 5'!AI138-'BOULEVARD PPTO'!AA133)</f>
        <v>0</v>
      </c>
      <c r="AG140" s="760">
        <f>IF(OR($A140="F&amp;F",$A140="CE",AG$7="No aplica"),0,'BOULEVARD 5'!AJ138-'BOULEVARD PPTO'!AB133)</f>
        <v>0</v>
      </c>
      <c r="AH140" s="760">
        <f>IF(OR($A140="F&amp;F",$A140="CE",AH$7="No aplica"),0,'BOULEVARD 5'!AK138-'BOULEVARD PPTO'!AC133)</f>
        <v>0</v>
      </c>
      <c r="AI140" s="760">
        <f>IF(OR($A140="F&amp;F",$A140="CE",AI$7="No aplica"),0,'BOULEVARD 5'!AL138-'BOULEVARD PPTO'!AD133)</f>
        <v>0</v>
      </c>
      <c r="AJ140" s="760">
        <f>IF(OR($A140="F&amp;F",$A140="CE",AJ$7="No aplica"),0,'BOULEVARD 5'!AM138-'BOULEVARD PPTO'!AE133)</f>
        <v>0</v>
      </c>
      <c r="AK140" s="760">
        <f>IF(OR($A140="F&amp;F",$A140="CE",AK$7="No aplica"),0,'BOULEVARD 5'!AN138-'BOULEVARD PPTO'!AF133)</f>
        <v>0</v>
      </c>
      <c r="AL140" s="760">
        <f>IF(OR($A140="F&amp;F",$A140="CE",AL$7="No aplica"),0,'BOULEVARD 5'!AO138-'BOULEVARD PPTO'!AG133)</f>
        <v>0</v>
      </c>
      <c r="AM140" s="760">
        <f>IF(OR($A140="F&amp;F",$A140="CE",AM$7="No aplica"),0,'BOULEVARD 5'!AP138-'BOULEVARD PPTO'!AH133)</f>
        <v>0</v>
      </c>
      <c r="AN140" s="760">
        <f>IF(OR($A140="F&amp;F",$A140="CE",AN$7="No aplica"),0,'BOULEVARD 5'!AQ138-'BOULEVARD PPTO'!AI133)</f>
        <v>0</v>
      </c>
      <c r="AO140" s="760">
        <f>IF(OR($A140="F&amp;F",$A140="CE",AO$7="No aplica"),0,'BOULEVARD 5'!AS138-'BOULEVARD PPTO'!AJ133)</f>
        <v>0</v>
      </c>
      <c r="AP140" s="761">
        <f t="shared" si="18"/>
        <v>0</v>
      </c>
      <c r="AQ140" s="761">
        <f t="shared" si="19"/>
        <v>0</v>
      </c>
      <c r="AR140" s="674">
        <f>IF(A140=0,'BOULEVARD 5'!BF138,0)</f>
        <v>0</v>
      </c>
      <c r="AS140" s="674">
        <f>IF(A140=0,'BOULEVARD 5'!BG138,0)</f>
        <v>0</v>
      </c>
      <c r="AT140" s="675" t="str">
        <f t="shared" si="17"/>
        <v>Vendido</v>
      </c>
      <c r="AU140" s="581" t="str">
        <f t="shared" si="16"/>
        <v/>
      </c>
      <c r="AV140" s="760">
        <f t="shared" si="20"/>
        <v>0</v>
      </c>
    </row>
    <row r="141" spans="1:48" s="581" customFormat="1" ht="12.4" customHeight="1" outlineLevel="1" x14ac:dyDescent="0.25">
      <c r="A141" s="703">
        <f>'BOULEVARD 5'!BQ139</f>
        <v>0</v>
      </c>
      <c r="B141" s="564">
        <v>806</v>
      </c>
      <c r="C141" s="564" t="s">
        <v>536</v>
      </c>
      <c r="D141" s="564"/>
      <c r="E141" s="564" t="str">
        <f>IF('BOULEVARD 5'!E139&lt;&gt;0,'BOULEVARD 5'!E139,"")</f>
        <v>Antonio Rada</v>
      </c>
      <c r="F141" s="581" t="str">
        <f>IF('BOULEVARD 5'!F139&lt;&gt;0,'BOULEVARD 5'!F139,"")</f>
        <v>Rodolfo Morales Muñoz</v>
      </c>
      <c r="G141" s="566">
        <f>IF('BOULEVARD 5'!G139="","",'BOULEVARD 5'!G139)</f>
        <v>45547</v>
      </c>
      <c r="H141" s="756">
        <f>IF(OR($A141="F&amp;F",$A141="CE",H$7="No aplica"),0,'BOULEVARD 5'!K139-'BOULEVARD PPTO'!C134)</f>
        <v>0</v>
      </c>
      <c r="I141" s="756">
        <f>IF(OR($A141="F&amp;F",$A141="CE",I$7="No aplica"),0,'BOULEVARD 5'!L139-'BOULEVARD PPTO'!D134)</f>
        <v>0</v>
      </c>
      <c r="J141" s="756">
        <f>IF(OR($A141="F&amp;F",$A141="CE",J$7="No aplica"),0,'BOULEVARD 5'!M139-'BOULEVARD PPTO'!E134)</f>
        <v>0</v>
      </c>
      <c r="K141" s="756">
        <f>IF(OR($A141="F&amp;F",$A141="CE",K$7="No aplica"),0,'BOULEVARD 5'!N139-'BOULEVARD PPTO'!F134)</f>
        <v>0</v>
      </c>
      <c r="L141" s="756">
        <f>IF(OR($A141="F&amp;F",$A141="CE",L$7="No aplica"),0,'BOULEVARD 5'!O139-'BOULEVARD PPTO'!G134)</f>
        <v>0</v>
      </c>
      <c r="M141" s="756">
        <f>IF(OR($A141="F&amp;F",$A141="CE",M$7="No aplica"),0,'BOULEVARD 5'!P139-'BOULEVARD PPTO'!H134)</f>
        <v>0</v>
      </c>
      <c r="N141" s="756">
        <f>IF(OR($A141="F&amp;F",$A141="CE",N$7="No aplica"),0,'BOULEVARD 5'!Q139-'BOULEVARD PPTO'!I134)</f>
        <v>0</v>
      </c>
      <c r="O141" s="756">
        <f>IF(OR($A141="F&amp;F",$A141="CE",O$7="No aplica"),0,'BOULEVARD 5'!R139-'BOULEVARD PPTO'!J134)</f>
        <v>0</v>
      </c>
      <c r="P141" s="756">
        <f>IF(OR($A141="F&amp;F",$A141="CE",P$7="No aplica"),0,'BOULEVARD 5'!S139-'BOULEVARD PPTO'!K134)</f>
        <v>0</v>
      </c>
      <c r="Q141" s="760">
        <f>IF(OR($A141="F&amp;F",$A141="CE",Q$7="No aplica"),0,'BOULEVARD 5'!T139-'BOULEVARD PPTO'!L134)</f>
        <v>0</v>
      </c>
      <c r="R141" s="760">
        <f>IF(OR($A141="F&amp;F",$A141="CE",R$7="No aplica"),0,'BOULEVARD 5'!U139-'BOULEVARD PPTO'!M134)</f>
        <v>0</v>
      </c>
      <c r="S141" s="760">
        <f>IF(OR($A141="F&amp;F",$A141="CE",S$7="No aplica"),0,'BOULEVARD 5'!V139-'BOULEVARD PPTO'!N134)</f>
        <v>0</v>
      </c>
      <c r="T141" s="760">
        <f>IF(OR($A141="F&amp;F",$A141="CE",T$7="No aplica"),0,'BOULEVARD 5'!W139-'BOULEVARD PPTO'!O134)</f>
        <v>0</v>
      </c>
      <c r="U141" s="760">
        <f>IF(OR($A141="F&amp;F",$A141="CE",U$7="No aplica"),0,'BOULEVARD 5'!X139-'BOULEVARD PPTO'!P134)</f>
        <v>0</v>
      </c>
      <c r="V141" s="760">
        <f>IF(OR($A141="F&amp;F",$A141="CE",V$7="No aplica"),0,'BOULEVARD 5'!Y139-'BOULEVARD PPTO'!Q134)</f>
        <v>0</v>
      </c>
      <c r="W141" s="760">
        <f>IF(OR($A141="F&amp;F",$A141="CE",W$7="No aplica"),0,'BOULEVARD 5'!Z139-'BOULEVARD PPTO'!R134)</f>
        <v>0</v>
      </c>
      <c r="X141" s="760">
        <f>IF(OR($A141="F&amp;F",$A141="CE",X$7="No aplica"),0,'BOULEVARD 5'!AA139-'BOULEVARD PPTO'!S134)</f>
        <v>0</v>
      </c>
      <c r="Y141" s="760">
        <f>IF(OR($A141="F&amp;F",$A141="CE",Y$7="No aplica"),0,'BOULEVARD 5'!AB139-'BOULEVARD PPTO'!T134)</f>
        <v>0</v>
      </c>
      <c r="Z141" s="760">
        <f>IF(OR($A141="F&amp;F",$A141="CE",Z$7="No aplica"),0,'BOULEVARD 5'!AC139-'BOULEVARD PPTO'!U134)</f>
        <v>0</v>
      </c>
      <c r="AA141" s="760">
        <f>IF(OR($A141="F&amp;F",$A141="CE",AA$7="No aplica"),0,'BOULEVARD 5'!AD139-'BOULEVARD PPTO'!V134)</f>
        <v>0</v>
      </c>
      <c r="AB141" s="760">
        <f>IF(OR($A141="F&amp;F",$A141="CE",AB$7="No aplica"),0,'BOULEVARD 5'!AE139-'BOULEVARD PPTO'!W134)</f>
        <v>0</v>
      </c>
      <c r="AC141" s="760">
        <f>IF(OR($A141="F&amp;F",$A141="CE",AC$7="No aplica"),0,'BOULEVARD 5'!AF139-'BOULEVARD PPTO'!X134)</f>
        <v>0</v>
      </c>
      <c r="AD141" s="760">
        <f>IF(OR($A141="F&amp;F",$A141="CE",AD$7="No aplica"),0,'BOULEVARD 5'!AG139-'BOULEVARD PPTO'!Y134)</f>
        <v>0</v>
      </c>
      <c r="AE141" s="760">
        <f>IF(OR($A141="F&amp;F",$A141="CE",AE$7="No aplica"),0,'BOULEVARD 5'!AH139-'BOULEVARD PPTO'!Z134)</f>
        <v>0</v>
      </c>
      <c r="AF141" s="760">
        <f>IF(OR($A141="F&amp;F",$A141="CE",AF$7="No aplica"),0,'BOULEVARD 5'!AI139-'BOULEVARD PPTO'!AA134)</f>
        <v>0</v>
      </c>
      <c r="AG141" s="760">
        <f>IF(OR($A141="F&amp;F",$A141="CE",AG$7="No aplica"),0,'BOULEVARD 5'!AJ139-'BOULEVARD PPTO'!AB134)</f>
        <v>0</v>
      </c>
      <c r="AH141" s="760">
        <f>IF(OR($A141="F&amp;F",$A141="CE",AH$7="No aplica"),0,'BOULEVARD 5'!AK139-'BOULEVARD PPTO'!AC134)</f>
        <v>0</v>
      </c>
      <c r="AI141" s="760">
        <f>IF(OR($A141="F&amp;F",$A141="CE",AI$7="No aplica"),0,'BOULEVARD 5'!AL139-'BOULEVARD PPTO'!AD134)</f>
        <v>0</v>
      </c>
      <c r="AJ141" s="760">
        <f>IF(OR($A141="F&amp;F",$A141="CE",AJ$7="No aplica"),0,'BOULEVARD 5'!AM139-'BOULEVARD PPTO'!AE134)</f>
        <v>0</v>
      </c>
      <c r="AK141" s="760">
        <f>IF(OR($A141="F&amp;F",$A141="CE",AK$7="No aplica"),0,'BOULEVARD 5'!AN139-'BOULEVARD PPTO'!AF134)</f>
        <v>0</v>
      </c>
      <c r="AL141" s="760">
        <f>IF(OR($A141="F&amp;F",$A141="CE",AL$7="No aplica"),0,'BOULEVARD 5'!AO139-'BOULEVARD PPTO'!AG134)</f>
        <v>0</v>
      </c>
      <c r="AM141" s="760">
        <f>IF(OR($A141="F&amp;F",$A141="CE",AM$7="No aplica"),0,'BOULEVARD 5'!AP139-'BOULEVARD PPTO'!AH134)</f>
        <v>0</v>
      </c>
      <c r="AN141" s="760">
        <f>IF(OR($A141="F&amp;F",$A141="CE",AN$7="No aplica"),0,'BOULEVARD 5'!AQ139-'BOULEVARD PPTO'!AI134)</f>
        <v>0</v>
      </c>
      <c r="AO141" s="760">
        <f>IF(OR($A141="F&amp;F",$A141="CE",AO$7="No aplica"),0,'BOULEVARD 5'!AS139-'BOULEVARD PPTO'!AJ134)</f>
        <v>0</v>
      </c>
      <c r="AP141" s="761">
        <f t="shared" si="18"/>
        <v>0</v>
      </c>
      <c r="AQ141" s="761">
        <f t="shared" si="19"/>
        <v>-6569</v>
      </c>
      <c r="AR141" s="674">
        <f>IF(A141=0,'BOULEVARD 5'!BF139,0)</f>
        <v>10000</v>
      </c>
      <c r="AS141" s="674">
        <f>IF(A141=0,'BOULEVARD 5'!BG139,0)</f>
        <v>6564</v>
      </c>
      <c r="AT141" s="675" t="str">
        <f t="shared" si="17"/>
        <v>Vendido</v>
      </c>
      <c r="AU141" s="581" t="str">
        <f t="shared" si="16"/>
        <v/>
      </c>
      <c r="AV141" s="760">
        <f t="shared" si="20"/>
        <v>0</v>
      </c>
    </row>
    <row r="142" spans="1:48" s="581" customFormat="1" ht="12.4" customHeight="1" outlineLevel="1" x14ac:dyDescent="0.25">
      <c r="A142" s="703">
        <f>'BOULEVARD 5'!BQ140</f>
        <v>0</v>
      </c>
      <c r="B142" s="564">
        <v>807</v>
      </c>
      <c r="C142" s="564" t="s">
        <v>400</v>
      </c>
      <c r="D142" s="564"/>
      <c r="E142" s="564" t="str">
        <f>IF('BOULEVARD 5'!E140&lt;&gt;0,'BOULEVARD 5'!E140,"")</f>
        <v>Antonio Rada</v>
      </c>
      <c r="F142" s="581" t="str">
        <f>IF('BOULEVARD 5'!F140&lt;&gt;0,'BOULEVARD 5'!F140,"")</f>
        <v>Eswin Raul Morales Lopez</v>
      </c>
      <c r="G142" s="566">
        <f>IF('BOULEVARD 5'!G140="","",'BOULEVARD 5'!G140)</f>
        <v>45260</v>
      </c>
      <c r="H142" s="756">
        <f>IF(OR($A142="F&amp;F",$A142="CE",H$7="No aplica"),0,'BOULEVARD 5'!K140-'BOULEVARD PPTO'!C135)</f>
        <v>0</v>
      </c>
      <c r="I142" s="756">
        <f>IF(OR($A142="F&amp;F",$A142="CE",I$7="No aplica"),0,'BOULEVARD 5'!L140-'BOULEVARD PPTO'!D135)</f>
        <v>0</v>
      </c>
      <c r="J142" s="756">
        <f>IF(OR($A142="F&amp;F",$A142="CE",J$7="No aplica"),0,'BOULEVARD 5'!M140-'BOULEVARD PPTO'!E135)</f>
        <v>0</v>
      </c>
      <c r="K142" s="756">
        <f>IF(OR($A142="F&amp;F",$A142="CE",K$7="No aplica"),0,'BOULEVARD 5'!N140-'BOULEVARD PPTO'!F135)</f>
        <v>0</v>
      </c>
      <c r="L142" s="756">
        <f>IF(OR($A142="F&amp;F",$A142="CE",L$7="No aplica"),0,'BOULEVARD 5'!O140-'BOULEVARD PPTO'!G135)</f>
        <v>0</v>
      </c>
      <c r="M142" s="756">
        <f>IF(OR($A142="F&amp;F",$A142="CE",M$7="No aplica"),0,'BOULEVARD 5'!P140-'BOULEVARD PPTO'!H135)</f>
        <v>0</v>
      </c>
      <c r="N142" s="756">
        <f>IF(OR($A142="F&amp;F",$A142="CE",N$7="No aplica"),0,'BOULEVARD 5'!Q140-'BOULEVARD PPTO'!I135)</f>
        <v>0</v>
      </c>
      <c r="O142" s="756">
        <f>IF(OR($A142="F&amp;F",$A142="CE",O$7="No aplica"),0,'BOULEVARD 5'!R140-'BOULEVARD PPTO'!J135)</f>
        <v>0</v>
      </c>
      <c r="P142" s="756">
        <f>IF(OR($A142="F&amp;F",$A142="CE",P$7="No aplica"),0,'BOULEVARD 5'!S140-'BOULEVARD PPTO'!K135)</f>
        <v>0</v>
      </c>
      <c r="Q142" s="760">
        <f>IF(OR($A142="F&amp;F",$A142="CE",Q$7="No aplica"),0,'BOULEVARD 5'!T140-'BOULEVARD PPTO'!L135)</f>
        <v>-2500</v>
      </c>
      <c r="R142" s="760">
        <f>IF(OR($A142="F&amp;F",$A142="CE",R$7="No aplica"),0,'BOULEVARD 5'!U140-'BOULEVARD PPTO'!M135)</f>
        <v>2500</v>
      </c>
      <c r="S142" s="760">
        <f>IF(OR($A142="F&amp;F",$A142="CE",S$7="No aplica"),0,'BOULEVARD 5'!V140-'BOULEVARD PPTO'!N135)</f>
        <v>0</v>
      </c>
      <c r="T142" s="760">
        <f>IF(OR($A142="F&amp;F",$A142="CE",T$7="No aplica"),0,'BOULEVARD 5'!W140-'BOULEVARD PPTO'!O135)</f>
        <v>-2500</v>
      </c>
      <c r="U142" s="760">
        <f>IF(OR($A142="F&amp;F",$A142="CE",U$7="No aplica"),0,'BOULEVARD 5'!X140-'BOULEVARD PPTO'!P135)</f>
        <v>2500</v>
      </c>
      <c r="V142" s="760">
        <f>IF(OR($A142="F&amp;F",$A142="CE",V$7="No aplica"),0,'BOULEVARD 5'!Y140-'BOULEVARD PPTO'!Q135)</f>
        <v>0</v>
      </c>
      <c r="W142" s="760">
        <f>IF(OR($A142="F&amp;F",$A142="CE",W$7="No aplica"),0,'BOULEVARD 5'!Z140-'BOULEVARD PPTO'!R135)</f>
        <v>-2500</v>
      </c>
      <c r="X142" s="760">
        <f>IF(OR($A142="F&amp;F",$A142="CE",X$7="No aplica"),0,'BOULEVARD 5'!AA140-'BOULEVARD PPTO'!S135)</f>
        <v>2500</v>
      </c>
      <c r="Y142" s="760">
        <f>IF(OR($A142="F&amp;F",$A142="CE",Y$7="No aplica"),0,'BOULEVARD 5'!AB140-'BOULEVARD PPTO'!T135)</f>
        <v>0</v>
      </c>
      <c r="Z142" s="760">
        <f>IF(OR($A142="F&amp;F",$A142="CE",Z$7="No aplica"),0,'BOULEVARD 5'!AC140-'BOULEVARD PPTO'!U135)</f>
        <v>0</v>
      </c>
      <c r="AA142" s="760">
        <f>IF(OR($A142="F&amp;F",$A142="CE",AA$7="No aplica"),0,'BOULEVARD 5'!AD140-'BOULEVARD PPTO'!V135)</f>
        <v>0</v>
      </c>
      <c r="AB142" s="760">
        <f>IF(OR($A142="F&amp;F",$A142="CE",AB$7="No aplica"),0,'BOULEVARD 5'!AE140-'BOULEVARD PPTO'!W135)</f>
        <v>0</v>
      </c>
      <c r="AC142" s="760">
        <f>IF(OR($A142="F&amp;F",$A142="CE",AC$7="No aplica"),0,'BOULEVARD 5'!AF140-'BOULEVARD PPTO'!X135)</f>
        <v>-12000</v>
      </c>
      <c r="AD142" s="760">
        <f>IF(OR($A142="F&amp;F",$A142="CE",AD$7="No aplica"),0,'BOULEVARD 5'!AG140-'BOULEVARD PPTO'!Y135)</f>
        <v>9500</v>
      </c>
      <c r="AE142" s="760">
        <f>IF(OR($A142="F&amp;F",$A142="CE",AE$7="No aplica"),0,'BOULEVARD 5'!AH140-'BOULEVARD PPTO'!Z135)</f>
        <v>-2500</v>
      </c>
      <c r="AF142" s="760">
        <f>IF(OR($A142="F&amp;F",$A142="CE",AF$7="No aplica"),0,'BOULEVARD 5'!AI140-'BOULEVARD PPTO'!AA135)</f>
        <v>0</v>
      </c>
      <c r="AG142" s="760">
        <f>IF(OR($A142="F&amp;F",$A142="CE",AG$7="No aplica"),0,'BOULEVARD 5'!AJ140-'BOULEVARD PPTO'!AB135)</f>
        <v>2500</v>
      </c>
      <c r="AH142" s="760">
        <f>IF(OR($A142="F&amp;F",$A142="CE",AH$7="No aplica"),0,'BOULEVARD 5'!AK140-'BOULEVARD PPTO'!AC135)</f>
        <v>0</v>
      </c>
      <c r="AI142" s="760">
        <f>IF(OR($A142="F&amp;F",$A142="CE",AI$7="No aplica"),0,'BOULEVARD 5'!AL140-'BOULEVARD PPTO'!AD135)</f>
        <v>-2500</v>
      </c>
      <c r="AJ142" s="760">
        <f>IF(OR($A142="F&amp;F",$A142="CE",AJ$7="No aplica"),0,'BOULEVARD 5'!AM140-'BOULEVARD PPTO'!AE135)</f>
        <v>2500</v>
      </c>
      <c r="AK142" s="760">
        <f>IF(OR($A142="F&amp;F",$A142="CE",AK$7="No aplica"),0,'BOULEVARD 5'!AN140-'BOULEVARD PPTO'!AF135)</f>
        <v>-700</v>
      </c>
      <c r="AL142" s="760">
        <f>IF(OR($A142="F&amp;F",$A142="CE",AL$7="No aplica"),0,'BOULEVARD 5'!AO140-'BOULEVARD PPTO'!AG135)</f>
        <v>-3000</v>
      </c>
      <c r="AM142" s="760">
        <f>IF(OR($A142="F&amp;F",$A142="CE",AM$7="No aplica"),0,'BOULEVARD 5'!AP140-'BOULEVARD PPTO'!AH135)</f>
        <v>5500</v>
      </c>
      <c r="AN142" s="760">
        <f>IF(OR($A142="F&amp;F",$A142="CE",AN$7="No aplica"),0,'BOULEVARD 5'!AQ140-'BOULEVARD PPTO'!AI135)</f>
        <v>0</v>
      </c>
      <c r="AO142" s="760">
        <f>IF(OR($A142="F&amp;F",$A142="CE",AO$7="No aplica"),0,'BOULEVARD 5'!AS140-'BOULEVARD PPTO'!AJ135)</f>
        <v>0</v>
      </c>
      <c r="AP142" s="761">
        <f t="shared" si="18"/>
        <v>-700</v>
      </c>
      <c r="AQ142" s="761">
        <f t="shared" si="19"/>
        <v>200</v>
      </c>
      <c r="AR142" s="674">
        <f>IF(A142=0,'BOULEVARD 5'!BF140,0)</f>
        <v>5500</v>
      </c>
      <c r="AS142" s="674">
        <f>IF(A142=0,'BOULEVARD 5'!BG140,0)</f>
        <v>2500</v>
      </c>
      <c r="AT142" s="675" t="str">
        <f t="shared" si="17"/>
        <v>Vendido</v>
      </c>
      <c r="AU142" s="581" t="str">
        <f t="shared" si="16"/>
        <v>POR COBRAR</v>
      </c>
      <c r="AV142" s="760">
        <f t="shared" si="20"/>
        <v>5500</v>
      </c>
    </row>
    <row r="143" spans="1:48" s="581" customFormat="1" ht="12.4" customHeight="1" outlineLevel="1" x14ac:dyDescent="0.25">
      <c r="A143" s="703">
        <f>'BOULEVARD 5'!BQ141</f>
        <v>0</v>
      </c>
      <c r="B143" s="564">
        <v>808</v>
      </c>
      <c r="C143" s="564" t="s">
        <v>175</v>
      </c>
      <c r="D143" s="564"/>
      <c r="E143" s="564" t="str">
        <f>IF('BOULEVARD 5'!E141&lt;&gt;0,'BOULEVARD 5'!E141,"")</f>
        <v>Antonio Rada</v>
      </c>
      <c r="F143" s="581" t="str">
        <f>IF('BOULEVARD 5'!F141&lt;&gt;0,'BOULEVARD 5'!F141,"")</f>
        <v>Gualberto Alonso Salazar Trejo</v>
      </c>
      <c r="G143" s="566">
        <f>IF('BOULEVARD 5'!G141="","",'BOULEVARD 5'!G141)</f>
        <v>45356</v>
      </c>
      <c r="H143" s="756">
        <f>IF(OR($A143="F&amp;F",$A143="CE",H$7="No aplica"),0,'BOULEVARD 5'!K141-'BOULEVARD PPTO'!C136)</f>
        <v>0</v>
      </c>
      <c r="I143" s="756">
        <f>IF(OR($A143="F&amp;F",$A143="CE",I$7="No aplica"),0,'BOULEVARD 5'!L141-'BOULEVARD PPTO'!D136)</f>
        <v>0</v>
      </c>
      <c r="J143" s="756">
        <f>IF(OR($A143="F&amp;F",$A143="CE",J$7="No aplica"),0,'BOULEVARD 5'!M141-'BOULEVARD PPTO'!E136)</f>
        <v>0</v>
      </c>
      <c r="K143" s="756">
        <f>IF(OR($A143="F&amp;F",$A143="CE",K$7="No aplica"),0,'BOULEVARD 5'!N141-'BOULEVARD PPTO'!F136)</f>
        <v>0</v>
      </c>
      <c r="L143" s="756">
        <f>IF(OR($A143="F&amp;F",$A143="CE",L$7="No aplica"),0,'BOULEVARD 5'!O141-'BOULEVARD PPTO'!G136)</f>
        <v>0</v>
      </c>
      <c r="M143" s="756">
        <f>IF(OR($A143="F&amp;F",$A143="CE",M$7="No aplica"),0,'BOULEVARD 5'!P141-'BOULEVARD PPTO'!H136)</f>
        <v>0</v>
      </c>
      <c r="N143" s="756">
        <f>IF(OR($A143="F&amp;F",$A143="CE",N$7="No aplica"),0,'BOULEVARD 5'!Q141-'BOULEVARD PPTO'!I136)</f>
        <v>0</v>
      </c>
      <c r="O143" s="756">
        <f>IF(OR($A143="F&amp;F",$A143="CE",O$7="No aplica"),0,'BOULEVARD 5'!R141-'BOULEVARD PPTO'!J136)</f>
        <v>0</v>
      </c>
      <c r="P143" s="756">
        <f>IF(OR($A143="F&amp;F",$A143="CE",P$7="No aplica"),0,'BOULEVARD 5'!S141-'BOULEVARD PPTO'!K136)</f>
        <v>0</v>
      </c>
      <c r="Q143" s="760">
        <f>IF(OR($A143="F&amp;F",$A143="CE",Q$7="No aplica"),0,'BOULEVARD 5'!T141-'BOULEVARD PPTO'!L136)</f>
        <v>0</v>
      </c>
      <c r="R143" s="760">
        <f>IF(OR($A143="F&amp;F",$A143="CE",R$7="No aplica"),0,'BOULEVARD 5'!U141-'BOULEVARD PPTO'!M136)</f>
        <v>0</v>
      </c>
      <c r="S143" s="760">
        <f>IF(OR($A143="F&amp;F",$A143="CE",S$7="No aplica"),0,'BOULEVARD 5'!V141-'BOULEVARD PPTO'!N136)</f>
        <v>0</v>
      </c>
      <c r="T143" s="760">
        <f>IF(OR($A143="F&amp;F",$A143="CE",T$7="No aplica"),0,'BOULEVARD 5'!W141-'BOULEVARD PPTO'!O136)</f>
        <v>0</v>
      </c>
      <c r="U143" s="760">
        <f>IF(OR($A143="F&amp;F",$A143="CE",U$7="No aplica"),0,'BOULEVARD 5'!X141-'BOULEVARD PPTO'!P136)</f>
        <v>-3</v>
      </c>
      <c r="V143" s="760">
        <f>IF(OR($A143="F&amp;F",$A143="CE",V$7="No aplica"),0,'BOULEVARD 5'!Y141-'BOULEVARD PPTO'!Q136)</f>
        <v>-3</v>
      </c>
      <c r="W143" s="760">
        <f>IF(OR($A143="F&amp;F",$A143="CE",W$7="No aplica"),0,'BOULEVARD 5'!Z141-'BOULEVARD PPTO'!R136)</f>
        <v>-3</v>
      </c>
      <c r="X143" s="760">
        <f>IF(OR($A143="F&amp;F",$A143="CE",X$7="No aplica"),0,'BOULEVARD 5'!AA141-'BOULEVARD PPTO'!S136)</f>
        <v>-3</v>
      </c>
      <c r="Y143" s="760">
        <f>IF(OR($A143="F&amp;F",$A143="CE",Y$7="No aplica"),0,'BOULEVARD 5'!AB141-'BOULEVARD PPTO'!T136)</f>
        <v>-3</v>
      </c>
      <c r="Z143" s="760">
        <f>IF(OR($A143="F&amp;F",$A143="CE",Z$7="No aplica"),0,'BOULEVARD 5'!AC141-'BOULEVARD PPTO'!U136)</f>
        <v>-3</v>
      </c>
      <c r="AA143" s="760">
        <f>IF(OR($A143="F&amp;F",$A143="CE",AA$7="No aplica"),0,'BOULEVARD 5'!AD141-'BOULEVARD PPTO'!V136)</f>
        <v>-3</v>
      </c>
      <c r="AB143" s="760">
        <f>IF(OR($A143="F&amp;F",$A143="CE",AB$7="No aplica"),0,'BOULEVARD 5'!AE141-'BOULEVARD PPTO'!W136)</f>
        <v>-3</v>
      </c>
      <c r="AC143" s="760">
        <f>IF(OR($A143="F&amp;F",$A143="CE",AC$7="No aplica"),0,'BOULEVARD 5'!AF141-'BOULEVARD PPTO'!X136)</f>
        <v>-3</v>
      </c>
      <c r="AD143" s="760">
        <f>IF(OR($A143="F&amp;F",$A143="CE",AD$7="No aplica"),0,'BOULEVARD 5'!AG141-'BOULEVARD PPTO'!Y136)</f>
        <v>-3.4399999999995998</v>
      </c>
      <c r="AE143" s="760">
        <f>IF(OR($A143="F&amp;F",$A143="CE",AE$7="No aplica"),0,'BOULEVARD 5'!AH141-'BOULEVARD PPTO'!Z136)</f>
        <v>-3</v>
      </c>
      <c r="AF143" s="760">
        <f>IF(OR($A143="F&amp;F",$A143="CE",AF$7="No aplica"),0,'BOULEVARD 5'!AI141-'BOULEVARD PPTO'!AA136)</f>
        <v>-3</v>
      </c>
      <c r="AG143" s="760">
        <f>IF(OR($A143="F&amp;F",$A143="CE",AG$7="No aplica"),0,'BOULEVARD 5'!AJ141-'BOULEVARD PPTO'!AB136)</f>
        <v>-3</v>
      </c>
      <c r="AH143" s="760">
        <f>IF(OR($A143="F&amp;F",$A143="CE",AH$7="No aplica"),0,'BOULEVARD 5'!AK141-'BOULEVARD PPTO'!AC136)</f>
        <v>-3</v>
      </c>
      <c r="AI143" s="760">
        <f>IF(OR($A143="F&amp;F",$A143="CE",AI$7="No aplica"),0,'BOULEVARD 5'!AL141-'BOULEVARD PPTO'!AD136)</f>
        <v>-3</v>
      </c>
      <c r="AJ143" s="760">
        <f>IF(OR($A143="F&amp;F",$A143="CE",AJ$7="No aplica"),0,'BOULEVARD 5'!AM141-'BOULEVARD PPTO'!AE136)</f>
        <v>-3</v>
      </c>
      <c r="AK143" s="760">
        <f>IF(OR($A143="F&amp;F",$A143="CE",AK$7="No aplica"),0,'BOULEVARD 5'!AN141-'BOULEVARD PPTO'!AF136)</f>
        <v>-3</v>
      </c>
      <c r="AL143" s="760">
        <f>IF(OR($A143="F&amp;F",$A143="CE",AL$7="No aplica"),0,'BOULEVARD 5'!AO141-'BOULEVARD PPTO'!AG136)</f>
        <v>51.4399999999996</v>
      </c>
      <c r="AM143" s="760">
        <f>IF(OR($A143="F&amp;F",$A143="CE",AM$7="No aplica"),0,'BOULEVARD 5'!AP141-'BOULEVARD PPTO'!AH136)</f>
        <v>0</v>
      </c>
      <c r="AN143" s="760">
        <f>IF(OR($A143="F&amp;F",$A143="CE",AN$7="No aplica"),0,'BOULEVARD 5'!AQ141-'BOULEVARD PPTO'!AI136)</f>
        <v>0</v>
      </c>
      <c r="AO143" s="760">
        <f>IF(OR($A143="F&amp;F",$A143="CE",AO$7="No aplica"),0,'BOULEVARD 5'!AS141-'BOULEVARD PPTO'!AJ136)</f>
        <v>0</v>
      </c>
      <c r="AP143" s="761">
        <f t="shared" si="18"/>
        <v>0</v>
      </c>
      <c r="AQ143" s="761">
        <f t="shared" si="19"/>
        <v>0</v>
      </c>
      <c r="AR143" s="674">
        <f>IF(A143=0,'BOULEVARD 5'!BF141,0)</f>
        <v>8000</v>
      </c>
      <c r="AS143" s="674">
        <f>IF(A143=0,'BOULEVARD 5'!BG141,0)</f>
        <v>4489</v>
      </c>
      <c r="AT143" s="675" t="str">
        <f t="shared" si="17"/>
        <v>Vendido</v>
      </c>
      <c r="AU143" s="581" t="str">
        <f t="shared" si="16"/>
        <v/>
      </c>
      <c r="AV143" s="760">
        <f t="shared" si="20"/>
        <v>0</v>
      </c>
    </row>
    <row r="144" spans="1:48" s="581" customFormat="1" ht="12.4" customHeight="1" outlineLevel="1" x14ac:dyDescent="0.25">
      <c r="A144" s="703">
        <f>'BOULEVARD 5'!BQ142</f>
        <v>0</v>
      </c>
      <c r="B144" s="564">
        <v>809</v>
      </c>
      <c r="C144" s="564" t="s">
        <v>125</v>
      </c>
      <c r="D144" s="564"/>
      <c r="E144" s="564" t="str">
        <f>IF('BOULEVARD 5'!E142&lt;&gt;0,'BOULEVARD 5'!E142,"")</f>
        <v>Antonio Rada</v>
      </c>
      <c r="F144" s="581" t="str">
        <f>IF('BOULEVARD 5'!F142&lt;&gt;0,'BOULEVARD 5'!F142,"")</f>
        <v>Mildred Maritza Monterroso Montenegro De Santizo</v>
      </c>
      <c r="G144" s="566">
        <f>IF('BOULEVARD 5'!G142="","",'BOULEVARD 5'!G142)</f>
        <v>45353</v>
      </c>
      <c r="H144" s="756">
        <f>IF(OR($A144="F&amp;F",$A144="CE",H$7="No aplica"),0,'BOULEVARD 5'!K142-'BOULEVARD PPTO'!C137)</f>
        <v>0</v>
      </c>
      <c r="I144" s="756">
        <f>IF(OR($A144="F&amp;F",$A144="CE",I$7="No aplica"),0,'BOULEVARD 5'!L142-'BOULEVARD PPTO'!D137)</f>
        <v>0</v>
      </c>
      <c r="J144" s="756">
        <f>IF(OR($A144="F&amp;F",$A144="CE",J$7="No aplica"),0,'BOULEVARD 5'!M142-'BOULEVARD PPTO'!E137)</f>
        <v>0</v>
      </c>
      <c r="K144" s="756">
        <f>IF(OR($A144="F&amp;F",$A144="CE",K$7="No aplica"),0,'BOULEVARD 5'!N142-'BOULEVARD PPTO'!F137)</f>
        <v>0</v>
      </c>
      <c r="L144" s="756">
        <f>IF(OR($A144="F&amp;F",$A144="CE",L$7="No aplica"),0,'BOULEVARD 5'!O142-'BOULEVARD PPTO'!G137)</f>
        <v>0</v>
      </c>
      <c r="M144" s="756">
        <f>IF(OR($A144="F&amp;F",$A144="CE",M$7="No aplica"),0,'BOULEVARD 5'!P142-'BOULEVARD PPTO'!H137)</f>
        <v>0</v>
      </c>
      <c r="N144" s="756">
        <f>IF(OR($A144="F&amp;F",$A144="CE",N$7="No aplica"),0,'BOULEVARD 5'!Q142-'BOULEVARD PPTO'!I137)</f>
        <v>0</v>
      </c>
      <c r="O144" s="756">
        <f>IF(OR($A144="F&amp;F",$A144="CE",O$7="No aplica"),0,'BOULEVARD 5'!R142-'BOULEVARD PPTO'!J137)</f>
        <v>0</v>
      </c>
      <c r="P144" s="756">
        <f>IF(OR($A144="F&amp;F",$A144="CE",P$7="No aplica"),0,'BOULEVARD 5'!S142-'BOULEVARD PPTO'!K137)</f>
        <v>0</v>
      </c>
      <c r="Q144" s="760">
        <f>IF(OR($A144="F&amp;F",$A144="CE",Q$7="No aplica"),0,'BOULEVARD 5'!T142-'BOULEVARD PPTO'!L137)</f>
        <v>0</v>
      </c>
      <c r="R144" s="760">
        <f>IF(OR($A144="F&amp;F",$A144="CE",R$7="No aplica"),0,'BOULEVARD 5'!U142-'BOULEVARD PPTO'!M137)</f>
        <v>0</v>
      </c>
      <c r="S144" s="760">
        <f>IF(OR($A144="F&amp;F",$A144="CE",S$7="No aplica"),0,'BOULEVARD 5'!V142-'BOULEVARD PPTO'!N137)</f>
        <v>0</v>
      </c>
      <c r="T144" s="760">
        <f>IF(OR($A144="F&amp;F",$A144="CE",T$7="No aplica"),0,'BOULEVARD 5'!W142-'BOULEVARD PPTO'!O137)</f>
        <v>0</v>
      </c>
      <c r="U144" s="760">
        <f>IF(OR($A144="F&amp;F",$A144="CE",U$7="No aplica"),0,'BOULEVARD 5'!X142-'BOULEVARD PPTO'!P137)</f>
        <v>0</v>
      </c>
      <c r="V144" s="760">
        <f>IF(OR($A144="F&amp;F",$A144="CE",V$7="No aplica"),0,'BOULEVARD 5'!Y142-'BOULEVARD PPTO'!Q137)</f>
        <v>0</v>
      </c>
      <c r="W144" s="760">
        <f>IF(OR($A144="F&amp;F",$A144="CE",W$7="No aplica"),0,'BOULEVARD 5'!Z142-'BOULEVARD PPTO'!R137)</f>
        <v>0</v>
      </c>
      <c r="X144" s="760">
        <f>IF(OR($A144="F&amp;F",$A144="CE",X$7="No aplica"),0,'BOULEVARD 5'!AA142-'BOULEVARD PPTO'!S137)</f>
        <v>0</v>
      </c>
      <c r="Y144" s="760">
        <f>IF(OR($A144="F&amp;F",$A144="CE",Y$7="No aplica"),0,'BOULEVARD 5'!AB142-'BOULEVARD PPTO'!T137)</f>
        <v>0</v>
      </c>
      <c r="Z144" s="760">
        <f>IF(OR($A144="F&amp;F",$A144="CE",Z$7="No aplica"),0,'BOULEVARD 5'!AC142-'BOULEVARD PPTO'!U137)</f>
        <v>0</v>
      </c>
      <c r="AA144" s="760">
        <f>IF(OR($A144="F&amp;F",$A144="CE",AA$7="No aplica"),0,'BOULEVARD 5'!AD142-'BOULEVARD PPTO'!V137)</f>
        <v>0</v>
      </c>
      <c r="AB144" s="760">
        <f>IF(OR($A144="F&amp;F",$A144="CE",AB$7="No aplica"),0,'BOULEVARD 5'!AE142-'BOULEVARD PPTO'!W137)</f>
        <v>0</v>
      </c>
      <c r="AC144" s="760">
        <f>IF(OR($A144="F&amp;F",$A144="CE",AC$7="No aplica"),0,'BOULEVARD 5'!AF142-'BOULEVARD PPTO'!X137)</f>
        <v>0</v>
      </c>
      <c r="AD144" s="760">
        <f>IF(OR($A144="F&amp;F",$A144="CE",AD$7="No aplica"),0,'BOULEVARD 5'!AG142-'BOULEVARD PPTO'!Y137)</f>
        <v>0</v>
      </c>
      <c r="AE144" s="760">
        <f>IF(OR($A144="F&amp;F",$A144="CE",AE$7="No aplica"),0,'BOULEVARD 5'!AH142-'BOULEVARD PPTO'!Z137)</f>
        <v>-7283</v>
      </c>
      <c r="AF144" s="760">
        <f>IF(OR($A144="F&amp;F",$A144="CE",AF$7="No aplica"),0,'BOULEVARD 5'!AI142-'BOULEVARD PPTO'!AA137)</f>
        <v>7283</v>
      </c>
      <c r="AG144" s="760">
        <f>IF(OR($A144="F&amp;F",$A144="CE",AG$7="No aplica"),0,'BOULEVARD 5'!AJ142-'BOULEVARD PPTO'!AB137)</f>
        <v>0</v>
      </c>
      <c r="AH144" s="760">
        <f>IF(OR($A144="F&amp;F",$A144="CE",AH$7="No aplica"),0,'BOULEVARD 5'!AK142-'BOULEVARD PPTO'!AC137)</f>
        <v>0</v>
      </c>
      <c r="AI144" s="760">
        <f>IF(OR($A144="F&amp;F",$A144="CE",AI$7="No aplica"),0,'BOULEVARD 5'!AL142-'BOULEVARD PPTO'!AD137)</f>
        <v>-7283</v>
      </c>
      <c r="AJ144" s="760">
        <f>IF(OR($A144="F&amp;F",$A144="CE",AJ$7="No aplica"),0,'BOULEVARD 5'!AM142-'BOULEVARD PPTO'!AE137)</f>
        <v>7283</v>
      </c>
      <c r="AK144" s="760">
        <f>IF(OR($A144="F&amp;F",$A144="CE",AK$7="No aplica"),0,'BOULEVARD 5'!AN142-'BOULEVARD PPTO'!AF137)</f>
        <v>-7283</v>
      </c>
      <c r="AL144" s="760">
        <f>IF(OR($A144="F&amp;F",$A144="CE",AL$7="No aplica"),0,'BOULEVARD 5'!AO142-'BOULEVARD PPTO'!AG137)</f>
        <v>-6</v>
      </c>
      <c r="AM144" s="760">
        <f>IF(OR($A144="F&amp;F",$A144="CE",AM$7="No aplica"),0,'BOULEVARD 5'!AP142-'BOULEVARD PPTO'!AH137)</f>
        <v>7283</v>
      </c>
      <c r="AN144" s="760">
        <f>IF(OR($A144="F&amp;F",$A144="CE",AN$7="No aplica"),0,'BOULEVARD 5'!AQ142-'BOULEVARD PPTO'!AI137)</f>
        <v>0</v>
      </c>
      <c r="AO144" s="760">
        <f>IF(OR($A144="F&amp;F",$A144="CE",AO$7="No aplica"),0,'BOULEVARD 5'!AS142-'BOULEVARD PPTO'!AJ137)</f>
        <v>0</v>
      </c>
      <c r="AP144" s="761">
        <f t="shared" si="18"/>
        <v>-6</v>
      </c>
      <c r="AQ144" s="761">
        <f t="shared" si="19"/>
        <v>0</v>
      </c>
      <c r="AR144" s="674">
        <f>IF(A144=0,'BOULEVARD 5'!BF142,0)</f>
        <v>8000</v>
      </c>
      <c r="AS144" s="674">
        <f>IF(A144=0,'BOULEVARD 5'!BG142,0)</f>
        <v>7283</v>
      </c>
      <c r="AT144" s="675" t="str">
        <f t="shared" si="17"/>
        <v>Vendido</v>
      </c>
      <c r="AU144" s="581" t="str">
        <f t="shared" si="16"/>
        <v>POR COBRAR</v>
      </c>
      <c r="AV144" s="760">
        <f t="shared" si="20"/>
        <v>7283</v>
      </c>
    </row>
    <row r="145" spans="1:48" s="581" customFormat="1" ht="12.4" customHeight="1" outlineLevel="1" x14ac:dyDescent="0.25">
      <c r="A145" s="703">
        <f>'BOULEVARD 5'!BQ143</f>
        <v>0</v>
      </c>
      <c r="B145" s="564">
        <v>810</v>
      </c>
      <c r="C145" s="564" t="s">
        <v>178</v>
      </c>
      <c r="D145" s="564"/>
      <c r="E145" s="564" t="str">
        <f>IF('BOULEVARD 5'!E143&lt;&gt;0,'BOULEVARD 5'!E143,"")</f>
        <v>Brenda Búcaro</v>
      </c>
      <c r="F145" s="581" t="str">
        <f>IF('BOULEVARD 5'!F143&lt;&gt;0,'BOULEVARD 5'!F143,"")</f>
        <v>Sebastián Aristondo Barillas</v>
      </c>
      <c r="G145" s="566">
        <f>IF('BOULEVARD 5'!G143="","",'BOULEVARD 5'!G143)</f>
        <v>45099</v>
      </c>
      <c r="H145" s="756">
        <f>IF(OR($A145="F&amp;F",$A145="CE",H$7="No aplica"),0,'BOULEVARD 5'!K143-'BOULEVARD PPTO'!C138)</f>
        <v>0</v>
      </c>
      <c r="I145" s="756">
        <f>IF(OR($A145="F&amp;F",$A145="CE",I$7="No aplica"),0,'BOULEVARD 5'!L143-'BOULEVARD PPTO'!D138)</f>
        <v>0</v>
      </c>
      <c r="J145" s="756">
        <f>IF(OR($A145="F&amp;F",$A145="CE",J$7="No aplica"),0,'BOULEVARD 5'!M143-'BOULEVARD PPTO'!E138)</f>
        <v>0</v>
      </c>
      <c r="K145" s="756">
        <f>IF(OR($A145="F&amp;F",$A145="CE",K$7="No aplica"),0,'BOULEVARD 5'!N143-'BOULEVARD PPTO'!F138)</f>
        <v>0</v>
      </c>
      <c r="L145" s="756">
        <f>IF(OR($A145="F&amp;F",$A145="CE",L$7="No aplica"),0,'BOULEVARD 5'!O143-'BOULEVARD PPTO'!G138)</f>
        <v>0</v>
      </c>
      <c r="M145" s="756">
        <f>IF(OR($A145="F&amp;F",$A145="CE",M$7="No aplica"),0,'BOULEVARD 5'!P143-'BOULEVARD PPTO'!H138)</f>
        <v>0</v>
      </c>
      <c r="N145" s="756">
        <f>IF(OR($A145="F&amp;F",$A145="CE",N$7="No aplica"),0,'BOULEVARD 5'!Q143-'BOULEVARD PPTO'!I138)</f>
        <v>0</v>
      </c>
      <c r="O145" s="756">
        <f>IF(OR($A145="F&amp;F",$A145="CE",O$7="No aplica"),0,'BOULEVARD 5'!R143-'BOULEVARD PPTO'!J138)</f>
        <v>0</v>
      </c>
      <c r="P145" s="756">
        <f>IF(OR($A145="F&amp;F",$A145="CE",P$7="No aplica"),0,'BOULEVARD 5'!S143-'BOULEVARD PPTO'!K138)</f>
        <v>0</v>
      </c>
      <c r="Q145" s="760">
        <f>IF(OR($A145="F&amp;F",$A145="CE",Q$7="No aplica"),0,'BOULEVARD 5'!T143-'BOULEVARD PPTO'!L138)</f>
        <v>-6000</v>
      </c>
      <c r="R145" s="760">
        <f>IF(OR($A145="F&amp;F",$A145="CE",R$7="No aplica"),0,'BOULEVARD 5'!U143-'BOULEVARD PPTO'!M138)</f>
        <v>4400</v>
      </c>
      <c r="S145" s="760">
        <f>IF(OR($A145="F&amp;F",$A145="CE",S$7="No aplica"),0,'BOULEVARD 5'!V143-'BOULEVARD PPTO'!N138)</f>
        <v>-1600</v>
      </c>
      <c r="T145" s="760">
        <f>IF(OR($A145="F&amp;F",$A145="CE",T$7="No aplica"),0,'BOULEVARD 5'!W143-'BOULEVARD PPTO'!O138)</f>
        <v>-1600</v>
      </c>
      <c r="U145" s="760">
        <f>IF(OR($A145="F&amp;F",$A145="CE",U$7="No aplica"),0,'BOULEVARD 5'!X143-'BOULEVARD PPTO'!P138)</f>
        <v>1600</v>
      </c>
      <c r="V145" s="760">
        <f>IF(OR($A145="F&amp;F",$A145="CE",V$7="No aplica"),0,'BOULEVARD 5'!Y143-'BOULEVARD PPTO'!Q138)</f>
        <v>0</v>
      </c>
      <c r="W145" s="760">
        <f>IF(OR($A145="F&amp;F",$A145="CE",W$7="No aplica"),0,'BOULEVARD 5'!Z143-'BOULEVARD PPTO'!R138)</f>
        <v>-1600</v>
      </c>
      <c r="X145" s="760">
        <f>IF(OR($A145="F&amp;F",$A145="CE",X$7="No aplica"),0,'BOULEVARD 5'!AA143-'BOULEVARD PPTO'!S138)</f>
        <v>0</v>
      </c>
      <c r="Y145" s="760">
        <f>IF(OR($A145="F&amp;F",$A145="CE",Y$7="No aplica"),0,'BOULEVARD 5'!AB143-'BOULEVARD PPTO'!T138)</f>
        <v>0</v>
      </c>
      <c r="Z145" s="760">
        <f>IF(OR($A145="F&amp;F",$A145="CE",Z$7="No aplica"),0,'BOULEVARD 5'!AC143-'BOULEVARD PPTO'!U138)</f>
        <v>0</v>
      </c>
      <c r="AA145" s="760">
        <f>IF(OR($A145="F&amp;F",$A145="CE",AA$7="No aplica"),0,'BOULEVARD 5'!AD143-'BOULEVARD PPTO'!V138)</f>
        <v>-1600</v>
      </c>
      <c r="AB145" s="760">
        <f>IF(OR($A145="F&amp;F",$A145="CE",AB$7="No aplica"),0,'BOULEVARD 5'!AE143-'BOULEVARD PPTO'!W138)</f>
        <v>0</v>
      </c>
      <c r="AC145" s="760">
        <f>IF(OR($A145="F&amp;F",$A145="CE",AC$7="No aplica"),0,'BOULEVARD 5'!AF143-'BOULEVARD PPTO'!X138)</f>
        <v>-6000</v>
      </c>
      <c r="AD145" s="760">
        <f>IF(OR($A145="F&amp;F",$A145="CE",AD$7="No aplica"),0,'BOULEVARD 5'!AG143-'BOULEVARD PPTO'!Y138)</f>
        <v>-1600</v>
      </c>
      <c r="AE145" s="760">
        <f>IF(OR($A145="F&amp;F",$A145="CE",AE$7="No aplica"),0,'BOULEVARD 5'!AH143-'BOULEVARD PPTO'!Z138)</f>
        <v>1600</v>
      </c>
      <c r="AF145" s="760">
        <f>IF(OR($A145="F&amp;F",$A145="CE",AF$7="No aplica"),0,'BOULEVARD 5'!AI143-'BOULEVARD PPTO'!AA138)</f>
        <v>0</v>
      </c>
      <c r="AG145" s="760">
        <f>IF(OR($A145="F&amp;F",$A145="CE",AG$7="No aplica"),0,'BOULEVARD 5'!AJ143-'BOULEVARD PPTO'!AB138)</f>
        <v>6000</v>
      </c>
      <c r="AH145" s="760">
        <f>IF(OR($A145="F&amp;F",$A145="CE",AH$7="No aplica"),0,'BOULEVARD 5'!AK143-'BOULEVARD PPTO'!AC138)</f>
        <v>0</v>
      </c>
      <c r="AI145" s="760">
        <f>IF(OR($A145="F&amp;F",$A145="CE",AI$7="No aplica"),0,'BOULEVARD 5'!AL143-'BOULEVARD PPTO'!AD138)</f>
        <v>0</v>
      </c>
      <c r="AJ145" s="760">
        <f>IF(OR($A145="F&amp;F",$A145="CE",AJ$7="No aplica"),0,'BOULEVARD 5'!AM143-'BOULEVARD PPTO'!AE138)</f>
        <v>0</v>
      </c>
      <c r="AK145" s="760">
        <f>IF(OR($A145="F&amp;F",$A145="CE",AK$7="No aplica"),0,'BOULEVARD 5'!AN143-'BOULEVARD PPTO'!AF138)</f>
        <v>-1600</v>
      </c>
      <c r="AL145" s="760">
        <f>IF(OR($A145="F&amp;F",$A145="CE",AL$7="No aplica"),0,'BOULEVARD 5'!AO143-'BOULEVARD PPTO'!AG138)</f>
        <v>-3200</v>
      </c>
      <c r="AM145" s="760">
        <f>IF(OR($A145="F&amp;F",$A145="CE",AM$7="No aplica"),0,'BOULEVARD 5'!AP143-'BOULEVARD PPTO'!AH138)</f>
        <v>1600</v>
      </c>
      <c r="AN145" s="760">
        <f>IF(OR($A145="F&amp;F",$A145="CE",AN$7="No aplica"),0,'BOULEVARD 5'!AQ143-'BOULEVARD PPTO'!AI138)</f>
        <v>0</v>
      </c>
      <c r="AO145" s="760">
        <f>IF(OR($A145="F&amp;F",$A145="CE",AO$7="No aplica"),0,'BOULEVARD 5'!AS143-'BOULEVARD PPTO'!AJ138)</f>
        <v>0</v>
      </c>
      <c r="AP145" s="761">
        <f t="shared" si="18"/>
        <v>-9600</v>
      </c>
      <c r="AQ145" s="761">
        <f t="shared" si="19"/>
        <v>-8000</v>
      </c>
      <c r="AR145" s="674">
        <f>IF(A145=0,'BOULEVARD 5'!BF143,0)</f>
        <v>6000</v>
      </c>
      <c r="AS145" s="674">
        <f>IF(A145=0,'BOULEVARD 5'!BG143,0)</f>
        <v>1600</v>
      </c>
      <c r="AT145" s="675" t="str">
        <f t="shared" si="17"/>
        <v>Vendido</v>
      </c>
      <c r="AU145" s="581" t="str">
        <f t="shared" si="16"/>
        <v>POR COBRAR</v>
      </c>
      <c r="AV145" s="760">
        <f t="shared" si="20"/>
        <v>1600</v>
      </c>
    </row>
    <row r="146" spans="1:48" s="581" customFormat="1" ht="12.4" customHeight="1" outlineLevel="1" x14ac:dyDescent="0.25">
      <c r="A146" s="703" t="str">
        <f>'BOULEVARD 5'!BQ144</f>
        <v>CE</v>
      </c>
      <c r="B146" s="708">
        <v>811</v>
      </c>
      <c r="C146" s="564" t="s">
        <v>391</v>
      </c>
      <c r="D146" s="707" t="s">
        <v>386</v>
      </c>
      <c r="E146" s="564" t="str">
        <f>IF('BOULEVARD 5'!E144&lt;&gt;0,'BOULEVARD 5'!E144,"")</f>
        <v>Antonio Rada</v>
      </c>
      <c r="F146" s="581" t="str">
        <f>IF('BOULEVARD 5'!F144&lt;&gt;0,'BOULEVARD 5'!F144,"")</f>
        <v>Rosa Gilda Tuchan Valle De Gonzalez</v>
      </c>
      <c r="G146" s="566">
        <f>IF('BOULEVARD 5'!G144="","",'BOULEVARD 5'!G144)</f>
        <v>45485</v>
      </c>
      <c r="H146" s="756">
        <f>IF(OR($A146="F&amp;F",$A146="CE",H$7="No aplica"),0,'BOULEVARD 5'!K144-'BOULEVARD PPTO'!C139)</f>
        <v>0</v>
      </c>
      <c r="I146" s="756">
        <f>IF(OR($A146="F&amp;F",$A146="CE",I$7="No aplica"),0,'BOULEVARD 5'!L144-'BOULEVARD PPTO'!D139)</f>
        <v>0</v>
      </c>
      <c r="J146" s="756">
        <f>IF(OR($A146="F&amp;F",$A146="CE",J$7="No aplica"),0,'BOULEVARD 5'!M144-'BOULEVARD PPTO'!E139)</f>
        <v>0</v>
      </c>
      <c r="K146" s="756">
        <f>IF(OR($A146="F&amp;F",$A146="CE",K$7="No aplica"),0,'BOULEVARD 5'!N144-'BOULEVARD PPTO'!F139)</f>
        <v>0</v>
      </c>
      <c r="L146" s="756">
        <f>IF(OR($A146="F&amp;F",$A146="CE",L$7="No aplica"),0,'BOULEVARD 5'!O144-'BOULEVARD PPTO'!G139)</f>
        <v>0</v>
      </c>
      <c r="M146" s="756">
        <f>IF(OR($A146="F&amp;F",$A146="CE",M$7="No aplica"),0,'BOULEVARD 5'!P144-'BOULEVARD PPTO'!H139)</f>
        <v>0</v>
      </c>
      <c r="N146" s="756">
        <f>IF(OR($A146="F&amp;F",$A146="CE",N$7="No aplica"),0,'BOULEVARD 5'!Q144-'BOULEVARD PPTO'!I139)</f>
        <v>0</v>
      </c>
      <c r="O146" s="756">
        <f>IF(OR($A146="F&amp;F",$A146="CE",O$7="No aplica"),0,'BOULEVARD 5'!R144-'BOULEVARD PPTO'!J139)</f>
        <v>0</v>
      </c>
      <c r="P146" s="756">
        <f>IF(OR($A146="F&amp;F",$A146="CE",P$7="No aplica"),0,'BOULEVARD 5'!S144-'BOULEVARD PPTO'!K139)</f>
        <v>0</v>
      </c>
      <c r="Q146" s="760">
        <f>IF(OR($A146="F&amp;F",$A146="CE",Q$7="No aplica"),0,'BOULEVARD 5'!T144-'BOULEVARD PPTO'!L139)</f>
        <v>0</v>
      </c>
      <c r="R146" s="760">
        <f>IF(OR($A146="F&amp;F",$A146="CE",R$7="No aplica"),0,'BOULEVARD 5'!U144-'BOULEVARD PPTO'!M139)</f>
        <v>0</v>
      </c>
      <c r="S146" s="760">
        <f>IF(OR($A146="F&amp;F",$A146="CE",S$7="No aplica"),0,'BOULEVARD 5'!V144-'BOULEVARD PPTO'!N139)</f>
        <v>0</v>
      </c>
      <c r="T146" s="760">
        <f>IF(OR($A146="F&amp;F",$A146="CE",T$7="No aplica"),0,'BOULEVARD 5'!W144-'BOULEVARD PPTO'!O139)</f>
        <v>0</v>
      </c>
      <c r="U146" s="760">
        <f>IF(OR($A146="F&amp;F",$A146="CE",U$7="No aplica"),0,'BOULEVARD 5'!X144-'BOULEVARD PPTO'!P139)</f>
        <v>0</v>
      </c>
      <c r="V146" s="760">
        <f>IF(OR($A146="F&amp;F",$A146="CE",V$7="No aplica"),0,'BOULEVARD 5'!Y144-'BOULEVARD PPTO'!Q139)</f>
        <v>0</v>
      </c>
      <c r="W146" s="760">
        <f>IF(OR($A146="F&amp;F",$A146="CE",W$7="No aplica"),0,'BOULEVARD 5'!Z144-'BOULEVARD PPTO'!R139)</f>
        <v>0</v>
      </c>
      <c r="X146" s="760">
        <f>IF(OR($A146="F&amp;F",$A146="CE",X$7="No aplica"),0,'BOULEVARD 5'!AA144-'BOULEVARD PPTO'!S139)</f>
        <v>0</v>
      </c>
      <c r="Y146" s="760">
        <f>IF(OR($A146="F&amp;F",$A146="CE",Y$7="No aplica"),0,'BOULEVARD 5'!AB144-'BOULEVARD PPTO'!T139)</f>
        <v>0</v>
      </c>
      <c r="Z146" s="760">
        <f>IF(OR($A146="F&amp;F",$A146="CE",Z$7="No aplica"),0,'BOULEVARD 5'!AC144-'BOULEVARD PPTO'!U139)</f>
        <v>0</v>
      </c>
      <c r="AA146" s="760">
        <f>IF(OR($A146="F&amp;F",$A146="CE",AA$7="No aplica"),0,'BOULEVARD 5'!AD144-'BOULEVARD PPTO'!V139)</f>
        <v>0</v>
      </c>
      <c r="AB146" s="760">
        <f>IF(OR($A146="F&amp;F",$A146="CE",AB$7="No aplica"),0,'BOULEVARD 5'!AE144-'BOULEVARD PPTO'!W139)</f>
        <v>0</v>
      </c>
      <c r="AC146" s="760">
        <f>IF(OR($A146="F&amp;F",$A146="CE",AC$7="No aplica"),0,'BOULEVARD 5'!AF144-'BOULEVARD PPTO'!X139)</f>
        <v>0</v>
      </c>
      <c r="AD146" s="760">
        <f>IF(OR($A146="F&amp;F",$A146="CE",AD$7="No aplica"),0,'BOULEVARD 5'!AG144-'BOULEVARD PPTO'!Y139)</f>
        <v>0</v>
      </c>
      <c r="AE146" s="760">
        <f>IF(OR($A146="F&amp;F",$A146="CE",AE$7="No aplica"),0,'BOULEVARD 5'!AH144-'BOULEVARD PPTO'!Z139)</f>
        <v>0</v>
      </c>
      <c r="AF146" s="760">
        <f>IF(OR($A146="F&amp;F",$A146="CE",AF$7="No aplica"),0,'BOULEVARD 5'!AI144-'BOULEVARD PPTO'!AA139)</f>
        <v>0</v>
      </c>
      <c r="AG146" s="760">
        <f>IF(OR($A146="F&amp;F",$A146="CE",AG$7="No aplica"),0,'BOULEVARD 5'!AJ144-'BOULEVARD PPTO'!AB139)</f>
        <v>0</v>
      </c>
      <c r="AH146" s="760">
        <f>IF(OR($A146="F&amp;F",$A146="CE",AH$7="No aplica"),0,'BOULEVARD 5'!AK144-'BOULEVARD PPTO'!AC139)</f>
        <v>0</v>
      </c>
      <c r="AI146" s="760">
        <f>IF(OR($A146="F&amp;F",$A146="CE",AI$7="No aplica"),0,'BOULEVARD 5'!AL144-'BOULEVARD PPTO'!AD139)</f>
        <v>0</v>
      </c>
      <c r="AJ146" s="760">
        <f>IF(OR($A146="F&amp;F",$A146="CE",AJ$7="No aplica"),0,'BOULEVARD 5'!AM144-'BOULEVARD PPTO'!AE139)</f>
        <v>0</v>
      </c>
      <c r="AK146" s="760">
        <f>IF(OR($A146="F&amp;F",$A146="CE",AK$7="No aplica"),0,'BOULEVARD 5'!AN144-'BOULEVARD PPTO'!AF139)</f>
        <v>0</v>
      </c>
      <c r="AL146" s="760">
        <f>IF(OR($A146="F&amp;F",$A146="CE",AL$7="No aplica"),0,'BOULEVARD 5'!AO144-'BOULEVARD PPTO'!AG139)</f>
        <v>0</v>
      </c>
      <c r="AM146" s="760">
        <f>IF(OR($A146="F&amp;F",$A146="CE",AM$7="No aplica"),0,'BOULEVARD 5'!AP144-'BOULEVARD PPTO'!AH139)</f>
        <v>0</v>
      </c>
      <c r="AN146" s="760">
        <f>IF(OR($A146="F&amp;F",$A146="CE",AN$7="No aplica"),0,'BOULEVARD 5'!AQ144-'BOULEVARD PPTO'!AI139)</f>
        <v>0</v>
      </c>
      <c r="AO146" s="760">
        <f>IF(OR($A146="F&amp;F",$A146="CE",AO$7="No aplica"),0,'BOULEVARD 5'!AS144-'BOULEVARD PPTO'!AJ139)</f>
        <v>0</v>
      </c>
      <c r="AP146" s="761">
        <f t="shared" si="18"/>
        <v>0</v>
      </c>
      <c r="AQ146" s="761">
        <f t="shared" si="19"/>
        <v>0</v>
      </c>
      <c r="AR146" s="674">
        <f>IF(A146=0,'BOULEVARD 5'!BF144,0)</f>
        <v>0</v>
      </c>
      <c r="AS146" s="674">
        <f>IF(A146=0,'BOULEVARD 5'!BG144,0)</f>
        <v>0</v>
      </c>
      <c r="AT146" s="675" t="str">
        <f t="shared" si="17"/>
        <v>Vendido</v>
      </c>
      <c r="AU146" s="581" t="str">
        <f t="shared" si="16"/>
        <v/>
      </c>
      <c r="AV146" s="760">
        <f t="shared" si="20"/>
        <v>0</v>
      </c>
    </row>
    <row r="147" spans="1:48" s="581" customFormat="1" ht="12.4" customHeight="1" outlineLevel="1" x14ac:dyDescent="0.25">
      <c r="A147" s="703" t="str">
        <f>'BOULEVARD 5'!BQ145</f>
        <v>CE</v>
      </c>
      <c r="B147" s="708">
        <v>812</v>
      </c>
      <c r="C147" s="564" t="s">
        <v>194</v>
      </c>
      <c r="D147" s="707" t="s">
        <v>386</v>
      </c>
      <c r="E147" s="564" t="str">
        <f>IF('BOULEVARD 5'!E145&lt;&gt;0,'BOULEVARD 5'!E145,"")</f>
        <v>Antonio Rada</v>
      </c>
      <c r="F147" s="581" t="str">
        <f>IF('BOULEVARD 5'!F145&lt;&gt;0,'BOULEVARD 5'!F145,"")</f>
        <v>Juan Pablo Gonzalez Tuchan</v>
      </c>
      <c r="G147" s="566">
        <f>IF('BOULEVARD 5'!G145="","",'BOULEVARD 5'!G145)</f>
        <v>45503</v>
      </c>
      <c r="H147" s="756">
        <f>IF(OR($A147="F&amp;F",$A147="CE",H$7="No aplica"),0,'BOULEVARD 5'!K145-'BOULEVARD PPTO'!C140)</f>
        <v>0</v>
      </c>
      <c r="I147" s="756">
        <f>IF(OR($A147="F&amp;F",$A147="CE",I$7="No aplica"),0,'BOULEVARD 5'!L145-'BOULEVARD PPTO'!D140)</f>
        <v>0</v>
      </c>
      <c r="J147" s="756">
        <f>IF(OR($A147="F&amp;F",$A147="CE",J$7="No aplica"),0,'BOULEVARD 5'!M145-'BOULEVARD PPTO'!E140)</f>
        <v>0</v>
      </c>
      <c r="K147" s="756">
        <f>IF(OR($A147="F&amp;F",$A147="CE",K$7="No aplica"),0,'BOULEVARD 5'!N145-'BOULEVARD PPTO'!F140)</f>
        <v>0</v>
      </c>
      <c r="L147" s="756">
        <f>IF(OR($A147="F&amp;F",$A147="CE",L$7="No aplica"),0,'BOULEVARD 5'!O145-'BOULEVARD PPTO'!G140)</f>
        <v>0</v>
      </c>
      <c r="M147" s="756">
        <f>IF(OR($A147="F&amp;F",$A147="CE",M$7="No aplica"),0,'BOULEVARD 5'!P145-'BOULEVARD PPTO'!H140)</f>
        <v>0</v>
      </c>
      <c r="N147" s="756">
        <f>IF(OR($A147="F&amp;F",$A147="CE",N$7="No aplica"),0,'BOULEVARD 5'!Q145-'BOULEVARD PPTO'!I140)</f>
        <v>0</v>
      </c>
      <c r="O147" s="756">
        <f>IF(OR($A147="F&amp;F",$A147="CE",O$7="No aplica"),0,'BOULEVARD 5'!R145-'BOULEVARD PPTO'!J140)</f>
        <v>0</v>
      </c>
      <c r="P147" s="756">
        <f>IF(OR($A147="F&amp;F",$A147="CE",P$7="No aplica"),0,'BOULEVARD 5'!S145-'BOULEVARD PPTO'!K140)</f>
        <v>0</v>
      </c>
      <c r="Q147" s="760">
        <f>IF(OR($A147="F&amp;F",$A147="CE",Q$7="No aplica"),0,'BOULEVARD 5'!T145-'BOULEVARD PPTO'!L140)</f>
        <v>0</v>
      </c>
      <c r="R147" s="760">
        <f>IF(OR($A147="F&amp;F",$A147="CE",R$7="No aplica"),0,'BOULEVARD 5'!U145-'BOULEVARD PPTO'!M140)</f>
        <v>0</v>
      </c>
      <c r="S147" s="760">
        <f>IF(OR($A147="F&amp;F",$A147="CE",S$7="No aplica"),0,'BOULEVARD 5'!V145-'BOULEVARD PPTO'!N140)</f>
        <v>0</v>
      </c>
      <c r="T147" s="760">
        <f>IF(OR($A147="F&amp;F",$A147="CE",T$7="No aplica"),0,'BOULEVARD 5'!W145-'BOULEVARD PPTO'!O140)</f>
        <v>0</v>
      </c>
      <c r="U147" s="760">
        <f>IF(OR($A147="F&amp;F",$A147="CE",U$7="No aplica"),0,'BOULEVARD 5'!X145-'BOULEVARD PPTO'!P140)</f>
        <v>0</v>
      </c>
      <c r="V147" s="760">
        <f>IF(OR($A147="F&amp;F",$A147="CE",V$7="No aplica"),0,'BOULEVARD 5'!Y145-'BOULEVARD PPTO'!Q140)</f>
        <v>0</v>
      </c>
      <c r="W147" s="760">
        <f>IF(OR($A147="F&amp;F",$A147="CE",W$7="No aplica"),0,'BOULEVARD 5'!Z145-'BOULEVARD PPTO'!R140)</f>
        <v>0</v>
      </c>
      <c r="X147" s="760">
        <f>IF(OR($A147="F&amp;F",$A147="CE",X$7="No aplica"),0,'BOULEVARD 5'!AA145-'BOULEVARD PPTO'!S140)</f>
        <v>0</v>
      </c>
      <c r="Y147" s="760">
        <f>IF(OR($A147="F&amp;F",$A147="CE",Y$7="No aplica"),0,'BOULEVARD 5'!AB145-'BOULEVARD PPTO'!T140)</f>
        <v>0</v>
      </c>
      <c r="Z147" s="760">
        <f>IF(OR($A147="F&amp;F",$A147="CE",Z$7="No aplica"),0,'BOULEVARD 5'!AC145-'BOULEVARD PPTO'!U140)</f>
        <v>0</v>
      </c>
      <c r="AA147" s="760">
        <f>IF(OR($A147="F&amp;F",$A147="CE",AA$7="No aplica"),0,'BOULEVARD 5'!AD145-'BOULEVARD PPTO'!V140)</f>
        <v>0</v>
      </c>
      <c r="AB147" s="760">
        <f>IF(OR($A147="F&amp;F",$A147="CE",AB$7="No aplica"),0,'BOULEVARD 5'!AE145-'BOULEVARD PPTO'!W140)</f>
        <v>0</v>
      </c>
      <c r="AC147" s="760">
        <f>IF(OR($A147="F&amp;F",$A147="CE",AC$7="No aplica"),0,'BOULEVARD 5'!AF145-'BOULEVARD PPTO'!X140)</f>
        <v>0</v>
      </c>
      <c r="AD147" s="760">
        <f>IF(OR($A147="F&amp;F",$A147="CE",AD$7="No aplica"),0,'BOULEVARD 5'!AG145-'BOULEVARD PPTO'!Y140)</f>
        <v>0</v>
      </c>
      <c r="AE147" s="760">
        <f>IF(OR($A147="F&amp;F",$A147="CE",AE$7="No aplica"),0,'BOULEVARD 5'!AH145-'BOULEVARD PPTO'!Z140)</f>
        <v>0</v>
      </c>
      <c r="AF147" s="760">
        <f>IF(OR($A147="F&amp;F",$A147="CE",AF$7="No aplica"),0,'BOULEVARD 5'!AI145-'BOULEVARD PPTO'!AA140)</f>
        <v>0</v>
      </c>
      <c r="AG147" s="760">
        <f>IF(OR($A147="F&amp;F",$A147="CE",AG$7="No aplica"),0,'BOULEVARD 5'!AJ145-'BOULEVARD PPTO'!AB140)</f>
        <v>0</v>
      </c>
      <c r="AH147" s="760">
        <f>IF(OR($A147="F&amp;F",$A147="CE",AH$7="No aplica"),0,'BOULEVARD 5'!AK145-'BOULEVARD PPTO'!AC140)</f>
        <v>0</v>
      </c>
      <c r="AI147" s="760">
        <f>IF(OR($A147="F&amp;F",$A147="CE",AI$7="No aplica"),0,'BOULEVARD 5'!AL145-'BOULEVARD PPTO'!AD140)</f>
        <v>0</v>
      </c>
      <c r="AJ147" s="760">
        <f>IF(OR($A147="F&amp;F",$A147="CE",AJ$7="No aplica"),0,'BOULEVARD 5'!AM145-'BOULEVARD PPTO'!AE140)</f>
        <v>0</v>
      </c>
      <c r="AK147" s="760">
        <f>IF(OR($A147="F&amp;F",$A147="CE",AK$7="No aplica"),0,'BOULEVARD 5'!AN145-'BOULEVARD PPTO'!AF140)</f>
        <v>0</v>
      </c>
      <c r="AL147" s="760">
        <f>IF(OR($A147="F&amp;F",$A147="CE",AL$7="No aplica"),0,'BOULEVARD 5'!AO145-'BOULEVARD PPTO'!AG140)</f>
        <v>0</v>
      </c>
      <c r="AM147" s="760">
        <f>IF(OR($A147="F&amp;F",$A147="CE",AM$7="No aplica"),0,'BOULEVARD 5'!AP145-'BOULEVARD PPTO'!AH140)</f>
        <v>0</v>
      </c>
      <c r="AN147" s="760">
        <f>IF(OR($A147="F&amp;F",$A147="CE",AN$7="No aplica"),0,'BOULEVARD 5'!AQ145-'BOULEVARD PPTO'!AI140)</f>
        <v>0</v>
      </c>
      <c r="AO147" s="760">
        <f>IF(OR($A147="F&amp;F",$A147="CE",AO$7="No aplica"),0,'BOULEVARD 5'!AS145-'BOULEVARD PPTO'!AJ140)</f>
        <v>0</v>
      </c>
      <c r="AP147" s="761">
        <f t="shared" si="18"/>
        <v>0</v>
      </c>
      <c r="AQ147" s="761">
        <f t="shared" si="19"/>
        <v>0</v>
      </c>
      <c r="AR147" s="674">
        <f>IF(A147=0,'BOULEVARD 5'!BF145,0)</f>
        <v>0</v>
      </c>
      <c r="AS147" s="674">
        <f>IF(A147=0,'BOULEVARD 5'!BG145,0)</f>
        <v>0</v>
      </c>
      <c r="AT147" s="675" t="str">
        <f t="shared" si="17"/>
        <v>Vendido</v>
      </c>
      <c r="AU147" s="581" t="str">
        <f t="shared" si="16"/>
        <v/>
      </c>
      <c r="AV147" s="760">
        <f t="shared" si="20"/>
        <v>0</v>
      </c>
    </row>
    <row r="148" spans="1:48" s="581" customFormat="1" ht="12.4" customHeight="1" outlineLevel="1" x14ac:dyDescent="0.25">
      <c r="A148" s="703">
        <f>'BOULEVARD 5'!BQ146</f>
        <v>0</v>
      </c>
      <c r="B148" s="564">
        <v>813</v>
      </c>
      <c r="C148" s="564" t="s">
        <v>393</v>
      </c>
      <c r="D148" s="564"/>
      <c r="E148" s="564" t="str">
        <f>IF('BOULEVARD 5'!E146&lt;&gt;0,'BOULEVARD 5'!E146,"")</f>
        <v>Antonio Rada</v>
      </c>
      <c r="F148" s="581" t="str">
        <f>IF('BOULEVARD 5'!F146&lt;&gt;0,'BOULEVARD 5'!F146,"")</f>
        <v>Industrias Danico, S.A. /  Pedro Cordón}</v>
      </c>
      <c r="G148" s="566">
        <f>IF('BOULEVARD 5'!G146="","",'BOULEVARD 5'!G146)</f>
        <v>45426</v>
      </c>
      <c r="H148" s="756">
        <f>IF(OR($A148="F&amp;F",$A148="CE",H$7="No aplica"),0,'BOULEVARD 5'!K146-'BOULEVARD PPTO'!C141)</f>
        <v>0</v>
      </c>
      <c r="I148" s="756">
        <f>IF(OR($A148="F&amp;F",$A148="CE",I$7="No aplica"),0,'BOULEVARD 5'!L146-'BOULEVARD PPTO'!D141)</f>
        <v>0</v>
      </c>
      <c r="J148" s="756">
        <f>IF(OR($A148="F&amp;F",$A148="CE",J$7="No aplica"),0,'BOULEVARD 5'!M146-'BOULEVARD PPTO'!E141)</f>
        <v>0</v>
      </c>
      <c r="K148" s="756">
        <f>IF(OR($A148="F&amp;F",$A148="CE",K$7="No aplica"),0,'BOULEVARD 5'!N146-'BOULEVARD PPTO'!F141)</f>
        <v>0</v>
      </c>
      <c r="L148" s="756">
        <f>IF(OR($A148="F&amp;F",$A148="CE",L$7="No aplica"),0,'BOULEVARD 5'!O146-'BOULEVARD PPTO'!G141)</f>
        <v>0</v>
      </c>
      <c r="M148" s="756">
        <f>IF(OR($A148="F&amp;F",$A148="CE",M$7="No aplica"),0,'BOULEVARD 5'!P146-'BOULEVARD PPTO'!H141)</f>
        <v>0</v>
      </c>
      <c r="N148" s="756">
        <f>IF(OR($A148="F&amp;F",$A148="CE",N$7="No aplica"),0,'BOULEVARD 5'!Q146-'BOULEVARD PPTO'!I141)</f>
        <v>0</v>
      </c>
      <c r="O148" s="756">
        <f>IF(OR($A148="F&amp;F",$A148="CE",O$7="No aplica"),0,'BOULEVARD 5'!R146-'BOULEVARD PPTO'!J141)</f>
        <v>0</v>
      </c>
      <c r="P148" s="756">
        <f>IF(OR($A148="F&amp;F",$A148="CE",P$7="No aplica"),0,'BOULEVARD 5'!S146-'BOULEVARD PPTO'!K141)</f>
        <v>0</v>
      </c>
      <c r="Q148" s="760">
        <f>IF(OR($A148="F&amp;F",$A148="CE",Q$7="No aplica"),0,'BOULEVARD 5'!T146-'BOULEVARD PPTO'!L141)</f>
        <v>0</v>
      </c>
      <c r="R148" s="760">
        <f>IF(OR($A148="F&amp;F",$A148="CE",R$7="No aplica"),0,'BOULEVARD 5'!U146-'BOULEVARD PPTO'!M141)</f>
        <v>0</v>
      </c>
      <c r="S148" s="760">
        <f>IF(OR($A148="F&amp;F",$A148="CE",S$7="No aplica"),0,'BOULEVARD 5'!V146-'BOULEVARD PPTO'!N141)</f>
        <v>0</v>
      </c>
      <c r="T148" s="760">
        <f>IF(OR($A148="F&amp;F",$A148="CE",T$7="No aplica"),0,'BOULEVARD 5'!W146-'BOULEVARD PPTO'!O141)</f>
        <v>0</v>
      </c>
      <c r="U148" s="760">
        <f>IF(OR($A148="F&amp;F",$A148="CE",U$7="No aplica"),0,'BOULEVARD 5'!X146-'BOULEVARD PPTO'!P141)</f>
        <v>0</v>
      </c>
      <c r="V148" s="760">
        <f>IF(OR($A148="F&amp;F",$A148="CE",V$7="No aplica"),0,'BOULEVARD 5'!Y146-'BOULEVARD PPTO'!Q141)</f>
        <v>0</v>
      </c>
      <c r="W148" s="760">
        <f>IF(OR($A148="F&amp;F",$A148="CE",W$7="No aplica"),0,'BOULEVARD 5'!Z146-'BOULEVARD PPTO'!R141)</f>
        <v>-4082</v>
      </c>
      <c r="X148" s="760">
        <f>IF(OR($A148="F&amp;F",$A148="CE",X$7="No aplica"),0,'BOULEVARD 5'!AA146-'BOULEVARD PPTO'!S141)</f>
        <v>-4082</v>
      </c>
      <c r="Y148" s="760">
        <f>IF(OR($A148="F&amp;F",$A148="CE",Y$7="No aplica"),0,'BOULEVARD 5'!AB146-'BOULEVARD PPTO'!T141)</f>
        <v>8164</v>
      </c>
      <c r="Z148" s="760">
        <f>IF(OR($A148="F&amp;F",$A148="CE",Z$7="No aplica"),0,'BOULEVARD 5'!AC146-'BOULEVARD PPTO'!U141)</f>
        <v>-4082</v>
      </c>
      <c r="AA148" s="760">
        <f>IF(OR($A148="F&amp;F",$A148="CE",AA$7="No aplica"),0,'BOULEVARD 5'!AD146-'BOULEVARD PPTO'!V141)</f>
        <v>4082</v>
      </c>
      <c r="AB148" s="760">
        <f>IF(OR($A148="F&amp;F",$A148="CE",AB$7="No aplica"),0,'BOULEVARD 5'!AE146-'BOULEVARD PPTO'!W141)</f>
        <v>0</v>
      </c>
      <c r="AC148" s="760">
        <f>IF(OR($A148="F&amp;F",$A148="CE",AC$7="No aplica"),0,'BOULEVARD 5'!AF146-'BOULEVARD PPTO'!X141)</f>
        <v>0</v>
      </c>
      <c r="AD148" s="760">
        <f>IF(OR($A148="F&amp;F",$A148="CE",AD$7="No aplica"),0,'BOULEVARD 5'!AG146-'BOULEVARD PPTO'!Y141)</f>
        <v>0</v>
      </c>
      <c r="AE148" s="760">
        <f>IF(OR($A148="F&amp;F",$A148="CE",AE$7="No aplica"),0,'BOULEVARD 5'!AH146-'BOULEVARD PPTO'!Z141)</f>
        <v>-8164</v>
      </c>
      <c r="AF148" s="760">
        <f>IF(OR($A148="F&amp;F",$A148="CE",AF$7="No aplica"),0,'BOULEVARD 5'!AI146-'BOULEVARD PPTO'!AA141)</f>
        <v>0</v>
      </c>
      <c r="AG148" s="760">
        <f>IF(OR($A148="F&amp;F",$A148="CE",AG$7="No aplica"),0,'BOULEVARD 5'!AJ146-'BOULEVARD PPTO'!AB141)</f>
        <v>-8164</v>
      </c>
      <c r="AH148" s="760">
        <f>IF(OR($A148="F&amp;F",$A148="CE",AH$7="No aplica"),0,'BOULEVARD 5'!AK146-'BOULEVARD PPTO'!AC141)</f>
        <v>0</v>
      </c>
      <c r="AI148" s="760">
        <f>IF(OR($A148="F&amp;F",$A148="CE",AI$7="No aplica"),0,'BOULEVARD 5'!AL146-'BOULEVARD PPTO'!AD141)</f>
        <v>-8164</v>
      </c>
      <c r="AJ148" s="760">
        <f>IF(OR($A148="F&amp;F",$A148="CE",AJ$7="No aplica"),0,'BOULEVARD 5'!AM146-'BOULEVARD PPTO'!AE141)</f>
        <v>-8164</v>
      </c>
      <c r="AK148" s="760">
        <f>IF(OR($A148="F&amp;F",$A148="CE",AK$7="No aplica"),0,'BOULEVARD 5'!AN146-'BOULEVARD PPTO'!AF141)</f>
        <v>8164</v>
      </c>
      <c r="AL148" s="760">
        <f>IF(OR($A148="F&amp;F",$A148="CE",AL$7="No aplica"),0,'BOULEVARD 5'!AO146-'BOULEVARD PPTO'!AG141)</f>
        <v>0</v>
      </c>
      <c r="AM148" s="760">
        <f>IF(OR($A148="F&amp;F",$A148="CE",AM$7="No aplica"),0,'BOULEVARD 5'!AP146-'BOULEVARD PPTO'!AH141)</f>
        <v>12246</v>
      </c>
      <c r="AN148" s="760">
        <f>IF(OR($A148="F&amp;F",$A148="CE",AN$7="No aplica"),0,'BOULEVARD 5'!AQ146-'BOULEVARD PPTO'!AI141)</f>
        <v>0</v>
      </c>
      <c r="AO148" s="760">
        <f>IF(OR($A148="F&amp;F",$A148="CE",AO$7="No aplica"),0,'BOULEVARD 5'!AS146-'BOULEVARD PPTO'!AJ141)</f>
        <v>0</v>
      </c>
      <c r="AP148" s="761">
        <f t="shared" si="18"/>
        <v>-12246</v>
      </c>
      <c r="AQ148" s="761">
        <f t="shared" si="19"/>
        <v>-12246</v>
      </c>
      <c r="AR148" s="674">
        <f>IF(A148=0,'BOULEVARD 5'!BF146,0)</f>
        <v>8000</v>
      </c>
      <c r="AS148" s="674">
        <f>IF(A148=0,'BOULEVARD 5'!BG146,0)</f>
        <v>4082</v>
      </c>
      <c r="AT148" s="675" t="str">
        <f t="shared" si="17"/>
        <v>Vendido</v>
      </c>
      <c r="AU148" s="581" t="str">
        <f t="shared" si="16"/>
        <v>POR COBRAR</v>
      </c>
      <c r="AV148" s="760">
        <f t="shared" si="20"/>
        <v>12246</v>
      </c>
    </row>
    <row r="149" spans="1:48" s="581" customFormat="1" ht="12.4" customHeight="1" outlineLevel="1" x14ac:dyDescent="0.25">
      <c r="A149" s="703">
        <f>'BOULEVARD 5'!BQ147</f>
        <v>0</v>
      </c>
      <c r="B149" s="564">
        <v>814</v>
      </c>
      <c r="C149" s="564" t="s">
        <v>172</v>
      </c>
      <c r="D149" s="564"/>
      <c r="E149" s="564" t="str">
        <f>IF('BOULEVARD 5'!E147&lt;&gt;0,'BOULEVARD 5'!E147,"")</f>
        <v>Antonio Rada</v>
      </c>
      <c r="F149" s="581" t="str">
        <f>IF('BOULEVARD 5'!F147&lt;&gt;0,'BOULEVARD 5'!F147,"")</f>
        <v>Enma Suselly Lopez Muy</v>
      </c>
      <c r="G149" s="566">
        <f>IF('BOULEVARD 5'!G147="","",'BOULEVARD 5'!G147)</f>
        <v>45250</v>
      </c>
      <c r="H149" s="756">
        <f>IF(OR($A149="F&amp;F",$A149="CE",H$7="No aplica"),0,'BOULEVARD 5'!K147-'BOULEVARD PPTO'!C142)</f>
        <v>0</v>
      </c>
      <c r="I149" s="756">
        <f>IF(OR($A149="F&amp;F",$A149="CE",I$7="No aplica"),0,'BOULEVARD 5'!L147-'BOULEVARD PPTO'!D142)</f>
        <v>0</v>
      </c>
      <c r="J149" s="756">
        <f>IF(OR($A149="F&amp;F",$A149="CE",J$7="No aplica"),0,'BOULEVARD 5'!M147-'BOULEVARD PPTO'!E142)</f>
        <v>0</v>
      </c>
      <c r="K149" s="756">
        <f>IF(OR($A149="F&amp;F",$A149="CE",K$7="No aplica"),0,'BOULEVARD 5'!N147-'BOULEVARD PPTO'!F142)</f>
        <v>0</v>
      </c>
      <c r="L149" s="756">
        <f>IF(OR($A149="F&amp;F",$A149="CE",L$7="No aplica"),0,'BOULEVARD 5'!O147-'BOULEVARD PPTO'!G142)</f>
        <v>0</v>
      </c>
      <c r="M149" s="756">
        <f>IF(OR($A149="F&amp;F",$A149="CE",M$7="No aplica"),0,'BOULEVARD 5'!P147-'BOULEVARD PPTO'!H142)</f>
        <v>0</v>
      </c>
      <c r="N149" s="756">
        <f>IF(OR($A149="F&amp;F",$A149="CE",N$7="No aplica"),0,'BOULEVARD 5'!Q147-'BOULEVARD PPTO'!I142)</f>
        <v>0</v>
      </c>
      <c r="O149" s="756">
        <f>IF(OR($A149="F&amp;F",$A149="CE",O$7="No aplica"),0,'BOULEVARD 5'!R147-'BOULEVARD PPTO'!J142)</f>
        <v>0</v>
      </c>
      <c r="P149" s="756">
        <f>IF(OR($A149="F&amp;F",$A149="CE",P$7="No aplica"),0,'BOULEVARD 5'!S147-'BOULEVARD PPTO'!K142)</f>
        <v>0</v>
      </c>
      <c r="Q149" s="760">
        <f>IF(OR($A149="F&amp;F",$A149="CE",Q$7="No aplica"),0,'BOULEVARD 5'!T147-'BOULEVARD PPTO'!L142)</f>
        <v>-3</v>
      </c>
      <c r="R149" s="760">
        <f>IF(OR($A149="F&amp;F",$A149="CE",R$7="No aplica"),0,'BOULEVARD 5'!U147-'BOULEVARD PPTO'!M142)</f>
        <v>-3</v>
      </c>
      <c r="S149" s="760">
        <f>IF(OR($A149="F&amp;F",$A149="CE",S$7="No aplica"),0,'BOULEVARD 5'!V147-'BOULEVARD PPTO'!N142)</f>
        <v>-3</v>
      </c>
      <c r="T149" s="760">
        <f>IF(OR($A149="F&amp;F",$A149="CE",T$7="No aplica"),0,'BOULEVARD 5'!W147-'BOULEVARD PPTO'!O142)</f>
        <v>-3</v>
      </c>
      <c r="U149" s="760">
        <f>IF(OR($A149="F&amp;F",$A149="CE",U$7="No aplica"),0,'BOULEVARD 5'!X147-'BOULEVARD PPTO'!P142)</f>
        <v>-3</v>
      </c>
      <c r="V149" s="760">
        <f>IF(OR($A149="F&amp;F",$A149="CE",V$7="No aplica"),0,'BOULEVARD 5'!Y147-'BOULEVARD PPTO'!Q142)</f>
        <v>-3</v>
      </c>
      <c r="W149" s="760">
        <f>IF(OR($A149="F&amp;F",$A149="CE",W$7="No aplica"),0,'BOULEVARD 5'!Z147-'BOULEVARD PPTO'!R142)</f>
        <v>-3</v>
      </c>
      <c r="X149" s="760">
        <f>IF(OR($A149="F&amp;F",$A149="CE",X$7="No aplica"),0,'BOULEVARD 5'!AA147-'BOULEVARD PPTO'!S142)</f>
        <v>-3</v>
      </c>
      <c r="Y149" s="760">
        <f>IF(OR($A149="F&amp;F",$A149="CE",Y$7="No aplica"),0,'BOULEVARD 5'!AB147-'BOULEVARD PPTO'!T142)</f>
        <v>-3</v>
      </c>
      <c r="Z149" s="760">
        <f>IF(OR($A149="F&amp;F",$A149="CE",Z$7="No aplica"),0,'BOULEVARD 5'!AC147-'BOULEVARD PPTO'!U142)</f>
        <v>-3</v>
      </c>
      <c r="AA149" s="760">
        <f>IF(OR($A149="F&amp;F",$A149="CE",AA$7="No aplica"),0,'BOULEVARD 5'!AD147-'BOULEVARD PPTO'!V142)</f>
        <v>-3768</v>
      </c>
      <c r="AB149" s="760">
        <f>IF(OR($A149="F&amp;F",$A149="CE",AB$7="No aplica"),0,'BOULEVARD 5'!AE147-'BOULEVARD PPTO'!W142)</f>
        <v>-3</v>
      </c>
      <c r="AC149" s="760">
        <f>IF(OR($A149="F&amp;F",$A149="CE",AC$7="No aplica"),0,'BOULEVARD 5'!AF147-'BOULEVARD PPTO'!X142)</f>
        <v>-3</v>
      </c>
      <c r="AD149" s="760">
        <f>IF(OR($A149="F&amp;F",$A149="CE",AD$7="No aplica"),0,'BOULEVARD 5'!AG147-'BOULEVARD PPTO'!Y142)</f>
        <v>-3</v>
      </c>
      <c r="AE149" s="760">
        <f>IF(OR($A149="F&amp;F",$A149="CE",AE$7="No aplica"),0,'BOULEVARD 5'!AH147-'BOULEVARD PPTO'!Z142)</f>
        <v>-3</v>
      </c>
      <c r="AF149" s="760">
        <f>IF(OR($A149="F&amp;F",$A149="CE",AF$7="No aplica"),0,'BOULEVARD 5'!AI147-'BOULEVARD PPTO'!AA142)</f>
        <v>-3</v>
      </c>
      <c r="AG149" s="760">
        <f>IF(OR($A149="F&amp;F",$A149="CE",AG$7="No aplica"),0,'BOULEVARD 5'!AJ147-'BOULEVARD PPTO'!AB142)</f>
        <v>3762</v>
      </c>
      <c r="AH149" s="760">
        <f>IF(OR($A149="F&amp;F",$A149="CE",AH$7="No aplica"),0,'BOULEVARD 5'!AK147-'BOULEVARD PPTO'!AC142)</f>
        <v>-3</v>
      </c>
      <c r="AI149" s="760">
        <f>IF(OR($A149="F&amp;F",$A149="CE",AI$7="No aplica"),0,'BOULEVARD 5'!AL147-'BOULEVARD PPTO'!AD142)</f>
        <v>-3</v>
      </c>
      <c r="AJ149" s="760">
        <f>IF(OR($A149="F&amp;F",$A149="CE",AJ$7="No aplica"),0,'BOULEVARD 5'!AM147-'BOULEVARD PPTO'!AE142)</f>
        <v>-3</v>
      </c>
      <c r="AK149" s="760">
        <f>IF(OR($A149="F&amp;F",$A149="CE",AK$7="No aplica"),0,'BOULEVARD 5'!AN147-'BOULEVARD PPTO'!AF142)</f>
        <v>-3</v>
      </c>
      <c r="AL149" s="760">
        <f>IF(OR($A149="F&amp;F",$A149="CE",AL$7="No aplica"),0,'BOULEVARD 5'!AO147-'BOULEVARD PPTO'!AG142)</f>
        <v>-3772</v>
      </c>
      <c r="AM149" s="760">
        <f>IF(OR($A149="F&amp;F",$A149="CE",AM$7="No aplica"),0,'BOULEVARD 5'!AP147-'BOULEVARD PPTO'!AH142)</f>
        <v>0</v>
      </c>
      <c r="AN149" s="760">
        <f>IF(OR($A149="F&amp;F",$A149="CE",AN$7="No aplica"),0,'BOULEVARD 5'!AQ147-'BOULEVARD PPTO'!AI142)</f>
        <v>0</v>
      </c>
      <c r="AO149" s="760">
        <f>IF(OR($A149="F&amp;F",$A149="CE",AO$7="No aplica"),0,'BOULEVARD 5'!AS147-'BOULEVARD PPTO'!AJ142)</f>
        <v>0</v>
      </c>
      <c r="AP149" s="761">
        <f t="shared" si="18"/>
        <v>-3835</v>
      </c>
      <c r="AQ149" s="761">
        <f t="shared" si="19"/>
        <v>-3835</v>
      </c>
      <c r="AR149" s="674">
        <f>IF(A149=0,'BOULEVARD 5'!BF147,0)</f>
        <v>5500</v>
      </c>
      <c r="AS149" s="674">
        <f>IF(A149=0,'BOULEVARD 5'!BG147,0)</f>
        <v>3765</v>
      </c>
      <c r="AT149" s="675" t="str">
        <f t="shared" si="17"/>
        <v>Vendido</v>
      </c>
      <c r="AU149" s="581" t="str">
        <f t="shared" si="16"/>
        <v>POR COBRAR</v>
      </c>
      <c r="AV149" s="760">
        <f t="shared" si="20"/>
        <v>0</v>
      </c>
    </row>
    <row r="150" spans="1:48" s="581" customFormat="1" ht="12.4" customHeight="1" outlineLevel="1" x14ac:dyDescent="0.25">
      <c r="A150" s="703">
        <f>'BOULEVARD 5'!BQ148</f>
        <v>0</v>
      </c>
      <c r="B150" s="564">
        <v>815</v>
      </c>
      <c r="C150" s="564" t="s">
        <v>547</v>
      </c>
      <c r="D150" s="564"/>
      <c r="E150" s="564" t="str">
        <f>IF('BOULEVARD 5'!E148&lt;&gt;0,'BOULEVARD 5'!E148,"")</f>
        <v>Antonio Rada</v>
      </c>
      <c r="F150" s="581" t="str">
        <f>IF('BOULEVARD 5'!F148&lt;&gt;0,'BOULEVARD 5'!F148,"")</f>
        <v>Leonora Elizabeth Cordon Arrivillaga</v>
      </c>
      <c r="G150" s="566">
        <f>IF('BOULEVARD 5'!G148="","",'BOULEVARD 5'!G148)</f>
        <v>45342</v>
      </c>
      <c r="H150" s="756">
        <f>IF(OR($A150="F&amp;F",$A150="CE",H$7="No aplica"),0,'BOULEVARD 5'!K148-'BOULEVARD PPTO'!C143)</f>
        <v>0</v>
      </c>
      <c r="I150" s="756">
        <f>IF(OR($A150="F&amp;F",$A150="CE",I$7="No aplica"),0,'BOULEVARD 5'!L148-'BOULEVARD PPTO'!D143)</f>
        <v>0</v>
      </c>
      <c r="J150" s="756">
        <f>IF(OR($A150="F&amp;F",$A150="CE",J$7="No aplica"),0,'BOULEVARD 5'!M148-'BOULEVARD PPTO'!E143)</f>
        <v>0</v>
      </c>
      <c r="K150" s="756">
        <f>IF(OR($A150="F&amp;F",$A150="CE",K$7="No aplica"),0,'BOULEVARD 5'!N148-'BOULEVARD PPTO'!F143)</f>
        <v>0</v>
      </c>
      <c r="L150" s="756">
        <f>IF(OR($A150="F&amp;F",$A150="CE",L$7="No aplica"),0,'BOULEVARD 5'!O148-'BOULEVARD PPTO'!G143)</f>
        <v>0</v>
      </c>
      <c r="M150" s="756">
        <f>IF(OR($A150="F&amp;F",$A150="CE",M$7="No aplica"),0,'BOULEVARD 5'!P148-'BOULEVARD PPTO'!H143)</f>
        <v>0</v>
      </c>
      <c r="N150" s="756">
        <f>IF(OR($A150="F&amp;F",$A150="CE",N$7="No aplica"),0,'BOULEVARD 5'!Q148-'BOULEVARD PPTO'!I143)</f>
        <v>0</v>
      </c>
      <c r="O150" s="756">
        <f>IF(OR($A150="F&amp;F",$A150="CE",O$7="No aplica"),0,'BOULEVARD 5'!R148-'BOULEVARD PPTO'!J143)</f>
        <v>0</v>
      </c>
      <c r="P150" s="756">
        <f>IF(OR($A150="F&amp;F",$A150="CE",P$7="No aplica"),0,'BOULEVARD 5'!S148-'BOULEVARD PPTO'!K143)</f>
        <v>0</v>
      </c>
      <c r="Q150" s="760">
        <f>IF(OR($A150="F&amp;F",$A150="CE",Q$7="No aplica"),0,'BOULEVARD 5'!T148-'BOULEVARD PPTO'!L143)</f>
        <v>0</v>
      </c>
      <c r="R150" s="760">
        <f>IF(OR($A150="F&amp;F",$A150="CE",R$7="No aplica"),0,'BOULEVARD 5'!U148-'BOULEVARD PPTO'!M143)</f>
        <v>0</v>
      </c>
      <c r="S150" s="760">
        <f>IF(OR($A150="F&amp;F",$A150="CE",S$7="No aplica"),0,'BOULEVARD 5'!V148-'BOULEVARD PPTO'!N143)</f>
        <v>0</v>
      </c>
      <c r="T150" s="760">
        <f>IF(OR($A150="F&amp;F",$A150="CE",T$7="No aplica"),0,'BOULEVARD 5'!W148-'BOULEVARD PPTO'!O143)</f>
        <v>0</v>
      </c>
      <c r="U150" s="760">
        <f>IF(OR($A150="F&amp;F",$A150="CE",U$7="No aplica"),0,'BOULEVARD 5'!X148-'BOULEVARD PPTO'!P143)</f>
        <v>0</v>
      </c>
      <c r="V150" s="760">
        <f>IF(OR($A150="F&amp;F",$A150="CE",V$7="No aplica"),0,'BOULEVARD 5'!Y148-'BOULEVARD PPTO'!Q143)</f>
        <v>0</v>
      </c>
      <c r="W150" s="760">
        <f>IF(OR($A150="F&amp;F",$A150="CE",W$7="No aplica"),0,'BOULEVARD 5'!Z148-'BOULEVARD PPTO'!R143)</f>
        <v>0</v>
      </c>
      <c r="X150" s="760">
        <f>IF(OR($A150="F&amp;F",$A150="CE",X$7="No aplica"),0,'BOULEVARD 5'!AA148-'BOULEVARD PPTO'!S143)</f>
        <v>0</v>
      </c>
      <c r="Y150" s="760">
        <f>IF(OR($A150="F&amp;F",$A150="CE",Y$7="No aplica"),0,'BOULEVARD 5'!AB148-'BOULEVARD PPTO'!T143)</f>
        <v>0</v>
      </c>
      <c r="Z150" s="760">
        <f>IF(OR($A150="F&amp;F",$A150="CE",Z$7="No aplica"),0,'BOULEVARD 5'!AC148-'BOULEVARD PPTO'!U143)</f>
        <v>0</v>
      </c>
      <c r="AA150" s="760">
        <f>IF(OR($A150="F&amp;F",$A150="CE",AA$7="No aplica"),0,'BOULEVARD 5'!AD148-'BOULEVARD PPTO'!V143)</f>
        <v>0</v>
      </c>
      <c r="AB150" s="760">
        <f>IF(OR($A150="F&amp;F",$A150="CE",AB$7="No aplica"),0,'BOULEVARD 5'!AE148-'BOULEVARD PPTO'!W143)</f>
        <v>0</v>
      </c>
      <c r="AC150" s="760">
        <f>IF(OR($A150="F&amp;F",$A150="CE",AC$7="No aplica"),0,'BOULEVARD 5'!AF148-'BOULEVARD PPTO'!X143)</f>
        <v>0</v>
      </c>
      <c r="AD150" s="760">
        <f>IF(OR($A150="F&amp;F",$A150="CE",AD$7="No aplica"),0,'BOULEVARD 5'!AG148-'BOULEVARD PPTO'!Y143)</f>
        <v>0</v>
      </c>
      <c r="AE150" s="760">
        <f>IF(OR($A150="F&amp;F",$A150="CE",AE$7="No aplica"),0,'BOULEVARD 5'!AH148-'BOULEVARD PPTO'!Z143)</f>
        <v>0</v>
      </c>
      <c r="AF150" s="760">
        <f>IF(OR($A150="F&amp;F",$A150="CE",AF$7="No aplica"),0,'BOULEVARD 5'!AI148-'BOULEVARD PPTO'!AA143)</f>
        <v>0</v>
      </c>
      <c r="AG150" s="760">
        <f>IF(OR($A150="F&amp;F",$A150="CE",AG$7="No aplica"),0,'BOULEVARD 5'!AJ148-'BOULEVARD PPTO'!AB143)</f>
        <v>0</v>
      </c>
      <c r="AH150" s="760">
        <f>IF(OR($A150="F&amp;F",$A150="CE",AH$7="No aplica"),0,'BOULEVARD 5'!AK148-'BOULEVARD PPTO'!AC143)</f>
        <v>0</v>
      </c>
      <c r="AI150" s="760">
        <f>IF(OR($A150="F&amp;F",$A150="CE",AI$7="No aplica"),0,'BOULEVARD 5'!AL148-'BOULEVARD PPTO'!AD143)</f>
        <v>0</v>
      </c>
      <c r="AJ150" s="760">
        <f>IF(OR($A150="F&amp;F",$A150="CE",AJ$7="No aplica"),0,'BOULEVARD 5'!AM148-'BOULEVARD PPTO'!AE143)</f>
        <v>0</v>
      </c>
      <c r="AK150" s="760">
        <f>IF(OR($A150="F&amp;F",$A150="CE",AK$7="No aplica"),0,'BOULEVARD 5'!AN148-'BOULEVARD PPTO'!AF143)</f>
        <v>0</v>
      </c>
      <c r="AL150" s="760">
        <f>IF(OR($A150="F&amp;F",$A150="CE",AL$7="No aplica"),0,'BOULEVARD 5'!AO148-'BOULEVARD PPTO'!AG143)</f>
        <v>-4</v>
      </c>
      <c r="AM150" s="760">
        <f>IF(OR($A150="F&amp;F",$A150="CE",AM$7="No aplica"),0,'BOULEVARD 5'!AP148-'BOULEVARD PPTO'!AH143)</f>
        <v>7284</v>
      </c>
      <c r="AN150" s="760">
        <f>IF(OR($A150="F&amp;F",$A150="CE",AN$7="No aplica"),0,'BOULEVARD 5'!AQ148-'BOULEVARD PPTO'!AI143)</f>
        <v>0</v>
      </c>
      <c r="AO150" s="760">
        <f>IF(OR($A150="F&amp;F",$A150="CE",AO$7="No aplica"),0,'BOULEVARD 5'!AS148-'BOULEVARD PPTO'!AJ143)</f>
        <v>0</v>
      </c>
      <c r="AP150" s="761">
        <f t="shared" si="18"/>
        <v>7280</v>
      </c>
      <c r="AQ150" s="761">
        <f t="shared" si="19"/>
        <v>21848</v>
      </c>
      <c r="AR150" s="674">
        <f>IF(A150=0,'BOULEVARD 5'!BF148,0)</f>
        <v>8000</v>
      </c>
      <c r="AS150" s="674">
        <f>IF(A150=0,'BOULEVARD 5'!BG148,0)</f>
        <v>7284</v>
      </c>
      <c r="AT150" s="675" t="str">
        <f t="shared" si="17"/>
        <v>Vendido</v>
      </c>
      <c r="AU150" s="581" t="str">
        <f t="shared" si="16"/>
        <v>A FAVOR DEL CLIENTE</v>
      </c>
      <c r="AV150" s="760">
        <f t="shared" si="20"/>
        <v>7284</v>
      </c>
    </row>
    <row r="151" spans="1:48" s="581" customFormat="1" ht="12.4" customHeight="1" outlineLevel="1" x14ac:dyDescent="0.25">
      <c r="A151" s="703">
        <f>'BOULEVARD 5'!BQ149</f>
        <v>0</v>
      </c>
      <c r="B151" s="564">
        <v>816</v>
      </c>
      <c r="C151" s="564" t="s">
        <v>181</v>
      </c>
      <c r="D151" s="564"/>
      <c r="E151" s="564" t="str">
        <f>IF('BOULEVARD 5'!E149&lt;&gt;0,'BOULEVARD 5'!E149,"")</f>
        <v>Brenda Búcaro</v>
      </c>
      <c r="F151" s="581" t="str">
        <f>IF('BOULEVARD 5'!F149&lt;&gt;0,'BOULEVARD 5'!F149,"")</f>
        <v>Coasa, S.A.</v>
      </c>
      <c r="G151" s="566">
        <f>IF('BOULEVARD 5'!G149="","",'BOULEVARD 5'!G149)</f>
        <v>45016</v>
      </c>
      <c r="H151" s="756">
        <f>IF(OR($A151="F&amp;F",$A151="CE",H$7="No aplica"),0,'BOULEVARD 5'!K149-'BOULEVARD PPTO'!C144)</f>
        <v>0</v>
      </c>
      <c r="I151" s="756">
        <f>IF(OR($A151="F&amp;F",$A151="CE",I$7="No aplica"),0,'BOULEVARD 5'!L149-'BOULEVARD PPTO'!D144)</f>
        <v>0</v>
      </c>
      <c r="J151" s="756">
        <f>IF(OR($A151="F&amp;F",$A151="CE",J$7="No aplica"),0,'BOULEVARD 5'!M149-'BOULEVARD PPTO'!E144)</f>
        <v>0</v>
      </c>
      <c r="K151" s="756">
        <f>IF(OR($A151="F&amp;F",$A151="CE",K$7="No aplica"),0,'BOULEVARD 5'!N149-'BOULEVARD PPTO'!F144)</f>
        <v>0</v>
      </c>
      <c r="L151" s="756">
        <f>IF(OR($A151="F&amp;F",$A151="CE",L$7="No aplica"),0,'BOULEVARD 5'!O149-'BOULEVARD PPTO'!G144)</f>
        <v>0</v>
      </c>
      <c r="M151" s="756">
        <f>IF(OR($A151="F&amp;F",$A151="CE",M$7="No aplica"),0,'BOULEVARD 5'!P149-'BOULEVARD PPTO'!H144)</f>
        <v>0</v>
      </c>
      <c r="N151" s="756">
        <f>IF(OR($A151="F&amp;F",$A151="CE",N$7="No aplica"),0,'BOULEVARD 5'!Q149-'BOULEVARD PPTO'!I144)</f>
        <v>0</v>
      </c>
      <c r="O151" s="756">
        <f>IF(OR($A151="F&amp;F",$A151="CE",O$7="No aplica"),0,'BOULEVARD 5'!R149-'BOULEVARD PPTO'!J144)</f>
        <v>0</v>
      </c>
      <c r="P151" s="756">
        <f>IF(OR($A151="F&amp;F",$A151="CE",P$7="No aplica"),0,'BOULEVARD 5'!S149-'BOULEVARD PPTO'!K144)</f>
        <v>0</v>
      </c>
      <c r="Q151" s="760">
        <f>IF(OR($A151="F&amp;F",$A151="CE",Q$7="No aplica"),0,'BOULEVARD 5'!T149-'BOULEVARD PPTO'!L144)</f>
        <v>0</v>
      </c>
      <c r="R151" s="760">
        <f>IF(OR($A151="F&amp;F",$A151="CE",R$7="No aplica"),0,'BOULEVARD 5'!U149-'BOULEVARD PPTO'!M144)</f>
        <v>0</v>
      </c>
      <c r="S151" s="760">
        <f>IF(OR($A151="F&amp;F",$A151="CE",S$7="No aplica"),0,'BOULEVARD 5'!V149-'BOULEVARD PPTO'!N144)</f>
        <v>0</v>
      </c>
      <c r="T151" s="760">
        <f>IF(OR($A151="F&amp;F",$A151="CE",T$7="No aplica"),0,'BOULEVARD 5'!W149-'BOULEVARD PPTO'!O144)</f>
        <v>0</v>
      </c>
      <c r="U151" s="760">
        <f>IF(OR($A151="F&amp;F",$A151="CE",U$7="No aplica"),0,'BOULEVARD 5'!X149-'BOULEVARD PPTO'!P144)</f>
        <v>0</v>
      </c>
      <c r="V151" s="760">
        <f>IF(OR($A151="F&amp;F",$A151="CE",V$7="No aplica"),0,'BOULEVARD 5'!Y149-'BOULEVARD PPTO'!Q144)</f>
        <v>0</v>
      </c>
      <c r="W151" s="760">
        <f>IF(OR($A151="F&amp;F",$A151="CE",W$7="No aplica"),0,'BOULEVARD 5'!Z149-'BOULEVARD PPTO'!R144)</f>
        <v>0</v>
      </c>
      <c r="X151" s="760">
        <f>IF(OR($A151="F&amp;F",$A151="CE",X$7="No aplica"),0,'BOULEVARD 5'!AA149-'BOULEVARD PPTO'!S144)</f>
        <v>0</v>
      </c>
      <c r="Y151" s="760">
        <f>IF(OR($A151="F&amp;F",$A151="CE",Y$7="No aplica"),0,'BOULEVARD 5'!AB149-'BOULEVARD PPTO'!T144)</f>
        <v>0</v>
      </c>
      <c r="Z151" s="760">
        <f>IF(OR($A151="F&amp;F",$A151="CE",Z$7="No aplica"),0,'BOULEVARD 5'!AC149-'BOULEVARD PPTO'!U144)</f>
        <v>0</v>
      </c>
      <c r="AA151" s="760">
        <f>IF(OR($A151="F&amp;F",$A151="CE",AA$7="No aplica"),0,'BOULEVARD 5'!AD149-'BOULEVARD PPTO'!V144)</f>
        <v>0</v>
      </c>
      <c r="AB151" s="760">
        <f>IF(OR($A151="F&amp;F",$A151="CE",AB$7="No aplica"),0,'BOULEVARD 5'!AE149-'BOULEVARD PPTO'!W144)</f>
        <v>0</v>
      </c>
      <c r="AC151" s="760">
        <f>IF(OR($A151="F&amp;F",$A151="CE",AC$7="No aplica"),0,'BOULEVARD 5'!AF149-'BOULEVARD PPTO'!X144)</f>
        <v>0</v>
      </c>
      <c r="AD151" s="760">
        <f>IF(OR($A151="F&amp;F",$A151="CE",AD$7="No aplica"),0,'BOULEVARD 5'!AG149-'BOULEVARD PPTO'!Y144)</f>
        <v>0</v>
      </c>
      <c r="AE151" s="760">
        <f>IF(OR($A151="F&amp;F",$A151="CE",AE$7="No aplica"),0,'BOULEVARD 5'!AH149-'BOULEVARD PPTO'!Z144)</f>
        <v>0</v>
      </c>
      <c r="AF151" s="760">
        <f>IF(OR($A151="F&amp;F",$A151="CE",AF$7="No aplica"),0,'BOULEVARD 5'!AI149-'BOULEVARD PPTO'!AA144)</f>
        <v>0</v>
      </c>
      <c r="AG151" s="760">
        <f>IF(OR($A151="F&amp;F",$A151="CE",AG$7="No aplica"),0,'BOULEVARD 5'!AJ149-'BOULEVARD PPTO'!AB144)</f>
        <v>0</v>
      </c>
      <c r="AH151" s="760">
        <f>IF(OR($A151="F&amp;F",$A151="CE",AH$7="No aplica"),0,'BOULEVARD 5'!AK149-'BOULEVARD PPTO'!AC144)</f>
        <v>1700</v>
      </c>
      <c r="AI151" s="760">
        <f>IF(OR($A151="F&amp;F",$A151="CE",AI$7="No aplica"),0,'BOULEVARD 5'!AL149-'BOULEVARD PPTO'!AD144)</f>
        <v>-1700</v>
      </c>
      <c r="AJ151" s="760">
        <f>IF(OR($A151="F&amp;F",$A151="CE",AJ$7="No aplica"),0,'BOULEVARD 5'!AM149-'BOULEVARD PPTO'!AE144)</f>
        <v>0</v>
      </c>
      <c r="AK151" s="760">
        <f>IF(OR($A151="F&amp;F",$A151="CE",AK$7="No aplica"),0,'BOULEVARD 5'!AN149-'BOULEVARD PPTO'!AF144)</f>
        <v>0</v>
      </c>
      <c r="AL151" s="760">
        <f>IF(OR($A151="F&amp;F",$A151="CE",AL$7="No aplica"),0,'BOULEVARD 5'!AO149-'BOULEVARD PPTO'!AG144)</f>
        <v>0</v>
      </c>
      <c r="AM151" s="760">
        <f>IF(OR($A151="F&amp;F",$A151="CE",AM$7="No aplica"),0,'BOULEVARD 5'!AP149-'BOULEVARD PPTO'!AH144)</f>
        <v>0</v>
      </c>
      <c r="AN151" s="760">
        <f>IF(OR($A151="F&amp;F",$A151="CE",AN$7="No aplica"),0,'BOULEVARD 5'!AQ149-'BOULEVARD PPTO'!AI144)</f>
        <v>0</v>
      </c>
      <c r="AO151" s="760">
        <f>IF(OR($A151="F&amp;F",$A151="CE",AO$7="No aplica"),0,'BOULEVARD 5'!AS149-'BOULEVARD PPTO'!AJ144)</f>
        <v>0</v>
      </c>
      <c r="AP151" s="761">
        <f t="shared" si="18"/>
        <v>0</v>
      </c>
      <c r="AQ151" s="761">
        <f t="shared" si="19"/>
        <v>-1400</v>
      </c>
      <c r="AR151" s="674">
        <f>IF(A151=0,'BOULEVARD 5'!BF149,0)</f>
        <v>6000</v>
      </c>
      <c r="AS151" s="674">
        <f>IF(A151=0,'BOULEVARD 5'!BG149,0)</f>
        <v>1700</v>
      </c>
      <c r="AT151" s="675" t="str">
        <f t="shared" si="17"/>
        <v>Vendido</v>
      </c>
      <c r="AU151" s="581" t="str">
        <f t="shared" si="16"/>
        <v/>
      </c>
      <c r="AV151" s="760">
        <f t="shared" si="20"/>
        <v>0</v>
      </c>
    </row>
    <row r="152" spans="1:48" s="581" customFormat="1" ht="12.4" customHeight="1" outlineLevel="1" x14ac:dyDescent="0.25">
      <c r="A152" s="703">
        <f>'BOULEVARD 5'!BQ150</f>
        <v>0</v>
      </c>
      <c r="B152" s="564">
        <v>817</v>
      </c>
      <c r="C152" s="564" t="s">
        <v>192</v>
      </c>
      <c r="D152" s="564"/>
      <c r="E152" s="564" t="str">
        <f>IF('BOULEVARD 5'!E150&lt;&gt;0,'BOULEVARD 5'!E150,"")</f>
        <v>Brenda Búcaro</v>
      </c>
      <c r="F152" s="581" t="str">
        <f>IF('BOULEVARD 5'!F150&lt;&gt;0,'BOULEVARD 5'!F150,"")</f>
        <v xml:space="preserve"> Juan Antonio Escobedo Del Cid</v>
      </c>
      <c r="G152" s="566">
        <f>IF('BOULEVARD 5'!G150="","",'BOULEVARD 5'!G150)</f>
        <v>45027</v>
      </c>
      <c r="H152" s="756">
        <f>IF(OR($A152="F&amp;F",$A152="CE",H$7="No aplica"),0,'BOULEVARD 5'!K150-'BOULEVARD PPTO'!C145)</f>
        <v>0</v>
      </c>
      <c r="I152" s="756">
        <f>IF(OR($A152="F&amp;F",$A152="CE",I$7="No aplica"),0,'BOULEVARD 5'!L150-'BOULEVARD PPTO'!D145)</f>
        <v>0</v>
      </c>
      <c r="J152" s="756">
        <f>IF(OR($A152="F&amp;F",$A152="CE",J$7="No aplica"),0,'BOULEVARD 5'!M150-'BOULEVARD PPTO'!E145)</f>
        <v>-1500</v>
      </c>
      <c r="K152" s="756">
        <f>IF(OR($A152="F&amp;F",$A152="CE",K$7="No aplica"),0,'BOULEVARD 5'!N150-'BOULEVARD PPTO'!F145)</f>
        <v>0</v>
      </c>
      <c r="L152" s="756">
        <f>IF(OR($A152="F&amp;F",$A152="CE",L$7="No aplica"),0,'BOULEVARD 5'!O150-'BOULEVARD PPTO'!G145)</f>
        <v>1500</v>
      </c>
      <c r="M152" s="756">
        <f>IF(OR($A152="F&amp;F",$A152="CE",M$7="No aplica"),0,'BOULEVARD 5'!P150-'BOULEVARD PPTO'!H145)</f>
        <v>0</v>
      </c>
      <c r="N152" s="756">
        <f>IF(OR($A152="F&amp;F",$A152="CE",N$7="No aplica"),0,'BOULEVARD 5'!Q150-'BOULEVARD PPTO'!I145)</f>
        <v>0</v>
      </c>
      <c r="O152" s="756">
        <f>IF(OR($A152="F&amp;F",$A152="CE",O$7="No aplica"),0,'BOULEVARD 5'!R150-'BOULEVARD PPTO'!J145)</f>
        <v>0</v>
      </c>
      <c r="P152" s="756">
        <f>IF(OR($A152="F&amp;F",$A152="CE",P$7="No aplica"),0,'BOULEVARD 5'!S150-'BOULEVARD PPTO'!K145)</f>
        <v>-1500</v>
      </c>
      <c r="Q152" s="760">
        <f>IF(OR($A152="F&amp;F",$A152="CE",Q$7="No aplica"),0,'BOULEVARD 5'!T150-'BOULEVARD PPTO'!L145)</f>
        <v>3000</v>
      </c>
      <c r="R152" s="760">
        <f>IF(OR($A152="F&amp;F",$A152="CE",R$7="No aplica"),0,'BOULEVARD 5'!U150-'BOULEVARD PPTO'!M145)</f>
        <v>-1500</v>
      </c>
      <c r="S152" s="760">
        <f>IF(OR($A152="F&amp;F",$A152="CE",S$7="No aplica"),0,'BOULEVARD 5'!V150-'BOULEVARD PPTO'!N145)</f>
        <v>0</v>
      </c>
      <c r="T152" s="760">
        <f>IF(OR($A152="F&amp;F",$A152="CE",T$7="No aplica"),0,'BOULEVARD 5'!W150-'BOULEVARD PPTO'!O145)</f>
        <v>0</v>
      </c>
      <c r="U152" s="760">
        <f>IF(OR($A152="F&amp;F",$A152="CE",U$7="No aplica"),0,'BOULEVARD 5'!X150-'BOULEVARD PPTO'!P145)</f>
        <v>1500</v>
      </c>
      <c r="V152" s="760">
        <f>IF(OR($A152="F&amp;F",$A152="CE",V$7="No aplica"),0,'BOULEVARD 5'!Y150-'BOULEVARD PPTO'!Q145)</f>
        <v>0</v>
      </c>
      <c r="W152" s="760">
        <f>IF(OR($A152="F&amp;F",$A152="CE",W$7="No aplica"),0,'BOULEVARD 5'!Z150-'BOULEVARD PPTO'!R145)</f>
        <v>-1500</v>
      </c>
      <c r="X152" s="760">
        <f>IF(OR($A152="F&amp;F",$A152="CE",X$7="No aplica"),0,'BOULEVARD 5'!AA150-'BOULEVARD PPTO'!S145)</f>
        <v>0</v>
      </c>
      <c r="Y152" s="760">
        <f>IF(OR($A152="F&amp;F",$A152="CE",Y$7="No aplica"),0,'BOULEVARD 5'!AB150-'BOULEVARD PPTO'!T145)</f>
        <v>0</v>
      </c>
      <c r="Z152" s="760">
        <f>IF(OR($A152="F&amp;F",$A152="CE",Z$7="No aplica"),0,'BOULEVARD 5'!AC150-'BOULEVARD PPTO'!U145)</f>
        <v>0</v>
      </c>
      <c r="AA152" s="760">
        <f>IF(OR($A152="F&amp;F",$A152="CE",AA$7="No aplica"),0,'BOULEVARD 5'!AD150-'BOULEVARD PPTO'!V145)</f>
        <v>-1500</v>
      </c>
      <c r="AB152" s="760">
        <f>IF(OR($A152="F&amp;F",$A152="CE",AB$7="No aplica"),0,'BOULEVARD 5'!AE150-'BOULEVARD PPTO'!W145)</f>
        <v>0</v>
      </c>
      <c r="AC152" s="760">
        <f>IF(OR($A152="F&amp;F",$A152="CE",AC$7="No aplica"),0,'BOULEVARD 5'!AF150-'BOULEVARD PPTO'!X145)</f>
        <v>0</v>
      </c>
      <c r="AD152" s="760">
        <f>IF(OR($A152="F&amp;F",$A152="CE",AD$7="No aplica"),0,'BOULEVARD 5'!AG150-'BOULEVARD PPTO'!Y145)</f>
        <v>0</v>
      </c>
      <c r="AE152" s="760">
        <f>IF(OR($A152="F&amp;F",$A152="CE",AE$7="No aplica"),0,'BOULEVARD 5'!AH150-'BOULEVARD PPTO'!Z145)</f>
        <v>0</v>
      </c>
      <c r="AF152" s="760">
        <f>IF(OR($A152="F&amp;F",$A152="CE",AF$7="No aplica"),0,'BOULEVARD 5'!AI150-'BOULEVARD PPTO'!AA145)</f>
        <v>0</v>
      </c>
      <c r="AG152" s="760">
        <f>IF(OR($A152="F&amp;F",$A152="CE",AG$7="No aplica"),0,'BOULEVARD 5'!AJ150-'BOULEVARD PPTO'!AB145)</f>
        <v>1500</v>
      </c>
      <c r="AH152" s="760">
        <f>IF(OR($A152="F&amp;F",$A152="CE",AH$7="No aplica"),0,'BOULEVARD 5'!AK150-'BOULEVARD PPTO'!AC145)</f>
        <v>-1500</v>
      </c>
      <c r="AI152" s="760">
        <f>IF(OR($A152="F&amp;F",$A152="CE",AI$7="No aplica"),0,'BOULEVARD 5'!AL150-'BOULEVARD PPTO'!AD145)</f>
        <v>0</v>
      </c>
      <c r="AJ152" s="760">
        <f>IF(OR($A152="F&amp;F",$A152="CE",AJ$7="No aplica"),0,'BOULEVARD 5'!AM150-'BOULEVARD PPTO'!AE145)</f>
        <v>0</v>
      </c>
      <c r="AK152" s="760">
        <f>IF(OR($A152="F&amp;F",$A152="CE",AK$7="No aplica"),0,'BOULEVARD 5'!AN150-'BOULEVARD PPTO'!AF145)</f>
        <v>0</v>
      </c>
      <c r="AL152" s="760">
        <f>IF(OR($A152="F&amp;F",$A152="CE",AL$7="No aplica"),0,'BOULEVARD 5'!AO150-'BOULEVARD PPTO'!AG145)</f>
        <v>0</v>
      </c>
      <c r="AM152" s="760">
        <f>IF(OR($A152="F&amp;F",$A152="CE",AM$7="No aplica"),0,'BOULEVARD 5'!AP150-'BOULEVARD PPTO'!AH145)</f>
        <v>0</v>
      </c>
      <c r="AN152" s="760">
        <f>IF(OR($A152="F&amp;F",$A152="CE",AN$7="No aplica"),0,'BOULEVARD 5'!AQ150-'BOULEVARD PPTO'!AI145)</f>
        <v>0</v>
      </c>
      <c r="AO152" s="760">
        <f>IF(OR($A152="F&amp;F",$A152="CE",AO$7="No aplica"),0,'BOULEVARD 5'!AS150-'BOULEVARD PPTO'!AJ145)</f>
        <v>0</v>
      </c>
      <c r="AP152" s="761">
        <f t="shared" si="18"/>
        <v>-1500</v>
      </c>
      <c r="AQ152" s="761">
        <f t="shared" si="19"/>
        <v>-11732.300000000003</v>
      </c>
      <c r="AR152" s="674">
        <f>IF(A152=0,'BOULEVARD 5'!BF150,0)</f>
        <v>6000</v>
      </c>
      <c r="AS152" s="674">
        <f>IF(A152=0,'BOULEVARD 5'!BG150,0)</f>
        <v>1500</v>
      </c>
      <c r="AT152" s="675" t="str">
        <f t="shared" si="17"/>
        <v>Vendido</v>
      </c>
      <c r="AU152" s="581" t="str">
        <f t="shared" si="16"/>
        <v>POR COBRAR</v>
      </c>
      <c r="AV152" s="760">
        <f t="shared" si="20"/>
        <v>0</v>
      </c>
    </row>
    <row r="153" spans="1:48" s="581" customFormat="1" ht="12.4" customHeight="1" outlineLevel="1" x14ac:dyDescent="0.25">
      <c r="A153" s="703">
        <f>'BOULEVARD 5'!BQ151</f>
        <v>0</v>
      </c>
      <c r="B153" s="564">
        <v>818</v>
      </c>
      <c r="C153" s="564" t="s">
        <v>198</v>
      </c>
      <c r="D153" s="564"/>
      <c r="E153" s="564" t="str">
        <f>IF('BOULEVARD 5'!E151&lt;&gt;0,'BOULEVARD 5'!E151,"")</f>
        <v>Brenda Búcaro</v>
      </c>
      <c r="F153" s="581" t="str">
        <f>IF('BOULEVARD 5'!F151&lt;&gt;0,'BOULEVARD 5'!F151,"")</f>
        <v>Astrid Pamela Chew Chávez De Letona</v>
      </c>
      <c r="G153" s="566">
        <f>IF('BOULEVARD 5'!G151="","",'BOULEVARD 5'!G151)</f>
        <v>45125</v>
      </c>
      <c r="H153" s="756">
        <f>IF(OR($A153="F&amp;F",$A153="CE",H$7="No aplica"),0,'BOULEVARD 5'!K151-'BOULEVARD PPTO'!C146)</f>
        <v>0</v>
      </c>
      <c r="I153" s="756">
        <f>IF(OR($A153="F&amp;F",$A153="CE",I$7="No aplica"),0,'BOULEVARD 5'!L151-'BOULEVARD PPTO'!D146)</f>
        <v>0</v>
      </c>
      <c r="J153" s="756">
        <f>IF(OR($A153="F&amp;F",$A153="CE",J$7="No aplica"),0,'BOULEVARD 5'!M151-'BOULEVARD PPTO'!E146)</f>
        <v>0</v>
      </c>
      <c r="K153" s="756">
        <f>IF(OR($A153="F&amp;F",$A153="CE",K$7="No aplica"),0,'BOULEVARD 5'!N151-'BOULEVARD PPTO'!F146)</f>
        <v>0</v>
      </c>
      <c r="L153" s="756">
        <f>IF(OR($A153="F&amp;F",$A153="CE",L$7="No aplica"),0,'BOULEVARD 5'!O151-'BOULEVARD PPTO'!G146)</f>
        <v>0</v>
      </c>
      <c r="M153" s="756">
        <f>IF(OR($A153="F&amp;F",$A153="CE",M$7="No aplica"),0,'BOULEVARD 5'!P151-'BOULEVARD PPTO'!H146)</f>
        <v>0</v>
      </c>
      <c r="N153" s="756">
        <f>IF(OR($A153="F&amp;F",$A153="CE",N$7="No aplica"),0,'BOULEVARD 5'!Q151-'BOULEVARD PPTO'!I146)</f>
        <v>0</v>
      </c>
      <c r="O153" s="756">
        <f>IF(OR($A153="F&amp;F",$A153="CE",O$7="No aplica"),0,'BOULEVARD 5'!R151-'BOULEVARD PPTO'!J146)</f>
        <v>0</v>
      </c>
      <c r="P153" s="756">
        <f>IF(OR($A153="F&amp;F",$A153="CE",P$7="No aplica"),0,'BOULEVARD 5'!S151-'BOULEVARD PPTO'!K146)</f>
        <v>0</v>
      </c>
      <c r="Q153" s="760">
        <f>IF(OR($A153="F&amp;F",$A153="CE",Q$7="No aplica"),0,'BOULEVARD 5'!T151-'BOULEVARD PPTO'!L146)</f>
        <v>0</v>
      </c>
      <c r="R153" s="760">
        <f>IF(OR($A153="F&amp;F",$A153="CE",R$7="No aplica"),0,'BOULEVARD 5'!U151-'BOULEVARD PPTO'!M146)</f>
        <v>0</v>
      </c>
      <c r="S153" s="760">
        <f>IF(OR($A153="F&amp;F",$A153="CE",S$7="No aplica"),0,'BOULEVARD 5'!V151-'BOULEVARD PPTO'!N146)</f>
        <v>0</v>
      </c>
      <c r="T153" s="760">
        <f>IF(OR($A153="F&amp;F",$A153="CE",T$7="No aplica"),0,'BOULEVARD 5'!W151-'BOULEVARD PPTO'!O146)</f>
        <v>0</v>
      </c>
      <c r="U153" s="760">
        <f>IF(OR($A153="F&amp;F",$A153="CE",U$7="No aplica"),0,'BOULEVARD 5'!X151-'BOULEVARD PPTO'!P146)</f>
        <v>0</v>
      </c>
      <c r="V153" s="760">
        <f>IF(OR($A153="F&amp;F",$A153="CE",V$7="No aplica"),0,'BOULEVARD 5'!Y151-'BOULEVARD PPTO'!Q146)</f>
        <v>0</v>
      </c>
      <c r="W153" s="760">
        <f>IF(OR($A153="F&amp;F",$A153="CE",W$7="No aplica"),0,'BOULEVARD 5'!Z151-'BOULEVARD PPTO'!R146)</f>
        <v>0</v>
      </c>
      <c r="X153" s="760">
        <f>IF(OR($A153="F&amp;F",$A153="CE",X$7="No aplica"),0,'BOULEVARD 5'!AA151-'BOULEVARD PPTO'!S146)</f>
        <v>0</v>
      </c>
      <c r="Y153" s="760">
        <f>IF(OR($A153="F&amp;F",$A153="CE",Y$7="No aplica"),0,'BOULEVARD 5'!AB151-'BOULEVARD PPTO'!T146)</f>
        <v>0</v>
      </c>
      <c r="Z153" s="760">
        <f>IF(OR($A153="F&amp;F",$A153="CE",Z$7="No aplica"),0,'BOULEVARD 5'!AC151-'BOULEVARD PPTO'!U146)</f>
        <v>0</v>
      </c>
      <c r="AA153" s="760">
        <f>IF(OR($A153="F&amp;F",$A153="CE",AA$7="No aplica"),0,'BOULEVARD 5'!AD151-'BOULEVARD PPTO'!V146)</f>
        <v>0</v>
      </c>
      <c r="AB153" s="760">
        <f>IF(OR($A153="F&amp;F",$A153="CE",AB$7="No aplica"),0,'BOULEVARD 5'!AE151-'BOULEVARD PPTO'!W146)</f>
        <v>0</v>
      </c>
      <c r="AC153" s="760">
        <f>IF(OR($A153="F&amp;F",$A153="CE",AC$7="No aplica"),0,'BOULEVARD 5'!AF151-'BOULEVARD PPTO'!X146)</f>
        <v>0</v>
      </c>
      <c r="AD153" s="760">
        <f>IF(OR($A153="F&amp;F",$A153="CE",AD$7="No aplica"),0,'BOULEVARD 5'!AG151-'BOULEVARD PPTO'!Y146)</f>
        <v>0</v>
      </c>
      <c r="AE153" s="760">
        <f>IF(OR($A153="F&amp;F",$A153="CE",AE$7="No aplica"),0,'BOULEVARD 5'!AH151-'BOULEVARD PPTO'!Z146)</f>
        <v>0</v>
      </c>
      <c r="AF153" s="760">
        <f>IF(OR($A153="F&amp;F",$A153="CE",AF$7="No aplica"),0,'BOULEVARD 5'!AI151-'BOULEVARD PPTO'!AA146)</f>
        <v>0</v>
      </c>
      <c r="AG153" s="760">
        <f>IF(OR($A153="F&amp;F",$A153="CE",AG$7="No aplica"),0,'BOULEVARD 5'!AJ151-'BOULEVARD PPTO'!AB146)</f>
        <v>0</v>
      </c>
      <c r="AH153" s="760">
        <f>IF(OR($A153="F&amp;F",$A153="CE",AH$7="No aplica"),0,'BOULEVARD 5'!AK151-'BOULEVARD PPTO'!AC146)</f>
        <v>0</v>
      </c>
      <c r="AI153" s="760">
        <f>IF(OR($A153="F&amp;F",$A153="CE",AI$7="No aplica"),0,'BOULEVARD 5'!AL151-'BOULEVARD PPTO'!AD146)</f>
        <v>0</v>
      </c>
      <c r="AJ153" s="760">
        <f>IF(OR($A153="F&amp;F",$A153="CE",AJ$7="No aplica"),0,'BOULEVARD 5'!AM151-'BOULEVARD PPTO'!AE146)</f>
        <v>0</v>
      </c>
      <c r="AK153" s="760">
        <f>IF(OR($A153="F&amp;F",$A153="CE",AK$7="No aplica"),0,'BOULEVARD 5'!AN151-'BOULEVARD PPTO'!AF146)</f>
        <v>0</v>
      </c>
      <c r="AL153" s="760">
        <f>IF(OR($A153="F&amp;F",$A153="CE",AL$7="No aplica"),0,'BOULEVARD 5'!AO151-'BOULEVARD PPTO'!AG146)</f>
        <v>2</v>
      </c>
      <c r="AM153" s="760">
        <f>IF(OR($A153="F&amp;F",$A153="CE",AM$7="No aplica"),0,'BOULEVARD 5'!AP151-'BOULEVARD PPTO'!AH146)</f>
        <v>0</v>
      </c>
      <c r="AN153" s="760">
        <f>IF(OR($A153="F&amp;F",$A153="CE",AN$7="No aplica"),0,'BOULEVARD 5'!AQ151-'BOULEVARD PPTO'!AI146)</f>
        <v>0</v>
      </c>
      <c r="AO153" s="760">
        <f>IF(OR($A153="F&amp;F",$A153="CE",AO$7="No aplica"),0,'BOULEVARD 5'!AS151-'BOULEVARD PPTO'!AJ146)</f>
        <v>0</v>
      </c>
      <c r="AP153" s="761">
        <f t="shared" si="18"/>
        <v>2</v>
      </c>
      <c r="AQ153" s="761">
        <f t="shared" si="19"/>
        <v>2</v>
      </c>
      <c r="AR153" s="674">
        <f>IF(A153=0,'BOULEVARD 5'!BF151,0)</f>
        <v>6000</v>
      </c>
      <c r="AS153" s="674">
        <f>IF(A153=0,'BOULEVARD 5'!BG151,0)</f>
        <v>2477</v>
      </c>
      <c r="AT153" s="675" t="str">
        <f t="shared" si="17"/>
        <v>Vendido</v>
      </c>
      <c r="AU153" s="581" t="str">
        <f t="shared" si="16"/>
        <v>A FAVOR DEL CLIENTE</v>
      </c>
      <c r="AV153" s="760">
        <f t="shared" si="20"/>
        <v>0</v>
      </c>
    </row>
    <row r="154" spans="1:48" s="581" customFormat="1" ht="12.4" customHeight="1" outlineLevel="1" x14ac:dyDescent="0.25">
      <c r="A154" s="703">
        <f>'BOULEVARD 5'!BQ152</f>
        <v>0</v>
      </c>
      <c r="B154" s="564">
        <v>819</v>
      </c>
      <c r="C154" s="564" t="s">
        <v>412</v>
      </c>
      <c r="D154" s="564"/>
      <c r="E154" s="564" t="str">
        <f>IF('BOULEVARD 5'!E152&lt;&gt;0,'BOULEVARD 5'!E152,"")</f>
        <v>Brenda Búcaro</v>
      </c>
      <c r="F154" s="581" t="str">
        <f>IF('BOULEVARD 5'!F152&lt;&gt;0,'BOULEVARD 5'!F152,"")</f>
        <v>Edvin Eduardo Sajquim Sajquim</v>
      </c>
      <c r="G154" s="566">
        <f>IF('BOULEVARD 5'!G152="","",'BOULEVARD 5'!G152)</f>
        <v>45075</v>
      </c>
      <c r="H154" s="756">
        <f>IF(OR($A154="F&amp;F",$A154="CE",H$7="No aplica"),0,'BOULEVARD 5'!K152-'BOULEVARD PPTO'!C147)</f>
        <v>0</v>
      </c>
      <c r="I154" s="756">
        <f>IF(OR($A154="F&amp;F",$A154="CE",I$7="No aplica"),0,'BOULEVARD 5'!L152-'BOULEVARD PPTO'!D147)</f>
        <v>0</v>
      </c>
      <c r="J154" s="756">
        <f>IF(OR($A154="F&amp;F",$A154="CE",J$7="No aplica"),0,'BOULEVARD 5'!M152-'BOULEVARD PPTO'!E147)</f>
        <v>0</v>
      </c>
      <c r="K154" s="756">
        <f>IF(OR($A154="F&amp;F",$A154="CE",K$7="No aplica"),0,'BOULEVARD 5'!N152-'BOULEVARD PPTO'!F147)</f>
        <v>-3200</v>
      </c>
      <c r="L154" s="756">
        <f>IF(OR($A154="F&amp;F",$A154="CE",L$7="No aplica"),0,'BOULEVARD 5'!O152-'BOULEVARD PPTO'!G147)</f>
        <v>3200</v>
      </c>
      <c r="M154" s="756">
        <f>IF(OR($A154="F&amp;F",$A154="CE",M$7="No aplica"),0,'BOULEVARD 5'!P152-'BOULEVARD PPTO'!H147)</f>
        <v>0</v>
      </c>
      <c r="N154" s="756">
        <f>IF(OR($A154="F&amp;F",$A154="CE",N$7="No aplica"),0,'BOULEVARD 5'!Q152-'BOULEVARD PPTO'!I147)</f>
        <v>0</v>
      </c>
      <c r="O154" s="756">
        <f>IF(OR($A154="F&amp;F",$A154="CE",O$7="No aplica"),0,'BOULEVARD 5'!R152-'BOULEVARD PPTO'!J147)</f>
        <v>0</v>
      </c>
      <c r="P154" s="756">
        <f>IF(OR($A154="F&amp;F",$A154="CE",P$7="No aplica"),0,'BOULEVARD 5'!S152-'BOULEVARD PPTO'!K147)</f>
        <v>0</v>
      </c>
      <c r="Q154" s="760">
        <f>IF(OR($A154="F&amp;F",$A154="CE",Q$7="No aplica"),0,'BOULEVARD 5'!T152-'BOULEVARD PPTO'!L147)</f>
        <v>0</v>
      </c>
      <c r="R154" s="760">
        <f>IF(OR($A154="F&amp;F",$A154="CE",R$7="No aplica"),0,'BOULEVARD 5'!U152-'BOULEVARD PPTO'!M147)</f>
        <v>0</v>
      </c>
      <c r="S154" s="760">
        <f>IF(OR($A154="F&amp;F",$A154="CE",S$7="No aplica"),0,'BOULEVARD 5'!V152-'BOULEVARD PPTO'!N147)</f>
        <v>0</v>
      </c>
      <c r="T154" s="760">
        <f>IF(OR($A154="F&amp;F",$A154="CE",T$7="No aplica"),0,'BOULEVARD 5'!W152-'BOULEVARD PPTO'!O147)</f>
        <v>0</v>
      </c>
      <c r="U154" s="760">
        <f>IF(OR($A154="F&amp;F",$A154="CE",U$7="No aplica"),0,'BOULEVARD 5'!X152-'BOULEVARD PPTO'!P147)</f>
        <v>0</v>
      </c>
      <c r="V154" s="760">
        <f>IF(OR($A154="F&amp;F",$A154="CE",V$7="No aplica"),0,'BOULEVARD 5'!Y152-'BOULEVARD PPTO'!Q147)</f>
        <v>0</v>
      </c>
      <c r="W154" s="760">
        <f>IF(OR($A154="F&amp;F",$A154="CE",W$7="No aplica"),0,'BOULEVARD 5'!Z152-'BOULEVARD PPTO'!R147)</f>
        <v>0</v>
      </c>
      <c r="X154" s="760">
        <f>IF(OR($A154="F&amp;F",$A154="CE",X$7="No aplica"),0,'BOULEVARD 5'!AA152-'BOULEVARD PPTO'!S147)</f>
        <v>0</v>
      </c>
      <c r="Y154" s="760">
        <f>IF(OR($A154="F&amp;F",$A154="CE",Y$7="No aplica"),0,'BOULEVARD 5'!AB152-'BOULEVARD PPTO'!T147)</f>
        <v>0</v>
      </c>
      <c r="Z154" s="760">
        <f>IF(OR($A154="F&amp;F",$A154="CE",Z$7="No aplica"),0,'BOULEVARD 5'!AC152-'BOULEVARD PPTO'!U147)</f>
        <v>0</v>
      </c>
      <c r="AA154" s="760">
        <f>IF(OR($A154="F&amp;F",$A154="CE",AA$7="No aplica"),0,'BOULEVARD 5'!AD152-'BOULEVARD PPTO'!V147)</f>
        <v>0</v>
      </c>
      <c r="AB154" s="760">
        <f>IF(OR($A154="F&amp;F",$A154="CE",AB$7="No aplica"),0,'BOULEVARD 5'!AE152-'BOULEVARD PPTO'!W147)</f>
        <v>0</v>
      </c>
      <c r="AC154" s="760">
        <f>IF(OR($A154="F&amp;F",$A154="CE",AC$7="No aplica"),0,'BOULEVARD 5'!AF152-'BOULEVARD PPTO'!X147)</f>
        <v>0</v>
      </c>
      <c r="AD154" s="760">
        <f>IF(OR($A154="F&amp;F",$A154="CE",AD$7="No aplica"),0,'BOULEVARD 5'!AG152-'BOULEVARD PPTO'!Y147)</f>
        <v>0</v>
      </c>
      <c r="AE154" s="760">
        <f>IF(OR($A154="F&amp;F",$A154="CE",AE$7="No aplica"),0,'BOULEVARD 5'!AH152-'BOULEVARD PPTO'!Z147)</f>
        <v>0</v>
      </c>
      <c r="AF154" s="760">
        <f>IF(OR($A154="F&amp;F",$A154="CE",AF$7="No aplica"),0,'BOULEVARD 5'!AI152-'BOULEVARD PPTO'!AA147)</f>
        <v>0</v>
      </c>
      <c r="AG154" s="760">
        <f>IF(OR($A154="F&amp;F",$A154="CE",AG$7="No aplica"),0,'BOULEVARD 5'!AJ152-'BOULEVARD PPTO'!AB147)</f>
        <v>0</v>
      </c>
      <c r="AH154" s="760">
        <f>IF(OR($A154="F&amp;F",$A154="CE",AH$7="No aplica"),0,'BOULEVARD 5'!AK152-'BOULEVARD PPTO'!AC147)</f>
        <v>0</v>
      </c>
      <c r="AI154" s="760">
        <f>IF(OR($A154="F&amp;F",$A154="CE",AI$7="No aplica"),0,'BOULEVARD 5'!AL152-'BOULEVARD PPTO'!AD147)</f>
        <v>0</v>
      </c>
      <c r="AJ154" s="760">
        <f>IF(OR($A154="F&amp;F",$A154="CE",AJ$7="No aplica"),0,'BOULEVARD 5'!AM152-'BOULEVARD PPTO'!AE147)</f>
        <v>0</v>
      </c>
      <c r="AK154" s="760">
        <f>IF(OR($A154="F&amp;F",$A154="CE",AK$7="No aplica"),0,'BOULEVARD 5'!AN152-'BOULEVARD PPTO'!AF147)</f>
        <v>0</v>
      </c>
      <c r="AL154" s="760">
        <f>IF(OR($A154="F&amp;F",$A154="CE",AL$7="No aplica"),0,'BOULEVARD 5'!AO152-'BOULEVARD PPTO'!AG147)</f>
        <v>-1200</v>
      </c>
      <c r="AM154" s="760">
        <f>IF(OR($A154="F&amp;F",$A154="CE",AM$7="No aplica"),0,'BOULEVARD 5'!AP152-'BOULEVARD PPTO'!AH147)</f>
        <v>3200</v>
      </c>
      <c r="AN154" s="760">
        <f>IF(OR($A154="F&amp;F",$A154="CE",AN$7="No aplica"),0,'BOULEVARD 5'!AQ152-'BOULEVARD PPTO'!AI147)</f>
        <v>0</v>
      </c>
      <c r="AO154" s="760">
        <f>IF(OR($A154="F&amp;F",$A154="CE",AO$7="No aplica"),0,'BOULEVARD 5'!AS152-'BOULEVARD PPTO'!AJ147)</f>
        <v>0</v>
      </c>
      <c r="AP154" s="761">
        <f t="shared" si="18"/>
        <v>2000</v>
      </c>
      <c r="AQ154" s="761">
        <f t="shared" si="19"/>
        <v>11600</v>
      </c>
      <c r="AR154" s="674">
        <f>IF(A154=0,'BOULEVARD 5'!BF152,0)</f>
        <v>6000</v>
      </c>
      <c r="AS154" s="674">
        <f>IF(A154=0,'BOULEVARD 5'!BG152,0)</f>
        <v>3200</v>
      </c>
      <c r="AT154" s="675" t="str">
        <f t="shared" si="17"/>
        <v>Vendido</v>
      </c>
      <c r="AU154" s="581" t="str">
        <f t="shared" si="16"/>
        <v>A FAVOR DEL CLIENTE</v>
      </c>
      <c r="AV154" s="760">
        <f t="shared" si="20"/>
        <v>3200</v>
      </c>
    </row>
    <row r="155" spans="1:48" s="581" customFormat="1" ht="12.4" customHeight="1" outlineLevel="1" x14ac:dyDescent="0.25">
      <c r="A155" s="703">
        <f>'BOULEVARD 5'!BQ153</f>
        <v>0</v>
      </c>
      <c r="B155" s="564">
        <v>820</v>
      </c>
      <c r="C155" s="564" t="s">
        <v>186</v>
      </c>
      <c r="D155" s="564"/>
      <c r="E155" s="564" t="str">
        <f>IF('BOULEVARD 5'!E153&lt;&gt;0,'BOULEVARD 5'!E153,"")</f>
        <v>Antonio Rada</v>
      </c>
      <c r="F155" s="581" t="str">
        <f>IF('BOULEVARD 5'!F153&lt;&gt;0,'BOULEVARD 5'!F153,"")</f>
        <v>Maria Eugenia Ortiz Uck</v>
      </c>
      <c r="G155" s="566">
        <f>IF('BOULEVARD 5'!G153="","",'BOULEVARD 5'!G153)</f>
        <v>45304</v>
      </c>
      <c r="H155" s="756">
        <f>IF(OR($A155="F&amp;F",$A155="CE",H$7="No aplica"),0,'BOULEVARD 5'!K153-'BOULEVARD PPTO'!C148)</f>
        <v>0</v>
      </c>
      <c r="I155" s="756">
        <f>IF(OR($A155="F&amp;F",$A155="CE",I$7="No aplica"),0,'BOULEVARD 5'!L153-'BOULEVARD PPTO'!D148)</f>
        <v>0</v>
      </c>
      <c r="J155" s="756">
        <f>IF(OR($A155="F&amp;F",$A155="CE",J$7="No aplica"),0,'BOULEVARD 5'!M153-'BOULEVARD PPTO'!E148)</f>
        <v>0</v>
      </c>
      <c r="K155" s="756">
        <f>IF(OR($A155="F&amp;F",$A155="CE",K$7="No aplica"),0,'BOULEVARD 5'!N153-'BOULEVARD PPTO'!F148)</f>
        <v>0</v>
      </c>
      <c r="L155" s="756">
        <f>IF(OR($A155="F&amp;F",$A155="CE",L$7="No aplica"),0,'BOULEVARD 5'!O153-'BOULEVARD PPTO'!G148)</f>
        <v>0</v>
      </c>
      <c r="M155" s="756">
        <f>IF(OR($A155="F&amp;F",$A155="CE",M$7="No aplica"),0,'BOULEVARD 5'!P153-'BOULEVARD PPTO'!H148)</f>
        <v>0</v>
      </c>
      <c r="N155" s="756">
        <f>IF(OR($A155="F&amp;F",$A155="CE",N$7="No aplica"),0,'BOULEVARD 5'!Q153-'BOULEVARD PPTO'!I148)</f>
        <v>0</v>
      </c>
      <c r="O155" s="756">
        <f>IF(OR($A155="F&amp;F",$A155="CE",O$7="No aplica"),0,'BOULEVARD 5'!R153-'BOULEVARD PPTO'!J148)</f>
        <v>0</v>
      </c>
      <c r="P155" s="756">
        <f>IF(OR($A155="F&amp;F",$A155="CE",P$7="No aplica"),0,'BOULEVARD 5'!S153-'BOULEVARD PPTO'!K148)</f>
        <v>0</v>
      </c>
      <c r="Q155" s="760">
        <f>IF(OR($A155="F&amp;F",$A155="CE",Q$7="No aplica"),0,'BOULEVARD 5'!T153-'BOULEVARD PPTO'!L148)</f>
        <v>0</v>
      </c>
      <c r="R155" s="760">
        <f>IF(OR($A155="F&amp;F",$A155="CE",R$7="No aplica"),0,'BOULEVARD 5'!U153-'BOULEVARD PPTO'!M148)</f>
        <v>0</v>
      </c>
      <c r="S155" s="760">
        <f>IF(OR($A155="F&amp;F",$A155="CE",S$7="No aplica"),0,'BOULEVARD 5'!V153-'BOULEVARD PPTO'!N148)</f>
        <v>0</v>
      </c>
      <c r="T155" s="760">
        <f>IF(OR($A155="F&amp;F",$A155="CE",T$7="No aplica"),0,'BOULEVARD 5'!W153-'BOULEVARD PPTO'!O148)</f>
        <v>0</v>
      </c>
      <c r="U155" s="760">
        <f>IF(OR($A155="F&amp;F",$A155="CE",U$7="No aplica"),0,'BOULEVARD 5'!X153-'BOULEVARD PPTO'!P148)</f>
        <v>0</v>
      </c>
      <c r="V155" s="760">
        <f>IF(OR($A155="F&amp;F",$A155="CE",V$7="No aplica"),0,'BOULEVARD 5'!Y153-'BOULEVARD PPTO'!Q148)</f>
        <v>0</v>
      </c>
      <c r="W155" s="760">
        <f>IF(OR($A155="F&amp;F",$A155="CE",W$7="No aplica"),0,'BOULEVARD 5'!Z153-'BOULEVARD PPTO'!R148)</f>
        <v>0</v>
      </c>
      <c r="X155" s="760">
        <f>IF(OR($A155="F&amp;F",$A155="CE",X$7="No aplica"),0,'BOULEVARD 5'!AA153-'BOULEVARD PPTO'!S148)</f>
        <v>0</v>
      </c>
      <c r="Y155" s="760">
        <f>IF(OR($A155="F&amp;F",$A155="CE",Y$7="No aplica"),0,'BOULEVARD 5'!AB153-'BOULEVARD PPTO'!T148)</f>
        <v>0</v>
      </c>
      <c r="Z155" s="760">
        <f>IF(OR($A155="F&amp;F",$A155="CE",Z$7="No aplica"),0,'BOULEVARD 5'!AC153-'BOULEVARD PPTO'!U148)</f>
        <v>0</v>
      </c>
      <c r="AA155" s="760">
        <f>IF(OR($A155="F&amp;F",$A155="CE",AA$7="No aplica"),0,'BOULEVARD 5'!AD153-'BOULEVARD PPTO'!V148)</f>
        <v>0</v>
      </c>
      <c r="AB155" s="760">
        <f>IF(OR($A155="F&amp;F",$A155="CE",AB$7="No aplica"),0,'BOULEVARD 5'!AE153-'BOULEVARD PPTO'!W148)</f>
        <v>0</v>
      </c>
      <c r="AC155" s="760">
        <f>IF(OR($A155="F&amp;F",$A155="CE",AC$7="No aplica"),0,'BOULEVARD 5'!AF153-'BOULEVARD PPTO'!X148)</f>
        <v>0</v>
      </c>
      <c r="AD155" s="760">
        <f>IF(OR($A155="F&amp;F",$A155="CE",AD$7="No aplica"),0,'BOULEVARD 5'!AG153-'BOULEVARD PPTO'!Y148)</f>
        <v>0</v>
      </c>
      <c r="AE155" s="760">
        <f>IF(OR($A155="F&amp;F",$A155="CE",AE$7="No aplica"),0,'BOULEVARD 5'!AH153-'BOULEVARD PPTO'!Z148)</f>
        <v>0</v>
      </c>
      <c r="AF155" s="760">
        <f>IF(OR($A155="F&amp;F",$A155="CE",AF$7="No aplica"),0,'BOULEVARD 5'!AI153-'BOULEVARD PPTO'!AA148)</f>
        <v>0</v>
      </c>
      <c r="AG155" s="760">
        <f>IF(OR($A155="F&amp;F",$A155="CE",AG$7="No aplica"),0,'BOULEVARD 5'!AJ153-'BOULEVARD PPTO'!AB148)</f>
        <v>0</v>
      </c>
      <c r="AH155" s="760">
        <f>IF(OR($A155="F&amp;F",$A155="CE",AH$7="No aplica"),0,'BOULEVARD 5'!AK153-'BOULEVARD PPTO'!AC148)</f>
        <v>0</v>
      </c>
      <c r="AI155" s="760">
        <f>IF(OR($A155="F&amp;F",$A155="CE",AI$7="No aplica"),0,'BOULEVARD 5'!AL153-'BOULEVARD PPTO'!AD148)</f>
        <v>0</v>
      </c>
      <c r="AJ155" s="760">
        <f>IF(OR($A155="F&amp;F",$A155="CE",AJ$7="No aplica"),0,'BOULEVARD 5'!AM153-'BOULEVARD PPTO'!AE148)</f>
        <v>0</v>
      </c>
      <c r="AK155" s="760">
        <f>IF(OR($A155="F&amp;F",$A155="CE",AK$7="No aplica"),0,'BOULEVARD 5'!AN153-'BOULEVARD PPTO'!AF148)</f>
        <v>0</v>
      </c>
      <c r="AL155" s="760">
        <f>IF(OR($A155="F&amp;F",$A155="CE",AL$7="No aplica"),0,'BOULEVARD 5'!AO153-'BOULEVARD PPTO'!AG148)</f>
        <v>0</v>
      </c>
      <c r="AM155" s="760">
        <f>IF(OR($A155="F&amp;F",$A155="CE",AM$7="No aplica"),0,'BOULEVARD 5'!AP153-'BOULEVARD PPTO'!AH148)</f>
        <v>0</v>
      </c>
      <c r="AN155" s="760">
        <f>IF(OR($A155="F&amp;F",$A155="CE",AN$7="No aplica"),0,'BOULEVARD 5'!AQ153-'BOULEVARD PPTO'!AI148)</f>
        <v>0</v>
      </c>
      <c r="AO155" s="760">
        <f>IF(OR($A155="F&amp;F",$A155="CE",AO$7="No aplica"),0,'BOULEVARD 5'!AS153-'BOULEVARD PPTO'!AJ148)</f>
        <v>0</v>
      </c>
      <c r="AP155" s="761">
        <f t="shared" si="18"/>
        <v>0</v>
      </c>
      <c r="AQ155" s="761">
        <f t="shared" si="19"/>
        <v>0</v>
      </c>
      <c r="AR155" s="674">
        <f>IF(A155=0,'BOULEVARD 5'!BF153,0)</f>
        <v>8000</v>
      </c>
      <c r="AS155" s="674">
        <f>IF(A155=0,'BOULEVARD 5'!BG153,0)</f>
        <v>4557</v>
      </c>
      <c r="AT155" s="675" t="str">
        <f t="shared" si="17"/>
        <v>Vendido</v>
      </c>
      <c r="AU155" s="581" t="str">
        <f t="shared" si="16"/>
        <v/>
      </c>
      <c r="AV155" s="760">
        <f t="shared" si="20"/>
        <v>0</v>
      </c>
    </row>
    <row r="156" spans="1:48" s="581" customFormat="1" ht="12.4" customHeight="1" outlineLevel="1" x14ac:dyDescent="0.25">
      <c r="A156" s="703" t="str">
        <f>'BOULEVARD 5'!BQ154</f>
        <v>F&amp;F</v>
      </c>
      <c r="B156" s="704">
        <v>901</v>
      </c>
      <c r="C156" s="704" t="s">
        <v>409</v>
      </c>
      <c r="D156" s="704"/>
      <c r="E156" s="704" t="str">
        <f>IF('BOULEVARD 5'!E154&lt;&gt;0,'BOULEVARD 5'!E154,"")</f>
        <v>Antonio Rada</v>
      </c>
      <c r="F156" s="705" t="str">
        <f>IF('BOULEVARD 5'!F154&lt;&gt;0,'BOULEVARD 5'!F154,"")</f>
        <v>Monica Arimany Monzon</v>
      </c>
      <c r="G156" s="566">
        <f>IF('BOULEVARD 5'!G154="","",'BOULEVARD 5'!G154)</f>
        <v>45012</v>
      </c>
      <c r="H156" s="756">
        <f>IF(OR($A156="F&amp;F",$A156="CE",H$7="No aplica"),0,'BOULEVARD 5'!K154-'BOULEVARD PPTO'!C149)</f>
        <v>0</v>
      </c>
      <c r="I156" s="756">
        <f>IF(OR($A156="F&amp;F",$A156="CE",I$7="No aplica"),0,'BOULEVARD 5'!L154-'BOULEVARD PPTO'!D149)</f>
        <v>0</v>
      </c>
      <c r="J156" s="756">
        <f>IF(OR($A156="F&amp;F",$A156="CE",J$7="No aplica"),0,'BOULEVARD 5'!M154-'BOULEVARD PPTO'!E149)</f>
        <v>0</v>
      </c>
      <c r="K156" s="756">
        <f>IF(OR($A156="F&amp;F",$A156="CE",K$7="No aplica"),0,'BOULEVARD 5'!N154-'BOULEVARD PPTO'!F149)</f>
        <v>0</v>
      </c>
      <c r="L156" s="756">
        <f>IF(OR($A156="F&amp;F",$A156="CE",L$7="No aplica"),0,'BOULEVARD 5'!O154-'BOULEVARD PPTO'!G149)</f>
        <v>0</v>
      </c>
      <c r="M156" s="756">
        <f>IF(OR($A156="F&amp;F",$A156="CE",M$7="No aplica"),0,'BOULEVARD 5'!P154-'BOULEVARD PPTO'!H149)</f>
        <v>0</v>
      </c>
      <c r="N156" s="756">
        <f>IF(OR($A156="F&amp;F",$A156="CE",N$7="No aplica"),0,'BOULEVARD 5'!Q154-'BOULEVARD PPTO'!I149)</f>
        <v>0</v>
      </c>
      <c r="O156" s="756">
        <f>IF(OR($A156="F&amp;F",$A156="CE",O$7="No aplica"),0,'BOULEVARD 5'!R154-'BOULEVARD PPTO'!J149)</f>
        <v>0</v>
      </c>
      <c r="P156" s="756">
        <f>IF(OR($A156="F&amp;F",$A156="CE",P$7="No aplica"),0,'BOULEVARD 5'!S154-'BOULEVARD PPTO'!K149)</f>
        <v>0</v>
      </c>
      <c r="Q156" s="760">
        <f>IF(OR($A156="F&amp;F",$A156="CE",Q$7="No aplica"),0,'BOULEVARD 5'!T154-'BOULEVARD PPTO'!L149)</f>
        <v>0</v>
      </c>
      <c r="R156" s="760">
        <f>IF(OR($A156="F&amp;F",$A156="CE",R$7="No aplica"),0,'BOULEVARD 5'!U154-'BOULEVARD PPTO'!M149)</f>
        <v>0</v>
      </c>
      <c r="S156" s="760">
        <f>IF(OR($A156="F&amp;F",$A156="CE",S$7="No aplica"),0,'BOULEVARD 5'!V154-'BOULEVARD PPTO'!N149)</f>
        <v>0</v>
      </c>
      <c r="T156" s="760">
        <f>IF(OR($A156="F&amp;F",$A156="CE",T$7="No aplica"),0,'BOULEVARD 5'!W154-'BOULEVARD PPTO'!O149)</f>
        <v>0</v>
      </c>
      <c r="U156" s="760">
        <f>IF(OR($A156="F&amp;F",$A156="CE",U$7="No aplica"),0,'BOULEVARD 5'!X154-'BOULEVARD PPTO'!P149)</f>
        <v>0</v>
      </c>
      <c r="V156" s="760">
        <f>IF(OR($A156="F&amp;F",$A156="CE",V$7="No aplica"),0,'BOULEVARD 5'!Y154-'BOULEVARD PPTO'!Q149)</f>
        <v>0</v>
      </c>
      <c r="W156" s="760">
        <f>IF(OR($A156="F&amp;F",$A156="CE",W$7="No aplica"),0,'BOULEVARD 5'!Z154-'BOULEVARD PPTO'!R149)</f>
        <v>0</v>
      </c>
      <c r="X156" s="760">
        <f>IF(OR($A156="F&amp;F",$A156="CE",X$7="No aplica"),0,'BOULEVARD 5'!AA154-'BOULEVARD PPTO'!S149)</f>
        <v>0</v>
      </c>
      <c r="Y156" s="760">
        <f>IF(OR($A156="F&amp;F",$A156="CE",Y$7="No aplica"),0,'BOULEVARD 5'!AB154-'BOULEVARD PPTO'!T149)</f>
        <v>0</v>
      </c>
      <c r="Z156" s="760">
        <f>IF(OR($A156="F&amp;F",$A156="CE",Z$7="No aplica"),0,'BOULEVARD 5'!AC154-'BOULEVARD PPTO'!U149)</f>
        <v>0</v>
      </c>
      <c r="AA156" s="760">
        <f>IF(OR($A156="F&amp;F",$A156="CE",AA$7="No aplica"),0,'BOULEVARD 5'!AD154-'BOULEVARD PPTO'!V149)</f>
        <v>0</v>
      </c>
      <c r="AB156" s="760">
        <f>IF(OR($A156="F&amp;F",$A156="CE",AB$7="No aplica"),0,'BOULEVARD 5'!AE154-'BOULEVARD PPTO'!W149)</f>
        <v>0</v>
      </c>
      <c r="AC156" s="760">
        <f>IF(OR($A156="F&amp;F",$A156="CE",AC$7="No aplica"),0,'BOULEVARD 5'!AF154-'BOULEVARD PPTO'!X149)</f>
        <v>0</v>
      </c>
      <c r="AD156" s="760">
        <f>IF(OR($A156="F&amp;F",$A156="CE",AD$7="No aplica"),0,'BOULEVARD 5'!AG154-'BOULEVARD PPTO'!Y149)</f>
        <v>0</v>
      </c>
      <c r="AE156" s="760">
        <f>IF(OR($A156="F&amp;F",$A156="CE",AE$7="No aplica"),0,'BOULEVARD 5'!AH154-'BOULEVARD PPTO'!Z149)</f>
        <v>0</v>
      </c>
      <c r="AF156" s="760">
        <f>IF(OR($A156="F&amp;F",$A156="CE",AF$7="No aplica"),0,'BOULEVARD 5'!AI154-'BOULEVARD PPTO'!AA149)</f>
        <v>0</v>
      </c>
      <c r="AG156" s="760">
        <f>IF(OR($A156="F&amp;F",$A156="CE",AG$7="No aplica"),0,'BOULEVARD 5'!AJ154-'BOULEVARD PPTO'!AB149)</f>
        <v>0</v>
      </c>
      <c r="AH156" s="760">
        <f>IF(OR($A156="F&amp;F",$A156="CE",AH$7="No aplica"),0,'BOULEVARD 5'!AK154-'BOULEVARD PPTO'!AC149)</f>
        <v>0</v>
      </c>
      <c r="AI156" s="760">
        <f>IF(OR($A156="F&amp;F",$A156="CE",AI$7="No aplica"),0,'BOULEVARD 5'!AL154-'BOULEVARD PPTO'!AD149)</f>
        <v>0</v>
      </c>
      <c r="AJ156" s="760">
        <f>IF(OR($A156="F&amp;F",$A156="CE",AJ$7="No aplica"),0,'BOULEVARD 5'!AM154-'BOULEVARD PPTO'!AE149)</f>
        <v>0</v>
      </c>
      <c r="AK156" s="760">
        <f>IF(OR($A156="F&amp;F",$A156="CE",AK$7="No aplica"),0,'BOULEVARD 5'!AN154-'BOULEVARD PPTO'!AF149)</f>
        <v>0</v>
      </c>
      <c r="AL156" s="760">
        <f>IF(OR($A156="F&amp;F",$A156="CE",AL$7="No aplica"),0,'BOULEVARD 5'!AO154-'BOULEVARD PPTO'!AG149)</f>
        <v>0</v>
      </c>
      <c r="AM156" s="760">
        <f>IF(OR($A156="F&amp;F",$A156="CE",AM$7="No aplica"),0,'BOULEVARD 5'!AP154-'BOULEVARD PPTO'!AH149)</f>
        <v>0</v>
      </c>
      <c r="AN156" s="760">
        <f>IF(OR($A156="F&amp;F",$A156="CE",AN$7="No aplica"),0,'BOULEVARD 5'!AQ154-'BOULEVARD PPTO'!AI149)</f>
        <v>0</v>
      </c>
      <c r="AO156" s="760">
        <f>IF(OR($A156="F&amp;F",$A156="CE",AO$7="No aplica"),0,'BOULEVARD 5'!AS154-'BOULEVARD PPTO'!AJ149)</f>
        <v>0</v>
      </c>
      <c r="AP156" s="761">
        <f t="shared" si="18"/>
        <v>0</v>
      </c>
      <c r="AQ156" s="761">
        <f t="shared" si="19"/>
        <v>0</v>
      </c>
      <c r="AR156" s="674">
        <f>IF(A156=0,'BOULEVARD 5'!BF154,0)</f>
        <v>0</v>
      </c>
      <c r="AS156" s="674">
        <f>IF(A156=0,'BOULEVARD 5'!BG154,0)</f>
        <v>0</v>
      </c>
      <c r="AT156" s="675" t="str">
        <f t="shared" si="17"/>
        <v>Vendido</v>
      </c>
      <c r="AU156" s="581" t="str">
        <f t="shared" si="16"/>
        <v/>
      </c>
      <c r="AV156" s="760">
        <f t="shared" si="20"/>
        <v>0</v>
      </c>
    </row>
    <row r="157" spans="1:48" s="581" customFormat="1" ht="12.4" customHeight="1" outlineLevel="1" x14ac:dyDescent="0.25">
      <c r="A157" s="703" t="str">
        <f>'BOULEVARD 5'!BQ155</f>
        <v>CE</v>
      </c>
      <c r="B157" s="708">
        <v>902</v>
      </c>
      <c r="C157" s="564" t="s">
        <v>184</v>
      </c>
      <c r="D157" s="707" t="s">
        <v>386</v>
      </c>
      <c r="E157" s="564" t="str">
        <f>IF('BOULEVARD 5'!E155&lt;&gt;0,'BOULEVARD 5'!E155,"")</f>
        <v>Antonio Rada</v>
      </c>
      <c r="F157" s="581" t="str">
        <f>IF('BOULEVARD 5'!F155&lt;&gt;0,'BOULEVARD 5'!F155,"")</f>
        <v>Waldir Edenilson Contreras Pedroza</v>
      </c>
      <c r="G157" s="566">
        <f>IF('BOULEVARD 5'!G155="","",'BOULEVARD 5'!G155)</f>
        <v>45306</v>
      </c>
      <c r="H157" s="756">
        <f>IF(OR($A157="F&amp;F",$A157="CE",H$7="No aplica"),0,'BOULEVARD 5'!K155-'BOULEVARD PPTO'!C150)</f>
        <v>0</v>
      </c>
      <c r="I157" s="756">
        <f>IF(OR($A157="F&amp;F",$A157="CE",I$7="No aplica"),0,'BOULEVARD 5'!L155-'BOULEVARD PPTO'!D150)</f>
        <v>0</v>
      </c>
      <c r="J157" s="756">
        <f>IF(OR($A157="F&amp;F",$A157="CE",J$7="No aplica"),0,'BOULEVARD 5'!M155-'BOULEVARD PPTO'!E150)</f>
        <v>0</v>
      </c>
      <c r="K157" s="756">
        <f>IF(OR($A157="F&amp;F",$A157="CE",K$7="No aplica"),0,'BOULEVARD 5'!N155-'BOULEVARD PPTO'!F150)</f>
        <v>0</v>
      </c>
      <c r="L157" s="756">
        <f>IF(OR($A157="F&amp;F",$A157="CE",L$7="No aplica"),0,'BOULEVARD 5'!O155-'BOULEVARD PPTO'!G150)</f>
        <v>0</v>
      </c>
      <c r="M157" s="756">
        <f>IF(OR($A157="F&amp;F",$A157="CE",M$7="No aplica"),0,'BOULEVARD 5'!P155-'BOULEVARD PPTO'!H150)</f>
        <v>0</v>
      </c>
      <c r="N157" s="756">
        <f>IF(OR($A157="F&amp;F",$A157="CE",N$7="No aplica"),0,'BOULEVARD 5'!Q155-'BOULEVARD PPTO'!I150)</f>
        <v>0</v>
      </c>
      <c r="O157" s="756">
        <f>IF(OR($A157="F&amp;F",$A157="CE",O$7="No aplica"),0,'BOULEVARD 5'!R155-'BOULEVARD PPTO'!J150)</f>
        <v>0</v>
      </c>
      <c r="P157" s="756">
        <f>IF(OR($A157="F&amp;F",$A157="CE",P$7="No aplica"),0,'BOULEVARD 5'!S155-'BOULEVARD PPTO'!K150)</f>
        <v>0</v>
      </c>
      <c r="Q157" s="760">
        <f>IF(OR($A157="F&amp;F",$A157="CE",Q$7="No aplica"),0,'BOULEVARD 5'!T155-'BOULEVARD PPTO'!L150)</f>
        <v>0</v>
      </c>
      <c r="R157" s="760">
        <f>IF(OR($A157="F&amp;F",$A157="CE",R$7="No aplica"),0,'BOULEVARD 5'!U155-'BOULEVARD PPTO'!M150)</f>
        <v>0</v>
      </c>
      <c r="S157" s="760">
        <f>IF(OR($A157="F&amp;F",$A157="CE",S$7="No aplica"),0,'BOULEVARD 5'!V155-'BOULEVARD PPTO'!N150)</f>
        <v>0</v>
      </c>
      <c r="T157" s="760">
        <f>IF(OR($A157="F&amp;F",$A157="CE",T$7="No aplica"),0,'BOULEVARD 5'!W155-'BOULEVARD PPTO'!O150)</f>
        <v>0</v>
      </c>
      <c r="U157" s="760">
        <f>IF(OR($A157="F&amp;F",$A157="CE",U$7="No aplica"),0,'BOULEVARD 5'!X155-'BOULEVARD PPTO'!P150)</f>
        <v>0</v>
      </c>
      <c r="V157" s="760">
        <f>IF(OR($A157="F&amp;F",$A157="CE",V$7="No aplica"),0,'BOULEVARD 5'!Y155-'BOULEVARD PPTO'!Q150)</f>
        <v>0</v>
      </c>
      <c r="W157" s="760">
        <f>IF(OR($A157="F&amp;F",$A157="CE",W$7="No aplica"),0,'BOULEVARD 5'!Z155-'BOULEVARD PPTO'!R150)</f>
        <v>0</v>
      </c>
      <c r="X157" s="760">
        <f>IF(OR($A157="F&amp;F",$A157="CE",X$7="No aplica"),0,'BOULEVARD 5'!AA155-'BOULEVARD PPTO'!S150)</f>
        <v>0</v>
      </c>
      <c r="Y157" s="760">
        <f>IF(OR($A157="F&amp;F",$A157="CE",Y$7="No aplica"),0,'BOULEVARD 5'!AB155-'BOULEVARD PPTO'!T150)</f>
        <v>0</v>
      </c>
      <c r="Z157" s="760">
        <f>IF(OR($A157="F&amp;F",$A157="CE",Z$7="No aplica"),0,'BOULEVARD 5'!AC155-'BOULEVARD PPTO'!U150)</f>
        <v>0</v>
      </c>
      <c r="AA157" s="760">
        <f>IF(OR($A157="F&amp;F",$A157="CE",AA$7="No aplica"),0,'BOULEVARD 5'!AD155-'BOULEVARD PPTO'!V150)</f>
        <v>0</v>
      </c>
      <c r="AB157" s="760">
        <f>IF(OR($A157="F&amp;F",$A157="CE",AB$7="No aplica"),0,'BOULEVARD 5'!AE155-'BOULEVARD PPTO'!W150)</f>
        <v>0</v>
      </c>
      <c r="AC157" s="760">
        <f>IF(OR($A157="F&amp;F",$A157="CE",AC$7="No aplica"),0,'BOULEVARD 5'!AF155-'BOULEVARD PPTO'!X150)</f>
        <v>0</v>
      </c>
      <c r="AD157" s="760">
        <f>IF(OR($A157="F&amp;F",$A157="CE",AD$7="No aplica"),0,'BOULEVARD 5'!AG155-'BOULEVARD PPTO'!Y150)</f>
        <v>0</v>
      </c>
      <c r="AE157" s="760">
        <f>IF(OR($A157="F&amp;F",$A157="CE",AE$7="No aplica"),0,'BOULEVARD 5'!AH155-'BOULEVARD PPTO'!Z150)</f>
        <v>0</v>
      </c>
      <c r="AF157" s="760">
        <f>IF(OR($A157="F&amp;F",$A157="CE",AF$7="No aplica"),0,'BOULEVARD 5'!AI155-'BOULEVARD PPTO'!AA150)</f>
        <v>0</v>
      </c>
      <c r="AG157" s="760">
        <f>IF(OR($A157="F&amp;F",$A157="CE",AG$7="No aplica"),0,'BOULEVARD 5'!AJ155-'BOULEVARD PPTO'!AB150)</f>
        <v>0</v>
      </c>
      <c r="AH157" s="760">
        <f>IF(OR($A157="F&amp;F",$A157="CE",AH$7="No aplica"),0,'BOULEVARD 5'!AK155-'BOULEVARD PPTO'!AC150)</f>
        <v>0</v>
      </c>
      <c r="AI157" s="760">
        <f>IF(OR($A157="F&amp;F",$A157="CE",AI$7="No aplica"),0,'BOULEVARD 5'!AL155-'BOULEVARD PPTO'!AD150)</f>
        <v>0</v>
      </c>
      <c r="AJ157" s="760">
        <f>IF(OR($A157="F&amp;F",$A157="CE",AJ$7="No aplica"),0,'BOULEVARD 5'!AM155-'BOULEVARD PPTO'!AE150)</f>
        <v>0</v>
      </c>
      <c r="AK157" s="760">
        <f>IF(OR($A157="F&amp;F",$A157="CE",AK$7="No aplica"),0,'BOULEVARD 5'!AN155-'BOULEVARD PPTO'!AF150)</f>
        <v>0</v>
      </c>
      <c r="AL157" s="760">
        <f>IF(OR($A157="F&amp;F",$A157="CE",AL$7="No aplica"),0,'BOULEVARD 5'!AO155-'BOULEVARD PPTO'!AG150)</f>
        <v>0</v>
      </c>
      <c r="AM157" s="760">
        <f>IF(OR($A157="F&amp;F",$A157="CE",AM$7="No aplica"),0,'BOULEVARD 5'!AP155-'BOULEVARD PPTO'!AH150)</f>
        <v>0</v>
      </c>
      <c r="AN157" s="760">
        <f>IF(OR($A157="F&amp;F",$A157="CE",AN$7="No aplica"),0,'BOULEVARD 5'!AQ155-'BOULEVARD PPTO'!AI150)</f>
        <v>0</v>
      </c>
      <c r="AO157" s="760">
        <f>IF(OR($A157="F&amp;F",$A157="CE",AO$7="No aplica"),0,'BOULEVARD 5'!AS155-'BOULEVARD PPTO'!AJ150)</f>
        <v>0</v>
      </c>
      <c r="AP157" s="761">
        <f t="shared" si="18"/>
        <v>0</v>
      </c>
      <c r="AQ157" s="761">
        <f t="shared" si="19"/>
        <v>0</v>
      </c>
      <c r="AR157" s="674">
        <f>IF(A157=0,'BOULEVARD 5'!BF155,0)</f>
        <v>0</v>
      </c>
      <c r="AS157" s="674">
        <f>IF(A157=0,'BOULEVARD 5'!BG155,0)</f>
        <v>0</v>
      </c>
      <c r="AT157" s="675" t="str">
        <f t="shared" si="17"/>
        <v>Vendido</v>
      </c>
      <c r="AU157" s="581" t="str">
        <f t="shared" si="16"/>
        <v/>
      </c>
      <c r="AV157" s="760">
        <f t="shared" si="20"/>
        <v>0</v>
      </c>
    </row>
    <row r="158" spans="1:48" s="581" customFormat="1" ht="12.4" customHeight="1" outlineLevel="1" x14ac:dyDescent="0.25">
      <c r="A158" s="703">
        <f>'BOULEVARD 5'!BQ156</f>
        <v>0</v>
      </c>
      <c r="B158" s="564">
        <v>903</v>
      </c>
      <c r="C158" s="564" t="s">
        <v>406</v>
      </c>
      <c r="D158" s="564"/>
      <c r="E158" s="564" t="str">
        <f>IF('BOULEVARD 5'!E156&lt;&gt;0,'BOULEVARD 5'!E156,"")</f>
        <v>Jose Franco</v>
      </c>
      <c r="F158" s="581" t="str">
        <f>IF('BOULEVARD 5'!F156&lt;&gt;0,'BOULEVARD 5'!F156,"")</f>
        <v>Vivian Arely Carranza León De Acevedo</v>
      </c>
      <c r="G158" s="566">
        <f>IF('BOULEVARD 5'!G156="","",'BOULEVARD 5'!G156)</f>
        <v>45065</v>
      </c>
      <c r="H158" s="756">
        <f>IF(OR($A158="F&amp;F",$A158="CE",H$7="No aplica"),0,'BOULEVARD 5'!K156-'BOULEVARD PPTO'!C151)</f>
        <v>0</v>
      </c>
      <c r="I158" s="756">
        <f>IF(OR($A158="F&amp;F",$A158="CE",I$7="No aplica"),0,'BOULEVARD 5'!L156-'BOULEVARD PPTO'!D151)</f>
        <v>0</v>
      </c>
      <c r="J158" s="756">
        <f>IF(OR($A158="F&amp;F",$A158="CE",J$7="No aplica"),0,'BOULEVARD 5'!M156-'BOULEVARD PPTO'!E151)</f>
        <v>0</v>
      </c>
      <c r="K158" s="756">
        <f>IF(OR($A158="F&amp;F",$A158="CE",K$7="No aplica"),0,'BOULEVARD 5'!N156-'BOULEVARD PPTO'!F151)</f>
        <v>0</v>
      </c>
      <c r="L158" s="756">
        <f>IF(OR($A158="F&amp;F",$A158="CE",L$7="No aplica"),0,'BOULEVARD 5'!O156-'BOULEVARD PPTO'!G151)</f>
        <v>0</v>
      </c>
      <c r="M158" s="756">
        <f>IF(OR($A158="F&amp;F",$A158="CE",M$7="No aplica"),0,'BOULEVARD 5'!P156-'BOULEVARD PPTO'!H151)</f>
        <v>0</v>
      </c>
      <c r="N158" s="756">
        <f>IF(OR($A158="F&amp;F",$A158="CE",N$7="No aplica"),0,'BOULEVARD 5'!Q156-'BOULEVARD PPTO'!I151)</f>
        <v>0</v>
      </c>
      <c r="O158" s="756">
        <f>IF(OR($A158="F&amp;F",$A158="CE",O$7="No aplica"),0,'BOULEVARD 5'!R156-'BOULEVARD PPTO'!J151)</f>
        <v>0</v>
      </c>
      <c r="P158" s="756">
        <f>IF(OR($A158="F&amp;F",$A158="CE",P$7="No aplica"),0,'BOULEVARD 5'!S156-'BOULEVARD PPTO'!K151)</f>
        <v>0</v>
      </c>
      <c r="Q158" s="760">
        <f>IF(OR($A158="F&amp;F",$A158="CE",Q$7="No aplica"),0,'BOULEVARD 5'!T156-'BOULEVARD PPTO'!L151)</f>
        <v>2300</v>
      </c>
      <c r="R158" s="760">
        <f>IF(OR($A158="F&amp;F",$A158="CE",R$7="No aplica"),0,'BOULEVARD 5'!U156-'BOULEVARD PPTO'!M151)</f>
        <v>-2300</v>
      </c>
      <c r="S158" s="760">
        <f>IF(OR($A158="F&amp;F",$A158="CE",S$7="No aplica"),0,'BOULEVARD 5'!V156-'BOULEVARD PPTO'!N151)</f>
        <v>2300</v>
      </c>
      <c r="T158" s="760">
        <f>IF(OR($A158="F&amp;F",$A158="CE",T$7="No aplica"),0,'BOULEVARD 5'!W156-'BOULEVARD PPTO'!O151)</f>
        <v>-2300</v>
      </c>
      <c r="U158" s="760">
        <f>IF(OR($A158="F&amp;F",$A158="CE",U$7="No aplica"),0,'BOULEVARD 5'!X156-'BOULEVARD PPTO'!P151)</f>
        <v>2300</v>
      </c>
      <c r="V158" s="760">
        <f>IF(OR($A158="F&amp;F",$A158="CE",V$7="No aplica"),0,'BOULEVARD 5'!Y156-'BOULEVARD PPTO'!Q151)</f>
        <v>-2300</v>
      </c>
      <c r="W158" s="760">
        <f>IF(OR($A158="F&amp;F",$A158="CE",W$7="No aplica"),0,'BOULEVARD 5'!Z156-'BOULEVARD PPTO'!R151)</f>
        <v>-2300</v>
      </c>
      <c r="X158" s="760">
        <f>IF(OR($A158="F&amp;F",$A158="CE",X$7="No aplica"),0,'BOULEVARD 5'!AA156-'BOULEVARD PPTO'!S151)</f>
        <v>2300</v>
      </c>
      <c r="Y158" s="760">
        <f>IF(OR($A158="F&amp;F",$A158="CE",Y$7="No aplica"),0,'BOULEVARD 5'!AB156-'BOULEVARD PPTO'!T151)</f>
        <v>2300</v>
      </c>
      <c r="Z158" s="760">
        <f>IF(OR($A158="F&amp;F",$A158="CE",Z$7="No aplica"),0,'BOULEVARD 5'!AC156-'BOULEVARD PPTO'!U151)</f>
        <v>-2300</v>
      </c>
      <c r="AA158" s="760">
        <f>IF(OR($A158="F&amp;F",$A158="CE",AA$7="No aplica"),0,'BOULEVARD 5'!AD156-'BOULEVARD PPTO'!V151)</f>
        <v>-2300</v>
      </c>
      <c r="AB158" s="760">
        <f>IF(OR($A158="F&amp;F",$A158="CE",AB$7="No aplica"),0,'BOULEVARD 5'!AE156-'BOULEVARD PPTO'!W151)</f>
        <v>2300</v>
      </c>
      <c r="AC158" s="760">
        <f>IF(OR($A158="F&amp;F",$A158="CE",AC$7="No aplica"),0,'BOULEVARD 5'!AF156-'BOULEVARD PPTO'!X151)</f>
        <v>-2300</v>
      </c>
      <c r="AD158" s="760">
        <f>IF(OR($A158="F&amp;F",$A158="CE",AD$7="No aplica"),0,'BOULEVARD 5'!AG156-'BOULEVARD PPTO'!Y151)</f>
        <v>2300</v>
      </c>
      <c r="AE158" s="760">
        <f>IF(OR($A158="F&amp;F",$A158="CE",AE$7="No aplica"),0,'BOULEVARD 5'!AH156-'BOULEVARD PPTO'!Z151)</f>
        <v>0</v>
      </c>
      <c r="AF158" s="760">
        <f>IF(OR($A158="F&amp;F",$A158="CE",AF$7="No aplica"),0,'BOULEVARD 5'!AI156-'BOULEVARD PPTO'!AA151)</f>
        <v>2300</v>
      </c>
      <c r="AG158" s="760">
        <f>IF(OR($A158="F&amp;F",$A158="CE",AG$7="No aplica"),0,'BOULEVARD 5'!AJ156-'BOULEVARD PPTO'!AB151)</f>
        <v>2300</v>
      </c>
      <c r="AH158" s="760">
        <f>IF(OR($A158="F&amp;F",$A158="CE",AH$7="No aplica"),0,'BOULEVARD 5'!AK156-'BOULEVARD PPTO'!AC151)</f>
        <v>0</v>
      </c>
      <c r="AI158" s="760">
        <f>IF(OR($A158="F&amp;F",$A158="CE",AI$7="No aplica"),0,'BOULEVARD 5'!AL156-'BOULEVARD PPTO'!AD151)</f>
        <v>-2300</v>
      </c>
      <c r="AJ158" s="760">
        <f>IF(OR($A158="F&amp;F",$A158="CE",AJ$7="No aplica"),0,'BOULEVARD 5'!AM156-'BOULEVARD PPTO'!AE151)</f>
        <v>2300</v>
      </c>
      <c r="AK158" s="760">
        <f>IF(OR($A158="F&amp;F",$A158="CE",AK$7="No aplica"),0,'BOULEVARD 5'!AN156-'BOULEVARD PPTO'!AF151)</f>
        <v>-2300</v>
      </c>
      <c r="AL158" s="760">
        <f>IF(OR($A158="F&amp;F",$A158="CE",AL$7="No aplica"),0,'BOULEVARD 5'!AO156-'BOULEVARD PPTO'!AG151)</f>
        <v>2300</v>
      </c>
      <c r="AM158" s="760">
        <f>IF(OR($A158="F&amp;F",$A158="CE",AM$7="No aplica"),0,'BOULEVARD 5'!AP156-'BOULEVARD PPTO'!AH151)</f>
        <v>0</v>
      </c>
      <c r="AN158" s="760">
        <f>IF(OR($A158="F&amp;F",$A158="CE",AN$7="No aplica"),0,'BOULEVARD 5'!AQ156-'BOULEVARD PPTO'!AI151)</f>
        <v>0</v>
      </c>
      <c r="AO158" s="760">
        <f>IF(OR($A158="F&amp;F",$A158="CE",AO$7="No aplica"),0,'BOULEVARD 5'!AS156-'BOULEVARD PPTO'!AJ151)</f>
        <v>0</v>
      </c>
      <c r="AP158" s="761">
        <f t="shared" si="18"/>
        <v>4600</v>
      </c>
      <c r="AQ158" s="761">
        <f t="shared" si="19"/>
        <v>4600</v>
      </c>
      <c r="AR158" s="674">
        <f>IF(A158=0,'BOULEVARD 5'!BF156,0)</f>
        <v>6000</v>
      </c>
      <c r="AS158" s="674">
        <f>IF(A158=0,'BOULEVARD 5'!BG156,0)</f>
        <v>2300</v>
      </c>
      <c r="AT158" s="675" t="str">
        <f t="shared" si="17"/>
        <v>Vendido</v>
      </c>
      <c r="AU158" s="581" t="str">
        <f t="shared" si="16"/>
        <v>A FAVOR DEL CLIENTE</v>
      </c>
      <c r="AV158" s="760">
        <f t="shared" si="20"/>
        <v>0</v>
      </c>
    </row>
    <row r="159" spans="1:48" s="581" customFormat="1" ht="12.4" customHeight="1" outlineLevel="1" x14ac:dyDescent="0.25">
      <c r="A159" s="703">
        <f>'BOULEVARD 5'!BQ157</f>
        <v>0</v>
      </c>
      <c r="B159" s="564">
        <v>904</v>
      </c>
      <c r="C159" s="564" t="s">
        <v>200</v>
      </c>
      <c r="D159" s="564"/>
      <c r="E159" s="564" t="str">
        <f>IF('BOULEVARD 5'!E157&lt;&gt;0,'BOULEVARD 5'!E157,"")</f>
        <v>Jose Franco</v>
      </c>
      <c r="F159" s="581" t="str">
        <f>IF('BOULEVARD 5'!F157&lt;&gt;0,'BOULEVARD 5'!F157,"")</f>
        <v>Juan José Silva Pacheco</v>
      </c>
      <c r="G159" s="566">
        <f>IF('BOULEVARD 5'!G157="","",'BOULEVARD 5'!G157)</f>
        <v>45062</v>
      </c>
      <c r="H159" s="756">
        <f>IF(OR($A159="F&amp;F",$A159="CE",H$7="No aplica"),0,'BOULEVARD 5'!K157-'BOULEVARD PPTO'!C152)</f>
        <v>0</v>
      </c>
      <c r="I159" s="756">
        <f>IF(OR($A159="F&amp;F",$A159="CE",I$7="No aplica"),0,'BOULEVARD 5'!L157-'BOULEVARD PPTO'!D152)</f>
        <v>0</v>
      </c>
      <c r="J159" s="756">
        <f>IF(OR($A159="F&amp;F",$A159="CE",J$7="No aplica"),0,'BOULEVARD 5'!M157-'BOULEVARD PPTO'!E152)</f>
        <v>0</v>
      </c>
      <c r="K159" s="756">
        <f>IF(OR($A159="F&amp;F",$A159="CE",K$7="No aplica"),0,'BOULEVARD 5'!N157-'BOULEVARD PPTO'!F152)</f>
        <v>22</v>
      </c>
      <c r="L159" s="756">
        <f>IF(OR($A159="F&amp;F",$A159="CE",L$7="No aplica"),0,'BOULEVARD 5'!O157-'BOULEVARD PPTO'!G152)</f>
        <v>0</v>
      </c>
      <c r="M159" s="756">
        <f>IF(OR($A159="F&amp;F",$A159="CE",M$7="No aplica"),0,'BOULEVARD 5'!P157-'BOULEVARD PPTO'!H152)</f>
        <v>0</v>
      </c>
      <c r="N159" s="756">
        <f>IF(OR($A159="F&amp;F",$A159="CE",N$7="No aplica"),0,'BOULEVARD 5'!Q157-'BOULEVARD PPTO'!I152)</f>
        <v>0</v>
      </c>
      <c r="O159" s="756">
        <f>IF(OR($A159="F&amp;F",$A159="CE",O$7="No aplica"),0,'BOULEVARD 5'!R157-'BOULEVARD PPTO'!J152)</f>
        <v>0</v>
      </c>
      <c r="P159" s="756">
        <f>IF(OR($A159="F&amp;F",$A159="CE",P$7="No aplica"),0,'BOULEVARD 5'!S157-'BOULEVARD PPTO'!K152)</f>
        <v>0</v>
      </c>
      <c r="Q159" s="760">
        <f>IF(OR($A159="F&amp;F",$A159="CE",Q$7="No aplica"),0,'BOULEVARD 5'!T157-'BOULEVARD PPTO'!L152)</f>
        <v>20</v>
      </c>
      <c r="R159" s="760">
        <f>IF(OR($A159="F&amp;F",$A159="CE",R$7="No aplica"),0,'BOULEVARD 5'!U157-'BOULEVARD PPTO'!M152)</f>
        <v>20</v>
      </c>
      <c r="S159" s="760">
        <f>IF(OR($A159="F&amp;F",$A159="CE",S$7="No aplica"),0,'BOULEVARD 5'!V157-'BOULEVARD PPTO'!N152)</f>
        <v>0</v>
      </c>
      <c r="T159" s="760">
        <f>IF(OR($A159="F&amp;F",$A159="CE",T$7="No aplica"),0,'BOULEVARD 5'!W157-'BOULEVARD PPTO'!O152)</f>
        <v>0</v>
      </c>
      <c r="U159" s="760">
        <f>IF(OR($A159="F&amp;F",$A159="CE",U$7="No aplica"),0,'BOULEVARD 5'!X157-'BOULEVARD PPTO'!P152)</f>
        <v>0</v>
      </c>
      <c r="V159" s="760">
        <f>IF(OR($A159="F&amp;F",$A159="CE",V$7="No aplica"),0,'BOULEVARD 5'!Y157-'BOULEVARD PPTO'!Q152)</f>
        <v>0</v>
      </c>
      <c r="W159" s="760">
        <f>IF(OR($A159="F&amp;F",$A159="CE",W$7="No aplica"),0,'BOULEVARD 5'!Z157-'BOULEVARD PPTO'!R152)</f>
        <v>0</v>
      </c>
      <c r="X159" s="760">
        <f>IF(OR($A159="F&amp;F",$A159="CE",X$7="No aplica"),0,'BOULEVARD 5'!AA157-'BOULEVARD PPTO'!S152)</f>
        <v>0</v>
      </c>
      <c r="Y159" s="760">
        <f>IF(OR($A159="F&amp;F",$A159="CE",Y$7="No aplica"),0,'BOULEVARD 5'!AB157-'BOULEVARD PPTO'!T152)</f>
        <v>0</v>
      </c>
      <c r="Z159" s="760">
        <f>IF(OR($A159="F&amp;F",$A159="CE",Z$7="No aplica"),0,'BOULEVARD 5'!AC157-'BOULEVARD PPTO'!U152)</f>
        <v>0</v>
      </c>
      <c r="AA159" s="760">
        <f>IF(OR($A159="F&amp;F",$A159="CE",AA$7="No aplica"),0,'BOULEVARD 5'!AD157-'BOULEVARD PPTO'!V152)</f>
        <v>0</v>
      </c>
      <c r="AB159" s="760">
        <f>IF(OR($A159="F&amp;F",$A159="CE",AB$7="No aplica"),0,'BOULEVARD 5'!AE157-'BOULEVARD PPTO'!W152)</f>
        <v>0</v>
      </c>
      <c r="AC159" s="760">
        <f>IF(OR($A159="F&amp;F",$A159="CE",AC$7="No aplica"),0,'BOULEVARD 5'!AF157-'BOULEVARD PPTO'!X152)</f>
        <v>0</v>
      </c>
      <c r="AD159" s="760">
        <f>IF(OR($A159="F&amp;F",$A159="CE",AD$7="No aplica"),0,'BOULEVARD 5'!AG157-'BOULEVARD PPTO'!Y152)</f>
        <v>0</v>
      </c>
      <c r="AE159" s="760">
        <f>IF(OR($A159="F&amp;F",$A159="CE",AE$7="No aplica"),0,'BOULEVARD 5'!AH157-'BOULEVARD PPTO'!Z152)</f>
        <v>0</v>
      </c>
      <c r="AF159" s="760">
        <f>IF(OR($A159="F&amp;F",$A159="CE",AF$7="No aplica"),0,'BOULEVARD 5'!AI157-'BOULEVARD PPTO'!AA152)</f>
        <v>0</v>
      </c>
      <c r="AG159" s="760">
        <f>IF(OR($A159="F&amp;F",$A159="CE",AG$7="No aplica"),0,'BOULEVARD 5'!AJ157-'BOULEVARD PPTO'!AB152)</f>
        <v>0</v>
      </c>
      <c r="AH159" s="760">
        <f>IF(OR($A159="F&amp;F",$A159="CE",AH$7="No aplica"),0,'BOULEVARD 5'!AK157-'BOULEVARD PPTO'!AC152)</f>
        <v>0</v>
      </c>
      <c r="AI159" s="760">
        <f>IF(OR($A159="F&amp;F",$A159="CE",AI$7="No aplica"),0,'BOULEVARD 5'!AL157-'BOULEVARD PPTO'!AD152)</f>
        <v>0</v>
      </c>
      <c r="AJ159" s="760">
        <f>IF(OR($A159="F&amp;F",$A159="CE",AJ$7="No aplica"),0,'BOULEVARD 5'!AM157-'BOULEVARD PPTO'!AE152)</f>
        <v>0</v>
      </c>
      <c r="AK159" s="760">
        <f>IF(OR($A159="F&amp;F",$A159="CE",AK$7="No aplica"),0,'BOULEVARD 5'!AN157-'BOULEVARD PPTO'!AF152)</f>
        <v>2254</v>
      </c>
      <c r="AL159" s="760">
        <f>IF(OR($A159="F&amp;F",$A159="CE",AL$7="No aplica"),0,'BOULEVARD 5'!AO157-'BOULEVARD PPTO'!AG152)</f>
        <v>0</v>
      </c>
      <c r="AM159" s="760">
        <f>IF(OR($A159="F&amp;F",$A159="CE",AM$7="No aplica"),0,'BOULEVARD 5'!AP157-'BOULEVARD PPTO'!AH152)</f>
        <v>0</v>
      </c>
      <c r="AN159" s="760">
        <f>IF(OR($A159="F&amp;F",$A159="CE",AN$7="No aplica"),0,'BOULEVARD 5'!AQ157-'BOULEVARD PPTO'!AI152)</f>
        <v>0</v>
      </c>
      <c r="AO159" s="760">
        <f>IF(OR($A159="F&amp;F",$A159="CE",AO$7="No aplica"),0,'BOULEVARD 5'!AS157-'BOULEVARD PPTO'!AJ152)</f>
        <v>0</v>
      </c>
      <c r="AP159" s="761">
        <f t="shared" si="18"/>
        <v>2316</v>
      </c>
      <c r="AQ159" s="761">
        <f t="shared" si="19"/>
        <v>2316</v>
      </c>
      <c r="AR159" s="674">
        <f>IF(A159=0,'BOULEVARD 5'!BF157,0)</f>
        <v>6000</v>
      </c>
      <c r="AS159" s="674">
        <f>IF(A159=0,'BOULEVARD 5'!BG157,0)</f>
        <v>2274</v>
      </c>
      <c r="AT159" s="675" t="str">
        <f t="shared" si="17"/>
        <v>Vendido</v>
      </c>
      <c r="AU159" s="581" t="str">
        <f t="shared" si="16"/>
        <v>A FAVOR DEL CLIENTE</v>
      </c>
      <c r="AV159" s="760">
        <f t="shared" si="20"/>
        <v>0</v>
      </c>
    </row>
    <row r="160" spans="1:48" s="581" customFormat="1" ht="12.4" customHeight="1" outlineLevel="1" x14ac:dyDescent="0.25">
      <c r="A160" s="703">
        <f>'BOULEVARD 5'!BQ158</f>
        <v>0</v>
      </c>
      <c r="B160" s="564">
        <v>905</v>
      </c>
      <c r="C160" s="564" t="s">
        <v>534</v>
      </c>
      <c r="D160" s="564"/>
      <c r="E160" s="564" t="str">
        <f>IF('BOULEVARD 5'!E158&lt;&gt;0,'BOULEVARD 5'!E158,"")</f>
        <v>Antonio Rada</v>
      </c>
      <c r="F160" s="581" t="str">
        <f>IF('BOULEVARD 5'!F158&lt;&gt;0,'BOULEVARD 5'!F158,"")</f>
        <v>Roberto Andres Hernandez Benavides</v>
      </c>
      <c r="G160" s="566">
        <f>IF('BOULEVARD 5'!G158="","",'BOULEVARD 5'!G158)</f>
        <v>45473</v>
      </c>
      <c r="H160" s="756">
        <f>IF(OR($A160="F&amp;F",$A160="CE",H$7="No aplica"),0,'BOULEVARD 5'!K158-'BOULEVARD PPTO'!C153)</f>
        <v>0</v>
      </c>
      <c r="I160" s="756">
        <f>IF(OR($A160="F&amp;F",$A160="CE",I$7="No aplica"),0,'BOULEVARD 5'!L158-'BOULEVARD PPTO'!D153)</f>
        <v>0</v>
      </c>
      <c r="J160" s="756">
        <f>IF(OR($A160="F&amp;F",$A160="CE",J$7="No aplica"),0,'BOULEVARD 5'!M158-'BOULEVARD PPTO'!E153)</f>
        <v>0</v>
      </c>
      <c r="K160" s="756">
        <f>IF(OR($A160="F&amp;F",$A160="CE",K$7="No aplica"),0,'BOULEVARD 5'!N158-'BOULEVARD PPTO'!F153)</f>
        <v>0</v>
      </c>
      <c r="L160" s="756">
        <f>IF(OR($A160="F&amp;F",$A160="CE",L$7="No aplica"),0,'BOULEVARD 5'!O158-'BOULEVARD PPTO'!G153)</f>
        <v>0</v>
      </c>
      <c r="M160" s="756">
        <f>IF(OR($A160="F&amp;F",$A160="CE",M$7="No aplica"),0,'BOULEVARD 5'!P158-'BOULEVARD PPTO'!H153)</f>
        <v>0</v>
      </c>
      <c r="N160" s="756">
        <f>IF(OR($A160="F&amp;F",$A160="CE",N$7="No aplica"),0,'BOULEVARD 5'!Q158-'BOULEVARD PPTO'!I153)</f>
        <v>0</v>
      </c>
      <c r="O160" s="756">
        <f>IF(OR($A160="F&amp;F",$A160="CE",O$7="No aplica"),0,'BOULEVARD 5'!R158-'BOULEVARD PPTO'!J153)</f>
        <v>0</v>
      </c>
      <c r="P160" s="756">
        <f>IF(OR($A160="F&amp;F",$A160="CE",P$7="No aplica"),0,'BOULEVARD 5'!S158-'BOULEVARD PPTO'!K153)</f>
        <v>0</v>
      </c>
      <c r="Q160" s="760">
        <f>IF(OR($A160="F&amp;F",$A160="CE",Q$7="No aplica"),0,'BOULEVARD 5'!T158-'BOULEVARD PPTO'!L153)</f>
        <v>0</v>
      </c>
      <c r="R160" s="760">
        <f>IF(OR($A160="F&amp;F",$A160="CE",R$7="No aplica"),0,'BOULEVARD 5'!U158-'BOULEVARD PPTO'!M153)</f>
        <v>0</v>
      </c>
      <c r="S160" s="760">
        <f>IF(OR($A160="F&amp;F",$A160="CE",S$7="No aplica"),0,'BOULEVARD 5'!V158-'BOULEVARD PPTO'!N153)</f>
        <v>0</v>
      </c>
      <c r="T160" s="760">
        <f>IF(OR($A160="F&amp;F",$A160="CE",T$7="No aplica"),0,'BOULEVARD 5'!W158-'BOULEVARD PPTO'!O153)</f>
        <v>0</v>
      </c>
      <c r="U160" s="760">
        <f>IF(OR($A160="F&amp;F",$A160="CE",U$7="No aplica"),0,'BOULEVARD 5'!X158-'BOULEVARD PPTO'!P153)</f>
        <v>0</v>
      </c>
      <c r="V160" s="760">
        <f>IF(OR($A160="F&amp;F",$A160="CE",V$7="No aplica"),0,'BOULEVARD 5'!Y158-'BOULEVARD PPTO'!Q153)</f>
        <v>0</v>
      </c>
      <c r="W160" s="760">
        <f>IF(OR($A160="F&amp;F",$A160="CE",W$7="No aplica"),0,'BOULEVARD 5'!Z158-'BOULEVARD PPTO'!R153)</f>
        <v>0</v>
      </c>
      <c r="X160" s="760">
        <f>IF(OR($A160="F&amp;F",$A160="CE",X$7="No aplica"),0,'BOULEVARD 5'!AA158-'BOULEVARD PPTO'!S153)</f>
        <v>0</v>
      </c>
      <c r="Y160" s="760">
        <f>IF(OR($A160="F&amp;F",$A160="CE",Y$7="No aplica"),0,'BOULEVARD 5'!AB158-'BOULEVARD PPTO'!T153)</f>
        <v>0</v>
      </c>
      <c r="Z160" s="760">
        <f>IF(OR($A160="F&amp;F",$A160="CE",Z$7="No aplica"),0,'BOULEVARD 5'!AC158-'BOULEVARD PPTO'!U153)</f>
        <v>0</v>
      </c>
      <c r="AA160" s="760">
        <f>IF(OR($A160="F&amp;F",$A160="CE",AA$7="No aplica"),0,'BOULEVARD 5'!AD158-'BOULEVARD PPTO'!V153)</f>
        <v>0</v>
      </c>
      <c r="AB160" s="760">
        <f>IF(OR($A160="F&amp;F",$A160="CE",AB$7="No aplica"),0,'BOULEVARD 5'!AE158-'BOULEVARD PPTO'!W153)</f>
        <v>0</v>
      </c>
      <c r="AC160" s="760">
        <f>IF(OR($A160="F&amp;F",$A160="CE",AC$7="No aplica"),0,'BOULEVARD 5'!AF158-'BOULEVARD PPTO'!X153)</f>
        <v>-1</v>
      </c>
      <c r="AD160" s="760">
        <f>IF(OR($A160="F&amp;F",$A160="CE",AD$7="No aplica"),0,'BOULEVARD 5'!AG158-'BOULEVARD PPTO'!Y153)</f>
        <v>-1</v>
      </c>
      <c r="AE160" s="760">
        <f>IF(OR($A160="F&amp;F",$A160="CE",AE$7="No aplica"),0,'BOULEVARD 5'!AH158-'BOULEVARD PPTO'!Z153)</f>
        <v>-1</v>
      </c>
      <c r="AF160" s="760">
        <f>IF(OR($A160="F&amp;F",$A160="CE",AF$7="No aplica"),0,'BOULEVARD 5'!AI158-'BOULEVARD PPTO'!AA153)</f>
        <v>-1</v>
      </c>
      <c r="AG160" s="760">
        <f>IF(OR($A160="F&amp;F",$A160="CE",AG$7="No aplica"),0,'BOULEVARD 5'!AJ158-'BOULEVARD PPTO'!AB153)</f>
        <v>-1</v>
      </c>
      <c r="AH160" s="760">
        <f>IF(OR($A160="F&amp;F",$A160="CE",AH$7="No aplica"),0,'BOULEVARD 5'!AK158-'BOULEVARD PPTO'!AC153)</f>
        <v>-1</v>
      </c>
      <c r="AI160" s="760">
        <f>IF(OR($A160="F&amp;F",$A160="CE",AI$7="No aplica"),0,'BOULEVARD 5'!AL158-'BOULEVARD PPTO'!AD153)</f>
        <v>-1</v>
      </c>
      <c r="AJ160" s="760">
        <f>IF(OR($A160="F&amp;F",$A160="CE",AJ$7="No aplica"),0,'BOULEVARD 5'!AM158-'BOULEVARD PPTO'!AE153)</f>
        <v>0</v>
      </c>
      <c r="AK160" s="760">
        <f>IF(OR($A160="F&amp;F",$A160="CE",AK$7="No aplica"),0,'BOULEVARD 5'!AN158-'BOULEVARD PPTO'!AF153)</f>
        <v>-1</v>
      </c>
      <c r="AL160" s="760">
        <f>IF(OR($A160="F&amp;F",$A160="CE",AL$7="No aplica"),0,'BOULEVARD 5'!AO158-'BOULEVARD PPTO'!AG153)</f>
        <v>-1</v>
      </c>
      <c r="AM160" s="760">
        <f>IF(OR($A160="F&amp;F",$A160="CE",AM$7="No aplica"),0,'BOULEVARD 5'!AP158-'BOULEVARD PPTO'!AH153)</f>
        <v>-1</v>
      </c>
      <c r="AN160" s="760">
        <f>IF(OR($A160="F&amp;F",$A160="CE",AN$7="No aplica"),0,'BOULEVARD 5'!AQ158-'BOULEVARD PPTO'!AI153)</f>
        <v>0</v>
      </c>
      <c r="AO160" s="760">
        <f>IF(OR($A160="F&amp;F",$A160="CE",AO$7="No aplica"),0,'BOULEVARD 5'!AS158-'BOULEVARD PPTO'!AJ153)</f>
        <v>0</v>
      </c>
      <c r="AP160" s="761">
        <f t="shared" si="18"/>
        <v>-10</v>
      </c>
      <c r="AQ160" s="761">
        <f t="shared" si="19"/>
        <v>0</v>
      </c>
      <c r="AR160" s="674">
        <f>IF(A160=0,'BOULEVARD 5'!BF158,0)</f>
        <v>10000</v>
      </c>
      <c r="AS160" s="674">
        <f>IF(A160=0,'BOULEVARD 5'!BG158,0)</f>
        <v>3776</v>
      </c>
      <c r="AT160" s="675" t="str">
        <f t="shared" si="17"/>
        <v>Vendido</v>
      </c>
      <c r="AU160" s="581" t="str">
        <f t="shared" si="16"/>
        <v>POR COBRAR</v>
      </c>
      <c r="AV160" s="760">
        <f t="shared" si="20"/>
        <v>0</v>
      </c>
    </row>
    <row r="161" spans="1:48" s="581" customFormat="1" ht="12.4" customHeight="1" outlineLevel="1" x14ac:dyDescent="0.25">
      <c r="A161" s="703">
        <f>'BOULEVARD 5'!BQ159</f>
        <v>0</v>
      </c>
      <c r="B161" s="564">
        <v>906</v>
      </c>
      <c r="C161" s="564" t="s">
        <v>536</v>
      </c>
      <c r="D161" s="564"/>
      <c r="E161" s="564" t="str">
        <f>IF('BOULEVARD 5'!E159&lt;&gt;0,'BOULEVARD 5'!E159,"")</f>
        <v>Erwin Cardona</v>
      </c>
      <c r="F161" s="581" t="str">
        <f>IF('BOULEVARD 5'!F159&lt;&gt;0,'BOULEVARD 5'!F159,"")</f>
        <v>Nery Adolfo Ortíz Alvarez</v>
      </c>
      <c r="G161" s="566">
        <f>IF('BOULEVARD 5'!G159="","",'BOULEVARD 5'!G159)</f>
        <v>46000</v>
      </c>
      <c r="H161" s="756">
        <f>IF(OR($A161="F&amp;F",$A161="CE",H$7="No aplica"),0,'BOULEVARD 5'!K159-'BOULEVARD PPTO'!C154)</f>
        <v>0</v>
      </c>
      <c r="I161" s="756">
        <f>IF(OR($A161="F&amp;F",$A161="CE",I$7="No aplica"),0,'BOULEVARD 5'!L159-'BOULEVARD PPTO'!D154)</f>
        <v>0</v>
      </c>
      <c r="J161" s="756">
        <f>IF(OR($A161="F&amp;F",$A161="CE",J$7="No aplica"),0,'BOULEVARD 5'!M159-'BOULEVARD PPTO'!E154)</f>
        <v>0</v>
      </c>
      <c r="K161" s="756">
        <f>IF(OR($A161="F&amp;F",$A161="CE",K$7="No aplica"),0,'BOULEVARD 5'!N159-'BOULEVARD PPTO'!F154)</f>
        <v>0</v>
      </c>
      <c r="L161" s="756">
        <f>IF(OR($A161="F&amp;F",$A161="CE",L$7="No aplica"),0,'BOULEVARD 5'!O159-'BOULEVARD PPTO'!G154)</f>
        <v>0</v>
      </c>
      <c r="M161" s="756">
        <f>IF(OR($A161="F&amp;F",$A161="CE",M$7="No aplica"),0,'BOULEVARD 5'!P159-'BOULEVARD PPTO'!H154)</f>
        <v>0</v>
      </c>
      <c r="N161" s="756">
        <f>IF(OR($A161="F&amp;F",$A161="CE",N$7="No aplica"),0,'BOULEVARD 5'!Q159-'BOULEVARD PPTO'!I154)</f>
        <v>0</v>
      </c>
      <c r="O161" s="756">
        <f>IF(OR($A161="F&amp;F",$A161="CE",O$7="No aplica"),0,'BOULEVARD 5'!R159-'BOULEVARD PPTO'!J154)</f>
        <v>0</v>
      </c>
      <c r="P161" s="756">
        <f>IF(OR($A161="F&amp;F",$A161="CE",P$7="No aplica"),0,'BOULEVARD 5'!S159-'BOULEVARD PPTO'!K154)</f>
        <v>0</v>
      </c>
      <c r="Q161" s="760">
        <f>IF(OR($A161="F&amp;F",$A161="CE",Q$7="No aplica"),0,'BOULEVARD 5'!T159-'BOULEVARD PPTO'!L154)</f>
        <v>0</v>
      </c>
      <c r="R161" s="760">
        <f>IF(OR($A161="F&amp;F",$A161="CE",R$7="No aplica"),0,'BOULEVARD 5'!U159-'BOULEVARD PPTO'!M154)</f>
        <v>0</v>
      </c>
      <c r="S161" s="760">
        <f>IF(OR($A161="F&amp;F",$A161="CE",S$7="No aplica"),0,'BOULEVARD 5'!V159-'BOULEVARD PPTO'!N154)</f>
        <v>0</v>
      </c>
      <c r="T161" s="760">
        <f>IF(OR($A161="F&amp;F",$A161="CE",T$7="No aplica"),0,'BOULEVARD 5'!W159-'BOULEVARD PPTO'!O154)</f>
        <v>0</v>
      </c>
      <c r="U161" s="760">
        <f>IF(OR($A161="F&amp;F",$A161="CE",U$7="No aplica"),0,'BOULEVARD 5'!X159-'BOULEVARD PPTO'!P154)</f>
        <v>0</v>
      </c>
      <c r="V161" s="760">
        <f>IF(OR($A161="F&amp;F",$A161="CE",V$7="No aplica"),0,'BOULEVARD 5'!Y159-'BOULEVARD PPTO'!Q154)</f>
        <v>0</v>
      </c>
      <c r="W161" s="760">
        <f>IF(OR($A161="F&amp;F",$A161="CE",W$7="No aplica"),0,'BOULEVARD 5'!Z159-'BOULEVARD PPTO'!R154)</f>
        <v>0</v>
      </c>
      <c r="X161" s="760">
        <f>IF(OR($A161="F&amp;F",$A161="CE",X$7="No aplica"),0,'BOULEVARD 5'!AA159-'BOULEVARD PPTO'!S154)</f>
        <v>0</v>
      </c>
      <c r="Y161" s="760">
        <f>IF(OR($A161="F&amp;F",$A161="CE",Y$7="No aplica"),0,'BOULEVARD 5'!AB159-'BOULEVARD PPTO'!T154)</f>
        <v>0</v>
      </c>
      <c r="Z161" s="760">
        <f>IF(OR($A161="F&amp;F",$A161="CE",Z$7="No aplica"),0,'BOULEVARD 5'!AC159-'BOULEVARD PPTO'!U154)</f>
        <v>0</v>
      </c>
      <c r="AA161" s="760">
        <f>IF(OR($A161="F&amp;F",$A161="CE",AA$7="No aplica"),0,'BOULEVARD 5'!AD159-'BOULEVARD PPTO'!V154)</f>
        <v>0</v>
      </c>
      <c r="AB161" s="760">
        <f>IF(OR($A161="F&amp;F",$A161="CE",AB$7="No aplica"),0,'BOULEVARD 5'!AE159-'BOULEVARD PPTO'!W154)</f>
        <v>0</v>
      </c>
      <c r="AC161" s="760">
        <f>IF(OR($A161="F&amp;F",$A161="CE",AC$7="No aplica"),0,'BOULEVARD 5'!AF159-'BOULEVARD PPTO'!X154)</f>
        <v>-8000</v>
      </c>
      <c r="AD161" s="760">
        <f>IF(OR($A161="F&amp;F",$A161="CE",AD$7="No aplica"),0,'BOULEVARD 5'!AG159-'BOULEVARD PPTO'!Y154)</f>
        <v>-6020</v>
      </c>
      <c r="AE161" s="760">
        <f>IF(OR($A161="F&amp;F",$A161="CE",AE$7="No aplica"),0,'BOULEVARD 5'!AH159-'BOULEVARD PPTO'!Z154)</f>
        <v>-6020</v>
      </c>
      <c r="AF161" s="760">
        <f>IF(OR($A161="F&amp;F",$A161="CE",AF$7="No aplica"),0,'BOULEVARD 5'!AI159-'BOULEVARD PPTO'!AA154)</f>
        <v>-6020</v>
      </c>
      <c r="AG161" s="760">
        <f>IF(OR($A161="F&amp;F",$A161="CE",AG$7="No aplica"),0,'BOULEVARD 5'!AJ159-'BOULEVARD PPTO'!AB154)</f>
        <v>-6020</v>
      </c>
      <c r="AH161" s="760">
        <f>IF(OR($A161="F&amp;F",$A161="CE",AH$7="No aplica"),0,'BOULEVARD 5'!AK159-'BOULEVARD PPTO'!AC154)</f>
        <v>-6020</v>
      </c>
      <c r="AI161" s="760">
        <f>IF(OR($A161="F&amp;F",$A161="CE",AI$7="No aplica"),0,'BOULEVARD 5'!AL159-'BOULEVARD PPTO'!AD154)</f>
        <v>-6020</v>
      </c>
      <c r="AJ161" s="760">
        <f>IF(OR($A161="F&amp;F",$A161="CE",AJ$7="No aplica"),0,'BOULEVARD 5'!AM159-'BOULEVARD PPTO'!AE154)</f>
        <v>-6020</v>
      </c>
      <c r="AK161" s="760">
        <f>IF(OR($A161="F&amp;F",$A161="CE",AK$7="No aplica"),0,'BOULEVARD 5'!AN159-'BOULEVARD PPTO'!AF154)</f>
        <v>-6020</v>
      </c>
      <c r="AL161" s="760">
        <f>IF(OR($A161="F&amp;F",$A161="CE",AL$7="No aplica"),0,'BOULEVARD 5'!AO159-'BOULEVARD PPTO'!AG154)</f>
        <v>-6020</v>
      </c>
      <c r="AM161" s="760">
        <f>IF(OR($A161="F&amp;F",$A161="CE",AM$7="No aplica"),0,'BOULEVARD 5'!AP159-'BOULEVARD PPTO'!AH154)</f>
        <v>-6020</v>
      </c>
      <c r="AN161" s="760">
        <f>IF(OR($A161="F&amp;F",$A161="CE",AN$7="No aplica"),0,'BOULEVARD 5'!AQ159-'BOULEVARD PPTO'!AI154)</f>
        <v>0</v>
      </c>
      <c r="AO161" s="760">
        <f>IF(OR($A161="F&amp;F",$A161="CE",AO$7="No aplica"),0,'BOULEVARD 5'!AS159-'BOULEVARD PPTO'!AJ154)</f>
        <v>0</v>
      </c>
      <c r="AP161" s="761">
        <f t="shared" si="18"/>
        <v>-68200</v>
      </c>
      <c r="AQ161" s="761">
        <f t="shared" si="19"/>
        <v>-100344.58</v>
      </c>
      <c r="AR161" s="674">
        <f>IF(A161=0,'BOULEVARD 5'!BF159,0)</f>
        <v>8000</v>
      </c>
      <c r="AS161" s="674">
        <f>IF(A161=0,'BOULEVARD 5'!BG159,0)</f>
        <v>6020</v>
      </c>
      <c r="AT161" s="675" t="str">
        <f t="shared" si="17"/>
        <v>Vendido</v>
      </c>
      <c r="AU161" s="581" t="str">
        <f t="shared" si="16"/>
        <v>POR COBRAR</v>
      </c>
      <c r="AV161" s="760">
        <f t="shared" si="20"/>
        <v>0</v>
      </c>
    </row>
    <row r="162" spans="1:48" s="581" customFormat="1" ht="12.4" customHeight="1" outlineLevel="1" x14ac:dyDescent="0.25">
      <c r="A162" s="703" t="str">
        <f>'BOULEVARD 5'!BQ160</f>
        <v>CE</v>
      </c>
      <c r="B162" s="708">
        <v>907</v>
      </c>
      <c r="C162" s="564" t="s">
        <v>400</v>
      </c>
      <c r="D162" s="647" t="s">
        <v>559</v>
      </c>
      <c r="E162" s="564" t="str">
        <f>IF('BOULEVARD 5'!E160&lt;&gt;0,'BOULEVARD 5'!E160,"")</f>
        <v>Brenda Búcaro</v>
      </c>
      <c r="F162" s="581" t="str">
        <f>IF('BOULEVARD 5'!F160&lt;&gt;0,'BOULEVARD 5'!F160,"")</f>
        <v>Stephanie Herrera</v>
      </c>
      <c r="G162" s="566">
        <f>IF('BOULEVARD 5'!G160="","",'BOULEVARD 5'!G160)</f>
        <v>45169</v>
      </c>
      <c r="H162" s="756">
        <f>IF(OR($A162="F&amp;F",$A162="CE",H$7="No aplica"),0,'BOULEVARD 5'!K160-'BOULEVARD PPTO'!C155)</f>
        <v>0</v>
      </c>
      <c r="I162" s="756">
        <f>IF(OR($A162="F&amp;F",$A162="CE",I$7="No aplica"),0,'BOULEVARD 5'!L160-'BOULEVARD PPTO'!D155)</f>
        <v>0</v>
      </c>
      <c r="J162" s="756">
        <f>IF(OR($A162="F&amp;F",$A162="CE",J$7="No aplica"),0,'BOULEVARD 5'!M160-'BOULEVARD PPTO'!E155)</f>
        <v>0</v>
      </c>
      <c r="K162" s="756">
        <f>IF(OR($A162="F&amp;F",$A162="CE",K$7="No aplica"),0,'BOULEVARD 5'!N160-'BOULEVARD PPTO'!F155)</f>
        <v>0</v>
      </c>
      <c r="L162" s="756">
        <f>IF(OR($A162="F&amp;F",$A162="CE",L$7="No aplica"),0,'BOULEVARD 5'!O160-'BOULEVARD PPTO'!G155)</f>
        <v>0</v>
      </c>
      <c r="M162" s="756">
        <f>IF(OR($A162="F&amp;F",$A162="CE",M$7="No aplica"),0,'BOULEVARD 5'!P160-'BOULEVARD PPTO'!H155)</f>
        <v>0</v>
      </c>
      <c r="N162" s="756">
        <f>IF(OR($A162="F&amp;F",$A162="CE",N$7="No aplica"),0,'BOULEVARD 5'!Q160-'BOULEVARD PPTO'!I155)</f>
        <v>0</v>
      </c>
      <c r="O162" s="756">
        <f>IF(OR($A162="F&amp;F",$A162="CE",O$7="No aplica"),0,'BOULEVARD 5'!R160-'BOULEVARD PPTO'!J155)</f>
        <v>0</v>
      </c>
      <c r="P162" s="756">
        <f>IF(OR($A162="F&amp;F",$A162="CE",P$7="No aplica"),0,'BOULEVARD 5'!S160-'BOULEVARD PPTO'!K155)</f>
        <v>0</v>
      </c>
      <c r="Q162" s="760">
        <f>IF(OR($A162="F&amp;F",$A162="CE",Q$7="No aplica"),0,'BOULEVARD 5'!T160-'BOULEVARD PPTO'!L155)</f>
        <v>0</v>
      </c>
      <c r="R162" s="760">
        <f>IF(OR($A162="F&amp;F",$A162="CE",R$7="No aplica"),0,'BOULEVARD 5'!U160-'BOULEVARD PPTO'!M155)</f>
        <v>0</v>
      </c>
      <c r="S162" s="760">
        <f>IF(OR($A162="F&amp;F",$A162="CE",S$7="No aplica"),0,'BOULEVARD 5'!V160-'BOULEVARD PPTO'!N155)</f>
        <v>0</v>
      </c>
      <c r="T162" s="760">
        <f>IF(OR($A162="F&amp;F",$A162="CE",T$7="No aplica"),0,'BOULEVARD 5'!W160-'BOULEVARD PPTO'!O155)</f>
        <v>0</v>
      </c>
      <c r="U162" s="760">
        <f>IF(OR($A162="F&amp;F",$A162="CE",U$7="No aplica"),0,'BOULEVARD 5'!X160-'BOULEVARD PPTO'!P155)</f>
        <v>0</v>
      </c>
      <c r="V162" s="760">
        <f>IF(OR($A162="F&amp;F",$A162="CE",V$7="No aplica"),0,'BOULEVARD 5'!Y160-'BOULEVARD PPTO'!Q155)</f>
        <v>0</v>
      </c>
      <c r="W162" s="760">
        <f>IF(OR($A162="F&amp;F",$A162="CE",W$7="No aplica"),0,'BOULEVARD 5'!Z160-'BOULEVARD PPTO'!R155)</f>
        <v>0</v>
      </c>
      <c r="X162" s="760">
        <f>IF(OR($A162="F&amp;F",$A162="CE",X$7="No aplica"),0,'BOULEVARD 5'!AA160-'BOULEVARD PPTO'!S155)</f>
        <v>0</v>
      </c>
      <c r="Y162" s="760">
        <f>IF(OR($A162="F&amp;F",$A162="CE",Y$7="No aplica"),0,'BOULEVARD 5'!AB160-'BOULEVARD PPTO'!T155)</f>
        <v>0</v>
      </c>
      <c r="Z162" s="760">
        <f>IF(OR($A162="F&amp;F",$A162="CE",Z$7="No aplica"),0,'BOULEVARD 5'!AC160-'BOULEVARD PPTO'!U155)</f>
        <v>0</v>
      </c>
      <c r="AA162" s="760">
        <f>IF(OR($A162="F&amp;F",$A162="CE",AA$7="No aplica"),0,'BOULEVARD 5'!AD160-'BOULEVARD PPTO'!V155)</f>
        <v>0</v>
      </c>
      <c r="AB162" s="760">
        <f>IF(OR($A162="F&amp;F",$A162="CE",AB$7="No aplica"),0,'BOULEVARD 5'!AE160-'BOULEVARD PPTO'!W155)</f>
        <v>0</v>
      </c>
      <c r="AC162" s="760">
        <f>IF(OR($A162="F&amp;F",$A162="CE",AC$7="No aplica"),0,'BOULEVARD 5'!AF160-'BOULEVARD PPTO'!X155)</f>
        <v>0</v>
      </c>
      <c r="AD162" s="760">
        <f>IF(OR($A162="F&amp;F",$A162="CE",AD$7="No aplica"),0,'BOULEVARD 5'!AG160-'BOULEVARD PPTO'!Y155)</f>
        <v>0</v>
      </c>
      <c r="AE162" s="760">
        <f>IF(OR($A162="F&amp;F",$A162="CE",AE$7="No aplica"),0,'BOULEVARD 5'!AH160-'BOULEVARD PPTO'!Z155)</f>
        <v>0</v>
      </c>
      <c r="AF162" s="760">
        <f>IF(OR($A162="F&amp;F",$A162="CE",AF$7="No aplica"),0,'BOULEVARD 5'!AI160-'BOULEVARD PPTO'!AA155)</f>
        <v>0</v>
      </c>
      <c r="AG162" s="760">
        <f>IF(OR($A162="F&amp;F",$A162="CE",AG$7="No aplica"),0,'BOULEVARD 5'!AJ160-'BOULEVARD PPTO'!AB155)</f>
        <v>0</v>
      </c>
      <c r="AH162" s="760">
        <f>IF(OR($A162="F&amp;F",$A162="CE",AH$7="No aplica"),0,'BOULEVARD 5'!AK160-'BOULEVARD PPTO'!AC155)</f>
        <v>0</v>
      </c>
      <c r="AI162" s="760">
        <f>IF(OR($A162="F&amp;F",$A162="CE",AI$7="No aplica"),0,'BOULEVARD 5'!AL160-'BOULEVARD PPTO'!AD155)</f>
        <v>0</v>
      </c>
      <c r="AJ162" s="760">
        <f>IF(OR($A162="F&amp;F",$A162="CE",AJ$7="No aplica"),0,'BOULEVARD 5'!AM160-'BOULEVARD PPTO'!AE155)</f>
        <v>0</v>
      </c>
      <c r="AK162" s="760">
        <f>IF(OR($A162="F&amp;F",$A162="CE",AK$7="No aplica"),0,'BOULEVARD 5'!AN160-'BOULEVARD PPTO'!AF155)</f>
        <v>0</v>
      </c>
      <c r="AL162" s="760">
        <f>IF(OR($A162="F&amp;F",$A162="CE",AL$7="No aplica"),0,'BOULEVARD 5'!AO160-'BOULEVARD PPTO'!AG155)</f>
        <v>0</v>
      </c>
      <c r="AM162" s="760">
        <f>IF(OR($A162="F&amp;F",$A162="CE",AM$7="No aplica"),0,'BOULEVARD 5'!AP160-'BOULEVARD PPTO'!AH155)</f>
        <v>0</v>
      </c>
      <c r="AN162" s="760">
        <f>IF(OR($A162="F&amp;F",$A162="CE",AN$7="No aplica"),0,'BOULEVARD 5'!AQ160-'BOULEVARD PPTO'!AI155)</f>
        <v>0</v>
      </c>
      <c r="AO162" s="760">
        <f>IF(OR($A162="F&amp;F",$A162="CE",AO$7="No aplica"),0,'BOULEVARD 5'!AS160-'BOULEVARD PPTO'!AJ155)</f>
        <v>0</v>
      </c>
      <c r="AP162" s="761">
        <f t="shared" si="18"/>
        <v>0</v>
      </c>
      <c r="AQ162" s="761">
        <f t="shared" si="19"/>
        <v>0</v>
      </c>
      <c r="AR162" s="674">
        <f>IF(A162=0,'BOULEVARD 5'!BF160,0)</f>
        <v>0</v>
      </c>
      <c r="AS162" s="674">
        <f>IF(A162=0,'BOULEVARD 5'!BG160,0)</f>
        <v>0</v>
      </c>
      <c r="AT162" s="675" t="str">
        <f t="shared" si="17"/>
        <v>Vendido</v>
      </c>
      <c r="AU162" s="581" t="str">
        <f t="shared" si="16"/>
        <v/>
      </c>
      <c r="AV162" s="760">
        <f t="shared" si="20"/>
        <v>0</v>
      </c>
    </row>
    <row r="163" spans="1:48" s="581" customFormat="1" ht="12.4" customHeight="1" outlineLevel="1" x14ac:dyDescent="0.25">
      <c r="A163" s="703">
        <f>'BOULEVARD 5'!BQ161</f>
        <v>0</v>
      </c>
      <c r="B163" s="564">
        <v>908</v>
      </c>
      <c r="C163" s="564" t="s">
        <v>175</v>
      </c>
      <c r="D163" s="564"/>
      <c r="E163" s="564" t="str">
        <f>IF('BOULEVARD 5'!E161&lt;&gt;0,'BOULEVARD 5'!E161,"")</f>
        <v>Antonio Rada</v>
      </c>
      <c r="F163" s="581" t="str">
        <f>IF('BOULEVARD 5'!F161&lt;&gt;0,'BOULEVARD 5'!F161,"")</f>
        <v>Jorge Pablo Gonzalez Oordoñez</v>
      </c>
      <c r="G163" s="566">
        <f>IF('BOULEVARD 5'!G161="","",'BOULEVARD 5'!G161)</f>
        <v>45316</v>
      </c>
      <c r="H163" s="756">
        <f>IF(OR($A163="F&amp;F",$A163="CE",H$7="No aplica"),0,'BOULEVARD 5'!K161-'BOULEVARD PPTO'!C156)</f>
        <v>0</v>
      </c>
      <c r="I163" s="756">
        <f>IF(OR($A163="F&amp;F",$A163="CE",I$7="No aplica"),0,'BOULEVARD 5'!L161-'BOULEVARD PPTO'!D156)</f>
        <v>0</v>
      </c>
      <c r="J163" s="756">
        <f>IF(OR($A163="F&amp;F",$A163="CE",J$7="No aplica"),0,'BOULEVARD 5'!M161-'BOULEVARD PPTO'!E156)</f>
        <v>0</v>
      </c>
      <c r="K163" s="756">
        <f>IF(OR($A163="F&amp;F",$A163="CE",K$7="No aplica"),0,'BOULEVARD 5'!N161-'BOULEVARD PPTO'!F156)</f>
        <v>0</v>
      </c>
      <c r="L163" s="756">
        <f>IF(OR($A163="F&amp;F",$A163="CE",L$7="No aplica"),0,'BOULEVARD 5'!O161-'BOULEVARD PPTO'!G156)</f>
        <v>0</v>
      </c>
      <c r="M163" s="756">
        <f>IF(OR($A163="F&amp;F",$A163="CE",M$7="No aplica"),0,'BOULEVARD 5'!P161-'BOULEVARD PPTO'!H156)</f>
        <v>0</v>
      </c>
      <c r="N163" s="756">
        <f>IF(OR($A163="F&amp;F",$A163="CE",N$7="No aplica"),0,'BOULEVARD 5'!Q161-'BOULEVARD PPTO'!I156)</f>
        <v>0</v>
      </c>
      <c r="O163" s="756">
        <f>IF(OR($A163="F&amp;F",$A163="CE",O$7="No aplica"),0,'BOULEVARD 5'!R161-'BOULEVARD PPTO'!J156)</f>
        <v>0</v>
      </c>
      <c r="P163" s="756">
        <f>IF(OR($A163="F&amp;F",$A163="CE",P$7="No aplica"),0,'BOULEVARD 5'!S161-'BOULEVARD PPTO'!K156)</f>
        <v>0</v>
      </c>
      <c r="Q163" s="760">
        <f>IF(OR($A163="F&amp;F",$A163="CE",Q$7="No aplica"),0,'BOULEVARD 5'!T161-'BOULEVARD PPTO'!L156)</f>
        <v>0</v>
      </c>
      <c r="R163" s="760">
        <f>IF(OR($A163="F&amp;F",$A163="CE",R$7="No aplica"),0,'BOULEVARD 5'!U161-'BOULEVARD PPTO'!M156)</f>
        <v>0</v>
      </c>
      <c r="S163" s="760">
        <f>IF(OR($A163="F&amp;F",$A163="CE",S$7="No aplica"),0,'BOULEVARD 5'!V161-'BOULEVARD PPTO'!N156)</f>
        <v>0</v>
      </c>
      <c r="T163" s="760">
        <f>IF(OR($A163="F&amp;F",$A163="CE",T$7="No aplica"),0,'BOULEVARD 5'!W161-'BOULEVARD PPTO'!O156)</f>
        <v>-4040</v>
      </c>
      <c r="U163" s="760">
        <f>IF(OR($A163="F&amp;F",$A163="CE",U$7="No aplica"),0,'BOULEVARD 5'!X161-'BOULEVARD PPTO'!P156)</f>
        <v>4040</v>
      </c>
      <c r="V163" s="760">
        <f>IF(OR($A163="F&amp;F",$A163="CE",V$7="No aplica"),0,'BOULEVARD 5'!Y161-'BOULEVARD PPTO'!Q156)</f>
        <v>0</v>
      </c>
      <c r="W163" s="760">
        <f>IF(OR($A163="F&amp;F",$A163="CE",W$7="No aplica"),0,'BOULEVARD 5'!Z161-'BOULEVARD PPTO'!R156)</f>
        <v>0</v>
      </c>
      <c r="X163" s="760">
        <f>IF(OR($A163="F&amp;F",$A163="CE",X$7="No aplica"),0,'BOULEVARD 5'!AA161-'BOULEVARD PPTO'!S156)</f>
        <v>-4040</v>
      </c>
      <c r="Y163" s="760">
        <f>IF(OR($A163="F&amp;F",$A163="CE",Y$7="No aplica"),0,'BOULEVARD 5'!AB161-'BOULEVARD PPTO'!T156)</f>
        <v>4040</v>
      </c>
      <c r="Z163" s="760">
        <f>IF(OR($A163="F&amp;F",$A163="CE",Z$7="No aplica"),0,'BOULEVARD 5'!AC161-'BOULEVARD PPTO'!U156)</f>
        <v>-4040</v>
      </c>
      <c r="AA163" s="760">
        <f>IF(OR($A163="F&amp;F",$A163="CE",AA$7="No aplica"),0,'BOULEVARD 5'!AD161-'BOULEVARD PPTO'!V156)</f>
        <v>4040</v>
      </c>
      <c r="AB163" s="760">
        <f>IF(OR($A163="F&amp;F",$A163="CE",AB$7="No aplica"),0,'BOULEVARD 5'!AE161-'BOULEVARD PPTO'!W156)</f>
        <v>-4040</v>
      </c>
      <c r="AC163" s="760">
        <f>IF(OR($A163="F&amp;F",$A163="CE",AC$7="No aplica"),0,'BOULEVARD 5'!AF161-'BOULEVARD PPTO'!X156)</f>
        <v>0</v>
      </c>
      <c r="AD163" s="760">
        <f>IF(OR($A163="F&amp;F",$A163="CE",AD$7="No aplica"),0,'BOULEVARD 5'!AG161-'BOULEVARD PPTO'!Y156)</f>
        <v>-4040</v>
      </c>
      <c r="AE163" s="760">
        <f>IF(OR($A163="F&amp;F",$A163="CE",AE$7="No aplica"),0,'BOULEVARD 5'!AH161-'BOULEVARD PPTO'!Z156)</f>
        <v>0</v>
      </c>
      <c r="AF163" s="760">
        <f>IF(OR($A163="F&amp;F",$A163="CE",AF$7="No aplica"),0,'BOULEVARD 5'!AI161-'BOULEVARD PPTO'!AA156)</f>
        <v>4040</v>
      </c>
      <c r="AG163" s="760">
        <f>IF(OR($A163="F&amp;F",$A163="CE",AG$7="No aplica"),0,'BOULEVARD 5'!AJ161-'BOULEVARD PPTO'!AB156)</f>
        <v>4040</v>
      </c>
      <c r="AH163" s="760">
        <f>IF(OR($A163="F&amp;F",$A163="CE",AH$7="No aplica"),0,'BOULEVARD 5'!AK161-'BOULEVARD PPTO'!AC156)</f>
        <v>0</v>
      </c>
      <c r="AI163" s="760">
        <f>IF(OR($A163="F&amp;F",$A163="CE",AI$7="No aplica"),0,'BOULEVARD 5'!AL161-'BOULEVARD PPTO'!AD156)</f>
        <v>0</v>
      </c>
      <c r="AJ163" s="760">
        <f>IF(OR($A163="F&amp;F",$A163="CE",AJ$7="No aplica"),0,'BOULEVARD 5'!AM161-'BOULEVARD PPTO'!AE156)</f>
        <v>0</v>
      </c>
      <c r="AK163" s="760">
        <f>IF(OR($A163="F&amp;F",$A163="CE",AK$7="No aplica"),0,'BOULEVARD 5'!AN161-'BOULEVARD PPTO'!AF156)</f>
        <v>0</v>
      </c>
      <c r="AL163" s="760">
        <f>IF(OR($A163="F&amp;F",$A163="CE",AL$7="No aplica"),0,'BOULEVARD 5'!AO161-'BOULEVARD PPTO'!AG156)</f>
        <v>0</v>
      </c>
      <c r="AM163" s="760">
        <f>IF(OR($A163="F&amp;F",$A163="CE",AM$7="No aplica"),0,'BOULEVARD 5'!AP161-'BOULEVARD PPTO'!AH156)</f>
        <v>0</v>
      </c>
      <c r="AN163" s="760">
        <f>IF(OR($A163="F&amp;F",$A163="CE",AN$7="No aplica"),0,'BOULEVARD 5'!AQ161-'BOULEVARD PPTO'!AI156)</f>
        <v>0</v>
      </c>
      <c r="AO163" s="760">
        <f>IF(OR($A163="F&amp;F",$A163="CE",AO$7="No aplica"),0,'BOULEVARD 5'!AS161-'BOULEVARD PPTO'!AJ156)</f>
        <v>0</v>
      </c>
      <c r="AP163" s="761">
        <f t="shared" si="18"/>
        <v>0</v>
      </c>
      <c r="AQ163" s="761">
        <f t="shared" si="19"/>
        <v>0</v>
      </c>
      <c r="AR163" s="674">
        <f>IF(A163=0,'BOULEVARD 5'!BF161,0)</f>
        <v>8000</v>
      </c>
      <c r="AS163" s="674">
        <f>IF(A163=0,'BOULEVARD 5'!BG161,0)</f>
        <v>4040</v>
      </c>
      <c r="AT163" s="675" t="str">
        <f t="shared" si="17"/>
        <v>Vendido</v>
      </c>
      <c r="AU163" s="581" t="str">
        <f t="shared" ref="AU163:AU226" si="21">IF(AP163&gt;0,"A FAVOR DEL CLIENTE",IF(AP163&lt;0,"POR COBRAR",IF(AP163=0,"","N/A")))</f>
        <v/>
      </c>
      <c r="AV163" s="760">
        <f t="shared" si="20"/>
        <v>0</v>
      </c>
    </row>
    <row r="164" spans="1:48" s="581" customFormat="1" ht="12.4" customHeight="1" outlineLevel="1" x14ac:dyDescent="0.25">
      <c r="A164" s="703">
        <f>'BOULEVARD 5'!BQ162</f>
        <v>0</v>
      </c>
      <c r="B164" s="564">
        <v>909</v>
      </c>
      <c r="C164" s="564" t="s">
        <v>563</v>
      </c>
      <c r="D164" s="564"/>
      <c r="E164" s="564" t="str">
        <f>IF('BOULEVARD 5'!E162&lt;&gt;0,'BOULEVARD 5'!E162,"")</f>
        <v>Brenda Búcaro</v>
      </c>
      <c r="F164" s="581" t="str">
        <f>IF('BOULEVARD 5'!F162&lt;&gt;0,'BOULEVARD 5'!F162,"")</f>
        <v>Alba Lucila Martinez Tobar</v>
      </c>
      <c r="G164" s="566">
        <f>IF('BOULEVARD 5'!G162="","",'BOULEVARD 5'!G162)</f>
        <v>45118</v>
      </c>
      <c r="H164" s="756">
        <f>IF(OR($A164="F&amp;F",$A164="CE",H$7="No aplica"),0,'BOULEVARD 5'!K162-'BOULEVARD PPTO'!C157)</f>
        <v>0</v>
      </c>
      <c r="I164" s="756">
        <f>IF(OR($A164="F&amp;F",$A164="CE",I$7="No aplica"),0,'BOULEVARD 5'!L162-'BOULEVARD PPTO'!D157)</f>
        <v>0</v>
      </c>
      <c r="J164" s="756">
        <f>IF(OR($A164="F&amp;F",$A164="CE",J$7="No aplica"),0,'BOULEVARD 5'!M162-'BOULEVARD PPTO'!E157)</f>
        <v>0</v>
      </c>
      <c r="K164" s="756">
        <f>IF(OR($A164="F&amp;F",$A164="CE",K$7="No aplica"),0,'BOULEVARD 5'!N162-'BOULEVARD PPTO'!F157)</f>
        <v>0</v>
      </c>
      <c r="L164" s="756">
        <f>IF(OR($A164="F&amp;F",$A164="CE",L$7="No aplica"),0,'BOULEVARD 5'!O162-'BOULEVARD PPTO'!G157)</f>
        <v>0</v>
      </c>
      <c r="M164" s="756">
        <f>IF(OR($A164="F&amp;F",$A164="CE",M$7="No aplica"),0,'BOULEVARD 5'!P162-'BOULEVARD PPTO'!H157)</f>
        <v>-5000</v>
      </c>
      <c r="N164" s="756">
        <f>IF(OR($A164="F&amp;F",$A164="CE",N$7="No aplica"),0,'BOULEVARD 5'!Q162-'BOULEVARD PPTO'!I157)</f>
        <v>5000</v>
      </c>
      <c r="O164" s="756">
        <f>IF(OR($A164="F&amp;F",$A164="CE",O$7="No aplica"),0,'BOULEVARD 5'!R162-'BOULEVARD PPTO'!J157)</f>
        <v>0</v>
      </c>
      <c r="P164" s="756">
        <f>IF(OR($A164="F&amp;F",$A164="CE",P$7="No aplica"),0,'BOULEVARD 5'!S162-'BOULEVARD PPTO'!K157)</f>
        <v>-5000</v>
      </c>
      <c r="Q164" s="760">
        <f>IF(OR($A164="F&amp;F",$A164="CE",Q$7="No aplica"),0,'BOULEVARD 5'!T162-'BOULEVARD PPTO'!L157)</f>
        <v>5000</v>
      </c>
      <c r="R164" s="760">
        <f>IF(OR($A164="F&amp;F",$A164="CE",R$7="No aplica"),0,'BOULEVARD 5'!U162-'BOULEVARD PPTO'!M157)</f>
        <v>0</v>
      </c>
      <c r="S164" s="760">
        <f>IF(OR($A164="F&amp;F",$A164="CE",S$7="No aplica"),0,'BOULEVARD 5'!V162-'BOULEVARD PPTO'!N157)</f>
        <v>0</v>
      </c>
      <c r="T164" s="760">
        <f>IF(OR($A164="F&amp;F",$A164="CE",T$7="No aplica"),0,'BOULEVARD 5'!W162-'BOULEVARD PPTO'!O157)</f>
        <v>0</v>
      </c>
      <c r="U164" s="760">
        <f>IF(OR($A164="F&amp;F",$A164="CE",U$7="No aplica"),0,'BOULEVARD 5'!X162-'BOULEVARD PPTO'!P157)</f>
        <v>0</v>
      </c>
      <c r="V164" s="760">
        <f>IF(OR($A164="F&amp;F",$A164="CE",V$7="No aplica"),0,'BOULEVARD 5'!Y162-'BOULEVARD PPTO'!Q157)</f>
        <v>0</v>
      </c>
      <c r="W164" s="760">
        <f>IF(OR($A164="F&amp;F",$A164="CE",W$7="No aplica"),0,'BOULEVARD 5'!Z162-'BOULEVARD PPTO'!R157)</f>
        <v>0</v>
      </c>
      <c r="X164" s="760">
        <f>IF(OR($A164="F&amp;F",$A164="CE",X$7="No aplica"),0,'BOULEVARD 5'!AA162-'BOULEVARD PPTO'!S157)</f>
        <v>-5000</v>
      </c>
      <c r="Y164" s="760">
        <f>IF(OR($A164="F&amp;F",$A164="CE",Y$7="No aplica"),0,'BOULEVARD 5'!AB162-'BOULEVARD PPTO'!T157)</f>
        <v>5000</v>
      </c>
      <c r="Z164" s="760">
        <f>IF(OR($A164="F&amp;F",$A164="CE",Z$7="No aplica"),0,'BOULEVARD 5'!AC162-'BOULEVARD PPTO'!U157)</f>
        <v>-5000</v>
      </c>
      <c r="AA164" s="760">
        <f>IF(OR($A164="F&amp;F",$A164="CE",AA$7="No aplica"),0,'BOULEVARD 5'!AD162-'BOULEVARD PPTO'!V157)</f>
        <v>5000</v>
      </c>
      <c r="AB164" s="760">
        <f>IF(OR($A164="F&amp;F",$A164="CE",AB$7="No aplica"),0,'BOULEVARD 5'!AE162-'BOULEVARD PPTO'!W157)</f>
        <v>-5000</v>
      </c>
      <c r="AC164" s="760">
        <f>IF(OR($A164="F&amp;F",$A164="CE",AC$7="No aplica"),0,'BOULEVARD 5'!AF162-'BOULEVARD PPTO'!X157)</f>
        <v>-5000</v>
      </c>
      <c r="AD164" s="760">
        <f>IF(OR($A164="F&amp;F",$A164="CE",AD$7="No aplica"),0,'BOULEVARD 5'!AG162-'BOULEVARD PPTO'!Y157)</f>
        <v>0</v>
      </c>
      <c r="AE164" s="760">
        <f>IF(OR($A164="F&amp;F",$A164="CE",AE$7="No aplica"),0,'BOULEVARD 5'!AH162-'BOULEVARD PPTO'!Z157)</f>
        <v>5000</v>
      </c>
      <c r="AF164" s="760">
        <f>IF(OR($A164="F&amp;F",$A164="CE",AF$7="No aplica"),0,'BOULEVARD 5'!AI162-'BOULEVARD PPTO'!AA157)</f>
        <v>-5000</v>
      </c>
      <c r="AG164" s="760">
        <f>IF(OR($A164="F&amp;F",$A164="CE",AG$7="No aplica"),0,'BOULEVARD 5'!AJ162-'BOULEVARD PPTO'!AB157)</f>
        <v>10000</v>
      </c>
      <c r="AH164" s="760">
        <f>IF(OR($A164="F&amp;F",$A164="CE",AH$7="No aplica"),0,'BOULEVARD 5'!AK162-'BOULEVARD PPTO'!AC157)</f>
        <v>-5000</v>
      </c>
      <c r="AI164" s="760">
        <f>IF(OR($A164="F&amp;F",$A164="CE",AI$7="No aplica"),0,'BOULEVARD 5'!AL162-'BOULEVARD PPTO'!AD157)</f>
        <v>5000</v>
      </c>
      <c r="AJ164" s="760">
        <f>IF(OR($A164="F&amp;F",$A164="CE",AJ$7="No aplica"),0,'BOULEVARD 5'!AM162-'BOULEVARD PPTO'!AE157)</f>
        <v>-5000</v>
      </c>
      <c r="AK164" s="760">
        <f>IF(OR($A164="F&amp;F",$A164="CE",AK$7="No aplica"),0,'BOULEVARD 5'!AN162-'BOULEVARD PPTO'!AF157)</f>
        <v>0</v>
      </c>
      <c r="AL164" s="760">
        <f>IF(OR($A164="F&amp;F",$A164="CE",AL$7="No aplica"),0,'BOULEVARD 5'!AO162-'BOULEVARD PPTO'!AG157)</f>
        <v>-7300</v>
      </c>
      <c r="AM164" s="760">
        <f>IF(OR($A164="F&amp;F",$A164="CE",AM$7="No aplica"),0,'BOULEVARD 5'!AP162-'BOULEVARD PPTO'!AH157)</f>
        <v>0</v>
      </c>
      <c r="AN164" s="760">
        <f>IF(OR($A164="F&amp;F",$A164="CE",AN$7="No aplica"),0,'BOULEVARD 5'!AQ162-'BOULEVARD PPTO'!AI157)</f>
        <v>0</v>
      </c>
      <c r="AO164" s="760">
        <f>IF(OR($A164="F&amp;F",$A164="CE",AO$7="No aplica"),0,'BOULEVARD 5'!AS162-'BOULEVARD PPTO'!AJ157)</f>
        <v>0</v>
      </c>
      <c r="AP164" s="761">
        <f t="shared" si="18"/>
        <v>-12300</v>
      </c>
      <c r="AQ164" s="761">
        <f t="shared" si="19"/>
        <v>-5000</v>
      </c>
      <c r="AR164" s="674">
        <f>IF(A164=0,'BOULEVARD 5'!BF162,0)</f>
        <v>6000</v>
      </c>
      <c r="AS164" s="674">
        <f>IF(A164=0,'BOULEVARD 5'!BG162,0)</f>
        <v>5000</v>
      </c>
      <c r="AT164" s="675" t="str">
        <f t="shared" si="17"/>
        <v>Vendido</v>
      </c>
      <c r="AU164" s="581" t="str">
        <f t="shared" si="21"/>
        <v>POR COBRAR</v>
      </c>
      <c r="AV164" s="760">
        <f t="shared" si="20"/>
        <v>0</v>
      </c>
    </row>
    <row r="165" spans="1:48" s="581" customFormat="1" ht="12.4" customHeight="1" outlineLevel="1" x14ac:dyDescent="0.25">
      <c r="A165" s="703">
        <f>'BOULEVARD 5'!BQ163</f>
        <v>0</v>
      </c>
      <c r="B165" s="564">
        <v>910</v>
      </c>
      <c r="C165" s="564" t="s">
        <v>565</v>
      </c>
      <c r="D165" s="564"/>
      <c r="E165" s="564" t="str">
        <f>IF('BOULEVARD 5'!E163&lt;&gt;0,'BOULEVARD 5'!E163,"")</f>
        <v/>
      </c>
      <c r="F165" s="581" t="str">
        <f>IF('BOULEVARD 5'!F163&lt;&gt;0,'BOULEVARD 5'!F163,"")</f>
        <v/>
      </c>
      <c r="G165" s="566" t="str">
        <f>IF('BOULEVARD 5'!G163="","",'BOULEVARD 5'!G163)</f>
        <v/>
      </c>
      <c r="H165" s="756">
        <f>IF(OR($A165="F&amp;F",$A165="CE",H$7="No aplica"),0,'BOULEVARD 5'!K163-'BOULEVARD PPTO'!C158)</f>
        <v>0</v>
      </c>
      <c r="I165" s="756">
        <f>IF(OR($A165="F&amp;F",$A165="CE",I$7="No aplica"),0,'BOULEVARD 5'!L163-'BOULEVARD PPTO'!D158)</f>
        <v>0</v>
      </c>
      <c r="J165" s="756">
        <f>IF(OR($A165="F&amp;F",$A165="CE",J$7="No aplica"),0,'BOULEVARD 5'!M163-'BOULEVARD PPTO'!E158)</f>
        <v>0</v>
      </c>
      <c r="K165" s="756">
        <f>IF(OR($A165="F&amp;F",$A165="CE",K$7="No aplica"),0,'BOULEVARD 5'!N163-'BOULEVARD PPTO'!F158)</f>
        <v>0</v>
      </c>
      <c r="L165" s="756">
        <f>IF(OR($A165="F&amp;F",$A165="CE",L$7="No aplica"),0,'BOULEVARD 5'!O163-'BOULEVARD PPTO'!G158)</f>
        <v>0</v>
      </c>
      <c r="M165" s="756">
        <f>IF(OR($A165="F&amp;F",$A165="CE",M$7="No aplica"),0,'BOULEVARD 5'!P163-'BOULEVARD PPTO'!H158)</f>
        <v>0</v>
      </c>
      <c r="N165" s="756">
        <f>IF(OR($A165="F&amp;F",$A165="CE",N$7="No aplica"),0,'BOULEVARD 5'!Q163-'BOULEVARD PPTO'!I158)</f>
        <v>0</v>
      </c>
      <c r="O165" s="756">
        <f>IF(OR($A165="F&amp;F",$A165="CE",O$7="No aplica"),0,'BOULEVARD 5'!R163-'BOULEVARD PPTO'!J158)</f>
        <v>0</v>
      </c>
      <c r="P165" s="756">
        <f>IF(OR($A165="F&amp;F",$A165="CE",P$7="No aplica"),0,'BOULEVARD 5'!S163-'BOULEVARD PPTO'!K158)</f>
        <v>0</v>
      </c>
      <c r="Q165" s="760">
        <f>IF(OR($A165="F&amp;F",$A165="CE",Q$7="No aplica"),0,'BOULEVARD 5'!T163-'BOULEVARD PPTO'!L158)</f>
        <v>0</v>
      </c>
      <c r="R165" s="760">
        <f>IF(OR($A165="F&amp;F",$A165="CE",R$7="No aplica"),0,'BOULEVARD 5'!U163-'BOULEVARD PPTO'!M158)</f>
        <v>0</v>
      </c>
      <c r="S165" s="760">
        <f>IF(OR($A165="F&amp;F",$A165="CE",S$7="No aplica"),0,'BOULEVARD 5'!V163-'BOULEVARD PPTO'!N158)</f>
        <v>0</v>
      </c>
      <c r="T165" s="760">
        <f>IF(OR($A165="F&amp;F",$A165="CE",T$7="No aplica"),0,'BOULEVARD 5'!W163-'BOULEVARD PPTO'!O158)</f>
        <v>0</v>
      </c>
      <c r="U165" s="760">
        <f>IF(OR($A165="F&amp;F",$A165="CE",U$7="No aplica"),0,'BOULEVARD 5'!X163-'BOULEVARD PPTO'!P158)</f>
        <v>0</v>
      </c>
      <c r="V165" s="760">
        <f>IF(OR($A165="F&amp;F",$A165="CE",V$7="No aplica"),0,'BOULEVARD 5'!Y163-'BOULEVARD PPTO'!Q158)</f>
        <v>0</v>
      </c>
      <c r="W165" s="760">
        <f>IF(OR($A165="F&amp;F",$A165="CE",W$7="No aplica"),0,'BOULEVARD 5'!Z163-'BOULEVARD PPTO'!R158)</f>
        <v>0</v>
      </c>
      <c r="X165" s="760">
        <f>IF(OR($A165="F&amp;F",$A165="CE",X$7="No aplica"),0,'BOULEVARD 5'!AA163-'BOULEVARD PPTO'!S158)</f>
        <v>0</v>
      </c>
      <c r="Y165" s="760">
        <f>IF(OR($A165="F&amp;F",$A165="CE",Y$7="No aplica"),0,'BOULEVARD 5'!AB163-'BOULEVARD PPTO'!T158)</f>
        <v>0</v>
      </c>
      <c r="Z165" s="760">
        <f>IF(OR($A165="F&amp;F",$A165="CE",Z$7="No aplica"),0,'BOULEVARD 5'!AC163-'BOULEVARD PPTO'!U158)</f>
        <v>0</v>
      </c>
      <c r="AA165" s="760">
        <f>IF(OR($A165="F&amp;F",$A165="CE",AA$7="No aplica"),0,'BOULEVARD 5'!AD163-'BOULEVARD PPTO'!V158)</f>
        <v>0</v>
      </c>
      <c r="AB165" s="760">
        <f>IF(OR($A165="F&amp;F",$A165="CE",AB$7="No aplica"),0,'BOULEVARD 5'!AE163-'BOULEVARD PPTO'!W158)</f>
        <v>0</v>
      </c>
      <c r="AC165" s="760">
        <f>IF(OR($A165="F&amp;F",$A165="CE",AC$7="No aplica"),0,'BOULEVARD 5'!AF163-'BOULEVARD PPTO'!X158)</f>
        <v>0</v>
      </c>
      <c r="AD165" s="760">
        <f>IF(OR($A165="F&amp;F",$A165="CE",AD$7="No aplica"),0,'BOULEVARD 5'!AG163-'BOULEVARD PPTO'!Y158)</f>
        <v>0</v>
      </c>
      <c r="AE165" s="760">
        <f>IF(OR($A165="F&amp;F",$A165="CE",AE$7="No aplica"),0,'BOULEVARD 5'!AH163-'BOULEVARD PPTO'!Z158)</f>
        <v>0</v>
      </c>
      <c r="AF165" s="760">
        <f>IF(OR($A165="F&amp;F",$A165="CE",AF$7="No aplica"),0,'BOULEVARD 5'!AI163-'BOULEVARD PPTO'!AA158)</f>
        <v>0</v>
      </c>
      <c r="AG165" s="760">
        <f>IF(OR($A165="F&amp;F",$A165="CE",AG$7="No aplica"),0,'BOULEVARD 5'!AJ163-'BOULEVARD PPTO'!AB158)</f>
        <v>0</v>
      </c>
      <c r="AH165" s="760">
        <f>IF(OR($A165="F&amp;F",$A165="CE",AH$7="No aplica"),0,'BOULEVARD 5'!AK163-'BOULEVARD PPTO'!AC158)</f>
        <v>0</v>
      </c>
      <c r="AI165" s="760">
        <f>IF(OR($A165="F&amp;F",$A165="CE",AI$7="No aplica"),0,'BOULEVARD 5'!AL163-'BOULEVARD PPTO'!AD158)</f>
        <v>0</v>
      </c>
      <c r="AJ165" s="760">
        <f>IF(OR($A165="F&amp;F",$A165="CE",AJ$7="No aplica"),0,'BOULEVARD 5'!AM163-'BOULEVARD PPTO'!AE158)</f>
        <v>0</v>
      </c>
      <c r="AK165" s="760">
        <f>IF(OR($A165="F&amp;F",$A165="CE",AK$7="No aplica"),0,'BOULEVARD 5'!AN163-'BOULEVARD PPTO'!AF158)</f>
        <v>0</v>
      </c>
      <c r="AL165" s="760">
        <f>IF(OR($A165="F&amp;F",$A165="CE",AL$7="No aplica"),0,'BOULEVARD 5'!AO163-'BOULEVARD PPTO'!AG158)</f>
        <v>0</v>
      </c>
      <c r="AM165" s="760">
        <f>IF(OR($A165="F&amp;F",$A165="CE",AM$7="No aplica"),0,'BOULEVARD 5'!AP163-'BOULEVARD PPTO'!AH158)</f>
        <v>0</v>
      </c>
      <c r="AN165" s="760">
        <f>IF(OR($A165="F&amp;F",$A165="CE",AN$7="No aplica"),0,'BOULEVARD 5'!AQ163-'BOULEVARD PPTO'!AI158)</f>
        <v>0</v>
      </c>
      <c r="AO165" s="760">
        <f>IF(OR($A165="F&amp;F",$A165="CE",AO$7="No aplica"),0,'BOULEVARD 5'!AS163-'BOULEVARD PPTO'!AJ158)</f>
        <v>0</v>
      </c>
      <c r="AP165" s="761">
        <f t="shared" si="18"/>
        <v>0</v>
      </c>
      <c r="AQ165" s="761">
        <f t="shared" si="19"/>
        <v>0</v>
      </c>
      <c r="AR165" s="674">
        <f>IF(A165=0,'BOULEVARD 5'!BF163,0)</f>
        <v>0</v>
      </c>
      <c r="AS165" s="674">
        <f>IF(A165=0,'BOULEVARD 5'!BG163,0)</f>
        <v>0</v>
      </c>
      <c r="AT165" s="675" t="str">
        <f t="shared" si="17"/>
        <v>No Vendido</v>
      </c>
      <c r="AU165" s="581" t="str">
        <f t="shared" si="21"/>
        <v/>
      </c>
      <c r="AV165" s="760">
        <f t="shared" si="20"/>
        <v>0</v>
      </c>
    </row>
    <row r="166" spans="1:48" s="581" customFormat="1" ht="12.4" customHeight="1" outlineLevel="1" x14ac:dyDescent="0.25">
      <c r="A166" s="703">
        <f>'BOULEVARD 5'!BQ164</f>
        <v>0</v>
      </c>
      <c r="B166" s="564">
        <v>911</v>
      </c>
      <c r="C166" s="564" t="s">
        <v>566</v>
      </c>
      <c r="D166" s="564"/>
      <c r="E166" s="564" t="str">
        <f>IF('BOULEVARD 5'!E164&lt;&gt;0,'BOULEVARD 5'!E164,"")</f>
        <v>Brenda Búcaro</v>
      </c>
      <c r="F166" s="581" t="str">
        <f>IF('BOULEVARD 5'!F164&lt;&gt;0,'BOULEVARD 5'!F164,"")</f>
        <v>Mario Alberto Maldonado Recinos</v>
      </c>
      <c r="G166" s="566">
        <f>IF('BOULEVARD 5'!G164="","",'BOULEVARD 5'!G164)</f>
        <v>45185</v>
      </c>
      <c r="H166" s="756">
        <f>IF(OR($A166="F&amp;F",$A166="CE",H$7="No aplica"),0,'BOULEVARD 5'!K164-'BOULEVARD PPTO'!C159)</f>
        <v>0</v>
      </c>
      <c r="I166" s="756">
        <f>IF(OR($A166="F&amp;F",$A166="CE",I$7="No aplica"),0,'BOULEVARD 5'!L164-'BOULEVARD PPTO'!D159)</f>
        <v>0</v>
      </c>
      <c r="J166" s="756">
        <f>IF(OR($A166="F&amp;F",$A166="CE",J$7="No aplica"),0,'BOULEVARD 5'!M164-'BOULEVARD PPTO'!E159)</f>
        <v>0</v>
      </c>
      <c r="K166" s="756">
        <f>IF(OR($A166="F&amp;F",$A166="CE",K$7="No aplica"),0,'BOULEVARD 5'!N164-'BOULEVARD PPTO'!F159)</f>
        <v>0</v>
      </c>
      <c r="L166" s="756">
        <f>IF(OR($A166="F&amp;F",$A166="CE",L$7="No aplica"),0,'BOULEVARD 5'!O164-'BOULEVARD PPTO'!G159)</f>
        <v>0</v>
      </c>
      <c r="M166" s="756">
        <f>IF(OR($A166="F&amp;F",$A166="CE",M$7="No aplica"),0,'BOULEVARD 5'!P164-'BOULEVARD PPTO'!H159)</f>
        <v>0</v>
      </c>
      <c r="N166" s="756">
        <f>IF(OR($A166="F&amp;F",$A166="CE",N$7="No aplica"),0,'BOULEVARD 5'!Q164-'BOULEVARD PPTO'!I159)</f>
        <v>0</v>
      </c>
      <c r="O166" s="756">
        <f>IF(OR($A166="F&amp;F",$A166="CE",O$7="No aplica"),0,'BOULEVARD 5'!R164-'BOULEVARD PPTO'!J159)</f>
        <v>0</v>
      </c>
      <c r="P166" s="756">
        <f>IF(OR($A166="F&amp;F",$A166="CE",P$7="No aplica"),0,'BOULEVARD 5'!S164-'BOULEVARD PPTO'!K159)</f>
        <v>0</v>
      </c>
      <c r="Q166" s="760">
        <f>IF(OR($A166="F&amp;F",$A166="CE",Q$7="No aplica"),0,'BOULEVARD 5'!T164-'BOULEVARD PPTO'!L159)</f>
        <v>0</v>
      </c>
      <c r="R166" s="760">
        <f>IF(OR($A166="F&amp;F",$A166="CE",R$7="No aplica"),0,'BOULEVARD 5'!U164-'BOULEVARD PPTO'!M159)</f>
        <v>0</v>
      </c>
      <c r="S166" s="760">
        <f>IF(OR($A166="F&amp;F",$A166="CE",S$7="No aplica"),0,'BOULEVARD 5'!V164-'BOULEVARD PPTO'!N159)</f>
        <v>0</v>
      </c>
      <c r="T166" s="760">
        <f>IF(OR($A166="F&amp;F",$A166="CE",T$7="No aplica"),0,'BOULEVARD 5'!W164-'BOULEVARD PPTO'!O159)</f>
        <v>0</v>
      </c>
      <c r="U166" s="760">
        <f>IF(OR($A166="F&amp;F",$A166="CE",U$7="No aplica"),0,'BOULEVARD 5'!X164-'BOULEVARD PPTO'!P159)</f>
        <v>0</v>
      </c>
      <c r="V166" s="760">
        <f>IF(OR($A166="F&amp;F",$A166="CE",V$7="No aplica"),0,'BOULEVARD 5'!Y164-'BOULEVARD PPTO'!Q159)</f>
        <v>0</v>
      </c>
      <c r="W166" s="760">
        <f>IF(OR($A166="F&amp;F",$A166="CE",W$7="No aplica"),0,'BOULEVARD 5'!Z164-'BOULEVARD PPTO'!R159)</f>
        <v>0</v>
      </c>
      <c r="X166" s="760">
        <f>IF(OR($A166="F&amp;F",$A166="CE",X$7="No aplica"),0,'BOULEVARD 5'!AA164-'BOULEVARD PPTO'!S159)</f>
        <v>0</v>
      </c>
      <c r="Y166" s="760">
        <f>IF(OR($A166="F&amp;F",$A166="CE",Y$7="No aplica"),0,'BOULEVARD 5'!AB164-'BOULEVARD PPTO'!T159)</f>
        <v>0</v>
      </c>
      <c r="Z166" s="760">
        <f>IF(OR($A166="F&amp;F",$A166="CE",Z$7="No aplica"),0,'BOULEVARD 5'!AC164-'BOULEVARD PPTO'!U159)</f>
        <v>0</v>
      </c>
      <c r="AA166" s="760">
        <f>IF(OR($A166="F&amp;F",$A166="CE",AA$7="No aplica"),0,'BOULEVARD 5'!AD164-'BOULEVARD PPTO'!V159)</f>
        <v>0</v>
      </c>
      <c r="AB166" s="760">
        <f>IF(OR($A166="F&amp;F",$A166="CE",AB$7="No aplica"),0,'BOULEVARD 5'!AE164-'BOULEVARD PPTO'!W159)</f>
        <v>0</v>
      </c>
      <c r="AC166" s="760">
        <f>IF(OR($A166="F&amp;F",$A166="CE",AC$7="No aplica"),0,'BOULEVARD 5'!AF164-'BOULEVARD PPTO'!X159)</f>
        <v>0</v>
      </c>
      <c r="AD166" s="760">
        <f>IF(OR($A166="F&amp;F",$A166="CE",AD$7="No aplica"),0,'BOULEVARD 5'!AG164-'BOULEVARD PPTO'!Y159)</f>
        <v>0</v>
      </c>
      <c r="AE166" s="760">
        <f>IF(OR($A166="F&amp;F",$A166="CE",AE$7="No aplica"),0,'BOULEVARD 5'!AH164-'BOULEVARD PPTO'!Z159)</f>
        <v>0</v>
      </c>
      <c r="AF166" s="760">
        <f>IF(OR($A166="F&amp;F",$A166="CE",AF$7="No aplica"),0,'BOULEVARD 5'!AI164-'BOULEVARD PPTO'!AA159)</f>
        <v>1</v>
      </c>
      <c r="AG166" s="760">
        <f>IF(OR($A166="F&amp;F",$A166="CE",AG$7="No aplica"),0,'BOULEVARD 5'!AJ164-'BOULEVARD PPTO'!AB159)</f>
        <v>0</v>
      </c>
      <c r="AH166" s="760">
        <f>IF(OR($A166="F&amp;F",$A166="CE",AH$7="No aplica"),0,'BOULEVARD 5'!AK164-'BOULEVARD PPTO'!AC159)</f>
        <v>0</v>
      </c>
      <c r="AI166" s="760">
        <f>IF(OR($A166="F&amp;F",$A166="CE",AI$7="No aplica"),0,'BOULEVARD 5'!AL164-'BOULEVARD PPTO'!AD159)</f>
        <v>0</v>
      </c>
      <c r="AJ166" s="760">
        <f>IF(OR($A166="F&amp;F",$A166="CE",AJ$7="No aplica"),0,'BOULEVARD 5'!AM164-'BOULEVARD PPTO'!AE159)</f>
        <v>0</v>
      </c>
      <c r="AK166" s="760">
        <f>IF(OR($A166="F&amp;F",$A166="CE",AK$7="No aplica"),0,'BOULEVARD 5'!AN164-'BOULEVARD PPTO'!AF159)</f>
        <v>0</v>
      </c>
      <c r="AL166" s="760">
        <f>IF(OR($A166="F&amp;F",$A166="CE",AL$7="No aplica"),0,'BOULEVARD 5'!AO164-'BOULEVARD PPTO'!AG159)</f>
        <v>4.5</v>
      </c>
      <c r="AM166" s="760">
        <f>IF(OR($A166="F&amp;F",$A166="CE",AM$7="No aplica"),0,'BOULEVARD 5'!AP164-'BOULEVARD PPTO'!AH159)</f>
        <v>5000</v>
      </c>
      <c r="AN166" s="760">
        <f>IF(OR($A166="F&amp;F",$A166="CE",AN$7="No aplica"),0,'BOULEVARD 5'!AQ164-'BOULEVARD PPTO'!AI159)</f>
        <v>0</v>
      </c>
      <c r="AO166" s="760">
        <f>IF(OR($A166="F&amp;F",$A166="CE",AO$7="No aplica"),0,'BOULEVARD 5'!AS164-'BOULEVARD PPTO'!AJ159)</f>
        <v>0</v>
      </c>
      <c r="AP166" s="761">
        <f t="shared" si="18"/>
        <v>5005.5</v>
      </c>
      <c r="AQ166" s="761">
        <f t="shared" si="19"/>
        <v>20005.5</v>
      </c>
      <c r="AR166" s="674">
        <f>IF(A166=0,'BOULEVARD 5'!BF164,0)</f>
        <v>8000</v>
      </c>
      <c r="AS166" s="674">
        <f>IF(A166=0,'BOULEVARD 5'!BG164,0)</f>
        <v>4054</v>
      </c>
      <c r="AT166" s="675" t="str">
        <f t="shared" si="17"/>
        <v>Vendido</v>
      </c>
      <c r="AU166" s="581" t="str">
        <f t="shared" si="21"/>
        <v>A FAVOR DEL CLIENTE</v>
      </c>
      <c r="AV166" s="760">
        <f t="shared" si="20"/>
        <v>5000</v>
      </c>
    </row>
    <row r="167" spans="1:48" s="581" customFormat="1" ht="12.4" customHeight="1" outlineLevel="1" x14ac:dyDescent="0.25">
      <c r="A167" s="703" t="str">
        <f>'BOULEVARD 5'!BQ165</f>
        <v>F&amp;F</v>
      </c>
      <c r="B167" s="704">
        <v>912</v>
      </c>
      <c r="C167" s="704" t="s">
        <v>568</v>
      </c>
      <c r="D167" s="704"/>
      <c r="E167" s="704" t="str">
        <f>IF('BOULEVARD 5'!E165&lt;&gt;0,'BOULEVARD 5'!E165,"")</f>
        <v>Ronaldo</v>
      </c>
      <c r="F167" s="705" t="str">
        <f>IF('BOULEVARD 5'!F165&lt;&gt;0,'BOULEVARD 5'!F165,"")</f>
        <v>Iurix, S.A</v>
      </c>
      <c r="G167" s="566">
        <f>IF('BOULEVARD 5'!G165="","",'BOULEVARD 5'!G165)</f>
        <v>45300</v>
      </c>
      <c r="H167" s="756">
        <f>IF(OR($A167="F&amp;F",$A167="CE",H$7="No aplica"),0,'BOULEVARD 5'!K165-'BOULEVARD PPTO'!C160)</f>
        <v>0</v>
      </c>
      <c r="I167" s="756">
        <f>IF(OR($A167="F&amp;F",$A167="CE",I$7="No aplica"),0,'BOULEVARD 5'!L165-'BOULEVARD PPTO'!D160)</f>
        <v>0</v>
      </c>
      <c r="J167" s="756">
        <f>IF(OR($A167="F&amp;F",$A167="CE",J$7="No aplica"),0,'BOULEVARD 5'!M165-'BOULEVARD PPTO'!E160)</f>
        <v>0</v>
      </c>
      <c r="K167" s="756">
        <f>IF(OR($A167="F&amp;F",$A167="CE",K$7="No aplica"),0,'BOULEVARD 5'!N165-'BOULEVARD PPTO'!F160)</f>
        <v>0</v>
      </c>
      <c r="L167" s="756">
        <f>IF(OR($A167="F&amp;F",$A167="CE",L$7="No aplica"),0,'BOULEVARD 5'!O165-'BOULEVARD PPTO'!G160)</f>
        <v>0</v>
      </c>
      <c r="M167" s="756">
        <f>IF(OR($A167="F&amp;F",$A167="CE",M$7="No aplica"),0,'BOULEVARD 5'!P165-'BOULEVARD PPTO'!H160)</f>
        <v>0</v>
      </c>
      <c r="N167" s="756">
        <f>IF(OR($A167="F&amp;F",$A167="CE",N$7="No aplica"),0,'BOULEVARD 5'!Q165-'BOULEVARD PPTO'!I160)</f>
        <v>0</v>
      </c>
      <c r="O167" s="756">
        <f>IF(OR($A167="F&amp;F",$A167="CE",O$7="No aplica"),0,'BOULEVARD 5'!R165-'BOULEVARD PPTO'!J160)</f>
        <v>0</v>
      </c>
      <c r="P167" s="756">
        <f>IF(OR($A167="F&amp;F",$A167="CE",P$7="No aplica"),0,'BOULEVARD 5'!S165-'BOULEVARD PPTO'!K160)</f>
        <v>0</v>
      </c>
      <c r="Q167" s="760">
        <f>IF(OR($A167="F&amp;F",$A167="CE",Q$7="No aplica"),0,'BOULEVARD 5'!T165-'BOULEVARD PPTO'!L160)</f>
        <v>0</v>
      </c>
      <c r="R167" s="760">
        <f>IF(OR($A167="F&amp;F",$A167="CE",R$7="No aplica"),0,'BOULEVARD 5'!U165-'BOULEVARD PPTO'!M160)</f>
        <v>0</v>
      </c>
      <c r="S167" s="760">
        <f>IF(OR($A167="F&amp;F",$A167="CE",S$7="No aplica"),0,'BOULEVARD 5'!V165-'BOULEVARD PPTO'!N160)</f>
        <v>0</v>
      </c>
      <c r="T167" s="760">
        <f>IF(OR($A167="F&amp;F",$A167="CE",T$7="No aplica"),0,'BOULEVARD 5'!W165-'BOULEVARD PPTO'!O160)</f>
        <v>0</v>
      </c>
      <c r="U167" s="760">
        <f>IF(OR($A167="F&amp;F",$A167="CE",U$7="No aplica"),0,'BOULEVARD 5'!X165-'BOULEVARD PPTO'!P160)</f>
        <v>0</v>
      </c>
      <c r="V167" s="760">
        <f>IF(OR($A167="F&amp;F",$A167="CE",V$7="No aplica"),0,'BOULEVARD 5'!Y165-'BOULEVARD PPTO'!Q160)</f>
        <v>0</v>
      </c>
      <c r="W167" s="760">
        <f>IF(OR($A167="F&amp;F",$A167="CE",W$7="No aplica"),0,'BOULEVARD 5'!Z165-'BOULEVARD PPTO'!R160)</f>
        <v>0</v>
      </c>
      <c r="X167" s="760">
        <f>IF(OR($A167="F&amp;F",$A167="CE",X$7="No aplica"),0,'BOULEVARD 5'!AA165-'BOULEVARD PPTO'!S160)</f>
        <v>0</v>
      </c>
      <c r="Y167" s="760">
        <f>IF(OR($A167="F&amp;F",$A167="CE",Y$7="No aplica"),0,'BOULEVARD 5'!AB165-'BOULEVARD PPTO'!T160)</f>
        <v>0</v>
      </c>
      <c r="Z167" s="760">
        <f>IF(OR($A167="F&amp;F",$A167="CE",Z$7="No aplica"),0,'BOULEVARD 5'!AC165-'BOULEVARD PPTO'!U160)</f>
        <v>0</v>
      </c>
      <c r="AA167" s="760">
        <f>IF(OR($A167="F&amp;F",$A167="CE",AA$7="No aplica"),0,'BOULEVARD 5'!AD165-'BOULEVARD PPTO'!V160)</f>
        <v>0</v>
      </c>
      <c r="AB167" s="760">
        <f>IF(OR($A167="F&amp;F",$A167="CE",AB$7="No aplica"),0,'BOULEVARD 5'!AE165-'BOULEVARD PPTO'!W160)</f>
        <v>0</v>
      </c>
      <c r="AC167" s="760">
        <f>IF(OR($A167="F&amp;F",$A167="CE",AC$7="No aplica"),0,'BOULEVARD 5'!AF165-'BOULEVARD PPTO'!X160)</f>
        <v>0</v>
      </c>
      <c r="AD167" s="760">
        <f>IF(OR($A167="F&amp;F",$A167="CE",AD$7="No aplica"),0,'BOULEVARD 5'!AG165-'BOULEVARD PPTO'!Y160)</f>
        <v>0</v>
      </c>
      <c r="AE167" s="760">
        <f>IF(OR($A167="F&amp;F",$A167="CE",AE$7="No aplica"),0,'BOULEVARD 5'!AH165-'BOULEVARD PPTO'!Z160)</f>
        <v>0</v>
      </c>
      <c r="AF167" s="760">
        <f>IF(OR($A167="F&amp;F",$A167="CE",AF$7="No aplica"),0,'BOULEVARD 5'!AI165-'BOULEVARD PPTO'!AA160)</f>
        <v>0</v>
      </c>
      <c r="AG167" s="760">
        <f>IF(OR($A167="F&amp;F",$A167="CE",AG$7="No aplica"),0,'BOULEVARD 5'!AJ165-'BOULEVARD PPTO'!AB160)</f>
        <v>0</v>
      </c>
      <c r="AH167" s="760">
        <f>IF(OR($A167="F&amp;F",$A167="CE",AH$7="No aplica"),0,'BOULEVARD 5'!AK165-'BOULEVARD PPTO'!AC160)</f>
        <v>0</v>
      </c>
      <c r="AI167" s="760">
        <f>IF(OR($A167="F&amp;F",$A167="CE",AI$7="No aplica"),0,'BOULEVARD 5'!AL165-'BOULEVARD PPTO'!AD160)</f>
        <v>0</v>
      </c>
      <c r="AJ167" s="760">
        <f>IF(OR($A167="F&amp;F",$A167="CE",AJ$7="No aplica"),0,'BOULEVARD 5'!AM165-'BOULEVARD PPTO'!AE160)</f>
        <v>0</v>
      </c>
      <c r="AK167" s="760">
        <f>IF(OR($A167="F&amp;F",$A167="CE",AK$7="No aplica"),0,'BOULEVARD 5'!AN165-'BOULEVARD PPTO'!AF160)</f>
        <v>0</v>
      </c>
      <c r="AL167" s="760">
        <f>IF(OR($A167="F&amp;F",$A167="CE",AL$7="No aplica"),0,'BOULEVARD 5'!AO165-'BOULEVARD PPTO'!AG160)</f>
        <v>0</v>
      </c>
      <c r="AM167" s="760">
        <f>IF(OR($A167="F&amp;F",$A167="CE",AM$7="No aplica"),0,'BOULEVARD 5'!AP165-'BOULEVARD PPTO'!AH160)</f>
        <v>0</v>
      </c>
      <c r="AN167" s="760">
        <f>IF(OR($A167="F&amp;F",$A167="CE",AN$7="No aplica"),0,'BOULEVARD 5'!AQ165-'BOULEVARD PPTO'!AI160)</f>
        <v>0</v>
      </c>
      <c r="AO167" s="760">
        <f>IF(OR($A167="F&amp;F",$A167="CE",AO$7="No aplica"),0,'BOULEVARD 5'!AS165-'BOULEVARD PPTO'!AJ160)</f>
        <v>0</v>
      </c>
      <c r="AP167" s="761">
        <f t="shared" si="18"/>
        <v>0</v>
      </c>
      <c r="AQ167" s="761">
        <f t="shared" si="19"/>
        <v>0</v>
      </c>
      <c r="AR167" s="674">
        <f>IF(A167=0,'BOULEVARD 5'!BF165,0)</f>
        <v>0</v>
      </c>
      <c r="AS167" s="674">
        <f>IF(A167=0,'BOULEVARD 5'!BG165,0)</f>
        <v>0</v>
      </c>
      <c r="AT167" s="675" t="str">
        <f t="shared" si="17"/>
        <v>Vendido</v>
      </c>
      <c r="AU167" s="581" t="str">
        <f t="shared" si="21"/>
        <v/>
      </c>
      <c r="AV167" s="760">
        <f t="shared" si="20"/>
        <v>0</v>
      </c>
    </row>
    <row r="168" spans="1:48" s="581" customFormat="1" ht="12.4" customHeight="1" outlineLevel="1" x14ac:dyDescent="0.25">
      <c r="A168" s="703">
        <f>'BOULEVARD 5'!BQ166</f>
        <v>0</v>
      </c>
      <c r="B168" s="564">
        <v>913</v>
      </c>
      <c r="C168" s="564" t="s">
        <v>393</v>
      </c>
      <c r="D168" s="564"/>
      <c r="E168" s="564" t="str">
        <f>IF('BOULEVARD 5'!E166&lt;&gt;0,'BOULEVARD 5'!E166,"")</f>
        <v>Antonio Rada</v>
      </c>
      <c r="F168" s="581" t="str">
        <f>IF('BOULEVARD 5'!F166&lt;&gt;0,'BOULEVARD 5'!F166,"")</f>
        <v>Wender Josue Bailon Campos</v>
      </c>
      <c r="G168" s="566">
        <f>IF('BOULEVARD 5'!G166="","",'BOULEVARD 5'!G166)</f>
        <v>45404</v>
      </c>
      <c r="H168" s="756">
        <f>IF(OR($A168="F&amp;F",$A168="CE",H$7="No aplica"),0,'BOULEVARD 5'!K166-'BOULEVARD PPTO'!C161)</f>
        <v>0</v>
      </c>
      <c r="I168" s="756">
        <f>IF(OR($A168="F&amp;F",$A168="CE",I$7="No aplica"),0,'BOULEVARD 5'!L166-'BOULEVARD PPTO'!D161)</f>
        <v>0</v>
      </c>
      <c r="J168" s="756">
        <f>IF(OR($A168="F&amp;F",$A168="CE",J$7="No aplica"),0,'BOULEVARD 5'!M166-'BOULEVARD PPTO'!E161)</f>
        <v>0</v>
      </c>
      <c r="K168" s="756">
        <f>IF(OR($A168="F&amp;F",$A168="CE",K$7="No aplica"),0,'BOULEVARD 5'!N166-'BOULEVARD PPTO'!F161)</f>
        <v>0</v>
      </c>
      <c r="L168" s="756">
        <f>IF(OR($A168="F&amp;F",$A168="CE",L$7="No aplica"),0,'BOULEVARD 5'!O166-'BOULEVARD PPTO'!G161)</f>
        <v>0</v>
      </c>
      <c r="M168" s="756">
        <f>IF(OR($A168="F&amp;F",$A168="CE",M$7="No aplica"),0,'BOULEVARD 5'!P166-'BOULEVARD PPTO'!H161)</f>
        <v>0</v>
      </c>
      <c r="N168" s="756">
        <f>IF(OR($A168="F&amp;F",$A168="CE",N$7="No aplica"),0,'BOULEVARD 5'!Q166-'BOULEVARD PPTO'!I161)</f>
        <v>0</v>
      </c>
      <c r="O168" s="756">
        <f>IF(OR($A168="F&amp;F",$A168="CE",O$7="No aplica"),0,'BOULEVARD 5'!R166-'BOULEVARD PPTO'!J161)</f>
        <v>0</v>
      </c>
      <c r="P168" s="756">
        <f>IF(OR($A168="F&amp;F",$A168="CE",P$7="No aplica"),0,'BOULEVARD 5'!S166-'BOULEVARD PPTO'!K161)</f>
        <v>0</v>
      </c>
      <c r="Q168" s="760">
        <f>IF(OR($A168="F&amp;F",$A168="CE",Q$7="No aplica"),0,'BOULEVARD 5'!T166-'BOULEVARD PPTO'!L161)</f>
        <v>0</v>
      </c>
      <c r="R168" s="760">
        <f>IF(OR($A168="F&amp;F",$A168="CE",R$7="No aplica"),0,'BOULEVARD 5'!U166-'BOULEVARD PPTO'!M161)</f>
        <v>0</v>
      </c>
      <c r="S168" s="760">
        <f>IF(OR($A168="F&amp;F",$A168="CE",S$7="No aplica"),0,'BOULEVARD 5'!V166-'BOULEVARD PPTO'!N161)</f>
        <v>0</v>
      </c>
      <c r="T168" s="760">
        <f>IF(OR($A168="F&amp;F",$A168="CE",T$7="No aplica"),0,'BOULEVARD 5'!W166-'BOULEVARD PPTO'!O161)</f>
        <v>0</v>
      </c>
      <c r="U168" s="760">
        <f>IF(OR($A168="F&amp;F",$A168="CE",U$7="No aplica"),0,'BOULEVARD 5'!X166-'BOULEVARD PPTO'!P161)</f>
        <v>0</v>
      </c>
      <c r="V168" s="760">
        <f>IF(OR($A168="F&amp;F",$A168="CE",V$7="No aplica"),0,'BOULEVARD 5'!Y166-'BOULEVARD PPTO'!Q161)</f>
        <v>-2</v>
      </c>
      <c r="W168" s="760">
        <f>IF(OR($A168="F&amp;F",$A168="CE",W$7="No aplica"),0,'BOULEVARD 5'!Z166-'BOULEVARD PPTO'!R161)</f>
        <v>-2</v>
      </c>
      <c r="X168" s="760">
        <f>IF(OR($A168="F&amp;F",$A168="CE",X$7="No aplica"),0,'BOULEVARD 5'!AA166-'BOULEVARD PPTO'!S161)</f>
        <v>-2</v>
      </c>
      <c r="Y168" s="760">
        <f>IF(OR($A168="F&amp;F",$A168="CE",Y$7="No aplica"),0,'BOULEVARD 5'!AB166-'BOULEVARD PPTO'!T161)</f>
        <v>-2</v>
      </c>
      <c r="Z168" s="760">
        <f>IF(OR($A168="F&amp;F",$A168="CE",Z$7="No aplica"),0,'BOULEVARD 5'!AC166-'BOULEVARD PPTO'!U161)</f>
        <v>-2</v>
      </c>
      <c r="AA168" s="760">
        <f>IF(OR($A168="F&amp;F",$A168="CE",AA$7="No aplica"),0,'BOULEVARD 5'!AD166-'BOULEVARD PPTO'!V161)</f>
        <v>-2</v>
      </c>
      <c r="AB168" s="760">
        <f>IF(OR($A168="F&amp;F",$A168="CE",AB$7="No aplica"),0,'BOULEVARD 5'!AE166-'BOULEVARD PPTO'!W161)</f>
        <v>-2</v>
      </c>
      <c r="AC168" s="760">
        <f>IF(OR($A168="F&amp;F",$A168="CE",AC$7="No aplica"),0,'BOULEVARD 5'!AF166-'BOULEVARD PPTO'!X161)</f>
        <v>-2</v>
      </c>
      <c r="AD168" s="760">
        <f>IF(OR($A168="F&amp;F",$A168="CE",AD$7="No aplica"),0,'BOULEVARD 5'!AG166-'BOULEVARD PPTO'!Y161)</f>
        <v>-2</v>
      </c>
      <c r="AE168" s="760">
        <f>IF(OR($A168="F&amp;F",$A168="CE",AE$7="No aplica"),0,'BOULEVARD 5'!AH166-'BOULEVARD PPTO'!Z161)</f>
        <v>-2</v>
      </c>
      <c r="AF168" s="760">
        <f>IF(OR($A168="F&amp;F",$A168="CE",AF$7="No aplica"),0,'BOULEVARD 5'!AI166-'BOULEVARD PPTO'!AA161)</f>
        <v>-2</v>
      </c>
      <c r="AG168" s="760">
        <f>IF(OR($A168="F&amp;F",$A168="CE",AG$7="No aplica"),0,'BOULEVARD 5'!AJ166-'BOULEVARD PPTO'!AB161)</f>
        <v>-2</v>
      </c>
      <c r="AH168" s="760">
        <f>IF(OR($A168="F&amp;F",$A168="CE",AH$7="No aplica"),0,'BOULEVARD 5'!AK166-'BOULEVARD PPTO'!AC161)</f>
        <v>4843</v>
      </c>
      <c r="AI168" s="760">
        <f>IF(OR($A168="F&amp;F",$A168="CE",AI$7="No aplica"),0,'BOULEVARD 5'!AL166-'BOULEVARD PPTO'!AD161)</f>
        <v>-4847</v>
      </c>
      <c r="AJ168" s="760">
        <f>IF(OR($A168="F&amp;F",$A168="CE",AJ$7="No aplica"),0,'BOULEVARD 5'!AM166-'BOULEVARD PPTO'!AE161)</f>
        <v>-2</v>
      </c>
      <c r="AK168" s="760">
        <f>IF(OR($A168="F&amp;F",$A168="CE",AK$7="No aplica"),0,'BOULEVARD 5'!AN166-'BOULEVARD PPTO'!AF161)</f>
        <v>-2</v>
      </c>
      <c r="AL168" s="760">
        <f>IF(OR($A168="F&amp;F",$A168="CE",AL$7="No aplica"),0,'BOULEVARD 5'!AO166-'BOULEVARD PPTO'!AG161)</f>
        <v>-3</v>
      </c>
      <c r="AM168" s="760">
        <f>IF(OR($A168="F&amp;F",$A168="CE",AM$7="No aplica"),0,'BOULEVARD 5'!AP166-'BOULEVARD PPTO'!AH161)</f>
        <v>0</v>
      </c>
      <c r="AN168" s="760">
        <f>IF(OR($A168="F&amp;F",$A168="CE",AN$7="No aplica"),0,'BOULEVARD 5'!AQ166-'BOULEVARD PPTO'!AI161)</f>
        <v>0</v>
      </c>
      <c r="AO168" s="760">
        <f>IF(OR($A168="F&amp;F",$A168="CE",AO$7="No aplica"),0,'BOULEVARD 5'!AS166-'BOULEVARD PPTO'!AJ161)</f>
        <v>0</v>
      </c>
      <c r="AP168" s="761">
        <f t="shared" si="18"/>
        <v>-35</v>
      </c>
      <c r="AQ168" s="761">
        <f t="shared" si="19"/>
        <v>-35</v>
      </c>
      <c r="AR168" s="674">
        <f>IF(A168=0,'BOULEVARD 5'!BF166,0)</f>
        <v>8000</v>
      </c>
      <c r="AS168" s="674">
        <f>IF(A168=0,'BOULEVARD 5'!BG166,0)</f>
        <v>4847</v>
      </c>
      <c r="AT168" s="675" t="str">
        <f t="shared" si="17"/>
        <v>Vendido</v>
      </c>
      <c r="AU168" s="581" t="str">
        <f t="shared" si="21"/>
        <v>POR COBRAR</v>
      </c>
      <c r="AV168" s="760">
        <f t="shared" si="20"/>
        <v>0</v>
      </c>
    </row>
    <row r="169" spans="1:48" s="581" customFormat="1" ht="12.4" customHeight="1" outlineLevel="1" x14ac:dyDescent="0.25">
      <c r="A169" s="703">
        <f>'BOULEVARD 5'!BQ167</f>
        <v>0</v>
      </c>
      <c r="B169" s="564">
        <v>914</v>
      </c>
      <c r="C169" s="564" t="s">
        <v>172</v>
      </c>
      <c r="D169" s="564"/>
      <c r="E169" s="564" t="str">
        <f>IF('BOULEVARD 5'!E167&lt;&gt;0,'BOULEVARD 5'!E167,"")</f>
        <v>Antonio Rada</v>
      </c>
      <c r="F169" s="581" t="str">
        <f>IF('BOULEVARD 5'!F167&lt;&gt;0,'BOULEVARD 5'!F167,"")</f>
        <v>Rebecca Gonzalez Ordoñez</v>
      </c>
      <c r="G169" s="566">
        <f>IF('BOULEVARD 5'!G167="","",'BOULEVARD 5'!G167)</f>
        <v>45320</v>
      </c>
      <c r="H169" s="756">
        <f>IF(OR($A169="F&amp;F",$A169="CE",H$7="No aplica"),0,'BOULEVARD 5'!K167-'BOULEVARD PPTO'!C162)</f>
        <v>0</v>
      </c>
      <c r="I169" s="756">
        <f>IF(OR($A169="F&amp;F",$A169="CE",I$7="No aplica"),0,'BOULEVARD 5'!L167-'BOULEVARD PPTO'!D162)</f>
        <v>0</v>
      </c>
      <c r="J169" s="756">
        <f>IF(OR($A169="F&amp;F",$A169="CE",J$7="No aplica"),0,'BOULEVARD 5'!M167-'BOULEVARD PPTO'!E162)</f>
        <v>0</v>
      </c>
      <c r="K169" s="756">
        <f>IF(OR($A169="F&amp;F",$A169="CE",K$7="No aplica"),0,'BOULEVARD 5'!N167-'BOULEVARD PPTO'!F162)</f>
        <v>0</v>
      </c>
      <c r="L169" s="756">
        <f>IF(OR($A169="F&amp;F",$A169="CE",L$7="No aplica"),0,'BOULEVARD 5'!O167-'BOULEVARD PPTO'!G162)</f>
        <v>6000</v>
      </c>
      <c r="M169" s="756">
        <f>IF(OR($A169="F&amp;F",$A169="CE",M$7="No aplica"),0,'BOULEVARD 5'!P167-'BOULEVARD PPTO'!H162)</f>
        <v>0</v>
      </c>
      <c r="N169" s="756">
        <f>IF(OR($A169="F&amp;F",$A169="CE",N$7="No aplica"),0,'BOULEVARD 5'!Q167-'BOULEVARD PPTO'!I162)</f>
        <v>0</v>
      </c>
      <c r="O169" s="756">
        <f>IF(OR($A169="F&amp;F",$A169="CE",O$7="No aplica"),0,'BOULEVARD 5'!R167-'BOULEVARD PPTO'!J162)</f>
        <v>0</v>
      </c>
      <c r="P169" s="756">
        <f>IF(OR($A169="F&amp;F",$A169="CE",P$7="No aplica"),0,'BOULEVARD 5'!S167-'BOULEVARD PPTO'!K162)</f>
        <v>0</v>
      </c>
      <c r="Q169" s="760">
        <f>IF(OR($A169="F&amp;F",$A169="CE",Q$7="No aplica"),0,'BOULEVARD 5'!T167-'BOULEVARD PPTO'!L162)</f>
        <v>0</v>
      </c>
      <c r="R169" s="760">
        <f>IF(OR($A169="F&amp;F",$A169="CE",R$7="No aplica"),0,'BOULEVARD 5'!U167-'BOULEVARD PPTO'!M162)</f>
        <v>0</v>
      </c>
      <c r="S169" s="760">
        <f>IF(OR($A169="F&amp;F",$A169="CE",S$7="No aplica"),0,'BOULEVARD 5'!V167-'BOULEVARD PPTO'!N162)</f>
        <v>0</v>
      </c>
      <c r="T169" s="760">
        <f>IF(OR($A169="F&amp;F",$A169="CE",T$7="No aplica"),0,'BOULEVARD 5'!W167-'BOULEVARD PPTO'!O162)</f>
        <v>-4020</v>
      </c>
      <c r="U169" s="760">
        <f>IF(OR($A169="F&amp;F",$A169="CE",U$7="No aplica"),0,'BOULEVARD 5'!X167-'BOULEVARD PPTO'!P162)</f>
        <v>4020</v>
      </c>
      <c r="V169" s="760">
        <f>IF(OR($A169="F&amp;F",$A169="CE",V$7="No aplica"),0,'BOULEVARD 5'!Y167-'BOULEVARD PPTO'!Q162)</f>
        <v>0</v>
      </c>
      <c r="W169" s="760">
        <f>IF(OR($A169="F&amp;F",$A169="CE",W$7="No aplica"),0,'BOULEVARD 5'!Z167-'BOULEVARD PPTO'!R162)</f>
        <v>0</v>
      </c>
      <c r="X169" s="760">
        <f>IF(OR($A169="F&amp;F",$A169="CE",X$7="No aplica"),0,'BOULEVARD 5'!AA167-'BOULEVARD PPTO'!S162)</f>
        <v>-4020</v>
      </c>
      <c r="Y169" s="760">
        <f>IF(OR($A169="F&amp;F",$A169="CE",Y$7="No aplica"),0,'BOULEVARD 5'!AB167-'BOULEVARD PPTO'!T162)</f>
        <v>4020</v>
      </c>
      <c r="Z169" s="760">
        <f>IF(OR($A169="F&amp;F",$A169="CE",Z$7="No aplica"),0,'BOULEVARD 5'!AC167-'BOULEVARD PPTO'!U162)</f>
        <v>-4020</v>
      </c>
      <c r="AA169" s="760">
        <f>IF(OR($A169="F&amp;F",$A169="CE",AA$7="No aplica"),0,'BOULEVARD 5'!AD167-'BOULEVARD PPTO'!V162)</f>
        <v>4020</v>
      </c>
      <c r="AB169" s="760">
        <f>IF(OR($A169="F&amp;F",$A169="CE",AB$7="No aplica"),0,'BOULEVARD 5'!AE167-'BOULEVARD PPTO'!W162)</f>
        <v>-4020</v>
      </c>
      <c r="AC169" s="760">
        <f>IF(OR($A169="F&amp;F",$A169="CE",AC$7="No aplica"),0,'BOULEVARD 5'!AF167-'BOULEVARD PPTO'!X162)</f>
        <v>0</v>
      </c>
      <c r="AD169" s="760">
        <f>IF(OR($A169="F&amp;F",$A169="CE",AD$7="No aplica"),0,'BOULEVARD 5'!AG167-'BOULEVARD PPTO'!Y162)</f>
        <v>-4020</v>
      </c>
      <c r="AE169" s="760">
        <f>IF(OR($A169="F&amp;F",$A169="CE",AE$7="No aplica"),0,'BOULEVARD 5'!AH167-'BOULEVARD PPTO'!Z162)</f>
        <v>20</v>
      </c>
      <c r="AF169" s="760">
        <f>IF(OR($A169="F&amp;F",$A169="CE",AF$7="No aplica"),0,'BOULEVARD 5'!AI167-'BOULEVARD PPTO'!AA162)</f>
        <v>4020</v>
      </c>
      <c r="AG169" s="760">
        <f>IF(OR($A169="F&amp;F",$A169="CE",AG$7="No aplica"),0,'BOULEVARD 5'!AJ167-'BOULEVARD PPTO'!AB162)</f>
        <v>4020</v>
      </c>
      <c r="AH169" s="760">
        <f>IF(OR($A169="F&amp;F",$A169="CE",AH$7="No aplica"),0,'BOULEVARD 5'!AK167-'BOULEVARD PPTO'!AC162)</f>
        <v>0</v>
      </c>
      <c r="AI169" s="760">
        <f>IF(OR($A169="F&amp;F",$A169="CE",AI$7="No aplica"),0,'BOULEVARD 5'!AL167-'BOULEVARD PPTO'!AD162)</f>
        <v>0</v>
      </c>
      <c r="AJ169" s="760">
        <f>IF(OR($A169="F&amp;F",$A169="CE",AJ$7="No aplica"),0,'BOULEVARD 5'!AM167-'BOULEVARD PPTO'!AE162)</f>
        <v>0</v>
      </c>
      <c r="AK169" s="760">
        <f>IF(OR($A169="F&amp;F",$A169="CE",AK$7="No aplica"),0,'BOULEVARD 5'!AN167-'BOULEVARD PPTO'!AF162)</f>
        <v>0</v>
      </c>
      <c r="AL169" s="760">
        <f>IF(OR($A169="F&amp;F",$A169="CE",AL$7="No aplica"),0,'BOULEVARD 5'!AO167-'BOULEVARD PPTO'!AG162)</f>
        <v>0</v>
      </c>
      <c r="AM169" s="760">
        <f>IF(OR($A169="F&amp;F",$A169="CE",AM$7="No aplica"),0,'BOULEVARD 5'!AP167-'BOULEVARD PPTO'!AH162)</f>
        <v>0</v>
      </c>
      <c r="AN169" s="760">
        <f>IF(OR($A169="F&amp;F",$A169="CE",AN$7="No aplica"),0,'BOULEVARD 5'!AQ167-'BOULEVARD PPTO'!AI162)</f>
        <v>0</v>
      </c>
      <c r="AO169" s="760">
        <f>IF(OR($A169="F&amp;F",$A169="CE",AO$7="No aplica"),0,'BOULEVARD 5'!AS167-'BOULEVARD PPTO'!AJ162)</f>
        <v>0</v>
      </c>
      <c r="AP169" s="761">
        <f t="shared" si="18"/>
        <v>6020</v>
      </c>
      <c r="AQ169" s="761">
        <f t="shared" si="19"/>
        <v>6020</v>
      </c>
      <c r="AR169" s="674">
        <f>IF(A169=0,'BOULEVARD 5'!BF167,0)</f>
        <v>6000</v>
      </c>
      <c r="AS169" s="674">
        <f>IF(A169=0,'BOULEVARD 5'!BG167,0)</f>
        <v>4020</v>
      </c>
      <c r="AT169" s="675" t="str">
        <f t="shared" si="17"/>
        <v>Vendido</v>
      </c>
      <c r="AU169" s="581" t="str">
        <f t="shared" si="21"/>
        <v>A FAVOR DEL CLIENTE</v>
      </c>
      <c r="AV169" s="760">
        <f t="shared" si="20"/>
        <v>0</v>
      </c>
    </row>
    <row r="170" spans="1:48" s="581" customFormat="1" ht="12.4" customHeight="1" outlineLevel="1" x14ac:dyDescent="0.25">
      <c r="A170" s="703">
        <f>'BOULEVARD 5'!BQ168</f>
        <v>0</v>
      </c>
      <c r="B170" s="564">
        <v>915</v>
      </c>
      <c r="C170" s="564" t="s">
        <v>547</v>
      </c>
      <c r="D170" s="564"/>
      <c r="E170" s="564" t="str">
        <f>IF('BOULEVARD 5'!E168&lt;&gt;0,'BOULEVARD 5'!E168,"")</f>
        <v>Brenda Búcaro</v>
      </c>
      <c r="F170" s="581" t="str">
        <f>IF('BOULEVARD 5'!F168&lt;&gt;0,'BOULEVARD 5'!F168,"")</f>
        <v>Marcela Alejandra Castro Marcía</v>
      </c>
      <c r="G170" s="566">
        <f>IF('BOULEVARD 5'!G168="","",'BOULEVARD 5'!G168)</f>
        <v>45197</v>
      </c>
      <c r="H170" s="756">
        <f>IF(OR($A170="F&amp;F",$A170="CE",H$7="No aplica"),0,'BOULEVARD 5'!K168-'BOULEVARD PPTO'!C163)</f>
        <v>0</v>
      </c>
      <c r="I170" s="756">
        <f>IF(OR($A170="F&amp;F",$A170="CE",I$7="No aplica"),0,'BOULEVARD 5'!L168-'BOULEVARD PPTO'!D163)</f>
        <v>0</v>
      </c>
      <c r="J170" s="756">
        <f>IF(OR($A170="F&amp;F",$A170="CE",J$7="No aplica"),0,'BOULEVARD 5'!M168-'BOULEVARD PPTO'!E163)</f>
        <v>0</v>
      </c>
      <c r="K170" s="756">
        <f>IF(OR($A170="F&amp;F",$A170="CE",K$7="No aplica"),0,'BOULEVARD 5'!N168-'BOULEVARD PPTO'!F163)</f>
        <v>0</v>
      </c>
      <c r="L170" s="756">
        <f>IF(OR($A170="F&amp;F",$A170="CE",L$7="No aplica"),0,'BOULEVARD 5'!O168-'BOULEVARD PPTO'!G163)</f>
        <v>0</v>
      </c>
      <c r="M170" s="756">
        <f>IF(OR($A170="F&amp;F",$A170="CE",M$7="No aplica"),0,'BOULEVARD 5'!P168-'BOULEVARD PPTO'!H163)</f>
        <v>6000</v>
      </c>
      <c r="N170" s="756">
        <f>IF(OR($A170="F&amp;F",$A170="CE",N$7="No aplica"),0,'BOULEVARD 5'!Q168-'BOULEVARD PPTO'!I163)</f>
        <v>-6000</v>
      </c>
      <c r="O170" s="756">
        <f>IF(OR($A170="F&amp;F",$A170="CE",O$7="No aplica"),0,'BOULEVARD 5'!R168-'BOULEVARD PPTO'!J163)</f>
        <v>0</v>
      </c>
      <c r="P170" s="756">
        <f>IF(OR($A170="F&amp;F",$A170="CE",P$7="No aplica"),0,'BOULEVARD 5'!S168-'BOULEVARD PPTO'!K163)</f>
        <v>0</v>
      </c>
      <c r="Q170" s="760">
        <f>IF(OR($A170="F&amp;F",$A170="CE",Q$7="No aplica"),0,'BOULEVARD 5'!T168-'BOULEVARD PPTO'!L163)</f>
        <v>0</v>
      </c>
      <c r="R170" s="760">
        <f>IF(OR($A170="F&amp;F",$A170="CE",R$7="No aplica"),0,'BOULEVARD 5'!U168-'BOULEVARD PPTO'!M163)</f>
        <v>0</v>
      </c>
      <c r="S170" s="760">
        <f>IF(OR($A170="F&amp;F",$A170="CE",S$7="No aplica"),0,'BOULEVARD 5'!V168-'BOULEVARD PPTO'!N163)</f>
        <v>0</v>
      </c>
      <c r="T170" s="760">
        <f>IF(OR($A170="F&amp;F",$A170="CE",T$7="No aplica"),0,'BOULEVARD 5'!W168-'BOULEVARD PPTO'!O163)</f>
        <v>0</v>
      </c>
      <c r="U170" s="760">
        <f>IF(OR($A170="F&amp;F",$A170="CE",U$7="No aplica"),0,'BOULEVARD 5'!X168-'BOULEVARD PPTO'!P163)</f>
        <v>0</v>
      </c>
      <c r="V170" s="760">
        <f>IF(OR($A170="F&amp;F",$A170="CE",V$7="No aplica"),0,'BOULEVARD 5'!Y168-'BOULEVARD PPTO'!Q163)</f>
        <v>-5208</v>
      </c>
      <c r="W170" s="760">
        <f>IF(OR($A170="F&amp;F",$A170="CE",W$7="No aplica"),0,'BOULEVARD 5'!Z168-'BOULEVARD PPTO'!R163)</f>
        <v>5208</v>
      </c>
      <c r="X170" s="760">
        <f>IF(OR($A170="F&amp;F",$A170="CE",X$7="No aplica"),0,'BOULEVARD 5'!AA168-'BOULEVARD PPTO'!S163)</f>
        <v>0</v>
      </c>
      <c r="Y170" s="760">
        <f>IF(OR($A170="F&amp;F",$A170="CE",Y$7="No aplica"),0,'BOULEVARD 5'!AB168-'BOULEVARD PPTO'!T163)</f>
        <v>0</v>
      </c>
      <c r="Z170" s="760">
        <f>IF(OR($A170="F&amp;F",$A170="CE",Z$7="No aplica"),0,'BOULEVARD 5'!AC168-'BOULEVARD PPTO'!U163)</f>
        <v>0</v>
      </c>
      <c r="AA170" s="760">
        <f>IF(OR($A170="F&amp;F",$A170="CE",AA$7="No aplica"),0,'BOULEVARD 5'!AD168-'BOULEVARD PPTO'!V163)</f>
        <v>-5208</v>
      </c>
      <c r="AB170" s="760">
        <f>IF(OR($A170="F&amp;F",$A170="CE",AB$7="No aplica"),0,'BOULEVARD 5'!AE168-'BOULEVARD PPTO'!W163)</f>
        <v>0</v>
      </c>
      <c r="AC170" s="760">
        <f>IF(OR($A170="F&amp;F",$A170="CE",AC$7="No aplica"),0,'BOULEVARD 5'!AF168-'BOULEVARD PPTO'!X163)</f>
        <v>5208</v>
      </c>
      <c r="AD170" s="760">
        <f>IF(OR($A170="F&amp;F",$A170="CE",AD$7="No aplica"),0,'BOULEVARD 5'!AG168-'BOULEVARD PPTO'!Y163)</f>
        <v>-5208</v>
      </c>
      <c r="AE170" s="760">
        <f>IF(OR($A170="F&amp;F",$A170="CE",AE$7="No aplica"),0,'BOULEVARD 5'!AH168-'BOULEVARD PPTO'!Z163)</f>
        <v>0</v>
      </c>
      <c r="AF170" s="760">
        <f>IF(OR($A170="F&amp;F",$A170="CE",AF$7="No aplica"),0,'BOULEVARD 5'!AI168-'BOULEVARD PPTO'!AA163)</f>
        <v>5208</v>
      </c>
      <c r="AG170" s="760">
        <f>IF(OR($A170="F&amp;F",$A170="CE",AG$7="No aplica"),0,'BOULEVARD 5'!AJ168-'BOULEVARD PPTO'!AB163)</f>
        <v>-5208</v>
      </c>
      <c r="AH170" s="760">
        <f>IF(OR($A170="F&amp;F",$A170="CE",AH$7="No aplica"),0,'BOULEVARD 5'!AK168-'BOULEVARD PPTO'!AC163)</f>
        <v>5208</v>
      </c>
      <c r="AI170" s="760">
        <f>IF(OR($A170="F&amp;F",$A170="CE",AI$7="No aplica"),0,'BOULEVARD 5'!AL168-'BOULEVARD PPTO'!AD163)</f>
        <v>0</v>
      </c>
      <c r="AJ170" s="760">
        <f>IF(OR($A170="F&amp;F",$A170="CE",AJ$7="No aplica"),0,'BOULEVARD 5'!AM168-'BOULEVARD PPTO'!AE163)</f>
        <v>0</v>
      </c>
      <c r="AK170" s="760">
        <f>IF(OR($A170="F&amp;F",$A170="CE",AK$7="No aplica"),0,'BOULEVARD 5'!AN168-'BOULEVARD PPTO'!AF163)</f>
        <v>-5208</v>
      </c>
      <c r="AL170" s="760">
        <f>IF(OR($A170="F&amp;F",$A170="CE",AL$7="No aplica"),0,'BOULEVARD 5'!AO168-'BOULEVARD PPTO'!AG163)</f>
        <v>-5.4399999999995998</v>
      </c>
      <c r="AM170" s="760">
        <f>IF(OR($A170="F&amp;F",$A170="CE",AM$7="No aplica"),0,'BOULEVARD 5'!AP168-'BOULEVARD PPTO'!AH163)</f>
        <v>5213</v>
      </c>
      <c r="AN170" s="760">
        <f>IF(OR($A170="F&amp;F",$A170="CE",AN$7="No aplica"),0,'BOULEVARD 5'!AQ168-'BOULEVARD PPTO'!AI163)</f>
        <v>0</v>
      </c>
      <c r="AO170" s="760">
        <f>IF(OR($A170="F&amp;F",$A170="CE",AO$7="No aplica"),0,'BOULEVARD 5'!AS168-'BOULEVARD PPTO'!AJ163)</f>
        <v>0</v>
      </c>
      <c r="AP170" s="761">
        <f t="shared" si="18"/>
        <v>-0.43999999999959982</v>
      </c>
      <c r="AQ170" s="761">
        <f t="shared" si="19"/>
        <v>-0.44000000000232831</v>
      </c>
      <c r="AR170" s="674">
        <f>IF(A170=0,'BOULEVARD 5'!BF168,0)</f>
        <v>6000</v>
      </c>
      <c r="AS170" s="674">
        <f>IF(A170=0,'BOULEVARD 5'!BG168,0)</f>
        <v>5208</v>
      </c>
      <c r="AT170" s="675" t="str">
        <f t="shared" si="17"/>
        <v>Vendido</v>
      </c>
      <c r="AU170" s="581" t="str">
        <f t="shared" si="21"/>
        <v>POR COBRAR</v>
      </c>
      <c r="AV170" s="760">
        <f t="shared" si="20"/>
        <v>5213</v>
      </c>
    </row>
    <row r="171" spans="1:48" s="581" customFormat="1" ht="12.4" customHeight="1" outlineLevel="1" x14ac:dyDescent="0.25">
      <c r="A171" s="703">
        <f>'BOULEVARD 5'!BQ169</f>
        <v>0</v>
      </c>
      <c r="B171" s="564">
        <v>916</v>
      </c>
      <c r="C171" s="564" t="s">
        <v>181</v>
      </c>
      <c r="D171" s="564"/>
      <c r="E171" s="564" t="str">
        <f>IF('BOULEVARD 5'!E169&lt;&gt;0,'BOULEVARD 5'!E169,"")</f>
        <v>Brenda Búcaro</v>
      </c>
      <c r="F171" s="581" t="str">
        <f>IF('BOULEVARD 5'!F169&lt;&gt;0,'BOULEVARD 5'!F169,"")</f>
        <v>José Fernando Cordón Almengor</v>
      </c>
      <c r="G171" s="566">
        <f>IF('BOULEVARD 5'!G169="","",'BOULEVARD 5'!G169)</f>
        <v>45049</v>
      </c>
      <c r="H171" s="756">
        <f>IF(OR($A171="F&amp;F",$A171="CE",H$7="No aplica"),0,'BOULEVARD 5'!K169-'BOULEVARD PPTO'!C164)</f>
        <v>0</v>
      </c>
      <c r="I171" s="756">
        <f>IF(OR($A171="F&amp;F",$A171="CE",I$7="No aplica"),0,'BOULEVARD 5'!L169-'BOULEVARD PPTO'!D164)</f>
        <v>0</v>
      </c>
      <c r="J171" s="756">
        <f>IF(OR($A171="F&amp;F",$A171="CE",J$7="No aplica"),0,'BOULEVARD 5'!M169-'BOULEVARD PPTO'!E164)</f>
        <v>2250</v>
      </c>
      <c r="K171" s="756">
        <f>IF(OR($A171="F&amp;F",$A171="CE",K$7="No aplica"),0,'BOULEVARD 5'!N169-'BOULEVARD PPTO'!F164)</f>
        <v>-2250</v>
      </c>
      <c r="L171" s="756">
        <f>IF(OR($A171="F&amp;F",$A171="CE",L$7="No aplica"),0,'BOULEVARD 5'!O169-'BOULEVARD PPTO'!G164)</f>
        <v>0</v>
      </c>
      <c r="M171" s="756">
        <f>IF(OR($A171="F&amp;F",$A171="CE",M$7="No aplica"),0,'BOULEVARD 5'!P169-'BOULEVARD PPTO'!H164)</f>
        <v>0</v>
      </c>
      <c r="N171" s="756">
        <f>IF(OR($A171="F&amp;F",$A171="CE",N$7="No aplica"),0,'BOULEVARD 5'!Q169-'BOULEVARD PPTO'!I164)</f>
        <v>0</v>
      </c>
      <c r="O171" s="756">
        <f>IF(OR($A171="F&amp;F",$A171="CE",O$7="No aplica"),0,'BOULEVARD 5'!R169-'BOULEVARD PPTO'!J164)</f>
        <v>0</v>
      </c>
      <c r="P171" s="756">
        <f>IF(OR($A171="F&amp;F",$A171="CE",P$7="No aplica"),0,'BOULEVARD 5'!S169-'BOULEVARD PPTO'!K164)</f>
        <v>0</v>
      </c>
      <c r="Q171" s="760">
        <f>IF(OR($A171="F&amp;F",$A171="CE",Q$7="No aplica"),0,'BOULEVARD 5'!T169-'BOULEVARD PPTO'!L164)</f>
        <v>0</v>
      </c>
      <c r="R171" s="760">
        <f>IF(OR($A171="F&amp;F",$A171="CE",R$7="No aplica"),0,'BOULEVARD 5'!U169-'BOULEVARD PPTO'!M164)</f>
        <v>0</v>
      </c>
      <c r="S171" s="760">
        <f>IF(OR($A171="F&amp;F",$A171="CE",S$7="No aplica"),0,'BOULEVARD 5'!V169-'BOULEVARD PPTO'!N164)</f>
        <v>0</v>
      </c>
      <c r="T171" s="760">
        <f>IF(OR($A171="F&amp;F",$A171="CE",T$7="No aplica"),0,'BOULEVARD 5'!W169-'BOULEVARD PPTO'!O164)</f>
        <v>0</v>
      </c>
      <c r="U171" s="760">
        <f>IF(OR($A171="F&amp;F",$A171="CE",U$7="No aplica"),0,'BOULEVARD 5'!X169-'BOULEVARD PPTO'!P164)</f>
        <v>0</v>
      </c>
      <c r="V171" s="760">
        <f>IF(OR($A171="F&amp;F",$A171="CE",V$7="No aplica"),0,'BOULEVARD 5'!Y169-'BOULEVARD PPTO'!Q164)</f>
        <v>0</v>
      </c>
      <c r="W171" s="760">
        <f>IF(OR($A171="F&amp;F",$A171="CE",W$7="No aplica"),0,'BOULEVARD 5'!Z169-'BOULEVARD PPTO'!R164)</f>
        <v>0</v>
      </c>
      <c r="X171" s="760">
        <f>IF(OR($A171="F&amp;F",$A171="CE",X$7="No aplica"),0,'BOULEVARD 5'!AA169-'BOULEVARD PPTO'!S164)</f>
        <v>-2250</v>
      </c>
      <c r="Y171" s="760">
        <f>IF(OR($A171="F&amp;F",$A171="CE",Y$7="No aplica"),0,'BOULEVARD 5'!AB169-'BOULEVARD PPTO'!T164)</f>
        <v>2250</v>
      </c>
      <c r="Z171" s="760">
        <f>IF(OR($A171="F&amp;F",$A171="CE",Z$7="No aplica"),0,'BOULEVARD 5'!AC169-'BOULEVARD PPTO'!U164)</f>
        <v>0</v>
      </c>
      <c r="AA171" s="760">
        <f>IF(OR($A171="F&amp;F",$A171="CE",AA$7="No aplica"),0,'BOULEVARD 5'!AD169-'BOULEVARD PPTO'!V164)</f>
        <v>0</v>
      </c>
      <c r="AB171" s="760">
        <f>IF(OR($A171="F&amp;F",$A171="CE",AB$7="No aplica"),0,'BOULEVARD 5'!AE169-'BOULEVARD PPTO'!W164)</f>
        <v>0</v>
      </c>
      <c r="AC171" s="760">
        <f>IF(OR($A171="F&amp;F",$A171="CE",AC$7="No aplica"),0,'BOULEVARD 5'!AF169-'BOULEVARD PPTO'!X164)</f>
        <v>0</v>
      </c>
      <c r="AD171" s="760">
        <f>IF(OR($A171="F&amp;F",$A171="CE",AD$7="No aplica"),0,'BOULEVARD 5'!AG169-'BOULEVARD PPTO'!Y164)</f>
        <v>0</v>
      </c>
      <c r="AE171" s="760">
        <f>IF(OR($A171="F&amp;F",$A171="CE",AE$7="No aplica"),0,'BOULEVARD 5'!AH169-'BOULEVARD PPTO'!Z164)</f>
        <v>-2250</v>
      </c>
      <c r="AF171" s="760">
        <f>IF(OR($A171="F&amp;F",$A171="CE",AF$7="No aplica"),0,'BOULEVARD 5'!AI169-'BOULEVARD PPTO'!AA164)</f>
        <v>2250</v>
      </c>
      <c r="AG171" s="760">
        <f>IF(OR($A171="F&amp;F",$A171="CE",AG$7="No aplica"),0,'BOULEVARD 5'!AJ169-'BOULEVARD PPTO'!AB164)</f>
        <v>0</v>
      </c>
      <c r="AH171" s="760">
        <f>IF(OR($A171="F&amp;F",$A171="CE",AH$7="No aplica"),0,'BOULEVARD 5'!AK169-'BOULEVARD PPTO'!AC164)</f>
        <v>0</v>
      </c>
      <c r="AI171" s="760">
        <f>IF(OR($A171="F&amp;F",$A171="CE",AI$7="No aplica"),0,'BOULEVARD 5'!AL169-'BOULEVARD PPTO'!AD164)</f>
        <v>0</v>
      </c>
      <c r="AJ171" s="760">
        <f>IF(OR($A171="F&amp;F",$A171="CE",AJ$7="No aplica"),0,'BOULEVARD 5'!AM169-'BOULEVARD PPTO'!AE164)</f>
        <v>0</v>
      </c>
      <c r="AK171" s="760">
        <f>IF(OR($A171="F&amp;F",$A171="CE",AK$7="No aplica"),0,'BOULEVARD 5'!AN169-'BOULEVARD PPTO'!AF164)</f>
        <v>0</v>
      </c>
      <c r="AL171" s="760">
        <f>IF(OR($A171="F&amp;F",$A171="CE",AL$7="No aplica"),0,'BOULEVARD 5'!AO169-'BOULEVARD PPTO'!AG164)</f>
        <v>200</v>
      </c>
      <c r="AM171" s="760">
        <f>IF(OR($A171="F&amp;F",$A171="CE",AM$7="No aplica"),0,'BOULEVARD 5'!AP169-'BOULEVARD PPTO'!AH164)</f>
        <v>2250</v>
      </c>
      <c r="AN171" s="760">
        <f>IF(OR($A171="F&amp;F",$A171="CE",AN$7="No aplica"),0,'BOULEVARD 5'!AQ169-'BOULEVARD PPTO'!AI164)</f>
        <v>0</v>
      </c>
      <c r="AO171" s="760">
        <f>IF(OR($A171="F&amp;F",$A171="CE",AO$7="No aplica"),0,'BOULEVARD 5'!AS169-'BOULEVARD PPTO'!AJ164)</f>
        <v>0</v>
      </c>
      <c r="AP171" s="761">
        <f t="shared" si="18"/>
        <v>2450</v>
      </c>
      <c r="AQ171" s="761">
        <f t="shared" si="19"/>
        <v>4700</v>
      </c>
      <c r="AR171" s="674">
        <f>IF(A171=0,'BOULEVARD 5'!BF169,0)</f>
        <v>6000</v>
      </c>
      <c r="AS171" s="674">
        <f>IF(A171=0,'BOULEVARD 5'!BG169,0)</f>
        <v>2250</v>
      </c>
      <c r="AT171" s="675" t="str">
        <f t="shared" si="17"/>
        <v>Vendido</v>
      </c>
      <c r="AU171" s="581" t="str">
        <f t="shared" si="21"/>
        <v>A FAVOR DEL CLIENTE</v>
      </c>
      <c r="AV171" s="760">
        <f t="shared" si="20"/>
        <v>2250</v>
      </c>
    </row>
    <row r="172" spans="1:48" s="581" customFormat="1" ht="12.4" customHeight="1" outlineLevel="1" x14ac:dyDescent="0.25">
      <c r="A172" s="703">
        <f>'BOULEVARD 5'!BQ170</f>
        <v>0</v>
      </c>
      <c r="B172" s="564">
        <v>917</v>
      </c>
      <c r="C172" s="564" t="s">
        <v>192</v>
      </c>
      <c r="D172" s="564"/>
      <c r="E172" s="564" t="str">
        <f>IF('BOULEVARD 5'!E170&lt;&gt;0,'BOULEVARD 5'!E170,"")</f>
        <v>Brenda Búcaro</v>
      </c>
      <c r="F172" s="581" t="str">
        <f>IF('BOULEVARD 5'!F170&lt;&gt;0,'BOULEVARD 5'!F170,"")</f>
        <v>Jessica María Ramirez Girard</v>
      </c>
      <c r="G172" s="566">
        <f>IF('BOULEVARD 5'!G170="","",'BOULEVARD 5'!G170)</f>
        <v>45068</v>
      </c>
      <c r="H172" s="756">
        <f>IF(OR($A172="F&amp;F",$A172="CE",H$7="No aplica"),0,'BOULEVARD 5'!K170-'BOULEVARD PPTO'!C165)</f>
        <v>0</v>
      </c>
      <c r="I172" s="756">
        <f>IF(OR($A172="F&amp;F",$A172="CE",I$7="No aplica"),0,'BOULEVARD 5'!L170-'BOULEVARD PPTO'!D165)</f>
        <v>0</v>
      </c>
      <c r="J172" s="756">
        <f>IF(OR($A172="F&amp;F",$A172="CE",J$7="No aplica"),0,'BOULEVARD 5'!M170-'BOULEVARD PPTO'!E165)</f>
        <v>0</v>
      </c>
      <c r="K172" s="756">
        <f>IF(OR($A172="F&amp;F",$A172="CE",K$7="No aplica"),0,'BOULEVARD 5'!N170-'BOULEVARD PPTO'!F165)</f>
        <v>0</v>
      </c>
      <c r="L172" s="756">
        <f>IF(OR($A172="F&amp;F",$A172="CE",L$7="No aplica"),0,'BOULEVARD 5'!O170-'BOULEVARD PPTO'!G165)</f>
        <v>0</v>
      </c>
      <c r="M172" s="756">
        <f>IF(OR($A172="F&amp;F",$A172="CE",M$7="No aplica"),0,'BOULEVARD 5'!P170-'BOULEVARD PPTO'!H165)</f>
        <v>0</v>
      </c>
      <c r="N172" s="756">
        <f>IF(OR($A172="F&amp;F",$A172="CE",N$7="No aplica"),0,'BOULEVARD 5'!Q170-'BOULEVARD PPTO'!I165)</f>
        <v>0</v>
      </c>
      <c r="O172" s="756">
        <f>IF(OR($A172="F&amp;F",$A172="CE",O$7="No aplica"),0,'BOULEVARD 5'!R170-'BOULEVARD PPTO'!J165)</f>
        <v>0</v>
      </c>
      <c r="P172" s="756">
        <f>IF(OR($A172="F&amp;F",$A172="CE",P$7="No aplica"),0,'BOULEVARD 5'!S170-'BOULEVARD PPTO'!K165)</f>
        <v>0</v>
      </c>
      <c r="Q172" s="760">
        <f>IF(OR($A172="F&amp;F",$A172="CE",Q$7="No aplica"),0,'BOULEVARD 5'!T170-'BOULEVARD PPTO'!L165)</f>
        <v>0</v>
      </c>
      <c r="R172" s="760">
        <f>IF(OR($A172="F&amp;F",$A172="CE",R$7="No aplica"),0,'BOULEVARD 5'!U170-'BOULEVARD PPTO'!M165)</f>
        <v>0</v>
      </c>
      <c r="S172" s="760">
        <f>IF(OR($A172="F&amp;F",$A172="CE",S$7="No aplica"),0,'BOULEVARD 5'!V170-'BOULEVARD PPTO'!N165)</f>
        <v>0</v>
      </c>
      <c r="T172" s="760">
        <f>IF(OR($A172="F&amp;F",$A172="CE",T$7="No aplica"),0,'BOULEVARD 5'!W170-'BOULEVARD PPTO'!O165)</f>
        <v>0</v>
      </c>
      <c r="U172" s="760">
        <f>IF(OR($A172="F&amp;F",$A172="CE",U$7="No aplica"),0,'BOULEVARD 5'!X170-'BOULEVARD PPTO'!P165)</f>
        <v>0</v>
      </c>
      <c r="V172" s="760">
        <f>IF(OR($A172="F&amp;F",$A172="CE",V$7="No aplica"),0,'BOULEVARD 5'!Y170-'BOULEVARD PPTO'!Q165)</f>
        <v>0</v>
      </c>
      <c r="W172" s="760">
        <f>IF(OR($A172="F&amp;F",$A172="CE",W$7="No aplica"),0,'BOULEVARD 5'!Z170-'BOULEVARD PPTO'!R165)</f>
        <v>0</v>
      </c>
      <c r="X172" s="760">
        <f>IF(OR($A172="F&amp;F",$A172="CE",X$7="No aplica"),0,'BOULEVARD 5'!AA170-'BOULEVARD PPTO'!S165)</f>
        <v>0</v>
      </c>
      <c r="Y172" s="760">
        <f>IF(OR($A172="F&amp;F",$A172="CE",Y$7="No aplica"),0,'BOULEVARD 5'!AB170-'BOULEVARD PPTO'!T165)</f>
        <v>0</v>
      </c>
      <c r="Z172" s="760">
        <f>IF(OR($A172="F&amp;F",$A172="CE",Z$7="No aplica"),0,'BOULEVARD 5'!AC170-'BOULEVARD PPTO'!U165)</f>
        <v>0</v>
      </c>
      <c r="AA172" s="760">
        <f>IF(OR($A172="F&amp;F",$A172="CE",AA$7="No aplica"),0,'BOULEVARD 5'!AD170-'BOULEVARD PPTO'!V165)</f>
        <v>0</v>
      </c>
      <c r="AB172" s="760">
        <f>IF(OR($A172="F&amp;F",$A172="CE",AB$7="No aplica"),0,'BOULEVARD 5'!AE170-'BOULEVARD PPTO'!W165)</f>
        <v>0</v>
      </c>
      <c r="AC172" s="760">
        <f>IF(OR($A172="F&amp;F",$A172="CE",AC$7="No aplica"),0,'BOULEVARD 5'!AF170-'BOULEVARD PPTO'!X165)</f>
        <v>0</v>
      </c>
      <c r="AD172" s="760">
        <f>IF(OR($A172="F&amp;F",$A172="CE",AD$7="No aplica"),0,'BOULEVARD 5'!AG170-'BOULEVARD PPTO'!Y165)</f>
        <v>0</v>
      </c>
      <c r="AE172" s="760">
        <f>IF(OR($A172="F&amp;F",$A172="CE",AE$7="No aplica"),0,'BOULEVARD 5'!AH170-'BOULEVARD PPTO'!Z165)</f>
        <v>0</v>
      </c>
      <c r="AF172" s="760">
        <f>IF(OR($A172="F&amp;F",$A172="CE",AF$7="No aplica"),0,'BOULEVARD 5'!AI170-'BOULEVARD PPTO'!AA165)</f>
        <v>0</v>
      </c>
      <c r="AG172" s="760">
        <f>IF(OR($A172="F&amp;F",$A172="CE",AG$7="No aplica"),0,'BOULEVARD 5'!AJ170-'BOULEVARD PPTO'!AB165)</f>
        <v>0</v>
      </c>
      <c r="AH172" s="760">
        <f>IF(OR($A172="F&amp;F",$A172="CE",AH$7="No aplica"),0,'BOULEVARD 5'!AK170-'BOULEVARD PPTO'!AC165)</f>
        <v>0</v>
      </c>
      <c r="AI172" s="760">
        <f>IF(OR($A172="F&amp;F",$A172="CE",AI$7="No aplica"),0,'BOULEVARD 5'!AL170-'BOULEVARD PPTO'!AD165)</f>
        <v>0</v>
      </c>
      <c r="AJ172" s="760">
        <f>IF(OR($A172="F&amp;F",$A172="CE",AJ$7="No aplica"),0,'BOULEVARD 5'!AM170-'BOULEVARD PPTO'!AE165)</f>
        <v>0</v>
      </c>
      <c r="AK172" s="760">
        <f>IF(OR($A172="F&amp;F",$A172="CE",AK$7="No aplica"),0,'BOULEVARD 5'!AN170-'BOULEVARD PPTO'!AF165)</f>
        <v>0</v>
      </c>
      <c r="AL172" s="760">
        <f>IF(OR($A172="F&amp;F",$A172="CE",AL$7="No aplica"),0,'BOULEVARD 5'!AO170-'BOULEVARD PPTO'!AG165)</f>
        <v>0</v>
      </c>
      <c r="AM172" s="760">
        <f>IF(OR($A172="F&amp;F",$A172="CE",AM$7="No aplica"),0,'BOULEVARD 5'!AP170-'BOULEVARD PPTO'!AH165)</f>
        <v>0</v>
      </c>
      <c r="AN172" s="760">
        <f>IF(OR($A172="F&amp;F",$A172="CE",AN$7="No aplica"),0,'BOULEVARD 5'!AQ170-'BOULEVARD PPTO'!AI165)</f>
        <v>0</v>
      </c>
      <c r="AO172" s="760">
        <f>IF(OR($A172="F&amp;F",$A172="CE",AO$7="No aplica"),0,'BOULEVARD 5'!AS170-'BOULEVARD PPTO'!AJ165)</f>
        <v>0</v>
      </c>
      <c r="AP172" s="761">
        <f t="shared" si="18"/>
        <v>0</v>
      </c>
      <c r="AQ172" s="761">
        <f t="shared" si="19"/>
        <v>0</v>
      </c>
      <c r="AR172" s="674">
        <f>IF(A172=0,'BOULEVARD 5'!BF170,0)</f>
        <v>6000</v>
      </c>
      <c r="AS172" s="674">
        <f>IF(A172=0,'BOULEVARD 5'!BG170,0)</f>
        <v>2250</v>
      </c>
      <c r="AT172" s="675" t="str">
        <f t="shared" si="17"/>
        <v>Vendido</v>
      </c>
      <c r="AU172" s="581" t="str">
        <f t="shared" si="21"/>
        <v/>
      </c>
      <c r="AV172" s="760">
        <f t="shared" si="20"/>
        <v>0</v>
      </c>
    </row>
    <row r="173" spans="1:48" s="581" customFormat="1" ht="12.4" customHeight="1" outlineLevel="1" x14ac:dyDescent="0.25">
      <c r="A173" s="703">
        <f>'BOULEVARD 5'!BQ171</f>
        <v>0</v>
      </c>
      <c r="B173" s="564">
        <v>918</v>
      </c>
      <c r="C173" s="564" t="s">
        <v>198</v>
      </c>
      <c r="D173" s="564"/>
      <c r="E173" s="564" t="str">
        <f>IF('BOULEVARD 5'!E171&lt;&gt;0,'BOULEVARD 5'!E171,"")</f>
        <v>Antonio Rada</v>
      </c>
      <c r="F173" s="581" t="str">
        <f>IF('BOULEVARD 5'!F171&lt;&gt;0,'BOULEVARD 5'!F171,"")</f>
        <v>Astrid Maricel De León Ramírez</v>
      </c>
      <c r="G173" s="566">
        <f>IF('BOULEVARD 5'!G171="","",'BOULEVARD 5'!G171)</f>
        <v>45128</v>
      </c>
      <c r="H173" s="756">
        <f>IF(OR($A173="F&amp;F",$A173="CE",H$7="No aplica"),0,'BOULEVARD 5'!K171-'BOULEVARD PPTO'!C166)</f>
        <v>0</v>
      </c>
      <c r="I173" s="756">
        <f>IF(OR($A173="F&amp;F",$A173="CE",I$7="No aplica"),0,'BOULEVARD 5'!L171-'BOULEVARD PPTO'!D166)</f>
        <v>0</v>
      </c>
      <c r="J173" s="756">
        <f>IF(OR($A173="F&amp;F",$A173="CE",J$7="No aplica"),0,'BOULEVARD 5'!M171-'BOULEVARD PPTO'!E166)</f>
        <v>0</v>
      </c>
      <c r="K173" s="756">
        <f>IF(OR($A173="F&amp;F",$A173="CE",K$7="No aplica"),0,'BOULEVARD 5'!N171-'BOULEVARD PPTO'!F166)</f>
        <v>6000</v>
      </c>
      <c r="L173" s="756">
        <f>IF(OR($A173="F&amp;F",$A173="CE",L$7="No aplica"),0,'BOULEVARD 5'!O171-'BOULEVARD PPTO'!G166)</f>
        <v>-6000</v>
      </c>
      <c r="M173" s="756">
        <f>IF(OR($A173="F&amp;F",$A173="CE",M$7="No aplica"),0,'BOULEVARD 5'!P171-'BOULEVARD PPTO'!H166)</f>
        <v>0</v>
      </c>
      <c r="N173" s="756">
        <f>IF(OR($A173="F&amp;F",$A173="CE",N$7="No aplica"),0,'BOULEVARD 5'!Q171-'BOULEVARD PPTO'!I166)</f>
        <v>0</v>
      </c>
      <c r="O173" s="756">
        <f>IF(OR($A173="F&amp;F",$A173="CE",O$7="No aplica"),0,'BOULEVARD 5'!R171-'BOULEVARD PPTO'!J166)</f>
        <v>0</v>
      </c>
      <c r="P173" s="756">
        <f>IF(OR($A173="F&amp;F",$A173="CE",P$7="No aplica"),0,'BOULEVARD 5'!S171-'BOULEVARD PPTO'!K166)</f>
        <v>0</v>
      </c>
      <c r="Q173" s="760">
        <f>IF(OR($A173="F&amp;F",$A173="CE",Q$7="No aplica"),0,'BOULEVARD 5'!T171-'BOULEVARD PPTO'!L166)</f>
        <v>2477</v>
      </c>
      <c r="R173" s="760">
        <f>IF(OR($A173="F&amp;F",$A173="CE",R$7="No aplica"),0,'BOULEVARD 5'!U171-'BOULEVARD PPTO'!M166)</f>
        <v>-2477</v>
      </c>
      <c r="S173" s="760">
        <f>IF(OR($A173="F&amp;F",$A173="CE",S$7="No aplica"),0,'BOULEVARD 5'!V171-'BOULEVARD PPTO'!N166)</f>
        <v>0</v>
      </c>
      <c r="T173" s="760">
        <f>IF(OR($A173="F&amp;F",$A173="CE",T$7="No aplica"),0,'BOULEVARD 5'!W171-'BOULEVARD PPTO'!O166)</f>
        <v>0</v>
      </c>
      <c r="U173" s="760">
        <f>IF(OR($A173="F&amp;F",$A173="CE",U$7="No aplica"),0,'BOULEVARD 5'!X171-'BOULEVARD PPTO'!P166)</f>
        <v>0</v>
      </c>
      <c r="V173" s="760">
        <f>IF(OR($A173="F&amp;F",$A173="CE",V$7="No aplica"),0,'BOULEVARD 5'!Y171-'BOULEVARD PPTO'!Q166)</f>
        <v>2477</v>
      </c>
      <c r="W173" s="760">
        <f>IF(OR($A173="F&amp;F",$A173="CE",W$7="No aplica"),0,'BOULEVARD 5'!Z171-'BOULEVARD PPTO'!R166)</f>
        <v>-2477</v>
      </c>
      <c r="X173" s="760">
        <f>IF(OR($A173="F&amp;F",$A173="CE",X$7="No aplica"),0,'BOULEVARD 5'!AA171-'BOULEVARD PPTO'!S166)</f>
        <v>0</v>
      </c>
      <c r="Y173" s="760">
        <f>IF(OR($A173="F&amp;F",$A173="CE",Y$7="No aplica"),0,'BOULEVARD 5'!AB171-'BOULEVARD PPTO'!T166)</f>
        <v>0</v>
      </c>
      <c r="Z173" s="760">
        <f>IF(OR($A173="F&amp;F",$A173="CE",Z$7="No aplica"),0,'BOULEVARD 5'!AC171-'BOULEVARD PPTO'!U166)</f>
        <v>0</v>
      </c>
      <c r="AA173" s="760">
        <f>IF(OR($A173="F&amp;F",$A173="CE",AA$7="No aplica"),0,'BOULEVARD 5'!AD171-'BOULEVARD PPTO'!V166)</f>
        <v>0</v>
      </c>
      <c r="AB173" s="760">
        <f>IF(OR($A173="F&amp;F",$A173="CE",AB$7="No aplica"),0,'BOULEVARD 5'!AE171-'BOULEVARD PPTO'!W166)</f>
        <v>0</v>
      </c>
      <c r="AC173" s="760">
        <f>IF(OR($A173="F&amp;F",$A173="CE",AC$7="No aplica"),0,'BOULEVARD 5'!AF171-'BOULEVARD PPTO'!X166)</f>
        <v>0</v>
      </c>
      <c r="AD173" s="760">
        <f>IF(OR($A173="F&amp;F",$A173="CE",AD$7="No aplica"),0,'BOULEVARD 5'!AG171-'BOULEVARD PPTO'!Y166)</f>
        <v>0</v>
      </c>
      <c r="AE173" s="760">
        <f>IF(OR($A173="F&amp;F",$A173="CE",AE$7="No aplica"),0,'BOULEVARD 5'!AH171-'BOULEVARD PPTO'!Z166)</f>
        <v>0</v>
      </c>
      <c r="AF173" s="760">
        <f>IF(OR($A173="F&amp;F",$A173="CE",AF$7="No aplica"),0,'BOULEVARD 5'!AI171-'BOULEVARD PPTO'!AA166)</f>
        <v>-2477</v>
      </c>
      <c r="AG173" s="760">
        <f>IF(OR($A173="F&amp;F",$A173="CE",AG$7="No aplica"),0,'BOULEVARD 5'!AJ171-'BOULEVARD PPTO'!AB166)</f>
        <v>0</v>
      </c>
      <c r="AH173" s="760">
        <f>IF(OR($A173="F&amp;F",$A173="CE",AH$7="No aplica"),0,'BOULEVARD 5'!AK171-'BOULEVARD PPTO'!AC166)</f>
        <v>2477</v>
      </c>
      <c r="AI173" s="760">
        <f>IF(OR($A173="F&amp;F",$A173="CE",AI$7="No aplica"),0,'BOULEVARD 5'!AL171-'BOULEVARD PPTO'!AD166)</f>
        <v>0</v>
      </c>
      <c r="AJ173" s="760">
        <f>IF(OR($A173="F&amp;F",$A173="CE",AJ$7="No aplica"),0,'BOULEVARD 5'!AM171-'BOULEVARD PPTO'!AE166)</f>
        <v>-2477</v>
      </c>
      <c r="AK173" s="760">
        <f>IF(OR($A173="F&amp;F",$A173="CE",AK$7="No aplica"),0,'BOULEVARD 5'!AN171-'BOULEVARD PPTO'!AF166)</f>
        <v>0</v>
      </c>
      <c r="AL173" s="760">
        <f>IF(OR($A173="F&amp;F",$A173="CE",AL$7="No aplica"),0,'BOULEVARD 5'!AO171-'BOULEVARD PPTO'!AG166)</f>
        <v>2</v>
      </c>
      <c r="AM173" s="760">
        <f>IF(OR($A173="F&amp;F",$A173="CE",AM$7="No aplica"),0,'BOULEVARD 5'!AP171-'BOULEVARD PPTO'!AH166)</f>
        <v>1000</v>
      </c>
      <c r="AN173" s="760">
        <f>IF(OR($A173="F&amp;F",$A173="CE",AN$7="No aplica"),0,'BOULEVARD 5'!AQ171-'BOULEVARD PPTO'!AI166)</f>
        <v>0</v>
      </c>
      <c r="AO173" s="760">
        <f>IF(OR($A173="F&amp;F",$A173="CE",AO$7="No aplica"),0,'BOULEVARD 5'!AS171-'BOULEVARD PPTO'!AJ166)</f>
        <v>0</v>
      </c>
      <c r="AP173" s="761">
        <f t="shared" si="18"/>
        <v>-1475</v>
      </c>
      <c r="AQ173" s="761">
        <f t="shared" si="19"/>
        <v>30</v>
      </c>
      <c r="AR173" s="674">
        <f>IF(A173=0,'BOULEVARD 5'!BF171,0)</f>
        <v>6000</v>
      </c>
      <c r="AS173" s="674">
        <f>IF(A173=0,'BOULEVARD 5'!BG171,0)</f>
        <v>2477</v>
      </c>
      <c r="AT173" s="675" t="str">
        <f t="shared" si="17"/>
        <v>Vendido</v>
      </c>
      <c r="AU173" s="581" t="str">
        <f t="shared" si="21"/>
        <v>POR COBRAR</v>
      </c>
      <c r="AV173" s="760">
        <f t="shared" si="20"/>
        <v>1000</v>
      </c>
    </row>
    <row r="174" spans="1:48" s="581" customFormat="1" ht="12.4" customHeight="1" outlineLevel="1" x14ac:dyDescent="0.25">
      <c r="A174" s="703">
        <f>'BOULEVARD 5'!BQ172</f>
        <v>0</v>
      </c>
      <c r="B174" s="564">
        <v>919</v>
      </c>
      <c r="C174" s="564" t="s">
        <v>412</v>
      </c>
      <c r="D174" s="564"/>
      <c r="E174" s="564" t="str">
        <f>IF('BOULEVARD 5'!E172&lt;&gt;0,'BOULEVARD 5'!E172,"")</f>
        <v>Brenda Búcaro</v>
      </c>
      <c r="F174" s="581" t="str">
        <f>IF('BOULEVARD 5'!F172&lt;&gt;0,'BOULEVARD 5'!F172,"")</f>
        <v>Ana Lucrecia Rangel Aquino</v>
      </c>
      <c r="G174" s="566">
        <f>IF('BOULEVARD 5'!G172="","",'BOULEVARD 5'!G172)</f>
        <v>45016</v>
      </c>
      <c r="H174" s="756">
        <f>IF(OR($A174="F&amp;F",$A174="CE",H$7="No aplica"),0,'BOULEVARD 5'!K172-'BOULEVARD PPTO'!C167)</f>
        <v>0</v>
      </c>
      <c r="I174" s="756">
        <f>IF(OR($A174="F&amp;F",$A174="CE",I$7="No aplica"),0,'BOULEVARD 5'!L172-'BOULEVARD PPTO'!D167)</f>
        <v>0</v>
      </c>
      <c r="J174" s="756">
        <f>IF(OR($A174="F&amp;F",$A174="CE",J$7="No aplica"),0,'BOULEVARD 5'!M172-'BOULEVARD PPTO'!E167)</f>
        <v>-2465</v>
      </c>
      <c r="K174" s="756">
        <f>IF(OR($A174="F&amp;F",$A174="CE",K$7="No aplica"),0,'BOULEVARD 5'!N172-'BOULEVARD PPTO'!F167)</f>
        <v>2465</v>
      </c>
      <c r="L174" s="756">
        <f>IF(OR($A174="F&amp;F",$A174="CE",L$7="No aplica"),0,'BOULEVARD 5'!O172-'BOULEVARD PPTO'!G167)</f>
        <v>0</v>
      </c>
      <c r="M174" s="756">
        <f>IF(OR($A174="F&amp;F",$A174="CE",M$7="No aplica"),0,'BOULEVARD 5'!P172-'BOULEVARD PPTO'!H167)</f>
        <v>0</v>
      </c>
      <c r="N174" s="756">
        <f>IF(OR($A174="F&amp;F",$A174="CE",N$7="No aplica"),0,'BOULEVARD 5'!Q172-'BOULEVARD PPTO'!I167)</f>
        <v>0</v>
      </c>
      <c r="O174" s="756">
        <f>IF(OR($A174="F&amp;F",$A174="CE",O$7="No aplica"),0,'BOULEVARD 5'!R172-'BOULEVARD PPTO'!J167)</f>
        <v>0</v>
      </c>
      <c r="P174" s="756">
        <f>IF(OR($A174="F&amp;F",$A174="CE",P$7="No aplica"),0,'BOULEVARD 5'!S172-'BOULEVARD PPTO'!K167)</f>
        <v>-2465</v>
      </c>
      <c r="Q174" s="760">
        <f>IF(OR($A174="F&amp;F",$A174="CE",Q$7="No aplica"),0,'BOULEVARD 5'!T172-'BOULEVARD PPTO'!L167)</f>
        <v>0</v>
      </c>
      <c r="R174" s="760">
        <f>IF(OR($A174="F&amp;F",$A174="CE",R$7="No aplica"),0,'BOULEVARD 5'!U172-'BOULEVARD PPTO'!M167)</f>
        <v>-2465</v>
      </c>
      <c r="S174" s="760">
        <f>IF(OR($A174="F&amp;F",$A174="CE",S$7="No aplica"),0,'BOULEVARD 5'!V172-'BOULEVARD PPTO'!N167)</f>
        <v>0</v>
      </c>
      <c r="T174" s="760">
        <f>IF(OR($A174="F&amp;F",$A174="CE",T$7="No aplica"),0,'BOULEVARD 5'!W172-'BOULEVARD PPTO'!O167)</f>
        <v>2465</v>
      </c>
      <c r="U174" s="760">
        <f>IF(OR($A174="F&amp;F",$A174="CE",U$7="No aplica"),0,'BOULEVARD 5'!X172-'BOULEVARD PPTO'!P167)</f>
        <v>2465</v>
      </c>
      <c r="V174" s="760">
        <f>IF(OR($A174="F&amp;F",$A174="CE",V$7="No aplica"),0,'BOULEVARD 5'!Y172-'BOULEVARD PPTO'!Q167)</f>
        <v>0</v>
      </c>
      <c r="W174" s="760">
        <f>IF(OR($A174="F&amp;F",$A174="CE",W$7="No aplica"),0,'BOULEVARD 5'!Z172-'BOULEVARD PPTO'!R167)</f>
        <v>-2465</v>
      </c>
      <c r="X174" s="760">
        <f>IF(OR($A174="F&amp;F",$A174="CE",X$7="No aplica"),0,'BOULEVARD 5'!AA172-'BOULEVARD PPTO'!S167)</f>
        <v>0</v>
      </c>
      <c r="Y174" s="760">
        <f>IF(OR($A174="F&amp;F",$A174="CE",Y$7="No aplica"),0,'BOULEVARD 5'!AB172-'BOULEVARD PPTO'!T167)</f>
        <v>2465</v>
      </c>
      <c r="Z174" s="760">
        <f>IF(OR($A174="F&amp;F",$A174="CE",Z$7="No aplica"),0,'BOULEVARD 5'!AC172-'BOULEVARD PPTO'!U167)</f>
        <v>-2465</v>
      </c>
      <c r="AA174" s="760">
        <f>IF(OR($A174="F&amp;F",$A174="CE",AA$7="No aplica"),0,'BOULEVARD 5'!AD172-'BOULEVARD PPTO'!V167)</f>
        <v>0</v>
      </c>
      <c r="AB174" s="760">
        <f>IF(OR($A174="F&amp;F",$A174="CE",AB$7="No aplica"),0,'BOULEVARD 5'!AE172-'BOULEVARD PPTO'!W167)</f>
        <v>-2465</v>
      </c>
      <c r="AC174" s="760">
        <f>IF(OR($A174="F&amp;F",$A174="CE",AC$7="No aplica"),0,'BOULEVARD 5'!AF172-'BOULEVARD PPTO'!X167)</f>
        <v>-2465</v>
      </c>
      <c r="AD174" s="760">
        <f>IF(OR($A174="F&amp;F",$A174="CE",AD$7="No aplica"),0,'BOULEVARD 5'!AG172-'BOULEVARD PPTO'!Y167)</f>
        <v>-2465</v>
      </c>
      <c r="AE174" s="760">
        <f>IF(OR($A174="F&amp;F",$A174="CE",AE$7="No aplica"),0,'BOULEVARD 5'!AH172-'BOULEVARD PPTO'!Z167)</f>
        <v>12325</v>
      </c>
      <c r="AF174" s="760">
        <f>IF(OR($A174="F&amp;F",$A174="CE",AF$7="No aplica"),0,'BOULEVARD 5'!AI172-'BOULEVARD PPTO'!AA167)</f>
        <v>-2465</v>
      </c>
      <c r="AG174" s="760">
        <f>IF(OR($A174="F&amp;F",$A174="CE",AG$7="No aplica"),0,'BOULEVARD 5'!AJ172-'BOULEVARD PPTO'!AB167)</f>
        <v>0</v>
      </c>
      <c r="AH174" s="760">
        <f>IF(OR($A174="F&amp;F",$A174="CE",AH$7="No aplica"),0,'BOULEVARD 5'!AK172-'BOULEVARD PPTO'!AC167)</f>
        <v>0</v>
      </c>
      <c r="AI174" s="760">
        <f>IF(OR($A174="F&amp;F",$A174="CE",AI$7="No aplica"),0,'BOULEVARD 5'!AL172-'BOULEVARD PPTO'!AD167)</f>
        <v>0</v>
      </c>
      <c r="AJ174" s="760">
        <f>IF(OR($A174="F&amp;F",$A174="CE",AJ$7="No aplica"),0,'BOULEVARD 5'!AM172-'BOULEVARD PPTO'!AE167)</f>
        <v>-2465</v>
      </c>
      <c r="AK174" s="760">
        <f>IF(OR($A174="F&amp;F",$A174="CE",AK$7="No aplica"),0,'BOULEVARD 5'!AN172-'BOULEVARD PPTO'!AF167)</f>
        <v>0</v>
      </c>
      <c r="AL174" s="760">
        <f>IF(OR($A174="F&amp;F",$A174="CE",AL$7="No aplica"),0,'BOULEVARD 5'!AO172-'BOULEVARD PPTO'!AG167)</f>
        <v>0</v>
      </c>
      <c r="AM174" s="760">
        <f>IF(OR($A174="F&amp;F",$A174="CE",AM$7="No aplica"),0,'BOULEVARD 5'!AP172-'BOULEVARD PPTO'!AH167)</f>
        <v>-2465</v>
      </c>
      <c r="AN174" s="760">
        <f>IF(OR($A174="F&amp;F",$A174="CE",AN$7="No aplica"),0,'BOULEVARD 5'!AQ172-'BOULEVARD PPTO'!AI167)</f>
        <v>0</v>
      </c>
      <c r="AO174" s="760">
        <f>IF(OR($A174="F&amp;F",$A174="CE",AO$7="No aplica"),0,'BOULEVARD 5'!AS172-'BOULEVARD PPTO'!AJ167)</f>
        <v>0</v>
      </c>
      <c r="AP174" s="761">
        <f t="shared" si="18"/>
        <v>-4930</v>
      </c>
      <c r="AQ174" s="761">
        <f t="shared" si="19"/>
        <v>-14715</v>
      </c>
      <c r="AR174" s="674">
        <f>IF(A174=0,'BOULEVARD 5'!BF172,0)</f>
        <v>6000</v>
      </c>
      <c r="AS174" s="674">
        <f>IF(A174=0,'BOULEVARD 5'!BG172,0)</f>
        <v>2465</v>
      </c>
      <c r="AT174" s="675" t="str">
        <f t="shared" si="17"/>
        <v>Vendido</v>
      </c>
      <c r="AU174" s="581" t="str">
        <f t="shared" si="21"/>
        <v>POR COBRAR</v>
      </c>
      <c r="AV174" s="760">
        <f t="shared" si="20"/>
        <v>0</v>
      </c>
    </row>
    <row r="175" spans="1:48" s="581" customFormat="1" ht="12.4" customHeight="1" outlineLevel="1" x14ac:dyDescent="0.25">
      <c r="A175" s="703" t="str">
        <f>'BOULEVARD 5'!BQ173</f>
        <v>F&amp;F</v>
      </c>
      <c r="B175" s="704">
        <v>920</v>
      </c>
      <c r="C175" s="704" t="s">
        <v>186</v>
      </c>
      <c r="D175" s="704"/>
      <c r="E175" s="704" t="str">
        <f>IF('BOULEVARD 5'!E173&lt;&gt;0,'BOULEVARD 5'!E173,"")</f>
        <v>Ronaldo</v>
      </c>
      <c r="F175" s="705" t="str">
        <f>IF('BOULEVARD 5'!F173&lt;&gt;0,'BOULEVARD 5'!F173,"")</f>
        <v>Iurix, S.A</v>
      </c>
      <c r="G175" s="566">
        <f>IF('BOULEVARD 5'!G173="","",'BOULEVARD 5'!G173)</f>
        <v>45300</v>
      </c>
      <c r="H175" s="756">
        <f>IF(OR($A175="F&amp;F",$A175="CE",H$7="No aplica"),0,'BOULEVARD 5'!K173-'BOULEVARD PPTO'!C168)</f>
        <v>0</v>
      </c>
      <c r="I175" s="756">
        <f>IF(OR($A175="F&amp;F",$A175="CE",I$7="No aplica"),0,'BOULEVARD 5'!L173-'BOULEVARD PPTO'!D168)</f>
        <v>0</v>
      </c>
      <c r="J175" s="756">
        <f>IF(OR($A175="F&amp;F",$A175="CE",J$7="No aplica"),0,'BOULEVARD 5'!M173-'BOULEVARD PPTO'!E168)</f>
        <v>0</v>
      </c>
      <c r="K175" s="756">
        <f>IF(OR($A175="F&amp;F",$A175="CE",K$7="No aplica"),0,'BOULEVARD 5'!N173-'BOULEVARD PPTO'!F168)</f>
        <v>0</v>
      </c>
      <c r="L175" s="756">
        <f>IF(OR($A175="F&amp;F",$A175="CE",L$7="No aplica"),0,'BOULEVARD 5'!O173-'BOULEVARD PPTO'!G168)</f>
        <v>0</v>
      </c>
      <c r="M175" s="756">
        <f>IF(OR($A175="F&amp;F",$A175="CE",M$7="No aplica"),0,'BOULEVARD 5'!P173-'BOULEVARD PPTO'!H168)</f>
        <v>0</v>
      </c>
      <c r="N175" s="756">
        <f>IF(OR($A175="F&amp;F",$A175="CE",N$7="No aplica"),0,'BOULEVARD 5'!Q173-'BOULEVARD PPTO'!I168)</f>
        <v>0</v>
      </c>
      <c r="O175" s="756">
        <f>IF(OR($A175="F&amp;F",$A175="CE",O$7="No aplica"),0,'BOULEVARD 5'!R173-'BOULEVARD PPTO'!J168)</f>
        <v>0</v>
      </c>
      <c r="P175" s="756">
        <f>IF(OR($A175="F&amp;F",$A175="CE",P$7="No aplica"),0,'BOULEVARD 5'!S173-'BOULEVARD PPTO'!K168)</f>
        <v>0</v>
      </c>
      <c r="Q175" s="760">
        <f>IF(OR($A175="F&amp;F",$A175="CE",Q$7="No aplica"),0,'BOULEVARD 5'!T173-'BOULEVARD PPTO'!L168)</f>
        <v>0</v>
      </c>
      <c r="R175" s="760">
        <f>IF(OR($A175="F&amp;F",$A175="CE",R$7="No aplica"),0,'BOULEVARD 5'!U173-'BOULEVARD PPTO'!M168)</f>
        <v>0</v>
      </c>
      <c r="S175" s="760">
        <f>IF(OR($A175="F&amp;F",$A175="CE",S$7="No aplica"),0,'BOULEVARD 5'!V173-'BOULEVARD PPTO'!N168)</f>
        <v>0</v>
      </c>
      <c r="T175" s="760">
        <f>IF(OR($A175="F&amp;F",$A175="CE",T$7="No aplica"),0,'BOULEVARD 5'!W173-'BOULEVARD PPTO'!O168)</f>
        <v>0</v>
      </c>
      <c r="U175" s="760">
        <f>IF(OR($A175="F&amp;F",$A175="CE",U$7="No aplica"),0,'BOULEVARD 5'!X173-'BOULEVARD PPTO'!P168)</f>
        <v>0</v>
      </c>
      <c r="V175" s="760">
        <f>IF(OR($A175="F&amp;F",$A175="CE",V$7="No aplica"),0,'BOULEVARD 5'!Y173-'BOULEVARD PPTO'!Q168)</f>
        <v>0</v>
      </c>
      <c r="W175" s="760">
        <f>IF(OR($A175="F&amp;F",$A175="CE",W$7="No aplica"),0,'BOULEVARD 5'!Z173-'BOULEVARD PPTO'!R168)</f>
        <v>0</v>
      </c>
      <c r="X175" s="760">
        <f>IF(OR($A175="F&amp;F",$A175="CE",X$7="No aplica"),0,'BOULEVARD 5'!AA173-'BOULEVARD PPTO'!S168)</f>
        <v>0</v>
      </c>
      <c r="Y175" s="760">
        <f>IF(OR($A175="F&amp;F",$A175="CE",Y$7="No aplica"),0,'BOULEVARD 5'!AB173-'BOULEVARD PPTO'!T168)</f>
        <v>0</v>
      </c>
      <c r="Z175" s="760">
        <f>IF(OR($A175="F&amp;F",$A175="CE",Z$7="No aplica"),0,'BOULEVARD 5'!AC173-'BOULEVARD PPTO'!U168)</f>
        <v>0</v>
      </c>
      <c r="AA175" s="760">
        <f>IF(OR($A175="F&amp;F",$A175="CE",AA$7="No aplica"),0,'BOULEVARD 5'!AD173-'BOULEVARD PPTO'!V168)</f>
        <v>0</v>
      </c>
      <c r="AB175" s="760">
        <f>IF(OR($A175="F&amp;F",$A175="CE",AB$7="No aplica"),0,'BOULEVARD 5'!AE173-'BOULEVARD PPTO'!W168)</f>
        <v>0</v>
      </c>
      <c r="AC175" s="760">
        <f>IF(OR($A175="F&amp;F",$A175="CE",AC$7="No aplica"),0,'BOULEVARD 5'!AF173-'BOULEVARD PPTO'!X168)</f>
        <v>0</v>
      </c>
      <c r="AD175" s="760">
        <f>IF(OR($A175="F&amp;F",$A175="CE",AD$7="No aplica"),0,'BOULEVARD 5'!AG173-'BOULEVARD PPTO'!Y168)</f>
        <v>0</v>
      </c>
      <c r="AE175" s="760">
        <f>IF(OR($A175="F&amp;F",$A175="CE",AE$7="No aplica"),0,'BOULEVARD 5'!AH173-'BOULEVARD PPTO'!Z168)</f>
        <v>0</v>
      </c>
      <c r="AF175" s="760">
        <f>IF(OR($A175="F&amp;F",$A175="CE",AF$7="No aplica"),0,'BOULEVARD 5'!AI173-'BOULEVARD PPTO'!AA168)</f>
        <v>0</v>
      </c>
      <c r="AG175" s="760">
        <f>IF(OR($A175="F&amp;F",$A175="CE",AG$7="No aplica"),0,'BOULEVARD 5'!AJ173-'BOULEVARD PPTO'!AB168)</f>
        <v>0</v>
      </c>
      <c r="AH175" s="760">
        <f>IF(OR($A175="F&amp;F",$A175="CE",AH$7="No aplica"),0,'BOULEVARD 5'!AK173-'BOULEVARD PPTO'!AC168)</f>
        <v>0</v>
      </c>
      <c r="AI175" s="760">
        <f>IF(OR($A175="F&amp;F",$A175="CE",AI$7="No aplica"),0,'BOULEVARD 5'!AL173-'BOULEVARD PPTO'!AD168)</f>
        <v>0</v>
      </c>
      <c r="AJ175" s="760">
        <f>IF(OR($A175="F&amp;F",$A175="CE",AJ$7="No aplica"),0,'BOULEVARD 5'!AM173-'BOULEVARD PPTO'!AE168)</f>
        <v>0</v>
      </c>
      <c r="AK175" s="760">
        <f>IF(OR($A175="F&amp;F",$A175="CE",AK$7="No aplica"),0,'BOULEVARD 5'!AN173-'BOULEVARD PPTO'!AF168)</f>
        <v>0</v>
      </c>
      <c r="AL175" s="760">
        <f>IF(OR($A175="F&amp;F",$A175="CE",AL$7="No aplica"),0,'BOULEVARD 5'!AO173-'BOULEVARD PPTO'!AG168)</f>
        <v>0</v>
      </c>
      <c r="AM175" s="760">
        <f>IF(OR($A175="F&amp;F",$A175="CE",AM$7="No aplica"),0,'BOULEVARD 5'!AP173-'BOULEVARD PPTO'!AH168)</f>
        <v>0</v>
      </c>
      <c r="AN175" s="760">
        <f>IF(OR($A175="F&amp;F",$A175="CE",AN$7="No aplica"),0,'BOULEVARD 5'!AQ173-'BOULEVARD PPTO'!AI168)</f>
        <v>0</v>
      </c>
      <c r="AO175" s="760">
        <f>IF(OR($A175="F&amp;F",$A175="CE",AO$7="No aplica"),0,'BOULEVARD 5'!AS173-'BOULEVARD PPTO'!AJ168)</f>
        <v>0</v>
      </c>
      <c r="AP175" s="761">
        <f t="shared" si="18"/>
        <v>0</v>
      </c>
      <c r="AQ175" s="761">
        <f t="shared" si="19"/>
        <v>0</v>
      </c>
      <c r="AR175" s="674">
        <f>IF(A175=0,'BOULEVARD 5'!BF173,0)</f>
        <v>0</v>
      </c>
      <c r="AS175" s="674">
        <f>IF(A175=0,'BOULEVARD 5'!BG173,0)</f>
        <v>0</v>
      </c>
      <c r="AT175" s="675" t="str">
        <f t="shared" si="17"/>
        <v>Vendido</v>
      </c>
      <c r="AU175" s="581" t="str">
        <f t="shared" si="21"/>
        <v/>
      </c>
      <c r="AV175" s="760">
        <f t="shared" si="20"/>
        <v>0</v>
      </c>
    </row>
    <row r="176" spans="1:48" s="581" customFormat="1" ht="12.4" customHeight="1" outlineLevel="1" x14ac:dyDescent="0.25">
      <c r="A176" s="703">
        <f>'BOULEVARD 5'!BQ174</f>
        <v>0</v>
      </c>
      <c r="B176" s="564">
        <v>1001</v>
      </c>
      <c r="C176" s="564" t="s">
        <v>409</v>
      </c>
      <c r="D176" s="564"/>
      <c r="E176" s="564" t="str">
        <f>IF('BOULEVARD 5'!E174&lt;&gt;0,'BOULEVARD 5'!E174,"")</f>
        <v>Antonio Rada</v>
      </c>
      <c r="F176" s="581" t="str">
        <f>IF('BOULEVARD 5'!F174&lt;&gt;0,'BOULEVARD 5'!F174,"")</f>
        <v xml:space="preserve"> Zonia Beariz Hernandez Herrera</v>
      </c>
      <c r="G176" s="566">
        <f>IF('BOULEVARD 5'!G174="","",'BOULEVARD 5'!G174)</f>
        <v>45027</v>
      </c>
      <c r="H176" s="756">
        <f>IF(OR($A176="F&amp;F",$A176="CE",H$7="No aplica"),0,'BOULEVARD 5'!K174-'BOULEVARD PPTO'!C169)</f>
        <v>0</v>
      </c>
      <c r="I176" s="756">
        <f>IF(OR($A176="F&amp;F",$A176="CE",I$7="No aplica"),0,'BOULEVARD 5'!L174-'BOULEVARD PPTO'!D169)</f>
        <v>0</v>
      </c>
      <c r="J176" s="756">
        <f>IF(OR($A176="F&amp;F",$A176="CE",J$7="No aplica"),0,'BOULEVARD 5'!M174-'BOULEVARD PPTO'!E169)</f>
        <v>0</v>
      </c>
      <c r="K176" s="756">
        <f>IF(OR($A176="F&amp;F",$A176="CE",K$7="No aplica"),0,'BOULEVARD 5'!N174-'BOULEVARD PPTO'!F169)</f>
        <v>0</v>
      </c>
      <c r="L176" s="756">
        <f>IF(OR($A176="F&amp;F",$A176="CE",L$7="No aplica"),0,'BOULEVARD 5'!O174-'BOULEVARD PPTO'!G169)</f>
        <v>0</v>
      </c>
      <c r="M176" s="756">
        <f>IF(OR($A176="F&amp;F",$A176="CE",M$7="No aplica"),0,'BOULEVARD 5'!P174-'BOULEVARD PPTO'!H169)</f>
        <v>0</v>
      </c>
      <c r="N176" s="756">
        <f>IF(OR($A176="F&amp;F",$A176="CE",N$7="No aplica"),0,'BOULEVARD 5'!Q174-'BOULEVARD PPTO'!I169)</f>
        <v>0</v>
      </c>
      <c r="O176" s="756">
        <f>IF(OR($A176="F&amp;F",$A176="CE",O$7="No aplica"),0,'BOULEVARD 5'!R174-'BOULEVARD PPTO'!J169)</f>
        <v>0</v>
      </c>
      <c r="P176" s="756">
        <f>IF(OR($A176="F&amp;F",$A176="CE",P$7="No aplica"),0,'BOULEVARD 5'!S174-'BOULEVARD PPTO'!K169)</f>
        <v>0</v>
      </c>
      <c r="Q176" s="760">
        <f>IF(OR($A176="F&amp;F",$A176="CE",Q$7="No aplica"),0,'BOULEVARD 5'!T174-'BOULEVARD PPTO'!L169)</f>
        <v>0</v>
      </c>
      <c r="R176" s="760">
        <f>IF(OR($A176="F&amp;F",$A176="CE",R$7="No aplica"),0,'BOULEVARD 5'!U174-'BOULEVARD PPTO'!M169)</f>
        <v>0</v>
      </c>
      <c r="S176" s="760">
        <f>IF(OR($A176="F&amp;F",$A176="CE",S$7="No aplica"),0,'BOULEVARD 5'!V174-'BOULEVARD PPTO'!N169)</f>
        <v>0</v>
      </c>
      <c r="T176" s="760">
        <f>IF(OR($A176="F&amp;F",$A176="CE",T$7="No aplica"),0,'BOULEVARD 5'!W174-'BOULEVARD PPTO'!O169)</f>
        <v>0</v>
      </c>
      <c r="U176" s="760">
        <f>IF(OR($A176="F&amp;F",$A176="CE",U$7="No aplica"),0,'BOULEVARD 5'!X174-'BOULEVARD PPTO'!P169)</f>
        <v>0</v>
      </c>
      <c r="V176" s="760">
        <f>IF(OR($A176="F&amp;F",$A176="CE",V$7="No aplica"),0,'BOULEVARD 5'!Y174-'BOULEVARD PPTO'!Q169)</f>
        <v>0</v>
      </c>
      <c r="W176" s="760">
        <f>IF(OR($A176="F&amp;F",$A176="CE",W$7="No aplica"),0,'BOULEVARD 5'!Z174-'BOULEVARD PPTO'!R169)</f>
        <v>0</v>
      </c>
      <c r="X176" s="760">
        <f>IF(OR($A176="F&amp;F",$A176="CE",X$7="No aplica"),0,'BOULEVARD 5'!AA174-'BOULEVARD PPTO'!S169)</f>
        <v>0</v>
      </c>
      <c r="Y176" s="760">
        <f>IF(OR($A176="F&amp;F",$A176="CE",Y$7="No aplica"),0,'BOULEVARD 5'!AB174-'BOULEVARD PPTO'!T169)</f>
        <v>0</v>
      </c>
      <c r="Z176" s="760">
        <f>IF(OR($A176="F&amp;F",$A176="CE",Z$7="No aplica"),0,'BOULEVARD 5'!AC174-'BOULEVARD PPTO'!U169)</f>
        <v>0</v>
      </c>
      <c r="AA176" s="760">
        <f>IF(OR($A176="F&amp;F",$A176="CE",AA$7="No aplica"),0,'BOULEVARD 5'!AD174-'BOULEVARD PPTO'!V169)</f>
        <v>0</v>
      </c>
      <c r="AB176" s="760">
        <f>IF(OR($A176="F&amp;F",$A176="CE",AB$7="No aplica"),0,'BOULEVARD 5'!AE174-'BOULEVARD PPTO'!W169)</f>
        <v>0</v>
      </c>
      <c r="AC176" s="760">
        <f>IF(OR($A176="F&amp;F",$A176="CE",AC$7="No aplica"),0,'BOULEVARD 5'!AF174-'BOULEVARD PPTO'!X169)</f>
        <v>0</v>
      </c>
      <c r="AD176" s="760">
        <f>IF(OR($A176="F&amp;F",$A176="CE",AD$7="No aplica"),0,'BOULEVARD 5'!AG174-'BOULEVARD PPTO'!Y169)</f>
        <v>0</v>
      </c>
      <c r="AE176" s="760">
        <f>IF(OR($A176="F&amp;F",$A176="CE",AE$7="No aplica"),0,'BOULEVARD 5'!AH174-'BOULEVARD PPTO'!Z169)</f>
        <v>0</v>
      </c>
      <c r="AF176" s="760">
        <f>IF(OR($A176="F&amp;F",$A176="CE",AF$7="No aplica"),0,'BOULEVARD 5'!AI174-'BOULEVARD PPTO'!AA169)</f>
        <v>0</v>
      </c>
      <c r="AG176" s="760">
        <f>IF(OR($A176="F&amp;F",$A176="CE",AG$7="No aplica"),0,'BOULEVARD 5'!AJ174-'BOULEVARD PPTO'!AB169)</f>
        <v>0</v>
      </c>
      <c r="AH176" s="760">
        <f>IF(OR($A176="F&amp;F",$A176="CE",AH$7="No aplica"),0,'BOULEVARD 5'!AK174-'BOULEVARD PPTO'!AC169)</f>
        <v>-3579</v>
      </c>
      <c r="AI176" s="760">
        <f>IF(OR($A176="F&amp;F",$A176="CE",AI$7="No aplica"),0,'BOULEVARD 5'!AL174-'BOULEVARD PPTO'!AD169)</f>
        <v>0</v>
      </c>
      <c r="AJ176" s="760">
        <f>IF(OR($A176="F&amp;F",$A176="CE",AJ$7="No aplica"),0,'BOULEVARD 5'!AM174-'BOULEVARD PPTO'!AE169)</f>
        <v>-3579</v>
      </c>
      <c r="AK176" s="760">
        <f>IF(OR($A176="F&amp;F",$A176="CE",AK$7="No aplica"),0,'BOULEVARD 5'!AN174-'BOULEVARD PPTO'!AF169)</f>
        <v>-3579</v>
      </c>
      <c r="AL176" s="760">
        <f>IF(OR($A176="F&amp;F",$A176="CE",AL$7="No aplica"),0,'BOULEVARD 5'!AO174-'BOULEVARD PPTO'!AG169)</f>
        <v>-9</v>
      </c>
      <c r="AM176" s="760">
        <f>IF(OR($A176="F&amp;F",$A176="CE",AM$7="No aplica"),0,'BOULEVARD 5'!AP174-'BOULEVARD PPTO'!AH169)</f>
        <v>0</v>
      </c>
      <c r="AN176" s="760">
        <f>IF(OR($A176="F&amp;F",$A176="CE",AN$7="No aplica"),0,'BOULEVARD 5'!AQ174-'BOULEVARD PPTO'!AI169)</f>
        <v>0</v>
      </c>
      <c r="AO176" s="760">
        <f>IF(OR($A176="F&amp;F",$A176="CE",AO$7="No aplica"),0,'BOULEVARD 5'!AS174-'BOULEVARD PPTO'!AJ169)</f>
        <v>0</v>
      </c>
      <c r="AP176" s="761">
        <f t="shared" si="18"/>
        <v>-10746</v>
      </c>
      <c r="AQ176" s="761">
        <f t="shared" si="19"/>
        <v>-10746</v>
      </c>
      <c r="AR176" s="674">
        <f>IF(A176=0,'BOULEVARD 5'!BF174,0)</f>
        <v>6000</v>
      </c>
      <c r="AS176" s="674">
        <f>IF(A176=0,'BOULEVARD 5'!BG174,0)</f>
        <v>3579</v>
      </c>
      <c r="AT176" s="675" t="str">
        <f t="shared" si="17"/>
        <v>Vendido</v>
      </c>
      <c r="AU176" s="581" t="str">
        <f t="shared" si="21"/>
        <v>POR COBRAR</v>
      </c>
      <c r="AV176" s="760">
        <f t="shared" si="20"/>
        <v>0</v>
      </c>
    </row>
    <row r="177" spans="1:48" s="581" customFormat="1" ht="12.4" customHeight="1" outlineLevel="1" x14ac:dyDescent="0.25">
      <c r="A177" s="703">
        <f>'BOULEVARD 5'!BQ175</f>
        <v>0</v>
      </c>
      <c r="B177" s="564">
        <v>1002</v>
      </c>
      <c r="C177" s="564" t="s">
        <v>184</v>
      </c>
      <c r="D177" s="564"/>
      <c r="E177" s="564" t="str">
        <f>IF('BOULEVARD 5'!E175&lt;&gt;0,'BOULEVARD 5'!E175,"")</f>
        <v>Antonio Rada</v>
      </c>
      <c r="F177" s="581" t="str">
        <f>IF('BOULEVARD 5'!F175&lt;&gt;0,'BOULEVARD 5'!F175,"")</f>
        <v>Evelin Yadira Orellana Ordoñez</v>
      </c>
      <c r="G177" s="566">
        <f>IF('BOULEVARD 5'!G175="","",'BOULEVARD 5'!G175)</f>
        <v>45008</v>
      </c>
      <c r="H177" s="756">
        <f>IF(OR($A177="F&amp;F",$A177="CE",H$7="No aplica"),0,'BOULEVARD 5'!K175-'BOULEVARD PPTO'!C170)</f>
        <v>0</v>
      </c>
      <c r="I177" s="756">
        <f>IF(OR($A177="F&amp;F",$A177="CE",I$7="No aplica"),0,'BOULEVARD 5'!L175-'BOULEVARD PPTO'!D170)</f>
        <v>-6000</v>
      </c>
      <c r="J177" s="756">
        <f>IF(OR($A177="F&amp;F",$A177="CE",J$7="No aplica"),0,'BOULEVARD 5'!M175-'BOULEVARD PPTO'!E170)</f>
        <v>6000</v>
      </c>
      <c r="K177" s="756">
        <f>IF(OR($A177="F&amp;F",$A177="CE",K$7="No aplica"),0,'BOULEVARD 5'!N175-'BOULEVARD PPTO'!F170)</f>
        <v>0</v>
      </c>
      <c r="L177" s="756">
        <f>IF(OR($A177="F&amp;F",$A177="CE",L$7="No aplica"),0,'BOULEVARD 5'!O175-'BOULEVARD PPTO'!G170)</f>
        <v>0</v>
      </c>
      <c r="M177" s="756">
        <f>IF(OR($A177="F&amp;F",$A177="CE",M$7="No aplica"),0,'BOULEVARD 5'!P175-'BOULEVARD PPTO'!H170)</f>
        <v>0</v>
      </c>
      <c r="N177" s="756">
        <f>IF(OR($A177="F&amp;F",$A177="CE",N$7="No aplica"),0,'BOULEVARD 5'!Q175-'BOULEVARD PPTO'!I170)</f>
        <v>0</v>
      </c>
      <c r="O177" s="756">
        <f>IF(OR($A177="F&amp;F",$A177="CE",O$7="No aplica"),0,'BOULEVARD 5'!R175-'BOULEVARD PPTO'!J170)</f>
        <v>0</v>
      </c>
      <c r="P177" s="756">
        <f>IF(OR($A177="F&amp;F",$A177="CE",P$7="No aplica"),0,'BOULEVARD 5'!S175-'BOULEVARD PPTO'!K170)</f>
        <v>0</v>
      </c>
      <c r="Q177" s="760">
        <f>IF(OR($A177="F&amp;F",$A177="CE",Q$7="No aplica"),0,'BOULEVARD 5'!T175-'BOULEVARD PPTO'!L170)</f>
        <v>0</v>
      </c>
      <c r="R177" s="760">
        <f>IF(OR($A177="F&amp;F",$A177="CE",R$7="No aplica"),0,'BOULEVARD 5'!U175-'BOULEVARD PPTO'!M170)</f>
        <v>0</v>
      </c>
      <c r="S177" s="760">
        <f>IF(OR($A177="F&amp;F",$A177="CE",S$7="No aplica"),0,'BOULEVARD 5'!V175-'BOULEVARD PPTO'!N170)</f>
        <v>0</v>
      </c>
      <c r="T177" s="760">
        <f>IF(OR($A177="F&amp;F",$A177="CE",T$7="No aplica"),0,'BOULEVARD 5'!W175-'BOULEVARD PPTO'!O170)</f>
        <v>-6000</v>
      </c>
      <c r="U177" s="760">
        <f>IF(OR($A177="F&amp;F",$A177="CE",U$7="No aplica"),0,'BOULEVARD 5'!X175-'BOULEVARD PPTO'!P170)</f>
        <v>-6000</v>
      </c>
      <c r="V177" s="760">
        <f>IF(OR($A177="F&amp;F",$A177="CE",V$7="No aplica"),0,'BOULEVARD 5'!Y175-'BOULEVARD PPTO'!Q170)</f>
        <v>12000</v>
      </c>
      <c r="W177" s="760">
        <f>IF(OR($A177="F&amp;F",$A177="CE",W$7="No aplica"),0,'BOULEVARD 5'!Z175-'BOULEVARD PPTO'!R170)</f>
        <v>0</v>
      </c>
      <c r="X177" s="760">
        <f>IF(OR($A177="F&amp;F",$A177="CE",X$7="No aplica"),0,'BOULEVARD 5'!AA175-'BOULEVARD PPTO'!S170)</f>
        <v>-6000</v>
      </c>
      <c r="Y177" s="760">
        <f>IF(OR($A177="F&amp;F",$A177="CE",Y$7="No aplica"),0,'BOULEVARD 5'!AB175-'BOULEVARD PPTO'!T170)</f>
        <v>0</v>
      </c>
      <c r="Z177" s="760">
        <f>IF(OR($A177="F&amp;F",$A177="CE",Z$7="No aplica"),0,'BOULEVARD 5'!AC175-'BOULEVARD PPTO'!U170)</f>
        <v>0</v>
      </c>
      <c r="AA177" s="760">
        <f>IF(OR($A177="F&amp;F",$A177="CE",AA$7="No aplica"),0,'BOULEVARD 5'!AD175-'BOULEVARD PPTO'!V170)</f>
        <v>0</v>
      </c>
      <c r="AB177" s="760">
        <f>IF(OR($A177="F&amp;F",$A177="CE",AB$7="No aplica"),0,'BOULEVARD 5'!AE175-'BOULEVARD PPTO'!W170)</f>
        <v>0</v>
      </c>
      <c r="AC177" s="760">
        <f>IF(OR($A177="F&amp;F",$A177="CE",AC$7="No aplica"),0,'BOULEVARD 5'!AF175-'BOULEVARD PPTO'!X170)</f>
        <v>0</v>
      </c>
      <c r="AD177" s="760">
        <f>IF(OR($A177="F&amp;F",$A177="CE",AD$7="No aplica"),0,'BOULEVARD 5'!AG175-'BOULEVARD PPTO'!Y170)</f>
        <v>0</v>
      </c>
      <c r="AE177" s="760">
        <f>IF(OR($A177="F&amp;F",$A177="CE",AE$7="No aplica"),0,'BOULEVARD 5'!AH175-'BOULEVARD PPTO'!Z170)</f>
        <v>0</v>
      </c>
      <c r="AF177" s="760">
        <f>IF(OR($A177="F&amp;F",$A177="CE",AF$7="No aplica"),0,'BOULEVARD 5'!AI175-'BOULEVARD PPTO'!AA170)</f>
        <v>0</v>
      </c>
      <c r="AG177" s="760">
        <f>IF(OR($A177="F&amp;F",$A177="CE",AG$7="No aplica"),0,'BOULEVARD 5'!AJ175-'BOULEVARD PPTO'!AB170)</f>
        <v>6000</v>
      </c>
      <c r="AH177" s="760">
        <f>IF(OR($A177="F&amp;F",$A177="CE",AH$7="No aplica"),0,'BOULEVARD 5'!AK175-'BOULEVARD PPTO'!AC170)</f>
        <v>0</v>
      </c>
      <c r="AI177" s="760">
        <f>IF(OR($A177="F&amp;F",$A177="CE",AI$7="No aplica"),0,'BOULEVARD 5'!AL175-'BOULEVARD PPTO'!AD170)</f>
        <v>0</v>
      </c>
      <c r="AJ177" s="760">
        <f>IF(OR($A177="F&amp;F",$A177="CE",AJ$7="No aplica"),0,'BOULEVARD 5'!AM175-'BOULEVARD PPTO'!AE170)</f>
        <v>0</v>
      </c>
      <c r="AK177" s="760">
        <f>IF(OR($A177="F&amp;F",$A177="CE",AK$7="No aplica"),0,'BOULEVARD 5'!AN175-'BOULEVARD PPTO'!AF170)</f>
        <v>0</v>
      </c>
      <c r="AL177" s="760">
        <f>IF(OR($A177="F&amp;F",$A177="CE",AL$7="No aplica"),0,'BOULEVARD 5'!AO175-'BOULEVARD PPTO'!AG170)</f>
        <v>0</v>
      </c>
      <c r="AM177" s="760">
        <f>IF(OR($A177="F&amp;F",$A177="CE",AM$7="No aplica"),0,'BOULEVARD 5'!AP175-'BOULEVARD PPTO'!AH170)</f>
        <v>0</v>
      </c>
      <c r="AN177" s="760">
        <f>IF(OR($A177="F&amp;F",$A177="CE",AN$7="No aplica"),0,'BOULEVARD 5'!AQ175-'BOULEVARD PPTO'!AI170)</f>
        <v>0</v>
      </c>
      <c r="AO177" s="760">
        <f>IF(OR($A177="F&amp;F",$A177="CE",AO$7="No aplica"),0,'BOULEVARD 5'!AS175-'BOULEVARD PPTO'!AJ170)</f>
        <v>0</v>
      </c>
      <c r="AP177" s="761">
        <f t="shared" si="18"/>
        <v>0</v>
      </c>
      <c r="AQ177" s="761">
        <f t="shared" si="19"/>
        <v>-12000</v>
      </c>
      <c r="AR177" s="674">
        <f>IF(A177=0,'BOULEVARD 5'!BF175,0)</f>
        <v>6000</v>
      </c>
      <c r="AS177" s="674">
        <f>IF(A177=0,'BOULEVARD 5'!BG175,0)</f>
        <v>6000</v>
      </c>
      <c r="AT177" s="675" t="str">
        <f t="shared" si="17"/>
        <v>Vendido</v>
      </c>
      <c r="AU177" s="581" t="str">
        <f t="shared" si="21"/>
        <v/>
      </c>
      <c r="AV177" s="760">
        <f t="shared" si="20"/>
        <v>0</v>
      </c>
    </row>
    <row r="178" spans="1:48" s="581" customFormat="1" ht="12.4" customHeight="1" outlineLevel="1" x14ac:dyDescent="0.25">
      <c r="A178" s="703">
        <f>'BOULEVARD 5'!BQ176</f>
        <v>0</v>
      </c>
      <c r="B178" s="564">
        <v>1003</v>
      </c>
      <c r="C178" s="564" t="s">
        <v>406</v>
      </c>
      <c r="D178" s="564"/>
      <c r="E178" s="564" t="str">
        <f>IF('BOULEVARD 5'!E176&lt;&gt;0,'BOULEVARD 5'!E176,"")</f>
        <v>Antonio Rada</v>
      </c>
      <c r="F178" s="581" t="str">
        <f>IF('BOULEVARD 5'!F176&lt;&gt;0,'BOULEVARD 5'!F176,"")</f>
        <v>Eduar Reginaldo Colindres Estrada</v>
      </c>
      <c r="G178" s="566">
        <f>IF('BOULEVARD 5'!G176="","",'BOULEVARD 5'!G176)</f>
        <v>45072</v>
      </c>
      <c r="H178" s="756">
        <f>IF(OR($A178="F&amp;F",$A178="CE",H$7="No aplica"),0,'BOULEVARD 5'!K176-'BOULEVARD PPTO'!C171)</f>
        <v>0</v>
      </c>
      <c r="I178" s="756">
        <f>IF(OR($A178="F&amp;F",$A178="CE",I$7="No aplica"),0,'BOULEVARD 5'!L176-'BOULEVARD PPTO'!D171)</f>
        <v>6000</v>
      </c>
      <c r="J178" s="756">
        <f>IF(OR($A178="F&amp;F",$A178="CE",J$7="No aplica"),0,'BOULEVARD 5'!M176-'BOULEVARD PPTO'!E171)</f>
        <v>-6000</v>
      </c>
      <c r="K178" s="756">
        <f>IF(OR($A178="F&amp;F",$A178="CE",K$7="No aplica"),0,'BOULEVARD 5'!N176-'BOULEVARD PPTO'!F171)</f>
        <v>0</v>
      </c>
      <c r="L178" s="756">
        <f>IF(OR($A178="F&amp;F",$A178="CE",L$7="No aplica"),0,'BOULEVARD 5'!O176-'BOULEVARD PPTO'!G171)</f>
        <v>0</v>
      </c>
      <c r="M178" s="756">
        <f>IF(OR($A178="F&amp;F",$A178="CE",M$7="No aplica"),0,'BOULEVARD 5'!P176-'BOULEVARD PPTO'!H171)</f>
        <v>0</v>
      </c>
      <c r="N178" s="756">
        <f>IF(OR($A178="F&amp;F",$A178="CE",N$7="No aplica"),0,'BOULEVARD 5'!Q176-'BOULEVARD PPTO'!I171)</f>
        <v>0</v>
      </c>
      <c r="O178" s="756">
        <f>IF(OR($A178="F&amp;F",$A178="CE",O$7="No aplica"),0,'BOULEVARD 5'!R176-'BOULEVARD PPTO'!J171)</f>
        <v>0</v>
      </c>
      <c r="P178" s="756">
        <f>IF(OR($A178="F&amp;F",$A178="CE",P$7="No aplica"),0,'BOULEVARD 5'!S176-'BOULEVARD PPTO'!K171)</f>
        <v>-2300</v>
      </c>
      <c r="Q178" s="760">
        <f>IF(OR($A178="F&amp;F",$A178="CE",Q$7="No aplica"),0,'BOULEVARD 5'!T176-'BOULEVARD PPTO'!L171)</f>
        <v>0</v>
      </c>
      <c r="R178" s="760">
        <f>IF(OR($A178="F&amp;F",$A178="CE",R$7="No aplica"),0,'BOULEVARD 5'!U176-'BOULEVARD PPTO'!M171)</f>
        <v>2300</v>
      </c>
      <c r="S178" s="760">
        <f>IF(OR($A178="F&amp;F",$A178="CE",S$7="No aplica"),0,'BOULEVARD 5'!V176-'BOULEVARD PPTO'!N171)</f>
        <v>-2300</v>
      </c>
      <c r="T178" s="760">
        <f>IF(OR($A178="F&amp;F",$A178="CE",T$7="No aplica"),0,'BOULEVARD 5'!W176-'BOULEVARD PPTO'!O171)</f>
        <v>2300</v>
      </c>
      <c r="U178" s="760">
        <f>IF(OR($A178="F&amp;F",$A178="CE",U$7="No aplica"),0,'BOULEVARD 5'!X176-'BOULEVARD PPTO'!P171)</f>
        <v>0</v>
      </c>
      <c r="V178" s="760">
        <f>IF(OR($A178="F&amp;F",$A178="CE",V$7="No aplica"),0,'BOULEVARD 5'!Y176-'BOULEVARD PPTO'!Q171)</f>
        <v>-2300</v>
      </c>
      <c r="W178" s="760">
        <f>IF(OR($A178="F&amp;F",$A178="CE",W$7="No aplica"),0,'BOULEVARD 5'!Z176-'BOULEVARD PPTO'!R171)</f>
        <v>0</v>
      </c>
      <c r="X178" s="760">
        <f>IF(OR($A178="F&amp;F",$A178="CE",X$7="No aplica"),0,'BOULEVARD 5'!AA176-'BOULEVARD PPTO'!S171)</f>
        <v>0</v>
      </c>
      <c r="Y178" s="760">
        <f>IF(OR($A178="F&amp;F",$A178="CE",Y$7="No aplica"),0,'BOULEVARD 5'!AB176-'BOULEVARD PPTO'!T171)</f>
        <v>2300</v>
      </c>
      <c r="Z178" s="760">
        <f>IF(OR($A178="F&amp;F",$A178="CE",Z$7="No aplica"),0,'BOULEVARD 5'!AC176-'BOULEVARD PPTO'!U171)</f>
        <v>-2300</v>
      </c>
      <c r="AA178" s="760">
        <f>IF(OR($A178="F&amp;F",$A178="CE",AA$7="No aplica"),0,'BOULEVARD 5'!AD176-'BOULEVARD PPTO'!V171)</f>
        <v>2300</v>
      </c>
      <c r="AB178" s="760">
        <f>IF(OR($A178="F&amp;F",$A178="CE",AB$7="No aplica"),0,'BOULEVARD 5'!AE176-'BOULEVARD PPTO'!W171)</f>
        <v>-2300</v>
      </c>
      <c r="AC178" s="760">
        <f>IF(OR($A178="F&amp;F",$A178="CE",AC$7="No aplica"),0,'BOULEVARD 5'!AF176-'BOULEVARD PPTO'!X171)</f>
        <v>-2300</v>
      </c>
      <c r="AD178" s="760">
        <f>IF(OR($A178="F&amp;F",$A178="CE",AD$7="No aplica"),0,'BOULEVARD 5'!AG176-'BOULEVARD PPTO'!Y171)</f>
        <v>-2300</v>
      </c>
      <c r="AE178" s="760">
        <f>IF(OR($A178="F&amp;F",$A178="CE",AE$7="No aplica"),0,'BOULEVARD 5'!AH176-'BOULEVARD PPTO'!Z171)</f>
        <v>7300</v>
      </c>
      <c r="AF178" s="760">
        <f>IF(OR($A178="F&amp;F",$A178="CE",AF$7="No aplica"),0,'BOULEVARD 5'!AI176-'BOULEVARD PPTO'!AA171)</f>
        <v>-2300</v>
      </c>
      <c r="AG178" s="760">
        <f>IF(OR($A178="F&amp;F",$A178="CE",AG$7="No aplica"),0,'BOULEVARD 5'!AJ176-'BOULEVARD PPTO'!AB171)</f>
        <v>2500</v>
      </c>
      <c r="AH178" s="760">
        <f>IF(OR($A178="F&amp;F",$A178="CE",AH$7="No aplica"),0,'BOULEVARD 5'!AK176-'BOULEVARD PPTO'!AC171)</f>
        <v>100</v>
      </c>
      <c r="AI178" s="760">
        <f>IF(OR($A178="F&amp;F",$A178="CE",AI$7="No aplica"),0,'BOULEVARD 5'!AL176-'BOULEVARD PPTO'!AD171)</f>
        <v>-2300</v>
      </c>
      <c r="AJ178" s="760">
        <f>IF(OR($A178="F&amp;F",$A178="CE",AJ$7="No aplica"),0,'BOULEVARD 5'!AM176-'BOULEVARD PPTO'!AE171)</f>
        <v>-2300</v>
      </c>
      <c r="AK178" s="760">
        <f>IF(OR($A178="F&amp;F",$A178="CE",AK$7="No aplica"),0,'BOULEVARD 5'!AN176-'BOULEVARD PPTO'!AF171)</f>
        <v>2500</v>
      </c>
      <c r="AL178" s="760">
        <f>IF(OR($A178="F&amp;F",$A178="CE",AL$7="No aplica"),0,'BOULEVARD 5'!AO176-'BOULEVARD PPTO'!AG171)</f>
        <v>100</v>
      </c>
      <c r="AM178" s="760">
        <f>IF(OR($A178="F&amp;F",$A178="CE",AM$7="No aplica"),0,'BOULEVARD 5'!AP176-'BOULEVARD PPTO'!AH171)</f>
        <v>0</v>
      </c>
      <c r="AN178" s="760">
        <f>IF(OR($A178="F&amp;F",$A178="CE",AN$7="No aplica"),0,'BOULEVARD 5'!AQ176-'BOULEVARD PPTO'!AI171)</f>
        <v>0</v>
      </c>
      <c r="AO178" s="760">
        <f>IF(OR($A178="F&amp;F",$A178="CE",AO$7="No aplica"),0,'BOULEVARD 5'!AS176-'BOULEVARD PPTO'!AJ171)</f>
        <v>0</v>
      </c>
      <c r="AP178" s="761">
        <f t="shared" si="18"/>
        <v>-1300</v>
      </c>
      <c r="AQ178" s="761">
        <f t="shared" si="19"/>
        <v>8300</v>
      </c>
      <c r="AR178" s="674">
        <f>IF(A178=0,'BOULEVARD 5'!BF176,0)</f>
        <v>6000</v>
      </c>
      <c r="AS178" s="674">
        <f>IF(A178=0,'BOULEVARD 5'!BG176,0)</f>
        <v>2300</v>
      </c>
      <c r="AT178" s="675" t="str">
        <f t="shared" si="17"/>
        <v>Vendido</v>
      </c>
      <c r="AU178" s="581" t="str">
        <f t="shared" si="21"/>
        <v>POR COBRAR</v>
      </c>
      <c r="AV178" s="760">
        <f t="shared" si="20"/>
        <v>0</v>
      </c>
    </row>
    <row r="179" spans="1:48" s="581" customFormat="1" ht="12.4" customHeight="1" outlineLevel="1" x14ac:dyDescent="0.25">
      <c r="A179" s="703">
        <f>'BOULEVARD 5'!BQ177</f>
        <v>0</v>
      </c>
      <c r="B179" s="564">
        <v>1004</v>
      </c>
      <c r="C179" s="564" t="s">
        <v>200</v>
      </c>
      <c r="D179" s="564"/>
      <c r="E179" s="564" t="str">
        <f>IF('BOULEVARD 5'!E177&lt;&gt;0,'BOULEVARD 5'!E177,"")</f>
        <v>Jose Franco</v>
      </c>
      <c r="F179" s="581" t="str">
        <f>IF('BOULEVARD 5'!F177&lt;&gt;0,'BOULEVARD 5'!F177,"")</f>
        <v xml:space="preserve"> Jorge Silva Sagastume</v>
      </c>
      <c r="G179" s="566">
        <f>IF('BOULEVARD 5'!G177="","",'BOULEVARD 5'!G177)</f>
        <v>45062</v>
      </c>
      <c r="H179" s="756">
        <f>IF(OR($A179="F&amp;F",$A179="CE",H$7="No aplica"),0,'BOULEVARD 5'!K177-'BOULEVARD PPTO'!C172)</f>
        <v>0</v>
      </c>
      <c r="I179" s="756">
        <f>IF(OR($A179="F&amp;F",$A179="CE",I$7="No aplica"),0,'BOULEVARD 5'!L177-'BOULEVARD PPTO'!D172)</f>
        <v>0</v>
      </c>
      <c r="J179" s="756">
        <f>IF(OR($A179="F&amp;F",$A179="CE",J$7="No aplica"),0,'BOULEVARD 5'!M177-'BOULEVARD PPTO'!E172)</f>
        <v>0</v>
      </c>
      <c r="K179" s="756">
        <f>IF(OR($A179="F&amp;F",$A179="CE",K$7="No aplica"),0,'BOULEVARD 5'!N177-'BOULEVARD PPTO'!F172)</f>
        <v>1</v>
      </c>
      <c r="L179" s="756">
        <f>IF(OR($A179="F&amp;F",$A179="CE",L$7="No aplica"),0,'BOULEVARD 5'!O177-'BOULEVARD PPTO'!G172)</f>
        <v>0</v>
      </c>
      <c r="M179" s="756">
        <f>IF(OR($A179="F&amp;F",$A179="CE",M$7="No aplica"),0,'BOULEVARD 5'!P177-'BOULEVARD PPTO'!H172)</f>
        <v>0</v>
      </c>
      <c r="N179" s="756">
        <f>IF(OR($A179="F&amp;F",$A179="CE",N$7="No aplica"),0,'BOULEVARD 5'!Q177-'BOULEVARD PPTO'!I172)</f>
        <v>0</v>
      </c>
      <c r="O179" s="756">
        <f>IF(OR($A179="F&amp;F",$A179="CE",O$7="No aplica"),0,'BOULEVARD 5'!R177-'BOULEVARD PPTO'!J172)</f>
        <v>0</v>
      </c>
      <c r="P179" s="756">
        <f>IF(OR($A179="F&amp;F",$A179="CE",P$7="No aplica"),0,'BOULEVARD 5'!S177-'BOULEVARD PPTO'!K172)</f>
        <v>0</v>
      </c>
      <c r="Q179" s="760">
        <f>IF(OR($A179="F&amp;F",$A179="CE",Q$7="No aplica"),0,'BOULEVARD 5'!T177-'BOULEVARD PPTO'!L172)</f>
        <v>0</v>
      </c>
      <c r="R179" s="760">
        <f>IF(OR($A179="F&amp;F",$A179="CE",R$7="No aplica"),0,'BOULEVARD 5'!U177-'BOULEVARD PPTO'!M172)</f>
        <v>0</v>
      </c>
      <c r="S179" s="760">
        <f>IF(OR($A179="F&amp;F",$A179="CE",S$7="No aplica"),0,'BOULEVARD 5'!V177-'BOULEVARD PPTO'!N172)</f>
        <v>0</v>
      </c>
      <c r="T179" s="760">
        <f>IF(OR($A179="F&amp;F",$A179="CE",T$7="No aplica"),0,'BOULEVARD 5'!W177-'BOULEVARD PPTO'!O172)</f>
        <v>0</v>
      </c>
      <c r="U179" s="760">
        <f>IF(OR($A179="F&amp;F",$A179="CE",U$7="No aplica"),0,'BOULEVARD 5'!X177-'BOULEVARD PPTO'!P172)</f>
        <v>0</v>
      </c>
      <c r="V179" s="760">
        <f>IF(OR($A179="F&amp;F",$A179="CE",V$7="No aplica"),0,'BOULEVARD 5'!Y177-'BOULEVARD PPTO'!Q172)</f>
        <v>0</v>
      </c>
      <c r="W179" s="760">
        <f>IF(OR($A179="F&amp;F",$A179="CE",W$7="No aplica"),0,'BOULEVARD 5'!Z177-'BOULEVARD PPTO'!R172)</f>
        <v>0</v>
      </c>
      <c r="X179" s="760">
        <f>IF(OR($A179="F&amp;F",$A179="CE",X$7="No aplica"),0,'BOULEVARD 5'!AA177-'BOULEVARD PPTO'!S172)</f>
        <v>0</v>
      </c>
      <c r="Y179" s="760">
        <f>IF(OR($A179="F&amp;F",$A179="CE",Y$7="No aplica"),0,'BOULEVARD 5'!AB177-'BOULEVARD PPTO'!T172)</f>
        <v>0</v>
      </c>
      <c r="Z179" s="760">
        <f>IF(OR($A179="F&amp;F",$A179="CE",Z$7="No aplica"),0,'BOULEVARD 5'!AC177-'BOULEVARD PPTO'!U172)</f>
        <v>0</v>
      </c>
      <c r="AA179" s="760">
        <f>IF(OR($A179="F&amp;F",$A179="CE",AA$7="No aplica"),0,'BOULEVARD 5'!AD177-'BOULEVARD PPTO'!V172)</f>
        <v>0</v>
      </c>
      <c r="AB179" s="760">
        <f>IF(OR($A179="F&amp;F",$A179="CE",AB$7="No aplica"),0,'BOULEVARD 5'!AE177-'BOULEVARD PPTO'!W172)</f>
        <v>0</v>
      </c>
      <c r="AC179" s="760">
        <f>IF(OR($A179="F&amp;F",$A179="CE",AC$7="No aplica"),0,'BOULEVARD 5'!AF177-'BOULEVARD PPTO'!X172)</f>
        <v>0</v>
      </c>
      <c r="AD179" s="760">
        <f>IF(OR($A179="F&amp;F",$A179="CE",AD$7="No aplica"),0,'BOULEVARD 5'!AG177-'BOULEVARD PPTO'!Y172)</f>
        <v>0</v>
      </c>
      <c r="AE179" s="760">
        <f>IF(OR($A179="F&amp;F",$A179="CE",AE$7="No aplica"),0,'BOULEVARD 5'!AH177-'BOULEVARD PPTO'!Z172)</f>
        <v>0</v>
      </c>
      <c r="AF179" s="760">
        <f>IF(OR($A179="F&amp;F",$A179="CE",AF$7="No aplica"),0,'BOULEVARD 5'!AI177-'BOULEVARD PPTO'!AA172)</f>
        <v>0</v>
      </c>
      <c r="AG179" s="760">
        <f>IF(OR($A179="F&amp;F",$A179="CE",AG$7="No aplica"),0,'BOULEVARD 5'!AJ177-'BOULEVARD PPTO'!AB172)</f>
        <v>0</v>
      </c>
      <c r="AH179" s="760">
        <f>IF(OR($A179="F&amp;F",$A179="CE",AH$7="No aplica"),0,'BOULEVARD 5'!AK177-'BOULEVARD PPTO'!AC172)</f>
        <v>0</v>
      </c>
      <c r="AI179" s="760">
        <f>IF(OR($A179="F&amp;F",$A179="CE",AI$7="No aplica"),0,'BOULEVARD 5'!AL177-'BOULEVARD PPTO'!AD172)</f>
        <v>0</v>
      </c>
      <c r="AJ179" s="760">
        <f>IF(OR($A179="F&amp;F",$A179="CE",AJ$7="No aplica"),0,'BOULEVARD 5'!AM177-'BOULEVARD PPTO'!AE172)</f>
        <v>0</v>
      </c>
      <c r="AK179" s="760">
        <f>IF(OR($A179="F&amp;F",$A179="CE",AK$7="No aplica"),0,'BOULEVARD 5'!AN177-'BOULEVARD PPTO'!AF172)</f>
        <v>0</v>
      </c>
      <c r="AL179" s="760">
        <f>IF(OR($A179="F&amp;F",$A179="CE",AL$7="No aplica"),0,'BOULEVARD 5'!AO177-'BOULEVARD PPTO'!AG172)</f>
        <v>0</v>
      </c>
      <c r="AM179" s="760">
        <f>IF(OR($A179="F&amp;F",$A179="CE",AM$7="No aplica"),0,'BOULEVARD 5'!AP177-'BOULEVARD PPTO'!AH172)</f>
        <v>0</v>
      </c>
      <c r="AN179" s="760">
        <f>IF(OR($A179="F&amp;F",$A179="CE",AN$7="No aplica"),0,'BOULEVARD 5'!AQ177-'BOULEVARD PPTO'!AI172)</f>
        <v>0</v>
      </c>
      <c r="AO179" s="760">
        <f>IF(OR($A179="F&amp;F",$A179="CE",AO$7="No aplica"),0,'BOULEVARD 5'!AS177-'BOULEVARD PPTO'!AJ172)</f>
        <v>0</v>
      </c>
      <c r="AP179" s="761">
        <f t="shared" si="18"/>
        <v>1</v>
      </c>
      <c r="AQ179" s="761">
        <f t="shared" si="19"/>
        <v>1</v>
      </c>
      <c r="AR179" s="674">
        <f>IF(A179=0,'BOULEVARD 5'!BF177,0)</f>
        <v>6000</v>
      </c>
      <c r="AS179" s="674">
        <f>IF(A179=0,'BOULEVARD 5'!BG177,0)</f>
        <v>2275</v>
      </c>
      <c r="AT179" s="675" t="str">
        <f t="shared" si="17"/>
        <v>Vendido</v>
      </c>
      <c r="AU179" s="581" t="str">
        <f t="shared" si="21"/>
        <v>A FAVOR DEL CLIENTE</v>
      </c>
      <c r="AV179" s="760">
        <f t="shared" si="20"/>
        <v>0</v>
      </c>
    </row>
    <row r="180" spans="1:48" s="581" customFormat="1" ht="12.4" customHeight="1" outlineLevel="1" x14ac:dyDescent="0.25">
      <c r="A180" s="703">
        <f>'BOULEVARD 5'!BQ178</f>
        <v>0</v>
      </c>
      <c r="B180" s="564">
        <v>1005</v>
      </c>
      <c r="C180" s="564" t="s">
        <v>534</v>
      </c>
      <c r="D180" s="564"/>
      <c r="E180" s="564" t="str">
        <f>IF('BOULEVARD 5'!E178&lt;&gt;0,'BOULEVARD 5'!E178,"")</f>
        <v>Brenda Búcaro</v>
      </c>
      <c r="F180" s="581" t="str">
        <f>IF('BOULEVARD 5'!F178&lt;&gt;0,'BOULEVARD 5'!F178,"")</f>
        <v>Barbara Elizabeth Ixmucane Zapeta Albanés</v>
      </c>
      <c r="G180" s="566">
        <f>IF('BOULEVARD 5'!G178="","",'BOULEVARD 5'!G178)</f>
        <v>45113</v>
      </c>
      <c r="H180" s="756">
        <f>IF(OR($A180="F&amp;F",$A180="CE",H$7="No aplica"),0,'BOULEVARD 5'!K178-'BOULEVARD PPTO'!C173)</f>
        <v>0</v>
      </c>
      <c r="I180" s="756">
        <f>IF(OR($A180="F&amp;F",$A180="CE",I$7="No aplica"),0,'BOULEVARD 5'!L178-'BOULEVARD PPTO'!D173)</f>
        <v>0</v>
      </c>
      <c r="J180" s="756">
        <f>IF(OR($A180="F&amp;F",$A180="CE",J$7="No aplica"),0,'BOULEVARD 5'!M178-'BOULEVARD PPTO'!E173)</f>
        <v>0</v>
      </c>
      <c r="K180" s="756">
        <f>IF(OR($A180="F&amp;F",$A180="CE",K$7="No aplica"),0,'BOULEVARD 5'!N178-'BOULEVARD PPTO'!F173)</f>
        <v>-6000</v>
      </c>
      <c r="L180" s="756">
        <f>IF(OR($A180="F&amp;F",$A180="CE",L$7="No aplica"),0,'BOULEVARD 5'!O178-'BOULEVARD PPTO'!G173)</f>
        <v>2733</v>
      </c>
      <c r="M180" s="756">
        <f>IF(OR($A180="F&amp;F",$A180="CE",M$7="No aplica"),0,'BOULEVARD 5'!P178-'BOULEVARD PPTO'!H173)</f>
        <v>0</v>
      </c>
      <c r="N180" s="756">
        <f>IF(OR($A180="F&amp;F",$A180="CE",N$7="No aplica"),0,'BOULEVARD 5'!Q178-'BOULEVARD PPTO'!I173)</f>
        <v>0</v>
      </c>
      <c r="O180" s="756">
        <f>IF(OR($A180="F&amp;F",$A180="CE",O$7="No aplica"),0,'BOULEVARD 5'!R178-'BOULEVARD PPTO'!J173)</f>
        <v>0</v>
      </c>
      <c r="P180" s="756">
        <f>IF(OR($A180="F&amp;F",$A180="CE",P$7="No aplica"),0,'BOULEVARD 5'!S178-'BOULEVARD PPTO'!K173)</f>
        <v>0</v>
      </c>
      <c r="Q180" s="760">
        <f>IF(OR($A180="F&amp;F",$A180="CE",Q$7="No aplica"),0,'BOULEVARD 5'!T178-'BOULEVARD PPTO'!L173)</f>
        <v>0</v>
      </c>
      <c r="R180" s="760">
        <f>IF(OR($A180="F&amp;F",$A180="CE",R$7="No aplica"),0,'BOULEVARD 5'!U178-'BOULEVARD PPTO'!M173)</f>
        <v>0</v>
      </c>
      <c r="S180" s="760">
        <f>IF(OR($A180="F&amp;F",$A180="CE",S$7="No aplica"),0,'BOULEVARD 5'!V178-'BOULEVARD PPTO'!N173)</f>
        <v>0</v>
      </c>
      <c r="T180" s="760">
        <f>IF(OR($A180="F&amp;F",$A180="CE",T$7="No aplica"),0,'BOULEVARD 5'!W178-'BOULEVARD PPTO'!O173)</f>
        <v>0</v>
      </c>
      <c r="U180" s="760">
        <f>IF(OR($A180="F&amp;F",$A180="CE",U$7="No aplica"),0,'BOULEVARD 5'!X178-'BOULEVARD PPTO'!P173)</f>
        <v>0</v>
      </c>
      <c r="V180" s="760">
        <f>IF(OR($A180="F&amp;F",$A180="CE",V$7="No aplica"),0,'BOULEVARD 5'!Y178-'BOULEVARD PPTO'!Q173)</f>
        <v>0</v>
      </c>
      <c r="W180" s="760">
        <f>IF(OR($A180="F&amp;F",$A180="CE",W$7="No aplica"),0,'BOULEVARD 5'!Z178-'BOULEVARD PPTO'!R173)</f>
        <v>0</v>
      </c>
      <c r="X180" s="760">
        <f>IF(OR($A180="F&amp;F",$A180="CE",X$7="No aplica"),0,'BOULEVARD 5'!AA178-'BOULEVARD PPTO'!S173)</f>
        <v>0</v>
      </c>
      <c r="Y180" s="760">
        <f>IF(OR($A180="F&amp;F",$A180="CE",Y$7="No aplica"),0,'BOULEVARD 5'!AB178-'BOULEVARD PPTO'!T173)</f>
        <v>0</v>
      </c>
      <c r="Z180" s="760">
        <f>IF(OR($A180="F&amp;F",$A180="CE",Z$7="No aplica"),0,'BOULEVARD 5'!AC178-'BOULEVARD PPTO'!U173)</f>
        <v>0</v>
      </c>
      <c r="AA180" s="760">
        <f>IF(OR($A180="F&amp;F",$A180="CE",AA$7="No aplica"),0,'BOULEVARD 5'!AD178-'BOULEVARD PPTO'!V173)</f>
        <v>0</v>
      </c>
      <c r="AB180" s="760">
        <f>IF(OR($A180="F&amp;F",$A180="CE",AB$7="No aplica"),0,'BOULEVARD 5'!AE178-'BOULEVARD PPTO'!W173)</f>
        <v>0</v>
      </c>
      <c r="AC180" s="760">
        <f>IF(OR($A180="F&amp;F",$A180="CE",AC$7="No aplica"),0,'BOULEVARD 5'!AF178-'BOULEVARD PPTO'!X173)</f>
        <v>0</v>
      </c>
      <c r="AD180" s="760">
        <f>IF(OR($A180="F&amp;F",$A180="CE",AD$7="No aplica"),0,'BOULEVARD 5'!AG178-'BOULEVARD PPTO'!Y173)</f>
        <v>0</v>
      </c>
      <c r="AE180" s="760">
        <f>IF(OR($A180="F&amp;F",$A180="CE",AE$7="No aplica"),0,'BOULEVARD 5'!AH178-'BOULEVARD PPTO'!Z173)</f>
        <v>0</v>
      </c>
      <c r="AF180" s="760">
        <f>IF(OR($A180="F&amp;F",$A180="CE",AF$7="No aplica"),0,'BOULEVARD 5'!AI178-'BOULEVARD PPTO'!AA173)</f>
        <v>0</v>
      </c>
      <c r="AG180" s="760">
        <f>IF(OR($A180="F&amp;F",$A180="CE",AG$7="No aplica"),0,'BOULEVARD 5'!AJ178-'BOULEVARD PPTO'!AB173)</f>
        <v>0</v>
      </c>
      <c r="AH180" s="760">
        <f>IF(OR($A180="F&amp;F",$A180="CE",AH$7="No aplica"),0,'BOULEVARD 5'!AK178-'BOULEVARD PPTO'!AC173)</f>
        <v>0</v>
      </c>
      <c r="AI180" s="760">
        <f>IF(OR($A180="F&amp;F",$A180="CE",AI$7="No aplica"),0,'BOULEVARD 5'!AL178-'BOULEVARD PPTO'!AD173)</f>
        <v>0</v>
      </c>
      <c r="AJ180" s="760">
        <f>IF(OR($A180="F&amp;F",$A180="CE",AJ$7="No aplica"),0,'BOULEVARD 5'!AM178-'BOULEVARD PPTO'!AE173)</f>
        <v>0</v>
      </c>
      <c r="AK180" s="760">
        <f>IF(OR($A180="F&amp;F",$A180="CE",AK$7="No aplica"),0,'BOULEVARD 5'!AN178-'BOULEVARD PPTO'!AF173)</f>
        <v>0</v>
      </c>
      <c r="AL180" s="760">
        <f>IF(OR($A180="F&amp;F",$A180="CE",AL$7="No aplica"),0,'BOULEVARD 5'!AO178-'BOULEVARD PPTO'!AG173)</f>
        <v>-3258</v>
      </c>
      <c r="AM180" s="760">
        <f>IF(OR($A180="F&amp;F",$A180="CE",AM$7="No aplica"),0,'BOULEVARD 5'!AP178-'BOULEVARD PPTO'!AH173)</f>
        <v>0</v>
      </c>
      <c r="AN180" s="760">
        <f>IF(OR($A180="F&amp;F",$A180="CE",AN$7="No aplica"),0,'BOULEVARD 5'!AQ178-'BOULEVARD PPTO'!AI173)</f>
        <v>0</v>
      </c>
      <c r="AO180" s="760">
        <f>IF(OR($A180="F&amp;F",$A180="CE",AO$7="No aplica"),0,'BOULEVARD 5'!AS178-'BOULEVARD PPTO'!AJ173)</f>
        <v>0</v>
      </c>
      <c r="AP180" s="761">
        <f t="shared" si="18"/>
        <v>-6525</v>
      </c>
      <c r="AQ180" s="761">
        <f t="shared" si="19"/>
        <v>-6525</v>
      </c>
      <c r="AR180" s="674">
        <f>IF(A180=0,'BOULEVARD 5'!BF178,0)</f>
        <v>6000</v>
      </c>
      <c r="AS180" s="674">
        <f>IF(A180=0,'BOULEVARD 5'!BG178,0)</f>
        <v>3267</v>
      </c>
      <c r="AT180" s="675" t="str">
        <f t="shared" si="17"/>
        <v>Vendido</v>
      </c>
      <c r="AU180" s="581" t="str">
        <f t="shared" si="21"/>
        <v>POR COBRAR</v>
      </c>
      <c r="AV180" s="760">
        <f t="shared" si="20"/>
        <v>0</v>
      </c>
    </row>
    <row r="181" spans="1:48" s="581" customFormat="1" ht="12.4" customHeight="1" outlineLevel="1" x14ac:dyDescent="0.25">
      <c r="A181" s="703">
        <f>'BOULEVARD 5'!BQ179</f>
        <v>0</v>
      </c>
      <c r="B181" s="564">
        <v>1006</v>
      </c>
      <c r="C181" s="564" t="s">
        <v>536</v>
      </c>
      <c r="D181" s="564"/>
      <c r="E181" s="564" t="str">
        <f>IF('BOULEVARD 5'!E179&lt;&gt;0,'BOULEVARD 5'!E179,"")</f>
        <v>Antonio Rada</v>
      </c>
      <c r="F181" s="581" t="str">
        <f>IF('BOULEVARD 5'!F179&lt;&gt;0,'BOULEVARD 5'!F179,"")</f>
        <v>Diana Marisol Donis Cú</v>
      </c>
      <c r="G181" s="566">
        <f>IF('BOULEVARD 5'!G179="","",'BOULEVARD 5'!G179)</f>
        <v>45343</v>
      </c>
      <c r="H181" s="756">
        <f>IF(OR($A181="F&amp;F",$A181="CE",H$7="No aplica"),0,'BOULEVARD 5'!K179-'BOULEVARD PPTO'!C174)</f>
        <v>0</v>
      </c>
      <c r="I181" s="756">
        <f>IF(OR($A181="F&amp;F",$A181="CE",I$7="No aplica"),0,'BOULEVARD 5'!L179-'BOULEVARD PPTO'!D174)</f>
        <v>0</v>
      </c>
      <c r="J181" s="756">
        <f>IF(OR($A181="F&amp;F",$A181="CE",J$7="No aplica"),0,'BOULEVARD 5'!M179-'BOULEVARD PPTO'!E174)</f>
        <v>0</v>
      </c>
      <c r="K181" s="756">
        <f>IF(OR($A181="F&amp;F",$A181="CE",K$7="No aplica"),0,'BOULEVARD 5'!N179-'BOULEVARD PPTO'!F174)</f>
        <v>0</v>
      </c>
      <c r="L181" s="756">
        <f>IF(OR($A181="F&amp;F",$A181="CE",L$7="No aplica"),0,'BOULEVARD 5'!O179-'BOULEVARD PPTO'!G174)</f>
        <v>0</v>
      </c>
      <c r="M181" s="756">
        <f>IF(OR($A181="F&amp;F",$A181="CE",M$7="No aplica"),0,'BOULEVARD 5'!P179-'BOULEVARD PPTO'!H174)</f>
        <v>0</v>
      </c>
      <c r="N181" s="756">
        <f>IF(OR($A181="F&amp;F",$A181="CE",N$7="No aplica"),0,'BOULEVARD 5'!Q179-'BOULEVARD PPTO'!I174)</f>
        <v>0</v>
      </c>
      <c r="O181" s="756">
        <f>IF(OR($A181="F&amp;F",$A181="CE",O$7="No aplica"),0,'BOULEVARD 5'!R179-'BOULEVARD PPTO'!J174)</f>
        <v>0</v>
      </c>
      <c r="P181" s="756">
        <f>IF(OR($A181="F&amp;F",$A181="CE",P$7="No aplica"),0,'BOULEVARD 5'!S179-'BOULEVARD PPTO'!K174)</f>
        <v>0</v>
      </c>
      <c r="Q181" s="760">
        <f>IF(OR($A181="F&amp;F",$A181="CE",Q$7="No aplica"),0,'BOULEVARD 5'!T179-'BOULEVARD PPTO'!L174)</f>
        <v>0</v>
      </c>
      <c r="R181" s="760">
        <f>IF(OR($A181="F&amp;F",$A181="CE",R$7="No aplica"),0,'BOULEVARD 5'!U179-'BOULEVARD PPTO'!M174)</f>
        <v>0</v>
      </c>
      <c r="S181" s="760">
        <f>IF(OR($A181="F&amp;F",$A181="CE",S$7="No aplica"),0,'BOULEVARD 5'!V179-'BOULEVARD PPTO'!N174)</f>
        <v>0</v>
      </c>
      <c r="T181" s="760">
        <f>IF(OR($A181="F&amp;F",$A181="CE",T$7="No aplica"),0,'BOULEVARD 5'!W179-'BOULEVARD PPTO'!O174)</f>
        <v>-4547</v>
      </c>
      <c r="U181" s="760">
        <f>IF(OR($A181="F&amp;F",$A181="CE",U$7="No aplica"),0,'BOULEVARD 5'!X179-'BOULEVARD PPTO'!P174)</f>
        <v>4547</v>
      </c>
      <c r="V181" s="760">
        <f>IF(OR($A181="F&amp;F",$A181="CE",V$7="No aplica"),0,'BOULEVARD 5'!Y179-'BOULEVARD PPTO'!Q174)</f>
        <v>-4547</v>
      </c>
      <c r="W181" s="760">
        <f>IF(OR($A181="F&amp;F",$A181="CE",W$7="No aplica"),0,'BOULEVARD 5'!Z179-'BOULEVARD PPTO'!R174)</f>
        <v>-4547</v>
      </c>
      <c r="X181" s="760">
        <f>IF(OR($A181="F&amp;F",$A181="CE",X$7="No aplica"),0,'BOULEVARD 5'!AA179-'BOULEVARD PPTO'!S174)</f>
        <v>9094</v>
      </c>
      <c r="Y181" s="760">
        <f>IF(OR($A181="F&amp;F",$A181="CE",Y$7="No aplica"),0,'BOULEVARD 5'!AB179-'BOULEVARD PPTO'!T174)</f>
        <v>-4547</v>
      </c>
      <c r="Z181" s="760">
        <f>IF(OR($A181="F&amp;F",$A181="CE",Z$7="No aplica"),0,'BOULEVARD 5'!AC179-'BOULEVARD PPTO'!U174)</f>
        <v>-4547</v>
      </c>
      <c r="AA181" s="760">
        <f>IF(OR($A181="F&amp;F",$A181="CE",AA$7="No aplica"),0,'BOULEVARD 5'!AD179-'BOULEVARD PPTO'!V174)</f>
        <v>-4547</v>
      </c>
      <c r="AB181" s="760">
        <f>IF(OR($A181="F&amp;F",$A181="CE",AB$7="No aplica"),0,'BOULEVARD 5'!AE179-'BOULEVARD PPTO'!W174)</f>
        <v>-4547</v>
      </c>
      <c r="AC181" s="760">
        <f>IF(OR($A181="F&amp;F",$A181="CE",AC$7="No aplica"),0,'BOULEVARD 5'!AF179-'BOULEVARD PPTO'!X174)</f>
        <v>13641</v>
      </c>
      <c r="AD181" s="760">
        <f>IF(OR($A181="F&amp;F",$A181="CE",AD$7="No aplica"),0,'BOULEVARD 5'!AG179-'BOULEVARD PPTO'!Y174)</f>
        <v>-4547</v>
      </c>
      <c r="AE181" s="760">
        <f>IF(OR($A181="F&amp;F",$A181="CE",AE$7="No aplica"),0,'BOULEVARD 5'!AH179-'BOULEVARD PPTO'!Z174)</f>
        <v>-4547</v>
      </c>
      <c r="AF181" s="760">
        <f>IF(OR($A181="F&amp;F",$A181="CE",AF$7="No aplica"),0,'BOULEVARD 5'!AI179-'BOULEVARD PPTO'!AA174)</f>
        <v>-4547</v>
      </c>
      <c r="AG181" s="760">
        <f>IF(OR($A181="F&amp;F",$A181="CE",AG$7="No aplica"),0,'BOULEVARD 5'!AJ179-'BOULEVARD PPTO'!AB174)</f>
        <v>18188</v>
      </c>
      <c r="AH181" s="760">
        <f>IF(OR($A181="F&amp;F",$A181="CE",AH$7="No aplica"),0,'BOULEVARD 5'!AK179-'BOULEVARD PPTO'!AC174)</f>
        <v>-4547</v>
      </c>
      <c r="AI181" s="760">
        <f>IF(OR($A181="F&amp;F",$A181="CE",AI$7="No aplica"),0,'BOULEVARD 5'!AL179-'BOULEVARD PPTO'!AD174)</f>
        <v>-4547</v>
      </c>
      <c r="AJ181" s="760">
        <f>IF(OR($A181="F&amp;F",$A181="CE",AJ$7="No aplica"),0,'BOULEVARD 5'!AM179-'BOULEVARD PPTO'!AE174)</f>
        <v>-4547</v>
      </c>
      <c r="AK181" s="760">
        <f>IF(OR($A181="F&amp;F",$A181="CE",AK$7="No aplica"),0,'BOULEVARD 5'!AN179-'BOULEVARD PPTO'!AF174)</f>
        <v>-4547</v>
      </c>
      <c r="AL181" s="760">
        <f>IF(OR($A181="F&amp;F",$A181="CE",AL$7="No aplica"),0,'BOULEVARD 5'!AO179-'BOULEVARD PPTO'!AG174)</f>
        <v>18188</v>
      </c>
      <c r="AM181" s="760">
        <f>IF(OR($A181="F&amp;F",$A181="CE",AM$7="No aplica"),0,'BOULEVARD 5'!AP179-'BOULEVARD PPTO'!AH174)</f>
        <v>0</v>
      </c>
      <c r="AN181" s="760">
        <f>IF(OR($A181="F&amp;F",$A181="CE",AN$7="No aplica"),0,'BOULEVARD 5'!AQ179-'BOULEVARD PPTO'!AI174)</f>
        <v>0</v>
      </c>
      <c r="AO181" s="760">
        <f>IF(OR($A181="F&amp;F",$A181="CE",AO$7="No aplica"),0,'BOULEVARD 5'!AS179-'BOULEVARD PPTO'!AJ174)</f>
        <v>0</v>
      </c>
      <c r="AP181" s="761">
        <f t="shared" si="18"/>
        <v>0</v>
      </c>
      <c r="AQ181" s="761">
        <f t="shared" si="19"/>
        <v>0</v>
      </c>
      <c r="AR181" s="674">
        <f>IF(A181=0,'BOULEVARD 5'!BF179,0)</f>
        <v>8000</v>
      </c>
      <c r="AS181" s="674">
        <f>IF(A181=0,'BOULEVARD 5'!BG179,0)</f>
        <v>4547</v>
      </c>
      <c r="AT181" s="675" t="str">
        <f t="shared" si="17"/>
        <v>Vendido</v>
      </c>
      <c r="AU181" s="581" t="str">
        <f t="shared" si="21"/>
        <v/>
      </c>
      <c r="AV181" s="760">
        <f t="shared" si="20"/>
        <v>0</v>
      </c>
    </row>
    <row r="182" spans="1:48" s="581" customFormat="1" ht="12.4" customHeight="1" outlineLevel="1" x14ac:dyDescent="0.25">
      <c r="A182" s="703">
        <f>'BOULEVARD 5'!BQ180</f>
        <v>0</v>
      </c>
      <c r="B182" s="564">
        <v>1007</v>
      </c>
      <c r="C182" s="564" t="s">
        <v>400</v>
      </c>
      <c r="D182" s="564"/>
      <c r="E182" s="564" t="str">
        <f>IF('BOULEVARD 5'!E180&lt;&gt;0,'BOULEVARD 5'!E180,"")</f>
        <v>Brenda Búcaro</v>
      </c>
      <c r="F182" s="581" t="str">
        <f>IF('BOULEVARD 5'!F180&lt;&gt;0,'BOULEVARD 5'!F180,"")</f>
        <v>Marcela Alejandra Castro Marcía</v>
      </c>
      <c r="G182" s="566">
        <f>IF('BOULEVARD 5'!G180="","",'BOULEVARD 5'!G180)</f>
        <v>45173</v>
      </c>
      <c r="H182" s="756">
        <f>IF(OR($A182="F&amp;F",$A182="CE",H$7="No aplica"),0,'BOULEVARD 5'!K180-'BOULEVARD PPTO'!C175)</f>
        <v>0</v>
      </c>
      <c r="I182" s="756">
        <f>IF(OR($A182="F&amp;F",$A182="CE",I$7="No aplica"),0,'BOULEVARD 5'!L180-'BOULEVARD PPTO'!D175)</f>
        <v>0</v>
      </c>
      <c r="J182" s="756">
        <f>IF(OR($A182="F&amp;F",$A182="CE",J$7="No aplica"),0,'BOULEVARD 5'!M180-'BOULEVARD PPTO'!E175)</f>
        <v>0</v>
      </c>
      <c r="K182" s="756">
        <f>IF(OR($A182="F&amp;F",$A182="CE",K$7="No aplica"),0,'BOULEVARD 5'!N180-'BOULEVARD PPTO'!F175)</f>
        <v>0</v>
      </c>
      <c r="L182" s="756">
        <f>IF(OR($A182="F&amp;F",$A182="CE",L$7="No aplica"),0,'BOULEVARD 5'!O180-'BOULEVARD PPTO'!G175)</f>
        <v>0</v>
      </c>
      <c r="M182" s="756">
        <f>IF(OR($A182="F&amp;F",$A182="CE",M$7="No aplica"),0,'BOULEVARD 5'!P180-'BOULEVARD PPTO'!H175)</f>
        <v>0</v>
      </c>
      <c r="N182" s="756">
        <f>IF(OR($A182="F&amp;F",$A182="CE",N$7="No aplica"),0,'BOULEVARD 5'!Q180-'BOULEVARD PPTO'!I175)</f>
        <v>0</v>
      </c>
      <c r="O182" s="756">
        <f>IF(OR($A182="F&amp;F",$A182="CE",O$7="No aplica"),0,'BOULEVARD 5'!R180-'BOULEVARD PPTO'!J175)</f>
        <v>-140</v>
      </c>
      <c r="P182" s="756">
        <f>IF(OR($A182="F&amp;F",$A182="CE",P$7="No aplica"),0,'BOULEVARD 5'!S180-'BOULEVARD PPTO'!K175)</f>
        <v>-140</v>
      </c>
      <c r="Q182" s="760">
        <f>IF(OR($A182="F&amp;F",$A182="CE",Q$7="No aplica"),0,'BOULEVARD 5'!T180-'BOULEVARD PPTO'!L175)</f>
        <v>-140</v>
      </c>
      <c r="R182" s="760">
        <f>IF(OR($A182="F&amp;F",$A182="CE",R$7="No aplica"),0,'BOULEVARD 5'!U180-'BOULEVARD PPTO'!M175)</f>
        <v>-140</v>
      </c>
      <c r="S182" s="760">
        <f>IF(OR($A182="F&amp;F",$A182="CE",S$7="No aplica"),0,'BOULEVARD 5'!V180-'BOULEVARD PPTO'!N175)</f>
        <v>-140</v>
      </c>
      <c r="T182" s="760">
        <f>IF(OR($A182="F&amp;F",$A182="CE",T$7="No aplica"),0,'BOULEVARD 5'!W180-'BOULEVARD PPTO'!O175)</f>
        <v>-140</v>
      </c>
      <c r="U182" s="760">
        <f>IF(OR($A182="F&amp;F",$A182="CE",U$7="No aplica"),0,'BOULEVARD 5'!X180-'BOULEVARD PPTO'!P175)</f>
        <v>-140</v>
      </c>
      <c r="V182" s="760">
        <f>IF(OR($A182="F&amp;F",$A182="CE",V$7="No aplica"),0,'BOULEVARD 5'!Y180-'BOULEVARD PPTO'!Q175)</f>
        <v>-3508</v>
      </c>
      <c r="W182" s="760">
        <f>IF(OR($A182="F&amp;F",$A182="CE",W$7="No aplica"),0,'BOULEVARD 5'!Z180-'BOULEVARD PPTO'!R175)</f>
        <v>3228</v>
      </c>
      <c r="X182" s="760">
        <f>IF(OR($A182="F&amp;F",$A182="CE",X$7="No aplica"),0,'BOULEVARD 5'!AA180-'BOULEVARD PPTO'!S175)</f>
        <v>-3508</v>
      </c>
      <c r="Y182" s="760">
        <f>IF(OR($A182="F&amp;F",$A182="CE",Y$7="No aplica"),0,'BOULEVARD 5'!AB180-'BOULEVARD PPTO'!T175)</f>
        <v>3228</v>
      </c>
      <c r="Z182" s="760">
        <f>IF(OR($A182="F&amp;F",$A182="CE",Z$7="No aplica"),0,'BOULEVARD 5'!AC180-'BOULEVARD PPTO'!U175)</f>
        <v>-140</v>
      </c>
      <c r="AA182" s="760">
        <f>IF(OR($A182="F&amp;F",$A182="CE",AA$7="No aplica"),0,'BOULEVARD 5'!AD180-'BOULEVARD PPTO'!V175)</f>
        <v>-3508</v>
      </c>
      <c r="AB182" s="760">
        <f>IF(OR($A182="F&amp;F",$A182="CE",AB$7="No aplica"),0,'BOULEVARD 5'!AE180-'BOULEVARD PPTO'!W175)</f>
        <v>-140</v>
      </c>
      <c r="AC182" s="760">
        <f>IF(OR($A182="F&amp;F",$A182="CE",AC$7="No aplica"),0,'BOULEVARD 5'!AF180-'BOULEVARD PPTO'!X175)</f>
        <v>3228</v>
      </c>
      <c r="AD182" s="760">
        <f>IF(OR($A182="F&amp;F",$A182="CE",AD$7="No aplica"),0,'BOULEVARD 5'!AG180-'BOULEVARD PPTO'!Y175)</f>
        <v>-3508</v>
      </c>
      <c r="AE182" s="760">
        <f>IF(OR($A182="F&amp;F",$A182="CE",AE$7="No aplica"),0,'BOULEVARD 5'!AH180-'BOULEVARD PPTO'!Z175)</f>
        <v>-140</v>
      </c>
      <c r="AF182" s="760">
        <f>IF(OR($A182="F&amp;F",$A182="CE",AF$7="No aplica"),0,'BOULEVARD 5'!AI180-'BOULEVARD PPTO'!AA175)</f>
        <v>-140</v>
      </c>
      <c r="AG182" s="760">
        <f>IF(OR($A182="F&amp;F",$A182="CE",AG$7="No aplica"),0,'BOULEVARD 5'!AJ180-'BOULEVARD PPTO'!AB175)</f>
        <v>-3508</v>
      </c>
      <c r="AH182" s="760">
        <f>IF(OR($A182="F&amp;F",$A182="CE",AH$7="No aplica"),0,'BOULEVARD 5'!AK180-'BOULEVARD PPTO'!AC175)</f>
        <v>6596</v>
      </c>
      <c r="AI182" s="760">
        <f>IF(OR($A182="F&amp;F",$A182="CE",AI$7="No aplica"),0,'BOULEVARD 5'!AL180-'BOULEVARD PPTO'!AD175)</f>
        <v>-140</v>
      </c>
      <c r="AJ182" s="760">
        <f>IF(OR($A182="F&amp;F",$A182="CE",AJ$7="No aplica"),0,'BOULEVARD 5'!AM180-'BOULEVARD PPTO'!AE175)</f>
        <v>-140</v>
      </c>
      <c r="AK182" s="760">
        <f>IF(OR($A182="F&amp;F",$A182="CE",AK$7="No aplica"),0,'BOULEVARD 5'!AN180-'BOULEVARD PPTO'!AF175)</f>
        <v>-3508</v>
      </c>
      <c r="AL182" s="760">
        <f>IF(OR($A182="F&amp;F",$A182="CE",AL$7="No aplica"),0,'BOULEVARD 5'!AO180-'BOULEVARD PPTO'!AG175)</f>
        <v>-148</v>
      </c>
      <c r="AM182" s="760">
        <f>IF(OR($A182="F&amp;F",$A182="CE",AM$7="No aplica"),0,'BOULEVARD 5'!AP180-'BOULEVARD PPTO'!AH175)</f>
        <v>4000</v>
      </c>
      <c r="AN182" s="760">
        <f>IF(OR($A182="F&amp;F",$A182="CE",AN$7="No aplica"),0,'BOULEVARD 5'!AQ180-'BOULEVARD PPTO'!AI175)</f>
        <v>0</v>
      </c>
      <c r="AO182" s="760">
        <f>IF(OR($A182="F&amp;F",$A182="CE",AO$7="No aplica"),0,'BOULEVARD 5'!AS180-'BOULEVARD PPTO'!AJ175)</f>
        <v>0</v>
      </c>
      <c r="AP182" s="761">
        <f t="shared" si="18"/>
        <v>-2736</v>
      </c>
      <c r="AQ182" s="761">
        <f t="shared" si="19"/>
        <v>0</v>
      </c>
      <c r="AR182" s="674">
        <f>IF(A182=0,'BOULEVARD 5'!BF180,0)</f>
        <v>6000</v>
      </c>
      <c r="AS182" s="674">
        <f>IF(A182=0,'BOULEVARD 5'!BG180,0)</f>
        <v>3368</v>
      </c>
      <c r="AT182" s="675" t="str">
        <f t="shared" si="17"/>
        <v>Vendido</v>
      </c>
      <c r="AU182" s="581" t="str">
        <f t="shared" si="21"/>
        <v>POR COBRAR</v>
      </c>
      <c r="AV182" s="760">
        <f t="shared" si="20"/>
        <v>4000</v>
      </c>
    </row>
    <row r="183" spans="1:48" s="581" customFormat="1" ht="12.4" customHeight="1" outlineLevel="1" x14ac:dyDescent="0.25">
      <c r="A183" s="703" t="str">
        <f>'BOULEVARD 5'!BQ181</f>
        <v>F&amp;F</v>
      </c>
      <c r="B183" s="704">
        <v>1008</v>
      </c>
      <c r="C183" s="704" t="s">
        <v>175</v>
      </c>
      <c r="D183" s="704"/>
      <c r="E183" s="704" t="str">
        <f>IF('BOULEVARD 5'!E181&lt;&gt;0,'BOULEVARD 5'!E181,"")</f>
        <v>Antonio Rada</v>
      </c>
      <c r="F183" s="705" t="str">
        <f>IF('BOULEVARD 5'!F181&lt;&gt;0,'BOULEVARD 5'!F181,"")</f>
        <v>Jorge Roberto Arimany Comas</v>
      </c>
      <c r="G183" s="566">
        <f>IF('BOULEVARD 5'!G181="","",'BOULEVARD 5'!G181)</f>
        <v>45401</v>
      </c>
      <c r="H183" s="756">
        <f>IF(OR($A183="F&amp;F",$A183="CE",H$7="No aplica"),0,'BOULEVARD 5'!K181-'BOULEVARD PPTO'!C176)</f>
        <v>0</v>
      </c>
      <c r="I183" s="756">
        <f>IF(OR($A183="F&amp;F",$A183="CE",I$7="No aplica"),0,'BOULEVARD 5'!L181-'BOULEVARD PPTO'!D176)</f>
        <v>0</v>
      </c>
      <c r="J183" s="756">
        <f>IF(OR($A183="F&amp;F",$A183="CE",J$7="No aplica"),0,'BOULEVARD 5'!M181-'BOULEVARD PPTO'!E176)</f>
        <v>0</v>
      </c>
      <c r="K183" s="756">
        <f>IF(OR($A183="F&amp;F",$A183="CE",K$7="No aplica"),0,'BOULEVARD 5'!N181-'BOULEVARD PPTO'!F176)</f>
        <v>0</v>
      </c>
      <c r="L183" s="756">
        <f>IF(OR($A183="F&amp;F",$A183="CE",L$7="No aplica"),0,'BOULEVARD 5'!O181-'BOULEVARD PPTO'!G176)</f>
        <v>0</v>
      </c>
      <c r="M183" s="756">
        <f>IF(OR($A183="F&amp;F",$A183="CE",M$7="No aplica"),0,'BOULEVARD 5'!P181-'BOULEVARD PPTO'!H176)</f>
        <v>0</v>
      </c>
      <c r="N183" s="756">
        <f>IF(OR($A183="F&amp;F",$A183="CE",N$7="No aplica"),0,'BOULEVARD 5'!Q181-'BOULEVARD PPTO'!I176)</f>
        <v>0</v>
      </c>
      <c r="O183" s="756">
        <f>IF(OR($A183="F&amp;F",$A183="CE",O$7="No aplica"),0,'BOULEVARD 5'!R181-'BOULEVARD PPTO'!J176)</f>
        <v>0</v>
      </c>
      <c r="P183" s="756">
        <f>IF(OR($A183="F&amp;F",$A183="CE",P$7="No aplica"),0,'BOULEVARD 5'!S181-'BOULEVARD PPTO'!K176)</f>
        <v>0</v>
      </c>
      <c r="Q183" s="760">
        <f>IF(OR($A183="F&amp;F",$A183="CE",Q$7="No aplica"),0,'BOULEVARD 5'!T181-'BOULEVARD PPTO'!L176)</f>
        <v>0</v>
      </c>
      <c r="R183" s="760">
        <f>IF(OR($A183="F&amp;F",$A183="CE",R$7="No aplica"),0,'BOULEVARD 5'!U181-'BOULEVARD PPTO'!M176)</f>
        <v>0</v>
      </c>
      <c r="S183" s="760">
        <f>IF(OR($A183="F&amp;F",$A183="CE",S$7="No aplica"),0,'BOULEVARD 5'!V181-'BOULEVARD PPTO'!N176)</f>
        <v>0</v>
      </c>
      <c r="T183" s="760">
        <f>IF(OR($A183="F&amp;F",$A183="CE",T$7="No aplica"),0,'BOULEVARD 5'!W181-'BOULEVARD PPTO'!O176)</f>
        <v>0</v>
      </c>
      <c r="U183" s="760">
        <f>IF(OR($A183="F&amp;F",$A183="CE",U$7="No aplica"),0,'BOULEVARD 5'!X181-'BOULEVARD PPTO'!P176)</f>
        <v>0</v>
      </c>
      <c r="V183" s="760">
        <f>IF(OR($A183="F&amp;F",$A183="CE",V$7="No aplica"),0,'BOULEVARD 5'!Y181-'BOULEVARD PPTO'!Q176)</f>
        <v>0</v>
      </c>
      <c r="W183" s="760">
        <f>IF(OR($A183="F&amp;F",$A183="CE",W$7="No aplica"),0,'BOULEVARD 5'!Z181-'BOULEVARD PPTO'!R176)</f>
        <v>0</v>
      </c>
      <c r="X183" s="760">
        <f>IF(OR($A183="F&amp;F",$A183="CE",X$7="No aplica"),0,'BOULEVARD 5'!AA181-'BOULEVARD PPTO'!S176)</f>
        <v>0</v>
      </c>
      <c r="Y183" s="760">
        <f>IF(OR($A183="F&amp;F",$A183="CE",Y$7="No aplica"),0,'BOULEVARD 5'!AB181-'BOULEVARD PPTO'!T176)</f>
        <v>0</v>
      </c>
      <c r="Z183" s="760">
        <f>IF(OR($A183="F&amp;F",$A183="CE",Z$7="No aplica"),0,'BOULEVARD 5'!AC181-'BOULEVARD PPTO'!U176)</f>
        <v>0</v>
      </c>
      <c r="AA183" s="760">
        <f>IF(OR($A183="F&amp;F",$A183="CE",AA$7="No aplica"),0,'BOULEVARD 5'!AD181-'BOULEVARD PPTO'!V176)</f>
        <v>0</v>
      </c>
      <c r="AB183" s="760">
        <f>IF(OR($A183="F&amp;F",$A183="CE",AB$7="No aplica"),0,'BOULEVARD 5'!AE181-'BOULEVARD PPTO'!W176)</f>
        <v>0</v>
      </c>
      <c r="AC183" s="760">
        <f>IF(OR($A183="F&amp;F",$A183="CE",AC$7="No aplica"),0,'BOULEVARD 5'!AF181-'BOULEVARD PPTO'!X176)</f>
        <v>0</v>
      </c>
      <c r="AD183" s="760">
        <f>IF(OR($A183="F&amp;F",$A183="CE",AD$7="No aplica"),0,'BOULEVARD 5'!AG181-'BOULEVARD PPTO'!Y176)</f>
        <v>0</v>
      </c>
      <c r="AE183" s="760">
        <f>IF(OR($A183="F&amp;F",$A183="CE",AE$7="No aplica"),0,'BOULEVARD 5'!AH181-'BOULEVARD PPTO'!Z176)</f>
        <v>0</v>
      </c>
      <c r="AF183" s="760">
        <f>IF(OR($A183="F&amp;F",$A183="CE",AF$7="No aplica"),0,'BOULEVARD 5'!AI181-'BOULEVARD PPTO'!AA176)</f>
        <v>0</v>
      </c>
      <c r="AG183" s="760">
        <f>IF(OR($A183="F&amp;F",$A183="CE",AG$7="No aplica"),0,'BOULEVARD 5'!AJ181-'BOULEVARD PPTO'!AB176)</f>
        <v>0</v>
      </c>
      <c r="AH183" s="760">
        <f>IF(OR($A183="F&amp;F",$A183="CE",AH$7="No aplica"),0,'BOULEVARD 5'!AK181-'BOULEVARD PPTO'!AC176)</f>
        <v>0</v>
      </c>
      <c r="AI183" s="760">
        <f>IF(OR($A183="F&amp;F",$A183="CE",AI$7="No aplica"),0,'BOULEVARD 5'!AL181-'BOULEVARD PPTO'!AD176)</f>
        <v>0</v>
      </c>
      <c r="AJ183" s="760">
        <f>IF(OR($A183="F&amp;F",$A183="CE",AJ$7="No aplica"),0,'BOULEVARD 5'!AM181-'BOULEVARD PPTO'!AE176)</f>
        <v>0</v>
      </c>
      <c r="AK183" s="760">
        <f>IF(OR($A183="F&amp;F",$A183="CE",AK$7="No aplica"),0,'BOULEVARD 5'!AN181-'BOULEVARD PPTO'!AF176)</f>
        <v>0</v>
      </c>
      <c r="AL183" s="760">
        <f>IF(OR($A183="F&amp;F",$A183="CE",AL$7="No aplica"),0,'BOULEVARD 5'!AO181-'BOULEVARD PPTO'!AG176)</f>
        <v>0</v>
      </c>
      <c r="AM183" s="760">
        <f>IF(OR($A183="F&amp;F",$A183="CE",AM$7="No aplica"),0,'BOULEVARD 5'!AP181-'BOULEVARD PPTO'!AH176)</f>
        <v>0</v>
      </c>
      <c r="AN183" s="760">
        <f>IF(OR($A183="F&amp;F",$A183="CE",AN$7="No aplica"),0,'BOULEVARD 5'!AQ181-'BOULEVARD PPTO'!AI176)</f>
        <v>0</v>
      </c>
      <c r="AO183" s="760">
        <f>IF(OR($A183="F&amp;F",$A183="CE",AO$7="No aplica"),0,'BOULEVARD 5'!AS181-'BOULEVARD PPTO'!AJ176)</f>
        <v>0</v>
      </c>
      <c r="AP183" s="761">
        <f t="shared" si="18"/>
        <v>0</v>
      </c>
      <c r="AQ183" s="761">
        <f t="shared" si="19"/>
        <v>0</v>
      </c>
      <c r="AR183" s="674">
        <f>IF(A183=0,'BOULEVARD 5'!BF181,0)</f>
        <v>0</v>
      </c>
      <c r="AS183" s="674">
        <f>IF(A183=0,'BOULEVARD 5'!BG181,0)</f>
        <v>0</v>
      </c>
      <c r="AT183" s="675" t="str">
        <f t="shared" si="17"/>
        <v>Vendido</v>
      </c>
      <c r="AU183" s="581" t="str">
        <f t="shared" si="21"/>
        <v/>
      </c>
      <c r="AV183" s="760">
        <f t="shared" si="20"/>
        <v>0</v>
      </c>
    </row>
    <row r="184" spans="1:48" s="581" customFormat="1" ht="12.4" customHeight="1" outlineLevel="1" x14ac:dyDescent="0.25">
      <c r="A184" s="703">
        <f>'BOULEVARD 5'!BQ182</f>
        <v>0</v>
      </c>
      <c r="B184" s="564">
        <v>1009</v>
      </c>
      <c r="C184" s="564" t="s">
        <v>563</v>
      </c>
      <c r="D184" s="564"/>
      <c r="E184" s="712" t="str">
        <f>IF('BOULEVARD 5'!E182&lt;&gt;0,'BOULEVARD 5'!E182,"")</f>
        <v>Diana Alvarez</v>
      </c>
      <c r="F184" s="581" t="str">
        <f>IF('BOULEVARD 5'!F182&lt;&gt;0,'BOULEVARD 5'!F182,"")</f>
        <v xml:space="preserve">Augusto Alejandro Salazar Alecio Y Yosseline Yanira Moscoso Hidalgo </v>
      </c>
      <c r="G184" s="566">
        <f>IF('BOULEVARD 5'!G182="","",'BOULEVARD 5'!G182)</f>
        <v>45602</v>
      </c>
      <c r="H184" s="756">
        <f>IF(OR($A184="F&amp;F",$A184="CE",H$7="No aplica"),0,'BOULEVARD 5'!K182-'BOULEVARD PPTO'!C177)</f>
        <v>0</v>
      </c>
      <c r="I184" s="756">
        <f>IF(OR($A184="F&amp;F",$A184="CE",I$7="No aplica"),0,'BOULEVARD 5'!L182-'BOULEVARD PPTO'!D177)</f>
        <v>0</v>
      </c>
      <c r="J184" s="756">
        <f>IF(OR($A184="F&amp;F",$A184="CE",J$7="No aplica"),0,'BOULEVARD 5'!M182-'BOULEVARD PPTO'!E177)</f>
        <v>0</v>
      </c>
      <c r="K184" s="756">
        <f>IF(OR($A184="F&amp;F",$A184="CE",K$7="No aplica"),0,'BOULEVARD 5'!N182-'BOULEVARD PPTO'!F177)</f>
        <v>0</v>
      </c>
      <c r="L184" s="756">
        <f>IF(OR($A184="F&amp;F",$A184="CE",L$7="No aplica"),0,'BOULEVARD 5'!O182-'BOULEVARD PPTO'!G177)</f>
        <v>0</v>
      </c>
      <c r="M184" s="756">
        <f>IF(OR($A184="F&amp;F",$A184="CE",M$7="No aplica"),0,'BOULEVARD 5'!P182-'BOULEVARD PPTO'!H177)</f>
        <v>0</v>
      </c>
      <c r="N184" s="756">
        <f>IF(OR($A184="F&amp;F",$A184="CE",N$7="No aplica"),0,'BOULEVARD 5'!Q182-'BOULEVARD PPTO'!I177)</f>
        <v>0</v>
      </c>
      <c r="O184" s="756">
        <f>IF(OR($A184="F&amp;F",$A184="CE",O$7="No aplica"),0,'BOULEVARD 5'!R182-'BOULEVARD PPTO'!J177)</f>
        <v>0</v>
      </c>
      <c r="P184" s="756">
        <f>IF(OR($A184="F&amp;F",$A184="CE",P$7="No aplica"),0,'BOULEVARD 5'!S182-'BOULEVARD PPTO'!K177)</f>
        <v>0</v>
      </c>
      <c r="Q184" s="760">
        <f>IF(OR($A184="F&amp;F",$A184="CE",Q$7="No aplica"),0,'BOULEVARD 5'!T182-'BOULEVARD PPTO'!L177)</f>
        <v>0</v>
      </c>
      <c r="R184" s="760">
        <f>IF(OR($A184="F&amp;F",$A184="CE",R$7="No aplica"),0,'BOULEVARD 5'!U182-'BOULEVARD PPTO'!M177)</f>
        <v>0</v>
      </c>
      <c r="S184" s="760">
        <f>IF(OR($A184="F&amp;F",$A184="CE",S$7="No aplica"),0,'BOULEVARD 5'!V182-'BOULEVARD PPTO'!N177)</f>
        <v>0</v>
      </c>
      <c r="T184" s="760">
        <f>IF(OR($A184="F&amp;F",$A184="CE",T$7="No aplica"),0,'BOULEVARD 5'!W182-'BOULEVARD PPTO'!O177)</f>
        <v>0</v>
      </c>
      <c r="U184" s="760">
        <f>IF(OR($A184="F&amp;F",$A184="CE",U$7="No aplica"),0,'BOULEVARD 5'!X182-'BOULEVARD PPTO'!P177)</f>
        <v>0</v>
      </c>
      <c r="V184" s="760">
        <f>IF(OR($A184="F&amp;F",$A184="CE",V$7="No aplica"),0,'BOULEVARD 5'!Y182-'BOULEVARD PPTO'!Q177)</f>
        <v>0</v>
      </c>
      <c r="W184" s="760">
        <f>IF(OR($A184="F&amp;F",$A184="CE",W$7="No aplica"),0,'BOULEVARD 5'!Z182-'BOULEVARD PPTO'!R177)</f>
        <v>0</v>
      </c>
      <c r="X184" s="760">
        <f>IF(OR($A184="F&amp;F",$A184="CE",X$7="No aplica"),0,'BOULEVARD 5'!AA182-'BOULEVARD PPTO'!S177)</f>
        <v>0</v>
      </c>
      <c r="Y184" s="760">
        <f>IF(OR($A184="F&amp;F",$A184="CE",Y$7="No aplica"),0,'BOULEVARD 5'!AB182-'BOULEVARD PPTO'!T177)</f>
        <v>0</v>
      </c>
      <c r="Z184" s="760">
        <f>IF(OR($A184="F&amp;F",$A184="CE",Z$7="No aplica"),0,'BOULEVARD 5'!AC182-'BOULEVARD PPTO'!U177)</f>
        <v>0</v>
      </c>
      <c r="AA184" s="760">
        <f>IF(OR($A184="F&amp;F",$A184="CE",AA$7="No aplica"),0,'BOULEVARD 5'!AD182-'BOULEVARD PPTO'!V177)</f>
        <v>0</v>
      </c>
      <c r="AB184" s="760">
        <f>IF(OR($A184="F&amp;F",$A184="CE",AB$7="No aplica"),0,'BOULEVARD 5'!AE182-'BOULEVARD PPTO'!W177)</f>
        <v>0</v>
      </c>
      <c r="AC184" s="760">
        <f>IF(OR($A184="F&amp;F",$A184="CE",AC$7="No aplica"),0,'BOULEVARD 5'!AF182-'BOULEVARD PPTO'!X177)</f>
        <v>106</v>
      </c>
      <c r="AD184" s="760">
        <f>IF(OR($A184="F&amp;F",$A184="CE",AD$7="No aplica"),0,'BOULEVARD 5'!AG182-'BOULEVARD PPTO'!Y177)</f>
        <v>106</v>
      </c>
      <c r="AE184" s="760">
        <f>IF(OR($A184="F&amp;F",$A184="CE",AE$7="No aplica"),0,'BOULEVARD 5'!AH182-'BOULEVARD PPTO'!Z177)</f>
        <v>106</v>
      </c>
      <c r="AF184" s="760">
        <f>IF(OR($A184="F&amp;F",$A184="CE",AF$7="No aplica"),0,'BOULEVARD 5'!AI182-'BOULEVARD PPTO'!AA177)</f>
        <v>106</v>
      </c>
      <c r="AG184" s="760">
        <f>IF(OR($A184="F&amp;F",$A184="CE",AG$7="No aplica"),0,'BOULEVARD 5'!AJ182-'BOULEVARD PPTO'!AB177)</f>
        <v>106</v>
      </c>
      <c r="AH184" s="760">
        <f>IF(OR($A184="F&amp;F",$A184="CE",AH$7="No aplica"),0,'BOULEVARD 5'!AK182-'BOULEVARD PPTO'!AC177)</f>
        <v>106</v>
      </c>
      <c r="AI184" s="760">
        <f>IF(OR($A184="F&amp;F",$A184="CE",AI$7="No aplica"),0,'BOULEVARD 5'!AL182-'BOULEVARD PPTO'!AD177)</f>
        <v>106</v>
      </c>
      <c r="AJ184" s="760">
        <f>IF(OR($A184="F&amp;F",$A184="CE",AJ$7="No aplica"),0,'BOULEVARD 5'!AM182-'BOULEVARD PPTO'!AE177)</f>
        <v>106</v>
      </c>
      <c r="AK184" s="760">
        <f>IF(OR($A184="F&amp;F",$A184="CE",AK$7="No aplica"),0,'BOULEVARD 5'!AN182-'BOULEVARD PPTO'!AF177)</f>
        <v>106</v>
      </c>
      <c r="AL184" s="760">
        <f>IF(OR($A184="F&amp;F",$A184="CE",AL$7="No aplica"),0,'BOULEVARD 5'!AO182-'BOULEVARD PPTO'!AG177)</f>
        <v>106</v>
      </c>
      <c r="AM184" s="760">
        <f>IF(OR($A184="F&amp;F",$A184="CE",AM$7="No aplica"),0,'BOULEVARD 5'!AP182-'BOULEVARD PPTO'!AH177)</f>
        <v>106</v>
      </c>
      <c r="AN184" s="760">
        <f>IF(OR($A184="F&amp;F",$A184="CE",AN$7="No aplica"),0,'BOULEVARD 5'!AQ182-'BOULEVARD PPTO'!AI177)</f>
        <v>0</v>
      </c>
      <c r="AO184" s="760">
        <f>IF(OR($A184="F&amp;F",$A184="CE",AO$7="No aplica"),0,'BOULEVARD 5'!AS182-'BOULEVARD PPTO'!AJ177)</f>
        <v>0</v>
      </c>
      <c r="AP184" s="761">
        <f t="shared" si="18"/>
        <v>1166</v>
      </c>
      <c r="AQ184" s="761">
        <f t="shared" si="19"/>
        <v>-30084.48000000001</v>
      </c>
      <c r="AR184" s="674">
        <f>IF(A184=0,'BOULEVARD 5'!BF182,0)</f>
        <v>10000</v>
      </c>
      <c r="AS184" s="674">
        <f>IF(A184=0,'BOULEVARD 5'!BG182,0)</f>
        <v>7894</v>
      </c>
      <c r="AT184" s="675" t="str">
        <f t="shared" si="17"/>
        <v>Vendido</v>
      </c>
      <c r="AU184" s="581" t="str">
        <f t="shared" si="21"/>
        <v>A FAVOR DEL CLIENTE</v>
      </c>
      <c r="AV184" s="760">
        <f t="shared" si="20"/>
        <v>106</v>
      </c>
    </row>
    <row r="185" spans="1:48" s="581" customFormat="1" ht="12.4" customHeight="1" outlineLevel="1" x14ac:dyDescent="0.25">
      <c r="A185" s="703">
        <f>'BOULEVARD 5'!BQ183</f>
        <v>0</v>
      </c>
      <c r="B185" s="564">
        <v>1010</v>
      </c>
      <c r="C185" s="564" t="s">
        <v>565</v>
      </c>
      <c r="D185" s="564"/>
      <c r="E185" s="564" t="str">
        <f>IF('BOULEVARD 5'!E183&lt;&gt;0,'BOULEVARD 5'!E183,"")</f>
        <v>Antonio Rada</v>
      </c>
      <c r="F185" s="581" t="str">
        <f>IF('BOULEVARD 5'!F183&lt;&gt;0,'BOULEVARD 5'!F183,"")</f>
        <v>Allan Donaldo Lapop Cárdenas</v>
      </c>
      <c r="G185" s="566">
        <f>IF('BOULEVARD 5'!G183="","",'BOULEVARD 5'!G183)</f>
        <v>45165</v>
      </c>
      <c r="H185" s="756">
        <f>IF(OR($A185="F&amp;F",$A185="CE",H$7="No aplica"),0,'BOULEVARD 5'!K183-'BOULEVARD PPTO'!C178)</f>
        <v>0</v>
      </c>
      <c r="I185" s="756">
        <f>IF(OR($A185="F&amp;F",$A185="CE",I$7="No aplica"),0,'BOULEVARD 5'!L183-'BOULEVARD PPTO'!D178)</f>
        <v>0</v>
      </c>
      <c r="J185" s="756">
        <f>IF(OR($A185="F&amp;F",$A185="CE",J$7="No aplica"),0,'BOULEVARD 5'!M183-'BOULEVARD PPTO'!E178)</f>
        <v>0</v>
      </c>
      <c r="K185" s="756">
        <f>IF(OR($A185="F&amp;F",$A185="CE",K$7="No aplica"),0,'BOULEVARD 5'!N183-'BOULEVARD PPTO'!F178)</f>
        <v>0</v>
      </c>
      <c r="L185" s="756">
        <f>IF(OR($A185="F&amp;F",$A185="CE",L$7="No aplica"),0,'BOULEVARD 5'!O183-'BOULEVARD PPTO'!G178)</f>
        <v>0</v>
      </c>
      <c r="M185" s="756">
        <f>IF(OR($A185="F&amp;F",$A185="CE",M$7="No aplica"),0,'BOULEVARD 5'!P183-'BOULEVARD PPTO'!H178)</f>
        <v>0</v>
      </c>
      <c r="N185" s="756">
        <f>IF(OR($A185="F&amp;F",$A185="CE",N$7="No aplica"),0,'BOULEVARD 5'!Q183-'BOULEVARD PPTO'!I178)</f>
        <v>0</v>
      </c>
      <c r="O185" s="756">
        <f>IF(OR($A185="F&amp;F",$A185="CE",O$7="No aplica"),0,'BOULEVARD 5'!R183-'BOULEVARD PPTO'!J178)</f>
        <v>0</v>
      </c>
      <c r="P185" s="756">
        <f>IF(OR($A185="F&amp;F",$A185="CE",P$7="No aplica"),0,'BOULEVARD 5'!S183-'BOULEVARD PPTO'!K178)</f>
        <v>0</v>
      </c>
      <c r="Q185" s="760">
        <f>IF(OR($A185="F&amp;F",$A185="CE",Q$7="No aplica"),0,'BOULEVARD 5'!T183-'BOULEVARD PPTO'!L178)</f>
        <v>0</v>
      </c>
      <c r="R185" s="760">
        <f>IF(OR($A185="F&amp;F",$A185="CE",R$7="No aplica"),0,'BOULEVARD 5'!U183-'BOULEVARD PPTO'!M178)</f>
        <v>0</v>
      </c>
      <c r="S185" s="760">
        <f>IF(OR($A185="F&amp;F",$A185="CE",S$7="No aplica"),0,'BOULEVARD 5'!V183-'BOULEVARD PPTO'!N178)</f>
        <v>0</v>
      </c>
      <c r="T185" s="760">
        <f>IF(OR($A185="F&amp;F",$A185="CE",T$7="No aplica"),0,'BOULEVARD 5'!W183-'BOULEVARD PPTO'!O178)</f>
        <v>0</v>
      </c>
      <c r="U185" s="760">
        <f>IF(OR($A185="F&amp;F",$A185="CE",U$7="No aplica"),0,'BOULEVARD 5'!X183-'BOULEVARD PPTO'!P178)</f>
        <v>0</v>
      </c>
      <c r="V185" s="760">
        <f>IF(OR($A185="F&amp;F",$A185="CE",V$7="No aplica"),0,'BOULEVARD 5'!Y183-'BOULEVARD PPTO'!Q178)</f>
        <v>0</v>
      </c>
      <c r="W185" s="760">
        <f>IF(OR($A185="F&amp;F",$A185="CE",W$7="No aplica"),0,'BOULEVARD 5'!Z183-'BOULEVARD PPTO'!R178)</f>
        <v>344</v>
      </c>
      <c r="X185" s="760">
        <f>IF(OR($A185="F&amp;F",$A185="CE",X$7="No aplica"),0,'BOULEVARD 5'!AA183-'BOULEVARD PPTO'!S178)</f>
        <v>1844</v>
      </c>
      <c r="Y185" s="760">
        <f>IF(OR($A185="F&amp;F",$A185="CE",Y$7="No aplica"),0,'BOULEVARD 5'!AB183-'BOULEVARD PPTO'!T178)</f>
        <v>0</v>
      </c>
      <c r="Z185" s="760">
        <f>IF(OR($A185="F&amp;F",$A185="CE",Z$7="No aplica"),0,'BOULEVARD 5'!AC183-'BOULEVARD PPTO'!U178)</f>
        <v>844</v>
      </c>
      <c r="AA185" s="760">
        <f>IF(OR($A185="F&amp;F",$A185="CE",AA$7="No aplica"),0,'BOULEVARD 5'!AD183-'BOULEVARD PPTO'!V178)</f>
        <v>1844</v>
      </c>
      <c r="AB185" s="760">
        <f>IF(OR($A185="F&amp;F",$A185="CE",AB$7="No aplica"),0,'BOULEVARD 5'!AE183-'BOULEVARD PPTO'!W178)</f>
        <v>44</v>
      </c>
      <c r="AC185" s="760">
        <f>IF(OR($A185="F&amp;F",$A185="CE",AC$7="No aplica"),0,'BOULEVARD 5'!AF183-'BOULEVARD PPTO'!X178)</f>
        <v>2084</v>
      </c>
      <c r="AD185" s="760">
        <f>IF(OR($A185="F&amp;F",$A185="CE",AD$7="No aplica"),0,'BOULEVARD 5'!AG183-'BOULEVARD PPTO'!Y178)</f>
        <v>1344</v>
      </c>
      <c r="AE185" s="760">
        <f>IF(OR($A185="F&amp;F",$A185="CE",AE$7="No aplica"),0,'BOULEVARD 5'!AH183-'BOULEVARD PPTO'!Z178)</f>
        <v>1844</v>
      </c>
      <c r="AF185" s="760">
        <f>IF(OR($A185="F&amp;F",$A185="CE",AF$7="No aplica"),0,'BOULEVARD 5'!AI183-'BOULEVARD PPTO'!AA178)</f>
        <v>1844</v>
      </c>
      <c r="AG185" s="760">
        <f>IF(OR($A185="F&amp;F",$A185="CE",AG$7="No aplica"),0,'BOULEVARD 5'!AJ183-'BOULEVARD PPTO'!AB178)</f>
        <v>44</v>
      </c>
      <c r="AH185" s="760">
        <f>IF(OR($A185="F&amp;F",$A185="CE",AH$7="No aplica"),0,'BOULEVARD 5'!AK183-'BOULEVARD PPTO'!AC178)</f>
        <v>44</v>
      </c>
      <c r="AI185" s="760">
        <f>IF(OR($A185="F&amp;F",$A185="CE",AI$7="No aplica"),0,'BOULEVARD 5'!AL183-'BOULEVARD PPTO'!AD178)</f>
        <v>1844</v>
      </c>
      <c r="AJ185" s="760">
        <f>IF(OR($A185="F&amp;F",$A185="CE",AJ$7="No aplica"),0,'BOULEVARD 5'!AM183-'BOULEVARD PPTO'!AE178)</f>
        <v>1344</v>
      </c>
      <c r="AK185" s="760">
        <f>IF(OR($A185="F&amp;F",$A185="CE",AK$7="No aplica"),0,'BOULEVARD 5'!AN183-'BOULEVARD PPTO'!AF178)</f>
        <v>344</v>
      </c>
      <c r="AL185" s="760">
        <f>IF(OR($A185="F&amp;F",$A185="CE",AL$7="No aplica"),0,'BOULEVARD 5'!AO183-'BOULEVARD PPTO'!AG178)</f>
        <v>-3156</v>
      </c>
      <c r="AM185" s="760">
        <f>IF(OR($A185="F&amp;F",$A185="CE",AM$7="No aplica"),0,'BOULEVARD 5'!AP183-'BOULEVARD PPTO'!AH178)</f>
        <v>3500</v>
      </c>
      <c r="AN185" s="760">
        <f>IF(OR($A185="F&amp;F",$A185="CE",AN$7="No aplica"),0,'BOULEVARD 5'!AQ183-'BOULEVARD PPTO'!AI178)</f>
        <v>0</v>
      </c>
      <c r="AO185" s="760">
        <f>IF(OR($A185="F&amp;F",$A185="CE",AO$7="No aplica"),0,'BOULEVARD 5'!AS183-'BOULEVARD PPTO'!AJ178)</f>
        <v>0</v>
      </c>
      <c r="AP185" s="761">
        <f t="shared" si="18"/>
        <v>16000</v>
      </c>
      <c r="AQ185" s="761">
        <f t="shared" si="19"/>
        <v>16000</v>
      </c>
      <c r="AR185" s="674">
        <f>IF(A185=0,'BOULEVARD 5'!BF183,0)</f>
        <v>6000</v>
      </c>
      <c r="AS185" s="674">
        <f>IF(A185=0,'BOULEVARD 5'!BG183,0)</f>
        <v>3156</v>
      </c>
      <c r="AT185" s="675" t="str">
        <f t="shared" si="17"/>
        <v>Vendido</v>
      </c>
      <c r="AU185" s="581" t="str">
        <f t="shared" si="21"/>
        <v>A FAVOR DEL CLIENTE</v>
      </c>
      <c r="AV185" s="760">
        <f t="shared" si="20"/>
        <v>3500</v>
      </c>
    </row>
    <row r="186" spans="1:48" s="581" customFormat="1" ht="12.4" customHeight="1" outlineLevel="1" x14ac:dyDescent="0.25">
      <c r="A186" s="703">
        <f>'BOULEVARD 5'!BQ184</f>
        <v>0</v>
      </c>
      <c r="B186" s="564">
        <v>1011</v>
      </c>
      <c r="C186" s="564" t="s">
        <v>566</v>
      </c>
      <c r="D186" s="564"/>
      <c r="E186" s="564" t="str">
        <f>IF('BOULEVARD 5'!E184&lt;&gt;0,'BOULEVARD 5'!E184,"")</f>
        <v>Brenda Búcaro</v>
      </c>
      <c r="F186" s="581" t="str">
        <f>IF('BOULEVARD 5'!F184&lt;&gt;0,'BOULEVARD 5'!F184,"")</f>
        <v>Sebastian Gutierrez Ruiz</v>
      </c>
      <c r="G186" s="566">
        <f>IF('BOULEVARD 5'!G184="","",'BOULEVARD 5'!G184)</f>
        <v>45016</v>
      </c>
      <c r="H186" s="756">
        <f>IF(OR($A186="F&amp;F",$A186="CE",H$7="No aplica"),0,'BOULEVARD 5'!K184-'BOULEVARD PPTO'!C179)</f>
        <v>0</v>
      </c>
      <c r="I186" s="756">
        <f>IF(OR($A186="F&amp;F",$A186="CE",I$7="No aplica"),0,'BOULEVARD 5'!L184-'BOULEVARD PPTO'!D179)</f>
        <v>5</v>
      </c>
      <c r="J186" s="756">
        <f>IF(OR($A186="F&amp;F",$A186="CE",J$7="No aplica"),0,'BOULEVARD 5'!M184-'BOULEVARD PPTO'!E179)</f>
        <v>5</v>
      </c>
      <c r="K186" s="756">
        <f>IF(OR($A186="F&amp;F",$A186="CE",K$7="No aplica"),0,'BOULEVARD 5'!N184-'BOULEVARD PPTO'!F179)</f>
        <v>5</v>
      </c>
      <c r="L186" s="756">
        <f>IF(OR($A186="F&amp;F",$A186="CE",L$7="No aplica"),0,'BOULEVARD 5'!O184-'BOULEVARD PPTO'!G179)</f>
        <v>5</v>
      </c>
      <c r="M186" s="756">
        <f>IF(OR($A186="F&amp;F",$A186="CE",M$7="No aplica"),0,'BOULEVARD 5'!P184-'BOULEVARD PPTO'!H179)</f>
        <v>5</v>
      </c>
      <c r="N186" s="756">
        <f>IF(OR($A186="F&amp;F",$A186="CE",N$7="No aplica"),0,'BOULEVARD 5'!Q184-'BOULEVARD PPTO'!I179)</f>
        <v>5</v>
      </c>
      <c r="O186" s="756">
        <f>IF(OR($A186="F&amp;F",$A186="CE",O$7="No aplica"),0,'BOULEVARD 5'!R184-'BOULEVARD PPTO'!J179)</f>
        <v>5</v>
      </c>
      <c r="P186" s="756">
        <f>IF(OR($A186="F&amp;F",$A186="CE",P$7="No aplica"),0,'BOULEVARD 5'!S184-'BOULEVARD PPTO'!K179)</f>
        <v>5</v>
      </c>
      <c r="Q186" s="760">
        <f>IF(OR($A186="F&amp;F",$A186="CE",Q$7="No aplica"),0,'BOULEVARD 5'!T184-'BOULEVARD PPTO'!L179)</f>
        <v>5</v>
      </c>
      <c r="R186" s="760">
        <f>IF(OR($A186="F&amp;F",$A186="CE",R$7="No aplica"),0,'BOULEVARD 5'!U184-'BOULEVARD PPTO'!M179)</f>
        <v>5</v>
      </c>
      <c r="S186" s="760">
        <f>IF(OR($A186="F&amp;F",$A186="CE",S$7="No aplica"),0,'BOULEVARD 5'!V184-'BOULEVARD PPTO'!N179)</f>
        <v>5</v>
      </c>
      <c r="T186" s="760">
        <f>IF(OR($A186="F&amp;F",$A186="CE",T$7="No aplica"),0,'BOULEVARD 5'!W184-'BOULEVARD PPTO'!O179)</f>
        <v>5</v>
      </c>
      <c r="U186" s="760">
        <f>IF(OR($A186="F&amp;F",$A186="CE",U$7="No aplica"),0,'BOULEVARD 5'!X184-'BOULEVARD PPTO'!P179)</f>
        <v>5</v>
      </c>
      <c r="V186" s="760">
        <f>IF(OR($A186="F&amp;F",$A186="CE",V$7="No aplica"),0,'BOULEVARD 5'!Y184-'BOULEVARD PPTO'!Q179)</f>
        <v>5</v>
      </c>
      <c r="W186" s="760">
        <f>IF(OR($A186="F&amp;F",$A186="CE",W$7="No aplica"),0,'BOULEVARD 5'!Z184-'BOULEVARD PPTO'!R179)</f>
        <v>5</v>
      </c>
      <c r="X186" s="760">
        <f>IF(OR($A186="F&amp;F",$A186="CE",X$7="No aplica"),0,'BOULEVARD 5'!AA184-'BOULEVARD PPTO'!S179)</f>
        <v>5</v>
      </c>
      <c r="Y186" s="760">
        <f>IF(OR($A186="F&amp;F",$A186="CE",Y$7="No aplica"),0,'BOULEVARD 5'!AB184-'BOULEVARD PPTO'!T179)</f>
        <v>5</v>
      </c>
      <c r="Z186" s="760">
        <f>IF(OR($A186="F&amp;F",$A186="CE",Z$7="No aplica"),0,'BOULEVARD 5'!AC184-'BOULEVARD PPTO'!U179)</f>
        <v>5</v>
      </c>
      <c r="AA186" s="760">
        <f>IF(OR($A186="F&amp;F",$A186="CE",AA$7="No aplica"),0,'BOULEVARD 5'!AD184-'BOULEVARD PPTO'!V179)</f>
        <v>5</v>
      </c>
      <c r="AB186" s="760">
        <f>IF(OR($A186="F&amp;F",$A186="CE",AB$7="No aplica"),0,'BOULEVARD 5'!AE184-'BOULEVARD PPTO'!W179)</f>
        <v>-3050</v>
      </c>
      <c r="AC186" s="760">
        <f>IF(OR($A186="F&amp;F",$A186="CE",AC$7="No aplica"),0,'BOULEVARD 5'!AF184-'BOULEVARD PPTO'!X179)</f>
        <v>5</v>
      </c>
      <c r="AD186" s="760">
        <f>IF(OR($A186="F&amp;F",$A186="CE",AD$7="No aplica"),0,'BOULEVARD 5'!AG184-'BOULEVARD PPTO'!Y179)</f>
        <v>5</v>
      </c>
      <c r="AE186" s="760">
        <f>IF(OR($A186="F&amp;F",$A186="CE",AE$7="No aplica"),0,'BOULEVARD 5'!AH184-'BOULEVARD PPTO'!Z179)</f>
        <v>5</v>
      </c>
      <c r="AF186" s="760">
        <f>IF(OR($A186="F&amp;F",$A186="CE",AF$7="No aplica"),0,'BOULEVARD 5'!AI184-'BOULEVARD PPTO'!AA179)</f>
        <v>5</v>
      </c>
      <c r="AG186" s="760">
        <f>IF(OR($A186="F&amp;F",$A186="CE",AG$7="No aplica"),0,'BOULEVARD 5'!AJ184-'BOULEVARD PPTO'!AB179)</f>
        <v>5</v>
      </c>
      <c r="AH186" s="760">
        <f>IF(OR($A186="F&amp;F",$A186="CE",AH$7="No aplica"),0,'BOULEVARD 5'!AK184-'BOULEVARD PPTO'!AC179)</f>
        <v>5</v>
      </c>
      <c r="AI186" s="760">
        <f>IF(OR($A186="F&amp;F",$A186="CE",AI$7="No aplica"),0,'BOULEVARD 5'!AL184-'BOULEVARD PPTO'!AD179)</f>
        <v>5</v>
      </c>
      <c r="AJ186" s="760">
        <f>IF(OR($A186="F&amp;F",$A186="CE",AJ$7="No aplica"),0,'BOULEVARD 5'!AM184-'BOULEVARD PPTO'!AE179)</f>
        <v>5</v>
      </c>
      <c r="AK186" s="760">
        <f>IF(OR($A186="F&amp;F",$A186="CE",AK$7="No aplica"),0,'BOULEVARD 5'!AN184-'BOULEVARD PPTO'!AF179)</f>
        <v>-3050</v>
      </c>
      <c r="AL186" s="760">
        <f>IF(OR($A186="F&amp;F",$A186="CE",AL$7="No aplica"),0,'BOULEVARD 5'!AO184-'BOULEVARD PPTO'!AG179)</f>
        <v>-3050</v>
      </c>
      <c r="AM186" s="760">
        <f>IF(OR($A186="F&amp;F",$A186="CE",AM$7="No aplica"),0,'BOULEVARD 5'!AP184-'BOULEVARD PPTO'!AH179)</f>
        <v>-3050</v>
      </c>
      <c r="AN186" s="760">
        <f>IF(OR($A186="F&amp;F",$A186="CE",AN$7="No aplica"),0,'BOULEVARD 5'!AQ184-'BOULEVARD PPTO'!AI179)</f>
        <v>0</v>
      </c>
      <c r="AO186" s="760">
        <f>IF(OR($A186="F&amp;F",$A186="CE",AO$7="No aplica"),0,'BOULEVARD 5'!AS184-'BOULEVARD PPTO'!AJ179)</f>
        <v>0</v>
      </c>
      <c r="AP186" s="761">
        <f t="shared" si="18"/>
        <v>-12065</v>
      </c>
      <c r="AQ186" s="761">
        <f t="shared" si="19"/>
        <v>-24740</v>
      </c>
      <c r="AR186" s="674">
        <f>IF(A186=0,'BOULEVARD 5'!BF184,0)</f>
        <v>6000</v>
      </c>
      <c r="AS186" s="674">
        <f>IF(A186=0,'BOULEVARD 5'!BG184,0)</f>
        <v>3050</v>
      </c>
      <c r="AT186" s="675" t="str">
        <f t="shared" si="17"/>
        <v>Vendido</v>
      </c>
      <c r="AU186" s="581" t="str">
        <f t="shared" si="21"/>
        <v>POR COBRAR</v>
      </c>
      <c r="AV186" s="760">
        <f t="shared" si="20"/>
        <v>0</v>
      </c>
    </row>
    <row r="187" spans="1:48" s="581" customFormat="1" ht="12.4" customHeight="1" outlineLevel="1" x14ac:dyDescent="0.25">
      <c r="A187" s="703" t="str">
        <f>'BOULEVARD 5'!BQ185</f>
        <v>F&amp;F</v>
      </c>
      <c r="B187" s="704">
        <v>1012</v>
      </c>
      <c r="C187" s="704" t="s">
        <v>568</v>
      </c>
      <c r="D187" s="704"/>
      <c r="E187" s="704" t="str">
        <f>IF('BOULEVARD 5'!E185&lt;&gt;0,'BOULEVARD 5'!E185,"")</f>
        <v>Ronaldo</v>
      </c>
      <c r="F187" s="705" t="str">
        <f>IF('BOULEVARD 5'!F185&lt;&gt;0,'BOULEVARD 5'!F185,"")</f>
        <v>Iurix, S.A</v>
      </c>
      <c r="G187" s="566">
        <f>IF('BOULEVARD 5'!G185="","",'BOULEVARD 5'!G185)</f>
        <v>45300</v>
      </c>
      <c r="H187" s="756">
        <f>IF(OR($A187="F&amp;F",$A187="CE",H$7="No aplica"),0,'BOULEVARD 5'!K185-'BOULEVARD PPTO'!C180)</f>
        <v>0</v>
      </c>
      <c r="I187" s="756">
        <f>IF(OR($A187="F&amp;F",$A187="CE",I$7="No aplica"),0,'BOULEVARD 5'!L185-'BOULEVARD PPTO'!D180)</f>
        <v>0</v>
      </c>
      <c r="J187" s="756">
        <f>IF(OR($A187="F&amp;F",$A187="CE",J$7="No aplica"),0,'BOULEVARD 5'!M185-'BOULEVARD PPTO'!E180)</f>
        <v>0</v>
      </c>
      <c r="K187" s="756">
        <f>IF(OR($A187="F&amp;F",$A187="CE",K$7="No aplica"),0,'BOULEVARD 5'!N185-'BOULEVARD PPTO'!F180)</f>
        <v>0</v>
      </c>
      <c r="L187" s="756">
        <f>IF(OR($A187="F&amp;F",$A187="CE",L$7="No aplica"),0,'BOULEVARD 5'!O185-'BOULEVARD PPTO'!G180)</f>
        <v>0</v>
      </c>
      <c r="M187" s="756">
        <f>IF(OR($A187="F&amp;F",$A187="CE",M$7="No aplica"),0,'BOULEVARD 5'!P185-'BOULEVARD PPTO'!H180)</f>
        <v>0</v>
      </c>
      <c r="N187" s="756">
        <f>IF(OR($A187="F&amp;F",$A187="CE",N$7="No aplica"),0,'BOULEVARD 5'!Q185-'BOULEVARD PPTO'!I180)</f>
        <v>0</v>
      </c>
      <c r="O187" s="756">
        <f>IF(OR($A187="F&amp;F",$A187="CE",O$7="No aplica"),0,'BOULEVARD 5'!R185-'BOULEVARD PPTO'!J180)</f>
        <v>0</v>
      </c>
      <c r="P187" s="756">
        <f>IF(OR($A187="F&amp;F",$A187="CE",P$7="No aplica"),0,'BOULEVARD 5'!S185-'BOULEVARD PPTO'!K180)</f>
        <v>0</v>
      </c>
      <c r="Q187" s="760">
        <f>IF(OR($A187="F&amp;F",$A187="CE",Q$7="No aplica"),0,'BOULEVARD 5'!T185-'BOULEVARD PPTO'!L180)</f>
        <v>0</v>
      </c>
      <c r="R187" s="760">
        <f>IF(OR($A187="F&amp;F",$A187="CE",R$7="No aplica"),0,'BOULEVARD 5'!U185-'BOULEVARD PPTO'!M180)</f>
        <v>0</v>
      </c>
      <c r="S187" s="760">
        <f>IF(OR($A187="F&amp;F",$A187="CE",S$7="No aplica"),0,'BOULEVARD 5'!V185-'BOULEVARD PPTO'!N180)</f>
        <v>0</v>
      </c>
      <c r="T187" s="760">
        <f>IF(OR($A187="F&amp;F",$A187="CE",T$7="No aplica"),0,'BOULEVARD 5'!W185-'BOULEVARD PPTO'!O180)</f>
        <v>0</v>
      </c>
      <c r="U187" s="760">
        <f>IF(OR($A187="F&amp;F",$A187="CE",U$7="No aplica"),0,'BOULEVARD 5'!X185-'BOULEVARD PPTO'!P180)</f>
        <v>0</v>
      </c>
      <c r="V187" s="760">
        <f>IF(OR($A187="F&amp;F",$A187="CE",V$7="No aplica"),0,'BOULEVARD 5'!Y185-'BOULEVARD PPTO'!Q180)</f>
        <v>0</v>
      </c>
      <c r="W187" s="760">
        <f>IF(OR($A187="F&amp;F",$A187="CE",W$7="No aplica"),0,'BOULEVARD 5'!Z185-'BOULEVARD PPTO'!R180)</f>
        <v>0</v>
      </c>
      <c r="X187" s="760">
        <f>IF(OR($A187="F&amp;F",$A187="CE",X$7="No aplica"),0,'BOULEVARD 5'!AA185-'BOULEVARD PPTO'!S180)</f>
        <v>0</v>
      </c>
      <c r="Y187" s="760">
        <f>IF(OR($A187="F&amp;F",$A187="CE",Y$7="No aplica"),0,'BOULEVARD 5'!AB185-'BOULEVARD PPTO'!T180)</f>
        <v>0</v>
      </c>
      <c r="Z187" s="760">
        <f>IF(OR($A187="F&amp;F",$A187="CE",Z$7="No aplica"),0,'BOULEVARD 5'!AC185-'BOULEVARD PPTO'!U180)</f>
        <v>0</v>
      </c>
      <c r="AA187" s="760">
        <f>IF(OR($A187="F&amp;F",$A187="CE",AA$7="No aplica"),0,'BOULEVARD 5'!AD185-'BOULEVARD PPTO'!V180)</f>
        <v>0</v>
      </c>
      <c r="AB187" s="760">
        <f>IF(OR($A187="F&amp;F",$A187="CE",AB$7="No aplica"),0,'BOULEVARD 5'!AE185-'BOULEVARD PPTO'!W180)</f>
        <v>0</v>
      </c>
      <c r="AC187" s="760">
        <f>IF(OR($A187="F&amp;F",$A187="CE",AC$7="No aplica"),0,'BOULEVARD 5'!AF185-'BOULEVARD PPTO'!X180)</f>
        <v>0</v>
      </c>
      <c r="AD187" s="760">
        <f>IF(OR($A187="F&amp;F",$A187="CE",AD$7="No aplica"),0,'BOULEVARD 5'!AG185-'BOULEVARD PPTO'!Y180)</f>
        <v>0</v>
      </c>
      <c r="AE187" s="760">
        <f>IF(OR($A187="F&amp;F",$A187="CE",AE$7="No aplica"),0,'BOULEVARD 5'!AH185-'BOULEVARD PPTO'!Z180)</f>
        <v>0</v>
      </c>
      <c r="AF187" s="760">
        <f>IF(OR($A187="F&amp;F",$A187="CE",AF$7="No aplica"),0,'BOULEVARD 5'!AI185-'BOULEVARD PPTO'!AA180)</f>
        <v>0</v>
      </c>
      <c r="AG187" s="760">
        <f>IF(OR($A187="F&amp;F",$A187="CE",AG$7="No aplica"),0,'BOULEVARD 5'!AJ185-'BOULEVARD PPTO'!AB180)</f>
        <v>0</v>
      </c>
      <c r="AH187" s="760">
        <f>IF(OR($A187="F&amp;F",$A187="CE",AH$7="No aplica"),0,'BOULEVARD 5'!AK185-'BOULEVARD PPTO'!AC180)</f>
        <v>0</v>
      </c>
      <c r="AI187" s="760">
        <f>IF(OR($A187="F&amp;F",$A187="CE",AI$7="No aplica"),0,'BOULEVARD 5'!AL185-'BOULEVARD PPTO'!AD180)</f>
        <v>0</v>
      </c>
      <c r="AJ187" s="760">
        <f>IF(OR($A187="F&amp;F",$A187="CE",AJ$7="No aplica"),0,'BOULEVARD 5'!AM185-'BOULEVARD PPTO'!AE180)</f>
        <v>0</v>
      </c>
      <c r="AK187" s="760">
        <f>IF(OR($A187="F&amp;F",$A187="CE",AK$7="No aplica"),0,'BOULEVARD 5'!AN185-'BOULEVARD PPTO'!AF180)</f>
        <v>0</v>
      </c>
      <c r="AL187" s="760">
        <f>IF(OR($A187="F&amp;F",$A187="CE",AL$7="No aplica"),0,'BOULEVARD 5'!AO185-'BOULEVARD PPTO'!AG180)</f>
        <v>0</v>
      </c>
      <c r="AM187" s="760">
        <f>IF(OR($A187="F&amp;F",$A187="CE",AM$7="No aplica"),0,'BOULEVARD 5'!AP185-'BOULEVARD PPTO'!AH180)</f>
        <v>0</v>
      </c>
      <c r="AN187" s="760">
        <f>IF(OR($A187="F&amp;F",$A187="CE",AN$7="No aplica"),0,'BOULEVARD 5'!AQ185-'BOULEVARD PPTO'!AI180)</f>
        <v>0</v>
      </c>
      <c r="AO187" s="760">
        <f>IF(OR($A187="F&amp;F",$A187="CE",AO$7="No aplica"),0,'BOULEVARD 5'!AS185-'BOULEVARD PPTO'!AJ180)</f>
        <v>0</v>
      </c>
      <c r="AP187" s="761">
        <f t="shared" si="18"/>
        <v>0</v>
      </c>
      <c r="AQ187" s="761">
        <f t="shared" si="19"/>
        <v>0</v>
      </c>
      <c r="AR187" s="674">
        <f>IF(A187=0,'BOULEVARD 5'!BF185,0)</f>
        <v>0</v>
      </c>
      <c r="AS187" s="674">
        <f>IF(A187=0,'BOULEVARD 5'!BG185,0)</f>
        <v>0</v>
      </c>
      <c r="AT187" s="675" t="str">
        <f t="shared" si="17"/>
        <v>Vendido</v>
      </c>
      <c r="AU187" s="581" t="str">
        <f t="shared" si="21"/>
        <v/>
      </c>
      <c r="AV187" s="760">
        <f t="shared" si="20"/>
        <v>0</v>
      </c>
    </row>
    <row r="188" spans="1:48" s="581" customFormat="1" ht="12.4" customHeight="1" outlineLevel="1" x14ac:dyDescent="0.25">
      <c r="A188" s="703">
        <f>'BOULEVARD 5'!BQ186</f>
        <v>0</v>
      </c>
      <c r="B188" s="564">
        <v>1013</v>
      </c>
      <c r="C188" s="564" t="s">
        <v>393</v>
      </c>
      <c r="D188" s="564"/>
      <c r="E188" s="564" t="str">
        <f>IF('BOULEVARD 5'!E186&lt;&gt;0,'BOULEVARD 5'!E186,"")</f>
        <v>Brenda Búcaro</v>
      </c>
      <c r="F188" s="581" t="str">
        <f>IF('BOULEVARD 5'!F186&lt;&gt;0,'BOULEVARD 5'!F186,"")</f>
        <v>Byron Nehemías Ortega Ruiz</v>
      </c>
      <c r="G188" s="566">
        <f>IF('BOULEVARD 5'!G186="","",'BOULEVARD 5'!G186)</f>
        <v>45181</v>
      </c>
      <c r="H188" s="756">
        <f>IF(OR($A188="F&amp;F",$A188="CE",H$7="No aplica"),0,'BOULEVARD 5'!K186-'BOULEVARD PPTO'!C181)</f>
        <v>0</v>
      </c>
      <c r="I188" s="756">
        <f>IF(OR($A188="F&amp;F",$A188="CE",I$7="No aplica"),0,'BOULEVARD 5'!L186-'BOULEVARD PPTO'!D181)</f>
        <v>0</v>
      </c>
      <c r="J188" s="756">
        <f>IF(OR($A188="F&amp;F",$A188="CE",J$7="No aplica"),0,'BOULEVARD 5'!M186-'BOULEVARD PPTO'!E181)</f>
        <v>0</v>
      </c>
      <c r="K188" s="756">
        <f>IF(OR($A188="F&amp;F",$A188="CE",K$7="No aplica"),0,'BOULEVARD 5'!N186-'BOULEVARD PPTO'!F181)</f>
        <v>0</v>
      </c>
      <c r="L188" s="756">
        <f>IF(OR($A188="F&amp;F",$A188="CE",L$7="No aplica"),0,'BOULEVARD 5'!O186-'BOULEVARD PPTO'!G181)</f>
        <v>0</v>
      </c>
      <c r="M188" s="756">
        <f>IF(OR($A188="F&amp;F",$A188="CE",M$7="No aplica"),0,'BOULEVARD 5'!P186-'BOULEVARD PPTO'!H181)</f>
        <v>0</v>
      </c>
      <c r="N188" s="756">
        <f>IF(OR($A188="F&amp;F",$A188="CE",N$7="No aplica"),0,'BOULEVARD 5'!Q186-'BOULEVARD PPTO'!I181)</f>
        <v>0</v>
      </c>
      <c r="O188" s="756">
        <f>IF(OR($A188="F&amp;F",$A188="CE",O$7="No aplica"),0,'BOULEVARD 5'!R186-'BOULEVARD PPTO'!J181)</f>
        <v>0</v>
      </c>
      <c r="P188" s="756">
        <f>IF(OR($A188="F&amp;F",$A188="CE",P$7="No aplica"),0,'BOULEVARD 5'!S186-'BOULEVARD PPTO'!K181)</f>
        <v>-3517</v>
      </c>
      <c r="Q188" s="760">
        <f>IF(OR($A188="F&amp;F",$A188="CE",Q$7="No aplica"),0,'BOULEVARD 5'!T186-'BOULEVARD PPTO'!L181)</f>
        <v>0</v>
      </c>
      <c r="R188" s="760">
        <f>IF(OR($A188="F&amp;F",$A188="CE",R$7="No aplica"),0,'BOULEVARD 5'!U186-'BOULEVARD PPTO'!M181)</f>
        <v>-3517</v>
      </c>
      <c r="S188" s="760">
        <f>IF(OR($A188="F&amp;F",$A188="CE",S$7="No aplica"),0,'BOULEVARD 5'!V186-'BOULEVARD PPTO'!N181)</f>
        <v>0</v>
      </c>
      <c r="T188" s="760">
        <f>IF(OR($A188="F&amp;F",$A188="CE",T$7="No aplica"),0,'BOULEVARD 5'!W186-'BOULEVARD PPTO'!O181)</f>
        <v>-3517</v>
      </c>
      <c r="U188" s="760">
        <f>IF(OR($A188="F&amp;F",$A188="CE",U$7="No aplica"),0,'BOULEVARD 5'!X186-'BOULEVARD PPTO'!P181)</f>
        <v>0</v>
      </c>
      <c r="V188" s="760">
        <f>IF(OR($A188="F&amp;F",$A188="CE",V$7="No aplica"),0,'BOULEVARD 5'!Y186-'BOULEVARD PPTO'!Q181)</f>
        <v>3517</v>
      </c>
      <c r="W188" s="760">
        <f>IF(OR($A188="F&amp;F",$A188="CE",W$7="No aplica"),0,'BOULEVARD 5'!Z186-'BOULEVARD PPTO'!R181)</f>
        <v>0</v>
      </c>
      <c r="X188" s="760">
        <f>IF(OR($A188="F&amp;F",$A188="CE",X$7="No aplica"),0,'BOULEVARD 5'!AA186-'BOULEVARD PPTO'!S181)</f>
        <v>3517</v>
      </c>
      <c r="Y188" s="760">
        <f>IF(OR($A188="F&amp;F",$A188="CE",Y$7="No aplica"),0,'BOULEVARD 5'!AB186-'BOULEVARD PPTO'!T181)</f>
        <v>-3517</v>
      </c>
      <c r="Z188" s="760">
        <f>IF(OR($A188="F&amp;F",$A188="CE",Z$7="No aplica"),0,'BOULEVARD 5'!AC186-'BOULEVARD PPTO'!U181)</f>
        <v>0</v>
      </c>
      <c r="AA188" s="760">
        <f>IF(OR($A188="F&amp;F",$A188="CE",AA$7="No aplica"),0,'BOULEVARD 5'!AD186-'BOULEVARD PPTO'!V181)</f>
        <v>0</v>
      </c>
      <c r="AB188" s="760">
        <f>IF(OR($A188="F&amp;F",$A188="CE",AB$7="No aplica"),0,'BOULEVARD 5'!AE186-'BOULEVARD PPTO'!W181)</f>
        <v>0</v>
      </c>
      <c r="AC188" s="760">
        <f>IF(OR($A188="F&amp;F",$A188="CE",AC$7="No aplica"),0,'BOULEVARD 5'!AF186-'BOULEVARD PPTO'!X181)</f>
        <v>0</v>
      </c>
      <c r="AD188" s="760">
        <f>IF(OR($A188="F&amp;F",$A188="CE",AD$7="No aplica"),0,'BOULEVARD 5'!AG186-'BOULEVARD PPTO'!Y181)</f>
        <v>-3517</v>
      </c>
      <c r="AE188" s="760">
        <f>IF(OR($A188="F&amp;F",$A188="CE",AE$7="No aplica"),0,'BOULEVARD 5'!AH186-'BOULEVARD PPTO'!Z181)</f>
        <v>-3517</v>
      </c>
      <c r="AF188" s="760">
        <f>IF(OR($A188="F&amp;F",$A188="CE",AF$7="No aplica"),0,'BOULEVARD 5'!AI186-'BOULEVARD PPTO'!AA181)</f>
        <v>3517</v>
      </c>
      <c r="AG188" s="760">
        <f>IF(OR($A188="F&amp;F",$A188="CE",AG$7="No aplica"),0,'BOULEVARD 5'!AJ186-'BOULEVARD PPTO'!AB181)</f>
        <v>7034</v>
      </c>
      <c r="AH188" s="760">
        <f>IF(OR($A188="F&amp;F",$A188="CE",AH$7="No aplica"),0,'BOULEVARD 5'!AK186-'BOULEVARD PPTO'!AC181)</f>
        <v>0</v>
      </c>
      <c r="AI188" s="760">
        <f>IF(OR($A188="F&amp;F",$A188="CE",AI$7="No aplica"),0,'BOULEVARD 5'!AL186-'BOULEVARD PPTO'!AD181)</f>
        <v>0</v>
      </c>
      <c r="AJ188" s="760">
        <f>IF(OR($A188="F&amp;F",$A188="CE",AJ$7="No aplica"),0,'BOULEVARD 5'!AM186-'BOULEVARD PPTO'!AE181)</f>
        <v>3517</v>
      </c>
      <c r="AK188" s="760">
        <f>IF(OR($A188="F&amp;F",$A188="CE",AK$7="No aplica"),0,'BOULEVARD 5'!AN186-'BOULEVARD PPTO'!AF181)</f>
        <v>-3517</v>
      </c>
      <c r="AL188" s="760">
        <f>IF(OR($A188="F&amp;F",$A188="CE",AL$7="No aplica"),0,'BOULEVARD 5'!AO186-'BOULEVARD PPTO'!AG181)</f>
        <v>-3509</v>
      </c>
      <c r="AM188" s="760">
        <f>IF(OR($A188="F&amp;F",$A188="CE",AM$7="No aplica"),0,'BOULEVARD 5'!AP186-'BOULEVARD PPTO'!AH181)</f>
        <v>7034</v>
      </c>
      <c r="AN188" s="760">
        <f>IF(OR($A188="F&amp;F",$A188="CE",AN$7="No aplica"),0,'BOULEVARD 5'!AQ186-'BOULEVARD PPTO'!AI181)</f>
        <v>0</v>
      </c>
      <c r="AO188" s="760">
        <f>IF(OR($A188="F&amp;F",$A188="CE",AO$7="No aplica"),0,'BOULEVARD 5'!AS186-'BOULEVARD PPTO'!AJ181)</f>
        <v>0</v>
      </c>
      <c r="AP188" s="761">
        <f t="shared" si="18"/>
        <v>8</v>
      </c>
      <c r="AQ188" s="761">
        <f t="shared" si="19"/>
        <v>8</v>
      </c>
      <c r="AR188" s="674">
        <f>IF(A188=0,'BOULEVARD 5'!BF186,0)</f>
        <v>6000</v>
      </c>
      <c r="AS188" s="674">
        <f>IF(A188=0,'BOULEVARD 5'!BG186,0)</f>
        <v>3517</v>
      </c>
      <c r="AT188" s="675" t="str">
        <f t="shared" si="17"/>
        <v>Vendido</v>
      </c>
      <c r="AU188" s="581" t="str">
        <f t="shared" si="21"/>
        <v>A FAVOR DEL CLIENTE</v>
      </c>
      <c r="AV188" s="760">
        <f t="shared" si="20"/>
        <v>7034</v>
      </c>
    </row>
    <row r="189" spans="1:48" s="581" customFormat="1" ht="12.4" customHeight="1" outlineLevel="1" x14ac:dyDescent="0.25">
      <c r="A189" s="703">
        <f>'BOULEVARD 5'!BQ187</f>
        <v>0</v>
      </c>
      <c r="B189" s="564">
        <v>1014</v>
      </c>
      <c r="C189" s="564" t="s">
        <v>172</v>
      </c>
      <c r="D189" s="564"/>
      <c r="E189" s="564" t="str">
        <f>IF('BOULEVARD 5'!E187&lt;&gt;0,'BOULEVARD 5'!E187,"")</f>
        <v>Antonio Rada</v>
      </c>
      <c r="F189" s="581" t="str">
        <f>IF('BOULEVARD 5'!F187&lt;&gt;0,'BOULEVARD 5'!F187,"")</f>
        <v>Jorge Antonio Reyes Ochoa</v>
      </c>
      <c r="G189" s="566">
        <f>IF('BOULEVARD 5'!G187="","",'BOULEVARD 5'!G187)</f>
        <v>45088</v>
      </c>
      <c r="H189" s="756">
        <f>IF(OR($A189="F&amp;F",$A189="CE",H$7="No aplica"),0,'BOULEVARD 5'!K187-'BOULEVARD PPTO'!C182)</f>
        <v>0</v>
      </c>
      <c r="I189" s="756">
        <f>IF(OR($A189="F&amp;F",$A189="CE",I$7="No aplica"),0,'BOULEVARD 5'!L187-'BOULEVARD PPTO'!D182)</f>
        <v>0</v>
      </c>
      <c r="J189" s="756">
        <f>IF(OR($A189="F&amp;F",$A189="CE",J$7="No aplica"),0,'BOULEVARD 5'!M187-'BOULEVARD PPTO'!E182)</f>
        <v>0</v>
      </c>
      <c r="K189" s="756">
        <f>IF(OR($A189="F&amp;F",$A189="CE",K$7="No aplica"),0,'BOULEVARD 5'!N187-'BOULEVARD PPTO'!F182)</f>
        <v>0</v>
      </c>
      <c r="L189" s="756">
        <f>IF(OR($A189="F&amp;F",$A189="CE",L$7="No aplica"),0,'BOULEVARD 5'!O187-'BOULEVARD PPTO'!G182)</f>
        <v>0</v>
      </c>
      <c r="M189" s="756">
        <f>IF(OR($A189="F&amp;F",$A189="CE",M$7="No aplica"),0,'BOULEVARD 5'!P187-'BOULEVARD PPTO'!H182)</f>
        <v>0</v>
      </c>
      <c r="N189" s="756">
        <f>IF(OR($A189="F&amp;F",$A189="CE",N$7="No aplica"),0,'BOULEVARD 5'!Q187-'BOULEVARD PPTO'!I182)</f>
        <v>0</v>
      </c>
      <c r="O189" s="756">
        <f>IF(OR($A189="F&amp;F",$A189="CE",O$7="No aplica"),0,'BOULEVARD 5'!R187-'BOULEVARD PPTO'!J182)</f>
        <v>0</v>
      </c>
      <c r="P189" s="756">
        <f>IF(OR($A189="F&amp;F",$A189="CE",P$7="No aplica"),0,'BOULEVARD 5'!S187-'BOULEVARD PPTO'!K182)</f>
        <v>-3052</v>
      </c>
      <c r="Q189" s="760">
        <f>IF(OR($A189="F&amp;F",$A189="CE",Q$7="No aplica"),0,'BOULEVARD 5'!T187-'BOULEVARD PPTO'!L182)</f>
        <v>0</v>
      </c>
      <c r="R189" s="760">
        <f>IF(OR($A189="F&amp;F",$A189="CE",R$7="No aplica"),0,'BOULEVARD 5'!U187-'BOULEVARD PPTO'!M182)</f>
        <v>0</v>
      </c>
      <c r="S189" s="760">
        <f>IF(OR($A189="F&amp;F",$A189="CE",S$7="No aplica"),0,'BOULEVARD 5'!V187-'BOULEVARD PPTO'!N182)</f>
        <v>0</v>
      </c>
      <c r="T189" s="760">
        <f>IF(OR($A189="F&amp;F",$A189="CE",T$7="No aplica"),0,'BOULEVARD 5'!W187-'BOULEVARD PPTO'!O182)</f>
        <v>-3052</v>
      </c>
      <c r="U189" s="760">
        <f>IF(OR($A189="F&amp;F",$A189="CE",U$7="No aplica"),0,'BOULEVARD 5'!X187-'BOULEVARD PPTO'!P182)</f>
        <v>3052</v>
      </c>
      <c r="V189" s="760">
        <f>IF(OR($A189="F&amp;F",$A189="CE",V$7="No aplica"),0,'BOULEVARD 5'!Y187-'BOULEVARD PPTO'!Q182)</f>
        <v>-3052</v>
      </c>
      <c r="W189" s="760">
        <f>IF(OR($A189="F&amp;F",$A189="CE",W$7="No aplica"),0,'BOULEVARD 5'!Z187-'BOULEVARD PPTO'!R182)</f>
        <v>0</v>
      </c>
      <c r="X189" s="760">
        <f>IF(OR($A189="F&amp;F",$A189="CE",X$7="No aplica"),0,'BOULEVARD 5'!AA187-'BOULEVARD PPTO'!S182)</f>
        <v>3052</v>
      </c>
      <c r="Y189" s="760">
        <f>IF(OR($A189="F&amp;F",$A189="CE",Y$7="No aplica"),0,'BOULEVARD 5'!AB187-'BOULEVARD PPTO'!T182)</f>
        <v>-3052</v>
      </c>
      <c r="Z189" s="760">
        <f>IF(OR($A189="F&amp;F",$A189="CE",Z$7="No aplica"),0,'BOULEVARD 5'!AC187-'BOULEVARD PPTO'!U182)</f>
        <v>0</v>
      </c>
      <c r="AA189" s="760">
        <f>IF(OR($A189="F&amp;F",$A189="CE",AA$7="No aplica"),0,'BOULEVARD 5'!AD187-'BOULEVARD PPTO'!V182)</f>
        <v>3052</v>
      </c>
      <c r="AB189" s="760">
        <f>IF(OR($A189="F&amp;F",$A189="CE",AB$7="No aplica"),0,'BOULEVARD 5'!AE187-'BOULEVARD PPTO'!W182)</f>
        <v>0</v>
      </c>
      <c r="AC189" s="760">
        <f>IF(OR($A189="F&amp;F",$A189="CE",AC$7="No aplica"),0,'BOULEVARD 5'!AF187-'BOULEVARD PPTO'!X182)</f>
        <v>-3052</v>
      </c>
      <c r="AD189" s="760">
        <f>IF(OR($A189="F&amp;F",$A189="CE",AD$7="No aplica"),0,'BOULEVARD 5'!AG187-'BOULEVARD PPTO'!Y182)</f>
        <v>0</v>
      </c>
      <c r="AE189" s="760">
        <f>IF(OR($A189="F&amp;F",$A189="CE",AE$7="No aplica"),0,'BOULEVARD 5'!AH187-'BOULEVARD PPTO'!Z182)</f>
        <v>-3052</v>
      </c>
      <c r="AF189" s="760">
        <f>IF(OR($A189="F&amp;F",$A189="CE",AF$7="No aplica"),0,'BOULEVARD 5'!AI187-'BOULEVARD PPTO'!AA182)</f>
        <v>0</v>
      </c>
      <c r="AG189" s="760">
        <f>IF(OR($A189="F&amp;F",$A189="CE",AG$7="No aplica"),0,'BOULEVARD 5'!AJ187-'BOULEVARD PPTO'!AB182)</f>
        <v>3052</v>
      </c>
      <c r="AH189" s="760">
        <f>IF(OR($A189="F&amp;F",$A189="CE",AH$7="No aplica"),0,'BOULEVARD 5'!AK187-'BOULEVARD PPTO'!AC182)</f>
        <v>3052</v>
      </c>
      <c r="AI189" s="760">
        <f>IF(OR($A189="F&amp;F",$A189="CE",AI$7="No aplica"),0,'BOULEVARD 5'!AL187-'BOULEVARD PPTO'!AD182)</f>
        <v>-3052</v>
      </c>
      <c r="AJ189" s="760">
        <f>IF(OR($A189="F&amp;F",$A189="CE",AJ$7="No aplica"),0,'BOULEVARD 5'!AM187-'BOULEVARD PPTO'!AE182)</f>
        <v>3052</v>
      </c>
      <c r="AK189" s="760">
        <f>IF(OR($A189="F&amp;F",$A189="CE",AK$7="No aplica"),0,'BOULEVARD 5'!AN187-'BOULEVARD PPTO'!AF182)</f>
        <v>-3052</v>
      </c>
      <c r="AL189" s="760">
        <f>IF(OR($A189="F&amp;F",$A189="CE",AL$7="No aplica"),0,'BOULEVARD 5'!AO187-'BOULEVARD PPTO'!AG182)</f>
        <v>3056</v>
      </c>
      <c r="AM189" s="760">
        <f>IF(OR($A189="F&amp;F",$A189="CE",AM$7="No aplica"),0,'BOULEVARD 5'!AP187-'BOULEVARD PPTO'!AH182)</f>
        <v>3048</v>
      </c>
      <c r="AN189" s="760">
        <f>IF(OR($A189="F&amp;F",$A189="CE",AN$7="No aplica"),0,'BOULEVARD 5'!AQ187-'BOULEVARD PPTO'!AI182)</f>
        <v>0</v>
      </c>
      <c r="AO189" s="760">
        <f>IF(OR($A189="F&amp;F",$A189="CE",AO$7="No aplica"),0,'BOULEVARD 5'!AS187-'BOULEVARD PPTO'!AJ182)</f>
        <v>0</v>
      </c>
      <c r="AP189" s="761">
        <f t="shared" si="18"/>
        <v>0</v>
      </c>
      <c r="AQ189" s="761">
        <f t="shared" si="19"/>
        <v>0</v>
      </c>
      <c r="AR189" s="674">
        <f>IF(A189=0,'BOULEVARD 5'!BF187,0)</f>
        <v>6000</v>
      </c>
      <c r="AS189" s="674">
        <f>IF(A189=0,'BOULEVARD 5'!BG187,0)</f>
        <v>3052</v>
      </c>
      <c r="AT189" s="675" t="str">
        <f t="shared" si="17"/>
        <v>Vendido</v>
      </c>
      <c r="AU189" s="581" t="str">
        <f t="shared" si="21"/>
        <v/>
      </c>
      <c r="AV189" s="760">
        <f t="shared" si="20"/>
        <v>3048</v>
      </c>
    </row>
    <row r="190" spans="1:48" s="581" customFormat="1" ht="12.4" customHeight="1" outlineLevel="1" x14ac:dyDescent="0.25">
      <c r="A190" s="703">
        <f>'BOULEVARD 5'!BQ188</f>
        <v>0</v>
      </c>
      <c r="B190" s="564">
        <v>1015</v>
      </c>
      <c r="C190" s="564" t="s">
        <v>547</v>
      </c>
      <c r="D190" s="564"/>
      <c r="E190" s="564" t="str">
        <f>IF('BOULEVARD 5'!E188&lt;&gt;0,'BOULEVARD 5'!E188,"")</f>
        <v>Antonio Rada</v>
      </c>
      <c r="F190" s="581" t="str">
        <f>IF('BOULEVARD 5'!F188&lt;&gt;0,'BOULEVARD 5'!F188,"")</f>
        <v>Pedro Luis Artero Bran</v>
      </c>
      <c r="G190" s="566">
        <f>IF('BOULEVARD 5'!G188="","",'BOULEVARD 5'!G188)</f>
        <v>45035</v>
      </c>
      <c r="H190" s="756">
        <f>IF(OR($A190="F&amp;F",$A190="CE",H$7="No aplica"),0,'BOULEVARD 5'!K188-'BOULEVARD PPTO'!C183)</f>
        <v>0</v>
      </c>
      <c r="I190" s="756">
        <f>IF(OR($A190="F&amp;F",$A190="CE",I$7="No aplica"),0,'BOULEVARD 5'!L188-'BOULEVARD PPTO'!D183)</f>
        <v>0</v>
      </c>
      <c r="J190" s="756">
        <f>IF(OR($A190="F&amp;F",$A190="CE",J$7="No aplica"),0,'BOULEVARD 5'!M188-'BOULEVARD PPTO'!E183)</f>
        <v>0</v>
      </c>
      <c r="K190" s="756">
        <f>IF(OR($A190="F&amp;F",$A190="CE",K$7="No aplica"),0,'BOULEVARD 5'!N188-'BOULEVARD PPTO'!F183)</f>
        <v>0</v>
      </c>
      <c r="L190" s="756">
        <f>IF(OR($A190="F&amp;F",$A190="CE",L$7="No aplica"),0,'BOULEVARD 5'!O188-'BOULEVARD PPTO'!G183)</f>
        <v>0</v>
      </c>
      <c r="M190" s="756">
        <f>IF(OR($A190="F&amp;F",$A190="CE",M$7="No aplica"),0,'BOULEVARD 5'!P188-'BOULEVARD PPTO'!H183)</f>
        <v>0</v>
      </c>
      <c r="N190" s="756">
        <f>IF(OR($A190="F&amp;F",$A190="CE",N$7="No aplica"),0,'BOULEVARD 5'!Q188-'BOULEVARD PPTO'!I183)</f>
        <v>0</v>
      </c>
      <c r="O190" s="756">
        <f>IF(OR($A190="F&amp;F",$A190="CE",O$7="No aplica"),0,'BOULEVARD 5'!R188-'BOULEVARD PPTO'!J183)</f>
        <v>0</v>
      </c>
      <c r="P190" s="756">
        <f>IF(OR($A190="F&amp;F",$A190="CE",P$7="No aplica"),0,'BOULEVARD 5'!S188-'BOULEVARD PPTO'!K183)</f>
        <v>0</v>
      </c>
      <c r="Q190" s="760">
        <f>IF(OR($A190="F&amp;F",$A190="CE",Q$7="No aplica"),0,'BOULEVARD 5'!T188-'BOULEVARD PPTO'!L183)</f>
        <v>0</v>
      </c>
      <c r="R190" s="760">
        <f>IF(OR($A190="F&amp;F",$A190="CE",R$7="No aplica"),0,'BOULEVARD 5'!U188-'BOULEVARD PPTO'!M183)</f>
        <v>0</v>
      </c>
      <c r="S190" s="760">
        <f>IF(OR($A190="F&amp;F",$A190="CE",S$7="No aplica"),0,'BOULEVARD 5'!V188-'BOULEVARD PPTO'!N183)</f>
        <v>0</v>
      </c>
      <c r="T190" s="760">
        <f>IF(OR($A190="F&amp;F",$A190="CE",T$7="No aplica"),0,'BOULEVARD 5'!W188-'BOULEVARD PPTO'!O183)</f>
        <v>0</v>
      </c>
      <c r="U190" s="760">
        <f>IF(OR($A190="F&amp;F",$A190="CE",U$7="No aplica"),0,'BOULEVARD 5'!X188-'BOULEVARD PPTO'!P183)</f>
        <v>0</v>
      </c>
      <c r="V190" s="760">
        <f>IF(OR($A190="F&amp;F",$A190="CE",V$7="No aplica"),0,'BOULEVARD 5'!Y188-'BOULEVARD PPTO'!Q183)</f>
        <v>0</v>
      </c>
      <c r="W190" s="760">
        <f>IF(OR($A190="F&amp;F",$A190="CE",W$7="No aplica"),0,'BOULEVARD 5'!Z188-'BOULEVARD PPTO'!R183)</f>
        <v>0</v>
      </c>
      <c r="X190" s="760">
        <f>IF(OR($A190="F&amp;F",$A190="CE",X$7="No aplica"),0,'BOULEVARD 5'!AA188-'BOULEVARD PPTO'!S183)</f>
        <v>0</v>
      </c>
      <c r="Y190" s="760">
        <f>IF(OR($A190="F&amp;F",$A190="CE",Y$7="No aplica"),0,'BOULEVARD 5'!AB188-'BOULEVARD PPTO'!T183)</f>
        <v>0</v>
      </c>
      <c r="Z190" s="760">
        <f>IF(OR($A190="F&amp;F",$A190="CE",Z$7="No aplica"),0,'BOULEVARD 5'!AC188-'BOULEVARD PPTO'!U183)</f>
        <v>0</v>
      </c>
      <c r="AA190" s="760">
        <f>IF(OR($A190="F&amp;F",$A190="CE",AA$7="No aplica"),0,'BOULEVARD 5'!AD188-'BOULEVARD PPTO'!V183)</f>
        <v>0</v>
      </c>
      <c r="AB190" s="760">
        <f>IF(OR($A190="F&amp;F",$A190="CE",AB$7="No aplica"),0,'BOULEVARD 5'!AE188-'BOULEVARD PPTO'!W183)</f>
        <v>0</v>
      </c>
      <c r="AC190" s="760">
        <f>IF(OR($A190="F&amp;F",$A190="CE",AC$7="No aplica"),0,'BOULEVARD 5'!AF188-'BOULEVARD PPTO'!X183)</f>
        <v>0</v>
      </c>
      <c r="AD190" s="760">
        <f>IF(OR($A190="F&amp;F",$A190="CE",AD$7="No aplica"),0,'BOULEVARD 5'!AG188-'BOULEVARD PPTO'!Y183)</f>
        <v>0</v>
      </c>
      <c r="AE190" s="760">
        <f>IF(OR($A190="F&amp;F",$A190="CE",AE$7="No aplica"),0,'BOULEVARD 5'!AH188-'BOULEVARD PPTO'!Z183)</f>
        <v>0</v>
      </c>
      <c r="AF190" s="760">
        <f>IF(OR($A190="F&amp;F",$A190="CE",AF$7="No aplica"),0,'BOULEVARD 5'!AI188-'BOULEVARD PPTO'!AA183)</f>
        <v>0</v>
      </c>
      <c r="AG190" s="760">
        <f>IF(OR($A190="F&amp;F",$A190="CE",AG$7="No aplica"),0,'BOULEVARD 5'!AJ188-'BOULEVARD PPTO'!AB183)</f>
        <v>0</v>
      </c>
      <c r="AH190" s="760">
        <f>IF(OR($A190="F&amp;F",$A190="CE",AH$7="No aplica"),0,'BOULEVARD 5'!AK188-'BOULEVARD PPTO'!AC183)</f>
        <v>0</v>
      </c>
      <c r="AI190" s="760">
        <f>IF(OR($A190="F&amp;F",$A190="CE",AI$7="No aplica"),0,'BOULEVARD 5'!AL188-'BOULEVARD PPTO'!AD183)</f>
        <v>0</v>
      </c>
      <c r="AJ190" s="760">
        <f>IF(OR($A190="F&amp;F",$A190="CE",AJ$7="No aplica"),0,'BOULEVARD 5'!AM188-'BOULEVARD PPTO'!AE183)</f>
        <v>0</v>
      </c>
      <c r="AK190" s="760">
        <f>IF(OR($A190="F&amp;F",$A190="CE",AK$7="No aplica"),0,'BOULEVARD 5'!AN188-'BOULEVARD PPTO'!AF183)</f>
        <v>0</v>
      </c>
      <c r="AL190" s="760">
        <f>IF(OR($A190="F&amp;F",$A190="CE",AL$7="No aplica"),0,'BOULEVARD 5'!AO188-'BOULEVARD PPTO'!AG183)</f>
        <v>37</v>
      </c>
      <c r="AM190" s="760">
        <f>IF(OR($A190="F&amp;F",$A190="CE",AM$7="No aplica"),0,'BOULEVARD 5'!AP188-'BOULEVARD PPTO'!AH183)</f>
        <v>5000</v>
      </c>
      <c r="AN190" s="760">
        <f>IF(OR($A190="F&amp;F",$A190="CE",AN$7="No aplica"),0,'BOULEVARD 5'!AQ188-'BOULEVARD PPTO'!AI183)</f>
        <v>0</v>
      </c>
      <c r="AO190" s="760">
        <f>IF(OR($A190="F&amp;F",$A190="CE",AO$7="No aplica"),0,'BOULEVARD 5'!AS188-'BOULEVARD PPTO'!AJ183)</f>
        <v>0</v>
      </c>
      <c r="AP190" s="761">
        <f t="shared" si="18"/>
        <v>5037</v>
      </c>
      <c r="AQ190" s="761">
        <f t="shared" si="19"/>
        <v>20037</v>
      </c>
      <c r="AR190" s="674">
        <f>IF(A190=0,'BOULEVARD 5'!BF188,0)</f>
        <v>6000</v>
      </c>
      <c r="AS190" s="674">
        <f>IF(A190=0,'BOULEVARD 5'!BG188,0)</f>
        <v>4393</v>
      </c>
      <c r="AT190" s="675" t="str">
        <f t="shared" si="17"/>
        <v>Vendido</v>
      </c>
      <c r="AU190" s="581" t="str">
        <f t="shared" si="21"/>
        <v>A FAVOR DEL CLIENTE</v>
      </c>
      <c r="AV190" s="760">
        <f t="shared" si="20"/>
        <v>5000</v>
      </c>
    </row>
    <row r="191" spans="1:48" s="581" customFormat="1" ht="12.4" customHeight="1" outlineLevel="1" x14ac:dyDescent="0.25">
      <c r="A191" s="703" t="str">
        <f>'BOULEVARD 5'!BQ189</f>
        <v>CE</v>
      </c>
      <c r="B191" s="564">
        <v>1016</v>
      </c>
      <c r="C191" s="564" t="s">
        <v>181</v>
      </c>
      <c r="D191" s="647" t="s">
        <v>336</v>
      </c>
      <c r="E191" s="564" t="str">
        <f>IF('BOULEVARD 5'!E189&lt;&gt;0,'BOULEVARD 5'!E189,"")</f>
        <v>Brenda Búcaro</v>
      </c>
      <c r="F191" s="581" t="str">
        <f>IF('BOULEVARD 5'!F189&lt;&gt;0,'BOULEVARD 5'!F189,"")</f>
        <v>Sergio Enrique Bolaños López</v>
      </c>
      <c r="G191" s="566">
        <f>IF('BOULEVARD 5'!G189="","",'BOULEVARD 5'!G189)</f>
        <v>45032</v>
      </c>
      <c r="H191" s="756">
        <f>IF(OR($A191="F&amp;F",$A191="CE",H$7="No aplica"),0,'BOULEVARD 5'!K189-'BOULEVARD PPTO'!C184)</f>
        <v>0</v>
      </c>
      <c r="I191" s="756">
        <f>IF(OR($A191="F&amp;F",$A191="CE",I$7="No aplica"),0,'BOULEVARD 5'!L189-'BOULEVARD PPTO'!D184)</f>
        <v>0</v>
      </c>
      <c r="J191" s="756">
        <f>IF(OR($A191="F&amp;F",$A191="CE",J$7="No aplica"),0,'BOULEVARD 5'!M189-'BOULEVARD PPTO'!E184)</f>
        <v>0</v>
      </c>
      <c r="K191" s="756">
        <f>IF(OR($A191="F&amp;F",$A191="CE",K$7="No aplica"),0,'BOULEVARD 5'!N189-'BOULEVARD PPTO'!F184)</f>
        <v>0</v>
      </c>
      <c r="L191" s="756">
        <f>IF(OR($A191="F&amp;F",$A191="CE",L$7="No aplica"),0,'BOULEVARD 5'!O189-'BOULEVARD PPTO'!G184)</f>
        <v>0</v>
      </c>
      <c r="M191" s="756">
        <f>IF(OR($A191="F&amp;F",$A191="CE",M$7="No aplica"),0,'BOULEVARD 5'!P189-'BOULEVARD PPTO'!H184)</f>
        <v>0</v>
      </c>
      <c r="N191" s="756">
        <f>IF(OR($A191="F&amp;F",$A191="CE",N$7="No aplica"),0,'BOULEVARD 5'!Q189-'BOULEVARD PPTO'!I184)</f>
        <v>0</v>
      </c>
      <c r="O191" s="756">
        <f>IF(OR($A191="F&amp;F",$A191="CE",O$7="No aplica"),0,'BOULEVARD 5'!R189-'BOULEVARD PPTO'!J184)</f>
        <v>0</v>
      </c>
      <c r="P191" s="756">
        <f>IF(OR($A191="F&amp;F",$A191="CE",P$7="No aplica"),0,'BOULEVARD 5'!S189-'BOULEVARD PPTO'!K184)</f>
        <v>0</v>
      </c>
      <c r="Q191" s="760">
        <f>IF(OR($A191="F&amp;F",$A191="CE",Q$7="No aplica"),0,'BOULEVARD 5'!T189-'BOULEVARD PPTO'!L184)</f>
        <v>0</v>
      </c>
      <c r="R191" s="760">
        <f>IF(OR($A191="F&amp;F",$A191="CE",R$7="No aplica"),0,'BOULEVARD 5'!U189-'BOULEVARD PPTO'!M184)</f>
        <v>0</v>
      </c>
      <c r="S191" s="760">
        <f>IF(OR($A191="F&amp;F",$A191="CE",S$7="No aplica"),0,'BOULEVARD 5'!V189-'BOULEVARD PPTO'!N184)</f>
        <v>0</v>
      </c>
      <c r="T191" s="760">
        <f>IF(OR($A191="F&amp;F",$A191="CE",T$7="No aplica"),0,'BOULEVARD 5'!W189-'BOULEVARD PPTO'!O184)</f>
        <v>0</v>
      </c>
      <c r="U191" s="760">
        <f>IF(OR($A191="F&amp;F",$A191="CE",U$7="No aplica"),0,'BOULEVARD 5'!X189-'BOULEVARD PPTO'!P184)</f>
        <v>0</v>
      </c>
      <c r="V191" s="760">
        <f>IF(OR($A191="F&amp;F",$A191="CE",V$7="No aplica"),0,'BOULEVARD 5'!Y189-'BOULEVARD PPTO'!Q184)</f>
        <v>0</v>
      </c>
      <c r="W191" s="760">
        <f>IF(OR($A191="F&amp;F",$A191="CE",W$7="No aplica"),0,'BOULEVARD 5'!Z189-'BOULEVARD PPTO'!R184)</f>
        <v>0</v>
      </c>
      <c r="X191" s="760">
        <f>IF(OR($A191="F&amp;F",$A191="CE",X$7="No aplica"),0,'BOULEVARD 5'!AA189-'BOULEVARD PPTO'!S184)</f>
        <v>0</v>
      </c>
      <c r="Y191" s="760">
        <f>IF(OR($A191="F&amp;F",$A191="CE",Y$7="No aplica"),0,'BOULEVARD 5'!AB189-'BOULEVARD PPTO'!T184)</f>
        <v>0</v>
      </c>
      <c r="Z191" s="760">
        <f>IF(OR($A191="F&amp;F",$A191="CE",Z$7="No aplica"),0,'BOULEVARD 5'!AC189-'BOULEVARD PPTO'!U184)</f>
        <v>0</v>
      </c>
      <c r="AA191" s="760">
        <f>IF(OR($A191="F&amp;F",$A191="CE",AA$7="No aplica"),0,'BOULEVARD 5'!AD189-'BOULEVARD PPTO'!V184)</f>
        <v>0</v>
      </c>
      <c r="AB191" s="760">
        <f>IF(OR($A191="F&amp;F",$A191="CE",AB$7="No aplica"),0,'BOULEVARD 5'!AE189-'BOULEVARD PPTO'!W184)</f>
        <v>0</v>
      </c>
      <c r="AC191" s="760">
        <f>IF(OR($A191="F&amp;F",$A191="CE",AC$7="No aplica"),0,'BOULEVARD 5'!AF189-'BOULEVARD PPTO'!X184)</f>
        <v>0</v>
      </c>
      <c r="AD191" s="760">
        <f>IF(OR($A191="F&amp;F",$A191="CE",AD$7="No aplica"),0,'BOULEVARD 5'!AG189-'BOULEVARD PPTO'!Y184)</f>
        <v>0</v>
      </c>
      <c r="AE191" s="760">
        <f>IF(OR($A191="F&amp;F",$A191="CE",AE$7="No aplica"),0,'BOULEVARD 5'!AH189-'BOULEVARD PPTO'!Z184)</f>
        <v>0</v>
      </c>
      <c r="AF191" s="760">
        <f>IF(OR($A191="F&amp;F",$A191="CE",AF$7="No aplica"),0,'BOULEVARD 5'!AI189-'BOULEVARD PPTO'!AA184)</f>
        <v>0</v>
      </c>
      <c r="AG191" s="760">
        <f>IF(OR($A191="F&amp;F",$A191="CE",AG$7="No aplica"),0,'BOULEVARD 5'!AJ189-'BOULEVARD PPTO'!AB184)</f>
        <v>0</v>
      </c>
      <c r="AH191" s="760">
        <f>IF(OR($A191="F&amp;F",$A191="CE",AH$7="No aplica"),0,'BOULEVARD 5'!AK189-'BOULEVARD PPTO'!AC184)</f>
        <v>0</v>
      </c>
      <c r="AI191" s="760">
        <f>IF(OR($A191="F&amp;F",$A191="CE",AI$7="No aplica"),0,'BOULEVARD 5'!AL189-'BOULEVARD PPTO'!AD184)</f>
        <v>0</v>
      </c>
      <c r="AJ191" s="760">
        <f>IF(OR($A191="F&amp;F",$A191="CE",AJ$7="No aplica"),0,'BOULEVARD 5'!AM189-'BOULEVARD PPTO'!AE184)</f>
        <v>0</v>
      </c>
      <c r="AK191" s="760">
        <f>IF(OR($A191="F&amp;F",$A191="CE",AK$7="No aplica"),0,'BOULEVARD 5'!AN189-'BOULEVARD PPTO'!AF184)</f>
        <v>0</v>
      </c>
      <c r="AL191" s="760">
        <f>IF(OR($A191="F&amp;F",$A191="CE",AL$7="No aplica"),0,'BOULEVARD 5'!AO189-'BOULEVARD PPTO'!AG184)</f>
        <v>0</v>
      </c>
      <c r="AM191" s="760">
        <f>IF(OR($A191="F&amp;F",$A191="CE",AM$7="No aplica"),0,'BOULEVARD 5'!AP189-'BOULEVARD PPTO'!AH184)</f>
        <v>0</v>
      </c>
      <c r="AN191" s="760">
        <f>IF(OR($A191="F&amp;F",$A191="CE",AN$7="No aplica"),0,'BOULEVARD 5'!AQ189-'BOULEVARD PPTO'!AI184)</f>
        <v>0</v>
      </c>
      <c r="AO191" s="760">
        <f>IF(OR($A191="F&amp;F",$A191="CE",AO$7="No aplica"),0,'BOULEVARD 5'!AS189-'BOULEVARD PPTO'!AJ184)</f>
        <v>0</v>
      </c>
      <c r="AP191" s="761">
        <f t="shared" si="18"/>
        <v>0</v>
      </c>
      <c r="AQ191" s="761">
        <f t="shared" si="19"/>
        <v>0</v>
      </c>
      <c r="AR191" s="674">
        <f>IF(A191=0,'BOULEVARD 5'!BF189,0)</f>
        <v>0</v>
      </c>
      <c r="AS191" s="674">
        <f>IF(A191=0,'BOULEVARD 5'!BG189,0)</f>
        <v>0</v>
      </c>
      <c r="AT191" s="675" t="str">
        <f t="shared" si="17"/>
        <v>Vendido</v>
      </c>
      <c r="AU191" s="581" t="str">
        <f t="shared" si="21"/>
        <v/>
      </c>
      <c r="AV191" s="760">
        <f t="shared" si="20"/>
        <v>0</v>
      </c>
    </row>
    <row r="192" spans="1:48" s="581" customFormat="1" ht="12.4" customHeight="1" outlineLevel="1" x14ac:dyDescent="0.25">
      <c r="A192" s="703" t="str">
        <f>'BOULEVARD 5'!BQ190</f>
        <v>CE</v>
      </c>
      <c r="B192" s="564">
        <v>1017</v>
      </c>
      <c r="C192" s="564" t="s">
        <v>192</v>
      </c>
      <c r="D192" s="647" t="s">
        <v>336</v>
      </c>
      <c r="E192" s="564" t="str">
        <f>IF('BOULEVARD 5'!E190&lt;&gt;0,'BOULEVARD 5'!E190,"")</f>
        <v>Brenda Búcaro</v>
      </c>
      <c r="F192" s="581" t="str">
        <f>IF('BOULEVARD 5'!F190&lt;&gt;0,'BOULEVARD 5'!F190,"")</f>
        <v>Irene Alejandra Reyes Guzmán</v>
      </c>
      <c r="G192" s="566">
        <f>IF('BOULEVARD 5'!G190="","",'BOULEVARD 5'!G190)</f>
        <v>45032</v>
      </c>
      <c r="H192" s="756">
        <f>IF(OR($A192="F&amp;F",$A192="CE",H$7="No aplica"),0,'BOULEVARD 5'!K190-'BOULEVARD PPTO'!C185)</f>
        <v>0</v>
      </c>
      <c r="I192" s="756">
        <f>IF(OR($A192="F&amp;F",$A192="CE",I$7="No aplica"),0,'BOULEVARD 5'!L190-'BOULEVARD PPTO'!D185)</f>
        <v>0</v>
      </c>
      <c r="J192" s="756">
        <f>IF(OR($A192="F&amp;F",$A192="CE",J$7="No aplica"),0,'BOULEVARD 5'!M190-'BOULEVARD PPTO'!E185)</f>
        <v>0</v>
      </c>
      <c r="K192" s="756">
        <f>IF(OR($A192="F&amp;F",$A192="CE",K$7="No aplica"),0,'BOULEVARD 5'!N190-'BOULEVARD PPTO'!F185)</f>
        <v>0</v>
      </c>
      <c r="L192" s="756">
        <f>IF(OR($A192="F&amp;F",$A192="CE",L$7="No aplica"),0,'BOULEVARD 5'!O190-'BOULEVARD PPTO'!G185)</f>
        <v>0</v>
      </c>
      <c r="M192" s="756">
        <f>IF(OR($A192="F&amp;F",$A192="CE",M$7="No aplica"),0,'BOULEVARD 5'!P190-'BOULEVARD PPTO'!H185)</f>
        <v>0</v>
      </c>
      <c r="N192" s="756">
        <f>IF(OR($A192="F&amp;F",$A192="CE",N$7="No aplica"),0,'BOULEVARD 5'!Q190-'BOULEVARD PPTO'!I185)</f>
        <v>0</v>
      </c>
      <c r="O192" s="756">
        <f>IF(OR($A192="F&amp;F",$A192="CE",O$7="No aplica"),0,'BOULEVARD 5'!R190-'BOULEVARD PPTO'!J185)</f>
        <v>0</v>
      </c>
      <c r="P192" s="756">
        <f>IF(OR($A192="F&amp;F",$A192="CE",P$7="No aplica"),0,'BOULEVARD 5'!S190-'BOULEVARD PPTO'!K185)</f>
        <v>0</v>
      </c>
      <c r="Q192" s="760">
        <f>IF(OR($A192="F&amp;F",$A192="CE",Q$7="No aplica"),0,'BOULEVARD 5'!T190-'BOULEVARD PPTO'!L185)</f>
        <v>0</v>
      </c>
      <c r="R192" s="760">
        <f>IF(OR($A192="F&amp;F",$A192="CE",R$7="No aplica"),0,'BOULEVARD 5'!U190-'BOULEVARD PPTO'!M185)</f>
        <v>0</v>
      </c>
      <c r="S192" s="760">
        <f>IF(OR($A192="F&amp;F",$A192="CE",S$7="No aplica"),0,'BOULEVARD 5'!V190-'BOULEVARD PPTO'!N185)</f>
        <v>0</v>
      </c>
      <c r="T192" s="760">
        <f>IF(OR($A192="F&amp;F",$A192="CE",T$7="No aplica"),0,'BOULEVARD 5'!W190-'BOULEVARD PPTO'!O185)</f>
        <v>0</v>
      </c>
      <c r="U192" s="760">
        <f>IF(OR($A192="F&amp;F",$A192="CE",U$7="No aplica"),0,'BOULEVARD 5'!X190-'BOULEVARD PPTO'!P185)</f>
        <v>0</v>
      </c>
      <c r="V192" s="760">
        <f>IF(OR($A192="F&amp;F",$A192="CE",V$7="No aplica"),0,'BOULEVARD 5'!Y190-'BOULEVARD PPTO'!Q185)</f>
        <v>0</v>
      </c>
      <c r="W192" s="760">
        <f>IF(OR($A192="F&amp;F",$A192="CE",W$7="No aplica"),0,'BOULEVARD 5'!Z190-'BOULEVARD PPTO'!R185)</f>
        <v>0</v>
      </c>
      <c r="X192" s="760">
        <f>IF(OR($A192="F&amp;F",$A192="CE",X$7="No aplica"),0,'BOULEVARD 5'!AA190-'BOULEVARD PPTO'!S185)</f>
        <v>0</v>
      </c>
      <c r="Y192" s="760">
        <f>IF(OR($A192="F&amp;F",$A192="CE",Y$7="No aplica"),0,'BOULEVARD 5'!AB190-'BOULEVARD PPTO'!T185)</f>
        <v>0</v>
      </c>
      <c r="Z192" s="760">
        <f>IF(OR($A192="F&amp;F",$A192="CE",Z$7="No aplica"),0,'BOULEVARD 5'!AC190-'BOULEVARD PPTO'!U185)</f>
        <v>0</v>
      </c>
      <c r="AA192" s="760">
        <f>IF(OR($A192="F&amp;F",$A192="CE",AA$7="No aplica"),0,'BOULEVARD 5'!AD190-'BOULEVARD PPTO'!V185)</f>
        <v>0</v>
      </c>
      <c r="AB192" s="760">
        <f>IF(OR($A192="F&amp;F",$A192="CE",AB$7="No aplica"),0,'BOULEVARD 5'!AE190-'BOULEVARD PPTO'!W185)</f>
        <v>0</v>
      </c>
      <c r="AC192" s="760">
        <f>IF(OR($A192="F&amp;F",$A192="CE",AC$7="No aplica"),0,'BOULEVARD 5'!AF190-'BOULEVARD PPTO'!X185)</f>
        <v>0</v>
      </c>
      <c r="AD192" s="760">
        <f>IF(OR($A192="F&amp;F",$A192="CE",AD$7="No aplica"),0,'BOULEVARD 5'!AG190-'BOULEVARD PPTO'!Y185)</f>
        <v>0</v>
      </c>
      <c r="AE192" s="760">
        <f>IF(OR($A192="F&amp;F",$A192="CE",AE$7="No aplica"),0,'BOULEVARD 5'!AH190-'BOULEVARD PPTO'!Z185)</f>
        <v>0</v>
      </c>
      <c r="AF192" s="760">
        <f>IF(OR($A192="F&amp;F",$A192="CE",AF$7="No aplica"),0,'BOULEVARD 5'!AI190-'BOULEVARD PPTO'!AA185)</f>
        <v>0</v>
      </c>
      <c r="AG192" s="760">
        <f>IF(OR($A192="F&amp;F",$A192="CE",AG$7="No aplica"),0,'BOULEVARD 5'!AJ190-'BOULEVARD PPTO'!AB185)</f>
        <v>0</v>
      </c>
      <c r="AH192" s="760">
        <f>IF(OR($A192="F&amp;F",$A192="CE",AH$7="No aplica"),0,'BOULEVARD 5'!AK190-'BOULEVARD PPTO'!AC185)</f>
        <v>0</v>
      </c>
      <c r="AI192" s="760">
        <f>IF(OR($A192="F&amp;F",$A192="CE",AI$7="No aplica"),0,'BOULEVARD 5'!AL190-'BOULEVARD PPTO'!AD185)</f>
        <v>0</v>
      </c>
      <c r="AJ192" s="760">
        <f>IF(OR($A192="F&amp;F",$A192="CE",AJ$7="No aplica"),0,'BOULEVARD 5'!AM190-'BOULEVARD PPTO'!AE185)</f>
        <v>0</v>
      </c>
      <c r="AK192" s="760">
        <f>IF(OR($A192="F&amp;F",$A192="CE",AK$7="No aplica"),0,'BOULEVARD 5'!AN190-'BOULEVARD PPTO'!AF185)</f>
        <v>0</v>
      </c>
      <c r="AL192" s="760">
        <f>IF(OR($A192="F&amp;F",$A192="CE",AL$7="No aplica"),0,'BOULEVARD 5'!AO190-'BOULEVARD PPTO'!AG185)</f>
        <v>0</v>
      </c>
      <c r="AM192" s="760">
        <f>IF(OR($A192="F&amp;F",$A192="CE",AM$7="No aplica"),0,'BOULEVARD 5'!AP190-'BOULEVARD PPTO'!AH185)</f>
        <v>0</v>
      </c>
      <c r="AN192" s="760">
        <f>IF(OR($A192="F&amp;F",$A192="CE",AN$7="No aplica"),0,'BOULEVARD 5'!AQ190-'BOULEVARD PPTO'!AI185)</f>
        <v>0</v>
      </c>
      <c r="AO192" s="760">
        <f>IF(OR($A192="F&amp;F",$A192="CE",AO$7="No aplica"),0,'BOULEVARD 5'!AS190-'BOULEVARD PPTO'!AJ185)</f>
        <v>0</v>
      </c>
      <c r="AP192" s="761">
        <f t="shared" si="18"/>
        <v>0</v>
      </c>
      <c r="AQ192" s="761">
        <f t="shared" si="19"/>
        <v>0</v>
      </c>
      <c r="AR192" s="674">
        <f>IF(A192=0,'BOULEVARD 5'!BF190,0)</f>
        <v>0</v>
      </c>
      <c r="AS192" s="674">
        <f>IF(A192=0,'BOULEVARD 5'!BG190,0)</f>
        <v>0</v>
      </c>
      <c r="AT192" s="675" t="str">
        <f t="shared" si="17"/>
        <v>Vendido</v>
      </c>
      <c r="AU192" s="581" t="str">
        <f t="shared" si="21"/>
        <v/>
      </c>
      <c r="AV192" s="760">
        <f t="shared" si="20"/>
        <v>0</v>
      </c>
    </row>
    <row r="193" spans="1:48" s="581" customFormat="1" ht="12.4" customHeight="1" outlineLevel="1" x14ac:dyDescent="0.25">
      <c r="A193" s="703" t="str">
        <f>'BOULEVARD 5'!BQ191</f>
        <v>CE</v>
      </c>
      <c r="B193" s="708">
        <v>1018</v>
      </c>
      <c r="C193" s="564" t="s">
        <v>198</v>
      </c>
      <c r="D193" s="707" t="s">
        <v>386</v>
      </c>
      <c r="E193" s="564" t="str">
        <f>IF('BOULEVARD 5'!E191&lt;&gt;0,'BOULEVARD 5'!E191,"")</f>
        <v>Antonio Rada</v>
      </c>
      <c r="F193" s="581" t="str">
        <f>IF('BOULEVARD 5'!F191&lt;&gt;0,'BOULEVARD 5'!F191,"")</f>
        <v>Corporacion Fb Sociedad Anonima</v>
      </c>
      <c r="G193" s="566">
        <f>IF('BOULEVARD 5'!G191="","",'BOULEVARD 5'!G191)</f>
        <v>45141</v>
      </c>
      <c r="H193" s="756">
        <f>IF(OR($A193="F&amp;F",$A193="CE",H$7="No aplica"),0,'BOULEVARD 5'!K191-'BOULEVARD PPTO'!C186)</f>
        <v>0</v>
      </c>
      <c r="I193" s="756">
        <f>IF(OR($A193="F&amp;F",$A193="CE",I$7="No aplica"),0,'BOULEVARD 5'!L191-'BOULEVARD PPTO'!D186)</f>
        <v>0</v>
      </c>
      <c r="J193" s="756">
        <f>IF(OR($A193="F&amp;F",$A193="CE",J$7="No aplica"),0,'BOULEVARD 5'!M191-'BOULEVARD PPTO'!E186)</f>
        <v>0</v>
      </c>
      <c r="K193" s="756">
        <f>IF(OR($A193="F&amp;F",$A193="CE",K$7="No aplica"),0,'BOULEVARD 5'!N191-'BOULEVARD PPTO'!F186)</f>
        <v>0</v>
      </c>
      <c r="L193" s="756">
        <f>IF(OR($A193="F&amp;F",$A193="CE",L$7="No aplica"),0,'BOULEVARD 5'!O191-'BOULEVARD PPTO'!G186)</f>
        <v>0</v>
      </c>
      <c r="M193" s="756">
        <f>IF(OR($A193="F&amp;F",$A193="CE",M$7="No aplica"),0,'BOULEVARD 5'!P191-'BOULEVARD PPTO'!H186)</f>
        <v>0</v>
      </c>
      <c r="N193" s="756">
        <f>IF(OR($A193="F&amp;F",$A193="CE",N$7="No aplica"),0,'BOULEVARD 5'!Q191-'BOULEVARD PPTO'!I186)</f>
        <v>0</v>
      </c>
      <c r="O193" s="756">
        <f>IF(OR($A193="F&amp;F",$A193="CE",O$7="No aplica"),0,'BOULEVARD 5'!R191-'BOULEVARD PPTO'!J186)</f>
        <v>0</v>
      </c>
      <c r="P193" s="756">
        <f>IF(OR($A193="F&amp;F",$A193="CE",P$7="No aplica"),0,'BOULEVARD 5'!S191-'BOULEVARD PPTO'!K186)</f>
        <v>0</v>
      </c>
      <c r="Q193" s="760">
        <f>IF(OR($A193="F&amp;F",$A193="CE",Q$7="No aplica"),0,'BOULEVARD 5'!T191-'BOULEVARD PPTO'!L186)</f>
        <v>0</v>
      </c>
      <c r="R193" s="760">
        <f>IF(OR($A193="F&amp;F",$A193="CE",R$7="No aplica"),0,'BOULEVARD 5'!U191-'BOULEVARD PPTO'!M186)</f>
        <v>0</v>
      </c>
      <c r="S193" s="760">
        <f>IF(OR($A193="F&amp;F",$A193="CE",S$7="No aplica"),0,'BOULEVARD 5'!V191-'BOULEVARD PPTO'!N186)</f>
        <v>0</v>
      </c>
      <c r="T193" s="760">
        <f>IF(OR($A193="F&amp;F",$A193="CE",T$7="No aplica"),0,'BOULEVARD 5'!W191-'BOULEVARD PPTO'!O186)</f>
        <v>0</v>
      </c>
      <c r="U193" s="760">
        <f>IF(OR($A193="F&amp;F",$A193="CE",U$7="No aplica"),0,'BOULEVARD 5'!X191-'BOULEVARD PPTO'!P186)</f>
        <v>0</v>
      </c>
      <c r="V193" s="760">
        <f>IF(OR($A193="F&amp;F",$A193="CE",V$7="No aplica"),0,'BOULEVARD 5'!Y191-'BOULEVARD PPTO'!Q186)</f>
        <v>0</v>
      </c>
      <c r="W193" s="760">
        <f>IF(OR($A193="F&amp;F",$A193="CE",W$7="No aplica"),0,'BOULEVARD 5'!Z191-'BOULEVARD PPTO'!R186)</f>
        <v>0</v>
      </c>
      <c r="X193" s="760">
        <f>IF(OR($A193="F&amp;F",$A193="CE",X$7="No aplica"),0,'BOULEVARD 5'!AA191-'BOULEVARD PPTO'!S186)</f>
        <v>0</v>
      </c>
      <c r="Y193" s="760">
        <f>IF(OR($A193="F&amp;F",$A193="CE",Y$7="No aplica"),0,'BOULEVARD 5'!AB191-'BOULEVARD PPTO'!T186)</f>
        <v>0</v>
      </c>
      <c r="Z193" s="760">
        <f>IF(OR($A193="F&amp;F",$A193="CE",Z$7="No aplica"),0,'BOULEVARD 5'!AC191-'BOULEVARD PPTO'!U186)</f>
        <v>0</v>
      </c>
      <c r="AA193" s="760">
        <f>IF(OR($A193="F&amp;F",$A193="CE",AA$7="No aplica"),0,'BOULEVARD 5'!AD191-'BOULEVARD PPTO'!V186)</f>
        <v>0</v>
      </c>
      <c r="AB193" s="760">
        <f>IF(OR($A193="F&amp;F",$A193="CE",AB$7="No aplica"),0,'BOULEVARD 5'!AE191-'BOULEVARD PPTO'!W186)</f>
        <v>0</v>
      </c>
      <c r="AC193" s="760">
        <f>IF(OR($A193="F&amp;F",$A193="CE",AC$7="No aplica"),0,'BOULEVARD 5'!AF191-'BOULEVARD PPTO'!X186)</f>
        <v>0</v>
      </c>
      <c r="AD193" s="760">
        <f>IF(OR($A193="F&amp;F",$A193="CE",AD$7="No aplica"),0,'BOULEVARD 5'!AG191-'BOULEVARD PPTO'!Y186)</f>
        <v>0</v>
      </c>
      <c r="AE193" s="760">
        <f>IF(OR($A193="F&amp;F",$A193="CE",AE$7="No aplica"),0,'BOULEVARD 5'!AH191-'BOULEVARD PPTO'!Z186)</f>
        <v>0</v>
      </c>
      <c r="AF193" s="760">
        <f>IF(OR($A193="F&amp;F",$A193="CE",AF$7="No aplica"),0,'BOULEVARD 5'!AI191-'BOULEVARD PPTO'!AA186)</f>
        <v>0</v>
      </c>
      <c r="AG193" s="760">
        <f>IF(OR($A193="F&amp;F",$A193="CE",AG$7="No aplica"),0,'BOULEVARD 5'!AJ191-'BOULEVARD PPTO'!AB186)</f>
        <v>0</v>
      </c>
      <c r="AH193" s="760">
        <f>IF(OR($A193="F&amp;F",$A193="CE",AH$7="No aplica"),0,'BOULEVARD 5'!AK191-'BOULEVARD PPTO'!AC186)</f>
        <v>0</v>
      </c>
      <c r="AI193" s="760">
        <f>IF(OR($A193="F&amp;F",$A193="CE",AI$7="No aplica"),0,'BOULEVARD 5'!AL191-'BOULEVARD PPTO'!AD186)</f>
        <v>0</v>
      </c>
      <c r="AJ193" s="760">
        <f>IF(OR($A193="F&amp;F",$A193="CE",AJ$7="No aplica"),0,'BOULEVARD 5'!AM191-'BOULEVARD PPTO'!AE186)</f>
        <v>0</v>
      </c>
      <c r="AK193" s="760">
        <f>IF(OR($A193="F&amp;F",$A193="CE",AK$7="No aplica"),0,'BOULEVARD 5'!AN191-'BOULEVARD PPTO'!AF186)</f>
        <v>0</v>
      </c>
      <c r="AL193" s="760">
        <f>IF(OR($A193="F&amp;F",$A193="CE",AL$7="No aplica"),0,'BOULEVARD 5'!AO191-'BOULEVARD PPTO'!AG186)</f>
        <v>0</v>
      </c>
      <c r="AM193" s="760">
        <f>IF(OR($A193="F&amp;F",$A193="CE",AM$7="No aplica"),0,'BOULEVARD 5'!AP191-'BOULEVARD PPTO'!AH186)</f>
        <v>0</v>
      </c>
      <c r="AN193" s="760">
        <f>IF(OR($A193="F&amp;F",$A193="CE",AN$7="No aplica"),0,'BOULEVARD 5'!AQ191-'BOULEVARD PPTO'!AI186)</f>
        <v>0</v>
      </c>
      <c r="AO193" s="760">
        <f>IF(OR($A193="F&amp;F",$A193="CE",AO$7="No aplica"),0,'BOULEVARD 5'!AS191-'BOULEVARD PPTO'!AJ186)</f>
        <v>0</v>
      </c>
      <c r="AP193" s="761">
        <f t="shared" si="18"/>
        <v>0</v>
      </c>
      <c r="AQ193" s="761">
        <f t="shared" si="19"/>
        <v>0</v>
      </c>
      <c r="AR193" s="674">
        <f>IF(A193=0,'BOULEVARD 5'!BF191,0)</f>
        <v>0</v>
      </c>
      <c r="AS193" s="674">
        <f>IF(A193=0,'BOULEVARD 5'!BG191,0)</f>
        <v>0</v>
      </c>
      <c r="AT193" s="675" t="str">
        <f t="shared" si="17"/>
        <v>Vendido</v>
      </c>
      <c r="AU193" s="581" t="str">
        <f t="shared" si="21"/>
        <v/>
      </c>
      <c r="AV193" s="760">
        <f t="shared" si="20"/>
        <v>0</v>
      </c>
    </row>
    <row r="194" spans="1:48" s="581" customFormat="1" ht="12.4" customHeight="1" outlineLevel="1" x14ac:dyDescent="0.25">
      <c r="A194" s="703">
        <f>'BOULEVARD 5'!BQ192</f>
        <v>0</v>
      </c>
      <c r="B194" s="564">
        <v>1019</v>
      </c>
      <c r="C194" s="564" t="s">
        <v>412</v>
      </c>
      <c r="D194" s="564"/>
      <c r="E194" s="564" t="str">
        <f>IF('BOULEVARD 5'!E192&lt;&gt;0,'BOULEVARD 5'!E192,"")</f>
        <v>Mario Rodriguez</v>
      </c>
      <c r="F194" s="581" t="str">
        <f>IF('BOULEVARD 5'!F192&lt;&gt;0,'BOULEVARD 5'!F192,"")</f>
        <v>Gloria Fernanda Moran Guevara</v>
      </c>
      <c r="G194" s="566">
        <f>IF('BOULEVARD 5'!G192="","",'BOULEVARD 5'!G192)</f>
        <v>45894</v>
      </c>
      <c r="H194" s="756">
        <f>IF(OR($A194="F&amp;F",$A194="CE",H$7="No aplica"),0,'BOULEVARD 5'!K192-'BOULEVARD PPTO'!C187)</f>
        <v>0</v>
      </c>
      <c r="I194" s="756">
        <f>IF(OR($A194="F&amp;F",$A194="CE",I$7="No aplica"),0,'BOULEVARD 5'!L192-'BOULEVARD PPTO'!D187)</f>
        <v>0</v>
      </c>
      <c r="J194" s="756">
        <f>IF(OR($A194="F&amp;F",$A194="CE",J$7="No aplica"),0,'BOULEVARD 5'!M192-'BOULEVARD PPTO'!E187)</f>
        <v>0</v>
      </c>
      <c r="K194" s="756">
        <f>IF(OR($A194="F&amp;F",$A194="CE",K$7="No aplica"),0,'BOULEVARD 5'!N192-'BOULEVARD PPTO'!F187)</f>
        <v>0</v>
      </c>
      <c r="L194" s="756">
        <f>IF(OR($A194="F&amp;F",$A194="CE",L$7="No aplica"),0,'BOULEVARD 5'!O192-'BOULEVARD PPTO'!G187)</f>
        <v>0</v>
      </c>
      <c r="M194" s="756">
        <f>IF(OR($A194="F&amp;F",$A194="CE",M$7="No aplica"),0,'BOULEVARD 5'!P192-'BOULEVARD PPTO'!H187)</f>
        <v>0</v>
      </c>
      <c r="N194" s="756">
        <f>IF(OR($A194="F&amp;F",$A194="CE",N$7="No aplica"),0,'BOULEVARD 5'!Q192-'BOULEVARD PPTO'!I187)</f>
        <v>0</v>
      </c>
      <c r="O194" s="756">
        <f>IF(OR($A194="F&amp;F",$A194="CE",O$7="No aplica"),0,'BOULEVARD 5'!R192-'BOULEVARD PPTO'!J187)</f>
        <v>0</v>
      </c>
      <c r="P194" s="756">
        <f>IF(OR($A194="F&amp;F",$A194="CE",P$7="No aplica"),0,'BOULEVARD 5'!S192-'BOULEVARD PPTO'!K187)</f>
        <v>0</v>
      </c>
      <c r="Q194" s="760">
        <f>IF(OR($A194="F&amp;F",$A194="CE",Q$7="No aplica"),0,'BOULEVARD 5'!T192-'BOULEVARD PPTO'!L187)</f>
        <v>0</v>
      </c>
      <c r="R194" s="760">
        <f>IF(OR($A194="F&amp;F",$A194="CE",R$7="No aplica"),0,'BOULEVARD 5'!U192-'BOULEVARD PPTO'!M187)</f>
        <v>0</v>
      </c>
      <c r="S194" s="760">
        <f>IF(OR($A194="F&amp;F",$A194="CE",S$7="No aplica"),0,'BOULEVARD 5'!V192-'BOULEVARD PPTO'!N187)</f>
        <v>0</v>
      </c>
      <c r="T194" s="760">
        <f>IF(OR($A194="F&amp;F",$A194="CE",T$7="No aplica"),0,'BOULEVARD 5'!W192-'BOULEVARD PPTO'!O187)</f>
        <v>0</v>
      </c>
      <c r="U194" s="760">
        <f>IF(OR($A194="F&amp;F",$A194="CE",U$7="No aplica"),0,'BOULEVARD 5'!X192-'BOULEVARD PPTO'!P187)</f>
        <v>0</v>
      </c>
      <c r="V194" s="760">
        <f>IF(OR($A194="F&amp;F",$A194="CE",V$7="No aplica"),0,'BOULEVARD 5'!Y192-'BOULEVARD PPTO'!Q187)</f>
        <v>0</v>
      </c>
      <c r="W194" s="760">
        <f>IF(OR($A194="F&amp;F",$A194="CE",W$7="No aplica"),0,'BOULEVARD 5'!Z192-'BOULEVARD PPTO'!R187)</f>
        <v>0</v>
      </c>
      <c r="X194" s="760">
        <f>IF(OR($A194="F&amp;F",$A194="CE",X$7="No aplica"),0,'BOULEVARD 5'!AA192-'BOULEVARD PPTO'!S187)</f>
        <v>0</v>
      </c>
      <c r="Y194" s="760">
        <f>IF(OR($A194="F&amp;F",$A194="CE",Y$7="No aplica"),0,'BOULEVARD 5'!AB192-'BOULEVARD PPTO'!T187)</f>
        <v>0</v>
      </c>
      <c r="Z194" s="760">
        <f>IF(OR($A194="F&amp;F",$A194="CE",Z$7="No aplica"),0,'BOULEVARD 5'!AC192-'BOULEVARD PPTO'!U187)</f>
        <v>0</v>
      </c>
      <c r="AA194" s="760">
        <f>IF(OR($A194="F&amp;F",$A194="CE",AA$7="No aplica"),0,'BOULEVARD 5'!AD192-'BOULEVARD PPTO'!V187)</f>
        <v>0</v>
      </c>
      <c r="AB194" s="760">
        <f>IF(OR($A194="F&amp;F",$A194="CE",AB$7="No aplica"),0,'BOULEVARD 5'!AE192-'BOULEVARD PPTO'!W187)</f>
        <v>0</v>
      </c>
      <c r="AC194" s="760">
        <f>IF(OR($A194="F&amp;F",$A194="CE",AC$7="No aplica"),0,'BOULEVARD 5'!AF192-'BOULEVARD PPTO'!X187)</f>
        <v>0</v>
      </c>
      <c r="AD194" s="760">
        <f>IF(OR($A194="F&amp;F",$A194="CE",AD$7="No aplica"),0,'BOULEVARD 5'!AG192-'BOULEVARD PPTO'!Y187)</f>
        <v>0</v>
      </c>
      <c r="AE194" s="760">
        <f>IF(OR($A194="F&amp;F",$A194="CE",AE$7="No aplica"),0,'BOULEVARD 5'!AH192-'BOULEVARD PPTO'!Z187)</f>
        <v>0</v>
      </c>
      <c r="AF194" s="760">
        <f>IF(OR($A194="F&amp;F",$A194="CE",AF$7="No aplica"),0,'BOULEVARD 5'!AI192-'BOULEVARD PPTO'!AA187)</f>
        <v>0</v>
      </c>
      <c r="AG194" s="760">
        <f>IF(OR($A194="F&amp;F",$A194="CE",AG$7="No aplica"),0,'BOULEVARD 5'!AJ192-'BOULEVARD PPTO'!AB187)</f>
        <v>0</v>
      </c>
      <c r="AH194" s="760">
        <f>IF(OR($A194="F&amp;F",$A194="CE",AH$7="No aplica"),0,'BOULEVARD 5'!AK192-'BOULEVARD PPTO'!AC187)</f>
        <v>0</v>
      </c>
      <c r="AI194" s="760">
        <f>IF(OR($A194="F&amp;F",$A194="CE",AI$7="No aplica"),0,'BOULEVARD 5'!AL192-'BOULEVARD PPTO'!AD187)</f>
        <v>0</v>
      </c>
      <c r="AJ194" s="760">
        <f>IF(OR($A194="F&amp;F",$A194="CE",AJ$7="No aplica"),0,'BOULEVARD 5'!AM192-'BOULEVARD PPTO'!AE187)</f>
        <v>0</v>
      </c>
      <c r="AK194" s="760">
        <f>IF(OR($A194="F&amp;F",$A194="CE",AK$7="No aplica"),0,'BOULEVARD 5'!AN192-'BOULEVARD PPTO'!AF187)</f>
        <v>0</v>
      </c>
      <c r="AL194" s="760">
        <f>IF(OR($A194="F&amp;F",$A194="CE",AL$7="No aplica"),0,'BOULEVARD 5'!AO192-'BOULEVARD PPTO'!AG187)</f>
        <v>-8750</v>
      </c>
      <c r="AM194" s="760">
        <f>IF(OR($A194="F&amp;F",$A194="CE",AM$7="No aplica"),0,'BOULEVARD 5'!AP192-'BOULEVARD PPTO'!AH187)</f>
        <v>-8750</v>
      </c>
      <c r="AN194" s="760">
        <f>IF(OR($A194="F&amp;F",$A194="CE",AN$7="No aplica"),0,'BOULEVARD 5'!AQ192-'BOULEVARD PPTO'!AI187)</f>
        <v>0</v>
      </c>
      <c r="AO194" s="760">
        <f>IF(OR($A194="F&amp;F",$A194="CE",AO$7="No aplica"),0,'BOULEVARD 5'!AS192-'BOULEVARD PPTO'!AJ187)</f>
        <v>0</v>
      </c>
      <c r="AP194" s="761">
        <f t="shared" si="18"/>
        <v>-17500</v>
      </c>
      <c r="AQ194" s="761">
        <f t="shared" si="19"/>
        <v>-62500</v>
      </c>
      <c r="AR194" s="674">
        <f>IF(A194=0,'BOULEVARD 5'!BF192,0)</f>
        <v>10000</v>
      </c>
      <c r="AS194" s="674">
        <f>IF(A194=0,'BOULEVARD 5'!BG192,0)</f>
        <v>8750</v>
      </c>
      <c r="AT194" s="675" t="str">
        <f t="shared" si="17"/>
        <v>Vendido</v>
      </c>
      <c r="AU194" s="581" t="str">
        <f t="shared" si="21"/>
        <v>POR COBRAR</v>
      </c>
      <c r="AV194" s="760">
        <f t="shared" si="20"/>
        <v>0</v>
      </c>
    </row>
    <row r="195" spans="1:48" s="581" customFormat="1" ht="12.4" customHeight="1" outlineLevel="1" x14ac:dyDescent="0.25">
      <c r="A195" s="703">
        <f>'BOULEVARD 5'!BQ193</f>
        <v>0</v>
      </c>
      <c r="B195" s="564">
        <v>1020</v>
      </c>
      <c r="C195" s="564" t="s">
        <v>186</v>
      </c>
      <c r="D195" s="564"/>
      <c r="E195" s="564" t="str">
        <f>IF('BOULEVARD 5'!E193&lt;&gt;0,'BOULEVARD 5'!E193,"")</f>
        <v>Erwin Cardona</v>
      </c>
      <c r="F195" s="581" t="str">
        <f>IF('BOULEVARD 5'!F193&lt;&gt;0,'BOULEVARD 5'!F193,"")</f>
        <v>Bernerd Alexandro Godínez López</v>
      </c>
      <c r="G195" s="566">
        <f>IF('BOULEVARD 5'!G193="","",'BOULEVARD 5'!G193)</f>
        <v>45985</v>
      </c>
      <c r="H195" s="756">
        <f>IF(OR($A195="F&amp;F",$A195="CE",H$7="No aplica"),0,'BOULEVARD 5'!K193-'BOULEVARD PPTO'!C188)</f>
        <v>0</v>
      </c>
      <c r="I195" s="756">
        <f>IF(OR($A195="F&amp;F",$A195="CE",I$7="No aplica"),0,'BOULEVARD 5'!L193-'BOULEVARD PPTO'!D188)</f>
        <v>0</v>
      </c>
      <c r="J195" s="756">
        <f>IF(OR($A195="F&amp;F",$A195="CE",J$7="No aplica"),0,'BOULEVARD 5'!M193-'BOULEVARD PPTO'!E188)</f>
        <v>0</v>
      </c>
      <c r="K195" s="756">
        <f>IF(OR($A195="F&amp;F",$A195="CE",K$7="No aplica"),0,'BOULEVARD 5'!N193-'BOULEVARD PPTO'!F188)</f>
        <v>0</v>
      </c>
      <c r="L195" s="756">
        <f>IF(OR($A195="F&amp;F",$A195="CE",L$7="No aplica"),0,'BOULEVARD 5'!O193-'BOULEVARD PPTO'!G188)</f>
        <v>0</v>
      </c>
      <c r="M195" s="756">
        <f>IF(OR($A195="F&amp;F",$A195="CE",M$7="No aplica"),0,'BOULEVARD 5'!P193-'BOULEVARD PPTO'!H188)</f>
        <v>0</v>
      </c>
      <c r="N195" s="756">
        <f>IF(OR($A195="F&amp;F",$A195="CE",N$7="No aplica"),0,'BOULEVARD 5'!Q193-'BOULEVARD PPTO'!I188)</f>
        <v>0</v>
      </c>
      <c r="O195" s="756">
        <f>IF(OR($A195="F&amp;F",$A195="CE",O$7="No aplica"),0,'BOULEVARD 5'!R193-'BOULEVARD PPTO'!J188)</f>
        <v>0</v>
      </c>
      <c r="P195" s="756">
        <f>IF(OR($A195="F&amp;F",$A195="CE",P$7="No aplica"),0,'BOULEVARD 5'!S193-'BOULEVARD PPTO'!K188)</f>
        <v>0</v>
      </c>
      <c r="Q195" s="760">
        <f>IF(OR($A195="F&amp;F",$A195="CE",Q$7="No aplica"),0,'BOULEVARD 5'!T193-'BOULEVARD PPTO'!L188)</f>
        <v>0</v>
      </c>
      <c r="R195" s="760">
        <f>IF(OR($A195="F&amp;F",$A195="CE",R$7="No aplica"),0,'BOULEVARD 5'!U193-'BOULEVARD PPTO'!M188)</f>
        <v>0</v>
      </c>
      <c r="S195" s="760">
        <f>IF(OR($A195="F&amp;F",$A195="CE",S$7="No aplica"),0,'BOULEVARD 5'!V193-'BOULEVARD PPTO'!N188)</f>
        <v>0</v>
      </c>
      <c r="T195" s="760">
        <f>IF(OR($A195="F&amp;F",$A195="CE",T$7="No aplica"),0,'BOULEVARD 5'!W193-'BOULEVARD PPTO'!O188)</f>
        <v>0</v>
      </c>
      <c r="U195" s="760">
        <f>IF(OR($A195="F&amp;F",$A195="CE",U$7="No aplica"),0,'BOULEVARD 5'!X193-'BOULEVARD PPTO'!P188)</f>
        <v>0</v>
      </c>
      <c r="V195" s="760">
        <f>IF(OR($A195="F&amp;F",$A195="CE",V$7="No aplica"),0,'BOULEVARD 5'!Y193-'BOULEVARD PPTO'!Q188)</f>
        <v>0</v>
      </c>
      <c r="W195" s="760">
        <f>IF(OR($A195="F&amp;F",$A195="CE",W$7="No aplica"),0,'BOULEVARD 5'!Z193-'BOULEVARD PPTO'!R188)</f>
        <v>0</v>
      </c>
      <c r="X195" s="760">
        <f>IF(OR($A195="F&amp;F",$A195="CE",X$7="No aplica"),0,'BOULEVARD 5'!AA193-'BOULEVARD PPTO'!S188)</f>
        <v>0</v>
      </c>
      <c r="Y195" s="760">
        <f>IF(OR($A195="F&amp;F",$A195="CE",Y$7="No aplica"),0,'BOULEVARD 5'!AB193-'BOULEVARD PPTO'!T188)</f>
        <v>0</v>
      </c>
      <c r="Z195" s="760">
        <f>IF(OR($A195="F&amp;F",$A195="CE",Z$7="No aplica"),0,'BOULEVARD 5'!AC193-'BOULEVARD PPTO'!U188)</f>
        <v>0</v>
      </c>
      <c r="AA195" s="760">
        <f>IF(OR($A195="F&amp;F",$A195="CE",AA$7="No aplica"),0,'BOULEVARD 5'!AD193-'BOULEVARD PPTO'!V188)</f>
        <v>0</v>
      </c>
      <c r="AB195" s="760">
        <f>IF(OR($A195="F&amp;F",$A195="CE",AB$7="No aplica"),0,'BOULEVARD 5'!AE193-'BOULEVARD PPTO'!W188)</f>
        <v>0</v>
      </c>
      <c r="AC195" s="760">
        <f>IF(OR($A195="F&amp;F",$A195="CE",AC$7="No aplica"),0,'BOULEVARD 5'!AF193-'BOULEVARD PPTO'!X188)</f>
        <v>0</v>
      </c>
      <c r="AD195" s="760">
        <f>IF(OR($A195="F&amp;F",$A195="CE",AD$7="No aplica"),0,'BOULEVARD 5'!AG193-'BOULEVARD PPTO'!Y188)</f>
        <v>0</v>
      </c>
      <c r="AE195" s="760">
        <f>IF(OR($A195="F&amp;F",$A195="CE",AE$7="No aplica"),0,'BOULEVARD 5'!AH193-'BOULEVARD PPTO'!Z188)</f>
        <v>0</v>
      </c>
      <c r="AF195" s="760">
        <f>IF(OR($A195="F&amp;F",$A195="CE",AF$7="No aplica"),0,'BOULEVARD 5'!AI193-'BOULEVARD PPTO'!AA188)</f>
        <v>0</v>
      </c>
      <c r="AG195" s="760">
        <f>IF(OR($A195="F&amp;F",$A195="CE",AG$7="No aplica"),0,'BOULEVARD 5'!AJ193-'BOULEVARD PPTO'!AB188)</f>
        <v>0</v>
      </c>
      <c r="AH195" s="760">
        <f>IF(OR($A195="F&amp;F",$A195="CE",AH$7="No aplica"),0,'BOULEVARD 5'!AK193-'BOULEVARD PPTO'!AC188)</f>
        <v>0</v>
      </c>
      <c r="AI195" s="760">
        <f>IF(OR($A195="F&amp;F",$A195="CE",AI$7="No aplica"),0,'BOULEVARD 5'!AL193-'BOULEVARD PPTO'!AD188)</f>
        <v>0</v>
      </c>
      <c r="AJ195" s="760">
        <f>IF(OR($A195="F&amp;F",$A195="CE",AJ$7="No aplica"),0,'BOULEVARD 5'!AM193-'BOULEVARD PPTO'!AE188)</f>
        <v>0</v>
      </c>
      <c r="AK195" s="760">
        <f>IF(OR($A195="F&amp;F",$A195="CE",AK$7="No aplica"),0,'BOULEVARD 5'!AN193-'BOULEVARD PPTO'!AF188)</f>
        <v>0</v>
      </c>
      <c r="AL195" s="760">
        <f>IF(OR($A195="F&amp;F",$A195="CE",AL$7="No aplica"),0,'BOULEVARD 5'!AO193-'BOULEVARD PPTO'!AG188)</f>
        <v>0</v>
      </c>
      <c r="AM195" s="760">
        <f>IF(OR($A195="F&amp;F",$A195="CE",AM$7="No aplica"),0,'BOULEVARD 5'!AP193-'BOULEVARD PPTO'!AH188)</f>
        <v>0</v>
      </c>
      <c r="AN195" s="760">
        <f>IF(OR($A195="F&amp;F",$A195="CE",AN$7="No aplica"),0,'BOULEVARD 5'!AQ193-'BOULEVARD PPTO'!AI188)</f>
        <v>0</v>
      </c>
      <c r="AO195" s="760">
        <f>IF(OR($A195="F&amp;F",$A195="CE",AO$7="No aplica"),0,'BOULEVARD 5'!AS193-'BOULEVARD PPTO'!AJ188)</f>
        <v>0</v>
      </c>
      <c r="AP195" s="761">
        <f t="shared" si="18"/>
        <v>0</v>
      </c>
      <c r="AQ195" s="761">
        <f t="shared" si="19"/>
        <v>57000</v>
      </c>
      <c r="AR195" s="674">
        <f>IF(A195=0,'BOULEVARD 5'!BF193,0)</f>
        <v>0</v>
      </c>
      <c r="AS195" s="674">
        <f>IF(A195=0,'BOULEVARD 5'!BG193,0)</f>
        <v>0</v>
      </c>
      <c r="AT195" s="675" t="str">
        <f t="shared" si="17"/>
        <v>Vendido</v>
      </c>
      <c r="AU195" s="581" t="str">
        <f t="shared" si="21"/>
        <v/>
      </c>
      <c r="AV195" s="760">
        <f t="shared" si="20"/>
        <v>0</v>
      </c>
    </row>
    <row r="196" spans="1:48" s="581" customFormat="1" ht="12.4" customHeight="1" outlineLevel="1" x14ac:dyDescent="0.25">
      <c r="A196" s="703">
        <f>'BOULEVARD 5'!BQ194</f>
        <v>0</v>
      </c>
      <c r="B196" s="564">
        <v>1101</v>
      </c>
      <c r="C196" s="564" t="s">
        <v>597</v>
      </c>
      <c r="D196" s="564"/>
      <c r="E196" s="564" t="str">
        <f>IF('BOULEVARD 5'!E194&lt;&gt;0,'BOULEVARD 5'!E194,"")</f>
        <v>Antonio Rada</v>
      </c>
      <c r="F196" s="581" t="str">
        <f>IF('BOULEVARD 5'!F194&lt;&gt;0,'BOULEVARD 5'!F194,"")</f>
        <v>Maria Fernanda Contreras Lopez</v>
      </c>
      <c r="G196" s="566">
        <f>IF('BOULEVARD 5'!G194="","",'BOULEVARD 5'!G194)</f>
        <v>45374</v>
      </c>
      <c r="H196" s="756">
        <f>IF(OR($A196="F&amp;F",$A196="CE",H$7="No aplica"),0,'BOULEVARD 5'!K194-'BOULEVARD PPTO'!C189)</f>
        <v>0</v>
      </c>
      <c r="I196" s="756">
        <f>IF(OR($A196="F&amp;F",$A196="CE",I$7="No aplica"),0,'BOULEVARD 5'!L194-'BOULEVARD PPTO'!D189)</f>
        <v>0</v>
      </c>
      <c r="J196" s="756">
        <f>IF(OR($A196="F&amp;F",$A196="CE",J$7="No aplica"),0,'BOULEVARD 5'!M194-'BOULEVARD PPTO'!E189)</f>
        <v>0</v>
      </c>
      <c r="K196" s="756">
        <f>IF(OR($A196="F&amp;F",$A196="CE",K$7="No aplica"),0,'BOULEVARD 5'!N194-'BOULEVARD PPTO'!F189)</f>
        <v>0</v>
      </c>
      <c r="L196" s="756">
        <f>IF(OR($A196="F&amp;F",$A196="CE",L$7="No aplica"),0,'BOULEVARD 5'!O194-'BOULEVARD PPTO'!G189)</f>
        <v>0</v>
      </c>
      <c r="M196" s="756">
        <f>IF(OR($A196="F&amp;F",$A196="CE",M$7="No aplica"),0,'BOULEVARD 5'!P194-'BOULEVARD PPTO'!H189)</f>
        <v>0</v>
      </c>
      <c r="N196" s="756">
        <f>IF(OR($A196="F&amp;F",$A196="CE",N$7="No aplica"),0,'BOULEVARD 5'!Q194-'BOULEVARD PPTO'!I189)</f>
        <v>0</v>
      </c>
      <c r="O196" s="756">
        <f>IF(OR($A196="F&amp;F",$A196="CE",O$7="No aplica"),0,'BOULEVARD 5'!R194-'BOULEVARD PPTO'!J189)</f>
        <v>0</v>
      </c>
      <c r="P196" s="756">
        <f>IF(OR($A196="F&amp;F",$A196="CE",P$7="No aplica"),0,'BOULEVARD 5'!S194-'BOULEVARD PPTO'!K189)</f>
        <v>0</v>
      </c>
      <c r="Q196" s="760">
        <f>IF(OR($A196="F&amp;F",$A196="CE",Q$7="No aplica"),0,'BOULEVARD 5'!T194-'BOULEVARD PPTO'!L189)</f>
        <v>0</v>
      </c>
      <c r="R196" s="760">
        <f>IF(OR($A196="F&amp;F",$A196="CE",R$7="No aplica"),0,'BOULEVARD 5'!U194-'BOULEVARD PPTO'!M189)</f>
        <v>0</v>
      </c>
      <c r="S196" s="760">
        <f>IF(OR($A196="F&amp;F",$A196="CE",S$7="No aplica"),0,'BOULEVARD 5'!V194-'BOULEVARD PPTO'!N189)</f>
        <v>0</v>
      </c>
      <c r="T196" s="760">
        <f>IF(OR($A196="F&amp;F",$A196="CE",T$7="No aplica"),0,'BOULEVARD 5'!W194-'BOULEVARD PPTO'!O189)</f>
        <v>0</v>
      </c>
      <c r="U196" s="760">
        <f>IF(OR($A196="F&amp;F",$A196="CE",U$7="No aplica"),0,'BOULEVARD 5'!X194-'BOULEVARD PPTO'!P189)</f>
        <v>0</v>
      </c>
      <c r="V196" s="760">
        <f>IF(OR($A196="F&amp;F",$A196="CE",V$7="No aplica"),0,'BOULEVARD 5'!Y194-'BOULEVARD PPTO'!Q189)</f>
        <v>0</v>
      </c>
      <c r="W196" s="760">
        <f>IF(OR($A196="F&amp;F",$A196="CE",W$7="No aplica"),0,'BOULEVARD 5'!Z194-'BOULEVARD PPTO'!R189)</f>
        <v>0</v>
      </c>
      <c r="X196" s="760">
        <f>IF(OR($A196="F&amp;F",$A196="CE",X$7="No aplica"),0,'BOULEVARD 5'!AA194-'BOULEVARD PPTO'!S189)</f>
        <v>0</v>
      </c>
      <c r="Y196" s="760">
        <f>IF(OR($A196="F&amp;F",$A196="CE",Y$7="No aplica"),0,'BOULEVARD 5'!AB194-'BOULEVARD PPTO'!T189)</f>
        <v>0</v>
      </c>
      <c r="Z196" s="760">
        <f>IF(OR($A196="F&amp;F",$A196="CE",Z$7="No aplica"),0,'BOULEVARD 5'!AC194-'BOULEVARD PPTO'!U189)</f>
        <v>0</v>
      </c>
      <c r="AA196" s="760">
        <f>IF(OR($A196="F&amp;F",$A196="CE",AA$7="No aplica"),0,'BOULEVARD 5'!AD194-'BOULEVARD PPTO'!V189)</f>
        <v>0</v>
      </c>
      <c r="AB196" s="760">
        <f>IF(OR($A196="F&amp;F",$A196="CE",AB$7="No aplica"),0,'BOULEVARD 5'!AE194-'BOULEVARD PPTO'!W189)</f>
        <v>0</v>
      </c>
      <c r="AC196" s="760">
        <f>IF(OR($A196="F&amp;F",$A196="CE",AC$7="No aplica"),0,'BOULEVARD 5'!AF194-'BOULEVARD PPTO'!X189)</f>
        <v>0</v>
      </c>
      <c r="AD196" s="760">
        <f>IF(OR($A196="F&amp;F",$A196="CE",AD$7="No aplica"),0,'BOULEVARD 5'!AG194-'BOULEVARD PPTO'!Y189)</f>
        <v>0</v>
      </c>
      <c r="AE196" s="760">
        <f>IF(OR($A196="F&amp;F",$A196="CE",AE$7="No aplica"),0,'BOULEVARD 5'!AH194-'BOULEVARD PPTO'!Z189)</f>
        <v>0</v>
      </c>
      <c r="AF196" s="760">
        <f>IF(OR($A196="F&amp;F",$A196="CE",AF$7="No aplica"),0,'BOULEVARD 5'!AI194-'BOULEVARD PPTO'!AA189)</f>
        <v>0</v>
      </c>
      <c r="AG196" s="760">
        <f>IF(OR($A196="F&amp;F",$A196="CE",AG$7="No aplica"),0,'BOULEVARD 5'!AJ194-'BOULEVARD PPTO'!AB189)</f>
        <v>0</v>
      </c>
      <c r="AH196" s="760">
        <f>IF(OR($A196="F&amp;F",$A196="CE",AH$7="No aplica"),0,'BOULEVARD 5'!AK194-'BOULEVARD PPTO'!AC189)</f>
        <v>0</v>
      </c>
      <c r="AI196" s="760">
        <f>IF(OR($A196="F&amp;F",$A196="CE",AI$7="No aplica"),0,'BOULEVARD 5'!AL194-'BOULEVARD PPTO'!AD189)</f>
        <v>0</v>
      </c>
      <c r="AJ196" s="760">
        <f>IF(OR($A196="F&amp;F",$A196="CE",AJ$7="No aplica"),0,'BOULEVARD 5'!AM194-'BOULEVARD PPTO'!AE189)</f>
        <v>0</v>
      </c>
      <c r="AK196" s="760">
        <f>IF(OR($A196="F&amp;F",$A196="CE",AK$7="No aplica"),0,'BOULEVARD 5'!AN194-'BOULEVARD PPTO'!AF189)</f>
        <v>0</v>
      </c>
      <c r="AL196" s="760">
        <f>IF(OR($A196="F&amp;F",$A196="CE",AL$7="No aplica"),0,'BOULEVARD 5'!AO194-'BOULEVARD PPTO'!AG189)</f>
        <v>0</v>
      </c>
      <c r="AM196" s="760">
        <f>IF(OR($A196="F&amp;F",$A196="CE",AM$7="No aplica"),0,'BOULEVARD 5'!AP194-'BOULEVARD PPTO'!AH189)</f>
        <v>0</v>
      </c>
      <c r="AN196" s="760">
        <f>IF(OR($A196="F&amp;F",$A196="CE",AN$7="No aplica"),0,'BOULEVARD 5'!AQ194-'BOULEVARD PPTO'!AI189)</f>
        <v>0</v>
      </c>
      <c r="AO196" s="760">
        <f>IF(OR($A196="F&amp;F",$A196="CE",AO$7="No aplica"),0,'BOULEVARD 5'!AS194-'BOULEVARD PPTO'!AJ189)</f>
        <v>0</v>
      </c>
      <c r="AP196" s="761">
        <f t="shared" si="18"/>
        <v>0</v>
      </c>
      <c r="AQ196" s="761">
        <f t="shared" si="19"/>
        <v>0</v>
      </c>
      <c r="AR196" s="674">
        <f>IF(A196=0,'BOULEVARD 5'!BF194,0)</f>
        <v>8000</v>
      </c>
      <c r="AS196" s="674">
        <f>IF(A196=0,'BOULEVARD 5'!BG194,0)</f>
        <v>6094</v>
      </c>
      <c r="AT196" s="675" t="str">
        <f t="shared" si="17"/>
        <v>Vendido</v>
      </c>
      <c r="AU196" s="581" t="str">
        <f t="shared" si="21"/>
        <v/>
      </c>
      <c r="AV196" s="760">
        <f t="shared" si="20"/>
        <v>0</v>
      </c>
    </row>
    <row r="197" spans="1:48" s="581" customFormat="1" ht="12.4" customHeight="1" outlineLevel="1" x14ac:dyDescent="0.25">
      <c r="A197" s="703">
        <f>'BOULEVARD 5'!BQ195</f>
        <v>0</v>
      </c>
      <c r="B197" s="564">
        <v>1102</v>
      </c>
      <c r="C197" s="564" t="s">
        <v>599</v>
      </c>
      <c r="D197" s="564"/>
      <c r="E197" s="564" t="str">
        <f>IF('BOULEVARD 5'!E195&lt;&gt;0,'BOULEVARD 5'!E195,"")</f>
        <v>Antonio Rada</v>
      </c>
      <c r="F197" s="581" t="str">
        <f>IF('BOULEVARD 5'!F195&lt;&gt;0,'BOULEVARD 5'!F195,"")</f>
        <v>Luis Alberto Lopez Velasquez</v>
      </c>
      <c r="G197" s="566">
        <f>IF('BOULEVARD 5'!G195="","",'BOULEVARD 5'!G195)</f>
        <v>45016</v>
      </c>
      <c r="H197" s="756">
        <f>IF(OR($A197="F&amp;F",$A197="CE",H$7="No aplica"),0,'BOULEVARD 5'!K195-'BOULEVARD PPTO'!C190)</f>
        <v>6000</v>
      </c>
      <c r="I197" s="756">
        <f>IF(OR($A197="F&amp;F",$A197="CE",I$7="No aplica"),0,'BOULEVARD 5'!L195-'BOULEVARD PPTO'!D190)</f>
        <v>-6000</v>
      </c>
      <c r="J197" s="756">
        <f>IF(OR($A197="F&amp;F",$A197="CE",J$7="No aplica"),0,'BOULEVARD 5'!M195-'BOULEVARD PPTO'!E190)</f>
        <v>0</v>
      </c>
      <c r="K197" s="756">
        <f>IF(OR($A197="F&amp;F",$A197="CE",K$7="No aplica"),0,'BOULEVARD 5'!N195-'BOULEVARD PPTO'!F190)</f>
        <v>0</v>
      </c>
      <c r="L197" s="756">
        <f>IF(OR($A197="F&amp;F",$A197="CE",L$7="No aplica"),0,'BOULEVARD 5'!O195-'BOULEVARD PPTO'!G190)</f>
        <v>0</v>
      </c>
      <c r="M197" s="756">
        <f>IF(OR($A197="F&amp;F",$A197="CE",M$7="No aplica"),0,'BOULEVARD 5'!P195-'BOULEVARD PPTO'!H190)</f>
        <v>0</v>
      </c>
      <c r="N197" s="756">
        <f>IF(OR($A197="F&amp;F",$A197="CE",N$7="No aplica"),0,'BOULEVARD 5'!Q195-'BOULEVARD PPTO'!I190)</f>
        <v>0</v>
      </c>
      <c r="O197" s="756">
        <f>IF(OR($A197="F&amp;F",$A197="CE",O$7="No aplica"),0,'BOULEVARD 5'!R195-'BOULEVARD PPTO'!J190)</f>
        <v>0</v>
      </c>
      <c r="P197" s="756">
        <f>IF(OR($A197="F&amp;F",$A197="CE",P$7="No aplica"),0,'BOULEVARD 5'!S195-'BOULEVARD PPTO'!K190)</f>
        <v>0</v>
      </c>
      <c r="Q197" s="760">
        <f>IF(OR($A197="F&amp;F",$A197="CE",Q$7="No aplica"),0,'BOULEVARD 5'!T195-'BOULEVARD PPTO'!L190)</f>
        <v>0</v>
      </c>
      <c r="R197" s="760">
        <f>IF(OR($A197="F&amp;F",$A197="CE",R$7="No aplica"),0,'BOULEVARD 5'!U195-'BOULEVARD PPTO'!M190)</f>
        <v>0</v>
      </c>
      <c r="S197" s="760">
        <f>IF(OR($A197="F&amp;F",$A197="CE",S$7="No aplica"),0,'BOULEVARD 5'!V195-'BOULEVARD PPTO'!N190)</f>
        <v>0</v>
      </c>
      <c r="T197" s="760">
        <f>IF(OR($A197="F&amp;F",$A197="CE",T$7="No aplica"),0,'BOULEVARD 5'!W195-'BOULEVARD PPTO'!O190)</f>
        <v>0</v>
      </c>
      <c r="U197" s="760">
        <f>IF(OR($A197="F&amp;F",$A197="CE",U$7="No aplica"),0,'BOULEVARD 5'!X195-'BOULEVARD PPTO'!P190)</f>
        <v>0</v>
      </c>
      <c r="V197" s="760">
        <f>IF(OR($A197="F&amp;F",$A197="CE",V$7="No aplica"),0,'BOULEVARD 5'!Y195-'BOULEVARD PPTO'!Q190)</f>
        <v>0</v>
      </c>
      <c r="W197" s="760">
        <f>IF(OR($A197="F&amp;F",$A197="CE",W$7="No aplica"),0,'BOULEVARD 5'!Z195-'BOULEVARD PPTO'!R190)</f>
        <v>0</v>
      </c>
      <c r="X197" s="760">
        <f>IF(OR($A197="F&amp;F",$A197="CE",X$7="No aplica"),0,'BOULEVARD 5'!AA195-'BOULEVARD PPTO'!S190)</f>
        <v>0</v>
      </c>
      <c r="Y197" s="760">
        <f>IF(OR($A197="F&amp;F",$A197="CE",Y$7="No aplica"),0,'BOULEVARD 5'!AB195-'BOULEVARD PPTO'!T190)</f>
        <v>0</v>
      </c>
      <c r="Z197" s="760">
        <f>IF(OR($A197="F&amp;F",$A197="CE",Z$7="No aplica"),0,'BOULEVARD 5'!AC195-'BOULEVARD PPTO'!U190)</f>
        <v>0</v>
      </c>
      <c r="AA197" s="760">
        <f>IF(OR($A197="F&amp;F",$A197="CE",AA$7="No aplica"),0,'BOULEVARD 5'!AD195-'BOULEVARD PPTO'!V190)</f>
        <v>0</v>
      </c>
      <c r="AB197" s="760">
        <f>IF(OR($A197="F&amp;F",$A197="CE",AB$7="No aplica"),0,'BOULEVARD 5'!AE195-'BOULEVARD PPTO'!W190)</f>
        <v>0</v>
      </c>
      <c r="AC197" s="760">
        <f>IF(OR($A197="F&amp;F",$A197="CE",AC$7="No aplica"),0,'BOULEVARD 5'!AF195-'BOULEVARD PPTO'!X190)</f>
        <v>0</v>
      </c>
      <c r="AD197" s="760">
        <f>IF(OR($A197="F&amp;F",$A197="CE",AD$7="No aplica"),0,'BOULEVARD 5'!AG195-'BOULEVARD PPTO'!Y190)</f>
        <v>0</v>
      </c>
      <c r="AE197" s="760">
        <f>IF(OR($A197="F&amp;F",$A197="CE",AE$7="No aplica"),0,'BOULEVARD 5'!AH195-'BOULEVARD PPTO'!Z190)</f>
        <v>0</v>
      </c>
      <c r="AF197" s="760">
        <f>IF(OR($A197="F&amp;F",$A197="CE",AF$7="No aplica"),0,'BOULEVARD 5'!AI195-'BOULEVARD PPTO'!AA190)</f>
        <v>0</v>
      </c>
      <c r="AG197" s="760">
        <f>IF(OR($A197="F&amp;F",$A197="CE",AG$7="No aplica"),0,'BOULEVARD 5'!AJ195-'BOULEVARD PPTO'!AB190)</f>
        <v>0</v>
      </c>
      <c r="AH197" s="760">
        <f>IF(OR($A197="F&amp;F",$A197="CE",AH$7="No aplica"),0,'BOULEVARD 5'!AK195-'BOULEVARD PPTO'!AC190)</f>
        <v>0</v>
      </c>
      <c r="AI197" s="760">
        <f>IF(OR($A197="F&amp;F",$A197="CE",AI$7="No aplica"),0,'BOULEVARD 5'!AL195-'BOULEVARD PPTO'!AD190)</f>
        <v>0</v>
      </c>
      <c r="AJ197" s="760">
        <f>IF(OR($A197="F&amp;F",$A197="CE",AJ$7="No aplica"),0,'BOULEVARD 5'!AM195-'BOULEVARD PPTO'!AE190)</f>
        <v>0</v>
      </c>
      <c r="AK197" s="760">
        <f>IF(OR($A197="F&amp;F",$A197="CE",AK$7="No aplica"),0,'BOULEVARD 5'!AN195-'BOULEVARD PPTO'!AF190)</f>
        <v>0</v>
      </c>
      <c r="AL197" s="760">
        <f>IF(OR($A197="F&amp;F",$A197="CE",AL$7="No aplica"),0,'BOULEVARD 5'!AO195-'BOULEVARD PPTO'!AG190)</f>
        <v>0</v>
      </c>
      <c r="AM197" s="760">
        <f>IF(OR($A197="F&amp;F",$A197="CE",AM$7="No aplica"),0,'BOULEVARD 5'!AP195-'BOULEVARD PPTO'!AH190)</f>
        <v>0</v>
      </c>
      <c r="AN197" s="760">
        <f>IF(OR($A197="F&amp;F",$A197="CE",AN$7="No aplica"),0,'BOULEVARD 5'!AQ195-'BOULEVARD PPTO'!AI190)</f>
        <v>0</v>
      </c>
      <c r="AO197" s="760">
        <f>IF(OR($A197="F&amp;F",$A197="CE",AO$7="No aplica"),0,'BOULEVARD 5'!AS195-'BOULEVARD PPTO'!AJ190)</f>
        <v>0</v>
      </c>
      <c r="AP197" s="761">
        <f t="shared" si="18"/>
        <v>0</v>
      </c>
      <c r="AQ197" s="761">
        <f t="shared" si="19"/>
        <v>-3205</v>
      </c>
      <c r="AR197" s="674">
        <f>IF(A197=0,'BOULEVARD 5'!BF195,0)</f>
        <v>6000</v>
      </c>
      <c r="AS197" s="674">
        <f>IF(A197=0,'BOULEVARD 5'!BG195,0)</f>
        <v>3215</v>
      </c>
      <c r="AT197" s="675" t="str">
        <f t="shared" si="17"/>
        <v>Vendido</v>
      </c>
      <c r="AU197" s="581" t="str">
        <f t="shared" si="21"/>
        <v/>
      </c>
      <c r="AV197" s="760">
        <f t="shared" si="20"/>
        <v>0</v>
      </c>
    </row>
    <row r="198" spans="1:48" s="581" customFormat="1" ht="12.4" customHeight="1" outlineLevel="1" x14ac:dyDescent="0.25">
      <c r="A198" s="703">
        <f>'BOULEVARD 5'!BQ196</f>
        <v>0</v>
      </c>
      <c r="B198" s="564">
        <v>1103</v>
      </c>
      <c r="C198" s="564" t="s">
        <v>400</v>
      </c>
      <c r="D198" s="564"/>
      <c r="E198" s="564" t="str">
        <f>IF('BOULEVARD 5'!E196&lt;&gt;0,'BOULEVARD 5'!E196,"")</f>
        <v>Antonio Rada</v>
      </c>
      <c r="F198" s="581" t="str">
        <f>IF('BOULEVARD 5'!F196&lt;&gt;0,'BOULEVARD 5'!F196,"")</f>
        <v xml:space="preserve"> Samuel Hiram Salazar Say</v>
      </c>
      <c r="G198" s="566">
        <f>IF('BOULEVARD 5'!G196="","",'BOULEVARD 5'!G196)</f>
        <v>45071</v>
      </c>
      <c r="H198" s="756">
        <f>IF(OR($A198="F&amp;F",$A198="CE",H$7="No aplica"),0,'BOULEVARD 5'!K196-'BOULEVARD PPTO'!C191)</f>
        <v>0</v>
      </c>
      <c r="I198" s="756">
        <f>IF(OR($A198="F&amp;F",$A198="CE",I$7="No aplica"),0,'BOULEVARD 5'!L196-'BOULEVARD PPTO'!D191)</f>
        <v>6000</v>
      </c>
      <c r="J198" s="756">
        <f>IF(OR($A198="F&amp;F",$A198="CE",J$7="No aplica"),0,'BOULEVARD 5'!M196-'BOULEVARD PPTO'!E191)</f>
        <v>-6000</v>
      </c>
      <c r="K198" s="756">
        <f>IF(OR($A198="F&amp;F",$A198="CE",K$7="No aplica"),0,'BOULEVARD 5'!N196-'BOULEVARD PPTO'!F191)</f>
        <v>0</v>
      </c>
      <c r="L198" s="756">
        <f>IF(OR($A198="F&amp;F",$A198="CE",L$7="No aplica"),0,'BOULEVARD 5'!O196-'BOULEVARD PPTO'!G191)</f>
        <v>0</v>
      </c>
      <c r="M198" s="756">
        <f>IF(OR($A198="F&amp;F",$A198="CE",M$7="No aplica"),0,'BOULEVARD 5'!P196-'BOULEVARD PPTO'!H191)</f>
        <v>0</v>
      </c>
      <c r="N198" s="756">
        <f>IF(OR($A198="F&amp;F",$A198="CE",N$7="No aplica"),0,'BOULEVARD 5'!Q196-'BOULEVARD PPTO'!I191)</f>
        <v>0</v>
      </c>
      <c r="O198" s="756">
        <f>IF(OR($A198="F&amp;F",$A198="CE",O$7="No aplica"),0,'BOULEVARD 5'!R196-'BOULEVARD PPTO'!J191)</f>
        <v>0</v>
      </c>
      <c r="P198" s="756">
        <f>IF(OR($A198="F&amp;F",$A198="CE",P$7="No aplica"),0,'BOULEVARD 5'!S196-'BOULEVARD PPTO'!K191)</f>
        <v>0</v>
      </c>
      <c r="Q198" s="760">
        <f>IF(OR($A198="F&amp;F",$A198="CE",Q$7="No aplica"),0,'BOULEVARD 5'!T196-'BOULEVARD PPTO'!L191)</f>
        <v>0</v>
      </c>
      <c r="R198" s="760">
        <f>IF(OR($A198="F&amp;F",$A198="CE",R$7="No aplica"),0,'BOULEVARD 5'!U196-'BOULEVARD PPTO'!M191)</f>
        <v>0</v>
      </c>
      <c r="S198" s="760">
        <f>IF(OR($A198="F&amp;F",$A198="CE",S$7="No aplica"),0,'BOULEVARD 5'!V196-'BOULEVARD PPTO'!N191)</f>
        <v>0</v>
      </c>
      <c r="T198" s="760">
        <f>IF(OR($A198="F&amp;F",$A198="CE",T$7="No aplica"),0,'BOULEVARD 5'!W196-'BOULEVARD PPTO'!O191)</f>
        <v>0</v>
      </c>
      <c r="U198" s="760">
        <f>IF(OR($A198="F&amp;F",$A198="CE",U$7="No aplica"),0,'BOULEVARD 5'!X196-'BOULEVARD PPTO'!P191)</f>
        <v>0</v>
      </c>
      <c r="V198" s="760">
        <f>IF(OR($A198="F&amp;F",$A198="CE",V$7="No aplica"),0,'BOULEVARD 5'!Y196-'BOULEVARD PPTO'!Q191)</f>
        <v>0</v>
      </c>
      <c r="W198" s="760">
        <f>IF(OR($A198="F&amp;F",$A198="CE",W$7="No aplica"),0,'BOULEVARD 5'!Z196-'BOULEVARD PPTO'!R191)</f>
        <v>0</v>
      </c>
      <c r="X198" s="760">
        <f>IF(OR($A198="F&amp;F",$A198="CE",X$7="No aplica"),0,'BOULEVARD 5'!AA196-'BOULEVARD PPTO'!S191)</f>
        <v>0</v>
      </c>
      <c r="Y198" s="760">
        <f>IF(OR($A198="F&amp;F",$A198="CE",Y$7="No aplica"),0,'BOULEVARD 5'!AB196-'BOULEVARD PPTO'!T191)</f>
        <v>0</v>
      </c>
      <c r="Z198" s="760">
        <f>IF(OR($A198="F&amp;F",$A198="CE",Z$7="No aplica"),0,'BOULEVARD 5'!AC196-'BOULEVARD PPTO'!U191)</f>
        <v>0</v>
      </c>
      <c r="AA198" s="760">
        <f>IF(OR($A198="F&amp;F",$A198="CE",AA$7="No aplica"),0,'BOULEVARD 5'!AD196-'BOULEVARD PPTO'!V191)</f>
        <v>0</v>
      </c>
      <c r="AB198" s="760">
        <f>IF(OR($A198="F&amp;F",$A198="CE",AB$7="No aplica"),0,'BOULEVARD 5'!AE196-'BOULEVARD PPTO'!W191)</f>
        <v>0</v>
      </c>
      <c r="AC198" s="760">
        <f>IF(OR($A198="F&amp;F",$A198="CE",AC$7="No aplica"),0,'BOULEVARD 5'!AF196-'BOULEVARD PPTO'!X191)</f>
        <v>0</v>
      </c>
      <c r="AD198" s="760">
        <f>IF(OR($A198="F&amp;F",$A198="CE",AD$7="No aplica"),0,'BOULEVARD 5'!AG196-'BOULEVARD PPTO'!Y191)</f>
        <v>0</v>
      </c>
      <c r="AE198" s="760">
        <f>IF(OR($A198="F&amp;F",$A198="CE",AE$7="No aplica"),0,'BOULEVARD 5'!AH196-'BOULEVARD PPTO'!Z191)</f>
        <v>0</v>
      </c>
      <c r="AF198" s="760">
        <f>IF(OR($A198="F&amp;F",$A198="CE",AF$7="No aplica"),0,'BOULEVARD 5'!AI196-'BOULEVARD PPTO'!AA191)</f>
        <v>0</v>
      </c>
      <c r="AG198" s="760">
        <f>IF(OR($A198="F&amp;F",$A198="CE",AG$7="No aplica"),0,'BOULEVARD 5'!AJ196-'BOULEVARD PPTO'!AB191)</f>
        <v>0</v>
      </c>
      <c r="AH198" s="760">
        <f>IF(OR($A198="F&amp;F",$A198="CE",AH$7="No aplica"),0,'BOULEVARD 5'!AK196-'BOULEVARD PPTO'!AC191)</f>
        <v>0</v>
      </c>
      <c r="AI198" s="760">
        <f>IF(OR($A198="F&amp;F",$A198="CE",AI$7="No aplica"),0,'BOULEVARD 5'!AL196-'BOULEVARD PPTO'!AD191)</f>
        <v>0</v>
      </c>
      <c r="AJ198" s="760">
        <f>IF(OR($A198="F&amp;F",$A198="CE",AJ$7="No aplica"),0,'BOULEVARD 5'!AM196-'BOULEVARD PPTO'!AE191)</f>
        <v>0</v>
      </c>
      <c r="AK198" s="760">
        <f>IF(OR($A198="F&amp;F",$A198="CE",AK$7="No aplica"),0,'BOULEVARD 5'!AN196-'BOULEVARD PPTO'!AF191)</f>
        <v>0</v>
      </c>
      <c r="AL198" s="760">
        <f>IF(OR($A198="F&amp;F",$A198="CE",AL$7="No aplica"),0,'BOULEVARD 5'!AO196-'BOULEVARD PPTO'!AG191)</f>
        <v>0</v>
      </c>
      <c r="AM198" s="760">
        <f>IF(OR($A198="F&amp;F",$A198="CE",AM$7="No aplica"),0,'BOULEVARD 5'!AP196-'BOULEVARD PPTO'!AH191)</f>
        <v>6225</v>
      </c>
      <c r="AN198" s="760">
        <f>IF(OR($A198="F&amp;F",$A198="CE",AN$7="No aplica"),0,'BOULEVARD 5'!AQ196-'BOULEVARD PPTO'!AI191)</f>
        <v>0</v>
      </c>
      <c r="AO198" s="760">
        <f>IF(OR($A198="F&amp;F",$A198="CE",AO$7="No aplica"),0,'BOULEVARD 5'!AS196-'BOULEVARD PPTO'!AJ191)</f>
        <v>0</v>
      </c>
      <c r="AP198" s="761">
        <f t="shared" si="18"/>
        <v>6225</v>
      </c>
      <c r="AQ198" s="761">
        <f t="shared" si="19"/>
        <v>24900</v>
      </c>
      <c r="AR198" s="674">
        <f>IF(A198=0,'BOULEVARD 5'!BF196,0)</f>
        <v>6000</v>
      </c>
      <c r="AS198" s="674">
        <f>IF(A198=0,'BOULEVARD 5'!BG196,0)</f>
        <v>6225</v>
      </c>
      <c r="AT198" s="675" t="str">
        <f t="shared" si="17"/>
        <v>Vendido</v>
      </c>
      <c r="AU198" s="581" t="str">
        <f t="shared" si="21"/>
        <v>A FAVOR DEL CLIENTE</v>
      </c>
      <c r="AV198" s="760">
        <f t="shared" si="20"/>
        <v>6225</v>
      </c>
    </row>
    <row r="199" spans="1:48" s="581" customFormat="1" ht="12.4" customHeight="1" outlineLevel="1" x14ac:dyDescent="0.25">
      <c r="A199" s="703">
        <f>'BOULEVARD 5'!BQ197</f>
        <v>0</v>
      </c>
      <c r="B199" s="564">
        <v>1104</v>
      </c>
      <c r="C199" s="564" t="s">
        <v>175</v>
      </c>
      <c r="D199" s="564"/>
      <c r="E199" s="564" t="str">
        <f>IF('BOULEVARD 5'!E197&lt;&gt;0,'BOULEVARD 5'!E197,"")</f>
        <v>Antonio Rada</v>
      </c>
      <c r="F199" s="581" t="str">
        <f>IF('BOULEVARD 5'!F197&lt;&gt;0,'BOULEVARD 5'!F197,"")</f>
        <v>Denisse Hortencia Alarcon Diaz</v>
      </c>
      <c r="G199" s="566">
        <f>IF('BOULEVARD 5'!G197="","",'BOULEVARD 5'!G197)</f>
        <v>45343</v>
      </c>
      <c r="H199" s="756">
        <f>IF(OR($A199="F&amp;F",$A199="CE",H$7="No aplica"),0,'BOULEVARD 5'!K197-'BOULEVARD PPTO'!C192)</f>
        <v>0</v>
      </c>
      <c r="I199" s="756">
        <f>IF(OR($A199="F&amp;F",$A199="CE",I$7="No aplica"),0,'BOULEVARD 5'!L197-'BOULEVARD PPTO'!D192)</f>
        <v>0</v>
      </c>
      <c r="J199" s="756">
        <f>IF(OR($A199="F&amp;F",$A199="CE",J$7="No aplica"),0,'BOULEVARD 5'!M197-'BOULEVARD PPTO'!E192)</f>
        <v>0</v>
      </c>
      <c r="K199" s="756">
        <f>IF(OR($A199="F&amp;F",$A199="CE",K$7="No aplica"),0,'BOULEVARD 5'!N197-'BOULEVARD PPTO'!F192)</f>
        <v>0</v>
      </c>
      <c r="L199" s="756">
        <f>IF(OR($A199="F&amp;F",$A199="CE",L$7="No aplica"),0,'BOULEVARD 5'!O197-'BOULEVARD PPTO'!G192)</f>
        <v>0</v>
      </c>
      <c r="M199" s="756">
        <f>IF(OR($A199="F&amp;F",$A199="CE",M$7="No aplica"),0,'BOULEVARD 5'!P197-'BOULEVARD PPTO'!H192)</f>
        <v>0</v>
      </c>
      <c r="N199" s="756">
        <f>IF(OR($A199="F&amp;F",$A199="CE",N$7="No aplica"),0,'BOULEVARD 5'!Q197-'BOULEVARD PPTO'!I192)</f>
        <v>0</v>
      </c>
      <c r="O199" s="756">
        <f>IF(OR($A199="F&amp;F",$A199="CE",O$7="No aplica"),0,'BOULEVARD 5'!R197-'BOULEVARD PPTO'!J192)</f>
        <v>0</v>
      </c>
      <c r="P199" s="756">
        <f>IF(OR($A199="F&amp;F",$A199="CE",P$7="No aplica"),0,'BOULEVARD 5'!S197-'BOULEVARD PPTO'!K192)</f>
        <v>0</v>
      </c>
      <c r="Q199" s="760">
        <f>IF(OR($A199="F&amp;F",$A199="CE",Q$7="No aplica"),0,'BOULEVARD 5'!T197-'BOULEVARD PPTO'!L192)</f>
        <v>0</v>
      </c>
      <c r="R199" s="760">
        <f>IF(OR($A199="F&amp;F",$A199="CE",R$7="No aplica"),0,'BOULEVARD 5'!U197-'BOULEVARD PPTO'!M192)</f>
        <v>0</v>
      </c>
      <c r="S199" s="760">
        <f>IF(OR($A199="F&amp;F",$A199="CE",S$7="No aplica"),0,'BOULEVARD 5'!V197-'BOULEVARD PPTO'!N192)</f>
        <v>0</v>
      </c>
      <c r="T199" s="760">
        <f>IF(OR($A199="F&amp;F",$A199="CE",T$7="No aplica"),0,'BOULEVARD 5'!W197-'BOULEVARD PPTO'!O192)</f>
        <v>0</v>
      </c>
      <c r="U199" s="760">
        <f>IF(OR($A199="F&amp;F",$A199="CE",U$7="No aplica"),0,'BOULEVARD 5'!X197-'BOULEVARD PPTO'!P192)</f>
        <v>0</v>
      </c>
      <c r="V199" s="760">
        <f>IF(OR($A199="F&amp;F",$A199="CE",V$7="No aplica"),0,'BOULEVARD 5'!Y197-'BOULEVARD PPTO'!Q192)</f>
        <v>0</v>
      </c>
      <c r="W199" s="760">
        <f>IF(OR($A199="F&amp;F",$A199="CE",W$7="No aplica"),0,'BOULEVARD 5'!Z197-'BOULEVARD PPTO'!R192)</f>
        <v>0</v>
      </c>
      <c r="X199" s="760">
        <f>IF(OR($A199="F&amp;F",$A199="CE",X$7="No aplica"),0,'BOULEVARD 5'!AA197-'BOULEVARD PPTO'!S192)</f>
        <v>0</v>
      </c>
      <c r="Y199" s="760">
        <f>IF(OR($A199="F&amp;F",$A199="CE",Y$7="No aplica"),0,'BOULEVARD 5'!AB197-'BOULEVARD PPTO'!T192)</f>
        <v>0</v>
      </c>
      <c r="Z199" s="760">
        <f>IF(OR($A199="F&amp;F",$A199="CE",Z$7="No aplica"),0,'BOULEVARD 5'!AC197-'BOULEVARD PPTO'!U192)</f>
        <v>0</v>
      </c>
      <c r="AA199" s="760">
        <f>IF(OR($A199="F&amp;F",$A199="CE",AA$7="No aplica"),0,'BOULEVARD 5'!AD197-'BOULEVARD PPTO'!V192)</f>
        <v>0</v>
      </c>
      <c r="AB199" s="760">
        <f>IF(OR($A199="F&amp;F",$A199="CE",AB$7="No aplica"),0,'BOULEVARD 5'!AE197-'BOULEVARD PPTO'!W192)</f>
        <v>0</v>
      </c>
      <c r="AC199" s="760">
        <f>IF(OR($A199="F&amp;F",$A199="CE",AC$7="No aplica"),0,'BOULEVARD 5'!AF197-'BOULEVARD PPTO'!X192)</f>
        <v>0</v>
      </c>
      <c r="AD199" s="760">
        <f>IF(OR($A199="F&amp;F",$A199="CE",AD$7="No aplica"),0,'BOULEVARD 5'!AG197-'BOULEVARD PPTO'!Y192)</f>
        <v>0</v>
      </c>
      <c r="AE199" s="760">
        <f>IF(OR($A199="F&amp;F",$A199="CE",AE$7="No aplica"),0,'BOULEVARD 5'!AH197-'BOULEVARD PPTO'!Z192)</f>
        <v>0</v>
      </c>
      <c r="AF199" s="760">
        <f>IF(OR($A199="F&amp;F",$A199="CE",AF$7="No aplica"),0,'BOULEVARD 5'!AI197-'BOULEVARD PPTO'!AA192)</f>
        <v>0</v>
      </c>
      <c r="AG199" s="760">
        <f>IF(OR($A199="F&amp;F",$A199="CE",AG$7="No aplica"),0,'BOULEVARD 5'!AJ197-'BOULEVARD PPTO'!AB192)</f>
        <v>0</v>
      </c>
      <c r="AH199" s="760">
        <f>IF(OR($A199="F&amp;F",$A199="CE",AH$7="No aplica"),0,'BOULEVARD 5'!AK197-'BOULEVARD PPTO'!AC192)</f>
        <v>0</v>
      </c>
      <c r="AI199" s="760">
        <f>IF(OR($A199="F&amp;F",$A199="CE",AI$7="No aplica"),0,'BOULEVARD 5'!AL197-'BOULEVARD PPTO'!AD192)</f>
        <v>0</v>
      </c>
      <c r="AJ199" s="760">
        <f>IF(OR($A199="F&amp;F",$A199="CE",AJ$7="No aplica"),0,'BOULEVARD 5'!AM197-'BOULEVARD PPTO'!AE192)</f>
        <v>0</v>
      </c>
      <c r="AK199" s="760">
        <f>IF(OR($A199="F&amp;F",$A199="CE",AK$7="No aplica"),0,'BOULEVARD 5'!AN197-'BOULEVARD PPTO'!AF192)</f>
        <v>0</v>
      </c>
      <c r="AL199" s="760">
        <f>IF(OR($A199="F&amp;F",$A199="CE",AL$7="No aplica"),0,'BOULEVARD 5'!AO197-'BOULEVARD PPTO'!AG192)</f>
        <v>7</v>
      </c>
      <c r="AM199" s="760">
        <f>IF(OR($A199="F&amp;F",$A199="CE",AM$7="No aplica"),0,'BOULEVARD 5'!AP197-'BOULEVARD PPTO'!AH192)</f>
        <v>4253</v>
      </c>
      <c r="AN199" s="760">
        <f>IF(OR($A199="F&amp;F",$A199="CE",AN$7="No aplica"),0,'BOULEVARD 5'!AQ197-'BOULEVARD PPTO'!AI192)</f>
        <v>0</v>
      </c>
      <c r="AO199" s="760">
        <f>IF(OR($A199="F&amp;F",$A199="CE",AO$7="No aplica"),0,'BOULEVARD 5'!AS197-'BOULEVARD PPTO'!AJ192)</f>
        <v>0</v>
      </c>
      <c r="AP199" s="761">
        <f t="shared" si="18"/>
        <v>4260</v>
      </c>
      <c r="AQ199" s="761">
        <f t="shared" si="19"/>
        <v>8513</v>
      </c>
      <c r="AR199" s="674">
        <f>IF(A199=0,'BOULEVARD 5'!BF197,0)</f>
        <v>8000</v>
      </c>
      <c r="AS199" s="674">
        <f>IF(A199=0,'BOULEVARD 5'!BG197,0)</f>
        <v>4253</v>
      </c>
      <c r="AT199" s="675" t="str">
        <f t="shared" si="17"/>
        <v>Vendido</v>
      </c>
      <c r="AU199" s="581" t="str">
        <f t="shared" si="21"/>
        <v>A FAVOR DEL CLIENTE</v>
      </c>
      <c r="AV199" s="760">
        <f t="shared" si="20"/>
        <v>4253</v>
      </c>
    </row>
    <row r="200" spans="1:48" s="581" customFormat="1" ht="12.4" customHeight="1" outlineLevel="1" x14ac:dyDescent="0.25">
      <c r="A200" s="703">
        <f>'BOULEVARD 5'!BQ198</f>
        <v>0</v>
      </c>
      <c r="B200" s="564">
        <v>1105</v>
      </c>
      <c r="C200" s="564" t="s">
        <v>192</v>
      </c>
      <c r="D200" s="564"/>
      <c r="E200" s="564" t="str">
        <f>IF('BOULEVARD 5'!E198&lt;&gt;0,'BOULEVARD 5'!E198,"")</f>
        <v>Brenda Búcaro</v>
      </c>
      <c r="F200" s="581" t="str">
        <f>IF('BOULEVARD 5'!F198&lt;&gt;0,'BOULEVARD 5'!F198,"")</f>
        <v>Luis Pedro Escobedo De Cid</v>
      </c>
      <c r="G200" s="566">
        <f>IF('BOULEVARD 5'!G198="","",'BOULEVARD 5'!G198)</f>
        <v>45012</v>
      </c>
      <c r="H200" s="756">
        <f>IF(OR($A200="F&amp;F",$A200="CE",H$7="No aplica"),0,'BOULEVARD 5'!K198-'BOULEVARD PPTO'!C193)</f>
        <v>28000</v>
      </c>
      <c r="I200" s="756">
        <f>IF(OR($A200="F&amp;F",$A200="CE",I$7="No aplica"),0,'BOULEVARD 5'!L198-'BOULEVARD PPTO'!D193)</f>
        <v>0</v>
      </c>
      <c r="J200" s="756">
        <f>IF(OR($A200="F&amp;F",$A200="CE",J$7="No aplica"),0,'BOULEVARD 5'!M198-'BOULEVARD PPTO'!E193)</f>
        <v>0</v>
      </c>
      <c r="K200" s="756">
        <f>IF(OR($A200="F&amp;F",$A200="CE",K$7="No aplica"),0,'BOULEVARD 5'!N198-'BOULEVARD PPTO'!F193)</f>
        <v>-1000</v>
      </c>
      <c r="L200" s="756">
        <f>IF(OR($A200="F&amp;F",$A200="CE",L$7="No aplica"),0,'BOULEVARD 5'!O198-'BOULEVARD PPTO'!G193)</f>
        <v>1000</v>
      </c>
      <c r="M200" s="756">
        <f>IF(OR($A200="F&amp;F",$A200="CE",M$7="No aplica"),0,'BOULEVARD 5'!P198-'BOULEVARD PPTO'!H193)</f>
        <v>1000</v>
      </c>
      <c r="N200" s="756">
        <f>IF(OR($A200="F&amp;F",$A200="CE",N$7="No aplica"),0,'BOULEVARD 5'!Q198-'BOULEVARD PPTO'!I193)</f>
        <v>0</v>
      </c>
      <c r="O200" s="756">
        <f>IF(OR($A200="F&amp;F",$A200="CE",O$7="No aplica"),0,'BOULEVARD 5'!R198-'BOULEVARD PPTO'!J193)</f>
        <v>0</v>
      </c>
      <c r="P200" s="756">
        <f>IF(OR($A200="F&amp;F",$A200="CE",P$7="No aplica"),0,'BOULEVARD 5'!S198-'BOULEVARD PPTO'!K193)</f>
        <v>0</v>
      </c>
      <c r="Q200" s="760">
        <f>IF(OR($A200="F&amp;F",$A200="CE",Q$7="No aplica"),0,'BOULEVARD 5'!T198-'BOULEVARD PPTO'!L193)</f>
        <v>0</v>
      </c>
      <c r="R200" s="760">
        <f>IF(OR($A200="F&amp;F",$A200="CE",R$7="No aplica"),0,'BOULEVARD 5'!U198-'BOULEVARD PPTO'!M193)</f>
        <v>-1000</v>
      </c>
      <c r="S200" s="760">
        <f>IF(OR($A200="F&amp;F",$A200="CE",S$7="No aplica"),0,'BOULEVARD 5'!V198-'BOULEVARD PPTO'!N193)</f>
        <v>0</v>
      </c>
      <c r="T200" s="760">
        <f>IF(OR($A200="F&amp;F",$A200="CE",T$7="No aplica"),0,'BOULEVARD 5'!W198-'BOULEVARD PPTO'!O193)</f>
        <v>-1000</v>
      </c>
      <c r="U200" s="760">
        <f>IF(OR($A200="F&amp;F",$A200="CE",U$7="No aplica"),0,'BOULEVARD 5'!X198-'BOULEVARD PPTO'!P193)</f>
        <v>1000</v>
      </c>
      <c r="V200" s="760">
        <f>IF(OR($A200="F&amp;F",$A200="CE",V$7="No aplica"),0,'BOULEVARD 5'!Y198-'BOULEVARD PPTO'!Q193)</f>
        <v>-1000</v>
      </c>
      <c r="W200" s="760">
        <f>IF(OR($A200="F&amp;F",$A200="CE",W$7="No aplica"),0,'BOULEVARD 5'!Z198-'BOULEVARD PPTO'!R193)</f>
        <v>0</v>
      </c>
      <c r="X200" s="760">
        <f>IF(OR($A200="F&amp;F",$A200="CE",X$7="No aplica"),0,'BOULEVARD 5'!AA198-'BOULEVARD PPTO'!S193)</f>
        <v>0</v>
      </c>
      <c r="Y200" s="760">
        <f>IF(OR($A200="F&amp;F",$A200="CE",Y$7="No aplica"),0,'BOULEVARD 5'!AB198-'BOULEVARD PPTO'!T193)</f>
        <v>0</v>
      </c>
      <c r="Z200" s="760">
        <f>IF(OR($A200="F&amp;F",$A200="CE",Z$7="No aplica"),0,'BOULEVARD 5'!AC198-'BOULEVARD PPTO'!U193)</f>
        <v>0</v>
      </c>
      <c r="AA200" s="760">
        <f>IF(OR($A200="F&amp;F",$A200="CE",AA$7="No aplica"),0,'BOULEVARD 5'!AD198-'BOULEVARD PPTO'!V193)</f>
        <v>0</v>
      </c>
      <c r="AB200" s="760">
        <f>IF(OR($A200="F&amp;F",$A200="CE",AB$7="No aplica"),0,'BOULEVARD 5'!AE198-'BOULEVARD PPTO'!W193)</f>
        <v>0</v>
      </c>
      <c r="AC200" s="760">
        <f>IF(OR($A200="F&amp;F",$A200="CE",AC$7="No aplica"),0,'BOULEVARD 5'!AF198-'BOULEVARD PPTO'!X193)</f>
        <v>0</v>
      </c>
      <c r="AD200" s="760">
        <f>IF(OR($A200="F&amp;F",$A200="CE",AD$7="No aplica"),0,'BOULEVARD 5'!AG198-'BOULEVARD PPTO'!Y193)</f>
        <v>0</v>
      </c>
      <c r="AE200" s="760">
        <f>IF(OR($A200="F&amp;F",$A200="CE",AE$7="No aplica"),0,'BOULEVARD 5'!AH198-'BOULEVARD PPTO'!Z193)</f>
        <v>0</v>
      </c>
      <c r="AF200" s="760">
        <f>IF(OR($A200="F&amp;F",$A200="CE",AF$7="No aplica"),0,'BOULEVARD 5'!AI198-'BOULEVARD PPTO'!AA193)</f>
        <v>0</v>
      </c>
      <c r="AG200" s="760">
        <f>IF(OR($A200="F&amp;F",$A200="CE",AG$7="No aplica"),0,'BOULEVARD 5'!AJ198-'BOULEVARD PPTO'!AB193)</f>
        <v>-1000</v>
      </c>
      <c r="AH200" s="760">
        <f>IF(OR($A200="F&amp;F",$A200="CE",AH$7="No aplica"),0,'BOULEVARD 5'!AK198-'BOULEVARD PPTO'!AC193)</f>
        <v>-1000</v>
      </c>
      <c r="AI200" s="760">
        <f>IF(OR($A200="F&amp;F",$A200="CE",AI$7="No aplica"),0,'BOULEVARD 5'!AL198-'BOULEVARD PPTO'!AD193)</f>
        <v>-1000</v>
      </c>
      <c r="AJ200" s="760">
        <f>IF(OR($A200="F&amp;F",$A200="CE",AJ$7="No aplica"),0,'BOULEVARD 5'!AM198-'BOULEVARD PPTO'!AE193)</f>
        <v>-1000</v>
      </c>
      <c r="AK200" s="760">
        <f>IF(OR($A200="F&amp;F",$A200="CE",AK$7="No aplica"),0,'BOULEVARD 5'!AN198-'BOULEVARD PPTO'!AF193)</f>
        <v>-1000</v>
      </c>
      <c r="AL200" s="760">
        <f>IF(OR($A200="F&amp;F",$A200="CE",AL$7="No aplica"),0,'BOULEVARD 5'!AO198-'BOULEVARD PPTO'!AG193)</f>
        <v>-1000</v>
      </c>
      <c r="AM200" s="760">
        <f>IF(OR($A200="F&amp;F",$A200="CE",AM$7="No aplica"),0,'BOULEVARD 5'!AP198-'BOULEVARD PPTO'!AH193)</f>
        <v>-1000</v>
      </c>
      <c r="AN200" s="760">
        <f>IF(OR($A200="F&amp;F",$A200="CE",AN$7="No aplica"),0,'BOULEVARD 5'!AQ198-'BOULEVARD PPTO'!AI193)</f>
        <v>0</v>
      </c>
      <c r="AO200" s="760">
        <f>IF(OR($A200="F&amp;F",$A200="CE",AO$7="No aplica"),0,'BOULEVARD 5'!AS198-'BOULEVARD PPTO'!AJ193)</f>
        <v>0</v>
      </c>
      <c r="AP200" s="761">
        <f t="shared" si="18"/>
        <v>20000</v>
      </c>
      <c r="AQ200" s="761">
        <f t="shared" si="19"/>
        <v>107.30000000000291</v>
      </c>
      <c r="AR200" s="674">
        <f>IF(A200=0,'BOULEVARD 5'!BF198,0)</f>
        <v>15000</v>
      </c>
      <c r="AS200" s="674">
        <f>IF(A200=0,'BOULEVARD 5'!BG198,0)</f>
        <v>1000</v>
      </c>
      <c r="AT200" s="675" t="str">
        <f t="shared" si="17"/>
        <v>Vendido</v>
      </c>
      <c r="AU200" s="581" t="str">
        <f t="shared" si="21"/>
        <v>A FAVOR DEL CLIENTE</v>
      </c>
      <c r="AV200" s="760">
        <f t="shared" si="20"/>
        <v>0</v>
      </c>
    </row>
    <row r="201" spans="1:48" s="581" customFormat="1" ht="12.4" customHeight="1" outlineLevel="1" x14ac:dyDescent="0.25">
      <c r="A201" s="703">
        <f>'BOULEVARD 5'!BQ199</f>
        <v>0</v>
      </c>
      <c r="B201" s="564">
        <v>1106</v>
      </c>
      <c r="C201" s="564" t="s">
        <v>178</v>
      </c>
      <c r="D201" s="564"/>
      <c r="E201" s="564" t="str">
        <f>IF('BOULEVARD 5'!E199&lt;&gt;0,'BOULEVARD 5'!E199,"")</f>
        <v>Antonio Rada</v>
      </c>
      <c r="F201" s="581" t="str">
        <f>IF('BOULEVARD 5'!F199&lt;&gt;0,'BOULEVARD 5'!F199,"")</f>
        <v>Emerson Emanuel Menendez Rodas</v>
      </c>
      <c r="G201" s="566">
        <f>IF('BOULEVARD 5'!G199="","",'BOULEVARD 5'!G199)</f>
        <v>45043</v>
      </c>
      <c r="H201" s="756">
        <f>IF(OR($A201="F&amp;F",$A201="CE",H$7="No aplica"),0,'BOULEVARD 5'!K199-'BOULEVARD PPTO'!C194)</f>
        <v>0</v>
      </c>
      <c r="I201" s="756">
        <f>IF(OR($A201="F&amp;F",$A201="CE",I$7="No aplica"),0,'BOULEVARD 5'!L199-'BOULEVARD PPTO'!D194)</f>
        <v>0</v>
      </c>
      <c r="J201" s="756">
        <f>IF(OR($A201="F&amp;F",$A201="CE",J$7="No aplica"),0,'BOULEVARD 5'!M199-'BOULEVARD PPTO'!E194)</f>
        <v>0</v>
      </c>
      <c r="K201" s="756">
        <f>IF(OR($A201="F&amp;F",$A201="CE",K$7="No aplica"),0,'BOULEVARD 5'!N199-'BOULEVARD PPTO'!F194)</f>
        <v>0</v>
      </c>
      <c r="L201" s="756">
        <f>IF(OR($A201="F&amp;F",$A201="CE",L$7="No aplica"),0,'BOULEVARD 5'!O199-'BOULEVARD PPTO'!G194)</f>
        <v>0</v>
      </c>
      <c r="M201" s="756">
        <f>IF(OR($A201="F&amp;F",$A201="CE",M$7="No aplica"),0,'BOULEVARD 5'!P199-'BOULEVARD PPTO'!H194)</f>
        <v>0</v>
      </c>
      <c r="N201" s="756">
        <f>IF(OR($A201="F&amp;F",$A201="CE",N$7="No aplica"),0,'BOULEVARD 5'!Q199-'BOULEVARD PPTO'!I194)</f>
        <v>0</v>
      </c>
      <c r="O201" s="756">
        <f>IF(OR($A201="F&amp;F",$A201="CE",O$7="No aplica"),0,'BOULEVARD 5'!R199-'BOULEVARD PPTO'!J194)</f>
        <v>0</v>
      </c>
      <c r="P201" s="756">
        <f>IF(OR($A201="F&amp;F",$A201="CE",P$7="No aplica"),0,'BOULEVARD 5'!S199-'BOULEVARD PPTO'!K194)</f>
        <v>0</v>
      </c>
      <c r="Q201" s="760">
        <f>IF(OR($A201="F&amp;F",$A201="CE",Q$7="No aplica"),0,'BOULEVARD 5'!T199-'BOULEVARD PPTO'!L194)</f>
        <v>0</v>
      </c>
      <c r="R201" s="760">
        <f>IF(OR($A201="F&amp;F",$A201="CE",R$7="No aplica"),0,'BOULEVARD 5'!U199-'BOULEVARD PPTO'!M194)</f>
        <v>0</v>
      </c>
      <c r="S201" s="760">
        <f>IF(OR($A201="F&amp;F",$A201="CE",S$7="No aplica"),0,'BOULEVARD 5'!V199-'BOULEVARD PPTO'!N194)</f>
        <v>0</v>
      </c>
      <c r="T201" s="760">
        <f>IF(OR($A201="F&amp;F",$A201="CE",T$7="No aplica"),0,'BOULEVARD 5'!W199-'BOULEVARD PPTO'!O194)</f>
        <v>0</v>
      </c>
      <c r="U201" s="760">
        <f>IF(OR($A201="F&amp;F",$A201="CE",U$7="No aplica"),0,'BOULEVARD 5'!X199-'BOULEVARD PPTO'!P194)</f>
        <v>0</v>
      </c>
      <c r="V201" s="760">
        <f>IF(OR($A201="F&amp;F",$A201="CE",V$7="No aplica"),0,'BOULEVARD 5'!Y199-'BOULEVARD PPTO'!Q194)</f>
        <v>0</v>
      </c>
      <c r="W201" s="760">
        <f>IF(OR($A201="F&amp;F",$A201="CE",W$7="No aplica"),0,'BOULEVARD 5'!Z199-'BOULEVARD PPTO'!R194)</f>
        <v>0</v>
      </c>
      <c r="X201" s="760">
        <f>IF(OR($A201="F&amp;F",$A201="CE",X$7="No aplica"),0,'BOULEVARD 5'!AA199-'BOULEVARD PPTO'!S194)</f>
        <v>0</v>
      </c>
      <c r="Y201" s="760">
        <f>IF(OR($A201="F&amp;F",$A201="CE",Y$7="No aplica"),0,'BOULEVARD 5'!AB199-'BOULEVARD PPTO'!T194)</f>
        <v>0</v>
      </c>
      <c r="Z201" s="760">
        <f>IF(OR($A201="F&amp;F",$A201="CE",Z$7="No aplica"),0,'BOULEVARD 5'!AC199-'BOULEVARD PPTO'!U194)</f>
        <v>0</v>
      </c>
      <c r="AA201" s="760">
        <f>IF(OR($A201="F&amp;F",$A201="CE",AA$7="No aplica"),0,'BOULEVARD 5'!AD199-'BOULEVARD PPTO'!V194)</f>
        <v>0</v>
      </c>
      <c r="AB201" s="760">
        <f>IF(OR($A201="F&amp;F",$A201="CE",AB$7="No aplica"),0,'BOULEVARD 5'!AE199-'BOULEVARD PPTO'!W194)</f>
        <v>0</v>
      </c>
      <c r="AC201" s="760">
        <f>IF(OR($A201="F&amp;F",$A201="CE",AC$7="No aplica"),0,'BOULEVARD 5'!AF199-'BOULEVARD PPTO'!X194)</f>
        <v>0</v>
      </c>
      <c r="AD201" s="760">
        <f>IF(OR($A201="F&amp;F",$A201="CE",AD$7="No aplica"),0,'BOULEVARD 5'!AG199-'BOULEVARD PPTO'!Y194)</f>
        <v>-1869</v>
      </c>
      <c r="AE201" s="760">
        <f>IF(OR($A201="F&amp;F",$A201="CE",AE$7="No aplica"),0,'BOULEVARD 5'!AH199-'BOULEVARD PPTO'!Z194)</f>
        <v>1869</v>
      </c>
      <c r="AF201" s="760">
        <f>IF(OR($A201="F&amp;F",$A201="CE",AF$7="No aplica"),0,'BOULEVARD 5'!AI199-'BOULEVARD PPTO'!AA194)</f>
        <v>0</v>
      </c>
      <c r="AG201" s="760">
        <f>IF(OR($A201="F&amp;F",$A201="CE",AG$7="No aplica"),0,'BOULEVARD 5'!AJ199-'BOULEVARD PPTO'!AB194)</f>
        <v>0</v>
      </c>
      <c r="AH201" s="760">
        <f>IF(OR($A201="F&amp;F",$A201="CE",AH$7="No aplica"),0,'BOULEVARD 5'!AK199-'BOULEVARD PPTO'!AC194)</f>
        <v>0</v>
      </c>
      <c r="AI201" s="760">
        <f>IF(OR($A201="F&amp;F",$A201="CE",AI$7="No aplica"),0,'BOULEVARD 5'!AL199-'BOULEVARD PPTO'!AD194)</f>
        <v>-1869</v>
      </c>
      <c r="AJ201" s="760">
        <f>IF(OR($A201="F&amp;F",$A201="CE",AJ$7="No aplica"),0,'BOULEVARD 5'!AM199-'BOULEVARD PPTO'!AE194)</f>
        <v>1869</v>
      </c>
      <c r="AK201" s="760">
        <f>IF(OR($A201="F&amp;F",$A201="CE",AK$7="No aplica"),0,'BOULEVARD 5'!AN199-'BOULEVARD PPTO'!AF194)</f>
        <v>0</v>
      </c>
      <c r="AL201" s="760">
        <f>IF(OR($A201="F&amp;F",$A201="CE",AL$7="No aplica"),0,'BOULEVARD 5'!AO199-'BOULEVARD PPTO'!AG194)</f>
        <v>0</v>
      </c>
      <c r="AM201" s="760">
        <f>IF(OR($A201="F&amp;F",$A201="CE",AM$7="No aplica"),0,'BOULEVARD 5'!AP199-'BOULEVARD PPTO'!AH194)</f>
        <v>0</v>
      </c>
      <c r="AN201" s="760">
        <f>IF(OR($A201="F&amp;F",$A201="CE",AN$7="No aplica"),0,'BOULEVARD 5'!AQ199-'BOULEVARD PPTO'!AI194)</f>
        <v>0</v>
      </c>
      <c r="AO201" s="760">
        <f>IF(OR($A201="F&amp;F",$A201="CE",AO$7="No aplica"),0,'BOULEVARD 5'!AS199-'BOULEVARD PPTO'!AJ194)</f>
        <v>0</v>
      </c>
      <c r="AP201" s="761">
        <f t="shared" si="18"/>
        <v>0</v>
      </c>
      <c r="AQ201" s="761">
        <f t="shared" si="19"/>
        <v>0</v>
      </c>
      <c r="AR201" s="674">
        <f>IF(A201=0,'BOULEVARD 5'!BF199,0)</f>
        <v>12000</v>
      </c>
      <c r="AS201" s="674">
        <f>IF(A201=0,'BOULEVARD 5'!BG199,0)</f>
        <v>1869</v>
      </c>
      <c r="AT201" s="675" t="str">
        <f t="shared" ref="AT201:AT264" si="22">IF(G201="","No Vendido","Vendido")</f>
        <v>Vendido</v>
      </c>
      <c r="AU201" s="581" t="str">
        <f t="shared" si="21"/>
        <v/>
      </c>
      <c r="AV201" s="760">
        <f t="shared" si="20"/>
        <v>0</v>
      </c>
    </row>
    <row r="202" spans="1:48" s="581" customFormat="1" ht="12.4" customHeight="1" outlineLevel="1" x14ac:dyDescent="0.25">
      <c r="A202" s="703" t="str">
        <f>'BOULEVARD 5'!BQ200</f>
        <v>F&amp;F</v>
      </c>
      <c r="B202" s="704">
        <v>1107</v>
      </c>
      <c r="C202" s="704" t="s">
        <v>465</v>
      </c>
      <c r="D202" s="704"/>
      <c r="E202" s="704" t="str">
        <f>IF('BOULEVARD 5'!E200&lt;&gt;0,'BOULEVARD 5'!E200,"")</f>
        <v>Ronaldo</v>
      </c>
      <c r="F202" s="705" t="str">
        <f>IF('BOULEVARD 5'!F200&lt;&gt;0,'BOULEVARD 5'!F200,"")</f>
        <v>International Coffee Industry, S.A</v>
      </c>
      <c r="G202" s="566">
        <f>IF('BOULEVARD 5'!G200="","",'BOULEVARD 5'!G200)</f>
        <v>45300</v>
      </c>
      <c r="H202" s="756">
        <f>IF(OR($A202="F&amp;F",$A202="CE",H$7="No aplica"),0,'BOULEVARD 5'!K200-'BOULEVARD PPTO'!C195)</f>
        <v>0</v>
      </c>
      <c r="I202" s="756">
        <f>IF(OR($A202="F&amp;F",$A202="CE",I$7="No aplica"),0,'BOULEVARD 5'!L200-'BOULEVARD PPTO'!D195)</f>
        <v>0</v>
      </c>
      <c r="J202" s="756">
        <f>IF(OR($A202="F&amp;F",$A202="CE",J$7="No aplica"),0,'BOULEVARD 5'!M200-'BOULEVARD PPTO'!E195)</f>
        <v>0</v>
      </c>
      <c r="K202" s="756">
        <f>IF(OR($A202="F&amp;F",$A202="CE",K$7="No aplica"),0,'BOULEVARD 5'!N200-'BOULEVARD PPTO'!F195)</f>
        <v>0</v>
      </c>
      <c r="L202" s="756">
        <f>IF(OR($A202="F&amp;F",$A202="CE",L$7="No aplica"),0,'BOULEVARD 5'!O200-'BOULEVARD PPTO'!G195)</f>
        <v>0</v>
      </c>
      <c r="M202" s="756">
        <f>IF(OR($A202="F&amp;F",$A202="CE",M$7="No aplica"),0,'BOULEVARD 5'!P200-'BOULEVARD PPTO'!H195)</f>
        <v>0</v>
      </c>
      <c r="N202" s="756">
        <f>IF(OR($A202="F&amp;F",$A202="CE",N$7="No aplica"),0,'BOULEVARD 5'!Q200-'BOULEVARD PPTO'!I195)</f>
        <v>0</v>
      </c>
      <c r="O202" s="756">
        <f>IF(OR($A202="F&amp;F",$A202="CE",O$7="No aplica"),0,'BOULEVARD 5'!R200-'BOULEVARD PPTO'!J195)</f>
        <v>0</v>
      </c>
      <c r="P202" s="756">
        <f>IF(OR($A202="F&amp;F",$A202="CE",P$7="No aplica"),0,'BOULEVARD 5'!S200-'BOULEVARD PPTO'!K195)</f>
        <v>0</v>
      </c>
      <c r="Q202" s="760">
        <f>IF(OR($A202="F&amp;F",$A202="CE",Q$7="No aplica"),0,'BOULEVARD 5'!T200-'BOULEVARD PPTO'!L195)</f>
        <v>0</v>
      </c>
      <c r="R202" s="760">
        <f>IF(OR($A202="F&amp;F",$A202="CE",R$7="No aplica"),0,'BOULEVARD 5'!U200-'BOULEVARD PPTO'!M195)</f>
        <v>0</v>
      </c>
      <c r="S202" s="760">
        <f>IF(OR($A202="F&amp;F",$A202="CE",S$7="No aplica"),0,'BOULEVARD 5'!V200-'BOULEVARD PPTO'!N195)</f>
        <v>0</v>
      </c>
      <c r="T202" s="760">
        <f>IF(OR($A202="F&amp;F",$A202="CE",T$7="No aplica"),0,'BOULEVARD 5'!W200-'BOULEVARD PPTO'!O195)</f>
        <v>0</v>
      </c>
      <c r="U202" s="760">
        <f>IF(OR($A202="F&amp;F",$A202="CE",U$7="No aplica"),0,'BOULEVARD 5'!X200-'BOULEVARD PPTO'!P195)</f>
        <v>0</v>
      </c>
      <c r="V202" s="760">
        <f>IF(OR($A202="F&amp;F",$A202="CE",V$7="No aplica"),0,'BOULEVARD 5'!Y200-'BOULEVARD PPTO'!Q195)</f>
        <v>0</v>
      </c>
      <c r="W202" s="760">
        <f>IF(OR($A202="F&amp;F",$A202="CE",W$7="No aplica"),0,'BOULEVARD 5'!Z200-'BOULEVARD PPTO'!R195)</f>
        <v>0</v>
      </c>
      <c r="X202" s="760">
        <f>IF(OR($A202="F&amp;F",$A202="CE",X$7="No aplica"),0,'BOULEVARD 5'!AA200-'BOULEVARD PPTO'!S195)</f>
        <v>0</v>
      </c>
      <c r="Y202" s="760">
        <f>IF(OR($A202="F&amp;F",$A202="CE",Y$7="No aplica"),0,'BOULEVARD 5'!AB200-'BOULEVARD PPTO'!T195)</f>
        <v>0</v>
      </c>
      <c r="Z202" s="760">
        <f>IF(OR($A202="F&amp;F",$A202="CE",Z$7="No aplica"),0,'BOULEVARD 5'!AC200-'BOULEVARD PPTO'!U195)</f>
        <v>0</v>
      </c>
      <c r="AA202" s="760">
        <f>IF(OR($A202="F&amp;F",$A202="CE",AA$7="No aplica"),0,'BOULEVARD 5'!AD200-'BOULEVARD PPTO'!V195)</f>
        <v>0</v>
      </c>
      <c r="AB202" s="760">
        <f>IF(OR($A202="F&amp;F",$A202="CE",AB$7="No aplica"),0,'BOULEVARD 5'!AE200-'BOULEVARD PPTO'!W195)</f>
        <v>0</v>
      </c>
      <c r="AC202" s="760">
        <f>IF(OR($A202="F&amp;F",$A202="CE",AC$7="No aplica"),0,'BOULEVARD 5'!AF200-'BOULEVARD PPTO'!X195)</f>
        <v>0</v>
      </c>
      <c r="AD202" s="760">
        <f>IF(OR($A202="F&amp;F",$A202="CE",AD$7="No aplica"),0,'BOULEVARD 5'!AG200-'BOULEVARD PPTO'!Y195)</f>
        <v>0</v>
      </c>
      <c r="AE202" s="760">
        <f>IF(OR($A202="F&amp;F",$A202="CE",AE$7="No aplica"),0,'BOULEVARD 5'!AH200-'BOULEVARD PPTO'!Z195)</f>
        <v>0</v>
      </c>
      <c r="AF202" s="760">
        <f>IF(OR($A202="F&amp;F",$A202="CE",AF$7="No aplica"),0,'BOULEVARD 5'!AI200-'BOULEVARD PPTO'!AA195)</f>
        <v>0</v>
      </c>
      <c r="AG202" s="760">
        <f>IF(OR($A202="F&amp;F",$A202="CE",AG$7="No aplica"),0,'BOULEVARD 5'!AJ200-'BOULEVARD PPTO'!AB195)</f>
        <v>0</v>
      </c>
      <c r="AH202" s="760">
        <f>IF(OR($A202="F&amp;F",$A202="CE",AH$7="No aplica"),0,'BOULEVARD 5'!AK200-'BOULEVARD PPTO'!AC195)</f>
        <v>0</v>
      </c>
      <c r="AI202" s="760">
        <f>IF(OR($A202="F&amp;F",$A202="CE",AI$7="No aplica"),0,'BOULEVARD 5'!AL200-'BOULEVARD PPTO'!AD195)</f>
        <v>0</v>
      </c>
      <c r="AJ202" s="760">
        <f>IF(OR($A202="F&amp;F",$A202="CE",AJ$7="No aplica"),0,'BOULEVARD 5'!AM200-'BOULEVARD PPTO'!AE195)</f>
        <v>0</v>
      </c>
      <c r="AK202" s="760">
        <f>IF(OR($A202="F&amp;F",$A202="CE",AK$7="No aplica"),0,'BOULEVARD 5'!AN200-'BOULEVARD PPTO'!AF195)</f>
        <v>0</v>
      </c>
      <c r="AL202" s="760">
        <f>IF(OR($A202="F&amp;F",$A202="CE",AL$7="No aplica"),0,'BOULEVARD 5'!AO200-'BOULEVARD PPTO'!AG195)</f>
        <v>0</v>
      </c>
      <c r="AM202" s="760">
        <f>IF(OR($A202="F&amp;F",$A202="CE",AM$7="No aplica"),0,'BOULEVARD 5'!AP200-'BOULEVARD PPTO'!AH195)</f>
        <v>0</v>
      </c>
      <c r="AN202" s="760">
        <f>IF(OR($A202="F&amp;F",$A202="CE",AN$7="No aplica"),0,'BOULEVARD 5'!AQ200-'BOULEVARD PPTO'!AI195)</f>
        <v>0</v>
      </c>
      <c r="AO202" s="760">
        <f>IF(OR($A202="F&amp;F",$A202="CE",AO$7="No aplica"),0,'BOULEVARD 5'!AS200-'BOULEVARD PPTO'!AJ195)</f>
        <v>0</v>
      </c>
      <c r="AP202" s="761">
        <f t="shared" ref="AP202:AP265" si="23">SUBTOTAL(9,H202:AO202)</f>
        <v>0</v>
      </c>
      <c r="AQ202" s="761">
        <f t="shared" ref="AQ202:AQ265" si="24">IF(OR(A202="F&amp;F",A202="CE"),0,AQ507-AP507)</f>
        <v>0</v>
      </c>
      <c r="AR202" s="674">
        <f>IF(A202=0,'BOULEVARD 5'!BF200,0)</f>
        <v>0</v>
      </c>
      <c r="AS202" s="674">
        <f>IF(A202=0,'BOULEVARD 5'!BG200,0)</f>
        <v>0</v>
      </c>
      <c r="AT202" s="675" t="str">
        <f t="shared" si="22"/>
        <v>Vendido</v>
      </c>
      <c r="AU202" s="581" t="str">
        <f t="shared" si="21"/>
        <v/>
      </c>
      <c r="AV202" s="760">
        <f t="shared" ref="AV202:AV265" si="25">IF(_xlfn.XLOOKUP($G$5,$Q$8:$AO$8,$Q202:$AO202)&gt;0,_xlfn.XLOOKUP($G$5,$Q$8:$AO$8,$Q202:$AO202),0)</f>
        <v>0</v>
      </c>
    </row>
    <row r="203" spans="1:48" s="581" customFormat="1" ht="12.4" customHeight="1" outlineLevel="1" x14ac:dyDescent="0.25">
      <c r="A203" s="703">
        <f>'BOULEVARD 5'!BQ201</f>
        <v>0</v>
      </c>
      <c r="B203" s="564">
        <v>1108</v>
      </c>
      <c r="C203" s="564" t="s">
        <v>467</v>
      </c>
      <c r="D203" s="564"/>
      <c r="E203" s="564" t="str">
        <f>IF('BOULEVARD 5'!E201&lt;&gt;0,'BOULEVARD 5'!E201,"")</f>
        <v>Brenda Búcaro</v>
      </c>
      <c r="F203" s="581" t="str">
        <f>IF('BOULEVARD 5'!F201&lt;&gt;0,'BOULEVARD 5'!F201,"")</f>
        <v>Denis Orlando Coto Zelaya</v>
      </c>
      <c r="G203" s="566">
        <f>IF('BOULEVARD 5'!G201="","",'BOULEVARD 5'!G201)</f>
        <v>45013</v>
      </c>
      <c r="H203" s="756">
        <f>IF(OR($A203="F&amp;F",$A203="CE",H$7="No aplica"),0,'BOULEVARD 5'!K201-'BOULEVARD PPTO'!C196)</f>
        <v>0</v>
      </c>
      <c r="I203" s="756">
        <f>IF(OR($A203="F&amp;F",$A203="CE",I$7="No aplica"),0,'BOULEVARD 5'!L201-'BOULEVARD PPTO'!D196)</f>
        <v>0</v>
      </c>
      <c r="J203" s="756">
        <f>IF(OR($A203="F&amp;F",$A203="CE",J$7="No aplica"),0,'BOULEVARD 5'!M201-'BOULEVARD PPTO'!E196)</f>
        <v>0</v>
      </c>
      <c r="K203" s="756">
        <f>IF(OR($A203="F&amp;F",$A203="CE",K$7="No aplica"),0,'BOULEVARD 5'!N201-'BOULEVARD PPTO'!F196)</f>
        <v>0</v>
      </c>
      <c r="L203" s="756">
        <f>IF(OR($A203="F&amp;F",$A203="CE",L$7="No aplica"),0,'BOULEVARD 5'!O201-'BOULEVARD PPTO'!G196)</f>
        <v>0</v>
      </c>
      <c r="M203" s="756">
        <f>IF(OR($A203="F&amp;F",$A203="CE",M$7="No aplica"),0,'BOULEVARD 5'!P201-'BOULEVARD PPTO'!H196)</f>
        <v>0</v>
      </c>
      <c r="N203" s="756">
        <f>IF(OR($A203="F&amp;F",$A203="CE",N$7="No aplica"),0,'BOULEVARD 5'!Q201-'BOULEVARD PPTO'!I196)</f>
        <v>0</v>
      </c>
      <c r="O203" s="756">
        <f>IF(OR($A203="F&amp;F",$A203="CE",O$7="No aplica"),0,'BOULEVARD 5'!R201-'BOULEVARD PPTO'!J196)</f>
        <v>0</v>
      </c>
      <c r="P203" s="756">
        <f>IF(OR($A203="F&amp;F",$A203="CE",P$7="No aplica"),0,'BOULEVARD 5'!S201-'BOULEVARD PPTO'!K196)</f>
        <v>0</v>
      </c>
      <c r="Q203" s="760">
        <f>IF(OR($A203="F&amp;F",$A203="CE",Q$7="No aplica"),0,'BOULEVARD 5'!T201-'BOULEVARD PPTO'!L196)</f>
        <v>0</v>
      </c>
      <c r="R203" s="760">
        <f>IF(OR($A203="F&amp;F",$A203="CE",R$7="No aplica"),0,'BOULEVARD 5'!U201-'BOULEVARD PPTO'!M196)</f>
        <v>0</v>
      </c>
      <c r="S203" s="760">
        <f>IF(OR($A203="F&amp;F",$A203="CE",S$7="No aplica"),0,'BOULEVARD 5'!V201-'BOULEVARD PPTO'!N196)</f>
        <v>0</v>
      </c>
      <c r="T203" s="760">
        <f>IF(OR($A203="F&amp;F",$A203="CE",T$7="No aplica"),0,'BOULEVARD 5'!W201-'BOULEVARD PPTO'!O196)</f>
        <v>0</v>
      </c>
      <c r="U203" s="760">
        <f>IF(OR($A203="F&amp;F",$A203="CE",U$7="No aplica"),0,'BOULEVARD 5'!X201-'BOULEVARD PPTO'!P196)</f>
        <v>0</v>
      </c>
      <c r="V203" s="760">
        <f>IF(OR($A203="F&amp;F",$A203="CE",V$7="No aplica"),0,'BOULEVARD 5'!Y201-'BOULEVARD PPTO'!Q196)</f>
        <v>0</v>
      </c>
      <c r="W203" s="760">
        <f>IF(OR($A203="F&amp;F",$A203="CE",W$7="No aplica"),0,'BOULEVARD 5'!Z201-'BOULEVARD PPTO'!R196)</f>
        <v>0</v>
      </c>
      <c r="X203" s="760">
        <f>IF(OR($A203="F&amp;F",$A203="CE",X$7="No aplica"),0,'BOULEVARD 5'!AA201-'BOULEVARD PPTO'!S196)</f>
        <v>0</v>
      </c>
      <c r="Y203" s="760">
        <f>IF(OR($A203="F&amp;F",$A203="CE",Y$7="No aplica"),0,'BOULEVARD 5'!AB201-'BOULEVARD PPTO'!T196)</f>
        <v>0</v>
      </c>
      <c r="Z203" s="760">
        <f>IF(OR($A203="F&amp;F",$A203="CE",Z$7="No aplica"),0,'BOULEVARD 5'!AC201-'BOULEVARD PPTO'!U196)</f>
        <v>0</v>
      </c>
      <c r="AA203" s="760">
        <f>IF(OR($A203="F&amp;F",$A203="CE",AA$7="No aplica"),0,'BOULEVARD 5'!AD201-'BOULEVARD PPTO'!V196)</f>
        <v>0</v>
      </c>
      <c r="AB203" s="760">
        <f>IF(OR($A203="F&amp;F",$A203="CE",AB$7="No aplica"),0,'BOULEVARD 5'!AE201-'BOULEVARD PPTO'!W196)</f>
        <v>0</v>
      </c>
      <c r="AC203" s="760">
        <f>IF(OR($A203="F&amp;F",$A203="CE",AC$7="No aplica"),0,'BOULEVARD 5'!AF201-'BOULEVARD PPTO'!X196)</f>
        <v>0</v>
      </c>
      <c r="AD203" s="760">
        <f>IF(OR($A203="F&amp;F",$A203="CE",AD$7="No aplica"),0,'BOULEVARD 5'!AG201-'BOULEVARD PPTO'!Y196)</f>
        <v>0</v>
      </c>
      <c r="AE203" s="760">
        <f>IF(OR($A203="F&amp;F",$A203="CE",AE$7="No aplica"),0,'BOULEVARD 5'!AH201-'BOULEVARD PPTO'!Z196)</f>
        <v>0</v>
      </c>
      <c r="AF203" s="760">
        <f>IF(OR($A203="F&amp;F",$A203="CE",AF$7="No aplica"),0,'BOULEVARD 5'!AI201-'BOULEVARD PPTO'!AA196)</f>
        <v>0</v>
      </c>
      <c r="AG203" s="760">
        <f>IF(OR($A203="F&amp;F",$A203="CE",AG$7="No aplica"),0,'BOULEVARD 5'!AJ201-'BOULEVARD PPTO'!AB196)</f>
        <v>0</v>
      </c>
      <c r="AH203" s="760">
        <f>IF(OR($A203="F&amp;F",$A203="CE",AH$7="No aplica"),0,'BOULEVARD 5'!AK201-'BOULEVARD PPTO'!AC196)</f>
        <v>0</v>
      </c>
      <c r="AI203" s="760">
        <f>IF(OR($A203="F&amp;F",$A203="CE",AI$7="No aplica"),0,'BOULEVARD 5'!AL201-'BOULEVARD PPTO'!AD196)</f>
        <v>0</v>
      </c>
      <c r="AJ203" s="760">
        <f>IF(OR($A203="F&amp;F",$A203="CE",AJ$7="No aplica"),0,'BOULEVARD 5'!AM201-'BOULEVARD PPTO'!AE196)</f>
        <v>0</v>
      </c>
      <c r="AK203" s="760">
        <f>IF(OR($A203="F&amp;F",$A203="CE",AK$7="No aplica"),0,'BOULEVARD 5'!AN201-'BOULEVARD PPTO'!AF196)</f>
        <v>0</v>
      </c>
      <c r="AL203" s="760">
        <f>IF(OR($A203="F&amp;F",$A203="CE",AL$7="No aplica"),0,'BOULEVARD 5'!AO201-'BOULEVARD PPTO'!AG196)</f>
        <v>0</v>
      </c>
      <c r="AM203" s="760">
        <f>IF(OR($A203="F&amp;F",$A203="CE",AM$7="No aplica"),0,'BOULEVARD 5'!AP201-'BOULEVARD PPTO'!AH196)</f>
        <v>30000</v>
      </c>
      <c r="AN203" s="760">
        <f>IF(OR($A203="F&amp;F",$A203="CE",AN$7="No aplica"),0,'BOULEVARD 5'!AQ201-'BOULEVARD PPTO'!AI196)</f>
        <v>0</v>
      </c>
      <c r="AO203" s="760">
        <f>IF(OR($A203="F&amp;F",$A203="CE",AO$7="No aplica"),0,'BOULEVARD 5'!AS201-'BOULEVARD PPTO'!AJ196)</f>
        <v>0</v>
      </c>
      <c r="AP203" s="761">
        <f t="shared" si="23"/>
        <v>30000</v>
      </c>
      <c r="AQ203" s="761">
        <f t="shared" si="24"/>
        <v>50000</v>
      </c>
      <c r="AR203" s="674">
        <f>IF(A203=0,'BOULEVARD 5'!BF201,0)</f>
        <v>0</v>
      </c>
      <c r="AS203" s="674">
        <f>IF(A203=0,'BOULEVARD 5'!BG201,0)</f>
        <v>0</v>
      </c>
      <c r="AT203" s="675" t="str">
        <f t="shared" si="22"/>
        <v>Vendido</v>
      </c>
      <c r="AU203" s="581" t="str">
        <f t="shared" si="21"/>
        <v>A FAVOR DEL CLIENTE</v>
      </c>
      <c r="AV203" s="760">
        <f t="shared" si="25"/>
        <v>30000</v>
      </c>
    </row>
    <row r="204" spans="1:48" s="581" customFormat="1" ht="12.4" customHeight="1" outlineLevel="1" x14ac:dyDescent="0.25">
      <c r="A204" s="703">
        <f>'BOULEVARD 5'!BQ202</f>
        <v>0</v>
      </c>
      <c r="B204" s="564">
        <v>1109</v>
      </c>
      <c r="C204" s="564" t="s">
        <v>469</v>
      </c>
      <c r="D204" s="564"/>
      <c r="E204" s="564" t="str">
        <f>IF('BOULEVARD 5'!E202&lt;&gt;0,'BOULEVARD 5'!E202,"")</f>
        <v>Antonio Rada</v>
      </c>
      <c r="F204" s="581" t="str">
        <f>IF('BOULEVARD 5'!F202&lt;&gt;0,'BOULEVARD 5'!F202,"")</f>
        <v>Fausto Norberth Mendez Melgar</v>
      </c>
      <c r="G204" s="566">
        <f>IF('BOULEVARD 5'!G202="","",'BOULEVARD 5'!G202)</f>
        <v>45263</v>
      </c>
      <c r="H204" s="756">
        <f>IF(OR($A204="F&amp;F",$A204="CE",H$7="No aplica"),0,'BOULEVARD 5'!K202-'BOULEVARD PPTO'!C197)</f>
        <v>0</v>
      </c>
      <c r="I204" s="756">
        <f>IF(OR($A204="F&amp;F",$A204="CE",I$7="No aplica"),0,'BOULEVARD 5'!L202-'BOULEVARD PPTO'!D197)</f>
        <v>0</v>
      </c>
      <c r="J204" s="756">
        <f>IF(OR($A204="F&amp;F",$A204="CE",J$7="No aplica"),0,'BOULEVARD 5'!M202-'BOULEVARD PPTO'!E197)</f>
        <v>0</v>
      </c>
      <c r="K204" s="756">
        <f>IF(OR($A204="F&amp;F",$A204="CE",K$7="No aplica"),0,'BOULEVARD 5'!N202-'BOULEVARD PPTO'!F197)</f>
        <v>0</v>
      </c>
      <c r="L204" s="756">
        <f>IF(OR($A204="F&amp;F",$A204="CE",L$7="No aplica"),0,'BOULEVARD 5'!O202-'BOULEVARD PPTO'!G197)</f>
        <v>0</v>
      </c>
      <c r="M204" s="756">
        <f>IF(OR($A204="F&amp;F",$A204="CE",M$7="No aplica"),0,'BOULEVARD 5'!P202-'BOULEVARD PPTO'!H197)</f>
        <v>0</v>
      </c>
      <c r="N204" s="756">
        <f>IF(OR($A204="F&amp;F",$A204="CE",N$7="No aplica"),0,'BOULEVARD 5'!Q202-'BOULEVARD PPTO'!I197)</f>
        <v>0</v>
      </c>
      <c r="O204" s="756">
        <f>IF(OR($A204="F&amp;F",$A204="CE",O$7="No aplica"),0,'BOULEVARD 5'!R202-'BOULEVARD PPTO'!J197)</f>
        <v>0</v>
      </c>
      <c r="P204" s="756">
        <f>IF(OR($A204="F&amp;F",$A204="CE",P$7="No aplica"),0,'BOULEVARD 5'!S202-'BOULEVARD PPTO'!K197)</f>
        <v>0</v>
      </c>
      <c r="Q204" s="760">
        <f>IF(OR($A204="F&amp;F",$A204="CE",Q$7="No aplica"),0,'BOULEVARD 5'!T202-'BOULEVARD PPTO'!L197)</f>
        <v>0</v>
      </c>
      <c r="R204" s="760">
        <f>IF(OR($A204="F&amp;F",$A204="CE",R$7="No aplica"),0,'BOULEVARD 5'!U202-'BOULEVARD PPTO'!M197)</f>
        <v>0</v>
      </c>
      <c r="S204" s="760">
        <f>IF(OR($A204="F&amp;F",$A204="CE",S$7="No aplica"),0,'BOULEVARD 5'!V202-'BOULEVARD PPTO'!N197)</f>
        <v>0</v>
      </c>
      <c r="T204" s="760">
        <f>IF(OR($A204="F&amp;F",$A204="CE",T$7="No aplica"),0,'BOULEVARD 5'!W202-'BOULEVARD PPTO'!O197)</f>
        <v>0</v>
      </c>
      <c r="U204" s="760">
        <f>IF(OR($A204="F&amp;F",$A204="CE",U$7="No aplica"),0,'BOULEVARD 5'!X202-'BOULEVARD PPTO'!P197)</f>
        <v>0</v>
      </c>
      <c r="V204" s="760">
        <f>IF(OR($A204="F&amp;F",$A204="CE",V$7="No aplica"),0,'BOULEVARD 5'!Y202-'BOULEVARD PPTO'!Q197)</f>
        <v>0</v>
      </c>
      <c r="W204" s="760">
        <f>IF(OR($A204="F&amp;F",$A204="CE",W$7="No aplica"),0,'BOULEVARD 5'!Z202-'BOULEVARD PPTO'!R197)</f>
        <v>0</v>
      </c>
      <c r="X204" s="760">
        <f>IF(OR($A204="F&amp;F",$A204="CE",X$7="No aplica"),0,'BOULEVARD 5'!AA202-'BOULEVARD PPTO'!S197)</f>
        <v>0</v>
      </c>
      <c r="Y204" s="760">
        <f>IF(OR($A204="F&amp;F",$A204="CE",Y$7="No aplica"),0,'BOULEVARD 5'!AB202-'BOULEVARD PPTO'!T197)</f>
        <v>0</v>
      </c>
      <c r="Z204" s="760">
        <f>IF(OR($A204="F&amp;F",$A204="CE",Z$7="No aplica"),0,'BOULEVARD 5'!AC202-'BOULEVARD PPTO'!U197)</f>
        <v>0</v>
      </c>
      <c r="AA204" s="760">
        <f>IF(OR($A204="F&amp;F",$A204="CE",AA$7="No aplica"),0,'BOULEVARD 5'!AD202-'BOULEVARD PPTO'!V197)</f>
        <v>0</v>
      </c>
      <c r="AB204" s="760">
        <f>IF(OR($A204="F&amp;F",$A204="CE",AB$7="No aplica"),0,'BOULEVARD 5'!AE202-'BOULEVARD PPTO'!W197)</f>
        <v>0</v>
      </c>
      <c r="AC204" s="760">
        <f>IF(OR($A204="F&amp;F",$A204="CE",AC$7="No aplica"),0,'BOULEVARD 5'!AF202-'BOULEVARD PPTO'!X197)</f>
        <v>0</v>
      </c>
      <c r="AD204" s="760">
        <f>IF(OR($A204="F&amp;F",$A204="CE",AD$7="No aplica"),0,'BOULEVARD 5'!AG202-'BOULEVARD PPTO'!Y197)</f>
        <v>0</v>
      </c>
      <c r="AE204" s="760">
        <f>IF(OR($A204="F&amp;F",$A204="CE",AE$7="No aplica"),0,'BOULEVARD 5'!AH202-'BOULEVARD PPTO'!Z197)</f>
        <v>0</v>
      </c>
      <c r="AF204" s="760">
        <f>IF(OR($A204="F&amp;F",$A204="CE",AF$7="No aplica"),0,'BOULEVARD 5'!AI202-'BOULEVARD PPTO'!AA197)</f>
        <v>0</v>
      </c>
      <c r="AG204" s="760">
        <f>IF(OR($A204="F&amp;F",$A204="CE",AG$7="No aplica"),0,'BOULEVARD 5'!AJ202-'BOULEVARD PPTO'!AB197)</f>
        <v>0</v>
      </c>
      <c r="AH204" s="760">
        <f>IF(OR($A204="F&amp;F",$A204="CE",AH$7="No aplica"),0,'BOULEVARD 5'!AK202-'BOULEVARD PPTO'!AC197)</f>
        <v>0</v>
      </c>
      <c r="AI204" s="760">
        <f>IF(OR($A204="F&amp;F",$A204="CE",AI$7="No aplica"),0,'BOULEVARD 5'!AL202-'BOULEVARD PPTO'!AD197)</f>
        <v>0</v>
      </c>
      <c r="AJ204" s="760">
        <f>IF(OR($A204="F&amp;F",$A204="CE",AJ$7="No aplica"),0,'BOULEVARD 5'!AM202-'BOULEVARD PPTO'!AE197)</f>
        <v>44629</v>
      </c>
      <c r="AK204" s="760">
        <f>IF(OR($A204="F&amp;F",$A204="CE",AK$7="No aplica"),0,'BOULEVARD 5'!AN202-'BOULEVARD PPTO'!AF197)</f>
        <v>-5371</v>
      </c>
      <c r="AL204" s="760">
        <f>IF(OR($A204="F&amp;F",$A204="CE",AL$7="No aplica"),0,'BOULEVARD 5'!AO202-'BOULEVARD PPTO'!AG197)</f>
        <v>-5365.73</v>
      </c>
      <c r="AM204" s="760">
        <f>IF(OR($A204="F&amp;F",$A204="CE",AM$7="No aplica"),0,'BOULEVARD 5'!AP202-'BOULEVARD PPTO'!AH197)</f>
        <v>0</v>
      </c>
      <c r="AN204" s="760">
        <f>IF(OR($A204="F&amp;F",$A204="CE",AN$7="No aplica"),0,'BOULEVARD 5'!AQ202-'BOULEVARD PPTO'!AI197)</f>
        <v>0</v>
      </c>
      <c r="AO204" s="760">
        <f>IF(OR($A204="F&amp;F",$A204="CE",AO$7="No aplica"),0,'BOULEVARD 5'!AS202-'BOULEVARD PPTO'!AJ197)</f>
        <v>0</v>
      </c>
      <c r="AP204" s="761">
        <f t="shared" si="23"/>
        <v>33892.270000000004</v>
      </c>
      <c r="AQ204" s="761">
        <f t="shared" si="24"/>
        <v>33892.270000000004</v>
      </c>
      <c r="AR204" s="674">
        <f>IF(A204=0,'BOULEVARD 5'!BF202,0)</f>
        <v>5500</v>
      </c>
      <c r="AS204" s="674">
        <f>IF(A204=0,'BOULEVARD 5'!BG202,0)</f>
        <v>5371</v>
      </c>
      <c r="AT204" s="675" t="str">
        <f t="shared" si="22"/>
        <v>Vendido</v>
      </c>
      <c r="AU204" s="581" t="str">
        <f t="shared" si="21"/>
        <v>A FAVOR DEL CLIENTE</v>
      </c>
      <c r="AV204" s="760">
        <f t="shared" si="25"/>
        <v>0</v>
      </c>
    </row>
    <row r="205" spans="1:48" s="581" customFormat="1" ht="12.4" customHeight="1" outlineLevel="1" x14ac:dyDescent="0.25">
      <c r="A205" s="703">
        <f>'BOULEVARD 5'!BQ203</f>
        <v>0</v>
      </c>
      <c r="B205" s="564">
        <v>1110</v>
      </c>
      <c r="C205" s="564" t="s">
        <v>467</v>
      </c>
      <c r="D205" s="564"/>
      <c r="E205" s="564" t="str">
        <f>IF('BOULEVARD 5'!E203&lt;&gt;0,'BOULEVARD 5'!E203,"")</f>
        <v>Antonio Rada</v>
      </c>
      <c r="F205" s="581" t="str">
        <f>IF('BOULEVARD 5'!F203&lt;&gt;0,'BOULEVARD 5'!F203,"")</f>
        <v>Juan Carlos Lantzendorffer Haas</v>
      </c>
      <c r="G205" s="566">
        <f>IF('BOULEVARD 5'!G203="","",'BOULEVARD 5'!G203)</f>
        <v>45143</v>
      </c>
      <c r="H205" s="756">
        <f>IF(OR($A205="F&amp;F",$A205="CE",H$7="No aplica"),0,'BOULEVARD 5'!K203-'BOULEVARD PPTO'!C198)</f>
        <v>0</v>
      </c>
      <c r="I205" s="756">
        <f>IF(OR($A205="F&amp;F",$A205="CE",I$7="No aplica"),0,'BOULEVARD 5'!L203-'BOULEVARD PPTO'!D198)</f>
        <v>0</v>
      </c>
      <c r="J205" s="756">
        <f>IF(OR($A205="F&amp;F",$A205="CE",J$7="No aplica"),0,'BOULEVARD 5'!M203-'BOULEVARD PPTO'!E198)</f>
        <v>0</v>
      </c>
      <c r="K205" s="756">
        <f>IF(OR($A205="F&amp;F",$A205="CE",K$7="No aplica"),0,'BOULEVARD 5'!N203-'BOULEVARD PPTO'!F198)</f>
        <v>6000</v>
      </c>
      <c r="L205" s="756">
        <f>IF(OR($A205="F&amp;F",$A205="CE",L$7="No aplica"),0,'BOULEVARD 5'!O203-'BOULEVARD PPTO'!G198)</f>
        <v>0</v>
      </c>
      <c r="M205" s="756">
        <f>IF(OR($A205="F&amp;F",$A205="CE",M$7="No aplica"),0,'BOULEVARD 5'!P203-'BOULEVARD PPTO'!H198)</f>
        <v>-6000</v>
      </c>
      <c r="N205" s="756">
        <f>IF(OR($A205="F&amp;F",$A205="CE",N$7="No aplica"),0,'BOULEVARD 5'!Q203-'BOULEVARD PPTO'!I198)</f>
        <v>0</v>
      </c>
      <c r="O205" s="756">
        <f>IF(OR($A205="F&amp;F",$A205="CE",O$7="No aplica"),0,'BOULEVARD 5'!R203-'BOULEVARD PPTO'!J198)</f>
        <v>0</v>
      </c>
      <c r="P205" s="756">
        <f>IF(OR($A205="F&amp;F",$A205="CE",P$7="No aplica"),0,'BOULEVARD 5'!S203-'BOULEVARD PPTO'!K198)</f>
        <v>0</v>
      </c>
      <c r="Q205" s="760">
        <f>IF(OR($A205="F&amp;F",$A205="CE",Q$7="No aplica"),0,'BOULEVARD 5'!T203-'BOULEVARD PPTO'!L198)</f>
        <v>0</v>
      </c>
      <c r="R205" s="760">
        <f>IF(OR($A205="F&amp;F",$A205="CE",R$7="No aplica"),0,'BOULEVARD 5'!U203-'BOULEVARD PPTO'!M198)</f>
        <v>0</v>
      </c>
      <c r="S205" s="760">
        <f>IF(OR($A205="F&amp;F",$A205="CE",S$7="No aplica"),0,'BOULEVARD 5'!V203-'BOULEVARD PPTO'!N198)</f>
        <v>0</v>
      </c>
      <c r="T205" s="760">
        <f>IF(OR($A205="F&amp;F",$A205="CE",T$7="No aplica"),0,'BOULEVARD 5'!W203-'BOULEVARD PPTO'!O198)</f>
        <v>0</v>
      </c>
      <c r="U205" s="760">
        <f>IF(OR($A205="F&amp;F",$A205="CE",U$7="No aplica"),0,'BOULEVARD 5'!X203-'BOULEVARD PPTO'!P198)</f>
        <v>-3954</v>
      </c>
      <c r="V205" s="760">
        <f>IF(OR($A205="F&amp;F",$A205="CE",V$7="No aplica"),0,'BOULEVARD 5'!Y203-'BOULEVARD PPTO'!Q198)</f>
        <v>0</v>
      </c>
      <c r="W205" s="760">
        <f>IF(OR($A205="F&amp;F",$A205="CE",W$7="No aplica"),0,'BOULEVARD 5'!Z203-'BOULEVARD PPTO'!R198)</f>
        <v>0</v>
      </c>
      <c r="X205" s="760">
        <f>IF(OR($A205="F&amp;F",$A205="CE",X$7="No aplica"),0,'BOULEVARD 5'!AA203-'BOULEVARD PPTO'!S198)</f>
        <v>0</v>
      </c>
      <c r="Y205" s="760">
        <f>IF(OR($A205="F&amp;F",$A205="CE",Y$7="No aplica"),0,'BOULEVARD 5'!AB203-'BOULEVARD PPTO'!T198)</f>
        <v>3954</v>
      </c>
      <c r="Z205" s="760">
        <f>IF(OR($A205="F&amp;F",$A205="CE",Z$7="No aplica"),0,'BOULEVARD 5'!AC203-'BOULEVARD PPTO'!U198)</f>
        <v>-3954</v>
      </c>
      <c r="AA205" s="760">
        <f>IF(OR($A205="F&amp;F",$A205="CE",AA$7="No aplica"),0,'BOULEVARD 5'!AD203-'BOULEVARD PPTO'!V198)</f>
        <v>0</v>
      </c>
      <c r="AB205" s="760">
        <f>IF(OR($A205="F&amp;F",$A205="CE",AB$7="No aplica"),0,'BOULEVARD 5'!AE203-'BOULEVARD PPTO'!W198)</f>
        <v>-3954</v>
      </c>
      <c r="AC205" s="760">
        <f>IF(OR($A205="F&amp;F",$A205="CE",AC$7="No aplica"),0,'BOULEVARD 5'!AF203-'BOULEVARD PPTO'!X198)</f>
        <v>0</v>
      </c>
      <c r="AD205" s="760">
        <f>IF(OR($A205="F&amp;F",$A205="CE",AD$7="No aplica"),0,'BOULEVARD 5'!AG203-'BOULEVARD PPTO'!Y198)</f>
        <v>-3954</v>
      </c>
      <c r="AE205" s="760">
        <f>IF(OR($A205="F&amp;F",$A205="CE",AE$7="No aplica"),0,'BOULEVARD 5'!AH203-'BOULEVARD PPTO'!Z198)</f>
        <v>11862</v>
      </c>
      <c r="AF205" s="760">
        <f>IF(OR($A205="F&amp;F",$A205="CE",AF$7="No aplica"),0,'BOULEVARD 5'!AI203-'BOULEVARD PPTO'!AA198)</f>
        <v>-3954</v>
      </c>
      <c r="AG205" s="760">
        <f>IF(OR($A205="F&amp;F",$A205="CE",AG$7="No aplica"),0,'BOULEVARD 5'!AJ203-'BOULEVARD PPTO'!AB198)</f>
        <v>3954</v>
      </c>
      <c r="AH205" s="760">
        <f>IF(OR($A205="F&amp;F",$A205="CE",AH$7="No aplica"),0,'BOULEVARD 5'!AK203-'BOULEVARD PPTO'!AC198)</f>
        <v>-3954</v>
      </c>
      <c r="AI205" s="760">
        <f>IF(OR($A205="F&amp;F",$A205="CE",AI$7="No aplica"),0,'BOULEVARD 5'!AL203-'BOULEVARD PPTO'!AD198)</f>
        <v>3954</v>
      </c>
      <c r="AJ205" s="760">
        <f>IF(OR($A205="F&amp;F",$A205="CE",AJ$7="No aplica"),0,'BOULEVARD 5'!AM203-'BOULEVARD PPTO'!AE198)</f>
        <v>0</v>
      </c>
      <c r="AK205" s="760">
        <f>IF(OR($A205="F&amp;F",$A205="CE",AK$7="No aplica"),0,'BOULEVARD 5'!AN203-'BOULEVARD PPTO'!AF198)</f>
        <v>-3954</v>
      </c>
      <c r="AL205" s="760">
        <f>IF(OR($A205="F&amp;F",$A205="CE",AL$7="No aplica"),0,'BOULEVARD 5'!AO203-'BOULEVARD PPTO'!AG198)</f>
        <v>3954</v>
      </c>
      <c r="AM205" s="760">
        <f>IF(OR($A205="F&amp;F",$A205="CE",AM$7="No aplica"),0,'BOULEVARD 5'!AP203-'BOULEVARD PPTO'!AH198)</f>
        <v>0</v>
      </c>
      <c r="AN205" s="760">
        <f>IF(OR($A205="F&amp;F",$A205="CE",AN$7="No aplica"),0,'BOULEVARD 5'!AQ203-'BOULEVARD PPTO'!AI198)</f>
        <v>0</v>
      </c>
      <c r="AO205" s="760">
        <f>IF(OR($A205="F&amp;F",$A205="CE",AO$7="No aplica"),0,'BOULEVARD 5'!AS203-'BOULEVARD PPTO'!AJ198)</f>
        <v>0</v>
      </c>
      <c r="AP205" s="761">
        <f t="shared" si="23"/>
        <v>0</v>
      </c>
      <c r="AQ205" s="761">
        <f t="shared" si="24"/>
        <v>0</v>
      </c>
      <c r="AR205" s="674">
        <f>IF(A205=0,'BOULEVARD 5'!BF203,0)</f>
        <v>6000</v>
      </c>
      <c r="AS205" s="674">
        <f>IF(A205=0,'BOULEVARD 5'!BG203,0)</f>
        <v>3954</v>
      </c>
      <c r="AT205" s="675" t="str">
        <f t="shared" si="22"/>
        <v>Vendido</v>
      </c>
      <c r="AU205" s="581" t="str">
        <f t="shared" si="21"/>
        <v/>
      </c>
      <c r="AV205" s="760">
        <f t="shared" si="25"/>
        <v>0</v>
      </c>
    </row>
    <row r="206" spans="1:48" s="581" customFormat="1" ht="12.4" customHeight="1" outlineLevel="1" x14ac:dyDescent="0.25">
      <c r="A206" s="703">
        <f>'BOULEVARD 5'!BQ204</f>
        <v>0</v>
      </c>
      <c r="B206" s="564">
        <v>1111</v>
      </c>
      <c r="C206" s="564" t="s">
        <v>469</v>
      </c>
      <c r="D206" s="564"/>
      <c r="E206" s="564" t="str">
        <f>IF('BOULEVARD 5'!E204&lt;&gt;0,'BOULEVARD 5'!E204,"")</f>
        <v>Antonio Rada</v>
      </c>
      <c r="F206" s="581" t="str">
        <f>IF('BOULEVARD 5'!F204&lt;&gt;0,'BOULEVARD 5'!F204,"")</f>
        <v>Erika Ruth Castro Juarez</v>
      </c>
      <c r="G206" s="566">
        <f>IF('BOULEVARD 5'!G204="","",'BOULEVARD 5'!G204)</f>
        <v>45329</v>
      </c>
      <c r="H206" s="756">
        <f>IF(OR($A206="F&amp;F",$A206="CE",H$7="No aplica"),0,'BOULEVARD 5'!K204-'BOULEVARD PPTO'!C199)</f>
        <v>0</v>
      </c>
      <c r="I206" s="756">
        <f>IF(OR($A206="F&amp;F",$A206="CE",I$7="No aplica"),0,'BOULEVARD 5'!L204-'BOULEVARD PPTO'!D199)</f>
        <v>0</v>
      </c>
      <c r="J206" s="756">
        <f>IF(OR($A206="F&amp;F",$A206="CE",J$7="No aplica"),0,'BOULEVARD 5'!M204-'BOULEVARD PPTO'!E199)</f>
        <v>0</v>
      </c>
      <c r="K206" s="756">
        <f>IF(OR($A206="F&amp;F",$A206="CE",K$7="No aplica"),0,'BOULEVARD 5'!N204-'BOULEVARD PPTO'!F199)</f>
        <v>0</v>
      </c>
      <c r="L206" s="756">
        <f>IF(OR($A206="F&amp;F",$A206="CE",L$7="No aplica"),0,'BOULEVARD 5'!O204-'BOULEVARD PPTO'!G199)</f>
        <v>0</v>
      </c>
      <c r="M206" s="756">
        <f>IF(OR($A206="F&amp;F",$A206="CE",M$7="No aplica"),0,'BOULEVARD 5'!P204-'BOULEVARD PPTO'!H199)</f>
        <v>0</v>
      </c>
      <c r="N206" s="756">
        <f>IF(OR($A206="F&amp;F",$A206="CE",N$7="No aplica"),0,'BOULEVARD 5'!Q204-'BOULEVARD PPTO'!I199)</f>
        <v>0</v>
      </c>
      <c r="O206" s="756">
        <f>IF(OR($A206="F&amp;F",$A206="CE",O$7="No aplica"),0,'BOULEVARD 5'!R204-'BOULEVARD PPTO'!J199)</f>
        <v>0</v>
      </c>
      <c r="P206" s="756">
        <f>IF(OR($A206="F&amp;F",$A206="CE",P$7="No aplica"),0,'BOULEVARD 5'!S204-'BOULEVARD PPTO'!K199)</f>
        <v>0</v>
      </c>
      <c r="Q206" s="760">
        <f>IF(OR($A206="F&amp;F",$A206="CE",Q$7="No aplica"),0,'BOULEVARD 5'!T204-'BOULEVARD PPTO'!L199)</f>
        <v>0</v>
      </c>
      <c r="R206" s="760">
        <f>IF(OR($A206="F&amp;F",$A206="CE",R$7="No aplica"),0,'BOULEVARD 5'!U204-'BOULEVARD PPTO'!M199)</f>
        <v>0</v>
      </c>
      <c r="S206" s="760">
        <f>IF(OR($A206="F&amp;F",$A206="CE",S$7="No aplica"),0,'BOULEVARD 5'!V204-'BOULEVARD PPTO'!N199)</f>
        <v>0</v>
      </c>
      <c r="T206" s="760">
        <f>IF(OR($A206="F&amp;F",$A206="CE",T$7="No aplica"),0,'BOULEVARD 5'!W204-'BOULEVARD PPTO'!O199)</f>
        <v>-4</v>
      </c>
      <c r="U206" s="760">
        <f>IF(OR($A206="F&amp;F",$A206="CE",U$7="No aplica"),0,'BOULEVARD 5'!X204-'BOULEVARD PPTO'!P199)</f>
        <v>-4</v>
      </c>
      <c r="V206" s="760">
        <f>IF(OR($A206="F&amp;F",$A206="CE",V$7="No aplica"),0,'BOULEVARD 5'!Y204-'BOULEVARD PPTO'!Q199)</f>
        <v>-4</v>
      </c>
      <c r="W206" s="760">
        <f>IF(OR($A206="F&amp;F",$A206="CE",W$7="No aplica"),0,'BOULEVARD 5'!Z204-'BOULEVARD PPTO'!R199)</f>
        <v>-4</v>
      </c>
      <c r="X206" s="760">
        <f>IF(OR($A206="F&amp;F",$A206="CE",X$7="No aplica"),0,'BOULEVARD 5'!AA204-'BOULEVARD PPTO'!S199)</f>
        <v>-4</v>
      </c>
      <c r="Y206" s="760">
        <f>IF(OR($A206="F&amp;F",$A206="CE",Y$7="No aplica"),0,'BOULEVARD 5'!AB204-'BOULEVARD PPTO'!T199)</f>
        <v>-4</v>
      </c>
      <c r="Z206" s="760">
        <f>IF(OR($A206="F&amp;F",$A206="CE",Z$7="No aplica"),0,'BOULEVARD 5'!AC204-'BOULEVARD PPTO'!U199)</f>
        <v>-4</v>
      </c>
      <c r="AA206" s="760">
        <f>IF(OR($A206="F&amp;F",$A206="CE",AA$7="No aplica"),0,'BOULEVARD 5'!AD204-'BOULEVARD PPTO'!V199)</f>
        <v>-4</v>
      </c>
      <c r="AB206" s="760">
        <f>IF(OR($A206="F&amp;F",$A206="CE",AB$7="No aplica"),0,'BOULEVARD 5'!AE204-'BOULEVARD PPTO'!W199)</f>
        <v>-4</v>
      </c>
      <c r="AC206" s="760">
        <f>IF(OR($A206="F&amp;F",$A206="CE",AC$7="No aplica"),0,'BOULEVARD 5'!AF204-'BOULEVARD PPTO'!X199)</f>
        <v>-4</v>
      </c>
      <c r="AD206" s="760">
        <f>IF(OR($A206="F&amp;F",$A206="CE",AD$7="No aplica"),0,'BOULEVARD 5'!AG204-'BOULEVARD PPTO'!Y199)</f>
        <v>-4</v>
      </c>
      <c r="AE206" s="760">
        <f>IF(OR($A206="F&amp;F",$A206="CE",AE$7="No aplica"),0,'BOULEVARD 5'!AH204-'BOULEVARD PPTO'!Z199)</f>
        <v>-4</v>
      </c>
      <c r="AF206" s="760">
        <f>IF(OR($A206="F&amp;F",$A206="CE",AF$7="No aplica"),0,'BOULEVARD 5'!AI204-'BOULEVARD PPTO'!AA199)</f>
        <v>-4</v>
      </c>
      <c r="AG206" s="760">
        <f>IF(OR($A206="F&amp;F",$A206="CE",AG$7="No aplica"),0,'BOULEVARD 5'!AJ204-'BOULEVARD PPTO'!AB199)</f>
        <v>-4</v>
      </c>
      <c r="AH206" s="760">
        <f>IF(OR($A206="F&amp;F",$A206="CE",AH$7="No aplica"),0,'BOULEVARD 5'!AK204-'BOULEVARD PPTO'!AC199)</f>
        <v>-4</v>
      </c>
      <c r="AI206" s="760">
        <f>IF(OR($A206="F&amp;F",$A206="CE",AI$7="No aplica"),0,'BOULEVARD 5'!AL204-'BOULEVARD PPTO'!AD199)</f>
        <v>-4</v>
      </c>
      <c r="AJ206" s="760">
        <f>IF(OR($A206="F&amp;F",$A206="CE",AJ$7="No aplica"),0,'BOULEVARD 5'!AM204-'BOULEVARD PPTO'!AE199)</f>
        <v>-4</v>
      </c>
      <c r="AK206" s="760">
        <f>IF(OR($A206="F&amp;F",$A206="CE",AK$7="No aplica"),0,'BOULEVARD 5'!AN204-'BOULEVARD PPTO'!AF199)</f>
        <v>-4</v>
      </c>
      <c r="AL206" s="760">
        <f>IF(OR($A206="F&amp;F",$A206="CE",AL$7="No aplica"),0,'BOULEVARD 5'!AO204-'BOULEVARD PPTO'!AG199)</f>
        <v>-9.5</v>
      </c>
      <c r="AM206" s="760">
        <f>IF(OR($A206="F&amp;F",$A206="CE",AM$7="No aplica"),0,'BOULEVARD 5'!AP204-'BOULEVARD PPTO'!AH199)</f>
        <v>0</v>
      </c>
      <c r="AN206" s="760">
        <f>IF(OR($A206="F&amp;F",$A206="CE",AN$7="No aplica"),0,'BOULEVARD 5'!AQ204-'BOULEVARD PPTO'!AI199)</f>
        <v>0</v>
      </c>
      <c r="AO206" s="760">
        <f>IF(OR($A206="F&amp;F",$A206="CE",AO$7="No aplica"),0,'BOULEVARD 5'!AS204-'BOULEVARD PPTO'!AJ199)</f>
        <v>0</v>
      </c>
      <c r="AP206" s="761">
        <f t="shared" si="23"/>
        <v>-81.5</v>
      </c>
      <c r="AQ206" s="761">
        <f t="shared" si="24"/>
        <v>-81.5</v>
      </c>
      <c r="AR206" s="674">
        <f>IF(A206=0,'BOULEVARD 5'!BF204,0)</f>
        <v>8000</v>
      </c>
      <c r="AS206" s="674">
        <f>IF(A206=0,'BOULEVARD 5'!BG204,0)</f>
        <v>5863</v>
      </c>
      <c r="AT206" s="675" t="str">
        <f t="shared" si="22"/>
        <v>Vendido</v>
      </c>
      <c r="AU206" s="581" t="str">
        <f t="shared" si="21"/>
        <v>POR COBRAR</v>
      </c>
      <c r="AV206" s="760">
        <f t="shared" si="25"/>
        <v>0</v>
      </c>
    </row>
    <row r="207" spans="1:48" s="581" customFormat="1" ht="12.4" customHeight="1" outlineLevel="1" x14ac:dyDescent="0.25">
      <c r="A207" s="703">
        <f>'BOULEVARD 5'!BQ205</f>
        <v>0</v>
      </c>
      <c r="B207" s="564">
        <v>1112</v>
      </c>
      <c r="C207" s="564" t="s">
        <v>406</v>
      </c>
      <c r="D207" s="564"/>
      <c r="E207" s="564" t="str">
        <f>IF('BOULEVARD 5'!E205&lt;&gt;0,'BOULEVARD 5'!E205,"")</f>
        <v>Antonio Rada</v>
      </c>
      <c r="F207" s="581" t="str">
        <f>IF('BOULEVARD 5'!F205&lt;&gt;0,'BOULEVARD 5'!F205,"")</f>
        <v>Grupo Sak Y Sak, S.A.</v>
      </c>
      <c r="G207" s="566">
        <f>IF('BOULEVARD 5'!G205="","",'BOULEVARD 5'!G205)</f>
        <v>45083</v>
      </c>
      <c r="H207" s="756">
        <f>IF(OR($A207="F&amp;F",$A207="CE",H$7="No aplica"),0,'BOULEVARD 5'!K205-'BOULEVARD PPTO'!C200)</f>
        <v>0</v>
      </c>
      <c r="I207" s="756">
        <f>IF(OR($A207="F&amp;F",$A207="CE",I$7="No aplica"),0,'BOULEVARD 5'!L205-'BOULEVARD PPTO'!D200)</f>
        <v>0</v>
      </c>
      <c r="J207" s="756">
        <f>IF(OR($A207="F&amp;F",$A207="CE",J$7="No aplica"),0,'BOULEVARD 5'!M205-'BOULEVARD PPTO'!E200)</f>
        <v>0</v>
      </c>
      <c r="K207" s="756">
        <f>IF(OR($A207="F&amp;F",$A207="CE",K$7="No aplica"),0,'BOULEVARD 5'!N205-'BOULEVARD PPTO'!F200)</f>
        <v>0</v>
      </c>
      <c r="L207" s="756">
        <f>IF(OR($A207="F&amp;F",$A207="CE",L$7="No aplica"),0,'BOULEVARD 5'!O205-'BOULEVARD PPTO'!G200)</f>
        <v>0</v>
      </c>
      <c r="M207" s="756">
        <f>IF(OR($A207="F&amp;F",$A207="CE",M$7="No aplica"),0,'BOULEVARD 5'!P205-'BOULEVARD PPTO'!H200)</f>
        <v>0</v>
      </c>
      <c r="N207" s="756">
        <f>IF(OR($A207="F&amp;F",$A207="CE",N$7="No aplica"),0,'BOULEVARD 5'!Q205-'BOULEVARD PPTO'!I200)</f>
        <v>0</v>
      </c>
      <c r="O207" s="756">
        <f>IF(OR($A207="F&amp;F",$A207="CE",O$7="No aplica"),0,'BOULEVARD 5'!R205-'BOULEVARD PPTO'!J200)</f>
        <v>0</v>
      </c>
      <c r="P207" s="756">
        <f>IF(OR($A207="F&amp;F",$A207="CE",P$7="No aplica"),0,'BOULEVARD 5'!S205-'BOULEVARD PPTO'!K200)</f>
        <v>0</v>
      </c>
      <c r="Q207" s="760">
        <f>IF(OR($A207="F&amp;F",$A207="CE",Q$7="No aplica"),0,'BOULEVARD 5'!T205-'BOULEVARD PPTO'!L200)</f>
        <v>0</v>
      </c>
      <c r="R207" s="760">
        <f>IF(OR($A207="F&amp;F",$A207="CE",R$7="No aplica"),0,'BOULEVARD 5'!U205-'BOULEVARD PPTO'!M200)</f>
        <v>0</v>
      </c>
      <c r="S207" s="760">
        <f>IF(OR($A207="F&amp;F",$A207="CE",S$7="No aplica"),0,'BOULEVARD 5'!V205-'BOULEVARD PPTO'!N200)</f>
        <v>0</v>
      </c>
      <c r="T207" s="760">
        <f>IF(OR($A207="F&amp;F",$A207="CE",T$7="No aplica"),0,'BOULEVARD 5'!W205-'BOULEVARD PPTO'!O200)</f>
        <v>0</v>
      </c>
      <c r="U207" s="760">
        <f>IF(OR($A207="F&amp;F",$A207="CE",U$7="No aplica"),0,'BOULEVARD 5'!X205-'BOULEVARD PPTO'!P200)</f>
        <v>-22799</v>
      </c>
      <c r="V207" s="760">
        <f>IF(OR($A207="F&amp;F",$A207="CE",V$7="No aplica"),0,'BOULEVARD 5'!Y205-'BOULEVARD PPTO'!Q200)</f>
        <v>-22799</v>
      </c>
      <c r="W207" s="760">
        <f>IF(OR($A207="F&amp;F",$A207="CE",W$7="No aplica"),0,'BOULEVARD 5'!Z205-'BOULEVARD PPTO'!R200)</f>
        <v>22799</v>
      </c>
      <c r="X207" s="760">
        <f>IF(OR($A207="F&amp;F",$A207="CE",X$7="No aplica"),0,'BOULEVARD 5'!AA205-'BOULEVARD PPTO'!S200)</f>
        <v>0</v>
      </c>
      <c r="Y207" s="760">
        <f>IF(OR($A207="F&amp;F",$A207="CE",Y$7="No aplica"),0,'BOULEVARD 5'!AB205-'BOULEVARD PPTO'!T200)</f>
        <v>0</v>
      </c>
      <c r="Z207" s="760">
        <f>IF(OR($A207="F&amp;F",$A207="CE",Z$7="No aplica"),0,'BOULEVARD 5'!AC205-'BOULEVARD PPTO'!U200)</f>
        <v>0</v>
      </c>
      <c r="AA207" s="760">
        <f>IF(OR($A207="F&amp;F",$A207="CE",AA$7="No aplica"),0,'BOULEVARD 5'!AD205-'BOULEVARD PPTO'!V200)</f>
        <v>0</v>
      </c>
      <c r="AB207" s="760">
        <f>IF(OR($A207="F&amp;F",$A207="CE",AB$7="No aplica"),0,'BOULEVARD 5'!AE205-'BOULEVARD PPTO'!W200)</f>
        <v>0</v>
      </c>
      <c r="AC207" s="760">
        <f>IF(OR($A207="F&amp;F",$A207="CE",AC$7="No aplica"),0,'BOULEVARD 5'!AF205-'BOULEVARD PPTO'!X200)</f>
        <v>0</v>
      </c>
      <c r="AD207" s="760">
        <f>IF(OR($A207="F&amp;F",$A207="CE",AD$7="No aplica"),0,'BOULEVARD 5'!AG205-'BOULEVARD PPTO'!Y200)</f>
        <v>0</v>
      </c>
      <c r="AE207" s="760">
        <f>IF(OR($A207="F&amp;F",$A207="CE",AE$7="No aplica"),0,'BOULEVARD 5'!AH205-'BOULEVARD PPTO'!Z200)</f>
        <v>0</v>
      </c>
      <c r="AF207" s="760">
        <f>IF(OR($A207="F&amp;F",$A207="CE",AF$7="No aplica"),0,'BOULEVARD 5'!AI205-'BOULEVARD PPTO'!AA200)</f>
        <v>-22799</v>
      </c>
      <c r="AG207" s="760">
        <f>IF(OR($A207="F&amp;F",$A207="CE",AG$7="No aplica"),0,'BOULEVARD 5'!AJ205-'BOULEVARD PPTO'!AB200)</f>
        <v>0</v>
      </c>
      <c r="AH207" s="760">
        <f>IF(OR($A207="F&amp;F",$A207="CE",AH$7="No aplica"),0,'BOULEVARD 5'!AK205-'BOULEVARD PPTO'!AC200)</f>
        <v>22799</v>
      </c>
      <c r="AI207" s="760">
        <f>IF(OR($A207="F&amp;F",$A207="CE",AI$7="No aplica"),0,'BOULEVARD 5'!AL205-'BOULEVARD PPTO'!AD200)</f>
        <v>0</v>
      </c>
      <c r="AJ207" s="760">
        <f>IF(OR($A207="F&amp;F",$A207="CE",AJ$7="No aplica"),0,'BOULEVARD 5'!AM205-'BOULEVARD PPTO'!AE200)</f>
        <v>0</v>
      </c>
      <c r="AK207" s="760">
        <f>IF(OR($A207="F&amp;F",$A207="CE",AK$7="No aplica"),0,'BOULEVARD 5'!AN205-'BOULEVARD PPTO'!AF200)</f>
        <v>0</v>
      </c>
      <c r="AL207" s="760">
        <f>IF(OR($A207="F&amp;F",$A207="CE",AL$7="No aplica"),0,'BOULEVARD 5'!AO205-'BOULEVARD PPTO'!AG200)</f>
        <v>8.5499999999992724</v>
      </c>
      <c r="AM207" s="760">
        <f>IF(OR($A207="F&amp;F",$A207="CE",AM$7="No aplica"),0,'BOULEVARD 5'!AP205-'BOULEVARD PPTO'!AH200)</f>
        <v>0</v>
      </c>
      <c r="AN207" s="760">
        <f>IF(OR($A207="F&amp;F",$A207="CE",AN$7="No aplica"),0,'BOULEVARD 5'!AQ205-'BOULEVARD PPTO'!AI200)</f>
        <v>0</v>
      </c>
      <c r="AO207" s="760">
        <f>IF(OR($A207="F&amp;F",$A207="CE",AO$7="No aplica"),0,'BOULEVARD 5'!AS205-'BOULEVARD PPTO'!AJ200)</f>
        <v>0</v>
      </c>
      <c r="AP207" s="761">
        <f t="shared" si="23"/>
        <v>-22790.45</v>
      </c>
      <c r="AQ207" s="761">
        <f t="shared" si="24"/>
        <v>-22790.449999999953</v>
      </c>
      <c r="AR207" s="674">
        <f>IF(A207=0,'BOULEVARD 5'!BF205,0)</f>
        <v>75062.720000000001</v>
      </c>
      <c r="AS207" s="674">
        <f>IF(A207=0,'BOULEVARD 5'!BG205,0)</f>
        <v>22799</v>
      </c>
      <c r="AT207" s="675" t="str">
        <f t="shared" si="22"/>
        <v>Vendido</v>
      </c>
      <c r="AU207" s="581" t="str">
        <f t="shared" si="21"/>
        <v>POR COBRAR</v>
      </c>
      <c r="AV207" s="760">
        <f t="shared" si="25"/>
        <v>0</v>
      </c>
    </row>
    <row r="208" spans="1:48" s="581" customFormat="1" ht="12.4" customHeight="1" outlineLevel="1" x14ac:dyDescent="0.25">
      <c r="A208" s="703">
        <f>'BOULEVARD 5'!BQ206</f>
        <v>0</v>
      </c>
      <c r="B208" s="564">
        <v>1113</v>
      </c>
      <c r="C208" s="564" t="s">
        <v>181</v>
      </c>
      <c r="D208" s="564"/>
      <c r="E208" s="564" t="str">
        <f>IF('BOULEVARD 5'!E206&lt;&gt;0,'BOULEVARD 5'!E206,"")</f>
        <v>Jose Franco</v>
      </c>
      <c r="F208" s="581" t="str">
        <f>IF('BOULEVARD 5'!F206&lt;&gt;0,'BOULEVARD 5'!F206,"")</f>
        <v>Marcas &amp; Secretos, S.A.</v>
      </c>
      <c r="G208" s="566">
        <f>IF('BOULEVARD 5'!G206="","",'BOULEVARD 5'!G206)</f>
        <v>45021</v>
      </c>
      <c r="H208" s="756">
        <f>IF(OR($A208="F&amp;F",$A208="CE",H$7="No aplica"),0,'BOULEVARD 5'!K206-'BOULEVARD PPTO'!C201)</f>
        <v>0</v>
      </c>
      <c r="I208" s="756">
        <f>IF(OR($A208="F&amp;F",$A208="CE",I$7="No aplica"),0,'BOULEVARD 5'!L206-'BOULEVARD PPTO'!D201)</f>
        <v>0</v>
      </c>
      <c r="J208" s="756">
        <f>IF(OR($A208="F&amp;F",$A208="CE",J$7="No aplica"),0,'BOULEVARD 5'!M206-'BOULEVARD PPTO'!E201)</f>
        <v>0</v>
      </c>
      <c r="K208" s="756">
        <f>IF(OR($A208="F&amp;F",$A208="CE",K$7="No aplica"),0,'BOULEVARD 5'!N206-'BOULEVARD PPTO'!F201)</f>
        <v>0</v>
      </c>
      <c r="L208" s="756">
        <f>IF(OR($A208="F&amp;F",$A208="CE",L$7="No aplica"),0,'BOULEVARD 5'!O206-'BOULEVARD PPTO'!G201)</f>
        <v>0</v>
      </c>
      <c r="M208" s="756">
        <f>IF(OR($A208="F&amp;F",$A208="CE",M$7="No aplica"),0,'BOULEVARD 5'!P206-'BOULEVARD PPTO'!H201)</f>
        <v>0</v>
      </c>
      <c r="N208" s="756">
        <f>IF(OR($A208="F&amp;F",$A208="CE",N$7="No aplica"),0,'BOULEVARD 5'!Q206-'BOULEVARD PPTO'!I201)</f>
        <v>0</v>
      </c>
      <c r="O208" s="756">
        <f>IF(OR($A208="F&amp;F",$A208="CE",O$7="No aplica"),0,'BOULEVARD 5'!R206-'BOULEVARD PPTO'!J201)</f>
        <v>0</v>
      </c>
      <c r="P208" s="756">
        <f>IF(OR($A208="F&amp;F",$A208="CE",P$7="No aplica"),0,'BOULEVARD 5'!S206-'BOULEVARD PPTO'!K201)</f>
        <v>0</v>
      </c>
      <c r="Q208" s="760">
        <f>IF(OR($A208="F&amp;F",$A208="CE",Q$7="No aplica"),0,'BOULEVARD 5'!T206-'BOULEVARD PPTO'!L201)</f>
        <v>0</v>
      </c>
      <c r="R208" s="760">
        <f>IF(OR($A208="F&amp;F",$A208="CE",R$7="No aplica"),0,'BOULEVARD 5'!U206-'BOULEVARD PPTO'!M201)</f>
        <v>0</v>
      </c>
      <c r="S208" s="760">
        <f>IF(OR($A208="F&amp;F",$A208="CE",S$7="No aplica"),0,'BOULEVARD 5'!V206-'BOULEVARD PPTO'!N201)</f>
        <v>0</v>
      </c>
      <c r="T208" s="760">
        <f>IF(OR($A208="F&amp;F",$A208="CE",T$7="No aplica"),0,'BOULEVARD 5'!W206-'BOULEVARD PPTO'!O201)</f>
        <v>0</v>
      </c>
      <c r="U208" s="760">
        <f>IF(OR($A208="F&amp;F",$A208="CE",U$7="No aplica"),0,'BOULEVARD 5'!X206-'BOULEVARD PPTO'!P201)</f>
        <v>0</v>
      </c>
      <c r="V208" s="760">
        <f>IF(OR($A208="F&amp;F",$A208="CE",V$7="No aplica"),0,'BOULEVARD 5'!Y206-'BOULEVARD PPTO'!Q201)</f>
        <v>0</v>
      </c>
      <c r="W208" s="760">
        <f>IF(OR($A208="F&amp;F",$A208="CE",W$7="No aplica"),0,'BOULEVARD 5'!Z206-'BOULEVARD PPTO'!R201)</f>
        <v>0</v>
      </c>
      <c r="X208" s="760">
        <f>IF(OR($A208="F&amp;F",$A208="CE",X$7="No aplica"),0,'BOULEVARD 5'!AA206-'BOULEVARD PPTO'!S201)</f>
        <v>0</v>
      </c>
      <c r="Y208" s="760">
        <f>IF(OR($A208="F&amp;F",$A208="CE",Y$7="No aplica"),0,'BOULEVARD 5'!AB206-'BOULEVARD PPTO'!T201)</f>
        <v>-2000</v>
      </c>
      <c r="Z208" s="760">
        <f>IF(OR($A208="F&amp;F",$A208="CE",Z$7="No aplica"),0,'BOULEVARD 5'!AC206-'BOULEVARD PPTO'!U201)</f>
        <v>2000</v>
      </c>
      <c r="AA208" s="760">
        <f>IF(OR($A208="F&amp;F",$A208="CE",AA$7="No aplica"),0,'BOULEVARD 5'!AD206-'BOULEVARD PPTO'!V201)</f>
        <v>0</v>
      </c>
      <c r="AB208" s="760">
        <f>IF(OR($A208="F&amp;F",$A208="CE",AB$7="No aplica"),0,'BOULEVARD 5'!AE206-'BOULEVARD PPTO'!W201)</f>
        <v>0</v>
      </c>
      <c r="AC208" s="760">
        <f>IF(OR($A208="F&amp;F",$A208="CE",AC$7="No aplica"),0,'BOULEVARD 5'!AF206-'BOULEVARD PPTO'!X201)</f>
        <v>0</v>
      </c>
      <c r="AD208" s="760">
        <f>IF(OR($A208="F&amp;F",$A208="CE",AD$7="No aplica"),0,'BOULEVARD 5'!AG206-'BOULEVARD PPTO'!Y201)</f>
        <v>-2000</v>
      </c>
      <c r="AE208" s="760">
        <f>IF(OR($A208="F&amp;F",$A208="CE",AE$7="No aplica"),0,'BOULEVARD 5'!AH206-'BOULEVARD PPTO'!Z201)</f>
        <v>2000</v>
      </c>
      <c r="AF208" s="760">
        <f>IF(OR($A208="F&amp;F",$A208="CE",AF$7="No aplica"),0,'BOULEVARD 5'!AI206-'BOULEVARD PPTO'!AA201)</f>
        <v>0</v>
      </c>
      <c r="AG208" s="760">
        <f>IF(OR($A208="F&amp;F",$A208="CE",AG$7="No aplica"),0,'BOULEVARD 5'!AJ206-'BOULEVARD PPTO'!AB201)</f>
        <v>0</v>
      </c>
      <c r="AH208" s="760">
        <f>IF(OR($A208="F&amp;F",$A208="CE",AH$7="No aplica"),0,'BOULEVARD 5'!AK206-'BOULEVARD PPTO'!AC201)</f>
        <v>0</v>
      </c>
      <c r="AI208" s="760">
        <f>IF(OR($A208="F&amp;F",$A208="CE",AI$7="No aplica"),0,'BOULEVARD 5'!AL206-'BOULEVARD PPTO'!AD201)</f>
        <v>0</v>
      </c>
      <c r="AJ208" s="760">
        <f>IF(OR($A208="F&amp;F",$A208="CE",AJ$7="No aplica"),0,'BOULEVARD 5'!AM206-'BOULEVARD PPTO'!AE201)</f>
        <v>0</v>
      </c>
      <c r="AK208" s="760">
        <f>IF(OR($A208="F&amp;F",$A208="CE",AK$7="No aplica"),0,'BOULEVARD 5'!AN206-'BOULEVARD PPTO'!AF201)</f>
        <v>0</v>
      </c>
      <c r="AL208" s="760">
        <f>IF(OR($A208="F&amp;F",$A208="CE",AL$7="No aplica"),0,'BOULEVARD 5'!AO206-'BOULEVARD PPTO'!AG201)</f>
        <v>0</v>
      </c>
      <c r="AM208" s="760">
        <f>IF(OR($A208="F&amp;F",$A208="CE",AM$7="No aplica"),0,'BOULEVARD 5'!AP206-'BOULEVARD PPTO'!AH201)</f>
        <v>0</v>
      </c>
      <c r="AN208" s="760">
        <f>IF(OR($A208="F&amp;F",$A208="CE",AN$7="No aplica"),0,'BOULEVARD 5'!AQ206-'BOULEVARD PPTO'!AI201)</f>
        <v>0</v>
      </c>
      <c r="AO208" s="760">
        <f>IF(OR($A208="F&amp;F",$A208="CE",AO$7="No aplica"),0,'BOULEVARD 5'!AS206-'BOULEVARD PPTO'!AJ201)</f>
        <v>0</v>
      </c>
      <c r="AP208" s="761">
        <f t="shared" si="23"/>
        <v>0</v>
      </c>
      <c r="AQ208" s="761">
        <f t="shared" si="24"/>
        <v>0</v>
      </c>
      <c r="AR208" s="674">
        <f>IF(A208=0,'BOULEVARD 5'!BF206,0)</f>
        <v>6000</v>
      </c>
      <c r="AS208" s="674">
        <f>IF(A208=0,'BOULEVARD 5'!BG206,0)</f>
        <v>2000</v>
      </c>
      <c r="AT208" s="675" t="str">
        <f t="shared" si="22"/>
        <v>Vendido</v>
      </c>
      <c r="AU208" s="581" t="str">
        <f t="shared" si="21"/>
        <v/>
      </c>
      <c r="AV208" s="760">
        <f t="shared" si="25"/>
        <v>0</v>
      </c>
    </row>
    <row r="209" spans="1:48" s="581" customFormat="1" ht="12.4" customHeight="1" outlineLevel="1" x14ac:dyDescent="0.25">
      <c r="A209" s="703">
        <f>'BOULEVARD 5'!BQ207</f>
        <v>0</v>
      </c>
      <c r="B209" s="564">
        <v>1114</v>
      </c>
      <c r="C209" s="564" t="s">
        <v>611</v>
      </c>
      <c r="D209" s="564"/>
      <c r="E209" s="564" t="str">
        <f>IF('BOULEVARD 5'!E207&lt;&gt;0,'BOULEVARD 5'!E207,"")</f>
        <v>Antonio Rada</v>
      </c>
      <c r="F209" s="581" t="str">
        <f>IF('BOULEVARD 5'!F207&lt;&gt;0,'BOULEVARD 5'!F207,"")</f>
        <v>Clara Hilda Maria Falla Bianchi De Cruz-Gomar</v>
      </c>
      <c r="G209" s="566">
        <f>IF('BOULEVARD 5'!G207="","",'BOULEVARD 5'!G207)</f>
        <v>45440</v>
      </c>
      <c r="H209" s="756">
        <f>IF(OR($A209="F&amp;F",$A209="CE",H$7="No aplica"),0,'BOULEVARD 5'!K207-'BOULEVARD PPTO'!C202)</f>
        <v>0</v>
      </c>
      <c r="I209" s="756">
        <f>IF(OR($A209="F&amp;F",$A209="CE",I$7="No aplica"),0,'BOULEVARD 5'!L207-'BOULEVARD PPTO'!D202)</f>
        <v>0</v>
      </c>
      <c r="J209" s="756">
        <f>IF(OR($A209="F&amp;F",$A209="CE",J$7="No aplica"),0,'BOULEVARD 5'!M207-'BOULEVARD PPTO'!E202)</f>
        <v>0</v>
      </c>
      <c r="K209" s="756">
        <f>IF(OR($A209="F&amp;F",$A209="CE",K$7="No aplica"),0,'BOULEVARD 5'!N207-'BOULEVARD PPTO'!F202)</f>
        <v>0</v>
      </c>
      <c r="L209" s="756">
        <f>IF(OR($A209="F&amp;F",$A209="CE",L$7="No aplica"),0,'BOULEVARD 5'!O207-'BOULEVARD PPTO'!G202)</f>
        <v>0</v>
      </c>
      <c r="M209" s="756">
        <f>IF(OR($A209="F&amp;F",$A209="CE",M$7="No aplica"),0,'BOULEVARD 5'!P207-'BOULEVARD PPTO'!H202)</f>
        <v>0</v>
      </c>
      <c r="N209" s="756">
        <f>IF(OR($A209="F&amp;F",$A209="CE",N$7="No aplica"),0,'BOULEVARD 5'!Q207-'BOULEVARD PPTO'!I202)</f>
        <v>0</v>
      </c>
      <c r="O209" s="756">
        <f>IF(OR($A209="F&amp;F",$A209="CE",O$7="No aplica"),0,'BOULEVARD 5'!R207-'BOULEVARD PPTO'!J202)</f>
        <v>0</v>
      </c>
      <c r="P209" s="756">
        <f>IF(OR($A209="F&amp;F",$A209="CE",P$7="No aplica"),0,'BOULEVARD 5'!S207-'BOULEVARD PPTO'!K202)</f>
        <v>0</v>
      </c>
      <c r="Q209" s="760">
        <f>IF(OR($A209="F&amp;F",$A209="CE",Q$7="No aplica"),0,'BOULEVARD 5'!T207-'BOULEVARD PPTO'!L202)</f>
        <v>0</v>
      </c>
      <c r="R209" s="760">
        <f>IF(OR($A209="F&amp;F",$A209="CE",R$7="No aplica"),0,'BOULEVARD 5'!U207-'BOULEVARD PPTO'!M202)</f>
        <v>0</v>
      </c>
      <c r="S209" s="760">
        <f>IF(OR($A209="F&amp;F",$A209="CE",S$7="No aplica"),0,'BOULEVARD 5'!V207-'BOULEVARD PPTO'!N202)</f>
        <v>0</v>
      </c>
      <c r="T209" s="760">
        <f>IF(OR($A209="F&amp;F",$A209="CE",T$7="No aplica"),0,'BOULEVARD 5'!W207-'BOULEVARD PPTO'!O202)</f>
        <v>-8000</v>
      </c>
      <c r="U209" s="760">
        <f>IF(OR($A209="F&amp;F",$A209="CE",U$7="No aplica"),0,'BOULEVARD 5'!X207-'BOULEVARD PPTO'!P202)</f>
        <v>-3684</v>
      </c>
      <c r="V209" s="760">
        <f>IF(OR($A209="F&amp;F",$A209="CE",V$7="No aplica"),0,'BOULEVARD 5'!Y207-'BOULEVARD PPTO'!Q202)</f>
        <v>4316</v>
      </c>
      <c r="W209" s="760">
        <f>IF(OR($A209="F&amp;F",$A209="CE",W$7="No aplica"),0,'BOULEVARD 5'!Z207-'BOULEVARD PPTO'!R202)</f>
        <v>-3684</v>
      </c>
      <c r="X209" s="760">
        <f>IF(OR($A209="F&amp;F",$A209="CE",X$7="No aplica"),0,'BOULEVARD 5'!AA207-'BOULEVARD PPTO'!S202)</f>
        <v>3684</v>
      </c>
      <c r="Y209" s="760">
        <f>IF(OR($A209="F&amp;F",$A209="CE",Y$7="No aplica"),0,'BOULEVARD 5'!AB207-'BOULEVARD PPTO'!T202)</f>
        <v>3684</v>
      </c>
      <c r="Z209" s="760">
        <f>IF(OR($A209="F&amp;F",$A209="CE",Z$7="No aplica"),0,'BOULEVARD 5'!AC207-'BOULEVARD PPTO'!U202)</f>
        <v>-3684</v>
      </c>
      <c r="AA209" s="760">
        <f>IF(OR($A209="F&amp;F",$A209="CE",AA$7="No aplica"),0,'BOULEVARD 5'!AD207-'BOULEVARD PPTO'!V202)</f>
        <v>0</v>
      </c>
      <c r="AB209" s="760">
        <f>IF(OR($A209="F&amp;F",$A209="CE",AB$7="No aplica"),0,'BOULEVARD 5'!AE207-'BOULEVARD PPTO'!W202)</f>
        <v>3684</v>
      </c>
      <c r="AC209" s="760">
        <f>IF(OR($A209="F&amp;F",$A209="CE",AC$7="No aplica"),0,'BOULEVARD 5'!AF207-'BOULEVARD PPTO'!X202)</f>
        <v>-3684</v>
      </c>
      <c r="AD209" s="760">
        <f>IF(OR($A209="F&amp;F",$A209="CE",AD$7="No aplica"),0,'BOULEVARD 5'!AG207-'BOULEVARD PPTO'!Y202)</f>
        <v>3684</v>
      </c>
      <c r="AE209" s="760">
        <f>IF(OR($A209="F&amp;F",$A209="CE",AE$7="No aplica"),0,'BOULEVARD 5'!AH207-'BOULEVARD PPTO'!Z202)</f>
        <v>-3684</v>
      </c>
      <c r="AF209" s="760">
        <f>IF(OR($A209="F&amp;F",$A209="CE",AF$7="No aplica"),0,'BOULEVARD 5'!AI207-'BOULEVARD PPTO'!AA202)</f>
        <v>0</v>
      </c>
      <c r="AG209" s="760">
        <f>IF(OR($A209="F&amp;F",$A209="CE",AG$7="No aplica"),0,'BOULEVARD 5'!AJ207-'BOULEVARD PPTO'!AB202)</f>
        <v>316</v>
      </c>
      <c r="AH209" s="760">
        <f>IF(OR($A209="F&amp;F",$A209="CE",AH$7="No aplica"),0,'BOULEVARD 5'!AK207-'BOULEVARD PPTO'!AC202)</f>
        <v>316</v>
      </c>
      <c r="AI209" s="760">
        <f>IF(OR($A209="F&amp;F",$A209="CE",AI$7="No aplica"),0,'BOULEVARD 5'!AL207-'BOULEVARD PPTO'!AD202)</f>
        <v>-3684</v>
      </c>
      <c r="AJ209" s="760">
        <f>IF(OR($A209="F&amp;F",$A209="CE",AJ$7="No aplica"),0,'BOULEVARD 5'!AM207-'BOULEVARD PPTO'!AE202)</f>
        <v>-3684</v>
      </c>
      <c r="AK209" s="760">
        <f>IF(OR($A209="F&amp;F",$A209="CE",AK$7="No aplica"),0,'BOULEVARD 5'!AN207-'BOULEVARD PPTO'!AF202)</f>
        <v>-3684</v>
      </c>
      <c r="AL209" s="760">
        <f>IF(OR($A209="F&amp;F",$A209="CE",AL$7="No aplica"),0,'BOULEVARD 5'!AO207-'BOULEVARD PPTO'!AG202)</f>
        <v>316</v>
      </c>
      <c r="AM209" s="760">
        <f>IF(OR($A209="F&amp;F",$A209="CE",AM$7="No aplica"),0,'BOULEVARD 5'!AP207-'BOULEVARD PPTO'!AH202)</f>
        <v>-3684</v>
      </c>
      <c r="AN209" s="760">
        <f>IF(OR($A209="F&amp;F",$A209="CE",AN$7="No aplica"),0,'BOULEVARD 5'!AQ207-'BOULEVARD PPTO'!AI202)</f>
        <v>0</v>
      </c>
      <c r="AO209" s="760">
        <f>IF(OR($A209="F&amp;F",$A209="CE",AO$7="No aplica"),0,'BOULEVARD 5'!AS207-'BOULEVARD PPTO'!AJ202)</f>
        <v>0</v>
      </c>
      <c r="AP209" s="761">
        <f t="shared" si="23"/>
        <v>-21156</v>
      </c>
      <c r="AQ209" s="761">
        <f t="shared" si="24"/>
        <v>-24014.520000000004</v>
      </c>
      <c r="AR209" s="674">
        <f>IF(A209=0,'BOULEVARD 5'!BF207,0)</f>
        <v>8000</v>
      </c>
      <c r="AS209" s="674">
        <f>IF(A209=0,'BOULEVARD 5'!BG207,0)</f>
        <v>3684</v>
      </c>
      <c r="AT209" s="675" t="str">
        <f t="shared" si="22"/>
        <v>Vendido</v>
      </c>
      <c r="AU209" s="581" t="str">
        <f t="shared" si="21"/>
        <v>POR COBRAR</v>
      </c>
      <c r="AV209" s="760">
        <f t="shared" si="25"/>
        <v>0</v>
      </c>
    </row>
    <row r="210" spans="1:48" s="581" customFormat="1" ht="12.4" customHeight="1" outlineLevel="1" x14ac:dyDescent="0.25">
      <c r="A210" s="703">
        <f>'BOULEVARD 5'!BQ208</f>
        <v>0</v>
      </c>
      <c r="B210" s="564">
        <v>1115</v>
      </c>
      <c r="C210" s="564" t="s">
        <v>400</v>
      </c>
      <c r="D210" s="564"/>
      <c r="E210" s="564" t="str">
        <f>IF('BOULEVARD 5'!E208&lt;&gt;0,'BOULEVARD 5'!E208,"")</f>
        <v>Antonio Rada</v>
      </c>
      <c r="F210" s="581" t="str">
        <f>IF('BOULEVARD 5'!F208&lt;&gt;0,'BOULEVARD 5'!F208,"")</f>
        <v>Eddy Francisco Mac-Intosh López</v>
      </c>
      <c r="G210" s="566">
        <f>IF('BOULEVARD 5'!G208="","",'BOULEVARD 5'!G208)</f>
        <v>45755</v>
      </c>
      <c r="H210" s="756">
        <f>IF(OR($A210="F&amp;F",$A210="CE",H$7="No aplica"),0,'BOULEVARD 5'!K208-'BOULEVARD PPTO'!C203)</f>
        <v>0</v>
      </c>
      <c r="I210" s="756">
        <f>IF(OR($A210="F&amp;F",$A210="CE",I$7="No aplica"),0,'BOULEVARD 5'!L208-'BOULEVARD PPTO'!D203)</f>
        <v>0</v>
      </c>
      <c r="J210" s="756">
        <f>IF(OR($A210="F&amp;F",$A210="CE",J$7="No aplica"),0,'BOULEVARD 5'!M208-'BOULEVARD PPTO'!E203)</f>
        <v>0</v>
      </c>
      <c r="K210" s="756">
        <f>IF(OR($A210="F&amp;F",$A210="CE",K$7="No aplica"),0,'BOULEVARD 5'!N208-'BOULEVARD PPTO'!F203)</f>
        <v>0</v>
      </c>
      <c r="L210" s="756">
        <f>IF(OR($A210="F&amp;F",$A210="CE",L$7="No aplica"),0,'BOULEVARD 5'!O208-'BOULEVARD PPTO'!G203)</f>
        <v>0</v>
      </c>
      <c r="M210" s="756">
        <f>IF(OR($A210="F&amp;F",$A210="CE",M$7="No aplica"),0,'BOULEVARD 5'!P208-'BOULEVARD PPTO'!H203)</f>
        <v>0</v>
      </c>
      <c r="N210" s="756">
        <f>IF(OR($A210="F&amp;F",$A210="CE",N$7="No aplica"),0,'BOULEVARD 5'!Q208-'BOULEVARD PPTO'!I203)</f>
        <v>0</v>
      </c>
      <c r="O210" s="756">
        <f>IF(OR($A210="F&amp;F",$A210="CE",O$7="No aplica"),0,'BOULEVARD 5'!R208-'BOULEVARD PPTO'!J203)</f>
        <v>0</v>
      </c>
      <c r="P210" s="756">
        <f>IF(OR($A210="F&amp;F",$A210="CE",P$7="No aplica"),0,'BOULEVARD 5'!S208-'BOULEVARD PPTO'!K203)</f>
        <v>0</v>
      </c>
      <c r="Q210" s="760">
        <f>IF(OR($A210="F&amp;F",$A210="CE",Q$7="No aplica"),0,'BOULEVARD 5'!T208-'BOULEVARD PPTO'!L203)</f>
        <v>0</v>
      </c>
      <c r="R210" s="760">
        <f>IF(OR($A210="F&amp;F",$A210="CE",R$7="No aplica"),0,'BOULEVARD 5'!U208-'BOULEVARD PPTO'!M203)</f>
        <v>0</v>
      </c>
      <c r="S210" s="760">
        <f>IF(OR($A210="F&amp;F",$A210="CE",S$7="No aplica"),0,'BOULEVARD 5'!V208-'BOULEVARD PPTO'!N203)</f>
        <v>0</v>
      </c>
      <c r="T210" s="760">
        <f>IF(OR($A210="F&amp;F",$A210="CE",T$7="No aplica"),0,'BOULEVARD 5'!W208-'BOULEVARD PPTO'!O203)</f>
        <v>0</v>
      </c>
      <c r="U210" s="760">
        <f>IF(OR($A210="F&amp;F",$A210="CE",U$7="No aplica"),0,'BOULEVARD 5'!X208-'BOULEVARD PPTO'!P203)</f>
        <v>0</v>
      </c>
      <c r="V210" s="760">
        <f>IF(OR($A210="F&amp;F",$A210="CE",V$7="No aplica"),0,'BOULEVARD 5'!Y208-'BOULEVARD PPTO'!Q203)</f>
        <v>0</v>
      </c>
      <c r="W210" s="760">
        <f>IF(OR($A210="F&amp;F",$A210="CE",W$7="No aplica"),0,'BOULEVARD 5'!Z208-'BOULEVARD PPTO'!R203)</f>
        <v>0</v>
      </c>
      <c r="X210" s="760">
        <f>IF(OR($A210="F&amp;F",$A210="CE",X$7="No aplica"),0,'BOULEVARD 5'!AA208-'BOULEVARD PPTO'!S203)</f>
        <v>0</v>
      </c>
      <c r="Y210" s="760">
        <f>IF(OR($A210="F&amp;F",$A210="CE",Y$7="No aplica"),0,'BOULEVARD 5'!AB208-'BOULEVARD PPTO'!T203)</f>
        <v>0</v>
      </c>
      <c r="Z210" s="760">
        <f>IF(OR($A210="F&amp;F",$A210="CE",Z$7="No aplica"),0,'BOULEVARD 5'!AC208-'BOULEVARD PPTO'!U203)</f>
        <v>0</v>
      </c>
      <c r="AA210" s="760">
        <f>IF(OR($A210="F&amp;F",$A210="CE",AA$7="No aplica"),0,'BOULEVARD 5'!AD208-'BOULEVARD PPTO'!V203)</f>
        <v>0</v>
      </c>
      <c r="AB210" s="760">
        <f>IF(OR($A210="F&amp;F",$A210="CE",AB$7="No aplica"),0,'BOULEVARD 5'!AE208-'BOULEVARD PPTO'!W203)</f>
        <v>0</v>
      </c>
      <c r="AC210" s="760">
        <f>IF(OR($A210="F&amp;F",$A210="CE",AC$7="No aplica"),0,'BOULEVARD 5'!AF208-'BOULEVARD PPTO'!X203)</f>
        <v>0</v>
      </c>
      <c r="AD210" s="760">
        <f>IF(OR($A210="F&amp;F",$A210="CE",AD$7="No aplica"),0,'BOULEVARD 5'!AG208-'BOULEVARD PPTO'!Y203)</f>
        <v>0</v>
      </c>
      <c r="AE210" s="760">
        <f>IF(OR($A210="F&amp;F",$A210="CE",AE$7="No aplica"),0,'BOULEVARD 5'!AH208-'BOULEVARD PPTO'!Z203)</f>
        <v>0</v>
      </c>
      <c r="AF210" s="760">
        <f>IF(OR($A210="F&amp;F",$A210="CE",AF$7="No aplica"),0,'BOULEVARD 5'!AI208-'BOULEVARD PPTO'!AA203)</f>
        <v>0</v>
      </c>
      <c r="AG210" s="760">
        <f>IF(OR($A210="F&amp;F",$A210="CE",AG$7="No aplica"),0,'BOULEVARD 5'!AJ208-'BOULEVARD PPTO'!AB203)</f>
        <v>0</v>
      </c>
      <c r="AH210" s="760">
        <f>IF(OR($A210="F&amp;F",$A210="CE",AH$7="No aplica"),0,'BOULEVARD 5'!AK208-'BOULEVARD PPTO'!AC203)</f>
        <v>0</v>
      </c>
      <c r="AI210" s="760">
        <f>IF(OR($A210="F&amp;F",$A210="CE",AI$7="No aplica"),0,'BOULEVARD 5'!AL208-'BOULEVARD PPTO'!AD203)</f>
        <v>0</v>
      </c>
      <c r="AJ210" s="760">
        <f>IF(OR($A210="F&amp;F",$A210="CE",AJ$7="No aplica"),0,'BOULEVARD 5'!AM208-'BOULEVARD PPTO'!AE203)</f>
        <v>0</v>
      </c>
      <c r="AK210" s="760">
        <f>IF(OR($A210="F&amp;F",$A210="CE",AK$7="No aplica"),0,'BOULEVARD 5'!AN208-'BOULEVARD PPTO'!AF203)</f>
        <v>0</v>
      </c>
      <c r="AL210" s="760">
        <f>IF(OR($A210="F&amp;F",$A210="CE",AL$7="No aplica"),0,'BOULEVARD 5'!AO208-'BOULEVARD PPTO'!AG203)</f>
        <v>0</v>
      </c>
      <c r="AM210" s="760">
        <f>IF(OR($A210="F&amp;F",$A210="CE",AM$7="No aplica"),0,'BOULEVARD 5'!AP208-'BOULEVARD PPTO'!AH203)</f>
        <v>0</v>
      </c>
      <c r="AN210" s="760">
        <f>IF(OR($A210="F&amp;F",$A210="CE",AN$7="No aplica"),0,'BOULEVARD 5'!AQ208-'BOULEVARD PPTO'!AI203)</f>
        <v>0</v>
      </c>
      <c r="AO210" s="760">
        <f>IF(OR($A210="F&amp;F",$A210="CE",AO$7="No aplica"),0,'BOULEVARD 5'!AS208-'BOULEVARD PPTO'!AJ203)</f>
        <v>0</v>
      </c>
      <c r="AP210" s="761">
        <f t="shared" si="23"/>
        <v>0</v>
      </c>
      <c r="AQ210" s="761">
        <f t="shared" si="24"/>
        <v>-32105.199999999997</v>
      </c>
      <c r="AR210" s="674">
        <f>IF(A210=0,'BOULEVARD 5'!BF208,0)</f>
        <v>10000</v>
      </c>
      <c r="AS210" s="674">
        <f>IF(A210=0,'BOULEVARD 5'!BG208,0)</f>
        <v>8025</v>
      </c>
      <c r="AT210" s="675" t="str">
        <f t="shared" si="22"/>
        <v>Vendido</v>
      </c>
      <c r="AU210" s="581" t="str">
        <f t="shared" si="21"/>
        <v/>
      </c>
      <c r="AV210" s="760">
        <f t="shared" si="25"/>
        <v>0</v>
      </c>
    </row>
    <row r="211" spans="1:48" s="581" customFormat="1" ht="12.4" customHeight="1" outlineLevel="1" x14ac:dyDescent="0.25">
      <c r="A211" s="703" t="str">
        <f>'BOULEVARD 5'!BQ209</f>
        <v>CE</v>
      </c>
      <c r="B211" s="564">
        <v>1116</v>
      </c>
      <c r="C211" s="564" t="s">
        <v>175</v>
      </c>
      <c r="D211" s="647" t="s">
        <v>336</v>
      </c>
      <c r="E211" s="564" t="str">
        <f>IF('BOULEVARD 5'!E209&lt;&gt;0,'BOULEVARD 5'!E209,"")</f>
        <v>Antonio Rada</v>
      </c>
      <c r="F211" s="581" t="str">
        <f>IF('BOULEVARD 5'!F209&lt;&gt;0,'BOULEVARD 5'!F209,"")</f>
        <v>Francisco Javier Arriaza Reyes</v>
      </c>
      <c r="G211" s="566">
        <f>IF('BOULEVARD 5'!G209="","",'BOULEVARD 5'!G209)</f>
        <v>45337</v>
      </c>
      <c r="H211" s="756">
        <f>IF(OR($A211="F&amp;F",$A211="CE",H$7="No aplica"),0,'BOULEVARD 5'!K209-'BOULEVARD PPTO'!C204)</f>
        <v>0</v>
      </c>
      <c r="I211" s="756">
        <f>IF(OR($A211="F&amp;F",$A211="CE",I$7="No aplica"),0,'BOULEVARD 5'!L209-'BOULEVARD PPTO'!D204)</f>
        <v>0</v>
      </c>
      <c r="J211" s="756">
        <f>IF(OR($A211="F&amp;F",$A211="CE",J$7="No aplica"),0,'BOULEVARD 5'!M209-'BOULEVARD PPTO'!E204)</f>
        <v>0</v>
      </c>
      <c r="K211" s="756">
        <f>IF(OR($A211="F&amp;F",$A211="CE",K$7="No aplica"),0,'BOULEVARD 5'!N209-'BOULEVARD PPTO'!F204)</f>
        <v>0</v>
      </c>
      <c r="L211" s="756">
        <f>IF(OR($A211="F&amp;F",$A211="CE",L$7="No aplica"),0,'BOULEVARD 5'!O209-'BOULEVARD PPTO'!G204)</f>
        <v>0</v>
      </c>
      <c r="M211" s="756">
        <f>IF(OR($A211="F&amp;F",$A211="CE",M$7="No aplica"),0,'BOULEVARD 5'!P209-'BOULEVARD PPTO'!H204)</f>
        <v>0</v>
      </c>
      <c r="N211" s="756">
        <f>IF(OR($A211="F&amp;F",$A211="CE",N$7="No aplica"),0,'BOULEVARD 5'!Q209-'BOULEVARD PPTO'!I204)</f>
        <v>0</v>
      </c>
      <c r="O211" s="756">
        <f>IF(OR($A211="F&amp;F",$A211="CE",O$7="No aplica"),0,'BOULEVARD 5'!R209-'BOULEVARD PPTO'!J204)</f>
        <v>0</v>
      </c>
      <c r="P211" s="756">
        <f>IF(OR($A211="F&amp;F",$A211="CE",P$7="No aplica"),0,'BOULEVARD 5'!S209-'BOULEVARD PPTO'!K204)</f>
        <v>0</v>
      </c>
      <c r="Q211" s="760">
        <f>IF(OR($A211="F&amp;F",$A211="CE",Q$7="No aplica"),0,'BOULEVARD 5'!T209-'BOULEVARD PPTO'!L204)</f>
        <v>0</v>
      </c>
      <c r="R211" s="760">
        <f>IF(OR($A211="F&amp;F",$A211="CE",R$7="No aplica"),0,'BOULEVARD 5'!U209-'BOULEVARD PPTO'!M204)</f>
        <v>0</v>
      </c>
      <c r="S211" s="760">
        <f>IF(OR($A211="F&amp;F",$A211="CE",S$7="No aplica"),0,'BOULEVARD 5'!V209-'BOULEVARD PPTO'!N204)</f>
        <v>0</v>
      </c>
      <c r="T211" s="760">
        <f>IF(OR($A211="F&amp;F",$A211="CE",T$7="No aplica"),0,'BOULEVARD 5'!W209-'BOULEVARD PPTO'!O204)</f>
        <v>0</v>
      </c>
      <c r="U211" s="760">
        <f>IF(OR($A211="F&amp;F",$A211="CE",U$7="No aplica"),0,'BOULEVARD 5'!X209-'BOULEVARD PPTO'!P204)</f>
        <v>0</v>
      </c>
      <c r="V211" s="760">
        <f>IF(OR($A211="F&amp;F",$A211="CE",V$7="No aplica"),0,'BOULEVARD 5'!Y209-'BOULEVARD PPTO'!Q204)</f>
        <v>0</v>
      </c>
      <c r="W211" s="760">
        <f>IF(OR($A211="F&amp;F",$A211="CE",W$7="No aplica"),0,'BOULEVARD 5'!Z209-'BOULEVARD PPTO'!R204)</f>
        <v>0</v>
      </c>
      <c r="X211" s="760">
        <f>IF(OR($A211="F&amp;F",$A211="CE",X$7="No aplica"),0,'BOULEVARD 5'!AA209-'BOULEVARD PPTO'!S204)</f>
        <v>0</v>
      </c>
      <c r="Y211" s="760">
        <f>IF(OR($A211="F&amp;F",$A211="CE",Y$7="No aplica"),0,'BOULEVARD 5'!AB209-'BOULEVARD PPTO'!T204)</f>
        <v>0</v>
      </c>
      <c r="Z211" s="760">
        <f>IF(OR($A211="F&amp;F",$A211="CE",Z$7="No aplica"),0,'BOULEVARD 5'!AC209-'BOULEVARD PPTO'!U204)</f>
        <v>0</v>
      </c>
      <c r="AA211" s="760">
        <f>IF(OR($A211="F&amp;F",$A211="CE",AA$7="No aplica"),0,'BOULEVARD 5'!AD209-'BOULEVARD PPTO'!V204)</f>
        <v>0</v>
      </c>
      <c r="AB211" s="760">
        <f>IF(OR($A211="F&amp;F",$A211="CE",AB$7="No aplica"),0,'BOULEVARD 5'!AE209-'BOULEVARD PPTO'!W204)</f>
        <v>0</v>
      </c>
      <c r="AC211" s="760">
        <f>IF(OR($A211="F&amp;F",$A211="CE",AC$7="No aplica"),0,'BOULEVARD 5'!AF209-'BOULEVARD PPTO'!X204)</f>
        <v>0</v>
      </c>
      <c r="AD211" s="760">
        <f>IF(OR($A211="F&amp;F",$A211="CE",AD$7="No aplica"),0,'BOULEVARD 5'!AG209-'BOULEVARD PPTO'!Y204)</f>
        <v>0</v>
      </c>
      <c r="AE211" s="760">
        <f>IF(OR($A211="F&amp;F",$A211="CE",AE$7="No aplica"),0,'BOULEVARD 5'!AH209-'BOULEVARD PPTO'!Z204)</f>
        <v>0</v>
      </c>
      <c r="AF211" s="760">
        <f>IF(OR($A211="F&amp;F",$A211="CE",AF$7="No aplica"),0,'BOULEVARD 5'!AI209-'BOULEVARD PPTO'!AA204)</f>
        <v>0</v>
      </c>
      <c r="AG211" s="760">
        <f>IF(OR($A211="F&amp;F",$A211="CE",AG$7="No aplica"),0,'BOULEVARD 5'!AJ209-'BOULEVARD PPTO'!AB204)</f>
        <v>0</v>
      </c>
      <c r="AH211" s="760">
        <f>IF(OR($A211="F&amp;F",$A211="CE",AH$7="No aplica"),0,'BOULEVARD 5'!AK209-'BOULEVARD PPTO'!AC204)</f>
        <v>0</v>
      </c>
      <c r="AI211" s="760">
        <f>IF(OR($A211="F&amp;F",$A211="CE",AI$7="No aplica"),0,'BOULEVARD 5'!AL209-'BOULEVARD PPTO'!AD204)</f>
        <v>0</v>
      </c>
      <c r="AJ211" s="760">
        <f>IF(OR($A211="F&amp;F",$A211="CE",AJ$7="No aplica"),0,'BOULEVARD 5'!AM209-'BOULEVARD PPTO'!AE204)</f>
        <v>0</v>
      </c>
      <c r="AK211" s="760">
        <f>IF(OR($A211="F&amp;F",$A211="CE",AK$7="No aplica"),0,'BOULEVARD 5'!AN209-'BOULEVARD PPTO'!AF204)</f>
        <v>0</v>
      </c>
      <c r="AL211" s="760">
        <f>IF(OR($A211="F&amp;F",$A211="CE",AL$7="No aplica"),0,'BOULEVARD 5'!AO209-'BOULEVARD PPTO'!AG204)</f>
        <v>0</v>
      </c>
      <c r="AM211" s="760">
        <f>IF(OR($A211="F&amp;F",$A211="CE",AM$7="No aplica"),0,'BOULEVARD 5'!AP209-'BOULEVARD PPTO'!AH204)</f>
        <v>0</v>
      </c>
      <c r="AN211" s="760">
        <f>IF(OR($A211="F&amp;F",$A211="CE",AN$7="No aplica"),0,'BOULEVARD 5'!AQ209-'BOULEVARD PPTO'!AI204)</f>
        <v>0</v>
      </c>
      <c r="AO211" s="760">
        <f>IF(OR($A211="F&amp;F",$A211="CE",AO$7="No aplica"),0,'BOULEVARD 5'!AS209-'BOULEVARD PPTO'!AJ204)</f>
        <v>0</v>
      </c>
      <c r="AP211" s="761">
        <f t="shared" si="23"/>
        <v>0</v>
      </c>
      <c r="AQ211" s="761">
        <f t="shared" si="24"/>
        <v>0</v>
      </c>
      <c r="AR211" s="674">
        <f>IF(A211=0,'BOULEVARD 5'!BF209,0)</f>
        <v>0</v>
      </c>
      <c r="AS211" s="674">
        <f>IF(A211=0,'BOULEVARD 5'!BG209,0)</f>
        <v>0</v>
      </c>
      <c r="AT211" s="675" t="str">
        <f t="shared" si="22"/>
        <v>Vendido</v>
      </c>
      <c r="AU211" s="581" t="str">
        <f t="shared" si="21"/>
        <v/>
      </c>
      <c r="AV211" s="760">
        <f t="shared" si="25"/>
        <v>0</v>
      </c>
    </row>
    <row r="212" spans="1:48" s="581" customFormat="1" ht="12.4" customHeight="1" outlineLevel="1" x14ac:dyDescent="0.25">
      <c r="A212" s="703">
        <f>'BOULEVARD 5'!BQ210</f>
        <v>0</v>
      </c>
      <c r="B212" s="564">
        <v>1117</v>
      </c>
      <c r="C212" s="564" t="s">
        <v>597</v>
      </c>
      <c r="D212" s="564"/>
      <c r="E212" s="564" t="str">
        <f>IF('BOULEVARD 5'!E210&lt;&gt;0,'BOULEVARD 5'!E210,"")</f>
        <v>Antonio Rada</v>
      </c>
      <c r="F212" s="581" t="str">
        <f>IF('BOULEVARD 5'!F210&lt;&gt;0,'BOULEVARD 5'!F210,"")</f>
        <v>Jerson Leonel Chavez Martinez</v>
      </c>
      <c r="G212" s="566">
        <f>IF('BOULEVARD 5'!G210="","",'BOULEVARD 5'!G210)</f>
        <v>45274</v>
      </c>
      <c r="H212" s="756">
        <f>IF(OR($A212="F&amp;F",$A212="CE",H$7="No aplica"),0,'BOULEVARD 5'!K210-'BOULEVARD PPTO'!C205)</f>
        <v>0</v>
      </c>
      <c r="I212" s="756">
        <f>IF(OR($A212="F&amp;F",$A212="CE",I$7="No aplica"),0,'BOULEVARD 5'!L210-'BOULEVARD PPTO'!D205)</f>
        <v>0</v>
      </c>
      <c r="J212" s="756">
        <f>IF(OR($A212="F&amp;F",$A212="CE",J$7="No aplica"),0,'BOULEVARD 5'!M210-'BOULEVARD PPTO'!E205)</f>
        <v>0</v>
      </c>
      <c r="K212" s="756">
        <f>IF(OR($A212="F&amp;F",$A212="CE",K$7="No aplica"),0,'BOULEVARD 5'!N210-'BOULEVARD PPTO'!F205)</f>
        <v>0</v>
      </c>
      <c r="L212" s="756">
        <f>IF(OR($A212="F&amp;F",$A212="CE",L$7="No aplica"),0,'BOULEVARD 5'!O210-'BOULEVARD PPTO'!G205)</f>
        <v>0</v>
      </c>
      <c r="M212" s="756">
        <f>IF(OR($A212="F&amp;F",$A212="CE",M$7="No aplica"),0,'BOULEVARD 5'!P210-'BOULEVARD PPTO'!H205)</f>
        <v>0</v>
      </c>
      <c r="N212" s="756">
        <f>IF(OR($A212="F&amp;F",$A212="CE",N$7="No aplica"),0,'BOULEVARD 5'!Q210-'BOULEVARD PPTO'!I205)</f>
        <v>0</v>
      </c>
      <c r="O212" s="756">
        <f>IF(OR($A212="F&amp;F",$A212="CE",O$7="No aplica"),0,'BOULEVARD 5'!R210-'BOULEVARD PPTO'!J205)</f>
        <v>0</v>
      </c>
      <c r="P212" s="756">
        <f>IF(OR($A212="F&amp;F",$A212="CE",P$7="No aplica"),0,'BOULEVARD 5'!S210-'BOULEVARD PPTO'!K205)</f>
        <v>0</v>
      </c>
      <c r="Q212" s="760">
        <f>IF(OR($A212="F&amp;F",$A212="CE",Q$7="No aplica"),0,'BOULEVARD 5'!T210-'BOULEVARD PPTO'!L205)</f>
        <v>0</v>
      </c>
      <c r="R212" s="760">
        <f>IF(OR($A212="F&amp;F",$A212="CE",R$7="No aplica"),0,'BOULEVARD 5'!U210-'BOULEVARD PPTO'!M205)</f>
        <v>0</v>
      </c>
      <c r="S212" s="760">
        <f>IF(OR($A212="F&amp;F",$A212="CE",S$7="No aplica"),0,'BOULEVARD 5'!V210-'BOULEVARD PPTO'!N205)</f>
        <v>0</v>
      </c>
      <c r="T212" s="760">
        <f>IF(OR($A212="F&amp;F",$A212="CE",T$7="No aplica"),0,'BOULEVARD 5'!W210-'BOULEVARD PPTO'!O205)</f>
        <v>0</v>
      </c>
      <c r="U212" s="760">
        <f>IF(OR($A212="F&amp;F",$A212="CE",U$7="No aplica"),0,'BOULEVARD 5'!X210-'BOULEVARD PPTO'!P205)</f>
        <v>0</v>
      </c>
      <c r="V212" s="760">
        <f>IF(OR($A212="F&amp;F",$A212="CE",V$7="No aplica"),0,'BOULEVARD 5'!Y210-'BOULEVARD PPTO'!Q205)</f>
        <v>0</v>
      </c>
      <c r="W212" s="760">
        <f>IF(OR($A212="F&amp;F",$A212="CE",W$7="No aplica"),0,'BOULEVARD 5'!Z210-'BOULEVARD PPTO'!R205)</f>
        <v>-5292</v>
      </c>
      <c r="X212" s="760">
        <f>IF(OR($A212="F&amp;F",$A212="CE",X$7="No aplica"),0,'BOULEVARD 5'!AA210-'BOULEVARD PPTO'!S205)</f>
        <v>5292</v>
      </c>
      <c r="Y212" s="760">
        <f>IF(OR($A212="F&amp;F",$A212="CE",Y$7="No aplica"),0,'BOULEVARD 5'!AB210-'BOULEVARD PPTO'!T205)</f>
        <v>0</v>
      </c>
      <c r="Z212" s="760">
        <f>IF(OR($A212="F&amp;F",$A212="CE",Z$7="No aplica"),0,'BOULEVARD 5'!AC210-'BOULEVARD PPTO'!U205)</f>
        <v>0</v>
      </c>
      <c r="AA212" s="760">
        <f>IF(OR($A212="F&amp;F",$A212="CE",AA$7="No aplica"),0,'BOULEVARD 5'!AD210-'BOULEVARD PPTO'!V205)</f>
        <v>0</v>
      </c>
      <c r="AB212" s="760">
        <f>IF(OR($A212="F&amp;F",$A212="CE",AB$7="No aplica"),0,'BOULEVARD 5'!AE210-'BOULEVARD PPTO'!W205)</f>
        <v>-5292</v>
      </c>
      <c r="AC212" s="760">
        <f>IF(OR($A212="F&amp;F",$A212="CE",AC$7="No aplica"),0,'BOULEVARD 5'!AF210-'BOULEVARD PPTO'!X205)</f>
        <v>5292</v>
      </c>
      <c r="AD212" s="760">
        <f>IF(OR($A212="F&amp;F",$A212="CE",AD$7="No aplica"),0,'BOULEVARD 5'!AG210-'BOULEVARD PPTO'!Y205)</f>
        <v>0</v>
      </c>
      <c r="AE212" s="760">
        <f>IF(OR($A212="F&amp;F",$A212="CE",AE$7="No aplica"),0,'BOULEVARD 5'!AH210-'BOULEVARD PPTO'!Z205)</f>
        <v>-5292</v>
      </c>
      <c r="AF212" s="760">
        <f>IF(OR($A212="F&amp;F",$A212="CE",AF$7="No aplica"),0,'BOULEVARD 5'!AI210-'BOULEVARD PPTO'!AA205)</f>
        <v>5292</v>
      </c>
      <c r="AG212" s="760">
        <f>IF(OR($A212="F&amp;F",$A212="CE",AG$7="No aplica"),0,'BOULEVARD 5'!AJ210-'BOULEVARD PPTO'!AB205)</f>
        <v>0</v>
      </c>
      <c r="AH212" s="760">
        <f>IF(OR($A212="F&amp;F",$A212="CE",AH$7="No aplica"),0,'BOULEVARD 5'!AK210-'BOULEVARD PPTO'!AC205)</f>
        <v>0</v>
      </c>
      <c r="AI212" s="760">
        <f>IF(OR($A212="F&amp;F",$A212="CE",AI$7="No aplica"),0,'BOULEVARD 5'!AL210-'BOULEVARD PPTO'!AD205)</f>
        <v>0</v>
      </c>
      <c r="AJ212" s="760">
        <f>IF(OR($A212="F&amp;F",$A212="CE",AJ$7="No aplica"),0,'BOULEVARD 5'!AM210-'BOULEVARD PPTO'!AE205)</f>
        <v>0</v>
      </c>
      <c r="AK212" s="760">
        <f>IF(OR($A212="F&amp;F",$A212="CE",AK$7="No aplica"),0,'BOULEVARD 5'!AN210-'BOULEVARD PPTO'!AF205)</f>
        <v>0</v>
      </c>
      <c r="AL212" s="760">
        <f>IF(OR($A212="F&amp;F",$A212="CE",AL$7="No aplica"),0,'BOULEVARD 5'!AO210-'BOULEVARD PPTO'!AG205)</f>
        <v>-2.2200000000002547</v>
      </c>
      <c r="AM212" s="760">
        <f>IF(OR($A212="F&amp;F",$A212="CE",AM$7="No aplica"),0,'BOULEVARD 5'!AP210-'BOULEVARD PPTO'!AH205)</f>
        <v>302.22000000000003</v>
      </c>
      <c r="AN212" s="760">
        <f>IF(OR($A212="F&amp;F",$A212="CE",AN$7="No aplica"),0,'BOULEVARD 5'!AQ210-'BOULEVARD PPTO'!AI205)</f>
        <v>0</v>
      </c>
      <c r="AO212" s="760">
        <f>IF(OR($A212="F&amp;F",$A212="CE",AO$7="No aplica"),0,'BOULEVARD 5'!AS210-'BOULEVARD PPTO'!AJ205)</f>
        <v>0</v>
      </c>
      <c r="AP212" s="761">
        <f t="shared" si="23"/>
        <v>299.99999999999977</v>
      </c>
      <c r="AQ212" s="761">
        <f t="shared" si="24"/>
        <v>300</v>
      </c>
      <c r="AR212" s="674">
        <f>IF(A212=0,'BOULEVARD 5'!BF210,0)</f>
        <v>5500</v>
      </c>
      <c r="AS212" s="674">
        <f>IF(A212=0,'BOULEVARD 5'!BG210,0)</f>
        <v>5292</v>
      </c>
      <c r="AT212" s="675" t="str">
        <f t="shared" si="22"/>
        <v>Vendido</v>
      </c>
      <c r="AU212" s="581" t="str">
        <f t="shared" si="21"/>
        <v>A FAVOR DEL CLIENTE</v>
      </c>
      <c r="AV212" s="760">
        <f t="shared" si="25"/>
        <v>302.22000000000003</v>
      </c>
    </row>
    <row r="213" spans="1:48" s="581" customFormat="1" ht="12.4" customHeight="1" outlineLevel="1" x14ac:dyDescent="0.25">
      <c r="A213" s="703">
        <f>'BOULEVARD 5'!BQ211</f>
        <v>0</v>
      </c>
      <c r="B213" s="564">
        <v>1118</v>
      </c>
      <c r="C213" s="564" t="s">
        <v>599</v>
      </c>
      <c r="D213" s="564"/>
      <c r="E213" s="564" t="str">
        <f>IF('BOULEVARD 5'!E211&lt;&gt;0,'BOULEVARD 5'!E211,"")</f>
        <v>Antonio Rada</v>
      </c>
      <c r="F213" s="581" t="str">
        <f>IF('BOULEVARD 5'!F211&lt;&gt;0,'BOULEVARD 5'!F211,"")</f>
        <v>José Raúl Velasco Ferrigno</v>
      </c>
      <c r="G213" s="566">
        <f>IF('BOULEVARD 5'!G211="","",'BOULEVARD 5'!G211)</f>
        <v>45463</v>
      </c>
      <c r="H213" s="756">
        <f>IF(OR($A213="F&amp;F",$A213="CE",H$7="No aplica"),0,'BOULEVARD 5'!K211-'BOULEVARD PPTO'!C206)</f>
        <v>0</v>
      </c>
      <c r="I213" s="756">
        <f>IF(OR($A213="F&amp;F",$A213="CE",I$7="No aplica"),0,'BOULEVARD 5'!L211-'BOULEVARD PPTO'!D206)</f>
        <v>0</v>
      </c>
      <c r="J213" s="756">
        <f>IF(OR($A213="F&amp;F",$A213="CE",J$7="No aplica"),0,'BOULEVARD 5'!M211-'BOULEVARD PPTO'!E206)</f>
        <v>0</v>
      </c>
      <c r="K213" s="756">
        <f>IF(OR($A213="F&amp;F",$A213="CE",K$7="No aplica"),0,'BOULEVARD 5'!N211-'BOULEVARD PPTO'!F206)</f>
        <v>0</v>
      </c>
      <c r="L213" s="756">
        <f>IF(OR($A213="F&amp;F",$A213="CE",L$7="No aplica"),0,'BOULEVARD 5'!O211-'BOULEVARD PPTO'!G206)</f>
        <v>0</v>
      </c>
      <c r="M213" s="756">
        <f>IF(OR($A213="F&amp;F",$A213="CE",M$7="No aplica"),0,'BOULEVARD 5'!P211-'BOULEVARD PPTO'!H206)</f>
        <v>0</v>
      </c>
      <c r="N213" s="756">
        <f>IF(OR($A213="F&amp;F",$A213="CE",N$7="No aplica"),0,'BOULEVARD 5'!Q211-'BOULEVARD PPTO'!I206)</f>
        <v>0</v>
      </c>
      <c r="O213" s="756">
        <f>IF(OR($A213="F&amp;F",$A213="CE",O$7="No aplica"),0,'BOULEVARD 5'!R211-'BOULEVARD PPTO'!J206)</f>
        <v>0</v>
      </c>
      <c r="P213" s="756">
        <f>IF(OR($A213="F&amp;F",$A213="CE",P$7="No aplica"),0,'BOULEVARD 5'!S211-'BOULEVARD PPTO'!K206)</f>
        <v>0</v>
      </c>
      <c r="Q213" s="760">
        <f>IF(OR($A213="F&amp;F",$A213="CE",Q$7="No aplica"),0,'BOULEVARD 5'!T211-'BOULEVARD PPTO'!L206)</f>
        <v>0</v>
      </c>
      <c r="R213" s="760">
        <f>IF(OR($A213="F&amp;F",$A213="CE",R$7="No aplica"),0,'BOULEVARD 5'!U211-'BOULEVARD PPTO'!M206)</f>
        <v>0</v>
      </c>
      <c r="S213" s="760">
        <f>IF(OR($A213="F&amp;F",$A213="CE",S$7="No aplica"),0,'BOULEVARD 5'!V211-'BOULEVARD PPTO'!N206)</f>
        <v>0</v>
      </c>
      <c r="T213" s="760">
        <f>IF(OR($A213="F&amp;F",$A213="CE",T$7="No aplica"),0,'BOULEVARD 5'!W211-'BOULEVARD PPTO'!O206)</f>
        <v>0</v>
      </c>
      <c r="U213" s="760">
        <f>IF(OR($A213="F&amp;F",$A213="CE",U$7="No aplica"),0,'BOULEVARD 5'!X211-'BOULEVARD PPTO'!P206)</f>
        <v>0</v>
      </c>
      <c r="V213" s="760">
        <f>IF(OR($A213="F&amp;F",$A213="CE",V$7="No aplica"),0,'BOULEVARD 5'!Y211-'BOULEVARD PPTO'!Q206)</f>
        <v>0</v>
      </c>
      <c r="W213" s="760">
        <f>IF(OR($A213="F&amp;F",$A213="CE",W$7="No aplica"),0,'BOULEVARD 5'!Z211-'BOULEVARD PPTO'!R206)</f>
        <v>0</v>
      </c>
      <c r="X213" s="760">
        <f>IF(OR($A213="F&amp;F",$A213="CE",X$7="No aplica"),0,'BOULEVARD 5'!AA211-'BOULEVARD PPTO'!S206)</f>
        <v>0</v>
      </c>
      <c r="Y213" s="760">
        <f>IF(OR($A213="F&amp;F",$A213="CE",Y$7="No aplica"),0,'BOULEVARD 5'!AB211-'BOULEVARD PPTO'!T206)</f>
        <v>0</v>
      </c>
      <c r="Z213" s="760">
        <f>IF(OR($A213="F&amp;F",$A213="CE",Z$7="No aplica"),0,'BOULEVARD 5'!AC211-'BOULEVARD PPTO'!U206)</f>
        <v>0</v>
      </c>
      <c r="AA213" s="760">
        <f>IF(OR($A213="F&amp;F",$A213="CE",AA$7="No aplica"),0,'BOULEVARD 5'!AD211-'BOULEVARD PPTO'!V206)</f>
        <v>0</v>
      </c>
      <c r="AB213" s="760">
        <f>IF(OR($A213="F&amp;F",$A213="CE",AB$7="No aplica"),0,'BOULEVARD 5'!AE211-'BOULEVARD PPTO'!W206)</f>
        <v>0</v>
      </c>
      <c r="AC213" s="760">
        <f>IF(OR($A213="F&amp;F",$A213="CE",AC$7="No aplica"),0,'BOULEVARD 5'!AF211-'BOULEVARD PPTO'!X206)</f>
        <v>0</v>
      </c>
      <c r="AD213" s="760">
        <f>IF(OR($A213="F&amp;F",$A213="CE",AD$7="No aplica"),0,'BOULEVARD 5'!AG211-'BOULEVARD PPTO'!Y206)</f>
        <v>0</v>
      </c>
      <c r="AE213" s="760">
        <f>IF(OR($A213="F&amp;F",$A213="CE",AE$7="No aplica"),0,'BOULEVARD 5'!AH211-'BOULEVARD PPTO'!Z206)</f>
        <v>0</v>
      </c>
      <c r="AF213" s="760">
        <f>IF(OR($A213="F&amp;F",$A213="CE",AF$7="No aplica"),0,'BOULEVARD 5'!AI211-'BOULEVARD PPTO'!AA206)</f>
        <v>0</v>
      </c>
      <c r="AG213" s="760">
        <f>IF(OR($A213="F&amp;F",$A213="CE",AG$7="No aplica"),0,'BOULEVARD 5'!AJ211-'BOULEVARD PPTO'!AB206)</f>
        <v>0</v>
      </c>
      <c r="AH213" s="760">
        <f>IF(OR($A213="F&amp;F",$A213="CE",AH$7="No aplica"),0,'BOULEVARD 5'!AK211-'BOULEVARD PPTO'!AC206)</f>
        <v>0</v>
      </c>
      <c r="AI213" s="760">
        <f>IF(OR($A213="F&amp;F",$A213="CE",AI$7="No aplica"),0,'BOULEVARD 5'!AL211-'BOULEVARD PPTO'!AD206)</f>
        <v>0</v>
      </c>
      <c r="AJ213" s="760">
        <f>IF(OR($A213="F&amp;F",$A213="CE",AJ$7="No aplica"),0,'BOULEVARD 5'!AM211-'BOULEVARD PPTO'!AE206)</f>
        <v>0</v>
      </c>
      <c r="AK213" s="760">
        <f>IF(OR($A213="F&amp;F",$A213="CE",AK$7="No aplica"),0,'BOULEVARD 5'!AN211-'BOULEVARD PPTO'!AF206)</f>
        <v>0</v>
      </c>
      <c r="AL213" s="760">
        <f>IF(OR($A213="F&amp;F",$A213="CE",AL$7="No aplica"),0,'BOULEVARD 5'!AO211-'BOULEVARD PPTO'!AG206)</f>
        <v>0</v>
      </c>
      <c r="AM213" s="760">
        <f>IF(OR($A213="F&amp;F",$A213="CE",AM$7="No aplica"),0,'BOULEVARD 5'!AP211-'BOULEVARD PPTO'!AH206)</f>
        <v>0</v>
      </c>
      <c r="AN213" s="760">
        <f>IF(OR($A213="F&amp;F",$A213="CE",AN$7="No aplica"),0,'BOULEVARD 5'!AQ211-'BOULEVARD PPTO'!AI206)</f>
        <v>0</v>
      </c>
      <c r="AO213" s="760">
        <f>IF(OR($A213="F&amp;F",$A213="CE",AO$7="No aplica"),0,'BOULEVARD 5'!AS211-'BOULEVARD PPTO'!AJ206)</f>
        <v>0</v>
      </c>
      <c r="AP213" s="761">
        <f t="shared" si="23"/>
        <v>0</v>
      </c>
      <c r="AQ213" s="761">
        <f t="shared" si="24"/>
        <v>-1465.7799999999988</v>
      </c>
      <c r="AR213" s="674">
        <f>IF(A213=0,'BOULEVARD 5'!BF211,0)</f>
        <v>10000</v>
      </c>
      <c r="AS213" s="674">
        <f>IF(A213=0,'BOULEVARD 5'!BG211,0)</f>
        <v>6006</v>
      </c>
      <c r="AT213" s="675" t="str">
        <f t="shared" si="22"/>
        <v>Vendido</v>
      </c>
      <c r="AU213" s="581" t="str">
        <f t="shared" si="21"/>
        <v/>
      </c>
      <c r="AV213" s="760">
        <f t="shared" si="25"/>
        <v>0</v>
      </c>
    </row>
    <row r="214" spans="1:48" s="581" customFormat="1" ht="12.4" customHeight="1" outlineLevel="1" x14ac:dyDescent="0.25">
      <c r="A214" s="703">
        <f>'BOULEVARD 5'!BQ212</f>
        <v>0</v>
      </c>
      <c r="B214" s="564">
        <v>1201</v>
      </c>
      <c r="C214" s="564" t="s">
        <v>617</v>
      </c>
      <c r="D214" s="564"/>
      <c r="E214" s="564" t="str">
        <f>IF('BOULEVARD 5'!E212&lt;&gt;0,'BOULEVARD 5'!E212,"")</f>
        <v>Antonio Rada</v>
      </c>
      <c r="F214" s="581" t="str">
        <f>IF('BOULEVARD 5'!F212&lt;&gt;0,'BOULEVARD 5'!F212,"")</f>
        <v>Rogelio Alejandro Ochoa Hernandez</v>
      </c>
      <c r="G214" s="566">
        <f>IF('BOULEVARD 5'!G212="","",'BOULEVARD 5'!G212)</f>
        <v>45461</v>
      </c>
      <c r="H214" s="756">
        <f>IF(OR($A214="F&amp;F",$A214="CE",H$7="No aplica"),0,'BOULEVARD 5'!K212-'BOULEVARD PPTO'!C207)</f>
        <v>0</v>
      </c>
      <c r="I214" s="756">
        <f>IF(OR($A214="F&amp;F",$A214="CE",I$7="No aplica"),0,'BOULEVARD 5'!L212-'BOULEVARD PPTO'!D207)</f>
        <v>0</v>
      </c>
      <c r="J214" s="756">
        <f>IF(OR($A214="F&amp;F",$A214="CE",J$7="No aplica"),0,'BOULEVARD 5'!M212-'BOULEVARD PPTO'!E207)</f>
        <v>0</v>
      </c>
      <c r="K214" s="756">
        <f>IF(OR($A214="F&amp;F",$A214="CE",K$7="No aplica"),0,'BOULEVARD 5'!N212-'BOULEVARD PPTO'!F207)</f>
        <v>0</v>
      </c>
      <c r="L214" s="756">
        <f>IF(OR($A214="F&amp;F",$A214="CE",L$7="No aplica"),0,'BOULEVARD 5'!O212-'BOULEVARD PPTO'!G207)</f>
        <v>0</v>
      </c>
      <c r="M214" s="756">
        <f>IF(OR($A214="F&amp;F",$A214="CE",M$7="No aplica"),0,'BOULEVARD 5'!P212-'BOULEVARD PPTO'!H207)</f>
        <v>0</v>
      </c>
      <c r="N214" s="756">
        <f>IF(OR($A214="F&amp;F",$A214="CE",N$7="No aplica"),0,'BOULEVARD 5'!Q212-'BOULEVARD PPTO'!I207)</f>
        <v>0</v>
      </c>
      <c r="O214" s="756">
        <f>IF(OR($A214="F&amp;F",$A214="CE",O$7="No aplica"),0,'BOULEVARD 5'!R212-'BOULEVARD PPTO'!J207)</f>
        <v>0</v>
      </c>
      <c r="P214" s="756">
        <f>IF(OR($A214="F&amp;F",$A214="CE",P$7="No aplica"),0,'BOULEVARD 5'!S212-'BOULEVARD PPTO'!K207)</f>
        <v>0</v>
      </c>
      <c r="Q214" s="760">
        <f>IF(OR($A214="F&amp;F",$A214="CE",Q$7="No aplica"),0,'BOULEVARD 5'!T212-'BOULEVARD PPTO'!L207)</f>
        <v>0</v>
      </c>
      <c r="R214" s="760">
        <f>IF(OR($A214="F&amp;F",$A214="CE",R$7="No aplica"),0,'BOULEVARD 5'!U212-'BOULEVARD PPTO'!M207)</f>
        <v>0</v>
      </c>
      <c r="S214" s="760">
        <f>IF(OR($A214="F&amp;F",$A214="CE",S$7="No aplica"),0,'BOULEVARD 5'!V212-'BOULEVARD PPTO'!N207)</f>
        <v>0</v>
      </c>
      <c r="T214" s="760">
        <f>IF(OR($A214="F&amp;F",$A214="CE",T$7="No aplica"),0,'BOULEVARD 5'!W212-'BOULEVARD PPTO'!O207)</f>
        <v>0</v>
      </c>
      <c r="U214" s="760">
        <f>IF(OR($A214="F&amp;F",$A214="CE",U$7="No aplica"),0,'BOULEVARD 5'!X212-'BOULEVARD PPTO'!P207)</f>
        <v>0</v>
      </c>
      <c r="V214" s="760">
        <f>IF(OR($A214="F&amp;F",$A214="CE",V$7="No aplica"),0,'BOULEVARD 5'!Y212-'BOULEVARD PPTO'!Q207)</f>
        <v>0</v>
      </c>
      <c r="W214" s="760">
        <f>IF(OR($A214="F&amp;F",$A214="CE",W$7="No aplica"),0,'BOULEVARD 5'!Z212-'BOULEVARD PPTO'!R207)</f>
        <v>0</v>
      </c>
      <c r="X214" s="760">
        <f>IF(OR($A214="F&amp;F",$A214="CE",X$7="No aplica"),0,'BOULEVARD 5'!AA212-'BOULEVARD PPTO'!S207)</f>
        <v>89</v>
      </c>
      <c r="Y214" s="760">
        <f>IF(OR($A214="F&amp;F",$A214="CE",Y$7="No aplica"),0,'BOULEVARD 5'!AB212-'BOULEVARD PPTO'!T207)</f>
        <v>89</v>
      </c>
      <c r="Z214" s="760">
        <f>IF(OR($A214="F&amp;F",$A214="CE",Z$7="No aplica"),0,'BOULEVARD 5'!AC212-'BOULEVARD PPTO'!U207)</f>
        <v>89</v>
      </c>
      <c r="AA214" s="760">
        <f>IF(OR($A214="F&amp;F",$A214="CE",AA$7="No aplica"),0,'BOULEVARD 5'!AD212-'BOULEVARD PPTO'!V207)</f>
        <v>89</v>
      </c>
      <c r="AB214" s="760">
        <f>IF(OR($A214="F&amp;F",$A214="CE",AB$7="No aplica"),0,'BOULEVARD 5'!AE212-'BOULEVARD PPTO'!W207)</f>
        <v>-6411</v>
      </c>
      <c r="AC214" s="760">
        <f>IF(OR($A214="F&amp;F",$A214="CE",AC$7="No aplica"),0,'BOULEVARD 5'!AF212-'BOULEVARD PPTO'!X207)</f>
        <v>89</v>
      </c>
      <c r="AD214" s="760">
        <f>IF(OR($A214="F&amp;F",$A214="CE",AD$7="No aplica"),0,'BOULEVARD 5'!AG212-'BOULEVARD PPTO'!Y207)</f>
        <v>89</v>
      </c>
      <c r="AE214" s="760">
        <f>IF(OR($A214="F&amp;F",$A214="CE",AE$7="No aplica"),0,'BOULEVARD 5'!AH212-'BOULEVARD PPTO'!Z207)</f>
        <v>89</v>
      </c>
      <c r="AF214" s="760">
        <f>IF(OR($A214="F&amp;F",$A214="CE",AF$7="No aplica"),0,'BOULEVARD 5'!AI212-'BOULEVARD PPTO'!AA207)</f>
        <v>-6411</v>
      </c>
      <c r="AG214" s="760">
        <f>IF(OR($A214="F&amp;F",$A214="CE",AG$7="No aplica"),0,'BOULEVARD 5'!AJ212-'BOULEVARD PPTO'!AB207)</f>
        <v>6589</v>
      </c>
      <c r="AH214" s="760">
        <f>IF(OR($A214="F&amp;F",$A214="CE",AH$7="No aplica"),0,'BOULEVARD 5'!AK212-'BOULEVARD PPTO'!AC207)</f>
        <v>89</v>
      </c>
      <c r="AI214" s="760">
        <f>IF(OR($A214="F&amp;F",$A214="CE",AI$7="No aplica"),0,'BOULEVARD 5'!AL212-'BOULEVARD PPTO'!AD207)</f>
        <v>89</v>
      </c>
      <c r="AJ214" s="760">
        <f>IF(OR($A214="F&amp;F",$A214="CE",AJ$7="No aplica"),0,'BOULEVARD 5'!AM212-'BOULEVARD PPTO'!AE207)</f>
        <v>89</v>
      </c>
      <c r="AK214" s="760">
        <f>IF(OR($A214="F&amp;F",$A214="CE",AK$7="No aplica"),0,'BOULEVARD 5'!AN212-'BOULEVARD PPTO'!AF207)</f>
        <v>89</v>
      </c>
      <c r="AL214" s="760">
        <f>IF(OR($A214="F&amp;F",$A214="CE",AL$7="No aplica"),0,'BOULEVARD 5'!AO212-'BOULEVARD PPTO'!AG207)</f>
        <v>89</v>
      </c>
      <c r="AM214" s="760">
        <f>IF(OR($A214="F&amp;F",$A214="CE",AM$7="No aplica"),0,'BOULEVARD 5'!AP212-'BOULEVARD PPTO'!AH207)</f>
        <v>-6411</v>
      </c>
      <c r="AN214" s="760">
        <f>IF(OR($A214="F&amp;F",$A214="CE",AN$7="No aplica"),0,'BOULEVARD 5'!AQ212-'BOULEVARD PPTO'!AI207)</f>
        <v>0</v>
      </c>
      <c r="AO214" s="760">
        <f>IF(OR($A214="F&amp;F",$A214="CE",AO$7="No aplica"),0,'BOULEVARD 5'!AS212-'BOULEVARD PPTO'!AJ207)</f>
        <v>0</v>
      </c>
      <c r="AP214" s="761">
        <f t="shared" si="23"/>
        <v>-11576</v>
      </c>
      <c r="AQ214" s="761">
        <f t="shared" si="24"/>
        <v>-24400</v>
      </c>
      <c r="AR214" s="674">
        <f>IF(A214=0,'BOULEVARD 5'!BF212,0)</f>
        <v>10000</v>
      </c>
      <c r="AS214" s="674">
        <f>IF(A214=0,'BOULEVARD 5'!BG212,0)</f>
        <v>6500</v>
      </c>
      <c r="AT214" s="675" t="str">
        <f t="shared" si="22"/>
        <v>Vendido</v>
      </c>
      <c r="AU214" s="581" t="str">
        <f t="shared" si="21"/>
        <v>POR COBRAR</v>
      </c>
      <c r="AV214" s="760">
        <f t="shared" si="25"/>
        <v>0</v>
      </c>
    </row>
    <row r="215" spans="1:48" s="581" customFormat="1" ht="12.4" customHeight="1" outlineLevel="1" x14ac:dyDescent="0.25">
      <c r="A215" s="703">
        <f>'BOULEVARD 5'!BQ213</f>
        <v>0</v>
      </c>
      <c r="B215" s="564">
        <v>1202</v>
      </c>
      <c r="C215" s="564" t="s">
        <v>619</v>
      </c>
      <c r="D215" s="564"/>
      <c r="E215" s="564" t="str">
        <f>IF('BOULEVARD 5'!E213&lt;&gt;0,'BOULEVARD 5'!E213,"")</f>
        <v>Antonio Rada</v>
      </c>
      <c r="F215" s="581" t="str">
        <f>IF('BOULEVARD 5'!F213&lt;&gt;0,'BOULEVARD 5'!F213,"")</f>
        <v>Edwin Steven Quiroa Sitamul</v>
      </c>
      <c r="G215" s="566">
        <f>IF('BOULEVARD 5'!G213="","",'BOULEVARD 5'!G213)</f>
        <v>45350</v>
      </c>
      <c r="H215" s="756">
        <f>IF(OR($A215="F&amp;F",$A215="CE",H$7="No aplica"),0,'BOULEVARD 5'!K213-'BOULEVARD PPTO'!C208)</f>
        <v>0</v>
      </c>
      <c r="I215" s="756">
        <f>IF(OR($A215="F&amp;F",$A215="CE",I$7="No aplica"),0,'BOULEVARD 5'!L213-'BOULEVARD PPTO'!D208)</f>
        <v>0</v>
      </c>
      <c r="J215" s="756">
        <f>IF(OR($A215="F&amp;F",$A215="CE",J$7="No aplica"),0,'BOULEVARD 5'!M213-'BOULEVARD PPTO'!E208)</f>
        <v>0</v>
      </c>
      <c r="K215" s="756">
        <f>IF(OR($A215="F&amp;F",$A215="CE",K$7="No aplica"),0,'BOULEVARD 5'!N213-'BOULEVARD PPTO'!F208)</f>
        <v>0</v>
      </c>
      <c r="L215" s="756">
        <f>IF(OR($A215="F&amp;F",$A215="CE",L$7="No aplica"),0,'BOULEVARD 5'!O213-'BOULEVARD PPTO'!G208)</f>
        <v>0</v>
      </c>
      <c r="M215" s="756">
        <f>IF(OR($A215="F&amp;F",$A215="CE",M$7="No aplica"),0,'BOULEVARD 5'!P213-'BOULEVARD PPTO'!H208)</f>
        <v>0</v>
      </c>
      <c r="N215" s="756">
        <f>IF(OR($A215="F&amp;F",$A215="CE",N$7="No aplica"),0,'BOULEVARD 5'!Q213-'BOULEVARD PPTO'!I208)</f>
        <v>0</v>
      </c>
      <c r="O215" s="756">
        <f>IF(OR($A215="F&amp;F",$A215="CE",O$7="No aplica"),0,'BOULEVARD 5'!R213-'BOULEVARD PPTO'!J208)</f>
        <v>0</v>
      </c>
      <c r="P215" s="756">
        <f>IF(OR($A215="F&amp;F",$A215="CE",P$7="No aplica"),0,'BOULEVARD 5'!S213-'BOULEVARD PPTO'!K208)</f>
        <v>0</v>
      </c>
      <c r="Q215" s="760">
        <f>IF(OR($A215="F&amp;F",$A215="CE",Q$7="No aplica"),0,'BOULEVARD 5'!T213-'BOULEVARD PPTO'!L208)</f>
        <v>0</v>
      </c>
      <c r="R215" s="760">
        <f>IF(OR($A215="F&amp;F",$A215="CE",R$7="No aplica"),0,'BOULEVARD 5'!U213-'BOULEVARD PPTO'!M208)</f>
        <v>0</v>
      </c>
      <c r="S215" s="760">
        <f>IF(OR($A215="F&amp;F",$A215="CE",S$7="No aplica"),0,'BOULEVARD 5'!V213-'BOULEVARD PPTO'!N208)</f>
        <v>0</v>
      </c>
      <c r="T215" s="760">
        <f>IF(OR($A215="F&amp;F",$A215="CE",T$7="No aplica"),0,'BOULEVARD 5'!W213-'BOULEVARD PPTO'!O208)</f>
        <v>0</v>
      </c>
      <c r="U215" s="760">
        <f>IF(OR($A215="F&amp;F",$A215="CE",U$7="No aplica"),0,'BOULEVARD 5'!X213-'BOULEVARD PPTO'!P208)</f>
        <v>0</v>
      </c>
      <c r="V215" s="760">
        <f>IF(OR($A215="F&amp;F",$A215="CE",V$7="No aplica"),0,'BOULEVARD 5'!Y213-'BOULEVARD PPTO'!Q208)</f>
        <v>0</v>
      </c>
      <c r="W215" s="760">
        <f>IF(OR($A215="F&amp;F",$A215="CE",W$7="No aplica"),0,'BOULEVARD 5'!Z213-'BOULEVARD PPTO'!R208)</f>
        <v>0</v>
      </c>
      <c r="X215" s="760">
        <f>IF(OR($A215="F&amp;F",$A215="CE",X$7="No aplica"),0,'BOULEVARD 5'!AA213-'BOULEVARD PPTO'!S208)</f>
        <v>0</v>
      </c>
      <c r="Y215" s="760">
        <f>IF(OR($A215="F&amp;F",$A215="CE",Y$7="No aplica"),0,'BOULEVARD 5'!AB213-'BOULEVARD PPTO'!T208)</f>
        <v>0</v>
      </c>
      <c r="Z215" s="760">
        <f>IF(OR($A215="F&amp;F",$A215="CE",Z$7="No aplica"),0,'BOULEVARD 5'!AC213-'BOULEVARD PPTO'!U208)</f>
        <v>0</v>
      </c>
      <c r="AA215" s="760">
        <f>IF(OR($A215="F&amp;F",$A215="CE",AA$7="No aplica"),0,'BOULEVARD 5'!AD213-'BOULEVARD PPTO'!V208)</f>
        <v>0</v>
      </c>
      <c r="AB215" s="760">
        <f>IF(OR($A215="F&amp;F",$A215="CE",AB$7="No aplica"),0,'BOULEVARD 5'!AE213-'BOULEVARD PPTO'!W208)</f>
        <v>0</v>
      </c>
      <c r="AC215" s="760">
        <f>IF(OR($A215="F&amp;F",$A215="CE",AC$7="No aplica"),0,'BOULEVARD 5'!AF213-'BOULEVARD PPTO'!X208)</f>
        <v>0</v>
      </c>
      <c r="AD215" s="760">
        <f>IF(OR($A215="F&amp;F",$A215="CE",AD$7="No aplica"),0,'BOULEVARD 5'!AG213-'BOULEVARD PPTO'!Y208)</f>
        <v>0</v>
      </c>
      <c r="AE215" s="760">
        <f>IF(OR($A215="F&amp;F",$A215="CE",AE$7="No aplica"),0,'BOULEVARD 5'!AH213-'BOULEVARD PPTO'!Z208)</f>
        <v>0</v>
      </c>
      <c r="AF215" s="760">
        <f>IF(OR($A215="F&amp;F",$A215="CE",AF$7="No aplica"),0,'BOULEVARD 5'!AI213-'BOULEVARD PPTO'!AA208)</f>
        <v>0</v>
      </c>
      <c r="AG215" s="760">
        <f>IF(OR($A215="F&amp;F",$A215="CE",AG$7="No aplica"),0,'BOULEVARD 5'!AJ213-'BOULEVARD PPTO'!AB208)</f>
        <v>0</v>
      </c>
      <c r="AH215" s="760">
        <f>IF(OR($A215="F&amp;F",$A215="CE",AH$7="No aplica"),0,'BOULEVARD 5'!AK213-'BOULEVARD PPTO'!AC208)</f>
        <v>0</v>
      </c>
      <c r="AI215" s="760">
        <f>IF(OR($A215="F&amp;F",$A215="CE",AI$7="No aplica"),0,'BOULEVARD 5'!AL213-'BOULEVARD PPTO'!AD208)</f>
        <v>0</v>
      </c>
      <c r="AJ215" s="760">
        <f>IF(OR($A215="F&amp;F",$A215="CE",AJ$7="No aplica"),0,'BOULEVARD 5'!AM213-'BOULEVARD PPTO'!AE208)</f>
        <v>0</v>
      </c>
      <c r="AK215" s="760">
        <f>IF(OR($A215="F&amp;F",$A215="CE",AK$7="No aplica"),0,'BOULEVARD 5'!AN213-'BOULEVARD PPTO'!AF208)</f>
        <v>0</v>
      </c>
      <c r="AL215" s="760">
        <f>IF(OR($A215="F&amp;F",$A215="CE",AL$7="No aplica"),0,'BOULEVARD 5'!AO213-'BOULEVARD PPTO'!AG208)</f>
        <v>0</v>
      </c>
      <c r="AM215" s="760">
        <f>IF(OR($A215="F&amp;F",$A215="CE",AM$7="No aplica"),0,'BOULEVARD 5'!AP213-'BOULEVARD PPTO'!AH208)</f>
        <v>0</v>
      </c>
      <c r="AN215" s="760">
        <f>IF(OR($A215="F&amp;F",$A215="CE",AN$7="No aplica"),0,'BOULEVARD 5'!AQ213-'BOULEVARD PPTO'!AI208)</f>
        <v>0</v>
      </c>
      <c r="AO215" s="760">
        <f>IF(OR($A215="F&amp;F",$A215="CE",AO$7="No aplica"),0,'BOULEVARD 5'!AS213-'BOULEVARD PPTO'!AJ208)</f>
        <v>0</v>
      </c>
      <c r="AP215" s="761">
        <f t="shared" si="23"/>
        <v>0</v>
      </c>
      <c r="AQ215" s="761">
        <f t="shared" si="24"/>
        <v>0</v>
      </c>
      <c r="AR215" s="674">
        <f>IF(A215=0,'BOULEVARD 5'!BF213,0)</f>
        <v>8000</v>
      </c>
      <c r="AS215" s="674">
        <f>IF(A215=0,'BOULEVARD 5'!BG213,0)</f>
        <v>6242</v>
      </c>
      <c r="AT215" s="675" t="str">
        <f t="shared" si="22"/>
        <v>Vendido</v>
      </c>
      <c r="AU215" s="581" t="str">
        <f t="shared" si="21"/>
        <v/>
      </c>
      <c r="AV215" s="760">
        <f t="shared" si="25"/>
        <v>0</v>
      </c>
    </row>
    <row r="216" spans="1:48" s="581" customFormat="1" ht="12.4" customHeight="1" outlineLevel="1" x14ac:dyDescent="0.25">
      <c r="A216" s="703">
        <f>'BOULEVARD 5'!BQ214</f>
        <v>0</v>
      </c>
      <c r="B216" s="564">
        <v>1203</v>
      </c>
      <c r="C216" s="564" t="s">
        <v>400</v>
      </c>
      <c r="D216" s="564"/>
      <c r="E216" s="564" t="str">
        <f>IF('BOULEVARD 5'!E214&lt;&gt;0,'BOULEVARD 5'!E214,"")</f>
        <v>Antonio Rada</v>
      </c>
      <c r="F216" s="581" t="str">
        <f>IF('BOULEVARD 5'!F214&lt;&gt;0,'BOULEVARD 5'!F214,"")</f>
        <v>Allan Vinicio Velásquez León</v>
      </c>
      <c r="G216" s="566">
        <f>IF('BOULEVARD 5'!G214="","",'BOULEVARD 5'!G214)</f>
        <v>45165</v>
      </c>
      <c r="H216" s="756">
        <f>IF(OR($A216="F&amp;F",$A216="CE",H$7="No aplica"),0,'BOULEVARD 5'!K214-'BOULEVARD PPTO'!C209)</f>
        <v>0</v>
      </c>
      <c r="I216" s="756">
        <f>IF(OR($A216="F&amp;F",$A216="CE",I$7="No aplica"),0,'BOULEVARD 5'!L214-'BOULEVARD PPTO'!D209)</f>
        <v>0</v>
      </c>
      <c r="J216" s="756">
        <f>IF(OR($A216="F&amp;F",$A216="CE",J$7="No aplica"),0,'BOULEVARD 5'!M214-'BOULEVARD PPTO'!E209)</f>
        <v>0</v>
      </c>
      <c r="K216" s="756">
        <f>IF(OR($A216="F&amp;F",$A216="CE",K$7="No aplica"),0,'BOULEVARD 5'!N214-'BOULEVARD PPTO'!F209)</f>
        <v>0</v>
      </c>
      <c r="L216" s="756">
        <f>IF(OR($A216="F&amp;F",$A216="CE",L$7="No aplica"),0,'BOULEVARD 5'!O214-'BOULEVARD PPTO'!G209)</f>
        <v>0</v>
      </c>
      <c r="M216" s="756">
        <f>IF(OR($A216="F&amp;F",$A216="CE",M$7="No aplica"),0,'BOULEVARD 5'!P214-'BOULEVARD PPTO'!H209)</f>
        <v>0</v>
      </c>
      <c r="N216" s="756">
        <f>IF(OR($A216="F&amp;F",$A216="CE",N$7="No aplica"),0,'BOULEVARD 5'!Q214-'BOULEVARD PPTO'!I209)</f>
        <v>262</v>
      </c>
      <c r="O216" s="756">
        <f>IF(OR($A216="F&amp;F",$A216="CE",O$7="No aplica"),0,'BOULEVARD 5'!R214-'BOULEVARD PPTO'!J209)</f>
        <v>262</v>
      </c>
      <c r="P216" s="756">
        <f>IF(OR($A216="F&amp;F",$A216="CE",P$7="No aplica"),0,'BOULEVARD 5'!S214-'BOULEVARD PPTO'!K209)</f>
        <v>-3368</v>
      </c>
      <c r="Q216" s="760">
        <f>IF(OR($A216="F&amp;F",$A216="CE",Q$7="No aplica"),0,'BOULEVARD 5'!T214-'BOULEVARD PPTO'!L209)</f>
        <v>3892</v>
      </c>
      <c r="R216" s="760">
        <f>IF(OR($A216="F&amp;F",$A216="CE",R$7="No aplica"),0,'BOULEVARD 5'!U214-'BOULEVARD PPTO'!M209)</f>
        <v>262</v>
      </c>
      <c r="S216" s="760">
        <f>IF(OR($A216="F&amp;F",$A216="CE",S$7="No aplica"),0,'BOULEVARD 5'!V214-'BOULEVARD PPTO'!N209)</f>
        <v>-3368</v>
      </c>
      <c r="T216" s="760">
        <f>IF(OR($A216="F&amp;F",$A216="CE",T$7="No aplica"),0,'BOULEVARD 5'!W214-'BOULEVARD PPTO'!O209)</f>
        <v>262</v>
      </c>
      <c r="U216" s="760">
        <f>IF(OR($A216="F&amp;F",$A216="CE",U$7="No aplica"),0,'BOULEVARD 5'!X214-'BOULEVARD PPTO'!P209)</f>
        <v>3892</v>
      </c>
      <c r="V216" s="760">
        <f>IF(OR($A216="F&amp;F",$A216="CE",V$7="No aplica"),0,'BOULEVARD 5'!Y214-'BOULEVARD PPTO'!Q209)</f>
        <v>-3368</v>
      </c>
      <c r="W216" s="760">
        <f>IF(OR($A216="F&amp;F",$A216="CE",W$7="No aplica"),0,'BOULEVARD 5'!Z214-'BOULEVARD PPTO'!R209)</f>
        <v>3892</v>
      </c>
      <c r="X216" s="760">
        <f>IF(OR($A216="F&amp;F",$A216="CE",X$7="No aplica"),0,'BOULEVARD 5'!AA214-'BOULEVARD PPTO'!S209)</f>
        <v>-3368</v>
      </c>
      <c r="Y216" s="760">
        <f>IF(OR($A216="F&amp;F",$A216="CE",Y$7="No aplica"),0,'BOULEVARD 5'!AB214-'BOULEVARD PPTO'!T209)</f>
        <v>-3368</v>
      </c>
      <c r="Z216" s="760">
        <f>IF(OR($A216="F&amp;F",$A216="CE",Z$7="No aplica"),0,'BOULEVARD 5'!AC214-'BOULEVARD PPTO'!U209)</f>
        <v>262</v>
      </c>
      <c r="AA216" s="760">
        <f>IF(OR($A216="F&amp;F",$A216="CE",AA$7="No aplica"),0,'BOULEVARD 5'!AD214-'BOULEVARD PPTO'!V209)</f>
        <v>262</v>
      </c>
      <c r="AB216" s="760">
        <f>IF(OR($A216="F&amp;F",$A216="CE",AB$7="No aplica"),0,'BOULEVARD 5'!AE214-'BOULEVARD PPTO'!W209)</f>
        <v>3892</v>
      </c>
      <c r="AC216" s="760">
        <f>IF(OR($A216="F&amp;F",$A216="CE",AC$7="No aplica"),0,'BOULEVARD 5'!AF214-'BOULEVARD PPTO'!X209)</f>
        <v>-3368</v>
      </c>
      <c r="AD216" s="760">
        <f>IF(OR($A216="F&amp;F",$A216="CE",AD$7="No aplica"),0,'BOULEVARD 5'!AG214-'BOULEVARD PPTO'!Y209)</f>
        <v>-3368</v>
      </c>
      <c r="AE216" s="760">
        <f>IF(OR($A216="F&amp;F",$A216="CE",AE$7="No aplica"),0,'BOULEVARD 5'!AH214-'BOULEVARD PPTO'!Z209)</f>
        <v>7522</v>
      </c>
      <c r="AF216" s="760">
        <f>IF(OR($A216="F&amp;F",$A216="CE",AF$7="No aplica"),0,'BOULEVARD 5'!AI214-'BOULEVARD PPTO'!AA209)</f>
        <v>-3368</v>
      </c>
      <c r="AG216" s="760">
        <f>IF(OR($A216="F&amp;F",$A216="CE",AG$7="No aplica"),0,'BOULEVARD 5'!AJ214-'BOULEVARD PPTO'!AB209)</f>
        <v>7522</v>
      </c>
      <c r="AH216" s="760">
        <f>IF(OR($A216="F&amp;F",$A216="CE",AH$7="No aplica"),0,'BOULEVARD 5'!AK214-'BOULEVARD PPTO'!AC209)</f>
        <v>-3368</v>
      </c>
      <c r="AI216" s="760">
        <f>IF(OR($A216="F&amp;F",$A216="CE",AI$7="No aplica"),0,'BOULEVARD 5'!AL214-'BOULEVARD PPTO'!AD209)</f>
        <v>3892</v>
      </c>
      <c r="AJ216" s="760">
        <f>IF(OR($A216="F&amp;F",$A216="CE",AJ$7="No aplica"),0,'BOULEVARD 5'!AM214-'BOULEVARD PPTO'!AE209)</f>
        <v>-3368</v>
      </c>
      <c r="AK216" s="760">
        <f>IF(OR($A216="F&amp;F",$A216="CE",AK$7="No aplica"),0,'BOULEVARD 5'!AN214-'BOULEVARD PPTO'!AF209)</f>
        <v>-3368</v>
      </c>
      <c r="AL216" s="760">
        <f>IF(OR($A216="F&amp;F",$A216="CE",AL$7="No aplica"),0,'BOULEVARD 5'!AO214-'BOULEVARD PPTO'!AG209)</f>
        <v>1062</v>
      </c>
      <c r="AM216" s="760">
        <f>IF(OR($A216="F&amp;F",$A216="CE",AM$7="No aplica"),0,'BOULEVARD 5'!AP214-'BOULEVARD PPTO'!AH209)</f>
        <v>0</v>
      </c>
      <c r="AN216" s="760">
        <f>IF(OR($A216="F&amp;F",$A216="CE",AN$7="No aplica"),0,'BOULEVARD 5'!AQ214-'BOULEVARD PPTO'!AI209)</f>
        <v>0</v>
      </c>
      <c r="AO216" s="760">
        <f>IF(OR($A216="F&amp;F",$A216="CE",AO$7="No aplica"),0,'BOULEVARD 5'!AS214-'BOULEVARD PPTO'!AJ209)</f>
        <v>0</v>
      </c>
      <c r="AP216" s="761">
        <f t="shared" si="23"/>
        <v>90</v>
      </c>
      <c r="AQ216" s="761">
        <f t="shared" si="24"/>
        <v>180</v>
      </c>
      <c r="AR216" s="674">
        <f>IF(A216=0,'BOULEVARD 5'!BF214,0)</f>
        <v>6000</v>
      </c>
      <c r="AS216" s="674">
        <f>IF(A216=0,'BOULEVARD 5'!BG214,0)</f>
        <v>3368</v>
      </c>
      <c r="AT216" s="675" t="str">
        <f t="shared" si="22"/>
        <v>Vendido</v>
      </c>
      <c r="AU216" s="581" t="str">
        <f t="shared" si="21"/>
        <v>A FAVOR DEL CLIENTE</v>
      </c>
      <c r="AV216" s="760">
        <f t="shared" si="25"/>
        <v>0</v>
      </c>
    </row>
    <row r="217" spans="1:48" s="581" customFormat="1" ht="12.4" customHeight="1" outlineLevel="1" x14ac:dyDescent="0.25">
      <c r="A217" s="703">
        <f>'BOULEVARD 5'!BQ215</f>
        <v>0</v>
      </c>
      <c r="B217" s="564">
        <v>1204</v>
      </c>
      <c r="C217" s="564" t="s">
        <v>175</v>
      </c>
      <c r="D217" s="564"/>
      <c r="E217" s="564" t="str">
        <f>IF('BOULEVARD 5'!E215&lt;&gt;0,'BOULEVARD 5'!E215,"")</f>
        <v>Antonio Rada</v>
      </c>
      <c r="F217" s="581" t="str">
        <f>IF('BOULEVARD 5'!F215&lt;&gt;0,'BOULEVARD 5'!F215,"")</f>
        <v>Josselin Alejandra Turcios Orantes</v>
      </c>
      <c r="G217" s="566">
        <f>IF('BOULEVARD 5'!G215="","",'BOULEVARD 5'!G215)</f>
        <v>45336</v>
      </c>
      <c r="H217" s="756">
        <f>IF(OR($A217="F&amp;F",$A217="CE",H$7="No aplica"),0,'BOULEVARD 5'!K215-'BOULEVARD PPTO'!C210)</f>
        <v>0</v>
      </c>
      <c r="I217" s="756">
        <f>IF(OR($A217="F&amp;F",$A217="CE",I$7="No aplica"),0,'BOULEVARD 5'!L215-'BOULEVARD PPTO'!D210)</f>
        <v>0</v>
      </c>
      <c r="J217" s="756">
        <f>IF(OR($A217="F&amp;F",$A217="CE",J$7="No aplica"),0,'BOULEVARD 5'!M215-'BOULEVARD PPTO'!E210)</f>
        <v>0</v>
      </c>
      <c r="K217" s="756">
        <f>IF(OR($A217="F&amp;F",$A217="CE",K$7="No aplica"),0,'BOULEVARD 5'!N215-'BOULEVARD PPTO'!F210)</f>
        <v>0</v>
      </c>
      <c r="L217" s="756">
        <f>IF(OR($A217="F&amp;F",$A217="CE",L$7="No aplica"),0,'BOULEVARD 5'!O215-'BOULEVARD PPTO'!G210)</f>
        <v>0</v>
      </c>
      <c r="M217" s="756">
        <f>IF(OR($A217="F&amp;F",$A217="CE",M$7="No aplica"),0,'BOULEVARD 5'!P215-'BOULEVARD PPTO'!H210)</f>
        <v>0</v>
      </c>
      <c r="N217" s="756">
        <f>IF(OR($A217="F&amp;F",$A217="CE",N$7="No aplica"),0,'BOULEVARD 5'!Q215-'BOULEVARD PPTO'!I210)</f>
        <v>0</v>
      </c>
      <c r="O217" s="756">
        <f>IF(OR($A217="F&amp;F",$A217="CE",O$7="No aplica"),0,'BOULEVARD 5'!R215-'BOULEVARD PPTO'!J210)</f>
        <v>0</v>
      </c>
      <c r="P217" s="756">
        <f>IF(OR($A217="F&amp;F",$A217="CE",P$7="No aplica"),0,'BOULEVARD 5'!S215-'BOULEVARD PPTO'!K210)</f>
        <v>0</v>
      </c>
      <c r="Q217" s="760">
        <f>IF(OR($A217="F&amp;F",$A217="CE",Q$7="No aplica"),0,'BOULEVARD 5'!T215-'BOULEVARD PPTO'!L210)</f>
        <v>0</v>
      </c>
      <c r="R217" s="760">
        <f>IF(OR($A217="F&amp;F",$A217="CE",R$7="No aplica"),0,'BOULEVARD 5'!U215-'BOULEVARD PPTO'!M210)</f>
        <v>0</v>
      </c>
      <c r="S217" s="760">
        <f>IF(OR($A217="F&amp;F",$A217="CE",S$7="No aplica"),0,'BOULEVARD 5'!V215-'BOULEVARD PPTO'!N210)</f>
        <v>0</v>
      </c>
      <c r="T217" s="760">
        <f>IF(OR($A217="F&amp;F",$A217="CE",T$7="No aplica"),0,'BOULEVARD 5'!W215-'BOULEVARD PPTO'!O210)</f>
        <v>0</v>
      </c>
      <c r="U217" s="760">
        <f>IF(OR($A217="F&amp;F",$A217="CE",U$7="No aplica"),0,'BOULEVARD 5'!X215-'BOULEVARD PPTO'!P210)</f>
        <v>0</v>
      </c>
      <c r="V217" s="760">
        <f>IF(OR($A217="F&amp;F",$A217="CE",V$7="No aplica"),0,'BOULEVARD 5'!Y215-'BOULEVARD PPTO'!Q210)</f>
        <v>0</v>
      </c>
      <c r="W217" s="760">
        <f>IF(OR($A217="F&amp;F",$A217="CE",W$7="No aplica"),0,'BOULEVARD 5'!Z215-'BOULEVARD PPTO'!R210)</f>
        <v>0</v>
      </c>
      <c r="X217" s="760">
        <f>IF(OR($A217="F&amp;F",$A217="CE",X$7="No aplica"),0,'BOULEVARD 5'!AA215-'BOULEVARD PPTO'!S210)</f>
        <v>0</v>
      </c>
      <c r="Y217" s="760">
        <f>IF(OR($A217="F&amp;F",$A217="CE",Y$7="No aplica"),0,'BOULEVARD 5'!AB215-'BOULEVARD PPTO'!T210)</f>
        <v>0</v>
      </c>
      <c r="Z217" s="760">
        <f>IF(OR($A217="F&amp;F",$A217="CE",Z$7="No aplica"),0,'BOULEVARD 5'!AC215-'BOULEVARD PPTO'!U210)</f>
        <v>0</v>
      </c>
      <c r="AA217" s="760">
        <f>IF(OR($A217="F&amp;F",$A217="CE",AA$7="No aplica"),0,'BOULEVARD 5'!AD215-'BOULEVARD PPTO'!V210)</f>
        <v>0</v>
      </c>
      <c r="AB217" s="760">
        <f>IF(OR($A217="F&amp;F",$A217="CE",AB$7="No aplica"),0,'BOULEVARD 5'!AE215-'BOULEVARD PPTO'!W210)</f>
        <v>0</v>
      </c>
      <c r="AC217" s="760">
        <f>IF(OR($A217="F&amp;F",$A217="CE",AC$7="No aplica"),0,'BOULEVARD 5'!AF215-'BOULEVARD PPTO'!X210)</f>
        <v>0</v>
      </c>
      <c r="AD217" s="760">
        <f>IF(OR($A217="F&amp;F",$A217="CE",AD$7="No aplica"),0,'BOULEVARD 5'!AG215-'BOULEVARD PPTO'!Y210)</f>
        <v>0</v>
      </c>
      <c r="AE217" s="760">
        <f>IF(OR($A217="F&amp;F",$A217="CE",AE$7="No aplica"),0,'BOULEVARD 5'!AH215-'BOULEVARD PPTO'!Z210)</f>
        <v>0</v>
      </c>
      <c r="AF217" s="760">
        <f>IF(OR($A217="F&amp;F",$A217="CE",AF$7="No aplica"),0,'BOULEVARD 5'!AI215-'BOULEVARD PPTO'!AA210)</f>
        <v>0</v>
      </c>
      <c r="AG217" s="760">
        <f>IF(OR($A217="F&amp;F",$A217="CE",AG$7="No aplica"),0,'BOULEVARD 5'!AJ215-'BOULEVARD PPTO'!AB210)</f>
        <v>0</v>
      </c>
      <c r="AH217" s="760">
        <f>IF(OR($A217="F&amp;F",$A217="CE",AH$7="No aplica"),0,'BOULEVARD 5'!AK215-'BOULEVARD PPTO'!AC210)</f>
        <v>0</v>
      </c>
      <c r="AI217" s="760">
        <f>IF(OR($A217="F&amp;F",$A217="CE",AI$7="No aplica"),0,'BOULEVARD 5'!AL215-'BOULEVARD PPTO'!AD210)</f>
        <v>0</v>
      </c>
      <c r="AJ217" s="760">
        <f>IF(OR($A217="F&amp;F",$A217="CE",AJ$7="No aplica"),0,'BOULEVARD 5'!AM215-'BOULEVARD PPTO'!AE210)</f>
        <v>0</v>
      </c>
      <c r="AK217" s="760">
        <f>IF(OR($A217="F&amp;F",$A217="CE",AK$7="No aplica"),0,'BOULEVARD 5'!AN215-'BOULEVARD PPTO'!AF210)</f>
        <v>0</v>
      </c>
      <c r="AL217" s="760">
        <f>IF(OR($A217="F&amp;F",$A217="CE",AL$7="No aplica"),0,'BOULEVARD 5'!AO215-'BOULEVARD PPTO'!AG210)</f>
        <v>0</v>
      </c>
      <c r="AM217" s="760">
        <f>IF(OR($A217="F&amp;F",$A217="CE",AM$7="No aplica"),0,'BOULEVARD 5'!AP215-'BOULEVARD PPTO'!AH210)</f>
        <v>0</v>
      </c>
      <c r="AN217" s="760">
        <f>IF(OR($A217="F&amp;F",$A217="CE",AN$7="No aplica"),0,'BOULEVARD 5'!AQ215-'BOULEVARD PPTO'!AI210)</f>
        <v>0</v>
      </c>
      <c r="AO217" s="760">
        <f>IF(OR($A217="F&amp;F",$A217="CE",AO$7="No aplica"),0,'BOULEVARD 5'!AS215-'BOULEVARD PPTO'!AJ210)</f>
        <v>0</v>
      </c>
      <c r="AP217" s="761">
        <f t="shared" si="23"/>
        <v>0</v>
      </c>
      <c r="AQ217" s="761">
        <f t="shared" si="24"/>
        <v>0</v>
      </c>
      <c r="AR217" s="674">
        <f>IF(A217=0,'BOULEVARD 5'!BF215,0)</f>
        <v>8000</v>
      </c>
      <c r="AS217" s="674">
        <f>IF(A217=0,'BOULEVARD 5'!BG215,0)</f>
        <v>4253</v>
      </c>
      <c r="AT217" s="675" t="str">
        <f t="shared" si="22"/>
        <v>Vendido</v>
      </c>
      <c r="AU217" s="581" t="str">
        <f t="shared" si="21"/>
        <v/>
      </c>
      <c r="AV217" s="760">
        <f t="shared" si="25"/>
        <v>0</v>
      </c>
    </row>
    <row r="218" spans="1:48" s="581" customFormat="1" ht="12.4" customHeight="1" outlineLevel="1" x14ac:dyDescent="0.25">
      <c r="A218" s="703">
        <f>'BOULEVARD 5'!BQ216</f>
        <v>0</v>
      </c>
      <c r="B218" s="564">
        <v>1205</v>
      </c>
      <c r="C218" s="564" t="s">
        <v>192</v>
      </c>
      <c r="D218" s="564"/>
      <c r="E218" s="564" t="str">
        <f>IF('BOULEVARD 5'!E216&lt;&gt;0,'BOULEVARD 5'!E216,"")</f>
        <v>Antonio Rada</v>
      </c>
      <c r="F218" s="581" t="str">
        <f>IF('BOULEVARD 5'!F216&lt;&gt;0,'BOULEVARD 5'!F216,"")</f>
        <v>Andrea Nicole Mansilla Fuentes</v>
      </c>
      <c r="G218" s="566">
        <f>IF('BOULEVARD 5'!G216="","",'BOULEVARD 5'!G216)</f>
        <v>45010</v>
      </c>
      <c r="H218" s="756">
        <f>IF(OR($A218="F&amp;F",$A218="CE",H$7="No aplica"),0,'BOULEVARD 5'!K216-'BOULEVARD PPTO'!C211)</f>
        <v>0</v>
      </c>
      <c r="I218" s="756">
        <f>IF(OR($A218="F&amp;F",$A218="CE",I$7="No aplica"),0,'BOULEVARD 5'!L216-'BOULEVARD PPTO'!D211)</f>
        <v>0</v>
      </c>
      <c r="J218" s="756">
        <f>IF(OR($A218="F&amp;F",$A218="CE",J$7="No aplica"),0,'BOULEVARD 5'!M216-'BOULEVARD PPTO'!E211)</f>
        <v>0</v>
      </c>
      <c r="K218" s="756">
        <f>IF(OR($A218="F&amp;F",$A218="CE",K$7="No aplica"),0,'BOULEVARD 5'!N216-'BOULEVARD PPTO'!F211)</f>
        <v>0</v>
      </c>
      <c r="L218" s="756">
        <f>IF(OR($A218="F&amp;F",$A218="CE",L$7="No aplica"),0,'BOULEVARD 5'!O216-'BOULEVARD PPTO'!G211)</f>
        <v>0</v>
      </c>
      <c r="M218" s="756">
        <f>IF(OR($A218="F&amp;F",$A218="CE",M$7="No aplica"),0,'BOULEVARD 5'!P216-'BOULEVARD PPTO'!H211)</f>
        <v>0</v>
      </c>
      <c r="N218" s="756">
        <f>IF(OR($A218="F&amp;F",$A218="CE",N$7="No aplica"),0,'BOULEVARD 5'!Q216-'BOULEVARD PPTO'!I211)</f>
        <v>0</v>
      </c>
      <c r="O218" s="756">
        <f>IF(OR($A218="F&amp;F",$A218="CE",O$7="No aplica"),0,'BOULEVARD 5'!R216-'BOULEVARD PPTO'!J211)</f>
        <v>4</v>
      </c>
      <c r="P218" s="756">
        <f>IF(OR($A218="F&amp;F",$A218="CE",P$7="No aplica"),0,'BOULEVARD 5'!S216-'BOULEVARD PPTO'!K211)</f>
        <v>4</v>
      </c>
      <c r="Q218" s="760">
        <f>IF(OR($A218="F&amp;F",$A218="CE",Q$7="No aplica"),0,'BOULEVARD 5'!T216-'BOULEVARD PPTO'!L211)</f>
        <v>-1726</v>
      </c>
      <c r="R218" s="760">
        <f>IF(OR($A218="F&amp;F",$A218="CE",R$7="No aplica"),0,'BOULEVARD 5'!U216-'BOULEVARD PPTO'!M211)</f>
        <v>1724</v>
      </c>
      <c r="S218" s="760">
        <f>IF(OR($A218="F&amp;F",$A218="CE",S$7="No aplica"),0,'BOULEVARD 5'!V216-'BOULEVARD PPTO'!N211)</f>
        <v>-1726</v>
      </c>
      <c r="T218" s="760">
        <f>IF(OR($A218="F&amp;F",$A218="CE",T$7="No aplica"),0,'BOULEVARD 5'!W216-'BOULEVARD PPTO'!O211)</f>
        <v>1774</v>
      </c>
      <c r="U218" s="760">
        <f>IF(OR($A218="F&amp;F",$A218="CE",U$7="No aplica"),0,'BOULEVARD 5'!X216-'BOULEVARD PPTO'!P211)</f>
        <v>774</v>
      </c>
      <c r="V218" s="760">
        <f>IF(OR($A218="F&amp;F",$A218="CE",V$7="No aplica"),0,'BOULEVARD 5'!Y216-'BOULEVARD PPTO'!Q211)</f>
        <v>74</v>
      </c>
      <c r="W218" s="760">
        <f>IF(OR($A218="F&amp;F",$A218="CE",W$7="No aplica"),0,'BOULEVARD 5'!Z216-'BOULEVARD PPTO'!R211)</f>
        <v>74</v>
      </c>
      <c r="X218" s="760">
        <f>IF(OR($A218="F&amp;F",$A218="CE",X$7="No aplica"),0,'BOULEVARD 5'!AA216-'BOULEVARD PPTO'!S211)</f>
        <v>74</v>
      </c>
      <c r="Y218" s="760">
        <f>IF(OR($A218="F&amp;F",$A218="CE",Y$7="No aplica"),0,'BOULEVARD 5'!AB216-'BOULEVARD PPTO'!T211)</f>
        <v>174</v>
      </c>
      <c r="Z218" s="760">
        <f>IF(OR($A218="F&amp;F",$A218="CE",Z$7="No aplica"),0,'BOULEVARD 5'!AC216-'BOULEVARD PPTO'!U211)</f>
        <v>74</v>
      </c>
      <c r="AA218" s="760">
        <f>IF(OR($A218="F&amp;F",$A218="CE",AA$7="No aplica"),0,'BOULEVARD 5'!AD216-'BOULEVARD PPTO'!V211)</f>
        <v>-1726</v>
      </c>
      <c r="AB218" s="760">
        <f>IF(OR($A218="F&amp;F",$A218="CE",AB$7="No aplica"),0,'BOULEVARD 5'!AE216-'BOULEVARD PPTO'!W211)</f>
        <v>74</v>
      </c>
      <c r="AC218" s="760">
        <f>IF(OR($A218="F&amp;F",$A218="CE",AC$7="No aplica"),0,'BOULEVARD 5'!AF216-'BOULEVARD PPTO'!X211)</f>
        <v>1874</v>
      </c>
      <c r="AD218" s="760">
        <f>IF(OR($A218="F&amp;F",$A218="CE",AD$7="No aplica"),0,'BOULEVARD 5'!AG216-'BOULEVARD PPTO'!Y211)</f>
        <v>-1726</v>
      </c>
      <c r="AE218" s="760">
        <f>IF(OR($A218="F&amp;F",$A218="CE",AE$7="No aplica"),0,'BOULEVARD 5'!AH216-'BOULEVARD PPTO'!Z211)</f>
        <v>74</v>
      </c>
      <c r="AF218" s="760">
        <f>IF(OR($A218="F&amp;F",$A218="CE",AF$7="No aplica"),0,'BOULEVARD 5'!AI216-'BOULEVARD PPTO'!AA211)</f>
        <v>74</v>
      </c>
      <c r="AG218" s="760">
        <f>IF(OR($A218="F&amp;F",$A218="CE",AG$7="No aplica"),0,'BOULEVARD 5'!AJ216-'BOULEVARD PPTO'!AB211)</f>
        <v>-1726</v>
      </c>
      <c r="AH218" s="760">
        <f>IF(OR($A218="F&amp;F",$A218="CE",AH$7="No aplica"),0,'BOULEVARD 5'!AK216-'BOULEVARD PPTO'!AC211)</f>
        <v>274</v>
      </c>
      <c r="AI218" s="760">
        <f>IF(OR($A218="F&amp;F",$A218="CE",AI$7="No aplica"),0,'BOULEVARD 5'!AL216-'BOULEVARD PPTO'!AD211)</f>
        <v>-1726</v>
      </c>
      <c r="AJ218" s="760">
        <f>IF(OR($A218="F&amp;F",$A218="CE",AJ$7="No aplica"),0,'BOULEVARD 5'!AM216-'BOULEVARD PPTO'!AE211)</f>
        <v>74</v>
      </c>
      <c r="AK218" s="760">
        <f>IF(OR($A218="F&amp;F",$A218="CE",AK$7="No aplica"),0,'BOULEVARD 5'!AN216-'BOULEVARD PPTO'!AF211)</f>
        <v>74</v>
      </c>
      <c r="AL218" s="760">
        <f>IF(OR($A218="F&amp;F",$A218="CE",AL$7="No aplica"),0,'BOULEVARD 5'!AO216-'BOULEVARD PPTO'!AG211)</f>
        <v>1874</v>
      </c>
      <c r="AM218" s="760">
        <f>IF(OR($A218="F&amp;F",$A218="CE",AM$7="No aplica"),0,'BOULEVARD 5'!AP216-'BOULEVARD PPTO'!AH211)</f>
        <v>-1726</v>
      </c>
      <c r="AN218" s="760">
        <f>IF(OR($A218="F&amp;F",$A218="CE",AN$7="No aplica"),0,'BOULEVARD 5'!AQ216-'BOULEVARD PPTO'!AI211)</f>
        <v>0</v>
      </c>
      <c r="AO218" s="760">
        <f>IF(OR($A218="F&amp;F",$A218="CE",AO$7="No aplica"),0,'BOULEVARD 5'!AS216-'BOULEVARD PPTO'!AJ211)</f>
        <v>0</v>
      </c>
      <c r="AP218" s="761">
        <f t="shared" si="23"/>
        <v>-2940</v>
      </c>
      <c r="AQ218" s="761">
        <f t="shared" si="24"/>
        <v>-8034</v>
      </c>
      <c r="AR218" s="674">
        <f>IF(A218=0,'BOULEVARD 5'!BF216,0)</f>
        <v>6000</v>
      </c>
      <c r="AS218" s="674">
        <f>IF(A218=0,'BOULEVARD 5'!BG216,0)</f>
        <v>1726</v>
      </c>
      <c r="AT218" s="675" t="str">
        <f t="shared" si="22"/>
        <v>Vendido</v>
      </c>
      <c r="AU218" s="581" t="str">
        <f t="shared" si="21"/>
        <v>POR COBRAR</v>
      </c>
      <c r="AV218" s="760">
        <f t="shared" si="25"/>
        <v>0</v>
      </c>
    </row>
    <row r="219" spans="1:48" s="581" customFormat="1" ht="12.4" customHeight="1" outlineLevel="1" x14ac:dyDescent="0.25">
      <c r="A219" s="703">
        <f>'BOULEVARD 5'!BQ217</f>
        <v>0</v>
      </c>
      <c r="B219" s="564">
        <v>1206</v>
      </c>
      <c r="C219" s="564" t="s">
        <v>178</v>
      </c>
      <c r="D219" s="564"/>
      <c r="E219" s="564" t="str">
        <f>IF('BOULEVARD 5'!E217&lt;&gt;0,'BOULEVARD 5'!E217,"")</f>
        <v>Jose Franco</v>
      </c>
      <c r="F219" s="581" t="str">
        <f>IF('BOULEVARD 5'!F217&lt;&gt;0,'BOULEVARD 5'!F217,"")</f>
        <v>Juan José Silva Pacheco</v>
      </c>
      <c r="G219" s="566">
        <f>IF('BOULEVARD 5'!G217="","",'BOULEVARD 5'!G217)</f>
        <v>45062</v>
      </c>
      <c r="H219" s="756">
        <f>IF(OR($A219="F&amp;F",$A219="CE",H$7="No aplica"),0,'BOULEVARD 5'!K217-'BOULEVARD PPTO'!C212)</f>
        <v>0</v>
      </c>
      <c r="I219" s="756">
        <f>IF(OR($A219="F&amp;F",$A219="CE",I$7="No aplica"),0,'BOULEVARD 5'!L217-'BOULEVARD PPTO'!D212)</f>
        <v>0</v>
      </c>
      <c r="J219" s="756">
        <f>IF(OR($A219="F&amp;F",$A219="CE",J$7="No aplica"),0,'BOULEVARD 5'!M217-'BOULEVARD PPTO'!E212)</f>
        <v>0</v>
      </c>
      <c r="K219" s="756">
        <f>IF(OR($A219="F&amp;F",$A219="CE",K$7="No aplica"),0,'BOULEVARD 5'!N217-'BOULEVARD PPTO'!F212)</f>
        <v>0</v>
      </c>
      <c r="L219" s="756">
        <f>IF(OR($A219="F&amp;F",$A219="CE",L$7="No aplica"),0,'BOULEVARD 5'!O217-'BOULEVARD PPTO'!G212)</f>
        <v>0</v>
      </c>
      <c r="M219" s="756">
        <f>IF(OR($A219="F&amp;F",$A219="CE",M$7="No aplica"),0,'BOULEVARD 5'!P217-'BOULEVARD PPTO'!H212)</f>
        <v>0</v>
      </c>
      <c r="N219" s="756">
        <f>IF(OR($A219="F&amp;F",$A219="CE",N$7="No aplica"),0,'BOULEVARD 5'!Q217-'BOULEVARD PPTO'!I212)</f>
        <v>0</v>
      </c>
      <c r="O219" s="756">
        <f>IF(OR($A219="F&amp;F",$A219="CE",O$7="No aplica"),0,'BOULEVARD 5'!R217-'BOULEVARD PPTO'!J212)</f>
        <v>0</v>
      </c>
      <c r="P219" s="756">
        <f>IF(OR($A219="F&amp;F",$A219="CE",P$7="No aplica"),0,'BOULEVARD 5'!S217-'BOULEVARD PPTO'!K212)</f>
        <v>0</v>
      </c>
      <c r="Q219" s="760">
        <f>IF(OR($A219="F&amp;F",$A219="CE",Q$7="No aplica"),0,'BOULEVARD 5'!T217-'BOULEVARD PPTO'!L212)</f>
        <v>0</v>
      </c>
      <c r="R219" s="760">
        <f>IF(OR($A219="F&amp;F",$A219="CE",R$7="No aplica"),0,'BOULEVARD 5'!U217-'BOULEVARD PPTO'!M212)</f>
        <v>0</v>
      </c>
      <c r="S219" s="760">
        <f>IF(OR($A219="F&amp;F",$A219="CE",S$7="No aplica"),0,'BOULEVARD 5'!V217-'BOULEVARD PPTO'!N212)</f>
        <v>0</v>
      </c>
      <c r="T219" s="760">
        <f>IF(OR($A219="F&amp;F",$A219="CE",T$7="No aplica"),0,'BOULEVARD 5'!W217-'BOULEVARD PPTO'!O212)</f>
        <v>0</v>
      </c>
      <c r="U219" s="760">
        <f>IF(OR($A219="F&amp;F",$A219="CE",U$7="No aplica"),0,'BOULEVARD 5'!X217-'BOULEVARD PPTO'!P212)</f>
        <v>0</v>
      </c>
      <c r="V219" s="760">
        <f>IF(OR($A219="F&amp;F",$A219="CE",V$7="No aplica"),0,'BOULEVARD 5'!Y217-'BOULEVARD PPTO'!Q212)</f>
        <v>0</v>
      </c>
      <c r="W219" s="760">
        <f>IF(OR($A219="F&amp;F",$A219="CE",W$7="No aplica"),0,'BOULEVARD 5'!Z217-'BOULEVARD PPTO'!R212)</f>
        <v>0</v>
      </c>
      <c r="X219" s="760">
        <f>IF(OR($A219="F&amp;F",$A219="CE",X$7="No aplica"),0,'BOULEVARD 5'!AA217-'BOULEVARD PPTO'!S212)</f>
        <v>0</v>
      </c>
      <c r="Y219" s="760">
        <f>IF(OR($A219="F&amp;F",$A219="CE",Y$7="No aplica"),0,'BOULEVARD 5'!AB217-'BOULEVARD PPTO'!T212)</f>
        <v>0</v>
      </c>
      <c r="Z219" s="760">
        <f>IF(OR($A219="F&amp;F",$A219="CE",Z$7="No aplica"),0,'BOULEVARD 5'!AC217-'BOULEVARD PPTO'!U212)</f>
        <v>0</v>
      </c>
      <c r="AA219" s="760">
        <f>IF(OR($A219="F&amp;F",$A219="CE",AA$7="No aplica"),0,'BOULEVARD 5'!AD217-'BOULEVARD PPTO'!V212)</f>
        <v>0</v>
      </c>
      <c r="AB219" s="760">
        <f>IF(OR($A219="F&amp;F",$A219="CE",AB$7="No aplica"),0,'BOULEVARD 5'!AE217-'BOULEVARD PPTO'!W212)</f>
        <v>0</v>
      </c>
      <c r="AC219" s="760">
        <f>IF(OR($A219="F&amp;F",$A219="CE",AC$7="No aplica"),0,'BOULEVARD 5'!AF217-'BOULEVARD PPTO'!X212)</f>
        <v>0</v>
      </c>
      <c r="AD219" s="760">
        <f>IF(OR($A219="F&amp;F",$A219="CE",AD$7="No aplica"),0,'BOULEVARD 5'!AG217-'BOULEVARD PPTO'!Y212)</f>
        <v>0</v>
      </c>
      <c r="AE219" s="760">
        <f>IF(OR($A219="F&amp;F",$A219="CE",AE$7="No aplica"),0,'BOULEVARD 5'!AH217-'BOULEVARD PPTO'!Z212)</f>
        <v>0</v>
      </c>
      <c r="AF219" s="760">
        <f>IF(OR($A219="F&amp;F",$A219="CE",AF$7="No aplica"),0,'BOULEVARD 5'!AI217-'BOULEVARD PPTO'!AA212)</f>
        <v>0</v>
      </c>
      <c r="AG219" s="760">
        <f>IF(OR($A219="F&amp;F",$A219="CE",AG$7="No aplica"),0,'BOULEVARD 5'!AJ217-'BOULEVARD PPTO'!AB212)</f>
        <v>0</v>
      </c>
      <c r="AH219" s="760">
        <f>IF(OR($A219="F&amp;F",$A219="CE",AH$7="No aplica"),0,'BOULEVARD 5'!AK217-'BOULEVARD PPTO'!AC212)</f>
        <v>0</v>
      </c>
      <c r="AI219" s="760">
        <f>IF(OR($A219="F&amp;F",$A219="CE",AI$7="No aplica"),0,'BOULEVARD 5'!AL217-'BOULEVARD PPTO'!AD212)</f>
        <v>0</v>
      </c>
      <c r="AJ219" s="760">
        <f>IF(OR($A219="F&amp;F",$A219="CE",AJ$7="No aplica"),0,'BOULEVARD 5'!AM217-'BOULEVARD PPTO'!AE212)</f>
        <v>0</v>
      </c>
      <c r="AK219" s="760">
        <f>IF(OR($A219="F&amp;F",$A219="CE",AK$7="No aplica"),0,'BOULEVARD 5'!AN217-'BOULEVARD PPTO'!AF212)</f>
        <v>-2254</v>
      </c>
      <c r="AL219" s="760">
        <f>IF(OR($A219="F&amp;F",$A219="CE",AL$7="No aplica"),0,'BOULEVARD 5'!AO217-'BOULEVARD PPTO'!AG212)</f>
        <v>0</v>
      </c>
      <c r="AM219" s="760">
        <f>IF(OR($A219="F&amp;F",$A219="CE",AM$7="No aplica"),0,'BOULEVARD 5'!AP217-'BOULEVARD PPTO'!AH212)</f>
        <v>0</v>
      </c>
      <c r="AN219" s="760">
        <f>IF(OR($A219="F&amp;F",$A219="CE",AN$7="No aplica"),0,'BOULEVARD 5'!AQ217-'BOULEVARD PPTO'!AI212)</f>
        <v>0</v>
      </c>
      <c r="AO219" s="760">
        <f>IF(OR($A219="F&amp;F",$A219="CE",AO$7="No aplica"),0,'BOULEVARD 5'!AS217-'BOULEVARD PPTO'!AJ212)</f>
        <v>0</v>
      </c>
      <c r="AP219" s="761">
        <f t="shared" si="23"/>
        <v>-2254</v>
      </c>
      <c r="AQ219" s="761">
        <f t="shared" si="24"/>
        <v>-2254</v>
      </c>
      <c r="AR219" s="674">
        <f>IF(A219=0,'BOULEVARD 5'!BF217,0)</f>
        <v>6000</v>
      </c>
      <c r="AS219" s="674">
        <f>IF(A219=0,'BOULEVARD 5'!BG217,0)</f>
        <v>2254</v>
      </c>
      <c r="AT219" s="675" t="str">
        <f t="shared" si="22"/>
        <v>Vendido</v>
      </c>
      <c r="AU219" s="581" t="str">
        <f t="shared" si="21"/>
        <v>POR COBRAR</v>
      </c>
      <c r="AV219" s="760">
        <f t="shared" si="25"/>
        <v>0</v>
      </c>
    </row>
    <row r="220" spans="1:48" s="581" customFormat="1" ht="12.4" customHeight="1" outlineLevel="1" x14ac:dyDescent="0.25">
      <c r="A220" s="703" t="str">
        <f>'BOULEVARD 5'!BQ218</f>
        <v>F&amp;F</v>
      </c>
      <c r="B220" s="704">
        <v>1207</v>
      </c>
      <c r="C220" s="704" t="s">
        <v>465</v>
      </c>
      <c r="D220" s="704"/>
      <c r="E220" s="704" t="str">
        <f>IF('BOULEVARD 5'!E218&lt;&gt;0,'BOULEVARD 5'!E218,"")</f>
        <v>Jose Franco</v>
      </c>
      <c r="F220" s="705" t="str">
        <f>IF('BOULEVARD 5'!F218&lt;&gt;0,'BOULEVARD 5'!F218,"")</f>
        <v>David Arimany Monzón</v>
      </c>
      <c r="G220" s="566">
        <f>IF('BOULEVARD 5'!G218="","",'BOULEVARD 5'!G218)</f>
        <v>45012</v>
      </c>
      <c r="H220" s="756">
        <f>IF(OR($A220="F&amp;F",$A220="CE",H$7="No aplica"),0,'BOULEVARD 5'!K218-'BOULEVARD PPTO'!C213)</f>
        <v>0</v>
      </c>
      <c r="I220" s="756">
        <f>IF(OR($A220="F&amp;F",$A220="CE",I$7="No aplica"),0,'BOULEVARD 5'!L218-'BOULEVARD PPTO'!D213)</f>
        <v>0</v>
      </c>
      <c r="J220" s="756">
        <f>IF(OR($A220="F&amp;F",$A220="CE",J$7="No aplica"),0,'BOULEVARD 5'!M218-'BOULEVARD PPTO'!E213)</f>
        <v>0</v>
      </c>
      <c r="K220" s="756">
        <f>IF(OR($A220="F&amp;F",$A220="CE",K$7="No aplica"),0,'BOULEVARD 5'!N218-'BOULEVARD PPTO'!F213)</f>
        <v>0</v>
      </c>
      <c r="L220" s="756">
        <f>IF(OR($A220="F&amp;F",$A220="CE",L$7="No aplica"),0,'BOULEVARD 5'!O218-'BOULEVARD PPTO'!G213)</f>
        <v>0</v>
      </c>
      <c r="M220" s="756">
        <f>IF(OR($A220="F&amp;F",$A220="CE",M$7="No aplica"),0,'BOULEVARD 5'!P218-'BOULEVARD PPTO'!H213)</f>
        <v>0</v>
      </c>
      <c r="N220" s="756">
        <f>IF(OR($A220="F&amp;F",$A220="CE",N$7="No aplica"),0,'BOULEVARD 5'!Q218-'BOULEVARD PPTO'!I213)</f>
        <v>0</v>
      </c>
      <c r="O220" s="756">
        <f>IF(OR($A220="F&amp;F",$A220="CE",O$7="No aplica"),0,'BOULEVARD 5'!R218-'BOULEVARD PPTO'!J213)</f>
        <v>0</v>
      </c>
      <c r="P220" s="756">
        <f>IF(OR($A220="F&amp;F",$A220="CE",P$7="No aplica"),0,'BOULEVARD 5'!S218-'BOULEVARD PPTO'!K213)</f>
        <v>0</v>
      </c>
      <c r="Q220" s="760">
        <f>IF(OR($A220="F&amp;F",$A220="CE",Q$7="No aplica"),0,'BOULEVARD 5'!T218-'BOULEVARD PPTO'!L213)</f>
        <v>0</v>
      </c>
      <c r="R220" s="760">
        <f>IF(OR($A220="F&amp;F",$A220="CE",R$7="No aplica"),0,'BOULEVARD 5'!U218-'BOULEVARD PPTO'!M213)</f>
        <v>0</v>
      </c>
      <c r="S220" s="760">
        <f>IF(OR($A220="F&amp;F",$A220="CE",S$7="No aplica"),0,'BOULEVARD 5'!V218-'BOULEVARD PPTO'!N213)</f>
        <v>0</v>
      </c>
      <c r="T220" s="760">
        <f>IF(OR($A220="F&amp;F",$A220="CE",T$7="No aplica"),0,'BOULEVARD 5'!W218-'BOULEVARD PPTO'!O213)</f>
        <v>0</v>
      </c>
      <c r="U220" s="760">
        <f>IF(OR($A220="F&amp;F",$A220="CE",U$7="No aplica"),0,'BOULEVARD 5'!X218-'BOULEVARD PPTO'!P213)</f>
        <v>0</v>
      </c>
      <c r="V220" s="760">
        <f>IF(OR($A220="F&amp;F",$A220="CE",V$7="No aplica"),0,'BOULEVARD 5'!Y218-'BOULEVARD PPTO'!Q213)</f>
        <v>0</v>
      </c>
      <c r="W220" s="760">
        <f>IF(OR($A220="F&amp;F",$A220="CE",W$7="No aplica"),0,'BOULEVARD 5'!Z218-'BOULEVARD PPTO'!R213)</f>
        <v>0</v>
      </c>
      <c r="X220" s="760">
        <f>IF(OR($A220="F&amp;F",$A220="CE",X$7="No aplica"),0,'BOULEVARD 5'!AA218-'BOULEVARD PPTO'!S213)</f>
        <v>0</v>
      </c>
      <c r="Y220" s="760">
        <f>IF(OR($A220="F&amp;F",$A220="CE",Y$7="No aplica"),0,'BOULEVARD 5'!AB218-'BOULEVARD PPTO'!T213)</f>
        <v>0</v>
      </c>
      <c r="Z220" s="760">
        <f>IF(OR($A220="F&amp;F",$A220="CE",Z$7="No aplica"),0,'BOULEVARD 5'!AC218-'BOULEVARD PPTO'!U213)</f>
        <v>0</v>
      </c>
      <c r="AA220" s="760">
        <f>IF(OR($A220="F&amp;F",$A220="CE",AA$7="No aplica"),0,'BOULEVARD 5'!AD218-'BOULEVARD PPTO'!V213)</f>
        <v>0</v>
      </c>
      <c r="AB220" s="760">
        <f>IF(OR($A220="F&amp;F",$A220="CE",AB$7="No aplica"),0,'BOULEVARD 5'!AE218-'BOULEVARD PPTO'!W213)</f>
        <v>0</v>
      </c>
      <c r="AC220" s="760">
        <f>IF(OR($A220="F&amp;F",$A220="CE",AC$7="No aplica"),0,'BOULEVARD 5'!AF218-'BOULEVARD PPTO'!X213)</f>
        <v>0</v>
      </c>
      <c r="AD220" s="760">
        <f>IF(OR($A220="F&amp;F",$A220="CE",AD$7="No aplica"),0,'BOULEVARD 5'!AG218-'BOULEVARD PPTO'!Y213)</f>
        <v>0</v>
      </c>
      <c r="AE220" s="760">
        <f>IF(OR($A220="F&amp;F",$A220="CE",AE$7="No aplica"),0,'BOULEVARD 5'!AH218-'BOULEVARD PPTO'!Z213)</f>
        <v>0</v>
      </c>
      <c r="AF220" s="760">
        <f>IF(OR($A220="F&amp;F",$A220="CE",AF$7="No aplica"),0,'BOULEVARD 5'!AI218-'BOULEVARD PPTO'!AA213)</f>
        <v>0</v>
      </c>
      <c r="AG220" s="760">
        <f>IF(OR($A220="F&amp;F",$A220="CE",AG$7="No aplica"),0,'BOULEVARD 5'!AJ218-'BOULEVARD PPTO'!AB213)</f>
        <v>0</v>
      </c>
      <c r="AH220" s="760">
        <f>IF(OR($A220="F&amp;F",$A220="CE",AH$7="No aplica"),0,'BOULEVARD 5'!AK218-'BOULEVARD PPTO'!AC213)</f>
        <v>0</v>
      </c>
      <c r="AI220" s="760">
        <f>IF(OR($A220="F&amp;F",$A220="CE",AI$7="No aplica"),0,'BOULEVARD 5'!AL218-'BOULEVARD PPTO'!AD213)</f>
        <v>0</v>
      </c>
      <c r="AJ220" s="760">
        <f>IF(OR($A220="F&amp;F",$A220="CE",AJ$7="No aplica"),0,'BOULEVARD 5'!AM218-'BOULEVARD PPTO'!AE213)</f>
        <v>0</v>
      </c>
      <c r="AK220" s="760">
        <f>IF(OR($A220="F&amp;F",$A220="CE",AK$7="No aplica"),0,'BOULEVARD 5'!AN218-'BOULEVARD PPTO'!AF213)</f>
        <v>0</v>
      </c>
      <c r="AL220" s="760">
        <f>IF(OR($A220="F&amp;F",$A220="CE",AL$7="No aplica"),0,'BOULEVARD 5'!AO218-'BOULEVARD PPTO'!AG213)</f>
        <v>0</v>
      </c>
      <c r="AM220" s="760">
        <f>IF(OR($A220="F&amp;F",$A220="CE",AM$7="No aplica"),0,'BOULEVARD 5'!AP218-'BOULEVARD PPTO'!AH213)</f>
        <v>0</v>
      </c>
      <c r="AN220" s="760">
        <f>IF(OR($A220="F&amp;F",$A220="CE",AN$7="No aplica"),0,'BOULEVARD 5'!AQ218-'BOULEVARD PPTO'!AI213)</f>
        <v>0</v>
      </c>
      <c r="AO220" s="760">
        <f>IF(OR($A220="F&amp;F",$A220="CE",AO$7="No aplica"),0,'BOULEVARD 5'!AS218-'BOULEVARD PPTO'!AJ213)</f>
        <v>0</v>
      </c>
      <c r="AP220" s="761">
        <f t="shared" si="23"/>
        <v>0</v>
      </c>
      <c r="AQ220" s="761">
        <f t="shared" si="24"/>
        <v>0</v>
      </c>
      <c r="AR220" s="674">
        <f>IF(A220=0,'BOULEVARD 5'!BF218,0)</f>
        <v>0</v>
      </c>
      <c r="AS220" s="674">
        <f>IF(A220=0,'BOULEVARD 5'!BG218,0)</f>
        <v>0</v>
      </c>
      <c r="AT220" s="675" t="str">
        <f t="shared" si="22"/>
        <v>Vendido</v>
      </c>
      <c r="AU220" s="581" t="str">
        <f t="shared" si="21"/>
        <v/>
      </c>
      <c r="AV220" s="760">
        <f t="shared" si="25"/>
        <v>0</v>
      </c>
    </row>
    <row r="221" spans="1:48" s="581" customFormat="1" ht="12.4" customHeight="1" outlineLevel="1" x14ac:dyDescent="0.25">
      <c r="A221" s="703">
        <f>'BOULEVARD 5'!BQ219</f>
        <v>0</v>
      </c>
      <c r="B221" s="564">
        <v>1208</v>
      </c>
      <c r="C221" s="564" t="s">
        <v>467</v>
      </c>
      <c r="D221" s="564"/>
      <c r="E221" s="564" t="str">
        <f>IF('BOULEVARD 5'!E219&lt;&gt;0,'BOULEVARD 5'!E219,"")</f>
        <v>Antonio Rada</v>
      </c>
      <c r="F221" s="581" t="str">
        <f>IF('BOULEVARD 5'!F219&lt;&gt;0,'BOULEVARD 5'!F219,"")</f>
        <v>Jmx Inversiones Sociedad Anonima</v>
      </c>
      <c r="G221" s="566">
        <f>IF('BOULEVARD 5'!G219="","",'BOULEVARD 5'!G219)</f>
        <v>45031</v>
      </c>
      <c r="H221" s="756">
        <f>IF(OR($A221="F&amp;F",$A221="CE",H$7="No aplica"),0,'BOULEVARD 5'!K219-'BOULEVARD PPTO'!C214)</f>
        <v>0</v>
      </c>
      <c r="I221" s="756">
        <f>IF(OR($A221="F&amp;F",$A221="CE",I$7="No aplica"),0,'BOULEVARD 5'!L219-'BOULEVARD PPTO'!D214)</f>
        <v>0</v>
      </c>
      <c r="J221" s="756">
        <f>IF(OR($A221="F&amp;F",$A221="CE",J$7="No aplica"),0,'BOULEVARD 5'!M219-'BOULEVARD PPTO'!E214)</f>
        <v>0</v>
      </c>
      <c r="K221" s="756">
        <f>IF(OR($A221="F&amp;F",$A221="CE",K$7="No aplica"),0,'BOULEVARD 5'!N219-'BOULEVARD PPTO'!F214)</f>
        <v>0</v>
      </c>
      <c r="L221" s="756">
        <f>IF(OR($A221="F&amp;F",$A221="CE",L$7="No aplica"),0,'BOULEVARD 5'!O219-'BOULEVARD PPTO'!G214)</f>
        <v>0</v>
      </c>
      <c r="M221" s="756">
        <f>IF(OR($A221="F&amp;F",$A221="CE",M$7="No aplica"),0,'BOULEVARD 5'!P219-'BOULEVARD PPTO'!H214)</f>
        <v>0</v>
      </c>
      <c r="N221" s="756">
        <f>IF(OR($A221="F&amp;F",$A221="CE",N$7="No aplica"),0,'BOULEVARD 5'!Q219-'BOULEVARD PPTO'!I214)</f>
        <v>0</v>
      </c>
      <c r="O221" s="756">
        <f>IF(OR($A221="F&amp;F",$A221="CE",O$7="No aplica"),0,'BOULEVARD 5'!R219-'BOULEVARD PPTO'!J214)</f>
        <v>0</v>
      </c>
      <c r="P221" s="756">
        <f>IF(OR($A221="F&amp;F",$A221="CE",P$7="No aplica"),0,'BOULEVARD 5'!S219-'BOULEVARD PPTO'!K214)</f>
        <v>0</v>
      </c>
      <c r="Q221" s="760">
        <f>IF(OR($A221="F&amp;F",$A221="CE",Q$7="No aplica"),0,'BOULEVARD 5'!T219-'BOULEVARD PPTO'!L214)</f>
        <v>0</v>
      </c>
      <c r="R221" s="760">
        <f>IF(OR($A221="F&amp;F",$A221="CE",R$7="No aplica"),0,'BOULEVARD 5'!U219-'BOULEVARD PPTO'!M214)</f>
        <v>0</v>
      </c>
      <c r="S221" s="760">
        <f>IF(OR($A221="F&amp;F",$A221="CE",S$7="No aplica"),0,'BOULEVARD 5'!V219-'BOULEVARD PPTO'!N214)</f>
        <v>0</v>
      </c>
      <c r="T221" s="760">
        <f>IF(OR($A221="F&amp;F",$A221="CE",T$7="No aplica"),0,'BOULEVARD 5'!W219-'BOULEVARD PPTO'!O214)</f>
        <v>0</v>
      </c>
      <c r="U221" s="760">
        <f>IF(OR($A221="F&amp;F",$A221="CE",U$7="No aplica"),0,'BOULEVARD 5'!X219-'BOULEVARD PPTO'!P214)</f>
        <v>0</v>
      </c>
      <c r="V221" s="760">
        <f>IF(OR($A221="F&amp;F",$A221="CE",V$7="No aplica"),0,'BOULEVARD 5'!Y219-'BOULEVARD PPTO'!Q214)</f>
        <v>0</v>
      </c>
      <c r="W221" s="760">
        <f>IF(OR($A221="F&amp;F",$A221="CE",W$7="No aplica"),0,'BOULEVARD 5'!Z219-'BOULEVARD PPTO'!R214)</f>
        <v>-3624</v>
      </c>
      <c r="X221" s="760">
        <f>IF(OR($A221="F&amp;F",$A221="CE",X$7="No aplica"),0,'BOULEVARD 5'!AA219-'BOULEVARD PPTO'!S214)</f>
        <v>3624</v>
      </c>
      <c r="Y221" s="760">
        <f>IF(OR($A221="F&amp;F",$A221="CE",Y$7="No aplica"),0,'BOULEVARD 5'!AB219-'BOULEVARD PPTO'!T214)</f>
        <v>-3624</v>
      </c>
      <c r="Z221" s="760">
        <f>IF(OR($A221="F&amp;F",$A221="CE",Z$7="No aplica"),0,'BOULEVARD 5'!AC219-'BOULEVARD PPTO'!U214)</f>
        <v>-3624</v>
      </c>
      <c r="AA221" s="760">
        <f>IF(OR($A221="F&amp;F",$A221="CE",AA$7="No aplica"),0,'BOULEVARD 5'!AD219-'BOULEVARD PPTO'!V214)</f>
        <v>3624</v>
      </c>
      <c r="AB221" s="760">
        <f>IF(OR($A221="F&amp;F",$A221="CE",AB$7="No aplica"),0,'BOULEVARD 5'!AE219-'BOULEVARD PPTO'!W214)</f>
        <v>3624</v>
      </c>
      <c r="AC221" s="760">
        <f>IF(OR($A221="F&amp;F",$A221="CE",AC$7="No aplica"),0,'BOULEVARD 5'!AF219-'BOULEVARD PPTO'!X214)</f>
        <v>0</v>
      </c>
      <c r="AD221" s="760">
        <f>IF(OR($A221="F&amp;F",$A221="CE",AD$7="No aplica"),0,'BOULEVARD 5'!AG219-'BOULEVARD PPTO'!Y214)</f>
        <v>0</v>
      </c>
      <c r="AE221" s="760">
        <f>IF(OR($A221="F&amp;F",$A221="CE",AE$7="No aplica"),0,'BOULEVARD 5'!AH219-'BOULEVARD PPTO'!Z214)</f>
        <v>0</v>
      </c>
      <c r="AF221" s="760">
        <f>IF(OR($A221="F&amp;F",$A221="CE",AF$7="No aplica"),0,'BOULEVARD 5'!AI219-'BOULEVARD PPTO'!AA214)</f>
        <v>0</v>
      </c>
      <c r="AG221" s="760">
        <f>IF(OR($A221="F&amp;F",$A221="CE",AG$7="No aplica"),0,'BOULEVARD 5'!AJ219-'BOULEVARD PPTO'!AB214)</f>
        <v>0</v>
      </c>
      <c r="AH221" s="760">
        <f>IF(OR($A221="F&amp;F",$A221="CE",AH$7="No aplica"),0,'BOULEVARD 5'!AK219-'BOULEVARD PPTO'!AC214)</f>
        <v>0</v>
      </c>
      <c r="AI221" s="760">
        <f>IF(OR($A221="F&amp;F",$A221="CE",AI$7="No aplica"),0,'BOULEVARD 5'!AL219-'BOULEVARD PPTO'!AD214)</f>
        <v>0</v>
      </c>
      <c r="AJ221" s="760">
        <f>IF(OR($A221="F&amp;F",$A221="CE",AJ$7="No aplica"),0,'BOULEVARD 5'!AM219-'BOULEVARD PPTO'!AE214)</f>
        <v>3886</v>
      </c>
      <c r="AK221" s="760">
        <f>IF(OR($A221="F&amp;F",$A221="CE",AK$7="No aplica"),0,'BOULEVARD 5'!AN219-'BOULEVARD PPTO'!AF214)</f>
        <v>-3624</v>
      </c>
      <c r="AL221" s="760">
        <f>IF(OR($A221="F&amp;F",$A221="CE",AL$7="No aplica"),0,'BOULEVARD 5'!AO219-'BOULEVARD PPTO'!AG214)</f>
        <v>-262</v>
      </c>
      <c r="AM221" s="760">
        <f>IF(OR($A221="F&amp;F",$A221="CE",AM$7="No aplica"),0,'BOULEVARD 5'!AP219-'BOULEVARD PPTO'!AH214)</f>
        <v>0</v>
      </c>
      <c r="AN221" s="760">
        <f>IF(OR($A221="F&amp;F",$A221="CE",AN$7="No aplica"),0,'BOULEVARD 5'!AQ219-'BOULEVARD PPTO'!AI214)</f>
        <v>0</v>
      </c>
      <c r="AO221" s="760">
        <f>IF(OR($A221="F&amp;F",$A221="CE",AO$7="No aplica"),0,'BOULEVARD 5'!AS219-'BOULEVARD PPTO'!AJ214)</f>
        <v>0</v>
      </c>
      <c r="AP221" s="761">
        <f t="shared" si="23"/>
        <v>0</v>
      </c>
      <c r="AQ221" s="761">
        <f t="shared" si="24"/>
        <v>0</v>
      </c>
      <c r="AR221" s="674">
        <f>IF(A221=0,'BOULEVARD 5'!BF219,0)</f>
        <v>6000</v>
      </c>
      <c r="AS221" s="674">
        <f>IF(A221=0,'BOULEVARD 5'!BG219,0)</f>
        <v>3624</v>
      </c>
      <c r="AT221" s="675" t="str">
        <f t="shared" si="22"/>
        <v>Vendido</v>
      </c>
      <c r="AU221" s="581" t="str">
        <f t="shared" si="21"/>
        <v/>
      </c>
      <c r="AV221" s="760">
        <f t="shared" si="25"/>
        <v>0</v>
      </c>
    </row>
    <row r="222" spans="1:48" s="581" customFormat="1" ht="12.4" customHeight="1" outlineLevel="1" x14ac:dyDescent="0.25">
      <c r="A222" s="703">
        <f>'BOULEVARD 5'!BQ220</f>
        <v>0</v>
      </c>
      <c r="B222" s="564">
        <v>1209</v>
      </c>
      <c r="C222" s="564" t="s">
        <v>469</v>
      </c>
      <c r="D222" s="564"/>
      <c r="E222" s="564" t="str">
        <f>IF('BOULEVARD 5'!E220&lt;&gt;0,'BOULEVARD 5'!E220,"")</f>
        <v>Antonio Rada</v>
      </c>
      <c r="F222" s="581" t="str">
        <f>IF('BOULEVARD 5'!F220&lt;&gt;0,'BOULEVARD 5'!F220,"")</f>
        <v>Gilda Elena Siekavizza Castillo / Jose Pablo Pineda Bran</v>
      </c>
      <c r="G222" s="566">
        <f>IF('BOULEVARD 5'!G220="","",'BOULEVARD 5'!G220)</f>
        <v>45013</v>
      </c>
      <c r="H222" s="756">
        <f>IF(OR($A222="F&amp;F",$A222="CE",H$7="No aplica"),0,'BOULEVARD 5'!K220-'BOULEVARD PPTO'!C215)</f>
        <v>0</v>
      </c>
      <c r="I222" s="756">
        <f>IF(OR($A222="F&amp;F",$A222="CE",I$7="No aplica"),0,'BOULEVARD 5'!L220-'BOULEVARD PPTO'!D215)</f>
        <v>0</v>
      </c>
      <c r="J222" s="756">
        <f>IF(OR($A222="F&amp;F",$A222="CE",J$7="No aplica"),0,'BOULEVARD 5'!M220-'BOULEVARD PPTO'!E215)</f>
        <v>0</v>
      </c>
      <c r="K222" s="756">
        <f>IF(OR($A222="F&amp;F",$A222="CE",K$7="No aplica"),0,'BOULEVARD 5'!N220-'BOULEVARD PPTO'!F215)</f>
        <v>0</v>
      </c>
      <c r="L222" s="756">
        <f>IF(OR($A222="F&amp;F",$A222="CE",L$7="No aplica"),0,'BOULEVARD 5'!O220-'BOULEVARD PPTO'!G215)</f>
        <v>0</v>
      </c>
      <c r="M222" s="756">
        <f>IF(OR($A222="F&amp;F",$A222="CE",M$7="No aplica"),0,'BOULEVARD 5'!P220-'BOULEVARD PPTO'!H215)</f>
        <v>0</v>
      </c>
      <c r="N222" s="756">
        <f>IF(OR($A222="F&amp;F",$A222="CE",N$7="No aplica"),0,'BOULEVARD 5'!Q220-'BOULEVARD PPTO'!I215)</f>
        <v>0</v>
      </c>
      <c r="O222" s="756">
        <f>IF(OR($A222="F&amp;F",$A222="CE",O$7="No aplica"),0,'BOULEVARD 5'!R220-'BOULEVARD PPTO'!J215)</f>
        <v>0</v>
      </c>
      <c r="P222" s="756">
        <f>IF(OR($A222="F&amp;F",$A222="CE",P$7="No aplica"),0,'BOULEVARD 5'!S220-'BOULEVARD PPTO'!K215)</f>
        <v>0</v>
      </c>
      <c r="Q222" s="760">
        <f>IF(OR($A222="F&amp;F",$A222="CE",Q$7="No aplica"),0,'BOULEVARD 5'!T220-'BOULEVARD PPTO'!L215)</f>
        <v>0</v>
      </c>
      <c r="R222" s="760">
        <f>IF(OR($A222="F&amp;F",$A222="CE",R$7="No aplica"),0,'BOULEVARD 5'!U220-'BOULEVARD PPTO'!M215)</f>
        <v>0</v>
      </c>
      <c r="S222" s="760">
        <f>IF(OR($A222="F&amp;F",$A222="CE",S$7="No aplica"),0,'BOULEVARD 5'!V220-'BOULEVARD PPTO'!N215)</f>
        <v>0</v>
      </c>
      <c r="T222" s="760">
        <f>IF(OR($A222="F&amp;F",$A222="CE",T$7="No aplica"),0,'BOULEVARD 5'!W220-'BOULEVARD PPTO'!O215)</f>
        <v>0</v>
      </c>
      <c r="U222" s="760">
        <f>IF(OR($A222="F&amp;F",$A222="CE",U$7="No aplica"),0,'BOULEVARD 5'!X220-'BOULEVARD PPTO'!P215)</f>
        <v>0</v>
      </c>
      <c r="V222" s="760">
        <f>IF(OR($A222="F&amp;F",$A222="CE",V$7="No aplica"),0,'BOULEVARD 5'!Y220-'BOULEVARD PPTO'!Q215)</f>
        <v>0</v>
      </c>
      <c r="W222" s="760">
        <f>IF(OR($A222="F&amp;F",$A222="CE",W$7="No aplica"),0,'BOULEVARD 5'!Z220-'BOULEVARD PPTO'!R215)</f>
        <v>0</v>
      </c>
      <c r="X222" s="760">
        <f>IF(OR($A222="F&amp;F",$A222="CE",X$7="No aplica"),0,'BOULEVARD 5'!AA220-'BOULEVARD PPTO'!S215)</f>
        <v>0</v>
      </c>
      <c r="Y222" s="760">
        <f>IF(OR($A222="F&amp;F",$A222="CE",Y$7="No aplica"),0,'BOULEVARD 5'!AB220-'BOULEVARD PPTO'!T215)</f>
        <v>0</v>
      </c>
      <c r="Z222" s="760">
        <f>IF(OR($A222="F&amp;F",$A222="CE",Z$7="No aplica"),0,'BOULEVARD 5'!AC220-'BOULEVARD PPTO'!U215)</f>
        <v>0</v>
      </c>
      <c r="AA222" s="760">
        <f>IF(OR($A222="F&amp;F",$A222="CE",AA$7="No aplica"),0,'BOULEVARD 5'!AD220-'BOULEVARD PPTO'!V215)</f>
        <v>0</v>
      </c>
      <c r="AB222" s="760">
        <f>IF(OR($A222="F&amp;F",$A222="CE",AB$7="No aplica"),0,'BOULEVARD 5'!AE220-'BOULEVARD PPTO'!W215)</f>
        <v>0</v>
      </c>
      <c r="AC222" s="760">
        <f>IF(OR($A222="F&amp;F",$A222="CE",AC$7="No aplica"),0,'BOULEVARD 5'!AF220-'BOULEVARD PPTO'!X215)</f>
        <v>0</v>
      </c>
      <c r="AD222" s="760">
        <f>IF(OR($A222="F&amp;F",$A222="CE",AD$7="No aplica"),0,'BOULEVARD 5'!AG220-'BOULEVARD PPTO'!Y215)</f>
        <v>0</v>
      </c>
      <c r="AE222" s="760">
        <f>IF(OR($A222="F&amp;F",$A222="CE",AE$7="No aplica"),0,'BOULEVARD 5'!AH220-'BOULEVARD PPTO'!Z215)</f>
        <v>0</v>
      </c>
      <c r="AF222" s="760">
        <f>IF(OR($A222="F&amp;F",$A222="CE",AF$7="No aplica"),0,'BOULEVARD 5'!AI220-'BOULEVARD PPTO'!AA215)</f>
        <v>0</v>
      </c>
      <c r="AG222" s="760">
        <f>IF(OR($A222="F&amp;F",$A222="CE",AG$7="No aplica"),0,'BOULEVARD 5'!AJ220-'BOULEVARD PPTO'!AB215)</f>
        <v>0</v>
      </c>
      <c r="AH222" s="760">
        <f>IF(OR($A222="F&amp;F",$A222="CE",AH$7="No aplica"),0,'BOULEVARD 5'!AK220-'BOULEVARD PPTO'!AC215)</f>
        <v>0</v>
      </c>
      <c r="AI222" s="760">
        <f>IF(OR($A222="F&amp;F",$A222="CE",AI$7="No aplica"),0,'BOULEVARD 5'!AL220-'BOULEVARD PPTO'!AD215)</f>
        <v>0</v>
      </c>
      <c r="AJ222" s="760">
        <f>IF(OR($A222="F&amp;F",$A222="CE",AJ$7="No aplica"),0,'BOULEVARD 5'!AM220-'BOULEVARD PPTO'!AE215)</f>
        <v>0</v>
      </c>
      <c r="AK222" s="760">
        <f>IF(OR($A222="F&amp;F",$A222="CE",AK$7="No aplica"),0,'BOULEVARD 5'!AN220-'BOULEVARD PPTO'!AF215)</f>
        <v>0</v>
      </c>
      <c r="AL222" s="760">
        <f>IF(OR($A222="F&amp;F",$A222="CE",AL$7="No aplica"),0,'BOULEVARD 5'!AO220-'BOULEVARD PPTO'!AG215)</f>
        <v>0</v>
      </c>
      <c r="AM222" s="760">
        <f>IF(OR($A222="F&amp;F",$A222="CE",AM$7="No aplica"),0,'BOULEVARD 5'!AP220-'BOULEVARD PPTO'!AH215)</f>
        <v>0</v>
      </c>
      <c r="AN222" s="760">
        <f>IF(OR($A222="F&amp;F",$A222="CE",AN$7="No aplica"),0,'BOULEVARD 5'!AQ220-'BOULEVARD PPTO'!AI215)</f>
        <v>0</v>
      </c>
      <c r="AO222" s="760">
        <f>IF(OR($A222="F&amp;F",$A222="CE",AO$7="No aplica"),0,'BOULEVARD 5'!AS220-'BOULEVARD PPTO'!AJ215)</f>
        <v>0</v>
      </c>
      <c r="AP222" s="761">
        <f t="shared" si="23"/>
        <v>0</v>
      </c>
      <c r="AQ222" s="761">
        <f t="shared" si="24"/>
        <v>-3002</v>
      </c>
      <c r="AR222" s="674">
        <f>IF(A222=0,'BOULEVARD 5'!BF220,0)</f>
        <v>6000</v>
      </c>
      <c r="AS222" s="674">
        <f>IF(A222=0,'BOULEVARD 5'!BG220,0)</f>
        <v>2997</v>
      </c>
      <c r="AT222" s="675" t="str">
        <f t="shared" si="22"/>
        <v>Vendido</v>
      </c>
      <c r="AU222" s="581" t="str">
        <f t="shared" si="21"/>
        <v/>
      </c>
      <c r="AV222" s="760">
        <f t="shared" si="25"/>
        <v>0</v>
      </c>
    </row>
    <row r="223" spans="1:48" s="581" customFormat="1" ht="12.4" customHeight="1" outlineLevel="1" x14ac:dyDescent="0.25">
      <c r="A223" s="703">
        <f>'BOULEVARD 5'!BQ221</f>
        <v>0</v>
      </c>
      <c r="B223" s="564">
        <v>1210</v>
      </c>
      <c r="C223" s="564" t="s">
        <v>467</v>
      </c>
      <c r="D223" s="564"/>
      <c r="E223" s="564" t="str">
        <f>IF('BOULEVARD 5'!E221&lt;&gt;0,'BOULEVARD 5'!E221,"")</f>
        <v>Antonio Rada</v>
      </c>
      <c r="F223" s="581" t="str">
        <f>IF('BOULEVARD 5'!F221&lt;&gt;0,'BOULEVARD 5'!F221,"")</f>
        <v>Jmx Inversiones Sociedad Anonima</v>
      </c>
      <c r="G223" s="566">
        <f>IF('BOULEVARD 5'!G221="","",'BOULEVARD 5'!G221)</f>
        <v>45031</v>
      </c>
      <c r="H223" s="756">
        <f>IF(OR($A223="F&amp;F",$A223="CE",H$7="No aplica"),0,'BOULEVARD 5'!K221-'BOULEVARD PPTO'!C216)</f>
        <v>0</v>
      </c>
      <c r="I223" s="756">
        <f>IF(OR($A223="F&amp;F",$A223="CE",I$7="No aplica"),0,'BOULEVARD 5'!L221-'BOULEVARD PPTO'!D216)</f>
        <v>0</v>
      </c>
      <c r="J223" s="756">
        <f>IF(OR($A223="F&amp;F",$A223="CE",J$7="No aplica"),0,'BOULEVARD 5'!M221-'BOULEVARD PPTO'!E216)</f>
        <v>0</v>
      </c>
      <c r="K223" s="756">
        <f>IF(OR($A223="F&amp;F",$A223="CE",K$7="No aplica"),0,'BOULEVARD 5'!N221-'BOULEVARD PPTO'!F216)</f>
        <v>0</v>
      </c>
      <c r="L223" s="756">
        <f>IF(OR($A223="F&amp;F",$A223="CE",L$7="No aplica"),0,'BOULEVARD 5'!O221-'BOULEVARD PPTO'!G216)</f>
        <v>0</v>
      </c>
      <c r="M223" s="756">
        <f>IF(OR($A223="F&amp;F",$A223="CE",M$7="No aplica"),0,'BOULEVARD 5'!P221-'BOULEVARD PPTO'!H216)</f>
        <v>0</v>
      </c>
      <c r="N223" s="756">
        <f>IF(OR($A223="F&amp;F",$A223="CE",N$7="No aplica"),0,'BOULEVARD 5'!Q221-'BOULEVARD PPTO'!I216)</f>
        <v>0</v>
      </c>
      <c r="O223" s="756">
        <f>IF(OR($A223="F&amp;F",$A223="CE",O$7="No aplica"),0,'BOULEVARD 5'!R221-'BOULEVARD PPTO'!J216)</f>
        <v>0</v>
      </c>
      <c r="P223" s="756">
        <f>IF(OR($A223="F&amp;F",$A223="CE",P$7="No aplica"),0,'BOULEVARD 5'!S221-'BOULEVARD PPTO'!K216)</f>
        <v>0</v>
      </c>
      <c r="Q223" s="760">
        <f>IF(OR($A223="F&amp;F",$A223="CE",Q$7="No aplica"),0,'BOULEVARD 5'!T221-'BOULEVARD PPTO'!L216)</f>
        <v>0</v>
      </c>
      <c r="R223" s="760">
        <f>IF(OR($A223="F&amp;F",$A223="CE",R$7="No aplica"),0,'BOULEVARD 5'!U221-'BOULEVARD PPTO'!M216)</f>
        <v>0</v>
      </c>
      <c r="S223" s="760">
        <f>IF(OR($A223="F&amp;F",$A223="CE",S$7="No aplica"),0,'BOULEVARD 5'!V221-'BOULEVARD PPTO'!N216)</f>
        <v>0</v>
      </c>
      <c r="T223" s="760">
        <f>IF(OR($A223="F&amp;F",$A223="CE",T$7="No aplica"),0,'BOULEVARD 5'!W221-'BOULEVARD PPTO'!O216)</f>
        <v>0</v>
      </c>
      <c r="U223" s="760">
        <f>IF(OR($A223="F&amp;F",$A223="CE",U$7="No aplica"),0,'BOULEVARD 5'!X221-'BOULEVARD PPTO'!P216)</f>
        <v>0</v>
      </c>
      <c r="V223" s="760">
        <f>IF(OR($A223="F&amp;F",$A223="CE",V$7="No aplica"),0,'BOULEVARD 5'!Y221-'BOULEVARD PPTO'!Q216)</f>
        <v>0</v>
      </c>
      <c r="W223" s="760">
        <f>IF(OR($A223="F&amp;F",$A223="CE",W$7="No aplica"),0,'BOULEVARD 5'!Z221-'BOULEVARD PPTO'!R216)</f>
        <v>-3624</v>
      </c>
      <c r="X223" s="760">
        <f>IF(OR($A223="F&amp;F",$A223="CE",X$7="No aplica"),0,'BOULEVARD 5'!AA221-'BOULEVARD PPTO'!S216)</f>
        <v>3624</v>
      </c>
      <c r="Y223" s="760">
        <f>IF(OR($A223="F&amp;F",$A223="CE",Y$7="No aplica"),0,'BOULEVARD 5'!AB221-'BOULEVARD PPTO'!T216)</f>
        <v>-3624</v>
      </c>
      <c r="Z223" s="760">
        <f>IF(OR($A223="F&amp;F",$A223="CE",Z$7="No aplica"),0,'BOULEVARD 5'!AC221-'BOULEVARD PPTO'!U216)</f>
        <v>-3624</v>
      </c>
      <c r="AA223" s="760">
        <f>IF(OR($A223="F&amp;F",$A223="CE",AA$7="No aplica"),0,'BOULEVARD 5'!AD221-'BOULEVARD PPTO'!V216)</f>
        <v>3624</v>
      </c>
      <c r="AB223" s="760">
        <f>IF(OR($A223="F&amp;F",$A223="CE",AB$7="No aplica"),0,'BOULEVARD 5'!AE221-'BOULEVARD PPTO'!W216)</f>
        <v>3624</v>
      </c>
      <c r="AC223" s="760">
        <f>IF(OR($A223="F&amp;F",$A223="CE",AC$7="No aplica"),0,'BOULEVARD 5'!AF221-'BOULEVARD PPTO'!X216)</f>
        <v>0</v>
      </c>
      <c r="AD223" s="760">
        <f>IF(OR($A223="F&amp;F",$A223="CE",AD$7="No aplica"),0,'BOULEVARD 5'!AG221-'BOULEVARD PPTO'!Y216)</f>
        <v>0</v>
      </c>
      <c r="AE223" s="760">
        <f>IF(OR($A223="F&amp;F",$A223="CE",AE$7="No aplica"),0,'BOULEVARD 5'!AH221-'BOULEVARD PPTO'!Z216)</f>
        <v>0</v>
      </c>
      <c r="AF223" s="760">
        <f>IF(OR($A223="F&amp;F",$A223="CE",AF$7="No aplica"),0,'BOULEVARD 5'!AI221-'BOULEVARD PPTO'!AA216)</f>
        <v>0</v>
      </c>
      <c r="AG223" s="760">
        <f>IF(OR($A223="F&amp;F",$A223="CE",AG$7="No aplica"),0,'BOULEVARD 5'!AJ221-'BOULEVARD PPTO'!AB216)</f>
        <v>0</v>
      </c>
      <c r="AH223" s="760">
        <f>IF(OR($A223="F&amp;F",$A223="CE",AH$7="No aplica"),0,'BOULEVARD 5'!AK221-'BOULEVARD PPTO'!AC216)</f>
        <v>0</v>
      </c>
      <c r="AI223" s="760">
        <f>IF(OR($A223="F&amp;F",$A223="CE",AI$7="No aplica"),0,'BOULEVARD 5'!AL221-'BOULEVARD PPTO'!AD216)</f>
        <v>0</v>
      </c>
      <c r="AJ223" s="760">
        <f>IF(OR($A223="F&amp;F",$A223="CE",AJ$7="No aplica"),0,'BOULEVARD 5'!AM221-'BOULEVARD PPTO'!AE216)</f>
        <v>3886</v>
      </c>
      <c r="AK223" s="760">
        <f>IF(OR($A223="F&amp;F",$A223="CE",AK$7="No aplica"),0,'BOULEVARD 5'!AN221-'BOULEVARD PPTO'!AF216)</f>
        <v>-3624</v>
      </c>
      <c r="AL223" s="760">
        <f>IF(OR($A223="F&amp;F",$A223="CE",AL$7="No aplica"),0,'BOULEVARD 5'!AO221-'BOULEVARD PPTO'!AG216)</f>
        <v>-262</v>
      </c>
      <c r="AM223" s="760">
        <f>IF(OR($A223="F&amp;F",$A223="CE",AM$7="No aplica"),0,'BOULEVARD 5'!AP221-'BOULEVARD PPTO'!AH216)</f>
        <v>0</v>
      </c>
      <c r="AN223" s="760">
        <f>IF(OR($A223="F&amp;F",$A223="CE",AN$7="No aplica"),0,'BOULEVARD 5'!AQ221-'BOULEVARD PPTO'!AI216)</f>
        <v>0</v>
      </c>
      <c r="AO223" s="760">
        <f>IF(OR($A223="F&amp;F",$A223="CE",AO$7="No aplica"),0,'BOULEVARD 5'!AS221-'BOULEVARD PPTO'!AJ216)</f>
        <v>0</v>
      </c>
      <c r="AP223" s="761">
        <f t="shared" si="23"/>
        <v>0</v>
      </c>
      <c r="AQ223" s="761">
        <f t="shared" si="24"/>
        <v>0</v>
      </c>
      <c r="AR223" s="674">
        <f>IF(A223=0,'BOULEVARD 5'!BF221,0)</f>
        <v>6000</v>
      </c>
      <c r="AS223" s="674">
        <f>IF(A223=0,'BOULEVARD 5'!BG221,0)</f>
        <v>3624</v>
      </c>
      <c r="AT223" s="675" t="str">
        <f t="shared" si="22"/>
        <v>Vendido</v>
      </c>
      <c r="AU223" s="581" t="str">
        <f t="shared" si="21"/>
        <v/>
      </c>
      <c r="AV223" s="760">
        <f t="shared" si="25"/>
        <v>0</v>
      </c>
    </row>
    <row r="224" spans="1:48" s="581" customFormat="1" ht="12.4" customHeight="1" outlineLevel="1" x14ac:dyDescent="0.25">
      <c r="A224" s="703">
        <f>'BOULEVARD 5'!BQ222</f>
        <v>0</v>
      </c>
      <c r="B224" s="564">
        <v>1211</v>
      </c>
      <c r="C224" s="564" t="s">
        <v>469</v>
      </c>
      <c r="D224" s="564"/>
      <c r="E224" s="564" t="str">
        <f>IF('BOULEVARD 5'!E222&lt;&gt;0,'BOULEVARD 5'!E222,"")</f>
        <v>Antonio Rada</v>
      </c>
      <c r="F224" s="581" t="str">
        <f>IF('BOULEVARD 5'!F222&lt;&gt;0,'BOULEVARD 5'!F222,"")</f>
        <v>Jorge Daniel Baca Chiroy</v>
      </c>
      <c r="G224" s="566">
        <f>IF('BOULEVARD 5'!G222="","",'BOULEVARD 5'!G222)</f>
        <v>45258</v>
      </c>
      <c r="H224" s="756">
        <f>IF(OR($A224="F&amp;F",$A224="CE",H$7="No aplica"),0,'BOULEVARD 5'!K222-'BOULEVARD PPTO'!C217)</f>
        <v>0</v>
      </c>
      <c r="I224" s="756">
        <f>IF(OR($A224="F&amp;F",$A224="CE",I$7="No aplica"),0,'BOULEVARD 5'!L222-'BOULEVARD PPTO'!D217)</f>
        <v>0</v>
      </c>
      <c r="J224" s="756">
        <f>IF(OR($A224="F&amp;F",$A224="CE",J$7="No aplica"),0,'BOULEVARD 5'!M222-'BOULEVARD PPTO'!E217)</f>
        <v>0</v>
      </c>
      <c r="K224" s="756">
        <f>IF(OR($A224="F&amp;F",$A224="CE",K$7="No aplica"),0,'BOULEVARD 5'!N222-'BOULEVARD PPTO'!F217)</f>
        <v>0</v>
      </c>
      <c r="L224" s="756">
        <f>IF(OR($A224="F&amp;F",$A224="CE",L$7="No aplica"),0,'BOULEVARD 5'!O222-'BOULEVARD PPTO'!G217)</f>
        <v>0</v>
      </c>
      <c r="M224" s="756">
        <f>IF(OR($A224="F&amp;F",$A224="CE",M$7="No aplica"),0,'BOULEVARD 5'!P222-'BOULEVARD PPTO'!H217)</f>
        <v>0</v>
      </c>
      <c r="N224" s="756">
        <f>IF(OR($A224="F&amp;F",$A224="CE",N$7="No aplica"),0,'BOULEVARD 5'!Q222-'BOULEVARD PPTO'!I217)</f>
        <v>0</v>
      </c>
      <c r="O224" s="756">
        <f>IF(OR($A224="F&amp;F",$A224="CE",O$7="No aplica"),0,'BOULEVARD 5'!R222-'BOULEVARD PPTO'!J217)</f>
        <v>0</v>
      </c>
      <c r="P224" s="756">
        <f>IF(OR($A224="F&amp;F",$A224="CE",P$7="No aplica"),0,'BOULEVARD 5'!S222-'BOULEVARD PPTO'!K217)</f>
        <v>0</v>
      </c>
      <c r="Q224" s="760">
        <f>IF(OR($A224="F&amp;F",$A224="CE",Q$7="No aplica"),0,'BOULEVARD 5'!T222-'BOULEVARD PPTO'!L217)</f>
        <v>-3</v>
      </c>
      <c r="R224" s="760">
        <f>IF(OR($A224="F&amp;F",$A224="CE",R$7="No aplica"),0,'BOULEVARD 5'!U222-'BOULEVARD PPTO'!M217)</f>
        <v>-3</v>
      </c>
      <c r="S224" s="760">
        <f>IF(OR($A224="F&amp;F",$A224="CE",S$7="No aplica"),0,'BOULEVARD 5'!V222-'BOULEVARD PPTO'!N217)</f>
        <v>-5177</v>
      </c>
      <c r="T224" s="760">
        <f>IF(OR($A224="F&amp;F",$A224="CE",T$7="No aplica"),0,'BOULEVARD 5'!W222-'BOULEVARD PPTO'!O217)</f>
        <v>-5177</v>
      </c>
      <c r="U224" s="760">
        <f>IF(OR($A224="F&amp;F",$A224="CE",U$7="No aplica"),0,'BOULEVARD 5'!X222-'BOULEVARD PPTO'!P217)</f>
        <v>-5177</v>
      </c>
      <c r="V224" s="760">
        <f>IF(OR($A224="F&amp;F",$A224="CE",V$7="No aplica"),0,'BOULEVARD 5'!Y222-'BOULEVARD PPTO'!Q217)</f>
        <v>-5177</v>
      </c>
      <c r="W224" s="760">
        <f>IF(OR($A224="F&amp;F",$A224="CE",W$7="No aplica"),0,'BOULEVARD 5'!Z222-'BOULEVARD PPTO'!R217)</f>
        <v>5171</v>
      </c>
      <c r="X224" s="760">
        <f>IF(OR($A224="F&amp;F",$A224="CE",X$7="No aplica"),0,'BOULEVARD 5'!AA222-'BOULEVARD PPTO'!S217)</f>
        <v>-5177</v>
      </c>
      <c r="Y224" s="760">
        <f>IF(OR($A224="F&amp;F",$A224="CE",Y$7="No aplica"),0,'BOULEVARD 5'!AB222-'BOULEVARD PPTO'!T217)</f>
        <v>-5177</v>
      </c>
      <c r="Z224" s="760">
        <f>IF(OR($A224="F&amp;F",$A224="CE",Z$7="No aplica"),0,'BOULEVARD 5'!AC222-'BOULEVARD PPTO'!U217)</f>
        <v>5177</v>
      </c>
      <c r="AA224" s="760">
        <f>IF(OR($A224="F&amp;F",$A224="CE",AA$7="No aplica"),0,'BOULEVARD 5'!AD222-'BOULEVARD PPTO'!V217)</f>
        <v>-5177</v>
      </c>
      <c r="AB224" s="760">
        <f>IF(OR($A224="F&amp;F",$A224="CE",AB$7="No aplica"),0,'BOULEVARD 5'!AE222-'BOULEVARD PPTO'!W217)</f>
        <v>5177</v>
      </c>
      <c r="AC224" s="760">
        <f>IF(OR($A224="F&amp;F",$A224="CE",AC$7="No aplica"),0,'BOULEVARD 5'!AF222-'BOULEVARD PPTO'!X217)</f>
        <v>-5177</v>
      </c>
      <c r="AD224" s="760">
        <f>IF(OR($A224="F&amp;F",$A224="CE",AD$7="No aplica"),0,'BOULEVARD 5'!AG222-'BOULEVARD PPTO'!Y217)</f>
        <v>-5177</v>
      </c>
      <c r="AE224" s="760">
        <f>IF(OR($A224="F&amp;F",$A224="CE",AE$7="No aplica"),0,'BOULEVARD 5'!AH222-'BOULEVARD PPTO'!Z217)</f>
        <v>31062</v>
      </c>
      <c r="AF224" s="760">
        <f>IF(OR($A224="F&amp;F",$A224="CE",AF$7="No aplica"),0,'BOULEVARD 5'!AI222-'BOULEVARD PPTO'!AA217)</f>
        <v>-5177</v>
      </c>
      <c r="AG224" s="760">
        <f>IF(OR($A224="F&amp;F",$A224="CE",AG$7="No aplica"),0,'BOULEVARD 5'!AJ222-'BOULEVARD PPTO'!AB217)</f>
        <v>5189</v>
      </c>
      <c r="AH224" s="760">
        <f>IF(OR($A224="F&amp;F",$A224="CE",AH$7="No aplica"),0,'BOULEVARD 5'!AK222-'BOULEVARD PPTO'!AC217)</f>
        <v>-3</v>
      </c>
      <c r="AI224" s="760">
        <f>IF(OR($A224="F&amp;F",$A224="CE",AI$7="No aplica"),0,'BOULEVARD 5'!AL222-'BOULEVARD PPTO'!AD217)</f>
        <v>15542.5</v>
      </c>
      <c r="AJ224" s="760">
        <f>IF(OR($A224="F&amp;F",$A224="CE",AJ$7="No aplica"),0,'BOULEVARD 5'!AM222-'BOULEVARD PPTO'!AE217)</f>
        <v>-5177</v>
      </c>
      <c r="AK224" s="760">
        <f>IF(OR($A224="F&amp;F",$A224="CE",AK$7="No aplica"),0,'BOULEVARD 5'!AN222-'BOULEVARD PPTO'!AF217)</f>
        <v>-5177</v>
      </c>
      <c r="AL224" s="760">
        <f>IF(OR($A224="F&amp;F",$A224="CE",AL$7="No aplica"),0,'BOULEVARD 5'!AO222-'BOULEVARD PPTO'!AG217)</f>
        <v>-5185.5</v>
      </c>
      <c r="AM224" s="760">
        <f>IF(OR($A224="F&amp;F",$A224="CE",AM$7="No aplica"),0,'BOULEVARD 5'!AP222-'BOULEVARD PPTO'!AH217)</f>
        <v>0</v>
      </c>
      <c r="AN224" s="760">
        <f>IF(OR($A224="F&amp;F",$A224="CE",AN$7="No aplica"),0,'BOULEVARD 5'!AQ222-'BOULEVARD PPTO'!AI217)</f>
        <v>0</v>
      </c>
      <c r="AO224" s="760">
        <f>IF(OR($A224="F&amp;F",$A224="CE",AO$7="No aplica"),0,'BOULEVARD 5'!AS222-'BOULEVARD PPTO'!AJ217)</f>
        <v>0</v>
      </c>
      <c r="AP224" s="761">
        <f t="shared" si="23"/>
        <v>0</v>
      </c>
      <c r="AQ224" s="761">
        <f t="shared" si="24"/>
        <v>0</v>
      </c>
      <c r="AR224" s="674">
        <f>IF(A224=0,'BOULEVARD 5'!BF222,0)</f>
        <v>5500</v>
      </c>
      <c r="AS224" s="674">
        <f>IF(A224=0,'BOULEVARD 5'!BG222,0)</f>
        <v>5177</v>
      </c>
      <c r="AT224" s="675" t="str">
        <f t="shared" si="22"/>
        <v>Vendido</v>
      </c>
      <c r="AU224" s="581" t="str">
        <f t="shared" si="21"/>
        <v/>
      </c>
      <c r="AV224" s="760">
        <f t="shared" si="25"/>
        <v>0</v>
      </c>
    </row>
    <row r="225" spans="1:48" s="581" customFormat="1" ht="12.4" customHeight="1" outlineLevel="1" x14ac:dyDescent="0.25">
      <c r="A225" s="703" t="str">
        <f>'BOULEVARD 5'!BQ223</f>
        <v>CE</v>
      </c>
      <c r="B225" s="564">
        <v>1212</v>
      </c>
      <c r="C225" s="564" t="s">
        <v>406</v>
      </c>
      <c r="D225" s="647" t="s">
        <v>336</v>
      </c>
      <c r="E225" s="564" t="str">
        <f>IF('BOULEVARD 5'!E223&lt;&gt;0,'BOULEVARD 5'!E223,"")</f>
        <v>Brenda Búcaro</v>
      </c>
      <c r="F225" s="581" t="str">
        <f>IF('BOULEVARD 5'!F223&lt;&gt;0,'BOULEVARD 5'!F223,"")</f>
        <v>Sergio Enrique Bolaños López</v>
      </c>
      <c r="G225" s="566">
        <f>IF('BOULEVARD 5'!G223="","",'BOULEVARD 5'!G223)</f>
        <v>45123</v>
      </c>
      <c r="H225" s="756">
        <f>IF(OR($A225="F&amp;F",$A225="CE",H$7="No aplica"),0,'BOULEVARD 5'!K223-'BOULEVARD PPTO'!C218)</f>
        <v>0</v>
      </c>
      <c r="I225" s="756">
        <f>IF(OR($A225="F&amp;F",$A225="CE",I$7="No aplica"),0,'BOULEVARD 5'!L223-'BOULEVARD PPTO'!D218)</f>
        <v>0</v>
      </c>
      <c r="J225" s="756">
        <f>IF(OR($A225="F&amp;F",$A225="CE",J$7="No aplica"),0,'BOULEVARD 5'!M223-'BOULEVARD PPTO'!E218)</f>
        <v>0</v>
      </c>
      <c r="K225" s="756">
        <f>IF(OR($A225="F&amp;F",$A225="CE",K$7="No aplica"),0,'BOULEVARD 5'!N223-'BOULEVARD PPTO'!F218)</f>
        <v>0</v>
      </c>
      <c r="L225" s="756">
        <f>IF(OR($A225="F&amp;F",$A225="CE",L$7="No aplica"),0,'BOULEVARD 5'!O223-'BOULEVARD PPTO'!G218)</f>
        <v>0</v>
      </c>
      <c r="M225" s="756">
        <f>IF(OR($A225="F&amp;F",$A225="CE",M$7="No aplica"),0,'BOULEVARD 5'!P223-'BOULEVARD PPTO'!H218)</f>
        <v>0</v>
      </c>
      <c r="N225" s="756">
        <f>IF(OR($A225="F&amp;F",$A225="CE",N$7="No aplica"),0,'BOULEVARD 5'!Q223-'BOULEVARD PPTO'!I218)</f>
        <v>0</v>
      </c>
      <c r="O225" s="756">
        <f>IF(OR($A225="F&amp;F",$A225="CE",O$7="No aplica"),0,'BOULEVARD 5'!R223-'BOULEVARD PPTO'!J218)</f>
        <v>0</v>
      </c>
      <c r="P225" s="756">
        <f>IF(OR($A225="F&amp;F",$A225="CE",P$7="No aplica"),0,'BOULEVARD 5'!S223-'BOULEVARD PPTO'!K218)</f>
        <v>0</v>
      </c>
      <c r="Q225" s="760">
        <f>IF(OR($A225="F&amp;F",$A225="CE",Q$7="No aplica"),0,'BOULEVARD 5'!T223-'BOULEVARD PPTO'!L218)</f>
        <v>0</v>
      </c>
      <c r="R225" s="760">
        <f>IF(OR($A225="F&amp;F",$A225="CE",R$7="No aplica"),0,'BOULEVARD 5'!U223-'BOULEVARD PPTO'!M218)</f>
        <v>0</v>
      </c>
      <c r="S225" s="760">
        <f>IF(OR($A225="F&amp;F",$A225="CE",S$7="No aplica"),0,'BOULEVARD 5'!V223-'BOULEVARD PPTO'!N218)</f>
        <v>0</v>
      </c>
      <c r="T225" s="760">
        <f>IF(OR($A225="F&amp;F",$A225="CE",T$7="No aplica"),0,'BOULEVARD 5'!W223-'BOULEVARD PPTO'!O218)</f>
        <v>0</v>
      </c>
      <c r="U225" s="760">
        <f>IF(OR($A225="F&amp;F",$A225="CE",U$7="No aplica"),0,'BOULEVARD 5'!X223-'BOULEVARD PPTO'!P218)</f>
        <v>0</v>
      </c>
      <c r="V225" s="760">
        <f>IF(OR($A225="F&amp;F",$A225="CE",V$7="No aplica"),0,'BOULEVARD 5'!Y223-'BOULEVARD PPTO'!Q218)</f>
        <v>0</v>
      </c>
      <c r="W225" s="760">
        <f>IF(OR($A225="F&amp;F",$A225="CE",W$7="No aplica"),0,'BOULEVARD 5'!Z223-'BOULEVARD PPTO'!R218)</f>
        <v>0</v>
      </c>
      <c r="X225" s="760">
        <f>IF(OR($A225="F&amp;F",$A225="CE",X$7="No aplica"),0,'BOULEVARD 5'!AA223-'BOULEVARD PPTO'!S218)</f>
        <v>0</v>
      </c>
      <c r="Y225" s="760">
        <f>IF(OR($A225="F&amp;F",$A225="CE",Y$7="No aplica"),0,'BOULEVARD 5'!AB223-'BOULEVARD PPTO'!T218)</f>
        <v>0</v>
      </c>
      <c r="Z225" s="760">
        <f>IF(OR($A225="F&amp;F",$A225="CE",Z$7="No aplica"),0,'BOULEVARD 5'!AC223-'BOULEVARD PPTO'!U218)</f>
        <v>0</v>
      </c>
      <c r="AA225" s="760">
        <f>IF(OR($A225="F&amp;F",$A225="CE",AA$7="No aplica"),0,'BOULEVARD 5'!AD223-'BOULEVARD PPTO'!V218)</f>
        <v>0</v>
      </c>
      <c r="AB225" s="760">
        <f>IF(OR($A225="F&amp;F",$A225="CE",AB$7="No aplica"),0,'BOULEVARD 5'!AE223-'BOULEVARD PPTO'!W218)</f>
        <v>0</v>
      </c>
      <c r="AC225" s="760">
        <f>IF(OR($A225="F&amp;F",$A225="CE",AC$7="No aplica"),0,'BOULEVARD 5'!AF223-'BOULEVARD PPTO'!X218)</f>
        <v>0</v>
      </c>
      <c r="AD225" s="760">
        <f>IF(OR($A225="F&amp;F",$A225="CE",AD$7="No aplica"),0,'BOULEVARD 5'!AG223-'BOULEVARD PPTO'!Y218)</f>
        <v>0</v>
      </c>
      <c r="AE225" s="760">
        <f>IF(OR($A225="F&amp;F",$A225="CE",AE$7="No aplica"),0,'BOULEVARD 5'!AH223-'BOULEVARD PPTO'!Z218)</f>
        <v>0</v>
      </c>
      <c r="AF225" s="760">
        <f>IF(OR($A225="F&amp;F",$A225="CE",AF$7="No aplica"),0,'BOULEVARD 5'!AI223-'BOULEVARD PPTO'!AA218)</f>
        <v>0</v>
      </c>
      <c r="AG225" s="760">
        <f>IF(OR($A225="F&amp;F",$A225="CE",AG$7="No aplica"),0,'BOULEVARD 5'!AJ223-'BOULEVARD PPTO'!AB218)</f>
        <v>0</v>
      </c>
      <c r="AH225" s="760">
        <f>IF(OR($A225="F&amp;F",$A225="CE",AH$7="No aplica"),0,'BOULEVARD 5'!AK223-'BOULEVARD PPTO'!AC218)</f>
        <v>0</v>
      </c>
      <c r="AI225" s="760">
        <f>IF(OR($A225="F&amp;F",$A225="CE",AI$7="No aplica"),0,'BOULEVARD 5'!AL223-'BOULEVARD PPTO'!AD218)</f>
        <v>0</v>
      </c>
      <c r="AJ225" s="760">
        <f>IF(OR($A225="F&amp;F",$A225="CE",AJ$7="No aplica"),0,'BOULEVARD 5'!AM223-'BOULEVARD PPTO'!AE218)</f>
        <v>0</v>
      </c>
      <c r="AK225" s="760">
        <f>IF(OR($A225="F&amp;F",$A225="CE",AK$7="No aplica"),0,'BOULEVARD 5'!AN223-'BOULEVARD PPTO'!AF218)</f>
        <v>0</v>
      </c>
      <c r="AL225" s="760">
        <f>IF(OR($A225="F&amp;F",$A225="CE",AL$7="No aplica"),0,'BOULEVARD 5'!AO223-'BOULEVARD PPTO'!AG218)</f>
        <v>0</v>
      </c>
      <c r="AM225" s="760">
        <f>IF(OR($A225="F&amp;F",$A225="CE",AM$7="No aplica"),0,'BOULEVARD 5'!AP223-'BOULEVARD PPTO'!AH218)</f>
        <v>0</v>
      </c>
      <c r="AN225" s="760">
        <f>IF(OR($A225="F&amp;F",$A225="CE",AN$7="No aplica"),0,'BOULEVARD 5'!AQ223-'BOULEVARD PPTO'!AI218)</f>
        <v>0</v>
      </c>
      <c r="AO225" s="760">
        <f>IF(OR($A225="F&amp;F",$A225="CE",AO$7="No aplica"),0,'BOULEVARD 5'!AS223-'BOULEVARD PPTO'!AJ218)</f>
        <v>0</v>
      </c>
      <c r="AP225" s="761">
        <f t="shared" si="23"/>
        <v>0</v>
      </c>
      <c r="AQ225" s="761">
        <f t="shared" si="24"/>
        <v>0</v>
      </c>
      <c r="AR225" s="674">
        <f>IF(A225=0,'BOULEVARD 5'!BF223,0)</f>
        <v>0</v>
      </c>
      <c r="AS225" s="674">
        <f>IF(A225=0,'BOULEVARD 5'!BG223,0)</f>
        <v>0</v>
      </c>
      <c r="AT225" s="675" t="str">
        <f t="shared" si="22"/>
        <v>Vendido</v>
      </c>
      <c r="AU225" s="581" t="str">
        <f t="shared" si="21"/>
        <v/>
      </c>
      <c r="AV225" s="760">
        <f t="shared" si="25"/>
        <v>0</v>
      </c>
    </row>
    <row r="226" spans="1:48" s="581" customFormat="1" ht="12.4" customHeight="1" outlineLevel="1" x14ac:dyDescent="0.25">
      <c r="A226" s="703">
        <f>'BOULEVARD 5'!BQ224</f>
        <v>0</v>
      </c>
      <c r="B226" s="564">
        <v>1213</v>
      </c>
      <c r="C226" s="564" t="s">
        <v>181</v>
      </c>
      <c r="D226" s="564"/>
      <c r="E226" s="564" t="str">
        <f>IF('BOULEVARD 5'!E224&lt;&gt;0,'BOULEVARD 5'!E224,"")</f>
        <v>Jose Franco</v>
      </c>
      <c r="F226" s="581" t="str">
        <f>IF('BOULEVARD 5'!F224&lt;&gt;0,'BOULEVARD 5'!F224,"")</f>
        <v>Marcas &amp; Secretos, S.A.</v>
      </c>
      <c r="G226" s="566">
        <f>IF('BOULEVARD 5'!G224="","",'BOULEVARD 5'!G224)</f>
        <v>45021</v>
      </c>
      <c r="H226" s="756">
        <f>IF(OR($A226="F&amp;F",$A226="CE",H$7="No aplica"),0,'BOULEVARD 5'!K224-'BOULEVARD PPTO'!C219)</f>
        <v>0</v>
      </c>
      <c r="I226" s="756">
        <f>IF(OR($A226="F&amp;F",$A226="CE",I$7="No aplica"),0,'BOULEVARD 5'!L224-'BOULEVARD PPTO'!D219)</f>
        <v>0</v>
      </c>
      <c r="J226" s="756">
        <f>IF(OR($A226="F&amp;F",$A226="CE",J$7="No aplica"),0,'BOULEVARD 5'!M224-'BOULEVARD PPTO'!E219)</f>
        <v>0</v>
      </c>
      <c r="K226" s="756">
        <f>IF(OR($A226="F&amp;F",$A226="CE",K$7="No aplica"),0,'BOULEVARD 5'!N224-'BOULEVARD PPTO'!F219)</f>
        <v>0</v>
      </c>
      <c r="L226" s="756">
        <f>IF(OR($A226="F&amp;F",$A226="CE",L$7="No aplica"),0,'BOULEVARD 5'!O224-'BOULEVARD PPTO'!G219)</f>
        <v>0</v>
      </c>
      <c r="M226" s="756">
        <f>IF(OR($A226="F&amp;F",$A226="CE",M$7="No aplica"),0,'BOULEVARD 5'!P224-'BOULEVARD PPTO'!H219)</f>
        <v>0</v>
      </c>
      <c r="N226" s="756">
        <f>IF(OR($A226="F&amp;F",$A226="CE",N$7="No aplica"),0,'BOULEVARD 5'!Q224-'BOULEVARD PPTO'!I219)</f>
        <v>0</v>
      </c>
      <c r="O226" s="756">
        <f>IF(OR($A226="F&amp;F",$A226="CE",O$7="No aplica"),0,'BOULEVARD 5'!R224-'BOULEVARD PPTO'!J219)</f>
        <v>0</v>
      </c>
      <c r="P226" s="756">
        <f>IF(OR($A226="F&amp;F",$A226="CE",P$7="No aplica"),0,'BOULEVARD 5'!S224-'BOULEVARD PPTO'!K219)</f>
        <v>0</v>
      </c>
      <c r="Q226" s="760">
        <f>IF(OR($A226="F&amp;F",$A226="CE",Q$7="No aplica"),0,'BOULEVARD 5'!T224-'BOULEVARD PPTO'!L219)</f>
        <v>0</v>
      </c>
      <c r="R226" s="760">
        <f>IF(OR($A226="F&amp;F",$A226="CE",R$7="No aplica"),0,'BOULEVARD 5'!U224-'BOULEVARD PPTO'!M219)</f>
        <v>0</v>
      </c>
      <c r="S226" s="760">
        <f>IF(OR($A226="F&amp;F",$A226="CE",S$7="No aplica"),0,'BOULEVARD 5'!V224-'BOULEVARD PPTO'!N219)</f>
        <v>0</v>
      </c>
      <c r="T226" s="760">
        <f>IF(OR($A226="F&amp;F",$A226="CE",T$7="No aplica"),0,'BOULEVARD 5'!W224-'BOULEVARD PPTO'!O219)</f>
        <v>0</v>
      </c>
      <c r="U226" s="760">
        <f>IF(OR($A226="F&amp;F",$A226="CE",U$7="No aplica"),0,'BOULEVARD 5'!X224-'BOULEVARD PPTO'!P219)</f>
        <v>0</v>
      </c>
      <c r="V226" s="760">
        <f>IF(OR($A226="F&amp;F",$A226="CE",V$7="No aplica"),0,'BOULEVARD 5'!Y224-'BOULEVARD PPTO'!Q219)</f>
        <v>0</v>
      </c>
      <c r="W226" s="760">
        <f>IF(OR($A226="F&amp;F",$A226="CE",W$7="No aplica"),0,'BOULEVARD 5'!Z224-'BOULEVARD PPTO'!R219)</f>
        <v>0</v>
      </c>
      <c r="X226" s="760">
        <f>IF(OR($A226="F&amp;F",$A226="CE",X$7="No aplica"),0,'BOULEVARD 5'!AA224-'BOULEVARD PPTO'!S219)</f>
        <v>0</v>
      </c>
      <c r="Y226" s="760">
        <f>IF(OR($A226="F&amp;F",$A226="CE",Y$7="No aplica"),0,'BOULEVARD 5'!AB224-'BOULEVARD PPTO'!T219)</f>
        <v>-2000</v>
      </c>
      <c r="Z226" s="760">
        <f>IF(OR($A226="F&amp;F",$A226="CE",Z$7="No aplica"),0,'BOULEVARD 5'!AC224-'BOULEVARD PPTO'!U219)</f>
        <v>2000</v>
      </c>
      <c r="AA226" s="760">
        <f>IF(OR($A226="F&amp;F",$A226="CE",AA$7="No aplica"),0,'BOULEVARD 5'!AD224-'BOULEVARD PPTO'!V219)</f>
        <v>0</v>
      </c>
      <c r="AB226" s="760">
        <f>IF(OR($A226="F&amp;F",$A226="CE",AB$7="No aplica"),0,'BOULEVARD 5'!AE224-'BOULEVARD PPTO'!W219)</f>
        <v>0</v>
      </c>
      <c r="AC226" s="760">
        <f>IF(OR($A226="F&amp;F",$A226="CE",AC$7="No aplica"),0,'BOULEVARD 5'!AF224-'BOULEVARD PPTO'!X219)</f>
        <v>0</v>
      </c>
      <c r="AD226" s="760">
        <f>IF(OR($A226="F&amp;F",$A226="CE",AD$7="No aplica"),0,'BOULEVARD 5'!AG224-'BOULEVARD PPTO'!Y219)</f>
        <v>-2000</v>
      </c>
      <c r="AE226" s="760">
        <f>IF(OR($A226="F&amp;F",$A226="CE",AE$7="No aplica"),0,'BOULEVARD 5'!AH224-'BOULEVARD PPTO'!Z219)</f>
        <v>2000</v>
      </c>
      <c r="AF226" s="760">
        <f>IF(OR($A226="F&amp;F",$A226="CE",AF$7="No aplica"),0,'BOULEVARD 5'!AI224-'BOULEVARD PPTO'!AA219)</f>
        <v>0</v>
      </c>
      <c r="AG226" s="760">
        <f>IF(OR($A226="F&amp;F",$A226="CE",AG$7="No aplica"),0,'BOULEVARD 5'!AJ224-'BOULEVARD PPTO'!AB219)</f>
        <v>0</v>
      </c>
      <c r="AH226" s="760">
        <f>IF(OR($A226="F&amp;F",$A226="CE",AH$7="No aplica"),0,'BOULEVARD 5'!AK224-'BOULEVARD PPTO'!AC219)</f>
        <v>0</v>
      </c>
      <c r="AI226" s="760">
        <f>IF(OR($A226="F&amp;F",$A226="CE",AI$7="No aplica"),0,'BOULEVARD 5'!AL224-'BOULEVARD PPTO'!AD219)</f>
        <v>0</v>
      </c>
      <c r="AJ226" s="760">
        <f>IF(OR($A226="F&amp;F",$A226="CE",AJ$7="No aplica"),0,'BOULEVARD 5'!AM224-'BOULEVARD PPTO'!AE219)</f>
        <v>0</v>
      </c>
      <c r="AK226" s="760">
        <f>IF(OR($A226="F&amp;F",$A226="CE",AK$7="No aplica"),0,'BOULEVARD 5'!AN224-'BOULEVARD PPTO'!AF219)</f>
        <v>0</v>
      </c>
      <c r="AL226" s="760">
        <f>IF(OR($A226="F&amp;F",$A226="CE",AL$7="No aplica"),0,'BOULEVARD 5'!AO224-'BOULEVARD PPTO'!AG219)</f>
        <v>0</v>
      </c>
      <c r="AM226" s="760">
        <f>IF(OR($A226="F&amp;F",$A226="CE",AM$7="No aplica"),0,'BOULEVARD 5'!AP224-'BOULEVARD PPTO'!AH219)</f>
        <v>0</v>
      </c>
      <c r="AN226" s="760">
        <f>IF(OR($A226="F&amp;F",$A226="CE",AN$7="No aplica"),0,'BOULEVARD 5'!AQ224-'BOULEVARD PPTO'!AI219)</f>
        <v>0</v>
      </c>
      <c r="AO226" s="760">
        <f>IF(OR($A226="F&amp;F",$A226="CE",AO$7="No aplica"),0,'BOULEVARD 5'!AS224-'BOULEVARD PPTO'!AJ219)</f>
        <v>0</v>
      </c>
      <c r="AP226" s="761">
        <f t="shared" si="23"/>
        <v>0</v>
      </c>
      <c r="AQ226" s="761">
        <f t="shared" si="24"/>
        <v>0</v>
      </c>
      <c r="AR226" s="674">
        <f>IF(A226=0,'BOULEVARD 5'!BF224,0)</f>
        <v>6000</v>
      </c>
      <c r="AS226" s="674">
        <f>IF(A226=0,'BOULEVARD 5'!BG224,0)</f>
        <v>2000</v>
      </c>
      <c r="AT226" s="675" t="str">
        <f t="shared" si="22"/>
        <v>Vendido</v>
      </c>
      <c r="AU226" s="581" t="str">
        <f t="shared" si="21"/>
        <v/>
      </c>
      <c r="AV226" s="760">
        <f t="shared" si="25"/>
        <v>0</v>
      </c>
    </row>
    <row r="227" spans="1:48" s="581" customFormat="1" ht="12.4" customHeight="1" outlineLevel="1" x14ac:dyDescent="0.25">
      <c r="A227" s="703">
        <f>'BOULEVARD 5'!BQ225</f>
        <v>0</v>
      </c>
      <c r="B227" s="564">
        <v>1214</v>
      </c>
      <c r="C227" s="564" t="s">
        <v>611</v>
      </c>
      <c r="D227" s="564"/>
      <c r="E227" s="564" t="str">
        <f>IF('BOULEVARD 5'!E225&lt;&gt;0,'BOULEVARD 5'!E225,"")</f>
        <v>Jose Franco</v>
      </c>
      <c r="F227" s="581" t="str">
        <f>IF('BOULEVARD 5'!F225&lt;&gt;0,'BOULEVARD 5'!F225,"")</f>
        <v>Manuel Armando Fletes Ordoñez</v>
      </c>
      <c r="G227" s="566">
        <f>IF('BOULEVARD 5'!G225="","",'BOULEVARD 5'!G225)</f>
        <v>45082</v>
      </c>
      <c r="H227" s="756">
        <f>IF(OR($A227="F&amp;F",$A227="CE",H$7="No aplica"),0,'BOULEVARD 5'!K225-'BOULEVARD PPTO'!C220)</f>
        <v>0</v>
      </c>
      <c r="I227" s="756">
        <f>IF(OR($A227="F&amp;F",$A227="CE",I$7="No aplica"),0,'BOULEVARD 5'!L225-'BOULEVARD PPTO'!D220)</f>
        <v>0</v>
      </c>
      <c r="J227" s="756">
        <f>IF(OR($A227="F&amp;F",$A227="CE",J$7="No aplica"),0,'BOULEVARD 5'!M225-'BOULEVARD PPTO'!E220)</f>
        <v>0</v>
      </c>
      <c r="K227" s="756">
        <f>IF(OR($A227="F&amp;F",$A227="CE",K$7="No aplica"),0,'BOULEVARD 5'!N225-'BOULEVARD PPTO'!F220)</f>
        <v>0</v>
      </c>
      <c r="L227" s="756">
        <f>IF(OR($A227="F&amp;F",$A227="CE",L$7="No aplica"),0,'BOULEVARD 5'!O225-'BOULEVARD PPTO'!G220)</f>
        <v>7</v>
      </c>
      <c r="M227" s="756">
        <f>IF(OR($A227="F&amp;F",$A227="CE",M$7="No aplica"),0,'BOULEVARD 5'!P225-'BOULEVARD PPTO'!H220)</f>
        <v>7</v>
      </c>
      <c r="N227" s="756">
        <f>IF(OR($A227="F&amp;F",$A227="CE",N$7="No aplica"),0,'BOULEVARD 5'!Q225-'BOULEVARD PPTO'!I220)</f>
        <v>7</v>
      </c>
      <c r="O227" s="756">
        <f>IF(OR($A227="F&amp;F",$A227="CE",O$7="No aplica"),0,'BOULEVARD 5'!R225-'BOULEVARD PPTO'!J220)</f>
        <v>7</v>
      </c>
      <c r="P227" s="756">
        <f>IF(OR($A227="F&amp;F",$A227="CE",P$7="No aplica"),0,'BOULEVARD 5'!S225-'BOULEVARD PPTO'!K220)</f>
        <v>7</v>
      </c>
      <c r="Q227" s="760">
        <f>IF(OR($A227="F&amp;F",$A227="CE",Q$7="No aplica"),0,'BOULEVARD 5'!T225-'BOULEVARD PPTO'!L220)</f>
        <v>7</v>
      </c>
      <c r="R227" s="760">
        <f>IF(OR($A227="F&amp;F",$A227="CE",R$7="No aplica"),0,'BOULEVARD 5'!U225-'BOULEVARD PPTO'!M220)</f>
        <v>7</v>
      </c>
      <c r="S227" s="760">
        <f>IF(OR($A227="F&amp;F",$A227="CE",S$7="No aplica"),0,'BOULEVARD 5'!V225-'BOULEVARD PPTO'!N220)</f>
        <v>7</v>
      </c>
      <c r="T227" s="760">
        <f>IF(OR($A227="F&amp;F",$A227="CE",T$7="No aplica"),0,'BOULEVARD 5'!W225-'BOULEVARD PPTO'!O220)</f>
        <v>7</v>
      </c>
      <c r="U227" s="760">
        <f>IF(OR($A227="F&amp;F",$A227="CE",U$7="No aplica"),0,'BOULEVARD 5'!X225-'BOULEVARD PPTO'!P220)</f>
        <v>7</v>
      </c>
      <c r="V227" s="760">
        <f>IF(OR($A227="F&amp;F",$A227="CE",V$7="No aplica"),0,'BOULEVARD 5'!Y225-'BOULEVARD PPTO'!Q220)</f>
        <v>7</v>
      </c>
      <c r="W227" s="760">
        <f>IF(OR($A227="F&amp;F",$A227="CE",W$7="No aplica"),0,'BOULEVARD 5'!Z225-'BOULEVARD PPTO'!R220)</f>
        <v>7</v>
      </c>
      <c r="X227" s="760">
        <f>IF(OR($A227="F&amp;F",$A227="CE",X$7="No aplica"),0,'BOULEVARD 5'!AA225-'BOULEVARD PPTO'!S220)</f>
        <v>7</v>
      </c>
      <c r="Y227" s="760">
        <f>IF(OR($A227="F&amp;F",$A227="CE",Y$7="No aplica"),0,'BOULEVARD 5'!AB225-'BOULEVARD PPTO'!T220)</f>
        <v>7</v>
      </c>
      <c r="Z227" s="760">
        <f>IF(OR($A227="F&amp;F",$A227="CE",Z$7="No aplica"),0,'BOULEVARD 5'!AC225-'BOULEVARD PPTO'!U220)</f>
        <v>7</v>
      </c>
      <c r="AA227" s="760">
        <f>IF(OR($A227="F&amp;F",$A227="CE",AA$7="No aplica"),0,'BOULEVARD 5'!AD225-'BOULEVARD PPTO'!V220)</f>
        <v>7</v>
      </c>
      <c r="AB227" s="760">
        <f>IF(OR($A227="F&amp;F",$A227="CE",AB$7="No aplica"),0,'BOULEVARD 5'!AE225-'BOULEVARD PPTO'!W220)</f>
        <v>7</v>
      </c>
      <c r="AC227" s="760">
        <f>IF(OR($A227="F&amp;F",$A227="CE",AC$7="No aplica"),0,'BOULEVARD 5'!AF225-'BOULEVARD PPTO'!X220)</f>
        <v>7</v>
      </c>
      <c r="AD227" s="760">
        <f>IF(OR($A227="F&amp;F",$A227="CE",AD$7="No aplica"),0,'BOULEVARD 5'!AG225-'BOULEVARD PPTO'!Y220)</f>
        <v>7</v>
      </c>
      <c r="AE227" s="760">
        <f>IF(OR($A227="F&amp;F",$A227="CE",AE$7="No aplica"),0,'BOULEVARD 5'!AH225-'BOULEVARD PPTO'!Z220)</f>
        <v>7</v>
      </c>
      <c r="AF227" s="760">
        <f>IF(OR($A227="F&amp;F",$A227="CE",AF$7="No aplica"),0,'BOULEVARD 5'!AI225-'BOULEVARD PPTO'!AA220)</f>
        <v>7</v>
      </c>
      <c r="AG227" s="760">
        <f>IF(OR($A227="F&amp;F",$A227="CE",AG$7="No aplica"),0,'BOULEVARD 5'!AJ225-'BOULEVARD PPTO'!AB220)</f>
        <v>7</v>
      </c>
      <c r="AH227" s="760">
        <f>IF(OR($A227="F&amp;F",$A227="CE",AH$7="No aplica"),0,'BOULEVARD 5'!AK225-'BOULEVARD PPTO'!AC220)</f>
        <v>47307</v>
      </c>
      <c r="AI227" s="760">
        <f>IF(OR($A227="F&amp;F",$A227="CE",AI$7="No aplica"),0,'BOULEVARD 5'!AL225-'BOULEVARD PPTO'!AD220)</f>
        <v>47307</v>
      </c>
      <c r="AJ227" s="760">
        <f>IF(OR($A227="F&amp;F",$A227="CE",AJ$7="No aplica"),0,'BOULEVARD 5'!AM225-'BOULEVARD PPTO'!AE220)</f>
        <v>32307</v>
      </c>
      <c r="AK227" s="760">
        <f>IF(OR($A227="F&amp;F",$A227="CE",AK$7="No aplica"),0,'BOULEVARD 5'!AN225-'BOULEVARD PPTO'!AF220)</f>
        <v>47307</v>
      </c>
      <c r="AL227" s="760">
        <f>IF(OR($A227="F&amp;F",$A227="CE",AL$7="No aplica"),0,'BOULEVARD 5'!AO225-'BOULEVARD PPTO'!AG220)</f>
        <v>22318</v>
      </c>
      <c r="AM227" s="760">
        <f>IF(OR($A227="F&amp;F",$A227="CE",AM$7="No aplica"),0,'BOULEVARD 5'!AP225-'BOULEVARD PPTO'!AH220)</f>
        <v>9000</v>
      </c>
      <c r="AN227" s="760">
        <f>IF(OR($A227="F&amp;F",$A227="CE",AN$7="No aplica"),0,'BOULEVARD 5'!AQ225-'BOULEVARD PPTO'!AI220)</f>
        <v>0</v>
      </c>
      <c r="AO227" s="760">
        <f>IF(OR($A227="F&amp;F",$A227="CE",AO$7="No aplica"),0,'BOULEVARD 5'!AS225-'BOULEVARD PPTO'!AJ220)</f>
        <v>0</v>
      </c>
      <c r="AP227" s="761">
        <f t="shared" si="23"/>
        <v>205700</v>
      </c>
      <c r="AQ227" s="761">
        <f t="shared" si="24"/>
        <v>235200</v>
      </c>
      <c r="AR227" s="674">
        <f>IF(A227=0,'BOULEVARD 5'!BF225,0)</f>
        <v>6000</v>
      </c>
      <c r="AS227" s="674">
        <f>IF(A227=0,'BOULEVARD 5'!BG225,0)</f>
        <v>2693</v>
      </c>
      <c r="AT227" s="675" t="str">
        <f t="shared" si="22"/>
        <v>Vendido</v>
      </c>
      <c r="AU227" s="581" t="str">
        <f t="shared" ref="AU227:AU290" si="26">IF(AP227&gt;0,"A FAVOR DEL CLIENTE",IF(AP227&lt;0,"POR COBRAR",IF(AP227=0,"","N/A")))</f>
        <v>A FAVOR DEL CLIENTE</v>
      </c>
      <c r="AV227" s="760">
        <f t="shared" si="25"/>
        <v>9000</v>
      </c>
    </row>
    <row r="228" spans="1:48" s="581" customFormat="1" ht="12.4" customHeight="1" outlineLevel="1" x14ac:dyDescent="0.25">
      <c r="A228" s="703">
        <f>'BOULEVARD 5'!BQ226</f>
        <v>0</v>
      </c>
      <c r="B228" s="564">
        <v>1215</v>
      </c>
      <c r="C228" s="564" t="s">
        <v>400</v>
      </c>
      <c r="D228" s="564"/>
      <c r="E228" s="564" t="str">
        <f>IF('BOULEVARD 5'!E226&lt;&gt;0,'BOULEVARD 5'!E226,"")</f>
        <v>Antonio Rada</v>
      </c>
      <c r="F228" s="581" t="str">
        <f>IF('BOULEVARD 5'!F226&lt;&gt;0,'BOULEVARD 5'!F226,"")</f>
        <v xml:space="preserve"> Jose Javier Hernandez Juarez</v>
      </c>
      <c r="G228" s="566">
        <f>IF('BOULEVARD 5'!G226="","",'BOULEVARD 5'!G226)</f>
        <v>45027</v>
      </c>
      <c r="H228" s="756">
        <f>IF(OR($A228="F&amp;F",$A228="CE",H$7="No aplica"),0,'BOULEVARD 5'!K226-'BOULEVARD PPTO'!C221)</f>
        <v>0</v>
      </c>
      <c r="I228" s="756">
        <f>IF(OR($A228="F&amp;F",$A228="CE",I$7="No aplica"),0,'BOULEVARD 5'!L226-'BOULEVARD PPTO'!D221)</f>
        <v>0</v>
      </c>
      <c r="J228" s="756">
        <f>IF(OR($A228="F&amp;F",$A228="CE",J$7="No aplica"),0,'BOULEVARD 5'!M226-'BOULEVARD PPTO'!E221)</f>
        <v>0</v>
      </c>
      <c r="K228" s="756">
        <f>IF(OR($A228="F&amp;F",$A228="CE",K$7="No aplica"),0,'BOULEVARD 5'!N226-'BOULEVARD PPTO'!F221)</f>
        <v>0</v>
      </c>
      <c r="L228" s="756">
        <f>IF(OR($A228="F&amp;F",$A228="CE",L$7="No aplica"),0,'BOULEVARD 5'!O226-'BOULEVARD PPTO'!G221)</f>
        <v>0</v>
      </c>
      <c r="M228" s="756">
        <f>IF(OR($A228="F&amp;F",$A228="CE",M$7="No aplica"),0,'BOULEVARD 5'!P226-'BOULEVARD PPTO'!H221)</f>
        <v>0</v>
      </c>
      <c r="N228" s="756">
        <f>IF(OR($A228="F&amp;F",$A228="CE",N$7="No aplica"),0,'BOULEVARD 5'!Q226-'BOULEVARD PPTO'!I221)</f>
        <v>0</v>
      </c>
      <c r="O228" s="756">
        <f>IF(OR($A228="F&amp;F",$A228="CE",O$7="No aplica"),0,'BOULEVARD 5'!R226-'BOULEVARD PPTO'!J221)</f>
        <v>0</v>
      </c>
      <c r="P228" s="756">
        <f>IF(OR($A228="F&amp;F",$A228="CE",P$7="No aplica"),0,'BOULEVARD 5'!S226-'BOULEVARD PPTO'!K221)</f>
        <v>0</v>
      </c>
      <c r="Q228" s="760">
        <f>IF(OR($A228="F&amp;F",$A228="CE",Q$7="No aplica"),0,'BOULEVARD 5'!T226-'BOULEVARD PPTO'!L221)</f>
        <v>0</v>
      </c>
      <c r="R228" s="760">
        <f>IF(OR($A228="F&amp;F",$A228="CE",R$7="No aplica"),0,'BOULEVARD 5'!U226-'BOULEVARD PPTO'!M221)</f>
        <v>0</v>
      </c>
      <c r="S228" s="760">
        <f>IF(OR($A228="F&amp;F",$A228="CE",S$7="No aplica"),0,'BOULEVARD 5'!V226-'BOULEVARD PPTO'!N221)</f>
        <v>0</v>
      </c>
      <c r="T228" s="760">
        <f>IF(OR($A228="F&amp;F",$A228="CE",T$7="No aplica"),0,'BOULEVARD 5'!W226-'BOULEVARD PPTO'!O221)</f>
        <v>0</v>
      </c>
      <c r="U228" s="760">
        <f>IF(OR($A228="F&amp;F",$A228="CE",U$7="No aplica"),0,'BOULEVARD 5'!X226-'BOULEVARD PPTO'!P221)</f>
        <v>0</v>
      </c>
      <c r="V228" s="760">
        <f>IF(OR($A228="F&amp;F",$A228="CE",V$7="No aplica"),0,'BOULEVARD 5'!Y226-'BOULEVARD PPTO'!Q221)</f>
        <v>0</v>
      </c>
      <c r="W228" s="760">
        <f>IF(OR($A228="F&amp;F",$A228="CE",W$7="No aplica"),0,'BOULEVARD 5'!Z226-'BOULEVARD PPTO'!R221)</f>
        <v>0</v>
      </c>
      <c r="X228" s="760">
        <f>IF(OR($A228="F&amp;F",$A228="CE",X$7="No aplica"),0,'BOULEVARD 5'!AA226-'BOULEVARD PPTO'!S221)</f>
        <v>24000</v>
      </c>
      <c r="Y228" s="760">
        <f>IF(OR($A228="F&amp;F",$A228="CE",Y$7="No aplica"),0,'BOULEVARD 5'!AB226-'BOULEVARD PPTO'!T221)</f>
        <v>745</v>
      </c>
      <c r="Z228" s="760">
        <f>IF(OR($A228="F&amp;F",$A228="CE",Z$7="No aplica"),0,'BOULEVARD 5'!AC226-'BOULEVARD PPTO'!U221)</f>
        <v>745</v>
      </c>
      <c r="AA228" s="760">
        <f>IF(OR($A228="F&amp;F",$A228="CE",AA$7="No aplica"),0,'BOULEVARD 5'!AD226-'BOULEVARD PPTO'!V221)</f>
        <v>745</v>
      </c>
      <c r="AB228" s="760">
        <f>IF(OR($A228="F&amp;F",$A228="CE",AB$7="No aplica"),0,'BOULEVARD 5'!AE226-'BOULEVARD PPTO'!W221)</f>
        <v>745</v>
      </c>
      <c r="AC228" s="760">
        <f>IF(OR($A228="F&amp;F",$A228="CE",AC$7="No aplica"),0,'BOULEVARD 5'!AF226-'BOULEVARD PPTO'!X221)</f>
        <v>745</v>
      </c>
      <c r="AD228" s="760">
        <f>IF(OR($A228="F&amp;F",$A228="CE",AD$7="No aplica"),0,'BOULEVARD 5'!AG226-'BOULEVARD PPTO'!Y221)</f>
        <v>745</v>
      </c>
      <c r="AE228" s="760">
        <f>IF(OR($A228="F&amp;F",$A228="CE",AE$7="No aplica"),0,'BOULEVARD 5'!AH226-'BOULEVARD PPTO'!Z221)</f>
        <v>745</v>
      </c>
      <c r="AF228" s="760">
        <f>IF(OR($A228="F&amp;F",$A228="CE",AF$7="No aplica"),0,'BOULEVARD 5'!AI226-'BOULEVARD PPTO'!AA221)</f>
        <v>745</v>
      </c>
      <c r="AG228" s="760">
        <f>IF(OR($A228="F&amp;F",$A228="CE",AG$7="No aplica"),0,'BOULEVARD 5'!AJ226-'BOULEVARD PPTO'!AB221)</f>
        <v>745</v>
      </c>
      <c r="AH228" s="760">
        <f>IF(OR($A228="F&amp;F",$A228="CE",AH$7="No aplica"),0,'BOULEVARD 5'!AK226-'BOULEVARD PPTO'!AC221)</f>
        <v>745</v>
      </c>
      <c r="AI228" s="760">
        <f>IF(OR($A228="F&amp;F",$A228="CE",AI$7="No aplica"),0,'BOULEVARD 5'!AL226-'BOULEVARD PPTO'!AD221)</f>
        <v>745</v>
      </c>
      <c r="AJ228" s="760">
        <f>IF(OR($A228="F&amp;F",$A228="CE",AJ$7="No aplica"),0,'BOULEVARD 5'!AM226-'BOULEVARD PPTO'!AE221)</f>
        <v>745</v>
      </c>
      <c r="AK228" s="760">
        <f>IF(OR($A228="F&amp;F",$A228="CE",AK$7="No aplica"),0,'BOULEVARD 5'!AN226-'BOULEVARD PPTO'!AF221)</f>
        <v>745</v>
      </c>
      <c r="AL228" s="760">
        <f>IF(OR($A228="F&amp;F",$A228="CE",AL$7="No aplica"),0,'BOULEVARD 5'!AO226-'BOULEVARD PPTO'!AG221)</f>
        <v>-2760</v>
      </c>
      <c r="AM228" s="760">
        <f>IF(OR($A228="F&amp;F",$A228="CE",AM$7="No aplica"),0,'BOULEVARD 5'!AP226-'BOULEVARD PPTO'!AH221)</f>
        <v>3500</v>
      </c>
      <c r="AN228" s="760">
        <f>IF(OR($A228="F&amp;F",$A228="CE",AN$7="No aplica"),0,'BOULEVARD 5'!AQ226-'BOULEVARD PPTO'!AI221)</f>
        <v>0</v>
      </c>
      <c r="AO228" s="760">
        <f>IF(OR($A228="F&amp;F",$A228="CE",AO$7="No aplica"),0,'BOULEVARD 5'!AS226-'BOULEVARD PPTO'!AJ221)</f>
        <v>0</v>
      </c>
      <c r="AP228" s="761">
        <f t="shared" si="23"/>
        <v>34425</v>
      </c>
      <c r="AQ228" s="761">
        <f t="shared" si="24"/>
        <v>48925</v>
      </c>
      <c r="AR228" s="674">
        <f>IF(A228=0,'BOULEVARD 5'!BF226,0)</f>
        <v>6000</v>
      </c>
      <c r="AS228" s="674">
        <f>IF(A228=0,'BOULEVARD 5'!BG226,0)</f>
        <v>2755</v>
      </c>
      <c r="AT228" s="675" t="str">
        <f t="shared" si="22"/>
        <v>Vendido</v>
      </c>
      <c r="AU228" s="581" t="str">
        <f t="shared" si="26"/>
        <v>A FAVOR DEL CLIENTE</v>
      </c>
      <c r="AV228" s="760">
        <f t="shared" si="25"/>
        <v>3500</v>
      </c>
    </row>
    <row r="229" spans="1:48" s="563" customFormat="1" ht="12.4" customHeight="1" outlineLevel="1" x14ac:dyDescent="0.25">
      <c r="A229" s="703">
        <f>'BOULEVARD 5'!BQ227</f>
        <v>0</v>
      </c>
      <c r="B229" s="713">
        <v>1216</v>
      </c>
      <c r="C229" s="565" t="s">
        <v>175</v>
      </c>
      <c r="D229" s="565"/>
      <c r="E229" s="564" t="str">
        <f>IF('BOULEVARD 5'!E227&lt;&gt;0,'BOULEVARD 5'!E227,"")</f>
        <v>Anahí Cisneros</v>
      </c>
      <c r="F229" s="563" t="str">
        <f>IF('BOULEVARD 5'!F227&lt;&gt;0,'BOULEVARD 5'!F227,"")</f>
        <v>Alan Gonzalez Choc</v>
      </c>
      <c r="G229" s="566">
        <f>IF('BOULEVARD 5'!G227="","",'BOULEVARD 5'!G227)</f>
        <v>45856</v>
      </c>
      <c r="H229" s="756">
        <f>IF(OR($A229="F&amp;F",$A229="CE",H$7="No aplica"),0,'BOULEVARD 5'!K227-'BOULEVARD PPTO'!C222)</f>
        <v>0</v>
      </c>
      <c r="I229" s="756">
        <f>IF(OR($A229="F&amp;F",$A229="CE",I$7="No aplica"),0,'BOULEVARD 5'!L227-'BOULEVARD PPTO'!D222)</f>
        <v>0</v>
      </c>
      <c r="J229" s="756">
        <f>IF(OR($A229="F&amp;F",$A229="CE",J$7="No aplica"),0,'BOULEVARD 5'!M227-'BOULEVARD PPTO'!E222)</f>
        <v>0</v>
      </c>
      <c r="K229" s="756">
        <f>IF(OR($A229="F&amp;F",$A229="CE",K$7="No aplica"),0,'BOULEVARD 5'!N227-'BOULEVARD PPTO'!F222)</f>
        <v>0</v>
      </c>
      <c r="L229" s="756">
        <f>IF(OR($A229="F&amp;F",$A229="CE",L$7="No aplica"),0,'BOULEVARD 5'!O227-'BOULEVARD PPTO'!G222)</f>
        <v>0</v>
      </c>
      <c r="M229" s="756">
        <f>IF(OR($A229="F&amp;F",$A229="CE",M$7="No aplica"),0,'BOULEVARD 5'!P227-'BOULEVARD PPTO'!H222)</f>
        <v>0</v>
      </c>
      <c r="N229" s="756">
        <f>IF(OR($A229="F&amp;F",$A229="CE",N$7="No aplica"),0,'BOULEVARD 5'!Q227-'BOULEVARD PPTO'!I222)</f>
        <v>0</v>
      </c>
      <c r="O229" s="756">
        <f>IF(OR($A229="F&amp;F",$A229="CE",O$7="No aplica"),0,'BOULEVARD 5'!R227-'BOULEVARD PPTO'!J222)</f>
        <v>0</v>
      </c>
      <c r="P229" s="756">
        <f>IF(OR($A229="F&amp;F",$A229="CE",P$7="No aplica"),0,'BOULEVARD 5'!S227-'BOULEVARD PPTO'!K222)</f>
        <v>0</v>
      </c>
      <c r="Q229" s="760">
        <f>IF(OR($A229="F&amp;F",$A229="CE",Q$7="No aplica"),0,'BOULEVARD 5'!T227-'BOULEVARD PPTO'!L222)</f>
        <v>0</v>
      </c>
      <c r="R229" s="760">
        <f>IF(OR($A229="F&amp;F",$A229="CE",R$7="No aplica"),0,'BOULEVARD 5'!U227-'BOULEVARD PPTO'!M222)</f>
        <v>0</v>
      </c>
      <c r="S229" s="760">
        <f>IF(OR($A229="F&amp;F",$A229="CE",S$7="No aplica"),0,'BOULEVARD 5'!V227-'BOULEVARD PPTO'!N222)</f>
        <v>0</v>
      </c>
      <c r="T229" s="760">
        <f>IF(OR($A229="F&amp;F",$A229="CE",T$7="No aplica"),0,'BOULEVARD 5'!W227-'BOULEVARD PPTO'!O222)</f>
        <v>0</v>
      </c>
      <c r="U229" s="760">
        <f>IF(OR($A229="F&amp;F",$A229="CE",U$7="No aplica"),0,'BOULEVARD 5'!X227-'BOULEVARD PPTO'!P222)</f>
        <v>0</v>
      </c>
      <c r="V229" s="760">
        <f>IF(OR($A229="F&amp;F",$A229="CE",V$7="No aplica"),0,'BOULEVARD 5'!Y227-'BOULEVARD PPTO'!Q222)</f>
        <v>0</v>
      </c>
      <c r="W229" s="760">
        <f>IF(OR($A229="F&amp;F",$A229="CE",W$7="No aplica"),0,'BOULEVARD 5'!Z227-'BOULEVARD PPTO'!R222)</f>
        <v>0</v>
      </c>
      <c r="X229" s="760">
        <f>IF(OR($A229="F&amp;F",$A229="CE",X$7="No aplica"),0,'BOULEVARD 5'!AA227-'BOULEVARD PPTO'!S222)</f>
        <v>0</v>
      </c>
      <c r="Y229" s="760">
        <f>IF(OR($A229="F&amp;F",$A229="CE",Y$7="No aplica"),0,'BOULEVARD 5'!AB227-'BOULEVARD PPTO'!T222)</f>
        <v>0</v>
      </c>
      <c r="Z229" s="760">
        <f>IF(OR($A229="F&amp;F",$A229="CE",Z$7="No aplica"),0,'BOULEVARD 5'!AC227-'BOULEVARD PPTO'!U222)</f>
        <v>0</v>
      </c>
      <c r="AA229" s="760">
        <f>IF(OR($A229="F&amp;F",$A229="CE",AA$7="No aplica"),0,'BOULEVARD 5'!AD227-'BOULEVARD PPTO'!V222)</f>
        <v>0</v>
      </c>
      <c r="AB229" s="760">
        <f>IF(OR($A229="F&amp;F",$A229="CE",AB$7="No aplica"),0,'BOULEVARD 5'!AE227-'BOULEVARD PPTO'!W222)</f>
        <v>0</v>
      </c>
      <c r="AC229" s="760">
        <f>IF(OR($A229="F&amp;F",$A229="CE",AC$7="No aplica"),0,'BOULEVARD 5'!AF227-'BOULEVARD PPTO'!X222)</f>
        <v>0</v>
      </c>
      <c r="AD229" s="760">
        <f>IF(OR($A229="F&amp;F",$A229="CE",AD$7="No aplica"),0,'BOULEVARD 5'!AG227-'BOULEVARD PPTO'!Y222)</f>
        <v>0</v>
      </c>
      <c r="AE229" s="760">
        <f>IF(OR($A229="F&amp;F",$A229="CE",AE$7="No aplica"),0,'BOULEVARD 5'!AH227-'BOULEVARD PPTO'!Z222)</f>
        <v>0</v>
      </c>
      <c r="AF229" s="760">
        <f>IF(OR($A229="F&amp;F",$A229="CE",AF$7="No aplica"),0,'BOULEVARD 5'!AI227-'BOULEVARD PPTO'!AA222)</f>
        <v>0</v>
      </c>
      <c r="AG229" s="760">
        <f>IF(OR($A229="F&amp;F",$A229="CE",AG$7="No aplica"),0,'BOULEVARD 5'!AJ227-'BOULEVARD PPTO'!AB222)</f>
        <v>0</v>
      </c>
      <c r="AH229" s="760">
        <f>IF(OR($A229="F&amp;F",$A229="CE",AH$7="No aplica"),0,'BOULEVARD 5'!AK227-'BOULEVARD PPTO'!AC222)</f>
        <v>0</v>
      </c>
      <c r="AI229" s="760">
        <f>IF(OR($A229="F&amp;F",$A229="CE",AI$7="No aplica"),0,'BOULEVARD 5'!AL227-'BOULEVARD PPTO'!AD222)</f>
        <v>0</v>
      </c>
      <c r="AJ229" s="760">
        <f>IF(OR($A229="F&amp;F",$A229="CE",AJ$7="No aplica"),0,'BOULEVARD 5'!AM227-'BOULEVARD PPTO'!AE222)</f>
        <v>0</v>
      </c>
      <c r="AK229" s="760">
        <f>IF(OR($A229="F&amp;F",$A229="CE",AK$7="No aplica"),0,'BOULEVARD 5'!AN227-'BOULEVARD PPTO'!AF222)</f>
        <v>-32100</v>
      </c>
      <c r="AL229" s="760">
        <f>IF(OR($A229="F&amp;F",$A229="CE",AL$7="No aplica"),0,'BOULEVARD 5'!AO227-'BOULEVARD PPTO'!AG222)</f>
        <v>28447</v>
      </c>
      <c r="AM229" s="760">
        <f>IF(OR($A229="F&amp;F",$A229="CE",AM$7="No aplica"),0,'BOULEVARD 5'!AP227-'BOULEVARD PPTO'!AH222)</f>
        <v>-1000</v>
      </c>
      <c r="AN229" s="760">
        <f>IF(OR($A229="F&amp;F",$A229="CE",AN$7="No aplica"),0,'BOULEVARD 5'!AQ227-'BOULEVARD PPTO'!AI222)</f>
        <v>0</v>
      </c>
      <c r="AO229" s="760">
        <f>IF(OR($A229="F&amp;F",$A229="CE",AO$7="No aplica"),0,'BOULEVARD 5'!AS227-'BOULEVARD PPTO'!AJ222)</f>
        <v>0</v>
      </c>
      <c r="AP229" s="761">
        <f t="shared" si="23"/>
        <v>-4653</v>
      </c>
      <c r="AQ229" s="761">
        <f t="shared" si="24"/>
        <v>-344631.07000000007</v>
      </c>
      <c r="AR229" s="674">
        <f>IF(A229=0,'BOULEVARD 5'!BF227,0)</f>
        <v>519578.07</v>
      </c>
      <c r="AS229" s="674">
        <f>IF(A229=0,'BOULEVARD 5'!BG227,0)</f>
        <v>32100</v>
      </c>
      <c r="AT229" s="675" t="str">
        <f t="shared" si="22"/>
        <v>Vendido</v>
      </c>
      <c r="AU229" s="581" t="str">
        <f t="shared" si="26"/>
        <v>POR COBRAR</v>
      </c>
      <c r="AV229" s="760">
        <f t="shared" si="25"/>
        <v>0</v>
      </c>
    </row>
    <row r="230" spans="1:48" s="581" customFormat="1" ht="12.4" customHeight="1" outlineLevel="1" x14ac:dyDescent="0.25">
      <c r="A230" s="703">
        <f>'BOULEVARD 5'!BQ228</f>
        <v>0</v>
      </c>
      <c r="B230" s="564">
        <v>1217</v>
      </c>
      <c r="C230" s="564" t="s">
        <v>617</v>
      </c>
      <c r="D230" s="564"/>
      <c r="E230" s="564" t="str">
        <f>IF('BOULEVARD 5'!E228&lt;&gt;0,'BOULEVARD 5'!E228,"")</f>
        <v>Antonio Rada</v>
      </c>
      <c r="F230" s="581" t="str">
        <f>IF('BOULEVARD 5'!F228&lt;&gt;0,'BOULEVARD 5'!F228,"")</f>
        <v>Irene Noemy Santisteban Chiguil</v>
      </c>
      <c r="G230" s="566">
        <f>IF('BOULEVARD 5'!G228="","",'BOULEVARD 5'!G228)</f>
        <v>45391</v>
      </c>
      <c r="H230" s="756">
        <f>IF(OR($A230="F&amp;F",$A230="CE",H$7="No aplica"),0,'BOULEVARD 5'!K228-'BOULEVARD PPTO'!C223)</f>
        <v>0</v>
      </c>
      <c r="I230" s="756">
        <f>IF(OR($A230="F&amp;F",$A230="CE",I$7="No aplica"),0,'BOULEVARD 5'!L228-'BOULEVARD PPTO'!D223)</f>
        <v>0</v>
      </c>
      <c r="J230" s="756">
        <f>IF(OR($A230="F&amp;F",$A230="CE",J$7="No aplica"),0,'BOULEVARD 5'!M228-'BOULEVARD PPTO'!E223)</f>
        <v>0</v>
      </c>
      <c r="K230" s="756">
        <f>IF(OR($A230="F&amp;F",$A230="CE",K$7="No aplica"),0,'BOULEVARD 5'!N228-'BOULEVARD PPTO'!F223)</f>
        <v>0</v>
      </c>
      <c r="L230" s="756">
        <f>IF(OR($A230="F&amp;F",$A230="CE",L$7="No aplica"),0,'BOULEVARD 5'!O228-'BOULEVARD PPTO'!G223)</f>
        <v>0</v>
      </c>
      <c r="M230" s="756">
        <f>IF(OR($A230="F&amp;F",$A230="CE",M$7="No aplica"),0,'BOULEVARD 5'!P228-'BOULEVARD PPTO'!H223)</f>
        <v>0</v>
      </c>
      <c r="N230" s="756">
        <f>IF(OR($A230="F&amp;F",$A230="CE",N$7="No aplica"),0,'BOULEVARD 5'!Q228-'BOULEVARD PPTO'!I223)</f>
        <v>0</v>
      </c>
      <c r="O230" s="756">
        <f>IF(OR($A230="F&amp;F",$A230="CE",O$7="No aplica"),0,'BOULEVARD 5'!R228-'BOULEVARD PPTO'!J223)</f>
        <v>0</v>
      </c>
      <c r="P230" s="756">
        <f>IF(OR($A230="F&amp;F",$A230="CE",P$7="No aplica"),0,'BOULEVARD 5'!S228-'BOULEVARD PPTO'!K223)</f>
        <v>0</v>
      </c>
      <c r="Q230" s="760">
        <f>IF(OR($A230="F&amp;F",$A230="CE",Q$7="No aplica"),0,'BOULEVARD 5'!T228-'BOULEVARD PPTO'!L223)</f>
        <v>0</v>
      </c>
      <c r="R230" s="760">
        <f>IF(OR($A230="F&amp;F",$A230="CE",R$7="No aplica"),0,'BOULEVARD 5'!U228-'BOULEVARD PPTO'!M223)</f>
        <v>0</v>
      </c>
      <c r="S230" s="760">
        <f>IF(OR($A230="F&amp;F",$A230="CE",S$7="No aplica"),0,'BOULEVARD 5'!V228-'BOULEVARD PPTO'!N223)</f>
        <v>0</v>
      </c>
      <c r="T230" s="760">
        <f>IF(OR($A230="F&amp;F",$A230="CE",T$7="No aplica"),0,'BOULEVARD 5'!W228-'BOULEVARD PPTO'!O223)</f>
        <v>0</v>
      </c>
      <c r="U230" s="760">
        <f>IF(OR($A230="F&amp;F",$A230="CE",U$7="No aplica"),0,'BOULEVARD 5'!X228-'BOULEVARD PPTO'!P223)</f>
        <v>0</v>
      </c>
      <c r="V230" s="760">
        <f>IF(OR($A230="F&amp;F",$A230="CE",V$7="No aplica"),0,'BOULEVARD 5'!Y228-'BOULEVARD PPTO'!Q223)</f>
        <v>-2</v>
      </c>
      <c r="W230" s="760">
        <f>IF(OR($A230="F&amp;F",$A230="CE",W$7="No aplica"),0,'BOULEVARD 5'!Z228-'BOULEVARD PPTO'!R223)</f>
        <v>-2</v>
      </c>
      <c r="X230" s="760">
        <f>IF(OR($A230="F&amp;F",$A230="CE",X$7="No aplica"),0,'BOULEVARD 5'!AA228-'BOULEVARD PPTO'!S223)</f>
        <v>-2</v>
      </c>
      <c r="Y230" s="760">
        <f>IF(OR($A230="F&amp;F",$A230="CE",Y$7="No aplica"),0,'BOULEVARD 5'!AB228-'BOULEVARD PPTO'!T223)</f>
        <v>-2</v>
      </c>
      <c r="Z230" s="760">
        <f>IF(OR($A230="F&amp;F",$A230="CE",Z$7="No aplica"),0,'BOULEVARD 5'!AC228-'BOULEVARD PPTO'!U223)</f>
        <v>-2</v>
      </c>
      <c r="AA230" s="760">
        <f>IF(OR($A230="F&amp;F",$A230="CE",AA$7="No aplica"),0,'BOULEVARD 5'!AD228-'BOULEVARD PPTO'!V223)</f>
        <v>-2</v>
      </c>
      <c r="AB230" s="760">
        <f>IF(OR($A230="F&amp;F",$A230="CE",AB$7="No aplica"),0,'BOULEVARD 5'!AE228-'BOULEVARD PPTO'!W223)</f>
        <v>-2</v>
      </c>
      <c r="AC230" s="760">
        <f>IF(OR($A230="F&amp;F",$A230="CE",AC$7="No aplica"),0,'BOULEVARD 5'!AF228-'BOULEVARD PPTO'!X223)</f>
        <v>-2</v>
      </c>
      <c r="AD230" s="760">
        <f>IF(OR($A230="F&amp;F",$A230="CE",AD$7="No aplica"),0,'BOULEVARD 5'!AG228-'BOULEVARD PPTO'!Y223)</f>
        <v>-2</v>
      </c>
      <c r="AE230" s="760">
        <f>IF(OR($A230="F&amp;F",$A230="CE",AE$7="No aplica"),0,'BOULEVARD 5'!AH228-'BOULEVARD PPTO'!Z223)</f>
        <v>-2</v>
      </c>
      <c r="AF230" s="760">
        <f>IF(OR($A230="F&amp;F",$A230="CE",AF$7="No aplica"),0,'BOULEVARD 5'!AI228-'BOULEVARD PPTO'!AA223)</f>
        <v>-2</v>
      </c>
      <c r="AG230" s="760">
        <f>IF(OR($A230="F&amp;F",$A230="CE",AG$7="No aplica"),0,'BOULEVARD 5'!AJ228-'BOULEVARD PPTO'!AB223)</f>
        <v>-2</v>
      </c>
      <c r="AH230" s="760">
        <f>IF(OR($A230="F&amp;F",$A230="CE",AH$7="No aplica"),0,'BOULEVARD 5'!AK228-'BOULEVARD PPTO'!AC223)</f>
        <v>-2</v>
      </c>
      <c r="AI230" s="760">
        <f>IF(OR($A230="F&amp;F",$A230="CE",AI$7="No aplica"),0,'BOULEVARD 5'!AL228-'BOULEVARD PPTO'!AD223)</f>
        <v>-2</v>
      </c>
      <c r="AJ230" s="760">
        <f>IF(OR($A230="F&amp;F",$A230="CE",AJ$7="No aplica"),0,'BOULEVARD 5'!AM228-'BOULEVARD PPTO'!AE223)</f>
        <v>-2</v>
      </c>
      <c r="AK230" s="760">
        <f>IF(OR($A230="F&amp;F",$A230="CE",AK$7="No aplica"),0,'BOULEVARD 5'!AN228-'BOULEVARD PPTO'!AF223)</f>
        <v>-2</v>
      </c>
      <c r="AL230" s="760">
        <f>IF(OR($A230="F&amp;F",$A230="CE",AL$7="No aplica"),0,'BOULEVARD 5'!AO228-'BOULEVARD PPTO'!AG223)</f>
        <v>32</v>
      </c>
      <c r="AM230" s="760">
        <f>IF(OR($A230="F&amp;F",$A230="CE",AM$7="No aplica"),0,'BOULEVARD 5'!AP228-'BOULEVARD PPTO'!AH223)</f>
        <v>0</v>
      </c>
      <c r="AN230" s="760">
        <f>IF(OR($A230="F&amp;F",$A230="CE",AN$7="No aplica"),0,'BOULEVARD 5'!AQ228-'BOULEVARD PPTO'!AI223)</f>
        <v>0</v>
      </c>
      <c r="AO230" s="760">
        <f>IF(OR($A230="F&amp;F",$A230="CE",AO$7="No aplica"),0,'BOULEVARD 5'!AS228-'BOULEVARD PPTO'!AJ223)</f>
        <v>0</v>
      </c>
      <c r="AP230" s="761">
        <f t="shared" si="23"/>
        <v>0</v>
      </c>
      <c r="AQ230" s="761">
        <f t="shared" si="24"/>
        <v>0</v>
      </c>
      <c r="AR230" s="674">
        <f>IF(A230=0,'BOULEVARD 5'!BF228,0)</f>
        <v>8000</v>
      </c>
      <c r="AS230" s="674">
        <f>IF(A230=0,'BOULEVARD 5'!BG228,0)</f>
        <v>6904</v>
      </c>
      <c r="AT230" s="675" t="str">
        <f t="shared" si="22"/>
        <v>Vendido</v>
      </c>
      <c r="AU230" s="581" t="str">
        <f t="shared" si="26"/>
        <v/>
      </c>
      <c r="AV230" s="760">
        <f t="shared" si="25"/>
        <v>0</v>
      </c>
    </row>
    <row r="231" spans="1:48" s="581" customFormat="1" ht="12.4" customHeight="1" outlineLevel="1" x14ac:dyDescent="0.25">
      <c r="A231" s="703">
        <f>'BOULEVARD 5'!BQ229</f>
        <v>0</v>
      </c>
      <c r="B231" s="564">
        <v>1218</v>
      </c>
      <c r="C231" s="564" t="s">
        <v>619</v>
      </c>
      <c r="D231" s="564"/>
      <c r="E231" s="564" t="str">
        <f>IF('BOULEVARD 5'!E229&lt;&gt;0,'BOULEVARD 5'!E229,"")</f>
        <v>Diana Alvarez</v>
      </c>
      <c r="F231" s="581" t="str">
        <f>IF('BOULEVARD 5'!F229&lt;&gt;0,'BOULEVARD 5'!F229,"")</f>
        <v>Hector Ricardo Echeverria  Mendez</v>
      </c>
      <c r="G231" s="566">
        <f>IF('BOULEVARD 5'!G229="","",'BOULEVARD 5'!G229)</f>
        <v>45614</v>
      </c>
      <c r="H231" s="756">
        <f>IF(OR($A231="F&amp;F",$A231="CE",H$7="No aplica"),0,'BOULEVARD 5'!K229-'BOULEVARD PPTO'!C224)</f>
        <v>0</v>
      </c>
      <c r="I231" s="756">
        <f>IF(OR($A231="F&amp;F",$A231="CE",I$7="No aplica"),0,'BOULEVARD 5'!L229-'BOULEVARD PPTO'!D224)</f>
        <v>0</v>
      </c>
      <c r="J231" s="756">
        <f>IF(OR($A231="F&amp;F",$A231="CE",J$7="No aplica"),0,'BOULEVARD 5'!M229-'BOULEVARD PPTO'!E224)</f>
        <v>0</v>
      </c>
      <c r="K231" s="756">
        <f>IF(OR($A231="F&amp;F",$A231="CE",K$7="No aplica"),0,'BOULEVARD 5'!N229-'BOULEVARD PPTO'!F224)</f>
        <v>0</v>
      </c>
      <c r="L231" s="756">
        <f>IF(OR($A231="F&amp;F",$A231="CE",L$7="No aplica"),0,'BOULEVARD 5'!O229-'BOULEVARD PPTO'!G224)</f>
        <v>0</v>
      </c>
      <c r="M231" s="756">
        <f>IF(OR($A231="F&amp;F",$A231="CE",M$7="No aplica"),0,'BOULEVARD 5'!P229-'BOULEVARD PPTO'!H224)</f>
        <v>0</v>
      </c>
      <c r="N231" s="756">
        <f>IF(OR($A231="F&amp;F",$A231="CE",N$7="No aplica"),0,'BOULEVARD 5'!Q229-'BOULEVARD PPTO'!I224)</f>
        <v>0</v>
      </c>
      <c r="O231" s="756">
        <f>IF(OR($A231="F&amp;F",$A231="CE",O$7="No aplica"),0,'BOULEVARD 5'!R229-'BOULEVARD PPTO'!J224)</f>
        <v>0</v>
      </c>
      <c r="P231" s="756">
        <f>IF(OR($A231="F&amp;F",$A231="CE",P$7="No aplica"),0,'BOULEVARD 5'!S229-'BOULEVARD PPTO'!K224)</f>
        <v>0</v>
      </c>
      <c r="Q231" s="760">
        <f>IF(OR($A231="F&amp;F",$A231="CE",Q$7="No aplica"),0,'BOULEVARD 5'!T229-'BOULEVARD PPTO'!L224)</f>
        <v>0</v>
      </c>
      <c r="R231" s="760">
        <f>IF(OR($A231="F&amp;F",$A231="CE",R$7="No aplica"),0,'BOULEVARD 5'!U229-'BOULEVARD PPTO'!M224)</f>
        <v>0</v>
      </c>
      <c r="S231" s="760">
        <f>IF(OR($A231="F&amp;F",$A231="CE",S$7="No aplica"),0,'BOULEVARD 5'!V229-'BOULEVARD PPTO'!N224)</f>
        <v>0</v>
      </c>
      <c r="T231" s="760">
        <f>IF(OR($A231="F&amp;F",$A231="CE",T$7="No aplica"),0,'BOULEVARD 5'!W229-'BOULEVARD PPTO'!O224)</f>
        <v>0</v>
      </c>
      <c r="U231" s="760">
        <f>IF(OR($A231="F&amp;F",$A231="CE",U$7="No aplica"),0,'BOULEVARD 5'!X229-'BOULEVARD PPTO'!P224)</f>
        <v>0</v>
      </c>
      <c r="V231" s="760">
        <f>IF(OR($A231="F&amp;F",$A231="CE",V$7="No aplica"),0,'BOULEVARD 5'!Y229-'BOULEVARD PPTO'!Q224)</f>
        <v>0</v>
      </c>
      <c r="W231" s="760">
        <f>IF(OR($A231="F&amp;F",$A231="CE",W$7="No aplica"),0,'BOULEVARD 5'!Z229-'BOULEVARD PPTO'!R224)</f>
        <v>0</v>
      </c>
      <c r="X231" s="760">
        <f>IF(OR($A231="F&amp;F",$A231="CE",X$7="No aplica"),0,'BOULEVARD 5'!AA229-'BOULEVARD PPTO'!S224)</f>
        <v>0</v>
      </c>
      <c r="Y231" s="760">
        <f>IF(OR($A231="F&amp;F",$A231="CE",Y$7="No aplica"),0,'BOULEVARD 5'!AB229-'BOULEVARD PPTO'!T224)</f>
        <v>0</v>
      </c>
      <c r="Z231" s="760">
        <f>IF(OR($A231="F&amp;F",$A231="CE",Z$7="No aplica"),0,'BOULEVARD 5'!AC229-'BOULEVARD PPTO'!U224)</f>
        <v>0</v>
      </c>
      <c r="AA231" s="760">
        <f>IF(OR($A231="F&amp;F",$A231="CE",AA$7="No aplica"),0,'BOULEVARD 5'!AD229-'BOULEVARD PPTO'!V224)</f>
        <v>0</v>
      </c>
      <c r="AB231" s="760">
        <f>IF(OR($A231="F&amp;F",$A231="CE",AB$7="No aplica"),0,'BOULEVARD 5'!AE229-'BOULEVARD PPTO'!W224)</f>
        <v>0</v>
      </c>
      <c r="AC231" s="760">
        <f>IF(OR($A231="F&amp;F",$A231="CE",AC$7="No aplica"),0,'BOULEVARD 5'!AF229-'BOULEVARD PPTO'!X224)</f>
        <v>-6950</v>
      </c>
      <c r="AD231" s="760">
        <f>IF(OR($A231="F&amp;F",$A231="CE",AD$7="No aplica"),0,'BOULEVARD 5'!AG229-'BOULEVARD PPTO'!Y224)</f>
        <v>-6950</v>
      </c>
      <c r="AE231" s="760">
        <f>IF(OR($A231="F&amp;F",$A231="CE",AE$7="No aplica"),0,'BOULEVARD 5'!AH229-'BOULEVARD PPTO'!Z224)</f>
        <v>-6950</v>
      </c>
      <c r="AF231" s="760">
        <f>IF(OR($A231="F&amp;F",$A231="CE",AF$7="No aplica"),0,'BOULEVARD 5'!AI229-'BOULEVARD PPTO'!AA224)</f>
        <v>27800</v>
      </c>
      <c r="AG231" s="760">
        <f>IF(OR($A231="F&amp;F",$A231="CE",AG$7="No aplica"),0,'BOULEVARD 5'!AJ229-'BOULEVARD PPTO'!AB224)</f>
        <v>-6950</v>
      </c>
      <c r="AH231" s="760">
        <f>IF(OR($A231="F&amp;F",$A231="CE",AH$7="No aplica"),0,'BOULEVARD 5'!AK229-'BOULEVARD PPTO'!AC224)</f>
        <v>0</v>
      </c>
      <c r="AI231" s="760">
        <f>IF(OR($A231="F&amp;F",$A231="CE",AI$7="No aplica"),0,'BOULEVARD 5'!AL229-'BOULEVARD PPTO'!AD224)</f>
        <v>0</v>
      </c>
      <c r="AJ231" s="760">
        <f>IF(OR($A231="F&amp;F",$A231="CE",AJ$7="No aplica"),0,'BOULEVARD 5'!AM229-'BOULEVARD PPTO'!AE224)</f>
        <v>0</v>
      </c>
      <c r="AK231" s="760">
        <f>IF(OR($A231="F&amp;F",$A231="CE",AK$7="No aplica"),0,'BOULEVARD 5'!AN229-'BOULEVARD PPTO'!AF224)</f>
        <v>0</v>
      </c>
      <c r="AL231" s="760">
        <f>IF(OR($A231="F&amp;F",$A231="CE",AL$7="No aplica"),0,'BOULEVARD 5'!AO229-'BOULEVARD PPTO'!AG224)</f>
        <v>0</v>
      </c>
      <c r="AM231" s="760">
        <f>IF(OR($A231="F&amp;F",$A231="CE",AM$7="No aplica"),0,'BOULEVARD 5'!AP229-'BOULEVARD PPTO'!AH224)</f>
        <v>-6950</v>
      </c>
      <c r="AN231" s="760">
        <f>IF(OR($A231="F&amp;F",$A231="CE",AN$7="No aplica"),0,'BOULEVARD 5'!AQ229-'BOULEVARD PPTO'!AI224)</f>
        <v>0</v>
      </c>
      <c r="AO231" s="760">
        <f>IF(OR($A231="F&amp;F",$A231="CE",AO$7="No aplica"),0,'BOULEVARD 5'!AS229-'BOULEVARD PPTO'!AJ224)</f>
        <v>0</v>
      </c>
      <c r="AP231" s="761">
        <f t="shared" si="23"/>
        <v>-6950</v>
      </c>
      <c r="AQ231" s="761">
        <f t="shared" si="24"/>
        <v>-41692.549999999988</v>
      </c>
      <c r="AR231" s="674">
        <f>IF(A231=0,'BOULEVARD 5'!BF229,0)</f>
        <v>10000</v>
      </c>
      <c r="AS231" s="674">
        <f>IF(A231=0,'BOULEVARD 5'!BG229,0)</f>
        <v>6950</v>
      </c>
      <c r="AT231" s="675" t="str">
        <f t="shared" si="22"/>
        <v>Vendido</v>
      </c>
      <c r="AU231" s="581" t="str">
        <f t="shared" si="26"/>
        <v>POR COBRAR</v>
      </c>
      <c r="AV231" s="760">
        <f t="shared" si="25"/>
        <v>0</v>
      </c>
    </row>
    <row r="232" spans="1:48" s="581" customFormat="1" ht="12.4" customHeight="1" outlineLevel="1" x14ac:dyDescent="0.25">
      <c r="A232" s="703">
        <f>'BOULEVARD 5'!BQ230</f>
        <v>0</v>
      </c>
      <c r="B232" s="564">
        <v>1301</v>
      </c>
      <c r="C232" s="564" t="s">
        <v>617</v>
      </c>
      <c r="D232" s="564"/>
      <c r="E232" s="564" t="str">
        <f>IF('BOULEVARD 5'!E230&lt;&gt;0,'BOULEVARD 5'!E230,"")</f>
        <v>Antonio Rada</v>
      </c>
      <c r="F232" s="581" t="str">
        <f>IF('BOULEVARD 5'!F230&lt;&gt;0,'BOULEVARD 5'!F230,"")</f>
        <v>Raul Eliazar Lemus Garza</v>
      </c>
      <c r="G232" s="566">
        <f>IF('BOULEVARD 5'!G230="","",'BOULEVARD 5'!G230)</f>
        <v>45456</v>
      </c>
      <c r="H232" s="756">
        <f>IF(OR($A232="F&amp;F",$A232="CE",H$7="No aplica"),0,'BOULEVARD 5'!K230-'BOULEVARD PPTO'!C225)</f>
        <v>0</v>
      </c>
      <c r="I232" s="756">
        <f>IF(OR($A232="F&amp;F",$A232="CE",I$7="No aplica"),0,'BOULEVARD 5'!L230-'BOULEVARD PPTO'!D225)</f>
        <v>0</v>
      </c>
      <c r="J232" s="756">
        <f>IF(OR($A232="F&amp;F",$A232="CE",J$7="No aplica"),0,'BOULEVARD 5'!M230-'BOULEVARD PPTO'!E225)</f>
        <v>0</v>
      </c>
      <c r="K232" s="756">
        <f>IF(OR($A232="F&amp;F",$A232="CE",K$7="No aplica"),0,'BOULEVARD 5'!N230-'BOULEVARD PPTO'!F225)</f>
        <v>0</v>
      </c>
      <c r="L232" s="756">
        <f>IF(OR($A232="F&amp;F",$A232="CE",L$7="No aplica"),0,'BOULEVARD 5'!O230-'BOULEVARD PPTO'!G225)</f>
        <v>0</v>
      </c>
      <c r="M232" s="756">
        <f>IF(OR($A232="F&amp;F",$A232="CE",M$7="No aplica"),0,'BOULEVARD 5'!P230-'BOULEVARD PPTO'!H225)</f>
        <v>0</v>
      </c>
      <c r="N232" s="756">
        <f>IF(OR($A232="F&amp;F",$A232="CE",N$7="No aplica"),0,'BOULEVARD 5'!Q230-'BOULEVARD PPTO'!I225)</f>
        <v>0</v>
      </c>
      <c r="O232" s="756">
        <f>IF(OR($A232="F&amp;F",$A232="CE",O$7="No aplica"),0,'BOULEVARD 5'!R230-'BOULEVARD PPTO'!J225)</f>
        <v>0</v>
      </c>
      <c r="P232" s="756">
        <f>IF(OR($A232="F&amp;F",$A232="CE",P$7="No aplica"),0,'BOULEVARD 5'!S230-'BOULEVARD PPTO'!K225)</f>
        <v>0</v>
      </c>
      <c r="Q232" s="760">
        <f>IF(OR($A232="F&amp;F",$A232="CE",Q$7="No aplica"),0,'BOULEVARD 5'!T230-'BOULEVARD PPTO'!L225)</f>
        <v>0</v>
      </c>
      <c r="R232" s="760">
        <f>IF(OR($A232="F&amp;F",$A232="CE",R$7="No aplica"),0,'BOULEVARD 5'!U230-'BOULEVARD PPTO'!M225)</f>
        <v>0</v>
      </c>
      <c r="S232" s="760">
        <f>IF(OR($A232="F&amp;F",$A232="CE",S$7="No aplica"),0,'BOULEVARD 5'!V230-'BOULEVARD PPTO'!N225)</f>
        <v>0</v>
      </c>
      <c r="T232" s="760">
        <f>IF(OR($A232="F&amp;F",$A232="CE",T$7="No aplica"),0,'BOULEVARD 5'!W230-'BOULEVARD PPTO'!O225)</f>
        <v>0</v>
      </c>
      <c r="U232" s="760">
        <f>IF(OR($A232="F&amp;F",$A232="CE",U$7="No aplica"),0,'BOULEVARD 5'!X230-'BOULEVARD PPTO'!P225)</f>
        <v>0</v>
      </c>
      <c r="V232" s="760">
        <f>IF(OR($A232="F&amp;F",$A232="CE",V$7="No aplica"),0,'BOULEVARD 5'!Y230-'BOULEVARD PPTO'!Q225)</f>
        <v>0</v>
      </c>
      <c r="W232" s="760">
        <f>IF(OR($A232="F&amp;F",$A232="CE",W$7="No aplica"),0,'BOULEVARD 5'!Z230-'BOULEVARD PPTO'!R225)</f>
        <v>0</v>
      </c>
      <c r="X232" s="760">
        <f>IF(OR($A232="F&amp;F",$A232="CE",X$7="No aplica"),0,'BOULEVARD 5'!AA230-'BOULEVARD PPTO'!S225)</f>
        <v>0</v>
      </c>
      <c r="Y232" s="760">
        <f>IF(OR($A232="F&amp;F",$A232="CE",Y$7="No aplica"),0,'BOULEVARD 5'!AB230-'BOULEVARD PPTO'!T225)</f>
        <v>0</v>
      </c>
      <c r="Z232" s="760">
        <f>IF(OR($A232="F&amp;F",$A232="CE",Z$7="No aplica"),0,'BOULEVARD 5'!AC230-'BOULEVARD PPTO'!U225)</f>
        <v>0</v>
      </c>
      <c r="AA232" s="760">
        <f>IF(OR($A232="F&amp;F",$A232="CE",AA$7="No aplica"),0,'BOULEVARD 5'!AD230-'BOULEVARD PPTO'!V225)</f>
        <v>0</v>
      </c>
      <c r="AB232" s="760">
        <f>IF(OR($A232="F&amp;F",$A232="CE",AB$7="No aplica"),0,'BOULEVARD 5'!AE230-'BOULEVARD PPTO'!W225)</f>
        <v>0</v>
      </c>
      <c r="AC232" s="760">
        <f>IF(OR($A232="F&amp;F",$A232="CE",AC$7="No aplica"),0,'BOULEVARD 5'!AF230-'BOULEVARD PPTO'!X225)</f>
        <v>0</v>
      </c>
      <c r="AD232" s="760">
        <f>IF(OR($A232="F&amp;F",$A232="CE",AD$7="No aplica"),0,'BOULEVARD 5'!AG230-'BOULEVARD PPTO'!Y225)</f>
        <v>0</v>
      </c>
      <c r="AE232" s="760">
        <f>IF(OR($A232="F&amp;F",$A232="CE",AE$7="No aplica"),0,'BOULEVARD 5'!AH230-'BOULEVARD PPTO'!Z225)</f>
        <v>0</v>
      </c>
      <c r="AF232" s="760">
        <f>IF(OR($A232="F&amp;F",$A232="CE",AF$7="No aplica"),0,'BOULEVARD 5'!AI230-'BOULEVARD PPTO'!AA225)</f>
        <v>0</v>
      </c>
      <c r="AG232" s="760">
        <f>IF(OR($A232="F&amp;F",$A232="CE",AG$7="No aplica"),0,'BOULEVARD 5'!AJ230-'BOULEVARD PPTO'!AB225)</f>
        <v>0</v>
      </c>
      <c r="AH232" s="760">
        <f>IF(OR($A232="F&amp;F",$A232="CE",AH$7="No aplica"),0,'BOULEVARD 5'!AK230-'BOULEVARD PPTO'!AC225)</f>
        <v>0</v>
      </c>
      <c r="AI232" s="760">
        <f>IF(OR($A232="F&amp;F",$A232="CE",AI$7="No aplica"),0,'BOULEVARD 5'!AL230-'BOULEVARD PPTO'!AD225)</f>
        <v>0</v>
      </c>
      <c r="AJ232" s="760">
        <f>IF(OR($A232="F&amp;F",$A232="CE",AJ$7="No aplica"),0,'BOULEVARD 5'!AM230-'BOULEVARD PPTO'!AE225)</f>
        <v>0</v>
      </c>
      <c r="AK232" s="760">
        <f>IF(OR($A232="F&amp;F",$A232="CE",AK$7="No aplica"),0,'BOULEVARD 5'!AN230-'BOULEVARD PPTO'!AF225)</f>
        <v>0</v>
      </c>
      <c r="AL232" s="760">
        <f>IF(OR($A232="F&amp;F",$A232="CE",AL$7="No aplica"),0,'BOULEVARD 5'!AO230-'BOULEVARD PPTO'!AG225)</f>
        <v>0</v>
      </c>
      <c r="AM232" s="760">
        <f>IF(OR($A232="F&amp;F",$A232="CE",AM$7="No aplica"),0,'BOULEVARD 5'!AP230-'BOULEVARD PPTO'!AH225)</f>
        <v>0</v>
      </c>
      <c r="AN232" s="760">
        <f>IF(OR($A232="F&amp;F",$A232="CE",AN$7="No aplica"),0,'BOULEVARD 5'!AQ230-'BOULEVARD PPTO'!AI225)</f>
        <v>0</v>
      </c>
      <c r="AO232" s="760">
        <f>IF(OR($A232="F&amp;F",$A232="CE",AO$7="No aplica"),0,'BOULEVARD 5'!AS230-'BOULEVARD PPTO'!AJ225)</f>
        <v>0</v>
      </c>
      <c r="AP232" s="761">
        <f t="shared" si="23"/>
        <v>0</v>
      </c>
      <c r="AQ232" s="761">
        <f t="shared" si="24"/>
        <v>0</v>
      </c>
      <c r="AR232" s="674">
        <f>IF(A232=0,'BOULEVARD 5'!BF230,0)</f>
        <v>10000</v>
      </c>
      <c r="AS232" s="674">
        <f>IF(A232=0,'BOULEVARD 5'!BG230,0)</f>
        <v>6411</v>
      </c>
      <c r="AT232" s="675" t="str">
        <f t="shared" si="22"/>
        <v>Vendido</v>
      </c>
      <c r="AU232" s="581" t="str">
        <f t="shared" si="26"/>
        <v/>
      </c>
      <c r="AV232" s="760">
        <f t="shared" si="25"/>
        <v>0</v>
      </c>
    </row>
    <row r="233" spans="1:48" s="581" customFormat="1" ht="12.4" customHeight="1" outlineLevel="1" x14ac:dyDescent="0.25">
      <c r="A233" s="703">
        <f>'BOULEVARD 5'!BQ231</f>
        <v>0</v>
      </c>
      <c r="B233" s="564">
        <v>1302</v>
      </c>
      <c r="C233" s="564" t="s">
        <v>619</v>
      </c>
      <c r="D233" s="564"/>
      <c r="E233" s="564" t="str">
        <f>IF('BOULEVARD 5'!E231&lt;&gt;0,'BOULEVARD 5'!E231,"")</f>
        <v>Antonio Rada</v>
      </c>
      <c r="F233" s="581" t="str">
        <f>IF('BOULEVARD 5'!F231&lt;&gt;0,'BOULEVARD 5'!F231,"")</f>
        <v>Rodolfo Godoy Lemus</v>
      </c>
      <c r="G233" s="566">
        <f>IF('BOULEVARD 5'!G231="","",'BOULEVARD 5'!G231)</f>
        <v>45609</v>
      </c>
      <c r="H233" s="756">
        <f>IF(OR($A233="F&amp;F",$A233="CE",H$7="No aplica"),0,'BOULEVARD 5'!K231-'BOULEVARD PPTO'!C226)</f>
        <v>0</v>
      </c>
      <c r="I233" s="756">
        <f>IF(OR($A233="F&amp;F",$A233="CE",I$7="No aplica"),0,'BOULEVARD 5'!L231-'BOULEVARD PPTO'!D226)</f>
        <v>0</v>
      </c>
      <c r="J233" s="756">
        <f>IF(OR($A233="F&amp;F",$A233="CE",J$7="No aplica"),0,'BOULEVARD 5'!M231-'BOULEVARD PPTO'!E226)</f>
        <v>0</v>
      </c>
      <c r="K233" s="756">
        <f>IF(OR($A233="F&amp;F",$A233="CE",K$7="No aplica"),0,'BOULEVARD 5'!N231-'BOULEVARD PPTO'!F226)</f>
        <v>0</v>
      </c>
      <c r="L233" s="756">
        <f>IF(OR($A233="F&amp;F",$A233="CE",L$7="No aplica"),0,'BOULEVARD 5'!O231-'BOULEVARD PPTO'!G226)</f>
        <v>0</v>
      </c>
      <c r="M233" s="756">
        <f>IF(OR($A233="F&amp;F",$A233="CE",M$7="No aplica"),0,'BOULEVARD 5'!P231-'BOULEVARD PPTO'!H226)</f>
        <v>0</v>
      </c>
      <c r="N233" s="756">
        <f>IF(OR($A233="F&amp;F",$A233="CE",N$7="No aplica"),0,'BOULEVARD 5'!Q231-'BOULEVARD PPTO'!I226)</f>
        <v>0</v>
      </c>
      <c r="O233" s="756">
        <f>IF(OR($A233="F&amp;F",$A233="CE",O$7="No aplica"),0,'BOULEVARD 5'!R231-'BOULEVARD PPTO'!J226)</f>
        <v>0</v>
      </c>
      <c r="P233" s="756">
        <f>IF(OR($A233="F&amp;F",$A233="CE",P$7="No aplica"),0,'BOULEVARD 5'!S231-'BOULEVARD PPTO'!K226)</f>
        <v>0</v>
      </c>
      <c r="Q233" s="760">
        <f>IF(OR($A233="F&amp;F",$A233="CE",Q$7="No aplica"),0,'BOULEVARD 5'!T231-'BOULEVARD PPTO'!L226)</f>
        <v>0</v>
      </c>
      <c r="R233" s="760">
        <f>IF(OR($A233="F&amp;F",$A233="CE",R$7="No aplica"),0,'BOULEVARD 5'!U231-'BOULEVARD PPTO'!M226)</f>
        <v>0</v>
      </c>
      <c r="S233" s="760">
        <f>IF(OR($A233="F&amp;F",$A233="CE",S$7="No aplica"),0,'BOULEVARD 5'!V231-'BOULEVARD PPTO'!N226)</f>
        <v>0</v>
      </c>
      <c r="T233" s="760">
        <f>IF(OR($A233="F&amp;F",$A233="CE",T$7="No aplica"),0,'BOULEVARD 5'!W231-'BOULEVARD PPTO'!O226)</f>
        <v>0</v>
      </c>
      <c r="U233" s="760">
        <f>IF(OR($A233="F&amp;F",$A233="CE",U$7="No aplica"),0,'BOULEVARD 5'!X231-'BOULEVARD PPTO'!P226)</f>
        <v>0</v>
      </c>
      <c r="V233" s="760">
        <f>IF(OR($A233="F&amp;F",$A233="CE",V$7="No aplica"),0,'BOULEVARD 5'!Y231-'BOULEVARD PPTO'!Q226)</f>
        <v>0</v>
      </c>
      <c r="W233" s="760">
        <f>IF(OR($A233="F&amp;F",$A233="CE",W$7="No aplica"),0,'BOULEVARD 5'!Z231-'BOULEVARD PPTO'!R226)</f>
        <v>0</v>
      </c>
      <c r="X233" s="760">
        <f>IF(OR($A233="F&amp;F",$A233="CE",X$7="No aplica"),0,'BOULEVARD 5'!AA231-'BOULEVARD PPTO'!S226)</f>
        <v>0</v>
      </c>
      <c r="Y233" s="760">
        <f>IF(OR($A233="F&amp;F",$A233="CE",Y$7="No aplica"),0,'BOULEVARD 5'!AB231-'BOULEVARD PPTO'!T226)</f>
        <v>0</v>
      </c>
      <c r="Z233" s="760">
        <f>IF(OR($A233="F&amp;F",$A233="CE",Z$7="No aplica"),0,'BOULEVARD 5'!AC231-'BOULEVARD PPTO'!U226)</f>
        <v>0</v>
      </c>
      <c r="AA233" s="760">
        <f>IF(OR($A233="F&amp;F",$A233="CE",AA$7="No aplica"),0,'BOULEVARD 5'!AD231-'BOULEVARD PPTO'!V226)</f>
        <v>0</v>
      </c>
      <c r="AB233" s="760">
        <f>IF(OR($A233="F&amp;F",$A233="CE",AB$7="No aplica"),0,'BOULEVARD 5'!AE231-'BOULEVARD PPTO'!W226)</f>
        <v>0</v>
      </c>
      <c r="AC233" s="760">
        <f>IF(OR($A233="F&amp;F",$A233="CE",AC$7="No aplica"),0,'BOULEVARD 5'!AF231-'BOULEVARD PPTO'!X226)</f>
        <v>-6951</v>
      </c>
      <c r="AD233" s="760">
        <f>IF(OR($A233="F&amp;F",$A233="CE",AD$7="No aplica"),0,'BOULEVARD 5'!AG231-'BOULEVARD PPTO'!Y226)</f>
        <v>-6951</v>
      </c>
      <c r="AE233" s="760">
        <f>IF(OR($A233="F&amp;F",$A233="CE",AE$7="No aplica"),0,'BOULEVARD 5'!AH231-'BOULEVARD PPTO'!Z226)</f>
        <v>0</v>
      </c>
      <c r="AF233" s="760">
        <f>IF(OR($A233="F&amp;F",$A233="CE",AF$7="No aplica"),0,'BOULEVARD 5'!AI231-'BOULEVARD PPTO'!AA226)</f>
        <v>-1</v>
      </c>
      <c r="AG233" s="760">
        <f>IF(OR($A233="F&amp;F",$A233="CE",AG$7="No aplica"),0,'BOULEVARD 5'!AJ231-'BOULEVARD PPTO'!AB226)</f>
        <v>-6951</v>
      </c>
      <c r="AH233" s="760">
        <f>IF(OR($A233="F&amp;F",$A233="CE",AH$7="No aplica"),0,'BOULEVARD 5'!AK231-'BOULEVARD PPTO'!AC226)</f>
        <v>34755</v>
      </c>
      <c r="AI233" s="760">
        <f>IF(OR($A233="F&amp;F",$A233="CE",AI$7="No aplica"),0,'BOULEVARD 5'!AL231-'BOULEVARD PPTO'!AD226)</f>
        <v>-6951</v>
      </c>
      <c r="AJ233" s="760">
        <f>IF(OR($A233="F&amp;F",$A233="CE",AJ$7="No aplica"),0,'BOULEVARD 5'!AM231-'BOULEVARD PPTO'!AE226)</f>
        <v>0</v>
      </c>
      <c r="AK233" s="760">
        <f>IF(OR($A233="F&amp;F",$A233="CE",AK$7="No aplica"),0,'BOULEVARD 5'!AN231-'BOULEVARD PPTO'!AF226)</f>
        <v>-6951</v>
      </c>
      <c r="AL233" s="760">
        <f>IF(OR($A233="F&amp;F",$A233="CE",AL$7="No aplica"),0,'BOULEVARD 5'!AO231-'BOULEVARD PPTO'!AG226)</f>
        <v>0</v>
      </c>
      <c r="AM233" s="760">
        <f>IF(OR($A233="F&amp;F",$A233="CE",AM$7="No aplica"),0,'BOULEVARD 5'!AP231-'BOULEVARD PPTO'!AH226)</f>
        <v>6951</v>
      </c>
      <c r="AN233" s="760">
        <f>IF(OR($A233="F&amp;F",$A233="CE",AN$7="No aplica"),0,'BOULEVARD 5'!AQ231-'BOULEVARD PPTO'!AI226)</f>
        <v>0</v>
      </c>
      <c r="AO233" s="760">
        <f>IF(OR($A233="F&amp;F",$A233="CE",AO$7="No aplica"),0,'BOULEVARD 5'!AS231-'BOULEVARD PPTO'!AJ226)</f>
        <v>0</v>
      </c>
      <c r="AP233" s="761">
        <f t="shared" si="23"/>
        <v>6950</v>
      </c>
      <c r="AQ233" s="761">
        <f t="shared" si="24"/>
        <v>-27812.53</v>
      </c>
      <c r="AR233" s="674">
        <f>IF(A233=0,'BOULEVARD 5'!BF231,0)</f>
        <v>10000</v>
      </c>
      <c r="AS233" s="674">
        <f>IF(A233=0,'BOULEVARD 5'!BG231,0)</f>
        <v>6951</v>
      </c>
      <c r="AT233" s="675" t="str">
        <f t="shared" si="22"/>
        <v>Vendido</v>
      </c>
      <c r="AU233" s="581" t="str">
        <f t="shared" si="26"/>
        <v>A FAVOR DEL CLIENTE</v>
      </c>
      <c r="AV233" s="760">
        <f t="shared" si="25"/>
        <v>6951</v>
      </c>
    </row>
    <row r="234" spans="1:48" s="581" customFormat="1" ht="12.4" customHeight="1" outlineLevel="1" x14ac:dyDescent="0.25">
      <c r="A234" s="703">
        <f>'BOULEVARD 5'!BQ232</f>
        <v>0</v>
      </c>
      <c r="B234" s="564">
        <v>1303</v>
      </c>
      <c r="C234" s="564" t="s">
        <v>400</v>
      </c>
      <c r="D234" s="564"/>
      <c r="E234" s="564" t="str">
        <f>IF('BOULEVARD 5'!E232&lt;&gt;0,'BOULEVARD 5'!E232,"")</f>
        <v>Antonio Rada</v>
      </c>
      <c r="F234" s="581" t="str">
        <f>IF('BOULEVARD 5'!F232&lt;&gt;0,'BOULEVARD 5'!F232,"")</f>
        <v>Ricardo Fernando Linares Perez</v>
      </c>
      <c r="G234" s="566">
        <f>IF('BOULEVARD 5'!G232="","",'BOULEVARD 5'!G232)</f>
        <v>45144</v>
      </c>
      <c r="H234" s="756">
        <f>IF(OR($A234="F&amp;F",$A234="CE",H$7="No aplica"),0,'BOULEVARD 5'!K232-'BOULEVARD PPTO'!C227)</f>
        <v>0</v>
      </c>
      <c r="I234" s="756">
        <f>IF(OR($A234="F&amp;F",$A234="CE",I$7="No aplica"),0,'BOULEVARD 5'!L232-'BOULEVARD PPTO'!D227)</f>
        <v>0</v>
      </c>
      <c r="J234" s="756">
        <f>IF(OR($A234="F&amp;F",$A234="CE",J$7="No aplica"),0,'BOULEVARD 5'!M232-'BOULEVARD PPTO'!E227)</f>
        <v>0</v>
      </c>
      <c r="K234" s="756">
        <f>IF(OR($A234="F&amp;F",$A234="CE",K$7="No aplica"),0,'BOULEVARD 5'!N232-'BOULEVARD PPTO'!F227)</f>
        <v>0</v>
      </c>
      <c r="L234" s="756">
        <f>IF(OR($A234="F&amp;F",$A234="CE",L$7="No aplica"),0,'BOULEVARD 5'!O232-'BOULEVARD PPTO'!G227)</f>
        <v>0</v>
      </c>
      <c r="M234" s="756">
        <f>IF(OR($A234="F&amp;F",$A234="CE",M$7="No aplica"),0,'BOULEVARD 5'!P232-'BOULEVARD PPTO'!H227)</f>
        <v>0</v>
      </c>
      <c r="N234" s="756">
        <f>IF(OR($A234="F&amp;F",$A234="CE",N$7="No aplica"),0,'BOULEVARD 5'!Q232-'BOULEVARD PPTO'!I227)</f>
        <v>0</v>
      </c>
      <c r="O234" s="756">
        <f>IF(OR($A234="F&amp;F",$A234="CE",O$7="No aplica"),0,'BOULEVARD 5'!R232-'BOULEVARD PPTO'!J227)</f>
        <v>0</v>
      </c>
      <c r="P234" s="756">
        <f>IF(OR($A234="F&amp;F",$A234="CE",P$7="No aplica"),0,'BOULEVARD 5'!S232-'BOULEVARD PPTO'!K227)</f>
        <v>0</v>
      </c>
      <c r="Q234" s="760">
        <f>IF(OR($A234="F&amp;F",$A234="CE",Q$7="No aplica"),0,'BOULEVARD 5'!T232-'BOULEVARD PPTO'!L227)</f>
        <v>0</v>
      </c>
      <c r="R234" s="760">
        <f>IF(OR($A234="F&amp;F",$A234="CE",R$7="No aplica"),0,'BOULEVARD 5'!U232-'BOULEVARD PPTO'!M227)</f>
        <v>0</v>
      </c>
      <c r="S234" s="760">
        <f>IF(OR($A234="F&amp;F",$A234="CE",S$7="No aplica"),0,'BOULEVARD 5'!V232-'BOULEVARD PPTO'!N227)</f>
        <v>0</v>
      </c>
      <c r="T234" s="760">
        <f>IF(OR($A234="F&amp;F",$A234="CE",T$7="No aplica"),0,'BOULEVARD 5'!W232-'BOULEVARD PPTO'!O227)</f>
        <v>0</v>
      </c>
      <c r="U234" s="760">
        <f>IF(OR($A234="F&amp;F",$A234="CE",U$7="No aplica"),0,'BOULEVARD 5'!X232-'BOULEVARD PPTO'!P227)</f>
        <v>0</v>
      </c>
      <c r="V234" s="760">
        <f>IF(OR($A234="F&amp;F",$A234="CE",V$7="No aplica"),0,'BOULEVARD 5'!Y232-'BOULEVARD PPTO'!Q227)</f>
        <v>0</v>
      </c>
      <c r="W234" s="760">
        <f>IF(OR($A234="F&amp;F",$A234="CE",W$7="No aplica"),0,'BOULEVARD 5'!Z232-'BOULEVARD PPTO'!R227)</f>
        <v>0</v>
      </c>
      <c r="X234" s="760">
        <f>IF(OR($A234="F&amp;F",$A234="CE",X$7="No aplica"),0,'BOULEVARD 5'!AA232-'BOULEVARD PPTO'!S227)</f>
        <v>0</v>
      </c>
      <c r="Y234" s="760">
        <f>IF(OR($A234="F&amp;F",$A234="CE",Y$7="No aplica"),0,'BOULEVARD 5'!AB232-'BOULEVARD PPTO'!T227)</f>
        <v>0</v>
      </c>
      <c r="Z234" s="760">
        <f>IF(OR($A234="F&amp;F",$A234="CE",Z$7="No aplica"),0,'BOULEVARD 5'!AC232-'BOULEVARD PPTO'!U227)</f>
        <v>0</v>
      </c>
      <c r="AA234" s="760">
        <f>IF(OR($A234="F&amp;F",$A234="CE",AA$7="No aplica"),0,'BOULEVARD 5'!AD232-'BOULEVARD PPTO'!V227)</f>
        <v>0</v>
      </c>
      <c r="AB234" s="760">
        <f>IF(OR($A234="F&amp;F",$A234="CE",AB$7="No aplica"),0,'BOULEVARD 5'!AE232-'BOULEVARD PPTO'!W227)</f>
        <v>0</v>
      </c>
      <c r="AC234" s="760">
        <f>IF(OR($A234="F&amp;F",$A234="CE",AC$7="No aplica"),0,'BOULEVARD 5'!AF232-'BOULEVARD PPTO'!X227)</f>
        <v>0</v>
      </c>
      <c r="AD234" s="760">
        <f>IF(OR($A234="F&amp;F",$A234="CE",AD$7="No aplica"),0,'BOULEVARD 5'!AG232-'BOULEVARD PPTO'!Y227)</f>
        <v>0</v>
      </c>
      <c r="AE234" s="760">
        <f>IF(OR($A234="F&amp;F",$A234="CE",AE$7="No aplica"),0,'BOULEVARD 5'!AH232-'BOULEVARD PPTO'!Z227)</f>
        <v>0</v>
      </c>
      <c r="AF234" s="760">
        <f>IF(OR($A234="F&amp;F",$A234="CE",AF$7="No aplica"),0,'BOULEVARD 5'!AI232-'BOULEVARD PPTO'!AA227)</f>
        <v>0</v>
      </c>
      <c r="AG234" s="760">
        <f>IF(OR($A234="F&amp;F",$A234="CE",AG$7="No aplica"),0,'BOULEVARD 5'!AJ232-'BOULEVARD PPTO'!AB227)</f>
        <v>0</v>
      </c>
      <c r="AH234" s="760">
        <f>IF(OR($A234="F&amp;F",$A234="CE",AH$7="No aplica"),0,'BOULEVARD 5'!AK232-'BOULEVARD PPTO'!AC227)</f>
        <v>0</v>
      </c>
      <c r="AI234" s="760">
        <f>IF(OR($A234="F&amp;F",$A234="CE",AI$7="No aplica"),0,'BOULEVARD 5'!AL232-'BOULEVARD PPTO'!AD227)</f>
        <v>-3368</v>
      </c>
      <c r="AJ234" s="760">
        <f>IF(OR($A234="F&amp;F",$A234="CE",AJ$7="No aplica"),0,'BOULEVARD 5'!AM232-'BOULEVARD PPTO'!AE227)</f>
        <v>3368</v>
      </c>
      <c r="AK234" s="760">
        <f>IF(OR($A234="F&amp;F",$A234="CE",AK$7="No aplica"),0,'BOULEVARD 5'!AN232-'BOULEVARD PPTO'!AF227)</f>
        <v>0</v>
      </c>
      <c r="AL234" s="760">
        <f>IF(OR($A234="F&amp;F",$A234="CE",AL$7="No aplica"),0,'BOULEVARD 5'!AO232-'BOULEVARD PPTO'!AG227)</f>
        <v>0</v>
      </c>
      <c r="AM234" s="760">
        <f>IF(OR($A234="F&amp;F",$A234="CE",AM$7="No aplica"),0,'BOULEVARD 5'!AP232-'BOULEVARD PPTO'!AH227)</f>
        <v>0</v>
      </c>
      <c r="AN234" s="760">
        <f>IF(OR($A234="F&amp;F",$A234="CE",AN$7="No aplica"),0,'BOULEVARD 5'!AQ232-'BOULEVARD PPTO'!AI227)</f>
        <v>0</v>
      </c>
      <c r="AO234" s="760">
        <f>IF(OR($A234="F&amp;F",$A234="CE",AO$7="No aplica"),0,'BOULEVARD 5'!AS232-'BOULEVARD PPTO'!AJ227)</f>
        <v>0</v>
      </c>
      <c r="AP234" s="761">
        <f t="shared" si="23"/>
        <v>0</v>
      </c>
      <c r="AQ234" s="761">
        <f t="shared" si="24"/>
        <v>0</v>
      </c>
      <c r="AR234" s="674">
        <f>IF(A234=0,'BOULEVARD 5'!BF232,0)</f>
        <v>6000</v>
      </c>
      <c r="AS234" s="674">
        <f>IF(A234=0,'BOULEVARD 5'!BG232,0)</f>
        <v>3368</v>
      </c>
      <c r="AT234" s="675" t="str">
        <f t="shared" si="22"/>
        <v>Vendido</v>
      </c>
      <c r="AU234" s="581" t="str">
        <f t="shared" si="26"/>
        <v/>
      </c>
      <c r="AV234" s="760">
        <f t="shared" si="25"/>
        <v>0</v>
      </c>
    </row>
    <row r="235" spans="1:48" s="581" customFormat="1" ht="12.4" customHeight="1" outlineLevel="1" x14ac:dyDescent="0.25">
      <c r="A235" s="703">
        <f>'BOULEVARD 5'!BQ233</f>
        <v>0</v>
      </c>
      <c r="B235" s="564">
        <v>1304</v>
      </c>
      <c r="C235" s="564" t="s">
        <v>175</v>
      </c>
      <c r="D235" s="564"/>
      <c r="E235" s="564" t="str">
        <f>IF('BOULEVARD 5'!E233&lt;&gt;0,'BOULEVARD 5'!E233,"")</f>
        <v>Antonio Rada</v>
      </c>
      <c r="F235" s="581" t="str">
        <f>IF('BOULEVARD 5'!F233&lt;&gt;0,'BOULEVARD 5'!F233,"")</f>
        <v>Shirley Hilene Recinos</v>
      </c>
      <c r="G235" s="566">
        <f>IF('BOULEVARD 5'!G233="","",'BOULEVARD 5'!G233)</f>
        <v>45223</v>
      </c>
      <c r="H235" s="756">
        <f>IF(OR($A235="F&amp;F",$A235="CE",H$7="No aplica"),0,'BOULEVARD 5'!K233-'BOULEVARD PPTO'!C228)</f>
        <v>0</v>
      </c>
      <c r="I235" s="756">
        <f>IF(OR($A235="F&amp;F",$A235="CE",I$7="No aplica"),0,'BOULEVARD 5'!L233-'BOULEVARD PPTO'!D228)</f>
        <v>0</v>
      </c>
      <c r="J235" s="756">
        <f>IF(OR($A235="F&amp;F",$A235="CE",J$7="No aplica"),0,'BOULEVARD 5'!M233-'BOULEVARD PPTO'!E228)</f>
        <v>0</v>
      </c>
      <c r="K235" s="756">
        <f>IF(OR($A235="F&amp;F",$A235="CE",K$7="No aplica"),0,'BOULEVARD 5'!N233-'BOULEVARD PPTO'!F228)</f>
        <v>0</v>
      </c>
      <c r="L235" s="756">
        <f>IF(OR($A235="F&amp;F",$A235="CE",L$7="No aplica"),0,'BOULEVARD 5'!O233-'BOULEVARD PPTO'!G228)</f>
        <v>0</v>
      </c>
      <c r="M235" s="756">
        <f>IF(OR($A235="F&amp;F",$A235="CE",M$7="No aplica"),0,'BOULEVARD 5'!P233-'BOULEVARD PPTO'!H228)</f>
        <v>0</v>
      </c>
      <c r="N235" s="756">
        <f>IF(OR($A235="F&amp;F",$A235="CE",N$7="No aplica"),0,'BOULEVARD 5'!Q233-'BOULEVARD PPTO'!I228)</f>
        <v>0</v>
      </c>
      <c r="O235" s="756">
        <f>IF(OR($A235="F&amp;F",$A235="CE",O$7="No aplica"),0,'BOULEVARD 5'!R233-'BOULEVARD PPTO'!J228)</f>
        <v>0</v>
      </c>
      <c r="P235" s="756">
        <f>IF(OR($A235="F&amp;F",$A235="CE",P$7="No aplica"),0,'BOULEVARD 5'!S233-'BOULEVARD PPTO'!K228)</f>
        <v>0</v>
      </c>
      <c r="Q235" s="760">
        <f>IF(OR($A235="F&amp;F",$A235="CE",Q$7="No aplica"),0,'BOULEVARD 5'!T233-'BOULEVARD PPTO'!L228)</f>
        <v>0</v>
      </c>
      <c r="R235" s="760">
        <f>IF(OR($A235="F&amp;F",$A235="CE",R$7="No aplica"),0,'BOULEVARD 5'!U233-'BOULEVARD PPTO'!M228)</f>
        <v>0</v>
      </c>
      <c r="S235" s="760">
        <f>IF(OR($A235="F&amp;F",$A235="CE",S$7="No aplica"),0,'BOULEVARD 5'!V233-'BOULEVARD PPTO'!N228)</f>
        <v>0</v>
      </c>
      <c r="T235" s="760">
        <f>IF(OR($A235="F&amp;F",$A235="CE",T$7="No aplica"),0,'BOULEVARD 5'!W233-'BOULEVARD PPTO'!O228)</f>
        <v>-3651</v>
      </c>
      <c r="U235" s="760">
        <f>IF(OR($A235="F&amp;F",$A235="CE",U$7="No aplica"),0,'BOULEVARD 5'!X233-'BOULEVARD PPTO'!P228)</f>
        <v>3651</v>
      </c>
      <c r="V235" s="760">
        <f>IF(OR($A235="F&amp;F",$A235="CE",V$7="No aplica"),0,'BOULEVARD 5'!Y233-'BOULEVARD PPTO'!Q228)</f>
        <v>-3651</v>
      </c>
      <c r="W235" s="760">
        <f>IF(OR($A235="F&amp;F",$A235="CE",W$7="No aplica"),0,'BOULEVARD 5'!Z233-'BOULEVARD PPTO'!R228)</f>
        <v>0</v>
      </c>
      <c r="X235" s="760">
        <f>IF(OR($A235="F&amp;F",$A235="CE",X$7="No aplica"),0,'BOULEVARD 5'!AA233-'BOULEVARD PPTO'!S228)</f>
        <v>3651</v>
      </c>
      <c r="Y235" s="760">
        <f>IF(OR($A235="F&amp;F",$A235="CE",Y$7="No aplica"),0,'BOULEVARD 5'!AB233-'BOULEVARD PPTO'!T228)</f>
        <v>0</v>
      </c>
      <c r="Z235" s="760">
        <f>IF(OR($A235="F&amp;F",$A235="CE",Z$7="No aplica"),0,'BOULEVARD 5'!AC233-'BOULEVARD PPTO'!U228)</f>
        <v>0</v>
      </c>
      <c r="AA235" s="760">
        <f>IF(OR($A235="F&amp;F",$A235="CE",AA$7="No aplica"),0,'BOULEVARD 5'!AD233-'BOULEVARD PPTO'!V228)</f>
        <v>0</v>
      </c>
      <c r="AB235" s="760">
        <f>IF(OR($A235="F&amp;F",$A235="CE",AB$7="No aplica"),0,'BOULEVARD 5'!AE233-'BOULEVARD PPTO'!W228)</f>
        <v>0</v>
      </c>
      <c r="AC235" s="760">
        <f>IF(OR($A235="F&amp;F",$A235="CE",AC$7="No aplica"),0,'BOULEVARD 5'!AF233-'BOULEVARD PPTO'!X228)</f>
        <v>0</v>
      </c>
      <c r="AD235" s="760">
        <f>IF(OR($A235="F&amp;F",$A235="CE",AD$7="No aplica"),0,'BOULEVARD 5'!AG233-'BOULEVARD PPTO'!Y228)</f>
        <v>-3651</v>
      </c>
      <c r="AE235" s="760">
        <f>IF(OR($A235="F&amp;F",$A235="CE",AE$7="No aplica"),0,'BOULEVARD 5'!AH233-'BOULEVARD PPTO'!Z228)</f>
        <v>3651</v>
      </c>
      <c r="AF235" s="760">
        <f>IF(OR($A235="F&amp;F",$A235="CE",AF$7="No aplica"),0,'BOULEVARD 5'!AI233-'BOULEVARD PPTO'!AA228)</f>
        <v>0</v>
      </c>
      <c r="AG235" s="760">
        <f>IF(OR($A235="F&amp;F",$A235="CE",AG$7="No aplica"),0,'BOULEVARD 5'!AJ233-'BOULEVARD PPTO'!AB228)</f>
        <v>0</v>
      </c>
      <c r="AH235" s="760">
        <f>IF(OR($A235="F&amp;F",$A235="CE",AH$7="No aplica"),0,'BOULEVARD 5'!AK233-'BOULEVARD PPTO'!AC228)</f>
        <v>0</v>
      </c>
      <c r="AI235" s="760">
        <f>IF(OR($A235="F&amp;F",$A235="CE",AI$7="No aplica"),0,'BOULEVARD 5'!AL233-'BOULEVARD PPTO'!AD228)</f>
        <v>0</v>
      </c>
      <c r="AJ235" s="760">
        <f>IF(OR($A235="F&amp;F",$A235="CE",AJ$7="No aplica"),0,'BOULEVARD 5'!AM233-'BOULEVARD PPTO'!AE228)</f>
        <v>0</v>
      </c>
      <c r="AK235" s="760">
        <f>IF(OR($A235="F&amp;F",$A235="CE",AK$7="No aplica"),0,'BOULEVARD 5'!AN233-'BOULEVARD PPTO'!AF228)</f>
        <v>0</v>
      </c>
      <c r="AL235" s="760">
        <f>IF(OR($A235="F&amp;F",$A235="CE",AL$7="No aplica"),0,'BOULEVARD 5'!AO233-'BOULEVARD PPTO'!AG228)</f>
        <v>0</v>
      </c>
      <c r="AM235" s="760">
        <f>IF(OR($A235="F&amp;F",$A235="CE",AM$7="No aplica"),0,'BOULEVARD 5'!AP233-'BOULEVARD PPTO'!AH228)</f>
        <v>0</v>
      </c>
      <c r="AN235" s="760">
        <f>IF(OR($A235="F&amp;F",$A235="CE",AN$7="No aplica"),0,'BOULEVARD 5'!AQ233-'BOULEVARD PPTO'!AI228)</f>
        <v>0</v>
      </c>
      <c r="AO235" s="760">
        <f>IF(OR($A235="F&amp;F",$A235="CE",AO$7="No aplica"),0,'BOULEVARD 5'!AS233-'BOULEVARD PPTO'!AJ228)</f>
        <v>0</v>
      </c>
      <c r="AP235" s="761">
        <f t="shared" si="23"/>
        <v>0</v>
      </c>
      <c r="AQ235" s="761">
        <f t="shared" si="24"/>
        <v>0</v>
      </c>
      <c r="AR235" s="674">
        <f>IF(A235=0,'BOULEVARD 5'!BF233,0)</f>
        <v>4000</v>
      </c>
      <c r="AS235" s="674">
        <f>IF(A235=0,'BOULEVARD 5'!BG233,0)</f>
        <v>3651</v>
      </c>
      <c r="AT235" s="675" t="str">
        <f t="shared" si="22"/>
        <v>Vendido</v>
      </c>
      <c r="AU235" s="581" t="str">
        <f t="shared" si="26"/>
        <v/>
      </c>
      <c r="AV235" s="760">
        <f t="shared" si="25"/>
        <v>0</v>
      </c>
    </row>
    <row r="236" spans="1:48" s="581" customFormat="1" ht="12.4" customHeight="1" outlineLevel="1" x14ac:dyDescent="0.25">
      <c r="A236" s="703">
        <f>'BOULEVARD 5'!BQ234</f>
        <v>0</v>
      </c>
      <c r="B236" s="564">
        <v>1305</v>
      </c>
      <c r="C236" s="564" t="s">
        <v>192</v>
      </c>
      <c r="D236" s="564"/>
      <c r="E236" s="564" t="str">
        <f>IF('BOULEVARD 5'!E234&lt;&gt;0,'BOULEVARD 5'!E234,"")</f>
        <v>Antonio Rada</v>
      </c>
      <c r="F236" s="581" t="str">
        <f>IF('BOULEVARD 5'!F234&lt;&gt;0,'BOULEVARD 5'!F234,"")</f>
        <v>Jose Salvador Franco Rosales</v>
      </c>
      <c r="G236" s="566">
        <f>IF('BOULEVARD 5'!G234="","",'BOULEVARD 5'!G234)</f>
        <v>45779</v>
      </c>
      <c r="H236" s="756">
        <f>IF(OR($A236="F&amp;F",$A236="CE",H$7="No aplica"),0,'BOULEVARD 5'!K234-'BOULEVARD PPTO'!C229)</f>
        <v>0</v>
      </c>
      <c r="I236" s="756">
        <f>IF(OR($A236="F&amp;F",$A236="CE",I$7="No aplica"),0,'BOULEVARD 5'!L234-'BOULEVARD PPTO'!D229)</f>
        <v>0</v>
      </c>
      <c r="J236" s="756">
        <f>IF(OR($A236="F&amp;F",$A236="CE",J$7="No aplica"),0,'BOULEVARD 5'!M234-'BOULEVARD PPTO'!E229)</f>
        <v>0</v>
      </c>
      <c r="K236" s="756">
        <f>IF(OR($A236="F&amp;F",$A236="CE",K$7="No aplica"),0,'BOULEVARD 5'!N234-'BOULEVARD PPTO'!F229)</f>
        <v>0</v>
      </c>
      <c r="L236" s="756">
        <f>IF(OR($A236="F&amp;F",$A236="CE",L$7="No aplica"),0,'BOULEVARD 5'!O234-'BOULEVARD PPTO'!G229)</f>
        <v>0</v>
      </c>
      <c r="M236" s="756">
        <f>IF(OR($A236="F&amp;F",$A236="CE",M$7="No aplica"),0,'BOULEVARD 5'!P234-'BOULEVARD PPTO'!H229)</f>
        <v>0</v>
      </c>
      <c r="N236" s="756">
        <f>IF(OR($A236="F&amp;F",$A236="CE",N$7="No aplica"),0,'BOULEVARD 5'!Q234-'BOULEVARD PPTO'!I229)</f>
        <v>0</v>
      </c>
      <c r="O236" s="756">
        <f>IF(OR($A236="F&amp;F",$A236="CE",O$7="No aplica"),0,'BOULEVARD 5'!R234-'BOULEVARD PPTO'!J229)</f>
        <v>0</v>
      </c>
      <c r="P236" s="756">
        <f>IF(OR($A236="F&amp;F",$A236="CE",P$7="No aplica"),0,'BOULEVARD 5'!S234-'BOULEVARD PPTO'!K229)</f>
        <v>0</v>
      </c>
      <c r="Q236" s="760">
        <f>IF(OR($A236="F&amp;F",$A236="CE",Q$7="No aplica"),0,'BOULEVARD 5'!T234-'BOULEVARD PPTO'!L229)</f>
        <v>0</v>
      </c>
      <c r="R236" s="760">
        <f>IF(OR($A236="F&amp;F",$A236="CE",R$7="No aplica"),0,'BOULEVARD 5'!U234-'BOULEVARD PPTO'!M229)</f>
        <v>0</v>
      </c>
      <c r="S236" s="760">
        <f>IF(OR($A236="F&amp;F",$A236="CE",S$7="No aplica"),0,'BOULEVARD 5'!V234-'BOULEVARD PPTO'!N229)</f>
        <v>0</v>
      </c>
      <c r="T236" s="760">
        <f>IF(OR($A236="F&amp;F",$A236="CE",T$7="No aplica"),0,'BOULEVARD 5'!W234-'BOULEVARD PPTO'!O229)</f>
        <v>0</v>
      </c>
      <c r="U236" s="760">
        <f>IF(OR($A236="F&amp;F",$A236="CE",U$7="No aplica"),0,'BOULEVARD 5'!X234-'BOULEVARD PPTO'!P229)</f>
        <v>0</v>
      </c>
      <c r="V236" s="760">
        <f>IF(OR($A236="F&amp;F",$A236="CE",V$7="No aplica"),0,'BOULEVARD 5'!Y234-'BOULEVARD PPTO'!Q229)</f>
        <v>0</v>
      </c>
      <c r="W236" s="760">
        <f>IF(OR($A236="F&amp;F",$A236="CE",W$7="No aplica"),0,'BOULEVARD 5'!Z234-'BOULEVARD PPTO'!R229)</f>
        <v>0</v>
      </c>
      <c r="X236" s="760">
        <f>IF(OR($A236="F&amp;F",$A236="CE",X$7="No aplica"),0,'BOULEVARD 5'!AA234-'BOULEVARD PPTO'!S229)</f>
        <v>0</v>
      </c>
      <c r="Y236" s="760">
        <f>IF(OR($A236="F&amp;F",$A236="CE",Y$7="No aplica"),0,'BOULEVARD 5'!AB234-'BOULEVARD PPTO'!T229)</f>
        <v>0</v>
      </c>
      <c r="Z236" s="760">
        <f>IF(OR($A236="F&amp;F",$A236="CE",Z$7="No aplica"),0,'BOULEVARD 5'!AC234-'BOULEVARD PPTO'!U229)</f>
        <v>0</v>
      </c>
      <c r="AA236" s="760">
        <f>IF(OR($A236="F&amp;F",$A236="CE",AA$7="No aplica"),0,'BOULEVARD 5'!AD234-'BOULEVARD PPTO'!V229)</f>
        <v>0</v>
      </c>
      <c r="AB236" s="760">
        <f>IF(OR($A236="F&amp;F",$A236="CE",AB$7="No aplica"),0,'BOULEVARD 5'!AE234-'BOULEVARD PPTO'!W229)</f>
        <v>0</v>
      </c>
      <c r="AC236" s="760">
        <f>IF(OR($A236="F&amp;F",$A236="CE",AC$7="No aplica"),0,'BOULEVARD 5'!AF234-'BOULEVARD PPTO'!X229)</f>
        <v>0</v>
      </c>
      <c r="AD236" s="760">
        <f>IF(OR($A236="F&amp;F",$A236="CE",AD$7="No aplica"),0,'BOULEVARD 5'!AG234-'BOULEVARD PPTO'!Y229)</f>
        <v>0</v>
      </c>
      <c r="AE236" s="760">
        <f>IF(OR($A236="F&amp;F",$A236="CE",AE$7="No aplica"),0,'BOULEVARD 5'!AH234-'BOULEVARD PPTO'!Z229)</f>
        <v>0</v>
      </c>
      <c r="AF236" s="760">
        <f>IF(OR($A236="F&amp;F",$A236="CE",AF$7="No aplica"),0,'BOULEVARD 5'!AI234-'BOULEVARD PPTO'!AA229)</f>
        <v>0</v>
      </c>
      <c r="AG236" s="760">
        <f>IF(OR($A236="F&amp;F",$A236="CE",AG$7="No aplica"),0,'BOULEVARD 5'!AJ234-'BOULEVARD PPTO'!AB229)</f>
        <v>0</v>
      </c>
      <c r="AH236" s="760">
        <f>IF(OR($A236="F&amp;F",$A236="CE",AH$7="No aplica"),0,'BOULEVARD 5'!AK234-'BOULEVARD PPTO'!AC229)</f>
        <v>0</v>
      </c>
      <c r="AI236" s="760">
        <f>IF(OR($A236="F&amp;F",$A236="CE",AI$7="No aplica"),0,'BOULEVARD 5'!AL234-'BOULEVARD PPTO'!AD229)</f>
        <v>917</v>
      </c>
      <c r="AJ236" s="760">
        <f>IF(OR($A236="F&amp;F",$A236="CE",AJ$7="No aplica"),0,'BOULEVARD 5'!AM234-'BOULEVARD PPTO'!AE229)</f>
        <v>917</v>
      </c>
      <c r="AK236" s="760">
        <f>IF(OR($A236="F&amp;F",$A236="CE",AK$7="No aplica"),0,'BOULEVARD 5'!AN234-'BOULEVARD PPTO'!AF229)</f>
        <v>917</v>
      </c>
      <c r="AL236" s="760">
        <f>IF(OR($A236="F&amp;F",$A236="CE",AL$7="No aplica"),0,'BOULEVARD 5'!AO234-'BOULEVARD PPTO'!AG229)</f>
        <v>917</v>
      </c>
      <c r="AM236" s="760">
        <f>IF(OR($A236="F&amp;F",$A236="CE",AM$7="No aplica"),0,'BOULEVARD 5'!AP234-'BOULEVARD PPTO'!AH229)</f>
        <v>917</v>
      </c>
      <c r="AN236" s="760">
        <f>IF(OR($A236="F&amp;F",$A236="CE",AN$7="No aplica"),0,'BOULEVARD 5'!AQ234-'BOULEVARD PPTO'!AI229)</f>
        <v>0</v>
      </c>
      <c r="AO236" s="760">
        <f>IF(OR($A236="F&amp;F",$A236="CE",AO$7="No aplica"),0,'BOULEVARD 5'!AS234-'BOULEVARD PPTO'!AJ229)</f>
        <v>0</v>
      </c>
      <c r="AP236" s="761">
        <f t="shared" si="23"/>
        <v>4585</v>
      </c>
      <c r="AQ236" s="761">
        <f t="shared" si="24"/>
        <v>-11464</v>
      </c>
      <c r="AR236" s="674">
        <f>IF(A236=0,'BOULEVARD 5'!BF234,0)</f>
        <v>10000</v>
      </c>
      <c r="AS236" s="674">
        <f>IF(A236=0,'BOULEVARD 5'!BG234,0)</f>
        <v>4700</v>
      </c>
      <c r="AT236" s="675" t="str">
        <f t="shared" si="22"/>
        <v>Vendido</v>
      </c>
      <c r="AU236" s="581" t="str">
        <f t="shared" si="26"/>
        <v>A FAVOR DEL CLIENTE</v>
      </c>
      <c r="AV236" s="760">
        <f t="shared" si="25"/>
        <v>917</v>
      </c>
    </row>
    <row r="237" spans="1:48" s="581" customFormat="1" ht="12.4" customHeight="1" outlineLevel="1" x14ac:dyDescent="0.25">
      <c r="A237" s="703">
        <f>'BOULEVARD 5'!BQ235</f>
        <v>0</v>
      </c>
      <c r="B237" s="564">
        <v>1306</v>
      </c>
      <c r="C237" s="564" t="s">
        <v>178</v>
      </c>
      <c r="D237" s="564"/>
      <c r="E237" s="564" t="str">
        <f>IF('BOULEVARD 5'!E235&lt;&gt;0,'BOULEVARD 5'!E235,"")</f>
        <v>Brenda Búcaro</v>
      </c>
      <c r="F237" s="581" t="str">
        <f>IF('BOULEVARD 5'!F235&lt;&gt;0,'BOULEVARD 5'!F235,"")</f>
        <v xml:space="preserve"> Barbara Elizabeth Barrientos Valenzuela</v>
      </c>
      <c r="G237" s="566">
        <f>IF('BOULEVARD 5'!G235="","",'BOULEVARD 5'!G235)</f>
        <v>45054</v>
      </c>
      <c r="H237" s="756">
        <f>IF(OR($A237="F&amp;F",$A237="CE",H$7="No aplica"),0,'BOULEVARD 5'!K235-'BOULEVARD PPTO'!C230)</f>
        <v>0</v>
      </c>
      <c r="I237" s="756">
        <f>IF(OR($A237="F&amp;F",$A237="CE",I$7="No aplica"),0,'BOULEVARD 5'!L235-'BOULEVARD PPTO'!D230)</f>
        <v>0</v>
      </c>
      <c r="J237" s="756">
        <f>IF(OR($A237="F&amp;F",$A237="CE",J$7="No aplica"),0,'BOULEVARD 5'!M235-'BOULEVARD PPTO'!E230)</f>
        <v>0</v>
      </c>
      <c r="K237" s="756">
        <f>IF(OR($A237="F&amp;F",$A237="CE",K$7="No aplica"),0,'BOULEVARD 5'!N235-'BOULEVARD PPTO'!F230)</f>
        <v>0</v>
      </c>
      <c r="L237" s="756">
        <f>IF(OR($A237="F&amp;F",$A237="CE",L$7="No aplica"),0,'BOULEVARD 5'!O235-'BOULEVARD PPTO'!G230)</f>
        <v>0</v>
      </c>
      <c r="M237" s="756">
        <f>IF(OR($A237="F&amp;F",$A237="CE",M$7="No aplica"),0,'BOULEVARD 5'!P235-'BOULEVARD PPTO'!H230)</f>
        <v>0</v>
      </c>
      <c r="N237" s="756">
        <f>IF(OR($A237="F&amp;F",$A237="CE",N$7="No aplica"),0,'BOULEVARD 5'!Q235-'BOULEVARD PPTO'!I230)</f>
        <v>0</v>
      </c>
      <c r="O237" s="756">
        <f>IF(OR($A237="F&amp;F",$A237="CE",O$7="No aplica"),0,'BOULEVARD 5'!R235-'BOULEVARD PPTO'!J230)</f>
        <v>-2250</v>
      </c>
      <c r="P237" s="756">
        <f>IF(OR($A237="F&amp;F",$A237="CE",P$7="No aplica"),0,'BOULEVARD 5'!S235-'BOULEVARD PPTO'!K230)</f>
        <v>0</v>
      </c>
      <c r="Q237" s="760">
        <f>IF(OR($A237="F&amp;F",$A237="CE",Q$7="No aplica"),0,'BOULEVARD 5'!T235-'BOULEVARD PPTO'!L230)</f>
        <v>0</v>
      </c>
      <c r="R237" s="760">
        <f>IF(OR($A237="F&amp;F",$A237="CE",R$7="No aplica"),0,'BOULEVARD 5'!U235-'BOULEVARD PPTO'!M230)</f>
        <v>0</v>
      </c>
      <c r="S237" s="760">
        <f>IF(OR($A237="F&amp;F",$A237="CE",S$7="No aplica"),0,'BOULEVARD 5'!V235-'BOULEVARD PPTO'!N230)</f>
        <v>0</v>
      </c>
      <c r="T237" s="760">
        <f>IF(OR($A237="F&amp;F",$A237="CE",T$7="No aplica"),0,'BOULEVARD 5'!W235-'BOULEVARD PPTO'!O230)</f>
        <v>0</v>
      </c>
      <c r="U237" s="760">
        <f>IF(OR($A237="F&amp;F",$A237="CE",U$7="No aplica"),0,'BOULEVARD 5'!X235-'BOULEVARD PPTO'!P230)</f>
        <v>0</v>
      </c>
      <c r="V237" s="760">
        <f>IF(OR($A237="F&amp;F",$A237="CE",V$7="No aplica"),0,'BOULEVARD 5'!Y235-'BOULEVARD PPTO'!Q230)</f>
        <v>2250</v>
      </c>
      <c r="W237" s="760">
        <f>IF(OR($A237="F&amp;F",$A237="CE",W$7="No aplica"),0,'BOULEVARD 5'!Z235-'BOULEVARD PPTO'!R230)</f>
        <v>-2250</v>
      </c>
      <c r="X237" s="760">
        <f>IF(OR($A237="F&amp;F",$A237="CE",X$7="No aplica"),0,'BOULEVARD 5'!AA235-'BOULEVARD PPTO'!S230)</f>
        <v>0</v>
      </c>
      <c r="Y237" s="760">
        <f>IF(OR($A237="F&amp;F",$A237="CE",Y$7="No aplica"),0,'BOULEVARD 5'!AB235-'BOULEVARD PPTO'!T230)</f>
        <v>0</v>
      </c>
      <c r="Z237" s="760">
        <f>IF(OR($A237="F&amp;F",$A237="CE",Z$7="No aplica"),0,'BOULEVARD 5'!AC235-'BOULEVARD PPTO'!U230)</f>
        <v>0</v>
      </c>
      <c r="AA237" s="760">
        <f>IF(OR($A237="F&amp;F",$A237="CE",AA$7="No aplica"),0,'BOULEVARD 5'!AD235-'BOULEVARD PPTO'!V230)</f>
        <v>0</v>
      </c>
      <c r="AB237" s="760">
        <f>IF(OR($A237="F&amp;F",$A237="CE",AB$7="No aplica"),0,'BOULEVARD 5'!AE235-'BOULEVARD PPTO'!W230)</f>
        <v>0</v>
      </c>
      <c r="AC237" s="760">
        <f>IF(OR($A237="F&amp;F",$A237="CE",AC$7="No aplica"),0,'BOULEVARD 5'!AF235-'BOULEVARD PPTO'!X230)</f>
        <v>0</v>
      </c>
      <c r="AD237" s="760">
        <f>IF(OR($A237="F&amp;F",$A237="CE",AD$7="No aplica"),0,'BOULEVARD 5'!AG235-'BOULEVARD PPTO'!Y230)</f>
        <v>0</v>
      </c>
      <c r="AE237" s="760">
        <f>IF(OR($A237="F&amp;F",$A237="CE",AE$7="No aplica"),0,'BOULEVARD 5'!AH235-'BOULEVARD PPTO'!Z230)</f>
        <v>2250</v>
      </c>
      <c r="AF237" s="760">
        <f>IF(OR($A237="F&amp;F",$A237="CE",AF$7="No aplica"),0,'BOULEVARD 5'!AI235-'BOULEVARD PPTO'!AA230)</f>
        <v>0</v>
      </c>
      <c r="AG237" s="760">
        <f>IF(OR($A237="F&amp;F",$A237="CE",AG$7="No aplica"),0,'BOULEVARD 5'!AJ235-'BOULEVARD PPTO'!AB230)</f>
        <v>0</v>
      </c>
      <c r="AH237" s="760">
        <f>IF(OR($A237="F&amp;F",$A237="CE",AH$7="No aplica"),0,'BOULEVARD 5'!AK235-'BOULEVARD PPTO'!AC230)</f>
        <v>0</v>
      </c>
      <c r="AI237" s="760">
        <f>IF(OR($A237="F&amp;F",$A237="CE",AI$7="No aplica"),0,'BOULEVARD 5'!AL235-'BOULEVARD PPTO'!AD230)</f>
        <v>-2250</v>
      </c>
      <c r="AJ237" s="760">
        <f>IF(OR($A237="F&amp;F",$A237="CE",AJ$7="No aplica"),0,'BOULEVARD 5'!AM235-'BOULEVARD PPTO'!AE230)</f>
        <v>2250</v>
      </c>
      <c r="AK237" s="760">
        <f>IF(OR($A237="F&amp;F",$A237="CE",AK$7="No aplica"),0,'BOULEVARD 5'!AN235-'BOULEVARD PPTO'!AF230)</f>
        <v>-2250</v>
      </c>
      <c r="AL237" s="760">
        <f>IF(OR($A237="F&amp;F",$A237="CE",AL$7="No aplica"),0,'BOULEVARD 5'!AO235-'BOULEVARD PPTO'!AG230)</f>
        <v>-550</v>
      </c>
      <c r="AM237" s="760">
        <f>IF(OR($A237="F&amp;F",$A237="CE",AM$7="No aplica"),0,'BOULEVARD 5'!AP235-'BOULEVARD PPTO'!AH230)</f>
        <v>0</v>
      </c>
      <c r="AN237" s="760">
        <f>IF(OR($A237="F&amp;F",$A237="CE",AN$7="No aplica"),0,'BOULEVARD 5'!AQ235-'BOULEVARD PPTO'!AI230)</f>
        <v>0</v>
      </c>
      <c r="AO237" s="760">
        <f>IF(OR($A237="F&amp;F",$A237="CE",AO$7="No aplica"),0,'BOULEVARD 5'!AS235-'BOULEVARD PPTO'!AJ230)</f>
        <v>0</v>
      </c>
      <c r="AP237" s="761">
        <f t="shared" si="23"/>
        <v>-2800</v>
      </c>
      <c r="AQ237" s="761">
        <f t="shared" si="24"/>
        <v>12734</v>
      </c>
      <c r="AR237" s="674">
        <f>IF(A237=0,'BOULEVARD 5'!BF235,0)</f>
        <v>6000</v>
      </c>
      <c r="AS237" s="674">
        <f>IF(A237=0,'BOULEVARD 5'!BG235,0)</f>
        <v>2250</v>
      </c>
      <c r="AT237" s="675" t="str">
        <f t="shared" si="22"/>
        <v>Vendido</v>
      </c>
      <c r="AU237" s="581" t="str">
        <f t="shared" si="26"/>
        <v>POR COBRAR</v>
      </c>
      <c r="AV237" s="760">
        <f t="shared" si="25"/>
        <v>0</v>
      </c>
    </row>
    <row r="238" spans="1:48" s="581" customFormat="1" ht="12.4" customHeight="1" outlineLevel="1" x14ac:dyDescent="0.25">
      <c r="A238" s="703" t="str">
        <f>'BOULEVARD 5'!BQ236</f>
        <v>F&amp;F</v>
      </c>
      <c r="B238" s="704">
        <v>1307</v>
      </c>
      <c r="C238" s="704" t="s">
        <v>465</v>
      </c>
      <c r="D238" s="704"/>
      <c r="E238" s="704" t="str">
        <f>IF('BOULEVARD 5'!E236&lt;&gt;0,'BOULEVARD 5'!E236,"")</f>
        <v>Jose Franco</v>
      </c>
      <c r="F238" s="705" t="str">
        <f>IF('BOULEVARD 5'!F236&lt;&gt;0,'BOULEVARD 5'!F236,"")</f>
        <v>Fernando José Franco Jiménez</v>
      </c>
      <c r="G238" s="566">
        <f>IF('BOULEVARD 5'!G236="","",'BOULEVARD 5'!G236)</f>
        <v>45016</v>
      </c>
      <c r="H238" s="756">
        <f>IF(OR($A238="F&amp;F",$A238="CE",H$7="No aplica"),0,'BOULEVARD 5'!K236-'BOULEVARD PPTO'!C231)</f>
        <v>0</v>
      </c>
      <c r="I238" s="756">
        <f>IF(OR($A238="F&amp;F",$A238="CE",I$7="No aplica"),0,'BOULEVARD 5'!L236-'BOULEVARD PPTO'!D231)</f>
        <v>0</v>
      </c>
      <c r="J238" s="756">
        <f>IF(OR($A238="F&amp;F",$A238="CE",J$7="No aplica"),0,'BOULEVARD 5'!M236-'BOULEVARD PPTO'!E231)</f>
        <v>0</v>
      </c>
      <c r="K238" s="756">
        <f>IF(OR($A238="F&amp;F",$A238="CE",K$7="No aplica"),0,'BOULEVARD 5'!N236-'BOULEVARD PPTO'!F231)</f>
        <v>0</v>
      </c>
      <c r="L238" s="756">
        <f>IF(OR($A238="F&amp;F",$A238="CE",L$7="No aplica"),0,'BOULEVARD 5'!O236-'BOULEVARD PPTO'!G231)</f>
        <v>0</v>
      </c>
      <c r="M238" s="756">
        <f>IF(OR($A238="F&amp;F",$A238="CE",M$7="No aplica"),0,'BOULEVARD 5'!P236-'BOULEVARD PPTO'!H231)</f>
        <v>0</v>
      </c>
      <c r="N238" s="756">
        <f>IF(OR($A238="F&amp;F",$A238="CE",N$7="No aplica"),0,'BOULEVARD 5'!Q236-'BOULEVARD PPTO'!I231)</f>
        <v>0</v>
      </c>
      <c r="O238" s="756">
        <f>IF(OR($A238="F&amp;F",$A238="CE",O$7="No aplica"),0,'BOULEVARD 5'!R236-'BOULEVARD PPTO'!J231)</f>
        <v>0</v>
      </c>
      <c r="P238" s="756">
        <f>IF(OR($A238="F&amp;F",$A238="CE",P$7="No aplica"),0,'BOULEVARD 5'!S236-'BOULEVARD PPTO'!K231)</f>
        <v>0</v>
      </c>
      <c r="Q238" s="760">
        <f>IF(OR($A238="F&amp;F",$A238="CE",Q$7="No aplica"),0,'BOULEVARD 5'!T236-'BOULEVARD PPTO'!L231)</f>
        <v>0</v>
      </c>
      <c r="R238" s="760">
        <f>IF(OR($A238="F&amp;F",$A238="CE",R$7="No aplica"),0,'BOULEVARD 5'!U236-'BOULEVARD PPTO'!M231)</f>
        <v>0</v>
      </c>
      <c r="S238" s="760">
        <f>IF(OR($A238="F&amp;F",$A238="CE",S$7="No aplica"),0,'BOULEVARD 5'!V236-'BOULEVARD PPTO'!N231)</f>
        <v>0</v>
      </c>
      <c r="T238" s="760">
        <f>IF(OR($A238="F&amp;F",$A238="CE",T$7="No aplica"),0,'BOULEVARD 5'!W236-'BOULEVARD PPTO'!O231)</f>
        <v>0</v>
      </c>
      <c r="U238" s="760">
        <f>IF(OR($A238="F&amp;F",$A238="CE",U$7="No aplica"),0,'BOULEVARD 5'!X236-'BOULEVARD PPTO'!P231)</f>
        <v>0</v>
      </c>
      <c r="V238" s="760">
        <f>IF(OR($A238="F&amp;F",$A238="CE",V$7="No aplica"),0,'BOULEVARD 5'!Y236-'BOULEVARD PPTO'!Q231)</f>
        <v>0</v>
      </c>
      <c r="W238" s="760">
        <f>IF(OR($A238="F&amp;F",$A238="CE",W$7="No aplica"),0,'BOULEVARD 5'!Z236-'BOULEVARD PPTO'!R231)</f>
        <v>0</v>
      </c>
      <c r="X238" s="760">
        <f>IF(OR($A238="F&amp;F",$A238="CE",X$7="No aplica"),0,'BOULEVARD 5'!AA236-'BOULEVARD PPTO'!S231)</f>
        <v>0</v>
      </c>
      <c r="Y238" s="760">
        <f>IF(OR($A238="F&amp;F",$A238="CE",Y$7="No aplica"),0,'BOULEVARD 5'!AB236-'BOULEVARD PPTO'!T231)</f>
        <v>0</v>
      </c>
      <c r="Z238" s="760">
        <f>IF(OR($A238="F&amp;F",$A238="CE",Z$7="No aplica"),0,'BOULEVARD 5'!AC236-'BOULEVARD PPTO'!U231)</f>
        <v>0</v>
      </c>
      <c r="AA238" s="760">
        <f>IF(OR($A238="F&amp;F",$A238="CE",AA$7="No aplica"),0,'BOULEVARD 5'!AD236-'BOULEVARD PPTO'!V231)</f>
        <v>0</v>
      </c>
      <c r="AB238" s="760">
        <f>IF(OR($A238="F&amp;F",$A238="CE",AB$7="No aplica"),0,'BOULEVARD 5'!AE236-'BOULEVARD PPTO'!W231)</f>
        <v>0</v>
      </c>
      <c r="AC238" s="760">
        <f>IF(OR($A238="F&amp;F",$A238="CE",AC$7="No aplica"),0,'BOULEVARD 5'!AF236-'BOULEVARD PPTO'!X231)</f>
        <v>0</v>
      </c>
      <c r="AD238" s="760">
        <f>IF(OR($A238="F&amp;F",$A238="CE",AD$7="No aplica"),0,'BOULEVARD 5'!AG236-'BOULEVARD PPTO'!Y231)</f>
        <v>0</v>
      </c>
      <c r="AE238" s="760">
        <f>IF(OR($A238="F&amp;F",$A238="CE",AE$7="No aplica"),0,'BOULEVARD 5'!AH236-'BOULEVARD PPTO'!Z231)</f>
        <v>0</v>
      </c>
      <c r="AF238" s="760">
        <f>IF(OR($A238="F&amp;F",$A238="CE",AF$7="No aplica"),0,'BOULEVARD 5'!AI236-'BOULEVARD PPTO'!AA231)</f>
        <v>0</v>
      </c>
      <c r="AG238" s="760">
        <f>IF(OR($A238="F&amp;F",$A238="CE",AG$7="No aplica"),0,'BOULEVARD 5'!AJ236-'BOULEVARD PPTO'!AB231)</f>
        <v>0</v>
      </c>
      <c r="AH238" s="760">
        <f>IF(OR($A238="F&amp;F",$A238="CE",AH$7="No aplica"),0,'BOULEVARD 5'!AK236-'BOULEVARD PPTO'!AC231)</f>
        <v>0</v>
      </c>
      <c r="AI238" s="760">
        <f>IF(OR($A238="F&amp;F",$A238="CE",AI$7="No aplica"),0,'BOULEVARD 5'!AL236-'BOULEVARD PPTO'!AD231)</f>
        <v>0</v>
      </c>
      <c r="AJ238" s="760">
        <f>IF(OR($A238="F&amp;F",$A238="CE",AJ$7="No aplica"),0,'BOULEVARD 5'!AM236-'BOULEVARD PPTO'!AE231)</f>
        <v>0</v>
      </c>
      <c r="AK238" s="760">
        <f>IF(OR($A238="F&amp;F",$A238="CE",AK$7="No aplica"),0,'BOULEVARD 5'!AN236-'BOULEVARD PPTO'!AF231)</f>
        <v>0</v>
      </c>
      <c r="AL238" s="760">
        <f>IF(OR($A238="F&amp;F",$A238="CE",AL$7="No aplica"),0,'BOULEVARD 5'!AO236-'BOULEVARD PPTO'!AG231)</f>
        <v>0</v>
      </c>
      <c r="AM238" s="760">
        <f>IF(OR($A238="F&amp;F",$A238="CE",AM$7="No aplica"),0,'BOULEVARD 5'!AP236-'BOULEVARD PPTO'!AH231)</f>
        <v>0</v>
      </c>
      <c r="AN238" s="760">
        <f>IF(OR($A238="F&amp;F",$A238="CE",AN$7="No aplica"),0,'BOULEVARD 5'!AQ236-'BOULEVARD PPTO'!AI231)</f>
        <v>0</v>
      </c>
      <c r="AO238" s="760">
        <f>IF(OR($A238="F&amp;F",$A238="CE",AO$7="No aplica"),0,'BOULEVARD 5'!AS236-'BOULEVARD PPTO'!AJ231)</f>
        <v>0</v>
      </c>
      <c r="AP238" s="761">
        <f t="shared" si="23"/>
        <v>0</v>
      </c>
      <c r="AQ238" s="761">
        <f t="shared" si="24"/>
        <v>0</v>
      </c>
      <c r="AR238" s="674">
        <f>IF(A238=0,'BOULEVARD 5'!BF236,0)</f>
        <v>0</v>
      </c>
      <c r="AS238" s="674">
        <f>IF(A238=0,'BOULEVARD 5'!BG236,0)</f>
        <v>0</v>
      </c>
      <c r="AT238" s="675" t="str">
        <f t="shared" si="22"/>
        <v>Vendido</v>
      </c>
      <c r="AU238" s="581" t="str">
        <f t="shared" si="26"/>
        <v/>
      </c>
      <c r="AV238" s="760">
        <f t="shared" si="25"/>
        <v>0</v>
      </c>
    </row>
    <row r="239" spans="1:48" s="581" customFormat="1" ht="12.4" customHeight="1" outlineLevel="1" x14ac:dyDescent="0.25">
      <c r="A239" s="703">
        <f>'BOULEVARD 5'!BQ237</f>
        <v>0</v>
      </c>
      <c r="B239" s="564">
        <v>1308</v>
      </c>
      <c r="C239" s="564" t="s">
        <v>467</v>
      </c>
      <c r="D239" s="564"/>
      <c r="E239" s="564" t="str">
        <f>IF('BOULEVARD 5'!E237&lt;&gt;0,'BOULEVARD 5'!E237,"")</f>
        <v>Antonio Rada</v>
      </c>
      <c r="F239" s="581" t="str">
        <f>IF('BOULEVARD 5'!F237&lt;&gt;0,'BOULEVARD 5'!F237,"")</f>
        <v>Gerson Alexander Urias Marquez</v>
      </c>
      <c r="G239" s="566">
        <f>IF('BOULEVARD 5'!G237="","",'BOULEVARD 5'!G237)</f>
        <v>45230</v>
      </c>
      <c r="H239" s="756">
        <f>IF(OR($A239="F&amp;F",$A239="CE",H$7="No aplica"),0,'BOULEVARD 5'!K237-'BOULEVARD PPTO'!C232)</f>
        <v>0</v>
      </c>
      <c r="I239" s="756">
        <f>IF(OR($A239="F&amp;F",$A239="CE",I$7="No aplica"),0,'BOULEVARD 5'!L237-'BOULEVARD PPTO'!D232)</f>
        <v>0</v>
      </c>
      <c r="J239" s="756">
        <f>IF(OR($A239="F&amp;F",$A239="CE",J$7="No aplica"),0,'BOULEVARD 5'!M237-'BOULEVARD PPTO'!E232)</f>
        <v>0</v>
      </c>
      <c r="K239" s="756">
        <f>IF(OR($A239="F&amp;F",$A239="CE",K$7="No aplica"),0,'BOULEVARD 5'!N237-'BOULEVARD PPTO'!F232)</f>
        <v>0</v>
      </c>
      <c r="L239" s="756">
        <f>IF(OR($A239="F&amp;F",$A239="CE",L$7="No aplica"),0,'BOULEVARD 5'!O237-'BOULEVARD PPTO'!G232)</f>
        <v>0</v>
      </c>
      <c r="M239" s="756">
        <f>IF(OR($A239="F&amp;F",$A239="CE",M$7="No aplica"),0,'BOULEVARD 5'!P237-'BOULEVARD PPTO'!H232)</f>
        <v>0</v>
      </c>
      <c r="N239" s="756">
        <f>IF(OR($A239="F&amp;F",$A239="CE",N$7="No aplica"),0,'BOULEVARD 5'!Q237-'BOULEVARD PPTO'!I232)</f>
        <v>0</v>
      </c>
      <c r="O239" s="756">
        <f>IF(OR($A239="F&amp;F",$A239="CE",O$7="No aplica"),0,'BOULEVARD 5'!R237-'BOULEVARD PPTO'!J232)</f>
        <v>0</v>
      </c>
      <c r="P239" s="756">
        <f>IF(OR($A239="F&amp;F",$A239="CE",P$7="No aplica"),0,'BOULEVARD 5'!S237-'BOULEVARD PPTO'!K232)</f>
        <v>0</v>
      </c>
      <c r="Q239" s="760">
        <f>IF(OR($A239="F&amp;F",$A239="CE",Q$7="No aplica"),0,'BOULEVARD 5'!T237-'BOULEVARD PPTO'!L232)</f>
        <v>0</v>
      </c>
      <c r="R239" s="760">
        <f>IF(OR($A239="F&amp;F",$A239="CE",R$7="No aplica"),0,'BOULEVARD 5'!U237-'BOULEVARD PPTO'!M232)</f>
        <v>0</v>
      </c>
      <c r="S239" s="760">
        <f>IF(OR($A239="F&amp;F",$A239="CE",S$7="No aplica"),0,'BOULEVARD 5'!V237-'BOULEVARD PPTO'!N232)</f>
        <v>0</v>
      </c>
      <c r="T239" s="760">
        <f>IF(OR($A239="F&amp;F",$A239="CE",T$7="No aplica"),0,'BOULEVARD 5'!W237-'BOULEVARD PPTO'!O232)</f>
        <v>0</v>
      </c>
      <c r="U239" s="760">
        <f>IF(OR($A239="F&amp;F",$A239="CE",U$7="No aplica"),0,'BOULEVARD 5'!X237-'BOULEVARD PPTO'!P232)</f>
        <v>0</v>
      </c>
      <c r="V239" s="760">
        <f>IF(OR($A239="F&amp;F",$A239="CE",V$7="No aplica"),0,'BOULEVARD 5'!Y237-'BOULEVARD PPTO'!Q232)</f>
        <v>0</v>
      </c>
      <c r="W239" s="760">
        <f>IF(OR($A239="F&amp;F",$A239="CE",W$7="No aplica"),0,'BOULEVARD 5'!Z237-'BOULEVARD PPTO'!R232)</f>
        <v>0</v>
      </c>
      <c r="X239" s="760">
        <f>IF(OR($A239="F&amp;F",$A239="CE",X$7="No aplica"),0,'BOULEVARD 5'!AA237-'BOULEVARD PPTO'!S232)</f>
        <v>0</v>
      </c>
      <c r="Y239" s="760">
        <f>IF(OR($A239="F&amp;F",$A239="CE",Y$7="No aplica"),0,'BOULEVARD 5'!AB237-'BOULEVARD PPTO'!T232)</f>
        <v>0</v>
      </c>
      <c r="Z239" s="760">
        <f>IF(OR($A239="F&amp;F",$A239="CE",Z$7="No aplica"),0,'BOULEVARD 5'!AC237-'BOULEVARD PPTO'!U232)</f>
        <v>0</v>
      </c>
      <c r="AA239" s="760">
        <f>IF(OR($A239="F&amp;F",$A239="CE",AA$7="No aplica"),0,'BOULEVARD 5'!AD237-'BOULEVARD PPTO'!V232)</f>
        <v>0</v>
      </c>
      <c r="AB239" s="760">
        <f>IF(OR($A239="F&amp;F",$A239="CE",AB$7="No aplica"),0,'BOULEVARD 5'!AE237-'BOULEVARD PPTO'!W232)</f>
        <v>0</v>
      </c>
      <c r="AC239" s="760">
        <f>IF(OR($A239="F&amp;F",$A239="CE",AC$7="No aplica"),0,'BOULEVARD 5'!AF237-'BOULEVARD PPTO'!X232)</f>
        <v>-4800</v>
      </c>
      <c r="AD239" s="760">
        <f>IF(OR($A239="F&amp;F",$A239="CE",AD$7="No aplica"),0,'BOULEVARD 5'!AG237-'BOULEVARD PPTO'!Y232)</f>
        <v>4800</v>
      </c>
      <c r="AE239" s="760">
        <f>IF(OR($A239="F&amp;F",$A239="CE",AE$7="No aplica"),0,'BOULEVARD 5'!AH237-'BOULEVARD PPTO'!Z232)</f>
        <v>0</v>
      </c>
      <c r="AF239" s="760">
        <f>IF(OR($A239="F&amp;F",$A239="CE",AF$7="No aplica"),0,'BOULEVARD 5'!AI237-'BOULEVARD PPTO'!AA232)</f>
        <v>0</v>
      </c>
      <c r="AG239" s="760">
        <f>IF(OR($A239="F&amp;F",$A239="CE",AG$7="No aplica"),0,'BOULEVARD 5'!AJ237-'BOULEVARD PPTO'!AB232)</f>
        <v>0</v>
      </c>
      <c r="AH239" s="760">
        <f>IF(OR($A239="F&amp;F",$A239="CE",AH$7="No aplica"),0,'BOULEVARD 5'!AK237-'BOULEVARD PPTO'!AC232)</f>
        <v>0</v>
      </c>
      <c r="AI239" s="760">
        <f>IF(OR($A239="F&amp;F",$A239="CE",AI$7="No aplica"),0,'BOULEVARD 5'!AL237-'BOULEVARD PPTO'!AD232)</f>
        <v>0</v>
      </c>
      <c r="AJ239" s="760">
        <f>IF(OR($A239="F&amp;F",$A239="CE",AJ$7="No aplica"),0,'BOULEVARD 5'!AM237-'BOULEVARD PPTO'!AE232)</f>
        <v>0</v>
      </c>
      <c r="AK239" s="760">
        <f>IF(OR($A239="F&amp;F",$A239="CE",AK$7="No aplica"),0,'BOULEVARD 5'!AN237-'BOULEVARD PPTO'!AF232)</f>
        <v>0</v>
      </c>
      <c r="AL239" s="760">
        <f>IF(OR($A239="F&amp;F",$A239="CE",AL$7="No aplica"),0,'BOULEVARD 5'!AO237-'BOULEVARD PPTO'!AG232)</f>
        <v>7</v>
      </c>
      <c r="AM239" s="760">
        <f>IF(OR($A239="F&amp;F",$A239="CE",AM$7="No aplica"),0,'BOULEVARD 5'!AP237-'BOULEVARD PPTO'!AH232)</f>
        <v>0</v>
      </c>
      <c r="AN239" s="760">
        <f>IF(OR($A239="F&amp;F",$A239="CE",AN$7="No aplica"),0,'BOULEVARD 5'!AQ237-'BOULEVARD PPTO'!AI232)</f>
        <v>0</v>
      </c>
      <c r="AO239" s="760">
        <f>IF(OR($A239="F&amp;F",$A239="CE",AO$7="No aplica"),0,'BOULEVARD 5'!AS237-'BOULEVARD PPTO'!AJ232)</f>
        <v>0</v>
      </c>
      <c r="AP239" s="761">
        <f t="shared" si="23"/>
        <v>7</v>
      </c>
      <c r="AQ239" s="761">
        <f t="shared" si="24"/>
        <v>7</v>
      </c>
      <c r="AR239" s="674">
        <f>IF(A239=0,'BOULEVARD 5'!BF237,0)</f>
        <v>8000</v>
      </c>
      <c r="AS239" s="674">
        <f>IF(A239=0,'BOULEVARD 5'!BG237,0)</f>
        <v>4800</v>
      </c>
      <c r="AT239" s="675" t="str">
        <f t="shared" si="22"/>
        <v>Vendido</v>
      </c>
      <c r="AU239" s="581" t="str">
        <f t="shared" si="26"/>
        <v>A FAVOR DEL CLIENTE</v>
      </c>
      <c r="AV239" s="760">
        <f t="shared" si="25"/>
        <v>0</v>
      </c>
    </row>
    <row r="240" spans="1:48" s="581" customFormat="1" ht="12.4" customHeight="1" outlineLevel="1" x14ac:dyDescent="0.25">
      <c r="A240" s="703">
        <f>'BOULEVARD 5'!BQ238</f>
        <v>0</v>
      </c>
      <c r="B240" s="564">
        <v>1309</v>
      </c>
      <c r="C240" s="564" t="s">
        <v>469</v>
      </c>
      <c r="D240" s="564"/>
      <c r="E240" s="564" t="str">
        <f>IF('BOULEVARD 5'!E238&lt;&gt;0,'BOULEVARD 5'!E238,"")</f>
        <v/>
      </c>
      <c r="F240" s="581" t="str">
        <f>IF('BOULEVARD 5'!F238&lt;&gt;0,'BOULEVARD 5'!F238,"")</f>
        <v/>
      </c>
      <c r="G240" s="566" t="str">
        <f>IF('BOULEVARD 5'!G238="","",'BOULEVARD 5'!G238)</f>
        <v/>
      </c>
      <c r="H240" s="756">
        <f>IF(OR($A240="F&amp;F",$A240="CE",H$7="No aplica"),0,'BOULEVARD 5'!K238-'BOULEVARD PPTO'!C233)</f>
        <v>0</v>
      </c>
      <c r="I240" s="756">
        <f>IF(OR($A240="F&amp;F",$A240="CE",I$7="No aplica"),0,'BOULEVARD 5'!L238-'BOULEVARD PPTO'!D233)</f>
        <v>0</v>
      </c>
      <c r="J240" s="756">
        <f>IF(OR($A240="F&amp;F",$A240="CE",J$7="No aplica"),0,'BOULEVARD 5'!M238-'BOULEVARD PPTO'!E233)</f>
        <v>0</v>
      </c>
      <c r="K240" s="756">
        <f>IF(OR($A240="F&amp;F",$A240="CE",K$7="No aplica"),0,'BOULEVARD 5'!N238-'BOULEVARD PPTO'!F233)</f>
        <v>0</v>
      </c>
      <c r="L240" s="756">
        <f>IF(OR($A240="F&amp;F",$A240="CE",L$7="No aplica"),0,'BOULEVARD 5'!O238-'BOULEVARD PPTO'!G233)</f>
        <v>0</v>
      </c>
      <c r="M240" s="756">
        <f>IF(OR($A240="F&amp;F",$A240="CE",M$7="No aplica"),0,'BOULEVARD 5'!P238-'BOULEVARD PPTO'!H233)</f>
        <v>0</v>
      </c>
      <c r="N240" s="756">
        <f>IF(OR($A240="F&amp;F",$A240="CE",N$7="No aplica"),0,'BOULEVARD 5'!Q238-'BOULEVARD PPTO'!I233)</f>
        <v>0</v>
      </c>
      <c r="O240" s="756">
        <f>IF(OR($A240="F&amp;F",$A240="CE",O$7="No aplica"),0,'BOULEVARD 5'!R238-'BOULEVARD PPTO'!J233)</f>
        <v>0</v>
      </c>
      <c r="P240" s="756">
        <f>IF(OR($A240="F&amp;F",$A240="CE",P$7="No aplica"),0,'BOULEVARD 5'!S238-'BOULEVARD PPTO'!K233)</f>
        <v>0</v>
      </c>
      <c r="Q240" s="760">
        <f>IF(OR($A240="F&amp;F",$A240="CE",Q$7="No aplica"),0,'BOULEVARD 5'!T238-'BOULEVARD PPTO'!L233)</f>
        <v>0</v>
      </c>
      <c r="R240" s="760">
        <f>IF(OR($A240="F&amp;F",$A240="CE",R$7="No aplica"),0,'BOULEVARD 5'!U238-'BOULEVARD PPTO'!M233)</f>
        <v>0</v>
      </c>
      <c r="S240" s="760">
        <f>IF(OR($A240="F&amp;F",$A240="CE",S$7="No aplica"),0,'BOULEVARD 5'!V238-'BOULEVARD PPTO'!N233)</f>
        <v>0</v>
      </c>
      <c r="T240" s="760">
        <f>IF(OR($A240="F&amp;F",$A240="CE",T$7="No aplica"),0,'BOULEVARD 5'!W238-'BOULEVARD PPTO'!O233)</f>
        <v>0</v>
      </c>
      <c r="U240" s="760">
        <f>IF(OR($A240="F&amp;F",$A240="CE",U$7="No aplica"),0,'BOULEVARD 5'!X238-'BOULEVARD PPTO'!P233)</f>
        <v>0</v>
      </c>
      <c r="V240" s="760">
        <f>IF(OR($A240="F&amp;F",$A240="CE",V$7="No aplica"),0,'BOULEVARD 5'!Y238-'BOULEVARD PPTO'!Q233)</f>
        <v>0</v>
      </c>
      <c r="W240" s="760">
        <f>IF(OR($A240="F&amp;F",$A240="CE",W$7="No aplica"),0,'BOULEVARD 5'!Z238-'BOULEVARD PPTO'!R233)</f>
        <v>0</v>
      </c>
      <c r="X240" s="760">
        <f>IF(OR($A240="F&amp;F",$A240="CE",X$7="No aplica"),0,'BOULEVARD 5'!AA238-'BOULEVARD PPTO'!S233)</f>
        <v>0</v>
      </c>
      <c r="Y240" s="760">
        <f>IF(OR($A240="F&amp;F",$A240="CE",Y$7="No aplica"),0,'BOULEVARD 5'!AB238-'BOULEVARD PPTO'!T233)</f>
        <v>0</v>
      </c>
      <c r="Z240" s="760">
        <f>IF(OR($A240="F&amp;F",$A240="CE",Z$7="No aplica"),0,'BOULEVARD 5'!AC238-'BOULEVARD PPTO'!U233)</f>
        <v>0</v>
      </c>
      <c r="AA240" s="760">
        <f>IF(OR($A240="F&amp;F",$A240="CE",AA$7="No aplica"),0,'BOULEVARD 5'!AD238-'BOULEVARD PPTO'!V233)</f>
        <v>0</v>
      </c>
      <c r="AB240" s="760">
        <f>IF(OR($A240="F&amp;F",$A240="CE",AB$7="No aplica"),0,'BOULEVARD 5'!AE238-'BOULEVARD PPTO'!W233)</f>
        <v>0</v>
      </c>
      <c r="AC240" s="760">
        <f>IF(OR($A240="F&amp;F",$A240="CE",AC$7="No aplica"),0,'BOULEVARD 5'!AF238-'BOULEVARD PPTO'!X233)</f>
        <v>0</v>
      </c>
      <c r="AD240" s="760">
        <f>IF(OR($A240="F&amp;F",$A240="CE",AD$7="No aplica"),0,'BOULEVARD 5'!AG238-'BOULEVARD PPTO'!Y233)</f>
        <v>0</v>
      </c>
      <c r="AE240" s="760">
        <f>IF(OR($A240="F&amp;F",$A240="CE",AE$7="No aplica"),0,'BOULEVARD 5'!AH238-'BOULEVARD PPTO'!Z233)</f>
        <v>0</v>
      </c>
      <c r="AF240" s="760">
        <f>IF(OR($A240="F&amp;F",$A240="CE",AF$7="No aplica"),0,'BOULEVARD 5'!AI238-'BOULEVARD PPTO'!AA233)</f>
        <v>0</v>
      </c>
      <c r="AG240" s="760">
        <f>IF(OR($A240="F&amp;F",$A240="CE",AG$7="No aplica"),0,'BOULEVARD 5'!AJ238-'BOULEVARD PPTO'!AB233)</f>
        <v>0</v>
      </c>
      <c r="AH240" s="760">
        <f>IF(OR($A240="F&amp;F",$A240="CE",AH$7="No aplica"),0,'BOULEVARD 5'!AK238-'BOULEVARD PPTO'!AC233)</f>
        <v>0</v>
      </c>
      <c r="AI240" s="760">
        <f>IF(OR($A240="F&amp;F",$A240="CE",AI$7="No aplica"),0,'BOULEVARD 5'!AL238-'BOULEVARD PPTO'!AD233)</f>
        <v>0</v>
      </c>
      <c r="AJ240" s="760">
        <f>IF(OR($A240="F&amp;F",$A240="CE",AJ$7="No aplica"),0,'BOULEVARD 5'!AM238-'BOULEVARD PPTO'!AE233)</f>
        <v>0</v>
      </c>
      <c r="AK240" s="760">
        <f>IF(OR($A240="F&amp;F",$A240="CE",AK$7="No aplica"),0,'BOULEVARD 5'!AN238-'BOULEVARD PPTO'!AF233)</f>
        <v>0</v>
      </c>
      <c r="AL240" s="760">
        <f>IF(OR($A240="F&amp;F",$A240="CE",AL$7="No aplica"),0,'BOULEVARD 5'!AO238-'BOULEVARD PPTO'!AG233)</f>
        <v>0</v>
      </c>
      <c r="AM240" s="760">
        <f>IF(OR($A240="F&amp;F",$A240="CE",AM$7="No aplica"),0,'BOULEVARD 5'!AP238-'BOULEVARD PPTO'!AH233)</f>
        <v>0</v>
      </c>
      <c r="AN240" s="760">
        <f>IF(OR($A240="F&amp;F",$A240="CE",AN$7="No aplica"),0,'BOULEVARD 5'!AQ238-'BOULEVARD PPTO'!AI233)</f>
        <v>0</v>
      </c>
      <c r="AO240" s="760">
        <f>IF(OR($A240="F&amp;F",$A240="CE",AO$7="No aplica"),0,'BOULEVARD 5'!AS238-'BOULEVARD PPTO'!AJ233)</f>
        <v>0</v>
      </c>
      <c r="AP240" s="761">
        <f t="shared" si="23"/>
        <v>0</v>
      </c>
      <c r="AQ240" s="761">
        <f t="shared" si="24"/>
        <v>0</v>
      </c>
      <c r="AR240" s="674">
        <f>IF(A240=0,'BOULEVARD 5'!BF238,0)</f>
        <v>0</v>
      </c>
      <c r="AS240" s="674">
        <f>IF(A240=0,'BOULEVARD 5'!BG238,0)</f>
        <v>0</v>
      </c>
      <c r="AT240" s="675" t="str">
        <f t="shared" si="22"/>
        <v>No Vendido</v>
      </c>
      <c r="AU240" s="581" t="str">
        <f t="shared" si="26"/>
        <v/>
      </c>
      <c r="AV240" s="760">
        <f t="shared" si="25"/>
        <v>0</v>
      </c>
    </row>
    <row r="241" spans="1:48" s="581" customFormat="1" ht="12.4" customHeight="1" outlineLevel="1" x14ac:dyDescent="0.25">
      <c r="A241" s="703">
        <f>'BOULEVARD 5'!BQ239</f>
        <v>0</v>
      </c>
      <c r="B241" s="564">
        <v>1310</v>
      </c>
      <c r="C241" s="564" t="s">
        <v>467</v>
      </c>
      <c r="D241" s="564"/>
      <c r="E241" s="564" t="str">
        <f>IF('BOULEVARD 5'!E239&lt;&gt;0,'BOULEVARD 5'!E239,"")</f>
        <v>Jose Franco</v>
      </c>
      <c r="F241" s="581" t="str">
        <f>IF('BOULEVARD 5'!F239&lt;&gt;0,'BOULEVARD 5'!F239,"")</f>
        <v xml:space="preserve"> Raúl Cabrera Galindo</v>
      </c>
      <c r="G241" s="566">
        <f>IF('BOULEVARD 5'!G239="","",'BOULEVARD 5'!G239)</f>
        <v>45012</v>
      </c>
      <c r="H241" s="756">
        <f>IF(OR($A241="F&amp;F",$A241="CE",H$7="No aplica"),0,'BOULEVARD 5'!K239-'BOULEVARD PPTO'!C234)</f>
        <v>0</v>
      </c>
      <c r="I241" s="756">
        <f>IF(OR($A241="F&amp;F",$A241="CE",I$7="No aplica"),0,'BOULEVARD 5'!L239-'BOULEVARD PPTO'!D234)</f>
        <v>0</v>
      </c>
      <c r="J241" s="756">
        <f>IF(OR($A241="F&amp;F",$A241="CE",J$7="No aplica"),0,'BOULEVARD 5'!M239-'BOULEVARD PPTO'!E234)</f>
        <v>0</v>
      </c>
      <c r="K241" s="756">
        <f>IF(OR($A241="F&amp;F",$A241="CE",K$7="No aplica"),0,'BOULEVARD 5'!N239-'BOULEVARD PPTO'!F234)</f>
        <v>0</v>
      </c>
      <c r="L241" s="756">
        <f>IF(OR($A241="F&amp;F",$A241="CE",L$7="No aplica"),0,'BOULEVARD 5'!O239-'BOULEVARD PPTO'!G234)</f>
        <v>0</v>
      </c>
      <c r="M241" s="756">
        <f>IF(OR($A241="F&amp;F",$A241="CE",M$7="No aplica"),0,'BOULEVARD 5'!P239-'BOULEVARD PPTO'!H234)</f>
        <v>0</v>
      </c>
      <c r="N241" s="756">
        <f>IF(OR($A241="F&amp;F",$A241="CE",N$7="No aplica"),0,'BOULEVARD 5'!Q239-'BOULEVARD PPTO'!I234)</f>
        <v>0</v>
      </c>
      <c r="O241" s="756">
        <f>IF(OR($A241="F&amp;F",$A241="CE",O$7="No aplica"),0,'BOULEVARD 5'!R239-'BOULEVARD PPTO'!J234)</f>
        <v>0</v>
      </c>
      <c r="P241" s="756">
        <f>IF(OR($A241="F&amp;F",$A241="CE",P$7="No aplica"),0,'BOULEVARD 5'!S239-'BOULEVARD PPTO'!K234)</f>
        <v>0</v>
      </c>
      <c r="Q241" s="760">
        <f>IF(OR($A241="F&amp;F",$A241="CE",Q$7="No aplica"),0,'BOULEVARD 5'!T239-'BOULEVARD PPTO'!L234)</f>
        <v>0</v>
      </c>
      <c r="R241" s="760">
        <f>IF(OR($A241="F&amp;F",$A241="CE",R$7="No aplica"),0,'BOULEVARD 5'!U239-'BOULEVARD PPTO'!M234)</f>
        <v>0</v>
      </c>
      <c r="S241" s="760">
        <f>IF(OR($A241="F&amp;F",$A241="CE",S$7="No aplica"),0,'BOULEVARD 5'!V239-'BOULEVARD PPTO'!N234)</f>
        <v>0</v>
      </c>
      <c r="T241" s="760">
        <f>IF(OR($A241="F&amp;F",$A241="CE",T$7="No aplica"),0,'BOULEVARD 5'!W239-'BOULEVARD PPTO'!O234)</f>
        <v>0</v>
      </c>
      <c r="U241" s="760">
        <f>IF(OR($A241="F&amp;F",$A241="CE",U$7="No aplica"),0,'BOULEVARD 5'!X239-'BOULEVARD PPTO'!P234)</f>
        <v>0</v>
      </c>
      <c r="V241" s="760">
        <f>IF(OR($A241="F&amp;F",$A241="CE",V$7="No aplica"),0,'BOULEVARD 5'!Y239-'BOULEVARD PPTO'!Q234)</f>
        <v>0</v>
      </c>
      <c r="W241" s="760">
        <f>IF(OR($A241="F&amp;F",$A241="CE",W$7="No aplica"),0,'BOULEVARD 5'!Z239-'BOULEVARD PPTO'!R234)</f>
        <v>0</v>
      </c>
      <c r="X241" s="760">
        <f>IF(OR($A241="F&amp;F",$A241="CE",X$7="No aplica"),0,'BOULEVARD 5'!AA239-'BOULEVARD PPTO'!S234)</f>
        <v>0</v>
      </c>
      <c r="Y241" s="760">
        <f>IF(OR($A241="F&amp;F",$A241="CE",Y$7="No aplica"),0,'BOULEVARD 5'!AB239-'BOULEVARD PPTO'!T234)</f>
        <v>0</v>
      </c>
      <c r="Z241" s="760">
        <f>IF(OR($A241="F&amp;F",$A241="CE",Z$7="No aplica"),0,'BOULEVARD 5'!AC239-'BOULEVARD PPTO'!U234)</f>
        <v>0</v>
      </c>
      <c r="AA241" s="760">
        <f>IF(OR($A241="F&amp;F",$A241="CE",AA$7="No aplica"),0,'BOULEVARD 5'!AD239-'BOULEVARD PPTO'!V234)</f>
        <v>0</v>
      </c>
      <c r="AB241" s="760">
        <f>IF(OR($A241="F&amp;F",$A241="CE",AB$7="No aplica"),0,'BOULEVARD 5'!AE239-'BOULEVARD PPTO'!W234)</f>
        <v>0</v>
      </c>
      <c r="AC241" s="760">
        <f>IF(OR($A241="F&amp;F",$A241="CE",AC$7="No aplica"),0,'BOULEVARD 5'!AF239-'BOULEVARD PPTO'!X234)</f>
        <v>0</v>
      </c>
      <c r="AD241" s="760">
        <f>IF(OR($A241="F&amp;F",$A241="CE",AD$7="No aplica"),0,'BOULEVARD 5'!AG239-'BOULEVARD PPTO'!Y234)</f>
        <v>0</v>
      </c>
      <c r="AE241" s="760">
        <f>IF(OR($A241="F&amp;F",$A241="CE",AE$7="No aplica"),0,'BOULEVARD 5'!AH239-'BOULEVARD PPTO'!Z234)</f>
        <v>0</v>
      </c>
      <c r="AF241" s="760">
        <f>IF(OR($A241="F&amp;F",$A241="CE",AF$7="No aplica"),0,'BOULEVARD 5'!AI239-'BOULEVARD PPTO'!AA234)</f>
        <v>0</v>
      </c>
      <c r="AG241" s="760">
        <f>IF(OR($A241="F&amp;F",$A241="CE",AG$7="No aplica"),0,'BOULEVARD 5'!AJ239-'BOULEVARD PPTO'!AB234)</f>
        <v>0</v>
      </c>
      <c r="AH241" s="760">
        <f>IF(OR($A241="F&amp;F",$A241="CE",AH$7="No aplica"),0,'BOULEVARD 5'!AK239-'BOULEVARD PPTO'!AC234)</f>
        <v>0</v>
      </c>
      <c r="AI241" s="760">
        <f>IF(OR($A241="F&amp;F",$A241="CE",AI$7="No aplica"),0,'BOULEVARD 5'!AL239-'BOULEVARD PPTO'!AD234)</f>
        <v>-3000</v>
      </c>
      <c r="AJ241" s="760">
        <f>IF(OR($A241="F&amp;F",$A241="CE",AJ$7="No aplica"),0,'BOULEVARD 5'!AM239-'BOULEVARD PPTO'!AE234)</f>
        <v>3000</v>
      </c>
      <c r="AK241" s="760">
        <f>IF(OR($A241="F&amp;F",$A241="CE",AK$7="No aplica"),0,'BOULEVARD 5'!AN239-'BOULEVARD PPTO'!AF234)</f>
        <v>0</v>
      </c>
      <c r="AL241" s="760">
        <f>IF(OR($A241="F&amp;F",$A241="CE",AL$7="No aplica"),0,'BOULEVARD 5'!AO239-'BOULEVARD PPTO'!AG234)</f>
        <v>0</v>
      </c>
      <c r="AM241" s="760">
        <f>IF(OR($A241="F&amp;F",$A241="CE",AM$7="No aplica"),0,'BOULEVARD 5'!AP239-'BOULEVARD PPTO'!AH234)</f>
        <v>0</v>
      </c>
      <c r="AN241" s="760">
        <f>IF(OR($A241="F&amp;F",$A241="CE",AN$7="No aplica"),0,'BOULEVARD 5'!AQ239-'BOULEVARD PPTO'!AI234)</f>
        <v>0</v>
      </c>
      <c r="AO241" s="760">
        <f>IF(OR($A241="F&amp;F",$A241="CE",AO$7="No aplica"),0,'BOULEVARD 5'!AS239-'BOULEVARD PPTO'!AJ234)</f>
        <v>0</v>
      </c>
      <c r="AP241" s="761">
        <f t="shared" si="23"/>
        <v>0</v>
      </c>
      <c r="AQ241" s="761">
        <f t="shared" si="24"/>
        <v>-3100</v>
      </c>
      <c r="AR241" s="674">
        <f>IF(A241=0,'BOULEVARD 5'!BF239,0)</f>
        <v>6000</v>
      </c>
      <c r="AS241" s="674">
        <f>IF(A241=0,'BOULEVARD 5'!BG239,0)</f>
        <v>3000</v>
      </c>
      <c r="AT241" s="675" t="str">
        <f t="shared" si="22"/>
        <v>Vendido</v>
      </c>
      <c r="AU241" s="581" t="str">
        <f t="shared" si="26"/>
        <v/>
      </c>
      <c r="AV241" s="760">
        <f t="shared" si="25"/>
        <v>0</v>
      </c>
    </row>
    <row r="242" spans="1:48" s="581" customFormat="1" ht="12.4" customHeight="1" outlineLevel="1" x14ac:dyDescent="0.25">
      <c r="A242" s="703">
        <f>'BOULEVARD 5'!BQ240</f>
        <v>0</v>
      </c>
      <c r="B242" s="564">
        <v>1311</v>
      </c>
      <c r="C242" s="564" t="s">
        <v>469</v>
      </c>
      <c r="D242" s="564"/>
      <c r="E242" s="564" t="str">
        <f>IF('BOULEVARD 5'!E240&lt;&gt;0,'BOULEVARD 5'!E240,"")</f>
        <v>Antonio Rada</v>
      </c>
      <c r="F242" s="581" t="str">
        <f>IF('BOULEVARD 5'!F240&lt;&gt;0,'BOULEVARD 5'!F240,"")</f>
        <v>Luis Gabriel Garrido Blanco</v>
      </c>
      <c r="G242" s="566">
        <f>IF('BOULEVARD 5'!G240="","",'BOULEVARD 5'!G240)</f>
        <v>45202</v>
      </c>
      <c r="H242" s="756">
        <f>IF(OR($A242="F&amp;F",$A242="CE",H$7="No aplica"),0,'BOULEVARD 5'!K240-'BOULEVARD PPTO'!C235)</f>
        <v>0</v>
      </c>
      <c r="I242" s="756">
        <f>IF(OR($A242="F&amp;F",$A242="CE",I$7="No aplica"),0,'BOULEVARD 5'!L240-'BOULEVARD PPTO'!D235)</f>
        <v>0</v>
      </c>
      <c r="J242" s="756">
        <f>IF(OR($A242="F&amp;F",$A242="CE",J$7="No aplica"),0,'BOULEVARD 5'!M240-'BOULEVARD PPTO'!E235)</f>
        <v>0</v>
      </c>
      <c r="K242" s="756">
        <f>IF(OR($A242="F&amp;F",$A242="CE",K$7="No aplica"),0,'BOULEVARD 5'!N240-'BOULEVARD PPTO'!F235)</f>
        <v>0</v>
      </c>
      <c r="L242" s="756">
        <f>IF(OR($A242="F&amp;F",$A242="CE",L$7="No aplica"),0,'BOULEVARD 5'!O240-'BOULEVARD PPTO'!G235)</f>
        <v>0</v>
      </c>
      <c r="M242" s="756">
        <f>IF(OR($A242="F&amp;F",$A242="CE",M$7="No aplica"),0,'BOULEVARD 5'!P240-'BOULEVARD PPTO'!H235)</f>
        <v>0</v>
      </c>
      <c r="N242" s="756">
        <f>IF(OR($A242="F&amp;F",$A242="CE",N$7="No aplica"),0,'BOULEVARD 5'!Q240-'BOULEVARD PPTO'!I235)</f>
        <v>0</v>
      </c>
      <c r="O242" s="756">
        <f>IF(OR($A242="F&amp;F",$A242="CE",O$7="No aplica"),0,'BOULEVARD 5'!R240-'BOULEVARD PPTO'!J235)</f>
        <v>0</v>
      </c>
      <c r="P242" s="756">
        <f>IF(OR($A242="F&amp;F",$A242="CE",P$7="No aplica"),0,'BOULEVARD 5'!S240-'BOULEVARD PPTO'!K235)</f>
        <v>0</v>
      </c>
      <c r="Q242" s="760">
        <f>IF(OR($A242="F&amp;F",$A242="CE",Q$7="No aplica"),0,'BOULEVARD 5'!T240-'BOULEVARD PPTO'!L235)</f>
        <v>0</v>
      </c>
      <c r="R242" s="760">
        <f>IF(OR($A242="F&amp;F",$A242="CE",R$7="No aplica"),0,'BOULEVARD 5'!U240-'BOULEVARD PPTO'!M235)</f>
        <v>0</v>
      </c>
      <c r="S242" s="760">
        <f>IF(OR($A242="F&amp;F",$A242="CE",S$7="No aplica"),0,'BOULEVARD 5'!V240-'BOULEVARD PPTO'!N235)</f>
        <v>0</v>
      </c>
      <c r="T242" s="760">
        <f>IF(OR($A242="F&amp;F",$A242="CE",T$7="No aplica"),0,'BOULEVARD 5'!W240-'BOULEVARD PPTO'!O235)</f>
        <v>-4096</v>
      </c>
      <c r="U242" s="760">
        <f>IF(OR($A242="F&amp;F",$A242="CE",U$7="No aplica"),0,'BOULEVARD 5'!X240-'BOULEVARD PPTO'!P235)</f>
        <v>4096</v>
      </c>
      <c r="V242" s="760">
        <f>IF(OR($A242="F&amp;F",$A242="CE",V$7="No aplica"),0,'BOULEVARD 5'!Y240-'BOULEVARD PPTO'!Q235)</f>
        <v>0</v>
      </c>
      <c r="W242" s="760">
        <f>IF(OR($A242="F&amp;F",$A242="CE",W$7="No aplica"),0,'BOULEVARD 5'!Z240-'BOULEVARD PPTO'!R235)</f>
        <v>0</v>
      </c>
      <c r="X242" s="760">
        <f>IF(OR($A242="F&amp;F",$A242="CE",X$7="No aplica"),0,'BOULEVARD 5'!AA240-'BOULEVARD PPTO'!S235)</f>
        <v>-4096</v>
      </c>
      <c r="Y242" s="760">
        <f>IF(OR($A242="F&amp;F",$A242="CE",Y$7="No aplica"),0,'BOULEVARD 5'!AB240-'BOULEVARD PPTO'!T235)</f>
        <v>4096</v>
      </c>
      <c r="Z242" s="760">
        <f>IF(OR($A242="F&amp;F",$A242="CE",Z$7="No aplica"),0,'BOULEVARD 5'!AC240-'BOULEVARD PPTO'!U235)</f>
        <v>-4096</v>
      </c>
      <c r="AA242" s="760">
        <f>IF(OR($A242="F&amp;F",$A242="CE",AA$7="No aplica"),0,'BOULEVARD 5'!AD240-'BOULEVARD PPTO'!V235)</f>
        <v>4096</v>
      </c>
      <c r="AB242" s="760">
        <f>IF(OR($A242="F&amp;F",$A242="CE",AB$7="No aplica"),0,'BOULEVARD 5'!AE240-'BOULEVARD PPTO'!W235)</f>
        <v>0</v>
      </c>
      <c r="AC242" s="760">
        <f>IF(OR($A242="F&amp;F",$A242="CE",AC$7="No aplica"),0,'BOULEVARD 5'!AF240-'BOULEVARD PPTO'!X235)</f>
        <v>0</v>
      </c>
      <c r="AD242" s="760">
        <f>IF(OR($A242="F&amp;F",$A242="CE",AD$7="No aplica"),0,'BOULEVARD 5'!AG240-'BOULEVARD PPTO'!Y235)</f>
        <v>-4096</v>
      </c>
      <c r="AE242" s="760">
        <f>IF(OR($A242="F&amp;F",$A242="CE",AE$7="No aplica"),0,'BOULEVARD 5'!AH240-'BOULEVARD PPTO'!Z235)</f>
        <v>4096</v>
      </c>
      <c r="AF242" s="760">
        <f>IF(OR($A242="F&amp;F",$A242="CE",AF$7="No aplica"),0,'BOULEVARD 5'!AI240-'BOULEVARD PPTO'!AA235)</f>
        <v>-4096</v>
      </c>
      <c r="AG242" s="760">
        <f>IF(OR($A242="F&amp;F",$A242="CE",AG$7="No aplica"),0,'BOULEVARD 5'!AJ240-'BOULEVARD PPTO'!AB235)</f>
        <v>4096</v>
      </c>
      <c r="AH242" s="760">
        <f>IF(OR($A242="F&amp;F",$A242="CE",AH$7="No aplica"),0,'BOULEVARD 5'!AK240-'BOULEVARD PPTO'!AC235)</f>
        <v>0</v>
      </c>
      <c r="AI242" s="760">
        <f>IF(OR($A242="F&amp;F",$A242="CE",AI$7="No aplica"),0,'BOULEVARD 5'!AL240-'BOULEVARD PPTO'!AD235)</f>
        <v>-4096</v>
      </c>
      <c r="AJ242" s="760">
        <f>IF(OR($A242="F&amp;F",$A242="CE",AJ$7="No aplica"),0,'BOULEVARD 5'!AM240-'BOULEVARD PPTO'!AE235)</f>
        <v>0</v>
      </c>
      <c r="AK242" s="760">
        <f>IF(OR($A242="F&amp;F",$A242="CE",AK$7="No aplica"),0,'BOULEVARD 5'!AN240-'BOULEVARD PPTO'!AF235)</f>
        <v>0</v>
      </c>
      <c r="AL242" s="760">
        <f>IF(OR($A242="F&amp;F",$A242="CE",AL$7="No aplica"),0,'BOULEVARD 5'!AO240-'BOULEVARD PPTO'!AG235)</f>
        <v>7</v>
      </c>
      <c r="AM242" s="760">
        <f>IF(OR($A242="F&amp;F",$A242="CE",AM$7="No aplica"),0,'BOULEVARD 5'!AP240-'BOULEVARD PPTO'!AH235)</f>
        <v>8192</v>
      </c>
      <c r="AN242" s="760">
        <f>IF(OR($A242="F&amp;F",$A242="CE",AN$7="No aplica"),0,'BOULEVARD 5'!AQ240-'BOULEVARD PPTO'!AI235)</f>
        <v>0</v>
      </c>
      <c r="AO242" s="760">
        <f>IF(OR($A242="F&amp;F",$A242="CE",AO$7="No aplica"),0,'BOULEVARD 5'!AS240-'BOULEVARD PPTO'!AJ235)</f>
        <v>0</v>
      </c>
      <c r="AP242" s="761">
        <f t="shared" si="23"/>
        <v>4103</v>
      </c>
      <c r="AQ242" s="761">
        <f t="shared" si="24"/>
        <v>12295</v>
      </c>
      <c r="AR242" s="674">
        <f>IF(A242=0,'BOULEVARD 5'!BF240,0)</f>
        <v>8000</v>
      </c>
      <c r="AS242" s="674">
        <f>IF(A242=0,'BOULEVARD 5'!BG240,0)</f>
        <v>4096</v>
      </c>
      <c r="AT242" s="675" t="str">
        <f t="shared" si="22"/>
        <v>Vendido</v>
      </c>
      <c r="AU242" s="581" t="str">
        <f t="shared" si="26"/>
        <v>A FAVOR DEL CLIENTE</v>
      </c>
      <c r="AV242" s="760">
        <f t="shared" si="25"/>
        <v>8192</v>
      </c>
    </row>
    <row r="243" spans="1:48" s="581" customFormat="1" ht="12.4" customHeight="1" outlineLevel="1" x14ac:dyDescent="0.25">
      <c r="A243" s="703">
        <f>'BOULEVARD 5'!BQ241</f>
        <v>0</v>
      </c>
      <c r="B243" s="564">
        <v>1312</v>
      </c>
      <c r="C243" s="564" t="s">
        <v>406</v>
      </c>
      <c r="D243" s="564"/>
      <c r="E243" s="564" t="str">
        <f>IF('BOULEVARD 5'!E241&lt;&gt;0,'BOULEVARD 5'!E241,"")</f>
        <v>Brenda Búcaro</v>
      </c>
      <c r="F243" s="581" t="str">
        <f>IF('BOULEVARD 5'!F241&lt;&gt;0,'BOULEVARD 5'!F241,"")</f>
        <v>Arturo Alfredo Monzón López</v>
      </c>
      <c r="G243" s="566">
        <f>IF('BOULEVARD 5'!G241="","",'BOULEVARD 5'!G241)</f>
        <v>45034</v>
      </c>
      <c r="H243" s="756">
        <f>IF(OR($A243="F&amp;F",$A243="CE",H$7="No aplica"),0,'BOULEVARD 5'!K241-'BOULEVARD PPTO'!C236)</f>
        <v>0</v>
      </c>
      <c r="I243" s="756">
        <f>IF(OR($A243="F&amp;F",$A243="CE",I$7="No aplica"),0,'BOULEVARD 5'!L241-'BOULEVARD PPTO'!D236)</f>
        <v>0</v>
      </c>
      <c r="J243" s="756">
        <f>IF(OR($A243="F&amp;F",$A243="CE",J$7="No aplica"),0,'BOULEVARD 5'!M241-'BOULEVARD PPTO'!E236)</f>
        <v>0</v>
      </c>
      <c r="K243" s="756">
        <f>IF(OR($A243="F&amp;F",$A243="CE",K$7="No aplica"),0,'BOULEVARD 5'!N241-'BOULEVARD PPTO'!F236)</f>
        <v>0</v>
      </c>
      <c r="L243" s="756">
        <f>IF(OR($A243="F&amp;F",$A243="CE",L$7="No aplica"),0,'BOULEVARD 5'!O241-'BOULEVARD PPTO'!G236)</f>
        <v>0</v>
      </c>
      <c r="M243" s="756">
        <f>IF(OR($A243="F&amp;F",$A243="CE",M$7="No aplica"),0,'BOULEVARD 5'!P241-'BOULEVARD PPTO'!H236)</f>
        <v>0</v>
      </c>
      <c r="N243" s="756">
        <f>IF(OR($A243="F&amp;F",$A243="CE",N$7="No aplica"),0,'BOULEVARD 5'!Q241-'BOULEVARD PPTO'!I236)</f>
        <v>0</v>
      </c>
      <c r="O243" s="756">
        <f>IF(OR($A243="F&amp;F",$A243="CE",O$7="No aplica"),0,'BOULEVARD 5'!R241-'BOULEVARD PPTO'!J236)</f>
        <v>0</v>
      </c>
      <c r="P243" s="756">
        <f>IF(OR($A243="F&amp;F",$A243="CE",P$7="No aplica"),0,'BOULEVARD 5'!S241-'BOULEVARD PPTO'!K236)</f>
        <v>-2000</v>
      </c>
      <c r="Q243" s="760">
        <f>IF(OR($A243="F&amp;F",$A243="CE",Q$7="No aplica"),0,'BOULEVARD 5'!T241-'BOULEVARD PPTO'!L236)</f>
        <v>-2000</v>
      </c>
      <c r="R243" s="760">
        <f>IF(OR($A243="F&amp;F",$A243="CE",R$7="No aplica"),0,'BOULEVARD 5'!U241-'BOULEVARD PPTO'!M236)</f>
        <v>-2000</v>
      </c>
      <c r="S243" s="760">
        <f>IF(OR($A243="F&amp;F",$A243="CE",S$7="No aplica"),0,'BOULEVARD 5'!V241-'BOULEVARD PPTO'!N236)</f>
        <v>0</v>
      </c>
      <c r="T243" s="760">
        <f>IF(OR($A243="F&amp;F",$A243="CE",T$7="No aplica"),0,'BOULEVARD 5'!W241-'BOULEVARD PPTO'!O236)</f>
        <v>-2000</v>
      </c>
      <c r="U243" s="760">
        <f>IF(OR($A243="F&amp;F",$A243="CE",U$7="No aplica"),0,'BOULEVARD 5'!X241-'BOULEVARD PPTO'!P236)</f>
        <v>0</v>
      </c>
      <c r="V243" s="760">
        <f>IF(OR($A243="F&amp;F",$A243="CE",V$7="No aplica"),0,'BOULEVARD 5'!Y241-'BOULEVARD PPTO'!Q236)</f>
        <v>0</v>
      </c>
      <c r="W243" s="760">
        <f>IF(OR($A243="F&amp;F",$A243="CE",W$7="No aplica"),0,'BOULEVARD 5'!Z241-'BOULEVARD PPTO'!R236)</f>
        <v>2000</v>
      </c>
      <c r="X243" s="760">
        <f>IF(OR($A243="F&amp;F",$A243="CE",X$7="No aplica"),0,'BOULEVARD 5'!AA241-'BOULEVARD PPTO'!S236)</f>
        <v>4000</v>
      </c>
      <c r="Y243" s="760">
        <f>IF(OR($A243="F&amp;F",$A243="CE",Y$7="No aplica"),0,'BOULEVARD 5'!AB241-'BOULEVARD PPTO'!T236)</f>
        <v>0</v>
      </c>
      <c r="Z243" s="760">
        <f>IF(OR($A243="F&amp;F",$A243="CE",Z$7="No aplica"),0,'BOULEVARD 5'!AC241-'BOULEVARD PPTO'!U236)</f>
        <v>0</v>
      </c>
      <c r="AA243" s="760">
        <f>IF(OR($A243="F&amp;F",$A243="CE",AA$7="No aplica"),0,'BOULEVARD 5'!AD241-'BOULEVARD PPTO'!V236)</f>
        <v>0</v>
      </c>
      <c r="AB243" s="760">
        <f>IF(OR($A243="F&amp;F",$A243="CE",AB$7="No aplica"),0,'BOULEVARD 5'!AE241-'BOULEVARD PPTO'!W236)</f>
        <v>0</v>
      </c>
      <c r="AC243" s="760">
        <f>IF(OR($A243="F&amp;F",$A243="CE",AC$7="No aplica"),0,'BOULEVARD 5'!AF241-'BOULEVARD PPTO'!X236)</f>
        <v>0</v>
      </c>
      <c r="AD243" s="760">
        <f>IF(OR($A243="F&amp;F",$A243="CE",AD$7="No aplica"),0,'BOULEVARD 5'!AG241-'BOULEVARD PPTO'!Y236)</f>
        <v>2000</v>
      </c>
      <c r="AE243" s="760">
        <f>IF(OR($A243="F&amp;F",$A243="CE",AE$7="No aplica"),0,'BOULEVARD 5'!AH241-'BOULEVARD PPTO'!Z236)</f>
        <v>0</v>
      </c>
      <c r="AF243" s="760">
        <f>IF(OR($A243="F&amp;F",$A243="CE",AF$7="No aplica"),0,'BOULEVARD 5'!AI241-'BOULEVARD PPTO'!AA236)</f>
        <v>0</v>
      </c>
      <c r="AG243" s="760">
        <f>IF(OR($A243="F&amp;F",$A243="CE",AG$7="No aplica"),0,'BOULEVARD 5'!AJ241-'BOULEVARD PPTO'!AB236)</f>
        <v>-2000</v>
      </c>
      <c r="AH243" s="760">
        <f>IF(OR($A243="F&amp;F",$A243="CE",AH$7="No aplica"),0,'BOULEVARD 5'!AK241-'BOULEVARD PPTO'!AC236)</f>
        <v>0</v>
      </c>
      <c r="AI243" s="760">
        <f>IF(OR($A243="F&amp;F",$A243="CE",AI$7="No aplica"),0,'BOULEVARD 5'!AL241-'BOULEVARD PPTO'!AD236)</f>
        <v>0</v>
      </c>
      <c r="AJ243" s="760">
        <f>IF(OR($A243="F&amp;F",$A243="CE",AJ$7="No aplica"),0,'BOULEVARD 5'!AM241-'BOULEVARD PPTO'!AE236)</f>
        <v>-2000</v>
      </c>
      <c r="AK243" s="760">
        <f>IF(OR($A243="F&amp;F",$A243="CE",AK$7="No aplica"),0,'BOULEVARD 5'!AN241-'BOULEVARD PPTO'!AF236)</f>
        <v>0</v>
      </c>
      <c r="AL243" s="760">
        <f>IF(OR($A243="F&amp;F",$A243="CE",AL$7="No aplica"),0,'BOULEVARD 5'!AO241-'BOULEVARD PPTO'!AG236)</f>
        <v>-2700</v>
      </c>
      <c r="AM243" s="760">
        <f>IF(OR($A243="F&amp;F",$A243="CE",AM$7="No aplica"),0,'BOULEVARD 5'!AP241-'BOULEVARD PPTO'!AH236)</f>
        <v>0</v>
      </c>
      <c r="AN243" s="760">
        <f>IF(OR($A243="F&amp;F",$A243="CE",AN$7="No aplica"),0,'BOULEVARD 5'!AQ241-'BOULEVARD PPTO'!AI236)</f>
        <v>0</v>
      </c>
      <c r="AO243" s="760">
        <f>IF(OR($A243="F&amp;F",$A243="CE",AO$7="No aplica"),0,'BOULEVARD 5'!AS241-'BOULEVARD PPTO'!AJ236)</f>
        <v>0</v>
      </c>
      <c r="AP243" s="761">
        <f t="shared" si="23"/>
        <v>-6700</v>
      </c>
      <c r="AQ243" s="761">
        <f t="shared" si="24"/>
        <v>-700</v>
      </c>
      <c r="AR243" s="674">
        <f>IF(A243=0,'BOULEVARD 5'!BF241,0)</f>
        <v>6000</v>
      </c>
      <c r="AS243" s="674">
        <f>IF(A243=0,'BOULEVARD 5'!BG241,0)</f>
        <v>2000</v>
      </c>
      <c r="AT243" s="675" t="str">
        <f t="shared" si="22"/>
        <v>Vendido</v>
      </c>
      <c r="AU243" s="581" t="str">
        <f t="shared" si="26"/>
        <v>POR COBRAR</v>
      </c>
      <c r="AV243" s="760">
        <f t="shared" si="25"/>
        <v>0</v>
      </c>
    </row>
    <row r="244" spans="1:48" s="581" customFormat="1" ht="12.4" customHeight="1" outlineLevel="1" x14ac:dyDescent="0.25">
      <c r="A244" s="703">
        <f>'BOULEVARD 5'!BQ242</f>
        <v>0</v>
      </c>
      <c r="B244" s="564">
        <v>1313</v>
      </c>
      <c r="C244" s="564" t="s">
        <v>181</v>
      </c>
      <c r="D244" s="564"/>
      <c r="E244" s="564" t="str">
        <f>IF('BOULEVARD 5'!E242&lt;&gt;0,'BOULEVARD 5'!E242,"")</f>
        <v>Jose Franco</v>
      </c>
      <c r="F244" s="581" t="str">
        <f>IF('BOULEVARD 5'!F242&lt;&gt;0,'BOULEVARD 5'!F242,"")</f>
        <v>Marcas &amp; Secretos, S.A.</v>
      </c>
      <c r="G244" s="566">
        <f>IF('BOULEVARD 5'!G242="","",'BOULEVARD 5'!G242)</f>
        <v>45021</v>
      </c>
      <c r="H244" s="756">
        <f>IF(OR($A244="F&amp;F",$A244="CE",H$7="No aplica"),0,'BOULEVARD 5'!K242-'BOULEVARD PPTO'!C237)</f>
        <v>0</v>
      </c>
      <c r="I244" s="756">
        <f>IF(OR($A244="F&amp;F",$A244="CE",I$7="No aplica"),0,'BOULEVARD 5'!L242-'BOULEVARD PPTO'!D237)</f>
        <v>0</v>
      </c>
      <c r="J244" s="756">
        <f>IF(OR($A244="F&amp;F",$A244="CE",J$7="No aplica"),0,'BOULEVARD 5'!M242-'BOULEVARD PPTO'!E237)</f>
        <v>0</v>
      </c>
      <c r="K244" s="756">
        <f>IF(OR($A244="F&amp;F",$A244="CE",K$7="No aplica"),0,'BOULEVARD 5'!N242-'BOULEVARD PPTO'!F237)</f>
        <v>0</v>
      </c>
      <c r="L244" s="756">
        <f>IF(OR($A244="F&amp;F",$A244="CE",L$7="No aplica"),0,'BOULEVARD 5'!O242-'BOULEVARD PPTO'!G237)</f>
        <v>0</v>
      </c>
      <c r="M244" s="756">
        <f>IF(OR($A244="F&amp;F",$A244="CE",M$7="No aplica"),0,'BOULEVARD 5'!P242-'BOULEVARD PPTO'!H237)</f>
        <v>0</v>
      </c>
      <c r="N244" s="756">
        <f>IF(OR($A244="F&amp;F",$A244="CE",N$7="No aplica"),0,'BOULEVARD 5'!Q242-'BOULEVARD PPTO'!I237)</f>
        <v>0</v>
      </c>
      <c r="O244" s="756">
        <f>IF(OR($A244="F&amp;F",$A244="CE",O$7="No aplica"),0,'BOULEVARD 5'!R242-'BOULEVARD PPTO'!J237)</f>
        <v>0</v>
      </c>
      <c r="P244" s="756">
        <f>IF(OR($A244="F&amp;F",$A244="CE",P$7="No aplica"),0,'BOULEVARD 5'!S242-'BOULEVARD PPTO'!K237)</f>
        <v>0</v>
      </c>
      <c r="Q244" s="760">
        <f>IF(OR($A244="F&amp;F",$A244="CE",Q$7="No aplica"),0,'BOULEVARD 5'!T242-'BOULEVARD PPTO'!L237)</f>
        <v>0</v>
      </c>
      <c r="R244" s="760">
        <f>IF(OR($A244="F&amp;F",$A244="CE",R$7="No aplica"),0,'BOULEVARD 5'!U242-'BOULEVARD PPTO'!M237)</f>
        <v>0</v>
      </c>
      <c r="S244" s="760">
        <f>IF(OR($A244="F&amp;F",$A244="CE",S$7="No aplica"),0,'BOULEVARD 5'!V242-'BOULEVARD PPTO'!N237)</f>
        <v>0</v>
      </c>
      <c r="T244" s="760">
        <f>IF(OR($A244="F&amp;F",$A244="CE",T$7="No aplica"),0,'BOULEVARD 5'!W242-'BOULEVARD PPTO'!O237)</f>
        <v>0</v>
      </c>
      <c r="U244" s="760">
        <f>IF(OR($A244="F&amp;F",$A244="CE",U$7="No aplica"),0,'BOULEVARD 5'!X242-'BOULEVARD PPTO'!P237)</f>
        <v>0</v>
      </c>
      <c r="V244" s="760">
        <f>IF(OR($A244="F&amp;F",$A244="CE",V$7="No aplica"),0,'BOULEVARD 5'!Y242-'BOULEVARD PPTO'!Q237)</f>
        <v>0</v>
      </c>
      <c r="W244" s="760">
        <f>IF(OR($A244="F&amp;F",$A244="CE",W$7="No aplica"),0,'BOULEVARD 5'!Z242-'BOULEVARD PPTO'!R237)</f>
        <v>0</v>
      </c>
      <c r="X244" s="760">
        <f>IF(OR($A244="F&amp;F",$A244="CE",X$7="No aplica"),0,'BOULEVARD 5'!AA242-'BOULEVARD PPTO'!S237)</f>
        <v>0</v>
      </c>
      <c r="Y244" s="760">
        <f>IF(OR($A244="F&amp;F",$A244="CE",Y$7="No aplica"),0,'BOULEVARD 5'!AB242-'BOULEVARD PPTO'!T237)</f>
        <v>-2000</v>
      </c>
      <c r="Z244" s="760">
        <f>IF(OR($A244="F&amp;F",$A244="CE",Z$7="No aplica"),0,'BOULEVARD 5'!AC242-'BOULEVARD PPTO'!U237)</f>
        <v>2000</v>
      </c>
      <c r="AA244" s="760">
        <f>IF(OR($A244="F&amp;F",$A244="CE",AA$7="No aplica"),0,'BOULEVARD 5'!AD242-'BOULEVARD PPTO'!V237)</f>
        <v>0</v>
      </c>
      <c r="AB244" s="760">
        <f>IF(OR($A244="F&amp;F",$A244="CE",AB$7="No aplica"),0,'BOULEVARD 5'!AE242-'BOULEVARD PPTO'!W237)</f>
        <v>0</v>
      </c>
      <c r="AC244" s="760">
        <f>IF(OR($A244="F&amp;F",$A244="CE",AC$7="No aplica"),0,'BOULEVARD 5'!AF242-'BOULEVARD PPTO'!X237)</f>
        <v>0</v>
      </c>
      <c r="AD244" s="760">
        <f>IF(OR($A244="F&amp;F",$A244="CE",AD$7="No aplica"),0,'BOULEVARD 5'!AG242-'BOULEVARD PPTO'!Y237)</f>
        <v>-2000</v>
      </c>
      <c r="AE244" s="760">
        <f>IF(OR($A244="F&amp;F",$A244="CE",AE$7="No aplica"),0,'BOULEVARD 5'!AH242-'BOULEVARD PPTO'!Z237)</f>
        <v>2000</v>
      </c>
      <c r="AF244" s="760">
        <f>IF(OR($A244="F&amp;F",$A244="CE",AF$7="No aplica"),0,'BOULEVARD 5'!AI242-'BOULEVARD PPTO'!AA237)</f>
        <v>0</v>
      </c>
      <c r="AG244" s="760">
        <f>IF(OR($A244="F&amp;F",$A244="CE",AG$7="No aplica"),0,'BOULEVARD 5'!AJ242-'BOULEVARD PPTO'!AB237)</f>
        <v>0</v>
      </c>
      <c r="AH244" s="760">
        <f>IF(OR($A244="F&amp;F",$A244="CE",AH$7="No aplica"),0,'BOULEVARD 5'!AK242-'BOULEVARD PPTO'!AC237)</f>
        <v>0</v>
      </c>
      <c r="AI244" s="760">
        <f>IF(OR($A244="F&amp;F",$A244="CE",AI$7="No aplica"),0,'BOULEVARD 5'!AL242-'BOULEVARD PPTO'!AD237)</f>
        <v>0</v>
      </c>
      <c r="AJ244" s="760">
        <f>IF(OR($A244="F&amp;F",$A244="CE",AJ$7="No aplica"),0,'BOULEVARD 5'!AM242-'BOULEVARD PPTO'!AE237)</f>
        <v>0</v>
      </c>
      <c r="AK244" s="760">
        <f>IF(OR($A244="F&amp;F",$A244="CE",AK$7="No aplica"),0,'BOULEVARD 5'!AN242-'BOULEVARD PPTO'!AF237)</f>
        <v>0</v>
      </c>
      <c r="AL244" s="760">
        <f>IF(OR($A244="F&amp;F",$A244="CE",AL$7="No aplica"),0,'BOULEVARD 5'!AO242-'BOULEVARD PPTO'!AG237)</f>
        <v>0</v>
      </c>
      <c r="AM244" s="760">
        <f>IF(OR($A244="F&amp;F",$A244="CE",AM$7="No aplica"),0,'BOULEVARD 5'!AP242-'BOULEVARD PPTO'!AH237)</f>
        <v>0</v>
      </c>
      <c r="AN244" s="760">
        <f>IF(OR($A244="F&amp;F",$A244="CE",AN$7="No aplica"),0,'BOULEVARD 5'!AQ242-'BOULEVARD PPTO'!AI237)</f>
        <v>0</v>
      </c>
      <c r="AO244" s="760">
        <f>IF(OR($A244="F&amp;F",$A244="CE",AO$7="No aplica"),0,'BOULEVARD 5'!AS242-'BOULEVARD PPTO'!AJ237)</f>
        <v>0</v>
      </c>
      <c r="AP244" s="761">
        <f t="shared" si="23"/>
        <v>0</v>
      </c>
      <c r="AQ244" s="761">
        <f t="shared" si="24"/>
        <v>0</v>
      </c>
      <c r="AR244" s="674">
        <f>IF(A244=0,'BOULEVARD 5'!BF242,0)</f>
        <v>6000</v>
      </c>
      <c r="AS244" s="674">
        <f>IF(A244=0,'BOULEVARD 5'!BG242,0)</f>
        <v>2000</v>
      </c>
      <c r="AT244" s="675" t="str">
        <f t="shared" si="22"/>
        <v>Vendido</v>
      </c>
      <c r="AU244" s="581" t="str">
        <f t="shared" si="26"/>
        <v/>
      </c>
      <c r="AV244" s="760">
        <f t="shared" si="25"/>
        <v>0</v>
      </c>
    </row>
    <row r="245" spans="1:48" s="581" customFormat="1" ht="12.4" customHeight="1" outlineLevel="1" x14ac:dyDescent="0.25">
      <c r="A245" s="703">
        <f>'BOULEVARD 5'!BQ243</f>
        <v>0</v>
      </c>
      <c r="B245" s="564">
        <v>1314</v>
      </c>
      <c r="C245" s="564" t="s">
        <v>611</v>
      </c>
      <c r="D245" s="564"/>
      <c r="E245" s="564" t="str">
        <f>IF('BOULEVARD 5'!E243&lt;&gt;0,'BOULEVARD 5'!E243,"")</f>
        <v>Brenda Búcaro</v>
      </c>
      <c r="F245" s="581" t="str">
        <f>IF('BOULEVARD 5'!F243&lt;&gt;0,'BOULEVARD 5'!F243,"")</f>
        <v>Sidney Alexander Osorio Montufar</v>
      </c>
      <c r="G245" s="566">
        <f>IF('BOULEVARD 5'!G243="","",'BOULEVARD 5'!G243)</f>
        <v>45005</v>
      </c>
      <c r="H245" s="756">
        <f>IF(OR($A245="F&amp;F",$A245="CE",H$7="No aplica"),0,'BOULEVARD 5'!K243-'BOULEVARD PPTO'!C238)</f>
        <v>0</v>
      </c>
      <c r="I245" s="756">
        <f>IF(OR($A245="F&amp;F",$A245="CE",I$7="No aplica"),0,'BOULEVARD 5'!L243-'BOULEVARD PPTO'!D238)</f>
        <v>0</v>
      </c>
      <c r="J245" s="756">
        <f>IF(OR($A245="F&amp;F",$A245="CE",J$7="No aplica"),0,'BOULEVARD 5'!M243-'BOULEVARD PPTO'!E238)</f>
        <v>0</v>
      </c>
      <c r="K245" s="756">
        <f>IF(OR($A245="F&amp;F",$A245="CE",K$7="No aplica"),0,'BOULEVARD 5'!N243-'BOULEVARD PPTO'!F238)</f>
        <v>0</v>
      </c>
      <c r="L245" s="756">
        <f>IF(OR($A245="F&amp;F",$A245="CE",L$7="No aplica"),0,'BOULEVARD 5'!O243-'BOULEVARD PPTO'!G238)</f>
        <v>0</v>
      </c>
      <c r="M245" s="756">
        <f>IF(OR($A245="F&amp;F",$A245="CE",M$7="No aplica"),0,'BOULEVARD 5'!P243-'BOULEVARD PPTO'!H238)</f>
        <v>0</v>
      </c>
      <c r="N245" s="756">
        <f>IF(OR($A245="F&amp;F",$A245="CE",N$7="No aplica"),0,'BOULEVARD 5'!Q243-'BOULEVARD PPTO'!I238)</f>
        <v>0</v>
      </c>
      <c r="O245" s="756">
        <f>IF(OR($A245="F&amp;F",$A245="CE",O$7="No aplica"),0,'BOULEVARD 5'!R243-'BOULEVARD PPTO'!J238)</f>
        <v>0</v>
      </c>
      <c r="P245" s="756">
        <f>IF(OR($A245="F&amp;F",$A245="CE",P$7="No aplica"),0,'BOULEVARD 5'!S243-'BOULEVARD PPTO'!K238)</f>
        <v>0</v>
      </c>
      <c r="Q245" s="760">
        <f>IF(OR($A245="F&amp;F",$A245="CE",Q$7="No aplica"),0,'BOULEVARD 5'!T243-'BOULEVARD PPTO'!L238)</f>
        <v>0</v>
      </c>
      <c r="R245" s="760">
        <f>IF(OR($A245="F&amp;F",$A245="CE",R$7="No aplica"),0,'BOULEVARD 5'!U243-'BOULEVARD PPTO'!M238)</f>
        <v>0</v>
      </c>
      <c r="S245" s="760">
        <f>IF(OR($A245="F&amp;F",$A245="CE",S$7="No aplica"),0,'BOULEVARD 5'!V243-'BOULEVARD PPTO'!N238)</f>
        <v>0</v>
      </c>
      <c r="T245" s="760">
        <f>IF(OR($A245="F&amp;F",$A245="CE",T$7="No aplica"),0,'BOULEVARD 5'!W243-'BOULEVARD PPTO'!O238)</f>
        <v>0</v>
      </c>
      <c r="U245" s="760">
        <f>IF(OR($A245="F&amp;F",$A245="CE",U$7="No aplica"),0,'BOULEVARD 5'!X243-'BOULEVARD PPTO'!P238)</f>
        <v>0</v>
      </c>
      <c r="V245" s="760">
        <f>IF(OR($A245="F&amp;F",$A245="CE",V$7="No aplica"),0,'BOULEVARD 5'!Y243-'BOULEVARD PPTO'!Q238)</f>
        <v>0</v>
      </c>
      <c r="W245" s="760">
        <f>IF(OR($A245="F&amp;F",$A245="CE",W$7="No aplica"),0,'BOULEVARD 5'!Z243-'BOULEVARD PPTO'!R238)</f>
        <v>0</v>
      </c>
      <c r="X245" s="760">
        <f>IF(OR($A245="F&amp;F",$A245="CE",X$7="No aplica"),0,'BOULEVARD 5'!AA243-'BOULEVARD PPTO'!S238)</f>
        <v>0</v>
      </c>
      <c r="Y245" s="760">
        <f>IF(OR($A245="F&amp;F",$A245="CE",Y$7="No aplica"),0,'BOULEVARD 5'!AB243-'BOULEVARD PPTO'!T238)</f>
        <v>0</v>
      </c>
      <c r="Z245" s="760">
        <f>IF(OR($A245="F&amp;F",$A245="CE",Z$7="No aplica"),0,'BOULEVARD 5'!AC243-'BOULEVARD PPTO'!U238)</f>
        <v>0</v>
      </c>
      <c r="AA245" s="760">
        <f>IF(OR($A245="F&amp;F",$A245="CE",AA$7="No aplica"),0,'BOULEVARD 5'!AD243-'BOULEVARD PPTO'!V238)</f>
        <v>0</v>
      </c>
      <c r="AB245" s="760">
        <f>IF(OR($A245="F&amp;F",$A245="CE",AB$7="No aplica"),0,'BOULEVARD 5'!AE243-'BOULEVARD PPTO'!W238)</f>
        <v>0</v>
      </c>
      <c r="AC245" s="760">
        <f>IF(OR($A245="F&amp;F",$A245="CE",AC$7="No aplica"),0,'BOULEVARD 5'!AF243-'BOULEVARD PPTO'!X238)</f>
        <v>0</v>
      </c>
      <c r="AD245" s="760">
        <f>IF(OR($A245="F&amp;F",$A245="CE",AD$7="No aplica"),0,'BOULEVARD 5'!AG243-'BOULEVARD PPTO'!Y238)</f>
        <v>0</v>
      </c>
      <c r="AE245" s="760">
        <f>IF(OR($A245="F&amp;F",$A245="CE",AE$7="No aplica"),0,'BOULEVARD 5'!AH243-'BOULEVARD PPTO'!Z238)</f>
        <v>0</v>
      </c>
      <c r="AF245" s="760">
        <f>IF(OR($A245="F&amp;F",$A245="CE",AF$7="No aplica"),0,'BOULEVARD 5'!AI243-'BOULEVARD PPTO'!AA238)</f>
        <v>0</v>
      </c>
      <c r="AG245" s="760">
        <f>IF(OR($A245="F&amp;F",$A245="CE",AG$7="No aplica"),0,'BOULEVARD 5'!AJ243-'BOULEVARD PPTO'!AB238)</f>
        <v>0</v>
      </c>
      <c r="AH245" s="760">
        <f>IF(OR($A245="F&amp;F",$A245="CE",AH$7="No aplica"),0,'BOULEVARD 5'!AK243-'BOULEVARD PPTO'!AC238)</f>
        <v>0</v>
      </c>
      <c r="AI245" s="760">
        <f>IF(OR($A245="F&amp;F",$A245="CE",AI$7="No aplica"),0,'BOULEVARD 5'!AL243-'BOULEVARD PPTO'!AD238)</f>
        <v>0</v>
      </c>
      <c r="AJ245" s="760">
        <f>IF(OR($A245="F&amp;F",$A245="CE",AJ$7="No aplica"),0,'BOULEVARD 5'!AM243-'BOULEVARD PPTO'!AE238)</f>
        <v>0</v>
      </c>
      <c r="AK245" s="760">
        <f>IF(OR($A245="F&amp;F",$A245="CE",AK$7="No aplica"),0,'BOULEVARD 5'!AN243-'BOULEVARD PPTO'!AF238)</f>
        <v>0</v>
      </c>
      <c r="AL245" s="760">
        <f>IF(OR($A245="F&amp;F",$A245="CE",AL$7="No aplica"),0,'BOULEVARD 5'!AO243-'BOULEVARD PPTO'!AG238)</f>
        <v>0</v>
      </c>
      <c r="AM245" s="760">
        <f>IF(OR($A245="F&amp;F",$A245="CE",AM$7="No aplica"),0,'BOULEVARD 5'!AP243-'BOULEVARD PPTO'!AH238)</f>
        <v>0</v>
      </c>
      <c r="AN245" s="760">
        <f>IF(OR($A245="F&amp;F",$A245="CE",AN$7="No aplica"),0,'BOULEVARD 5'!AQ243-'BOULEVARD PPTO'!AI238)</f>
        <v>0</v>
      </c>
      <c r="AO245" s="760">
        <f>IF(OR($A245="F&amp;F",$A245="CE",AO$7="No aplica"),0,'BOULEVARD 5'!AS243-'BOULEVARD PPTO'!AJ238)</f>
        <v>0</v>
      </c>
      <c r="AP245" s="761">
        <f t="shared" si="23"/>
        <v>0</v>
      </c>
      <c r="AQ245" s="761">
        <f t="shared" si="24"/>
        <v>-21400</v>
      </c>
      <c r="AR245" s="674">
        <f>IF(A245=0,'BOULEVARD 5'!BF243,0)</f>
        <v>6000</v>
      </c>
      <c r="AS245" s="674">
        <f>IF(A245=0,'BOULEVARD 5'!BG243,0)</f>
        <v>1300</v>
      </c>
      <c r="AT245" s="675" t="str">
        <f t="shared" si="22"/>
        <v>Vendido</v>
      </c>
      <c r="AU245" s="581" t="str">
        <f t="shared" si="26"/>
        <v/>
      </c>
      <c r="AV245" s="760">
        <f t="shared" si="25"/>
        <v>0</v>
      </c>
    </row>
    <row r="246" spans="1:48" s="563" customFormat="1" ht="12.4" customHeight="1" outlineLevel="1" x14ac:dyDescent="0.25">
      <c r="A246" s="703">
        <f>'BOULEVARD 5'!BQ244</f>
        <v>0</v>
      </c>
      <c r="B246" s="713">
        <v>1315</v>
      </c>
      <c r="C246" s="565" t="s">
        <v>400</v>
      </c>
      <c r="D246" s="565"/>
      <c r="E246" s="564" t="str">
        <f>IF('BOULEVARD 5'!E244&lt;&gt;0,'BOULEVARD 5'!E244,"")</f>
        <v>Anahí Cisneros</v>
      </c>
      <c r="F246" s="563" t="str">
        <f>IF('BOULEVARD 5'!F244&lt;&gt;0,'BOULEVARD 5'!F244,"")</f>
        <v>Alan Gonzalez Choc</v>
      </c>
      <c r="G246" s="566">
        <f>IF('BOULEVARD 5'!G244="","",'BOULEVARD 5'!G244)</f>
        <v>45856</v>
      </c>
      <c r="H246" s="756">
        <f>IF(OR($A246="F&amp;F",$A246="CE",H$7="No aplica"),0,'BOULEVARD 5'!K244-'BOULEVARD PPTO'!C239)</f>
        <v>0</v>
      </c>
      <c r="I246" s="756">
        <f>IF(OR($A246="F&amp;F",$A246="CE",I$7="No aplica"),0,'BOULEVARD 5'!L244-'BOULEVARD PPTO'!D239)</f>
        <v>0</v>
      </c>
      <c r="J246" s="756">
        <f>IF(OR($A246="F&amp;F",$A246="CE",J$7="No aplica"),0,'BOULEVARD 5'!M244-'BOULEVARD PPTO'!E239)</f>
        <v>0</v>
      </c>
      <c r="K246" s="756">
        <f>IF(OR($A246="F&amp;F",$A246="CE",K$7="No aplica"),0,'BOULEVARD 5'!N244-'BOULEVARD PPTO'!F239)</f>
        <v>0</v>
      </c>
      <c r="L246" s="756">
        <f>IF(OR($A246="F&amp;F",$A246="CE",L$7="No aplica"),0,'BOULEVARD 5'!O244-'BOULEVARD PPTO'!G239)</f>
        <v>0</v>
      </c>
      <c r="M246" s="756">
        <f>IF(OR($A246="F&amp;F",$A246="CE",M$7="No aplica"),0,'BOULEVARD 5'!P244-'BOULEVARD PPTO'!H239)</f>
        <v>0</v>
      </c>
      <c r="N246" s="756">
        <f>IF(OR($A246="F&amp;F",$A246="CE",N$7="No aplica"),0,'BOULEVARD 5'!Q244-'BOULEVARD PPTO'!I239)</f>
        <v>0</v>
      </c>
      <c r="O246" s="756">
        <f>IF(OR($A246="F&amp;F",$A246="CE",O$7="No aplica"),0,'BOULEVARD 5'!R244-'BOULEVARD PPTO'!J239)</f>
        <v>0</v>
      </c>
      <c r="P246" s="756">
        <f>IF(OR($A246="F&amp;F",$A246="CE",P$7="No aplica"),0,'BOULEVARD 5'!S244-'BOULEVARD PPTO'!K239)</f>
        <v>0</v>
      </c>
      <c r="Q246" s="760">
        <f>IF(OR($A246="F&amp;F",$A246="CE",Q$7="No aplica"),0,'BOULEVARD 5'!T244-'BOULEVARD PPTO'!L239)</f>
        <v>0</v>
      </c>
      <c r="R246" s="760">
        <f>IF(OR($A246="F&amp;F",$A246="CE",R$7="No aplica"),0,'BOULEVARD 5'!U244-'BOULEVARD PPTO'!M239)</f>
        <v>0</v>
      </c>
      <c r="S246" s="760">
        <f>IF(OR($A246="F&amp;F",$A246="CE",S$7="No aplica"),0,'BOULEVARD 5'!V244-'BOULEVARD PPTO'!N239)</f>
        <v>0</v>
      </c>
      <c r="T246" s="760">
        <f>IF(OR($A246="F&amp;F",$A246="CE",T$7="No aplica"),0,'BOULEVARD 5'!W244-'BOULEVARD PPTO'!O239)</f>
        <v>0</v>
      </c>
      <c r="U246" s="760">
        <f>IF(OR($A246="F&amp;F",$A246="CE",U$7="No aplica"),0,'BOULEVARD 5'!X244-'BOULEVARD PPTO'!P239)</f>
        <v>0</v>
      </c>
      <c r="V246" s="760">
        <f>IF(OR($A246="F&amp;F",$A246="CE",V$7="No aplica"),0,'BOULEVARD 5'!Y244-'BOULEVARD PPTO'!Q239)</f>
        <v>0</v>
      </c>
      <c r="W246" s="760">
        <f>IF(OR($A246="F&amp;F",$A246="CE",W$7="No aplica"),0,'BOULEVARD 5'!Z244-'BOULEVARD PPTO'!R239)</f>
        <v>0</v>
      </c>
      <c r="X246" s="760">
        <f>IF(OR($A246="F&amp;F",$A246="CE",X$7="No aplica"),0,'BOULEVARD 5'!AA244-'BOULEVARD PPTO'!S239)</f>
        <v>0</v>
      </c>
      <c r="Y246" s="760">
        <f>IF(OR($A246="F&amp;F",$A246="CE",Y$7="No aplica"),0,'BOULEVARD 5'!AB244-'BOULEVARD PPTO'!T239)</f>
        <v>0</v>
      </c>
      <c r="Z246" s="760">
        <f>IF(OR($A246="F&amp;F",$A246="CE",Z$7="No aplica"),0,'BOULEVARD 5'!AC244-'BOULEVARD PPTO'!U239)</f>
        <v>0</v>
      </c>
      <c r="AA246" s="760">
        <f>IF(OR($A246="F&amp;F",$A246="CE",AA$7="No aplica"),0,'BOULEVARD 5'!AD244-'BOULEVARD PPTO'!V239)</f>
        <v>0</v>
      </c>
      <c r="AB246" s="760">
        <f>IF(OR($A246="F&amp;F",$A246="CE",AB$7="No aplica"),0,'BOULEVARD 5'!AE244-'BOULEVARD PPTO'!W239)</f>
        <v>0</v>
      </c>
      <c r="AC246" s="760">
        <f>IF(OR($A246="F&amp;F",$A246="CE",AC$7="No aplica"),0,'BOULEVARD 5'!AF244-'BOULEVARD PPTO'!X239)</f>
        <v>0</v>
      </c>
      <c r="AD246" s="760">
        <f>IF(OR($A246="F&amp;F",$A246="CE",AD$7="No aplica"),0,'BOULEVARD 5'!AG244-'BOULEVARD PPTO'!Y239)</f>
        <v>0</v>
      </c>
      <c r="AE246" s="760">
        <f>IF(OR($A246="F&amp;F",$A246="CE",AE$7="No aplica"),0,'BOULEVARD 5'!AH244-'BOULEVARD PPTO'!Z239)</f>
        <v>0</v>
      </c>
      <c r="AF246" s="760">
        <f>IF(OR($A246="F&amp;F",$A246="CE",AF$7="No aplica"),0,'BOULEVARD 5'!AI244-'BOULEVARD PPTO'!AA239)</f>
        <v>0</v>
      </c>
      <c r="AG246" s="760">
        <f>IF(OR($A246="F&amp;F",$A246="CE",AG$7="No aplica"),0,'BOULEVARD 5'!AJ244-'BOULEVARD PPTO'!AB239)</f>
        <v>0</v>
      </c>
      <c r="AH246" s="760">
        <f>IF(OR($A246="F&amp;F",$A246="CE",AH$7="No aplica"),0,'BOULEVARD 5'!AK244-'BOULEVARD PPTO'!AC239)</f>
        <v>0</v>
      </c>
      <c r="AI246" s="760">
        <f>IF(OR($A246="F&amp;F",$A246="CE",AI$7="No aplica"),0,'BOULEVARD 5'!AL244-'BOULEVARD PPTO'!AD239)</f>
        <v>0</v>
      </c>
      <c r="AJ246" s="760">
        <f>IF(OR($A246="F&amp;F",$A246="CE",AJ$7="No aplica"),0,'BOULEVARD 5'!AM244-'BOULEVARD PPTO'!AE239)</f>
        <v>0</v>
      </c>
      <c r="AK246" s="760">
        <f>IF(OR($A246="F&amp;F",$A246="CE",AK$7="No aplica"),0,'BOULEVARD 5'!AN244-'BOULEVARD PPTO'!AF239)</f>
        <v>-32100</v>
      </c>
      <c r="AL246" s="760">
        <f>IF(OR($A246="F&amp;F",$A246="CE",AL$7="No aplica"),0,'BOULEVARD 5'!AO244-'BOULEVARD PPTO'!AG239)</f>
        <v>0</v>
      </c>
      <c r="AM246" s="760">
        <f>IF(OR($A246="F&amp;F",$A246="CE",AM$7="No aplica"),0,'BOULEVARD 5'!AP244-'BOULEVARD PPTO'!AH239)</f>
        <v>0</v>
      </c>
      <c r="AN246" s="760">
        <f>IF(OR($A246="F&amp;F",$A246="CE",AN$7="No aplica"),0,'BOULEVARD 5'!AQ244-'BOULEVARD PPTO'!AI239)</f>
        <v>0</v>
      </c>
      <c r="AO246" s="760">
        <f>IF(OR($A246="F&amp;F",$A246="CE",AO$7="No aplica"),0,'BOULEVARD 5'!AS244-'BOULEVARD PPTO'!AJ239)</f>
        <v>0</v>
      </c>
      <c r="AP246" s="761">
        <f t="shared" si="23"/>
        <v>-32100</v>
      </c>
      <c r="AQ246" s="761">
        <f t="shared" si="24"/>
        <v>-375637</v>
      </c>
      <c r="AR246" s="674">
        <f>IF(A246=0,'BOULEVARD 5'!BF244,0)</f>
        <v>536136.98</v>
      </c>
      <c r="AS246" s="674">
        <f>IF(A246=0,'BOULEVARD 5'!BG244,0)</f>
        <v>32100</v>
      </c>
      <c r="AT246" s="675" t="str">
        <f t="shared" si="22"/>
        <v>Vendido</v>
      </c>
      <c r="AU246" s="581" t="str">
        <f t="shared" si="26"/>
        <v>POR COBRAR</v>
      </c>
      <c r="AV246" s="760">
        <f t="shared" si="25"/>
        <v>0</v>
      </c>
    </row>
    <row r="247" spans="1:48" s="581" customFormat="1" ht="12.4" customHeight="1" outlineLevel="1" x14ac:dyDescent="0.25">
      <c r="A247" s="703">
        <f>'BOULEVARD 5'!BQ245</f>
        <v>0</v>
      </c>
      <c r="B247" s="564">
        <v>1316</v>
      </c>
      <c r="C247" s="564" t="s">
        <v>175</v>
      </c>
      <c r="D247" s="564"/>
      <c r="E247" s="564" t="str">
        <f>IF('BOULEVARD 5'!E245&lt;&gt;0,'BOULEVARD 5'!E245,"")</f>
        <v>Antonio Rada</v>
      </c>
      <c r="F247" s="581" t="str">
        <f>IF('BOULEVARD 5'!F245&lt;&gt;0,'BOULEVARD 5'!F245,"")</f>
        <v>Juan Ernesto Vossberg Ordoñez / Sumilab</v>
      </c>
      <c r="G247" s="566">
        <f>IF('BOULEVARD 5'!G245="","",'BOULEVARD 5'!G245)</f>
        <v>45232</v>
      </c>
      <c r="H247" s="756">
        <f>IF(OR($A247="F&amp;F",$A247="CE",H$7="No aplica"),0,'BOULEVARD 5'!K245-'BOULEVARD PPTO'!C240)</f>
        <v>0</v>
      </c>
      <c r="I247" s="756">
        <f>IF(OR($A247="F&amp;F",$A247="CE",I$7="No aplica"),0,'BOULEVARD 5'!L245-'BOULEVARD PPTO'!D240)</f>
        <v>0</v>
      </c>
      <c r="J247" s="756">
        <f>IF(OR($A247="F&amp;F",$A247="CE",J$7="No aplica"),0,'BOULEVARD 5'!M245-'BOULEVARD PPTO'!E240)</f>
        <v>0</v>
      </c>
      <c r="K247" s="756">
        <f>IF(OR($A247="F&amp;F",$A247="CE",K$7="No aplica"),0,'BOULEVARD 5'!N245-'BOULEVARD PPTO'!F240)</f>
        <v>0</v>
      </c>
      <c r="L247" s="756">
        <f>IF(OR($A247="F&amp;F",$A247="CE",L$7="No aplica"),0,'BOULEVARD 5'!O245-'BOULEVARD PPTO'!G240)</f>
        <v>0</v>
      </c>
      <c r="M247" s="756">
        <f>IF(OR($A247="F&amp;F",$A247="CE",M$7="No aplica"),0,'BOULEVARD 5'!P245-'BOULEVARD PPTO'!H240)</f>
        <v>0</v>
      </c>
      <c r="N247" s="756">
        <f>IF(OR($A247="F&amp;F",$A247="CE",N$7="No aplica"),0,'BOULEVARD 5'!Q245-'BOULEVARD PPTO'!I240)</f>
        <v>0</v>
      </c>
      <c r="O247" s="756">
        <f>IF(OR($A247="F&amp;F",$A247="CE",O$7="No aplica"),0,'BOULEVARD 5'!R245-'BOULEVARD PPTO'!J240)</f>
        <v>0</v>
      </c>
      <c r="P247" s="756">
        <f>IF(OR($A247="F&amp;F",$A247="CE",P$7="No aplica"),0,'BOULEVARD 5'!S245-'BOULEVARD PPTO'!K240)</f>
        <v>0</v>
      </c>
      <c r="Q247" s="760">
        <f>IF(OR($A247="F&amp;F",$A247="CE",Q$7="No aplica"),0,'BOULEVARD 5'!T245-'BOULEVARD PPTO'!L240)</f>
        <v>0</v>
      </c>
      <c r="R247" s="760">
        <f>IF(OR($A247="F&amp;F",$A247="CE",R$7="No aplica"),0,'BOULEVARD 5'!U245-'BOULEVARD PPTO'!M240)</f>
        <v>0</v>
      </c>
      <c r="S247" s="760">
        <f>IF(OR($A247="F&amp;F",$A247="CE",S$7="No aplica"),0,'BOULEVARD 5'!V245-'BOULEVARD PPTO'!N240)</f>
        <v>0</v>
      </c>
      <c r="T247" s="760">
        <f>IF(OR($A247="F&amp;F",$A247="CE",T$7="No aplica"),0,'BOULEVARD 5'!W245-'BOULEVARD PPTO'!O240)</f>
        <v>-3636</v>
      </c>
      <c r="U247" s="760">
        <f>IF(OR($A247="F&amp;F",$A247="CE",U$7="No aplica"),0,'BOULEVARD 5'!X245-'BOULEVARD PPTO'!P240)</f>
        <v>3636</v>
      </c>
      <c r="V247" s="760">
        <f>IF(OR($A247="F&amp;F",$A247="CE",V$7="No aplica"),0,'BOULEVARD 5'!Y245-'BOULEVARD PPTO'!Q240)</f>
        <v>-3636</v>
      </c>
      <c r="W247" s="760">
        <f>IF(OR($A247="F&amp;F",$A247="CE",W$7="No aplica"),0,'BOULEVARD 5'!Z245-'BOULEVARD PPTO'!R240)</f>
        <v>-3636</v>
      </c>
      <c r="X247" s="760">
        <f>IF(OR($A247="F&amp;F",$A247="CE",X$7="No aplica"),0,'BOULEVARD 5'!AA245-'BOULEVARD PPTO'!S240)</f>
        <v>-3636</v>
      </c>
      <c r="Y247" s="760">
        <f>IF(OR($A247="F&amp;F",$A247="CE",Y$7="No aplica"),0,'BOULEVARD 5'!AB245-'BOULEVARD PPTO'!T240)</f>
        <v>3636</v>
      </c>
      <c r="Z247" s="760">
        <f>IF(OR($A247="F&amp;F",$A247="CE",Z$7="No aplica"),0,'BOULEVARD 5'!AC245-'BOULEVARD PPTO'!U240)</f>
        <v>10908</v>
      </c>
      <c r="AA247" s="760">
        <f>IF(OR($A247="F&amp;F",$A247="CE",AA$7="No aplica"),0,'BOULEVARD 5'!AD245-'BOULEVARD PPTO'!V240)</f>
        <v>3636</v>
      </c>
      <c r="AB247" s="760">
        <f>IF(OR($A247="F&amp;F",$A247="CE",AB$7="No aplica"),0,'BOULEVARD 5'!AE245-'BOULEVARD PPTO'!W240)</f>
        <v>3636</v>
      </c>
      <c r="AC247" s="760">
        <f>IF(OR($A247="F&amp;F",$A247="CE",AC$7="No aplica"),0,'BOULEVARD 5'!AF245-'BOULEVARD PPTO'!X240)</f>
        <v>-3636</v>
      </c>
      <c r="AD247" s="760">
        <f>IF(OR($A247="F&amp;F",$A247="CE",AD$7="No aplica"),0,'BOULEVARD 5'!AG245-'BOULEVARD PPTO'!Y240)</f>
        <v>-3636</v>
      </c>
      <c r="AE247" s="760">
        <f>IF(OR($A247="F&amp;F",$A247="CE",AE$7="No aplica"),0,'BOULEVARD 5'!AH245-'BOULEVARD PPTO'!Z240)</f>
        <v>-3636</v>
      </c>
      <c r="AF247" s="760">
        <f>IF(OR($A247="F&amp;F",$A247="CE",AF$7="No aplica"),0,'BOULEVARD 5'!AI245-'BOULEVARD PPTO'!AA240)</f>
        <v>0</v>
      </c>
      <c r="AG247" s="760">
        <f>IF(OR($A247="F&amp;F",$A247="CE",AG$7="No aplica"),0,'BOULEVARD 5'!AJ245-'BOULEVARD PPTO'!AB240)</f>
        <v>0</v>
      </c>
      <c r="AH247" s="760">
        <f>IF(OR($A247="F&amp;F",$A247="CE",AH$7="No aplica"),0,'BOULEVARD 5'!AK245-'BOULEVARD PPTO'!AC240)</f>
        <v>0</v>
      </c>
      <c r="AI247" s="760">
        <f>IF(OR($A247="F&amp;F",$A247="CE",AI$7="No aplica"),0,'BOULEVARD 5'!AL245-'BOULEVARD PPTO'!AD240)</f>
        <v>0</v>
      </c>
      <c r="AJ247" s="760">
        <f>IF(OR($A247="F&amp;F",$A247="CE",AJ$7="No aplica"),0,'BOULEVARD 5'!AM245-'BOULEVARD PPTO'!AE240)</f>
        <v>0</v>
      </c>
      <c r="AK247" s="760">
        <f>IF(OR($A247="F&amp;F",$A247="CE",AK$7="No aplica"),0,'BOULEVARD 5'!AN245-'BOULEVARD PPTO'!AF240)</f>
        <v>0</v>
      </c>
      <c r="AL247" s="760">
        <f>IF(OR($A247="F&amp;F",$A247="CE",AL$7="No aplica"),0,'BOULEVARD 5'!AO245-'BOULEVARD PPTO'!AG240)</f>
        <v>-3625.06</v>
      </c>
      <c r="AM247" s="760">
        <f>IF(OR($A247="F&amp;F",$A247="CE",AM$7="No aplica"),0,'BOULEVARD 5'!AP245-'BOULEVARD PPTO'!AH240)</f>
        <v>0</v>
      </c>
      <c r="AN247" s="760">
        <f>IF(OR($A247="F&amp;F",$A247="CE",AN$7="No aplica"),0,'BOULEVARD 5'!AQ245-'BOULEVARD PPTO'!AI240)</f>
        <v>0</v>
      </c>
      <c r="AO247" s="760">
        <f>IF(OR($A247="F&amp;F",$A247="CE",AO$7="No aplica"),0,'BOULEVARD 5'!AS245-'BOULEVARD PPTO'!AJ240)</f>
        <v>0</v>
      </c>
      <c r="AP247" s="761">
        <f t="shared" si="23"/>
        <v>-3625.06</v>
      </c>
      <c r="AQ247" s="761">
        <f t="shared" si="24"/>
        <v>-3625.0599999999977</v>
      </c>
      <c r="AR247" s="674">
        <f>IF(A247=0,'BOULEVARD 5'!BF245,0)</f>
        <v>8000</v>
      </c>
      <c r="AS247" s="674">
        <f>IF(A247=0,'BOULEVARD 5'!BG245,0)</f>
        <v>3636</v>
      </c>
      <c r="AT247" s="675" t="str">
        <f t="shared" si="22"/>
        <v>Vendido</v>
      </c>
      <c r="AU247" s="581" t="str">
        <f t="shared" si="26"/>
        <v>POR COBRAR</v>
      </c>
      <c r="AV247" s="760">
        <f t="shared" si="25"/>
        <v>0</v>
      </c>
    </row>
    <row r="248" spans="1:48" s="581" customFormat="1" ht="12.4" customHeight="1" outlineLevel="1" x14ac:dyDescent="0.25">
      <c r="A248" s="703">
        <f>'BOULEVARD 5'!BQ246</f>
        <v>0</v>
      </c>
      <c r="B248" s="564">
        <v>1317</v>
      </c>
      <c r="C248" s="564" t="s">
        <v>617</v>
      </c>
      <c r="D248" s="564"/>
      <c r="E248" s="564" t="str">
        <f>IF('BOULEVARD 5'!E246&lt;&gt;0,'BOULEVARD 5'!E246,"")</f>
        <v>Antonio Rada</v>
      </c>
      <c r="F248" s="581" t="str">
        <f>IF('BOULEVARD 5'!F246&lt;&gt;0,'BOULEVARD 5'!F246,"")</f>
        <v>Marcos David Boror Alpirez</v>
      </c>
      <c r="G248" s="566">
        <f>IF('BOULEVARD 5'!G246="","",'BOULEVARD 5'!G246)</f>
        <v>45525</v>
      </c>
      <c r="H248" s="756">
        <f>IF(OR($A248="F&amp;F",$A248="CE",H$7="No aplica"),0,'BOULEVARD 5'!K246-'BOULEVARD PPTO'!C241)</f>
        <v>0</v>
      </c>
      <c r="I248" s="756">
        <f>IF(OR($A248="F&amp;F",$A248="CE",I$7="No aplica"),0,'BOULEVARD 5'!L246-'BOULEVARD PPTO'!D241)</f>
        <v>0</v>
      </c>
      <c r="J248" s="756">
        <f>IF(OR($A248="F&amp;F",$A248="CE",J$7="No aplica"),0,'BOULEVARD 5'!M246-'BOULEVARD PPTO'!E241)</f>
        <v>0</v>
      </c>
      <c r="K248" s="756">
        <f>IF(OR($A248="F&amp;F",$A248="CE",K$7="No aplica"),0,'BOULEVARD 5'!N246-'BOULEVARD PPTO'!F241)</f>
        <v>0</v>
      </c>
      <c r="L248" s="756">
        <f>IF(OR($A248="F&amp;F",$A248="CE",L$7="No aplica"),0,'BOULEVARD 5'!O246-'BOULEVARD PPTO'!G241)</f>
        <v>0</v>
      </c>
      <c r="M248" s="756">
        <f>IF(OR($A248="F&amp;F",$A248="CE",M$7="No aplica"),0,'BOULEVARD 5'!P246-'BOULEVARD PPTO'!H241)</f>
        <v>0</v>
      </c>
      <c r="N248" s="756">
        <f>IF(OR($A248="F&amp;F",$A248="CE",N$7="No aplica"),0,'BOULEVARD 5'!Q246-'BOULEVARD PPTO'!I241)</f>
        <v>0</v>
      </c>
      <c r="O248" s="756">
        <f>IF(OR($A248="F&amp;F",$A248="CE",O$7="No aplica"),0,'BOULEVARD 5'!R246-'BOULEVARD PPTO'!J241)</f>
        <v>0</v>
      </c>
      <c r="P248" s="756">
        <f>IF(OR($A248="F&amp;F",$A248="CE",P$7="No aplica"),0,'BOULEVARD 5'!S246-'BOULEVARD PPTO'!K241)</f>
        <v>0</v>
      </c>
      <c r="Q248" s="760">
        <f>IF(OR($A248="F&amp;F",$A248="CE",Q$7="No aplica"),0,'BOULEVARD 5'!T246-'BOULEVARD PPTO'!L241)</f>
        <v>0</v>
      </c>
      <c r="R248" s="760">
        <f>IF(OR($A248="F&amp;F",$A248="CE",R$7="No aplica"),0,'BOULEVARD 5'!U246-'BOULEVARD PPTO'!M241)</f>
        <v>0</v>
      </c>
      <c r="S248" s="760">
        <f>IF(OR($A248="F&amp;F",$A248="CE",S$7="No aplica"),0,'BOULEVARD 5'!V246-'BOULEVARD PPTO'!N241)</f>
        <v>0</v>
      </c>
      <c r="T248" s="760">
        <f>IF(OR($A248="F&amp;F",$A248="CE",T$7="No aplica"),0,'BOULEVARD 5'!W246-'BOULEVARD PPTO'!O241)</f>
        <v>0</v>
      </c>
      <c r="U248" s="760">
        <f>IF(OR($A248="F&amp;F",$A248="CE",U$7="No aplica"),0,'BOULEVARD 5'!X246-'BOULEVARD PPTO'!P241)</f>
        <v>0</v>
      </c>
      <c r="V248" s="760">
        <f>IF(OR($A248="F&amp;F",$A248="CE",V$7="No aplica"),0,'BOULEVARD 5'!Y246-'BOULEVARD PPTO'!Q241)</f>
        <v>0</v>
      </c>
      <c r="W248" s="760">
        <f>IF(OR($A248="F&amp;F",$A248="CE",W$7="No aplica"),0,'BOULEVARD 5'!Z246-'BOULEVARD PPTO'!R241)</f>
        <v>0</v>
      </c>
      <c r="X248" s="760">
        <f>IF(OR($A248="F&amp;F",$A248="CE",X$7="No aplica"),0,'BOULEVARD 5'!AA246-'BOULEVARD PPTO'!S241)</f>
        <v>0</v>
      </c>
      <c r="Y248" s="760">
        <f>IF(OR($A248="F&amp;F",$A248="CE",Y$7="No aplica"),0,'BOULEVARD 5'!AB246-'BOULEVARD PPTO'!T241)</f>
        <v>0</v>
      </c>
      <c r="Z248" s="760">
        <f>IF(OR($A248="F&amp;F",$A248="CE",Z$7="No aplica"),0,'BOULEVARD 5'!AC246-'BOULEVARD PPTO'!U241)</f>
        <v>-3</v>
      </c>
      <c r="AA248" s="760">
        <f>IF(OR($A248="F&amp;F",$A248="CE",AA$7="No aplica"),0,'BOULEVARD 5'!AD246-'BOULEVARD PPTO'!V241)</f>
        <v>-3</v>
      </c>
      <c r="AB248" s="760">
        <f>IF(OR($A248="F&amp;F",$A248="CE",AB$7="No aplica"),0,'BOULEVARD 5'!AE246-'BOULEVARD PPTO'!W241)</f>
        <v>-3</v>
      </c>
      <c r="AC248" s="760">
        <f>IF(OR($A248="F&amp;F",$A248="CE",AC$7="No aplica"),0,'BOULEVARD 5'!AF246-'BOULEVARD PPTO'!X241)</f>
        <v>9</v>
      </c>
      <c r="AD248" s="760">
        <f>IF(OR($A248="F&amp;F",$A248="CE",AD$7="No aplica"),0,'BOULEVARD 5'!AG246-'BOULEVARD PPTO'!Y241)</f>
        <v>0</v>
      </c>
      <c r="AE248" s="760">
        <f>IF(OR($A248="F&amp;F",$A248="CE",AE$7="No aplica"),0,'BOULEVARD 5'!AH246-'BOULEVARD PPTO'!Z241)</f>
        <v>0</v>
      </c>
      <c r="AF248" s="760">
        <f>IF(OR($A248="F&amp;F",$A248="CE",AF$7="No aplica"),0,'BOULEVARD 5'!AI246-'BOULEVARD PPTO'!AA241)</f>
        <v>0</v>
      </c>
      <c r="AG248" s="760">
        <f>IF(OR($A248="F&amp;F",$A248="CE",AG$7="No aplica"),0,'BOULEVARD 5'!AJ246-'BOULEVARD PPTO'!AB241)</f>
        <v>0</v>
      </c>
      <c r="AH248" s="760">
        <f>IF(OR($A248="F&amp;F",$A248="CE",AH$7="No aplica"),0,'BOULEVARD 5'!AK246-'BOULEVARD PPTO'!AC241)</f>
        <v>0</v>
      </c>
      <c r="AI248" s="760">
        <f>IF(OR($A248="F&amp;F",$A248="CE",AI$7="No aplica"),0,'BOULEVARD 5'!AL246-'BOULEVARD PPTO'!AD241)</f>
        <v>0</v>
      </c>
      <c r="AJ248" s="760">
        <f>IF(OR($A248="F&amp;F",$A248="CE",AJ$7="No aplica"),0,'BOULEVARD 5'!AM246-'BOULEVARD PPTO'!AE241)</f>
        <v>0</v>
      </c>
      <c r="AK248" s="760">
        <f>IF(OR($A248="F&amp;F",$A248="CE",AK$7="No aplica"),0,'BOULEVARD 5'!AN246-'BOULEVARD PPTO'!AF241)</f>
        <v>0</v>
      </c>
      <c r="AL248" s="760">
        <f>IF(OR($A248="F&amp;F",$A248="CE",AL$7="No aplica"),0,'BOULEVARD 5'!AO246-'BOULEVARD PPTO'!AG241)</f>
        <v>0</v>
      </c>
      <c r="AM248" s="760">
        <f>IF(OR($A248="F&amp;F",$A248="CE",AM$7="No aplica"),0,'BOULEVARD 5'!AP246-'BOULEVARD PPTO'!AH241)</f>
        <v>0</v>
      </c>
      <c r="AN248" s="760">
        <f>IF(OR($A248="F&amp;F",$A248="CE",AN$7="No aplica"),0,'BOULEVARD 5'!AQ246-'BOULEVARD PPTO'!AI241)</f>
        <v>0</v>
      </c>
      <c r="AO248" s="760">
        <f>IF(OR($A248="F&amp;F",$A248="CE",AO$7="No aplica"),0,'BOULEVARD 5'!AS246-'BOULEVARD PPTO'!AJ241)</f>
        <v>0</v>
      </c>
      <c r="AP248" s="761">
        <f t="shared" si="23"/>
        <v>0</v>
      </c>
      <c r="AQ248" s="761">
        <f t="shared" si="24"/>
        <v>7600</v>
      </c>
      <c r="AR248" s="674">
        <f>IF(A248=0,'BOULEVARD 5'!BF246,0)</f>
        <v>10000</v>
      </c>
      <c r="AS248" s="674">
        <f>IF(A248=0,'BOULEVARD 5'!BG246,0)</f>
        <v>7605</v>
      </c>
      <c r="AT248" s="675" t="str">
        <f t="shared" si="22"/>
        <v>Vendido</v>
      </c>
      <c r="AU248" s="581" t="str">
        <f t="shared" si="26"/>
        <v/>
      </c>
      <c r="AV248" s="760">
        <f t="shared" si="25"/>
        <v>0</v>
      </c>
    </row>
    <row r="249" spans="1:48" s="581" customFormat="1" ht="12.4" customHeight="1" outlineLevel="1" x14ac:dyDescent="0.25">
      <c r="A249" s="703">
        <f>'BOULEVARD 5'!BQ247</f>
        <v>0</v>
      </c>
      <c r="B249" s="564">
        <v>1318</v>
      </c>
      <c r="C249" s="564" t="s">
        <v>619</v>
      </c>
      <c r="D249" s="564"/>
      <c r="E249" s="564" t="str">
        <f>IF('BOULEVARD 5'!E247&lt;&gt;0,'BOULEVARD 5'!E247,"")</f>
        <v/>
      </c>
      <c r="F249" s="581" t="str">
        <f>IF('BOULEVARD 5'!F247&lt;&gt;0,'BOULEVARD 5'!F247,"")</f>
        <v>Jose Alejandro Abalony Rojas</v>
      </c>
      <c r="G249" s="566">
        <f>IF('BOULEVARD 5'!G247="","",'BOULEVARD 5'!G247)</f>
        <v>45993</v>
      </c>
      <c r="H249" s="756">
        <f>IF(OR($A249="F&amp;F",$A249="CE",H$7="No aplica"),0,'BOULEVARD 5'!K247-'BOULEVARD PPTO'!C242)</f>
        <v>0</v>
      </c>
      <c r="I249" s="756">
        <f>IF(OR($A249="F&amp;F",$A249="CE",I$7="No aplica"),0,'BOULEVARD 5'!L247-'BOULEVARD PPTO'!D242)</f>
        <v>0</v>
      </c>
      <c r="J249" s="756">
        <f>IF(OR($A249="F&amp;F",$A249="CE",J$7="No aplica"),0,'BOULEVARD 5'!M247-'BOULEVARD PPTO'!E242)</f>
        <v>0</v>
      </c>
      <c r="K249" s="756">
        <f>IF(OR($A249="F&amp;F",$A249="CE",K$7="No aplica"),0,'BOULEVARD 5'!N247-'BOULEVARD PPTO'!F242)</f>
        <v>0</v>
      </c>
      <c r="L249" s="756">
        <f>IF(OR($A249="F&amp;F",$A249="CE",L$7="No aplica"),0,'BOULEVARD 5'!O247-'BOULEVARD PPTO'!G242)</f>
        <v>0</v>
      </c>
      <c r="M249" s="756">
        <f>IF(OR($A249="F&amp;F",$A249="CE",M$7="No aplica"),0,'BOULEVARD 5'!P247-'BOULEVARD PPTO'!H242)</f>
        <v>0</v>
      </c>
      <c r="N249" s="756">
        <f>IF(OR($A249="F&amp;F",$A249="CE",N$7="No aplica"),0,'BOULEVARD 5'!Q247-'BOULEVARD PPTO'!I242)</f>
        <v>0</v>
      </c>
      <c r="O249" s="756">
        <f>IF(OR($A249="F&amp;F",$A249="CE",O$7="No aplica"),0,'BOULEVARD 5'!R247-'BOULEVARD PPTO'!J242)</f>
        <v>0</v>
      </c>
      <c r="P249" s="756">
        <f>IF(OR($A249="F&amp;F",$A249="CE",P$7="No aplica"),0,'BOULEVARD 5'!S247-'BOULEVARD PPTO'!K242)</f>
        <v>0</v>
      </c>
      <c r="Q249" s="760">
        <f>IF(OR($A249="F&amp;F",$A249="CE",Q$7="No aplica"),0,'BOULEVARD 5'!T247-'BOULEVARD PPTO'!L242)</f>
        <v>0</v>
      </c>
      <c r="R249" s="760">
        <f>IF(OR($A249="F&amp;F",$A249="CE",R$7="No aplica"),0,'BOULEVARD 5'!U247-'BOULEVARD PPTO'!M242)</f>
        <v>0</v>
      </c>
      <c r="S249" s="760">
        <f>IF(OR($A249="F&amp;F",$A249="CE",S$7="No aplica"),0,'BOULEVARD 5'!V247-'BOULEVARD PPTO'!N242)</f>
        <v>0</v>
      </c>
      <c r="T249" s="760">
        <f>IF(OR($A249="F&amp;F",$A249="CE",T$7="No aplica"),0,'BOULEVARD 5'!W247-'BOULEVARD PPTO'!O242)</f>
        <v>0</v>
      </c>
      <c r="U249" s="760">
        <f>IF(OR($A249="F&amp;F",$A249="CE",U$7="No aplica"),0,'BOULEVARD 5'!X247-'BOULEVARD PPTO'!P242)</f>
        <v>0</v>
      </c>
      <c r="V249" s="760">
        <f>IF(OR($A249="F&amp;F",$A249="CE",V$7="No aplica"),0,'BOULEVARD 5'!Y247-'BOULEVARD PPTO'!Q242)</f>
        <v>0</v>
      </c>
      <c r="W249" s="760">
        <f>IF(OR($A249="F&amp;F",$A249="CE",W$7="No aplica"),0,'BOULEVARD 5'!Z247-'BOULEVARD PPTO'!R242)</f>
        <v>0</v>
      </c>
      <c r="X249" s="760">
        <f>IF(OR($A249="F&amp;F",$A249="CE",X$7="No aplica"),0,'BOULEVARD 5'!AA247-'BOULEVARD PPTO'!S242)</f>
        <v>0</v>
      </c>
      <c r="Y249" s="760">
        <f>IF(OR($A249="F&amp;F",$A249="CE",Y$7="No aplica"),0,'BOULEVARD 5'!AB247-'BOULEVARD PPTO'!T242)</f>
        <v>0</v>
      </c>
      <c r="Z249" s="760">
        <f>IF(OR($A249="F&amp;F",$A249="CE",Z$7="No aplica"),0,'BOULEVARD 5'!AC247-'BOULEVARD PPTO'!U242)</f>
        <v>0</v>
      </c>
      <c r="AA249" s="760">
        <f>IF(OR($A249="F&amp;F",$A249="CE",AA$7="No aplica"),0,'BOULEVARD 5'!AD247-'BOULEVARD PPTO'!V242)</f>
        <v>0</v>
      </c>
      <c r="AB249" s="760">
        <f>IF(OR($A249="F&amp;F",$A249="CE",AB$7="No aplica"),0,'BOULEVARD 5'!AE247-'BOULEVARD PPTO'!W242)</f>
        <v>0</v>
      </c>
      <c r="AC249" s="760">
        <f>IF(OR($A249="F&amp;F",$A249="CE",AC$7="No aplica"),0,'BOULEVARD 5'!AF247-'BOULEVARD PPTO'!X242)</f>
        <v>0</v>
      </c>
      <c r="AD249" s="760">
        <f>IF(OR($A249="F&amp;F",$A249="CE",AD$7="No aplica"),0,'BOULEVARD 5'!AG247-'BOULEVARD PPTO'!Y242)</f>
        <v>0</v>
      </c>
      <c r="AE249" s="760">
        <f>IF(OR($A249="F&amp;F",$A249="CE",AE$7="No aplica"),0,'BOULEVARD 5'!AH247-'BOULEVARD PPTO'!Z242)</f>
        <v>0</v>
      </c>
      <c r="AF249" s="760">
        <f>IF(OR($A249="F&amp;F",$A249="CE",AF$7="No aplica"),0,'BOULEVARD 5'!AI247-'BOULEVARD PPTO'!AA242)</f>
        <v>0</v>
      </c>
      <c r="AG249" s="760">
        <f>IF(OR($A249="F&amp;F",$A249="CE",AG$7="No aplica"),0,'BOULEVARD 5'!AJ247-'BOULEVARD PPTO'!AB242)</f>
        <v>0</v>
      </c>
      <c r="AH249" s="760">
        <f>IF(OR($A249="F&amp;F",$A249="CE",AH$7="No aplica"),0,'BOULEVARD 5'!AK247-'BOULEVARD PPTO'!AC242)</f>
        <v>0</v>
      </c>
      <c r="AI249" s="760">
        <f>IF(OR($A249="F&amp;F",$A249="CE",AI$7="No aplica"),0,'BOULEVARD 5'!AL247-'BOULEVARD PPTO'!AD242)</f>
        <v>0</v>
      </c>
      <c r="AJ249" s="760">
        <f>IF(OR($A249="F&amp;F",$A249="CE",AJ$7="No aplica"),0,'BOULEVARD 5'!AM247-'BOULEVARD PPTO'!AE242)</f>
        <v>0</v>
      </c>
      <c r="AK249" s="760">
        <f>IF(OR($A249="F&amp;F",$A249="CE",AK$7="No aplica"),0,'BOULEVARD 5'!AN247-'BOULEVARD PPTO'!AF242)</f>
        <v>0</v>
      </c>
      <c r="AL249" s="760">
        <f>IF(OR($A249="F&amp;F",$A249="CE",AL$7="No aplica"),0,'BOULEVARD 5'!AO247-'BOULEVARD PPTO'!AG242)</f>
        <v>0</v>
      </c>
      <c r="AM249" s="760">
        <f>IF(OR($A249="F&amp;F",$A249="CE",AM$7="No aplica"),0,'BOULEVARD 5'!AP247-'BOULEVARD PPTO'!AH242)</f>
        <v>0</v>
      </c>
      <c r="AN249" s="760">
        <f>IF(OR($A249="F&amp;F",$A249="CE",AN$7="No aplica"),0,'BOULEVARD 5'!AQ247-'BOULEVARD PPTO'!AI242)</f>
        <v>0</v>
      </c>
      <c r="AO249" s="760">
        <f>IF(OR($A249="F&amp;F",$A249="CE",AO$7="No aplica"),0,'BOULEVARD 5'!AS247-'BOULEVARD PPTO'!AJ242)</f>
        <v>0</v>
      </c>
      <c r="AP249" s="761">
        <f t="shared" si="23"/>
        <v>0</v>
      </c>
      <c r="AQ249" s="761">
        <f t="shared" si="24"/>
        <v>235672</v>
      </c>
      <c r="AR249" s="674">
        <f>IF(A249=0,'BOULEVARD 5'!BF247,0)</f>
        <v>0</v>
      </c>
      <c r="AS249" s="674">
        <f>IF(A249=0,'BOULEVARD 5'!BG247,0)</f>
        <v>0</v>
      </c>
      <c r="AT249" s="675" t="str">
        <f t="shared" si="22"/>
        <v>Vendido</v>
      </c>
      <c r="AU249" s="581" t="str">
        <f t="shared" si="26"/>
        <v/>
      </c>
      <c r="AV249" s="760">
        <f t="shared" si="25"/>
        <v>0</v>
      </c>
    </row>
    <row r="250" spans="1:48" s="581" customFormat="1" ht="12.4" customHeight="1" outlineLevel="1" x14ac:dyDescent="0.25">
      <c r="A250" s="703">
        <f>'BOULEVARD 5'!BQ248</f>
        <v>0</v>
      </c>
      <c r="B250" s="564">
        <v>1401</v>
      </c>
      <c r="C250" s="564" t="s">
        <v>648</v>
      </c>
      <c r="D250" s="564"/>
      <c r="E250" s="564" t="str">
        <f>IF('BOULEVARD 5'!E248&lt;&gt;0,'BOULEVARD 5'!E248,"")</f>
        <v>Brenda Búcaro</v>
      </c>
      <c r="F250" s="581" t="str">
        <f>IF('BOULEVARD 5'!F248&lt;&gt;0,'BOULEVARD 5'!F248,"")</f>
        <v>Fernando García Coronado</v>
      </c>
      <c r="G250" s="566">
        <f>IF('BOULEVARD 5'!G248="","",'BOULEVARD 5'!G248)</f>
        <v>45158</v>
      </c>
      <c r="H250" s="756">
        <f>IF(OR($A250="F&amp;F",$A250="CE",H$7="No aplica"),0,'BOULEVARD 5'!K248-'BOULEVARD PPTO'!C243)</f>
        <v>0</v>
      </c>
      <c r="I250" s="756">
        <f>IF(OR($A250="F&amp;F",$A250="CE",I$7="No aplica"),0,'BOULEVARD 5'!L248-'BOULEVARD PPTO'!D243)</f>
        <v>0</v>
      </c>
      <c r="J250" s="756">
        <f>IF(OR($A250="F&amp;F",$A250="CE",J$7="No aplica"),0,'BOULEVARD 5'!M248-'BOULEVARD PPTO'!E243)</f>
        <v>0</v>
      </c>
      <c r="K250" s="756">
        <f>IF(OR($A250="F&amp;F",$A250="CE",K$7="No aplica"),0,'BOULEVARD 5'!N248-'BOULEVARD PPTO'!F243)</f>
        <v>0</v>
      </c>
      <c r="L250" s="756">
        <f>IF(OR($A250="F&amp;F",$A250="CE",L$7="No aplica"),0,'BOULEVARD 5'!O248-'BOULEVARD PPTO'!G243)</f>
        <v>0</v>
      </c>
      <c r="M250" s="756">
        <f>IF(OR($A250="F&amp;F",$A250="CE",M$7="No aplica"),0,'BOULEVARD 5'!P248-'BOULEVARD PPTO'!H243)</f>
        <v>0</v>
      </c>
      <c r="N250" s="756">
        <f>IF(OR($A250="F&amp;F",$A250="CE",N$7="No aplica"),0,'BOULEVARD 5'!Q248-'BOULEVARD PPTO'!I243)</f>
        <v>0</v>
      </c>
      <c r="O250" s="756">
        <f>IF(OR($A250="F&amp;F",$A250="CE",O$7="No aplica"),0,'BOULEVARD 5'!R248-'BOULEVARD PPTO'!J243)</f>
        <v>0</v>
      </c>
      <c r="P250" s="756">
        <f>IF(OR($A250="F&amp;F",$A250="CE",P$7="No aplica"),0,'BOULEVARD 5'!S248-'BOULEVARD PPTO'!K243)</f>
        <v>0</v>
      </c>
      <c r="Q250" s="760">
        <f>IF(OR($A250="F&amp;F",$A250="CE",Q$7="No aplica"),0,'BOULEVARD 5'!T248-'BOULEVARD PPTO'!L243)</f>
        <v>0</v>
      </c>
      <c r="R250" s="760">
        <f>IF(OR($A250="F&amp;F",$A250="CE",R$7="No aplica"),0,'BOULEVARD 5'!U248-'BOULEVARD PPTO'!M243)</f>
        <v>1000</v>
      </c>
      <c r="S250" s="760">
        <f>IF(OR($A250="F&amp;F",$A250="CE",S$7="No aplica"),0,'BOULEVARD 5'!V248-'BOULEVARD PPTO'!N243)</f>
        <v>0</v>
      </c>
      <c r="T250" s="760">
        <f>IF(OR($A250="F&amp;F",$A250="CE",T$7="No aplica"),0,'BOULEVARD 5'!W248-'BOULEVARD PPTO'!O243)</f>
        <v>0</v>
      </c>
      <c r="U250" s="760">
        <f>IF(OR($A250="F&amp;F",$A250="CE",U$7="No aplica"),0,'BOULEVARD 5'!X248-'BOULEVARD PPTO'!P243)</f>
        <v>0</v>
      </c>
      <c r="V250" s="760">
        <f>IF(OR($A250="F&amp;F",$A250="CE",V$7="No aplica"),0,'BOULEVARD 5'!Y248-'BOULEVARD PPTO'!Q243)</f>
        <v>0</v>
      </c>
      <c r="W250" s="760">
        <f>IF(OR($A250="F&amp;F",$A250="CE",W$7="No aplica"),0,'BOULEVARD 5'!Z248-'BOULEVARD PPTO'!R243)</f>
        <v>0</v>
      </c>
      <c r="X250" s="760">
        <f>IF(OR($A250="F&amp;F",$A250="CE",X$7="No aplica"),0,'BOULEVARD 5'!AA248-'BOULEVARD PPTO'!S243)</f>
        <v>0</v>
      </c>
      <c r="Y250" s="760">
        <f>IF(OR($A250="F&amp;F",$A250="CE",Y$7="No aplica"),0,'BOULEVARD 5'!AB248-'BOULEVARD PPTO'!T243)</f>
        <v>-5000</v>
      </c>
      <c r="Z250" s="760">
        <f>IF(OR($A250="F&amp;F",$A250="CE",Z$7="No aplica"),0,'BOULEVARD 5'!AC248-'BOULEVARD PPTO'!U243)</f>
        <v>2000</v>
      </c>
      <c r="AA250" s="760">
        <f>IF(OR($A250="F&amp;F",$A250="CE",AA$7="No aplica"),0,'BOULEVARD 5'!AD248-'BOULEVARD PPTO'!V243)</f>
        <v>0</v>
      </c>
      <c r="AB250" s="760">
        <f>IF(OR($A250="F&amp;F",$A250="CE",AB$7="No aplica"),0,'BOULEVARD 5'!AE248-'BOULEVARD PPTO'!W243)</f>
        <v>5000</v>
      </c>
      <c r="AC250" s="760">
        <f>IF(OR($A250="F&amp;F",$A250="CE",AC$7="No aplica"),0,'BOULEVARD 5'!AF248-'BOULEVARD PPTO'!X243)</f>
        <v>0</v>
      </c>
      <c r="AD250" s="760">
        <f>IF(OR($A250="F&amp;F",$A250="CE",AD$7="No aplica"),0,'BOULEVARD 5'!AG248-'BOULEVARD PPTO'!Y243)</f>
        <v>0</v>
      </c>
      <c r="AE250" s="760">
        <f>IF(OR($A250="F&amp;F",$A250="CE",AE$7="No aplica"),0,'BOULEVARD 5'!AH248-'BOULEVARD PPTO'!Z243)</f>
        <v>0</v>
      </c>
      <c r="AF250" s="760">
        <f>IF(OR($A250="F&amp;F",$A250="CE",AF$7="No aplica"),0,'BOULEVARD 5'!AI248-'BOULEVARD PPTO'!AA243)</f>
        <v>-5000</v>
      </c>
      <c r="AG250" s="760">
        <f>IF(OR($A250="F&amp;F",$A250="CE",AG$7="No aplica"),0,'BOULEVARD 5'!AJ248-'BOULEVARD PPTO'!AB243)</f>
        <v>5000</v>
      </c>
      <c r="AH250" s="760">
        <f>IF(OR($A250="F&amp;F",$A250="CE",AH$7="No aplica"),0,'BOULEVARD 5'!AK248-'BOULEVARD PPTO'!AC243)</f>
        <v>0</v>
      </c>
      <c r="AI250" s="760">
        <f>IF(OR($A250="F&amp;F",$A250="CE",AI$7="No aplica"),0,'BOULEVARD 5'!AL248-'BOULEVARD PPTO'!AD243)</f>
        <v>-1300</v>
      </c>
      <c r="AJ250" s="760">
        <f>IF(OR($A250="F&amp;F",$A250="CE",AJ$7="No aplica"),0,'BOULEVARD 5'!AM248-'BOULEVARD PPTO'!AE243)</f>
        <v>0</v>
      </c>
      <c r="AK250" s="760">
        <f>IF(OR($A250="F&amp;F",$A250="CE",AK$7="No aplica"),0,'BOULEVARD 5'!AN248-'BOULEVARD PPTO'!AF243)</f>
        <v>10000</v>
      </c>
      <c r="AL250" s="760">
        <f>IF(OR($A250="F&amp;F",$A250="CE",AL$7="No aplica"),0,'BOULEVARD 5'!AO248-'BOULEVARD PPTO'!AG243)</f>
        <v>0</v>
      </c>
      <c r="AM250" s="760">
        <f>IF(OR($A250="F&amp;F",$A250="CE",AM$7="No aplica"),0,'BOULEVARD 5'!AP248-'BOULEVARD PPTO'!AH243)</f>
        <v>0</v>
      </c>
      <c r="AN250" s="760">
        <f>IF(OR($A250="F&amp;F",$A250="CE",AN$7="No aplica"),0,'BOULEVARD 5'!AQ248-'BOULEVARD PPTO'!AI243)</f>
        <v>0</v>
      </c>
      <c r="AO250" s="760">
        <f>IF(OR($A250="F&amp;F",$A250="CE",AO$7="No aplica"),0,'BOULEVARD 5'!AS248-'BOULEVARD PPTO'!AJ243)</f>
        <v>0</v>
      </c>
      <c r="AP250" s="761">
        <f t="shared" si="23"/>
        <v>11700</v>
      </c>
      <c r="AQ250" s="761">
        <f t="shared" si="24"/>
        <v>11700</v>
      </c>
      <c r="AR250" s="674">
        <f>IF(A250=0,'BOULEVARD 5'!BF248,0)</f>
        <v>6000</v>
      </c>
      <c r="AS250" s="674">
        <f>IF(A250=0,'BOULEVARD 5'!BG248,0)</f>
        <v>5000</v>
      </c>
      <c r="AT250" s="675" t="str">
        <f t="shared" si="22"/>
        <v>Vendido</v>
      </c>
      <c r="AU250" s="581" t="str">
        <f t="shared" si="26"/>
        <v>A FAVOR DEL CLIENTE</v>
      </c>
      <c r="AV250" s="760">
        <f t="shared" si="25"/>
        <v>0</v>
      </c>
    </row>
    <row r="251" spans="1:48" s="581" customFormat="1" ht="12.4" customHeight="1" outlineLevel="1" x14ac:dyDescent="0.25">
      <c r="A251" s="703">
        <f>'BOULEVARD 5'!BQ249</f>
        <v>0</v>
      </c>
      <c r="B251" s="564">
        <v>1402</v>
      </c>
      <c r="C251" s="564" t="s">
        <v>650</v>
      </c>
      <c r="D251" s="564"/>
      <c r="E251" s="564" t="str">
        <f>IF('BOULEVARD 5'!E249&lt;&gt;0,'BOULEVARD 5'!E249,"")</f>
        <v>Antonio Rada</v>
      </c>
      <c r="F251" s="581" t="str">
        <f>IF('BOULEVARD 5'!F249&lt;&gt;0,'BOULEVARD 5'!F249,"")</f>
        <v>Marlen Fabiola Izaguirre Navas</v>
      </c>
      <c r="G251" s="566">
        <f>IF('BOULEVARD 5'!G249="","",'BOULEVARD 5'!G249)</f>
        <v>45572</v>
      </c>
      <c r="H251" s="756">
        <f>IF(OR($A251="F&amp;F",$A251="CE",H$7="No aplica"),0,'BOULEVARD 5'!K249-'BOULEVARD PPTO'!C244)</f>
        <v>0</v>
      </c>
      <c r="I251" s="756">
        <f>IF(OR($A251="F&amp;F",$A251="CE",I$7="No aplica"),0,'BOULEVARD 5'!L249-'BOULEVARD PPTO'!D244)</f>
        <v>0</v>
      </c>
      <c r="J251" s="756">
        <f>IF(OR($A251="F&amp;F",$A251="CE",J$7="No aplica"),0,'BOULEVARD 5'!M249-'BOULEVARD PPTO'!E244)</f>
        <v>0</v>
      </c>
      <c r="K251" s="756">
        <f>IF(OR($A251="F&amp;F",$A251="CE",K$7="No aplica"),0,'BOULEVARD 5'!N249-'BOULEVARD PPTO'!F244)</f>
        <v>0</v>
      </c>
      <c r="L251" s="756">
        <f>IF(OR($A251="F&amp;F",$A251="CE",L$7="No aplica"),0,'BOULEVARD 5'!O249-'BOULEVARD PPTO'!G244)</f>
        <v>0</v>
      </c>
      <c r="M251" s="756">
        <f>IF(OR($A251="F&amp;F",$A251="CE",M$7="No aplica"),0,'BOULEVARD 5'!P249-'BOULEVARD PPTO'!H244)</f>
        <v>0</v>
      </c>
      <c r="N251" s="756">
        <f>IF(OR($A251="F&amp;F",$A251="CE",N$7="No aplica"),0,'BOULEVARD 5'!Q249-'BOULEVARD PPTO'!I244)</f>
        <v>0</v>
      </c>
      <c r="O251" s="756">
        <f>IF(OR($A251="F&amp;F",$A251="CE",O$7="No aplica"),0,'BOULEVARD 5'!R249-'BOULEVARD PPTO'!J244)</f>
        <v>0</v>
      </c>
      <c r="P251" s="756">
        <f>IF(OR($A251="F&amp;F",$A251="CE",P$7="No aplica"),0,'BOULEVARD 5'!S249-'BOULEVARD PPTO'!K244)</f>
        <v>0</v>
      </c>
      <c r="Q251" s="760">
        <f>IF(OR($A251="F&amp;F",$A251="CE",Q$7="No aplica"),0,'BOULEVARD 5'!T249-'BOULEVARD PPTO'!L244)</f>
        <v>0</v>
      </c>
      <c r="R251" s="760">
        <f>IF(OR($A251="F&amp;F",$A251="CE",R$7="No aplica"),0,'BOULEVARD 5'!U249-'BOULEVARD PPTO'!M244)</f>
        <v>0</v>
      </c>
      <c r="S251" s="760">
        <f>IF(OR($A251="F&amp;F",$A251="CE",S$7="No aplica"),0,'BOULEVARD 5'!V249-'BOULEVARD PPTO'!N244)</f>
        <v>0</v>
      </c>
      <c r="T251" s="760">
        <f>IF(OR($A251="F&amp;F",$A251="CE",T$7="No aplica"),0,'BOULEVARD 5'!W249-'BOULEVARD PPTO'!O244)</f>
        <v>0</v>
      </c>
      <c r="U251" s="760">
        <f>IF(OR($A251="F&amp;F",$A251="CE",U$7="No aplica"),0,'BOULEVARD 5'!X249-'BOULEVARD PPTO'!P244)</f>
        <v>0</v>
      </c>
      <c r="V251" s="760">
        <f>IF(OR($A251="F&amp;F",$A251="CE",V$7="No aplica"),0,'BOULEVARD 5'!Y249-'BOULEVARD PPTO'!Q244)</f>
        <v>0</v>
      </c>
      <c r="W251" s="760">
        <f>IF(OR($A251="F&amp;F",$A251="CE",W$7="No aplica"),0,'BOULEVARD 5'!Z249-'BOULEVARD PPTO'!R244)</f>
        <v>0</v>
      </c>
      <c r="X251" s="760">
        <f>IF(OR($A251="F&amp;F",$A251="CE",X$7="No aplica"),0,'BOULEVARD 5'!AA249-'BOULEVARD PPTO'!S244)</f>
        <v>0</v>
      </c>
      <c r="Y251" s="760">
        <f>IF(OR($A251="F&amp;F",$A251="CE",Y$7="No aplica"),0,'BOULEVARD 5'!AB249-'BOULEVARD PPTO'!T244)</f>
        <v>0</v>
      </c>
      <c r="Z251" s="760">
        <f>IF(OR($A251="F&amp;F",$A251="CE",Z$7="No aplica"),0,'BOULEVARD 5'!AC249-'BOULEVARD PPTO'!U244)</f>
        <v>0</v>
      </c>
      <c r="AA251" s="760">
        <f>IF(OR($A251="F&amp;F",$A251="CE",AA$7="No aplica"),0,'BOULEVARD 5'!AD249-'BOULEVARD PPTO'!V244)</f>
        <v>0</v>
      </c>
      <c r="AB251" s="760">
        <f>IF(OR($A251="F&amp;F",$A251="CE",AB$7="No aplica"),0,'BOULEVARD 5'!AE249-'BOULEVARD PPTO'!W244)</f>
        <v>0</v>
      </c>
      <c r="AC251" s="760">
        <f>IF(OR($A251="F&amp;F",$A251="CE",AC$7="No aplica"),0,'BOULEVARD 5'!AF249-'BOULEVARD PPTO'!X244)</f>
        <v>0</v>
      </c>
      <c r="AD251" s="760">
        <f>IF(OR($A251="F&amp;F",$A251="CE",AD$7="No aplica"),0,'BOULEVARD 5'!AG249-'BOULEVARD PPTO'!Y244)</f>
        <v>0</v>
      </c>
      <c r="AE251" s="760">
        <f>IF(OR($A251="F&amp;F",$A251="CE",AE$7="No aplica"),0,'BOULEVARD 5'!AH249-'BOULEVARD PPTO'!Z244)</f>
        <v>0</v>
      </c>
      <c r="AF251" s="760">
        <f>IF(OR($A251="F&amp;F",$A251="CE",AF$7="No aplica"),0,'BOULEVARD 5'!AI249-'BOULEVARD PPTO'!AA244)</f>
        <v>0</v>
      </c>
      <c r="AG251" s="760">
        <f>IF(OR($A251="F&amp;F",$A251="CE",AG$7="No aplica"),0,'BOULEVARD 5'!AJ249-'BOULEVARD PPTO'!AB244)</f>
        <v>0</v>
      </c>
      <c r="AH251" s="760">
        <f>IF(OR($A251="F&amp;F",$A251="CE",AH$7="No aplica"),0,'BOULEVARD 5'!AK249-'BOULEVARD PPTO'!AC244)</f>
        <v>0</v>
      </c>
      <c r="AI251" s="760">
        <f>IF(OR($A251="F&amp;F",$A251="CE",AI$7="No aplica"),0,'BOULEVARD 5'!AL249-'BOULEVARD PPTO'!AD244)</f>
        <v>0</v>
      </c>
      <c r="AJ251" s="760">
        <f>IF(OR($A251="F&amp;F",$A251="CE",AJ$7="No aplica"),0,'BOULEVARD 5'!AM249-'BOULEVARD PPTO'!AE244)</f>
        <v>0</v>
      </c>
      <c r="AK251" s="760">
        <f>IF(OR($A251="F&amp;F",$A251="CE",AK$7="No aplica"),0,'BOULEVARD 5'!AN249-'BOULEVARD PPTO'!AF244)</f>
        <v>0</v>
      </c>
      <c r="AL251" s="760">
        <f>IF(OR($A251="F&amp;F",$A251="CE",AL$7="No aplica"),0,'BOULEVARD 5'!AO249-'BOULEVARD PPTO'!AG244)</f>
        <v>0</v>
      </c>
      <c r="AM251" s="760">
        <f>IF(OR($A251="F&amp;F",$A251="CE",AM$7="No aplica"),0,'BOULEVARD 5'!AP249-'BOULEVARD PPTO'!AH244)</f>
        <v>0</v>
      </c>
      <c r="AN251" s="760">
        <f>IF(OR($A251="F&amp;F",$A251="CE",AN$7="No aplica"),0,'BOULEVARD 5'!AQ249-'BOULEVARD PPTO'!AI244)</f>
        <v>0</v>
      </c>
      <c r="AO251" s="760">
        <f>IF(OR($A251="F&amp;F",$A251="CE",AO$7="No aplica"),0,'BOULEVARD 5'!AS249-'BOULEVARD PPTO'!AJ244)</f>
        <v>0</v>
      </c>
      <c r="AP251" s="761">
        <f t="shared" si="23"/>
        <v>0</v>
      </c>
      <c r="AQ251" s="761">
        <f t="shared" si="24"/>
        <v>0</v>
      </c>
      <c r="AR251" s="674">
        <f>IF(A251=0,'BOULEVARD 5'!BF249,0)</f>
        <v>10000</v>
      </c>
      <c r="AS251" s="674">
        <f>IF(A251=0,'BOULEVARD 5'!BG249,0)</f>
        <v>8230</v>
      </c>
      <c r="AT251" s="675" t="str">
        <f t="shared" si="22"/>
        <v>Vendido</v>
      </c>
      <c r="AU251" s="581" t="str">
        <f t="shared" si="26"/>
        <v/>
      </c>
      <c r="AV251" s="760">
        <f t="shared" si="25"/>
        <v>0</v>
      </c>
    </row>
    <row r="252" spans="1:48" s="581" customFormat="1" ht="12.4" customHeight="1" outlineLevel="1" x14ac:dyDescent="0.25">
      <c r="A252" s="703" t="str">
        <f>'BOULEVARD 5'!BQ250</f>
        <v>F&amp;F</v>
      </c>
      <c r="B252" s="704">
        <v>1403</v>
      </c>
      <c r="C252" s="704" t="s">
        <v>393</v>
      </c>
      <c r="D252" s="704"/>
      <c r="E252" s="704" t="str">
        <f>IF('BOULEVARD 5'!E250&lt;&gt;0,'BOULEVARD 5'!E250,"")</f>
        <v>Antonio Rada</v>
      </c>
      <c r="F252" s="705" t="str">
        <f>IF('BOULEVARD 5'!F250&lt;&gt;0,'BOULEVARD 5'!F250,"")</f>
        <v>Maria Mercedes Lizarralde Mc Allister</v>
      </c>
      <c r="G252" s="566">
        <f>IF('BOULEVARD 5'!G250="","",'BOULEVARD 5'!G250)</f>
        <v>45012</v>
      </c>
      <c r="H252" s="756">
        <f>IF(OR($A252="F&amp;F",$A252="CE",H$7="No aplica"),0,'BOULEVARD 5'!K250-'BOULEVARD PPTO'!C245)</f>
        <v>0</v>
      </c>
      <c r="I252" s="756">
        <f>IF(OR($A252="F&amp;F",$A252="CE",I$7="No aplica"),0,'BOULEVARD 5'!L250-'BOULEVARD PPTO'!D245)</f>
        <v>0</v>
      </c>
      <c r="J252" s="756">
        <f>IF(OR($A252="F&amp;F",$A252="CE",J$7="No aplica"),0,'BOULEVARD 5'!M250-'BOULEVARD PPTO'!E245)</f>
        <v>0</v>
      </c>
      <c r="K252" s="756">
        <f>IF(OR($A252="F&amp;F",$A252="CE",K$7="No aplica"),0,'BOULEVARD 5'!N250-'BOULEVARD PPTO'!F245)</f>
        <v>0</v>
      </c>
      <c r="L252" s="756">
        <f>IF(OR($A252="F&amp;F",$A252="CE",L$7="No aplica"),0,'BOULEVARD 5'!O250-'BOULEVARD PPTO'!G245)</f>
        <v>0</v>
      </c>
      <c r="M252" s="756">
        <f>IF(OR($A252="F&amp;F",$A252="CE",M$7="No aplica"),0,'BOULEVARD 5'!P250-'BOULEVARD PPTO'!H245)</f>
        <v>0</v>
      </c>
      <c r="N252" s="756">
        <f>IF(OR($A252="F&amp;F",$A252="CE",N$7="No aplica"),0,'BOULEVARD 5'!Q250-'BOULEVARD PPTO'!I245)</f>
        <v>0</v>
      </c>
      <c r="O252" s="756">
        <f>IF(OR($A252="F&amp;F",$A252="CE",O$7="No aplica"),0,'BOULEVARD 5'!R250-'BOULEVARD PPTO'!J245)</f>
        <v>0</v>
      </c>
      <c r="P252" s="756">
        <f>IF(OR($A252="F&amp;F",$A252="CE",P$7="No aplica"),0,'BOULEVARD 5'!S250-'BOULEVARD PPTO'!K245)</f>
        <v>0</v>
      </c>
      <c r="Q252" s="760">
        <f>IF(OR($A252="F&amp;F",$A252="CE",Q$7="No aplica"),0,'BOULEVARD 5'!T250-'BOULEVARD PPTO'!L245)</f>
        <v>0</v>
      </c>
      <c r="R252" s="760">
        <f>IF(OR($A252="F&amp;F",$A252="CE",R$7="No aplica"),0,'BOULEVARD 5'!U250-'BOULEVARD PPTO'!M245)</f>
        <v>0</v>
      </c>
      <c r="S252" s="760">
        <f>IF(OR($A252="F&amp;F",$A252="CE",S$7="No aplica"),0,'BOULEVARD 5'!V250-'BOULEVARD PPTO'!N245)</f>
        <v>0</v>
      </c>
      <c r="T252" s="760">
        <f>IF(OR($A252="F&amp;F",$A252="CE",T$7="No aplica"),0,'BOULEVARD 5'!W250-'BOULEVARD PPTO'!O245)</f>
        <v>0</v>
      </c>
      <c r="U252" s="760">
        <f>IF(OR($A252="F&amp;F",$A252="CE",U$7="No aplica"),0,'BOULEVARD 5'!X250-'BOULEVARD PPTO'!P245)</f>
        <v>0</v>
      </c>
      <c r="V252" s="760">
        <f>IF(OR($A252="F&amp;F",$A252="CE",V$7="No aplica"),0,'BOULEVARD 5'!Y250-'BOULEVARD PPTO'!Q245)</f>
        <v>0</v>
      </c>
      <c r="W252" s="760">
        <f>IF(OR($A252="F&amp;F",$A252="CE",W$7="No aplica"),0,'BOULEVARD 5'!Z250-'BOULEVARD PPTO'!R245)</f>
        <v>0</v>
      </c>
      <c r="X252" s="760">
        <f>IF(OR($A252="F&amp;F",$A252="CE",X$7="No aplica"),0,'BOULEVARD 5'!AA250-'BOULEVARD PPTO'!S245)</f>
        <v>0</v>
      </c>
      <c r="Y252" s="760">
        <f>IF(OR($A252="F&amp;F",$A252="CE",Y$7="No aplica"),0,'BOULEVARD 5'!AB250-'BOULEVARD PPTO'!T245)</f>
        <v>0</v>
      </c>
      <c r="Z252" s="760">
        <f>IF(OR($A252="F&amp;F",$A252="CE",Z$7="No aplica"),0,'BOULEVARD 5'!AC250-'BOULEVARD PPTO'!U245)</f>
        <v>0</v>
      </c>
      <c r="AA252" s="760">
        <f>IF(OR($A252="F&amp;F",$A252="CE",AA$7="No aplica"),0,'BOULEVARD 5'!AD250-'BOULEVARD PPTO'!V245)</f>
        <v>0</v>
      </c>
      <c r="AB252" s="760">
        <f>IF(OR($A252="F&amp;F",$A252="CE",AB$7="No aplica"),0,'BOULEVARD 5'!AE250-'BOULEVARD PPTO'!W245)</f>
        <v>0</v>
      </c>
      <c r="AC252" s="760">
        <f>IF(OR($A252="F&amp;F",$A252="CE",AC$7="No aplica"),0,'BOULEVARD 5'!AF250-'BOULEVARD PPTO'!X245)</f>
        <v>0</v>
      </c>
      <c r="AD252" s="760">
        <f>IF(OR($A252="F&amp;F",$A252="CE",AD$7="No aplica"),0,'BOULEVARD 5'!AG250-'BOULEVARD PPTO'!Y245)</f>
        <v>0</v>
      </c>
      <c r="AE252" s="760">
        <f>IF(OR($A252="F&amp;F",$A252="CE",AE$7="No aplica"),0,'BOULEVARD 5'!AH250-'BOULEVARD PPTO'!Z245)</f>
        <v>0</v>
      </c>
      <c r="AF252" s="760">
        <f>IF(OR($A252="F&amp;F",$A252="CE",AF$7="No aplica"),0,'BOULEVARD 5'!AI250-'BOULEVARD PPTO'!AA245)</f>
        <v>0</v>
      </c>
      <c r="AG252" s="760">
        <f>IF(OR($A252="F&amp;F",$A252="CE",AG$7="No aplica"),0,'BOULEVARD 5'!AJ250-'BOULEVARD PPTO'!AB245)</f>
        <v>0</v>
      </c>
      <c r="AH252" s="760">
        <f>IF(OR($A252="F&amp;F",$A252="CE",AH$7="No aplica"),0,'BOULEVARD 5'!AK250-'BOULEVARD PPTO'!AC245)</f>
        <v>0</v>
      </c>
      <c r="AI252" s="760">
        <f>IF(OR($A252="F&amp;F",$A252="CE",AI$7="No aplica"),0,'BOULEVARD 5'!AL250-'BOULEVARD PPTO'!AD245)</f>
        <v>0</v>
      </c>
      <c r="AJ252" s="760">
        <f>IF(OR($A252="F&amp;F",$A252="CE",AJ$7="No aplica"),0,'BOULEVARD 5'!AM250-'BOULEVARD PPTO'!AE245)</f>
        <v>0</v>
      </c>
      <c r="AK252" s="760">
        <f>IF(OR($A252="F&amp;F",$A252="CE",AK$7="No aplica"),0,'BOULEVARD 5'!AN250-'BOULEVARD PPTO'!AF245)</f>
        <v>0</v>
      </c>
      <c r="AL252" s="760">
        <f>IF(OR($A252="F&amp;F",$A252="CE",AL$7="No aplica"),0,'BOULEVARD 5'!AO250-'BOULEVARD PPTO'!AG245)</f>
        <v>0</v>
      </c>
      <c r="AM252" s="760">
        <f>IF(OR($A252="F&amp;F",$A252="CE",AM$7="No aplica"),0,'BOULEVARD 5'!AP250-'BOULEVARD PPTO'!AH245)</f>
        <v>0</v>
      </c>
      <c r="AN252" s="760">
        <f>IF(OR($A252="F&amp;F",$A252="CE",AN$7="No aplica"),0,'BOULEVARD 5'!AQ250-'BOULEVARD PPTO'!AI245)</f>
        <v>0</v>
      </c>
      <c r="AO252" s="760">
        <f>IF(OR($A252="F&amp;F",$A252="CE",AO$7="No aplica"),0,'BOULEVARD 5'!AS250-'BOULEVARD PPTO'!AJ245)</f>
        <v>0</v>
      </c>
      <c r="AP252" s="761">
        <f t="shared" si="23"/>
        <v>0</v>
      </c>
      <c r="AQ252" s="761">
        <f t="shared" si="24"/>
        <v>0</v>
      </c>
      <c r="AR252" s="674">
        <f>IF(A252=0,'BOULEVARD 5'!BF250,0)</f>
        <v>0</v>
      </c>
      <c r="AS252" s="674">
        <f>IF(A252=0,'BOULEVARD 5'!BG250,0)</f>
        <v>0</v>
      </c>
      <c r="AT252" s="675" t="str">
        <f t="shared" si="22"/>
        <v>Vendido</v>
      </c>
      <c r="AU252" s="581" t="str">
        <f t="shared" si="26"/>
        <v/>
      </c>
      <c r="AV252" s="760">
        <f t="shared" si="25"/>
        <v>0</v>
      </c>
    </row>
    <row r="253" spans="1:48" s="581" customFormat="1" ht="12.4" customHeight="1" outlineLevel="1" x14ac:dyDescent="0.25">
      <c r="A253" s="703">
        <f>'BOULEVARD 5'!BQ251</f>
        <v>0</v>
      </c>
      <c r="B253" s="564">
        <v>1404</v>
      </c>
      <c r="C253" s="564" t="s">
        <v>172</v>
      </c>
      <c r="D253" s="564"/>
      <c r="E253" s="564" t="str">
        <f>IF('BOULEVARD 5'!E251&lt;&gt;0,'BOULEVARD 5'!E251,"")</f>
        <v>Jose Franco</v>
      </c>
      <c r="F253" s="581" t="str">
        <f>IF('BOULEVARD 5'!F251&lt;&gt;0,'BOULEVARD 5'!F251,"")</f>
        <v>Diego Eduardo Roman Hazard</v>
      </c>
      <c r="G253" s="566">
        <f>IF('BOULEVARD 5'!G251="","",'BOULEVARD 5'!G251)</f>
        <v>45012</v>
      </c>
      <c r="H253" s="756">
        <f>IF(OR($A253="F&amp;F",$A253="CE",H$7="No aplica"),0,'BOULEVARD 5'!K251-'BOULEVARD PPTO'!C246)</f>
        <v>0</v>
      </c>
      <c r="I253" s="756">
        <f>IF(OR($A253="F&amp;F",$A253="CE",I$7="No aplica"),0,'BOULEVARD 5'!L251-'BOULEVARD PPTO'!D246)</f>
        <v>0</v>
      </c>
      <c r="J253" s="756">
        <f>IF(OR($A253="F&amp;F",$A253="CE",J$7="No aplica"),0,'BOULEVARD 5'!M251-'BOULEVARD PPTO'!E246)</f>
        <v>0</v>
      </c>
      <c r="K253" s="756">
        <f>IF(OR($A253="F&amp;F",$A253="CE",K$7="No aplica"),0,'BOULEVARD 5'!N251-'BOULEVARD PPTO'!F246)</f>
        <v>0</v>
      </c>
      <c r="L253" s="756">
        <f>IF(OR($A253="F&amp;F",$A253="CE",L$7="No aplica"),0,'BOULEVARD 5'!O251-'BOULEVARD PPTO'!G246)</f>
        <v>0</v>
      </c>
      <c r="M253" s="756">
        <f>IF(OR($A253="F&amp;F",$A253="CE",M$7="No aplica"),0,'BOULEVARD 5'!P251-'BOULEVARD PPTO'!H246)</f>
        <v>0</v>
      </c>
      <c r="N253" s="756">
        <f>IF(OR($A253="F&amp;F",$A253="CE",N$7="No aplica"),0,'BOULEVARD 5'!Q251-'BOULEVARD PPTO'!I246)</f>
        <v>0</v>
      </c>
      <c r="O253" s="756">
        <f>IF(OR($A253="F&amp;F",$A253="CE",O$7="No aplica"),0,'BOULEVARD 5'!R251-'BOULEVARD PPTO'!J246)</f>
        <v>0</v>
      </c>
      <c r="P253" s="756">
        <f>IF(OR($A253="F&amp;F",$A253="CE",P$7="No aplica"),0,'BOULEVARD 5'!S251-'BOULEVARD PPTO'!K246)</f>
        <v>0</v>
      </c>
      <c r="Q253" s="760">
        <f>IF(OR($A253="F&amp;F",$A253="CE",Q$7="No aplica"),0,'BOULEVARD 5'!T251-'BOULEVARD PPTO'!L246)</f>
        <v>0</v>
      </c>
      <c r="R253" s="760">
        <f>IF(OR($A253="F&amp;F",$A253="CE",R$7="No aplica"),0,'BOULEVARD 5'!U251-'BOULEVARD PPTO'!M246)</f>
        <v>0</v>
      </c>
      <c r="S253" s="760">
        <f>IF(OR($A253="F&amp;F",$A253="CE",S$7="No aplica"),0,'BOULEVARD 5'!V251-'BOULEVARD PPTO'!N246)</f>
        <v>0</v>
      </c>
      <c r="T253" s="760">
        <f>IF(OR($A253="F&amp;F",$A253="CE",T$7="No aplica"),0,'BOULEVARD 5'!W251-'BOULEVARD PPTO'!O246)</f>
        <v>0</v>
      </c>
      <c r="U253" s="760">
        <f>IF(OR($A253="F&amp;F",$A253="CE",U$7="No aplica"),0,'BOULEVARD 5'!X251-'BOULEVARD PPTO'!P246)</f>
        <v>0</v>
      </c>
      <c r="V253" s="760">
        <f>IF(OR($A253="F&amp;F",$A253="CE",V$7="No aplica"),0,'BOULEVARD 5'!Y251-'BOULEVARD PPTO'!Q246)</f>
        <v>0</v>
      </c>
      <c r="W253" s="760">
        <f>IF(OR($A253="F&amp;F",$A253="CE",W$7="No aplica"),0,'BOULEVARD 5'!Z251-'BOULEVARD PPTO'!R246)</f>
        <v>0</v>
      </c>
      <c r="X253" s="760">
        <f>IF(OR($A253="F&amp;F",$A253="CE",X$7="No aplica"),0,'BOULEVARD 5'!AA251-'BOULEVARD PPTO'!S246)</f>
        <v>0</v>
      </c>
      <c r="Y253" s="760">
        <f>IF(OR($A253="F&amp;F",$A253="CE",Y$7="No aplica"),0,'BOULEVARD 5'!AB251-'BOULEVARD PPTO'!T246)</f>
        <v>-4600</v>
      </c>
      <c r="Z253" s="760">
        <f>IF(OR($A253="F&amp;F",$A253="CE",Z$7="No aplica"),0,'BOULEVARD 5'!AC251-'BOULEVARD PPTO'!U246)</f>
        <v>4600</v>
      </c>
      <c r="AA253" s="760">
        <f>IF(OR($A253="F&amp;F",$A253="CE",AA$7="No aplica"),0,'BOULEVARD 5'!AD251-'BOULEVARD PPTO'!V246)</f>
        <v>0</v>
      </c>
      <c r="AB253" s="760">
        <f>IF(OR($A253="F&amp;F",$A253="CE",AB$7="No aplica"),0,'BOULEVARD 5'!AE251-'BOULEVARD PPTO'!W246)</f>
        <v>0</v>
      </c>
      <c r="AC253" s="760">
        <f>IF(OR($A253="F&amp;F",$A253="CE",AC$7="No aplica"),0,'BOULEVARD 5'!AF251-'BOULEVARD PPTO'!X246)</f>
        <v>0</v>
      </c>
      <c r="AD253" s="760">
        <f>IF(OR($A253="F&amp;F",$A253="CE",AD$7="No aplica"),0,'BOULEVARD 5'!AG251-'BOULEVARD PPTO'!Y246)</f>
        <v>0</v>
      </c>
      <c r="AE253" s="760">
        <f>IF(OR($A253="F&amp;F",$A253="CE",AE$7="No aplica"),0,'BOULEVARD 5'!AH251-'BOULEVARD PPTO'!Z246)</f>
        <v>0</v>
      </c>
      <c r="AF253" s="760">
        <f>IF(OR($A253="F&amp;F",$A253="CE",AF$7="No aplica"),0,'BOULEVARD 5'!AI251-'BOULEVARD PPTO'!AA246)</f>
        <v>0</v>
      </c>
      <c r="AG253" s="760">
        <f>IF(OR($A253="F&amp;F",$A253="CE",AG$7="No aplica"),0,'BOULEVARD 5'!AJ251-'BOULEVARD PPTO'!AB246)</f>
        <v>-600</v>
      </c>
      <c r="AH253" s="760">
        <f>IF(OR($A253="F&amp;F",$A253="CE",AH$7="No aplica"),0,'BOULEVARD 5'!AK251-'BOULEVARD PPTO'!AC246)</f>
        <v>-4600</v>
      </c>
      <c r="AI253" s="760">
        <f>IF(OR($A253="F&amp;F",$A253="CE",AI$7="No aplica"),0,'BOULEVARD 5'!AL251-'BOULEVARD PPTO'!AD246)</f>
        <v>5000</v>
      </c>
      <c r="AJ253" s="760">
        <f>IF(OR($A253="F&amp;F",$A253="CE",AJ$7="No aplica"),0,'BOULEVARD 5'!AM251-'BOULEVARD PPTO'!AE246)</f>
        <v>-4600</v>
      </c>
      <c r="AK253" s="760">
        <f>IF(OR($A253="F&amp;F",$A253="CE",AK$7="No aplica"),0,'BOULEVARD 5'!AN251-'BOULEVARD PPTO'!AF246)</f>
        <v>5000</v>
      </c>
      <c r="AL253" s="760">
        <f>IF(OR($A253="F&amp;F",$A253="CE",AL$7="No aplica"),0,'BOULEVARD 5'!AO251-'BOULEVARD PPTO'!AG246)</f>
        <v>-4600</v>
      </c>
      <c r="AM253" s="760">
        <f>IF(OR($A253="F&amp;F",$A253="CE",AM$7="No aplica"),0,'BOULEVARD 5'!AP251-'BOULEVARD PPTO'!AH246)</f>
        <v>-4600</v>
      </c>
      <c r="AN253" s="760">
        <f>IF(OR($A253="F&amp;F",$A253="CE",AN$7="No aplica"),0,'BOULEVARD 5'!AQ251-'BOULEVARD PPTO'!AI246)</f>
        <v>0</v>
      </c>
      <c r="AO253" s="760">
        <f>IF(OR($A253="F&amp;F",$A253="CE",AO$7="No aplica"),0,'BOULEVARD 5'!AS251-'BOULEVARD PPTO'!AJ246)</f>
        <v>0</v>
      </c>
      <c r="AP253" s="761">
        <f t="shared" si="23"/>
        <v>-9000</v>
      </c>
      <c r="AQ253" s="761">
        <f t="shared" si="24"/>
        <v>-30371</v>
      </c>
      <c r="AR253" s="674">
        <f>IF(A253=0,'BOULEVARD 5'!BF251,0)</f>
        <v>6000</v>
      </c>
      <c r="AS253" s="674">
        <f>IF(A253=0,'BOULEVARD 5'!BG251,0)</f>
        <v>4600</v>
      </c>
      <c r="AT253" s="675" t="str">
        <f t="shared" si="22"/>
        <v>Vendido</v>
      </c>
      <c r="AU253" s="581" t="str">
        <f t="shared" si="26"/>
        <v>POR COBRAR</v>
      </c>
      <c r="AV253" s="760">
        <f t="shared" si="25"/>
        <v>0</v>
      </c>
    </row>
    <row r="254" spans="1:48" s="581" customFormat="1" ht="12.4" customHeight="1" outlineLevel="1" x14ac:dyDescent="0.25">
      <c r="A254" s="703" t="str">
        <f>'BOULEVARD 5'!BQ252</f>
        <v>CE</v>
      </c>
      <c r="B254" s="708">
        <v>1405</v>
      </c>
      <c r="C254" s="564" t="s">
        <v>547</v>
      </c>
      <c r="D254" s="707" t="s">
        <v>386</v>
      </c>
      <c r="E254" s="564" t="str">
        <f>IF('BOULEVARD 5'!E252&lt;&gt;0,'BOULEVARD 5'!E252,"")</f>
        <v>Antonio Rada</v>
      </c>
      <c r="F254" s="581" t="str">
        <f>IF('BOULEVARD 5'!F252&lt;&gt;0,'BOULEVARD 5'!F252,"")</f>
        <v>Victor Leonel Orozco Lopez</v>
      </c>
      <c r="G254" s="566">
        <f>IF('BOULEVARD 5'!G252="","",'BOULEVARD 5'!G252)</f>
        <v>45034</v>
      </c>
      <c r="H254" s="756">
        <f>IF(OR($A254="F&amp;F",$A254="CE",H$7="No aplica"),0,'BOULEVARD 5'!K252-'BOULEVARD PPTO'!C247)</f>
        <v>0</v>
      </c>
      <c r="I254" s="756">
        <f>IF(OR($A254="F&amp;F",$A254="CE",I$7="No aplica"),0,'BOULEVARD 5'!L252-'BOULEVARD PPTO'!D247)</f>
        <v>0</v>
      </c>
      <c r="J254" s="756">
        <f>IF(OR($A254="F&amp;F",$A254="CE",J$7="No aplica"),0,'BOULEVARD 5'!M252-'BOULEVARD PPTO'!E247)</f>
        <v>0</v>
      </c>
      <c r="K254" s="756">
        <f>IF(OR($A254="F&amp;F",$A254="CE",K$7="No aplica"),0,'BOULEVARD 5'!N252-'BOULEVARD PPTO'!F247)</f>
        <v>0</v>
      </c>
      <c r="L254" s="756">
        <f>IF(OR($A254="F&amp;F",$A254="CE",L$7="No aplica"),0,'BOULEVARD 5'!O252-'BOULEVARD PPTO'!G247)</f>
        <v>0</v>
      </c>
      <c r="M254" s="756">
        <f>IF(OR($A254="F&amp;F",$A254="CE",M$7="No aplica"),0,'BOULEVARD 5'!P252-'BOULEVARD PPTO'!H247)</f>
        <v>0</v>
      </c>
      <c r="N254" s="756">
        <f>IF(OR($A254="F&amp;F",$A254="CE",N$7="No aplica"),0,'BOULEVARD 5'!Q252-'BOULEVARD PPTO'!I247)</f>
        <v>0</v>
      </c>
      <c r="O254" s="756">
        <f>IF(OR($A254="F&amp;F",$A254="CE",O$7="No aplica"),0,'BOULEVARD 5'!R252-'BOULEVARD PPTO'!J247)</f>
        <v>0</v>
      </c>
      <c r="P254" s="756">
        <f>IF(OR($A254="F&amp;F",$A254="CE",P$7="No aplica"),0,'BOULEVARD 5'!S252-'BOULEVARD PPTO'!K247)</f>
        <v>0</v>
      </c>
      <c r="Q254" s="760">
        <f>IF(OR($A254="F&amp;F",$A254="CE",Q$7="No aplica"),0,'BOULEVARD 5'!T252-'BOULEVARD PPTO'!L247)</f>
        <v>0</v>
      </c>
      <c r="R254" s="760">
        <f>IF(OR($A254="F&amp;F",$A254="CE",R$7="No aplica"),0,'BOULEVARD 5'!U252-'BOULEVARD PPTO'!M247)</f>
        <v>0</v>
      </c>
      <c r="S254" s="760">
        <f>IF(OR($A254="F&amp;F",$A254="CE",S$7="No aplica"),0,'BOULEVARD 5'!V252-'BOULEVARD PPTO'!N247)</f>
        <v>0</v>
      </c>
      <c r="T254" s="760">
        <f>IF(OR($A254="F&amp;F",$A254="CE",T$7="No aplica"),0,'BOULEVARD 5'!W252-'BOULEVARD PPTO'!O247)</f>
        <v>0</v>
      </c>
      <c r="U254" s="760">
        <f>IF(OR($A254="F&amp;F",$A254="CE",U$7="No aplica"),0,'BOULEVARD 5'!X252-'BOULEVARD PPTO'!P247)</f>
        <v>0</v>
      </c>
      <c r="V254" s="760">
        <f>IF(OR($A254="F&amp;F",$A254="CE",V$7="No aplica"),0,'BOULEVARD 5'!Y252-'BOULEVARD PPTO'!Q247)</f>
        <v>0</v>
      </c>
      <c r="W254" s="760">
        <f>IF(OR($A254="F&amp;F",$A254="CE",W$7="No aplica"),0,'BOULEVARD 5'!Z252-'BOULEVARD PPTO'!R247)</f>
        <v>0</v>
      </c>
      <c r="X254" s="760">
        <f>IF(OR($A254="F&amp;F",$A254="CE",X$7="No aplica"),0,'BOULEVARD 5'!AA252-'BOULEVARD PPTO'!S247)</f>
        <v>0</v>
      </c>
      <c r="Y254" s="760">
        <f>IF(OR($A254="F&amp;F",$A254="CE",Y$7="No aplica"),0,'BOULEVARD 5'!AB252-'BOULEVARD PPTO'!T247)</f>
        <v>0</v>
      </c>
      <c r="Z254" s="760">
        <f>IF(OR($A254="F&amp;F",$A254="CE",Z$7="No aplica"),0,'BOULEVARD 5'!AC252-'BOULEVARD PPTO'!U247)</f>
        <v>0</v>
      </c>
      <c r="AA254" s="760">
        <f>IF(OR($A254="F&amp;F",$A254="CE",AA$7="No aplica"),0,'BOULEVARD 5'!AD252-'BOULEVARD PPTO'!V247)</f>
        <v>0</v>
      </c>
      <c r="AB254" s="760">
        <f>IF(OR($A254="F&amp;F",$A254="CE",AB$7="No aplica"),0,'BOULEVARD 5'!AE252-'BOULEVARD PPTO'!W247)</f>
        <v>0</v>
      </c>
      <c r="AC254" s="760">
        <f>IF(OR($A254="F&amp;F",$A254="CE",AC$7="No aplica"),0,'BOULEVARD 5'!AF252-'BOULEVARD PPTO'!X247)</f>
        <v>0</v>
      </c>
      <c r="AD254" s="760">
        <f>IF(OR($A254="F&amp;F",$A254="CE",AD$7="No aplica"),0,'BOULEVARD 5'!AG252-'BOULEVARD PPTO'!Y247)</f>
        <v>0</v>
      </c>
      <c r="AE254" s="760">
        <f>IF(OR($A254="F&amp;F",$A254="CE",AE$7="No aplica"),0,'BOULEVARD 5'!AH252-'BOULEVARD PPTO'!Z247)</f>
        <v>0</v>
      </c>
      <c r="AF254" s="760">
        <f>IF(OR($A254="F&amp;F",$A254="CE",AF$7="No aplica"),0,'BOULEVARD 5'!AI252-'BOULEVARD PPTO'!AA247)</f>
        <v>0</v>
      </c>
      <c r="AG254" s="760">
        <f>IF(OR($A254="F&amp;F",$A254="CE",AG$7="No aplica"),0,'BOULEVARD 5'!AJ252-'BOULEVARD PPTO'!AB247)</f>
        <v>0</v>
      </c>
      <c r="AH254" s="760">
        <f>IF(OR($A254="F&amp;F",$A254="CE",AH$7="No aplica"),0,'BOULEVARD 5'!AK252-'BOULEVARD PPTO'!AC247)</f>
        <v>0</v>
      </c>
      <c r="AI254" s="760">
        <f>IF(OR($A254="F&amp;F",$A254="CE",AI$7="No aplica"),0,'BOULEVARD 5'!AL252-'BOULEVARD PPTO'!AD247)</f>
        <v>0</v>
      </c>
      <c r="AJ254" s="760">
        <f>IF(OR($A254="F&amp;F",$A254="CE",AJ$7="No aplica"),0,'BOULEVARD 5'!AM252-'BOULEVARD PPTO'!AE247)</f>
        <v>0</v>
      </c>
      <c r="AK254" s="760">
        <f>IF(OR($A254="F&amp;F",$A254="CE",AK$7="No aplica"),0,'BOULEVARD 5'!AN252-'BOULEVARD PPTO'!AF247)</f>
        <v>0</v>
      </c>
      <c r="AL254" s="760">
        <f>IF(OR($A254="F&amp;F",$A254="CE",AL$7="No aplica"),0,'BOULEVARD 5'!AO252-'BOULEVARD PPTO'!AG247)</f>
        <v>0</v>
      </c>
      <c r="AM254" s="760">
        <f>IF(OR($A254="F&amp;F",$A254="CE",AM$7="No aplica"),0,'BOULEVARD 5'!AP252-'BOULEVARD PPTO'!AH247)</f>
        <v>0</v>
      </c>
      <c r="AN254" s="760">
        <f>IF(OR($A254="F&amp;F",$A254="CE",AN$7="No aplica"),0,'BOULEVARD 5'!AQ252-'BOULEVARD PPTO'!AI247)</f>
        <v>0</v>
      </c>
      <c r="AO254" s="760">
        <f>IF(OR($A254="F&amp;F",$A254="CE",AO$7="No aplica"),0,'BOULEVARD 5'!AS252-'BOULEVARD PPTO'!AJ247)</f>
        <v>0</v>
      </c>
      <c r="AP254" s="761">
        <f t="shared" si="23"/>
        <v>0</v>
      </c>
      <c r="AQ254" s="761">
        <f t="shared" si="24"/>
        <v>0</v>
      </c>
      <c r="AR254" s="674">
        <f>IF(A254=0,'BOULEVARD 5'!BF252,0)</f>
        <v>0</v>
      </c>
      <c r="AS254" s="674">
        <f>IF(A254=0,'BOULEVARD 5'!BG252,0)</f>
        <v>0</v>
      </c>
      <c r="AT254" s="675" t="str">
        <f t="shared" si="22"/>
        <v>Vendido</v>
      </c>
      <c r="AU254" s="581" t="str">
        <f t="shared" si="26"/>
        <v/>
      </c>
      <c r="AV254" s="760">
        <f t="shared" si="25"/>
        <v>0</v>
      </c>
    </row>
    <row r="255" spans="1:48" s="581" customFormat="1" ht="12.4" customHeight="1" outlineLevel="1" x14ac:dyDescent="0.25">
      <c r="A255" s="703">
        <f>'BOULEVARD 5'!BQ253</f>
        <v>0</v>
      </c>
      <c r="B255" s="564">
        <v>1406</v>
      </c>
      <c r="C255" s="564" t="s">
        <v>181</v>
      </c>
      <c r="D255" s="564"/>
      <c r="E255" s="564" t="str">
        <f>IF('BOULEVARD 5'!E253&lt;&gt;0,'BOULEVARD 5'!E253,"")</f>
        <v>Jose Franco</v>
      </c>
      <c r="F255" s="581" t="str">
        <f>IF('BOULEVARD 5'!F253&lt;&gt;0,'BOULEVARD 5'!F253,"")</f>
        <v xml:space="preserve"> Jonatan Hans Donis Montenegro</v>
      </c>
      <c r="G255" s="566">
        <f>IF('BOULEVARD 5'!G253="","",'BOULEVARD 5'!G253)</f>
        <v>45012</v>
      </c>
      <c r="H255" s="756">
        <f>IF(OR($A255="F&amp;F",$A255="CE",H$7="No aplica"),0,'BOULEVARD 5'!K253-'BOULEVARD PPTO'!C248)</f>
        <v>0</v>
      </c>
      <c r="I255" s="756">
        <f>IF(OR($A255="F&amp;F",$A255="CE",I$7="No aplica"),0,'BOULEVARD 5'!L253-'BOULEVARD PPTO'!D248)</f>
        <v>0</v>
      </c>
      <c r="J255" s="756">
        <f>IF(OR($A255="F&amp;F",$A255="CE",J$7="No aplica"),0,'BOULEVARD 5'!M253-'BOULEVARD PPTO'!E248)</f>
        <v>0</v>
      </c>
      <c r="K255" s="756">
        <f>IF(OR($A255="F&amp;F",$A255="CE",K$7="No aplica"),0,'BOULEVARD 5'!N253-'BOULEVARD PPTO'!F248)</f>
        <v>0</v>
      </c>
      <c r="L255" s="756">
        <f>IF(OR($A255="F&amp;F",$A255="CE",L$7="No aplica"),0,'BOULEVARD 5'!O253-'BOULEVARD PPTO'!G248)</f>
        <v>0</v>
      </c>
      <c r="M255" s="756">
        <f>IF(OR($A255="F&amp;F",$A255="CE",M$7="No aplica"),0,'BOULEVARD 5'!P253-'BOULEVARD PPTO'!H248)</f>
        <v>0</v>
      </c>
      <c r="N255" s="756">
        <f>IF(OR($A255="F&amp;F",$A255="CE",N$7="No aplica"),0,'BOULEVARD 5'!Q253-'BOULEVARD PPTO'!I248)</f>
        <v>0</v>
      </c>
      <c r="O255" s="756">
        <f>IF(OR($A255="F&amp;F",$A255="CE",O$7="No aplica"),0,'BOULEVARD 5'!R253-'BOULEVARD PPTO'!J248)</f>
        <v>0</v>
      </c>
      <c r="P255" s="756">
        <f>IF(OR($A255="F&amp;F",$A255="CE",P$7="No aplica"),0,'BOULEVARD 5'!S253-'BOULEVARD PPTO'!K248)</f>
        <v>0</v>
      </c>
      <c r="Q255" s="760">
        <f>IF(OR($A255="F&amp;F",$A255="CE",Q$7="No aplica"),0,'BOULEVARD 5'!T253-'BOULEVARD PPTO'!L248)</f>
        <v>0</v>
      </c>
      <c r="R255" s="760">
        <f>IF(OR($A255="F&amp;F",$A255="CE",R$7="No aplica"),0,'BOULEVARD 5'!U253-'BOULEVARD PPTO'!M248)</f>
        <v>0</v>
      </c>
      <c r="S255" s="760">
        <f>IF(OR($A255="F&amp;F",$A255="CE",S$7="No aplica"),0,'BOULEVARD 5'!V253-'BOULEVARD PPTO'!N248)</f>
        <v>0</v>
      </c>
      <c r="T255" s="760">
        <f>IF(OR($A255="F&amp;F",$A255="CE",T$7="No aplica"),0,'BOULEVARD 5'!W253-'BOULEVARD PPTO'!O248)</f>
        <v>0</v>
      </c>
      <c r="U255" s="760">
        <f>IF(OR($A255="F&amp;F",$A255="CE",U$7="No aplica"),0,'BOULEVARD 5'!X253-'BOULEVARD PPTO'!P248)</f>
        <v>0</v>
      </c>
      <c r="V255" s="760">
        <f>IF(OR($A255="F&amp;F",$A255="CE",V$7="No aplica"),0,'BOULEVARD 5'!Y253-'BOULEVARD PPTO'!Q248)</f>
        <v>0</v>
      </c>
      <c r="W255" s="760">
        <f>IF(OR($A255="F&amp;F",$A255="CE",W$7="No aplica"),0,'BOULEVARD 5'!Z253-'BOULEVARD PPTO'!R248)</f>
        <v>0</v>
      </c>
      <c r="X255" s="760">
        <f>IF(OR($A255="F&amp;F",$A255="CE",X$7="No aplica"),0,'BOULEVARD 5'!AA253-'BOULEVARD PPTO'!S248)</f>
        <v>0</v>
      </c>
      <c r="Y255" s="760">
        <f>IF(OR($A255="F&amp;F",$A255="CE",Y$7="No aplica"),0,'BOULEVARD 5'!AB253-'BOULEVARD PPTO'!T248)</f>
        <v>0</v>
      </c>
      <c r="Z255" s="760">
        <f>IF(OR($A255="F&amp;F",$A255="CE",Z$7="No aplica"),0,'BOULEVARD 5'!AC253-'BOULEVARD PPTO'!U248)</f>
        <v>0</v>
      </c>
      <c r="AA255" s="760">
        <f>IF(OR($A255="F&amp;F",$A255="CE",AA$7="No aplica"),0,'BOULEVARD 5'!AD253-'BOULEVARD PPTO'!V248)</f>
        <v>0</v>
      </c>
      <c r="AB255" s="760">
        <f>IF(OR($A255="F&amp;F",$A255="CE",AB$7="No aplica"),0,'BOULEVARD 5'!AE253-'BOULEVARD PPTO'!W248)</f>
        <v>0</v>
      </c>
      <c r="AC255" s="760">
        <f>IF(OR($A255="F&amp;F",$A255="CE",AC$7="No aplica"),0,'BOULEVARD 5'!AF253-'BOULEVARD PPTO'!X248)</f>
        <v>0</v>
      </c>
      <c r="AD255" s="760">
        <f>IF(OR($A255="F&amp;F",$A255="CE",AD$7="No aplica"),0,'BOULEVARD 5'!AG253-'BOULEVARD PPTO'!Y248)</f>
        <v>0</v>
      </c>
      <c r="AE255" s="760">
        <f>IF(OR($A255="F&amp;F",$A255="CE",AE$7="No aplica"),0,'BOULEVARD 5'!AH253-'BOULEVARD PPTO'!Z248)</f>
        <v>0</v>
      </c>
      <c r="AF255" s="760">
        <f>IF(OR($A255="F&amp;F",$A255="CE",AF$7="No aplica"),0,'BOULEVARD 5'!AI253-'BOULEVARD PPTO'!AA248)</f>
        <v>0</v>
      </c>
      <c r="AG255" s="760">
        <f>IF(OR($A255="F&amp;F",$A255="CE",AG$7="No aplica"),0,'BOULEVARD 5'!AJ253-'BOULEVARD PPTO'!AB248)</f>
        <v>0</v>
      </c>
      <c r="AH255" s="760">
        <f>IF(OR($A255="F&amp;F",$A255="CE",AH$7="No aplica"),0,'BOULEVARD 5'!AK253-'BOULEVARD PPTO'!AC248)</f>
        <v>0</v>
      </c>
      <c r="AI255" s="760">
        <f>IF(OR($A255="F&amp;F",$A255="CE",AI$7="No aplica"),0,'BOULEVARD 5'!AL253-'BOULEVARD PPTO'!AD248)</f>
        <v>0</v>
      </c>
      <c r="AJ255" s="760">
        <f>IF(OR($A255="F&amp;F",$A255="CE",AJ$7="No aplica"),0,'BOULEVARD 5'!AM253-'BOULEVARD PPTO'!AE248)</f>
        <v>0</v>
      </c>
      <c r="AK255" s="760">
        <f>IF(OR($A255="F&amp;F",$A255="CE",AK$7="No aplica"),0,'BOULEVARD 5'!AN253-'BOULEVARD PPTO'!AF248)</f>
        <v>0</v>
      </c>
      <c r="AL255" s="760">
        <f>IF(OR($A255="F&amp;F",$A255="CE",AL$7="No aplica"),0,'BOULEVARD 5'!AO253-'BOULEVARD PPTO'!AG248)</f>
        <v>0</v>
      </c>
      <c r="AM255" s="760">
        <f>IF(OR($A255="F&amp;F",$A255="CE",AM$7="No aplica"),0,'BOULEVARD 5'!AP253-'BOULEVARD PPTO'!AH248)</f>
        <v>0</v>
      </c>
      <c r="AN255" s="760">
        <f>IF(OR($A255="F&amp;F",$A255="CE",AN$7="No aplica"),0,'BOULEVARD 5'!AQ253-'BOULEVARD PPTO'!AI248)</f>
        <v>0</v>
      </c>
      <c r="AO255" s="760">
        <f>IF(OR($A255="F&amp;F",$A255="CE",AO$7="No aplica"),0,'BOULEVARD 5'!AS253-'BOULEVARD PPTO'!AJ248)</f>
        <v>0</v>
      </c>
      <c r="AP255" s="761">
        <f t="shared" si="23"/>
        <v>0</v>
      </c>
      <c r="AQ255" s="761">
        <f t="shared" si="24"/>
        <v>-5120</v>
      </c>
      <c r="AR255" s="674">
        <f>IF(A255=0,'BOULEVARD 5'!BF253,0)</f>
        <v>6000</v>
      </c>
      <c r="AS255" s="674">
        <f>IF(A255=0,'BOULEVARD 5'!BG253,0)</f>
        <v>1690</v>
      </c>
      <c r="AT255" s="675" t="str">
        <f t="shared" si="22"/>
        <v>Vendido</v>
      </c>
      <c r="AU255" s="581" t="str">
        <f t="shared" si="26"/>
        <v/>
      </c>
      <c r="AV255" s="760">
        <f t="shared" si="25"/>
        <v>0</v>
      </c>
    </row>
    <row r="256" spans="1:48" s="581" customFormat="1" ht="12.4" customHeight="1" outlineLevel="1" x14ac:dyDescent="0.25">
      <c r="A256" s="703" t="str">
        <f>'BOULEVARD 5'!BQ254</f>
        <v>F&amp;F</v>
      </c>
      <c r="B256" s="704">
        <v>1407</v>
      </c>
      <c r="C256" s="704" t="s">
        <v>534</v>
      </c>
      <c r="D256" s="704"/>
      <c r="E256" s="704" t="str">
        <f>IF('BOULEVARD 5'!E254&lt;&gt;0,'BOULEVARD 5'!E254,"")</f>
        <v>Ronaldo</v>
      </c>
      <c r="F256" s="705" t="str">
        <f>IF('BOULEVARD 5'!F254&lt;&gt;0,'BOULEVARD 5'!F254,"")</f>
        <v>José Herrera Pérez</v>
      </c>
      <c r="G256" s="566">
        <f>IF('BOULEVARD 5'!G254="","",'BOULEVARD 5'!G254)</f>
        <v>45336</v>
      </c>
      <c r="H256" s="756">
        <f>IF(OR($A256="F&amp;F",$A256="CE",H$7="No aplica"),0,'BOULEVARD 5'!K254-'BOULEVARD PPTO'!C249)</f>
        <v>0</v>
      </c>
      <c r="I256" s="756">
        <f>IF(OR($A256="F&amp;F",$A256="CE",I$7="No aplica"),0,'BOULEVARD 5'!L254-'BOULEVARD PPTO'!D249)</f>
        <v>0</v>
      </c>
      <c r="J256" s="756">
        <f>IF(OR($A256="F&amp;F",$A256="CE",J$7="No aplica"),0,'BOULEVARD 5'!M254-'BOULEVARD PPTO'!E249)</f>
        <v>0</v>
      </c>
      <c r="K256" s="756">
        <f>IF(OR($A256="F&amp;F",$A256="CE",K$7="No aplica"),0,'BOULEVARD 5'!N254-'BOULEVARD PPTO'!F249)</f>
        <v>0</v>
      </c>
      <c r="L256" s="756">
        <f>IF(OR($A256="F&amp;F",$A256="CE",L$7="No aplica"),0,'BOULEVARD 5'!O254-'BOULEVARD PPTO'!G249)</f>
        <v>0</v>
      </c>
      <c r="M256" s="756">
        <f>IF(OR($A256="F&amp;F",$A256="CE",M$7="No aplica"),0,'BOULEVARD 5'!P254-'BOULEVARD PPTO'!H249)</f>
        <v>0</v>
      </c>
      <c r="N256" s="756">
        <f>IF(OR($A256="F&amp;F",$A256="CE",N$7="No aplica"),0,'BOULEVARD 5'!Q254-'BOULEVARD PPTO'!I249)</f>
        <v>0</v>
      </c>
      <c r="O256" s="756">
        <f>IF(OR($A256="F&amp;F",$A256="CE",O$7="No aplica"),0,'BOULEVARD 5'!R254-'BOULEVARD PPTO'!J249)</f>
        <v>0</v>
      </c>
      <c r="P256" s="756">
        <f>IF(OR($A256="F&amp;F",$A256="CE",P$7="No aplica"),0,'BOULEVARD 5'!S254-'BOULEVARD PPTO'!K249)</f>
        <v>0</v>
      </c>
      <c r="Q256" s="760">
        <f>IF(OR($A256="F&amp;F",$A256="CE",Q$7="No aplica"),0,'BOULEVARD 5'!T254-'BOULEVARD PPTO'!L249)</f>
        <v>0</v>
      </c>
      <c r="R256" s="760">
        <f>IF(OR($A256="F&amp;F",$A256="CE",R$7="No aplica"),0,'BOULEVARD 5'!U254-'BOULEVARD PPTO'!M249)</f>
        <v>0</v>
      </c>
      <c r="S256" s="760">
        <f>IF(OR($A256="F&amp;F",$A256="CE",S$7="No aplica"),0,'BOULEVARD 5'!V254-'BOULEVARD PPTO'!N249)</f>
        <v>0</v>
      </c>
      <c r="T256" s="760">
        <f>IF(OR($A256="F&amp;F",$A256="CE",T$7="No aplica"),0,'BOULEVARD 5'!W254-'BOULEVARD PPTO'!O249)</f>
        <v>0</v>
      </c>
      <c r="U256" s="760">
        <f>IF(OR($A256="F&amp;F",$A256="CE",U$7="No aplica"),0,'BOULEVARD 5'!X254-'BOULEVARD PPTO'!P249)</f>
        <v>0</v>
      </c>
      <c r="V256" s="760">
        <f>IF(OR($A256="F&amp;F",$A256="CE",V$7="No aplica"),0,'BOULEVARD 5'!Y254-'BOULEVARD PPTO'!Q249)</f>
        <v>0</v>
      </c>
      <c r="W256" s="760">
        <f>IF(OR($A256="F&amp;F",$A256="CE",W$7="No aplica"),0,'BOULEVARD 5'!Z254-'BOULEVARD PPTO'!R249)</f>
        <v>0</v>
      </c>
      <c r="X256" s="760">
        <f>IF(OR($A256="F&amp;F",$A256="CE",X$7="No aplica"),0,'BOULEVARD 5'!AA254-'BOULEVARD PPTO'!S249)</f>
        <v>0</v>
      </c>
      <c r="Y256" s="760">
        <f>IF(OR($A256="F&amp;F",$A256="CE",Y$7="No aplica"),0,'BOULEVARD 5'!AB254-'BOULEVARD PPTO'!T249)</f>
        <v>0</v>
      </c>
      <c r="Z256" s="760">
        <f>IF(OR($A256="F&amp;F",$A256="CE",Z$7="No aplica"),0,'BOULEVARD 5'!AC254-'BOULEVARD PPTO'!U249)</f>
        <v>0</v>
      </c>
      <c r="AA256" s="760">
        <f>IF(OR($A256="F&amp;F",$A256="CE",AA$7="No aplica"),0,'BOULEVARD 5'!AD254-'BOULEVARD PPTO'!V249)</f>
        <v>0</v>
      </c>
      <c r="AB256" s="760">
        <f>IF(OR($A256="F&amp;F",$A256="CE",AB$7="No aplica"),0,'BOULEVARD 5'!AE254-'BOULEVARD PPTO'!W249)</f>
        <v>0</v>
      </c>
      <c r="AC256" s="760">
        <f>IF(OR($A256="F&amp;F",$A256="CE",AC$7="No aplica"),0,'BOULEVARD 5'!AF254-'BOULEVARD PPTO'!X249)</f>
        <v>0</v>
      </c>
      <c r="AD256" s="760">
        <f>IF(OR($A256="F&amp;F",$A256="CE",AD$7="No aplica"),0,'BOULEVARD 5'!AG254-'BOULEVARD PPTO'!Y249)</f>
        <v>0</v>
      </c>
      <c r="AE256" s="760">
        <f>IF(OR($A256="F&amp;F",$A256="CE",AE$7="No aplica"),0,'BOULEVARD 5'!AH254-'BOULEVARD PPTO'!Z249)</f>
        <v>0</v>
      </c>
      <c r="AF256" s="760">
        <f>IF(OR($A256="F&amp;F",$A256="CE",AF$7="No aplica"),0,'BOULEVARD 5'!AI254-'BOULEVARD PPTO'!AA249)</f>
        <v>0</v>
      </c>
      <c r="AG256" s="760">
        <f>IF(OR($A256="F&amp;F",$A256="CE",AG$7="No aplica"),0,'BOULEVARD 5'!AJ254-'BOULEVARD PPTO'!AB249)</f>
        <v>0</v>
      </c>
      <c r="AH256" s="760">
        <f>IF(OR($A256="F&amp;F",$A256="CE",AH$7="No aplica"),0,'BOULEVARD 5'!AK254-'BOULEVARD PPTO'!AC249)</f>
        <v>0</v>
      </c>
      <c r="AI256" s="760">
        <f>IF(OR($A256="F&amp;F",$A256="CE",AI$7="No aplica"),0,'BOULEVARD 5'!AL254-'BOULEVARD PPTO'!AD249)</f>
        <v>0</v>
      </c>
      <c r="AJ256" s="760">
        <f>IF(OR($A256="F&amp;F",$A256="CE",AJ$7="No aplica"),0,'BOULEVARD 5'!AM254-'BOULEVARD PPTO'!AE249)</f>
        <v>0</v>
      </c>
      <c r="AK256" s="760">
        <f>IF(OR($A256="F&amp;F",$A256="CE",AK$7="No aplica"),0,'BOULEVARD 5'!AN254-'BOULEVARD PPTO'!AF249)</f>
        <v>0</v>
      </c>
      <c r="AL256" s="760">
        <f>IF(OR($A256="F&amp;F",$A256="CE",AL$7="No aplica"),0,'BOULEVARD 5'!AO254-'BOULEVARD PPTO'!AG249)</f>
        <v>0</v>
      </c>
      <c r="AM256" s="760">
        <f>IF(OR($A256="F&amp;F",$A256="CE",AM$7="No aplica"),0,'BOULEVARD 5'!AP254-'BOULEVARD PPTO'!AH249)</f>
        <v>0</v>
      </c>
      <c r="AN256" s="760">
        <f>IF(OR($A256="F&amp;F",$A256="CE",AN$7="No aplica"),0,'BOULEVARD 5'!AQ254-'BOULEVARD PPTO'!AI249)</f>
        <v>0</v>
      </c>
      <c r="AO256" s="760">
        <f>IF(OR($A256="F&amp;F",$A256="CE",AO$7="No aplica"),0,'BOULEVARD 5'!AS254-'BOULEVARD PPTO'!AJ249)</f>
        <v>0</v>
      </c>
      <c r="AP256" s="761">
        <f t="shared" si="23"/>
        <v>0</v>
      </c>
      <c r="AQ256" s="761">
        <f t="shared" si="24"/>
        <v>0</v>
      </c>
      <c r="AR256" s="674">
        <f>IF(A256=0,'BOULEVARD 5'!BF254,0)</f>
        <v>0</v>
      </c>
      <c r="AS256" s="674">
        <f>IF(A256=0,'BOULEVARD 5'!BG254,0)</f>
        <v>0</v>
      </c>
      <c r="AT256" s="675" t="str">
        <f t="shared" si="22"/>
        <v>Vendido</v>
      </c>
      <c r="AU256" s="581" t="str">
        <f t="shared" si="26"/>
        <v/>
      </c>
      <c r="AV256" s="760">
        <f t="shared" si="25"/>
        <v>0</v>
      </c>
    </row>
    <row r="257" spans="1:48" s="581" customFormat="1" ht="12.4" customHeight="1" outlineLevel="1" x14ac:dyDescent="0.25">
      <c r="A257" s="703">
        <f>'BOULEVARD 5'!BQ255</f>
        <v>0</v>
      </c>
      <c r="B257" s="564">
        <v>1408</v>
      </c>
      <c r="C257" s="564" t="s">
        <v>536</v>
      </c>
      <c r="D257" s="564"/>
      <c r="E257" s="564" t="str">
        <f>IF('BOULEVARD 5'!E255&lt;&gt;0,'BOULEVARD 5'!E255,"")</f>
        <v>Erwin Cardona</v>
      </c>
      <c r="F257" s="581" t="str">
        <f>IF('BOULEVARD 5'!F255&lt;&gt;0,'BOULEVARD 5'!F255,"")</f>
        <v>GUILLERMO ALFREDO SAENZ DE TEJADA VILLEDA</v>
      </c>
      <c r="G257" s="566">
        <f>IF('BOULEVARD 5'!G255="","",'BOULEVARD 5'!G255)</f>
        <v>46027</v>
      </c>
      <c r="H257" s="756">
        <f>IF(OR($A257="F&amp;F",$A257="CE",H$7="No aplica"),0,'BOULEVARD 5'!K255-'BOULEVARD PPTO'!C250)</f>
        <v>0</v>
      </c>
      <c r="I257" s="756">
        <f>IF(OR($A257="F&amp;F",$A257="CE",I$7="No aplica"),0,'BOULEVARD 5'!L255-'BOULEVARD PPTO'!D250)</f>
        <v>0</v>
      </c>
      <c r="J257" s="756">
        <f>IF(OR($A257="F&amp;F",$A257="CE",J$7="No aplica"),0,'BOULEVARD 5'!M255-'BOULEVARD PPTO'!E250)</f>
        <v>0</v>
      </c>
      <c r="K257" s="756">
        <f>IF(OR($A257="F&amp;F",$A257="CE",K$7="No aplica"),0,'BOULEVARD 5'!N255-'BOULEVARD PPTO'!F250)</f>
        <v>0</v>
      </c>
      <c r="L257" s="756">
        <f>IF(OR($A257="F&amp;F",$A257="CE",L$7="No aplica"),0,'BOULEVARD 5'!O255-'BOULEVARD PPTO'!G250)</f>
        <v>0</v>
      </c>
      <c r="M257" s="756">
        <f>IF(OR($A257="F&amp;F",$A257="CE",M$7="No aplica"),0,'BOULEVARD 5'!P255-'BOULEVARD PPTO'!H250)</f>
        <v>0</v>
      </c>
      <c r="N257" s="756">
        <f>IF(OR($A257="F&amp;F",$A257="CE",N$7="No aplica"),0,'BOULEVARD 5'!Q255-'BOULEVARD PPTO'!I250)</f>
        <v>0</v>
      </c>
      <c r="O257" s="756">
        <f>IF(OR($A257="F&amp;F",$A257="CE",O$7="No aplica"),0,'BOULEVARD 5'!R255-'BOULEVARD PPTO'!J250)</f>
        <v>0</v>
      </c>
      <c r="P257" s="756">
        <f>IF(OR($A257="F&amp;F",$A257="CE",P$7="No aplica"),0,'BOULEVARD 5'!S255-'BOULEVARD PPTO'!K250)</f>
        <v>0</v>
      </c>
      <c r="Q257" s="760">
        <f>IF(OR($A257="F&amp;F",$A257="CE",Q$7="No aplica"),0,'BOULEVARD 5'!T255-'BOULEVARD PPTO'!L250)</f>
        <v>0</v>
      </c>
      <c r="R257" s="760">
        <f>IF(OR($A257="F&amp;F",$A257="CE",R$7="No aplica"),0,'BOULEVARD 5'!U255-'BOULEVARD PPTO'!M250)</f>
        <v>0</v>
      </c>
      <c r="S257" s="760">
        <f>IF(OR($A257="F&amp;F",$A257="CE",S$7="No aplica"),0,'BOULEVARD 5'!V255-'BOULEVARD PPTO'!N250)</f>
        <v>0</v>
      </c>
      <c r="T257" s="760">
        <f>IF(OR($A257="F&amp;F",$A257="CE",T$7="No aplica"),0,'BOULEVARD 5'!W255-'BOULEVARD PPTO'!O250)</f>
        <v>0</v>
      </c>
      <c r="U257" s="760">
        <f>IF(OR($A257="F&amp;F",$A257="CE",U$7="No aplica"),0,'BOULEVARD 5'!X255-'BOULEVARD PPTO'!P250)</f>
        <v>0</v>
      </c>
      <c r="V257" s="760">
        <f>IF(OR($A257="F&amp;F",$A257="CE",V$7="No aplica"),0,'BOULEVARD 5'!Y255-'BOULEVARD PPTO'!Q250)</f>
        <v>0</v>
      </c>
      <c r="W257" s="760">
        <f>IF(OR($A257="F&amp;F",$A257="CE",W$7="No aplica"),0,'BOULEVARD 5'!Z255-'BOULEVARD PPTO'!R250)</f>
        <v>0</v>
      </c>
      <c r="X257" s="760">
        <f>IF(OR($A257="F&amp;F",$A257="CE",X$7="No aplica"),0,'BOULEVARD 5'!AA255-'BOULEVARD PPTO'!S250)</f>
        <v>0</v>
      </c>
      <c r="Y257" s="760">
        <f>IF(OR($A257="F&amp;F",$A257="CE",Y$7="No aplica"),0,'BOULEVARD 5'!AB255-'BOULEVARD PPTO'!T250)</f>
        <v>0</v>
      </c>
      <c r="Z257" s="760">
        <f>IF(OR($A257="F&amp;F",$A257="CE",Z$7="No aplica"),0,'BOULEVARD 5'!AC255-'BOULEVARD PPTO'!U250)</f>
        <v>0</v>
      </c>
      <c r="AA257" s="760">
        <f>IF(OR($A257="F&amp;F",$A257="CE",AA$7="No aplica"),0,'BOULEVARD 5'!AD255-'BOULEVARD PPTO'!V250)</f>
        <v>0</v>
      </c>
      <c r="AB257" s="760">
        <f>IF(OR($A257="F&amp;F",$A257="CE",AB$7="No aplica"),0,'BOULEVARD 5'!AE255-'BOULEVARD PPTO'!W250)</f>
        <v>0</v>
      </c>
      <c r="AC257" s="760">
        <f>IF(OR($A257="F&amp;F",$A257="CE",AC$7="No aplica"),0,'BOULEVARD 5'!AF255-'BOULEVARD PPTO'!X250)</f>
        <v>0</v>
      </c>
      <c r="AD257" s="760">
        <f>IF(OR($A257="F&amp;F",$A257="CE",AD$7="No aplica"),0,'BOULEVARD 5'!AG255-'BOULEVARD PPTO'!Y250)</f>
        <v>0</v>
      </c>
      <c r="AE257" s="760">
        <f>IF(OR($A257="F&amp;F",$A257="CE",AE$7="No aplica"),0,'BOULEVARD 5'!AH255-'BOULEVARD PPTO'!Z250)</f>
        <v>0</v>
      </c>
      <c r="AF257" s="760">
        <f>IF(OR($A257="F&amp;F",$A257="CE",AF$7="No aplica"),0,'BOULEVARD 5'!AI255-'BOULEVARD PPTO'!AA250)</f>
        <v>0</v>
      </c>
      <c r="AG257" s="760">
        <f>IF(OR($A257="F&amp;F",$A257="CE",AG$7="No aplica"),0,'BOULEVARD 5'!AJ255-'BOULEVARD PPTO'!AB250)</f>
        <v>0</v>
      </c>
      <c r="AH257" s="760">
        <f>IF(OR($A257="F&amp;F",$A257="CE",AH$7="No aplica"),0,'BOULEVARD 5'!AK255-'BOULEVARD PPTO'!AC250)</f>
        <v>0</v>
      </c>
      <c r="AI257" s="760">
        <f>IF(OR($A257="F&amp;F",$A257="CE",AI$7="No aplica"),0,'BOULEVARD 5'!AL255-'BOULEVARD PPTO'!AD250)</f>
        <v>0</v>
      </c>
      <c r="AJ257" s="760">
        <f>IF(OR($A257="F&amp;F",$A257="CE",AJ$7="No aplica"),0,'BOULEVARD 5'!AM255-'BOULEVARD PPTO'!AE250)</f>
        <v>0</v>
      </c>
      <c r="AK257" s="760">
        <f>IF(OR($A257="F&amp;F",$A257="CE",AK$7="No aplica"),0,'BOULEVARD 5'!AN255-'BOULEVARD PPTO'!AF250)</f>
        <v>0</v>
      </c>
      <c r="AL257" s="760">
        <f>IF(OR($A257="F&amp;F",$A257="CE",AL$7="No aplica"),0,'BOULEVARD 5'!AO255-'BOULEVARD PPTO'!AG250)</f>
        <v>0</v>
      </c>
      <c r="AM257" s="760">
        <f>IF(OR($A257="F&amp;F",$A257="CE",AM$7="No aplica"),0,'BOULEVARD 5'!AP255-'BOULEVARD PPTO'!AH250)</f>
        <v>0</v>
      </c>
      <c r="AN257" s="760">
        <f>IF(OR($A257="F&amp;F",$A257="CE",AN$7="No aplica"),0,'BOULEVARD 5'!AQ255-'BOULEVARD PPTO'!AI250)</f>
        <v>0</v>
      </c>
      <c r="AO257" s="760">
        <f>IF(OR($A257="F&amp;F",$A257="CE",AO$7="No aplica"),0,'BOULEVARD 5'!AS255-'BOULEVARD PPTO'!AJ250)</f>
        <v>0</v>
      </c>
      <c r="AP257" s="761">
        <f t="shared" si="23"/>
        <v>0</v>
      </c>
      <c r="AQ257" s="761">
        <f t="shared" si="24"/>
        <v>9489.2900000000009</v>
      </c>
      <c r="AR257" s="674">
        <f>IF(A257=0,'BOULEVARD 5'!BF255,0)</f>
        <v>0</v>
      </c>
      <c r="AS257" s="674">
        <f>IF(A257=0,'BOULEVARD 5'!BG255,0)</f>
        <v>0</v>
      </c>
      <c r="AT257" s="675" t="str">
        <f t="shared" si="22"/>
        <v>Vendido</v>
      </c>
      <c r="AU257" s="581" t="str">
        <f t="shared" si="26"/>
        <v/>
      </c>
      <c r="AV257" s="760">
        <f t="shared" si="25"/>
        <v>0</v>
      </c>
    </row>
    <row r="258" spans="1:48" s="581" customFormat="1" ht="12.4" customHeight="1" outlineLevel="1" x14ac:dyDescent="0.25">
      <c r="A258" s="703" t="str">
        <f>'BOULEVARD 5'!BQ256</f>
        <v>F&amp;F</v>
      </c>
      <c r="B258" s="704">
        <v>1409</v>
      </c>
      <c r="C258" s="704" t="s">
        <v>400</v>
      </c>
      <c r="D258" s="704"/>
      <c r="E258" s="704" t="str">
        <f>IF('BOULEVARD 5'!E256&lt;&gt;0,'BOULEVARD 5'!E256,"")</f>
        <v>Ronaldo</v>
      </c>
      <c r="F258" s="705" t="str">
        <f>IF('BOULEVARD 5'!F256&lt;&gt;0,'BOULEVARD 5'!F256,"")</f>
        <v>International Coffee Industry, S.A</v>
      </c>
      <c r="G258" s="566">
        <f>IF('BOULEVARD 5'!G256="","",'BOULEVARD 5'!G256)</f>
        <v>45300</v>
      </c>
      <c r="H258" s="756">
        <f>IF(OR($A258="F&amp;F",$A258="CE",H$7="No aplica"),0,'BOULEVARD 5'!K256-'BOULEVARD PPTO'!C251)</f>
        <v>0</v>
      </c>
      <c r="I258" s="756">
        <f>IF(OR($A258="F&amp;F",$A258="CE",I$7="No aplica"),0,'BOULEVARD 5'!L256-'BOULEVARD PPTO'!D251)</f>
        <v>0</v>
      </c>
      <c r="J258" s="756">
        <f>IF(OR($A258="F&amp;F",$A258="CE",J$7="No aplica"),0,'BOULEVARD 5'!M256-'BOULEVARD PPTO'!E251)</f>
        <v>0</v>
      </c>
      <c r="K258" s="756">
        <f>IF(OR($A258="F&amp;F",$A258="CE",K$7="No aplica"),0,'BOULEVARD 5'!N256-'BOULEVARD PPTO'!F251)</f>
        <v>0</v>
      </c>
      <c r="L258" s="756">
        <f>IF(OR($A258="F&amp;F",$A258="CE",L$7="No aplica"),0,'BOULEVARD 5'!O256-'BOULEVARD PPTO'!G251)</f>
        <v>0</v>
      </c>
      <c r="M258" s="756">
        <f>IF(OR($A258="F&amp;F",$A258="CE",M$7="No aplica"),0,'BOULEVARD 5'!P256-'BOULEVARD PPTO'!H251)</f>
        <v>0</v>
      </c>
      <c r="N258" s="756">
        <f>IF(OR($A258="F&amp;F",$A258="CE",N$7="No aplica"),0,'BOULEVARD 5'!Q256-'BOULEVARD PPTO'!I251)</f>
        <v>0</v>
      </c>
      <c r="O258" s="756">
        <f>IF(OR($A258="F&amp;F",$A258="CE",O$7="No aplica"),0,'BOULEVARD 5'!R256-'BOULEVARD PPTO'!J251)</f>
        <v>0</v>
      </c>
      <c r="P258" s="756">
        <f>IF(OR($A258="F&amp;F",$A258="CE",P$7="No aplica"),0,'BOULEVARD 5'!S256-'BOULEVARD PPTO'!K251)</f>
        <v>0</v>
      </c>
      <c r="Q258" s="760">
        <f>IF(OR($A258="F&amp;F",$A258="CE",Q$7="No aplica"),0,'BOULEVARD 5'!T256-'BOULEVARD PPTO'!L251)</f>
        <v>0</v>
      </c>
      <c r="R258" s="760">
        <f>IF(OR($A258="F&amp;F",$A258="CE",R$7="No aplica"),0,'BOULEVARD 5'!U256-'BOULEVARD PPTO'!M251)</f>
        <v>0</v>
      </c>
      <c r="S258" s="760">
        <f>IF(OR($A258="F&amp;F",$A258="CE",S$7="No aplica"),0,'BOULEVARD 5'!V256-'BOULEVARD PPTO'!N251)</f>
        <v>0</v>
      </c>
      <c r="T258" s="760">
        <f>IF(OR($A258="F&amp;F",$A258="CE",T$7="No aplica"),0,'BOULEVARD 5'!W256-'BOULEVARD PPTO'!O251)</f>
        <v>0</v>
      </c>
      <c r="U258" s="760">
        <f>IF(OR($A258="F&amp;F",$A258="CE",U$7="No aplica"),0,'BOULEVARD 5'!X256-'BOULEVARD PPTO'!P251)</f>
        <v>0</v>
      </c>
      <c r="V258" s="760">
        <f>IF(OR($A258="F&amp;F",$A258="CE",V$7="No aplica"),0,'BOULEVARD 5'!Y256-'BOULEVARD PPTO'!Q251)</f>
        <v>0</v>
      </c>
      <c r="W258" s="760">
        <f>IF(OR($A258="F&amp;F",$A258="CE",W$7="No aplica"),0,'BOULEVARD 5'!Z256-'BOULEVARD PPTO'!R251)</f>
        <v>0</v>
      </c>
      <c r="X258" s="760">
        <f>IF(OR($A258="F&amp;F",$A258="CE",X$7="No aplica"),0,'BOULEVARD 5'!AA256-'BOULEVARD PPTO'!S251)</f>
        <v>0</v>
      </c>
      <c r="Y258" s="760">
        <f>IF(OR($A258="F&amp;F",$A258="CE",Y$7="No aplica"),0,'BOULEVARD 5'!AB256-'BOULEVARD PPTO'!T251)</f>
        <v>0</v>
      </c>
      <c r="Z258" s="760">
        <f>IF(OR($A258="F&amp;F",$A258="CE",Z$7="No aplica"),0,'BOULEVARD 5'!AC256-'BOULEVARD PPTO'!U251)</f>
        <v>0</v>
      </c>
      <c r="AA258" s="760">
        <f>IF(OR($A258="F&amp;F",$A258="CE",AA$7="No aplica"),0,'BOULEVARD 5'!AD256-'BOULEVARD PPTO'!V251)</f>
        <v>0</v>
      </c>
      <c r="AB258" s="760">
        <f>IF(OR($A258="F&amp;F",$A258="CE",AB$7="No aplica"),0,'BOULEVARD 5'!AE256-'BOULEVARD PPTO'!W251)</f>
        <v>0</v>
      </c>
      <c r="AC258" s="760">
        <f>IF(OR($A258="F&amp;F",$A258="CE",AC$7="No aplica"),0,'BOULEVARD 5'!AF256-'BOULEVARD PPTO'!X251)</f>
        <v>0</v>
      </c>
      <c r="AD258" s="760">
        <f>IF(OR($A258="F&amp;F",$A258="CE",AD$7="No aplica"),0,'BOULEVARD 5'!AG256-'BOULEVARD PPTO'!Y251)</f>
        <v>0</v>
      </c>
      <c r="AE258" s="760">
        <f>IF(OR($A258="F&amp;F",$A258="CE",AE$7="No aplica"),0,'BOULEVARD 5'!AH256-'BOULEVARD PPTO'!Z251)</f>
        <v>0</v>
      </c>
      <c r="AF258" s="760">
        <f>IF(OR($A258="F&amp;F",$A258="CE",AF$7="No aplica"),0,'BOULEVARD 5'!AI256-'BOULEVARD PPTO'!AA251)</f>
        <v>0</v>
      </c>
      <c r="AG258" s="760">
        <f>IF(OR($A258="F&amp;F",$A258="CE",AG$7="No aplica"),0,'BOULEVARD 5'!AJ256-'BOULEVARD PPTO'!AB251)</f>
        <v>0</v>
      </c>
      <c r="AH258" s="760">
        <f>IF(OR($A258="F&amp;F",$A258="CE",AH$7="No aplica"),0,'BOULEVARD 5'!AK256-'BOULEVARD PPTO'!AC251)</f>
        <v>0</v>
      </c>
      <c r="AI258" s="760">
        <f>IF(OR($A258="F&amp;F",$A258="CE",AI$7="No aplica"),0,'BOULEVARD 5'!AL256-'BOULEVARD PPTO'!AD251)</f>
        <v>0</v>
      </c>
      <c r="AJ258" s="760">
        <f>IF(OR($A258="F&amp;F",$A258="CE",AJ$7="No aplica"),0,'BOULEVARD 5'!AM256-'BOULEVARD PPTO'!AE251)</f>
        <v>0</v>
      </c>
      <c r="AK258" s="760">
        <f>IF(OR($A258="F&amp;F",$A258="CE",AK$7="No aplica"),0,'BOULEVARD 5'!AN256-'BOULEVARD PPTO'!AF251)</f>
        <v>0</v>
      </c>
      <c r="AL258" s="760">
        <f>IF(OR($A258="F&amp;F",$A258="CE",AL$7="No aplica"),0,'BOULEVARD 5'!AO256-'BOULEVARD PPTO'!AG251)</f>
        <v>0</v>
      </c>
      <c r="AM258" s="760">
        <f>IF(OR($A258="F&amp;F",$A258="CE",AM$7="No aplica"),0,'BOULEVARD 5'!AP256-'BOULEVARD PPTO'!AH251)</f>
        <v>0</v>
      </c>
      <c r="AN258" s="760">
        <f>IF(OR($A258="F&amp;F",$A258="CE",AN$7="No aplica"),0,'BOULEVARD 5'!AQ256-'BOULEVARD PPTO'!AI251)</f>
        <v>0</v>
      </c>
      <c r="AO258" s="760">
        <f>IF(OR($A258="F&amp;F",$A258="CE",AO$7="No aplica"),0,'BOULEVARD 5'!AS256-'BOULEVARD PPTO'!AJ251)</f>
        <v>0</v>
      </c>
      <c r="AP258" s="761">
        <f t="shared" si="23"/>
        <v>0</v>
      </c>
      <c r="AQ258" s="761">
        <f t="shared" si="24"/>
        <v>0</v>
      </c>
      <c r="AR258" s="674">
        <f>IF(A258=0,'BOULEVARD 5'!BF256,0)</f>
        <v>0</v>
      </c>
      <c r="AS258" s="674">
        <f>IF(A258=0,'BOULEVARD 5'!BG256,0)</f>
        <v>0</v>
      </c>
      <c r="AT258" s="675" t="str">
        <f t="shared" si="22"/>
        <v>Vendido</v>
      </c>
      <c r="AU258" s="581" t="str">
        <f t="shared" si="26"/>
        <v/>
      </c>
      <c r="AV258" s="760">
        <f t="shared" si="25"/>
        <v>0</v>
      </c>
    </row>
    <row r="259" spans="1:48" s="581" customFormat="1" ht="12.4" customHeight="1" outlineLevel="1" x14ac:dyDescent="0.25">
      <c r="A259" s="703" t="str">
        <f>'BOULEVARD 5'!BQ257</f>
        <v>CE</v>
      </c>
      <c r="B259" s="564">
        <v>1410</v>
      </c>
      <c r="C259" s="564" t="s">
        <v>175</v>
      </c>
      <c r="D259" s="647" t="s">
        <v>336</v>
      </c>
      <c r="E259" s="564" t="str">
        <f>IF('BOULEVARD 5'!E257&lt;&gt;0,'BOULEVARD 5'!E257,"")</f>
        <v>Antonio Rada</v>
      </c>
      <c r="F259" s="581" t="str">
        <f>IF('BOULEVARD 5'!F257&lt;&gt;0,'BOULEVARD 5'!F257,"")</f>
        <v>Selvin Ramiro Gamez Perez</v>
      </c>
      <c r="G259" s="566">
        <f>IF('BOULEVARD 5'!G257="","",'BOULEVARD 5'!G257)</f>
        <v>45327</v>
      </c>
      <c r="H259" s="756">
        <f>IF(OR($A259="F&amp;F",$A259="CE",H$7="No aplica"),0,'BOULEVARD 5'!K257-'BOULEVARD PPTO'!C252)</f>
        <v>0</v>
      </c>
      <c r="I259" s="756">
        <f>IF(OR($A259="F&amp;F",$A259="CE",I$7="No aplica"),0,'BOULEVARD 5'!L257-'BOULEVARD PPTO'!D252)</f>
        <v>0</v>
      </c>
      <c r="J259" s="756">
        <f>IF(OR($A259="F&amp;F",$A259="CE",J$7="No aplica"),0,'BOULEVARD 5'!M257-'BOULEVARD PPTO'!E252)</f>
        <v>0</v>
      </c>
      <c r="K259" s="756">
        <f>IF(OR($A259="F&amp;F",$A259="CE",K$7="No aplica"),0,'BOULEVARD 5'!N257-'BOULEVARD PPTO'!F252)</f>
        <v>0</v>
      </c>
      <c r="L259" s="756">
        <f>IF(OR($A259="F&amp;F",$A259="CE",L$7="No aplica"),0,'BOULEVARD 5'!O257-'BOULEVARD PPTO'!G252)</f>
        <v>0</v>
      </c>
      <c r="M259" s="756">
        <f>IF(OR($A259="F&amp;F",$A259="CE",M$7="No aplica"),0,'BOULEVARD 5'!P257-'BOULEVARD PPTO'!H252)</f>
        <v>0</v>
      </c>
      <c r="N259" s="756">
        <f>IF(OR($A259="F&amp;F",$A259="CE",N$7="No aplica"),0,'BOULEVARD 5'!Q257-'BOULEVARD PPTO'!I252)</f>
        <v>0</v>
      </c>
      <c r="O259" s="756">
        <f>IF(OR($A259="F&amp;F",$A259="CE",O$7="No aplica"),0,'BOULEVARD 5'!R257-'BOULEVARD PPTO'!J252)</f>
        <v>0</v>
      </c>
      <c r="P259" s="756">
        <f>IF(OR($A259="F&amp;F",$A259="CE",P$7="No aplica"),0,'BOULEVARD 5'!S257-'BOULEVARD PPTO'!K252)</f>
        <v>0</v>
      </c>
      <c r="Q259" s="760">
        <f>IF(OR($A259="F&amp;F",$A259="CE",Q$7="No aplica"),0,'BOULEVARD 5'!T257-'BOULEVARD PPTO'!L252)</f>
        <v>0</v>
      </c>
      <c r="R259" s="760">
        <f>IF(OR($A259="F&amp;F",$A259="CE",R$7="No aplica"),0,'BOULEVARD 5'!U257-'BOULEVARD PPTO'!M252)</f>
        <v>0</v>
      </c>
      <c r="S259" s="760">
        <f>IF(OR($A259="F&amp;F",$A259="CE",S$7="No aplica"),0,'BOULEVARD 5'!V257-'BOULEVARD PPTO'!N252)</f>
        <v>0</v>
      </c>
      <c r="T259" s="760">
        <f>IF(OR($A259="F&amp;F",$A259="CE",T$7="No aplica"),0,'BOULEVARD 5'!W257-'BOULEVARD PPTO'!O252)</f>
        <v>0</v>
      </c>
      <c r="U259" s="760">
        <f>IF(OR($A259="F&amp;F",$A259="CE",U$7="No aplica"),0,'BOULEVARD 5'!X257-'BOULEVARD PPTO'!P252)</f>
        <v>0</v>
      </c>
      <c r="V259" s="760">
        <f>IF(OR($A259="F&amp;F",$A259="CE",V$7="No aplica"),0,'BOULEVARD 5'!Y257-'BOULEVARD PPTO'!Q252)</f>
        <v>0</v>
      </c>
      <c r="W259" s="760">
        <f>IF(OR($A259="F&amp;F",$A259="CE",W$7="No aplica"),0,'BOULEVARD 5'!Z257-'BOULEVARD PPTO'!R252)</f>
        <v>0</v>
      </c>
      <c r="X259" s="760">
        <f>IF(OR($A259="F&amp;F",$A259="CE",X$7="No aplica"),0,'BOULEVARD 5'!AA257-'BOULEVARD PPTO'!S252)</f>
        <v>0</v>
      </c>
      <c r="Y259" s="760">
        <f>IF(OR($A259="F&amp;F",$A259="CE",Y$7="No aplica"),0,'BOULEVARD 5'!AB257-'BOULEVARD PPTO'!T252)</f>
        <v>0</v>
      </c>
      <c r="Z259" s="760">
        <f>IF(OR($A259="F&amp;F",$A259="CE",Z$7="No aplica"),0,'BOULEVARD 5'!AC257-'BOULEVARD PPTO'!U252)</f>
        <v>0</v>
      </c>
      <c r="AA259" s="760">
        <f>IF(OR($A259="F&amp;F",$A259="CE",AA$7="No aplica"),0,'BOULEVARD 5'!AD257-'BOULEVARD PPTO'!V252)</f>
        <v>0</v>
      </c>
      <c r="AB259" s="760">
        <f>IF(OR($A259="F&amp;F",$A259="CE",AB$7="No aplica"),0,'BOULEVARD 5'!AE257-'BOULEVARD PPTO'!W252)</f>
        <v>0</v>
      </c>
      <c r="AC259" s="760">
        <f>IF(OR($A259="F&amp;F",$A259="CE",AC$7="No aplica"),0,'BOULEVARD 5'!AF257-'BOULEVARD PPTO'!X252)</f>
        <v>0</v>
      </c>
      <c r="AD259" s="760">
        <f>IF(OR($A259="F&amp;F",$A259="CE",AD$7="No aplica"),0,'BOULEVARD 5'!AG257-'BOULEVARD PPTO'!Y252)</f>
        <v>0</v>
      </c>
      <c r="AE259" s="760">
        <f>IF(OR($A259="F&amp;F",$A259="CE",AE$7="No aplica"),0,'BOULEVARD 5'!AH257-'BOULEVARD PPTO'!Z252)</f>
        <v>0</v>
      </c>
      <c r="AF259" s="760">
        <f>IF(OR($A259="F&amp;F",$A259="CE",AF$7="No aplica"),0,'BOULEVARD 5'!AI257-'BOULEVARD PPTO'!AA252)</f>
        <v>0</v>
      </c>
      <c r="AG259" s="760">
        <f>IF(OR($A259="F&amp;F",$A259="CE",AG$7="No aplica"),0,'BOULEVARD 5'!AJ257-'BOULEVARD PPTO'!AB252)</f>
        <v>0</v>
      </c>
      <c r="AH259" s="760">
        <f>IF(OR($A259="F&amp;F",$A259="CE",AH$7="No aplica"),0,'BOULEVARD 5'!AK257-'BOULEVARD PPTO'!AC252)</f>
        <v>0</v>
      </c>
      <c r="AI259" s="760">
        <f>IF(OR($A259="F&amp;F",$A259="CE",AI$7="No aplica"),0,'BOULEVARD 5'!AL257-'BOULEVARD PPTO'!AD252)</f>
        <v>0</v>
      </c>
      <c r="AJ259" s="760">
        <f>IF(OR($A259="F&amp;F",$A259="CE",AJ$7="No aplica"),0,'BOULEVARD 5'!AM257-'BOULEVARD PPTO'!AE252)</f>
        <v>0</v>
      </c>
      <c r="AK259" s="760">
        <f>IF(OR($A259="F&amp;F",$A259="CE",AK$7="No aplica"),0,'BOULEVARD 5'!AN257-'BOULEVARD PPTO'!AF252)</f>
        <v>0</v>
      </c>
      <c r="AL259" s="760">
        <f>IF(OR($A259="F&amp;F",$A259="CE",AL$7="No aplica"),0,'BOULEVARD 5'!AO257-'BOULEVARD PPTO'!AG252)</f>
        <v>0</v>
      </c>
      <c r="AM259" s="760">
        <f>IF(OR($A259="F&amp;F",$A259="CE",AM$7="No aplica"),0,'BOULEVARD 5'!AP257-'BOULEVARD PPTO'!AH252)</f>
        <v>0</v>
      </c>
      <c r="AN259" s="760">
        <f>IF(OR($A259="F&amp;F",$A259="CE",AN$7="No aplica"),0,'BOULEVARD 5'!AQ257-'BOULEVARD PPTO'!AI252)</f>
        <v>0</v>
      </c>
      <c r="AO259" s="760">
        <f>IF(OR($A259="F&amp;F",$A259="CE",AO$7="No aplica"),0,'BOULEVARD 5'!AS257-'BOULEVARD PPTO'!AJ252)</f>
        <v>0</v>
      </c>
      <c r="AP259" s="761">
        <f t="shared" si="23"/>
        <v>0</v>
      </c>
      <c r="AQ259" s="761">
        <f t="shared" si="24"/>
        <v>0</v>
      </c>
      <c r="AR259" s="674">
        <f>IF(A259=0,'BOULEVARD 5'!BF257,0)</f>
        <v>0</v>
      </c>
      <c r="AS259" s="674">
        <f>IF(A259=0,'BOULEVARD 5'!BG257,0)</f>
        <v>0</v>
      </c>
      <c r="AT259" s="675" t="str">
        <f t="shared" si="22"/>
        <v>Vendido</v>
      </c>
      <c r="AU259" s="581" t="str">
        <f t="shared" si="26"/>
        <v/>
      </c>
      <c r="AV259" s="760">
        <f t="shared" si="25"/>
        <v>0</v>
      </c>
    </row>
    <row r="260" spans="1:48" s="581" customFormat="1" ht="12.4" customHeight="1" outlineLevel="1" x14ac:dyDescent="0.25">
      <c r="A260" s="703">
        <f>'BOULEVARD 5'!BQ258</f>
        <v>0</v>
      </c>
      <c r="B260" s="564">
        <v>1411</v>
      </c>
      <c r="C260" s="564" t="s">
        <v>563</v>
      </c>
      <c r="D260" s="564"/>
      <c r="E260" s="564" t="str">
        <f>IF('BOULEVARD 5'!E258&lt;&gt;0,'BOULEVARD 5'!E258,"")</f>
        <v>Antonio Rada</v>
      </c>
      <c r="F260" s="581" t="str">
        <f>IF('BOULEVARD 5'!F258&lt;&gt;0,'BOULEVARD 5'!F258,"")</f>
        <v>Julio Cesar Morales Díaz</v>
      </c>
      <c r="G260" s="566">
        <f>IF('BOULEVARD 5'!G258="","",'BOULEVARD 5'!G258)</f>
        <v>45096</v>
      </c>
      <c r="H260" s="756">
        <f>IF(OR($A260="F&amp;F",$A260="CE",H$7="No aplica"),0,'BOULEVARD 5'!K258-'BOULEVARD PPTO'!C253)</f>
        <v>0</v>
      </c>
      <c r="I260" s="756">
        <f>IF(OR($A260="F&amp;F",$A260="CE",I$7="No aplica"),0,'BOULEVARD 5'!L258-'BOULEVARD PPTO'!D253)</f>
        <v>0</v>
      </c>
      <c r="J260" s="756">
        <f>IF(OR($A260="F&amp;F",$A260="CE",J$7="No aplica"),0,'BOULEVARD 5'!M258-'BOULEVARD PPTO'!E253)</f>
        <v>0</v>
      </c>
      <c r="K260" s="756">
        <f>IF(OR($A260="F&amp;F",$A260="CE",K$7="No aplica"),0,'BOULEVARD 5'!N258-'BOULEVARD PPTO'!F253)</f>
        <v>0</v>
      </c>
      <c r="L260" s="756">
        <f>IF(OR($A260="F&amp;F",$A260="CE",L$7="No aplica"),0,'BOULEVARD 5'!O258-'BOULEVARD PPTO'!G253)</f>
        <v>0</v>
      </c>
      <c r="M260" s="756">
        <f>IF(OR($A260="F&amp;F",$A260="CE",M$7="No aplica"),0,'BOULEVARD 5'!P258-'BOULEVARD PPTO'!H253)</f>
        <v>0</v>
      </c>
      <c r="N260" s="756">
        <f>IF(OR($A260="F&amp;F",$A260="CE",N$7="No aplica"),0,'BOULEVARD 5'!Q258-'BOULEVARD PPTO'!I253)</f>
        <v>0</v>
      </c>
      <c r="O260" s="756">
        <f>IF(OR($A260="F&amp;F",$A260="CE",O$7="No aplica"),0,'BOULEVARD 5'!R258-'BOULEVARD PPTO'!J253)</f>
        <v>-4900</v>
      </c>
      <c r="P260" s="756">
        <f>IF(OR($A260="F&amp;F",$A260="CE",P$7="No aplica"),0,'BOULEVARD 5'!S258-'BOULEVARD PPTO'!K253)</f>
        <v>4900</v>
      </c>
      <c r="Q260" s="760">
        <f>IF(OR($A260="F&amp;F",$A260="CE",Q$7="No aplica"),0,'BOULEVARD 5'!T258-'BOULEVARD PPTO'!L253)</f>
        <v>-4900</v>
      </c>
      <c r="R260" s="760">
        <f>IF(OR($A260="F&amp;F",$A260="CE",R$7="No aplica"),0,'BOULEVARD 5'!U258-'BOULEVARD PPTO'!M253)</f>
        <v>4900</v>
      </c>
      <c r="S260" s="760">
        <f>IF(OR($A260="F&amp;F",$A260="CE",S$7="No aplica"),0,'BOULEVARD 5'!V258-'BOULEVARD PPTO'!N253)</f>
        <v>-4900</v>
      </c>
      <c r="T260" s="760">
        <f>IF(OR($A260="F&amp;F",$A260="CE",T$7="No aplica"),0,'BOULEVARD 5'!W258-'BOULEVARD PPTO'!O253)</f>
        <v>0</v>
      </c>
      <c r="U260" s="760">
        <f>IF(OR($A260="F&amp;F",$A260="CE",U$7="No aplica"),0,'BOULEVARD 5'!X258-'BOULEVARD PPTO'!P253)</f>
        <v>0</v>
      </c>
      <c r="V260" s="760">
        <f>IF(OR($A260="F&amp;F",$A260="CE",V$7="No aplica"),0,'BOULEVARD 5'!Y258-'BOULEVARD PPTO'!Q253)</f>
        <v>4900</v>
      </c>
      <c r="W260" s="760">
        <f>IF(OR($A260="F&amp;F",$A260="CE",W$7="No aplica"),0,'BOULEVARD 5'!Z258-'BOULEVARD PPTO'!R253)</f>
        <v>-4900</v>
      </c>
      <c r="X260" s="760">
        <f>IF(OR($A260="F&amp;F",$A260="CE",X$7="No aplica"),0,'BOULEVARD 5'!AA258-'BOULEVARD PPTO'!S253)</f>
        <v>0</v>
      </c>
      <c r="Y260" s="760">
        <f>IF(OR($A260="F&amp;F",$A260="CE",Y$7="No aplica"),0,'BOULEVARD 5'!AB258-'BOULEVARD PPTO'!T253)</f>
        <v>4900</v>
      </c>
      <c r="Z260" s="760">
        <f>IF(OR($A260="F&amp;F",$A260="CE",Z$7="No aplica"),0,'BOULEVARD 5'!AC258-'BOULEVARD PPTO'!U253)</f>
        <v>-4900</v>
      </c>
      <c r="AA260" s="760">
        <f>IF(OR($A260="F&amp;F",$A260="CE",AA$7="No aplica"),0,'BOULEVARD 5'!AD258-'BOULEVARD PPTO'!V253)</f>
        <v>0</v>
      </c>
      <c r="AB260" s="760">
        <f>IF(OR($A260="F&amp;F",$A260="CE",AB$7="No aplica"),0,'BOULEVARD 5'!AE258-'BOULEVARD PPTO'!W253)</f>
        <v>0</v>
      </c>
      <c r="AC260" s="760">
        <f>IF(OR($A260="F&amp;F",$A260="CE",AC$7="No aplica"),0,'BOULEVARD 5'!AF258-'BOULEVARD PPTO'!X253)</f>
        <v>0</v>
      </c>
      <c r="AD260" s="760">
        <f>IF(OR($A260="F&amp;F",$A260="CE",AD$7="No aplica"),0,'BOULEVARD 5'!AG258-'BOULEVARD PPTO'!Y253)</f>
        <v>0</v>
      </c>
      <c r="AE260" s="760">
        <f>IF(OR($A260="F&amp;F",$A260="CE",AE$7="No aplica"),0,'BOULEVARD 5'!AH258-'BOULEVARD PPTO'!Z253)</f>
        <v>0</v>
      </c>
      <c r="AF260" s="760">
        <f>IF(OR($A260="F&amp;F",$A260="CE",AF$7="No aplica"),0,'BOULEVARD 5'!AI258-'BOULEVARD PPTO'!AA253)</f>
        <v>0</v>
      </c>
      <c r="AG260" s="760">
        <f>IF(OR($A260="F&amp;F",$A260="CE",AG$7="No aplica"),0,'BOULEVARD 5'!AJ258-'BOULEVARD PPTO'!AB253)</f>
        <v>0</v>
      </c>
      <c r="AH260" s="760">
        <f>IF(OR($A260="F&amp;F",$A260="CE",AH$7="No aplica"),0,'BOULEVARD 5'!AK258-'BOULEVARD PPTO'!AC253)</f>
        <v>4900</v>
      </c>
      <c r="AI260" s="760">
        <f>IF(OR($A260="F&amp;F",$A260="CE",AI$7="No aplica"),0,'BOULEVARD 5'!AL258-'BOULEVARD PPTO'!AD253)</f>
        <v>0</v>
      </c>
      <c r="AJ260" s="760">
        <f>IF(OR($A260="F&amp;F",$A260="CE",AJ$7="No aplica"),0,'BOULEVARD 5'!AM258-'BOULEVARD PPTO'!AE253)</f>
        <v>0</v>
      </c>
      <c r="AK260" s="760">
        <f>IF(OR($A260="F&amp;F",$A260="CE",AK$7="No aplica"),0,'BOULEVARD 5'!AN258-'BOULEVARD PPTO'!AF253)</f>
        <v>0</v>
      </c>
      <c r="AL260" s="760">
        <f>IF(OR($A260="F&amp;F",$A260="CE",AL$7="No aplica"),0,'BOULEVARD 5'!AO258-'BOULEVARD PPTO'!AG253)</f>
        <v>0</v>
      </c>
      <c r="AM260" s="760">
        <f>IF(OR($A260="F&amp;F",$A260="CE",AM$7="No aplica"),0,'BOULEVARD 5'!AP258-'BOULEVARD PPTO'!AH253)</f>
        <v>0</v>
      </c>
      <c r="AN260" s="760">
        <f>IF(OR($A260="F&amp;F",$A260="CE",AN$7="No aplica"),0,'BOULEVARD 5'!AQ258-'BOULEVARD PPTO'!AI253)</f>
        <v>0</v>
      </c>
      <c r="AO260" s="760">
        <f>IF(OR($A260="F&amp;F",$A260="CE",AO$7="No aplica"),0,'BOULEVARD 5'!AS258-'BOULEVARD PPTO'!AJ253)</f>
        <v>0</v>
      </c>
      <c r="AP260" s="761">
        <f t="shared" si="23"/>
        <v>0</v>
      </c>
      <c r="AQ260" s="761">
        <f t="shared" si="24"/>
        <v>0</v>
      </c>
      <c r="AR260" s="674">
        <f>IF(A260=0,'BOULEVARD 5'!BF258,0)</f>
        <v>6000</v>
      </c>
      <c r="AS260" s="674">
        <f>IF(A260=0,'BOULEVARD 5'!BG258,0)</f>
        <v>4900</v>
      </c>
      <c r="AT260" s="675" t="str">
        <f t="shared" si="22"/>
        <v>Vendido</v>
      </c>
      <c r="AU260" s="581" t="str">
        <f t="shared" si="26"/>
        <v/>
      </c>
      <c r="AV260" s="760">
        <f t="shared" si="25"/>
        <v>0</v>
      </c>
    </row>
    <row r="261" spans="1:48" s="581" customFormat="1" ht="12.4" customHeight="1" outlineLevel="1" x14ac:dyDescent="0.25">
      <c r="A261" s="703">
        <f>'BOULEVARD 5'!BQ259</f>
        <v>0</v>
      </c>
      <c r="B261" s="564">
        <v>1412</v>
      </c>
      <c r="C261" s="564" t="s">
        <v>178</v>
      </c>
      <c r="D261" s="564"/>
      <c r="E261" s="564" t="str">
        <f>IF('BOULEVARD 5'!E259&lt;&gt;0,'BOULEVARD 5'!E259,"")</f>
        <v>Brenda Búcaro</v>
      </c>
      <c r="F261" s="581" t="str">
        <f>IF('BOULEVARD 5'!F259&lt;&gt;0,'BOULEVARD 5'!F259,"")</f>
        <v>Javier Andrés Soto Coronado</v>
      </c>
      <c r="G261" s="566">
        <f>IF('BOULEVARD 5'!G259="","",'BOULEVARD 5'!G259)</f>
        <v>45044</v>
      </c>
      <c r="H261" s="756">
        <f>IF(OR($A261="F&amp;F",$A261="CE",H$7="No aplica"),0,'BOULEVARD 5'!K259-'BOULEVARD PPTO'!C254)</f>
        <v>0</v>
      </c>
      <c r="I261" s="756">
        <f>IF(OR($A261="F&amp;F",$A261="CE",I$7="No aplica"),0,'BOULEVARD 5'!L259-'BOULEVARD PPTO'!D254)</f>
        <v>0</v>
      </c>
      <c r="J261" s="756">
        <f>IF(OR($A261="F&amp;F",$A261="CE",J$7="No aplica"),0,'BOULEVARD 5'!M259-'BOULEVARD PPTO'!E254)</f>
        <v>0</v>
      </c>
      <c r="K261" s="756">
        <f>IF(OR($A261="F&amp;F",$A261="CE",K$7="No aplica"),0,'BOULEVARD 5'!N259-'BOULEVARD PPTO'!F254)</f>
        <v>0</v>
      </c>
      <c r="L261" s="756">
        <f>IF(OR($A261="F&amp;F",$A261="CE",L$7="No aplica"),0,'BOULEVARD 5'!O259-'BOULEVARD PPTO'!G254)</f>
        <v>0</v>
      </c>
      <c r="M261" s="756">
        <f>IF(OR($A261="F&amp;F",$A261="CE",M$7="No aplica"),0,'BOULEVARD 5'!P259-'BOULEVARD PPTO'!H254)</f>
        <v>0</v>
      </c>
      <c r="N261" s="756">
        <f>IF(OR($A261="F&amp;F",$A261="CE",N$7="No aplica"),0,'BOULEVARD 5'!Q259-'BOULEVARD PPTO'!I254)</f>
        <v>0</v>
      </c>
      <c r="O261" s="756">
        <f>IF(OR($A261="F&amp;F",$A261="CE",O$7="No aplica"),0,'BOULEVARD 5'!R259-'BOULEVARD PPTO'!J254)</f>
        <v>0</v>
      </c>
      <c r="P261" s="756">
        <f>IF(OR($A261="F&amp;F",$A261="CE",P$7="No aplica"),0,'BOULEVARD 5'!S259-'BOULEVARD PPTO'!K254)</f>
        <v>0</v>
      </c>
      <c r="Q261" s="760">
        <f>IF(OR($A261="F&amp;F",$A261="CE",Q$7="No aplica"),0,'BOULEVARD 5'!T259-'BOULEVARD PPTO'!L254)</f>
        <v>0</v>
      </c>
      <c r="R261" s="760">
        <f>IF(OR($A261="F&amp;F",$A261="CE",R$7="No aplica"),0,'BOULEVARD 5'!U259-'BOULEVARD PPTO'!M254)</f>
        <v>0</v>
      </c>
      <c r="S261" s="760">
        <f>IF(OR($A261="F&amp;F",$A261="CE",S$7="No aplica"),0,'BOULEVARD 5'!V259-'BOULEVARD PPTO'!N254)</f>
        <v>0</v>
      </c>
      <c r="T261" s="760">
        <f>IF(OR($A261="F&amp;F",$A261="CE",T$7="No aplica"),0,'BOULEVARD 5'!W259-'BOULEVARD PPTO'!O254)</f>
        <v>0</v>
      </c>
      <c r="U261" s="760">
        <f>IF(OR($A261="F&amp;F",$A261="CE",U$7="No aplica"),0,'BOULEVARD 5'!X259-'BOULEVARD PPTO'!P254)</f>
        <v>0</v>
      </c>
      <c r="V261" s="760">
        <f>IF(OR($A261="F&amp;F",$A261="CE",V$7="No aplica"),0,'BOULEVARD 5'!Y259-'BOULEVARD PPTO'!Q254)</f>
        <v>0</v>
      </c>
      <c r="W261" s="760">
        <f>IF(OR($A261="F&amp;F",$A261="CE",W$7="No aplica"),0,'BOULEVARD 5'!Z259-'BOULEVARD PPTO'!R254)</f>
        <v>0</v>
      </c>
      <c r="X261" s="760">
        <f>IF(OR($A261="F&amp;F",$A261="CE",X$7="No aplica"),0,'BOULEVARD 5'!AA259-'BOULEVARD PPTO'!S254)</f>
        <v>0</v>
      </c>
      <c r="Y261" s="760">
        <f>IF(OR($A261="F&amp;F",$A261="CE",Y$7="No aplica"),0,'BOULEVARD 5'!AB259-'BOULEVARD PPTO'!T254)</f>
        <v>0</v>
      </c>
      <c r="Z261" s="760">
        <f>IF(OR($A261="F&amp;F",$A261="CE",Z$7="No aplica"),0,'BOULEVARD 5'!AC259-'BOULEVARD PPTO'!U254)</f>
        <v>0</v>
      </c>
      <c r="AA261" s="760">
        <f>IF(OR($A261="F&amp;F",$A261="CE",AA$7="No aplica"),0,'BOULEVARD 5'!AD259-'BOULEVARD PPTO'!V254)</f>
        <v>0</v>
      </c>
      <c r="AB261" s="760">
        <f>IF(OR($A261="F&amp;F",$A261="CE",AB$7="No aplica"),0,'BOULEVARD 5'!AE259-'BOULEVARD PPTO'!W254)</f>
        <v>0</v>
      </c>
      <c r="AC261" s="760">
        <f>IF(OR($A261="F&amp;F",$A261="CE",AC$7="No aplica"),0,'BOULEVARD 5'!AF259-'BOULEVARD PPTO'!X254)</f>
        <v>0</v>
      </c>
      <c r="AD261" s="760">
        <f>IF(OR($A261="F&amp;F",$A261="CE",AD$7="No aplica"),0,'BOULEVARD 5'!AG259-'BOULEVARD PPTO'!Y254)</f>
        <v>-1750</v>
      </c>
      <c r="AE261" s="760">
        <f>IF(OR($A261="F&amp;F",$A261="CE",AE$7="No aplica"),0,'BOULEVARD 5'!AH259-'BOULEVARD PPTO'!Z254)</f>
        <v>1750</v>
      </c>
      <c r="AF261" s="760">
        <f>IF(OR($A261="F&amp;F",$A261="CE",AF$7="No aplica"),0,'BOULEVARD 5'!AI259-'BOULEVARD PPTO'!AA254)</f>
        <v>0</v>
      </c>
      <c r="AG261" s="760">
        <f>IF(OR($A261="F&amp;F",$A261="CE",AG$7="No aplica"),0,'BOULEVARD 5'!AJ259-'BOULEVARD PPTO'!AB254)</f>
        <v>0</v>
      </c>
      <c r="AH261" s="760">
        <f>IF(OR($A261="F&amp;F",$A261="CE",AH$7="No aplica"),0,'BOULEVARD 5'!AK259-'BOULEVARD PPTO'!AC254)</f>
        <v>0</v>
      </c>
      <c r="AI261" s="760">
        <f>IF(OR($A261="F&amp;F",$A261="CE",AI$7="No aplica"),0,'BOULEVARD 5'!AL259-'BOULEVARD PPTO'!AD254)</f>
        <v>0</v>
      </c>
      <c r="AJ261" s="760">
        <f>IF(OR($A261="F&amp;F",$A261="CE",AJ$7="No aplica"),0,'BOULEVARD 5'!AM259-'BOULEVARD PPTO'!AE254)</f>
        <v>0</v>
      </c>
      <c r="AK261" s="760">
        <f>IF(OR($A261="F&amp;F",$A261="CE",AK$7="No aplica"),0,'BOULEVARD 5'!AN259-'BOULEVARD PPTO'!AF254)</f>
        <v>0</v>
      </c>
      <c r="AL261" s="760">
        <f>IF(OR($A261="F&amp;F",$A261="CE",AL$7="No aplica"),0,'BOULEVARD 5'!AO259-'BOULEVARD PPTO'!AG254)</f>
        <v>0</v>
      </c>
      <c r="AM261" s="760">
        <f>IF(OR($A261="F&amp;F",$A261="CE",AM$7="No aplica"),0,'BOULEVARD 5'!AP259-'BOULEVARD PPTO'!AH254)</f>
        <v>-1750</v>
      </c>
      <c r="AN261" s="760">
        <f>IF(OR($A261="F&amp;F",$A261="CE",AN$7="No aplica"),0,'BOULEVARD 5'!AQ259-'BOULEVARD PPTO'!AI254)</f>
        <v>0</v>
      </c>
      <c r="AO261" s="760">
        <f>IF(OR($A261="F&amp;F",$A261="CE",AO$7="No aplica"),0,'BOULEVARD 5'!AS259-'BOULEVARD PPTO'!AJ254)</f>
        <v>0</v>
      </c>
      <c r="AP261" s="761">
        <f t="shared" si="23"/>
        <v>-1750</v>
      </c>
      <c r="AQ261" s="761">
        <f t="shared" si="24"/>
        <v>-7700</v>
      </c>
      <c r="AR261" s="674">
        <f>IF(A261=0,'BOULEVARD 5'!BF259,0)</f>
        <v>6000</v>
      </c>
      <c r="AS261" s="674">
        <f>IF(A261=0,'BOULEVARD 5'!BG259,0)</f>
        <v>1750</v>
      </c>
      <c r="AT261" s="675" t="str">
        <f t="shared" si="22"/>
        <v>Vendido</v>
      </c>
      <c r="AU261" s="581" t="str">
        <f t="shared" si="26"/>
        <v>POR COBRAR</v>
      </c>
      <c r="AV261" s="760">
        <f t="shared" si="25"/>
        <v>0</v>
      </c>
    </row>
    <row r="262" spans="1:48" s="715" customFormat="1" ht="12.4" customHeight="1" outlineLevel="1" x14ac:dyDescent="0.25">
      <c r="A262" s="703">
        <f>'BOULEVARD 5'!BQ260</f>
        <v>0</v>
      </c>
      <c r="B262" s="714">
        <v>1501</v>
      </c>
      <c r="C262" s="714" t="s">
        <v>662</v>
      </c>
      <c r="D262" s="714"/>
      <c r="E262" s="714" t="str">
        <f>IF('BOULEVARD 5'!E260&lt;&gt;0,'BOULEVARD 5'!E260,"")</f>
        <v>Erwin Cardona</v>
      </c>
      <c r="F262" s="715" t="str">
        <f>IF('BOULEVARD 5'!F260&lt;&gt;0,'BOULEVARD 5'!F260,"")</f>
        <v>Corporacion G&amp;G Sociedad Anonima</v>
      </c>
      <c r="G262" s="566">
        <f>IF('BOULEVARD 5'!G260="","",'BOULEVARD 5'!G260)</f>
        <v>45987</v>
      </c>
      <c r="H262" s="756">
        <f>IF(OR($A262="F&amp;F",$A262="CE",H$7="No aplica"),0,'BOULEVARD 5'!K260-'BOULEVARD PPTO'!C255)</f>
        <v>0</v>
      </c>
      <c r="I262" s="756">
        <f>IF(OR($A262="F&amp;F",$A262="CE",I$7="No aplica"),0,'BOULEVARD 5'!L260-'BOULEVARD PPTO'!D255)</f>
        <v>0</v>
      </c>
      <c r="J262" s="756">
        <f>IF(OR($A262="F&amp;F",$A262="CE",J$7="No aplica"),0,'BOULEVARD 5'!M260-'BOULEVARD PPTO'!E255)</f>
        <v>0</v>
      </c>
      <c r="K262" s="756">
        <f>IF(OR($A262="F&amp;F",$A262="CE",K$7="No aplica"),0,'BOULEVARD 5'!N260-'BOULEVARD PPTO'!F255)</f>
        <v>0</v>
      </c>
      <c r="L262" s="756">
        <f>IF(OR($A262="F&amp;F",$A262="CE",L$7="No aplica"),0,'BOULEVARD 5'!O260-'BOULEVARD PPTO'!G255)</f>
        <v>0</v>
      </c>
      <c r="M262" s="756">
        <f>IF(OR($A262="F&amp;F",$A262="CE",M$7="No aplica"),0,'BOULEVARD 5'!P260-'BOULEVARD PPTO'!H255)</f>
        <v>0</v>
      </c>
      <c r="N262" s="756">
        <f>IF(OR($A262="F&amp;F",$A262="CE",N$7="No aplica"),0,'BOULEVARD 5'!Q260-'BOULEVARD PPTO'!I255)</f>
        <v>0</v>
      </c>
      <c r="O262" s="756">
        <f>IF(OR($A262="F&amp;F",$A262="CE",O$7="No aplica"),0,'BOULEVARD 5'!R260-'BOULEVARD PPTO'!J255)</f>
        <v>0</v>
      </c>
      <c r="P262" s="756">
        <f>IF(OR($A262="F&amp;F",$A262="CE",P$7="No aplica"),0,'BOULEVARD 5'!S260-'BOULEVARD PPTO'!K255)</f>
        <v>0</v>
      </c>
      <c r="Q262" s="760">
        <f>IF(OR($A262="F&amp;F",$A262="CE",Q$7="No aplica"),0,'BOULEVARD 5'!T260-'BOULEVARD PPTO'!L255)</f>
        <v>0</v>
      </c>
      <c r="R262" s="760">
        <f>IF(OR($A262="F&amp;F",$A262="CE",R$7="No aplica"),0,'BOULEVARD 5'!U260-'BOULEVARD PPTO'!M255)</f>
        <v>0</v>
      </c>
      <c r="S262" s="760">
        <f>IF(OR($A262="F&amp;F",$A262="CE",S$7="No aplica"),0,'BOULEVARD 5'!V260-'BOULEVARD PPTO'!N255)</f>
        <v>0</v>
      </c>
      <c r="T262" s="760">
        <f>IF(OR($A262="F&amp;F",$A262="CE",T$7="No aplica"),0,'BOULEVARD 5'!W260-'BOULEVARD PPTO'!O255)</f>
        <v>0</v>
      </c>
      <c r="U262" s="760">
        <f>IF(OR($A262="F&amp;F",$A262="CE",U$7="No aplica"),0,'BOULEVARD 5'!X260-'BOULEVARD PPTO'!P255)</f>
        <v>0</v>
      </c>
      <c r="V262" s="760">
        <f>IF(OR($A262="F&amp;F",$A262="CE",V$7="No aplica"),0,'BOULEVARD 5'!Y260-'BOULEVARD PPTO'!Q255)</f>
        <v>0</v>
      </c>
      <c r="W262" s="760">
        <f>IF(OR($A262="F&amp;F",$A262="CE",W$7="No aplica"),0,'BOULEVARD 5'!Z260-'BOULEVARD PPTO'!R255)</f>
        <v>0</v>
      </c>
      <c r="X262" s="760">
        <f>IF(OR($A262="F&amp;F",$A262="CE",X$7="No aplica"),0,'BOULEVARD 5'!AA260-'BOULEVARD PPTO'!S255)</f>
        <v>0</v>
      </c>
      <c r="Y262" s="760">
        <f>IF(OR($A262="F&amp;F",$A262="CE",Y$7="No aplica"),0,'BOULEVARD 5'!AB260-'BOULEVARD PPTO'!T255)</f>
        <v>0</v>
      </c>
      <c r="Z262" s="760">
        <f>IF(OR($A262="F&amp;F",$A262="CE",Z$7="No aplica"),0,'BOULEVARD 5'!AC260-'BOULEVARD PPTO'!U255)</f>
        <v>0</v>
      </c>
      <c r="AA262" s="760">
        <f>IF(OR($A262="F&amp;F",$A262="CE",AA$7="No aplica"),0,'BOULEVARD 5'!AD260-'BOULEVARD PPTO'!V255)</f>
        <v>0</v>
      </c>
      <c r="AB262" s="760">
        <f>IF(OR($A262="F&amp;F",$A262="CE",AB$7="No aplica"),0,'BOULEVARD 5'!AE260-'BOULEVARD PPTO'!W255)</f>
        <v>0</v>
      </c>
      <c r="AC262" s="760">
        <f>IF(OR($A262="F&amp;F",$A262="CE",AC$7="No aplica"),0,'BOULEVARD 5'!AF260-'BOULEVARD PPTO'!X255)</f>
        <v>0</v>
      </c>
      <c r="AD262" s="760">
        <f>IF(OR($A262="F&amp;F",$A262="CE",AD$7="No aplica"),0,'BOULEVARD 5'!AG260-'BOULEVARD PPTO'!Y255)</f>
        <v>0</v>
      </c>
      <c r="AE262" s="760">
        <f>IF(OR($A262="F&amp;F",$A262="CE",AE$7="No aplica"),0,'BOULEVARD 5'!AH260-'BOULEVARD PPTO'!Z255)</f>
        <v>0</v>
      </c>
      <c r="AF262" s="760">
        <f>IF(OR($A262="F&amp;F",$A262="CE",AF$7="No aplica"),0,'BOULEVARD 5'!AI260-'BOULEVARD PPTO'!AA255)</f>
        <v>0</v>
      </c>
      <c r="AG262" s="760">
        <f>IF(OR($A262="F&amp;F",$A262="CE",AG$7="No aplica"),0,'BOULEVARD 5'!AJ260-'BOULEVARD PPTO'!AB255)</f>
        <v>0</v>
      </c>
      <c r="AH262" s="760">
        <f>IF(OR($A262="F&amp;F",$A262="CE",AH$7="No aplica"),0,'BOULEVARD 5'!AK260-'BOULEVARD PPTO'!AC255)</f>
        <v>0</v>
      </c>
      <c r="AI262" s="760">
        <f>IF(OR($A262="F&amp;F",$A262="CE",AI$7="No aplica"),0,'BOULEVARD 5'!AL260-'BOULEVARD PPTO'!AD255)</f>
        <v>0</v>
      </c>
      <c r="AJ262" s="760">
        <f>IF(OR($A262="F&amp;F",$A262="CE",AJ$7="No aplica"),0,'BOULEVARD 5'!AM260-'BOULEVARD PPTO'!AE255)</f>
        <v>0</v>
      </c>
      <c r="AK262" s="760">
        <f>IF(OR($A262="F&amp;F",$A262="CE",AK$7="No aplica"),0,'BOULEVARD 5'!AN260-'BOULEVARD PPTO'!AF255)</f>
        <v>0</v>
      </c>
      <c r="AL262" s="760">
        <f>IF(OR($A262="F&amp;F",$A262="CE",AL$7="No aplica"),0,'BOULEVARD 5'!AO260-'BOULEVARD PPTO'!AG255)</f>
        <v>0</v>
      </c>
      <c r="AM262" s="760">
        <f>IF(OR($A262="F&amp;F",$A262="CE",AM$7="No aplica"),0,'BOULEVARD 5'!AP260-'BOULEVARD PPTO'!AH255)</f>
        <v>0</v>
      </c>
      <c r="AN262" s="760">
        <f>IF(OR($A262="F&amp;F",$A262="CE",AN$7="No aplica"),0,'BOULEVARD 5'!AQ260-'BOULEVARD PPTO'!AI255)</f>
        <v>0</v>
      </c>
      <c r="AO262" s="760">
        <f>IF(OR($A262="F&amp;F",$A262="CE",AO$7="No aplica"),0,'BOULEVARD 5'!AS260-'BOULEVARD PPTO'!AJ255)</f>
        <v>0</v>
      </c>
      <c r="AP262" s="761">
        <f t="shared" si="23"/>
        <v>0</v>
      </c>
      <c r="AQ262" s="761">
        <f t="shared" si="24"/>
        <v>-126890</v>
      </c>
      <c r="AR262" s="674">
        <f>IF(A262=0,'BOULEVARD 5'!BF260,0)</f>
        <v>0</v>
      </c>
      <c r="AS262" s="674">
        <f>IF(A262=0,'BOULEVARD 5'!BG260,0)</f>
        <v>0</v>
      </c>
      <c r="AT262" s="675" t="str">
        <f t="shared" si="22"/>
        <v>Vendido</v>
      </c>
      <c r="AU262" s="581" t="str">
        <f t="shared" si="26"/>
        <v/>
      </c>
      <c r="AV262" s="760">
        <f t="shared" si="25"/>
        <v>0</v>
      </c>
    </row>
    <row r="263" spans="1:48" s="581" customFormat="1" ht="12.4" customHeight="1" outlineLevel="1" x14ac:dyDescent="0.25">
      <c r="A263" s="703">
        <f>'BOULEVARD 5'!BQ261</f>
        <v>0</v>
      </c>
      <c r="B263" s="564">
        <v>1502</v>
      </c>
      <c r="C263" s="564" t="s">
        <v>664</v>
      </c>
      <c r="D263" s="564"/>
      <c r="E263" s="712" t="str">
        <f>IF('BOULEVARD 5'!E261&lt;&gt;0,'BOULEVARD 5'!E261,"")</f>
        <v>Sofia Paredes</v>
      </c>
      <c r="F263" s="581" t="str">
        <f>IF('BOULEVARD 5'!F261&lt;&gt;0,'BOULEVARD 5'!F261,"")</f>
        <v>Edgar Benjamín Ramírez Masaya Y Leslie María Ivonne Pivaral Gudiel</v>
      </c>
      <c r="G263" s="566">
        <f>IF('BOULEVARD 5'!G261="","",'BOULEVARD 5'!G261)</f>
        <v>45578</v>
      </c>
      <c r="H263" s="756">
        <f>IF(OR($A263="F&amp;F",$A263="CE",H$7="No aplica"),0,'BOULEVARD 5'!K261-'BOULEVARD PPTO'!C256)</f>
        <v>0</v>
      </c>
      <c r="I263" s="756">
        <f>IF(OR($A263="F&amp;F",$A263="CE",I$7="No aplica"),0,'BOULEVARD 5'!L261-'BOULEVARD PPTO'!D256)</f>
        <v>0</v>
      </c>
      <c r="J263" s="756">
        <f>IF(OR($A263="F&amp;F",$A263="CE",J$7="No aplica"),0,'BOULEVARD 5'!M261-'BOULEVARD PPTO'!E256)</f>
        <v>0</v>
      </c>
      <c r="K263" s="756">
        <f>IF(OR($A263="F&amp;F",$A263="CE",K$7="No aplica"),0,'BOULEVARD 5'!N261-'BOULEVARD PPTO'!F256)</f>
        <v>0</v>
      </c>
      <c r="L263" s="756">
        <f>IF(OR($A263="F&amp;F",$A263="CE",L$7="No aplica"),0,'BOULEVARD 5'!O261-'BOULEVARD PPTO'!G256)</f>
        <v>0</v>
      </c>
      <c r="M263" s="756">
        <f>IF(OR($A263="F&amp;F",$A263="CE",M$7="No aplica"),0,'BOULEVARD 5'!P261-'BOULEVARD PPTO'!H256)</f>
        <v>0</v>
      </c>
      <c r="N263" s="756">
        <f>IF(OR($A263="F&amp;F",$A263="CE",N$7="No aplica"),0,'BOULEVARD 5'!Q261-'BOULEVARD PPTO'!I256)</f>
        <v>0</v>
      </c>
      <c r="O263" s="756">
        <f>IF(OR($A263="F&amp;F",$A263="CE",O$7="No aplica"),0,'BOULEVARD 5'!R261-'BOULEVARD PPTO'!J256)</f>
        <v>0</v>
      </c>
      <c r="P263" s="756">
        <f>IF(OR($A263="F&amp;F",$A263="CE",P$7="No aplica"),0,'BOULEVARD 5'!S261-'BOULEVARD PPTO'!K256)</f>
        <v>0</v>
      </c>
      <c r="Q263" s="760">
        <f>IF(OR($A263="F&amp;F",$A263="CE",Q$7="No aplica"),0,'BOULEVARD 5'!T261-'BOULEVARD PPTO'!L256)</f>
        <v>0</v>
      </c>
      <c r="R263" s="760">
        <f>IF(OR($A263="F&amp;F",$A263="CE",R$7="No aplica"),0,'BOULEVARD 5'!U261-'BOULEVARD PPTO'!M256)</f>
        <v>0</v>
      </c>
      <c r="S263" s="760">
        <f>IF(OR($A263="F&amp;F",$A263="CE",S$7="No aplica"),0,'BOULEVARD 5'!V261-'BOULEVARD PPTO'!N256)</f>
        <v>0</v>
      </c>
      <c r="T263" s="760">
        <f>IF(OR($A263="F&amp;F",$A263="CE",T$7="No aplica"),0,'BOULEVARD 5'!W261-'BOULEVARD PPTO'!O256)</f>
        <v>0</v>
      </c>
      <c r="U263" s="760">
        <f>IF(OR($A263="F&amp;F",$A263="CE",U$7="No aplica"),0,'BOULEVARD 5'!X261-'BOULEVARD PPTO'!P256)</f>
        <v>0</v>
      </c>
      <c r="V263" s="760">
        <f>IF(OR($A263="F&amp;F",$A263="CE",V$7="No aplica"),0,'BOULEVARD 5'!Y261-'BOULEVARD PPTO'!Q256)</f>
        <v>0</v>
      </c>
      <c r="W263" s="760">
        <f>IF(OR($A263="F&amp;F",$A263="CE",W$7="No aplica"),0,'BOULEVARD 5'!Z261-'BOULEVARD PPTO'!R256)</f>
        <v>0</v>
      </c>
      <c r="X263" s="760">
        <f>IF(OR($A263="F&amp;F",$A263="CE",X$7="No aplica"),0,'BOULEVARD 5'!AA261-'BOULEVARD PPTO'!S256)</f>
        <v>0</v>
      </c>
      <c r="Y263" s="760">
        <f>IF(OR($A263="F&amp;F",$A263="CE",Y$7="No aplica"),0,'BOULEVARD 5'!AB261-'BOULEVARD PPTO'!T256)</f>
        <v>0</v>
      </c>
      <c r="Z263" s="760">
        <f>IF(OR($A263="F&amp;F",$A263="CE",Z$7="No aplica"),0,'BOULEVARD 5'!AC261-'BOULEVARD PPTO'!U256)</f>
        <v>0</v>
      </c>
      <c r="AA263" s="760">
        <f>IF(OR($A263="F&amp;F",$A263="CE",AA$7="No aplica"),0,'BOULEVARD 5'!AD261-'BOULEVARD PPTO'!V256)</f>
        <v>0</v>
      </c>
      <c r="AB263" s="760">
        <f>IF(OR($A263="F&amp;F",$A263="CE",AB$7="No aplica"),0,'BOULEVARD 5'!AE261-'BOULEVARD PPTO'!W256)</f>
        <v>0</v>
      </c>
      <c r="AC263" s="760">
        <f>IF(OR($A263="F&amp;F",$A263="CE",AC$7="No aplica"),0,'BOULEVARD 5'!AF261-'BOULEVARD PPTO'!X256)</f>
        <v>0</v>
      </c>
      <c r="AD263" s="760">
        <f>IF(OR($A263="F&amp;F",$A263="CE",AD$7="No aplica"),0,'BOULEVARD 5'!AG261-'BOULEVARD PPTO'!Y256)</f>
        <v>0</v>
      </c>
      <c r="AE263" s="760">
        <f>IF(OR($A263="F&amp;F",$A263="CE",AE$7="No aplica"),0,'BOULEVARD 5'!AH261-'BOULEVARD PPTO'!Z256)</f>
        <v>0</v>
      </c>
      <c r="AF263" s="760">
        <f>IF(OR($A263="F&amp;F",$A263="CE",AF$7="No aplica"),0,'BOULEVARD 5'!AI261-'BOULEVARD PPTO'!AA256)</f>
        <v>0</v>
      </c>
      <c r="AG263" s="760">
        <f>IF(OR($A263="F&amp;F",$A263="CE",AG$7="No aplica"),0,'BOULEVARD 5'!AJ261-'BOULEVARD PPTO'!AB256)</f>
        <v>0</v>
      </c>
      <c r="AH263" s="760">
        <f>IF(OR($A263="F&amp;F",$A263="CE",AH$7="No aplica"),0,'BOULEVARD 5'!AK261-'BOULEVARD PPTO'!AC256)</f>
        <v>0</v>
      </c>
      <c r="AI263" s="760">
        <f>IF(OR($A263="F&amp;F",$A263="CE",AI$7="No aplica"),0,'BOULEVARD 5'!AL261-'BOULEVARD PPTO'!AD256)</f>
        <v>0</v>
      </c>
      <c r="AJ263" s="760">
        <f>IF(OR($A263="F&amp;F",$A263="CE",AJ$7="No aplica"),0,'BOULEVARD 5'!AM261-'BOULEVARD PPTO'!AE256)</f>
        <v>0</v>
      </c>
      <c r="AK263" s="760">
        <f>IF(OR($A263="F&amp;F",$A263="CE",AK$7="No aplica"),0,'BOULEVARD 5'!AN261-'BOULEVARD PPTO'!AF256)</f>
        <v>0</v>
      </c>
      <c r="AL263" s="760">
        <f>IF(OR($A263="F&amp;F",$A263="CE",AL$7="No aplica"),0,'BOULEVARD 5'!AO261-'BOULEVARD PPTO'!AG256)</f>
        <v>0</v>
      </c>
      <c r="AM263" s="760">
        <f>IF(OR($A263="F&amp;F",$A263="CE",AM$7="No aplica"),0,'BOULEVARD 5'!AP261-'BOULEVARD PPTO'!AH256)</f>
        <v>0</v>
      </c>
      <c r="AN263" s="760">
        <f>IF(OR($A263="F&amp;F",$A263="CE",AN$7="No aplica"),0,'BOULEVARD 5'!AQ261-'BOULEVARD PPTO'!AI256)</f>
        <v>0</v>
      </c>
      <c r="AO263" s="760">
        <f>IF(OR($A263="F&amp;F",$A263="CE",AO$7="No aplica"),0,'BOULEVARD 5'!AS261-'BOULEVARD PPTO'!AJ256)</f>
        <v>0</v>
      </c>
      <c r="AP263" s="761">
        <f t="shared" si="23"/>
        <v>0</v>
      </c>
      <c r="AQ263" s="761">
        <f t="shared" si="24"/>
        <v>0</v>
      </c>
      <c r="AR263" s="674">
        <f>IF(A263=0,'BOULEVARD 5'!BF261,0)</f>
        <v>10000</v>
      </c>
      <c r="AS263" s="674">
        <f>IF(A263=0,'BOULEVARD 5'!BG261,0)</f>
        <v>8690</v>
      </c>
      <c r="AT263" s="675" t="str">
        <f t="shared" si="22"/>
        <v>Vendido</v>
      </c>
      <c r="AU263" s="581" t="str">
        <f t="shared" si="26"/>
        <v/>
      </c>
      <c r="AV263" s="760">
        <f t="shared" si="25"/>
        <v>0</v>
      </c>
    </row>
    <row r="264" spans="1:48" s="581" customFormat="1" ht="12.4" customHeight="1" outlineLevel="1" x14ac:dyDescent="0.25">
      <c r="A264" s="703" t="str">
        <f>'BOULEVARD 5'!BQ262</f>
        <v>F&amp;F</v>
      </c>
      <c r="B264" s="704">
        <v>1503</v>
      </c>
      <c r="C264" s="704" t="s">
        <v>393</v>
      </c>
      <c r="D264" s="704"/>
      <c r="E264" s="704" t="str">
        <f>IF('BOULEVARD 5'!E262&lt;&gt;0,'BOULEVARD 5'!E262,"")</f>
        <v>Brenda Búcaro</v>
      </c>
      <c r="F264" s="705" t="str">
        <f>IF('BOULEVARD 5'!F262&lt;&gt;0,'BOULEVARD 5'!F262,"")</f>
        <v>Emilia Aracely Larrazabal Melgar</v>
      </c>
      <c r="G264" s="566">
        <f>IF('BOULEVARD 5'!G262="","",'BOULEVARD 5'!G262)</f>
        <v>45016</v>
      </c>
      <c r="H264" s="756">
        <f>IF(OR($A264="F&amp;F",$A264="CE",H$7="No aplica"),0,'BOULEVARD 5'!K262-'BOULEVARD PPTO'!C257)</f>
        <v>0</v>
      </c>
      <c r="I264" s="756">
        <f>IF(OR($A264="F&amp;F",$A264="CE",I$7="No aplica"),0,'BOULEVARD 5'!L262-'BOULEVARD PPTO'!D257)</f>
        <v>0</v>
      </c>
      <c r="J264" s="756">
        <f>IF(OR($A264="F&amp;F",$A264="CE",J$7="No aplica"),0,'BOULEVARD 5'!M262-'BOULEVARD PPTO'!E257)</f>
        <v>0</v>
      </c>
      <c r="K264" s="756">
        <f>IF(OR($A264="F&amp;F",$A264="CE",K$7="No aplica"),0,'BOULEVARD 5'!N262-'BOULEVARD PPTO'!F257)</f>
        <v>0</v>
      </c>
      <c r="L264" s="756">
        <f>IF(OR($A264="F&amp;F",$A264="CE",L$7="No aplica"),0,'BOULEVARD 5'!O262-'BOULEVARD PPTO'!G257)</f>
        <v>0</v>
      </c>
      <c r="M264" s="756">
        <f>IF(OR($A264="F&amp;F",$A264="CE",M$7="No aplica"),0,'BOULEVARD 5'!P262-'BOULEVARD PPTO'!H257)</f>
        <v>0</v>
      </c>
      <c r="N264" s="756">
        <f>IF(OR($A264="F&amp;F",$A264="CE",N$7="No aplica"),0,'BOULEVARD 5'!Q262-'BOULEVARD PPTO'!I257)</f>
        <v>0</v>
      </c>
      <c r="O264" s="756">
        <f>IF(OR($A264="F&amp;F",$A264="CE",O$7="No aplica"),0,'BOULEVARD 5'!R262-'BOULEVARD PPTO'!J257)</f>
        <v>0</v>
      </c>
      <c r="P264" s="756">
        <f>IF(OR($A264="F&amp;F",$A264="CE",P$7="No aplica"),0,'BOULEVARD 5'!S262-'BOULEVARD PPTO'!K257)</f>
        <v>0</v>
      </c>
      <c r="Q264" s="760">
        <f>IF(OR($A264="F&amp;F",$A264="CE",Q$7="No aplica"),0,'BOULEVARD 5'!T262-'BOULEVARD PPTO'!L257)</f>
        <v>0</v>
      </c>
      <c r="R264" s="760">
        <f>IF(OR($A264="F&amp;F",$A264="CE",R$7="No aplica"),0,'BOULEVARD 5'!U262-'BOULEVARD PPTO'!M257)</f>
        <v>0</v>
      </c>
      <c r="S264" s="760">
        <f>IF(OR($A264="F&amp;F",$A264="CE",S$7="No aplica"),0,'BOULEVARD 5'!V262-'BOULEVARD PPTO'!N257)</f>
        <v>0</v>
      </c>
      <c r="T264" s="760">
        <f>IF(OR($A264="F&amp;F",$A264="CE",T$7="No aplica"),0,'BOULEVARD 5'!W262-'BOULEVARD PPTO'!O257)</f>
        <v>0</v>
      </c>
      <c r="U264" s="760">
        <f>IF(OR($A264="F&amp;F",$A264="CE",U$7="No aplica"),0,'BOULEVARD 5'!X262-'BOULEVARD PPTO'!P257)</f>
        <v>0</v>
      </c>
      <c r="V264" s="760">
        <f>IF(OR($A264="F&amp;F",$A264="CE",V$7="No aplica"),0,'BOULEVARD 5'!Y262-'BOULEVARD PPTO'!Q257)</f>
        <v>0</v>
      </c>
      <c r="W264" s="760">
        <f>IF(OR($A264="F&amp;F",$A264="CE",W$7="No aplica"),0,'BOULEVARD 5'!Z262-'BOULEVARD PPTO'!R257)</f>
        <v>0</v>
      </c>
      <c r="X264" s="760">
        <f>IF(OR($A264="F&amp;F",$A264="CE",X$7="No aplica"),0,'BOULEVARD 5'!AA262-'BOULEVARD PPTO'!S257)</f>
        <v>0</v>
      </c>
      <c r="Y264" s="760">
        <f>IF(OR($A264="F&amp;F",$A264="CE",Y$7="No aplica"),0,'BOULEVARD 5'!AB262-'BOULEVARD PPTO'!T257)</f>
        <v>0</v>
      </c>
      <c r="Z264" s="760">
        <f>IF(OR($A264="F&amp;F",$A264="CE",Z$7="No aplica"),0,'BOULEVARD 5'!AC262-'BOULEVARD PPTO'!U257)</f>
        <v>0</v>
      </c>
      <c r="AA264" s="760">
        <f>IF(OR($A264="F&amp;F",$A264="CE",AA$7="No aplica"),0,'BOULEVARD 5'!AD262-'BOULEVARD PPTO'!V257)</f>
        <v>0</v>
      </c>
      <c r="AB264" s="760">
        <f>IF(OR($A264="F&amp;F",$A264="CE",AB$7="No aplica"),0,'BOULEVARD 5'!AE262-'BOULEVARD PPTO'!W257)</f>
        <v>0</v>
      </c>
      <c r="AC264" s="760">
        <f>IF(OR($A264="F&amp;F",$A264="CE",AC$7="No aplica"),0,'BOULEVARD 5'!AF262-'BOULEVARD PPTO'!X257)</f>
        <v>0</v>
      </c>
      <c r="AD264" s="760">
        <f>IF(OR($A264="F&amp;F",$A264="CE",AD$7="No aplica"),0,'BOULEVARD 5'!AG262-'BOULEVARD PPTO'!Y257)</f>
        <v>0</v>
      </c>
      <c r="AE264" s="760">
        <f>IF(OR($A264="F&amp;F",$A264="CE",AE$7="No aplica"),0,'BOULEVARD 5'!AH262-'BOULEVARD PPTO'!Z257)</f>
        <v>0</v>
      </c>
      <c r="AF264" s="760">
        <f>IF(OR($A264="F&amp;F",$A264="CE",AF$7="No aplica"),0,'BOULEVARD 5'!AI262-'BOULEVARD PPTO'!AA257)</f>
        <v>0</v>
      </c>
      <c r="AG264" s="760">
        <f>IF(OR($A264="F&amp;F",$A264="CE",AG$7="No aplica"),0,'BOULEVARD 5'!AJ262-'BOULEVARD PPTO'!AB257)</f>
        <v>0</v>
      </c>
      <c r="AH264" s="760">
        <f>IF(OR($A264="F&amp;F",$A264="CE",AH$7="No aplica"),0,'BOULEVARD 5'!AK262-'BOULEVARD PPTO'!AC257)</f>
        <v>0</v>
      </c>
      <c r="AI264" s="760">
        <f>IF(OR($A264="F&amp;F",$A264="CE",AI$7="No aplica"),0,'BOULEVARD 5'!AL262-'BOULEVARD PPTO'!AD257)</f>
        <v>0</v>
      </c>
      <c r="AJ264" s="760">
        <f>IF(OR($A264="F&amp;F",$A264="CE",AJ$7="No aplica"),0,'BOULEVARD 5'!AM262-'BOULEVARD PPTO'!AE257)</f>
        <v>0</v>
      </c>
      <c r="AK264" s="760">
        <f>IF(OR($A264="F&amp;F",$A264="CE",AK$7="No aplica"),0,'BOULEVARD 5'!AN262-'BOULEVARD PPTO'!AF257)</f>
        <v>0</v>
      </c>
      <c r="AL264" s="760">
        <f>IF(OR($A264="F&amp;F",$A264="CE",AL$7="No aplica"),0,'BOULEVARD 5'!AO262-'BOULEVARD PPTO'!AG257)</f>
        <v>0</v>
      </c>
      <c r="AM264" s="760">
        <f>IF(OR($A264="F&amp;F",$A264="CE",AM$7="No aplica"),0,'BOULEVARD 5'!AP262-'BOULEVARD PPTO'!AH257)</f>
        <v>0</v>
      </c>
      <c r="AN264" s="760">
        <f>IF(OR($A264="F&amp;F",$A264="CE",AN$7="No aplica"),0,'BOULEVARD 5'!AQ262-'BOULEVARD PPTO'!AI257)</f>
        <v>0</v>
      </c>
      <c r="AO264" s="760">
        <f>IF(OR($A264="F&amp;F",$A264="CE",AO$7="No aplica"),0,'BOULEVARD 5'!AS262-'BOULEVARD PPTO'!AJ257)</f>
        <v>0</v>
      </c>
      <c r="AP264" s="761">
        <f t="shared" si="23"/>
        <v>0</v>
      </c>
      <c r="AQ264" s="761">
        <f t="shared" si="24"/>
        <v>0</v>
      </c>
      <c r="AR264" s="674">
        <f>IF(A264=0,'BOULEVARD 5'!BF262,0)</f>
        <v>0</v>
      </c>
      <c r="AS264" s="674">
        <f>IF(A264=0,'BOULEVARD 5'!BG262,0)</f>
        <v>0</v>
      </c>
      <c r="AT264" s="675" t="str">
        <f t="shared" si="22"/>
        <v>Vendido</v>
      </c>
      <c r="AU264" s="581" t="str">
        <f t="shared" si="26"/>
        <v/>
      </c>
      <c r="AV264" s="760">
        <f t="shared" si="25"/>
        <v>0</v>
      </c>
    </row>
    <row r="265" spans="1:48" s="581" customFormat="1" ht="12.4" customHeight="1" outlineLevel="1" x14ac:dyDescent="0.25">
      <c r="A265" s="703">
        <f>'BOULEVARD 5'!BQ263</f>
        <v>0</v>
      </c>
      <c r="B265" s="564">
        <v>1504</v>
      </c>
      <c r="C265" s="564" t="s">
        <v>172</v>
      </c>
      <c r="D265" s="564"/>
      <c r="E265" s="564" t="str">
        <f>IF('BOULEVARD 5'!E263&lt;&gt;0,'BOULEVARD 5'!E263,"")</f>
        <v>Jose Franco</v>
      </c>
      <c r="F265" s="581" t="str">
        <f>IF('BOULEVARD 5'!F263&lt;&gt;0,'BOULEVARD 5'!F263,"")</f>
        <v>Berta Eugenia Morales López</v>
      </c>
      <c r="G265" s="566">
        <f>IF('BOULEVARD 5'!G263="","",'BOULEVARD 5'!G263)</f>
        <v>45068</v>
      </c>
      <c r="H265" s="756">
        <f>IF(OR($A265="F&amp;F",$A265="CE",H$7="No aplica"),0,'BOULEVARD 5'!K263-'BOULEVARD PPTO'!C258)</f>
        <v>0</v>
      </c>
      <c r="I265" s="756">
        <f>IF(OR($A265="F&amp;F",$A265="CE",I$7="No aplica"),0,'BOULEVARD 5'!L263-'BOULEVARD PPTO'!D258)</f>
        <v>0</v>
      </c>
      <c r="J265" s="756">
        <f>IF(OR($A265="F&amp;F",$A265="CE",J$7="No aplica"),0,'BOULEVARD 5'!M263-'BOULEVARD PPTO'!E258)</f>
        <v>0</v>
      </c>
      <c r="K265" s="756">
        <f>IF(OR($A265="F&amp;F",$A265="CE",K$7="No aplica"),0,'BOULEVARD 5'!N263-'BOULEVARD PPTO'!F258)</f>
        <v>-1000</v>
      </c>
      <c r="L265" s="756">
        <f>IF(OR($A265="F&amp;F",$A265="CE",L$7="No aplica"),0,'BOULEVARD 5'!O263-'BOULEVARD PPTO'!G258)</f>
        <v>0</v>
      </c>
      <c r="M265" s="756">
        <f>IF(OR($A265="F&amp;F",$A265="CE",M$7="No aplica"),0,'BOULEVARD 5'!P263-'BOULEVARD PPTO'!H258)</f>
        <v>0</v>
      </c>
      <c r="N265" s="756">
        <f>IF(OR($A265="F&amp;F",$A265="CE",N$7="No aplica"),0,'BOULEVARD 5'!Q263-'BOULEVARD PPTO'!I258)</f>
        <v>0</v>
      </c>
      <c r="O265" s="756">
        <f>IF(OR($A265="F&amp;F",$A265="CE",O$7="No aplica"),0,'BOULEVARD 5'!R263-'BOULEVARD PPTO'!J258)</f>
        <v>0</v>
      </c>
      <c r="P265" s="756">
        <f>IF(OR($A265="F&amp;F",$A265="CE",P$7="No aplica"),0,'BOULEVARD 5'!S263-'BOULEVARD PPTO'!K258)</f>
        <v>0</v>
      </c>
      <c r="Q265" s="760">
        <f>IF(OR($A265="F&amp;F",$A265="CE",Q$7="No aplica"),0,'BOULEVARD 5'!T263-'BOULEVARD PPTO'!L258)</f>
        <v>0</v>
      </c>
      <c r="R265" s="760">
        <f>IF(OR($A265="F&amp;F",$A265="CE",R$7="No aplica"),0,'BOULEVARD 5'!U263-'BOULEVARD PPTO'!M258)</f>
        <v>0</v>
      </c>
      <c r="S265" s="760">
        <f>IF(OR($A265="F&amp;F",$A265="CE",S$7="No aplica"),0,'BOULEVARD 5'!V263-'BOULEVARD PPTO'!N258)</f>
        <v>0</v>
      </c>
      <c r="T265" s="760">
        <f>IF(OR($A265="F&amp;F",$A265="CE",T$7="No aplica"),0,'BOULEVARD 5'!W263-'BOULEVARD PPTO'!O258)</f>
        <v>0</v>
      </c>
      <c r="U265" s="760">
        <f>IF(OR($A265="F&amp;F",$A265="CE",U$7="No aplica"),0,'BOULEVARD 5'!X263-'BOULEVARD PPTO'!P258)</f>
        <v>0</v>
      </c>
      <c r="V265" s="760">
        <f>IF(OR($A265="F&amp;F",$A265="CE",V$7="No aplica"),0,'BOULEVARD 5'!Y263-'BOULEVARD PPTO'!Q258)</f>
        <v>0</v>
      </c>
      <c r="W265" s="760">
        <f>IF(OR($A265="F&amp;F",$A265="CE",W$7="No aplica"),0,'BOULEVARD 5'!Z263-'BOULEVARD PPTO'!R258)</f>
        <v>0</v>
      </c>
      <c r="X265" s="760">
        <f>IF(OR($A265="F&amp;F",$A265="CE",X$7="No aplica"),0,'BOULEVARD 5'!AA263-'BOULEVARD PPTO'!S258)</f>
        <v>0</v>
      </c>
      <c r="Y265" s="760">
        <f>IF(OR($A265="F&amp;F",$A265="CE",Y$7="No aplica"),0,'BOULEVARD 5'!AB263-'BOULEVARD PPTO'!T258)</f>
        <v>0</v>
      </c>
      <c r="Z265" s="760">
        <f>IF(OR($A265="F&amp;F",$A265="CE",Z$7="No aplica"),0,'BOULEVARD 5'!AC263-'BOULEVARD PPTO'!U258)</f>
        <v>0</v>
      </c>
      <c r="AA265" s="760">
        <f>IF(OR($A265="F&amp;F",$A265="CE",AA$7="No aplica"),0,'BOULEVARD 5'!AD263-'BOULEVARD PPTO'!V258)</f>
        <v>0</v>
      </c>
      <c r="AB265" s="760">
        <f>IF(OR($A265="F&amp;F",$A265="CE",AB$7="No aplica"),0,'BOULEVARD 5'!AE263-'BOULEVARD PPTO'!W258)</f>
        <v>0</v>
      </c>
      <c r="AC265" s="760">
        <f>IF(OR($A265="F&amp;F",$A265="CE",AC$7="No aplica"),0,'BOULEVARD 5'!AF263-'BOULEVARD PPTO'!X258)</f>
        <v>0</v>
      </c>
      <c r="AD265" s="760">
        <f>IF(OR($A265="F&amp;F",$A265="CE",AD$7="No aplica"),0,'BOULEVARD 5'!AG263-'BOULEVARD PPTO'!Y258)</f>
        <v>0</v>
      </c>
      <c r="AE265" s="760">
        <f>IF(OR($A265="F&amp;F",$A265="CE",AE$7="No aplica"),0,'BOULEVARD 5'!AH263-'BOULEVARD PPTO'!Z258)</f>
        <v>0</v>
      </c>
      <c r="AF265" s="760">
        <f>IF(OR($A265="F&amp;F",$A265="CE",AF$7="No aplica"),0,'BOULEVARD 5'!AI263-'BOULEVARD PPTO'!AA258)</f>
        <v>0</v>
      </c>
      <c r="AG265" s="760">
        <f>IF(OR($A265="F&amp;F",$A265="CE",AG$7="No aplica"),0,'BOULEVARD 5'!AJ263-'BOULEVARD PPTO'!AB258)</f>
        <v>0</v>
      </c>
      <c r="AH265" s="760">
        <f>IF(OR($A265="F&amp;F",$A265="CE",AH$7="No aplica"),0,'BOULEVARD 5'!AK263-'BOULEVARD PPTO'!AC258)</f>
        <v>0</v>
      </c>
      <c r="AI265" s="760">
        <f>IF(OR($A265="F&amp;F",$A265="CE",AI$7="No aplica"),0,'BOULEVARD 5'!AL263-'BOULEVARD PPTO'!AD258)</f>
        <v>0</v>
      </c>
      <c r="AJ265" s="760">
        <f>IF(OR($A265="F&amp;F",$A265="CE",AJ$7="No aplica"),0,'BOULEVARD 5'!AM263-'BOULEVARD PPTO'!AE258)</f>
        <v>0</v>
      </c>
      <c r="AK265" s="760">
        <f>IF(OR($A265="F&amp;F",$A265="CE",AK$7="No aplica"),0,'BOULEVARD 5'!AN263-'BOULEVARD PPTO'!AF258)</f>
        <v>0</v>
      </c>
      <c r="AL265" s="760">
        <f>IF(OR($A265="F&amp;F",$A265="CE",AL$7="No aplica"),0,'BOULEVARD 5'!AO263-'BOULEVARD PPTO'!AG258)</f>
        <v>-54800</v>
      </c>
      <c r="AM265" s="760">
        <f>IF(OR($A265="F&amp;F",$A265="CE",AM$7="No aplica"),0,'BOULEVARD 5'!AP263-'BOULEVARD PPTO'!AH258)</f>
        <v>1000</v>
      </c>
      <c r="AN265" s="760">
        <f>IF(OR($A265="F&amp;F",$A265="CE",AN$7="No aplica"),0,'BOULEVARD 5'!AQ263-'BOULEVARD PPTO'!AI258)</f>
        <v>0</v>
      </c>
      <c r="AO265" s="760">
        <f>IF(OR($A265="F&amp;F",$A265="CE",AO$7="No aplica"),0,'BOULEVARD 5'!AS263-'BOULEVARD PPTO'!AJ258)</f>
        <v>0</v>
      </c>
      <c r="AP265" s="761">
        <f t="shared" si="23"/>
        <v>-54800</v>
      </c>
      <c r="AQ265" s="761">
        <f t="shared" si="24"/>
        <v>-51800</v>
      </c>
      <c r="AR265" s="674">
        <f>IF(A265=0,'BOULEVARD 5'!BF263,0)</f>
        <v>6000</v>
      </c>
      <c r="AS265" s="674">
        <f>IF(A265=0,'BOULEVARD 5'!BG263,0)</f>
        <v>1000</v>
      </c>
      <c r="AT265" s="675" t="str">
        <f t="shared" ref="AT265:AT306" si="27">IF(G265="","No Vendido","Vendido")</f>
        <v>Vendido</v>
      </c>
      <c r="AU265" s="581" t="str">
        <f t="shared" si="26"/>
        <v>POR COBRAR</v>
      </c>
      <c r="AV265" s="760">
        <f t="shared" si="25"/>
        <v>1000</v>
      </c>
    </row>
    <row r="266" spans="1:48" s="581" customFormat="1" ht="12.4" customHeight="1" outlineLevel="1" x14ac:dyDescent="0.25">
      <c r="A266" s="703">
        <f>'BOULEVARD 5'!BQ264</f>
        <v>0</v>
      </c>
      <c r="B266" s="564">
        <v>1505</v>
      </c>
      <c r="C266" s="564" t="s">
        <v>395</v>
      </c>
      <c r="D266" s="564"/>
      <c r="E266" s="564" t="str">
        <f>IF('BOULEVARD 5'!E264&lt;&gt;0,'BOULEVARD 5'!E264,"")</f>
        <v>Antonio Rada</v>
      </c>
      <c r="F266" s="581" t="str">
        <f>IF('BOULEVARD 5'!F264&lt;&gt;0,'BOULEVARD 5'!F264,"")</f>
        <v>Daniel Alvarez Alvarez</v>
      </c>
      <c r="G266" s="566">
        <f>IF('BOULEVARD 5'!G264="","",'BOULEVARD 5'!G264)</f>
        <v>45491</v>
      </c>
      <c r="H266" s="756">
        <f>IF(OR($A266="F&amp;F",$A266="CE",H$7="No aplica"),0,'BOULEVARD 5'!K264-'BOULEVARD PPTO'!C259)</f>
        <v>0</v>
      </c>
      <c r="I266" s="756">
        <f>IF(OR($A266="F&amp;F",$A266="CE",I$7="No aplica"),0,'BOULEVARD 5'!L264-'BOULEVARD PPTO'!D259)</f>
        <v>0</v>
      </c>
      <c r="J266" s="756">
        <f>IF(OR($A266="F&amp;F",$A266="CE",J$7="No aplica"),0,'BOULEVARD 5'!M264-'BOULEVARD PPTO'!E259)</f>
        <v>0</v>
      </c>
      <c r="K266" s="756">
        <f>IF(OR($A266="F&amp;F",$A266="CE",K$7="No aplica"),0,'BOULEVARD 5'!N264-'BOULEVARD PPTO'!F259)</f>
        <v>0</v>
      </c>
      <c r="L266" s="756">
        <f>IF(OR($A266="F&amp;F",$A266="CE",L$7="No aplica"),0,'BOULEVARD 5'!O264-'BOULEVARD PPTO'!G259)</f>
        <v>0</v>
      </c>
      <c r="M266" s="756">
        <f>IF(OR($A266="F&amp;F",$A266="CE",M$7="No aplica"),0,'BOULEVARD 5'!P264-'BOULEVARD PPTO'!H259)</f>
        <v>0</v>
      </c>
      <c r="N266" s="756">
        <f>IF(OR($A266="F&amp;F",$A266="CE",N$7="No aplica"),0,'BOULEVARD 5'!Q264-'BOULEVARD PPTO'!I259)</f>
        <v>0</v>
      </c>
      <c r="O266" s="756">
        <f>IF(OR($A266="F&amp;F",$A266="CE",O$7="No aplica"),0,'BOULEVARD 5'!R264-'BOULEVARD PPTO'!J259)</f>
        <v>0</v>
      </c>
      <c r="P266" s="756">
        <f>IF(OR($A266="F&amp;F",$A266="CE",P$7="No aplica"),0,'BOULEVARD 5'!S264-'BOULEVARD PPTO'!K259)</f>
        <v>0</v>
      </c>
      <c r="Q266" s="760">
        <f>IF(OR($A266="F&amp;F",$A266="CE",Q$7="No aplica"),0,'BOULEVARD 5'!T264-'BOULEVARD PPTO'!L259)</f>
        <v>0</v>
      </c>
      <c r="R266" s="760">
        <f>IF(OR($A266="F&amp;F",$A266="CE",R$7="No aplica"),0,'BOULEVARD 5'!U264-'BOULEVARD PPTO'!M259)</f>
        <v>0</v>
      </c>
      <c r="S266" s="760">
        <f>IF(OR($A266="F&amp;F",$A266="CE",S$7="No aplica"),0,'BOULEVARD 5'!V264-'BOULEVARD PPTO'!N259)</f>
        <v>0</v>
      </c>
      <c r="T266" s="760">
        <f>IF(OR($A266="F&amp;F",$A266="CE",T$7="No aplica"),0,'BOULEVARD 5'!W264-'BOULEVARD PPTO'!O259)</f>
        <v>0</v>
      </c>
      <c r="U266" s="760">
        <f>IF(OR($A266="F&amp;F",$A266="CE",U$7="No aplica"),0,'BOULEVARD 5'!X264-'BOULEVARD PPTO'!P259)</f>
        <v>0</v>
      </c>
      <c r="V266" s="760">
        <f>IF(OR($A266="F&amp;F",$A266="CE",V$7="No aplica"),0,'BOULEVARD 5'!Y264-'BOULEVARD PPTO'!Q259)</f>
        <v>0</v>
      </c>
      <c r="W266" s="760">
        <f>IF(OR($A266="F&amp;F",$A266="CE",W$7="No aplica"),0,'BOULEVARD 5'!Z264-'BOULEVARD PPTO'!R259)</f>
        <v>0</v>
      </c>
      <c r="X266" s="760">
        <f>IF(OR($A266="F&amp;F",$A266="CE",X$7="No aplica"),0,'BOULEVARD 5'!AA264-'BOULEVARD PPTO'!S259)</f>
        <v>0</v>
      </c>
      <c r="Y266" s="760">
        <f>IF(OR($A266="F&amp;F",$A266="CE",Y$7="No aplica"),0,'BOULEVARD 5'!AB264-'BOULEVARD PPTO'!T259)</f>
        <v>0</v>
      </c>
      <c r="Z266" s="760">
        <f>IF(OR($A266="F&amp;F",$A266="CE",Z$7="No aplica"),0,'BOULEVARD 5'!AC264-'BOULEVARD PPTO'!U259)</f>
        <v>0</v>
      </c>
      <c r="AA266" s="760">
        <f>IF(OR($A266="F&amp;F",$A266="CE",AA$7="No aplica"),0,'BOULEVARD 5'!AD264-'BOULEVARD PPTO'!V259)</f>
        <v>0</v>
      </c>
      <c r="AB266" s="760">
        <f>IF(OR($A266="F&amp;F",$A266="CE",AB$7="No aplica"),0,'BOULEVARD 5'!AE264-'BOULEVARD PPTO'!W259)</f>
        <v>0</v>
      </c>
      <c r="AC266" s="760">
        <f>IF(OR($A266="F&amp;F",$A266="CE",AC$7="No aplica"),0,'BOULEVARD 5'!AF264-'BOULEVARD PPTO'!X259)</f>
        <v>0</v>
      </c>
      <c r="AD266" s="760">
        <f>IF(OR($A266="F&amp;F",$A266="CE",AD$7="No aplica"),0,'BOULEVARD 5'!AG264-'BOULEVARD PPTO'!Y259)</f>
        <v>0</v>
      </c>
      <c r="AE266" s="760">
        <f>IF(OR($A266="F&amp;F",$A266="CE",AE$7="No aplica"),0,'BOULEVARD 5'!AH264-'BOULEVARD PPTO'!Z259)</f>
        <v>0</v>
      </c>
      <c r="AF266" s="760">
        <f>IF(OR($A266="F&amp;F",$A266="CE",AF$7="No aplica"),0,'BOULEVARD 5'!AI264-'BOULEVARD PPTO'!AA259)</f>
        <v>0</v>
      </c>
      <c r="AG266" s="760">
        <f>IF(OR($A266="F&amp;F",$A266="CE",AG$7="No aplica"),0,'BOULEVARD 5'!AJ264-'BOULEVARD PPTO'!AB259)</f>
        <v>0</v>
      </c>
      <c r="AH266" s="760">
        <f>IF(OR($A266="F&amp;F",$A266="CE",AH$7="No aplica"),0,'BOULEVARD 5'!AK264-'BOULEVARD PPTO'!AC259)</f>
        <v>0</v>
      </c>
      <c r="AI266" s="760">
        <f>IF(OR($A266="F&amp;F",$A266="CE",AI$7="No aplica"),0,'BOULEVARD 5'!AL264-'BOULEVARD PPTO'!AD259)</f>
        <v>0</v>
      </c>
      <c r="AJ266" s="760">
        <f>IF(OR($A266="F&amp;F",$A266="CE",AJ$7="No aplica"),0,'BOULEVARD 5'!AM264-'BOULEVARD PPTO'!AE259)</f>
        <v>0</v>
      </c>
      <c r="AK266" s="760">
        <f>IF(OR($A266="F&amp;F",$A266="CE",AK$7="No aplica"),0,'BOULEVARD 5'!AN264-'BOULEVARD PPTO'!AF259)</f>
        <v>0</v>
      </c>
      <c r="AL266" s="760">
        <f>IF(OR($A266="F&amp;F",$A266="CE",AL$7="No aplica"),0,'BOULEVARD 5'!AO264-'BOULEVARD PPTO'!AG259)</f>
        <v>0</v>
      </c>
      <c r="AM266" s="760">
        <f>IF(OR($A266="F&amp;F",$A266="CE",AM$7="No aplica"),0,'BOULEVARD 5'!AP264-'BOULEVARD PPTO'!AH259)</f>
        <v>0</v>
      </c>
      <c r="AN266" s="760">
        <f>IF(OR($A266="F&amp;F",$A266="CE",AN$7="No aplica"),0,'BOULEVARD 5'!AQ264-'BOULEVARD PPTO'!AI259)</f>
        <v>0</v>
      </c>
      <c r="AO266" s="760">
        <f>IF(OR($A266="F&amp;F",$A266="CE",AO$7="No aplica"),0,'BOULEVARD 5'!AS264-'BOULEVARD PPTO'!AJ259)</f>
        <v>0</v>
      </c>
      <c r="AP266" s="761">
        <f t="shared" ref="AP266:AP306" si="28">SUBTOTAL(9,H266:AO266)</f>
        <v>0</v>
      </c>
      <c r="AQ266" s="761">
        <f t="shared" ref="AQ266:AQ306" si="29">IF(OR(A266="F&amp;F",A266="CE"),0,AQ571-AP571)</f>
        <v>6922</v>
      </c>
      <c r="AR266" s="674">
        <f>IF(A266=0,'BOULEVARD 5'!BF264,0)</f>
        <v>10000</v>
      </c>
      <c r="AS266" s="674">
        <f>IF(A266=0,'BOULEVARD 5'!BG264,0)</f>
        <v>6929</v>
      </c>
      <c r="AT266" s="675" t="str">
        <f t="shared" si="27"/>
        <v>Vendido</v>
      </c>
      <c r="AU266" s="581" t="str">
        <f t="shared" si="26"/>
        <v/>
      </c>
      <c r="AV266" s="760">
        <f t="shared" ref="AV266:AV306" si="30">IF(_xlfn.XLOOKUP($G$5,$Q$8:$AO$8,$Q266:$AO266)&gt;0,_xlfn.XLOOKUP($G$5,$Q$8:$AO$8,$Q266:$AO266),0)</f>
        <v>0</v>
      </c>
    </row>
    <row r="267" spans="1:48" s="581" customFormat="1" ht="12.4" customHeight="1" outlineLevel="1" x14ac:dyDescent="0.25">
      <c r="A267" s="703">
        <f>'BOULEVARD 5'!BQ265</f>
        <v>0</v>
      </c>
      <c r="B267" s="564">
        <v>1506</v>
      </c>
      <c r="C267" s="564" t="s">
        <v>397</v>
      </c>
      <c r="D267" s="564"/>
      <c r="E267" s="564" t="str">
        <f>IF('BOULEVARD 5'!E265&lt;&gt;0,'BOULEVARD 5'!E265,"")</f>
        <v/>
      </c>
      <c r="F267" s="581" t="str">
        <f>IF('BOULEVARD 5'!F265&lt;&gt;0,'BOULEVARD 5'!F265,"")</f>
        <v/>
      </c>
      <c r="G267" s="566" t="str">
        <f>IF('BOULEVARD 5'!G265="","",'BOULEVARD 5'!G265)</f>
        <v/>
      </c>
      <c r="H267" s="756">
        <f>IF(OR($A267="F&amp;F",$A267="CE",H$7="No aplica"),0,'BOULEVARD 5'!K265-'BOULEVARD PPTO'!C260)</f>
        <v>0</v>
      </c>
      <c r="I267" s="756">
        <f>IF(OR($A267="F&amp;F",$A267="CE",I$7="No aplica"),0,'BOULEVARD 5'!L265-'BOULEVARD PPTO'!D260)</f>
        <v>0</v>
      </c>
      <c r="J267" s="756">
        <f>IF(OR($A267="F&amp;F",$A267="CE",J$7="No aplica"),0,'BOULEVARD 5'!M265-'BOULEVARD PPTO'!E260)</f>
        <v>0</v>
      </c>
      <c r="K267" s="756">
        <f>IF(OR($A267="F&amp;F",$A267="CE",K$7="No aplica"),0,'BOULEVARD 5'!N265-'BOULEVARD PPTO'!F260)</f>
        <v>0</v>
      </c>
      <c r="L267" s="756">
        <f>IF(OR($A267="F&amp;F",$A267="CE",L$7="No aplica"),0,'BOULEVARD 5'!O265-'BOULEVARD PPTO'!G260)</f>
        <v>0</v>
      </c>
      <c r="M267" s="756">
        <f>IF(OR($A267="F&amp;F",$A267="CE",M$7="No aplica"),0,'BOULEVARD 5'!P265-'BOULEVARD PPTO'!H260)</f>
        <v>0</v>
      </c>
      <c r="N267" s="756">
        <f>IF(OR($A267="F&amp;F",$A267="CE",N$7="No aplica"),0,'BOULEVARD 5'!Q265-'BOULEVARD PPTO'!I260)</f>
        <v>0</v>
      </c>
      <c r="O267" s="756">
        <f>IF(OR($A267="F&amp;F",$A267="CE",O$7="No aplica"),0,'BOULEVARD 5'!R265-'BOULEVARD PPTO'!J260)</f>
        <v>0</v>
      </c>
      <c r="P267" s="756">
        <f>IF(OR($A267="F&amp;F",$A267="CE",P$7="No aplica"),0,'BOULEVARD 5'!S265-'BOULEVARD PPTO'!K260)</f>
        <v>0</v>
      </c>
      <c r="Q267" s="760">
        <f>IF(OR($A267="F&amp;F",$A267="CE",Q$7="No aplica"),0,'BOULEVARD 5'!T265-'BOULEVARD PPTO'!L260)</f>
        <v>0</v>
      </c>
      <c r="R267" s="760">
        <f>IF(OR($A267="F&amp;F",$A267="CE",R$7="No aplica"),0,'BOULEVARD 5'!U265-'BOULEVARD PPTO'!M260)</f>
        <v>0</v>
      </c>
      <c r="S267" s="760">
        <f>IF(OR($A267="F&amp;F",$A267="CE",S$7="No aplica"),0,'BOULEVARD 5'!V265-'BOULEVARD PPTO'!N260)</f>
        <v>0</v>
      </c>
      <c r="T267" s="760">
        <f>IF(OR($A267="F&amp;F",$A267="CE",T$7="No aplica"),0,'BOULEVARD 5'!W265-'BOULEVARD PPTO'!O260)</f>
        <v>0</v>
      </c>
      <c r="U267" s="760">
        <f>IF(OR($A267="F&amp;F",$A267="CE",U$7="No aplica"),0,'BOULEVARD 5'!X265-'BOULEVARD PPTO'!P260)</f>
        <v>0</v>
      </c>
      <c r="V267" s="760">
        <f>IF(OR($A267="F&amp;F",$A267="CE",V$7="No aplica"),0,'BOULEVARD 5'!Y265-'BOULEVARD PPTO'!Q260)</f>
        <v>0</v>
      </c>
      <c r="W267" s="760">
        <f>IF(OR($A267="F&amp;F",$A267="CE",W$7="No aplica"),0,'BOULEVARD 5'!Z265-'BOULEVARD PPTO'!R260)</f>
        <v>0</v>
      </c>
      <c r="X267" s="760">
        <f>IF(OR($A267="F&amp;F",$A267="CE",X$7="No aplica"),0,'BOULEVARD 5'!AA265-'BOULEVARD PPTO'!S260)</f>
        <v>0</v>
      </c>
      <c r="Y267" s="760">
        <f>IF(OR($A267="F&amp;F",$A267="CE",Y$7="No aplica"),0,'BOULEVARD 5'!AB265-'BOULEVARD PPTO'!T260)</f>
        <v>0</v>
      </c>
      <c r="Z267" s="760">
        <f>IF(OR($A267="F&amp;F",$A267="CE",Z$7="No aplica"),0,'BOULEVARD 5'!AC265-'BOULEVARD PPTO'!U260)</f>
        <v>0</v>
      </c>
      <c r="AA267" s="760">
        <f>IF(OR($A267="F&amp;F",$A267="CE",AA$7="No aplica"),0,'BOULEVARD 5'!AD265-'BOULEVARD PPTO'!V260)</f>
        <v>0</v>
      </c>
      <c r="AB267" s="760">
        <f>IF(OR($A267="F&amp;F",$A267="CE",AB$7="No aplica"),0,'BOULEVARD 5'!AE265-'BOULEVARD PPTO'!W260)</f>
        <v>0</v>
      </c>
      <c r="AC267" s="760">
        <f>IF(OR($A267="F&amp;F",$A267="CE",AC$7="No aplica"),0,'BOULEVARD 5'!AF265-'BOULEVARD PPTO'!X260)</f>
        <v>0</v>
      </c>
      <c r="AD267" s="760">
        <f>IF(OR($A267="F&amp;F",$A267="CE",AD$7="No aplica"),0,'BOULEVARD 5'!AG265-'BOULEVARD PPTO'!Y260)</f>
        <v>0</v>
      </c>
      <c r="AE267" s="760">
        <f>IF(OR($A267="F&amp;F",$A267="CE",AE$7="No aplica"),0,'BOULEVARD 5'!AH265-'BOULEVARD PPTO'!Z260)</f>
        <v>0</v>
      </c>
      <c r="AF267" s="760">
        <f>IF(OR($A267="F&amp;F",$A267="CE",AF$7="No aplica"),0,'BOULEVARD 5'!AI265-'BOULEVARD PPTO'!AA260)</f>
        <v>0</v>
      </c>
      <c r="AG267" s="760">
        <f>IF(OR($A267="F&amp;F",$A267="CE",AG$7="No aplica"),0,'BOULEVARD 5'!AJ265-'BOULEVARD PPTO'!AB260)</f>
        <v>0</v>
      </c>
      <c r="AH267" s="760">
        <f>IF(OR($A267="F&amp;F",$A267="CE",AH$7="No aplica"),0,'BOULEVARD 5'!AK265-'BOULEVARD PPTO'!AC260)</f>
        <v>0</v>
      </c>
      <c r="AI267" s="760">
        <f>IF(OR($A267="F&amp;F",$A267="CE",AI$7="No aplica"),0,'BOULEVARD 5'!AL265-'BOULEVARD PPTO'!AD260)</f>
        <v>0</v>
      </c>
      <c r="AJ267" s="760">
        <f>IF(OR($A267="F&amp;F",$A267="CE",AJ$7="No aplica"),0,'BOULEVARD 5'!AM265-'BOULEVARD PPTO'!AE260)</f>
        <v>0</v>
      </c>
      <c r="AK267" s="760">
        <f>IF(OR($A267="F&amp;F",$A267="CE",AK$7="No aplica"),0,'BOULEVARD 5'!AN265-'BOULEVARD PPTO'!AF260)</f>
        <v>0</v>
      </c>
      <c r="AL267" s="760">
        <f>IF(OR($A267="F&amp;F",$A267="CE",AL$7="No aplica"),0,'BOULEVARD 5'!AO265-'BOULEVARD PPTO'!AG260)</f>
        <v>0</v>
      </c>
      <c r="AM267" s="760">
        <f>IF(OR($A267="F&amp;F",$A267="CE",AM$7="No aplica"),0,'BOULEVARD 5'!AP265-'BOULEVARD PPTO'!AH260)</f>
        <v>0</v>
      </c>
      <c r="AN267" s="760">
        <f>IF(OR($A267="F&amp;F",$A267="CE",AN$7="No aplica"),0,'BOULEVARD 5'!AQ265-'BOULEVARD PPTO'!AI260)</f>
        <v>0</v>
      </c>
      <c r="AO267" s="760">
        <f>IF(OR($A267="F&amp;F",$A267="CE",AO$7="No aplica"),0,'BOULEVARD 5'!AS265-'BOULEVARD PPTO'!AJ260)</f>
        <v>0</v>
      </c>
      <c r="AP267" s="761">
        <f t="shared" si="28"/>
        <v>0</v>
      </c>
      <c r="AQ267" s="761">
        <f t="shared" si="29"/>
        <v>0</v>
      </c>
      <c r="AR267" s="674">
        <f>IF(A267=0,'BOULEVARD 5'!BF265,0)</f>
        <v>0</v>
      </c>
      <c r="AS267" s="674">
        <f>IF(A267=0,'BOULEVARD 5'!BG265,0)</f>
        <v>0</v>
      </c>
      <c r="AT267" s="675" t="str">
        <f t="shared" si="27"/>
        <v>No Vendido</v>
      </c>
      <c r="AU267" s="581" t="str">
        <f t="shared" si="26"/>
        <v/>
      </c>
      <c r="AV267" s="760">
        <f t="shared" si="30"/>
        <v>0</v>
      </c>
    </row>
    <row r="268" spans="1:48" s="581" customFormat="1" ht="12.4" customHeight="1" outlineLevel="1" x14ac:dyDescent="0.25">
      <c r="A268" s="703" t="str">
        <f>'BOULEVARD 5'!BQ266</f>
        <v>F&amp;F</v>
      </c>
      <c r="B268" s="704">
        <v>1507</v>
      </c>
      <c r="C268" s="704" t="s">
        <v>398</v>
      </c>
      <c r="D268" s="704"/>
      <c r="E268" s="704" t="str">
        <f>IF('BOULEVARD 5'!E266&lt;&gt;0,'BOULEVARD 5'!E266,"")</f>
        <v>Jose Franco</v>
      </c>
      <c r="F268" s="705" t="str">
        <f>IF('BOULEVARD 5'!F266&lt;&gt;0,'BOULEVARD 5'!F266,"")</f>
        <v>Gabriel Arimany Monzón</v>
      </c>
      <c r="G268" s="566">
        <f>IF('BOULEVARD 5'!G266="","",'BOULEVARD 5'!G266)</f>
        <v>45013</v>
      </c>
      <c r="H268" s="756">
        <f>IF(OR($A268="F&amp;F",$A268="CE",H$7="No aplica"),0,'BOULEVARD 5'!K266-'BOULEVARD PPTO'!C261)</f>
        <v>0</v>
      </c>
      <c r="I268" s="756">
        <f>IF(OR($A268="F&amp;F",$A268="CE",I$7="No aplica"),0,'BOULEVARD 5'!L266-'BOULEVARD PPTO'!D261)</f>
        <v>0</v>
      </c>
      <c r="J268" s="756">
        <f>IF(OR($A268="F&amp;F",$A268="CE",J$7="No aplica"),0,'BOULEVARD 5'!M266-'BOULEVARD PPTO'!E261)</f>
        <v>0</v>
      </c>
      <c r="K268" s="756">
        <f>IF(OR($A268="F&amp;F",$A268="CE",K$7="No aplica"),0,'BOULEVARD 5'!N266-'BOULEVARD PPTO'!F261)</f>
        <v>0</v>
      </c>
      <c r="L268" s="756">
        <f>IF(OR($A268="F&amp;F",$A268="CE",L$7="No aplica"),0,'BOULEVARD 5'!O266-'BOULEVARD PPTO'!G261)</f>
        <v>0</v>
      </c>
      <c r="M268" s="756">
        <f>IF(OR($A268="F&amp;F",$A268="CE",M$7="No aplica"),0,'BOULEVARD 5'!P266-'BOULEVARD PPTO'!H261)</f>
        <v>0</v>
      </c>
      <c r="N268" s="756">
        <f>IF(OR($A268="F&amp;F",$A268="CE",N$7="No aplica"),0,'BOULEVARD 5'!Q266-'BOULEVARD PPTO'!I261)</f>
        <v>0</v>
      </c>
      <c r="O268" s="756">
        <f>IF(OR($A268="F&amp;F",$A268="CE",O$7="No aplica"),0,'BOULEVARD 5'!R266-'BOULEVARD PPTO'!J261)</f>
        <v>0</v>
      </c>
      <c r="P268" s="756">
        <f>IF(OR($A268="F&amp;F",$A268="CE",P$7="No aplica"),0,'BOULEVARD 5'!S266-'BOULEVARD PPTO'!K261)</f>
        <v>0</v>
      </c>
      <c r="Q268" s="760">
        <f>IF(OR($A268="F&amp;F",$A268="CE",Q$7="No aplica"),0,'BOULEVARD 5'!T266-'BOULEVARD PPTO'!L261)</f>
        <v>0</v>
      </c>
      <c r="R268" s="760">
        <f>IF(OR($A268="F&amp;F",$A268="CE",R$7="No aplica"),0,'BOULEVARD 5'!U266-'BOULEVARD PPTO'!M261)</f>
        <v>0</v>
      </c>
      <c r="S268" s="760">
        <f>IF(OR($A268="F&amp;F",$A268="CE",S$7="No aplica"),0,'BOULEVARD 5'!V266-'BOULEVARD PPTO'!N261)</f>
        <v>0</v>
      </c>
      <c r="T268" s="760">
        <f>IF(OR($A268="F&amp;F",$A268="CE",T$7="No aplica"),0,'BOULEVARD 5'!W266-'BOULEVARD PPTO'!O261)</f>
        <v>0</v>
      </c>
      <c r="U268" s="760">
        <f>IF(OR($A268="F&amp;F",$A268="CE",U$7="No aplica"),0,'BOULEVARD 5'!X266-'BOULEVARD PPTO'!P261)</f>
        <v>0</v>
      </c>
      <c r="V268" s="760">
        <f>IF(OR($A268="F&amp;F",$A268="CE",V$7="No aplica"),0,'BOULEVARD 5'!Y266-'BOULEVARD PPTO'!Q261)</f>
        <v>0</v>
      </c>
      <c r="W268" s="760">
        <f>IF(OR($A268="F&amp;F",$A268="CE",W$7="No aplica"),0,'BOULEVARD 5'!Z266-'BOULEVARD PPTO'!R261)</f>
        <v>0</v>
      </c>
      <c r="X268" s="760">
        <f>IF(OR($A268="F&amp;F",$A268="CE",X$7="No aplica"),0,'BOULEVARD 5'!AA266-'BOULEVARD PPTO'!S261)</f>
        <v>0</v>
      </c>
      <c r="Y268" s="760">
        <f>IF(OR($A268="F&amp;F",$A268="CE",Y$7="No aplica"),0,'BOULEVARD 5'!AB266-'BOULEVARD PPTO'!T261)</f>
        <v>0</v>
      </c>
      <c r="Z268" s="760">
        <f>IF(OR($A268="F&amp;F",$A268="CE",Z$7="No aplica"),0,'BOULEVARD 5'!AC266-'BOULEVARD PPTO'!U261)</f>
        <v>0</v>
      </c>
      <c r="AA268" s="760">
        <f>IF(OR($A268="F&amp;F",$A268="CE",AA$7="No aplica"),0,'BOULEVARD 5'!AD266-'BOULEVARD PPTO'!V261)</f>
        <v>0</v>
      </c>
      <c r="AB268" s="760">
        <f>IF(OR($A268="F&amp;F",$A268="CE",AB$7="No aplica"),0,'BOULEVARD 5'!AE266-'BOULEVARD PPTO'!W261)</f>
        <v>0</v>
      </c>
      <c r="AC268" s="760">
        <f>IF(OR($A268="F&amp;F",$A268="CE",AC$7="No aplica"),0,'BOULEVARD 5'!AF266-'BOULEVARD PPTO'!X261)</f>
        <v>0</v>
      </c>
      <c r="AD268" s="760">
        <f>IF(OR($A268="F&amp;F",$A268="CE",AD$7="No aplica"),0,'BOULEVARD 5'!AG266-'BOULEVARD PPTO'!Y261)</f>
        <v>0</v>
      </c>
      <c r="AE268" s="760">
        <f>IF(OR($A268="F&amp;F",$A268="CE",AE$7="No aplica"),0,'BOULEVARD 5'!AH266-'BOULEVARD PPTO'!Z261)</f>
        <v>0</v>
      </c>
      <c r="AF268" s="760">
        <f>IF(OR($A268="F&amp;F",$A268="CE",AF$7="No aplica"),0,'BOULEVARD 5'!AI266-'BOULEVARD PPTO'!AA261)</f>
        <v>0</v>
      </c>
      <c r="AG268" s="760">
        <f>IF(OR($A268="F&amp;F",$A268="CE",AG$7="No aplica"),0,'BOULEVARD 5'!AJ266-'BOULEVARD PPTO'!AB261)</f>
        <v>0</v>
      </c>
      <c r="AH268" s="760">
        <f>IF(OR($A268="F&amp;F",$A268="CE",AH$7="No aplica"),0,'BOULEVARD 5'!AK266-'BOULEVARD PPTO'!AC261)</f>
        <v>0</v>
      </c>
      <c r="AI268" s="760">
        <f>IF(OR($A268="F&amp;F",$A268="CE",AI$7="No aplica"),0,'BOULEVARD 5'!AL266-'BOULEVARD PPTO'!AD261)</f>
        <v>0</v>
      </c>
      <c r="AJ268" s="760">
        <f>IF(OR($A268="F&amp;F",$A268="CE",AJ$7="No aplica"),0,'BOULEVARD 5'!AM266-'BOULEVARD PPTO'!AE261)</f>
        <v>0</v>
      </c>
      <c r="AK268" s="760">
        <f>IF(OR($A268="F&amp;F",$A268="CE",AK$7="No aplica"),0,'BOULEVARD 5'!AN266-'BOULEVARD PPTO'!AF261)</f>
        <v>0</v>
      </c>
      <c r="AL268" s="760">
        <f>IF(OR($A268="F&amp;F",$A268="CE",AL$7="No aplica"),0,'BOULEVARD 5'!AO266-'BOULEVARD PPTO'!AG261)</f>
        <v>0</v>
      </c>
      <c r="AM268" s="760">
        <f>IF(OR($A268="F&amp;F",$A268="CE",AM$7="No aplica"),0,'BOULEVARD 5'!AP266-'BOULEVARD PPTO'!AH261)</f>
        <v>0</v>
      </c>
      <c r="AN268" s="760">
        <f>IF(OR($A268="F&amp;F",$A268="CE",AN$7="No aplica"),0,'BOULEVARD 5'!AQ266-'BOULEVARD PPTO'!AI261)</f>
        <v>0</v>
      </c>
      <c r="AO268" s="760">
        <f>IF(OR($A268="F&amp;F",$A268="CE",AO$7="No aplica"),0,'BOULEVARD 5'!AS266-'BOULEVARD PPTO'!AJ261)</f>
        <v>0</v>
      </c>
      <c r="AP268" s="761">
        <f t="shared" si="28"/>
        <v>0</v>
      </c>
      <c r="AQ268" s="761">
        <f t="shared" si="29"/>
        <v>0</v>
      </c>
      <c r="AR268" s="674">
        <f>IF(A268=0,'BOULEVARD 5'!BF266,0)</f>
        <v>0</v>
      </c>
      <c r="AS268" s="674">
        <f>IF(A268=0,'BOULEVARD 5'!BG266,0)</f>
        <v>0</v>
      </c>
      <c r="AT268" s="675" t="str">
        <f t="shared" si="27"/>
        <v>Vendido</v>
      </c>
      <c r="AU268" s="581" t="str">
        <f t="shared" si="26"/>
        <v/>
      </c>
      <c r="AV268" s="760">
        <f t="shared" si="30"/>
        <v>0</v>
      </c>
    </row>
    <row r="269" spans="1:48" s="581" customFormat="1" ht="12.4" customHeight="1" outlineLevel="1" x14ac:dyDescent="0.25">
      <c r="A269" s="703" t="str">
        <f>'BOULEVARD 5'!BQ267</f>
        <v>F&amp;F</v>
      </c>
      <c r="B269" s="704">
        <v>1508</v>
      </c>
      <c r="C269" s="704" t="s">
        <v>399</v>
      </c>
      <c r="D269" s="704"/>
      <c r="E269" s="704" t="str">
        <f>IF('BOULEVARD 5'!E267&lt;&gt;0,'BOULEVARD 5'!E267,"")</f>
        <v>Jose Franco</v>
      </c>
      <c r="F269" s="705" t="str">
        <f>IF('BOULEVARD 5'!F267&lt;&gt;0,'BOULEVARD 5'!F267,"")</f>
        <v>María Carolina Arimany Comas</v>
      </c>
      <c r="G269" s="566">
        <f>IF('BOULEVARD 5'!G267="","",'BOULEVARD 5'!G267)</f>
        <v>45013</v>
      </c>
      <c r="H269" s="756">
        <f>IF(OR($A269="F&amp;F",$A269="CE",H$7="No aplica"),0,'BOULEVARD 5'!K267-'BOULEVARD PPTO'!C262)</f>
        <v>0</v>
      </c>
      <c r="I269" s="756">
        <f>IF(OR($A269="F&amp;F",$A269="CE",I$7="No aplica"),0,'BOULEVARD 5'!L267-'BOULEVARD PPTO'!D262)</f>
        <v>0</v>
      </c>
      <c r="J269" s="756">
        <f>IF(OR($A269="F&amp;F",$A269="CE",J$7="No aplica"),0,'BOULEVARD 5'!M267-'BOULEVARD PPTO'!E262)</f>
        <v>0</v>
      </c>
      <c r="K269" s="756">
        <f>IF(OR($A269="F&amp;F",$A269="CE",K$7="No aplica"),0,'BOULEVARD 5'!N267-'BOULEVARD PPTO'!F262)</f>
        <v>0</v>
      </c>
      <c r="L269" s="756">
        <f>IF(OR($A269="F&amp;F",$A269="CE",L$7="No aplica"),0,'BOULEVARD 5'!O267-'BOULEVARD PPTO'!G262)</f>
        <v>0</v>
      </c>
      <c r="M269" s="756">
        <f>IF(OR($A269="F&amp;F",$A269="CE",M$7="No aplica"),0,'BOULEVARD 5'!P267-'BOULEVARD PPTO'!H262)</f>
        <v>0</v>
      </c>
      <c r="N269" s="756">
        <f>IF(OR($A269="F&amp;F",$A269="CE",N$7="No aplica"),0,'BOULEVARD 5'!Q267-'BOULEVARD PPTO'!I262)</f>
        <v>0</v>
      </c>
      <c r="O269" s="756">
        <f>IF(OR($A269="F&amp;F",$A269="CE",O$7="No aplica"),0,'BOULEVARD 5'!R267-'BOULEVARD PPTO'!J262)</f>
        <v>0</v>
      </c>
      <c r="P269" s="756">
        <f>IF(OR($A269="F&amp;F",$A269="CE",P$7="No aplica"),0,'BOULEVARD 5'!S267-'BOULEVARD PPTO'!K262)</f>
        <v>0</v>
      </c>
      <c r="Q269" s="760">
        <f>IF(OR($A269="F&amp;F",$A269="CE",Q$7="No aplica"),0,'BOULEVARD 5'!T267-'BOULEVARD PPTO'!L262)</f>
        <v>0</v>
      </c>
      <c r="R269" s="760">
        <f>IF(OR($A269="F&amp;F",$A269="CE",R$7="No aplica"),0,'BOULEVARD 5'!U267-'BOULEVARD PPTO'!M262)</f>
        <v>0</v>
      </c>
      <c r="S269" s="760">
        <f>IF(OR($A269="F&amp;F",$A269="CE",S$7="No aplica"),0,'BOULEVARD 5'!V267-'BOULEVARD PPTO'!N262)</f>
        <v>0</v>
      </c>
      <c r="T269" s="760">
        <f>IF(OR($A269="F&amp;F",$A269="CE",T$7="No aplica"),0,'BOULEVARD 5'!W267-'BOULEVARD PPTO'!O262)</f>
        <v>0</v>
      </c>
      <c r="U269" s="760">
        <f>IF(OR($A269="F&amp;F",$A269="CE",U$7="No aplica"),0,'BOULEVARD 5'!X267-'BOULEVARD PPTO'!P262)</f>
        <v>0</v>
      </c>
      <c r="V269" s="760">
        <f>IF(OR($A269="F&amp;F",$A269="CE",V$7="No aplica"),0,'BOULEVARD 5'!Y267-'BOULEVARD PPTO'!Q262)</f>
        <v>0</v>
      </c>
      <c r="W269" s="760">
        <f>IF(OR($A269="F&amp;F",$A269="CE",W$7="No aplica"),0,'BOULEVARD 5'!Z267-'BOULEVARD PPTO'!R262)</f>
        <v>0</v>
      </c>
      <c r="X269" s="760">
        <f>IF(OR($A269="F&amp;F",$A269="CE",X$7="No aplica"),0,'BOULEVARD 5'!AA267-'BOULEVARD PPTO'!S262)</f>
        <v>0</v>
      </c>
      <c r="Y269" s="760">
        <f>IF(OR($A269="F&amp;F",$A269="CE",Y$7="No aplica"),0,'BOULEVARD 5'!AB267-'BOULEVARD PPTO'!T262)</f>
        <v>0</v>
      </c>
      <c r="Z269" s="760">
        <f>IF(OR($A269="F&amp;F",$A269="CE",Z$7="No aplica"),0,'BOULEVARD 5'!AC267-'BOULEVARD PPTO'!U262)</f>
        <v>0</v>
      </c>
      <c r="AA269" s="760">
        <f>IF(OR($A269="F&amp;F",$A269="CE",AA$7="No aplica"),0,'BOULEVARD 5'!AD267-'BOULEVARD PPTO'!V262)</f>
        <v>0</v>
      </c>
      <c r="AB269" s="760">
        <f>IF(OR($A269="F&amp;F",$A269="CE",AB$7="No aplica"),0,'BOULEVARD 5'!AE267-'BOULEVARD PPTO'!W262)</f>
        <v>0</v>
      </c>
      <c r="AC269" s="760">
        <f>IF(OR($A269="F&amp;F",$A269="CE",AC$7="No aplica"),0,'BOULEVARD 5'!AF267-'BOULEVARD PPTO'!X262)</f>
        <v>0</v>
      </c>
      <c r="AD269" s="760">
        <f>IF(OR($A269="F&amp;F",$A269="CE",AD$7="No aplica"),0,'BOULEVARD 5'!AG267-'BOULEVARD PPTO'!Y262)</f>
        <v>0</v>
      </c>
      <c r="AE269" s="760">
        <f>IF(OR($A269="F&amp;F",$A269="CE",AE$7="No aplica"),0,'BOULEVARD 5'!AH267-'BOULEVARD PPTO'!Z262)</f>
        <v>0</v>
      </c>
      <c r="AF269" s="760">
        <f>IF(OR($A269="F&amp;F",$A269="CE",AF$7="No aplica"),0,'BOULEVARD 5'!AI267-'BOULEVARD PPTO'!AA262)</f>
        <v>0</v>
      </c>
      <c r="AG269" s="760">
        <f>IF(OR($A269="F&amp;F",$A269="CE",AG$7="No aplica"),0,'BOULEVARD 5'!AJ267-'BOULEVARD PPTO'!AB262)</f>
        <v>0</v>
      </c>
      <c r="AH269" s="760">
        <f>IF(OR($A269="F&amp;F",$A269="CE",AH$7="No aplica"),0,'BOULEVARD 5'!AK267-'BOULEVARD PPTO'!AC262)</f>
        <v>0</v>
      </c>
      <c r="AI269" s="760">
        <f>IF(OR($A269="F&amp;F",$A269="CE",AI$7="No aplica"),0,'BOULEVARD 5'!AL267-'BOULEVARD PPTO'!AD262)</f>
        <v>0</v>
      </c>
      <c r="AJ269" s="760">
        <f>IF(OR($A269="F&amp;F",$A269="CE",AJ$7="No aplica"),0,'BOULEVARD 5'!AM267-'BOULEVARD PPTO'!AE262)</f>
        <v>0</v>
      </c>
      <c r="AK269" s="760">
        <f>IF(OR($A269="F&amp;F",$A269="CE",AK$7="No aplica"),0,'BOULEVARD 5'!AN267-'BOULEVARD PPTO'!AF262)</f>
        <v>0</v>
      </c>
      <c r="AL269" s="760">
        <f>IF(OR($A269="F&amp;F",$A269="CE",AL$7="No aplica"),0,'BOULEVARD 5'!AO267-'BOULEVARD PPTO'!AG262)</f>
        <v>0</v>
      </c>
      <c r="AM269" s="760">
        <f>IF(OR($A269="F&amp;F",$A269="CE",AM$7="No aplica"),0,'BOULEVARD 5'!AP267-'BOULEVARD PPTO'!AH262)</f>
        <v>0</v>
      </c>
      <c r="AN269" s="760">
        <f>IF(OR($A269="F&amp;F",$A269="CE",AN$7="No aplica"),0,'BOULEVARD 5'!AQ267-'BOULEVARD PPTO'!AI262)</f>
        <v>0</v>
      </c>
      <c r="AO269" s="760">
        <f>IF(OR($A269="F&amp;F",$A269="CE",AO$7="No aplica"),0,'BOULEVARD 5'!AS267-'BOULEVARD PPTO'!AJ262)</f>
        <v>0</v>
      </c>
      <c r="AP269" s="761">
        <f t="shared" si="28"/>
        <v>0</v>
      </c>
      <c r="AQ269" s="761">
        <f t="shared" si="29"/>
        <v>0</v>
      </c>
      <c r="AR269" s="674">
        <f>IF(A269=0,'BOULEVARD 5'!BF267,0)</f>
        <v>0</v>
      </c>
      <c r="AS269" s="674">
        <f>IF(A269=0,'BOULEVARD 5'!BG267,0)</f>
        <v>0</v>
      </c>
      <c r="AT269" s="675" t="str">
        <f t="shared" si="27"/>
        <v>Vendido</v>
      </c>
      <c r="AU269" s="581" t="str">
        <f t="shared" si="26"/>
        <v/>
      </c>
      <c r="AV269" s="760">
        <f t="shared" si="30"/>
        <v>0</v>
      </c>
    </row>
    <row r="270" spans="1:48" s="563" customFormat="1" ht="12.4" customHeight="1" outlineLevel="1" x14ac:dyDescent="0.25">
      <c r="A270" s="703">
        <f>'BOULEVARD 5'!BQ268</f>
        <v>0</v>
      </c>
      <c r="B270" s="713">
        <v>1509</v>
      </c>
      <c r="C270" s="565" t="s">
        <v>400</v>
      </c>
      <c r="D270" s="565"/>
      <c r="E270" s="564" t="str">
        <f>IF('BOULEVARD 5'!E268&lt;&gt;0,'BOULEVARD 5'!E268,"")</f>
        <v>Anahí Cisneros</v>
      </c>
      <c r="F270" s="563" t="str">
        <f>IF('BOULEVARD 5'!F268&lt;&gt;0,'BOULEVARD 5'!F268,"")</f>
        <v>Alan Gonzalez Choc</v>
      </c>
      <c r="G270" s="566">
        <f>IF('BOULEVARD 5'!G268="","",'BOULEVARD 5'!G268)</f>
        <v>45856</v>
      </c>
      <c r="H270" s="756">
        <f>IF(OR($A270="F&amp;F",$A270="CE",H$7="No aplica"),0,'BOULEVARD 5'!K268-'BOULEVARD PPTO'!C263)</f>
        <v>0</v>
      </c>
      <c r="I270" s="756">
        <f>IF(OR($A270="F&amp;F",$A270="CE",I$7="No aplica"),0,'BOULEVARD 5'!L268-'BOULEVARD PPTO'!D263)</f>
        <v>0</v>
      </c>
      <c r="J270" s="756">
        <f>IF(OR($A270="F&amp;F",$A270="CE",J$7="No aplica"),0,'BOULEVARD 5'!M268-'BOULEVARD PPTO'!E263)</f>
        <v>0</v>
      </c>
      <c r="K270" s="756">
        <f>IF(OR($A270="F&amp;F",$A270="CE",K$7="No aplica"),0,'BOULEVARD 5'!N268-'BOULEVARD PPTO'!F263)</f>
        <v>0</v>
      </c>
      <c r="L270" s="756">
        <f>IF(OR($A270="F&amp;F",$A270="CE",L$7="No aplica"),0,'BOULEVARD 5'!O268-'BOULEVARD PPTO'!G263)</f>
        <v>0</v>
      </c>
      <c r="M270" s="756">
        <f>IF(OR($A270="F&amp;F",$A270="CE",M$7="No aplica"),0,'BOULEVARD 5'!P268-'BOULEVARD PPTO'!H263)</f>
        <v>0</v>
      </c>
      <c r="N270" s="756">
        <f>IF(OR($A270="F&amp;F",$A270="CE",N$7="No aplica"),0,'BOULEVARD 5'!Q268-'BOULEVARD PPTO'!I263)</f>
        <v>0</v>
      </c>
      <c r="O270" s="756">
        <f>IF(OR($A270="F&amp;F",$A270="CE",O$7="No aplica"),0,'BOULEVARD 5'!R268-'BOULEVARD PPTO'!J263)</f>
        <v>0</v>
      </c>
      <c r="P270" s="756">
        <f>IF(OR($A270="F&amp;F",$A270="CE",P$7="No aplica"),0,'BOULEVARD 5'!S268-'BOULEVARD PPTO'!K263)</f>
        <v>0</v>
      </c>
      <c r="Q270" s="760">
        <f>IF(OR($A270="F&amp;F",$A270="CE",Q$7="No aplica"),0,'BOULEVARD 5'!T268-'BOULEVARD PPTO'!L263)</f>
        <v>0</v>
      </c>
      <c r="R270" s="760">
        <f>IF(OR($A270="F&amp;F",$A270="CE",R$7="No aplica"),0,'BOULEVARD 5'!U268-'BOULEVARD PPTO'!M263)</f>
        <v>0</v>
      </c>
      <c r="S270" s="760">
        <f>IF(OR($A270="F&amp;F",$A270="CE",S$7="No aplica"),0,'BOULEVARD 5'!V268-'BOULEVARD PPTO'!N263)</f>
        <v>0</v>
      </c>
      <c r="T270" s="760">
        <f>IF(OR($A270="F&amp;F",$A270="CE",T$7="No aplica"),0,'BOULEVARD 5'!W268-'BOULEVARD PPTO'!O263)</f>
        <v>0</v>
      </c>
      <c r="U270" s="760">
        <f>IF(OR($A270="F&amp;F",$A270="CE",U$7="No aplica"),0,'BOULEVARD 5'!X268-'BOULEVARD PPTO'!P263)</f>
        <v>0</v>
      </c>
      <c r="V270" s="760">
        <f>IF(OR($A270="F&amp;F",$A270="CE",V$7="No aplica"),0,'BOULEVARD 5'!Y268-'BOULEVARD PPTO'!Q263)</f>
        <v>0</v>
      </c>
      <c r="W270" s="760">
        <f>IF(OR($A270="F&amp;F",$A270="CE",W$7="No aplica"),0,'BOULEVARD 5'!Z268-'BOULEVARD PPTO'!R263)</f>
        <v>0</v>
      </c>
      <c r="X270" s="760">
        <f>IF(OR($A270="F&amp;F",$A270="CE",X$7="No aplica"),0,'BOULEVARD 5'!AA268-'BOULEVARD PPTO'!S263)</f>
        <v>0</v>
      </c>
      <c r="Y270" s="760">
        <f>IF(OR($A270="F&amp;F",$A270="CE",Y$7="No aplica"),0,'BOULEVARD 5'!AB268-'BOULEVARD PPTO'!T263)</f>
        <v>0</v>
      </c>
      <c r="Z270" s="760">
        <f>IF(OR($A270="F&amp;F",$A270="CE",Z$7="No aplica"),0,'BOULEVARD 5'!AC268-'BOULEVARD PPTO'!U263)</f>
        <v>0</v>
      </c>
      <c r="AA270" s="760">
        <f>IF(OR($A270="F&amp;F",$A270="CE",AA$7="No aplica"),0,'BOULEVARD 5'!AD268-'BOULEVARD PPTO'!V263)</f>
        <v>0</v>
      </c>
      <c r="AB270" s="760">
        <f>IF(OR($A270="F&amp;F",$A270="CE",AB$7="No aplica"),0,'BOULEVARD 5'!AE268-'BOULEVARD PPTO'!W263)</f>
        <v>0</v>
      </c>
      <c r="AC270" s="760">
        <f>IF(OR($A270="F&amp;F",$A270="CE",AC$7="No aplica"),0,'BOULEVARD 5'!AF268-'BOULEVARD PPTO'!X263)</f>
        <v>0</v>
      </c>
      <c r="AD270" s="760">
        <f>IF(OR($A270="F&amp;F",$A270="CE",AD$7="No aplica"),0,'BOULEVARD 5'!AG268-'BOULEVARD PPTO'!Y263)</f>
        <v>0</v>
      </c>
      <c r="AE270" s="760">
        <f>IF(OR($A270="F&amp;F",$A270="CE",AE$7="No aplica"),0,'BOULEVARD 5'!AH268-'BOULEVARD PPTO'!Z263)</f>
        <v>0</v>
      </c>
      <c r="AF270" s="760">
        <f>IF(OR($A270="F&amp;F",$A270="CE",AF$7="No aplica"),0,'BOULEVARD 5'!AI268-'BOULEVARD PPTO'!AA263)</f>
        <v>0</v>
      </c>
      <c r="AG270" s="760">
        <f>IF(OR($A270="F&amp;F",$A270="CE",AG$7="No aplica"),0,'BOULEVARD 5'!AJ268-'BOULEVARD PPTO'!AB263)</f>
        <v>0</v>
      </c>
      <c r="AH270" s="760">
        <f>IF(OR($A270="F&amp;F",$A270="CE",AH$7="No aplica"),0,'BOULEVARD 5'!AK268-'BOULEVARD PPTO'!AC263)</f>
        <v>0</v>
      </c>
      <c r="AI270" s="760">
        <f>IF(OR($A270="F&amp;F",$A270="CE",AI$7="No aplica"),0,'BOULEVARD 5'!AL268-'BOULEVARD PPTO'!AD263)</f>
        <v>0</v>
      </c>
      <c r="AJ270" s="760">
        <f>IF(OR($A270="F&amp;F",$A270="CE",AJ$7="No aplica"),0,'BOULEVARD 5'!AM268-'BOULEVARD PPTO'!AE263)</f>
        <v>0</v>
      </c>
      <c r="AK270" s="760">
        <f>IF(OR($A270="F&amp;F",$A270="CE",AK$7="No aplica"),0,'BOULEVARD 5'!AN268-'BOULEVARD PPTO'!AF263)</f>
        <v>-32400</v>
      </c>
      <c r="AL270" s="760">
        <f>IF(OR($A270="F&amp;F",$A270="CE",AL$7="No aplica"),0,'BOULEVARD 5'!AO268-'BOULEVARD PPTO'!AG263)</f>
        <v>0</v>
      </c>
      <c r="AM270" s="760">
        <f>IF(OR($A270="F&amp;F",$A270="CE",AM$7="No aplica"),0,'BOULEVARD 5'!AP268-'BOULEVARD PPTO'!AH263)</f>
        <v>0</v>
      </c>
      <c r="AN270" s="760">
        <f>IF(OR($A270="F&amp;F",$A270="CE",AN$7="No aplica"),0,'BOULEVARD 5'!AQ268-'BOULEVARD PPTO'!AI263)</f>
        <v>0</v>
      </c>
      <c r="AO270" s="760">
        <f>IF(OR($A270="F&amp;F",$A270="CE",AO$7="No aplica"),0,'BOULEVARD 5'!AS268-'BOULEVARD PPTO'!AJ263)</f>
        <v>0</v>
      </c>
      <c r="AP270" s="761">
        <f t="shared" si="28"/>
        <v>-32400</v>
      </c>
      <c r="AQ270" s="761">
        <f t="shared" si="29"/>
        <v>-379277.04000000004</v>
      </c>
      <c r="AR270" s="674">
        <f>IF(A270=0,'BOULEVARD 5'!BF268,0)</f>
        <v>541277.03</v>
      </c>
      <c r="AS270" s="674">
        <f>IF(A270=0,'BOULEVARD 5'!BG268,0)</f>
        <v>32400</v>
      </c>
      <c r="AT270" s="675" t="str">
        <f t="shared" si="27"/>
        <v>Vendido</v>
      </c>
      <c r="AU270" s="581" t="str">
        <f t="shared" si="26"/>
        <v>POR COBRAR</v>
      </c>
      <c r="AV270" s="760">
        <f t="shared" si="30"/>
        <v>0</v>
      </c>
    </row>
    <row r="271" spans="1:48" s="581" customFormat="1" ht="12.4" customHeight="1" outlineLevel="1" x14ac:dyDescent="0.25">
      <c r="A271" s="703">
        <f>'BOULEVARD 5'!BQ269</f>
        <v>0</v>
      </c>
      <c r="B271" s="564">
        <v>1510</v>
      </c>
      <c r="C271" s="564" t="s">
        <v>175</v>
      </c>
      <c r="D271" s="564"/>
      <c r="E271" s="564" t="str">
        <f>IF('BOULEVARD 5'!E269&lt;&gt;0,'BOULEVARD 5'!E269,"")</f>
        <v>Brenda Búcaro</v>
      </c>
      <c r="F271" s="581" t="str">
        <f>IF('BOULEVARD 5'!F269&lt;&gt;0,'BOULEVARD 5'!F269,"")</f>
        <v>José Paúl Centeno Valdés</v>
      </c>
      <c r="G271" s="566">
        <f>IF('BOULEVARD 5'!G269="","",'BOULEVARD 5'!G269)</f>
        <v>45085</v>
      </c>
      <c r="H271" s="756">
        <f>IF(OR($A271="F&amp;F",$A271="CE",H$7="No aplica"),0,'BOULEVARD 5'!K269-'BOULEVARD PPTO'!C264)</f>
        <v>0</v>
      </c>
      <c r="I271" s="756">
        <f>IF(OR($A271="F&amp;F",$A271="CE",I$7="No aplica"),0,'BOULEVARD 5'!L269-'BOULEVARD PPTO'!D264)</f>
        <v>0</v>
      </c>
      <c r="J271" s="756">
        <f>IF(OR($A271="F&amp;F",$A271="CE",J$7="No aplica"),0,'BOULEVARD 5'!M269-'BOULEVARD PPTO'!E264)</f>
        <v>0</v>
      </c>
      <c r="K271" s="756">
        <f>IF(OR($A271="F&amp;F",$A271="CE",K$7="No aplica"),0,'BOULEVARD 5'!N269-'BOULEVARD PPTO'!F264)</f>
        <v>0</v>
      </c>
      <c r="L271" s="756">
        <f>IF(OR($A271="F&amp;F",$A271="CE",L$7="No aplica"),0,'BOULEVARD 5'!O269-'BOULEVARD PPTO'!G264)</f>
        <v>0</v>
      </c>
      <c r="M271" s="756">
        <f>IF(OR($A271="F&amp;F",$A271="CE",M$7="No aplica"),0,'BOULEVARD 5'!P269-'BOULEVARD PPTO'!H264)</f>
        <v>0</v>
      </c>
      <c r="N271" s="756">
        <f>IF(OR($A271="F&amp;F",$A271="CE",N$7="No aplica"),0,'BOULEVARD 5'!Q269-'BOULEVARD PPTO'!I264)</f>
        <v>0</v>
      </c>
      <c r="O271" s="756">
        <f>IF(OR($A271="F&amp;F",$A271="CE",O$7="No aplica"),0,'BOULEVARD 5'!R269-'BOULEVARD PPTO'!J264)</f>
        <v>0</v>
      </c>
      <c r="P271" s="756">
        <f>IF(OR($A271="F&amp;F",$A271="CE",P$7="No aplica"),0,'BOULEVARD 5'!S269-'BOULEVARD PPTO'!K264)</f>
        <v>0</v>
      </c>
      <c r="Q271" s="760">
        <f>IF(OR($A271="F&amp;F",$A271="CE",Q$7="No aplica"),0,'BOULEVARD 5'!T269-'BOULEVARD PPTO'!L264)</f>
        <v>-3064</v>
      </c>
      <c r="R271" s="760">
        <f>IF(OR($A271="F&amp;F",$A271="CE",R$7="No aplica"),0,'BOULEVARD 5'!U269-'BOULEVARD PPTO'!M264)</f>
        <v>3064</v>
      </c>
      <c r="S271" s="760">
        <f>IF(OR($A271="F&amp;F",$A271="CE",S$7="No aplica"),0,'BOULEVARD 5'!V269-'BOULEVARD PPTO'!N264)</f>
        <v>0</v>
      </c>
      <c r="T271" s="760">
        <f>IF(OR($A271="F&amp;F",$A271="CE",T$7="No aplica"),0,'BOULEVARD 5'!W269-'BOULEVARD PPTO'!O264)</f>
        <v>-3064</v>
      </c>
      <c r="U271" s="760">
        <f>IF(OR($A271="F&amp;F",$A271="CE",U$7="No aplica"),0,'BOULEVARD 5'!X269-'BOULEVARD PPTO'!P264)</f>
        <v>3064</v>
      </c>
      <c r="V271" s="760">
        <f>IF(OR($A271="F&amp;F",$A271="CE",V$7="No aplica"),0,'BOULEVARD 5'!Y269-'BOULEVARD PPTO'!Q264)</f>
        <v>0</v>
      </c>
      <c r="W271" s="760">
        <f>IF(OR($A271="F&amp;F",$A271="CE",W$7="No aplica"),0,'BOULEVARD 5'!Z269-'BOULEVARD PPTO'!R264)</f>
        <v>0</v>
      </c>
      <c r="X271" s="760">
        <f>IF(OR($A271="F&amp;F",$A271="CE",X$7="No aplica"),0,'BOULEVARD 5'!AA269-'BOULEVARD PPTO'!S264)</f>
        <v>0</v>
      </c>
      <c r="Y271" s="760">
        <f>IF(OR($A271="F&amp;F",$A271="CE",Y$7="No aplica"),0,'BOULEVARD 5'!AB269-'BOULEVARD PPTO'!T264)</f>
        <v>0</v>
      </c>
      <c r="Z271" s="760">
        <f>IF(OR($A271="F&amp;F",$A271="CE",Z$7="No aplica"),0,'BOULEVARD 5'!AC269-'BOULEVARD PPTO'!U264)</f>
        <v>0</v>
      </c>
      <c r="AA271" s="760">
        <f>IF(OR($A271="F&amp;F",$A271="CE",AA$7="No aplica"),0,'BOULEVARD 5'!AD269-'BOULEVARD PPTO'!V264)</f>
        <v>0</v>
      </c>
      <c r="AB271" s="760">
        <f>IF(OR($A271="F&amp;F",$A271="CE",AB$7="No aplica"),0,'BOULEVARD 5'!AE269-'BOULEVARD PPTO'!W264)</f>
        <v>0</v>
      </c>
      <c r="AC271" s="760">
        <f>IF(OR($A271="F&amp;F",$A271="CE",AC$7="No aplica"),0,'BOULEVARD 5'!AF269-'BOULEVARD PPTO'!X264)</f>
        <v>0</v>
      </c>
      <c r="AD271" s="760">
        <f>IF(OR($A271="F&amp;F",$A271="CE",AD$7="No aplica"),0,'BOULEVARD 5'!AG269-'BOULEVARD PPTO'!Y264)</f>
        <v>0</v>
      </c>
      <c r="AE271" s="760">
        <f>IF(OR($A271="F&amp;F",$A271="CE",AE$7="No aplica"),0,'BOULEVARD 5'!AH269-'BOULEVARD PPTO'!Z264)</f>
        <v>0</v>
      </c>
      <c r="AF271" s="760">
        <f>IF(OR($A271="F&amp;F",$A271="CE",AF$7="No aplica"),0,'BOULEVARD 5'!AI269-'BOULEVARD PPTO'!AA264)</f>
        <v>0</v>
      </c>
      <c r="AG271" s="760">
        <f>IF(OR($A271="F&amp;F",$A271="CE",AG$7="No aplica"),0,'BOULEVARD 5'!AJ269-'BOULEVARD PPTO'!AB264)</f>
        <v>0</v>
      </c>
      <c r="AH271" s="760">
        <f>IF(OR($A271="F&amp;F",$A271="CE",AH$7="No aplica"),0,'BOULEVARD 5'!AK269-'BOULEVARD PPTO'!AC264)</f>
        <v>1</v>
      </c>
      <c r="AI271" s="760">
        <f>IF(OR($A271="F&amp;F",$A271="CE",AI$7="No aplica"),0,'BOULEVARD 5'!AL269-'BOULEVARD PPTO'!AD264)</f>
        <v>0</v>
      </c>
      <c r="AJ271" s="760">
        <f>IF(OR($A271="F&amp;F",$A271="CE",AJ$7="No aplica"),0,'BOULEVARD 5'!AM269-'BOULEVARD PPTO'!AE264)</f>
        <v>0</v>
      </c>
      <c r="AK271" s="760">
        <f>IF(OR($A271="F&amp;F",$A271="CE",AK$7="No aplica"),0,'BOULEVARD 5'!AN269-'BOULEVARD PPTO'!AF264)</f>
        <v>0</v>
      </c>
      <c r="AL271" s="760">
        <f>IF(OR($A271="F&amp;F",$A271="CE",AL$7="No aplica"),0,'BOULEVARD 5'!AO269-'BOULEVARD PPTO'!AG264)</f>
        <v>-3065</v>
      </c>
      <c r="AM271" s="760">
        <f>IF(OR($A271="F&amp;F",$A271="CE",AM$7="No aplica"),0,'BOULEVARD 5'!AP269-'BOULEVARD PPTO'!AH264)</f>
        <v>0</v>
      </c>
      <c r="AN271" s="760">
        <f>IF(OR($A271="F&amp;F",$A271="CE",AN$7="No aplica"),0,'BOULEVARD 5'!AQ269-'BOULEVARD PPTO'!AI264)</f>
        <v>0</v>
      </c>
      <c r="AO271" s="760">
        <f>IF(OR($A271="F&amp;F",$A271="CE",AO$7="No aplica"),0,'BOULEVARD 5'!AS269-'BOULEVARD PPTO'!AJ264)</f>
        <v>0</v>
      </c>
      <c r="AP271" s="761">
        <f t="shared" si="28"/>
        <v>-3064</v>
      </c>
      <c r="AQ271" s="761">
        <f t="shared" si="29"/>
        <v>-3064</v>
      </c>
      <c r="AR271" s="674">
        <f>IF(A271=0,'BOULEVARD 5'!BF269,0)</f>
        <v>6000</v>
      </c>
      <c r="AS271" s="674">
        <f>IF(A271=0,'BOULEVARD 5'!BG269,0)</f>
        <v>3065</v>
      </c>
      <c r="AT271" s="675" t="str">
        <f t="shared" si="27"/>
        <v>Vendido</v>
      </c>
      <c r="AU271" s="581" t="str">
        <f t="shared" si="26"/>
        <v>POR COBRAR</v>
      </c>
      <c r="AV271" s="760">
        <f t="shared" si="30"/>
        <v>0</v>
      </c>
    </row>
    <row r="272" spans="1:48" s="581" customFormat="1" ht="12.4" customHeight="1" outlineLevel="1" x14ac:dyDescent="0.25">
      <c r="A272" s="703">
        <f>'BOULEVARD 5'!BQ270</f>
        <v>0</v>
      </c>
      <c r="B272" s="564">
        <v>1511</v>
      </c>
      <c r="C272" s="564" t="s">
        <v>563</v>
      </c>
      <c r="D272" s="564"/>
      <c r="E272" s="564" t="str">
        <f>IF('BOULEVARD 5'!E270&lt;&gt;0,'BOULEVARD 5'!E270,"")</f>
        <v>Antonio Rada</v>
      </c>
      <c r="F272" s="581" t="str">
        <f>IF('BOULEVARD 5'!F270&lt;&gt;0,'BOULEVARD 5'!F270,"")</f>
        <v>Luis Fernando Velasquez León</v>
      </c>
      <c r="G272" s="566">
        <f>IF('BOULEVARD 5'!G270="","",'BOULEVARD 5'!G270)</f>
        <v>45155</v>
      </c>
      <c r="H272" s="756">
        <f>IF(OR($A272="F&amp;F",$A272="CE",H$7="No aplica"),0,'BOULEVARD 5'!K270-'BOULEVARD PPTO'!C265)</f>
        <v>0</v>
      </c>
      <c r="I272" s="756">
        <f>IF(OR($A272="F&amp;F",$A272="CE",I$7="No aplica"),0,'BOULEVARD 5'!L270-'BOULEVARD PPTO'!D265)</f>
        <v>0</v>
      </c>
      <c r="J272" s="756">
        <f>IF(OR($A272="F&amp;F",$A272="CE",J$7="No aplica"),0,'BOULEVARD 5'!M270-'BOULEVARD PPTO'!E265)</f>
        <v>0</v>
      </c>
      <c r="K272" s="756">
        <f>IF(OR($A272="F&amp;F",$A272="CE",K$7="No aplica"),0,'BOULEVARD 5'!N270-'BOULEVARD PPTO'!F265)</f>
        <v>0</v>
      </c>
      <c r="L272" s="756">
        <f>IF(OR($A272="F&amp;F",$A272="CE",L$7="No aplica"),0,'BOULEVARD 5'!O270-'BOULEVARD PPTO'!G265)</f>
        <v>0</v>
      </c>
      <c r="M272" s="756">
        <f>IF(OR($A272="F&amp;F",$A272="CE",M$7="No aplica"),0,'BOULEVARD 5'!P270-'BOULEVARD PPTO'!H265)</f>
        <v>-6000</v>
      </c>
      <c r="N272" s="756">
        <f>IF(OR($A272="F&amp;F",$A272="CE",N$7="No aplica"),0,'BOULEVARD 5'!Q270-'BOULEVARD PPTO'!I265)</f>
        <v>6000</v>
      </c>
      <c r="O272" s="756">
        <f>IF(OR($A272="F&amp;F",$A272="CE",O$7="No aplica"),0,'BOULEVARD 5'!R270-'BOULEVARD PPTO'!J265)</f>
        <v>-5292</v>
      </c>
      <c r="P272" s="756">
        <f>IF(OR($A272="F&amp;F",$A272="CE",P$7="No aplica"),0,'BOULEVARD 5'!S270-'BOULEVARD PPTO'!K265)</f>
        <v>0</v>
      </c>
      <c r="Q272" s="760">
        <f>IF(OR($A272="F&amp;F",$A272="CE",Q$7="No aplica"),0,'BOULEVARD 5'!T270-'BOULEVARD PPTO'!L265)</f>
        <v>0</v>
      </c>
      <c r="R272" s="760">
        <f>IF(OR($A272="F&amp;F",$A272="CE",R$7="No aplica"),0,'BOULEVARD 5'!U270-'BOULEVARD PPTO'!M265)</f>
        <v>0</v>
      </c>
      <c r="S272" s="760">
        <f>IF(OR($A272="F&amp;F",$A272="CE",S$7="No aplica"),0,'BOULEVARD 5'!V270-'BOULEVARD PPTO'!N265)</f>
        <v>0</v>
      </c>
      <c r="T272" s="760">
        <f>IF(OR($A272="F&amp;F",$A272="CE",T$7="No aplica"),0,'BOULEVARD 5'!W270-'BOULEVARD PPTO'!O265)</f>
        <v>-5292</v>
      </c>
      <c r="U272" s="760">
        <f>IF(OR($A272="F&amp;F",$A272="CE",U$7="No aplica"),0,'BOULEVARD 5'!X270-'BOULEVARD PPTO'!P265)</f>
        <v>0</v>
      </c>
      <c r="V272" s="760">
        <f>IF(OR($A272="F&amp;F",$A272="CE",V$7="No aplica"),0,'BOULEVARD 5'!Y270-'BOULEVARD PPTO'!Q265)</f>
        <v>5292</v>
      </c>
      <c r="W272" s="760">
        <f>IF(OR($A272="F&amp;F",$A272="CE",W$7="No aplica"),0,'BOULEVARD 5'!Z270-'BOULEVARD PPTO'!R265)</f>
        <v>-5292</v>
      </c>
      <c r="X272" s="760">
        <f>IF(OR($A272="F&amp;F",$A272="CE",X$7="No aplica"),0,'BOULEVARD 5'!AA270-'BOULEVARD PPTO'!S265)</f>
        <v>0</v>
      </c>
      <c r="Y272" s="760">
        <f>IF(OR($A272="F&amp;F",$A272="CE",Y$7="No aplica"),0,'BOULEVARD 5'!AB270-'BOULEVARD PPTO'!T265)</f>
        <v>5292</v>
      </c>
      <c r="Z272" s="760">
        <f>IF(OR($A272="F&amp;F",$A272="CE",Z$7="No aplica"),0,'BOULEVARD 5'!AC270-'BOULEVARD PPTO'!U265)</f>
        <v>-5292</v>
      </c>
      <c r="AA272" s="760">
        <f>IF(OR($A272="F&amp;F",$A272="CE",AA$7="No aplica"),0,'BOULEVARD 5'!AD270-'BOULEVARD PPTO'!V265)</f>
        <v>0</v>
      </c>
      <c r="AB272" s="760">
        <f>IF(OR($A272="F&amp;F",$A272="CE",AB$7="No aplica"),0,'BOULEVARD 5'!AE270-'BOULEVARD PPTO'!W265)</f>
        <v>5292</v>
      </c>
      <c r="AC272" s="760">
        <f>IF(OR($A272="F&amp;F",$A272="CE",AC$7="No aplica"),0,'BOULEVARD 5'!AF270-'BOULEVARD PPTO'!X265)</f>
        <v>-5292</v>
      </c>
      <c r="AD272" s="760">
        <f>IF(OR($A272="F&amp;F",$A272="CE",AD$7="No aplica"),0,'BOULEVARD 5'!AG270-'BOULEVARD PPTO'!Y265)</f>
        <v>5308</v>
      </c>
      <c r="AE272" s="760">
        <f>IF(OR($A272="F&amp;F",$A272="CE",AE$7="No aplica"),0,'BOULEVARD 5'!AH270-'BOULEVARD PPTO'!Z265)</f>
        <v>-5292</v>
      </c>
      <c r="AF272" s="760">
        <f>IF(OR($A272="F&amp;F",$A272="CE",AF$7="No aplica"),0,'BOULEVARD 5'!AI270-'BOULEVARD PPTO'!AA265)</f>
        <v>8</v>
      </c>
      <c r="AG272" s="760">
        <f>IF(OR($A272="F&amp;F",$A272="CE",AG$7="No aplica"),0,'BOULEVARD 5'!AJ270-'BOULEVARD PPTO'!AB265)</f>
        <v>-5292</v>
      </c>
      <c r="AH272" s="760">
        <f>IF(OR($A272="F&amp;F",$A272="CE",AH$7="No aplica"),0,'BOULEVARD 5'!AK270-'BOULEVARD PPTO'!AC265)</f>
        <v>-5292</v>
      </c>
      <c r="AI272" s="760">
        <f>IF(OR($A272="F&amp;F",$A272="CE",AI$7="No aplica"),0,'BOULEVARD 5'!AL270-'BOULEVARD PPTO'!AD265)</f>
        <v>10608</v>
      </c>
      <c r="AJ272" s="760">
        <f>IF(OR($A272="F&amp;F",$A272="CE",AJ$7="No aplica"),0,'BOULEVARD 5'!AM270-'BOULEVARD PPTO'!AE265)</f>
        <v>5308</v>
      </c>
      <c r="AK272" s="760">
        <f>IF(OR($A272="F&amp;F",$A272="CE",AK$7="No aplica"),0,'BOULEVARD 5'!AN270-'BOULEVARD PPTO'!AF265)</f>
        <v>8</v>
      </c>
      <c r="AL272" s="760">
        <f>IF(OR($A272="F&amp;F",$A272="CE",AL$7="No aplica"),0,'BOULEVARD 5'!AO270-'BOULEVARD PPTO'!AG265)</f>
        <v>8</v>
      </c>
      <c r="AM272" s="760">
        <f>IF(OR($A272="F&amp;F",$A272="CE",AM$7="No aplica"),0,'BOULEVARD 5'!AP270-'BOULEVARD PPTO'!AH265)</f>
        <v>5300</v>
      </c>
      <c r="AN272" s="760">
        <f>IF(OR($A272="F&amp;F",$A272="CE",AN$7="No aplica"),0,'BOULEVARD 5'!AQ270-'BOULEVARD PPTO'!AI265)</f>
        <v>0</v>
      </c>
      <c r="AO272" s="760">
        <f>IF(OR($A272="F&amp;F",$A272="CE",AO$7="No aplica"),0,'BOULEVARD 5'!AS270-'BOULEVARD PPTO'!AJ265)</f>
        <v>0</v>
      </c>
      <c r="AP272" s="761">
        <f t="shared" si="28"/>
        <v>88</v>
      </c>
      <c r="AQ272" s="761">
        <f t="shared" si="29"/>
        <v>5388</v>
      </c>
      <c r="AR272" s="674">
        <f>IF(A272=0,'BOULEVARD 5'!BF270,0)</f>
        <v>6000</v>
      </c>
      <c r="AS272" s="674">
        <f>IF(A272=0,'BOULEVARD 5'!BG270,0)</f>
        <v>5292</v>
      </c>
      <c r="AT272" s="675" t="str">
        <f t="shared" si="27"/>
        <v>Vendido</v>
      </c>
      <c r="AU272" s="581" t="str">
        <f t="shared" si="26"/>
        <v>A FAVOR DEL CLIENTE</v>
      </c>
      <c r="AV272" s="760">
        <f t="shared" si="30"/>
        <v>5300</v>
      </c>
    </row>
    <row r="273" spans="1:48" s="581" customFormat="1" ht="12.4" customHeight="1" outlineLevel="1" x14ac:dyDescent="0.25">
      <c r="A273" s="703">
        <f>'BOULEVARD 5'!BQ271</f>
        <v>0</v>
      </c>
      <c r="B273" s="564">
        <v>1512</v>
      </c>
      <c r="C273" s="564" t="s">
        <v>565</v>
      </c>
      <c r="D273" s="564"/>
      <c r="E273" s="564" t="str">
        <f>IF('BOULEVARD 5'!E271&lt;&gt;0,'BOULEVARD 5'!E271,"")</f>
        <v/>
      </c>
      <c r="F273" s="581" t="str">
        <f>IF('BOULEVARD 5'!F271&lt;&gt;0,'BOULEVARD 5'!F271,"")</f>
        <v/>
      </c>
      <c r="G273" s="566" t="str">
        <f>IF('BOULEVARD 5'!G271="","",'BOULEVARD 5'!G271)</f>
        <v/>
      </c>
      <c r="H273" s="756">
        <f>IF(OR($A273="F&amp;F",$A273="CE",H$7="No aplica"),0,'BOULEVARD 5'!K271-'BOULEVARD PPTO'!C266)</f>
        <v>0</v>
      </c>
      <c r="I273" s="756">
        <f>IF(OR($A273="F&amp;F",$A273="CE",I$7="No aplica"),0,'BOULEVARD 5'!L271-'BOULEVARD PPTO'!D266)</f>
        <v>0</v>
      </c>
      <c r="J273" s="756">
        <f>IF(OR($A273="F&amp;F",$A273="CE",J$7="No aplica"),0,'BOULEVARD 5'!M271-'BOULEVARD PPTO'!E266)</f>
        <v>0</v>
      </c>
      <c r="K273" s="756">
        <f>IF(OR($A273="F&amp;F",$A273="CE",K$7="No aplica"),0,'BOULEVARD 5'!N271-'BOULEVARD PPTO'!F266)</f>
        <v>0</v>
      </c>
      <c r="L273" s="756">
        <f>IF(OR($A273="F&amp;F",$A273="CE",L$7="No aplica"),0,'BOULEVARD 5'!O271-'BOULEVARD PPTO'!G266)</f>
        <v>0</v>
      </c>
      <c r="M273" s="756">
        <f>IF(OR($A273="F&amp;F",$A273="CE",M$7="No aplica"),0,'BOULEVARD 5'!P271-'BOULEVARD PPTO'!H266)</f>
        <v>0</v>
      </c>
      <c r="N273" s="756">
        <f>IF(OR($A273="F&amp;F",$A273="CE",N$7="No aplica"),0,'BOULEVARD 5'!Q271-'BOULEVARD PPTO'!I266)</f>
        <v>0</v>
      </c>
      <c r="O273" s="756">
        <f>IF(OR($A273="F&amp;F",$A273="CE",O$7="No aplica"),0,'BOULEVARD 5'!R271-'BOULEVARD PPTO'!J266)</f>
        <v>0</v>
      </c>
      <c r="P273" s="756">
        <f>IF(OR($A273="F&amp;F",$A273="CE",P$7="No aplica"),0,'BOULEVARD 5'!S271-'BOULEVARD PPTO'!K266)</f>
        <v>0</v>
      </c>
      <c r="Q273" s="760">
        <f>IF(OR($A273="F&amp;F",$A273="CE",Q$7="No aplica"),0,'BOULEVARD 5'!T271-'BOULEVARD PPTO'!L266)</f>
        <v>0</v>
      </c>
      <c r="R273" s="760">
        <f>IF(OR($A273="F&amp;F",$A273="CE",R$7="No aplica"),0,'BOULEVARD 5'!U271-'BOULEVARD PPTO'!M266)</f>
        <v>0</v>
      </c>
      <c r="S273" s="760">
        <f>IF(OR($A273="F&amp;F",$A273="CE",S$7="No aplica"),0,'BOULEVARD 5'!V271-'BOULEVARD PPTO'!N266)</f>
        <v>0</v>
      </c>
      <c r="T273" s="760">
        <f>IF(OR($A273="F&amp;F",$A273="CE",T$7="No aplica"),0,'BOULEVARD 5'!W271-'BOULEVARD PPTO'!O266)</f>
        <v>0</v>
      </c>
      <c r="U273" s="760">
        <f>IF(OR($A273="F&amp;F",$A273="CE",U$7="No aplica"),0,'BOULEVARD 5'!X271-'BOULEVARD PPTO'!P266)</f>
        <v>0</v>
      </c>
      <c r="V273" s="760">
        <f>IF(OR($A273="F&amp;F",$A273="CE",V$7="No aplica"),0,'BOULEVARD 5'!Y271-'BOULEVARD PPTO'!Q266)</f>
        <v>0</v>
      </c>
      <c r="W273" s="760">
        <f>IF(OR($A273="F&amp;F",$A273="CE",W$7="No aplica"),0,'BOULEVARD 5'!Z271-'BOULEVARD PPTO'!R266)</f>
        <v>0</v>
      </c>
      <c r="X273" s="760">
        <f>IF(OR($A273="F&amp;F",$A273="CE",X$7="No aplica"),0,'BOULEVARD 5'!AA271-'BOULEVARD PPTO'!S266)</f>
        <v>0</v>
      </c>
      <c r="Y273" s="760">
        <f>IF(OR($A273="F&amp;F",$A273="CE",Y$7="No aplica"),0,'BOULEVARD 5'!AB271-'BOULEVARD PPTO'!T266)</f>
        <v>0</v>
      </c>
      <c r="Z273" s="760">
        <f>IF(OR($A273="F&amp;F",$A273="CE",Z$7="No aplica"),0,'BOULEVARD 5'!AC271-'BOULEVARD PPTO'!U266)</f>
        <v>0</v>
      </c>
      <c r="AA273" s="760">
        <f>IF(OR($A273="F&amp;F",$A273="CE",AA$7="No aplica"),0,'BOULEVARD 5'!AD271-'BOULEVARD PPTO'!V266)</f>
        <v>0</v>
      </c>
      <c r="AB273" s="760">
        <f>IF(OR($A273="F&amp;F",$A273="CE",AB$7="No aplica"),0,'BOULEVARD 5'!AE271-'BOULEVARD PPTO'!W266)</f>
        <v>0</v>
      </c>
      <c r="AC273" s="760">
        <f>IF(OR($A273="F&amp;F",$A273="CE",AC$7="No aplica"),0,'BOULEVARD 5'!AF271-'BOULEVARD PPTO'!X266)</f>
        <v>0</v>
      </c>
      <c r="AD273" s="760">
        <f>IF(OR($A273="F&amp;F",$A273="CE",AD$7="No aplica"),0,'BOULEVARD 5'!AG271-'BOULEVARD PPTO'!Y266)</f>
        <v>0</v>
      </c>
      <c r="AE273" s="760">
        <f>IF(OR($A273="F&amp;F",$A273="CE",AE$7="No aplica"),0,'BOULEVARD 5'!AH271-'BOULEVARD PPTO'!Z266)</f>
        <v>0</v>
      </c>
      <c r="AF273" s="760">
        <f>IF(OR($A273="F&amp;F",$A273="CE",AF$7="No aplica"),0,'BOULEVARD 5'!AI271-'BOULEVARD PPTO'!AA266)</f>
        <v>0</v>
      </c>
      <c r="AG273" s="760">
        <f>IF(OR($A273="F&amp;F",$A273="CE",AG$7="No aplica"),0,'BOULEVARD 5'!AJ271-'BOULEVARD PPTO'!AB266)</f>
        <v>0</v>
      </c>
      <c r="AH273" s="760">
        <f>IF(OR($A273="F&amp;F",$A273="CE",AH$7="No aplica"),0,'BOULEVARD 5'!AK271-'BOULEVARD PPTO'!AC266)</f>
        <v>0</v>
      </c>
      <c r="AI273" s="760">
        <f>IF(OR($A273="F&amp;F",$A273="CE",AI$7="No aplica"),0,'BOULEVARD 5'!AL271-'BOULEVARD PPTO'!AD266)</f>
        <v>0</v>
      </c>
      <c r="AJ273" s="760">
        <f>IF(OR($A273="F&amp;F",$A273="CE",AJ$7="No aplica"),0,'BOULEVARD 5'!AM271-'BOULEVARD PPTO'!AE266)</f>
        <v>0</v>
      </c>
      <c r="AK273" s="760">
        <f>IF(OR($A273="F&amp;F",$A273="CE",AK$7="No aplica"),0,'BOULEVARD 5'!AN271-'BOULEVARD PPTO'!AF266)</f>
        <v>0</v>
      </c>
      <c r="AL273" s="760">
        <f>IF(OR($A273="F&amp;F",$A273="CE",AL$7="No aplica"),0,'BOULEVARD 5'!AO271-'BOULEVARD PPTO'!AG266)</f>
        <v>0</v>
      </c>
      <c r="AM273" s="760">
        <f>IF(OR($A273="F&amp;F",$A273="CE",AM$7="No aplica"),0,'BOULEVARD 5'!AP271-'BOULEVARD PPTO'!AH266)</f>
        <v>0</v>
      </c>
      <c r="AN273" s="760">
        <f>IF(OR($A273="F&amp;F",$A273="CE",AN$7="No aplica"),0,'BOULEVARD 5'!AQ271-'BOULEVARD PPTO'!AI266)</f>
        <v>0</v>
      </c>
      <c r="AO273" s="760">
        <f>IF(OR($A273="F&amp;F",$A273="CE",AO$7="No aplica"),0,'BOULEVARD 5'!AS271-'BOULEVARD PPTO'!AJ266)</f>
        <v>0</v>
      </c>
      <c r="AP273" s="761">
        <f t="shared" si="28"/>
        <v>0</v>
      </c>
      <c r="AQ273" s="761">
        <f t="shared" si="29"/>
        <v>0</v>
      </c>
      <c r="AR273" s="674">
        <f>IF(A273=0,'BOULEVARD 5'!BF271,0)</f>
        <v>0</v>
      </c>
      <c r="AS273" s="674">
        <f>IF(A273=0,'BOULEVARD 5'!BG271,0)</f>
        <v>0</v>
      </c>
      <c r="AT273" s="675" t="str">
        <f t="shared" si="27"/>
        <v>No Vendido</v>
      </c>
      <c r="AU273" s="581" t="str">
        <f t="shared" si="26"/>
        <v/>
      </c>
      <c r="AV273" s="760">
        <f t="shared" si="30"/>
        <v>0</v>
      </c>
    </row>
    <row r="274" spans="1:48" s="581" customFormat="1" ht="12.4" customHeight="1" outlineLevel="1" x14ac:dyDescent="0.25">
      <c r="A274" s="703">
        <f>'BOULEVARD 5'!BQ272</f>
        <v>0</v>
      </c>
      <c r="B274" s="564">
        <v>1601</v>
      </c>
      <c r="C274" s="564" t="s">
        <v>662</v>
      </c>
      <c r="D274" s="564"/>
      <c r="E274" s="564" t="str">
        <f>IF('BOULEVARD 5'!E272&lt;&gt;0,'BOULEVARD 5'!E272,"")</f>
        <v>Brenda Búcaro</v>
      </c>
      <c r="F274" s="581" t="str">
        <f>IF('BOULEVARD 5'!F272&lt;&gt;0,'BOULEVARD 5'!F272,"")</f>
        <v>Fernando García Coronado</v>
      </c>
      <c r="G274" s="566">
        <f>IF('BOULEVARD 5'!G272="","",'BOULEVARD 5'!G272)</f>
        <v>45162</v>
      </c>
      <c r="H274" s="756">
        <f>IF(OR($A274="F&amp;F",$A274="CE",H$7="No aplica"),0,'BOULEVARD 5'!K272-'BOULEVARD PPTO'!C267)</f>
        <v>0</v>
      </c>
      <c r="I274" s="756">
        <f>IF(OR($A274="F&amp;F",$A274="CE",I$7="No aplica"),0,'BOULEVARD 5'!L272-'BOULEVARD PPTO'!D267)</f>
        <v>0</v>
      </c>
      <c r="J274" s="756">
        <f>IF(OR($A274="F&amp;F",$A274="CE",J$7="No aplica"),0,'BOULEVARD 5'!M272-'BOULEVARD PPTO'!E267)</f>
        <v>0</v>
      </c>
      <c r="K274" s="756">
        <f>IF(OR($A274="F&amp;F",$A274="CE",K$7="No aplica"),0,'BOULEVARD 5'!N272-'BOULEVARD PPTO'!F267)</f>
        <v>0</v>
      </c>
      <c r="L274" s="756">
        <f>IF(OR($A274="F&amp;F",$A274="CE",L$7="No aplica"),0,'BOULEVARD 5'!O272-'BOULEVARD PPTO'!G267)</f>
        <v>0</v>
      </c>
      <c r="M274" s="756">
        <f>IF(OR($A274="F&amp;F",$A274="CE",M$7="No aplica"),0,'BOULEVARD 5'!P272-'BOULEVARD PPTO'!H267)</f>
        <v>0</v>
      </c>
      <c r="N274" s="756">
        <f>IF(OR($A274="F&amp;F",$A274="CE",N$7="No aplica"),0,'BOULEVARD 5'!Q272-'BOULEVARD PPTO'!I267)</f>
        <v>220</v>
      </c>
      <c r="O274" s="756">
        <f>IF(OR($A274="F&amp;F",$A274="CE",O$7="No aplica"),0,'BOULEVARD 5'!R272-'BOULEVARD PPTO'!J267)</f>
        <v>220</v>
      </c>
      <c r="P274" s="756">
        <f>IF(OR($A274="F&amp;F",$A274="CE",P$7="No aplica"),0,'BOULEVARD 5'!S272-'BOULEVARD PPTO'!K267)</f>
        <v>220</v>
      </c>
      <c r="Q274" s="760">
        <f>IF(OR($A274="F&amp;F",$A274="CE",Q$7="No aplica"),0,'BOULEVARD 5'!T272-'BOULEVARD PPTO'!L267)</f>
        <v>220</v>
      </c>
      <c r="R274" s="760">
        <f>IF(OR($A274="F&amp;F",$A274="CE",R$7="No aplica"),0,'BOULEVARD 5'!U272-'BOULEVARD PPTO'!M267)</f>
        <v>1220</v>
      </c>
      <c r="S274" s="760">
        <f>IF(OR($A274="F&amp;F",$A274="CE",S$7="No aplica"),0,'BOULEVARD 5'!V272-'BOULEVARD PPTO'!N267)</f>
        <v>220</v>
      </c>
      <c r="T274" s="760">
        <f>IF(OR($A274="F&amp;F",$A274="CE",T$7="No aplica"),0,'BOULEVARD 5'!W272-'BOULEVARD PPTO'!O267)</f>
        <v>220</v>
      </c>
      <c r="U274" s="760">
        <f>IF(OR($A274="F&amp;F",$A274="CE",U$7="No aplica"),0,'BOULEVARD 5'!X272-'BOULEVARD PPTO'!P267)</f>
        <v>220</v>
      </c>
      <c r="V274" s="760">
        <f>IF(OR($A274="F&amp;F",$A274="CE",V$7="No aplica"),0,'BOULEVARD 5'!Y272-'BOULEVARD PPTO'!Q267)</f>
        <v>220</v>
      </c>
      <c r="W274" s="760">
        <f>IF(OR($A274="F&amp;F",$A274="CE",W$7="No aplica"),0,'BOULEVARD 5'!Z272-'BOULEVARD PPTO'!R267)</f>
        <v>220</v>
      </c>
      <c r="X274" s="760">
        <f>IF(OR($A274="F&amp;F",$A274="CE",X$7="No aplica"),0,'BOULEVARD 5'!AA272-'BOULEVARD PPTO'!S267)</f>
        <v>220</v>
      </c>
      <c r="Y274" s="760">
        <f>IF(OR($A274="F&amp;F",$A274="CE",Y$7="No aplica"),0,'BOULEVARD 5'!AB272-'BOULEVARD PPTO'!T267)</f>
        <v>-4780</v>
      </c>
      <c r="Z274" s="760">
        <f>IF(OR($A274="F&amp;F",$A274="CE",Z$7="No aplica"),0,'BOULEVARD 5'!AC272-'BOULEVARD PPTO'!U267)</f>
        <v>2220</v>
      </c>
      <c r="AA274" s="760">
        <f>IF(OR($A274="F&amp;F",$A274="CE",AA$7="No aplica"),0,'BOULEVARD 5'!AD272-'BOULEVARD PPTO'!V267)</f>
        <v>220</v>
      </c>
      <c r="AB274" s="760">
        <f>IF(OR($A274="F&amp;F",$A274="CE",AB$7="No aplica"),0,'BOULEVARD 5'!AE272-'BOULEVARD PPTO'!W267)</f>
        <v>5220</v>
      </c>
      <c r="AC274" s="760">
        <f>IF(OR($A274="F&amp;F",$A274="CE",AC$7="No aplica"),0,'BOULEVARD 5'!AF272-'BOULEVARD PPTO'!X267)</f>
        <v>220</v>
      </c>
      <c r="AD274" s="760">
        <f>IF(OR($A274="F&amp;F",$A274="CE",AD$7="No aplica"),0,'BOULEVARD 5'!AG272-'BOULEVARD PPTO'!Y267)</f>
        <v>220</v>
      </c>
      <c r="AE274" s="760">
        <f>IF(OR($A274="F&amp;F",$A274="CE",AE$7="No aplica"),0,'BOULEVARD 5'!AH272-'BOULEVARD PPTO'!Z267)</f>
        <v>220</v>
      </c>
      <c r="AF274" s="760">
        <f>IF(OR($A274="F&amp;F",$A274="CE",AF$7="No aplica"),0,'BOULEVARD 5'!AI272-'BOULEVARD PPTO'!AA267)</f>
        <v>-4780</v>
      </c>
      <c r="AG274" s="760">
        <f>IF(OR($A274="F&amp;F",$A274="CE",AG$7="No aplica"),0,'BOULEVARD 5'!AJ272-'BOULEVARD PPTO'!AB267)</f>
        <v>5220</v>
      </c>
      <c r="AH274" s="760">
        <f>IF(OR($A274="F&amp;F",$A274="CE",AH$7="No aplica"),0,'BOULEVARD 5'!AK272-'BOULEVARD PPTO'!AC267)</f>
        <v>220</v>
      </c>
      <c r="AI274" s="760">
        <f>IF(OR($A274="F&amp;F",$A274="CE",AI$7="No aplica"),0,'BOULEVARD 5'!AL272-'BOULEVARD PPTO'!AD267)</f>
        <v>220</v>
      </c>
      <c r="AJ274" s="760">
        <f>IF(OR($A274="F&amp;F",$A274="CE",AJ$7="No aplica"),0,'BOULEVARD 5'!AM272-'BOULEVARD PPTO'!AE267)</f>
        <v>-4780</v>
      </c>
      <c r="AK274" s="760">
        <f>IF(OR($A274="F&amp;F",$A274="CE",AK$7="No aplica"),0,'BOULEVARD 5'!AN272-'BOULEVARD PPTO'!AF267)</f>
        <v>5220</v>
      </c>
      <c r="AL274" s="760">
        <f>IF(OR($A274="F&amp;F",$A274="CE",AL$7="No aplica"),0,'BOULEVARD 5'!AO272-'BOULEVARD PPTO'!AG267)</f>
        <v>-4863.8999999999996</v>
      </c>
      <c r="AM274" s="760">
        <f>IF(OR($A274="F&amp;F",$A274="CE",AM$7="No aplica"),0,'BOULEVARD 5'!AP272-'BOULEVARD PPTO'!AH267)</f>
        <v>0</v>
      </c>
      <c r="AN274" s="760">
        <f>IF(OR($A274="F&amp;F",$A274="CE",AN$7="No aplica"),0,'BOULEVARD 5'!AQ272-'BOULEVARD PPTO'!AI267)</f>
        <v>0</v>
      </c>
      <c r="AO274" s="760">
        <f>IF(OR($A274="F&amp;F",$A274="CE",AO$7="No aplica"),0,'BOULEVARD 5'!AS272-'BOULEVARD PPTO'!AJ267)</f>
        <v>0</v>
      </c>
      <c r="AP274" s="761">
        <f t="shared" si="28"/>
        <v>3416.1000000000004</v>
      </c>
      <c r="AQ274" s="761">
        <f t="shared" si="29"/>
        <v>3416.1000000000058</v>
      </c>
      <c r="AR274" s="674">
        <f>IF(A274=0,'BOULEVARD 5'!BF272,0)</f>
        <v>6000</v>
      </c>
      <c r="AS274" s="674">
        <f>IF(A274=0,'BOULEVARD 5'!BG272,0)</f>
        <v>4780</v>
      </c>
      <c r="AT274" s="675" t="str">
        <f t="shared" si="27"/>
        <v>Vendido</v>
      </c>
      <c r="AU274" s="581" t="str">
        <f t="shared" si="26"/>
        <v>A FAVOR DEL CLIENTE</v>
      </c>
      <c r="AV274" s="760">
        <f t="shared" si="30"/>
        <v>0</v>
      </c>
    </row>
    <row r="275" spans="1:48" s="581" customFormat="1" ht="12.4" customHeight="1" outlineLevel="1" x14ac:dyDescent="0.25">
      <c r="A275" s="703" t="str">
        <f>'BOULEVARD 5'!BQ273</f>
        <v>F&amp;F</v>
      </c>
      <c r="B275" s="704">
        <v>1602</v>
      </c>
      <c r="C275" s="704" t="s">
        <v>664</v>
      </c>
      <c r="D275" s="704"/>
      <c r="E275" s="704" t="str">
        <f>IF('BOULEVARD 5'!E273&lt;&gt;0,'BOULEVARD 5'!E273,"")</f>
        <v>Ronaldo</v>
      </c>
      <c r="F275" s="705" t="str">
        <f>IF('BOULEVARD 5'!F273&lt;&gt;0,'BOULEVARD 5'!F273,"")</f>
        <v>International Coffee Industry, S.A</v>
      </c>
      <c r="G275" s="566">
        <f>IF('BOULEVARD 5'!G273="","",'BOULEVARD 5'!G273)</f>
        <v>45300</v>
      </c>
      <c r="H275" s="756">
        <f>IF(OR($A275="F&amp;F",$A275="CE",H$7="No aplica"),0,'BOULEVARD 5'!K273-'BOULEVARD PPTO'!C268)</f>
        <v>0</v>
      </c>
      <c r="I275" s="756">
        <f>IF(OR($A275="F&amp;F",$A275="CE",I$7="No aplica"),0,'BOULEVARD 5'!L273-'BOULEVARD PPTO'!D268)</f>
        <v>0</v>
      </c>
      <c r="J275" s="756">
        <f>IF(OR($A275="F&amp;F",$A275="CE",J$7="No aplica"),0,'BOULEVARD 5'!M273-'BOULEVARD PPTO'!E268)</f>
        <v>0</v>
      </c>
      <c r="K275" s="756">
        <f>IF(OR($A275="F&amp;F",$A275="CE",K$7="No aplica"),0,'BOULEVARD 5'!N273-'BOULEVARD PPTO'!F268)</f>
        <v>0</v>
      </c>
      <c r="L275" s="756">
        <f>IF(OR($A275="F&amp;F",$A275="CE",L$7="No aplica"),0,'BOULEVARD 5'!O273-'BOULEVARD PPTO'!G268)</f>
        <v>0</v>
      </c>
      <c r="M275" s="756">
        <f>IF(OR($A275="F&amp;F",$A275="CE",M$7="No aplica"),0,'BOULEVARD 5'!P273-'BOULEVARD PPTO'!H268)</f>
        <v>0</v>
      </c>
      <c r="N275" s="756">
        <f>IF(OR($A275="F&amp;F",$A275="CE",N$7="No aplica"),0,'BOULEVARD 5'!Q273-'BOULEVARD PPTO'!I268)</f>
        <v>0</v>
      </c>
      <c r="O275" s="756">
        <f>IF(OR($A275="F&amp;F",$A275="CE",O$7="No aplica"),0,'BOULEVARD 5'!R273-'BOULEVARD PPTO'!J268)</f>
        <v>0</v>
      </c>
      <c r="P275" s="756">
        <f>IF(OR($A275="F&amp;F",$A275="CE",P$7="No aplica"),0,'BOULEVARD 5'!S273-'BOULEVARD PPTO'!K268)</f>
        <v>0</v>
      </c>
      <c r="Q275" s="760">
        <f>IF(OR($A275="F&amp;F",$A275="CE",Q$7="No aplica"),0,'BOULEVARD 5'!T273-'BOULEVARD PPTO'!L268)</f>
        <v>0</v>
      </c>
      <c r="R275" s="760">
        <f>IF(OR($A275="F&amp;F",$A275="CE",R$7="No aplica"),0,'BOULEVARD 5'!U273-'BOULEVARD PPTO'!M268)</f>
        <v>0</v>
      </c>
      <c r="S275" s="760">
        <f>IF(OR($A275="F&amp;F",$A275="CE",S$7="No aplica"),0,'BOULEVARD 5'!V273-'BOULEVARD PPTO'!N268)</f>
        <v>0</v>
      </c>
      <c r="T275" s="760">
        <f>IF(OR($A275="F&amp;F",$A275="CE",T$7="No aplica"),0,'BOULEVARD 5'!W273-'BOULEVARD PPTO'!O268)</f>
        <v>0</v>
      </c>
      <c r="U275" s="760">
        <f>IF(OR($A275="F&amp;F",$A275="CE",U$7="No aplica"),0,'BOULEVARD 5'!X273-'BOULEVARD PPTO'!P268)</f>
        <v>0</v>
      </c>
      <c r="V275" s="760">
        <f>IF(OR($A275="F&amp;F",$A275="CE",V$7="No aplica"),0,'BOULEVARD 5'!Y273-'BOULEVARD PPTO'!Q268)</f>
        <v>0</v>
      </c>
      <c r="W275" s="760">
        <f>IF(OR($A275="F&amp;F",$A275="CE",W$7="No aplica"),0,'BOULEVARD 5'!Z273-'BOULEVARD PPTO'!R268)</f>
        <v>0</v>
      </c>
      <c r="X275" s="760">
        <f>IF(OR($A275="F&amp;F",$A275="CE",X$7="No aplica"),0,'BOULEVARD 5'!AA273-'BOULEVARD PPTO'!S268)</f>
        <v>0</v>
      </c>
      <c r="Y275" s="760">
        <f>IF(OR($A275="F&amp;F",$A275="CE",Y$7="No aplica"),0,'BOULEVARD 5'!AB273-'BOULEVARD PPTO'!T268)</f>
        <v>0</v>
      </c>
      <c r="Z275" s="760">
        <f>IF(OR($A275="F&amp;F",$A275="CE",Z$7="No aplica"),0,'BOULEVARD 5'!AC273-'BOULEVARD PPTO'!U268)</f>
        <v>0</v>
      </c>
      <c r="AA275" s="760">
        <f>IF(OR($A275="F&amp;F",$A275="CE",AA$7="No aplica"),0,'BOULEVARD 5'!AD273-'BOULEVARD PPTO'!V268)</f>
        <v>0</v>
      </c>
      <c r="AB275" s="760">
        <f>IF(OR($A275="F&amp;F",$A275="CE",AB$7="No aplica"),0,'BOULEVARD 5'!AE273-'BOULEVARD PPTO'!W268)</f>
        <v>0</v>
      </c>
      <c r="AC275" s="760">
        <f>IF(OR($A275="F&amp;F",$A275="CE",AC$7="No aplica"),0,'BOULEVARD 5'!AF273-'BOULEVARD PPTO'!X268)</f>
        <v>0</v>
      </c>
      <c r="AD275" s="760">
        <f>IF(OR($A275="F&amp;F",$A275="CE",AD$7="No aplica"),0,'BOULEVARD 5'!AG273-'BOULEVARD PPTO'!Y268)</f>
        <v>0</v>
      </c>
      <c r="AE275" s="760">
        <f>IF(OR($A275="F&amp;F",$A275="CE",AE$7="No aplica"),0,'BOULEVARD 5'!AH273-'BOULEVARD PPTO'!Z268)</f>
        <v>0</v>
      </c>
      <c r="AF275" s="760">
        <f>IF(OR($A275="F&amp;F",$A275="CE",AF$7="No aplica"),0,'BOULEVARD 5'!AI273-'BOULEVARD PPTO'!AA268)</f>
        <v>0</v>
      </c>
      <c r="AG275" s="760">
        <f>IF(OR($A275="F&amp;F",$A275="CE",AG$7="No aplica"),0,'BOULEVARD 5'!AJ273-'BOULEVARD PPTO'!AB268)</f>
        <v>0</v>
      </c>
      <c r="AH275" s="760">
        <f>IF(OR($A275="F&amp;F",$A275="CE",AH$7="No aplica"),0,'BOULEVARD 5'!AK273-'BOULEVARD PPTO'!AC268)</f>
        <v>0</v>
      </c>
      <c r="AI275" s="760">
        <f>IF(OR($A275="F&amp;F",$A275="CE",AI$7="No aplica"),0,'BOULEVARD 5'!AL273-'BOULEVARD PPTO'!AD268)</f>
        <v>0</v>
      </c>
      <c r="AJ275" s="760">
        <f>IF(OR($A275="F&amp;F",$A275="CE",AJ$7="No aplica"),0,'BOULEVARD 5'!AM273-'BOULEVARD PPTO'!AE268)</f>
        <v>0</v>
      </c>
      <c r="AK275" s="760">
        <f>IF(OR($A275="F&amp;F",$A275="CE",AK$7="No aplica"),0,'BOULEVARD 5'!AN273-'BOULEVARD PPTO'!AF268)</f>
        <v>0</v>
      </c>
      <c r="AL275" s="760">
        <f>IF(OR($A275="F&amp;F",$A275="CE",AL$7="No aplica"),0,'BOULEVARD 5'!AO273-'BOULEVARD PPTO'!AG268)</f>
        <v>0</v>
      </c>
      <c r="AM275" s="760">
        <f>IF(OR($A275="F&amp;F",$A275="CE",AM$7="No aplica"),0,'BOULEVARD 5'!AP273-'BOULEVARD PPTO'!AH268)</f>
        <v>0</v>
      </c>
      <c r="AN275" s="760">
        <f>IF(OR($A275="F&amp;F",$A275="CE",AN$7="No aplica"),0,'BOULEVARD 5'!AQ273-'BOULEVARD PPTO'!AI268)</f>
        <v>0</v>
      </c>
      <c r="AO275" s="760">
        <f>IF(OR($A275="F&amp;F",$A275="CE",AO$7="No aplica"),0,'BOULEVARD 5'!AS273-'BOULEVARD PPTO'!AJ268)</f>
        <v>0</v>
      </c>
      <c r="AP275" s="761">
        <f t="shared" si="28"/>
        <v>0</v>
      </c>
      <c r="AQ275" s="761">
        <f t="shared" si="29"/>
        <v>0</v>
      </c>
      <c r="AR275" s="674">
        <f>IF(A275=0,'BOULEVARD 5'!BF273,0)</f>
        <v>0</v>
      </c>
      <c r="AS275" s="674">
        <f>IF(A275=0,'BOULEVARD 5'!BG273,0)</f>
        <v>0</v>
      </c>
      <c r="AT275" s="675" t="str">
        <f t="shared" si="27"/>
        <v>Vendido</v>
      </c>
      <c r="AU275" s="581" t="str">
        <f t="shared" si="26"/>
        <v/>
      </c>
      <c r="AV275" s="760">
        <f t="shared" si="30"/>
        <v>0</v>
      </c>
    </row>
    <row r="276" spans="1:48" s="581" customFormat="1" ht="12.4" customHeight="1" outlineLevel="1" x14ac:dyDescent="0.25">
      <c r="A276" s="703">
        <f>'BOULEVARD 5'!BQ274</f>
        <v>0</v>
      </c>
      <c r="B276" s="564">
        <v>1603</v>
      </c>
      <c r="C276" s="564" t="s">
        <v>393</v>
      </c>
      <c r="D276" s="564"/>
      <c r="E276" s="564" t="str">
        <f>IF('BOULEVARD 5'!E274&lt;&gt;0,'BOULEVARD 5'!E274,"")</f>
        <v>Antonio Rada</v>
      </c>
      <c r="F276" s="581" t="str">
        <f>IF('BOULEVARD 5'!F274&lt;&gt;0,'BOULEVARD 5'!F274,"")</f>
        <v>Inmobiliaria Quince Sociedad Anonima</v>
      </c>
      <c r="G276" s="566">
        <f>IF('BOULEVARD 5'!G274="","",'BOULEVARD 5'!G274)</f>
        <v>45013</v>
      </c>
      <c r="H276" s="756">
        <f>IF(OR($A276="F&amp;F",$A276="CE",H$7="No aplica"),0,'BOULEVARD 5'!K274-'BOULEVARD PPTO'!C269)</f>
        <v>6000</v>
      </c>
      <c r="I276" s="756">
        <f>IF(OR($A276="F&amp;F",$A276="CE",I$7="No aplica"),0,'BOULEVARD 5'!L274-'BOULEVARD PPTO'!D269)</f>
        <v>-6000</v>
      </c>
      <c r="J276" s="756">
        <f>IF(OR($A276="F&amp;F",$A276="CE",J$7="No aplica"),0,'BOULEVARD 5'!M274-'BOULEVARD PPTO'!E269)</f>
        <v>-5001</v>
      </c>
      <c r="K276" s="756">
        <f>IF(OR($A276="F&amp;F",$A276="CE",K$7="No aplica"),0,'BOULEVARD 5'!N274-'BOULEVARD PPTO'!F269)</f>
        <v>-5001</v>
      </c>
      <c r="L276" s="756">
        <f>IF(OR($A276="F&amp;F",$A276="CE",L$7="No aplica"),0,'BOULEVARD 5'!O274-'BOULEVARD PPTO'!G269)</f>
        <v>-5001</v>
      </c>
      <c r="M276" s="756">
        <f>IF(OR($A276="F&amp;F",$A276="CE",M$7="No aplica"),0,'BOULEVARD 5'!P274-'BOULEVARD PPTO'!H269)</f>
        <v>238999</v>
      </c>
      <c r="N276" s="756">
        <f>IF(OR($A276="F&amp;F",$A276="CE",N$7="No aplica"),0,'BOULEVARD 5'!Q274-'BOULEVARD PPTO'!I269)</f>
        <v>571341</v>
      </c>
      <c r="O276" s="756">
        <f>IF(OR($A276="F&amp;F",$A276="CE",O$7="No aplica"),0,'BOULEVARD 5'!R274-'BOULEVARD PPTO'!J269)</f>
        <v>-5001</v>
      </c>
      <c r="P276" s="756">
        <f>IF(OR($A276="F&amp;F",$A276="CE",P$7="No aplica"),0,'BOULEVARD 5'!S274-'BOULEVARD PPTO'!K269)</f>
        <v>-5001</v>
      </c>
      <c r="Q276" s="760">
        <f>IF(OR($A276="F&amp;F",$A276="CE",Q$7="No aplica"),0,'BOULEVARD 5'!T274-'BOULEVARD PPTO'!L269)</f>
        <v>-5001</v>
      </c>
      <c r="R276" s="760">
        <f>IF(OR($A276="F&amp;F",$A276="CE",R$7="No aplica"),0,'BOULEVARD 5'!U274-'BOULEVARD PPTO'!M269)</f>
        <v>-5001</v>
      </c>
      <c r="S276" s="760">
        <f>IF(OR($A276="F&amp;F",$A276="CE",S$7="No aplica"),0,'BOULEVARD 5'!V274-'BOULEVARD PPTO'!N269)</f>
        <v>-5001</v>
      </c>
      <c r="T276" s="760">
        <f>IF(OR($A276="F&amp;F",$A276="CE",T$7="No aplica"),0,'BOULEVARD 5'!W274-'BOULEVARD PPTO'!O269)</f>
        <v>-5001</v>
      </c>
      <c r="U276" s="760">
        <f>IF(OR($A276="F&amp;F",$A276="CE",U$7="No aplica"),0,'BOULEVARD 5'!X274-'BOULEVARD PPTO'!P269)</f>
        <v>-5001</v>
      </c>
      <c r="V276" s="760">
        <f>IF(OR($A276="F&amp;F",$A276="CE",V$7="No aplica"),0,'BOULEVARD 5'!Y274-'BOULEVARD PPTO'!Q269)</f>
        <v>-5001</v>
      </c>
      <c r="W276" s="760">
        <f>IF(OR($A276="F&amp;F",$A276="CE",W$7="No aplica"),0,'BOULEVARD 5'!Z274-'BOULEVARD PPTO'!R269)</f>
        <v>-5001</v>
      </c>
      <c r="X276" s="760">
        <f>IF(OR($A276="F&amp;F",$A276="CE",X$7="No aplica"),0,'BOULEVARD 5'!AA274-'BOULEVARD PPTO'!S269)</f>
        <v>-5001</v>
      </c>
      <c r="Y276" s="760">
        <f>IF(OR($A276="F&amp;F",$A276="CE",Y$7="No aplica"),0,'BOULEVARD 5'!AB274-'BOULEVARD PPTO'!T269)</f>
        <v>-5001</v>
      </c>
      <c r="Z276" s="760">
        <f>IF(OR($A276="F&amp;F",$A276="CE",Z$7="No aplica"),0,'BOULEVARD 5'!AC274-'BOULEVARD PPTO'!U269)</f>
        <v>-5001</v>
      </c>
      <c r="AA276" s="760">
        <f>IF(OR($A276="F&amp;F",$A276="CE",AA$7="No aplica"),0,'BOULEVARD 5'!AD274-'BOULEVARD PPTO'!V269)</f>
        <v>-5001</v>
      </c>
      <c r="AB276" s="760">
        <f>IF(OR($A276="F&amp;F",$A276="CE",AB$7="No aplica"),0,'BOULEVARD 5'!AE274-'BOULEVARD PPTO'!W269)</f>
        <v>-5001</v>
      </c>
      <c r="AC276" s="760">
        <f>IF(OR($A276="F&amp;F",$A276="CE",AC$7="No aplica"),0,'BOULEVARD 5'!AF274-'BOULEVARD PPTO'!X269)</f>
        <v>-5001</v>
      </c>
      <c r="AD276" s="760">
        <f>IF(OR($A276="F&amp;F",$A276="CE",AD$7="No aplica"),0,'BOULEVARD 5'!AG274-'BOULEVARD PPTO'!Y269)</f>
        <v>-5001</v>
      </c>
      <c r="AE276" s="760">
        <f>IF(OR($A276="F&amp;F",$A276="CE",AE$7="No aplica"),0,'BOULEVARD 5'!AH274-'BOULEVARD PPTO'!Z269)</f>
        <v>-5001</v>
      </c>
      <c r="AF276" s="760">
        <f>IF(OR($A276="F&amp;F",$A276="CE",AF$7="No aplica"),0,'BOULEVARD 5'!AI274-'BOULEVARD PPTO'!AA269)</f>
        <v>-5001</v>
      </c>
      <c r="AG276" s="760">
        <f>IF(OR($A276="F&amp;F",$A276="CE",AG$7="No aplica"),0,'BOULEVARD 5'!AJ274-'BOULEVARD PPTO'!AB269)</f>
        <v>-5001</v>
      </c>
      <c r="AH276" s="760">
        <f>IF(OR($A276="F&amp;F",$A276="CE",AH$7="No aplica"),0,'BOULEVARD 5'!AK274-'BOULEVARD PPTO'!AC269)</f>
        <v>-5001</v>
      </c>
      <c r="AI276" s="760">
        <f>IF(OR($A276="F&amp;F",$A276="CE",AI$7="No aplica"),0,'BOULEVARD 5'!AL274-'BOULEVARD PPTO'!AD269)</f>
        <v>-5001</v>
      </c>
      <c r="AJ276" s="760">
        <f>IF(OR($A276="F&amp;F",$A276="CE",AJ$7="No aplica"),0,'BOULEVARD 5'!AM274-'BOULEVARD PPTO'!AE269)</f>
        <v>-5001</v>
      </c>
      <c r="AK276" s="760">
        <f>IF(OR($A276="F&amp;F",$A276="CE",AK$7="No aplica"),0,'BOULEVARD 5'!AN274-'BOULEVARD PPTO'!AF269)</f>
        <v>-5001</v>
      </c>
      <c r="AL276" s="760">
        <f>IF(OR($A276="F&amp;F",$A276="CE",AL$7="No aplica"),0,'BOULEVARD 5'!AO274-'BOULEVARD PPTO'!AG269)</f>
        <v>-5001</v>
      </c>
      <c r="AM276" s="760">
        <f>IF(OR($A276="F&amp;F",$A276="CE",AM$7="No aplica"),0,'BOULEVARD 5'!AP274-'BOULEVARD PPTO'!AH269)</f>
        <v>-5001.6099999999997</v>
      </c>
      <c r="AN276" s="760">
        <f>IF(OR($A276="F&amp;F",$A276="CE",AN$7="No aplica"),0,'BOULEVARD 5'!AQ274-'BOULEVARD PPTO'!AI269)</f>
        <v>0</v>
      </c>
      <c r="AO276" s="760">
        <f>IF(OR($A276="F&amp;F",$A276="CE",AO$7="No aplica"),0,'BOULEVARD 5'!AS274-'BOULEVARD PPTO'!AJ269)</f>
        <v>0</v>
      </c>
      <c r="AP276" s="761">
        <f t="shared" si="28"/>
        <v>670311.39</v>
      </c>
      <c r="AQ276" s="761">
        <f t="shared" si="29"/>
        <v>670311.39</v>
      </c>
      <c r="AR276" s="674">
        <f>IF(A276=0,'BOULEVARD 5'!BF274,0)</f>
        <v>6000</v>
      </c>
      <c r="AS276" s="674">
        <f>IF(A276=0,'BOULEVARD 5'!BG274,0)</f>
        <v>5001</v>
      </c>
      <c r="AT276" s="675" t="str">
        <f t="shared" si="27"/>
        <v>Vendido</v>
      </c>
      <c r="AU276" s="581" t="str">
        <f t="shared" si="26"/>
        <v>A FAVOR DEL CLIENTE</v>
      </c>
      <c r="AV276" s="760">
        <f t="shared" si="30"/>
        <v>0</v>
      </c>
    </row>
    <row r="277" spans="1:48" s="581" customFormat="1" ht="12.4" customHeight="1" outlineLevel="1" x14ac:dyDescent="0.25">
      <c r="A277" s="703">
        <f>'BOULEVARD 5'!BQ275</f>
        <v>0</v>
      </c>
      <c r="B277" s="564">
        <v>1604</v>
      </c>
      <c r="C277" s="564" t="s">
        <v>172</v>
      </c>
      <c r="D277" s="564"/>
      <c r="E277" s="564" t="str">
        <f>IF('BOULEVARD 5'!E275&lt;&gt;0,'BOULEVARD 5'!E275,"")</f>
        <v>Antonio Rada</v>
      </c>
      <c r="F277" s="581" t="str">
        <f>IF('BOULEVARD 5'!F275&lt;&gt;0,'BOULEVARD 5'!F275,"")</f>
        <v>Oliver Lenin Garcia Godoy</v>
      </c>
      <c r="G277" s="566">
        <f>IF('BOULEVARD 5'!G275="","",'BOULEVARD 5'!G275)</f>
        <v>45062</v>
      </c>
      <c r="H277" s="756">
        <f>IF(OR($A277="F&amp;F",$A277="CE",H$7="No aplica"),0,'BOULEVARD 5'!K275-'BOULEVARD PPTO'!C270)</f>
        <v>0</v>
      </c>
      <c r="I277" s="756">
        <f>IF(OR($A277="F&amp;F",$A277="CE",I$7="No aplica"),0,'BOULEVARD 5'!L275-'BOULEVARD PPTO'!D270)</f>
        <v>0</v>
      </c>
      <c r="J277" s="756">
        <f>IF(OR($A277="F&amp;F",$A277="CE",J$7="No aplica"),0,'BOULEVARD 5'!M275-'BOULEVARD PPTO'!E270)</f>
        <v>0</v>
      </c>
      <c r="K277" s="756">
        <f>IF(OR($A277="F&amp;F",$A277="CE",K$7="No aplica"),0,'BOULEVARD 5'!N275-'BOULEVARD PPTO'!F270)</f>
        <v>0</v>
      </c>
      <c r="L277" s="756">
        <f>IF(OR($A277="F&amp;F",$A277="CE",L$7="No aplica"),0,'BOULEVARD 5'!O275-'BOULEVARD PPTO'!G270)</f>
        <v>0</v>
      </c>
      <c r="M277" s="756">
        <f>IF(OR($A277="F&amp;F",$A277="CE",M$7="No aplica"),0,'BOULEVARD 5'!P275-'BOULEVARD PPTO'!H270)</f>
        <v>0</v>
      </c>
      <c r="N277" s="756">
        <f>IF(OR($A277="F&amp;F",$A277="CE",N$7="No aplica"),0,'BOULEVARD 5'!Q275-'BOULEVARD PPTO'!I270)</f>
        <v>0</v>
      </c>
      <c r="O277" s="756">
        <f>IF(OR($A277="F&amp;F",$A277="CE",O$7="No aplica"),0,'BOULEVARD 5'!R275-'BOULEVARD PPTO'!J270)</f>
        <v>0</v>
      </c>
      <c r="P277" s="756">
        <f>IF(OR($A277="F&amp;F",$A277="CE",P$7="No aplica"),0,'BOULEVARD 5'!S275-'BOULEVARD PPTO'!K270)</f>
        <v>0</v>
      </c>
      <c r="Q277" s="760">
        <f>IF(OR($A277="F&amp;F",$A277="CE",Q$7="No aplica"),0,'BOULEVARD 5'!T275-'BOULEVARD PPTO'!L270)</f>
        <v>0</v>
      </c>
      <c r="R277" s="760">
        <f>IF(OR($A277="F&amp;F",$A277="CE",R$7="No aplica"),0,'BOULEVARD 5'!U275-'BOULEVARD PPTO'!M270)</f>
        <v>0</v>
      </c>
      <c r="S277" s="760">
        <f>IF(OR($A277="F&amp;F",$A277="CE",S$7="No aplica"),0,'BOULEVARD 5'!V275-'BOULEVARD PPTO'!N270)</f>
        <v>0</v>
      </c>
      <c r="T277" s="760">
        <f>IF(OR($A277="F&amp;F",$A277="CE",T$7="No aplica"),0,'BOULEVARD 5'!W275-'BOULEVARD PPTO'!O270)</f>
        <v>0</v>
      </c>
      <c r="U277" s="760">
        <f>IF(OR($A277="F&amp;F",$A277="CE",U$7="No aplica"),0,'BOULEVARD 5'!X275-'BOULEVARD PPTO'!P270)</f>
        <v>-2982</v>
      </c>
      <c r="V277" s="760">
        <f>IF(OR($A277="F&amp;F",$A277="CE",V$7="No aplica"),0,'BOULEVARD 5'!Y275-'BOULEVARD PPTO'!Q270)</f>
        <v>2982</v>
      </c>
      <c r="W277" s="760">
        <f>IF(OR($A277="F&amp;F",$A277="CE",W$7="No aplica"),0,'BOULEVARD 5'!Z275-'BOULEVARD PPTO'!R270)</f>
        <v>-2982</v>
      </c>
      <c r="X277" s="760">
        <f>IF(OR($A277="F&amp;F",$A277="CE",X$7="No aplica"),0,'BOULEVARD 5'!AA275-'BOULEVARD PPTO'!S270)</f>
        <v>0</v>
      </c>
      <c r="Y277" s="760">
        <f>IF(OR($A277="F&amp;F",$A277="CE",Y$7="No aplica"),0,'BOULEVARD 5'!AB275-'BOULEVARD PPTO'!T270)</f>
        <v>2982</v>
      </c>
      <c r="Z277" s="760">
        <f>IF(OR($A277="F&amp;F",$A277="CE",Z$7="No aplica"),0,'BOULEVARD 5'!AC275-'BOULEVARD PPTO'!U270)</f>
        <v>0</v>
      </c>
      <c r="AA277" s="760">
        <f>IF(OR($A277="F&amp;F",$A277="CE",AA$7="No aplica"),0,'BOULEVARD 5'!AD275-'BOULEVARD PPTO'!V270)</f>
        <v>-2982</v>
      </c>
      <c r="AB277" s="760">
        <f>IF(OR($A277="F&amp;F",$A277="CE",AB$7="No aplica"),0,'BOULEVARD 5'!AE275-'BOULEVARD PPTO'!W270)</f>
        <v>2982</v>
      </c>
      <c r="AC277" s="760">
        <f>IF(OR($A277="F&amp;F",$A277="CE",AC$7="No aplica"),0,'BOULEVARD 5'!AF275-'BOULEVARD PPTO'!X270)</f>
        <v>0</v>
      </c>
      <c r="AD277" s="760">
        <f>IF(OR($A277="F&amp;F",$A277="CE",AD$7="No aplica"),0,'BOULEVARD 5'!AG275-'BOULEVARD PPTO'!Y270)</f>
        <v>0</v>
      </c>
      <c r="AE277" s="760">
        <f>IF(OR($A277="F&amp;F",$A277="CE",AE$7="No aplica"),0,'BOULEVARD 5'!AH275-'BOULEVARD PPTO'!Z270)</f>
        <v>0</v>
      </c>
      <c r="AF277" s="760">
        <f>IF(OR($A277="F&amp;F",$A277="CE",AF$7="No aplica"),0,'BOULEVARD 5'!AI275-'BOULEVARD PPTO'!AA270)</f>
        <v>0</v>
      </c>
      <c r="AG277" s="760">
        <f>IF(OR($A277="F&amp;F",$A277="CE",AG$7="No aplica"),0,'BOULEVARD 5'!AJ275-'BOULEVARD PPTO'!AB270)</f>
        <v>0</v>
      </c>
      <c r="AH277" s="760">
        <f>IF(OR($A277="F&amp;F",$A277="CE",AH$7="No aplica"),0,'BOULEVARD 5'!AK275-'BOULEVARD PPTO'!AC270)</f>
        <v>0</v>
      </c>
      <c r="AI277" s="760">
        <f>IF(OR($A277="F&amp;F",$A277="CE",AI$7="No aplica"),0,'BOULEVARD 5'!AL275-'BOULEVARD PPTO'!AD270)</f>
        <v>0</v>
      </c>
      <c r="AJ277" s="760">
        <f>IF(OR($A277="F&amp;F",$A277="CE",AJ$7="No aplica"),0,'BOULEVARD 5'!AM275-'BOULEVARD PPTO'!AE270)</f>
        <v>0</v>
      </c>
      <c r="AK277" s="760">
        <f>IF(OR($A277="F&amp;F",$A277="CE",AK$7="No aplica"),0,'BOULEVARD 5'!AN275-'BOULEVARD PPTO'!AF270)</f>
        <v>0</v>
      </c>
      <c r="AL277" s="760">
        <f>IF(OR($A277="F&amp;F",$A277="CE",AL$7="No aplica"),0,'BOULEVARD 5'!AO275-'BOULEVARD PPTO'!AG270)</f>
        <v>0</v>
      </c>
      <c r="AM277" s="760">
        <f>IF(OR($A277="F&amp;F",$A277="CE",AM$7="No aplica"),0,'BOULEVARD 5'!AP275-'BOULEVARD PPTO'!AH270)</f>
        <v>0</v>
      </c>
      <c r="AN277" s="760">
        <f>IF(OR($A277="F&amp;F",$A277="CE",AN$7="No aplica"),0,'BOULEVARD 5'!AQ275-'BOULEVARD PPTO'!AI270)</f>
        <v>0</v>
      </c>
      <c r="AO277" s="760">
        <f>IF(OR($A277="F&amp;F",$A277="CE",AO$7="No aplica"),0,'BOULEVARD 5'!AS275-'BOULEVARD PPTO'!AJ270)</f>
        <v>0</v>
      </c>
      <c r="AP277" s="761">
        <f t="shared" si="28"/>
        <v>0</v>
      </c>
      <c r="AQ277" s="761">
        <f t="shared" si="29"/>
        <v>0</v>
      </c>
      <c r="AR277" s="674">
        <f>IF(A277=0,'BOULEVARD 5'!BF275,0)</f>
        <v>6000</v>
      </c>
      <c r="AS277" s="674">
        <f>IF(A277=0,'BOULEVARD 5'!BG275,0)</f>
        <v>2982</v>
      </c>
      <c r="AT277" s="675" t="str">
        <f t="shared" si="27"/>
        <v>Vendido</v>
      </c>
      <c r="AU277" s="581" t="str">
        <f t="shared" si="26"/>
        <v/>
      </c>
      <c r="AV277" s="760">
        <f t="shared" si="30"/>
        <v>0</v>
      </c>
    </row>
    <row r="278" spans="1:48" s="581" customFormat="1" ht="12.4" customHeight="1" outlineLevel="1" x14ac:dyDescent="0.25">
      <c r="A278" s="703">
        <f>'BOULEVARD 5'!BQ276</f>
        <v>0</v>
      </c>
      <c r="B278" s="564">
        <v>1605</v>
      </c>
      <c r="C278" s="564" t="s">
        <v>395</v>
      </c>
      <c r="D278" s="564"/>
      <c r="E278" s="564" t="str">
        <f>IF('BOULEVARD 5'!E276&lt;&gt;0,'BOULEVARD 5'!E276,"")</f>
        <v>Antonio Rada</v>
      </c>
      <c r="F278" s="581" t="str">
        <f>IF('BOULEVARD 5'!F276&lt;&gt;0,'BOULEVARD 5'!F276,"")</f>
        <v>Edgar Ronaldo Muy Pineda</v>
      </c>
      <c r="G278" s="566">
        <f>IF('BOULEVARD 5'!G276="","",'BOULEVARD 5'!G276)</f>
        <v>45587</v>
      </c>
      <c r="H278" s="756">
        <f>IF(OR($A278="F&amp;F",$A278="CE",H$7="No aplica"),0,'BOULEVARD 5'!K276-'BOULEVARD PPTO'!C271)</f>
        <v>0</v>
      </c>
      <c r="I278" s="756">
        <f>IF(OR($A278="F&amp;F",$A278="CE",I$7="No aplica"),0,'BOULEVARD 5'!L276-'BOULEVARD PPTO'!D271)</f>
        <v>0</v>
      </c>
      <c r="J278" s="756">
        <f>IF(OR($A278="F&amp;F",$A278="CE",J$7="No aplica"),0,'BOULEVARD 5'!M276-'BOULEVARD PPTO'!E271)</f>
        <v>0</v>
      </c>
      <c r="K278" s="756">
        <f>IF(OR($A278="F&amp;F",$A278="CE",K$7="No aplica"),0,'BOULEVARD 5'!N276-'BOULEVARD PPTO'!F271)</f>
        <v>0</v>
      </c>
      <c r="L278" s="756">
        <f>IF(OR($A278="F&amp;F",$A278="CE",L$7="No aplica"),0,'BOULEVARD 5'!O276-'BOULEVARD PPTO'!G271)</f>
        <v>0</v>
      </c>
      <c r="M278" s="756">
        <f>IF(OR($A278="F&amp;F",$A278="CE",M$7="No aplica"),0,'BOULEVARD 5'!P276-'BOULEVARD PPTO'!H271)</f>
        <v>0</v>
      </c>
      <c r="N278" s="756">
        <f>IF(OR($A278="F&amp;F",$A278="CE",N$7="No aplica"),0,'BOULEVARD 5'!Q276-'BOULEVARD PPTO'!I271)</f>
        <v>0</v>
      </c>
      <c r="O278" s="756">
        <f>IF(OR($A278="F&amp;F",$A278="CE",O$7="No aplica"),0,'BOULEVARD 5'!R276-'BOULEVARD PPTO'!J271)</f>
        <v>0</v>
      </c>
      <c r="P278" s="756">
        <f>IF(OR($A278="F&amp;F",$A278="CE",P$7="No aplica"),0,'BOULEVARD 5'!S276-'BOULEVARD PPTO'!K271)</f>
        <v>0</v>
      </c>
      <c r="Q278" s="760">
        <f>IF(OR($A278="F&amp;F",$A278="CE",Q$7="No aplica"),0,'BOULEVARD 5'!T276-'BOULEVARD PPTO'!L271)</f>
        <v>0</v>
      </c>
      <c r="R278" s="760">
        <f>IF(OR($A278="F&amp;F",$A278="CE",R$7="No aplica"),0,'BOULEVARD 5'!U276-'BOULEVARD PPTO'!M271)</f>
        <v>0</v>
      </c>
      <c r="S278" s="760">
        <f>IF(OR($A278="F&amp;F",$A278="CE",S$7="No aplica"),0,'BOULEVARD 5'!V276-'BOULEVARD PPTO'!N271)</f>
        <v>0</v>
      </c>
      <c r="T278" s="760">
        <f>IF(OR($A278="F&amp;F",$A278="CE",T$7="No aplica"),0,'BOULEVARD 5'!W276-'BOULEVARD PPTO'!O271)</f>
        <v>0</v>
      </c>
      <c r="U278" s="760">
        <f>IF(OR($A278="F&amp;F",$A278="CE",U$7="No aplica"),0,'BOULEVARD 5'!X276-'BOULEVARD PPTO'!P271)</f>
        <v>0</v>
      </c>
      <c r="V278" s="760">
        <f>IF(OR($A278="F&amp;F",$A278="CE",V$7="No aplica"),0,'BOULEVARD 5'!Y276-'BOULEVARD PPTO'!Q271)</f>
        <v>0</v>
      </c>
      <c r="W278" s="760">
        <f>IF(OR($A278="F&amp;F",$A278="CE",W$7="No aplica"),0,'BOULEVARD 5'!Z276-'BOULEVARD PPTO'!R271)</f>
        <v>0</v>
      </c>
      <c r="X278" s="760">
        <f>IF(OR($A278="F&amp;F",$A278="CE",X$7="No aplica"),0,'BOULEVARD 5'!AA276-'BOULEVARD PPTO'!S271)</f>
        <v>0</v>
      </c>
      <c r="Y278" s="760">
        <f>IF(OR($A278="F&amp;F",$A278="CE",Y$7="No aplica"),0,'BOULEVARD 5'!AB276-'BOULEVARD PPTO'!T271)</f>
        <v>-10000</v>
      </c>
      <c r="Z278" s="760">
        <f>IF(OR($A278="F&amp;F",$A278="CE",Z$7="No aplica"),0,'BOULEVARD 5'!AC276-'BOULEVARD PPTO'!U271)</f>
        <v>-8085</v>
      </c>
      <c r="AA278" s="760">
        <f>IF(OR($A278="F&amp;F",$A278="CE",AA$7="No aplica"),0,'BOULEVARD 5'!AD276-'BOULEVARD PPTO'!V271)</f>
        <v>1915</v>
      </c>
      <c r="AB278" s="760">
        <f>IF(OR($A278="F&amp;F",$A278="CE",AB$7="No aplica"),0,'BOULEVARD 5'!AE276-'BOULEVARD PPTO'!W271)</f>
        <v>-8085</v>
      </c>
      <c r="AC278" s="760">
        <f>IF(OR($A278="F&amp;F",$A278="CE",AC$7="No aplica"),0,'BOULEVARD 5'!AF276-'BOULEVARD PPTO'!X271)</f>
        <v>1169.2299999999996</v>
      </c>
      <c r="AD278" s="760">
        <f>IF(OR($A278="F&amp;F",$A278="CE",AD$7="No aplica"),0,'BOULEVARD 5'!AG276-'BOULEVARD PPTO'!Y271)</f>
        <v>1171.4799999999996</v>
      </c>
      <c r="AE278" s="760">
        <f>IF(OR($A278="F&amp;F",$A278="CE",AE$7="No aplica"),0,'BOULEVARD 5'!AH276-'BOULEVARD PPTO'!Z271)</f>
        <v>-8085</v>
      </c>
      <c r="AF278" s="760">
        <f>IF(OR($A278="F&amp;F",$A278="CE",AF$7="No aplica"),0,'BOULEVARD 5'!AI276-'BOULEVARD PPTO'!AA271)</f>
        <v>-8085</v>
      </c>
      <c r="AG278" s="760">
        <f>IF(OR($A278="F&amp;F",$A278="CE",AG$7="No aplica"),0,'BOULEVARD 5'!AJ276-'BOULEVARD PPTO'!AB271)</f>
        <v>10379.66</v>
      </c>
      <c r="AH278" s="760">
        <f>IF(OR($A278="F&amp;F",$A278="CE",AH$7="No aplica"),0,'BOULEVARD 5'!AK276-'BOULEVARD PPTO'!AC271)</f>
        <v>-8085</v>
      </c>
      <c r="AI278" s="760">
        <f>IF(OR($A278="F&amp;F",$A278="CE",AI$7="No aplica"),0,'BOULEVARD 5'!AL276-'BOULEVARD PPTO'!AD271)</f>
        <v>11915</v>
      </c>
      <c r="AJ278" s="760">
        <f>IF(OR($A278="F&amp;F",$A278="CE",AJ$7="No aplica"),0,'BOULEVARD 5'!AM276-'BOULEVARD PPTO'!AE271)</f>
        <v>10325.707999999999</v>
      </c>
      <c r="AK278" s="760">
        <f>IF(OR($A278="F&amp;F",$A278="CE",AK$7="No aplica"),0,'BOULEVARD 5'!AN276-'BOULEVARD PPTO'!AF271)</f>
        <v>1110.8999999999996</v>
      </c>
      <c r="AL278" s="760">
        <f>IF(OR($A278="F&amp;F",$A278="CE",AL$7="No aplica"),0,'BOULEVARD 5'!AO276-'BOULEVARD PPTO'!AG271)</f>
        <v>-8085</v>
      </c>
      <c r="AM278" s="760">
        <f>IF(OR($A278="F&amp;F",$A278="CE",AM$7="No aplica"),0,'BOULEVARD 5'!AP276-'BOULEVARD PPTO'!AH271)</f>
        <v>-8085</v>
      </c>
      <c r="AN278" s="760">
        <f>IF(OR($A278="F&amp;F",$A278="CE",AN$7="No aplica"),0,'BOULEVARD 5'!AQ276-'BOULEVARD PPTO'!AI271)</f>
        <v>0</v>
      </c>
      <c r="AO278" s="760">
        <f>IF(OR($A278="F&amp;F",$A278="CE",AO$7="No aplica"),0,'BOULEVARD 5'!AS276-'BOULEVARD PPTO'!AJ271)</f>
        <v>0</v>
      </c>
      <c r="AP278" s="761">
        <f t="shared" si="28"/>
        <v>-28608.022000000004</v>
      </c>
      <c r="AQ278" s="761">
        <f t="shared" si="29"/>
        <v>-44773.022000000012</v>
      </c>
      <c r="AR278" s="674">
        <f>IF(A278=0,'BOULEVARD 5'!BF276,0)</f>
        <v>10000</v>
      </c>
      <c r="AS278" s="674">
        <f>IF(A278=0,'BOULEVARD 5'!BG276,0)</f>
        <v>9240</v>
      </c>
      <c r="AT278" s="675" t="str">
        <f t="shared" si="27"/>
        <v>Vendido</v>
      </c>
      <c r="AU278" s="581" t="str">
        <f t="shared" si="26"/>
        <v>POR COBRAR</v>
      </c>
      <c r="AV278" s="760">
        <f t="shared" si="30"/>
        <v>0</v>
      </c>
    </row>
    <row r="279" spans="1:48" s="581" customFormat="1" ht="12.4" customHeight="1" outlineLevel="1" x14ac:dyDescent="0.25">
      <c r="A279" s="703">
        <f>'BOULEVARD 5'!BQ277</f>
        <v>0</v>
      </c>
      <c r="B279" s="564">
        <v>1606</v>
      </c>
      <c r="C279" s="564" t="s">
        <v>397</v>
      </c>
      <c r="D279" s="564"/>
      <c r="E279" s="564" t="str">
        <f>IF('BOULEVARD 5'!E277&lt;&gt;0,'BOULEVARD 5'!E277,"")</f>
        <v/>
      </c>
      <c r="F279" s="581" t="str">
        <f>IF('BOULEVARD 5'!F277&lt;&gt;0,'BOULEVARD 5'!F277,"")</f>
        <v/>
      </c>
      <c r="G279" s="566" t="str">
        <f>IF('BOULEVARD 5'!G277="","",'BOULEVARD 5'!G277)</f>
        <v/>
      </c>
      <c r="H279" s="756">
        <f>IF(OR($A279="F&amp;F",$A279="CE",H$7="No aplica"),0,'BOULEVARD 5'!K277-'BOULEVARD PPTO'!C272)</f>
        <v>0</v>
      </c>
      <c r="I279" s="756">
        <f>IF(OR($A279="F&amp;F",$A279="CE",I$7="No aplica"),0,'BOULEVARD 5'!L277-'BOULEVARD PPTO'!D272)</f>
        <v>0</v>
      </c>
      <c r="J279" s="756">
        <f>IF(OR($A279="F&amp;F",$A279="CE",J$7="No aplica"),0,'BOULEVARD 5'!M277-'BOULEVARD PPTO'!E272)</f>
        <v>0</v>
      </c>
      <c r="K279" s="756">
        <f>IF(OR($A279="F&amp;F",$A279="CE",K$7="No aplica"),0,'BOULEVARD 5'!N277-'BOULEVARD PPTO'!F272)</f>
        <v>0</v>
      </c>
      <c r="L279" s="756">
        <f>IF(OR($A279="F&amp;F",$A279="CE",L$7="No aplica"),0,'BOULEVARD 5'!O277-'BOULEVARD PPTO'!G272)</f>
        <v>0</v>
      </c>
      <c r="M279" s="756">
        <f>IF(OR($A279="F&amp;F",$A279="CE",M$7="No aplica"),0,'BOULEVARD 5'!P277-'BOULEVARD PPTO'!H272)</f>
        <v>0</v>
      </c>
      <c r="N279" s="756">
        <f>IF(OR($A279="F&amp;F",$A279="CE",N$7="No aplica"),0,'BOULEVARD 5'!Q277-'BOULEVARD PPTO'!I272)</f>
        <v>0</v>
      </c>
      <c r="O279" s="756">
        <f>IF(OR($A279="F&amp;F",$A279="CE",O$7="No aplica"),0,'BOULEVARD 5'!R277-'BOULEVARD PPTO'!J272)</f>
        <v>0</v>
      </c>
      <c r="P279" s="756">
        <f>IF(OR($A279="F&amp;F",$A279="CE",P$7="No aplica"),0,'BOULEVARD 5'!S277-'BOULEVARD PPTO'!K272)</f>
        <v>0</v>
      </c>
      <c r="Q279" s="760">
        <f>IF(OR($A279="F&amp;F",$A279="CE",Q$7="No aplica"),0,'BOULEVARD 5'!T277-'BOULEVARD PPTO'!L272)</f>
        <v>0</v>
      </c>
      <c r="R279" s="760">
        <f>IF(OR($A279="F&amp;F",$A279="CE",R$7="No aplica"),0,'BOULEVARD 5'!U277-'BOULEVARD PPTO'!M272)</f>
        <v>0</v>
      </c>
      <c r="S279" s="760">
        <f>IF(OR($A279="F&amp;F",$A279="CE",S$7="No aplica"),0,'BOULEVARD 5'!V277-'BOULEVARD PPTO'!N272)</f>
        <v>0</v>
      </c>
      <c r="T279" s="760">
        <f>IF(OR($A279="F&amp;F",$A279="CE",T$7="No aplica"),0,'BOULEVARD 5'!W277-'BOULEVARD PPTO'!O272)</f>
        <v>0</v>
      </c>
      <c r="U279" s="760">
        <f>IF(OR($A279="F&amp;F",$A279="CE",U$7="No aplica"),0,'BOULEVARD 5'!X277-'BOULEVARD PPTO'!P272)</f>
        <v>0</v>
      </c>
      <c r="V279" s="760">
        <f>IF(OR($A279="F&amp;F",$A279="CE",V$7="No aplica"),0,'BOULEVARD 5'!Y277-'BOULEVARD PPTO'!Q272)</f>
        <v>0</v>
      </c>
      <c r="W279" s="760">
        <f>IF(OR($A279="F&amp;F",$A279="CE",W$7="No aplica"),0,'BOULEVARD 5'!Z277-'BOULEVARD PPTO'!R272)</f>
        <v>0</v>
      </c>
      <c r="X279" s="760">
        <f>IF(OR($A279="F&amp;F",$A279="CE",X$7="No aplica"),0,'BOULEVARD 5'!AA277-'BOULEVARD PPTO'!S272)</f>
        <v>0</v>
      </c>
      <c r="Y279" s="760">
        <f>IF(OR($A279="F&amp;F",$A279="CE",Y$7="No aplica"),0,'BOULEVARD 5'!AB277-'BOULEVARD PPTO'!T272)</f>
        <v>0</v>
      </c>
      <c r="Z279" s="760">
        <f>IF(OR($A279="F&amp;F",$A279="CE",Z$7="No aplica"),0,'BOULEVARD 5'!AC277-'BOULEVARD PPTO'!U272)</f>
        <v>0</v>
      </c>
      <c r="AA279" s="760">
        <f>IF(OR($A279="F&amp;F",$A279="CE",AA$7="No aplica"),0,'BOULEVARD 5'!AD277-'BOULEVARD PPTO'!V272)</f>
        <v>0</v>
      </c>
      <c r="AB279" s="760">
        <f>IF(OR($A279="F&amp;F",$A279="CE",AB$7="No aplica"),0,'BOULEVARD 5'!AE277-'BOULEVARD PPTO'!W272)</f>
        <v>0</v>
      </c>
      <c r="AC279" s="760">
        <f>IF(OR($A279="F&amp;F",$A279="CE",AC$7="No aplica"),0,'BOULEVARD 5'!AF277-'BOULEVARD PPTO'!X272)</f>
        <v>0</v>
      </c>
      <c r="AD279" s="760">
        <f>IF(OR($A279="F&amp;F",$A279="CE",AD$7="No aplica"),0,'BOULEVARD 5'!AG277-'BOULEVARD PPTO'!Y272)</f>
        <v>0</v>
      </c>
      <c r="AE279" s="760">
        <f>IF(OR($A279="F&amp;F",$A279="CE",AE$7="No aplica"),0,'BOULEVARD 5'!AH277-'BOULEVARD PPTO'!Z272)</f>
        <v>0</v>
      </c>
      <c r="AF279" s="760">
        <f>IF(OR($A279="F&amp;F",$A279="CE",AF$7="No aplica"),0,'BOULEVARD 5'!AI277-'BOULEVARD PPTO'!AA272)</f>
        <v>0</v>
      </c>
      <c r="AG279" s="760">
        <f>IF(OR($A279="F&amp;F",$A279="CE",AG$7="No aplica"),0,'BOULEVARD 5'!AJ277-'BOULEVARD PPTO'!AB272)</f>
        <v>0</v>
      </c>
      <c r="AH279" s="760">
        <f>IF(OR($A279="F&amp;F",$A279="CE",AH$7="No aplica"),0,'BOULEVARD 5'!AK277-'BOULEVARD PPTO'!AC272)</f>
        <v>0</v>
      </c>
      <c r="AI279" s="760">
        <f>IF(OR($A279="F&amp;F",$A279="CE",AI$7="No aplica"),0,'BOULEVARD 5'!AL277-'BOULEVARD PPTO'!AD272)</f>
        <v>0</v>
      </c>
      <c r="AJ279" s="760">
        <f>IF(OR($A279="F&amp;F",$A279="CE",AJ$7="No aplica"),0,'BOULEVARD 5'!AM277-'BOULEVARD PPTO'!AE272)</f>
        <v>0</v>
      </c>
      <c r="AK279" s="760">
        <f>IF(OR($A279="F&amp;F",$A279="CE",AK$7="No aplica"),0,'BOULEVARD 5'!AN277-'BOULEVARD PPTO'!AF272)</f>
        <v>0</v>
      </c>
      <c r="AL279" s="760">
        <f>IF(OR($A279="F&amp;F",$A279="CE",AL$7="No aplica"),0,'BOULEVARD 5'!AO277-'BOULEVARD PPTO'!AG272)</f>
        <v>0</v>
      </c>
      <c r="AM279" s="760">
        <f>IF(OR($A279="F&amp;F",$A279="CE",AM$7="No aplica"),0,'BOULEVARD 5'!AP277-'BOULEVARD PPTO'!AH272)</f>
        <v>0</v>
      </c>
      <c r="AN279" s="760">
        <f>IF(OR($A279="F&amp;F",$A279="CE",AN$7="No aplica"),0,'BOULEVARD 5'!AQ277-'BOULEVARD PPTO'!AI272)</f>
        <v>0</v>
      </c>
      <c r="AO279" s="760">
        <f>IF(OR($A279="F&amp;F",$A279="CE",AO$7="No aplica"),0,'BOULEVARD 5'!AS277-'BOULEVARD PPTO'!AJ272)</f>
        <v>0</v>
      </c>
      <c r="AP279" s="761">
        <f t="shared" si="28"/>
        <v>0</v>
      </c>
      <c r="AQ279" s="761">
        <f t="shared" si="29"/>
        <v>0</v>
      </c>
      <c r="AR279" s="674">
        <f>IF(A279=0,'BOULEVARD 5'!BF277,0)</f>
        <v>0</v>
      </c>
      <c r="AS279" s="674">
        <f>IF(A279=0,'BOULEVARD 5'!BG277,0)</f>
        <v>0</v>
      </c>
      <c r="AT279" s="675" t="str">
        <f t="shared" si="27"/>
        <v>No Vendido</v>
      </c>
      <c r="AU279" s="581" t="str">
        <f t="shared" si="26"/>
        <v/>
      </c>
      <c r="AV279" s="760">
        <f t="shared" si="30"/>
        <v>0</v>
      </c>
    </row>
    <row r="280" spans="1:48" s="581" customFormat="1" ht="12.4" customHeight="1" outlineLevel="1" x14ac:dyDescent="0.25">
      <c r="A280" s="703" t="str">
        <f>'BOULEVARD 5'!BQ278</f>
        <v>CE</v>
      </c>
      <c r="B280" s="708">
        <v>1607</v>
      </c>
      <c r="C280" s="564" t="s">
        <v>398</v>
      </c>
      <c r="D280" s="564"/>
      <c r="E280" s="564" t="str">
        <f>IF('BOULEVARD 5'!E278&lt;&gt;0,'BOULEVARD 5'!E278,"")</f>
        <v>Brenda Búcaro</v>
      </c>
      <c r="F280" s="586" t="str">
        <f>IF('BOULEVARD 5'!F278&lt;&gt;0,'BOULEVARD 5'!F278,"")</f>
        <v>Edvin Carlos Cifuentes Salguero - Inmobiliaria Quince</v>
      </c>
      <c r="G280" s="566">
        <f>IF('BOULEVARD 5'!G278="","",'BOULEVARD 5'!G278)</f>
        <v>45077</v>
      </c>
      <c r="H280" s="756">
        <f>IF(OR($A280="F&amp;F",$A280="CE",H$7="No aplica"),0,'BOULEVARD 5'!K278-'BOULEVARD PPTO'!C273)</f>
        <v>0</v>
      </c>
      <c r="I280" s="756">
        <f>IF(OR($A280="F&amp;F",$A280="CE",I$7="No aplica"),0,'BOULEVARD 5'!L278-'BOULEVARD PPTO'!D273)</f>
        <v>0</v>
      </c>
      <c r="J280" s="756">
        <f>IF(OR($A280="F&amp;F",$A280="CE",J$7="No aplica"),0,'BOULEVARD 5'!M278-'BOULEVARD PPTO'!E273)</f>
        <v>0</v>
      </c>
      <c r="K280" s="756">
        <f>IF(OR($A280="F&amp;F",$A280="CE",K$7="No aplica"),0,'BOULEVARD 5'!N278-'BOULEVARD PPTO'!F273)</f>
        <v>0</v>
      </c>
      <c r="L280" s="756">
        <f>IF(OR($A280="F&amp;F",$A280="CE",L$7="No aplica"),0,'BOULEVARD 5'!O278-'BOULEVARD PPTO'!G273)</f>
        <v>0</v>
      </c>
      <c r="M280" s="756">
        <f>IF(OR($A280="F&amp;F",$A280="CE",M$7="No aplica"),0,'BOULEVARD 5'!P278-'BOULEVARD PPTO'!H273)</f>
        <v>0</v>
      </c>
      <c r="N280" s="756">
        <f>IF(OR($A280="F&amp;F",$A280="CE",N$7="No aplica"),0,'BOULEVARD 5'!Q278-'BOULEVARD PPTO'!I273)</f>
        <v>0</v>
      </c>
      <c r="O280" s="756">
        <f>IF(OR($A280="F&amp;F",$A280="CE",O$7="No aplica"),0,'BOULEVARD 5'!R278-'BOULEVARD PPTO'!J273)</f>
        <v>0</v>
      </c>
      <c r="P280" s="756">
        <f>IF(OR($A280="F&amp;F",$A280="CE",P$7="No aplica"),0,'BOULEVARD 5'!S278-'BOULEVARD PPTO'!K273)</f>
        <v>0</v>
      </c>
      <c r="Q280" s="760">
        <f>IF(OR($A280="F&amp;F",$A280="CE",Q$7="No aplica"),0,'BOULEVARD 5'!T278-'BOULEVARD PPTO'!L273)</f>
        <v>0</v>
      </c>
      <c r="R280" s="760">
        <f>IF(OR($A280="F&amp;F",$A280="CE",R$7="No aplica"),0,'BOULEVARD 5'!U278-'BOULEVARD PPTO'!M273)</f>
        <v>0</v>
      </c>
      <c r="S280" s="760">
        <f>IF(OR($A280="F&amp;F",$A280="CE",S$7="No aplica"),0,'BOULEVARD 5'!V278-'BOULEVARD PPTO'!N273)</f>
        <v>0</v>
      </c>
      <c r="T280" s="760">
        <f>IF(OR($A280="F&amp;F",$A280="CE",T$7="No aplica"),0,'BOULEVARD 5'!W278-'BOULEVARD PPTO'!O273)</f>
        <v>0</v>
      </c>
      <c r="U280" s="760">
        <f>IF(OR($A280="F&amp;F",$A280="CE",U$7="No aplica"),0,'BOULEVARD 5'!X278-'BOULEVARD PPTO'!P273)</f>
        <v>0</v>
      </c>
      <c r="V280" s="760">
        <f>IF(OR($A280="F&amp;F",$A280="CE",V$7="No aplica"),0,'BOULEVARD 5'!Y278-'BOULEVARD PPTO'!Q273)</f>
        <v>0</v>
      </c>
      <c r="W280" s="760">
        <f>IF(OR($A280="F&amp;F",$A280="CE",W$7="No aplica"),0,'BOULEVARD 5'!Z278-'BOULEVARD PPTO'!R273)</f>
        <v>0</v>
      </c>
      <c r="X280" s="760">
        <f>IF(OR($A280="F&amp;F",$A280="CE",X$7="No aplica"),0,'BOULEVARD 5'!AA278-'BOULEVARD PPTO'!S273)</f>
        <v>0</v>
      </c>
      <c r="Y280" s="760">
        <f>IF(OR($A280="F&amp;F",$A280="CE",Y$7="No aplica"),0,'BOULEVARD 5'!AB278-'BOULEVARD PPTO'!T273)</f>
        <v>0</v>
      </c>
      <c r="Z280" s="760">
        <f>IF(OR($A280="F&amp;F",$A280="CE",Z$7="No aplica"),0,'BOULEVARD 5'!AC278-'BOULEVARD PPTO'!U273)</f>
        <v>0</v>
      </c>
      <c r="AA280" s="760">
        <f>IF(OR($A280="F&amp;F",$A280="CE",AA$7="No aplica"),0,'BOULEVARD 5'!AD278-'BOULEVARD PPTO'!V273)</f>
        <v>0</v>
      </c>
      <c r="AB280" s="760">
        <f>IF(OR($A280="F&amp;F",$A280="CE",AB$7="No aplica"),0,'BOULEVARD 5'!AE278-'BOULEVARD PPTO'!W273)</f>
        <v>0</v>
      </c>
      <c r="AC280" s="760">
        <f>IF(OR($A280="F&amp;F",$A280="CE",AC$7="No aplica"),0,'BOULEVARD 5'!AF278-'BOULEVARD PPTO'!X273)</f>
        <v>0</v>
      </c>
      <c r="AD280" s="760">
        <f>IF(OR($A280="F&amp;F",$A280="CE",AD$7="No aplica"),0,'BOULEVARD 5'!AG278-'BOULEVARD PPTO'!Y273)</f>
        <v>0</v>
      </c>
      <c r="AE280" s="760">
        <f>IF(OR($A280="F&amp;F",$A280="CE",AE$7="No aplica"),0,'BOULEVARD 5'!AH278-'BOULEVARD PPTO'!Z273)</f>
        <v>0</v>
      </c>
      <c r="AF280" s="760">
        <f>IF(OR($A280="F&amp;F",$A280="CE",AF$7="No aplica"),0,'BOULEVARD 5'!AI278-'BOULEVARD PPTO'!AA273)</f>
        <v>0</v>
      </c>
      <c r="AG280" s="760">
        <f>IF(OR($A280="F&amp;F",$A280="CE",AG$7="No aplica"),0,'BOULEVARD 5'!AJ278-'BOULEVARD PPTO'!AB273)</f>
        <v>0</v>
      </c>
      <c r="AH280" s="760">
        <f>IF(OR($A280="F&amp;F",$A280="CE",AH$7="No aplica"),0,'BOULEVARD 5'!AK278-'BOULEVARD PPTO'!AC273)</f>
        <v>0</v>
      </c>
      <c r="AI280" s="760">
        <f>IF(OR($A280="F&amp;F",$A280="CE",AI$7="No aplica"),0,'BOULEVARD 5'!AL278-'BOULEVARD PPTO'!AD273)</f>
        <v>0</v>
      </c>
      <c r="AJ280" s="760">
        <f>IF(OR($A280="F&amp;F",$A280="CE",AJ$7="No aplica"),0,'BOULEVARD 5'!AM278-'BOULEVARD PPTO'!AE273)</f>
        <v>0</v>
      </c>
      <c r="AK280" s="760">
        <f>IF(OR($A280="F&amp;F",$A280="CE",AK$7="No aplica"),0,'BOULEVARD 5'!AN278-'BOULEVARD PPTO'!AF273)</f>
        <v>0</v>
      </c>
      <c r="AL280" s="760">
        <f>IF(OR($A280="F&amp;F",$A280="CE",AL$7="No aplica"),0,'BOULEVARD 5'!AO278-'BOULEVARD PPTO'!AG273)</f>
        <v>0</v>
      </c>
      <c r="AM280" s="760">
        <f>IF(OR($A280="F&amp;F",$A280="CE",AM$7="No aplica"),0,'BOULEVARD 5'!AP278-'BOULEVARD PPTO'!AH273)</f>
        <v>0</v>
      </c>
      <c r="AN280" s="760">
        <f>IF(OR($A280="F&amp;F",$A280="CE",AN$7="No aplica"),0,'BOULEVARD 5'!AQ278-'BOULEVARD PPTO'!AI273)</f>
        <v>0</v>
      </c>
      <c r="AO280" s="760">
        <f>IF(OR($A280="F&amp;F",$A280="CE",AO$7="No aplica"),0,'BOULEVARD 5'!AS278-'BOULEVARD PPTO'!AJ273)</f>
        <v>0</v>
      </c>
      <c r="AP280" s="761">
        <f t="shared" si="28"/>
        <v>0</v>
      </c>
      <c r="AQ280" s="761">
        <f t="shared" si="29"/>
        <v>0</v>
      </c>
      <c r="AR280" s="674">
        <f>IF(A280=0,'BOULEVARD 5'!BF278,0)</f>
        <v>0</v>
      </c>
      <c r="AS280" s="674">
        <f>IF(A280=0,'BOULEVARD 5'!BG278,0)</f>
        <v>0</v>
      </c>
      <c r="AT280" s="675" t="str">
        <f t="shared" si="27"/>
        <v>Vendido</v>
      </c>
      <c r="AU280" s="581" t="str">
        <f t="shared" si="26"/>
        <v/>
      </c>
      <c r="AV280" s="760">
        <f t="shared" si="30"/>
        <v>0</v>
      </c>
    </row>
    <row r="281" spans="1:48" s="581" customFormat="1" ht="12.4" customHeight="1" outlineLevel="1" x14ac:dyDescent="0.25">
      <c r="A281" s="703" t="str">
        <f>'BOULEVARD 5'!BQ279</f>
        <v>F&amp;F</v>
      </c>
      <c r="B281" s="704">
        <v>1608</v>
      </c>
      <c r="C281" s="704" t="s">
        <v>399</v>
      </c>
      <c r="D281" s="704"/>
      <c r="E281" s="704" t="str">
        <f>IF('BOULEVARD 5'!E279&lt;&gt;0,'BOULEVARD 5'!E279,"")</f>
        <v>Jose Franco</v>
      </c>
      <c r="F281" s="705" t="str">
        <f>IF('BOULEVARD 5'!F279&lt;&gt;0,'BOULEVARD 5'!F279,"")</f>
        <v>María Carolina Arimany Comas</v>
      </c>
      <c r="G281" s="566">
        <f>IF('BOULEVARD 5'!G279="","",'BOULEVARD 5'!G279)</f>
        <v>45013</v>
      </c>
      <c r="H281" s="756">
        <f>IF(OR($A281="F&amp;F",$A281="CE",H$7="No aplica"),0,'BOULEVARD 5'!K279-'BOULEVARD PPTO'!C274)</f>
        <v>0</v>
      </c>
      <c r="I281" s="756">
        <f>IF(OR($A281="F&amp;F",$A281="CE",I$7="No aplica"),0,'BOULEVARD 5'!L279-'BOULEVARD PPTO'!D274)</f>
        <v>0</v>
      </c>
      <c r="J281" s="756">
        <f>IF(OR($A281="F&amp;F",$A281="CE",J$7="No aplica"),0,'BOULEVARD 5'!M279-'BOULEVARD PPTO'!E274)</f>
        <v>0</v>
      </c>
      <c r="K281" s="756">
        <f>IF(OR($A281="F&amp;F",$A281="CE",K$7="No aplica"),0,'BOULEVARD 5'!N279-'BOULEVARD PPTO'!F274)</f>
        <v>0</v>
      </c>
      <c r="L281" s="756">
        <f>IF(OR($A281="F&amp;F",$A281="CE",L$7="No aplica"),0,'BOULEVARD 5'!O279-'BOULEVARD PPTO'!G274)</f>
        <v>0</v>
      </c>
      <c r="M281" s="756">
        <f>IF(OR($A281="F&amp;F",$A281="CE",M$7="No aplica"),0,'BOULEVARD 5'!P279-'BOULEVARD PPTO'!H274)</f>
        <v>0</v>
      </c>
      <c r="N281" s="756">
        <f>IF(OR($A281="F&amp;F",$A281="CE",N$7="No aplica"),0,'BOULEVARD 5'!Q279-'BOULEVARD PPTO'!I274)</f>
        <v>0</v>
      </c>
      <c r="O281" s="756">
        <f>IF(OR($A281="F&amp;F",$A281="CE",O$7="No aplica"),0,'BOULEVARD 5'!R279-'BOULEVARD PPTO'!J274)</f>
        <v>0</v>
      </c>
      <c r="P281" s="756">
        <f>IF(OR($A281="F&amp;F",$A281="CE",P$7="No aplica"),0,'BOULEVARD 5'!S279-'BOULEVARD PPTO'!K274)</f>
        <v>0</v>
      </c>
      <c r="Q281" s="760">
        <f>IF(OR($A281="F&amp;F",$A281="CE",Q$7="No aplica"),0,'BOULEVARD 5'!T279-'BOULEVARD PPTO'!L274)</f>
        <v>0</v>
      </c>
      <c r="R281" s="760">
        <f>IF(OR($A281="F&amp;F",$A281="CE",R$7="No aplica"),0,'BOULEVARD 5'!U279-'BOULEVARD PPTO'!M274)</f>
        <v>0</v>
      </c>
      <c r="S281" s="760">
        <f>IF(OR($A281="F&amp;F",$A281="CE",S$7="No aplica"),0,'BOULEVARD 5'!V279-'BOULEVARD PPTO'!N274)</f>
        <v>0</v>
      </c>
      <c r="T281" s="760">
        <f>IF(OR($A281="F&amp;F",$A281="CE",T$7="No aplica"),0,'BOULEVARD 5'!W279-'BOULEVARD PPTO'!O274)</f>
        <v>0</v>
      </c>
      <c r="U281" s="760">
        <f>IF(OR($A281="F&amp;F",$A281="CE",U$7="No aplica"),0,'BOULEVARD 5'!X279-'BOULEVARD PPTO'!P274)</f>
        <v>0</v>
      </c>
      <c r="V281" s="760">
        <f>IF(OR($A281="F&amp;F",$A281="CE",V$7="No aplica"),0,'BOULEVARD 5'!Y279-'BOULEVARD PPTO'!Q274)</f>
        <v>0</v>
      </c>
      <c r="W281" s="760">
        <f>IF(OR($A281="F&amp;F",$A281="CE",W$7="No aplica"),0,'BOULEVARD 5'!Z279-'BOULEVARD PPTO'!R274)</f>
        <v>0</v>
      </c>
      <c r="X281" s="760">
        <f>IF(OR($A281="F&amp;F",$A281="CE",X$7="No aplica"),0,'BOULEVARD 5'!AA279-'BOULEVARD PPTO'!S274)</f>
        <v>0</v>
      </c>
      <c r="Y281" s="760">
        <f>IF(OR($A281="F&amp;F",$A281="CE",Y$7="No aplica"),0,'BOULEVARD 5'!AB279-'BOULEVARD PPTO'!T274)</f>
        <v>0</v>
      </c>
      <c r="Z281" s="760">
        <f>IF(OR($A281="F&amp;F",$A281="CE",Z$7="No aplica"),0,'BOULEVARD 5'!AC279-'BOULEVARD PPTO'!U274)</f>
        <v>0</v>
      </c>
      <c r="AA281" s="760">
        <f>IF(OR($A281="F&amp;F",$A281="CE",AA$7="No aplica"),0,'BOULEVARD 5'!AD279-'BOULEVARD PPTO'!V274)</f>
        <v>0</v>
      </c>
      <c r="AB281" s="760">
        <f>IF(OR($A281="F&amp;F",$A281="CE",AB$7="No aplica"),0,'BOULEVARD 5'!AE279-'BOULEVARD PPTO'!W274)</f>
        <v>0</v>
      </c>
      <c r="AC281" s="760">
        <f>IF(OR($A281="F&amp;F",$A281="CE",AC$7="No aplica"),0,'BOULEVARD 5'!AF279-'BOULEVARD PPTO'!X274)</f>
        <v>0</v>
      </c>
      <c r="AD281" s="760">
        <f>IF(OR($A281="F&amp;F",$A281="CE",AD$7="No aplica"),0,'BOULEVARD 5'!AG279-'BOULEVARD PPTO'!Y274)</f>
        <v>0</v>
      </c>
      <c r="AE281" s="760">
        <f>IF(OR($A281="F&amp;F",$A281="CE",AE$7="No aplica"),0,'BOULEVARD 5'!AH279-'BOULEVARD PPTO'!Z274)</f>
        <v>0</v>
      </c>
      <c r="AF281" s="760">
        <f>IF(OR($A281="F&amp;F",$A281="CE",AF$7="No aplica"),0,'BOULEVARD 5'!AI279-'BOULEVARD PPTO'!AA274)</f>
        <v>0</v>
      </c>
      <c r="AG281" s="760">
        <f>IF(OR($A281="F&amp;F",$A281="CE",AG$7="No aplica"),0,'BOULEVARD 5'!AJ279-'BOULEVARD PPTO'!AB274)</f>
        <v>0</v>
      </c>
      <c r="AH281" s="760">
        <f>IF(OR($A281="F&amp;F",$A281="CE",AH$7="No aplica"),0,'BOULEVARD 5'!AK279-'BOULEVARD PPTO'!AC274)</f>
        <v>0</v>
      </c>
      <c r="AI281" s="760">
        <f>IF(OR($A281="F&amp;F",$A281="CE",AI$7="No aplica"),0,'BOULEVARD 5'!AL279-'BOULEVARD PPTO'!AD274)</f>
        <v>0</v>
      </c>
      <c r="AJ281" s="760">
        <f>IF(OR($A281="F&amp;F",$A281="CE",AJ$7="No aplica"),0,'BOULEVARD 5'!AM279-'BOULEVARD PPTO'!AE274)</f>
        <v>0</v>
      </c>
      <c r="AK281" s="760">
        <f>IF(OR($A281="F&amp;F",$A281="CE",AK$7="No aplica"),0,'BOULEVARD 5'!AN279-'BOULEVARD PPTO'!AF274)</f>
        <v>0</v>
      </c>
      <c r="AL281" s="760">
        <f>IF(OR($A281="F&amp;F",$A281="CE",AL$7="No aplica"),0,'BOULEVARD 5'!AO279-'BOULEVARD PPTO'!AG274)</f>
        <v>0</v>
      </c>
      <c r="AM281" s="760">
        <f>IF(OR($A281="F&amp;F",$A281="CE",AM$7="No aplica"),0,'BOULEVARD 5'!AP279-'BOULEVARD PPTO'!AH274)</f>
        <v>0</v>
      </c>
      <c r="AN281" s="760">
        <f>IF(OR($A281="F&amp;F",$A281="CE",AN$7="No aplica"),0,'BOULEVARD 5'!AQ279-'BOULEVARD PPTO'!AI274)</f>
        <v>0</v>
      </c>
      <c r="AO281" s="760">
        <f>IF(OR($A281="F&amp;F",$A281="CE",AO$7="No aplica"),0,'BOULEVARD 5'!AS279-'BOULEVARD PPTO'!AJ274)</f>
        <v>0</v>
      </c>
      <c r="AP281" s="761">
        <f t="shared" si="28"/>
        <v>0</v>
      </c>
      <c r="AQ281" s="761">
        <f t="shared" si="29"/>
        <v>0</v>
      </c>
      <c r="AR281" s="674">
        <f>IF(A281=0,'BOULEVARD 5'!BF279,0)</f>
        <v>0</v>
      </c>
      <c r="AS281" s="674">
        <f>IF(A281=0,'BOULEVARD 5'!BG279,0)</f>
        <v>0</v>
      </c>
      <c r="AT281" s="675" t="str">
        <f t="shared" si="27"/>
        <v>Vendido</v>
      </c>
      <c r="AU281" s="581" t="str">
        <f t="shared" si="26"/>
        <v/>
      </c>
      <c r="AV281" s="760">
        <f t="shared" si="30"/>
        <v>0</v>
      </c>
    </row>
    <row r="282" spans="1:48" s="581" customFormat="1" ht="12.4" customHeight="1" outlineLevel="1" x14ac:dyDescent="0.25">
      <c r="A282" s="703">
        <f>'BOULEVARD 5'!BQ280</f>
        <v>0</v>
      </c>
      <c r="B282" s="564">
        <v>1609</v>
      </c>
      <c r="C282" s="564" t="s">
        <v>400</v>
      </c>
      <c r="D282" s="564"/>
      <c r="E282" s="564" t="str">
        <f>IF('BOULEVARD 5'!E280&lt;&gt;0,'BOULEVARD 5'!E280,"")</f>
        <v>Antonio Rada</v>
      </c>
      <c r="F282" s="581" t="str">
        <f>IF('BOULEVARD 5'!F280&lt;&gt;0,'BOULEVARD 5'!F280,"")</f>
        <v>Christian Josue Colindres Sandoval</v>
      </c>
      <c r="G282" s="566">
        <f>IF('BOULEVARD 5'!G280="","",'BOULEVARD 5'!G280)</f>
        <v>45010</v>
      </c>
      <c r="H282" s="756">
        <f>IF(OR($A282="F&amp;F",$A282="CE",H$7="No aplica"),0,'BOULEVARD 5'!K280-'BOULEVARD PPTO'!C275)</f>
        <v>0</v>
      </c>
      <c r="I282" s="756">
        <f>IF(OR($A282="F&amp;F",$A282="CE",I$7="No aplica"),0,'BOULEVARD 5'!L280-'BOULEVARD PPTO'!D275)</f>
        <v>0</v>
      </c>
      <c r="J282" s="756">
        <f>IF(OR($A282="F&amp;F",$A282="CE",J$7="No aplica"),0,'BOULEVARD 5'!M280-'BOULEVARD PPTO'!E275)</f>
        <v>0</v>
      </c>
      <c r="K282" s="756">
        <f>IF(OR($A282="F&amp;F",$A282="CE",K$7="No aplica"),0,'BOULEVARD 5'!N280-'BOULEVARD PPTO'!F275)</f>
        <v>0</v>
      </c>
      <c r="L282" s="756">
        <f>IF(OR($A282="F&amp;F",$A282="CE",L$7="No aplica"),0,'BOULEVARD 5'!O280-'BOULEVARD PPTO'!G275)</f>
        <v>0</v>
      </c>
      <c r="M282" s="756">
        <f>IF(OR($A282="F&amp;F",$A282="CE",M$7="No aplica"),0,'BOULEVARD 5'!P280-'BOULEVARD PPTO'!H275)</f>
        <v>0</v>
      </c>
      <c r="N282" s="756">
        <f>IF(OR($A282="F&amp;F",$A282="CE",N$7="No aplica"),0,'BOULEVARD 5'!Q280-'BOULEVARD PPTO'!I275)</f>
        <v>0</v>
      </c>
      <c r="O282" s="756">
        <f>IF(OR($A282="F&amp;F",$A282="CE",O$7="No aplica"),0,'BOULEVARD 5'!R280-'BOULEVARD PPTO'!J275)</f>
        <v>-2290</v>
      </c>
      <c r="P282" s="756">
        <f>IF(OR($A282="F&amp;F",$A282="CE",P$7="No aplica"),0,'BOULEVARD 5'!S280-'BOULEVARD PPTO'!K275)</f>
        <v>2290</v>
      </c>
      <c r="Q282" s="760">
        <f>IF(OR($A282="F&amp;F",$A282="CE",Q$7="No aplica"),0,'BOULEVARD 5'!T280-'BOULEVARD PPTO'!L275)</f>
        <v>0</v>
      </c>
      <c r="R282" s="760">
        <f>IF(OR($A282="F&amp;F",$A282="CE",R$7="No aplica"),0,'BOULEVARD 5'!U280-'BOULEVARD PPTO'!M275)</f>
        <v>0</v>
      </c>
      <c r="S282" s="760">
        <f>IF(OR($A282="F&amp;F",$A282="CE",S$7="No aplica"),0,'BOULEVARD 5'!V280-'BOULEVARD PPTO'!N275)</f>
        <v>0</v>
      </c>
      <c r="T282" s="760">
        <f>IF(OR($A282="F&amp;F",$A282="CE",T$7="No aplica"),0,'BOULEVARD 5'!W280-'BOULEVARD PPTO'!O275)</f>
        <v>0</v>
      </c>
      <c r="U282" s="760">
        <f>IF(OR($A282="F&amp;F",$A282="CE",U$7="No aplica"),0,'BOULEVARD 5'!X280-'BOULEVARD PPTO'!P275)</f>
        <v>-2290</v>
      </c>
      <c r="V282" s="760">
        <f>IF(OR($A282="F&amp;F",$A282="CE",V$7="No aplica"),0,'BOULEVARD 5'!Y280-'BOULEVARD PPTO'!Q275)</f>
        <v>0</v>
      </c>
      <c r="W282" s="760">
        <f>IF(OR($A282="F&amp;F",$A282="CE",W$7="No aplica"),0,'BOULEVARD 5'!Z280-'BOULEVARD PPTO'!R275)</f>
        <v>-2290</v>
      </c>
      <c r="X282" s="760">
        <f>IF(OR($A282="F&amp;F",$A282="CE",X$7="No aplica"),0,'BOULEVARD 5'!AA280-'BOULEVARD PPTO'!S275)</f>
        <v>0</v>
      </c>
      <c r="Y282" s="760">
        <f>IF(OR($A282="F&amp;F",$A282="CE",Y$7="No aplica"),0,'BOULEVARD 5'!AB280-'BOULEVARD PPTO'!T275)</f>
        <v>0</v>
      </c>
      <c r="Z282" s="760">
        <f>IF(OR($A282="F&amp;F",$A282="CE",Z$7="No aplica"),0,'BOULEVARD 5'!AC280-'BOULEVARD PPTO'!U275)</f>
        <v>2290</v>
      </c>
      <c r="AA282" s="760">
        <f>IF(OR($A282="F&amp;F",$A282="CE",AA$7="No aplica"),0,'BOULEVARD 5'!AD280-'BOULEVARD PPTO'!V275)</f>
        <v>2290</v>
      </c>
      <c r="AB282" s="760">
        <f>IF(OR($A282="F&amp;F",$A282="CE",AB$7="No aplica"),0,'BOULEVARD 5'!AE280-'BOULEVARD PPTO'!W275)</f>
        <v>-2290</v>
      </c>
      <c r="AC282" s="760">
        <f>IF(OR($A282="F&amp;F",$A282="CE",AC$7="No aplica"),0,'BOULEVARD 5'!AF280-'BOULEVARD PPTO'!X275)</f>
        <v>-2290</v>
      </c>
      <c r="AD282" s="760">
        <f>IF(OR($A282="F&amp;F",$A282="CE",AD$7="No aplica"),0,'BOULEVARD 5'!AG280-'BOULEVARD PPTO'!Y275)</f>
        <v>-2290</v>
      </c>
      <c r="AE282" s="760">
        <f>IF(OR($A282="F&amp;F",$A282="CE",AE$7="No aplica"),0,'BOULEVARD 5'!AH280-'BOULEVARD PPTO'!Z275)</f>
        <v>-2290</v>
      </c>
      <c r="AF282" s="760">
        <f>IF(OR($A282="F&amp;F",$A282="CE",AF$7="No aplica"),0,'BOULEVARD 5'!AI280-'BOULEVARD PPTO'!AA275)</f>
        <v>4580</v>
      </c>
      <c r="AG282" s="760">
        <f>IF(OR($A282="F&amp;F",$A282="CE",AG$7="No aplica"),0,'BOULEVARD 5'!AJ280-'BOULEVARD PPTO'!AB275)</f>
        <v>-2290</v>
      </c>
      <c r="AH282" s="760">
        <f>IF(OR($A282="F&amp;F",$A282="CE",AH$7="No aplica"),0,'BOULEVARD 5'!AK280-'BOULEVARD PPTO'!AC275)</f>
        <v>2290</v>
      </c>
      <c r="AI282" s="760">
        <f>IF(OR($A282="F&amp;F",$A282="CE",AI$7="No aplica"),0,'BOULEVARD 5'!AL280-'BOULEVARD PPTO'!AD275)</f>
        <v>2290</v>
      </c>
      <c r="AJ282" s="760">
        <f>IF(OR($A282="F&amp;F",$A282="CE",AJ$7="No aplica"),0,'BOULEVARD 5'!AM280-'BOULEVARD PPTO'!AE275)</f>
        <v>-2290</v>
      </c>
      <c r="AK282" s="760">
        <f>IF(OR($A282="F&amp;F",$A282="CE",AK$7="No aplica"),0,'BOULEVARD 5'!AN280-'BOULEVARD PPTO'!AF275)</f>
        <v>2290</v>
      </c>
      <c r="AL282" s="760">
        <f>IF(OR($A282="F&amp;F",$A282="CE",AL$7="No aplica"),0,'BOULEVARD 5'!AO280-'BOULEVARD PPTO'!AG275)</f>
        <v>-2290</v>
      </c>
      <c r="AM282" s="760">
        <f>IF(OR($A282="F&amp;F",$A282="CE",AM$7="No aplica"),0,'BOULEVARD 5'!AP280-'BOULEVARD PPTO'!AH275)</f>
        <v>2290</v>
      </c>
      <c r="AN282" s="760">
        <f>IF(OR($A282="F&amp;F",$A282="CE",AN$7="No aplica"),0,'BOULEVARD 5'!AQ280-'BOULEVARD PPTO'!AI275)</f>
        <v>0</v>
      </c>
      <c r="AO282" s="760">
        <f>IF(OR($A282="F&amp;F",$A282="CE",AO$7="No aplica"),0,'BOULEVARD 5'!AS280-'BOULEVARD PPTO'!AJ275)</f>
        <v>0</v>
      </c>
      <c r="AP282" s="761">
        <f t="shared" si="28"/>
        <v>-2290</v>
      </c>
      <c r="AQ282" s="761">
        <f t="shared" si="29"/>
        <v>-9160.5800000000017</v>
      </c>
      <c r="AR282" s="674">
        <f>IF(A282=0,'BOULEVARD 5'!BF280,0)</f>
        <v>6000</v>
      </c>
      <c r="AS282" s="674">
        <f>IF(A282=0,'BOULEVARD 5'!BG280,0)</f>
        <v>2290</v>
      </c>
      <c r="AT282" s="675" t="str">
        <f t="shared" si="27"/>
        <v>Vendido</v>
      </c>
      <c r="AU282" s="581" t="str">
        <f t="shared" si="26"/>
        <v>POR COBRAR</v>
      </c>
      <c r="AV282" s="760">
        <f t="shared" si="30"/>
        <v>2290</v>
      </c>
    </row>
    <row r="283" spans="1:48" s="581" customFormat="1" ht="12.4" customHeight="1" outlineLevel="1" x14ac:dyDescent="0.25">
      <c r="A283" s="703">
        <f>'BOULEVARD 5'!BQ281</f>
        <v>0</v>
      </c>
      <c r="B283" s="564">
        <v>1610</v>
      </c>
      <c r="C283" s="564" t="s">
        <v>175</v>
      </c>
      <c r="D283" s="564"/>
      <c r="E283" s="564" t="str">
        <f>IF('BOULEVARD 5'!E281&lt;&gt;0,'BOULEVARD 5'!E281,"")</f>
        <v>Antonio Rada</v>
      </c>
      <c r="F283" s="581" t="str">
        <f>IF('BOULEVARD 5'!F281&lt;&gt;0,'BOULEVARD 5'!F281,"")</f>
        <v>Grupo Sak Y Sak, S.A.</v>
      </c>
      <c r="G283" s="566">
        <f>IF('BOULEVARD 5'!G281="","",'BOULEVARD 5'!G281)</f>
        <v>45077</v>
      </c>
      <c r="H283" s="756">
        <f>IF(OR($A283="F&amp;F",$A283="CE",H$7="No aplica"),0,'BOULEVARD 5'!K281-'BOULEVARD PPTO'!C276)</f>
        <v>0</v>
      </c>
      <c r="I283" s="756">
        <f>IF(OR($A283="F&amp;F",$A283="CE",I$7="No aplica"),0,'BOULEVARD 5'!L281-'BOULEVARD PPTO'!D276)</f>
        <v>0</v>
      </c>
      <c r="J283" s="756">
        <f>IF(OR($A283="F&amp;F",$A283="CE",J$7="No aplica"),0,'BOULEVARD 5'!M281-'BOULEVARD PPTO'!E276)</f>
        <v>6000</v>
      </c>
      <c r="K283" s="756">
        <f>IF(OR($A283="F&amp;F",$A283="CE",K$7="No aplica"),0,'BOULEVARD 5'!N281-'BOULEVARD PPTO'!F276)</f>
        <v>-6000</v>
      </c>
      <c r="L283" s="756">
        <f>IF(OR($A283="F&amp;F",$A283="CE",L$7="No aplica"),0,'BOULEVARD 5'!O281-'BOULEVARD PPTO'!G276)</f>
        <v>0</v>
      </c>
      <c r="M283" s="756">
        <f>IF(OR($A283="F&amp;F",$A283="CE",M$7="No aplica"),0,'BOULEVARD 5'!P281-'BOULEVARD PPTO'!H276)</f>
        <v>0</v>
      </c>
      <c r="N283" s="756">
        <f>IF(OR($A283="F&amp;F",$A283="CE",N$7="No aplica"),0,'BOULEVARD 5'!Q281-'BOULEVARD PPTO'!I276)</f>
        <v>0</v>
      </c>
      <c r="O283" s="756">
        <f>IF(OR($A283="F&amp;F",$A283="CE",O$7="No aplica"),0,'BOULEVARD 5'!R281-'BOULEVARD PPTO'!J276)</f>
        <v>0</v>
      </c>
      <c r="P283" s="756">
        <f>IF(OR($A283="F&amp;F",$A283="CE",P$7="No aplica"),0,'BOULEVARD 5'!S281-'BOULEVARD PPTO'!K276)</f>
        <v>0</v>
      </c>
      <c r="Q283" s="760">
        <f>IF(OR($A283="F&amp;F",$A283="CE",Q$7="No aplica"),0,'BOULEVARD 5'!T281-'BOULEVARD PPTO'!L276)</f>
        <v>0</v>
      </c>
      <c r="R283" s="760">
        <f>IF(OR($A283="F&amp;F",$A283="CE",R$7="No aplica"),0,'BOULEVARD 5'!U281-'BOULEVARD PPTO'!M276)</f>
        <v>0</v>
      </c>
      <c r="S283" s="760">
        <f>IF(OR($A283="F&amp;F",$A283="CE",S$7="No aplica"),0,'BOULEVARD 5'!V281-'BOULEVARD PPTO'!N276)</f>
        <v>0</v>
      </c>
      <c r="T283" s="760">
        <f>IF(OR($A283="F&amp;F",$A283="CE",T$7="No aplica"),0,'BOULEVARD 5'!W281-'BOULEVARD PPTO'!O276)</f>
        <v>0</v>
      </c>
      <c r="U283" s="760">
        <f>IF(OR($A283="F&amp;F",$A283="CE",U$7="No aplica"),0,'BOULEVARD 5'!X281-'BOULEVARD PPTO'!P276)</f>
        <v>-29447</v>
      </c>
      <c r="V283" s="760">
        <f>IF(OR($A283="F&amp;F",$A283="CE",V$7="No aplica"),0,'BOULEVARD 5'!Y281-'BOULEVARD PPTO'!Q276)</f>
        <v>-29447</v>
      </c>
      <c r="W283" s="760">
        <f>IF(OR($A283="F&amp;F",$A283="CE",W$7="No aplica"),0,'BOULEVARD 5'!Z281-'BOULEVARD PPTO'!R276)</f>
        <v>29447</v>
      </c>
      <c r="X283" s="760">
        <f>IF(OR($A283="F&amp;F",$A283="CE",X$7="No aplica"),0,'BOULEVARD 5'!AA281-'BOULEVARD PPTO'!S276)</f>
        <v>0</v>
      </c>
      <c r="Y283" s="760">
        <f>IF(OR($A283="F&amp;F",$A283="CE",Y$7="No aplica"),0,'BOULEVARD 5'!AB281-'BOULEVARD PPTO'!T276)</f>
        <v>0</v>
      </c>
      <c r="Z283" s="760">
        <f>IF(OR($A283="F&amp;F",$A283="CE",Z$7="No aplica"),0,'BOULEVARD 5'!AC281-'BOULEVARD PPTO'!U276)</f>
        <v>0</v>
      </c>
      <c r="AA283" s="760">
        <f>IF(OR($A283="F&amp;F",$A283="CE",AA$7="No aplica"),0,'BOULEVARD 5'!AD281-'BOULEVARD PPTO'!V276)</f>
        <v>0</v>
      </c>
      <c r="AB283" s="760">
        <f>IF(OR($A283="F&amp;F",$A283="CE",AB$7="No aplica"),0,'BOULEVARD 5'!AE281-'BOULEVARD PPTO'!W276)</f>
        <v>0</v>
      </c>
      <c r="AC283" s="760">
        <f>IF(OR($A283="F&amp;F",$A283="CE",AC$7="No aplica"),0,'BOULEVARD 5'!AF281-'BOULEVARD PPTO'!X276)</f>
        <v>0</v>
      </c>
      <c r="AD283" s="760">
        <f>IF(OR($A283="F&amp;F",$A283="CE",AD$7="No aplica"),0,'BOULEVARD 5'!AG281-'BOULEVARD PPTO'!Y276)</f>
        <v>0</v>
      </c>
      <c r="AE283" s="760">
        <f>IF(OR($A283="F&amp;F",$A283="CE",AE$7="No aplica"),0,'BOULEVARD 5'!AH281-'BOULEVARD PPTO'!Z276)</f>
        <v>0</v>
      </c>
      <c r="AF283" s="760">
        <f>IF(OR($A283="F&amp;F",$A283="CE",AF$7="No aplica"),0,'BOULEVARD 5'!AI281-'BOULEVARD PPTO'!AA276)</f>
        <v>-29447</v>
      </c>
      <c r="AG283" s="760">
        <f>IF(OR($A283="F&amp;F",$A283="CE",AG$7="No aplica"),0,'BOULEVARD 5'!AJ281-'BOULEVARD PPTO'!AB276)</f>
        <v>0</v>
      </c>
      <c r="AH283" s="760">
        <f>IF(OR($A283="F&amp;F",$A283="CE",AH$7="No aplica"),0,'BOULEVARD 5'!AK281-'BOULEVARD PPTO'!AC276)</f>
        <v>29447</v>
      </c>
      <c r="AI283" s="760">
        <f>IF(OR($A283="F&amp;F",$A283="CE",AI$7="No aplica"),0,'BOULEVARD 5'!AL281-'BOULEVARD PPTO'!AD276)</f>
        <v>0</v>
      </c>
      <c r="AJ283" s="760">
        <f>IF(OR($A283="F&amp;F",$A283="CE",AJ$7="No aplica"),0,'BOULEVARD 5'!AM281-'BOULEVARD PPTO'!AE276)</f>
        <v>0</v>
      </c>
      <c r="AK283" s="760">
        <f>IF(OR($A283="F&amp;F",$A283="CE",AK$7="No aplica"),0,'BOULEVARD 5'!AN281-'BOULEVARD PPTO'!AF276)</f>
        <v>0</v>
      </c>
      <c r="AL283" s="760">
        <f>IF(OR($A283="F&amp;F",$A283="CE",AL$7="No aplica"),0,'BOULEVARD 5'!AO281-'BOULEVARD PPTO'!AG276)</f>
        <v>-29451.21</v>
      </c>
      <c r="AM283" s="760">
        <f>IF(OR($A283="F&amp;F",$A283="CE",AM$7="No aplica"),0,'BOULEVARD 5'!AP281-'BOULEVARD PPTO'!AH276)</f>
        <v>0</v>
      </c>
      <c r="AN283" s="760">
        <f>IF(OR($A283="F&amp;F",$A283="CE",AN$7="No aplica"),0,'BOULEVARD 5'!AQ281-'BOULEVARD PPTO'!AI276)</f>
        <v>0</v>
      </c>
      <c r="AO283" s="760">
        <f>IF(OR($A283="F&amp;F",$A283="CE",AO$7="No aplica"),0,'BOULEVARD 5'!AS281-'BOULEVARD PPTO'!AJ276)</f>
        <v>0</v>
      </c>
      <c r="AP283" s="761">
        <f t="shared" si="28"/>
        <v>-58898.21</v>
      </c>
      <c r="AQ283" s="761">
        <f t="shared" si="29"/>
        <v>-58898.209999999963</v>
      </c>
      <c r="AR283" s="674">
        <f>IF(A283=0,'BOULEVARD 5'!BF281,0)</f>
        <v>95008.13</v>
      </c>
      <c r="AS283" s="674">
        <f>IF(A283=0,'BOULEVARD 5'!BG281,0)</f>
        <v>29447</v>
      </c>
      <c r="AT283" s="675" t="str">
        <f t="shared" si="27"/>
        <v>Vendido</v>
      </c>
      <c r="AU283" s="581" t="str">
        <f t="shared" si="26"/>
        <v>POR COBRAR</v>
      </c>
      <c r="AV283" s="760">
        <f t="shared" si="30"/>
        <v>0</v>
      </c>
    </row>
    <row r="284" spans="1:48" s="581" customFormat="1" ht="12.4" customHeight="1" outlineLevel="1" x14ac:dyDescent="0.25">
      <c r="A284" s="703">
        <f>'BOULEVARD 5'!BQ282</f>
        <v>0</v>
      </c>
      <c r="B284" s="564">
        <v>1611</v>
      </c>
      <c r="C284" s="564" t="s">
        <v>563</v>
      </c>
      <c r="D284" s="564"/>
      <c r="E284" s="564" t="str">
        <f>IF('BOULEVARD 5'!E282&lt;&gt;0,'BOULEVARD 5'!E282,"")</f>
        <v>Brenda Búcaro</v>
      </c>
      <c r="F284" s="581" t="str">
        <f>IF('BOULEVARD 5'!F282&lt;&gt;0,'BOULEVARD 5'!F282,"")</f>
        <v>Luis Alexander Valencia Mendez</v>
      </c>
      <c r="G284" s="566">
        <f>IF('BOULEVARD 5'!G282="","",'BOULEVARD 5'!G282)</f>
        <v>45970</v>
      </c>
      <c r="H284" s="756">
        <f>IF(OR($A284="F&amp;F",$A284="CE",H$7="No aplica"),0,'BOULEVARD 5'!K282-'BOULEVARD PPTO'!C277)</f>
        <v>0</v>
      </c>
      <c r="I284" s="756">
        <f>IF(OR($A284="F&amp;F",$A284="CE",I$7="No aplica"),0,'BOULEVARD 5'!L282-'BOULEVARD PPTO'!D277)</f>
        <v>0</v>
      </c>
      <c r="J284" s="756">
        <f>IF(OR($A284="F&amp;F",$A284="CE",J$7="No aplica"),0,'BOULEVARD 5'!M282-'BOULEVARD PPTO'!E277)</f>
        <v>0</v>
      </c>
      <c r="K284" s="756">
        <f>IF(OR($A284="F&amp;F",$A284="CE",K$7="No aplica"),0,'BOULEVARD 5'!N282-'BOULEVARD PPTO'!F277)</f>
        <v>0</v>
      </c>
      <c r="L284" s="756">
        <f>IF(OR($A284="F&amp;F",$A284="CE",L$7="No aplica"),0,'BOULEVARD 5'!O282-'BOULEVARD PPTO'!G277)</f>
        <v>0</v>
      </c>
      <c r="M284" s="756">
        <f>IF(OR($A284="F&amp;F",$A284="CE",M$7="No aplica"),0,'BOULEVARD 5'!P282-'BOULEVARD PPTO'!H277)</f>
        <v>0</v>
      </c>
      <c r="N284" s="756">
        <f>IF(OR($A284="F&amp;F",$A284="CE",N$7="No aplica"),0,'BOULEVARD 5'!Q282-'BOULEVARD PPTO'!I277)</f>
        <v>0</v>
      </c>
      <c r="O284" s="756">
        <f>IF(OR($A284="F&amp;F",$A284="CE",O$7="No aplica"),0,'BOULEVARD 5'!R282-'BOULEVARD PPTO'!J277)</f>
        <v>0</v>
      </c>
      <c r="P284" s="756">
        <f>IF(OR($A284="F&amp;F",$A284="CE",P$7="No aplica"),0,'BOULEVARD 5'!S282-'BOULEVARD PPTO'!K277)</f>
        <v>0</v>
      </c>
      <c r="Q284" s="760">
        <f>IF(OR($A284="F&amp;F",$A284="CE",Q$7="No aplica"),0,'BOULEVARD 5'!T282-'BOULEVARD PPTO'!L277)</f>
        <v>0</v>
      </c>
      <c r="R284" s="760">
        <f>IF(OR($A284="F&amp;F",$A284="CE",R$7="No aplica"),0,'BOULEVARD 5'!U282-'BOULEVARD PPTO'!M277)</f>
        <v>0</v>
      </c>
      <c r="S284" s="760">
        <f>IF(OR($A284="F&amp;F",$A284="CE",S$7="No aplica"),0,'BOULEVARD 5'!V282-'BOULEVARD PPTO'!N277)</f>
        <v>0</v>
      </c>
      <c r="T284" s="760">
        <f>IF(OR($A284="F&amp;F",$A284="CE",T$7="No aplica"),0,'BOULEVARD 5'!W282-'BOULEVARD PPTO'!O277)</f>
        <v>0</v>
      </c>
      <c r="U284" s="760">
        <f>IF(OR($A284="F&amp;F",$A284="CE",U$7="No aplica"),0,'BOULEVARD 5'!X282-'BOULEVARD PPTO'!P277)</f>
        <v>0</v>
      </c>
      <c r="V284" s="760">
        <f>IF(OR($A284="F&amp;F",$A284="CE",V$7="No aplica"),0,'BOULEVARD 5'!Y282-'BOULEVARD PPTO'!Q277)</f>
        <v>0</v>
      </c>
      <c r="W284" s="760">
        <f>IF(OR($A284="F&amp;F",$A284="CE",W$7="No aplica"),0,'BOULEVARD 5'!Z282-'BOULEVARD PPTO'!R277)</f>
        <v>0</v>
      </c>
      <c r="X284" s="760">
        <f>IF(OR($A284="F&amp;F",$A284="CE",X$7="No aplica"),0,'BOULEVARD 5'!AA282-'BOULEVARD PPTO'!S277)</f>
        <v>0</v>
      </c>
      <c r="Y284" s="760">
        <f>IF(OR($A284="F&amp;F",$A284="CE",Y$7="No aplica"),0,'BOULEVARD 5'!AB282-'BOULEVARD PPTO'!T277)</f>
        <v>0</v>
      </c>
      <c r="Z284" s="760">
        <f>IF(OR($A284="F&amp;F",$A284="CE",Z$7="No aplica"),0,'BOULEVARD 5'!AC282-'BOULEVARD PPTO'!U277)</f>
        <v>0</v>
      </c>
      <c r="AA284" s="760">
        <f>IF(OR($A284="F&amp;F",$A284="CE",AA$7="No aplica"),0,'BOULEVARD 5'!AD282-'BOULEVARD PPTO'!V277)</f>
        <v>0</v>
      </c>
      <c r="AB284" s="760">
        <f>IF(OR($A284="F&amp;F",$A284="CE",AB$7="No aplica"),0,'BOULEVARD 5'!AE282-'BOULEVARD PPTO'!W277)</f>
        <v>0</v>
      </c>
      <c r="AC284" s="760">
        <f>IF(OR($A284="F&amp;F",$A284="CE",AC$7="No aplica"),0,'BOULEVARD 5'!AF282-'BOULEVARD PPTO'!X277)</f>
        <v>0</v>
      </c>
      <c r="AD284" s="760">
        <f>IF(OR($A284="F&amp;F",$A284="CE",AD$7="No aplica"),0,'BOULEVARD 5'!AG282-'BOULEVARD PPTO'!Y277)</f>
        <v>0</v>
      </c>
      <c r="AE284" s="760">
        <f>IF(OR($A284="F&amp;F",$A284="CE",AE$7="No aplica"),0,'BOULEVARD 5'!AH282-'BOULEVARD PPTO'!Z277)</f>
        <v>0</v>
      </c>
      <c r="AF284" s="760">
        <f>IF(OR($A284="F&amp;F",$A284="CE",AF$7="No aplica"),0,'BOULEVARD 5'!AI282-'BOULEVARD PPTO'!AA277)</f>
        <v>0</v>
      </c>
      <c r="AG284" s="760">
        <f>IF(OR($A284="F&amp;F",$A284="CE",AG$7="No aplica"),0,'BOULEVARD 5'!AJ282-'BOULEVARD PPTO'!AB277)</f>
        <v>0</v>
      </c>
      <c r="AH284" s="760">
        <f>IF(OR($A284="F&amp;F",$A284="CE",AH$7="No aplica"),0,'BOULEVARD 5'!AK282-'BOULEVARD PPTO'!AC277)</f>
        <v>0</v>
      </c>
      <c r="AI284" s="760">
        <f>IF(OR($A284="F&amp;F",$A284="CE",AI$7="No aplica"),0,'BOULEVARD 5'!AL282-'BOULEVARD PPTO'!AD277)</f>
        <v>0</v>
      </c>
      <c r="AJ284" s="760">
        <f>IF(OR($A284="F&amp;F",$A284="CE",AJ$7="No aplica"),0,'BOULEVARD 5'!AM282-'BOULEVARD PPTO'!AE277)</f>
        <v>0</v>
      </c>
      <c r="AK284" s="760">
        <f>IF(OR($A284="F&amp;F",$A284="CE",AK$7="No aplica"),0,'BOULEVARD 5'!AN282-'BOULEVARD PPTO'!AF277)</f>
        <v>0</v>
      </c>
      <c r="AL284" s="760">
        <f>IF(OR($A284="F&amp;F",$A284="CE",AL$7="No aplica"),0,'BOULEVARD 5'!AO282-'BOULEVARD PPTO'!AG277)</f>
        <v>0</v>
      </c>
      <c r="AM284" s="760">
        <f>IF(OR($A284="F&amp;F",$A284="CE",AM$7="No aplica"),0,'BOULEVARD 5'!AP282-'BOULEVARD PPTO'!AH277)</f>
        <v>0</v>
      </c>
      <c r="AN284" s="760">
        <f>IF(OR($A284="F&amp;F",$A284="CE",AN$7="No aplica"),0,'BOULEVARD 5'!AQ282-'BOULEVARD PPTO'!AI277)</f>
        <v>0</v>
      </c>
      <c r="AO284" s="760">
        <f>IF(OR($A284="F&amp;F",$A284="CE",AO$7="No aplica"),0,'BOULEVARD 5'!AS282-'BOULEVARD PPTO'!AJ277)</f>
        <v>0</v>
      </c>
      <c r="AP284" s="761">
        <f t="shared" si="28"/>
        <v>0</v>
      </c>
      <c r="AQ284" s="761">
        <f t="shared" si="29"/>
        <v>-54500</v>
      </c>
      <c r="AR284" s="674">
        <f>IF(A284=0,'BOULEVARD 5'!BF282,0)</f>
        <v>6000</v>
      </c>
      <c r="AS284" s="674">
        <f>IF(A284=0,'BOULEVARD 5'!BG282,0)</f>
        <v>5300</v>
      </c>
      <c r="AT284" s="675" t="str">
        <f t="shared" si="27"/>
        <v>Vendido</v>
      </c>
      <c r="AU284" s="581" t="str">
        <f t="shared" si="26"/>
        <v/>
      </c>
      <c r="AV284" s="760">
        <f t="shared" si="30"/>
        <v>0</v>
      </c>
    </row>
    <row r="285" spans="1:48" s="581" customFormat="1" ht="12.4" customHeight="1" outlineLevel="1" x14ac:dyDescent="0.25">
      <c r="A285" s="703">
        <f>'BOULEVARD 5'!BQ283</f>
        <v>0</v>
      </c>
      <c r="B285" s="564">
        <v>1612</v>
      </c>
      <c r="C285" s="564" t="s">
        <v>565</v>
      </c>
      <c r="D285" s="564"/>
      <c r="E285" s="564" t="str">
        <f>IF('BOULEVARD 5'!E283&lt;&gt;0,'BOULEVARD 5'!E283,"")</f>
        <v/>
      </c>
      <c r="F285" s="581" t="str">
        <f>IF('BOULEVARD 5'!F283&lt;&gt;0,'BOULEVARD 5'!F283,"")</f>
        <v/>
      </c>
      <c r="G285" s="566" t="str">
        <f>IF('BOULEVARD 5'!G283="","",'BOULEVARD 5'!G283)</f>
        <v/>
      </c>
      <c r="H285" s="756">
        <f>IF(OR($A285="F&amp;F",$A285="CE",H$7="No aplica"),0,'BOULEVARD 5'!K283-'BOULEVARD PPTO'!C278)</f>
        <v>0</v>
      </c>
      <c r="I285" s="756">
        <f>IF(OR($A285="F&amp;F",$A285="CE",I$7="No aplica"),0,'BOULEVARD 5'!L283-'BOULEVARD PPTO'!D278)</f>
        <v>0</v>
      </c>
      <c r="J285" s="756">
        <f>IF(OR($A285="F&amp;F",$A285="CE",J$7="No aplica"),0,'BOULEVARD 5'!M283-'BOULEVARD PPTO'!E278)</f>
        <v>0</v>
      </c>
      <c r="K285" s="756">
        <f>IF(OR($A285="F&amp;F",$A285="CE",K$7="No aplica"),0,'BOULEVARD 5'!N283-'BOULEVARD PPTO'!F278)</f>
        <v>0</v>
      </c>
      <c r="L285" s="756">
        <f>IF(OR($A285="F&amp;F",$A285="CE",L$7="No aplica"),0,'BOULEVARD 5'!O283-'BOULEVARD PPTO'!G278)</f>
        <v>0</v>
      </c>
      <c r="M285" s="756">
        <f>IF(OR($A285="F&amp;F",$A285="CE",M$7="No aplica"),0,'BOULEVARD 5'!P283-'BOULEVARD PPTO'!H278)</f>
        <v>0</v>
      </c>
      <c r="N285" s="756">
        <f>IF(OR($A285="F&amp;F",$A285="CE",N$7="No aplica"),0,'BOULEVARD 5'!Q283-'BOULEVARD PPTO'!I278)</f>
        <v>0</v>
      </c>
      <c r="O285" s="756">
        <f>IF(OR($A285="F&amp;F",$A285="CE",O$7="No aplica"),0,'BOULEVARD 5'!R283-'BOULEVARD PPTO'!J278)</f>
        <v>0</v>
      </c>
      <c r="P285" s="756">
        <f>IF(OR($A285="F&amp;F",$A285="CE",P$7="No aplica"),0,'BOULEVARD 5'!S283-'BOULEVARD PPTO'!K278)</f>
        <v>0</v>
      </c>
      <c r="Q285" s="760">
        <f>IF(OR($A285="F&amp;F",$A285="CE",Q$7="No aplica"),0,'BOULEVARD 5'!T283-'BOULEVARD PPTO'!L278)</f>
        <v>0</v>
      </c>
      <c r="R285" s="760">
        <f>IF(OR($A285="F&amp;F",$A285="CE",R$7="No aplica"),0,'BOULEVARD 5'!U283-'BOULEVARD PPTO'!M278)</f>
        <v>0</v>
      </c>
      <c r="S285" s="760">
        <f>IF(OR($A285="F&amp;F",$A285="CE",S$7="No aplica"),0,'BOULEVARD 5'!V283-'BOULEVARD PPTO'!N278)</f>
        <v>0</v>
      </c>
      <c r="T285" s="760">
        <f>IF(OR($A285="F&amp;F",$A285="CE",T$7="No aplica"),0,'BOULEVARD 5'!W283-'BOULEVARD PPTO'!O278)</f>
        <v>0</v>
      </c>
      <c r="U285" s="760">
        <f>IF(OR($A285="F&amp;F",$A285="CE",U$7="No aplica"),0,'BOULEVARD 5'!X283-'BOULEVARD PPTO'!P278)</f>
        <v>0</v>
      </c>
      <c r="V285" s="760">
        <f>IF(OR($A285="F&amp;F",$A285="CE",V$7="No aplica"),0,'BOULEVARD 5'!Y283-'BOULEVARD PPTO'!Q278)</f>
        <v>0</v>
      </c>
      <c r="W285" s="760">
        <f>IF(OR($A285="F&amp;F",$A285="CE",W$7="No aplica"),0,'BOULEVARD 5'!Z283-'BOULEVARD PPTO'!R278)</f>
        <v>0</v>
      </c>
      <c r="X285" s="760">
        <f>IF(OR($A285="F&amp;F",$A285="CE",X$7="No aplica"),0,'BOULEVARD 5'!AA283-'BOULEVARD PPTO'!S278)</f>
        <v>0</v>
      </c>
      <c r="Y285" s="760">
        <f>IF(OR($A285="F&amp;F",$A285="CE",Y$7="No aplica"),0,'BOULEVARD 5'!AB283-'BOULEVARD PPTO'!T278)</f>
        <v>0</v>
      </c>
      <c r="Z285" s="760">
        <f>IF(OR($A285="F&amp;F",$A285="CE",Z$7="No aplica"),0,'BOULEVARD 5'!AC283-'BOULEVARD PPTO'!U278)</f>
        <v>0</v>
      </c>
      <c r="AA285" s="760">
        <f>IF(OR($A285="F&amp;F",$A285="CE",AA$7="No aplica"),0,'BOULEVARD 5'!AD283-'BOULEVARD PPTO'!V278)</f>
        <v>0</v>
      </c>
      <c r="AB285" s="760">
        <f>IF(OR($A285="F&amp;F",$A285="CE",AB$7="No aplica"),0,'BOULEVARD 5'!AE283-'BOULEVARD PPTO'!W278)</f>
        <v>0</v>
      </c>
      <c r="AC285" s="760">
        <f>IF(OR($A285="F&amp;F",$A285="CE",AC$7="No aplica"),0,'BOULEVARD 5'!AF283-'BOULEVARD PPTO'!X278)</f>
        <v>0</v>
      </c>
      <c r="AD285" s="760">
        <f>IF(OR($A285="F&amp;F",$A285="CE",AD$7="No aplica"),0,'BOULEVARD 5'!AG283-'BOULEVARD PPTO'!Y278)</f>
        <v>0</v>
      </c>
      <c r="AE285" s="760">
        <f>IF(OR($A285="F&amp;F",$A285="CE",AE$7="No aplica"),0,'BOULEVARD 5'!AH283-'BOULEVARD PPTO'!Z278)</f>
        <v>0</v>
      </c>
      <c r="AF285" s="760">
        <f>IF(OR($A285="F&amp;F",$A285="CE",AF$7="No aplica"),0,'BOULEVARD 5'!AI283-'BOULEVARD PPTO'!AA278)</f>
        <v>0</v>
      </c>
      <c r="AG285" s="760">
        <f>IF(OR($A285="F&amp;F",$A285="CE",AG$7="No aplica"),0,'BOULEVARD 5'!AJ283-'BOULEVARD PPTO'!AB278)</f>
        <v>0</v>
      </c>
      <c r="AH285" s="760">
        <f>IF(OR($A285="F&amp;F",$A285="CE",AH$7="No aplica"),0,'BOULEVARD 5'!AK283-'BOULEVARD PPTO'!AC278)</f>
        <v>0</v>
      </c>
      <c r="AI285" s="760">
        <f>IF(OR($A285="F&amp;F",$A285="CE",AI$7="No aplica"),0,'BOULEVARD 5'!AL283-'BOULEVARD PPTO'!AD278)</f>
        <v>0</v>
      </c>
      <c r="AJ285" s="760">
        <f>IF(OR($A285="F&amp;F",$A285="CE",AJ$7="No aplica"),0,'BOULEVARD 5'!AM283-'BOULEVARD PPTO'!AE278)</f>
        <v>0</v>
      </c>
      <c r="AK285" s="760">
        <f>IF(OR($A285="F&amp;F",$A285="CE",AK$7="No aplica"),0,'BOULEVARD 5'!AN283-'BOULEVARD PPTO'!AF278)</f>
        <v>0</v>
      </c>
      <c r="AL285" s="760">
        <f>IF(OR($A285="F&amp;F",$A285="CE",AL$7="No aplica"),0,'BOULEVARD 5'!AO283-'BOULEVARD PPTO'!AG278)</f>
        <v>0</v>
      </c>
      <c r="AM285" s="760">
        <f>IF(OR($A285="F&amp;F",$A285="CE",AM$7="No aplica"),0,'BOULEVARD 5'!AP283-'BOULEVARD PPTO'!AH278)</f>
        <v>0</v>
      </c>
      <c r="AN285" s="760">
        <f>IF(OR($A285="F&amp;F",$A285="CE",AN$7="No aplica"),0,'BOULEVARD 5'!AQ283-'BOULEVARD PPTO'!AI278)</f>
        <v>0</v>
      </c>
      <c r="AO285" s="760">
        <f>IF(OR($A285="F&amp;F",$A285="CE",AO$7="No aplica"),0,'BOULEVARD 5'!AS283-'BOULEVARD PPTO'!AJ278)</f>
        <v>0</v>
      </c>
      <c r="AP285" s="761">
        <f t="shared" si="28"/>
        <v>0</v>
      </c>
      <c r="AQ285" s="761">
        <f t="shared" si="29"/>
        <v>0</v>
      </c>
      <c r="AR285" s="674">
        <f>IF(A285=0,'BOULEVARD 5'!BF283,0)</f>
        <v>0</v>
      </c>
      <c r="AS285" s="674">
        <f>IF(A285=0,'BOULEVARD 5'!BG283,0)</f>
        <v>0</v>
      </c>
      <c r="AT285" s="675" t="str">
        <f t="shared" si="27"/>
        <v>No Vendido</v>
      </c>
      <c r="AU285" s="581" t="str">
        <f t="shared" si="26"/>
        <v/>
      </c>
      <c r="AV285" s="760">
        <f t="shared" si="30"/>
        <v>0</v>
      </c>
    </row>
    <row r="286" spans="1:48" s="581" customFormat="1" ht="12.4" customHeight="1" outlineLevel="1" x14ac:dyDescent="0.25">
      <c r="A286" s="703" t="str">
        <f>'BOULEVARD 5'!BQ284</f>
        <v>F&amp;F</v>
      </c>
      <c r="B286" s="704">
        <v>1701</v>
      </c>
      <c r="C286" s="704" t="s">
        <v>683</v>
      </c>
      <c r="D286" s="704"/>
      <c r="E286" s="704" t="str">
        <f>IF('BOULEVARD 5'!E284&lt;&gt;0,'BOULEVARD 5'!E284,"")</f>
        <v>Brenda Búcaro</v>
      </c>
      <c r="F286" s="705" t="str">
        <f>IF('BOULEVARD 5'!F284&lt;&gt;0,'BOULEVARD 5'!F284,"")</f>
        <v>Ramiro José Muñoz Jordán - Emilia Larrazabal</v>
      </c>
      <c r="G286" s="566">
        <f>IF('BOULEVARD 5'!G284="","",'BOULEVARD 5'!G284)</f>
        <v>45014</v>
      </c>
      <c r="H286" s="756">
        <f>IF(OR($A286="F&amp;F",$A286="CE",H$7="No aplica"),0,'BOULEVARD 5'!K284-'BOULEVARD PPTO'!C279)</f>
        <v>0</v>
      </c>
      <c r="I286" s="756">
        <f>IF(OR($A286="F&amp;F",$A286="CE",I$7="No aplica"),0,'BOULEVARD 5'!L284-'BOULEVARD PPTO'!D279)</f>
        <v>0</v>
      </c>
      <c r="J286" s="756">
        <f>IF(OR($A286="F&amp;F",$A286="CE",J$7="No aplica"),0,'BOULEVARD 5'!M284-'BOULEVARD PPTO'!E279)</f>
        <v>0</v>
      </c>
      <c r="K286" s="756">
        <f>IF(OR($A286="F&amp;F",$A286="CE",K$7="No aplica"),0,'BOULEVARD 5'!N284-'BOULEVARD PPTO'!F279)</f>
        <v>0</v>
      </c>
      <c r="L286" s="756">
        <f>IF(OR($A286="F&amp;F",$A286="CE",L$7="No aplica"),0,'BOULEVARD 5'!O284-'BOULEVARD PPTO'!G279)</f>
        <v>0</v>
      </c>
      <c r="M286" s="756">
        <f>IF(OR($A286="F&amp;F",$A286="CE",M$7="No aplica"),0,'BOULEVARD 5'!P284-'BOULEVARD PPTO'!H279)</f>
        <v>0</v>
      </c>
      <c r="N286" s="756">
        <f>IF(OR($A286="F&amp;F",$A286="CE",N$7="No aplica"),0,'BOULEVARD 5'!Q284-'BOULEVARD PPTO'!I279)</f>
        <v>0</v>
      </c>
      <c r="O286" s="756">
        <f>IF(OR($A286="F&amp;F",$A286="CE",O$7="No aplica"),0,'BOULEVARD 5'!R284-'BOULEVARD PPTO'!J279)</f>
        <v>0</v>
      </c>
      <c r="P286" s="756">
        <f>IF(OR($A286="F&amp;F",$A286="CE",P$7="No aplica"),0,'BOULEVARD 5'!S284-'BOULEVARD PPTO'!K279)</f>
        <v>0</v>
      </c>
      <c r="Q286" s="760">
        <f>IF(OR($A286="F&amp;F",$A286="CE",Q$7="No aplica"),0,'BOULEVARD 5'!T284-'BOULEVARD PPTO'!L279)</f>
        <v>0</v>
      </c>
      <c r="R286" s="760">
        <f>IF(OR($A286="F&amp;F",$A286="CE",R$7="No aplica"),0,'BOULEVARD 5'!U284-'BOULEVARD PPTO'!M279)</f>
        <v>0</v>
      </c>
      <c r="S286" s="760">
        <f>IF(OR($A286="F&amp;F",$A286="CE",S$7="No aplica"),0,'BOULEVARD 5'!V284-'BOULEVARD PPTO'!N279)</f>
        <v>0</v>
      </c>
      <c r="T286" s="760">
        <f>IF(OR($A286="F&amp;F",$A286="CE",T$7="No aplica"),0,'BOULEVARD 5'!W284-'BOULEVARD PPTO'!O279)</f>
        <v>0</v>
      </c>
      <c r="U286" s="760">
        <f>IF(OR($A286="F&amp;F",$A286="CE",U$7="No aplica"),0,'BOULEVARD 5'!X284-'BOULEVARD PPTO'!P279)</f>
        <v>0</v>
      </c>
      <c r="V286" s="760">
        <f>IF(OR($A286="F&amp;F",$A286="CE",V$7="No aplica"),0,'BOULEVARD 5'!Y284-'BOULEVARD PPTO'!Q279)</f>
        <v>0</v>
      </c>
      <c r="W286" s="760">
        <f>IF(OR($A286="F&amp;F",$A286="CE",W$7="No aplica"),0,'BOULEVARD 5'!Z284-'BOULEVARD PPTO'!R279)</f>
        <v>0</v>
      </c>
      <c r="X286" s="760">
        <f>IF(OR($A286="F&amp;F",$A286="CE",X$7="No aplica"),0,'BOULEVARD 5'!AA284-'BOULEVARD PPTO'!S279)</f>
        <v>0</v>
      </c>
      <c r="Y286" s="760">
        <f>IF(OR($A286="F&amp;F",$A286="CE",Y$7="No aplica"),0,'BOULEVARD 5'!AB284-'BOULEVARD PPTO'!T279)</f>
        <v>0</v>
      </c>
      <c r="Z286" s="760">
        <f>IF(OR($A286="F&amp;F",$A286="CE",Z$7="No aplica"),0,'BOULEVARD 5'!AC284-'BOULEVARD PPTO'!U279)</f>
        <v>0</v>
      </c>
      <c r="AA286" s="760">
        <f>IF(OR($A286="F&amp;F",$A286="CE",AA$7="No aplica"),0,'BOULEVARD 5'!AD284-'BOULEVARD PPTO'!V279)</f>
        <v>0</v>
      </c>
      <c r="AB286" s="760">
        <f>IF(OR($A286="F&amp;F",$A286="CE",AB$7="No aplica"),0,'BOULEVARD 5'!AE284-'BOULEVARD PPTO'!W279)</f>
        <v>0</v>
      </c>
      <c r="AC286" s="760">
        <f>IF(OR($A286="F&amp;F",$A286="CE",AC$7="No aplica"),0,'BOULEVARD 5'!AF284-'BOULEVARD PPTO'!X279)</f>
        <v>0</v>
      </c>
      <c r="AD286" s="760">
        <f>IF(OR($A286="F&amp;F",$A286="CE",AD$7="No aplica"),0,'BOULEVARD 5'!AG284-'BOULEVARD PPTO'!Y279)</f>
        <v>0</v>
      </c>
      <c r="AE286" s="760">
        <f>IF(OR($A286="F&amp;F",$A286="CE",AE$7="No aplica"),0,'BOULEVARD 5'!AH284-'BOULEVARD PPTO'!Z279)</f>
        <v>0</v>
      </c>
      <c r="AF286" s="760">
        <f>IF(OR($A286="F&amp;F",$A286="CE",AF$7="No aplica"),0,'BOULEVARD 5'!AI284-'BOULEVARD PPTO'!AA279)</f>
        <v>0</v>
      </c>
      <c r="AG286" s="760">
        <f>IF(OR($A286="F&amp;F",$A286="CE",AG$7="No aplica"),0,'BOULEVARD 5'!AJ284-'BOULEVARD PPTO'!AB279)</f>
        <v>0</v>
      </c>
      <c r="AH286" s="760">
        <f>IF(OR($A286="F&amp;F",$A286="CE",AH$7="No aplica"),0,'BOULEVARD 5'!AK284-'BOULEVARD PPTO'!AC279)</f>
        <v>0</v>
      </c>
      <c r="AI286" s="760">
        <f>IF(OR($A286="F&amp;F",$A286="CE",AI$7="No aplica"),0,'BOULEVARD 5'!AL284-'BOULEVARD PPTO'!AD279)</f>
        <v>0</v>
      </c>
      <c r="AJ286" s="760">
        <f>IF(OR($A286="F&amp;F",$A286="CE",AJ$7="No aplica"),0,'BOULEVARD 5'!AM284-'BOULEVARD PPTO'!AE279)</f>
        <v>0</v>
      </c>
      <c r="AK286" s="760">
        <f>IF(OR($A286="F&amp;F",$A286="CE",AK$7="No aplica"),0,'BOULEVARD 5'!AN284-'BOULEVARD PPTO'!AF279)</f>
        <v>0</v>
      </c>
      <c r="AL286" s="760">
        <f>IF(OR($A286="F&amp;F",$A286="CE",AL$7="No aplica"),0,'BOULEVARD 5'!AO284-'BOULEVARD PPTO'!AG279)</f>
        <v>0</v>
      </c>
      <c r="AM286" s="760">
        <f>IF(OR($A286="F&amp;F",$A286="CE",AM$7="No aplica"),0,'BOULEVARD 5'!AP284-'BOULEVARD PPTO'!AH279)</f>
        <v>0</v>
      </c>
      <c r="AN286" s="760">
        <f>IF(OR($A286="F&amp;F",$A286="CE",AN$7="No aplica"),0,'BOULEVARD 5'!AQ284-'BOULEVARD PPTO'!AI279)</f>
        <v>0</v>
      </c>
      <c r="AO286" s="760">
        <f>IF(OR($A286="F&amp;F",$A286="CE",AO$7="No aplica"),0,'BOULEVARD 5'!AS284-'BOULEVARD PPTO'!AJ279)</f>
        <v>0</v>
      </c>
      <c r="AP286" s="761">
        <f t="shared" si="28"/>
        <v>0</v>
      </c>
      <c r="AQ286" s="761">
        <f t="shared" si="29"/>
        <v>0</v>
      </c>
      <c r="AR286" s="674">
        <f>IF(A286=0,'BOULEVARD 5'!BF284,0)</f>
        <v>0</v>
      </c>
      <c r="AS286" s="674">
        <f>IF(A286=0,'BOULEVARD 5'!BG284,0)</f>
        <v>0</v>
      </c>
      <c r="AT286" s="675" t="str">
        <f t="shared" si="27"/>
        <v>Vendido</v>
      </c>
      <c r="AU286" s="581" t="str">
        <f t="shared" si="26"/>
        <v/>
      </c>
      <c r="AV286" s="760">
        <f t="shared" si="30"/>
        <v>0</v>
      </c>
    </row>
    <row r="287" spans="1:48" s="581" customFormat="1" ht="12.4" customHeight="1" outlineLevel="1" x14ac:dyDescent="0.25">
      <c r="A287" s="703">
        <f>'BOULEVARD 5'!BQ285</f>
        <v>0</v>
      </c>
      <c r="B287" s="564">
        <v>1702</v>
      </c>
      <c r="C287" s="564" t="s">
        <v>198</v>
      </c>
      <c r="D287" s="564"/>
      <c r="E287" s="564" t="str">
        <f>IF('BOULEVARD 5'!E285&lt;&gt;0,'BOULEVARD 5'!E285,"")</f>
        <v>Brenda Búcaro</v>
      </c>
      <c r="F287" s="581" t="str">
        <f>IF('BOULEVARD 5'!F285&lt;&gt;0,'BOULEVARD 5'!F285,"")</f>
        <v>David Alejandro Donis Lopez</v>
      </c>
      <c r="G287" s="566">
        <f>IF('BOULEVARD 5'!G285="","",'BOULEVARD 5'!G285)</f>
        <v>45031</v>
      </c>
      <c r="H287" s="756">
        <f>IF(OR($A287="F&amp;F",$A287="CE",H$7="No aplica"),0,'BOULEVARD 5'!K285-'BOULEVARD PPTO'!C280)</f>
        <v>0</v>
      </c>
      <c r="I287" s="756">
        <f>IF(OR($A287="F&amp;F",$A287="CE",I$7="No aplica"),0,'BOULEVARD 5'!L285-'BOULEVARD PPTO'!D280)</f>
        <v>0</v>
      </c>
      <c r="J287" s="756">
        <f>IF(OR($A287="F&amp;F",$A287="CE",J$7="No aplica"),0,'BOULEVARD 5'!M285-'BOULEVARD PPTO'!E280)</f>
        <v>100</v>
      </c>
      <c r="K287" s="756">
        <f>IF(OR($A287="F&amp;F",$A287="CE",K$7="No aplica"),0,'BOULEVARD 5'!N285-'BOULEVARD PPTO'!F280)</f>
        <v>-2000</v>
      </c>
      <c r="L287" s="756">
        <f>IF(OR($A287="F&amp;F",$A287="CE",L$7="No aplica"),0,'BOULEVARD 5'!O285-'BOULEVARD PPTO'!G280)</f>
        <v>2200</v>
      </c>
      <c r="M287" s="756">
        <f>IF(OR($A287="F&amp;F",$A287="CE",M$7="No aplica"),0,'BOULEVARD 5'!P285-'BOULEVARD PPTO'!H280)</f>
        <v>100</v>
      </c>
      <c r="N287" s="756">
        <f>IF(OR($A287="F&amp;F",$A287="CE",N$7="No aplica"),0,'BOULEVARD 5'!Q285-'BOULEVARD PPTO'!I280)</f>
        <v>100</v>
      </c>
      <c r="O287" s="756">
        <f>IF(OR($A287="F&amp;F",$A287="CE",O$7="No aplica"),0,'BOULEVARD 5'!R285-'BOULEVARD PPTO'!J280)</f>
        <v>100</v>
      </c>
      <c r="P287" s="756">
        <f>IF(OR($A287="F&amp;F",$A287="CE",P$7="No aplica"),0,'BOULEVARD 5'!S285-'BOULEVARD PPTO'!K280)</f>
        <v>-2000</v>
      </c>
      <c r="Q287" s="760">
        <f>IF(OR($A287="F&amp;F",$A287="CE",Q$7="No aplica"),0,'BOULEVARD 5'!T285-'BOULEVARD PPTO'!L280)</f>
        <v>2200</v>
      </c>
      <c r="R287" s="760">
        <f>IF(OR($A287="F&amp;F",$A287="CE",R$7="No aplica"),0,'BOULEVARD 5'!U285-'BOULEVARD PPTO'!M280)</f>
        <v>100</v>
      </c>
      <c r="S287" s="760">
        <f>IF(OR($A287="F&amp;F",$A287="CE",S$7="No aplica"),0,'BOULEVARD 5'!V285-'BOULEVARD PPTO'!N280)</f>
        <v>100</v>
      </c>
      <c r="T287" s="760">
        <f>IF(OR($A287="F&amp;F",$A287="CE",T$7="No aplica"),0,'BOULEVARD 5'!W285-'BOULEVARD PPTO'!O280)</f>
        <v>100</v>
      </c>
      <c r="U287" s="760">
        <f>IF(OR($A287="F&amp;F",$A287="CE",U$7="No aplica"),0,'BOULEVARD 5'!X285-'BOULEVARD PPTO'!P280)</f>
        <v>100</v>
      </c>
      <c r="V287" s="760">
        <f>IF(OR($A287="F&amp;F",$A287="CE",V$7="No aplica"),0,'BOULEVARD 5'!Y285-'BOULEVARD PPTO'!Q280)</f>
        <v>-2000</v>
      </c>
      <c r="W287" s="760">
        <f>IF(OR($A287="F&amp;F",$A287="CE",W$7="No aplica"),0,'BOULEVARD 5'!Z285-'BOULEVARD PPTO'!R280)</f>
        <v>2200</v>
      </c>
      <c r="X287" s="760">
        <f>IF(OR($A287="F&amp;F",$A287="CE",X$7="No aplica"),0,'BOULEVARD 5'!AA285-'BOULEVARD PPTO'!S280)</f>
        <v>-2000</v>
      </c>
      <c r="Y287" s="760">
        <f>IF(OR($A287="F&amp;F",$A287="CE",Y$7="No aplica"),0,'BOULEVARD 5'!AB285-'BOULEVARD PPTO'!T280)</f>
        <v>100</v>
      </c>
      <c r="Z287" s="760">
        <f>IF(OR($A287="F&amp;F",$A287="CE",Z$7="No aplica"),0,'BOULEVARD 5'!AC285-'BOULEVARD PPTO'!U280)</f>
        <v>100</v>
      </c>
      <c r="AA287" s="760">
        <f>IF(OR($A287="F&amp;F",$A287="CE",AA$7="No aplica"),0,'BOULEVARD 5'!AD285-'BOULEVARD PPTO'!V280)</f>
        <v>100</v>
      </c>
      <c r="AB287" s="760">
        <f>IF(OR($A287="F&amp;F",$A287="CE",AB$7="No aplica"),0,'BOULEVARD 5'!AE285-'BOULEVARD PPTO'!W280)</f>
        <v>100</v>
      </c>
      <c r="AC287" s="760">
        <f>IF(OR($A287="F&amp;F",$A287="CE",AC$7="No aplica"),0,'BOULEVARD 5'!AF285-'BOULEVARD PPTO'!X280)</f>
        <v>2200</v>
      </c>
      <c r="AD287" s="760">
        <f>IF(OR($A287="F&amp;F",$A287="CE",AD$7="No aplica"),0,'BOULEVARD 5'!AG285-'BOULEVARD PPTO'!Y280)</f>
        <v>-2000</v>
      </c>
      <c r="AE287" s="760">
        <f>IF(OR($A287="F&amp;F",$A287="CE",AE$7="No aplica"),0,'BOULEVARD 5'!AH285-'BOULEVARD PPTO'!Z280)</f>
        <v>100</v>
      </c>
      <c r="AF287" s="760">
        <f>IF(OR($A287="F&amp;F",$A287="CE",AF$7="No aplica"),0,'BOULEVARD 5'!AI285-'BOULEVARD PPTO'!AA280)</f>
        <v>2200</v>
      </c>
      <c r="AG287" s="760">
        <f>IF(OR($A287="F&amp;F",$A287="CE",AG$7="No aplica"),0,'BOULEVARD 5'!AJ285-'BOULEVARD PPTO'!AB280)</f>
        <v>100</v>
      </c>
      <c r="AH287" s="760">
        <f>IF(OR($A287="F&amp;F",$A287="CE",AH$7="No aplica"),0,'BOULEVARD 5'!AK285-'BOULEVARD PPTO'!AC280)</f>
        <v>-2000</v>
      </c>
      <c r="AI287" s="760">
        <f>IF(OR($A287="F&amp;F",$A287="CE",AI$7="No aplica"),0,'BOULEVARD 5'!AL285-'BOULEVARD PPTO'!AD280)</f>
        <v>2200</v>
      </c>
      <c r="AJ287" s="760">
        <f>IF(OR($A287="F&amp;F",$A287="CE",AJ$7="No aplica"),0,'BOULEVARD 5'!AM285-'BOULEVARD PPTO'!AE280)</f>
        <v>100</v>
      </c>
      <c r="AK287" s="760">
        <f>IF(OR($A287="F&amp;F",$A287="CE",AK$7="No aplica"),0,'BOULEVARD 5'!AN285-'BOULEVARD PPTO'!AF280)</f>
        <v>100</v>
      </c>
      <c r="AL287" s="760">
        <f>IF(OR($A287="F&amp;F",$A287="CE",AL$7="No aplica"),0,'BOULEVARD 5'!AO285-'BOULEVARD PPTO'!AG280)</f>
        <v>-2600</v>
      </c>
      <c r="AM287" s="760">
        <f>IF(OR($A287="F&amp;F",$A287="CE",AM$7="No aplica"),0,'BOULEVARD 5'!AP285-'BOULEVARD PPTO'!AH280)</f>
        <v>0</v>
      </c>
      <c r="AN287" s="760">
        <f>IF(OR($A287="F&amp;F",$A287="CE",AN$7="No aplica"),0,'BOULEVARD 5'!AQ285-'BOULEVARD PPTO'!AI280)</f>
        <v>0</v>
      </c>
      <c r="AO287" s="760">
        <f>IF(OR($A287="F&amp;F",$A287="CE",AO$7="No aplica"),0,'BOULEVARD 5'!AS285-'BOULEVARD PPTO'!AJ280)</f>
        <v>0</v>
      </c>
      <c r="AP287" s="761">
        <f t="shared" si="28"/>
        <v>200</v>
      </c>
      <c r="AQ287" s="761">
        <f t="shared" si="29"/>
        <v>200</v>
      </c>
      <c r="AR287" s="674">
        <f>IF(A287=0,'BOULEVARD 5'!BF285,0)</f>
        <v>6000</v>
      </c>
      <c r="AS287" s="674">
        <f>IF(A287=0,'BOULEVARD 5'!BG285,0)</f>
        <v>2100</v>
      </c>
      <c r="AT287" s="675" t="str">
        <f t="shared" si="27"/>
        <v>Vendido</v>
      </c>
      <c r="AU287" s="581" t="str">
        <f t="shared" si="26"/>
        <v>A FAVOR DEL CLIENTE</v>
      </c>
      <c r="AV287" s="760">
        <f t="shared" si="30"/>
        <v>0</v>
      </c>
    </row>
    <row r="288" spans="1:48" s="581" customFormat="1" ht="12.4" customHeight="1" outlineLevel="1" x14ac:dyDescent="0.25">
      <c r="A288" s="703">
        <f>'BOULEVARD 5'!BQ286</f>
        <v>0</v>
      </c>
      <c r="B288" s="564">
        <v>1703</v>
      </c>
      <c r="C288" s="564" t="s">
        <v>686</v>
      </c>
      <c r="D288" s="564"/>
      <c r="E288" s="564" t="str">
        <f>IF('BOULEVARD 5'!E286&lt;&gt;0,'BOULEVARD 5'!E286,"")</f>
        <v>Antonio Rada</v>
      </c>
      <c r="F288" s="581" t="str">
        <f>IF('BOULEVARD 5'!F286&lt;&gt;0,'BOULEVARD 5'!F286,"")</f>
        <v>Rolando Antonio Pineda Juarez</v>
      </c>
      <c r="G288" s="566">
        <f>IF('BOULEVARD 5'!G286="","",'BOULEVARD 5'!G286)</f>
        <v>45759</v>
      </c>
      <c r="H288" s="756">
        <f>IF(OR($A288="F&amp;F",$A288="CE",H$7="No aplica"),0,'BOULEVARD 5'!K286-'BOULEVARD PPTO'!C281)</f>
        <v>0</v>
      </c>
      <c r="I288" s="756">
        <f>IF(OR($A288="F&amp;F",$A288="CE",I$7="No aplica"),0,'BOULEVARD 5'!L286-'BOULEVARD PPTO'!D281)</f>
        <v>0</v>
      </c>
      <c r="J288" s="756">
        <f>IF(OR($A288="F&amp;F",$A288="CE",J$7="No aplica"),0,'BOULEVARD 5'!M286-'BOULEVARD PPTO'!E281)</f>
        <v>0</v>
      </c>
      <c r="K288" s="756">
        <f>IF(OR($A288="F&amp;F",$A288="CE",K$7="No aplica"),0,'BOULEVARD 5'!N286-'BOULEVARD PPTO'!F281)</f>
        <v>0</v>
      </c>
      <c r="L288" s="756">
        <f>IF(OR($A288="F&amp;F",$A288="CE",L$7="No aplica"),0,'BOULEVARD 5'!O286-'BOULEVARD PPTO'!G281)</f>
        <v>0</v>
      </c>
      <c r="M288" s="756">
        <f>IF(OR($A288="F&amp;F",$A288="CE",M$7="No aplica"),0,'BOULEVARD 5'!P286-'BOULEVARD PPTO'!H281)</f>
        <v>0</v>
      </c>
      <c r="N288" s="756">
        <f>IF(OR($A288="F&amp;F",$A288="CE",N$7="No aplica"),0,'BOULEVARD 5'!Q286-'BOULEVARD PPTO'!I281)</f>
        <v>0</v>
      </c>
      <c r="O288" s="756">
        <f>IF(OR($A288="F&amp;F",$A288="CE",O$7="No aplica"),0,'BOULEVARD 5'!R286-'BOULEVARD PPTO'!J281)</f>
        <v>0</v>
      </c>
      <c r="P288" s="756">
        <f>IF(OR($A288="F&amp;F",$A288="CE",P$7="No aplica"),0,'BOULEVARD 5'!S286-'BOULEVARD PPTO'!K281)</f>
        <v>0</v>
      </c>
      <c r="Q288" s="760">
        <f>IF(OR($A288="F&amp;F",$A288="CE",Q$7="No aplica"),0,'BOULEVARD 5'!T286-'BOULEVARD PPTO'!L281)</f>
        <v>0</v>
      </c>
      <c r="R288" s="760">
        <f>IF(OR($A288="F&amp;F",$A288="CE",R$7="No aplica"),0,'BOULEVARD 5'!U286-'BOULEVARD PPTO'!M281)</f>
        <v>0</v>
      </c>
      <c r="S288" s="760">
        <f>IF(OR($A288="F&amp;F",$A288="CE",S$7="No aplica"),0,'BOULEVARD 5'!V286-'BOULEVARD PPTO'!N281)</f>
        <v>0</v>
      </c>
      <c r="T288" s="760">
        <f>IF(OR($A288="F&amp;F",$A288="CE",T$7="No aplica"),0,'BOULEVARD 5'!W286-'BOULEVARD PPTO'!O281)</f>
        <v>0</v>
      </c>
      <c r="U288" s="760">
        <f>IF(OR($A288="F&amp;F",$A288="CE",U$7="No aplica"),0,'BOULEVARD 5'!X286-'BOULEVARD PPTO'!P281)</f>
        <v>0</v>
      </c>
      <c r="V288" s="760">
        <f>IF(OR($A288="F&amp;F",$A288="CE",V$7="No aplica"),0,'BOULEVARD 5'!Y286-'BOULEVARD PPTO'!Q281)</f>
        <v>0</v>
      </c>
      <c r="W288" s="760">
        <f>IF(OR($A288="F&amp;F",$A288="CE",W$7="No aplica"),0,'BOULEVARD 5'!Z286-'BOULEVARD PPTO'!R281)</f>
        <v>0</v>
      </c>
      <c r="X288" s="760">
        <f>IF(OR($A288="F&amp;F",$A288="CE",X$7="No aplica"),0,'BOULEVARD 5'!AA286-'BOULEVARD PPTO'!S281)</f>
        <v>0</v>
      </c>
      <c r="Y288" s="760">
        <f>IF(OR($A288="F&amp;F",$A288="CE",Y$7="No aplica"),0,'BOULEVARD 5'!AB286-'BOULEVARD PPTO'!T281)</f>
        <v>0</v>
      </c>
      <c r="Z288" s="760">
        <f>IF(OR($A288="F&amp;F",$A288="CE",Z$7="No aplica"),0,'BOULEVARD 5'!AC286-'BOULEVARD PPTO'!U281)</f>
        <v>0</v>
      </c>
      <c r="AA288" s="760">
        <f>IF(OR($A288="F&amp;F",$A288="CE",AA$7="No aplica"),0,'BOULEVARD 5'!AD286-'BOULEVARD PPTO'!V281)</f>
        <v>0</v>
      </c>
      <c r="AB288" s="760">
        <f>IF(OR($A288="F&amp;F",$A288="CE",AB$7="No aplica"),0,'BOULEVARD 5'!AE286-'BOULEVARD PPTO'!W281)</f>
        <v>0</v>
      </c>
      <c r="AC288" s="760">
        <f>IF(OR($A288="F&amp;F",$A288="CE",AC$7="No aplica"),0,'BOULEVARD 5'!AF286-'BOULEVARD PPTO'!X281)</f>
        <v>0</v>
      </c>
      <c r="AD288" s="760">
        <f>IF(OR($A288="F&amp;F",$A288="CE",AD$7="No aplica"),0,'BOULEVARD 5'!AG286-'BOULEVARD PPTO'!Y281)</f>
        <v>0</v>
      </c>
      <c r="AE288" s="760">
        <f>IF(OR($A288="F&amp;F",$A288="CE",AE$7="No aplica"),0,'BOULEVARD 5'!AH286-'BOULEVARD PPTO'!Z281)</f>
        <v>0</v>
      </c>
      <c r="AF288" s="760">
        <f>IF(OR($A288="F&amp;F",$A288="CE",AF$7="No aplica"),0,'BOULEVARD 5'!AI286-'BOULEVARD PPTO'!AA281)</f>
        <v>0</v>
      </c>
      <c r="AG288" s="760">
        <f>IF(OR($A288="F&amp;F",$A288="CE",AG$7="No aplica"),0,'BOULEVARD 5'!AJ286-'BOULEVARD PPTO'!AB281)</f>
        <v>0</v>
      </c>
      <c r="AH288" s="760">
        <f>IF(OR($A288="F&amp;F",$A288="CE",AH$7="No aplica"),0,'BOULEVARD 5'!AK286-'BOULEVARD PPTO'!AC281)</f>
        <v>0</v>
      </c>
      <c r="AI288" s="760">
        <f>IF(OR($A288="F&amp;F",$A288="CE",AI$7="No aplica"),0,'BOULEVARD 5'!AL286-'BOULEVARD PPTO'!AD281)</f>
        <v>0</v>
      </c>
      <c r="AJ288" s="760">
        <f>IF(OR($A288="F&amp;F",$A288="CE",AJ$7="No aplica"),0,'BOULEVARD 5'!AM286-'BOULEVARD PPTO'!AE281)</f>
        <v>10385</v>
      </c>
      <c r="AK288" s="760">
        <f>IF(OR($A288="F&amp;F",$A288="CE",AK$7="No aplica"),0,'BOULEVARD 5'!AN286-'BOULEVARD PPTO'!AF281)</f>
        <v>-10385</v>
      </c>
      <c r="AL288" s="760">
        <f>IF(OR($A288="F&amp;F",$A288="CE",AL$7="No aplica"),0,'BOULEVARD 5'!AO286-'BOULEVARD PPTO'!AG281)</f>
        <v>0</v>
      </c>
      <c r="AM288" s="760">
        <f>IF(OR($A288="F&amp;F",$A288="CE",AM$7="No aplica"),0,'BOULEVARD 5'!AP286-'BOULEVARD PPTO'!AH281)</f>
        <v>0</v>
      </c>
      <c r="AN288" s="760">
        <f>IF(OR($A288="F&amp;F",$A288="CE",AN$7="No aplica"),0,'BOULEVARD 5'!AQ286-'BOULEVARD PPTO'!AI281)</f>
        <v>0</v>
      </c>
      <c r="AO288" s="760">
        <f>IF(OR($A288="F&amp;F",$A288="CE",AO$7="No aplica"),0,'BOULEVARD 5'!AS286-'BOULEVARD PPTO'!AJ281)</f>
        <v>0</v>
      </c>
      <c r="AP288" s="761">
        <f t="shared" si="28"/>
        <v>0</v>
      </c>
      <c r="AQ288" s="761">
        <f t="shared" si="29"/>
        <v>-10385</v>
      </c>
      <c r="AR288" s="674">
        <f>IF(A288=0,'BOULEVARD 5'!BF286,0)</f>
        <v>10000</v>
      </c>
      <c r="AS288" s="674">
        <f>IF(A288=0,'BOULEVARD 5'!BG286,0)</f>
        <v>10385</v>
      </c>
      <c r="AT288" s="675" t="str">
        <f t="shared" si="27"/>
        <v>Vendido</v>
      </c>
      <c r="AU288" s="581" t="str">
        <f t="shared" si="26"/>
        <v/>
      </c>
      <c r="AV288" s="760">
        <f t="shared" si="30"/>
        <v>0</v>
      </c>
    </row>
    <row r="289" spans="1:48" s="581" customFormat="1" ht="12.4" customHeight="1" outlineLevel="1" x14ac:dyDescent="0.25">
      <c r="A289" s="703">
        <f>'BOULEVARD 5'!BQ287</f>
        <v>0</v>
      </c>
      <c r="B289" s="564">
        <v>1704</v>
      </c>
      <c r="C289" s="564" t="s">
        <v>189</v>
      </c>
      <c r="D289" s="564"/>
      <c r="E289" s="564" t="str">
        <f>IF('BOULEVARD 5'!E287&lt;&gt;0,'BOULEVARD 5'!E287,"")</f>
        <v>Brenda Búcaro</v>
      </c>
      <c r="F289" s="581" t="str">
        <f>IF('BOULEVARD 5'!F287&lt;&gt;0,'BOULEVARD 5'!F287,"")</f>
        <v>Javier Andres Soto Coronado</v>
      </c>
      <c r="G289" s="566">
        <f>IF('BOULEVARD 5'!G287="","",'BOULEVARD 5'!G287)</f>
        <v>44995</v>
      </c>
      <c r="H289" s="756">
        <f>IF(OR($A289="F&amp;F",$A289="CE",H$7="No aplica"),0,'BOULEVARD 5'!K287-'BOULEVARD PPTO'!C282)</f>
        <v>0</v>
      </c>
      <c r="I289" s="756">
        <f>IF(OR($A289="F&amp;F",$A289="CE",I$7="No aplica"),0,'BOULEVARD 5'!L287-'BOULEVARD PPTO'!D282)</f>
        <v>0</v>
      </c>
      <c r="J289" s="756">
        <f>IF(OR($A289="F&amp;F",$A289="CE",J$7="No aplica"),0,'BOULEVARD 5'!M287-'BOULEVARD PPTO'!E282)</f>
        <v>0</v>
      </c>
      <c r="K289" s="756">
        <f>IF(OR($A289="F&amp;F",$A289="CE",K$7="No aplica"),0,'BOULEVARD 5'!N287-'BOULEVARD PPTO'!F282)</f>
        <v>0</v>
      </c>
      <c r="L289" s="756">
        <f>IF(OR($A289="F&amp;F",$A289="CE",L$7="No aplica"),0,'BOULEVARD 5'!O287-'BOULEVARD PPTO'!G282)</f>
        <v>0</v>
      </c>
      <c r="M289" s="756">
        <f>IF(OR($A289="F&amp;F",$A289="CE",M$7="No aplica"),0,'BOULEVARD 5'!P287-'BOULEVARD PPTO'!H282)</f>
        <v>0</v>
      </c>
      <c r="N289" s="756">
        <f>IF(OR($A289="F&amp;F",$A289="CE",N$7="No aplica"),0,'BOULEVARD 5'!Q287-'BOULEVARD PPTO'!I282)</f>
        <v>0</v>
      </c>
      <c r="O289" s="756">
        <f>IF(OR($A289="F&amp;F",$A289="CE",O$7="No aplica"),0,'BOULEVARD 5'!R287-'BOULEVARD PPTO'!J282)</f>
        <v>0</v>
      </c>
      <c r="P289" s="756">
        <f>IF(OR($A289="F&amp;F",$A289="CE",P$7="No aplica"),0,'BOULEVARD 5'!S287-'BOULEVARD PPTO'!K282)</f>
        <v>0</v>
      </c>
      <c r="Q289" s="760">
        <f>IF(OR($A289="F&amp;F",$A289="CE",Q$7="No aplica"),0,'BOULEVARD 5'!T287-'BOULEVARD PPTO'!L282)</f>
        <v>0</v>
      </c>
      <c r="R289" s="760">
        <f>IF(OR($A289="F&amp;F",$A289="CE",R$7="No aplica"),0,'BOULEVARD 5'!U287-'BOULEVARD PPTO'!M282)</f>
        <v>0</v>
      </c>
      <c r="S289" s="760">
        <f>IF(OR($A289="F&amp;F",$A289="CE",S$7="No aplica"),0,'BOULEVARD 5'!V287-'BOULEVARD PPTO'!N282)</f>
        <v>0</v>
      </c>
      <c r="T289" s="760">
        <f>IF(OR($A289="F&amp;F",$A289="CE",T$7="No aplica"),0,'BOULEVARD 5'!W287-'BOULEVARD PPTO'!O282)</f>
        <v>0</v>
      </c>
      <c r="U289" s="760">
        <f>IF(OR($A289="F&amp;F",$A289="CE",U$7="No aplica"),0,'BOULEVARD 5'!X287-'BOULEVARD PPTO'!P282)</f>
        <v>0</v>
      </c>
      <c r="V289" s="760">
        <f>IF(OR($A289="F&amp;F",$A289="CE",V$7="No aplica"),0,'BOULEVARD 5'!Y287-'BOULEVARD PPTO'!Q282)</f>
        <v>0</v>
      </c>
      <c r="W289" s="760">
        <f>IF(OR($A289="F&amp;F",$A289="CE",W$7="No aplica"),0,'BOULEVARD 5'!Z287-'BOULEVARD PPTO'!R282)</f>
        <v>0</v>
      </c>
      <c r="X289" s="760">
        <f>IF(OR($A289="F&amp;F",$A289="CE",X$7="No aplica"),0,'BOULEVARD 5'!AA287-'BOULEVARD PPTO'!S282)</f>
        <v>0</v>
      </c>
      <c r="Y289" s="760">
        <f>IF(OR($A289="F&amp;F",$A289="CE",Y$7="No aplica"),0,'BOULEVARD 5'!AB287-'BOULEVARD PPTO'!T282)</f>
        <v>0</v>
      </c>
      <c r="Z289" s="760">
        <f>IF(OR($A289="F&amp;F",$A289="CE",Z$7="No aplica"),0,'BOULEVARD 5'!AC287-'BOULEVARD PPTO'!U282)</f>
        <v>0</v>
      </c>
      <c r="AA289" s="760">
        <f>IF(OR($A289="F&amp;F",$A289="CE",AA$7="No aplica"),0,'BOULEVARD 5'!AD287-'BOULEVARD PPTO'!V282)</f>
        <v>0</v>
      </c>
      <c r="AB289" s="760">
        <f>IF(OR($A289="F&amp;F",$A289="CE",AB$7="No aplica"),0,'BOULEVARD 5'!AE287-'BOULEVARD PPTO'!W282)</f>
        <v>0</v>
      </c>
      <c r="AC289" s="760">
        <f>IF(OR($A289="F&amp;F",$A289="CE",AC$7="No aplica"),0,'BOULEVARD 5'!AF287-'BOULEVARD PPTO'!X282)</f>
        <v>0</v>
      </c>
      <c r="AD289" s="760">
        <f>IF(OR($A289="F&amp;F",$A289="CE",AD$7="No aplica"),0,'BOULEVARD 5'!AG287-'BOULEVARD PPTO'!Y282)</f>
        <v>-1600</v>
      </c>
      <c r="AE289" s="760">
        <f>IF(OR($A289="F&amp;F",$A289="CE",AE$7="No aplica"),0,'BOULEVARD 5'!AH287-'BOULEVARD PPTO'!Z282)</f>
        <v>1600</v>
      </c>
      <c r="AF289" s="760">
        <f>IF(OR($A289="F&amp;F",$A289="CE",AF$7="No aplica"),0,'BOULEVARD 5'!AI287-'BOULEVARD PPTO'!AA282)</f>
        <v>0</v>
      </c>
      <c r="AG289" s="760">
        <f>IF(OR($A289="F&amp;F",$A289="CE",AG$7="No aplica"),0,'BOULEVARD 5'!AJ287-'BOULEVARD PPTO'!AB282)</f>
        <v>0</v>
      </c>
      <c r="AH289" s="760">
        <f>IF(OR($A289="F&amp;F",$A289="CE",AH$7="No aplica"),0,'BOULEVARD 5'!AK287-'BOULEVARD PPTO'!AC282)</f>
        <v>0</v>
      </c>
      <c r="AI289" s="760">
        <f>IF(OR($A289="F&amp;F",$A289="CE",AI$7="No aplica"),0,'BOULEVARD 5'!AL287-'BOULEVARD PPTO'!AD282)</f>
        <v>0</v>
      </c>
      <c r="AJ289" s="760">
        <f>IF(OR($A289="F&amp;F",$A289="CE",AJ$7="No aplica"),0,'BOULEVARD 5'!AM287-'BOULEVARD PPTO'!AE282)</f>
        <v>0</v>
      </c>
      <c r="AK289" s="760">
        <f>IF(OR($A289="F&amp;F",$A289="CE",AK$7="No aplica"),0,'BOULEVARD 5'!AN287-'BOULEVARD PPTO'!AF282)</f>
        <v>0</v>
      </c>
      <c r="AL289" s="760">
        <f>IF(OR($A289="F&amp;F",$A289="CE",AL$7="No aplica"),0,'BOULEVARD 5'!AO287-'BOULEVARD PPTO'!AG282)</f>
        <v>0</v>
      </c>
      <c r="AM289" s="760">
        <f>IF(OR($A289="F&amp;F",$A289="CE",AM$7="No aplica"),0,'BOULEVARD 5'!AP287-'BOULEVARD PPTO'!AH282)</f>
        <v>-1600</v>
      </c>
      <c r="AN289" s="760">
        <f>IF(OR($A289="F&amp;F",$A289="CE",AN$7="No aplica"),0,'BOULEVARD 5'!AQ287-'BOULEVARD PPTO'!AI282)</f>
        <v>0</v>
      </c>
      <c r="AO289" s="760">
        <f>IF(OR($A289="F&amp;F",$A289="CE",AO$7="No aplica"),0,'BOULEVARD 5'!AS287-'BOULEVARD PPTO'!AJ282)</f>
        <v>0</v>
      </c>
      <c r="AP289" s="761">
        <f t="shared" si="28"/>
        <v>-1600</v>
      </c>
      <c r="AQ289" s="761">
        <f t="shared" si="29"/>
        <v>-6400</v>
      </c>
      <c r="AR289" s="674">
        <f>IF(A289=0,'BOULEVARD 5'!BF287,0)</f>
        <v>6000</v>
      </c>
      <c r="AS289" s="674">
        <f>IF(A289=0,'BOULEVARD 5'!BG287,0)</f>
        <v>1600</v>
      </c>
      <c r="AT289" s="675" t="str">
        <f t="shared" si="27"/>
        <v>Vendido</v>
      </c>
      <c r="AU289" s="581" t="str">
        <f t="shared" si="26"/>
        <v>POR COBRAR</v>
      </c>
      <c r="AV289" s="760">
        <f t="shared" si="30"/>
        <v>0</v>
      </c>
    </row>
    <row r="290" spans="1:48" s="581" customFormat="1" ht="12.4" customHeight="1" outlineLevel="1" x14ac:dyDescent="0.25">
      <c r="A290" s="703" t="str">
        <f>'BOULEVARD 5'!BQ288</f>
        <v>CE</v>
      </c>
      <c r="B290" s="708">
        <v>1705</v>
      </c>
      <c r="C290" s="564" t="s">
        <v>689</v>
      </c>
      <c r="D290" s="564"/>
      <c r="E290" s="564" t="str">
        <f>IF('BOULEVARD 5'!E288&lt;&gt;0,'BOULEVARD 5'!E288,"")</f>
        <v>Antonio Rada</v>
      </c>
      <c r="F290" s="581" t="str">
        <f>IF('BOULEVARD 5'!F288&lt;&gt;0,'BOULEVARD 5'!F288,"")</f>
        <v>Maxi Alexander Mendez Moran</v>
      </c>
      <c r="G290" s="566">
        <f>IF('BOULEVARD 5'!G288="","",'BOULEVARD 5'!G288)</f>
        <v>45749</v>
      </c>
      <c r="H290" s="756">
        <f>IF(OR($A290="F&amp;F",$A290="CE",H$7="No aplica"),0,'BOULEVARD 5'!K288-'BOULEVARD PPTO'!C283)</f>
        <v>0</v>
      </c>
      <c r="I290" s="756">
        <f>IF(OR($A290="F&amp;F",$A290="CE",I$7="No aplica"),0,'BOULEVARD 5'!L288-'BOULEVARD PPTO'!D283)</f>
        <v>0</v>
      </c>
      <c r="J290" s="756">
        <f>IF(OR($A290="F&amp;F",$A290="CE",J$7="No aplica"),0,'BOULEVARD 5'!M288-'BOULEVARD PPTO'!E283)</f>
        <v>0</v>
      </c>
      <c r="K290" s="756">
        <f>IF(OR($A290="F&amp;F",$A290="CE",K$7="No aplica"),0,'BOULEVARD 5'!N288-'BOULEVARD PPTO'!F283)</f>
        <v>0</v>
      </c>
      <c r="L290" s="756">
        <f>IF(OR($A290="F&amp;F",$A290="CE",L$7="No aplica"),0,'BOULEVARD 5'!O288-'BOULEVARD PPTO'!G283)</f>
        <v>0</v>
      </c>
      <c r="M290" s="756">
        <f>IF(OR($A290="F&amp;F",$A290="CE",M$7="No aplica"),0,'BOULEVARD 5'!P288-'BOULEVARD PPTO'!H283)</f>
        <v>0</v>
      </c>
      <c r="N290" s="756">
        <f>IF(OR($A290="F&amp;F",$A290="CE",N$7="No aplica"),0,'BOULEVARD 5'!Q288-'BOULEVARD PPTO'!I283)</f>
        <v>0</v>
      </c>
      <c r="O290" s="756">
        <f>IF(OR($A290="F&amp;F",$A290="CE",O$7="No aplica"),0,'BOULEVARD 5'!R288-'BOULEVARD PPTO'!J283)</f>
        <v>0</v>
      </c>
      <c r="P290" s="756">
        <f>IF(OR($A290="F&amp;F",$A290="CE",P$7="No aplica"),0,'BOULEVARD 5'!S288-'BOULEVARD PPTO'!K283)</f>
        <v>0</v>
      </c>
      <c r="Q290" s="760">
        <f>IF(OR($A290="F&amp;F",$A290="CE",Q$7="No aplica"),0,'BOULEVARD 5'!T288-'BOULEVARD PPTO'!L283)</f>
        <v>0</v>
      </c>
      <c r="R290" s="760">
        <f>IF(OR($A290="F&amp;F",$A290="CE",R$7="No aplica"),0,'BOULEVARD 5'!U288-'BOULEVARD PPTO'!M283)</f>
        <v>0</v>
      </c>
      <c r="S290" s="760">
        <f>IF(OR($A290="F&amp;F",$A290="CE",S$7="No aplica"),0,'BOULEVARD 5'!V288-'BOULEVARD PPTO'!N283)</f>
        <v>0</v>
      </c>
      <c r="T290" s="760">
        <f>IF(OR($A290="F&amp;F",$A290="CE",T$7="No aplica"),0,'BOULEVARD 5'!W288-'BOULEVARD PPTO'!O283)</f>
        <v>0</v>
      </c>
      <c r="U290" s="760">
        <f>IF(OR($A290="F&amp;F",$A290="CE",U$7="No aplica"),0,'BOULEVARD 5'!X288-'BOULEVARD PPTO'!P283)</f>
        <v>0</v>
      </c>
      <c r="V290" s="760">
        <f>IF(OR($A290="F&amp;F",$A290="CE",V$7="No aplica"),0,'BOULEVARD 5'!Y288-'BOULEVARD PPTO'!Q283)</f>
        <v>0</v>
      </c>
      <c r="W290" s="760">
        <f>IF(OR($A290="F&amp;F",$A290="CE",W$7="No aplica"),0,'BOULEVARD 5'!Z288-'BOULEVARD PPTO'!R283)</f>
        <v>0</v>
      </c>
      <c r="X290" s="760">
        <f>IF(OR($A290="F&amp;F",$A290="CE",X$7="No aplica"),0,'BOULEVARD 5'!AA288-'BOULEVARD PPTO'!S283)</f>
        <v>0</v>
      </c>
      <c r="Y290" s="760">
        <f>IF(OR($A290="F&amp;F",$A290="CE",Y$7="No aplica"),0,'BOULEVARD 5'!AB288-'BOULEVARD PPTO'!T283)</f>
        <v>0</v>
      </c>
      <c r="Z290" s="760">
        <f>IF(OR($A290="F&amp;F",$A290="CE",Z$7="No aplica"),0,'BOULEVARD 5'!AC288-'BOULEVARD PPTO'!U283)</f>
        <v>0</v>
      </c>
      <c r="AA290" s="760">
        <f>IF(OR($A290="F&amp;F",$A290="CE",AA$7="No aplica"),0,'BOULEVARD 5'!AD288-'BOULEVARD PPTO'!V283)</f>
        <v>0</v>
      </c>
      <c r="AB290" s="760">
        <f>IF(OR($A290="F&amp;F",$A290="CE",AB$7="No aplica"),0,'BOULEVARD 5'!AE288-'BOULEVARD PPTO'!W283)</f>
        <v>0</v>
      </c>
      <c r="AC290" s="760">
        <f>IF(OR($A290="F&amp;F",$A290="CE",AC$7="No aplica"),0,'BOULEVARD 5'!AF288-'BOULEVARD PPTO'!X283)</f>
        <v>0</v>
      </c>
      <c r="AD290" s="760">
        <f>IF(OR($A290="F&amp;F",$A290="CE",AD$7="No aplica"),0,'BOULEVARD 5'!AG288-'BOULEVARD PPTO'!Y283)</f>
        <v>0</v>
      </c>
      <c r="AE290" s="760">
        <f>IF(OR($A290="F&amp;F",$A290="CE",AE$7="No aplica"),0,'BOULEVARD 5'!AH288-'BOULEVARD PPTO'!Z283)</f>
        <v>0</v>
      </c>
      <c r="AF290" s="760">
        <f>IF(OR($A290="F&amp;F",$A290="CE",AF$7="No aplica"),0,'BOULEVARD 5'!AI288-'BOULEVARD PPTO'!AA283)</f>
        <v>0</v>
      </c>
      <c r="AG290" s="760">
        <f>IF(OR($A290="F&amp;F",$A290="CE",AG$7="No aplica"),0,'BOULEVARD 5'!AJ288-'BOULEVARD PPTO'!AB283)</f>
        <v>0</v>
      </c>
      <c r="AH290" s="760">
        <f>IF(OR($A290="F&amp;F",$A290="CE",AH$7="No aplica"),0,'BOULEVARD 5'!AK288-'BOULEVARD PPTO'!AC283)</f>
        <v>0</v>
      </c>
      <c r="AI290" s="760">
        <f>IF(OR($A290="F&amp;F",$A290="CE",AI$7="No aplica"),0,'BOULEVARD 5'!AL288-'BOULEVARD PPTO'!AD283)</f>
        <v>0</v>
      </c>
      <c r="AJ290" s="760">
        <f>IF(OR($A290="F&amp;F",$A290="CE",AJ$7="No aplica"),0,'BOULEVARD 5'!AM288-'BOULEVARD PPTO'!AE283)</f>
        <v>0</v>
      </c>
      <c r="AK290" s="760">
        <f>IF(OR($A290="F&amp;F",$A290="CE",AK$7="No aplica"),0,'BOULEVARD 5'!AN288-'BOULEVARD PPTO'!AF283)</f>
        <v>0</v>
      </c>
      <c r="AL290" s="760">
        <f>IF(OR($A290="F&amp;F",$A290="CE",AL$7="No aplica"),0,'BOULEVARD 5'!AO288-'BOULEVARD PPTO'!AG283)</f>
        <v>0</v>
      </c>
      <c r="AM290" s="760">
        <f>IF(OR($A290="F&amp;F",$A290="CE",AM$7="No aplica"),0,'BOULEVARD 5'!AP288-'BOULEVARD PPTO'!AH283)</f>
        <v>0</v>
      </c>
      <c r="AN290" s="760">
        <f>IF(OR($A290="F&amp;F",$A290="CE",AN$7="No aplica"),0,'BOULEVARD 5'!AQ288-'BOULEVARD PPTO'!AI283)</f>
        <v>0</v>
      </c>
      <c r="AO290" s="760">
        <f>IF(OR($A290="F&amp;F",$A290="CE",AO$7="No aplica"),0,'BOULEVARD 5'!AS288-'BOULEVARD PPTO'!AJ283)</f>
        <v>0</v>
      </c>
      <c r="AP290" s="761">
        <f t="shared" si="28"/>
        <v>0</v>
      </c>
      <c r="AQ290" s="761">
        <f t="shared" si="29"/>
        <v>0</v>
      </c>
      <c r="AR290" s="674">
        <f>IF(A290=0,'BOULEVARD 5'!BF288,0)</f>
        <v>0</v>
      </c>
      <c r="AS290" s="674">
        <f>IF(A290=0,'BOULEVARD 5'!BG288,0)</f>
        <v>0</v>
      </c>
      <c r="AT290" s="675" t="str">
        <f t="shared" si="27"/>
        <v>Vendido</v>
      </c>
      <c r="AU290" s="581" t="str">
        <f t="shared" si="26"/>
        <v/>
      </c>
      <c r="AV290" s="760">
        <f t="shared" si="30"/>
        <v>0</v>
      </c>
    </row>
    <row r="291" spans="1:48" s="581" customFormat="1" ht="12.4" customHeight="1" outlineLevel="1" x14ac:dyDescent="0.25">
      <c r="A291" s="703" t="str">
        <f>'BOULEVARD 5'!BQ289</f>
        <v>F&amp;F</v>
      </c>
      <c r="B291" s="704">
        <v>1706</v>
      </c>
      <c r="C291" s="704" t="s">
        <v>400</v>
      </c>
      <c r="D291" s="704"/>
      <c r="E291" s="704" t="str">
        <f>IF('BOULEVARD 5'!E289&lt;&gt;0,'BOULEVARD 5'!E289,"")</f>
        <v>Jose Franco</v>
      </c>
      <c r="F291" s="705" t="str">
        <f>IF('BOULEVARD 5'!F289&lt;&gt;0,'BOULEVARD 5'!F289,"")</f>
        <v>David Arimany Monzón</v>
      </c>
      <c r="G291" s="566">
        <f>IF('BOULEVARD 5'!G289="","",'BOULEVARD 5'!G289)</f>
        <v>45009</v>
      </c>
      <c r="H291" s="756">
        <f>IF(OR($A291="F&amp;F",$A291="CE",H$7="No aplica"),0,'BOULEVARD 5'!K289-'BOULEVARD PPTO'!C284)</f>
        <v>0</v>
      </c>
      <c r="I291" s="756">
        <f>IF(OR($A291="F&amp;F",$A291="CE",I$7="No aplica"),0,'BOULEVARD 5'!L289-'BOULEVARD PPTO'!D284)</f>
        <v>0</v>
      </c>
      <c r="J291" s="756">
        <f>IF(OR($A291="F&amp;F",$A291="CE",J$7="No aplica"),0,'BOULEVARD 5'!M289-'BOULEVARD PPTO'!E284)</f>
        <v>0</v>
      </c>
      <c r="K291" s="756">
        <f>IF(OR($A291="F&amp;F",$A291="CE",K$7="No aplica"),0,'BOULEVARD 5'!N289-'BOULEVARD PPTO'!F284)</f>
        <v>0</v>
      </c>
      <c r="L291" s="756">
        <f>IF(OR($A291="F&amp;F",$A291="CE",L$7="No aplica"),0,'BOULEVARD 5'!O289-'BOULEVARD PPTO'!G284)</f>
        <v>0</v>
      </c>
      <c r="M291" s="756">
        <f>IF(OR($A291="F&amp;F",$A291="CE",M$7="No aplica"),0,'BOULEVARD 5'!P289-'BOULEVARD PPTO'!H284)</f>
        <v>0</v>
      </c>
      <c r="N291" s="756">
        <f>IF(OR($A291="F&amp;F",$A291="CE",N$7="No aplica"),0,'BOULEVARD 5'!Q289-'BOULEVARD PPTO'!I284)</f>
        <v>0</v>
      </c>
      <c r="O291" s="756">
        <f>IF(OR($A291="F&amp;F",$A291="CE",O$7="No aplica"),0,'BOULEVARD 5'!R289-'BOULEVARD PPTO'!J284)</f>
        <v>0</v>
      </c>
      <c r="P291" s="756">
        <f>IF(OR($A291="F&amp;F",$A291="CE",P$7="No aplica"),0,'BOULEVARD 5'!S289-'BOULEVARD PPTO'!K284)</f>
        <v>0</v>
      </c>
      <c r="Q291" s="760">
        <f>IF(OR($A291="F&amp;F",$A291="CE",Q$7="No aplica"),0,'BOULEVARD 5'!T289-'BOULEVARD PPTO'!L284)</f>
        <v>0</v>
      </c>
      <c r="R291" s="760">
        <f>IF(OR($A291="F&amp;F",$A291="CE",R$7="No aplica"),0,'BOULEVARD 5'!U289-'BOULEVARD PPTO'!M284)</f>
        <v>0</v>
      </c>
      <c r="S291" s="760">
        <f>IF(OR($A291="F&amp;F",$A291="CE",S$7="No aplica"),0,'BOULEVARD 5'!V289-'BOULEVARD PPTO'!N284)</f>
        <v>0</v>
      </c>
      <c r="T291" s="760">
        <f>IF(OR($A291="F&amp;F",$A291="CE",T$7="No aplica"),0,'BOULEVARD 5'!W289-'BOULEVARD PPTO'!O284)</f>
        <v>0</v>
      </c>
      <c r="U291" s="760">
        <f>IF(OR($A291="F&amp;F",$A291="CE",U$7="No aplica"),0,'BOULEVARD 5'!X289-'BOULEVARD PPTO'!P284)</f>
        <v>0</v>
      </c>
      <c r="V291" s="760">
        <f>IF(OR($A291="F&amp;F",$A291="CE",V$7="No aplica"),0,'BOULEVARD 5'!Y289-'BOULEVARD PPTO'!Q284)</f>
        <v>0</v>
      </c>
      <c r="W291" s="760">
        <f>IF(OR($A291="F&amp;F",$A291="CE",W$7="No aplica"),0,'BOULEVARD 5'!Z289-'BOULEVARD PPTO'!R284)</f>
        <v>0</v>
      </c>
      <c r="X291" s="760">
        <f>IF(OR($A291="F&amp;F",$A291="CE",X$7="No aplica"),0,'BOULEVARD 5'!AA289-'BOULEVARD PPTO'!S284)</f>
        <v>0</v>
      </c>
      <c r="Y291" s="760">
        <f>IF(OR($A291="F&amp;F",$A291="CE",Y$7="No aplica"),0,'BOULEVARD 5'!AB289-'BOULEVARD PPTO'!T284)</f>
        <v>0</v>
      </c>
      <c r="Z291" s="760">
        <f>IF(OR($A291="F&amp;F",$A291="CE",Z$7="No aplica"),0,'BOULEVARD 5'!AC289-'BOULEVARD PPTO'!U284)</f>
        <v>0</v>
      </c>
      <c r="AA291" s="760">
        <f>IF(OR($A291="F&amp;F",$A291="CE",AA$7="No aplica"),0,'BOULEVARD 5'!AD289-'BOULEVARD PPTO'!V284)</f>
        <v>0</v>
      </c>
      <c r="AB291" s="760">
        <f>IF(OR($A291="F&amp;F",$A291="CE",AB$7="No aplica"),0,'BOULEVARD 5'!AE289-'BOULEVARD PPTO'!W284)</f>
        <v>0</v>
      </c>
      <c r="AC291" s="760">
        <f>IF(OR($A291="F&amp;F",$A291="CE",AC$7="No aplica"),0,'BOULEVARD 5'!AF289-'BOULEVARD PPTO'!X284)</f>
        <v>0</v>
      </c>
      <c r="AD291" s="760">
        <f>IF(OR($A291="F&amp;F",$A291="CE",AD$7="No aplica"),0,'BOULEVARD 5'!AG289-'BOULEVARD PPTO'!Y284)</f>
        <v>0</v>
      </c>
      <c r="AE291" s="760">
        <f>IF(OR($A291="F&amp;F",$A291="CE",AE$7="No aplica"),0,'BOULEVARD 5'!AH289-'BOULEVARD PPTO'!Z284)</f>
        <v>0</v>
      </c>
      <c r="AF291" s="760">
        <f>IF(OR($A291="F&amp;F",$A291="CE",AF$7="No aplica"),0,'BOULEVARD 5'!AI289-'BOULEVARD PPTO'!AA284)</f>
        <v>0</v>
      </c>
      <c r="AG291" s="760">
        <f>IF(OR($A291="F&amp;F",$A291="CE",AG$7="No aplica"),0,'BOULEVARD 5'!AJ289-'BOULEVARD PPTO'!AB284)</f>
        <v>0</v>
      </c>
      <c r="AH291" s="760">
        <f>IF(OR($A291="F&amp;F",$A291="CE",AH$7="No aplica"),0,'BOULEVARD 5'!AK289-'BOULEVARD PPTO'!AC284)</f>
        <v>0</v>
      </c>
      <c r="AI291" s="760">
        <f>IF(OR($A291="F&amp;F",$A291="CE",AI$7="No aplica"),0,'BOULEVARD 5'!AL289-'BOULEVARD PPTO'!AD284)</f>
        <v>0</v>
      </c>
      <c r="AJ291" s="760">
        <f>IF(OR($A291="F&amp;F",$A291="CE",AJ$7="No aplica"),0,'BOULEVARD 5'!AM289-'BOULEVARD PPTO'!AE284)</f>
        <v>0</v>
      </c>
      <c r="AK291" s="760">
        <f>IF(OR($A291="F&amp;F",$A291="CE",AK$7="No aplica"),0,'BOULEVARD 5'!AN289-'BOULEVARD PPTO'!AF284)</f>
        <v>0</v>
      </c>
      <c r="AL291" s="760">
        <f>IF(OR($A291="F&amp;F",$A291="CE",AL$7="No aplica"),0,'BOULEVARD 5'!AO289-'BOULEVARD PPTO'!AG284)</f>
        <v>0</v>
      </c>
      <c r="AM291" s="760">
        <f>IF(OR($A291="F&amp;F",$A291="CE",AM$7="No aplica"),0,'BOULEVARD 5'!AP289-'BOULEVARD PPTO'!AH284)</f>
        <v>0</v>
      </c>
      <c r="AN291" s="760">
        <f>IF(OR($A291="F&amp;F",$A291="CE",AN$7="No aplica"),0,'BOULEVARD 5'!AQ289-'BOULEVARD PPTO'!AI284)</f>
        <v>0</v>
      </c>
      <c r="AO291" s="760">
        <f>IF(OR($A291="F&amp;F",$A291="CE",AO$7="No aplica"),0,'BOULEVARD 5'!AS289-'BOULEVARD PPTO'!AJ284)</f>
        <v>0</v>
      </c>
      <c r="AP291" s="761">
        <f t="shared" si="28"/>
        <v>0</v>
      </c>
      <c r="AQ291" s="761">
        <f t="shared" si="29"/>
        <v>0</v>
      </c>
      <c r="AR291" s="674">
        <f>IF(A291=0,'BOULEVARD 5'!BF289,0)</f>
        <v>0</v>
      </c>
      <c r="AS291" s="674">
        <f>IF(A291=0,'BOULEVARD 5'!BG289,0)</f>
        <v>0</v>
      </c>
      <c r="AT291" s="675" t="str">
        <f t="shared" si="27"/>
        <v>Vendido</v>
      </c>
      <c r="AU291" s="581" t="str">
        <f t="shared" ref="AU291:AU306" si="31">IF(AP291&gt;0,"A FAVOR DEL CLIENTE",IF(AP291&lt;0,"POR COBRAR",IF(AP291=0,"","N/A")))</f>
        <v/>
      </c>
      <c r="AV291" s="760">
        <f t="shared" si="30"/>
        <v>0</v>
      </c>
    </row>
    <row r="292" spans="1:48" s="581" customFormat="1" ht="12.4" customHeight="1" outlineLevel="1" x14ac:dyDescent="0.25">
      <c r="A292" s="703">
        <f>'BOULEVARD 5'!BQ290</f>
        <v>0</v>
      </c>
      <c r="B292" s="564">
        <v>1707</v>
      </c>
      <c r="C292" s="564" t="s">
        <v>534</v>
      </c>
      <c r="D292" s="564"/>
      <c r="E292" s="564" t="str">
        <f>IF('BOULEVARD 5'!E290&lt;&gt;0,'BOULEVARD 5'!E290,"")</f>
        <v>Ronaldo Ogaldez</v>
      </c>
      <c r="F292" s="581" t="str">
        <f>IF('BOULEVARD 5'!F290&lt;&gt;0,'BOULEVARD 5'!F290,"")</f>
        <v>Miguel Eduardo Yon Moll</v>
      </c>
      <c r="G292" s="566">
        <f>IF('BOULEVARD 5'!G290="","",'BOULEVARD 5'!G290)</f>
        <v>45721</v>
      </c>
      <c r="H292" s="756">
        <f>IF(OR($A292="F&amp;F",$A292="CE",H$7="No aplica"),0,'BOULEVARD 5'!K290-'BOULEVARD PPTO'!C285)</f>
        <v>0</v>
      </c>
      <c r="I292" s="756">
        <f>IF(OR($A292="F&amp;F",$A292="CE",I$7="No aplica"),0,'BOULEVARD 5'!L290-'BOULEVARD PPTO'!D285)</f>
        <v>0</v>
      </c>
      <c r="J292" s="756">
        <f>IF(OR($A292="F&amp;F",$A292="CE",J$7="No aplica"),0,'BOULEVARD 5'!M290-'BOULEVARD PPTO'!E285)</f>
        <v>0</v>
      </c>
      <c r="K292" s="756">
        <f>IF(OR($A292="F&amp;F",$A292="CE",K$7="No aplica"),0,'BOULEVARD 5'!N290-'BOULEVARD PPTO'!F285)</f>
        <v>0</v>
      </c>
      <c r="L292" s="756">
        <f>IF(OR($A292="F&amp;F",$A292="CE",L$7="No aplica"),0,'BOULEVARD 5'!O290-'BOULEVARD PPTO'!G285)</f>
        <v>0</v>
      </c>
      <c r="M292" s="756">
        <f>IF(OR($A292="F&amp;F",$A292="CE",M$7="No aplica"),0,'BOULEVARD 5'!P290-'BOULEVARD PPTO'!H285)</f>
        <v>0</v>
      </c>
      <c r="N292" s="756">
        <f>IF(OR($A292="F&amp;F",$A292="CE",N$7="No aplica"),0,'BOULEVARD 5'!Q290-'BOULEVARD PPTO'!I285)</f>
        <v>0</v>
      </c>
      <c r="O292" s="756">
        <f>IF(OR($A292="F&amp;F",$A292="CE",O$7="No aplica"),0,'BOULEVARD 5'!R290-'BOULEVARD PPTO'!J285)</f>
        <v>0</v>
      </c>
      <c r="P292" s="756">
        <f>IF(OR($A292="F&amp;F",$A292="CE",P$7="No aplica"),0,'BOULEVARD 5'!S290-'BOULEVARD PPTO'!K285)</f>
        <v>0</v>
      </c>
      <c r="Q292" s="760">
        <f>IF(OR($A292="F&amp;F",$A292="CE",Q$7="No aplica"),0,'BOULEVARD 5'!T290-'BOULEVARD PPTO'!L285)</f>
        <v>0</v>
      </c>
      <c r="R292" s="760">
        <f>IF(OR($A292="F&amp;F",$A292="CE",R$7="No aplica"),0,'BOULEVARD 5'!U290-'BOULEVARD PPTO'!M285)</f>
        <v>0</v>
      </c>
      <c r="S292" s="760">
        <f>IF(OR($A292="F&amp;F",$A292="CE",S$7="No aplica"),0,'BOULEVARD 5'!V290-'BOULEVARD PPTO'!N285)</f>
        <v>0</v>
      </c>
      <c r="T292" s="760">
        <f>IF(OR($A292="F&amp;F",$A292="CE",T$7="No aplica"),0,'BOULEVARD 5'!W290-'BOULEVARD PPTO'!O285)</f>
        <v>0</v>
      </c>
      <c r="U292" s="760">
        <f>IF(OR($A292="F&amp;F",$A292="CE",U$7="No aplica"),0,'BOULEVARD 5'!X290-'BOULEVARD PPTO'!P285)</f>
        <v>0</v>
      </c>
      <c r="V292" s="760">
        <f>IF(OR($A292="F&amp;F",$A292="CE",V$7="No aplica"),0,'BOULEVARD 5'!Y290-'BOULEVARD PPTO'!Q285)</f>
        <v>0</v>
      </c>
      <c r="W292" s="760">
        <f>IF(OR($A292="F&amp;F",$A292="CE",W$7="No aplica"),0,'BOULEVARD 5'!Z290-'BOULEVARD PPTO'!R285)</f>
        <v>0</v>
      </c>
      <c r="X292" s="760">
        <f>IF(OR($A292="F&amp;F",$A292="CE",X$7="No aplica"),0,'BOULEVARD 5'!AA290-'BOULEVARD PPTO'!S285)</f>
        <v>0</v>
      </c>
      <c r="Y292" s="760">
        <f>IF(OR($A292="F&amp;F",$A292="CE",Y$7="No aplica"),0,'BOULEVARD 5'!AB290-'BOULEVARD PPTO'!T285)</f>
        <v>0</v>
      </c>
      <c r="Z292" s="760">
        <f>IF(OR($A292="F&amp;F",$A292="CE",Z$7="No aplica"),0,'BOULEVARD 5'!AC290-'BOULEVARD PPTO'!U285)</f>
        <v>0</v>
      </c>
      <c r="AA292" s="760">
        <f>IF(OR($A292="F&amp;F",$A292="CE",AA$7="No aplica"),0,'BOULEVARD 5'!AD290-'BOULEVARD PPTO'!V285)</f>
        <v>0</v>
      </c>
      <c r="AB292" s="760">
        <f>IF(OR($A292="F&amp;F",$A292="CE",AB$7="No aplica"),0,'BOULEVARD 5'!AE290-'BOULEVARD PPTO'!W285)</f>
        <v>0</v>
      </c>
      <c r="AC292" s="760">
        <f>IF(OR($A292="F&amp;F",$A292="CE",AC$7="No aplica"),0,'BOULEVARD 5'!AF290-'BOULEVARD PPTO'!X285)</f>
        <v>0</v>
      </c>
      <c r="AD292" s="760">
        <f>IF(OR($A292="F&amp;F",$A292="CE",AD$7="No aplica"),0,'BOULEVARD 5'!AG290-'BOULEVARD PPTO'!Y285)</f>
        <v>0</v>
      </c>
      <c r="AE292" s="760">
        <f>IF(OR($A292="F&amp;F",$A292="CE",AE$7="No aplica"),0,'BOULEVARD 5'!AH290-'BOULEVARD PPTO'!Z285)</f>
        <v>0</v>
      </c>
      <c r="AF292" s="760">
        <f>IF(OR($A292="F&amp;F",$A292="CE",AF$7="No aplica"),0,'BOULEVARD 5'!AI290-'BOULEVARD PPTO'!AA285)</f>
        <v>0</v>
      </c>
      <c r="AG292" s="760">
        <f>IF(OR($A292="F&amp;F",$A292="CE",AG$7="No aplica"),0,'BOULEVARD 5'!AJ290-'BOULEVARD PPTO'!AB285)</f>
        <v>5050</v>
      </c>
      <c r="AH292" s="760">
        <f>IF(OR($A292="F&amp;F",$A292="CE",AH$7="No aplica"),0,'BOULEVARD 5'!AK290-'BOULEVARD PPTO'!AC285)</f>
        <v>-5050</v>
      </c>
      <c r="AI292" s="760">
        <f>IF(OR($A292="F&amp;F",$A292="CE",AI$7="No aplica"),0,'BOULEVARD 5'!AL290-'BOULEVARD PPTO'!AD285)</f>
        <v>0</v>
      </c>
      <c r="AJ292" s="760">
        <f>IF(OR($A292="F&amp;F",$A292="CE",AJ$7="No aplica"),0,'BOULEVARD 5'!AM290-'BOULEVARD PPTO'!AE285)</f>
        <v>-5050</v>
      </c>
      <c r="AK292" s="760">
        <f>IF(OR($A292="F&amp;F",$A292="CE",AK$7="No aplica"),0,'BOULEVARD 5'!AN290-'BOULEVARD PPTO'!AF285)</f>
        <v>5050</v>
      </c>
      <c r="AL292" s="760">
        <f>IF(OR($A292="F&amp;F",$A292="CE",AL$7="No aplica"),0,'BOULEVARD 5'!AO290-'BOULEVARD PPTO'!AG285)</f>
        <v>-5050</v>
      </c>
      <c r="AM292" s="760">
        <f>IF(OR($A292="F&amp;F",$A292="CE",AM$7="No aplica"),0,'BOULEVARD 5'!AP290-'BOULEVARD PPTO'!AH285)</f>
        <v>-5050</v>
      </c>
      <c r="AN292" s="760">
        <f>IF(OR($A292="F&amp;F",$A292="CE",AN$7="No aplica"),0,'BOULEVARD 5'!AQ290-'BOULEVARD PPTO'!AI285)</f>
        <v>0</v>
      </c>
      <c r="AO292" s="760">
        <f>IF(OR($A292="F&amp;F",$A292="CE",AO$7="No aplica"),0,'BOULEVARD 5'!AS290-'BOULEVARD PPTO'!AJ285)</f>
        <v>0</v>
      </c>
      <c r="AP292" s="761">
        <f t="shared" si="28"/>
        <v>-10100</v>
      </c>
      <c r="AQ292" s="761">
        <f t="shared" si="29"/>
        <v>-40400</v>
      </c>
      <c r="AR292" s="674">
        <f>IF(A292=0,'BOULEVARD 5'!BF290,0)</f>
        <v>10000</v>
      </c>
      <c r="AS292" s="674">
        <f>IF(A292=0,'BOULEVARD 5'!BG290,0)</f>
        <v>5050</v>
      </c>
      <c r="AT292" s="675" t="str">
        <f t="shared" si="27"/>
        <v>Vendido</v>
      </c>
      <c r="AU292" s="581" t="str">
        <f t="shared" si="31"/>
        <v>POR COBRAR</v>
      </c>
      <c r="AV292" s="760">
        <f t="shared" si="30"/>
        <v>0</v>
      </c>
    </row>
    <row r="293" spans="1:48" s="581" customFormat="1" ht="12.4" customHeight="1" outlineLevel="1" x14ac:dyDescent="0.25">
      <c r="A293" s="703">
        <f>'BOULEVARD 5'!BQ291</f>
        <v>0</v>
      </c>
      <c r="B293" s="564">
        <v>1708</v>
      </c>
      <c r="C293" s="564" t="s">
        <v>693</v>
      </c>
      <c r="D293" s="564"/>
      <c r="E293" s="564" t="str">
        <f>IF('BOULEVARD 5'!E291&lt;&gt;0,'BOULEVARD 5'!E291,"")</f>
        <v>Anahí Cisneros</v>
      </c>
      <c r="F293" s="581" t="str">
        <f>IF('BOULEVARD 5'!F291&lt;&gt;0,'BOULEVARD 5'!F291,"")</f>
        <v>Carlos Antonio Aguilar Velasquez</v>
      </c>
      <c r="G293" s="566">
        <f>IF('BOULEVARD 5'!G291="","",'BOULEVARD 5'!G291)</f>
        <v>45957</v>
      </c>
      <c r="H293" s="756">
        <f>IF(OR($A293="F&amp;F",$A293="CE",H$7="No aplica"),0,'BOULEVARD 5'!K291-'BOULEVARD PPTO'!C286)</f>
        <v>0</v>
      </c>
      <c r="I293" s="756">
        <f>IF(OR($A293="F&amp;F",$A293="CE",I$7="No aplica"),0,'BOULEVARD 5'!L291-'BOULEVARD PPTO'!D286)</f>
        <v>0</v>
      </c>
      <c r="J293" s="756">
        <f>IF(OR($A293="F&amp;F",$A293="CE",J$7="No aplica"),0,'BOULEVARD 5'!M291-'BOULEVARD PPTO'!E286)</f>
        <v>0</v>
      </c>
      <c r="K293" s="756">
        <f>IF(OR($A293="F&amp;F",$A293="CE",K$7="No aplica"),0,'BOULEVARD 5'!N291-'BOULEVARD PPTO'!F286)</f>
        <v>0</v>
      </c>
      <c r="L293" s="756">
        <f>IF(OR($A293="F&amp;F",$A293="CE",L$7="No aplica"),0,'BOULEVARD 5'!O291-'BOULEVARD PPTO'!G286)</f>
        <v>0</v>
      </c>
      <c r="M293" s="756">
        <f>IF(OR($A293="F&amp;F",$A293="CE",M$7="No aplica"),0,'BOULEVARD 5'!P291-'BOULEVARD PPTO'!H286)</f>
        <v>0</v>
      </c>
      <c r="N293" s="756">
        <f>IF(OR($A293="F&amp;F",$A293="CE",N$7="No aplica"),0,'BOULEVARD 5'!Q291-'BOULEVARD PPTO'!I286)</f>
        <v>0</v>
      </c>
      <c r="O293" s="756">
        <f>IF(OR($A293="F&amp;F",$A293="CE",O$7="No aplica"),0,'BOULEVARD 5'!R291-'BOULEVARD PPTO'!J286)</f>
        <v>0</v>
      </c>
      <c r="P293" s="756">
        <f>IF(OR($A293="F&amp;F",$A293="CE",P$7="No aplica"),0,'BOULEVARD 5'!S291-'BOULEVARD PPTO'!K286)</f>
        <v>0</v>
      </c>
      <c r="Q293" s="760">
        <f>IF(OR($A293="F&amp;F",$A293="CE",Q$7="No aplica"),0,'BOULEVARD 5'!T291-'BOULEVARD PPTO'!L286)</f>
        <v>0</v>
      </c>
      <c r="R293" s="760">
        <f>IF(OR($A293="F&amp;F",$A293="CE",R$7="No aplica"),0,'BOULEVARD 5'!U291-'BOULEVARD PPTO'!M286)</f>
        <v>0</v>
      </c>
      <c r="S293" s="760">
        <f>IF(OR($A293="F&amp;F",$A293="CE",S$7="No aplica"),0,'BOULEVARD 5'!V291-'BOULEVARD PPTO'!N286)</f>
        <v>0</v>
      </c>
      <c r="T293" s="760">
        <f>IF(OR($A293="F&amp;F",$A293="CE",T$7="No aplica"),0,'BOULEVARD 5'!W291-'BOULEVARD PPTO'!O286)</f>
        <v>0</v>
      </c>
      <c r="U293" s="760">
        <f>IF(OR($A293="F&amp;F",$A293="CE",U$7="No aplica"),0,'BOULEVARD 5'!X291-'BOULEVARD PPTO'!P286)</f>
        <v>0</v>
      </c>
      <c r="V293" s="760">
        <f>IF(OR($A293="F&amp;F",$A293="CE",V$7="No aplica"),0,'BOULEVARD 5'!Y291-'BOULEVARD PPTO'!Q286)</f>
        <v>0</v>
      </c>
      <c r="W293" s="760">
        <f>IF(OR($A293="F&amp;F",$A293="CE",W$7="No aplica"),0,'BOULEVARD 5'!Z291-'BOULEVARD PPTO'!R286)</f>
        <v>0</v>
      </c>
      <c r="X293" s="760">
        <f>IF(OR($A293="F&amp;F",$A293="CE",X$7="No aplica"),0,'BOULEVARD 5'!AA291-'BOULEVARD PPTO'!S286)</f>
        <v>0</v>
      </c>
      <c r="Y293" s="760">
        <f>IF(OR($A293="F&amp;F",$A293="CE",Y$7="No aplica"),0,'BOULEVARD 5'!AB291-'BOULEVARD PPTO'!T286)</f>
        <v>0</v>
      </c>
      <c r="Z293" s="760">
        <f>IF(OR($A293="F&amp;F",$A293="CE",Z$7="No aplica"),0,'BOULEVARD 5'!AC291-'BOULEVARD PPTO'!U286)</f>
        <v>0</v>
      </c>
      <c r="AA293" s="760">
        <f>IF(OR($A293="F&amp;F",$A293="CE",AA$7="No aplica"),0,'BOULEVARD 5'!AD291-'BOULEVARD PPTO'!V286)</f>
        <v>0</v>
      </c>
      <c r="AB293" s="760">
        <f>IF(OR($A293="F&amp;F",$A293="CE",AB$7="No aplica"),0,'BOULEVARD 5'!AE291-'BOULEVARD PPTO'!W286)</f>
        <v>0</v>
      </c>
      <c r="AC293" s="760">
        <f>IF(OR($A293="F&amp;F",$A293="CE",AC$7="No aplica"),0,'BOULEVARD 5'!AF291-'BOULEVARD PPTO'!X286)</f>
        <v>0</v>
      </c>
      <c r="AD293" s="760">
        <f>IF(OR($A293="F&amp;F",$A293="CE",AD$7="No aplica"),0,'BOULEVARD 5'!AG291-'BOULEVARD PPTO'!Y286)</f>
        <v>0</v>
      </c>
      <c r="AE293" s="760">
        <f>IF(OR($A293="F&amp;F",$A293="CE",AE$7="No aplica"),0,'BOULEVARD 5'!AH291-'BOULEVARD PPTO'!Z286)</f>
        <v>0</v>
      </c>
      <c r="AF293" s="760">
        <f>IF(OR($A293="F&amp;F",$A293="CE",AF$7="No aplica"),0,'BOULEVARD 5'!AI291-'BOULEVARD PPTO'!AA286)</f>
        <v>0</v>
      </c>
      <c r="AG293" s="760">
        <f>IF(OR($A293="F&amp;F",$A293="CE",AG$7="No aplica"),0,'BOULEVARD 5'!AJ291-'BOULEVARD PPTO'!AB286)</f>
        <v>0</v>
      </c>
      <c r="AH293" s="760">
        <f>IF(OR($A293="F&amp;F",$A293="CE",AH$7="No aplica"),0,'BOULEVARD 5'!AK291-'BOULEVARD PPTO'!AC286)</f>
        <v>0</v>
      </c>
      <c r="AI293" s="760">
        <f>IF(OR($A293="F&amp;F",$A293="CE",AI$7="No aplica"),0,'BOULEVARD 5'!AL291-'BOULEVARD PPTO'!AD286)</f>
        <v>0</v>
      </c>
      <c r="AJ293" s="760">
        <f>IF(OR($A293="F&amp;F",$A293="CE",AJ$7="No aplica"),0,'BOULEVARD 5'!AM291-'BOULEVARD PPTO'!AE286)</f>
        <v>0</v>
      </c>
      <c r="AK293" s="760">
        <f>IF(OR($A293="F&amp;F",$A293="CE",AK$7="No aplica"),0,'BOULEVARD 5'!AN291-'BOULEVARD PPTO'!AF286)</f>
        <v>0</v>
      </c>
      <c r="AL293" s="760">
        <f>IF(OR($A293="F&amp;F",$A293="CE",AL$7="No aplica"),0,'BOULEVARD 5'!AO291-'BOULEVARD PPTO'!AG286)</f>
        <v>0</v>
      </c>
      <c r="AM293" s="760">
        <f>IF(OR($A293="F&amp;F",$A293="CE",AM$7="No aplica"),0,'BOULEVARD 5'!AP291-'BOULEVARD PPTO'!AH286)</f>
        <v>0</v>
      </c>
      <c r="AN293" s="760">
        <f>IF(OR($A293="F&amp;F",$A293="CE",AN$7="No aplica"),0,'BOULEVARD 5'!AQ291-'BOULEVARD PPTO'!AI286)</f>
        <v>0</v>
      </c>
      <c r="AO293" s="760">
        <f>IF(OR($A293="F&amp;F",$A293="CE",AO$7="No aplica"),0,'BOULEVARD 5'!AS291-'BOULEVARD PPTO'!AJ286)</f>
        <v>0</v>
      </c>
      <c r="AP293" s="761">
        <f t="shared" si="28"/>
        <v>0</v>
      </c>
      <c r="AQ293" s="761">
        <f t="shared" si="29"/>
        <v>-65200</v>
      </c>
      <c r="AR293" s="674">
        <f>IF(A293=0,'BOULEVARD 5'!BF291,0)</f>
        <v>10000</v>
      </c>
      <c r="AS293" s="674">
        <f>IF(A293=0,'BOULEVARD 5'!BG291,0)</f>
        <v>14200</v>
      </c>
      <c r="AT293" s="675" t="str">
        <f t="shared" si="27"/>
        <v>Vendido</v>
      </c>
      <c r="AU293" s="581" t="str">
        <f t="shared" si="31"/>
        <v/>
      </c>
      <c r="AV293" s="760">
        <f t="shared" si="30"/>
        <v>0</v>
      </c>
    </row>
    <row r="294" spans="1:48" s="581" customFormat="1" ht="12.4" customHeight="1" outlineLevel="1" x14ac:dyDescent="0.25">
      <c r="A294" s="703" t="str">
        <f>'BOULEVARD 5'!BQ292</f>
        <v>F&amp;F</v>
      </c>
      <c r="B294" s="704">
        <v>1801</v>
      </c>
      <c r="C294" s="704" t="s">
        <v>695</v>
      </c>
      <c r="D294" s="704"/>
      <c r="E294" s="704" t="str">
        <f>IF('BOULEVARD 5'!E292&lt;&gt;0,'BOULEVARD 5'!E292,"")</f>
        <v>Jose Franco</v>
      </c>
      <c r="F294" s="705" t="str">
        <f>IF('BOULEVARD 5'!F292&lt;&gt;0,'BOULEVARD 5'!F292,"")</f>
        <v>Luis Arimany Monzón</v>
      </c>
      <c r="G294" s="566">
        <f>IF('BOULEVARD 5'!G292="","",'BOULEVARD 5'!G292)</f>
        <v>45012</v>
      </c>
      <c r="H294" s="756">
        <f>IF(OR($A294="F&amp;F",$A294="CE",H$7="No aplica"),0,'BOULEVARD 5'!K292-'BOULEVARD PPTO'!C287)</f>
        <v>0</v>
      </c>
      <c r="I294" s="756">
        <f>IF(OR($A294="F&amp;F",$A294="CE",I$7="No aplica"),0,'BOULEVARD 5'!L292-'BOULEVARD PPTO'!D287)</f>
        <v>0</v>
      </c>
      <c r="J294" s="756">
        <f>IF(OR($A294="F&amp;F",$A294="CE",J$7="No aplica"),0,'BOULEVARD 5'!M292-'BOULEVARD PPTO'!E287)</f>
        <v>0</v>
      </c>
      <c r="K294" s="756">
        <f>IF(OR($A294="F&amp;F",$A294="CE",K$7="No aplica"),0,'BOULEVARD 5'!N292-'BOULEVARD PPTO'!F287)</f>
        <v>0</v>
      </c>
      <c r="L294" s="756">
        <f>IF(OR($A294="F&amp;F",$A294="CE",L$7="No aplica"),0,'BOULEVARD 5'!O292-'BOULEVARD PPTO'!G287)</f>
        <v>0</v>
      </c>
      <c r="M294" s="756">
        <f>IF(OR($A294="F&amp;F",$A294="CE",M$7="No aplica"),0,'BOULEVARD 5'!P292-'BOULEVARD PPTO'!H287)</f>
        <v>0</v>
      </c>
      <c r="N294" s="756">
        <f>IF(OR($A294="F&amp;F",$A294="CE",N$7="No aplica"),0,'BOULEVARD 5'!Q292-'BOULEVARD PPTO'!I287)</f>
        <v>0</v>
      </c>
      <c r="O294" s="756">
        <f>IF(OR($A294="F&amp;F",$A294="CE",O$7="No aplica"),0,'BOULEVARD 5'!R292-'BOULEVARD PPTO'!J287)</f>
        <v>0</v>
      </c>
      <c r="P294" s="756">
        <f>IF(OR($A294="F&amp;F",$A294="CE",P$7="No aplica"),0,'BOULEVARD 5'!S292-'BOULEVARD PPTO'!K287)</f>
        <v>0</v>
      </c>
      <c r="Q294" s="760">
        <f>IF(OR($A294="F&amp;F",$A294="CE",Q$7="No aplica"),0,'BOULEVARD 5'!T292-'BOULEVARD PPTO'!L287)</f>
        <v>0</v>
      </c>
      <c r="R294" s="760">
        <f>IF(OR($A294="F&amp;F",$A294="CE",R$7="No aplica"),0,'BOULEVARD 5'!U292-'BOULEVARD PPTO'!M287)</f>
        <v>0</v>
      </c>
      <c r="S294" s="760">
        <f>IF(OR($A294="F&amp;F",$A294="CE",S$7="No aplica"),0,'BOULEVARD 5'!V292-'BOULEVARD PPTO'!N287)</f>
        <v>0</v>
      </c>
      <c r="T294" s="760">
        <f>IF(OR($A294="F&amp;F",$A294="CE",T$7="No aplica"),0,'BOULEVARD 5'!W292-'BOULEVARD PPTO'!O287)</f>
        <v>0</v>
      </c>
      <c r="U294" s="760">
        <f>IF(OR($A294="F&amp;F",$A294="CE",U$7="No aplica"),0,'BOULEVARD 5'!X292-'BOULEVARD PPTO'!P287)</f>
        <v>0</v>
      </c>
      <c r="V294" s="760">
        <f>IF(OR($A294="F&amp;F",$A294="CE",V$7="No aplica"),0,'BOULEVARD 5'!Y292-'BOULEVARD PPTO'!Q287)</f>
        <v>0</v>
      </c>
      <c r="W294" s="760">
        <f>IF(OR($A294="F&amp;F",$A294="CE",W$7="No aplica"),0,'BOULEVARD 5'!Z292-'BOULEVARD PPTO'!R287)</f>
        <v>0</v>
      </c>
      <c r="X294" s="760">
        <f>IF(OR($A294="F&amp;F",$A294="CE",X$7="No aplica"),0,'BOULEVARD 5'!AA292-'BOULEVARD PPTO'!S287)</f>
        <v>0</v>
      </c>
      <c r="Y294" s="760">
        <f>IF(OR($A294="F&amp;F",$A294="CE",Y$7="No aplica"),0,'BOULEVARD 5'!AB292-'BOULEVARD PPTO'!T287)</f>
        <v>0</v>
      </c>
      <c r="Z294" s="760">
        <f>IF(OR($A294="F&amp;F",$A294="CE",Z$7="No aplica"),0,'BOULEVARD 5'!AC292-'BOULEVARD PPTO'!U287)</f>
        <v>0</v>
      </c>
      <c r="AA294" s="760">
        <f>IF(OR($A294="F&amp;F",$A294="CE",AA$7="No aplica"),0,'BOULEVARD 5'!AD292-'BOULEVARD PPTO'!V287)</f>
        <v>0</v>
      </c>
      <c r="AB294" s="760">
        <f>IF(OR($A294="F&amp;F",$A294="CE",AB$7="No aplica"),0,'BOULEVARD 5'!AE292-'BOULEVARD PPTO'!W287)</f>
        <v>0</v>
      </c>
      <c r="AC294" s="760">
        <f>IF(OR($A294="F&amp;F",$A294="CE",AC$7="No aplica"),0,'BOULEVARD 5'!AF292-'BOULEVARD PPTO'!X287)</f>
        <v>0</v>
      </c>
      <c r="AD294" s="760">
        <f>IF(OR($A294="F&amp;F",$A294="CE",AD$7="No aplica"),0,'BOULEVARD 5'!AG292-'BOULEVARD PPTO'!Y287)</f>
        <v>0</v>
      </c>
      <c r="AE294" s="760">
        <f>IF(OR($A294="F&amp;F",$A294="CE",AE$7="No aplica"),0,'BOULEVARD 5'!AH292-'BOULEVARD PPTO'!Z287)</f>
        <v>0</v>
      </c>
      <c r="AF294" s="760">
        <f>IF(OR($A294="F&amp;F",$A294="CE",AF$7="No aplica"),0,'BOULEVARD 5'!AI292-'BOULEVARD PPTO'!AA287)</f>
        <v>0</v>
      </c>
      <c r="AG294" s="760">
        <f>IF(OR($A294="F&amp;F",$A294="CE",AG$7="No aplica"),0,'BOULEVARD 5'!AJ292-'BOULEVARD PPTO'!AB287)</f>
        <v>0</v>
      </c>
      <c r="AH294" s="760">
        <f>IF(OR($A294="F&amp;F",$A294="CE",AH$7="No aplica"),0,'BOULEVARD 5'!AK292-'BOULEVARD PPTO'!AC287)</f>
        <v>0</v>
      </c>
      <c r="AI294" s="760">
        <f>IF(OR($A294="F&amp;F",$A294="CE",AI$7="No aplica"),0,'BOULEVARD 5'!AL292-'BOULEVARD PPTO'!AD287)</f>
        <v>0</v>
      </c>
      <c r="AJ294" s="760">
        <f>IF(OR($A294="F&amp;F",$A294="CE",AJ$7="No aplica"),0,'BOULEVARD 5'!AM292-'BOULEVARD PPTO'!AE287)</f>
        <v>0</v>
      </c>
      <c r="AK294" s="760">
        <f>IF(OR($A294="F&amp;F",$A294="CE",AK$7="No aplica"),0,'BOULEVARD 5'!AN292-'BOULEVARD PPTO'!AF287)</f>
        <v>0</v>
      </c>
      <c r="AL294" s="760">
        <f>IF(OR($A294="F&amp;F",$A294="CE",AL$7="No aplica"),0,'BOULEVARD 5'!AO292-'BOULEVARD PPTO'!AG287)</f>
        <v>0</v>
      </c>
      <c r="AM294" s="760">
        <f>IF(OR($A294="F&amp;F",$A294="CE",AM$7="No aplica"),0,'BOULEVARD 5'!AP292-'BOULEVARD PPTO'!AH287)</f>
        <v>0</v>
      </c>
      <c r="AN294" s="760">
        <f>IF(OR($A294="F&amp;F",$A294="CE",AN$7="No aplica"),0,'BOULEVARD 5'!AQ292-'BOULEVARD PPTO'!AI287)</f>
        <v>0</v>
      </c>
      <c r="AO294" s="760">
        <f>IF(OR($A294="F&amp;F",$A294="CE",AO$7="No aplica"),0,'BOULEVARD 5'!AS292-'BOULEVARD PPTO'!AJ287)</f>
        <v>0</v>
      </c>
      <c r="AP294" s="761">
        <f t="shared" si="28"/>
        <v>0</v>
      </c>
      <c r="AQ294" s="761">
        <f t="shared" si="29"/>
        <v>0</v>
      </c>
      <c r="AR294" s="674">
        <f>IF(A294=0,'BOULEVARD 5'!BF292,0)</f>
        <v>0</v>
      </c>
      <c r="AS294" s="674">
        <f>IF(A294=0,'BOULEVARD 5'!BG292,0)</f>
        <v>0</v>
      </c>
      <c r="AT294" s="675" t="str">
        <f t="shared" si="27"/>
        <v>Vendido</v>
      </c>
      <c r="AU294" s="581" t="str">
        <f t="shared" si="31"/>
        <v/>
      </c>
      <c r="AV294" s="760">
        <f t="shared" si="30"/>
        <v>0</v>
      </c>
    </row>
    <row r="295" spans="1:48" s="581" customFormat="1" ht="12.4" customHeight="1" outlineLevel="1" x14ac:dyDescent="0.25">
      <c r="A295" s="703">
        <f>'BOULEVARD 5'!BQ293</f>
        <v>0</v>
      </c>
      <c r="B295" s="564">
        <v>1802</v>
      </c>
      <c r="C295" s="564" t="s">
        <v>565</v>
      </c>
      <c r="D295" s="564"/>
      <c r="E295" s="564" t="str">
        <f>IF('BOULEVARD 5'!E293&lt;&gt;0,'BOULEVARD 5'!E293,"")</f>
        <v>Antonio Rada</v>
      </c>
      <c r="F295" s="581" t="str">
        <f>IF('BOULEVARD 5'!F293&lt;&gt;0,'BOULEVARD 5'!F293,"")</f>
        <v>Fredy Rene Velasquez Quevedo</v>
      </c>
      <c r="G295" s="566">
        <f>IF('BOULEVARD 5'!G293="","",'BOULEVARD 5'!G293)</f>
        <v>45064</v>
      </c>
      <c r="H295" s="756">
        <f>IF(OR($A295="F&amp;F",$A295="CE",H$7="No aplica"),0,'BOULEVARD 5'!K293-'BOULEVARD PPTO'!C288)</f>
        <v>-6000</v>
      </c>
      <c r="I295" s="756">
        <f>IF(OR($A295="F&amp;F",$A295="CE",I$7="No aplica"),0,'BOULEVARD 5'!L293-'BOULEVARD PPTO'!D288)</f>
        <v>0</v>
      </c>
      <c r="J295" s="756">
        <f>IF(OR($A295="F&amp;F",$A295="CE",J$7="No aplica"),0,'BOULEVARD 5'!M293-'BOULEVARD PPTO'!E288)</f>
        <v>6000</v>
      </c>
      <c r="K295" s="756">
        <f>IF(OR($A295="F&amp;F",$A295="CE",K$7="No aplica"),0,'BOULEVARD 5'!N293-'BOULEVARD PPTO'!F288)</f>
        <v>0</v>
      </c>
      <c r="L295" s="756">
        <f>IF(OR($A295="F&amp;F",$A295="CE",L$7="No aplica"),0,'BOULEVARD 5'!O293-'BOULEVARD PPTO'!G288)</f>
        <v>0</v>
      </c>
      <c r="M295" s="756">
        <f>IF(OR($A295="F&amp;F",$A295="CE",M$7="No aplica"),0,'BOULEVARD 5'!P293-'BOULEVARD PPTO'!H288)</f>
        <v>0</v>
      </c>
      <c r="N295" s="756">
        <f>IF(OR($A295="F&amp;F",$A295="CE",N$7="No aplica"),0,'BOULEVARD 5'!Q293-'BOULEVARD PPTO'!I288)</f>
        <v>0</v>
      </c>
      <c r="O295" s="756">
        <f>IF(OR($A295="F&amp;F",$A295="CE",O$7="No aplica"),0,'BOULEVARD 5'!R293-'BOULEVARD PPTO'!J288)</f>
        <v>0</v>
      </c>
      <c r="P295" s="756">
        <f>IF(OR($A295="F&amp;F",$A295="CE",P$7="No aplica"),0,'BOULEVARD 5'!S293-'BOULEVARD PPTO'!K288)</f>
        <v>0</v>
      </c>
      <c r="Q295" s="760">
        <f>IF(OR($A295="F&amp;F",$A295="CE",Q$7="No aplica"),0,'BOULEVARD 5'!T293-'BOULEVARD PPTO'!L288)</f>
        <v>0</v>
      </c>
      <c r="R295" s="760">
        <f>IF(OR($A295="F&amp;F",$A295="CE",R$7="No aplica"),0,'BOULEVARD 5'!U293-'BOULEVARD PPTO'!M288)</f>
        <v>0</v>
      </c>
      <c r="S295" s="760">
        <f>IF(OR($A295="F&amp;F",$A295="CE",S$7="No aplica"),0,'BOULEVARD 5'!V293-'BOULEVARD PPTO'!N288)</f>
        <v>0</v>
      </c>
      <c r="T295" s="760">
        <f>IF(OR($A295="F&amp;F",$A295="CE",T$7="No aplica"),0,'BOULEVARD 5'!W293-'BOULEVARD PPTO'!O288)</f>
        <v>0</v>
      </c>
      <c r="U295" s="760">
        <f>IF(OR($A295="F&amp;F",$A295="CE",U$7="No aplica"),0,'BOULEVARD 5'!X293-'BOULEVARD PPTO'!P288)</f>
        <v>0</v>
      </c>
      <c r="V295" s="760">
        <f>IF(OR($A295="F&amp;F",$A295="CE",V$7="No aplica"),0,'BOULEVARD 5'!Y293-'BOULEVARD PPTO'!Q288)</f>
        <v>0</v>
      </c>
      <c r="W295" s="760">
        <f>IF(OR($A295="F&amp;F",$A295="CE",W$7="No aplica"),0,'BOULEVARD 5'!Z293-'BOULEVARD PPTO'!R288)</f>
        <v>0</v>
      </c>
      <c r="X295" s="760">
        <f>IF(OR($A295="F&amp;F",$A295="CE",X$7="No aplica"),0,'BOULEVARD 5'!AA293-'BOULEVARD PPTO'!S288)</f>
        <v>0</v>
      </c>
      <c r="Y295" s="760">
        <f>IF(OR($A295="F&amp;F",$A295="CE",Y$7="No aplica"),0,'BOULEVARD 5'!AB293-'BOULEVARD PPTO'!T288)</f>
        <v>0</v>
      </c>
      <c r="Z295" s="760">
        <f>IF(OR($A295="F&amp;F",$A295="CE",Z$7="No aplica"),0,'BOULEVARD 5'!AC293-'BOULEVARD PPTO'!U288)</f>
        <v>0</v>
      </c>
      <c r="AA295" s="760">
        <f>IF(OR($A295="F&amp;F",$A295="CE",AA$7="No aplica"),0,'BOULEVARD 5'!AD293-'BOULEVARD PPTO'!V288)</f>
        <v>0</v>
      </c>
      <c r="AB295" s="760">
        <f>IF(OR($A295="F&amp;F",$A295="CE",AB$7="No aplica"),0,'BOULEVARD 5'!AE293-'BOULEVARD PPTO'!W288)</f>
        <v>0</v>
      </c>
      <c r="AC295" s="760">
        <f>IF(OR($A295="F&amp;F",$A295="CE",AC$7="No aplica"),0,'BOULEVARD 5'!AF293-'BOULEVARD PPTO'!X288)</f>
        <v>0</v>
      </c>
      <c r="AD295" s="760">
        <f>IF(OR($A295="F&amp;F",$A295="CE",AD$7="No aplica"),0,'BOULEVARD 5'!AG293-'BOULEVARD PPTO'!Y288)</f>
        <v>0</v>
      </c>
      <c r="AE295" s="760">
        <f>IF(OR($A295="F&amp;F",$A295="CE",AE$7="No aplica"),0,'BOULEVARD 5'!AH293-'BOULEVARD PPTO'!Z288)</f>
        <v>0</v>
      </c>
      <c r="AF295" s="760">
        <f>IF(OR($A295="F&amp;F",$A295="CE",AF$7="No aplica"),0,'BOULEVARD 5'!AI293-'BOULEVARD PPTO'!AA288)</f>
        <v>0</v>
      </c>
      <c r="AG295" s="760">
        <f>IF(OR($A295="F&amp;F",$A295="CE",AG$7="No aplica"),0,'BOULEVARD 5'!AJ293-'BOULEVARD PPTO'!AB288)</f>
        <v>0</v>
      </c>
      <c r="AH295" s="760">
        <f>IF(OR($A295="F&amp;F",$A295="CE",AH$7="No aplica"),0,'BOULEVARD 5'!AK293-'BOULEVARD PPTO'!AC288)</f>
        <v>0</v>
      </c>
      <c r="AI295" s="760">
        <f>IF(OR($A295="F&amp;F",$A295="CE",AI$7="No aplica"),0,'BOULEVARD 5'!AL293-'BOULEVARD PPTO'!AD288)</f>
        <v>0</v>
      </c>
      <c r="AJ295" s="760">
        <f>IF(OR($A295="F&amp;F",$A295="CE",AJ$7="No aplica"),0,'BOULEVARD 5'!AM293-'BOULEVARD PPTO'!AE288)</f>
        <v>0</v>
      </c>
      <c r="AK295" s="760">
        <f>IF(OR($A295="F&amp;F",$A295="CE",AK$7="No aplica"),0,'BOULEVARD 5'!AN293-'BOULEVARD PPTO'!AF288)</f>
        <v>0</v>
      </c>
      <c r="AL295" s="760">
        <f>IF(OR($A295="F&amp;F",$A295="CE",AL$7="No aplica"),0,'BOULEVARD 5'!AO293-'BOULEVARD PPTO'!AG288)</f>
        <v>4</v>
      </c>
      <c r="AM295" s="760">
        <f>IF(OR($A295="F&amp;F",$A295="CE",AM$7="No aplica"),0,'BOULEVARD 5'!AP293-'BOULEVARD PPTO'!AH288)</f>
        <v>0</v>
      </c>
      <c r="AN295" s="760">
        <f>IF(OR($A295="F&amp;F",$A295="CE",AN$7="No aplica"),0,'BOULEVARD 5'!AQ293-'BOULEVARD PPTO'!AI288)</f>
        <v>0</v>
      </c>
      <c r="AO295" s="760">
        <f>IF(OR($A295="F&amp;F",$A295="CE",AO$7="No aplica"),0,'BOULEVARD 5'!#REF!-'BOULEVARD PPTO'!AJ288)</f>
        <v>0</v>
      </c>
      <c r="AP295" s="761">
        <f t="shared" si="28"/>
        <v>4</v>
      </c>
      <c r="AQ295" s="761">
        <f t="shared" si="29"/>
        <v>300004</v>
      </c>
      <c r="AR295" s="674">
        <f>IF(A295=0,'BOULEVARD 5'!BF293,0)</f>
        <v>6000</v>
      </c>
      <c r="AS295" s="674">
        <f>IF(A295=0,'BOULEVARD 5'!BG293,0)</f>
        <v>2818</v>
      </c>
      <c r="AT295" s="675" t="str">
        <f t="shared" si="27"/>
        <v>Vendido</v>
      </c>
      <c r="AU295" s="581" t="str">
        <f t="shared" si="31"/>
        <v>A FAVOR DEL CLIENTE</v>
      </c>
      <c r="AV295" s="760">
        <f t="shared" si="30"/>
        <v>0</v>
      </c>
    </row>
    <row r="296" spans="1:48" s="581" customFormat="1" ht="12.4" customHeight="1" outlineLevel="1" x14ac:dyDescent="0.25">
      <c r="A296" s="703">
        <f>'BOULEVARD 5'!BQ294</f>
        <v>0</v>
      </c>
      <c r="B296" s="564">
        <v>1803</v>
      </c>
      <c r="C296" s="564" t="s">
        <v>686</v>
      </c>
      <c r="D296" s="564"/>
      <c r="E296" s="564" t="str">
        <f>IF('BOULEVARD 5'!E294&lt;&gt;0,'BOULEVARD 5'!E294,"")</f>
        <v>Anahi Cisneros</v>
      </c>
      <c r="F296" s="581" t="str">
        <f>IF('BOULEVARD 5'!F294&lt;&gt;0,'BOULEVARD 5'!F294,"")</f>
        <v>Rivabella S.A.</v>
      </c>
      <c r="G296" s="566">
        <f>IF('BOULEVARD 5'!G294="","",'BOULEVARD 5'!G294)</f>
        <v>45976</v>
      </c>
      <c r="H296" s="756">
        <f>IF(OR($A296="F&amp;F",$A296="CE",H$7="No aplica"),0,'BOULEVARD 5'!K294-'BOULEVARD PPTO'!C289)</f>
        <v>0</v>
      </c>
      <c r="I296" s="756">
        <f>IF(OR($A296="F&amp;F",$A296="CE",I$7="No aplica"),0,'BOULEVARD 5'!L294-'BOULEVARD PPTO'!D289)</f>
        <v>0</v>
      </c>
      <c r="J296" s="756">
        <f>IF(OR($A296="F&amp;F",$A296="CE",J$7="No aplica"),0,'BOULEVARD 5'!M294-'BOULEVARD PPTO'!E289)</f>
        <v>0</v>
      </c>
      <c r="K296" s="756">
        <f>IF(OR($A296="F&amp;F",$A296="CE",K$7="No aplica"),0,'BOULEVARD 5'!N294-'BOULEVARD PPTO'!F289)</f>
        <v>0</v>
      </c>
      <c r="L296" s="756">
        <f>IF(OR($A296="F&amp;F",$A296="CE",L$7="No aplica"),0,'BOULEVARD 5'!O294-'BOULEVARD PPTO'!G289)</f>
        <v>0</v>
      </c>
      <c r="M296" s="756">
        <f>IF(OR($A296="F&amp;F",$A296="CE",M$7="No aplica"),0,'BOULEVARD 5'!P294-'BOULEVARD PPTO'!H289)</f>
        <v>0</v>
      </c>
      <c r="N296" s="756">
        <f>IF(OR($A296="F&amp;F",$A296="CE",N$7="No aplica"),0,'BOULEVARD 5'!Q294-'BOULEVARD PPTO'!I289)</f>
        <v>0</v>
      </c>
      <c r="O296" s="756">
        <f>IF(OR($A296="F&amp;F",$A296="CE",O$7="No aplica"),0,'BOULEVARD 5'!R294-'BOULEVARD PPTO'!J289)</f>
        <v>0</v>
      </c>
      <c r="P296" s="756">
        <f>IF(OR($A296="F&amp;F",$A296="CE",P$7="No aplica"),0,'BOULEVARD 5'!S294-'BOULEVARD PPTO'!K289)</f>
        <v>0</v>
      </c>
      <c r="Q296" s="760">
        <f>IF(OR($A296="F&amp;F",$A296="CE",Q$7="No aplica"),0,'BOULEVARD 5'!T294-'BOULEVARD PPTO'!L289)</f>
        <v>0</v>
      </c>
      <c r="R296" s="760">
        <f>IF(OR($A296="F&amp;F",$A296="CE",R$7="No aplica"),0,'BOULEVARD 5'!U294-'BOULEVARD PPTO'!M289)</f>
        <v>0</v>
      </c>
      <c r="S296" s="760">
        <f>IF(OR($A296="F&amp;F",$A296="CE",S$7="No aplica"),0,'BOULEVARD 5'!V294-'BOULEVARD PPTO'!N289)</f>
        <v>0</v>
      </c>
      <c r="T296" s="760">
        <f>IF(OR($A296="F&amp;F",$A296="CE",T$7="No aplica"),0,'BOULEVARD 5'!W294-'BOULEVARD PPTO'!O289)</f>
        <v>0</v>
      </c>
      <c r="U296" s="760">
        <f>IF(OR($A296="F&amp;F",$A296="CE",U$7="No aplica"),0,'BOULEVARD 5'!X294-'BOULEVARD PPTO'!P289)</f>
        <v>0</v>
      </c>
      <c r="V296" s="760">
        <f>IF(OR($A296="F&amp;F",$A296="CE",V$7="No aplica"),0,'BOULEVARD 5'!Y294-'BOULEVARD PPTO'!Q289)</f>
        <v>0</v>
      </c>
      <c r="W296" s="760">
        <f>IF(OR($A296="F&amp;F",$A296="CE",W$7="No aplica"),0,'BOULEVARD 5'!Z294-'BOULEVARD PPTO'!R289)</f>
        <v>0</v>
      </c>
      <c r="X296" s="760">
        <f>IF(OR($A296="F&amp;F",$A296="CE",X$7="No aplica"),0,'BOULEVARD 5'!AA294-'BOULEVARD PPTO'!S289)</f>
        <v>0</v>
      </c>
      <c r="Y296" s="760">
        <f>IF(OR($A296="F&amp;F",$A296="CE",Y$7="No aplica"),0,'BOULEVARD 5'!AB294-'BOULEVARD PPTO'!T289)</f>
        <v>0</v>
      </c>
      <c r="Z296" s="760">
        <f>IF(OR($A296="F&amp;F",$A296="CE",Z$7="No aplica"),0,'BOULEVARD 5'!AC294-'BOULEVARD PPTO'!U289)</f>
        <v>0</v>
      </c>
      <c r="AA296" s="760">
        <f>IF(OR($A296="F&amp;F",$A296="CE",AA$7="No aplica"),0,'BOULEVARD 5'!AD294-'BOULEVARD PPTO'!V289)</f>
        <v>0</v>
      </c>
      <c r="AB296" s="760">
        <f>IF(OR($A296="F&amp;F",$A296="CE",AB$7="No aplica"),0,'BOULEVARD 5'!AE294-'BOULEVARD PPTO'!W289)</f>
        <v>0</v>
      </c>
      <c r="AC296" s="760">
        <f>IF(OR($A296="F&amp;F",$A296="CE",AC$7="No aplica"),0,'BOULEVARD 5'!AF294-'BOULEVARD PPTO'!X289)</f>
        <v>0</v>
      </c>
      <c r="AD296" s="760">
        <f>IF(OR($A296="F&amp;F",$A296="CE",AD$7="No aplica"),0,'BOULEVARD 5'!AG294-'BOULEVARD PPTO'!Y289)</f>
        <v>0</v>
      </c>
      <c r="AE296" s="760">
        <f>IF(OR($A296="F&amp;F",$A296="CE",AE$7="No aplica"),0,'BOULEVARD 5'!AH294-'BOULEVARD PPTO'!Z289)</f>
        <v>0</v>
      </c>
      <c r="AF296" s="760">
        <f>IF(OR($A296="F&amp;F",$A296="CE",AF$7="No aplica"),0,'BOULEVARD 5'!AI294-'BOULEVARD PPTO'!AA289)</f>
        <v>0</v>
      </c>
      <c r="AG296" s="760">
        <f>IF(OR($A296="F&amp;F",$A296="CE",AG$7="No aplica"),0,'BOULEVARD 5'!AJ294-'BOULEVARD PPTO'!AB289)</f>
        <v>0</v>
      </c>
      <c r="AH296" s="760">
        <f>IF(OR($A296="F&amp;F",$A296="CE",AH$7="No aplica"),0,'BOULEVARD 5'!AK294-'BOULEVARD PPTO'!AC289)</f>
        <v>0</v>
      </c>
      <c r="AI296" s="760">
        <f>IF(OR($A296="F&amp;F",$A296="CE",AI$7="No aplica"),0,'BOULEVARD 5'!AL294-'BOULEVARD PPTO'!AD289)</f>
        <v>0</v>
      </c>
      <c r="AJ296" s="760">
        <f>IF(OR($A296="F&amp;F",$A296="CE",AJ$7="No aplica"),0,'BOULEVARD 5'!AM294-'BOULEVARD PPTO'!AE289)</f>
        <v>0</v>
      </c>
      <c r="AK296" s="760">
        <f>IF(OR($A296="F&amp;F",$A296="CE",AK$7="No aplica"),0,'BOULEVARD 5'!AN294-'BOULEVARD PPTO'!AF289)</f>
        <v>0</v>
      </c>
      <c r="AL296" s="760">
        <f>IF(OR($A296="F&amp;F",$A296="CE",AL$7="No aplica"),0,'BOULEVARD 5'!AO294-'BOULEVARD PPTO'!AG289)</f>
        <v>0</v>
      </c>
      <c r="AM296" s="760">
        <f>IF(OR($A296="F&amp;F",$A296="CE",AM$7="No aplica"),0,'BOULEVARD 5'!AP294-'BOULEVARD PPTO'!AH289)</f>
        <v>0</v>
      </c>
      <c r="AN296" s="760">
        <f>IF(OR($A296="F&amp;F",$A296="CE",AN$7="No aplica"),0,'BOULEVARD 5'!AQ294-'BOULEVARD PPTO'!AI289)</f>
        <v>0</v>
      </c>
      <c r="AO296" s="760">
        <f>IF(OR($A296="F&amp;F",$A296="CE",AO$7="No aplica"),0,'BOULEVARD 5'!AS293-'BOULEVARD PPTO'!AJ289)</f>
        <v>0</v>
      </c>
      <c r="AP296" s="761">
        <f t="shared" si="28"/>
        <v>0</v>
      </c>
      <c r="AQ296" s="761">
        <f t="shared" si="29"/>
        <v>295500</v>
      </c>
      <c r="AR296" s="674">
        <f>IF(A296=0,'BOULEVARD 5'!BF294,0)</f>
        <v>0</v>
      </c>
      <c r="AS296" s="674">
        <f>IF(A296=0,'BOULEVARD 5'!BG294,0)</f>
        <v>0</v>
      </c>
      <c r="AT296" s="675" t="str">
        <f t="shared" si="27"/>
        <v>Vendido</v>
      </c>
      <c r="AU296" s="581" t="str">
        <f t="shared" si="31"/>
        <v/>
      </c>
      <c r="AV296" s="760">
        <f t="shared" si="30"/>
        <v>0</v>
      </c>
    </row>
    <row r="297" spans="1:48" s="581" customFormat="1" ht="12.4" customHeight="1" outlineLevel="1" x14ac:dyDescent="0.25">
      <c r="A297" s="703">
        <f>'BOULEVARD 5'!BQ295</f>
        <v>0</v>
      </c>
      <c r="B297" s="564">
        <v>1804</v>
      </c>
      <c r="C297" s="564" t="s">
        <v>189</v>
      </c>
      <c r="D297" s="564"/>
      <c r="E297" s="564" t="str">
        <f>IF('BOULEVARD 5'!E295&lt;&gt;0,'BOULEVARD 5'!E295,"")</f>
        <v>Brenda Búcaro</v>
      </c>
      <c r="F297" s="581" t="str">
        <f>IF('BOULEVARD 5'!F295&lt;&gt;0,'BOULEVARD 5'!F295,"")</f>
        <v>Juan Pablo Monterroso Arroyo</v>
      </c>
      <c r="G297" s="566">
        <f>IF('BOULEVARD 5'!G295="","",'BOULEVARD 5'!G295)</f>
        <v>44995</v>
      </c>
      <c r="H297" s="756">
        <f>IF(OR($A297="F&amp;F",$A297="CE",H$7="No aplica"),0,'BOULEVARD 5'!K295-'BOULEVARD PPTO'!C290)</f>
        <v>0</v>
      </c>
      <c r="I297" s="756">
        <f>IF(OR($A297="F&amp;F",$A297="CE",I$7="No aplica"),0,'BOULEVARD 5'!L295-'BOULEVARD PPTO'!D290)</f>
        <v>0</v>
      </c>
      <c r="J297" s="756">
        <f>IF(OR($A297="F&amp;F",$A297="CE",J$7="No aplica"),0,'BOULEVARD 5'!M295-'BOULEVARD PPTO'!E290)</f>
        <v>0</v>
      </c>
      <c r="K297" s="756">
        <f>IF(OR($A297="F&amp;F",$A297="CE",K$7="No aplica"),0,'BOULEVARD 5'!N295-'BOULEVARD PPTO'!F290)</f>
        <v>0</v>
      </c>
      <c r="L297" s="756">
        <f>IF(OR($A297="F&amp;F",$A297="CE",L$7="No aplica"),0,'BOULEVARD 5'!O295-'BOULEVARD PPTO'!G290)</f>
        <v>0</v>
      </c>
      <c r="M297" s="756">
        <f>IF(OR($A297="F&amp;F",$A297="CE",M$7="No aplica"),0,'BOULEVARD 5'!P295-'BOULEVARD PPTO'!H290)</f>
        <v>0</v>
      </c>
      <c r="N297" s="756">
        <f>IF(OR($A297="F&amp;F",$A297="CE",N$7="No aplica"),0,'BOULEVARD 5'!Q295-'BOULEVARD PPTO'!I290)</f>
        <v>0</v>
      </c>
      <c r="O297" s="756">
        <f>IF(OR($A297="F&amp;F",$A297="CE",O$7="No aplica"),0,'BOULEVARD 5'!R295-'BOULEVARD PPTO'!J290)</f>
        <v>0</v>
      </c>
      <c r="P297" s="756">
        <f>IF(OR($A297="F&amp;F",$A297="CE",P$7="No aplica"),0,'BOULEVARD 5'!S295-'BOULEVARD PPTO'!K290)</f>
        <v>-1600</v>
      </c>
      <c r="Q297" s="760">
        <f>IF(OR($A297="F&amp;F",$A297="CE",Q$7="No aplica"),0,'BOULEVARD 5'!T295-'BOULEVARD PPTO'!L290)</f>
        <v>0</v>
      </c>
      <c r="R297" s="760">
        <f>IF(OR($A297="F&amp;F",$A297="CE",R$7="No aplica"),0,'BOULEVARD 5'!U295-'BOULEVARD PPTO'!M290)</f>
        <v>0</v>
      </c>
      <c r="S297" s="760">
        <f>IF(OR($A297="F&amp;F",$A297="CE",S$7="No aplica"),0,'BOULEVARD 5'!V295-'BOULEVARD PPTO'!N290)</f>
        <v>1260</v>
      </c>
      <c r="T297" s="760">
        <f>IF(OR($A297="F&amp;F",$A297="CE",T$7="No aplica"),0,'BOULEVARD 5'!W295-'BOULEVARD PPTO'!O290)</f>
        <v>0</v>
      </c>
      <c r="U297" s="760">
        <f>IF(OR($A297="F&amp;F",$A297="CE",U$7="No aplica"),0,'BOULEVARD 5'!X295-'BOULEVARD PPTO'!P290)</f>
        <v>0</v>
      </c>
      <c r="V297" s="760">
        <f>IF(OR($A297="F&amp;F",$A297="CE",V$7="No aplica"),0,'BOULEVARD 5'!Y295-'BOULEVARD PPTO'!Q290)</f>
        <v>0</v>
      </c>
      <c r="W297" s="760">
        <f>IF(OR($A297="F&amp;F",$A297="CE",W$7="No aplica"),0,'BOULEVARD 5'!Z295-'BOULEVARD PPTO'!R290)</f>
        <v>0</v>
      </c>
      <c r="X297" s="760">
        <f>IF(OR($A297="F&amp;F",$A297="CE",X$7="No aplica"),0,'BOULEVARD 5'!AA295-'BOULEVARD PPTO'!S290)</f>
        <v>0</v>
      </c>
      <c r="Y297" s="760">
        <f>IF(OR($A297="F&amp;F",$A297="CE",Y$7="No aplica"),0,'BOULEVARD 5'!AB295-'BOULEVARD PPTO'!T290)</f>
        <v>0</v>
      </c>
      <c r="Z297" s="760">
        <f>IF(OR($A297="F&amp;F",$A297="CE",Z$7="No aplica"),0,'BOULEVARD 5'!AC295-'BOULEVARD PPTO'!U290)</f>
        <v>-1600</v>
      </c>
      <c r="AA297" s="760">
        <f>IF(OR($A297="F&amp;F",$A297="CE",AA$7="No aplica"),0,'BOULEVARD 5'!AD295-'BOULEVARD PPTO'!V290)</f>
        <v>0</v>
      </c>
      <c r="AB297" s="760">
        <f>IF(OR($A297="F&amp;F",$A297="CE",AB$7="No aplica"),0,'BOULEVARD 5'!AE295-'BOULEVARD PPTO'!W290)</f>
        <v>0</v>
      </c>
      <c r="AC297" s="760">
        <f>IF(OR($A297="F&amp;F",$A297="CE",AC$7="No aplica"),0,'BOULEVARD 5'!AF295-'BOULEVARD PPTO'!X290)</f>
        <v>0</v>
      </c>
      <c r="AD297" s="760">
        <f>IF(OR($A297="F&amp;F",$A297="CE",AD$7="No aplica"),0,'BOULEVARD 5'!AG295-'BOULEVARD PPTO'!Y290)</f>
        <v>-1600</v>
      </c>
      <c r="AE297" s="760">
        <f>IF(OR($A297="F&amp;F",$A297="CE",AE$7="No aplica"),0,'BOULEVARD 5'!AH295-'BOULEVARD PPTO'!Z290)</f>
        <v>1600</v>
      </c>
      <c r="AF297" s="760">
        <f>IF(OR($A297="F&amp;F",$A297="CE",AF$7="No aplica"),0,'BOULEVARD 5'!AI295-'BOULEVARD PPTO'!AA290)</f>
        <v>0</v>
      </c>
      <c r="AG297" s="760">
        <f>IF(OR($A297="F&amp;F",$A297="CE",AG$7="No aplica"),0,'BOULEVARD 5'!AJ295-'BOULEVARD PPTO'!AB290)</f>
        <v>0</v>
      </c>
      <c r="AH297" s="760">
        <f>IF(OR($A297="F&amp;F",$A297="CE",AH$7="No aplica"),0,'BOULEVARD 5'!AK295-'BOULEVARD PPTO'!AC290)</f>
        <v>0</v>
      </c>
      <c r="AI297" s="760">
        <f>IF(OR($A297="F&amp;F",$A297="CE",AI$7="No aplica"),0,'BOULEVARD 5'!AL295-'BOULEVARD PPTO'!AD290)</f>
        <v>0</v>
      </c>
      <c r="AJ297" s="760">
        <f>IF(OR($A297="F&amp;F",$A297="CE",AJ$7="No aplica"),0,'BOULEVARD 5'!AM295-'BOULEVARD PPTO'!AE290)</f>
        <v>0</v>
      </c>
      <c r="AK297" s="760">
        <f>IF(OR($A297="F&amp;F",$A297="CE",AK$7="No aplica"),0,'BOULEVARD 5'!AN295-'BOULEVARD PPTO'!AF290)</f>
        <v>0</v>
      </c>
      <c r="AL297" s="760">
        <f>IF(OR($A297="F&amp;F",$A297="CE",AL$7="No aplica"),0,'BOULEVARD 5'!AO295-'BOULEVARD PPTO'!AG290)</f>
        <v>0</v>
      </c>
      <c r="AM297" s="760">
        <f>IF(OR($A297="F&amp;F",$A297="CE",AM$7="No aplica"),0,'BOULEVARD 5'!AP295-'BOULEVARD PPTO'!AH290)</f>
        <v>-1600</v>
      </c>
      <c r="AN297" s="760">
        <f>IF(OR($A297="F&amp;F",$A297="CE",AN$7="No aplica"),0,'BOULEVARD 5'!AQ295-'BOULEVARD PPTO'!AI290)</f>
        <v>0</v>
      </c>
      <c r="AO297" s="760">
        <f>IF(OR($A297="F&amp;F",$A297="CE",AO$7="No aplica"),0,'BOULEVARD 5'!AS295-'BOULEVARD PPTO'!AJ290)</f>
        <v>0</v>
      </c>
      <c r="AP297" s="761">
        <f t="shared" si="28"/>
        <v>-3540</v>
      </c>
      <c r="AQ297" s="761">
        <f t="shared" si="29"/>
        <v>-8340</v>
      </c>
      <c r="AR297" s="674">
        <f>IF(A297=0,'BOULEVARD 5'!BF295,0)</f>
        <v>6000</v>
      </c>
      <c r="AS297" s="674">
        <f>IF(A297=0,'BOULEVARD 5'!BG295,0)</f>
        <v>1600</v>
      </c>
      <c r="AT297" s="675" t="str">
        <f t="shared" si="27"/>
        <v>Vendido</v>
      </c>
      <c r="AU297" s="581" t="str">
        <f t="shared" si="31"/>
        <v>POR COBRAR</v>
      </c>
      <c r="AV297" s="760">
        <f t="shared" si="30"/>
        <v>0</v>
      </c>
    </row>
    <row r="298" spans="1:48" s="581" customFormat="1" ht="12.4" customHeight="1" outlineLevel="1" x14ac:dyDescent="0.25">
      <c r="A298" s="703">
        <f>'BOULEVARD 5'!BQ296</f>
        <v>0</v>
      </c>
      <c r="B298" s="564">
        <v>1805</v>
      </c>
      <c r="C298" s="564" t="s">
        <v>689</v>
      </c>
      <c r="D298" s="564"/>
      <c r="E298" s="564" t="str">
        <f>IF('BOULEVARD 5'!E296&lt;&gt;0,'BOULEVARD 5'!E296,"")</f>
        <v/>
      </c>
      <c r="F298" s="581" t="str">
        <f>IF('BOULEVARD 5'!F296&lt;&gt;0,'BOULEVARD 5'!F296,"")</f>
        <v>Sergio Rafael Marroquín Sáenz</v>
      </c>
      <c r="G298" s="566">
        <f>IF('BOULEVARD 5'!G296="","",'BOULEVARD 5'!G296)</f>
        <v>45995</v>
      </c>
      <c r="H298" s="756">
        <f>IF(OR($A298="F&amp;F",$A298="CE",H$7="No aplica"),0,'BOULEVARD 5'!K296-'BOULEVARD PPTO'!C291)</f>
        <v>0</v>
      </c>
      <c r="I298" s="756">
        <f>IF(OR($A298="F&amp;F",$A298="CE",I$7="No aplica"),0,'BOULEVARD 5'!L296-'BOULEVARD PPTO'!D291)</f>
        <v>0</v>
      </c>
      <c r="J298" s="756">
        <f>IF(OR($A298="F&amp;F",$A298="CE",J$7="No aplica"),0,'BOULEVARD 5'!M296-'BOULEVARD PPTO'!E291)</f>
        <v>0</v>
      </c>
      <c r="K298" s="756">
        <f>IF(OR($A298="F&amp;F",$A298="CE",K$7="No aplica"),0,'BOULEVARD 5'!N296-'BOULEVARD PPTO'!F291)</f>
        <v>0</v>
      </c>
      <c r="L298" s="756">
        <f>IF(OR($A298="F&amp;F",$A298="CE",L$7="No aplica"),0,'BOULEVARD 5'!O296-'BOULEVARD PPTO'!G291)</f>
        <v>0</v>
      </c>
      <c r="M298" s="756">
        <f>IF(OR($A298="F&amp;F",$A298="CE",M$7="No aplica"),0,'BOULEVARD 5'!P296-'BOULEVARD PPTO'!H291)</f>
        <v>0</v>
      </c>
      <c r="N298" s="756">
        <f>IF(OR($A298="F&amp;F",$A298="CE",N$7="No aplica"),0,'BOULEVARD 5'!Q296-'BOULEVARD PPTO'!I291)</f>
        <v>0</v>
      </c>
      <c r="O298" s="756">
        <f>IF(OR($A298="F&amp;F",$A298="CE",O$7="No aplica"),0,'BOULEVARD 5'!R296-'BOULEVARD PPTO'!J291)</f>
        <v>0</v>
      </c>
      <c r="P298" s="756">
        <f>IF(OR($A298="F&amp;F",$A298="CE",P$7="No aplica"),0,'BOULEVARD 5'!S296-'BOULEVARD PPTO'!K291)</f>
        <v>0</v>
      </c>
      <c r="Q298" s="760">
        <f>IF(OR($A298="F&amp;F",$A298="CE",Q$7="No aplica"),0,'BOULEVARD 5'!T296-'BOULEVARD PPTO'!L291)</f>
        <v>0</v>
      </c>
      <c r="R298" s="760">
        <f>IF(OR($A298="F&amp;F",$A298="CE",R$7="No aplica"),0,'BOULEVARD 5'!U296-'BOULEVARD PPTO'!M291)</f>
        <v>0</v>
      </c>
      <c r="S298" s="760">
        <f>IF(OR($A298="F&amp;F",$A298="CE",S$7="No aplica"),0,'BOULEVARD 5'!V296-'BOULEVARD PPTO'!N291)</f>
        <v>0</v>
      </c>
      <c r="T298" s="760">
        <f>IF(OR($A298="F&amp;F",$A298="CE",T$7="No aplica"),0,'BOULEVARD 5'!W296-'BOULEVARD PPTO'!O291)</f>
        <v>0</v>
      </c>
      <c r="U298" s="760">
        <f>IF(OR($A298="F&amp;F",$A298="CE",U$7="No aplica"),0,'BOULEVARD 5'!X296-'BOULEVARD PPTO'!P291)</f>
        <v>0</v>
      </c>
      <c r="V298" s="760">
        <f>IF(OR($A298="F&amp;F",$A298="CE",V$7="No aplica"),0,'BOULEVARD 5'!Y296-'BOULEVARD PPTO'!Q291)</f>
        <v>0</v>
      </c>
      <c r="W298" s="760">
        <f>IF(OR($A298="F&amp;F",$A298="CE",W$7="No aplica"),0,'BOULEVARD 5'!Z296-'BOULEVARD PPTO'!R291)</f>
        <v>0</v>
      </c>
      <c r="X298" s="760">
        <f>IF(OR($A298="F&amp;F",$A298="CE",X$7="No aplica"),0,'BOULEVARD 5'!AA296-'BOULEVARD PPTO'!S291)</f>
        <v>0</v>
      </c>
      <c r="Y298" s="760">
        <f>IF(OR($A298="F&amp;F",$A298="CE",Y$7="No aplica"),0,'BOULEVARD 5'!AB296-'BOULEVARD PPTO'!T291)</f>
        <v>0</v>
      </c>
      <c r="Z298" s="760">
        <f>IF(OR($A298="F&amp;F",$A298="CE",Z$7="No aplica"),0,'BOULEVARD 5'!AC296-'BOULEVARD PPTO'!U291)</f>
        <v>0</v>
      </c>
      <c r="AA298" s="760">
        <f>IF(OR($A298="F&amp;F",$A298="CE",AA$7="No aplica"),0,'BOULEVARD 5'!AD296-'BOULEVARD PPTO'!V291)</f>
        <v>0</v>
      </c>
      <c r="AB298" s="760">
        <f>IF(OR($A298="F&amp;F",$A298="CE",AB$7="No aplica"),0,'BOULEVARD 5'!AE296-'BOULEVARD PPTO'!W291)</f>
        <v>0</v>
      </c>
      <c r="AC298" s="760">
        <f>IF(OR($A298="F&amp;F",$A298="CE",AC$7="No aplica"),0,'BOULEVARD 5'!AF296-'BOULEVARD PPTO'!X291)</f>
        <v>0</v>
      </c>
      <c r="AD298" s="760">
        <f>IF(OR($A298="F&amp;F",$A298="CE",AD$7="No aplica"),0,'BOULEVARD 5'!AG296-'BOULEVARD PPTO'!Y291)</f>
        <v>0</v>
      </c>
      <c r="AE298" s="760">
        <f>IF(OR($A298="F&amp;F",$A298="CE",AE$7="No aplica"),0,'BOULEVARD 5'!AH296-'BOULEVARD PPTO'!Z291)</f>
        <v>0</v>
      </c>
      <c r="AF298" s="760">
        <f>IF(OR($A298="F&amp;F",$A298="CE",AF$7="No aplica"),0,'BOULEVARD 5'!AI296-'BOULEVARD PPTO'!AA291)</f>
        <v>0</v>
      </c>
      <c r="AG298" s="760">
        <f>IF(OR($A298="F&amp;F",$A298="CE",AG$7="No aplica"),0,'BOULEVARD 5'!AJ296-'BOULEVARD PPTO'!AB291)</f>
        <v>0</v>
      </c>
      <c r="AH298" s="760">
        <f>IF(OR($A298="F&amp;F",$A298="CE",AH$7="No aplica"),0,'BOULEVARD 5'!AK296-'BOULEVARD PPTO'!AC291)</f>
        <v>0</v>
      </c>
      <c r="AI298" s="760">
        <f>IF(OR($A298="F&amp;F",$A298="CE",AI$7="No aplica"),0,'BOULEVARD 5'!AL296-'BOULEVARD PPTO'!AD291)</f>
        <v>0</v>
      </c>
      <c r="AJ298" s="760">
        <f>IF(OR($A298="F&amp;F",$A298="CE",AJ$7="No aplica"),0,'BOULEVARD 5'!AM296-'BOULEVARD PPTO'!AE291)</f>
        <v>0</v>
      </c>
      <c r="AK298" s="760">
        <f>IF(OR($A298="F&amp;F",$A298="CE",AK$7="No aplica"),0,'BOULEVARD 5'!AN296-'BOULEVARD PPTO'!AF291)</f>
        <v>0</v>
      </c>
      <c r="AL298" s="760">
        <f>IF(OR($A298="F&amp;F",$A298="CE",AL$7="No aplica"),0,'BOULEVARD 5'!AO296-'BOULEVARD PPTO'!AG291)</f>
        <v>0</v>
      </c>
      <c r="AM298" s="760">
        <f>IF(OR($A298="F&amp;F",$A298="CE",AM$7="No aplica"),0,'BOULEVARD 5'!AP296-'BOULEVARD PPTO'!AH291)</f>
        <v>0</v>
      </c>
      <c r="AN298" s="760">
        <f>IF(OR($A298="F&amp;F",$A298="CE",AN$7="No aplica"),0,'BOULEVARD 5'!AQ296-'BOULEVARD PPTO'!AI291)</f>
        <v>0</v>
      </c>
      <c r="AO298" s="760">
        <f>IF(OR($A298="F&amp;F",$A298="CE",AO$7="No aplica"),0,'BOULEVARD 5'!AS296-'BOULEVARD PPTO'!AJ291)</f>
        <v>0</v>
      </c>
      <c r="AP298" s="761">
        <f t="shared" si="28"/>
        <v>0</v>
      </c>
      <c r="AQ298" s="761">
        <f t="shared" si="29"/>
        <v>10000</v>
      </c>
      <c r="AR298" s="674">
        <f>IF(A298=0,'BOULEVARD 5'!BF296,0)</f>
        <v>0</v>
      </c>
      <c r="AS298" s="674">
        <f>IF(A298=0,'BOULEVARD 5'!BG296,0)</f>
        <v>0</v>
      </c>
      <c r="AT298" s="675" t="str">
        <f t="shared" si="27"/>
        <v>Vendido</v>
      </c>
      <c r="AU298" s="581" t="str">
        <f t="shared" si="31"/>
        <v/>
      </c>
      <c r="AV298" s="760">
        <f t="shared" si="30"/>
        <v>0</v>
      </c>
    </row>
    <row r="299" spans="1:48" s="581" customFormat="1" ht="12.4" customHeight="1" outlineLevel="1" x14ac:dyDescent="0.25">
      <c r="A299" s="703">
        <f>'BOULEVARD 5'!BQ297</f>
        <v>0</v>
      </c>
      <c r="B299" s="564">
        <v>1806</v>
      </c>
      <c r="C299" s="564" t="s">
        <v>400</v>
      </c>
      <c r="D299" s="564"/>
      <c r="E299" s="564" t="str">
        <f>IF('BOULEVARD 5'!E297&lt;&gt;0,'BOULEVARD 5'!E297,"")</f>
        <v>Antonio Rada</v>
      </c>
      <c r="F299" s="581" t="str">
        <f>IF('BOULEVARD 5'!F297&lt;&gt;0,'BOULEVARD 5'!F297,"")</f>
        <v>Business View Sociedad Anonima</v>
      </c>
      <c r="G299" s="566">
        <f>IF('BOULEVARD 5'!G297="","",'BOULEVARD 5'!G297)</f>
        <v>45014</v>
      </c>
      <c r="H299" s="756">
        <f>IF(OR($A299="F&amp;F",$A299="CE",H$7="No aplica"),0,'BOULEVARD 5'!K297-'BOULEVARD PPTO'!C292)</f>
        <v>0</v>
      </c>
      <c r="I299" s="756">
        <f>IF(OR($A299="F&amp;F",$A299="CE",I$7="No aplica"),0,'BOULEVARD 5'!L297-'BOULEVARD PPTO'!D292)</f>
        <v>0</v>
      </c>
      <c r="J299" s="756">
        <f>IF(OR($A299="F&amp;F",$A299="CE",J$7="No aplica"),0,'BOULEVARD 5'!M297-'BOULEVARD PPTO'!E292)</f>
        <v>0</v>
      </c>
      <c r="K299" s="756">
        <f>IF(OR($A299="F&amp;F",$A299="CE",K$7="No aplica"),0,'BOULEVARD 5'!N297-'BOULEVARD PPTO'!F292)</f>
        <v>0</v>
      </c>
      <c r="L299" s="756">
        <f>IF(OR($A299="F&amp;F",$A299="CE",L$7="No aplica"),0,'BOULEVARD 5'!O297-'BOULEVARD PPTO'!G292)</f>
        <v>0</v>
      </c>
      <c r="M299" s="756">
        <f>IF(OR($A299="F&amp;F",$A299="CE",M$7="No aplica"),0,'BOULEVARD 5'!P297-'BOULEVARD PPTO'!H292)</f>
        <v>0</v>
      </c>
      <c r="N299" s="756">
        <f>IF(OR($A299="F&amp;F",$A299="CE",N$7="No aplica"),0,'BOULEVARD 5'!Q297-'BOULEVARD PPTO'!I292)</f>
        <v>0</v>
      </c>
      <c r="O299" s="756">
        <f>IF(OR($A299="F&amp;F",$A299="CE",O$7="No aplica"),0,'BOULEVARD 5'!R297-'BOULEVARD PPTO'!J292)</f>
        <v>0</v>
      </c>
      <c r="P299" s="756">
        <f>IF(OR($A299="F&amp;F",$A299="CE",P$7="No aplica"),0,'BOULEVARD 5'!S297-'BOULEVARD PPTO'!K292)</f>
        <v>0</v>
      </c>
      <c r="Q299" s="760">
        <f>IF(OR($A299="F&amp;F",$A299="CE",Q$7="No aplica"),0,'BOULEVARD 5'!T297-'BOULEVARD PPTO'!L292)</f>
        <v>0</v>
      </c>
      <c r="R299" s="760">
        <f>IF(OR($A299="F&amp;F",$A299="CE",R$7="No aplica"),0,'BOULEVARD 5'!U297-'BOULEVARD PPTO'!M292)</f>
        <v>0</v>
      </c>
      <c r="S299" s="760">
        <f>IF(OR($A299="F&amp;F",$A299="CE",S$7="No aplica"),0,'BOULEVARD 5'!V297-'BOULEVARD PPTO'!N292)</f>
        <v>0</v>
      </c>
      <c r="T299" s="760">
        <f>IF(OR($A299="F&amp;F",$A299="CE",T$7="No aplica"),0,'BOULEVARD 5'!W297-'BOULEVARD PPTO'!O292)</f>
        <v>0</v>
      </c>
      <c r="U299" s="760">
        <f>IF(OR($A299="F&amp;F",$A299="CE",U$7="No aplica"),0,'BOULEVARD 5'!X297-'BOULEVARD PPTO'!P292)</f>
        <v>2290</v>
      </c>
      <c r="V299" s="760">
        <f>IF(OR($A299="F&amp;F",$A299="CE",V$7="No aplica"),0,'BOULEVARD 5'!Y297-'BOULEVARD PPTO'!Q292)</f>
        <v>-2290</v>
      </c>
      <c r="W299" s="760">
        <f>IF(OR($A299="F&amp;F",$A299="CE",W$7="No aplica"),0,'BOULEVARD 5'!Z297-'BOULEVARD PPTO'!R292)</f>
        <v>0</v>
      </c>
      <c r="X299" s="760">
        <f>IF(OR($A299="F&amp;F",$A299="CE",X$7="No aplica"),0,'BOULEVARD 5'!AA297-'BOULEVARD PPTO'!S292)</f>
        <v>0</v>
      </c>
      <c r="Y299" s="760">
        <f>IF(OR($A299="F&amp;F",$A299="CE",Y$7="No aplica"),0,'BOULEVARD 5'!AB297-'BOULEVARD PPTO'!T292)</f>
        <v>0</v>
      </c>
      <c r="Z299" s="760">
        <f>IF(OR($A299="F&amp;F",$A299="CE",Z$7="No aplica"),0,'BOULEVARD 5'!AC297-'BOULEVARD PPTO'!U292)</f>
        <v>0</v>
      </c>
      <c r="AA299" s="760">
        <f>IF(OR($A299="F&amp;F",$A299="CE",AA$7="No aplica"),0,'BOULEVARD 5'!AD297-'BOULEVARD PPTO'!V292)</f>
        <v>0</v>
      </c>
      <c r="AB299" s="760">
        <f>IF(OR($A299="F&amp;F",$A299="CE",AB$7="No aplica"),0,'BOULEVARD 5'!AE297-'BOULEVARD PPTO'!W292)</f>
        <v>0</v>
      </c>
      <c r="AC299" s="760">
        <f>IF(OR($A299="F&amp;F",$A299="CE",AC$7="No aplica"),0,'BOULEVARD 5'!AF297-'BOULEVARD PPTO'!X292)</f>
        <v>0</v>
      </c>
      <c r="AD299" s="760">
        <f>IF(OR($A299="F&amp;F",$A299="CE",AD$7="No aplica"),0,'BOULEVARD 5'!AG297-'BOULEVARD PPTO'!Y292)</f>
        <v>0</v>
      </c>
      <c r="AE299" s="760">
        <f>IF(OR($A299="F&amp;F",$A299="CE",AE$7="No aplica"),0,'BOULEVARD 5'!AH297-'BOULEVARD PPTO'!Z292)</f>
        <v>2290</v>
      </c>
      <c r="AF299" s="760">
        <f>IF(OR($A299="F&amp;F",$A299="CE",AF$7="No aplica"),0,'BOULEVARD 5'!AI297-'BOULEVARD PPTO'!AA292)</f>
        <v>0</v>
      </c>
      <c r="AG299" s="760">
        <f>IF(OR($A299="F&amp;F",$A299="CE",AG$7="No aplica"),0,'BOULEVARD 5'!AJ297-'BOULEVARD PPTO'!AB292)</f>
        <v>0</v>
      </c>
      <c r="AH299" s="760">
        <f>IF(OR($A299="F&amp;F",$A299="CE",AH$7="No aplica"),0,'BOULEVARD 5'!AK297-'BOULEVARD PPTO'!AC292)</f>
        <v>-2290</v>
      </c>
      <c r="AI299" s="760">
        <f>IF(OR($A299="F&amp;F",$A299="CE",AI$7="No aplica"),0,'BOULEVARD 5'!AL297-'BOULEVARD PPTO'!AD292)</f>
        <v>-2290</v>
      </c>
      <c r="AJ299" s="760">
        <f>IF(OR($A299="F&amp;F",$A299="CE",AJ$7="No aplica"),0,'BOULEVARD 5'!AM297-'BOULEVARD PPTO'!AE292)</f>
        <v>2290</v>
      </c>
      <c r="AK299" s="760">
        <f>IF(OR($A299="F&amp;F",$A299="CE",AK$7="No aplica"),0,'BOULEVARD 5'!AN297-'BOULEVARD PPTO'!AF292)</f>
        <v>0</v>
      </c>
      <c r="AL299" s="760">
        <f>IF(OR($A299="F&amp;F",$A299="CE",AL$7="No aplica"),0,'BOULEVARD 5'!AO297-'BOULEVARD PPTO'!AG292)</f>
        <v>0</v>
      </c>
      <c r="AM299" s="760">
        <f>IF(OR($A299="F&amp;F",$A299="CE",AM$7="No aplica"),0,'BOULEVARD 5'!AP297-'BOULEVARD PPTO'!AH292)</f>
        <v>0</v>
      </c>
      <c r="AN299" s="760">
        <f>IF(OR($A299="F&amp;F",$A299="CE",AN$7="No aplica"),0,'BOULEVARD 5'!AQ297-'BOULEVARD PPTO'!AI292)</f>
        <v>0</v>
      </c>
      <c r="AO299" s="760">
        <f>IF(OR($A299="F&amp;F",$A299="CE",AO$7="No aplica"),0,'BOULEVARD 5'!AS297-'BOULEVARD PPTO'!AJ292)</f>
        <v>0</v>
      </c>
      <c r="AP299" s="761">
        <f t="shared" si="28"/>
        <v>0</v>
      </c>
      <c r="AQ299" s="761">
        <f t="shared" si="29"/>
        <v>-4580.5800000000017</v>
      </c>
      <c r="AR299" s="674">
        <f>IF(A299=0,'BOULEVARD 5'!BF297,0)</f>
        <v>6000</v>
      </c>
      <c r="AS299" s="674">
        <f>IF(A299=0,'BOULEVARD 5'!BG297,0)</f>
        <v>2290</v>
      </c>
      <c r="AT299" s="675" t="str">
        <f t="shared" si="27"/>
        <v>Vendido</v>
      </c>
      <c r="AU299" s="581" t="str">
        <f t="shared" si="31"/>
        <v/>
      </c>
      <c r="AV299" s="760">
        <f t="shared" si="30"/>
        <v>0</v>
      </c>
    </row>
    <row r="300" spans="1:48" s="581" customFormat="1" ht="12.4" customHeight="1" outlineLevel="1" x14ac:dyDescent="0.25">
      <c r="A300" s="703" t="str">
        <f>'BOULEVARD 5'!BQ298</f>
        <v>F&amp;F</v>
      </c>
      <c r="B300" s="704">
        <v>1807</v>
      </c>
      <c r="C300" s="704" t="s">
        <v>703</v>
      </c>
      <c r="D300" s="704"/>
      <c r="E300" s="704" t="str">
        <f>IF('BOULEVARD 5'!E298&lt;&gt;0,'BOULEVARD 5'!E298,"")</f>
        <v>Jose Franco</v>
      </c>
      <c r="F300" s="705" t="str">
        <f>IF('BOULEVARD 5'!F298&lt;&gt;0,'BOULEVARD 5'!F298,"")</f>
        <v>Yuly Marisol Rodríguez Ordoñez De Arimany</v>
      </c>
      <c r="G300" s="566">
        <f>IF('BOULEVARD 5'!G298="","",'BOULEVARD 5'!G298)</f>
        <v>45012</v>
      </c>
      <c r="H300" s="756">
        <f>IF(OR($A300="F&amp;F",$A300="CE",H$7="No aplica"),0,'BOULEVARD 5'!K298-'BOULEVARD PPTO'!C293)</f>
        <v>0</v>
      </c>
      <c r="I300" s="756">
        <f>IF(OR($A300="F&amp;F",$A300="CE",I$7="No aplica"),0,'BOULEVARD 5'!L298-'BOULEVARD PPTO'!D293)</f>
        <v>0</v>
      </c>
      <c r="J300" s="756">
        <f>IF(OR($A300="F&amp;F",$A300="CE",J$7="No aplica"),0,'BOULEVARD 5'!M298-'BOULEVARD PPTO'!E293)</f>
        <v>0</v>
      </c>
      <c r="K300" s="756">
        <f>IF(OR($A300="F&amp;F",$A300="CE",K$7="No aplica"),0,'BOULEVARD 5'!N298-'BOULEVARD PPTO'!F293)</f>
        <v>0</v>
      </c>
      <c r="L300" s="756">
        <f>IF(OR($A300="F&amp;F",$A300="CE",L$7="No aplica"),0,'BOULEVARD 5'!O298-'BOULEVARD PPTO'!G293)</f>
        <v>0</v>
      </c>
      <c r="M300" s="756">
        <f>IF(OR($A300="F&amp;F",$A300="CE",M$7="No aplica"),0,'BOULEVARD 5'!P298-'BOULEVARD PPTO'!H293)</f>
        <v>0</v>
      </c>
      <c r="N300" s="756">
        <f>IF(OR($A300="F&amp;F",$A300="CE",N$7="No aplica"),0,'BOULEVARD 5'!Q298-'BOULEVARD PPTO'!I293)</f>
        <v>0</v>
      </c>
      <c r="O300" s="756">
        <f>IF(OR($A300="F&amp;F",$A300="CE",O$7="No aplica"),0,'BOULEVARD 5'!R298-'BOULEVARD PPTO'!J293)</f>
        <v>0</v>
      </c>
      <c r="P300" s="756">
        <f>IF(OR($A300="F&amp;F",$A300="CE",P$7="No aplica"),0,'BOULEVARD 5'!S298-'BOULEVARD PPTO'!K293)</f>
        <v>0</v>
      </c>
      <c r="Q300" s="760">
        <f>IF(OR($A300="F&amp;F",$A300="CE",Q$7="No aplica"),0,'BOULEVARD 5'!T298-'BOULEVARD PPTO'!L293)</f>
        <v>0</v>
      </c>
      <c r="R300" s="760">
        <f>IF(OR($A300="F&amp;F",$A300="CE",R$7="No aplica"),0,'BOULEVARD 5'!U298-'BOULEVARD PPTO'!M293)</f>
        <v>0</v>
      </c>
      <c r="S300" s="760">
        <f>IF(OR($A300="F&amp;F",$A300="CE",S$7="No aplica"),0,'BOULEVARD 5'!V298-'BOULEVARD PPTO'!N293)</f>
        <v>0</v>
      </c>
      <c r="T300" s="760">
        <f>IF(OR($A300="F&amp;F",$A300="CE",T$7="No aplica"),0,'BOULEVARD 5'!W298-'BOULEVARD PPTO'!O293)</f>
        <v>0</v>
      </c>
      <c r="U300" s="760">
        <f>IF(OR($A300="F&amp;F",$A300="CE",U$7="No aplica"),0,'BOULEVARD 5'!X298-'BOULEVARD PPTO'!P293)</f>
        <v>0</v>
      </c>
      <c r="V300" s="760">
        <f>IF(OR($A300="F&amp;F",$A300="CE",V$7="No aplica"),0,'BOULEVARD 5'!Y298-'BOULEVARD PPTO'!Q293)</f>
        <v>0</v>
      </c>
      <c r="W300" s="760">
        <f>IF(OR($A300="F&amp;F",$A300="CE",W$7="No aplica"),0,'BOULEVARD 5'!Z298-'BOULEVARD PPTO'!R293)</f>
        <v>0</v>
      </c>
      <c r="X300" s="760">
        <f>IF(OR($A300="F&amp;F",$A300="CE",X$7="No aplica"),0,'BOULEVARD 5'!AA298-'BOULEVARD PPTO'!S293)</f>
        <v>0</v>
      </c>
      <c r="Y300" s="760">
        <f>IF(OR($A300="F&amp;F",$A300="CE",Y$7="No aplica"),0,'BOULEVARD 5'!AB298-'BOULEVARD PPTO'!T293)</f>
        <v>0</v>
      </c>
      <c r="Z300" s="760">
        <f>IF(OR($A300="F&amp;F",$A300="CE",Z$7="No aplica"),0,'BOULEVARD 5'!AC298-'BOULEVARD PPTO'!U293)</f>
        <v>0</v>
      </c>
      <c r="AA300" s="760">
        <f>IF(OR($A300="F&amp;F",$A300="CE",AA$7="No aplica"),0,'BOULEVARD 5'!AD298-'BOULEVARD PPTO'!V293)</f>
        <v>0</v>
      </c>
      <c r="AB300" s="760">
        <f>IF(OR($A300="F&amp;F",$A300="CE",AB$7="No aplica"),0,'BOULEVARD 5'!AE298-'BOULEVARD PPTO'!W293)</f>
        <v>0</v>
      </c>
      <c r="AC300" s="760">
        <f>IF(OR($A300="F&amp;F",$A300="CE",AC$7="No aplica"),0,'BOULEVARD 5'!AF298-'BOULEVARD PPTO'!X293)</f>
        <v>0</v>
      </c>
      <c r="AD300" s="760">
        <f>IF(OR($A300="F&amp;F",$A300="CE",AD$7="No aplica"),0,'BOULEVARD 5'!AG298-'BOULEVARD PPTO'!Y293)</f>
        <v>0</v>
      </c>
      <c r="AE300" s="760">
        <f>IF(OR($A300="F&amp;F",$A300="CE",AE$7="No aplica"),0,'BOULEVARD 5'!AH298-'BOULEVARD PPTO'!Z293)</f>
        <v>0</v>
      </c>
      <c r="AF300" s="760">
        <f>IF(OR($A300="F&amp;F",$A300="CE",AF$7="No aplica"),0,'BOULEVARD 5'!AI298-'BOULEVARD PPTO'!AA293)</f>
        <v>0</v>
      </c>
      <c r="AG300" s="760">
        <f>IF(OR($A300="F&amp;F",$A300="CE",AG$7="No aplica"),0,'BOULEVARD 5'!AJ298-'BOULEVARD PPTO'!AB293)</f>
        <v>0</v>
      </c>
      <c r="AH300" s="760">
        <f>IF(OR($A300="F&amp;F",$A300="CE",AH$7="No aplica"),0,'BOULEVARD 5'!AK298-'BOULEVARD PPTO'!AC293)</f>
        <v>0</v>
      </c>
      <c r="AI300" s="760">
        <f>IF(OR($A300="F&amp;F",$A300="CE",AI$7="No aplica"),0,'BOULEVARD 5'!AL298-'BOULEVARD PPTO'!AD293)</f>
        <v>0</v>
      </c>
      <c r="AJ300" s="760">
        <f>IF(OR($A300="F&amp;F",$A300="CE",AJ$7="No aplica"),0,'BOULEVARD 5'!AM298-'BOULEVARD PPTO'!AE293)</f>
        <v>0</v>
      </c>
      <c r="AK300" s="760">
        <f>IF(OR($A300="F&amp;F",$A300="CE",AK$7="No aplica"),0,'BOULEVARD 5'!AN298-'BOULEVARD PPTO'!AF293)</f>
        <v>0</v>
      </c>
      <c r="AL300" s="760">
        <f>IF(OR($A300="F&amp;F",$A300="CE",AL$7="No aplica"),0,'BOULEVARD 5'!AO298-'BOULEVARD PPTO'!AG293)</f>
        <v>0</v>
      </c>
      <c r="AM300" s="760">
        <f>IF(OR($A300="F&amp;F",$A300="CE",AM$7="No aplica"),0,'BOULEVARD 5'!AP298-'BOULEVARD PPTO'!AH293)</f>
        <v>0</v>
      </c>
      <c r="AN300" s="760">
        <f>IF(OR($A300="F&amp;F",$A300="CE",AN$7="No aplica"),0,'BOULEVARD 5'!AQ298-'BOULEVARD PPTO'!AI293)</f>
        <v>0</v>
      </c>
      <c r="AO300" s="760">
        <f>IF(OR($A300="F&amp;F",$A300="CE",AO$7="No aplica"),0,'BOULEVARD 5'!AS298-'BOULEVARD PPTO'!AJ293)</f>
        <v>0</v>
      </c>
      <c r="AP300" s="761">
        <f t="shared" si="28"/>
        <v>0</v>
      </c>
      <c r="AQ300" s="761">
        <f t="shared" si="29"/>
        <v>0</v>
      </c>
      <c r="AR300" s="674">
        <f>IF(A300=0,'BOULEVARD 5'!BF298,0)</f>
        <v>0</v>
      </c>
      <c r="AS300" s="674">
        <f>IF(A300=0,'BOULEVARD 5'!BG298,0)</f>
        <v>0</v>
      </c>
      <c r="AT300" s="675" t="str">
        <f t="shared" si="27"/>
        <v>Vendido</v>
      </c>
      <c r="AU300" s="581" t="str">
        <f t="shared" si="31"/>
        <v/>
      </c>
      <c r="AV300" s="760">
        <f t="shared" si="30"/>
        <v>0</v>
      </c>
    </row>
    <row r="301" spans="1:48" s="581" customFormat="1" ht="12.4" customHeight="1" outlineLevel="1" x14ac:dyDescent="0.25">
      <c r="A301" s="703">
        <f>'BOULEVARD 5'!BQ299</f>
        <v>0</v>
      </c>
      <c r="B301" s="564">
        <v>1808</v>
      </c>
      <c r="C301" s="564" t="s">
        <v>705</v>
      </c>
      <c r="D301" s="564"/>
      <c r="E301" s="564" t="str">
        <f>IF('BOULEVARD 5'!E299&lt;&gt;0,'BOULEVARD 5'!E299,"")</f>
        <v>Antonio Rada</v>
      </c>
      <c r="F301" s="581" t="str">
        <f>IF('BOULEVARD 5'!F299&lt;&gt;0,'BOULEVARD 5'!F299,"")</f>
        <v>Monica Cecilia Rodriguez Villalta</v>
      </c>
      <c r="G301" s="566">
        <f>IF('BOULEVARD 5'!G299="","",'BOULEVARD 5'!G299)</f>
        <v>45199</v>
      </c>
      <c r="H301" s="756">
        <f>IF(OR($A301="F&amp;F",$A301="CE",H$7="No aplica"),0,'BOULEVARD 5'!K299-'BOULEVARD PPTO'!C294)</f>
        <v>0</v>
      </c>
      <c r="I301" s="756">
        <f>IF(OR($A301="F&amp;F",$A301="CE",I$7="No aplica"),0,'BOULEVARD 5'!L299-'BOULEVARD PPTO'!D294)</f>
        <v>0</v>
      </c>
      <c r="J301" s="756">
        <f>IF(OR($A301="F&amp;F",$A301="CE",J$7="No aplica"),0,'BOULEVARD 5'!M299-'BOULEVARD PPTO'!E294)</f>
        <v>0</v>
      </c>
      <c r="K301" s="756">
        <f>IF(OR($A301="F&amp;F",$A301="CE",K$7="No aplica"),0,'BOULEVARD 5'!N299-'BOULEVARD PPTO'!F294)</f>
        <v>0</v>
      </c>
      <c r="L301" s="756">
        <f>IF(OR($A301="F&amp;F",$A301="CE",L$7="No aplica"),0,'BOULEVARD 5'!O299-'BOULEVARD PPTO'!G294)</f>
        <v>0</v>
      </c>
      <c r="M301" s="756">
        <f>IF(OR($A301="F&amp;F",$A301="CE",M$7="No aplica"),0,'BOULEVARD 5'!P299-'BOULEVARD PPTO'!H294)</f>
        <v>0</v>
      </c>
      <c r="N301" s="756">
        <f>IF(OR($A301="F&amp;F",$A301="CE",N$7="No aplica"),0,'BOULEVARD 5'!Q299-'BOULEVARD PPTO'!I294)</f>
        <v>0</v>
      </c>
      <c r="O301" s="756">
        <f>IF(OR($A301="F&amp;F",$A301="CE",O$7="No aplica"),0,'BOULEVARD 5'!R299-'BOULEVARD PPTO'!J294)</f>
        <v>0</v>
      </c>
      <c r="P301" s="756">
        <f>IF(OR($A301="F&amp;F",$A301="CE",P$7="No aplica"),0,'BOULEVARD 5'!S299-'BOULEVARD PPTO'!K294)</f>
        <v>0</v>
      </c>
      <c r="Q301" s="760">
        <f>IF(OR($A301="F&amp;F",$A301="CE",Q$7="No aplica"),0,'BOULEVARD 5'!T299-'BOULEVARD PPTO'!L294)</f>
        <v>0</v>
      </c>
      <c r="R301" s="760">
        <f>IF(OR($A301="F&amp;F",$A301="CE",R$7="No aplica"),0,'BOULEVARD 5'!U299-'BOULEVARD PPTO'!M294)</f>
        <v>0</v>
      </c>
      <c r="S301" s="760">
        <f>IF(OR($A301="F&amp;F",$A301="CE",S$7="No aplica"),0,'BOULEVARD 5'!V299-'BOULEVARD PPTO'!N294)</f>
        <v>0</v>
      </c>
      <c r="T301" s="760">
        <f>IF(OR($A301="F&amp;F",$A301="CE",T$7="No aplica"),0,'BOULEVARD 5'!W299-'BOULEVARD PPTO'!O294)</f>
        <v>0</v>
      </c>
      <c r="U301" s="760">
        <f>IF(OR($A301="F&amp;F",$A301="CE",U$7="No aplica"),0,'BOULEVARD 5'!X299-'BOULEVARD PPTO'!P294)</f>
        <v>0</v>
      </c>
      <c r="V301" s="760">
        <f>IF(OR($A301="F&amp;F",$A301="CE",V$7="No aplica"),0,'BOULEVARD 5'!Y299-'BOULEVARD PPTO'!Q294)</f>
        <v>0</v>
      </c>
      <c r="W301" s="760">
        <f>IF(OR($A301="F&amp;F",$A301="CE",W$7="No aplica"),0,'BOULEVARD 5'!Z299-'BOULEVARD PPTO'!R294)</f>
        <v>0</v>
      </c>
      <c r="X301" s="760">
        <f>IF(OR($A301="F&amp;F",$A301="CE",X$7="No aplica"),0,'BOULEVARD 5'!AA299-'BOULEVARD PPTO'!S294)</f>
        <v>0</v>
      </c>
      <c r="Y301" s="760">
        <f>IF(OR($A301="F&amp;F",$A301="CE",Y$7="No aplica"),0,'BOULEVARD 5'!AB299-'BOULEVARD PPTO'!T294)</f>
        <v>0</v>
      </c>
      <c r="Z301" s="760">
        <f>IF(OR($A301="F&amp;F",$A301="CE",Z$7="No aplica"),0,'BOULEVARD 5'!AC299-'BOULEVARD PPTO'!U294)</f>
        <v>0</v>
      </c>
      <c r="AA301" s="760">
        <f>IF(OR($A301="F&amp;F",$A301="CE",AA$7="No aplica"),0,'BOULEVARD 5'!AD299-'BOULEVARD PPTO'!V294)</f>
        <v>0</v>
      </c>
      <c r="AB301" s="760">
        <f>IF(OR($A301="F&amp;F",$A301="CE",AB$7="No aplica"),0,'BOULEVARD 5'!AE299-'BOULEVARD PPTO'!W294)</f>
        <v>0</v>
      </c>
      <c r="AC301" s="760">
        <f>IF(OR($A301="F&amp;F",$A301="CE",AC$7="No aplica"),0,'BOULEVARD 5'!AF299-'BOULEVARD PPTO'!X294)</f>
        <v>5575</v>
      </c>
      <c r="AD301" s="760">
        <f>IF(OR($A301="F&amp;F",$A301="CE",AD$7="No aplica"),0,'BOULEVARD 5'!AG299-'BOULEVARD PPTO'!Y294)</f>
        <v>0</v>
      </c>
      <c r="AE301" s="760">
        <f>IF(OR($A301="F&amp;F",$A301="CE",AE$7="No aplica"),0,'BOULEVARD 5'!AH299-'BOULEVARD PPTO'!Z294)</f>
        <v>0</v>
      </c>
      <c r="AF301" s="760">
        <f>IF(OR($A301="F&amp;F",$A301="CE",AF$7="No aplica"),0,'BOULEVARD 5'!AI299-'BOULEVARD PPTO'!AA294)</f>
        <v>0</v>
      </c>
      <c r="AG301" s="760">
        <f>IF(OR($A301="F&amp;F",$A301="CE",AG$7="No aplica"),0,'BOULEVARD 5'!AJ299-'BOULEVARD PPTO'!AB294)</f>
        <v>0</v>
      </c>
      <c r="AH301" s="760">
        <f>IF(OR($A301="F&amp;F",$A301="CE",AH$7="No aplica"),0,'BOULEVARD 5'!AK299-'BOULEVARD PPTO'!AC294)</f>
        <v>0</v>
      </c>
      <c r="AI301" s="760">
        <f>IF(OR($A301="F&amp;F",$A301="CE",AI$7="No aplica"),0,'BOULEVARD 5'!AL299-'BOULEVARD PPTO'!AD294)</f>
        <v>0</v>
      </c>
      <c r="AJ301" s="760">
        <f>IF(OR($A301="F&amp;F",$A301="CE",AJ$7="No aplica"),0,'BOULEVARD 5'!AM299-'BOULEVARD PPTO'!AE294)</f>
        <v>0</v>
      </c>
      <c r="AK301" s="760">
        <f>IF(OR($A301="F&amp;F",$A301="CE",AK$7="No aplica"),0,'BOULEVARD 5'!AN299-'BOULEVARD PPTO'!AF294)</f>
        <v>0</v>
      </c>
      <c r="AL301" s="760">
        <f>IF(OR($A301="F&amp;F",$A301="CE",AL$7="No aplica"),0,'BOULEVARD 5'!AO299-'BOULEVARD PPTO'!AG294)</f>
        <v>-5575</v>
      </c>
      <c r="AM301" s="760">
        <f>IF(OR($A301="F&amp;F",$A301="CE",AM$7="No aplica"),0,'BOULEVARD 5'!AP299-'BOULEVARD PPTO'!AH294)</f>
        <v>0</v>
      </c>
      <c r="AN301" s="760">
        <f>IF(OR($A301="F&amp;F",$A301="CE",AN$7="No aplica"),0,'BOULEVARD 5'!AQ299-'BOULEVARD PPTO'!AI294)</f>
        <v>0</v>
      </c>
      <c r="AO301" s="760">
        <f>IF(OR($A301="F&amp;F",$A301="CE",AO$7="No aplica"),0,'BOULEVARD 5'!AS299-'BOULEVARD PPTO'!AJ294)</f>
        <v>0</v>
      </c>
      <c r="AP301" s="761">
        <f t="shared" si="28"/>
        <v>0</v>
      </c>
      <c r="AQ301" s="761">
        <f t="shared" si="29"/>
        <v>0</v>
      </c>
      <c r="AR301" s="674">
        <f>IF(A301=0,'BOULEVARD 5'!BF299,0)</f>
        <v>8000</v>
      </c>
      <c r="AS301" s="674">
        <f>IF(A301=0,'BOULEVARD 5'!BG299,0)</f>
        <v>2800</v>
      </c>
      <c r="AT301" s="675" t="str">
        <f t="shared" si="27"/>
        <v>Vendido</v>
      </c>
      <c r="AU301" s="581" t="str">
        <f t="shared" si="31"/>
        <v/>
      </c>
      <c r="AV301" s="760">
        <f t="shared" si="30"/>
        <v>0</v>
      </c>
    </row>
    <row r="302" spans="1:48" s="581" customFormat="1" ht="12.4" customHeight="1" outlineLevel="1" x14ac:dyDescent="0.25">
      <c r="A302" s="703" t="str">
        <f>'BOULEVARD 5'!BQ300</f>
        <v>F&amp;F</v>
      </c>
      <c r="B302" s="704">
        <v>1901</v>
      </c>
      <c r="C302" s="704" t="s">
        <v>611</v>
      </c>
      <c r="D302" s="704"/>
      <c r="E302" s="704" t="str">
        <f>IF('BOULEVARD 5'!E300&lt;&gt;0,'BOULEVARD 5'!E300,"")</f>
        <v>Ronaldo</v>
      </c>
      <c r="F302" s="705" t="str">
        <f>IF('BOULEVARD 5'!F300&lt;&gt;0,'BOULEVARD 5'!F300,"")</f>
        <v>International Coffee Industry, S.A</v>
      </c>
      <c r="G302" s="566">
        <f>IF('BOULEVARD 5'!G300="","",'BOULEVARD 5'!G300)</f>
        <v>45012</v>
      </c>
      <c r="H302" s="756">
        <f>IF(OR($A302="F&amp;F",$A302="CE",H$7="No aplica"),0,'BOULEVARD 5'!K300-'BOULEVARD PPTO'!C295)</f>
        <v>0</v>
      </c>
      <c r="I302" s="756">
        <f>IF(OR($A302="F&amp;F",$A302="CE",I$7="No aplica"),0,'BOULEVARD 5'!L300-'BOULEVARD PPTO'!D295)</f>
        <v>0</v>
      </c>
      <c r="J302" s="756">
        <f>IF(OR($A302="F&amp;F",$A302="CE",J$7="No aplica"),0,'BOULEVARD 5'!M300-'BOULEVARD PPTO'!E295)</f>
        <v>0</v>
      </c>
      <c r="K302" s="756">
        <f>IF(OR($A302="F&amp;F",$A302="CE",K$7="No aplica"),0,'BOULEVARD 5'!N300-'BOULEVARD PPTO'!F295)</f>
        <v>0</v>
      </c>
      <c r="L302" s="756">
        <f>IF(OR($A302="F&amp;F",$A302="CE",L$7="No aplica"),0,'BOULEVARD 5'!O300-'BOULEVARD PPTO'!G295)</f>
        <v>0</v>
      </c>
      <c r="M302" s="756">
        <f>IF(OR($A302="F&amp;F",$A302="CE",M$7="No aplica"),0,'BOULEVARD 5'!P300-'BOULEVARD PPTO'!H295)</f>
        <v>0</v>
      </c>
      <c r="N302" s="756">
        <f>IF(OR($A302="F&amp;F",$A302="CE",N$7="No aplica"),0,'BOULEVARD 5'!Q300-'BOULEVARD PPTO'!I295)</f>
        <v>0</v>
      </c>
      <c r="O302" s="756">
        <f>IF(OR($A302="F&amp;F",$A302="CE",O$7="No aplica"),0,'BOULEVARD 5'!R300-'BOULEVARD PPTO'!J295)</f>
        <v>0</v>
      </c>
      <c r="P302" s="756">
        <f>IF(OR($A302="F&amp;F",$A302="CE",P$7="No aplica"),0,'BOULEVARD 5'!S300-'BOULEVARD PPTO'!K295)</f>
        <v>0</v>
      </c>
      <c r="Q302" s="760">
        <f>IF(OR($A302="F&amp;F",$A302="CE",Q$7="No aplica"),0,'BOULEVARD 5'!T300-'BOULEVARD PPTO'!L295)</f>
        <v>0</v>
      </c>
      <c r="R302" s="760">
        <f>IF(OR($A302="F&amp;F",$A302="CE",R$7="No aplica"),0,'BOULEVARD 5'!U300-'BOULEVARD PPTO'!M295)</f>
        <v>0</v>
      </c>
      <c r="S302" s="760">
        <f>IF(OR($A302="F&amp;F",$A302="CE",S$7="No aplica"),0,'BOULEVARD 5'!V300-'BOULEVARD PPTO'!N295)</f>
        <v>0</v>
      </c>
      <c r="T302" s="760">
        <f>IF(OR($A302="F&amp;F",$A302="CE",T$7="No aplica"),0,'BOULEVARD 5'!W300-'BOULEVARD PPTO'!O295)</f>
        <v>0</v>
      </c>
      <c r="U302" s="760">
        <f>IF(OR($A302="F&amp;F",$A302="CE",U$7="No aplica"),0,'BOULEVARD 5'!X300-'BOULEVARD PPTO'!P295)</f>
        <v>0</v>
      </c>
      <c r="V302" s="760">
        <f>IF(OR($A302="F&amp;F",$A302="CE",V$7="No aplica"),0,'BOULEVARD 5'!Y300-'BOULEVARD PPTO'!Q295)</f>
        <v>0</v>
      </c>
      <c r="W302" s="760">
        <f>IF(OR($A302="F&amp;F",$A302="CE",W$7="No aplica"),0,'BOULEVARD 5'!Z300-'BOULEVARD PPTO'!R295)</f>
        <v>0</v>
      </c>
      <c r="X302" s="760">
        <f>IF(OR($A302="F&amp;F",$A302="CE",X$7="No aplica"),0,'BOULEVARD 5'!AA300-'BOULEVARD PPTO'!S295)</f>
        <v>0</v>
      </c>
      <c r="Y302" s="760">
        <f>IF(OR($A302="F&amp;F",$A302="CE",Y$7="No aplica"),0,'BOULEVARD 5'!AB300-'BOULEVARD PPTO'!T295)</f>
        <v>0</v>
      </c>
      <c r="Z302" s="760">
        <f>IF(OR($A302="F&amp;F",$A302="CE",Z$7="No aplica"),0,'BOULEVARD 5'!AC300-'BOULEVARD PPTO'!U295)</f>
        <v>0</v>
      </c>
      <c r="AA302" s="760">
        <f>IF(OR($A302="F&amp;F",$A302="CE",AA$7="No aplica"),0,'BOULEVARD 5'!AD300-'BOULEVARD PPTO'!V295)</f>
        <v>0</v>
      </c>
      <c r="AB302" s="760">
        <f>IF(OR($A302="F&amp;F",$A302="CE",AB$7="No aplica"),0,'BOULEVARD 5'!AE300-'BOULEVARD PPTO'!W295)</f>
        <v>0</v>
      </c>
      <c r="AC302" s="760">
        <f>IF(OR($A302="F&amp;F",$A302="CE",AC$7="No aplica"),0,'BOULEVARD 5'!AF300-'BOULEVARD PPTO'!X295)</f>
        <v>0</v>
      </c>
      <c r="AD302" s="760">
        <f>IF(OR($A302="F&amp;F",$A302="CE",AD$7="No aplica"),0,'BOULEVARD 5'!AG300-'BOULEVARD PPTO'!Y295)</f>
        <v>0</v>
      </c>
      <c r="AE302" s="760">
        <f>IF(OR($A302="F&amp;F",$A302="CE",AE$7="No aplica"),0,'BOULEVARD 5'!AH300-'BOULEVARD PPTO'!Z295)</f>
        <v>0</v>
      </c>
      <c r="AF302" s="760">
        <f>IF(OR($A302="F&amp;F",$A302="CE",AF$7="No aplica"),0,'BOULEVARD 5'!AI300-'BOULEVARD PPTO'!AA295)</f>
        <v>0</v>
      </c>
      <c r="AG302" s="760">
        <f>IF(OR($A302="F&amp;F",$A302="CE",AG$7="No aplica"),0,'BOULEVARD 5'!AJ300-'BOULEVARD PPTO'!AB295)</f>
        <v>0</v>
      </c>
      <c r="AH302" s="760">
        <f>IF(OR($A302="F&amp;F",$A302="CE",AH$7="No aplica"),0,'BOULEVARD 5'!AK300-'BOULEVARD PPTO'!AC295)</f>
        <v>0</v>
      </c>
      <c r="AI302" s="760">
        <f>IF(OR($A302="F&amp;F",$A302="CE",AI$7="No aplica"),0,'BOULEVARD 5'!AL300-'BOULEVARD PPTO'!AD295)</f>
        <v>0</v>
      </c>
      <c r="AJ302" s="760">
        <f>IF(OR($A302="F&amp;F",$A302="CE",AJ$7="No aplica"),0,'BOULEVARD 5'!AM300-'BOULEVARD PPTO'!AE295)</f>
        <v>0</v>
      </c>
      <c r="AK302" s="760">
        <f>IF(OR($A302="F&amp;F",$A302="CE",AK$7="No aplica"),0,'BOULEVARD 5'!AN300-'BOULEVARD PPTO'!AF295)</f>
        <v>0</v>
      </c>
      <c r="AL302" s="760">
        <f>IF(OR($A302="F&amp;F",$A302="CE",AL$7="No aplica"),0,'BOULEVARD 5'!AO300-'BOULEVARD PPTO'!AG295)</f>
        <v>0</v>
      </c>
      <c r="AM302" s="760">
        <f>IF(OR($A302="F&amp;F",$A302="CE",AM$7="No aplica"),0,'BOULEVARD 5'!AP300-'BOULEVARD PPTO'!AH295)</f>
        <v>0</v>
      </c>
      <c r="AN302" s="760">
        <f>IF(OR($A302="F&amp;F",$A302="CE",AN$7="No aplica"),0,'BOULEVARD 5'!AQ300-'BOULEVARD PPTO'!AI295)</f>
        <v>0</v>
      </c>
      <c r="AO302" s="760">
        <f>IF(OR($A302="F&amp;F",$A302="CE",AO$7="No aplica"),0,'BOULEVARD 5'!AS300-'BOULEVARD PPTO'!AJ295)</f>
        <v>0</v>
      </c>
      <c r="AP302" s="761">
        <f t="shared" si="28"/>
        <v>0</v>
      </c>
      <c r="AQ302" s="761">
        <f t="shared" si="29"/>
        <v>0</v>
      </c>
      <c r="AR302" s="674">
        <f>IF(A302=0,'BOULEVARD 5'!BF300,0)</f>
        <v>0</v>
      </c>
      <c r="AS302" s="674">
        <f>IF(A302=0,'BOULEVARD 5'!BG300,0)</f>
        <v>0</v>
      </c>
      <c r="AT302" s="675" t="str">
        <f t="shared" si="27"/>
        <v>Vendido</v>
      </c>
      <c r="AU302" s="581" t="str">
        <f t="shared" si="31"/>
        <v/>
      </c>
      <c r="AV302" s="760">
        <f t="shared" si="30"/>
        <v>0</v>
      </c>
    </row>
    <row r="303" spans="1:48" s="581" customFormat="1" ht="12.4" customHeight="1" outlineLevel="1" x14ac:dyDescent="0.25">
      <c r="A303" s="703" t="str">
        <f>'BOULEVARD 5'!BQ301</f>
        <v>F&amp;F</v>
      </c>
      <c r="B303" s="704">
        <v>1902</v>
      </c>
      <c r="C303" s="704" t="s">
        <v>686</v>
      </c>
      <c r="D303" s="704"/>
      <c r="E303" s="704" t="str">
        <f>IF('BOULEVARD 5'!E301&lt;&gt;0,'BOULEVARD 5'!E301,"")</f>
        <v>Ronaldo</v>
      </c>
      <c r="F303" s="705" t="str">
        <f>IF('BOULEVARD 5'!F301&lt;&gt;0,'BOULEVARD 5'!F301,"")</f>
        <v>International Coffee Industry, S.A</v>
      </c>
      <c r="G303" s="566">
        <f>IF('BOULEVARD 5'!G301="","",'BOULEVARD 5'!G301)</f>
        <v>45300</v>
      </c>
      <c r="H303" s="756">
        <f>IF(OR($A303="F&amp;F",$A303="CE",H$7="No aplica"),0,'BOULEVARD 5'!K301-'BOULEVARD PPTO'!C296)</f>
        <v>0</v>
      </c>
      <c r="I303" s="756">
        <f>IF(OR($A303="F&amp;F",$A303="CE",I$7="No aplica"),0,'BOULEVARD 5'!L301-'BOULEVARD PPTO'!D296)</f>
        <v>0</v>
      </c>
      <c r="J303" s="756">
        <f>IF(OR($A303="F&amp;F",$A303="CE",J$7="No aplica"),0,'BOULEVARD 5'!M301-'BOULEVARD PPTO'!E296)</f>
        <v>0</v>
      </c>
      <c r="K303" s="756">
        <f>IF(OR($A303="F&amp;F",$A303="CE",K$7="No aplica"),0,'BOULEVARD 5'!N301-'BOULEVARD PPTO'!F296)</f>
        <v>0</v>
      </c>
      <c r="L303" s="756">
        <f>IF(OR($A303="F&amp;F",$A303="CE",L$7="No aplica"),0,'BOULEVARD 5'!O301-'BOULEVARD PPTO'!G296)</f>
        <v>0</v>
      </c>
      <c r="M303" s="756">
        <f>IF(OR($A303="F&amp;F",$A303="CE",M$7="No aplica"),0,'BOULEVARD 5'!P301-'BOULEVARD PPTO'!H296)</f>
        <v>0</v>
      </c>
      <c r="N303" s="756">
        <f>IF(OR($A303="F&amp;F",$A303="CE",N$7="No aplica"),0,'BOULEVARD 5'!Q301-'BOULEVARD PPTO'!I296)</f>
        <v>0</v>
      </c>
      <c r="O303" s="756">
        <f>IF(OR($A303="F&amp;F",$A303="CE",O$7="No aplica"),0,'BOULEVARD 5'!R301-'BOULEVARD PPTO'!J296)</f>
        <v>0</v>
      </c>
      <c r="P303" s="756">
        <f>IF(OR($A303="F&amp;F",$A303="CE",P$7="No aplica"),0,'BOULEVARD 5'!S301-'BOULEVARD PPTO'!K296)</f>
        <v>0</v>
      </c>
      <c r="Q303" s="760">
        <f>IF(OR($A303="F&amp;F",$A303="CE",Q$7="No aplica"),0,'BOULEVARD 5'!T301-'BOULEVARD PPTO'!L296)</f>
        <v>0</v>
      </c>
      <c r="R303" s="760">
        <f>IF(OR($A303="F&amp;F",$A303="CE",R$7="No aplica"),0,'BOULEVARD 5'!U301-'BOULEVARD PPTO'!M296)</f>
        <v>0</v>
      </c>
      <c r="S303" s="760">
        <f>IF(OR($A303="F&amp;F",$A303="CE",S$7="No aplica"),0,'BOULEVARD 5'!V301-'BOULEVARD PPTO'!N296)</f>
        <v>0</v>
      </c>
      <c r="T303" s="760">
        <f>IF(OR($A303="F&amp;F",$A303="CE",T$7="No aplica"),0,'BOULEVARD 5'!W301-'BOULEVARD PPTO'!O296)</f>
        <v>0</v>
      </c>
      <c r="U303" s="760">
        <f>IF(OR($A303="F&amp;F",$A303="CE",U$7="No aplica"),0,'BOULEVARD 5'!X301-'BOULEVARD PPTO'!P296)</f>
        <v>0</v>
      </c>
      <c r="V303" s="760">
        <f>IF(OR($A303="F&amp;F",$A303="CE",V$7="No aplica"),0,'BOULEVARD 5'!Y301-'BOULEVARD PPTO'!Q296)</f>
        <v>0</v>
      </c>
      <c r="W303" s="760">
        <f>IF(OR($A303="F&amp;F",$A303="CE",W$7="No aplica"),0,'BOULEVARD 5'!Z301-'BOULEVARD PPTO'!R296)</f>
        <v>0</v>
      </c>
      <c r="X303" s="760">
        <f>IF(OR($A303="F&amp;F",$A303="CE",X$7="No aplica"),0,'BOULEVARD 5'!AA301-'BOULEVARD PPTO'!S296)</f>
        <v>0</v>
      </c>
      <c r="Y303" s="760">
        <f>IF(OR($A303="F&amp;F",$A303="CE",Y$7="No aplica"),0,'BOULEVARD 5'!AB301-'BOULEVARD PPTO'!T296)</f>
        <v>0</v>
      </c>
      <c r="Z303" s="760">
        <f>IF(OR($A303="F&amp;F",$A303="CE",Z$7="No aplica"),0,'BOULEVARD 5'!AC301-'BOULEVARD PPTO'!U296)</f>
        <v>0</v>
      </c>
      <c r="AA303" s="760">
        <f>IF(OR($A303="F&amp;F",$A303="CE",AA$7="No aplica"),0,'BOULEVARD 5'!AD301-'BOULEVARD PPTO'!V296)</f>
        <v>0</v>
      </c>
      <c r="AB303" s="760">
        <f>IF(OR($A303="F&amp;F",$A303="CE",AB$7="No aplica"),0,'BOULEVARD 5'!AE301-'BOULEVARD PPTO'!W296)</f>
        <v>0</v>
      </c>
      <c r="AC303" s="760">
        <f>IF(OR($A303="F&amp;F",$A303="CE",AC$7="No aplica"),0,'BOULEVARD 5'!AF301-'BOULEVARD PPTO'!X296)</f>
        <v>0</v>
      </c>
      <c r="AD303" s="760">
        <f>IF(OR($A303="F&amp;F",$A303="CE",AD$7="No aplica"),0,'BOULEVARD 5'!AG301-'BOULEVARD PPTO'!Y296)</f>
        <v>0</v>
      </c>
      <c r="AE303" s="760">
        <f>IF(OR($A303="F&amp;F",$A303="CE",AE$7="No aplica"),0,'BOULEVARD 5'!AH301-'BOULEVARD PPTO'!Z296)</f>
        <v>0</v>
      </c>
      <c r="AF303" s="760">
        <f>IF(OR($A303="F&amp;F",$A303="CE",AF$7="No aplica"),0,'BOULEVARD 5'!AI301-'BOULEVARD PPTO'!AA296)</f>
        <v>0</v>
      </c>
      <c r="AG303" s="760">
        <f>IF(OR($A303="F&amp;F",$A303="CE",AG$7="No aplica"),0,'BOULEVARD 5'!AJ301-'BOULEVARD PPTO'!AB296)</f>
        <v>0</v>
      </c>
      <c r="AH303" s="760">
        <f>IF(OR($A303="F&amp;F",$A303="CE",AH$7="No aplica"),0,'BOULEVARD 5'!AK301-'BOULEVARD PPTO'!AC296)</f>
        <v>0</v>
      </c>
      <c r="AI303" s="760">
        <f>IF(OR($A303="F&amp;F",$A303="CE",AI$7="No aplica"),0,'BOULEVARD 5'!AL301-'BOULEVARD PPTO'!AD296)</f>
        <v>0</v>
      </c>
      <c r="AJ303" s="760">
        <f>IF(OR($A303="F&amp;F",$A303="CE",AJ$7="No aplica"),0,'BOULEVARD 5'!AM301-'BOULEVARD PPTO'!AE296)</f>
        <v>0</v>
      </c>
      <c r="AK303" s="760">
        <f>IF(OR($A303="F&amp;F",$A303="CE",AK$7="No aplica"),0,'BOULEVARD 5'!AN301-'BOULEVARD PPTO'!AF296)</f>
        <v>0</v>
      </c>
      <c r="AL303" s="760">
        <f>IF(OR($A303="F&amp;F",$A303="CE",AL$7="No aplica"),0,'BOULEVARD 5'!AO301-'BOULEVARD PPTO'!AG296)</f>
        <v>0</v>
      </c>
      <c r="AM303" s="760">
        <f>IF(OR($A303="F&amp;F",$A303="CE",AM$7="No aplica"),0,'BOULEVARD 5'!AP301-'BOULEVARD PPTO'!AH296)</f>
        <v>0</v>
      </c>
      <c r="AN303" s="760">
        <f>IF(OR($A303="F&amp;F",$A303="CE",AN$7="No aplica"),0,'BOULEVARD 5'!AQ301-'BOULEVARD PPTO'!AI296)</f>
        <v>0</v>
      </c>
      <c r="AO303" s="760">
        <f>IF(OR($A303="F&amp;F",$A303="CE",AO$7="No aplica"),0,'BOULEVARD 5'!AS301-'BOULEVARD PPTO'!AJ296)</f>
        <v>0</v>
      </c>
      <c r="AP303" s="761">
        <f t="shared" si="28"/>
        <v>0</v>
      </c>
      <c r="AQ303" s="761">
        <f t="shared" si="29"/>
        <v>0</v>
      </c>
      <c r="AR303" s="674">
        <f>IF(A303=0,'BOULEVARD 5'!BF301,0)</f>
        <v>0</v>
      </c>
      <c r="AS303" s="674">
        <f>IF(A303=0,'BOULEVARD 5'!BG301,0)</f>
        <v>0</v>
      </c>
      <c r="AT303" s="675" t="str">
        <f t="shared" si="27"/>
        <v>Vendido</v>
      </c>
      <c r="AU303" s="581" t="str">
        <f t="shared" si="31"/>
        <v/>
      </c>
      <c r="AV303" s="760">
        <f t="shared" si="30"/>
        <v>0</v>
      </c>
    </row>
    <row r="304" spans="1:48" s="581" customFormat="1" ht="12.4" customHeight="1" outlineLevel="1" x14ac:dyDescent="0.25">
      <c r="A304" s="703" t="str">
        <f>'BOULEVARD 5'!BQ302</f>
        <v>F&amp;F</v>
      </c>
      <c r="B304" s="704">
        <v>1903</v>
      </c>
      <c r="C304" s="704" t="s">
        <v>689</v>
      </c>
      <c r="D304" s="704"/>
      <c r="E304" s="704" t="str">
        <f>IF('BOULEVARD 5'!E302&lt;&gt;0,'BOULEVARD 5'!E302,"")</f>
        <v>Ronaldo</v>
      </c>
      <c r="F304" s="705" t="str">
        <f>IF('BOULEVARD 5'!F302&lt;&gt;0,'BOULEVARD 5'!F302,"")</f>
        <v>International Coffee Industry, S.A</v>
      </c>
      <c r="G304" s="566">
        <f>IF('BOULEVARD 5'!G302="","",'BOULEVARD 5'!G302)</f>
        <v>45300</v>
      </c>
      <c r="H304" s="756">
        <f>IF(OR($A304="F&amp;F",$A304="CE",H$7="No aplica"),0,'BOULEVARD 5'!K302-'BOULEVARD PPTO'!C297)</f>
        <v>0</v>
      </c>
      <c r="I304" s="756">
        <f>IF(OR($A304="F&amp;F",$A304="CE",I$7="No aplica"),0,'BOULEVARD 5'!L302-'BOULEVARD PPTO'!D297)</f>
        <v>0</v>
      </c>
      <c r="J304" s="756">
        <f>IF(OR($A304="F&amp;F",$A304="CE",J$7="No aplica"),0,'BOULEVARD 5'!M302-'BOULEVARD PPTO'!E297)</f>
        <v>0</v>
      </c>
      <c r="K304" s="756">
        <f>IF(OR($A304="F&amp;F",$A304="CE",K$7="No aplica"),0,'BOULEVARD 5'!N302-'BOULEVARD PPTO'!F297)</f>
        <v>0</v>
      </c>
      <c r="L304" s="756">
        <f>IF(OR($A304="F&amp;F",$A304="CE",L$7="No aplica"),0,'BOULEVARD 5'!O302-'BOULEVARD PPTO'!G297)</f>
        <v>0</v>
      </c>
      <c r="M304" s="756">
        <f>IF(OR($A304="F&amp;F",$A304="CE",M$7="No aplica"),0,'BOULEVARD 5'!P302-'BOULEVARD PPTO'!H297)</f>
        <v>0</v>
      </c>
      <c r="N304" s="756">
        <f>IF(OR($A304="F&amp;F",$A304="CE",N$7="No aplica"),0,'BOULEVARD 5'!Q302-'BOULEVARD PPTO'!I297)</f>
        <v>0</v>
      </c>
      <c r="O304" s="756">
        <f>IF(OR($A304="F&amp;F",$A304="CE",O$7="No aplica"),0,'BOULEVARD 5'!R302-'BOULEVARD PPTO'!J297)</f>
        <v>0</v>
      </c>
      <c r="P304" s="756">
        <f>IF(OR($A304="F&amp;F",$A304="CE",P$7="No aplica"),0,'BOULEVARD 5'!S302-'BOULEVARD PPTO'!K297)</f>
        <v>0</v>
      </c>
      <c r="Q304" s="760">
        <f>IF(OR($A304="F&amp;F",$A304="CE",Q$7="No aplica"),0,'BOULEVARD 5'!T302-'BOULEVARD PPTO'!L297)</f>
        <v>0</v>
      </c>
      <c r="R304" s="760">
        <f>IF(OR($A304="F&amp;F",$A304="CE",R$7="No aplica"),0,'BOULEVARD 5'!U302-'BOULEVARD PPTO'!M297)</f>
        <v>0</v>
      </c>
      <c r="S304" s="760">
        <f>IF(OR($A304="F&amp;F",$A304="CE",S$7="No aplica"),0,'BOULEVARD 5'!V302-'BOULEVARD PPTO'!N297)</f>
        <v>0</v>
      </c>
      <c r="T304" s="760">
        <f>IF(OR($A304="F&amp;F",$A304="CE",T$7="No aplica"),0,'BOULEVARD 5'!W302-'BOULEVARD PPTO'!O297)</f>
        <v>0</v>
      </c>
      <c r="U304" s="760">
        <f>IF(OR($A304="F&amp;F",$A304="CE",U$7="No aplica"),0,'BOULEVARD 5'!X302-'BOULEVARD PPTO'!P297)</f>
        <v>0</v>
      </c>
      <c r="V304" s="760">
        <f>IF(OR($A304="F&amp;F",$A304="CE",V$7="No aplica"),0,'BOULEVARD 5'!Y302-'BOULEVARD PPTO'!Q297)</f>
        <v>0</v>
      </c>
      <c r="W304" s="760">
        <f>IF(OR($A304="F&amp;F",$A304="CE",W$7="No aplica"),0,'BOULEVARD 5'!Z302-'BOULEVARD PPTO'!R297)</f>
        <v>0</v>
      </c>
      <c r="X304" s="760">
        <f>IF(OR($A304="F&amp;F",$A304="CE",X$7="No aplica"),0,'BOULEVARD 5'!AA302-'BOULEVARD PPTO'!S297)</f>
        <v>0</v>
      </c>
      <c r="Y304" s="760">
        <f>IF(OR($A304="F&amp;F",$A304="CE",Y$7="No aplica"),0,'BOULEVARD 5'!AB302-'BOULEVARD PPTO'!T297)</f>
        <v>0</v>
      </c>
      <c r="Z304" s="760">
        <f>IF(OR($A304="F&amp;F",$A304="CE",Z$7="No aplica"),0,'BOULEVARD 5'!AC302-'BOULEVARD PPTO'!U297)</f>
        <v>0</v>
      </c>
      <c r="AA304" s="760">
        <f>IF(OR($A304="F&amp;F",$A304="CE",AA$7="No aplica"),0,'BOULEVARD 5'!AD302-'BOULEVARD PPTO'!V297)</f>
        <v>0</v>
      </c>
      <c r="AB304" s="760">
        <f>IF(OR($A304="F&amp;F",$A304="CE",AB$7="No aplica"),0,'BOULEVARD 5'!AE302-'BOULEVARD PPTO'!W297)</f>
        <v>0</v>
      </c>
      <c r="AC304" s="760">
        <f>IF(OR($A304="F&amp;F",$A304="CE",AC$7="No aplica"),0,'BOULEVARD 5'!AF302-'BOULEVARD PPTO'!X297)</f>
        <v>0</v>
      </c>
      <c r="AD304" s="760">
        <f>IF(OR($A304="F&amp;F",$A304="CE",AD$7="No aplica"),0,'BOULEVARD 5'!AG302-'BOULEVARD PPTO'!Y297)</f>
        <v>0</v>
      </c>
      <c r="AE304" s="760">
        <f>IF(OR($A304="F&amp;F",$A304="CE",AE$7="No aplica"),0,'BOULEVARD 5'!AH302-'BOULEVARD PPTO'!Z297)</f>
        <v>0</v>
      </c>
      <c r="AF304" s="760">
        <f>IF(OR($A304="F&amp;F",$A304="CE",AF$7="No aplica"),0,'BOULEVARD 5'!AI302-'BOULEVARD PPTO'!AA297)</f>
        <v>0</v>
      </c>
      <c r="AG304" s="760">
        <f>IF(OR($A304="F&amp;F",$A304="CE",AG$7="No aplica"),0,'BOULEVARD 5'!AJ302-'BOULEVARD PPTO'!AB297)</f>
        <v>0</v>
      </c>
      <c r="AH304" s="760">
        <f>IF(OR($A304="F&amp;F",$A304="CE",AH$7="No aplica"),0,'BOULEVARD 5'!AK302-'BOULEVARD PPTO'!AC297)</f>
        <v>0</v>
      </c>
      <c r="AI304" s="760">
        <f>IF(OR($A304="F&amp;F",$A304="CE",AI$7="No aplica"),0,'BOULEVARD 5'!AL302-'BOULEVARD PPTO'!AD297)</f>
        <v>0</v>
      </c>
      <c r="AJ304" s="760">
        <f>IF(OR($A304="F&amp;F",$A304="CE",AJ$7="No aplica"),0,'BOULEVARD 5'!AM302-'BOULEVARD PPTO'!AE297)</f>
        <v>0</v>
      </c>
      <c r="AK304" s="760">
        <f>IF(OR($A304="F&amp;F",$A304="CE",AK$7="No aplica"),0,'BOULEVARD 5'!AN302-'BOULEVARD PPTO'!AF297)</f>
        <v>0</v>
      </c>
      <c r="AL304" s="760">
        <f>IF(OR($A304="F&amp;F",$A304="CE",AL$7="No aplica"),0,'BOULEVARD 5'!AO302-'BOULEVARD PPTO'!AG297)</f>
        <v>0</v>
      </c>
      <c r="AM304" s="760">
        <f>IF(OR($A304="F&amp;F",$A304="CE",AM$7="No aplica"),0,'BOULEVARD 5'!AP302-'BOULEVARD PPTO'!AH297)</f>
        <v>0</v>
      </c>
      <c r="AN304" s="760">
        <f>IF(OR($A304="F&amp;F",$A304="CE",AN$7="No aplica"),0,'BOULEVARD 5'!AQ302-'BOULEVARD PPTO'!AI297)</f>
        <v>0</v>
      </c>
      <c r="AO304" s="760">
        <f>IF(OR($A304="F&amp;F",$A304="CE",AO$7="No aplica"),0,'BOULEVARD 5'!AS302-'BOULEVARD PPTO'!AJ297)</f>
        <v>0</v>
      </c>
      <c r="AP304" s="761">
        <f t="shared" si="28"/>
        <v>0</v>
      </c>
      <c r="AQ304" s="761">
        <f t="shared" si="29"/>
        <v>0</v>
      </c>
      <c r="AR304" s="674">
        <f>IF(A304=0,'BOULEVARD 5'!BF302,0)</f>
        <v>0</v>
      </c>
      <c r="AS304" s="674">
        <f>IF(A304=0,'BOULEVARD 5'!BG302,0)</f>
        <v>0</v>
      </c>
      <c r="AT304" s="675" t="str">
        <f t="shared" si="27"/>
        <v>Vendido</v>
      </c>
      <c r="AU304" s="581" t="str">
        <f t="shared" si="31"/>
        <v/>
      </c>
      <c r="AV304" s="760">
        <f t="shared" si="30"/>
        <v>0</v>
      </c>
    </row>
    <row r="305" spans="1:48" s="581" customFormat="1" ht="12.4" customHeight="1" outlineLevel="1" x14ac:dyDescent="0.25">
      <c r="A305" s="703" t="str">
        <f>'BOULEVARD 5'!BQ303</f>
        <v>F&amp;F</v>
      </c>
      <c r="B305" s="704">
        <v>1904</v>
      </c>
      <c r="C305" s="704" t="s">
        <v>686</v>
      </c>
      <c r="D305" s="704"/>
      <c r="E305" s="704" t="str">
        <f>IF('BOULEVARD 5'!E303&lt;&gt;0,'BOULEVARD 5'!E303,"")</f>
        <v>Ronaldo</v>
      </c>
      <c r="F305" s="705" t="str">
        <f>IF('BOULEVARD 5'!F303&lt;&gt;0,'BOULEVARD 5'!F303,"")</f>
        <v>International Coffee Industry, S.A</v>
      </c>
      <c r="G305" s="566">
        <f>IF('BOULEVARD 5'!G303="","",'BOULEVARD 5'!G303)</f>
        <v>45300</v>
      </c>
      <c r="H305" s="756">
        <f>IF(OR($A305="F&amp;F",$A305="CE",H$7="No aplica"),0,'BOULEVARD 5'!K303-'BOULEVARD PPTO'!C298)</f>
        <v>0</v>
      </c>
      <c r="I305" s="756">
        <f>IF(OR($A305="F&amp;F",$A305="CE",I$7="No aplica"),0,'BOULEVARD 5'!L303-'BOULEVARD PPTO'!D298)</f>
        <v>0</v>
      </c>
      <c r="J305" s="756">
        <f>IF(OR($A305="F&amp;F",$A305="CE",J$7="No aplica"),0,'BOULEVARD 5'!M303-'BOULEVARD PPTO'!E298)</f>
        <v>0</v>
      </c>
      <c r="K305" s="756">
        <f>IF(OR($A305="F&amp;F",$A305="CE",K$7="No aplica"),0,'BOULEVARD 5'!N303-'BOULEVARD PPTO'!F298)</f>
        <v>0</v>
      </c>
      <c r="L305" s="756">
        <f>IF(OR($A305="F&amp;F",$A305="CE",L$7="No aplica"),0,'BOULEVARD 5'!O303-'BOULEVARD PPTO'!G298)</f>
        <v>0</v>
      </c>
      <c r="M305" s="756">
        <f>IF(OR($A305="F&amp;F",$A305="CE",M$7="No aplica"),0,'BOULEVARD 5'!P303-'BOULEVARD PPTO'!H298)</f>
        <v>0</v>
      </c>
      <c r="N305" s="756">
        <f>IF(OR($A305="F&amp;F",$A305="CE",N$7="No aplica"),0,'BOULEVARD 5'!Q303-'BOULEVARD PPTO'!I298)</f>
        <v>0</v>
      </c>
      <c r="O305" s="756">
        <f>IF(OR($A305="F&amp;F",$A305="CE",O$7="No aplica"),0,'BOULEVARD 5'!R303-'BOULEVARD PPTO'!J298)</f>
        <v>0</v>
      </c>
      <c r="P305" s="756">
        <f>IF(OR($A305="F&amp;F",$A305="CE",P$7="No aplica"),0,'BOULEVARD 5'!S303-'BOULEVARD PPTO'!K298)</f>
        <v>0</v>
      </c>
      <c r="Q305" s="760">
        <f>IF(OR($A305="F&amp;F",$A305="CE",Q$7="No aplica"),0,'BOULEVARD 5'!T303-'BOULEVARD PPTO'!L298)</f>
        <v>0</v>
      </c>
      <c r="R305" s="760">
        <f>IF(OR($A305="F&amp;F",$A305="CE",R$7="No aplica"),0,'BOULEVARD 5'!U303-'BOULEVARD PPTO'!M298)</f>
        <v>0</v>
      </c>
      <c r="S305" s="760">
        <f>IF(OR($A305="F&amp;F",$A305="CE",S$7="No aplica"),0,'BOULEVARD 5'!V303-'BOULEVARD PPTO'!N298)</f>
        <v>0</v>
      </c>
      <c r="T305" s="760">
        <f>IF(OR($A305="F&amp;F",$A305="CE",T$7="No aplica"),0,'BOULEVARD 5'!W303-'BOULEVARD PPTO'!O298)</f>
        <v>0</v>
      </c>
      <c r="U305" s="760">
        <f>IF(OR($A305="F&amp;F",$A305="CE",U$7="No aplica"),0,'BOULEVARD 5'!X303-'BOULEVARD PPTO'!P298)</f>
        <v>0</v>
      </c>
      <c r="V305" s="760">
        <f>IF(OR($A305="F&amp;F",$A305="CE",V$7="No aplica"),0,'BOULEVARD 5'!Y303-'BOULEVARD PPTO'!Q298)</f>
        <v>0</v>
      </c>
      <c r="W305" s="760">
        <f>IF(OR($A305="F&amp;F",$A305="CE",W$7="No aplica"),0,'BOULEVARD 5'!Z303-'BOULEVARD PPTO'!R298)</f>
        <v>0</v>
      </c>
      <c r="X305" s="760">
        <f>IF(OR($A305="F&amp;F",$A305="CE",X$7="No aplica"),0,'BOULEVARD 5'!AA303-'BOULEVARD PPTO'!S298)</f>
        <v>0</v>
      </c>
      <c r="Y305" s="760">
        <f>IF(OR($A305="F&amp;F",$A305="CE",Y$7="No aplica"),0,'BOULEVARD 5'!AB303-'BOULEVARD PPTO'!T298)</f>
        <v>0</v>
      </c>
      <c r="Z305" s="760">
        <f>IF(OR($A305="F&amp;F",$A305="CE",Z$7="No aplica"),0,'BOULEVARD 5'!AC303-'BOULEVARD PPTO'!U298)</f>
        <v>0</v>
      </c>
      <c r="AA305" s="760">
        <f>IF(OR($A305="F&amp;F",$A305="CE",AA$7="No aplica"),0,'BOULEVARD 5'!AD303-'BOULEVARD PPTO'!V298)</f>
        <v>0</v>
      </c>
      <c r="AB305" s="760">
        <f>IF(OR($A305="F&amp;F",$A305="CE",AB$7="No aplica"),0,'BOULEVARD 5'!AE303-'BOULEVARD PPTO'!W298)</f>
        <v>0</v>
      </c>
      <c r="AC305" s="760">
        <f>IF(OR($A305="F&amp;F",$A305="CE",AC$7="No aplica"),0,'BOULEVARD 5'!AF303-'BOULEVARD PPTO'!X298)</f>
        <v>0</v>
      </c>
      <c r="AD305" s="760">
        <f>IF(OR($A305="F&amp;F",$A305="CE",AD$7="No aplica"),0,'BOULEVARD 5'!AG303-'BOULEVARD PPTO'!Y298)</f>
        <v>0</v>
      </c>
      <c r="AE305" s="760">
        <f>IF(OR($A305="F&amp;F",$A305="CE",AE$7="No aplica"),0,'BOULEVARD 5'!AH303-'BOULEVARD PPTO'!Z298)</f>
        <v>0</v>
      </c>
      <c r="AF305" s="760">
        <f>IF(OR($A305="F&amp;F",$A305="CE",AF$7="No aplica"),0,'BOULEVARD 5'!AI303-'BOULEVARD PPTO'!AA298)</f>
        <v>0</v>
      </c>
      <c r="AG305" s="760">
        <f>IF(OR($A305="F&amp;F",$A305="CE",AG$7="No aplica"),0,'BOULEVARD 5'!AJ303-'BOULEVARD PPTO'!AB298)</f>
        <v>0</v>
      </c>
      <c r="AH305" s="760">
        <f>IF(OR($A305="F&amp;F",$A305="CE",AH$7="No aplica"),0,'BOULEVARD 5'!AK303-'BOULEVARD PPTO'!AC298)</f>
        <v>0</v>
      </c>
      <c r="AI305" s="760">
        <f>IF(OR($A305="F&amp;F",$A305="CE",AI$7="No aplica"),0,'BOULEVARD 5'!AL303-'BOULEVARD PPTO'!AD298)</f>
        <v>0</v>
      </c>
      <c r="AJ305" s="760">
        <f>IF(OR($A305="F&amp;F",$A305="CE",AJ$7="No aplica"),0,'BOULEVARD 5'!AM303-'BOULEVARD PPTO'!AE298)</f>
        <v>0</v>
      </c>
      <c r="AK305" s="760">
        <f>IF(OR($A305="F&amp;F",$A305="CE",AK$7="No aplica"),0,'BOULEVARD 5'!AN303-'BOULEVARD PPTO'!AF298)</f>
        <v>0</v>
      </c>
      <c r="AL305" s="760">
        <f>IF(OR($A305="F&amp;F",$A305="CE",AL$7="No aplica"),0,'BOULEVARD 5'!AO303-'BOULEVARD PPTO'!AG298)</f>
        <v>0</v>
      </c>
      <c r="AM305" s="760">
        <f>IF(OR($A305="F&amp;F",$A305="CE",AM$7="No aplica"),0,'BOULEVARD 5'!AP303-'BOULEVARD PPTO'!AH298)</f>
        <v>0</v>
      </c>
      <c r="AN305" s="760">
        <f>IF(OR($A305="F&amp;F",$A305="CE",AN$7="No aplica"),0,'BOULEVARD 5'!AQ303-'BOULEVARD PPTO'!AI298)</f>
        <v>0</v>
      </c>
      <c r="AO305" s="760">
        <f>IF(OR($A305="F&amp;F",$A305="CE",AO$7="No aplica"),0,'BOULEVARD 5'!AS303-'BOULEVARD PPTO'!AJ298)</f>
        <v>0</v>
      </c>
      <c r="AP305" s="761">
        <f t="shared" si="28"/>
        <v>0</v>
      </c>
      <c r="AQ305" s="761">
        <f t="shared" si="29"/>
        <v>0</v>
      </c>
      <c r="AR305" s="674">
        <f>IF(A305=0,'BOULEVARD 5'!BF303,0)</f>
        <v>0</v>
      </c>
      <c r="AS305" s="674">
        <f>IF(A305=0,'BOULEVARD 5'!BG303,0)</f>
        <v>0</v>
      </c>
      <c r="AT305" s="675" t="str">
        <f t="shared" si="27"/>
        <v>Vendido</v>
      </c>
      <c r="AU305" s="581" t="str">
        <f t="shared" si="31"/>
        <v/>
      </c>
      <c r="AV305" s="760">
        <f t="shared" si="30"/>
        <v>0</v>
      </c>
    </row>
    <row r="306" spans="1:48" s="581" customFormat="1" ht="12.4" customHeight="1" outlineLevel="1" x14ac:dyDescent="0.25">
      <c r="A306" s="703" t="str">
        <f>'BOULEVARD 5'!BQ304</f>
        <v>F&amp;F</v>
      </c>
      <c r="B306" s="704">
        <v>1905</v>
      </c>
      <c r="C306" s="704" t="s">
        <v>463</v>
      </c>
      <c r="D306" s="704"/>
      <c r="E306" s="704" t="str">
        <f>IF('BOULEVARD 5'!E304&lt;&gt;0,'BOULEVARD 5'!E304,"")</f>
        <v>Ronaldo</v>
      </c>
      <c r="F306" s="705" t="str">
        <f>IF('BOULEVARD 5'!F304&lt;&gt;0,'BOULEVARD 5'!F304,"")</f>
        <v>International Coffee Industry, S.A</v>
      </c>
      <c r="G306" s="566">
        <f>IF('BOULEVARD 5'!G304="","",'BOULEVARD 5'!G304)</f>
        <v>45300</v>
      </c>
      <c r="H306" s="756">
        <f>IF(OR($A306="F&amp;F",$A306="CE",H$7="No aplica"),0,'BOULEVARD 5'!K304-'BOULEVARD PPTO'!C299)</f>
        <v>0</v>
      </c>
      <c r="I306" s="756">
        <f>IF(OR($A306="F&amp;F",$A306="CE",I$7="No aplica"),0,'BOULEVARD 5'!L304-'BOULEVARD PPTO'!D299)</f>
        <v>0</v>
      </c>
      <c r="J306" s="756">
        <f>IF(OR($A306="F&amp;F",$A306="CE",J$7="No aplica"),0,'BOULEVARD 5'!M304-'BOULEVARD PPTO'!E299)</f>
        <v>0</v>
      </c>
      <c r="K306" s="756">
        <f>IF(OR($A306="F&amp;F",$A306="CE",K$7="No aplica"),0,'BOULEVARD 5'!N304-'BOULEVARD PPTO'!F299)</f>
        <v>0</v>
      </c>
      <c r="L306" s="756">
        <f>IF(OR($A306="F&amp;F",$A306="CE",L$7="No aplica"),0,'BOULEVARD 5'!O304-'BOULEVARD PPTO'!G299)</f>
        <v>0</v>
      </c>
      <c r="M306" s="756">
        <f>IF(OR($A306="F&amp;F",$A306="CE",M$7="No aplica"),0,'BOULEVARD 5'!P304-'BOULEVARD PPTO'!H299)</f>
        <v>0</v>
      </c>
      <c r="N306" s="756">
        <f>IF(OR($A306="F&amp;F",$A306="CE",N$7="No aplica"),0,'BOULEVARD 5'!Q304-'BOULEVARD PPTO'!I299)</f>
        <v>0</v>
      </c>
      <c r="O306" s="756">
        <f>IF(OR($A306="F&amp;F",$A306="CE",O$7="No aplica"),0,'BOULEVARD 5'!R304-'BOULEVARD PPTO'!J299)</f>
        <v>0</v>
      </c>
      <c r="P306" s="756">
        <f>IF(OR($A306="F&amp;F",$A306="CE",P$7="No aplica"),0,'BOULEVARD 5'!S304-'BOULEVARD PPTO'!K299)</f>
        <v>0</v>
      </c>
      <c r="Q306" s="760">
        <f>IF(OR($A306="F&amp;F",$A306="CE",Q$7="No aplica"),0,'BOULEVARD 5'!T304-'BOULEVARD PPTO'!L299)</f>
        <v>0</v>
      </c>
      <c r="R306" s="760">
        <f>IF(OR($A306="F&amp;F",$A306="CE",R$7="No aplica"),0,'BOULEVARD 5'!U304-'BOULEVARD PPTO'!M299)</f>
        <v>0</v>
      </c>
      <c r="S306" s="760">
        <f>IF(OR($A306="F&amp;F",$A306="CE",S$7="No aplica"),0,'BOULEVARD 5'!V304-'BOULEVARD PPTO'!N299)</f>
        <v>0</v>
      </c>
      <c r="T306" s="760">
        <f>IF(OR($A306="F&amp;F",$A306="CE",T$7="No aplica"),0,'BOULEVARD 5'!W304-'BOULEVARD PPTO'!O299)</f>
        <v>0</v>
      </c>
      <c r="U306" s="760">
        <f>IF(OR($A306="F&amp;F",$A306="CE",U$7="No aplica"),0,'BOULEVARD 5'!X304-'BOULEVARD PPTO'!P299)</f>
        <v>0</v>
      </c>
      <c r="V306" s="760">
        <f>IF(OR($A306="F&amp;F",$A306="CE",V$7="No aplica"),0,'BOULEVARD 5'!Y304-'BOULEVARD PPTO'!Q299)</f>
        <v>0</v>
      </c>
      <c r="W306" s="760">
        <f>IF(OR($A306="F&amp;F",$A306="CE",W$7="No aplica"),0,'BOULEVARD 5'!Z304-'BOULEVARD PPTO'!R299)</f>
        <v>0</v>
      </c>
      <c r="X306" s="760">
        <f>IF(OR($A306="F&amp;F",$A306="CE",X$7="No aplica"),0,'BOULEVARD 5'!AA304-'BOULEVARD PPTO'!S299)</f>
        <v>0</v>
      </c>
      <c r="Y306" s="760">
        <f>IF(OR($A306="F&amp;F",$A306="CE",Y$7="No aplica"),0,'BOULEVARD 5'!AB304-'BOULEVARD PPTO'!T299)</f>
        <v>0</v>
      </c>
      <c r="Z306" s="760">
        <f>IF(OR($A306="F&amp;F",$A306="CE",Z$7="No aplica"),0,'BOULEVARD 5'!AC304-'BOULEVARD PPTO'!U299)</f>
        <v>0</v>
      </c>
      <c r="AA306" s="760">
        <f>IF(OR($A306="F&amp;F",$A306="CE",AA$7="No aplica"),0,'BOULEVARD 5'!AD304-'BOULEVARD PPTO'!V299)</f>
        <v>0</v>
      </c>
      <c r="AB306" s="760">
        <f>IF(OR($A306="F&amp;F",$A306="CE",AB$7="No aplica"),0,'BOULEVARD 5'!AE304-'BOULEVARD PPTO'!W299)</f>
        <v>0</v>
      </c>
      <c r="AC306" s="760">
        <f>IF(OR($A306="F&amp;F",$A306="CE",AC$7="No aplica"),0,'BOULEVARD 5'!AF304-'BOULEVARD PPTO'!X299)</f>
        <v>0</v>
      </c>
      <c r="AD306" s="760">
        <f>IF(OR($A306="F&amp;F",$A306="CE",AD$7="No aplica"),0,'BOULEVARD 5'!AG304-'BOULEVARD PPTO'!Y299)</f>
        <v>0</v>
      </c>
      <c r="AE306" s="760">
        <f>IF(OR($A306="F&amp;F",$A306="CE",AE$7="No aplica"),0,'BOULEVARD 5'!AH304-'BOULEVARD PPTO'!Z299)</f>
        <v>0</v>
      </c>
      <c r="AF306" s="760">
        <f>IF(OR($A306="F&amp;F",$A306="CE",AF$7="No aplica"),0,'BOULEVARD 5'!AI304-'BOULEVARD PPTO'!AA299)</f>
        <v>0</v>
      </c>
      <c r="AG306" s="760">
        <f>IF(OR($A306="F&amp;F",$A306="CE",AG$7="No aplica"),0,'BOULEVARD 5'!AJ304-'BOULEVARD PPTO'!AB299)</f>
        <v>0</v>
      </c>
      <c r="AH306" s="760">
        <f>IF(OR($A306="F&amp;F",$A306="CE",AH$7="No aplica"),0,'BOULEVARD 5'!AK304-'BOULEVARD PPTO'!AC299)</f>
        <v>0</v>
      </c>
      <c r="AI306" s="760">
        <f>IF(OR($A306="F&amp;F",$A306="CE",AI$7="No aplica"),0,'BOULEVARD 5'!AL304-'BOULEVARD PPTO'!AD299)</f>
        <v>0</v>
      </c>
      <c r="AJ306" s="760">
        <f>IF(OR($A306="F&amp;F",$A306="CE",AJ$7="No aplica"),0,'BOULEVARD 5'!AM304-'BOULEVARD PPTO'!AE299)</f>
        <v>0</v>
      </c>
      <c r="AK306" s="760">
        <f>IF(OR($A306="F&amp;F",$A306="CE",AK$7="No aplica"),0,'BOULEVARD 5'!AN304-'BOULEVARD PPTO'!AF299)</f>
        <v>0</v>
      </c>
      <c r="AL306" s="760">
        <f>IF(OR($A306="F&amp;F",$A306="CE",AL$7="No aplica"),0,'BOULEVARD 5'!AO304-'BOULEVARD PPTO'!AG299)</f>
        <v>0</v>
      </c>
      <c r="AM306" s="760">
        <f>IF(OR($A306="F&amp;F",$A306="CE",AM$7="No aplica"),0,'BOULEVARD 5'!AP304-'BOULEVARD PPTO'!AH299)</f>
        <v>0</v>
      </c>
      <c r="AN306" s="760">
        <f>IF(OR($A306="F&amp;F",$A306="CE",AN$7="No aplica"),0,'BOULEVARD 5'!AQ304-'BOULEVARD PPTO'!AI299)</f>
        <v>0</v>
      </c>
      <c r="AO306" s="760">
        <f>IF(OR($A306="F&amp;F",$A306="CE",AO$7="No aplica"),0,'BOULEVARD 5'!AS304-'BOULEVARD PPTO'!AJ299)</f>
        <v>0</v>
      </c>
      <c r="AP306" s="761">
        <f t="shared" si="28"/>
        <v>0</v>
      </c>
      <c r="AQ306" s="761">
        <f t="shared" si="29"/>
        <v>0</v>
      </c>
      <c r="AR306" s="674">
        <f>IF(A306=0,'BOULEVARD 5'!BF304,0)</f>
        <v>0</v>
      </c>
      <c r="AS306" s="674">
        <f>IF(A306=0,'BOULEVARD 5'!BG304,0)</f>
        <v>0</v>
      </c>
      <c r="AT306" s="675" t="str">
        <f t="shared" si="27"/>
        <v>Vendido</v>
      </c>
      <c r="AU306" s="581" t="str">
        <f t="shared" si="31"/>
        <v/>
      </c>
      <c r="AV306" s="760">
        <f t="shared" si="30"/>
        <v>0</v>
      </c>
    </row>
    <row r="307" spans="1:48" s="429" customFormat="1" ht="15" customHeight="1" outlineLevel="1" thickBot="1" x14ac:dyDescent="0.3">
      <c r="A307" s="437"/>
      <c r="B307" s="436"/>
      <c r="G307" s="436"/>
      <c r="H307" s="673">
        <f t="shared" ref="H307:AL307" si="32">SUBTOTAL(9,H9:H306)</f>
        <v>35570</v>
      </c>
      <c r="I307" s="673">
        <f t="shared" si="32"/>
        <v>-6847</v>
      </c>
      <c r="J307" s="673">
        <f t="shared" si="32"/>
        <v>343</v>
      </c>
      <c r="K307" s="673">
        <f t="shared" si="32"/>
        <v>-5907</v>
      </c>
      <c r="L307" s="673">
        <f t="shared" si="32"/>
        <v>-10401</v>
      </c>
      <c r="M307" s="673">
        <f t="shared" si="32"/>
        <v>132746</v>
      </c>
      <c r="N307" s="673">
        <f t="shared" si="32"/>
        <v>671490</v>
      </c>
      <c r="O307" s="673">
        <f t="shared" si="32"/>
        <v>-20126</v>
      </c>
      <c r="P307" s="673">
        <f t="shared" si="32"/>
        <v>-30883</v>
      </c>
      <c r="Q307" s="673">
        <f t="shared" si="32"/>
        <v>-5960</v>
      </c>
      <c r="R307" s="673">
        <f t="shared" si="32"/>
        <v>881</v>
      </c>
      <c r="S307" s="673">
        <f t="shared" si="32"/>
        <v>-21597</v>
      </c>
      <c r="T307" s="673">
        <f t="shared" si="32"/>
        <v>-75252</v>
      </c>
      <c r="U307" s="673">
        <f t="shared" si="32"/>
        <v>-21791</v>
      </c>
      <c r="V307" s="673">
        <f t="shared" si="32"/>
        <v>-96536</v>
      </c>
      <c r="W307" s="673">
        <f t="shared" si="32"/>
        <v>3692</v>
      </c>
      <c r="X307" s="673">
        <f t="shared" si="32"/>
        <v>55140</v>
      </c>
      <c r="Y307" s="673">
        <f t="shared" si="32"/>
        <v>23493</v>
      </c>
      <c r="Z307" s="673">
        <f t="shared" si="32"/>
        <v>2826</v>
      </c>
      <c r="AA307" s="673">
        <f t="shared" si="32"/>
        <v>-4136</v>
      </c>
      <c r="AB307" s="673">
        <f t="shared" si="32"/>
        <v>22799.33</v>
      </c>
      <c r="AC307" s="673">
        <f t="shared" si="32"/>
        <v>46652.56</v>
      </c>
      <c r="AD307" s="673">
        <f t="shared" si="32"/>
        <v>-67997.63</v>
      </c>
      <c r="AE307" s="673">
        <f t="shared" si="32"/>
        <v>119387.33000000002</v>
      </c>
      <c r="AF307" s="673">
        <f t="shared" si="32"/>
        <v>20435.330000000002</v>
      </c>
      <c r="AG307" s="673">
        <f t="shared" si="32"/>
        <v>144254.43000000002</v>
      </c>
      <c r="AH307" s="673">
        <f t="shared" si="32"/>
        <v>162044.33000000002</v>
      </c>
      <c r="AI307" s="673">
        <f t="shared" si="32"/>
        <v>13284.949999999997</v>
      </c>
      <c r="AJ307" s="673">
        <f t="shared" si="32"/>
        <v>162031.32799999998</v>
      </c>
      <c r="AK307" s="673">
        <f t="shared" si="32"/>
        <v>-93950.080000000002</v>
      </c>
      <c r="AL307" s="673">
        <f t="shared" si="32"/>
        <v>-44292.549999999988</v>
      </c>
      <c r="AM307" s="673">
        <f t="shared" ref="AM307:AO307" si="33">SUBTOTAL(9,AM9:AM306)</f>
        <v>295252.06999999995</v>
      </c>
      <c r="AN307" s="673">
        <f t="shared" si="33"/>
        <v>0</v>
      </c>
      <c r="AO307" s="673">
        <f t="shared" si="33"/>
        <v>0</v>
      </c>
      <c r="AP307" s="673">
        <f>SUM(AP9:AP306)</f>
        <v>1406646.398</v>
      </c>
      <c r="AQ307" s="673">
        <f>SUM(AQ9:AQ306)</f>
        <v>621034.34800000011</v>
      </c>
      <c r="AU307" s="581"/>
    </row>
    <row r="308" spans="1:48" ht="15" customHeight="1" x14ac:dyDescent="0.25">
      <c r="B308" s="436"/>
      <c r="AL308" s="775"/>
    </row>
    <row r="309" spans="1:48" ht="15" hidden="1" customHeight="1" x14ac:dyDescent="0.25">
      <c r="B309" s="436"/>
    </row>
    <row r="310" spans="1:48" s="581" customFormat="1" ht="15.75" hidden="1" x14ac:dyDescent="0.25">
      <c r="A310" s="752"/>
      <c r="B310" s="670" t="s">
        <v>342</v>
      </c>
      <c r="G310" s="564"/>
      <c r="H310" s="691"/>
      <c r="AQ310" s="564"/>
    </row>
    <row r="311" spans="1:48" s="581" customFormat="1" ht="15.75" hidden="1" x14ac:dyDescent="0.25">
      <c r="A311" s="752"/>
      <c r="B311" s="670" t="s">
        <v>851</v>
      </c>
      <c r="G311" s="564"/>
      <c r="H311" s="691"/>
      <c r="AQ311" s="564"/>
    </row>
    <row r="312" spans="1:48" ht="15" customHeight="1" x14ac:dyDescent="0.25">
      <c r="B312" s="436"/>
    </row>
    <row r="313" spans="1:48" ht="49.9" customHeight="1" outlineLevel="1" x14ac:dyDescent="0.25">
      <c r="A313" s="758" t="s">
        <v>841</v>
      </c>
      <c r="B313" s="425" t="str">
        <f t="shared" ref="B313:AO313" si="34">B8</f>
        <v>Apto.</v>
      </c>
      <c r="C313" s="425" t="str">
        <f t="shared" si="34"/>
        <v>Tipo.</v>
      </c>
      <c r="D313" s="425" t="str">
        <f t="shared" si="34"/>
        <v>Notas</v>
      </c>
      <c r="E313" s="425" t="str">
        <f t="shared" si="34"/>
        <v>Vendedor</v>
      </c>
      <c r="F313" s="425" t="str">
        <f t="shared" si="34"/>
        <v>Cliente</v>
      </c>
      <c r="G313" s="425" t="str">
        <f t="shared" si="34"/>
        <v>Fecha Reserva</v>
      </c>
      <c r="H313" s="501">
        <f t="shared" si="34"/>
        <v>45016</v>
      </c>
      <c r="I313" s="501">
        <f t="shared" si="34"/>
        <v>45046</v>
      </c>
      <c r="J313" s="501">
        <f t="shared" si="34"/>
        <v>45077</v>
      </c>
      <c r="K313" s="501">
        <f t="shared" si="34"/>
        <v>45107</v>
      </c>
      <c r="L313" s="501">
        <f t="shared" si="34"/>
        <v>45138</v>
      </c>
      <c r="M313" s="501">
        <f t="shared" si="34"/>
        <v>45169</v>
      </c>
      <c r="N313" s="501">
        <f t="shared" si="34"/>
        <v>45199</v>
      </c>
      <c r="O313" s="501">
        <f t="shared" si="34"/>
        <v>45230</v>
      </c>
      <c r="P313" s="501">
        <f t="shared" si="34"/>
        <v>45260</v>
      </c>
      <c r="Q313" s="501">
        <f t="shared" si="34"/>
        <v>45291</v>
      </c>
      <c r="R313" s="501">
        <f t="shared" si="34"/>
        <v>45322</v>
      </c>
      <c r="S313" s="501">
        <f t="shared" si="34"/>
        <v>45351</v>
      </c>
      <c r="T313" s="501">
        <f t="shared" si="34"/>
        <v>45382</v>
      </c>
      <c r="U313" s="501">
        <f t="shared" si="34"/>
        <v>45412</v>
      </c>
      <c r="V313" s="501">
        <f t="shared" si="34"/>
        <v>45443</v>
      </c>
      <c r="W313" s="501">
        <f t="shared" si="34"/>
        <v>45473</v>
      </c>
      <c r="X313" s="501">
        <f t="shared" si="34"/>
        <v>45504</v>
      </c>
      <c r="Y313" s="501">
        <f t="shared" si="34"/>
        <v>45535</v>
      </c>
      <c r="Z313" s="501">
        <f t="shared" si="34"/>
        <v>45565</v>
      </c>
      <c r="AA313" s="501">
        <f t="shared" si="34"/>
        <v>45596</v>
      </c>
      <c r="AB313" s="501">
        <f t="shared" si="34"/>
        <v>45626</v>
      </c>
      <c r="AC313" s="501">
        <f t="shared" si="34"/>
        <v>45657</v>
      </c>
      <c r="AD313" s="501">
        <f t="shared" si="34"/>
        <v>45688</v>
      </c>
      <c r="AE313" s="501">
        <f t="shared" si="34"/>
        <v>45716</v>
      </c>
      <c r="AF313" s="501">
        <f t="shared" si="34"/>
        <v>45747</v>
      </c>
      <c r="AG313" s="501">
        <f t="shared" si="34"/>
        <v>45777</v>
      </c>
      <c r="AH313" s="501">
        <f t="shared" si="34"/>
        <v>45808</v>
      </c>
      <c r="AI313" s="501">
        <f t="shared" si="34"/>
        <v>45838</v>
      </c>
      <c r="AJ313" s="501">
        <f t="shared" si="34"/>
        <v>45869</v>
      </c>
      <c r="AK313" s="501">
        <f t="shared" si="34"/>
        <v>45900</v>
      </c>
      <c r="AL313" s="501">
        <f t="shared" si="34"/>
        <v>45930</v>
      </c>
      <c r="AM313" s="501">
        <f t="shared" si="34"/>
        <v>45961</v>
      </c>
      <c r="AN313" s="501">
        <f t="shared" si="34"/>
        <v>45991</v>
      </c>
      <c r="AO313" s="501">
        <f t="shared" si="34"/>
        <v>46022</v>
      </c>
      <c r="AP313" s="687" t="s">
        <v>852</v>
      </c>
      <c r="AQ313" s="687" t="s">
        <v>853</v>
      </c>
      <c r="AR313" s="774" t="s">
        <v>854</v>
      </c>
      <c r="AS313" s="672"/>
    </row>
    <row r="314" spans="1:48" ht="13.15" customHeight="1" outlineLevel="1" x14ac:dyDescent="0.25">
      <c r="A314" s="700">
        <f>A9</f>
        <v>0</v>
      </c>
      <c r="B314" s="564">
        <f>B9</f>
        <v>101</v>
      </c>
      <c r="C314" s="564" t="str">
        <f t="shared" ref="C314:G314" si="35">C9</f>
        <v>A7.1</v>
      </c>
      <c r="D314" s="564">
        <f t="shared" si="35"/>
        <v>0</v>
      </c>
      <c r="E314" s="564" t="str">
        <f t="shared" si="35"/>
        <v>Jose Franco</v>
      </c>
      <c r="F314" s="581" t="str">
        <f t="shared" si="35"/>
        <v>Karla Michelle Abril Valencia De Galicia</v>
      </c>
      <c r="G314" s="566">
        <f t="shared" si="35"/>
        <v>45012</v>
      </c>
      <c r="H314" s="716">
        <f>IF(OR(status1B5!I9="",H$7="No aplica"),0,SUM('BOULEVARD 5'!$K7:K7)-$AP314)</f>
        <v>-58500</v>
      </c>
      <c r="I314" s="716">
        <f>IF(OR(status1B5!J9="",I$7="No aplica"),0,SUM('BOULEVARD 5'!$K7:L7)-$AP314)</f>
        <v>-56830</v>
      </c>
      <c r="J314" s="716">
        <f>IF(OR(status1B5!K9="",J$7="No aplica"),0,SUM('BOULEVARD 5'!$K7:M7)-$AP314)</f>
        <v>-55160</v>
      </c>
      <c r="K314" s="716">
        <f>IF(OR(status1B5!L9="",K$7="No aplica"),0,SUM('BOULEVARD 5'!$K7:N7)-$AP314)</f>
        <v>-53490</v>
      </c>
      <c r="L314" s="716">
        <f>IF(OR(status1B5!M9="",L$7="No aplica"),0,SUM('BOULEVARD 5'!$K7:O7)-$AP314)</f>
        <v>-51790</v>
      </c>
      <c r="M314" s="716">
        <f>IF(OR(status1B5!N9="",M$7="No aplica"),0,SUM('BOULEVARD 5'!$K7:P7)-$AP314)</f>
        <v>-50120</v>
      </c>
      <c r="N314" s="716">
        <f>IF(OR(status1B5!O9="",N$7="No aplica"),0,SUM('BOULEVARD 5'!$K7:Q7)-$AP314)</f>
        <v>-48450</v>
      </c>
      <c r="O314" s="716">
        <f>IF(OR(status1B5!P9="",O$7="No aplica"),0,SUM('BOULEVARD 5'!$K7:R7)-$AP314)</f>
        <v>-46780</v>
      </c>
      <c r="P314" s="716">
        <f>IF(OR(status1B5!Q9="",P$7="No aplica"),0,SUM('BOULEVARD 5'!$K7:S7)-$AP314)</f>
        <v>-45110</v>
      </c>
      <c r="Q314" s="716">
        <f>IF(OR(status1B5!R9="",Q$7="No aplica"),0,SUM('BOULEVARD 5'!$K7:T7)-$AP314)</f>
        <v>-43440</v>
      </c>
      <c r="R314" s="716">
        <f>IF(OR(status1B5!S9="",R$7="No aplica"),0,SUM('BOULEVARD 5'!$K7:U7)-$AP314)</f>
        <v>-41770</v>
      </c>
      <c r="S314" s="716">
        <f>IF(OR(status1B5!T9="",S$7="No aplica"),0,SUM('BOULEVARD 5'!$K7:V7)-$AP314)</f>
        <v>-40100</v>
      </c>
      <c r="T314" s="716">
        <f>IF(OR(status1B5!U9="",T$7="No aplica"),0,SUM('BOULEVARD 5'!$K7:W7)-$AP314)</f>
        <v>-38430</v>
      </c>
      <c r="U314" s="716">
        <f>IF(OR(status1B5!V9="",U$7="No aplica"),0,SUM('BOULEVARD 5'!$K7:X7)-$AP314)</f>
        <v>-36760</v>
      </c>
      <c r="V314" s="716">
        <f>IF(OR(status1B5!W9="",V$7="No aplica"),0,SUM('BOULEVARD 5'!$K7:Y7)-$AP314)</f>
        <v>-35090</v>
      </c>
      <c r="W314" s="716">
        <f>IF(OR(status1B5!X9="",W$7="No aplica"),0,SUM('BOULEVARD 5'!$K7:Z7)-$AP314)</f>
        <v>-33420</v>
      </c>
      <c r="X314" s="716">
        <f>IF(OR(status1B5!Y9="",X$7="No aplica"),0,SUM('BOULEVARD 5'!$K7:AA7)-$AP314)</f>
        <v>-31750</v>
      </c>
      <c r="Y314" s="716">
        <f>IF(OR(status1B5!Z9="",Y$7="No aplica"),0,SUM('BOULEVARD 5'!$K7:AB7)-$AP314)</f>
        <v>-30080</v>
      </c>
      <c r="Z314" s="716">
        <f>IF(OR(status1B5!AA9="",Z$7="No aplica"),0,SUM('BOULEVARD 5'!$K7:AC7)-$AP314)</f>
        <v>-28410</v>
      </c>
      <c r="AA314" s="716">
        <f>IF(OR(status1B5!AB9="",AA$7="No aplica"),0,SUM('BOULEVARD 5'!$K7:AD7)-$AP314)</f>
        <v>-26740</v>
      </c>
      <c r="AB314" s="716">
        <f>IF(OR(status1B5!AC9="",AB$7="No aplica"),0,SUM('BOULEVARD 5'!$K7:AE7)-$AP314)</f>
        <v>-25070</v>
      </c>
      <c r="AC314" s="716">
        <f>IF(OR(status1B5!AD9="",AC$7="No aplica"),0,SUM('BOULEVARD 5'!$K7:AF7)-$AP314)</f>
        <v>-23400</v>
      </c>
      <c r="AD314" s="716">
        <f>IF(OR(status1B5!AE9="",AD$7="No aplica"),0,SUM('BOULEVARD 5'!$K7:AG7)-$AP314)</f>
        <v>-21730</v>
      </c>
      <c r="AE314" s="716">
        <f>IF(OR(status1B5!AF9="",AE$7="No aplica"),0,SUM('BOULEVARD 5'!$K7:AH7)-$AP314)</f>
        <v>-20060</v>
      </c>
      <c r="AF314" s="716">
        <f>IF(OR(status1B5!AG9="",AF$7="No aplica"),0,SUM('BOULEVARD 5'!$K7:AI7)-$AP314)</f>
        <v>-18390</v>
      </c>
      <c r="AG314" s="716">
        <f>IF(OR(status1B5!AH9="",AG$7="No aplica"),0,SUM('BOULEVARD 5'!$K7:AJ7)-$AP314)</f>
        <v>-16720</v>
      </c>
      <c r="AH314" s="716">
        <f>IF(OR(status1B5!AI9="",AH$7="No aplica"),0,SUM('BOULEVARD 5'!$K7:AK7)-$AP314)</f>
        <v>-15050</v>
      </c>
      <c r="AI314" s="716">
        <f>IF(OR(status1B5!AJ9="",AI$7="No aplica"),0,SUM('BOULEVARD 5'!$K7:AL7)-$AP314)</f>
        <v>-13380</v>
      </c>
      <c r="AJ314" s="716">
        <f>IF(OR(status1B5!AK9="",AJ$7="No aplica"),0,SUM('BOULEVARD 5'!$K7:AM7)-$AP314)</f>
        <v>-11710</v>
      </c>
      <c r="AK314" s="716">
        <f>IF(OR(status1B5!AL9="",AK$7="No aplica"),0,SUM('BOULEVARD 5'!$K7:AN7)-$AP314)</f>
        <v>-10040</v>
      </c>
      <c r="AL314" s="716">
        <f>IF(OR(status1B5!AM9="",AL$7="No aplica"),0,SUM('BOULEVARD 5'!$K7:AO7)-$AP314)</f>
        <v>-8370</v>
      </c>
      <c r="AM314" s="716">
        <f>IF(OR(status1B5!AN9="",AM$7="No aplica"),0,SUM('BOULEVARD 5'!$K7:AP7)-$AP314)</f>
        <v>-6700</v>
      </c>
      <c r="AN314" s="716">
        <f>IF(OR(status1B5!AO9="",AN$7="No aplica"),0,SUM('BOULEVARD 5'!$K7:AQ7)-$AP314)</f>
        <v>0</v>
      </c>
      <c r="AO314" s="716">
        <f>IF(OR(status1B5!AP9="",AO$7="No aplica"),0,SUM('BOULEVARD 5'!$K7:AS7)-$AP314)</f>
        <v>0</v>
      </c>
      <c r="AP314" s="717">
        <f>'BOULEVARD PPTO'!BC2</f>
        <v>64500</v>
      </c>
      <c r="AQ314" s="717">
        <f>'BOULEVARD 5'!AT7</f>
        <v>62810</v>
      </c>
      <c r="AR314" s="717">
        <f>AQ314-AP314</f>
        <v>-1690</v>
      </c>
      <c r="AS314" s="717"/>
      <c r="AT314" s="581"/>
    </row>
    <row r="315" spans="1:48" ht="13.15" customHeight="1" outlineLevel="1" x14ac:dyDescent="0.25">
      <c r="A315" s="700">
        <f t="shared" ref="A315:A378" si="36">A10</f>
        <v>0</v>
      </c>
      <c r="B315" s="564">
        <f t="shared" ref="B315:G315" si="37">B10</f>
        <v>102</v>
      </c>
      <c r="C315" s="564" t="str">
        <f t="shared" si="37"/>
        <v>B4.1</v>
      </c>
      <c r="D315" s="564">
        <f t="shared" si="37"/>
        <v>0</v>
      </c>
      <c r="E315" s="564" t="str">
        <f t="shared" si="37"/>
        <v>Erwin Cardona</v>
      </c>
      <c r="F315" s="581" t="str">
        <f t="shared" si="37"/>
        <v>Irma Leticia Villatoro Bucaro</v>
      </c>
      <c r="G315" s="566">
        <f t="shared" si="37"/>
        <v>46012</v>
      </c>
      <c r="H315" s="716">
        <f>IF(OR(status1B5!I10="",H$7="No aplica"),0,SUM('BOULEVARD 5'!$K8:K8)-$AP315)</f>
        <v>0</v>
      </c>
      <c r="I315" s="716">
        <f>IF(OR(status1B5!J10="",I$7="No aplica"),0,SUM('BOULEVARD 5'!$K8:L8)-$AP315)</f>
        <v>0</v>
      </c>
      <c r="J315" s="716">
        <f>IF(OR(status1B5!K10="",J$7="No aplica"),0,SUM('BOULEVARD 5'!$K8:M8)-$AP315)</f>
        <v>0</v>
      </c>
      <c r="K315" s="716">
        <f>IF(OR(status1B5!L10="",K$7="No aplica"),0,SUM('BOULEVARD 5'!$K8:N8)-$AP315)</f>
        <v>0</v>
      </c>
      <c r="L315" s="716">
        <f>IF(OR(status1B5!M10="",L$7="No aplica"),0,SUM('BOULEVARD 5'!$K8:O8)-$AP315)</f>
        <v>0</v>
      </c>
      <c r="M315" s="716">
        <f>IF(OR(status1B5!N10="",M$7="No aplica"),0,SUM('BOULEVARD 5'!$K8:P8)-$AP315)</f>
        <v>0</v>
      </c>
      <c r="N315" s="716">
        <f>IF(OR(status1B5!O10="",N$7="No aplica"),0,SUM('BOULEVARD 5'!$K8:Q8)-$AP315)</f>
        <v>0</v>
      </c>
      <c r="O315" s="716">
        <f>IF(OR(status1B5!P10="",O$7="No aplica"),0,SUM('BOULEVARD 5'!$K8:R8)-$AP315)</f>
        <v>0</v>
      </c>
      <c r="P315" s="716">
        <f>IF(OR(status1B5!Q10="",P$7="No aplica"),0,SUM('BOULEVARD 5'!$K8:S8)-$AP315)</f>
        <v>0</v>
      </c>
      <c r="Q315" s="716">
        <f>IF(OR(status1B5!R10="",Q$7="No aplica"),0,SUM('BOULEVARD 5'!$K8:T8)-$AP315)</f>
        <v>0</v>
      </c>
      <c r="R315" s="716">
        <f>IF(OR(status1B5!S10="",R$7="No aplica"),0,SUM('BOULEVARD 5'!$K8:U8)-$AP315)</f>
        <v>0</v>
      </c>
      <c r="S315" s="716">
        <f>IF(OR(status1B5!T10="",S$7="No aplica"),0,SUM('BOULEVARD 5'!$K8:V8)-$AP315)</f>
        <v>0</v>
      </c>
      <c r="T315" s="716">
        <f>IF(OR(status1B5!U10="",T$7="No aplica"),0,SUM('BOULEVARD 5'!$K8:W8)-$AP315)</f>
        <v>0</v>
      </c>
      <c r="U315" s="716">
        <f>IF(OR(status1B5!V10="",U$7="No aplica"),0,SUM('BOULEVARD 5'!$K8:X8)-$AP315)</f>
        <v>0</v>
      </c>
      <c r="V315" s="716">
        <f>IF(OR(status1B5!W10="",V$7="No aplica"),0,SUM('BOULEVARD 5'!$K8:Y8)-$AP315)</f>
        <v>0</v>
      </c>
      <c r="W315" s="716">
        <f>IF(OR(status1B5!X10="",W$7="No aplica"),0,SUM('BOULEVARD 5'!$K8:Z8)-$AP315)</f>
        <v>0</v>
      </c>
      <c r="X315" s="716">
        <f>IF(OR(status1B5!Y10="",X$7="No aplica"),0,SUM('BOULEVARD 5'!$K8:AA8)-$AP315)</f>
        <v>0</v>
      </c>
      <c r="Y315" s="716">
        <f>IF(OR(status1B5!Z10="",Y$7="No aplica"),0,SUM('BOULEVARD 5'!$K8:AB8)-$AP315)</f>
        <v>0</v>
      </c>
      <c r="Z315" s="716">
        <f>IF(OR(status1B5!AA10="",Z$7="No aplica"),0,SUM('BOULEVARD 5'!$K8:AC8)-$AP315)</f>
        <v>0</v>
      </c>
      <c r="AA315" s="716">
        <f>IF(OR(status1B5!AB10="",AA$7="No aplica"),0,SUM('BOULEVARD 5'!$K8:AD8)-$AP315)</f>
        <v>0</v>
      </c>
      <c r="AB315" s="716">
        <f>IF(OR(status1B5!AC10="",AB$7="No aplica"),0,SUM('BOULEVARD 5'!$K8:AE8)-$AP315)</f>
        <v>0</v>
      </c>
      <c r="AC315" s="716">
        <f>IF(OR(status1B5!AD10="",AC$7="No aplica"),0,SUM('BOULEVARD 5'!$K8:AF8)-$AP315)</f>
        <v>0</v>
      </c>
      <c r="AD315" s="716">
        <f>IF(OR(status1B5!AE10="",AD$7="No aplica"),0,SUM('BOULEVARD 5'!$K8:AG8)-$AP315)</f>
        <v>0</v>
      </c>
      <c r="AE315" s="716">
        <f>IF(OR(status1B5!AF10="",AE$7="No aplica"),0,SUM('BOULEVARD 5'!$K8:AH8)-$AP315)</f>
        <v>0</v>
      </c>
      <c r="AF315" s="716">
        <f>IF(OR(status1B5!AG10="",AF$7="No aplica"),0,SUM('BOULEVARD 5'!$K8:AI8)-$AP315)</f>
        <v>0</v>
      </c>
      <c r="AG315" s="716">
        <f>IF(OR(status1B5!AH10="",AG$7="No aplica"),0,SUM('BOULEVARD 5'!$K8:AJ8)-$AP315)</f>
        <v>0</v>
      </c>
      <c r="AH315" s="716">
        <f>IF(OR(status1B5!AI10="",AH$7="No aplica"),0,SUM('BOULEVARD 5'!$K8:AK8)-$AP315)</f>
        <v>0</v>
      </c>
      <c r="AI315" s="716">
        <f>IF(OR(status1B5!AJ10="",AI$7="No aplica"),0,SUM('BOULEVARD 5'!$K8:AL8)-$AP315)</f>
        <v>0</v>
      </c>
      <c r="AJ315" s="716">
        <f>IF(OR(status1B5!AK10="",AJ$7="No aplica"),0,SUM('BOULEVARD 5'!$K8:AM8)-$AP315)</f>
        <v>0</v>
      </c>
      <c r="AK315" s="716">
        <f>IF(OR(status1B5!AL10="",AK$7="No aplica"),0,SUM('BOULEVARD 5'!$K8:AN8)-$AP315)</f>
        <v>0</v>
      </c>
      <c r="AL315" s="716">
        <f>IF(OR(status1B5!AM10="",AL$7="No aplica"),0,SUM('BOULEVARD 5'!$K8:AO8)-$AP315)</f>
        <v>0</v>
      </c>
      <c r="AM315" s="716">
        <f>IF(OR(status1B5!AN10="",AM$7="No aplica"),0,SUM('BOULEVARD 5'!$K8:AP8)-$AP315)</f>
        <v>0</v>
      </c>
      <c r="AN315" s="716">
        <f>IF(OR(status1B5!AO10="",AN$7="No aplica"),0,SUM('BOULEVARD 5'!$K8:AQ8)-$AP315)</f>
        <v>0</v>
      </c>
      <c r="AO315" s="716">
        <f>IF(OR(status1B5!AP10="",AO$7="No aplica"),0,SUM('BOULEVARD 5'!$K8:AS8)-$AP315)</f>
        <v>0</v>
      </c>
      <c r="AP315" s="717">
        <f>'BOULEVARD PPTO'!BC3</f>
        <v>0</v>
      </c>
      <c r="AQ315" s="717">
        <f>'BOULEVARD 5'!AT8</f>
        <v>9589.2900000000009</v>
      </c>
      <c r="AR315" s="717">
        <f t="shared" ref="AR315:AR378" si="38">AQ315-AP315</f>
        <v>9589.2900000000009</v>
      </c>
      <c r="AS315" s="717"/>
      <c r="AT315" s="581"/>
    </row>
    <row r="316" spans="1:48" ht="13.15" customHeight="1" outlineLevel="1" x14ac:dyDescent="0.25">
      <c r="A316" s="700" t="str">
        <f t="shared" si="36"/>
        <v>F&amp;F</v>
      </c>
      <c r="B316" s="704">
        <f t="shared" ref="B316:G316" si="39">B11</f>
        <v>103</v>
      </c>
      <c r="C316" s="704" t="str">
        <f t="shared" si="39"/>
        <v>E1.1</v>
      </c>
      <c r="D316" s="704">
        <f t="shared" si="39"/>
        <v>0</v>
      </c>
      <c r="E316" s="704" t="str">
        <f t="shared" si="39"/>
        <v>Ronaldo</v>
      </c>
      <c r="F316" s="705" t="str">
        <f t="shared" si="39"/>
        <v>International Coffee Industry, S.A</v>
      </c>
      <c r="G316" s="566">
        <f t="shared" si="39"/>
        <v>45300</v>
      </c>
      <c r="H316" s="716">
        <f>IF(OR(status1B5!I11="",H$7="No aplica"),0,SUM('BOULEVARD 5'!$K9:K9)-$AP316)</f>
        <v>0</v>
      </c>
      <c r="I316" s="716">
        <f>IF(OR(status1B5!J11="",I$7="No aplica"),0,SUM('BOULEVARD 5'!$K9:L9)-$AP316)</f>
        <v>0</v>
      </c>
      <c r="J316" s="716">
        <f>IF(OR(status1B5!K11="",J$7="No aplica"),0,SUM('BOULEVARD 5'!$K9:M9)-$AP316)</f>
        <v>0</v>
      </c>
      <c r="K316" s="716">
        <f>IF(OR(status1B5!L11="",K$7="No aplica"),0,SUM('BOULEVARD 5'!$K9:N9)-$AP316)</f>
        <v>0</v>
      </c>
      <c r="L316" s="716">
        <f>IF(OR(status1B5!M11="",L$7="No aplica"),0,SUM('BOULEVARD 5'!$K9:O9)-$AP316)</f>
        <v>0</v>
      </c>
      <c r="M316" s="716">
        <f>IF(OR(status1B5!N11="",M$7="No aplica"),0,SUM('BOULEVARD 5'!$K9:P9)-$AP316)</f>
        <v>0</v>
      </c>
      <c r="N316" s="716">
        <f>IF(OR(status1B5!O11="",N$7="No aplica"),0,SUM('BOULEVARD 5'!$K9:Q9)-$AP316)</f>
        <v>0</v>
      </c>
      <c r="O316" s="716">
        <f>IF(OR(status1B5!P11="",O$7="No aplica"),0,SUM('BOULEVARD 5'!$K9:R9)-$AP316)</f>
        <v>0</v>
      </c>
      <c r="P316" s="716">
        <f>IF(OR(status1B5!Q11="",P$7="No aplica"),0,SUM('BOULEVARD 5'!$K9:S9)-$AP316)</f>
        <v>0</v>
      </c>
      <c r="Q316" s="716">
        <f>IF(OR(status1B5!R11="",Q$7="No aplica"),0,SUM('BOULEVARD 5'!$K9:T9)-$AP316)</f>
        <v>0</v>
      </c>
      <c r="R316" s="716">
        <f>IF(OR(status1B5!S11="",R$7="No aplica"),0,SUM('BOULEVARD 5'!$K9:U9)-$AP316)</f>
        <v>0</v>
      </c>
      <c r="S316" s="716">
        <f>IF(OR(status1B5!T11="",S$7="No aplica"),0,SUM('BOULEVARD 5'!$K9:V9)-$AP316)</f>
        <v>0</v>
      </c>
      <c r="T316" s="716">
        <f>IF(OR(status1B5!U11="",T$7="No aplica"),0,SUM('BOULEVARD 5'!$K9:W9)-$AP316)</f>
        <v>0</v>
      </c>
      <c r="U316" s="716">
        <f>IF(OR(status1B5!V11="",U$7="No aplica"),0,SUM('BOULEVARD 5'!$K9:X9)-$AP316)</f>
        <v>0</v>
      </c>
      <c r="V316" s="716">
        <f>IF(OR(status1B5!W11="",V$7="No aplica"),0,SUM('BOULEVARD 5'!$K9:Y9)-$AP316)</f>
        <v>0</v>
      </c>
      <c r="W316" s="716">
        <f>IF(OR(status1B5!X11="",W$7="No aplica"),0,SUM('BOULEVARD 5'!$K9:Z9)-$AP316)</f>
        <v>0</v>
      </c>
      <c r="X316" s="716">
        <f>IF(OR(status1B5!Y11="",X$7="No aplica"),0,SUM('BOULEVARD 5'!$K9:AA9)-$AP316)</f>
        <v>0</v>
      </c>
      <c r="Y316" s="716">
        <f>IF(OR(status1B5!Z11="",Y$7="No aplica"),0,SUM('BOULEVARD 5'!$K9:AB9)-$AP316)</f>
        <v>0</v>
      </c>
      <c r="Z316" s="716">
        <f>IF(OR(status1B5!AA11="",Z$7="No aplica"),0,SUM('BOULEVARD 5'!$K9:AC9)-$AP316)</f>
        <v>0</v>
      </c>
      <c r="AA316" s="716">
        <f>IF(OR(status1B5!AB11="",AA$7="No aplica"),0,SUM('BOULEVARD 5'!$K9:AD9)-$AP316)</f>
        <v>0</v>
      </c>
      <c r="AB316" s="716">
        <f>IF(OR(status1B5!AC11="",AB$7="No aplica"),0,SUM('BOULEVARD 5'!$K9:AE9)-$AP316)</f>
        <v>0</v>
      </c>
      <c r="AC316" s="716">
        <f>IF(OR(status1B5!AD11="",AC$7="No aplica"),0,SUM('BOULEVARD 5'!$K9:AF9)-$AP316)</f>
        <v>0</v>
      </c>
      <c r="AD316" s="716">
        <f>IF(OR(status1B5!AE11="",AD$7="No aplica"),0,SUM('BOULEVARD 5'!$K9:AG9)-$AP316)</f>
        <v>0</v>
      </c>
      <c r="AE316" s="716">
        <f>IF(OR(status1B5!AF11="",AE$7="No aplica"),0,SUM('BOULEVARD 5'!$K9:AH9)-$AP316)</f>
        <v>0</v>
      </c>
      <c r="AF316" s="716">
        <f>IF(OR(status1B5!AG11="",AF$7="No aplica"),0,SUM('BOULEVARD 5'!$K9:AI9)-$AP316)</f>
        <v>0</v>
      </c>
      <c r="AG316" s="716">
        <f>IF(OR(status1B5!AH11="",AG$7="No aplica"),0,SUM('BOULEVARD 5'!$K9:AJ9)-$AP316)</f>
        <v>0</v>
      </c>
      <c r="AH316" s="716">
        <f>IF(OR(status1B5!AI11="",AH$7="No aplica"),0,SUM('BOULEVARD 5'!$K9:AK9)-$AP316)</f>
        <v>0</v>
      </c>
      <c r="AI316" s="716">
        <f>IF(OR(status1B5!AJ11="",AI$7="No aplica"),0,SUM('BOULEVARD 5'!$K9:AL9)-$AP316)</f>
        <v>0</v>
      </c>
      <c r="AJ316" s="716">
        <f>IF(OR(status1B5!AK11="",AJ$7="No aplica"),0,SUM('BOULEVARD 5'!$K9:AM9)-$AP316)</f>
        <v>0</v>
      </c>
      <c r="AK316" s="716">
        <f>IF(OR(status1B5!AL11="",AK$7="No aplica"),0,SUM('BOULEVARD 5'!$K9:AN9)-$AP316)</f>
        <v>0</v>
      </c>
      <c r="AL316" s="716">
        <f>IF(OR(status1B5!AM11="",AL$7="No aplica"),0,SUM('BOULEVARD 5'!$K9:AO9)-$AP316)</f>
        <v>0</v>
      </c>
      <c r="AM316" s="716">
        <f>IF(OR(status1B5!AN11="",AM$7="No aplica"),0,SUM('BOULEVARD 5'!$K9:AP9)-$AP316)</f>
        <v>0</v>
      </c>
      <c r="AN316" s="716">
        <f>IF(OR(status1B5!AO11="",AN$7="No aplica"),0,SUM('BOULEVARD 5'!$K9:AQ9)-$AP316)</f>
        <v>0</v>
      </c>
      <c r="AO316" s="716">
        <f>IF(OR(status1B5!AP11="",AO$7="No aplica"),0,SUM('BOULEVARD 5'!$K9:AS9)-$AP316)</f>
        <v>0</v>
      </c>
      <c r="AP316" s="717">
        <f>'BOULEVARD PPTO'!BC4</f>
        <v>153320</v>
      </c>
      <c r="AQ316" s="717">
        <f>'BOULEVARD 5'!AT9</f>
        <v>0</v>
      </c>
      <c r="AR316" s="717">
        <f t="shared" si="38"/>
        <v>-153320</v>
      </c>
      <c r="AS316" s="717"/>
      <c r="AT316" s="581"/>
    </row>
    <row r="317" spans="1:48" ht="13.15" customHeight="1" outlineLevel="1" x14ac:dyDescent="0.25">
      <c r="A317" s="700">
        <f t="shared" si="36"/>
        <v>0</v>
      </c>
      <c r="B317" s="564">
        <f t="shared" ref="B317:G317" si="40">B12</f>
        <v>104</v>
      </c>
      <c r="C317" s="564" t="str">
        <f t="shared" si="40"/>
        <v>A4.1</v>
      </c>
      <c r="D317" s="564">
        <f t="shared" si="40"/>
        <v>0</v>
      </c>
      <c r="E317" s="564" t="str">
        <f t="shared" si="40"/>
        <v>Antonio Rada</v>
      </c>
      <c r="F317" s="581" t="str">
        <f t="shared" si="40"/>
        <v>Jonathan José Morales Salazar</v>
      </c>
      <c r="G317" s="566">
        <f t="shared" si="40"/>
        <v>45140</v>
      </c>
      <c r="H317" s="716">
        <f>IF(OR(status1B5!I12="",H$7="No aplica"),0,SUM('BOULEVARD 5'!$K10:K10)-$AP317)</f>
        <v>0</v>
      </c>
      <c r="I317" s="716">
        <f>IF(OR(status1B5!J12="",I$7="No aplica"),0,SUM('BOULEVARD 5'!$K10:L10)-$AP317)</f>
        <v>0</v>
      </c>
      <c r="J317" s="716">
        <f>IF(OR(status1B5!K12="",J$7="No aplica"),0,SUM('BOULEVARD 5'!$K10:M10)-$AP317)</f>
        <v>0</v>
      </c>
      <c r="K317" s="716">
        <f>IF(OR(status1B5!L12="",K$7="No aplica"),0,SUM('BOULEVARD 5'!$K10:N10)-$AP317)</f>
        <v>0</v>
      </c>
      <c r="L317" s="716">
        <f>IF(OR(status1B5!M12="",L$7="No aplica"),0,SUM('BOULEVARD 5'!$K10:O10)-$AP317)</f>
        <v>0</v>
      </c>
      <c r="M317" s="716">
        <f>IF(OR(status1B5!N12="",M$7="No aplica"),0,SUM('BOULEVARD 5'!$K10:P10)-$AP317)</f>
        <v>-139600</v>
      </c>
      <c r="N317" s="716">
        <f>IF(OR(status1B5!O12="",N$7="No aplica"),0,SUM('BOULEVARD 5'!$K10:Q10)-$AP317)</f>
        <v>-45600</v>
      </c>
      <c r="O317" s="716">
        <f>IF(OR(status1B5!P12="",O$7="No aplica"),0,SUM('BOULEVARD 5'!$K10:R10)-$AP317)</f>
        <v>-43776</v>
      </c>
      <c r="P317" s="716">
        <f>IF(OR(status1B5!Q12="",P$7="No aplica"),0,SUM('BOULEVARD 5'!$K10:S10)-$AP317)</f>
        <v>-41952</v>
      </c>
      <c r="Q317" s="716">
        <f>IF(OR(status1B5!R12="",Q$7="No aplica"),0,SUM('BOULEVARD 5'!$K10:T10)-$AP317)</f>
        <v>-40128</v>
      </c>
      <c r="R317" s="716">
        <f>IF(OR(status1B5!S12="",R$7="No aplica"),0,SUM('BOULEVARD 5'!$K10:U10)-$AP317)</f>
        <v>-38304</v>
      </c>
      <c r="S317" s="716">
        <f>IF(OR(status1B5!T12="",S$7="No aplica"),0,SUM('BOULEVARD 5'!$K10:V10)-$AP317)</f>
        <v>-36480</v>
      </c>
      <c r="T317" s="716">
        <f>IF(OR(status1B5!U12="",T$7="No aplica"),0,SUM('BOULEVARD 5'!$K10:W10)-$AP317)</f>
        <v>-34656</v>
      </c>
      <c r="U317" s="716">
        <f>IF(OR(status1B5!V12="",U$7="No aplica"),0,SUM('BOULEVARD 5'!$K10:X10)-$AP317)</f>
        <v>-32832</v>
      </c>
      <c r="V317" s="716">
        <f>IF(OR(status1B5!W12="",V$7="No aplica"),0,SUM('BOULEVARD 5'!$K10:Y10)-$AP317)</f>
        <v>-31008</v>
      </c>
      <c r="W317" s="716">
        <f>IF(OR(status1B5!X12="",W$7="No aplica"),0,SUM('BOULEVARD 5'!$K10:Z10)-$AP317)</f>
        <v>-29184</v>
      </c>
      <c r="X317" s="716">
        <f>IF(OR(status1B5!Y12="",X$7="No aplica"),0,SUM('BOULEVARD 5'!$K10:AA10)-$AP317)</f>
        <v>-27360</v>
      </c>
      <c r="Y317" s="716">
        <f>IF(OR(status1B5!Z12="",Y$7="No aplica"),0,SUM('BOULEVARD 5'!$K10:AB10)-$AP317)</f>
        <v>-25536</v>
      </c>
      <c r="Z317" s="716">
        <f>IF(OR(status1B5!AA12="",Z$7="No aplica"),0,SUM('BOULEVARD 5'!$K10:AC10)-$AP317)</f>
        <v>-23712</v>
      </c>
      <c r="AA317" s="716">
        <f>IF(OR(status1B5!AB12="",AA$7="No aplica"),0,SUM('BOULEVARD 5'!$K10:AD10)-$AP317)</f>
        <v>-21888</v>
      </c>
      <c r="AB317" s="716">
        <f>IF(OR(status1B5!AC12="",AB$7="No aplica"),0,SUM('BOULEVARD 5'!$K10:AE10)-$AP317)</f>
        <v>-20064</v>
      </c>
      <c r="AC317" s="716">
        <f>IF(OR(status1B5!AD12="",AC$7="No aplica"),0,SUM('BOULEVARD 5'!$K10:AF10)-$AP317)</f>
        <v>-18240</v>
      </c>
      <c r="AD317" s="716">
        <f>IF(OR(status1B5!AE12="",AD$7="No aplica"),0,SUM('BOULEVARD 5'!$K10:AG10)-$AP317)</f>
        <v>-16416</v>
      </c>
      <c r="AE317" s="716">
        <f>IF(OR(status1B5!AF12="",AE$7="No aplica"),0,SUM('BOULEVARD 5'!$K10:AH10)-$AP317)</f>
        <v>-14592</v>
      </c>
      <c r="AF317" s="716">
        <f>IF(OR(status1B5!AG12="",AF$7="No aplica"),0,SUM('BOULEVARD 5'!$K10:AI10)-$AP317)</f>
        <v>-12768</v>
      </c>
      <c r="AG317" s="716">
        <f>IF(OR(status1B5!AH12="",AG$7="No aplica"),0,SUM('BOULEVARD 5'!$K10:AJ10)-$AP317)</f>
        <v>-10944</v>
      </c>
      <c r="AH317" s="716">
        <f>IF(OR(status1B5!AI12="",AH$7="No aplica"),0,SUM('BOULEVARD 5'!$K10:AK10)-$AP317)</f>
        <v>-9120</v>
      </c>
      <c r="AI317" s="716">
        <f>IF(OR(status1B5!AJ12="",AI$7="No aplica"),0,SUM('BOULEVARD 5'!$K10:AL10)-$AP317)</f>
        <v>-7296</v>
      </c>
      <c r="AJ317" s="716">
        <f>IF(OR(status1B5!AK12="",AJ$7="No aplica"),0,SUM('BOULEVARD 5'!$K10:AM10)-$AP317)</f>
        <v>-5472</v>
      </c>
      <c r="AK317" s="716">
        <f>IF(OR(status1B5!AL12="",AK$7="No aplica"),0,SUM('BOULEVARD 5'!$K10:AN10)-$AP317)</f>
        <v>-3648</v>
      </c>
      <c r="AL317" s="716">
        <f>IF(OR(status1B5!AM12="",AL$7="No aplica"),0,SUM('BOULEVARD 5'!$K10:AO10)-$AP317)</f>
        <v>-1824</v>
      </c>
      <c r="AM317" s="716">
        <f>IF(OR(status1B5!AN12="",AM$7="No aplica"),0,SUM('BOULEVARD 5'!$K10:AP10)-$AP317)</f>
        <v>0</v>
      </c>
      <c r="AN317" s="716">
        <f>IF(OR(status1B5!AO12="",AN$7="No aplica"),0,SUM('BOULEVARD 5'!$K10:AQ10)-$AP317)</f>
        <v>0</v>
      </c>
      <c r="AO317" s="716">
        <f>IF(OR(status1B5!AP12="",AO$7="No aplica"),0,SUM('BOULEVARD 5'!$K10:AS10)-$AP317)</f>
        <v>0</v>
      </c>
      <c r="AP317" s="717">
        <f>'BOULEVARD PPTO'!BC5</f>
        <v>145600</v>
      </c>
      <c r="AQ317" s="717">
        <f>'BOULEVARD 5'!AT10</f>
        <v>145600</v>
      </c>
      <c r="AR317" s="717">
        <f t="shared" si="38"/>
        <v>0</v>
      </c>
      <c r="AS317" s="717"/>
      <c r="AT317" s="581"/>
    </row>
    <row r="318" spans="1:48" ht="13.15" customHeight="1" outlineLevel="1" x14ac:dyDescent="0.25">
      <c r="A318" s="700">
        <f t="shared" si="36"/>
        <v>0</v>
      </c>
      <c r="B318" s="564">
        <f t="shared" ref="B318:G318" si="41">B13</f>
        <v>105</v>
      </c>
      <c r="C318" s="564" t="str">
        <f t="shared" si="41"/>
        <v>B7.1</v>
      </c>
      <c r="D318" s="564">
        <f t="shared" si="41"/>
        <v>0</v>
      </c>
      <c r="E318" s="564" t="str">
        <f t="shared" si="41"/>
        <v>Erwin Cardona</v>
      </c>
      <c r="F318" s="581" t="str">
        <f t="shared" si="41"/>
        <v>Nery Adolfo Ortíz Alvarez</v>
      </c>
      <c r="G318" s="566">
        <f t="shared" si="41"/>
        <v>46000</v>
      </c>
      <c r="H318" s="716">
        <f>IF(OR(status1B5!I13="",H$7="No aplica"),0,SUM('BOULEVARD 5'!$K11:K11)-$AP318)</f>
        <v>0</v>
      </c>
      <c r="I318" s="716">
        <f>IF(OR(status1B5!J13="",I$7="No aplica"),0,SUM('BOULEVARD 5'!$K11:L11)-$AP318)</f>
        <v>0</v>
      </c>
      <c r="J318" s="716">
        <f>IF(OR(status1B5!K13="",J$7="No aplica"),0,SUM('BOULEVARD 5'!$K11:M11)-$AP318)</f>
        <v>0</v>
      </c>
      <c r="K318" s="716">
        <f>IF(OR(status1B5!L13="",K$7="No aplica"),0,SUM('BOULEVARD 5'!$K11:N11)-$AP318)</f>
        <v>0</v>
      </c>
      <c r="L318" s="716">
        <f>IF(OR(status1B5!M13="",L$7="No aplica"),0,SUM('BOULEVARD 5'!$K11:O11)-$AP318)</f>
        <v>0</v>
      </c>
      <c r="M318" s="716">
        <f>IF(OR(status1B5!N13="",M$7="No aplica"),0,SUM('BOULEVARD 5'!$K11:P11)-$AP318)</f>
        <v>0</v>
      </c>
      <c r="N318" s="716">
        <f>IF(OR(status1B5!O13="",N$7="No aplica"),0,SUM('BOULEVARD 5'!$K11:Q11)-$AP318)</f>
        <v>0</v>
      </c>
      <c r="O318" s="716">
        <f>IF(OR(status1B5!P13="",O$7="No aplica"),0,SUM('BOULEVARD 5'!$K11:R11)-$AP318)</f>
        <v>0</v>
      </c>
      <c r="P318" s="716">
        <f>IF(OR(status1B5!Q13="",P$7="No aplica"),0,SUM('BOULEVARD 5'!$K11:S11)-$AP318)</f>
        <v>0</v>
      </c>
      <c r="Q318" s="716">
        <f>IF(OR(status1B5!R13="",Q$7="No aplica"),0,SUM('BOULEVARD 5'!$K11:T11)-$AP318)</f>
        <v>0</v>
      </c>
      <c r="R318" s="716">
        <f>IF(OR(status1B5!S13="",R$7="No aplica"),0,SUM('BOULEVARD 5'!$K11:U11)-$AP318)</f>
        <v>0</v>
      </c>
      <c r="S318" s="716">
        <f>IF(OR(status1B5!T13="",S$7="No aplica"),0,SUM('BOULEVARD 5'!$K11:V11)-$AP318)</f>
        <v>0</v>
      </c>
      <c r="T318" s="716">
        <f>IF(OR(status1B5!U13="",T$7="No aplica"),0,SUM('BOULEVARD 5'!$K11:W11)-$AP318)</f>
        <v>0</v>
      </c>
      <c r="U318" s="716">
        <f>IF(OR(status1B5!V13="",U$7="No aplica"),0,SUM('BOULEVARD 5'!$K11:X11)-$AP318)</f>
        <v>0</v>
      </c>
      <c r="V318" s="716">
        <f>IF(OR(status1B5!W13="",V$7="No aplica"),0,SUM('BOULEVARD 5'!$K11:Y11)-$AP318)</f>
        <v>0</v>
      </c>
      <c r="W318" s="716">
        <f>IF(OR(status1B5!X13="",W$7="No aplica"),0,SUM('BOULEVARD 5'!$K11:Z11)-$AP318)</f>
        <v>0</v>
      </c>
      <c r="X318" s="716">
        <f>IF(OR(status1B5!Y13="",X$7="No aplica"),0,SUM('BOULEVARD 5'!$K11:AA11)-$AP318)</f>
        <v>0</v>
      </c>
      <c r="Y318" s="716">
        <f>IF(OR(status1B5!Z13="",Y$7="No aplica"),0,SUM('BOULEVARD 5'!$K11:AB11)-$AP318)</f>
        <v>0</v>
      </c>
      <c r="Z318" s="716">
        <f>IF(OR(status1B5!AA13="",Z$7="No aplica"),0,SUM('BOULEVARD 5'!$K11:AC11)-$AP318)</f>
        <v>0</v>
      </c>
      <c r="AA318" s="716">
        <f>IF(OR(status1B5!AB13="",AA$7="No aplica"),0,SUM('BOULEVARD 5'!$K11:AD11)-$AP318)</f>
        <v>0</v>
      </c>
      <c r="AB318" s="716">
        <f>IF(OR(status1B5!AC13="",AB$7="No aplica"),0,SUM('BOULEVARD 5'!$K11:AE11)-$AP318)</f>
        <v>0</v>
      </c>
      <c r="AC318" s="716">
        <f>IF(OR(status1B5!AD13="",AC$7="No aplica"),0,SUM('BOULEVARD 5'!$K11:AF11)-$AP318)</f>
        <v>0</v>
      </c>
      <c r="AD318" s="716">
        <f>IF(OR(status1B5!AE13="",AD$7="No aplica"),0,SUM('BOULEVARD 5'!$K11:AG11)-$AP318)</f>
        <v>0</v>
      </c>
      <c r="AE318" s="716">
        <f>IF(OR(status1B5!AF13="",AE$7="No aplica"),0,SUM('BOULEVARD 5'!$K11:AH11)-$AP318)</f>
        <v>0</v>
      </c>
      <c r="AF318" s="716">
        <f>IF(OR(status1B5!AG13="",AF$7="No aplica"),0,SUM('BOULEVARD 5'!$K11:AI11)-$AP318)</f>
        <v>0</v>
      </c>
      <c r="AG318" s="716">
        <f>IF(OR(status1B5!AH13="",AG$7="No aplica"),0,SUM('BOULEVARD 5'!$K11:AJ11)-$AP318)</f>
        <v>0</v>
      </c>
      <c r="AH318" s="716">
        <f>IF(OR(status1B5!AI13="",AH$7="No aplica"),0,SUM('BOULEVARD 5'!$K11:AK11)-$AP318)</f>
        <v>0</v>
      </c>
      <c r="AI318" s="716">
        <f>IF(OR(status1B5!AJ13="",AI$7="No aplica"),0,SUM('BOULEVARD 5'!$K11:AL11)-$AP318)</f>
        <v>0</v>
      </c>
      <c r="AJ318" s="716">
        <f>IF(OR(status1B5!AK13="",AJ$7="No aplica"),0,SUM('BOULEVARD 5'!$K11:AM11)-$AP318)</f>
        <v>0</v>
      </c>
      <c r="AK318" s="716">
        <f>IF(OR(status1B5!AL13="",AK$7="No aplica"),0,SUM('BOULEVARD 5'!$K11:AN11)-$AP318)</f>
        <v>0</v>
      </c>
      <c r="AL318" s="716">
        <f>IF(OR(status1B5!AM13="",AL$7="No aplica"),0,SUM('BOULEVARD 5'!$K11:AO11)-$AP318)</f>
        <v>0</v>
      </c>
      <c r="AM318" s="716">
        <f>IF(OR(status1B5!AN13="",AM$7="No aplica"),0,SUM('BOULEVARD 5'!$K11:AP11)-$AP318)</f>
        <v>0</v>
      </c>
      <c r="AN318" s="716">
        <f>IF(OR(status1B5!AO13="",AN$7="No aplica"),0,SUM('BOULEVARD 5'!$K11:AQ11)-$AP318)</f>
        <v>0</v>
      </c>
      <c r="AO318" s="716">
        <f>IF(OR(status1B5!AP13="",AO$7="No aplica"),0,SUM('BOULEVARD 5'!$K11:AS11)-$AP318)</f>
        <v>0</v>
      </c>
      <c r="AP318" s="717">
        <f>'BOULEVARD PPTO'!BC6</f>
        <v>0</v>
      </c>
      <c r="AQ318" s="717">
        <f>'BOULEVARD 5'!AT11</f>
        <v>10000</v>
      </c>
      <c r="AR318" s="717">
        <f t="shared" si="38"/>
        <v>10000</v>
      </c>
      <c r="AS318" s="717"/>
      <c r="AT318" s="581"/>
    </row>
    <row r="319" spans="1:48" ht="13.15" customHeight="1" outlineLevel="1" x14ac:dyDescent="0.25">
      <c r="A319" s="700">
        <f t="shared" si="36"/>
        <v>0</v>
      </c>
      <c r="B319" s="564">
        <f t="shared" ref="B319:G319" si="42">B14</f>
        <v>106</v>
      </c>
      <c r="C319" s="564" t="str">
        <f t="shared" si="42"/>
        <v>B2.1</v>
      </c>
      <c r="D319" s="564">
        <f t="shared" si="42"/>
        <v>0</v>
      </c>
      <c r="E319" s="564" t="str">
        <f t="shared" si="42"/>
        <v>Erwin Cardona</v>
      </c>
      <c r="F319" s="581" t="str">
        <f t="shared" si="42"/>
        <v>Claudia Ruth Marianella Paiz Herrera de Alvarez</v>
      </c>
      <c r="G319" s="566">
        <f t="shared" si="42"/>
        <v>46013</v>
      </c>
      <c r="H319" s="716">
        <f>IF(OR(status1B5!I14="",H$7="No aplica"),0,SUM('BOULEVARD 5'!$K12:K12)-$AP319)</f>
        <v>0</v>
      </c>
      <c r="I319" s="716">
        <f>IF(OR(status1B5!J14="",I$7="No aplica"),0,SUM('BOULEVARD 5'!$K12:L12)-$AP319)</f>
        <v>0</v>
      </c>
      <c r="J319" s="716">
        <f>IF(OR(status1B5!K14="",J$7="No aplica"),0,SUM('BOULEVARD 5'!$K12:M12)-$AP319)</f>
        <v>0</v>
      </c>
      <c r="K319" s="716">
        <f>IF(OR(status1B5!L14="",K$7="No aplica"),0,SUM('BOULEVARD 5'!$K12:N12)-$AP319)</f>
        <v>0</v>
      </c>
      <c r="L319" s="716">
        <f>IF(OR(status1B5!M14="",L$7="No aplica"),0,SUM('BOULEVARD 5'!$K12:O12)-$AP319)</f>
        <v>0</v>
      </c>
      <c r="M319" s="716">
        <f>IF(OR(status1B5!N14="",M$7="No aplica"),0,SUM('BOULEVARD 5'!$K12:P12)-$AP319)</f>
        <v>0</v>
      </c>
      <c r="N319" s="716">
        <f>IF(OR(status1B5!O14="",N$7="No aplica"),0,SUM('BOULEVARD 5'!$K12:Q12)-$AP319)</f>
        <v>0</v>
      </c>
      <c r="O319" s="716">
        <f>IF(OR(status1B5!P14="",O$7="No aplica"),0,SUM('BOULEVARD 5'!$K12:R12)-$AP319)</f>
        <v>0</v>
      </c>
      <c r="P319" s="716">
        <f>IF(OR(status1B5!Q14="",P$7="No aplica"),0,SUM('BOULEVARD 5'!$K12:S12)-$AP319)</f>
        <v>0</v>
      </c>
      <c r="Q319" s="716">
        <f>IF(OR(status1B5!R14="",Q$7="No aplica"),0,SUM('BOULEVARD 5'!$K12:T12)-$AP319)</f>
        <v>0</v>
      </c>
      <c r="R319" s="716">
        <f>IF(OR(status1B5!S14="",R$7="No aplica"),0,SUM('BOULEVARD 5'!$K12:U12)-$AP319)</f>
        <v>0</v>
      </c>
      <c r="S319" s="716">
        <f>IF(OR(status1B5!T14="",S$7="No aplica"),0,SUM('BOULEVARD 5'!$K12:V12)-$AP319)</f>
        <v>0</v>
      </c>
      <c r="T319" s="716">
        <f>IF(OR(status1B5!U14="",T$7="No aplica"),0,SUM('BOULEVARD 5'!$K12:W12)-$AP319)</f>
        <v>0</v>
      </c>
      <c r="U319" s="716">
        <f>IF(OR(status1B5!V14="",U$7="No aplica"),0,SUM('BOULEVARD 5'!$K12:X12)-$AP319)</f>
        <v>0</v>
      </c>
      <c r="V319" s="716">
        <f>IF(OR(status1B5!W14="",V$7="No aplica"),0,SUM('BOULEVARD 5'!$K12:Y12)-$AP319)</f>
        <v>0</v>
      </c>
      <c r="W319" s="716">
        <f>IF(OR(status1B5!X14="",W$7="No aplica"),0,SUM('BOULEVARD 5'!$K12:Z12)-$AP319)</f>
        <v>0</v>
      </c>
      <c r="X319" s="716">
        <f>IF(OR(status1B5!Y14="",X$7="No aplica"),0,SUM('BOULEVARD 5'!$K12:AA12)-$AP319)</f>
        <v>0</v>
      </c>
      <c r="Y319" s="716">
        <f>IF(OR(status1B5!Z14="",Y$7="No aplica"),0,SUM('BOULEVARD 5'!$K12:AB12)-$AP319)</f>
        <v>0</v>
      </c>
      <c r="Z319" s="716">
        <f>IF(OR(status1B5!AA14="",Z$7="No aplica"),0,SUM('BOULEVARD 5'!$K12:AC12)-$AP319)</f>
        <v>0</v>
      </c>
      <c r="AA319" s="716">
        <f>IF(OR(status1B5!AB14="",AA$7="No aplica"),0,SUM('BOULEVARD 5'!$K12:AD12)-$AP319)</f>
        <v>0</v>
      </c>
      <c r="AB319" s="716">
        <f>IF(OR(status1B5!AC14="",AB$7="No aplica"),0,SUM('BOULEVARD 5'!$K12:AE12)-$AP319)</f>
        <v>0</v>
      </c>
      <c r="AC319" s="716">
        <f>IF(OR(status1B5!AD14="",AC$7="No aplica"),0,SUM('BOULEVARD 5'!$K12:AF12)-$AP319)</f>
        <v>0</v>
      </c>
      <c r="AD319" s="716">
        <f>IF(OR(status1B5!AE14="",AD$7="No aplica"),0,SUM('BOULEVARD 5'!$K12:AG12)-$AP319)</f>
        <v>0</v>
      </c>
      <c r="AE319" s="716">
        <f>IF(OR(status1B5!AF14="",AE$7="No aplica"),0,SUM('BOULEVARD 5'!$K12:AH12)-$AP319)</f>
        <v>0</v>
      </c>
      <c r="AF319" s="716">
        <f>IF(OR(status1B5!AG14="",AF$7="No aplica"),0,SUM('BOULEVARD 5'!$K12:AI12)-$AP319)</f>
        <v>0</v>
      </c>
      <c r="AG319" s="716">
        <f>IF(OR(status1B5!AH14="",AG$7="No aplica"),0,SUM('BOULEVARD 5'!$K12:AJ12)-$AP319)</f>
        <v>0</v>
      </c>
      <c r="AH319" s="716">
        <f>IF(OR(status1B5!AI14="",AH$7="No aplica"),0,SUM('BOULEVARD 5'!$K12:AK12)-$AP319)</f>
        <v>0</v>
      </c>
      <c r="AI319" s="716">
        <f>IF(OR(status1B5!AJ14="",AI$7="No aplica"),0,SUM('BOULEVARD 5'!$K12:AL12)-$AP319)</f>
        <v>0</v>
      </c>
      <c r="AJ319" s="716">
        <f>IF(OR(status1B5!AK14="",AJ$7="No aplica"),0,SUM('BOULEVARD 5'!$K12:AM12)-$AP319)</f>
        <v>0</v>
      </c>
      <c r="AK319" s="716">
        <f>IF(OR(status1B5!AL14="",AK$7="No aplica"),0,SUM('BOULEVARD 5'!$K12:AN12)-$AP319)</f>
        <v>0</v>
      </c>
      <c r="AL319" s="716">
        <f>IF(OR(status1B5!AM14="",AL$7="No aplica"),0,SUM('BOULEVARD 5'!$K12:AO12)-$AP319)</f>
        <v>0</v>
      </c>
      <c r="AM319" s="716">
        <f>IF(OR(status1B5!AN14="",AM$7="No aplica"),0,SUM('BOULEVARD 5'!$K12:AP12)-$AP319)</f>
        <v>0</v>
      </c>
      <c r="AN319" s="716">
        <f>IF(OR(status1B5!AO14="",AN$7="No aplica"),0,SUM('BOULEVARD 5'!$K12:AQ12)-$AP319)</f>
        <v>0</v>
      </c>
      <c r="AO319" s="716">
        <f>IF(OR(status1B5!AP14="",AO$7="No aplica"),0,SUM('BOULEVARD 5'!$K12:AS12)-$AP319)</f>
        <v>0</v>
      </c>
      <c r="AP319" s="717">
        <f>'BOULEVARD PPTO'!BC7</f>
        <v>0</v>
      </c>
      <c r="AQ319" s="717">
        <f>'BOULEVARD 5'!AT12</f>
        <v>24100</v>
      </c>
      <c r="AR319" s="717">
        <f t="shared" si="38"/>
        <v>24100</v>
      </c>
      <c r="AS319" s="717"/>
      <c r="AT319" s="581"/>
    </row>
    <row r="320" spans="1:48" ht="13.15" customHeight="1" outlineLevel="1" x14ac:dyDescent="0.25">
      <c r="A320" s="700">
        <f t="shared" si="36"/>
        <v>0</v>
      </c>
      <c r="B320" s="564">
        <f t="shared" ref="B320:G320" si="43">B15</f>
        <v>107</v>
      </c>
      <c r="C320" s="564" t="str">
        <f t="shared" si="43"/>
        <v>B6.1</v>
      </c>
      <c r="D320" s="564">
        <f t="shared" si="43"/>
        <v>0</v>
      </c>
      <c r="E320" s="564" t="str">
        <f t="shared" si="43"/>
        <v/>
      </c>
      <c r="F320" s="581" t="str">
        <f t="shared" si="43"/>
        <v/>
      </c>
      <c r="G320" s="566" t="str">
        <f t="shared" si="43"/>
        <v/>
      </c>
      <c r="H320" s="716">
        <f>IF(OR(status1B5!I15="",H$7="No aplica"),0,SUM('BOULEVARD 5'!$K13:K13)-$AP320)</f>
        <v>0</v>
      </c>
      <c r="I320" s="716">
        <f>IF(OR(status1B5!J15="",I$7="No aplica"),0,SUM('BOULEVARD 5'!$K13:L13)-$AP320)</f>
        <v>0</v>
      </c>
      <c r="J320" s="716">
        <f>IF(OR(status1B5!K15="",J$7="No aplica"),0,SUM('BOULEVARD 5'!$K13:M13)-$AP320)</f>
        <v>0</v>
      </c>
      <c r="K320" s="716">
        <f>IF(OR(status1B5!L15="",K$7="No aplica"),0,SUM('BOULEVARD 5'!$K13:N13)-$AP320)</f>
        <v>0</v>
      </c>
      <c r="L320" s="716">
        <f>IF(OR(status1B5!M15="",L$7="No aplica"),0,SUM('BOULEVARD 5'!$K13:O13)-$AP320)</f>
        <v>0</v>
      </c>
      <c r="M320" s="716">
        <f>IF(OR(status1B5!N15="",M$7="No aplica"),0,SUM('BOULEVARD 5'!$K13:P13)-$AP320)</f>
        <v>0</v>
      </c>
      <c r="N320" s="716">
        <f>IF(OR(status1B5!O15="",N$7="No aplica"),0,SUM('BOULEVARD 5'!$K13:Q13)-$AP320)</f>
        <v>0</v>
      </c>
      <c r="O320" s="716">
        <f>IF(OR(status1B5!P15="",O$7="No aplica"),0,SUM('BOULEVARD 5'!$K13:R13)-$AP320)</f>
        <v>0</v>
      </c>
      <c r="P320" s="716">
        <f>IF(OR(status1B5!Q15="",P$7="No aplica"),0,SUM('BOULEVARD 5'!$K13:S13)-$AP320)</f>
        <v>0</v>
      </c>
      <c r="Q320" s="716">
        <f>IF(OR(status1B5!R15="",Q$7="No aplica"),0,SUM('BOULEVARD 5'!$K13:T13)-$AP320)</f>
        <v>0</v>
      </c>
      <c r="R320" s="716">
        <f>IF(OR(status1B5!S15="",R$7="No aplica"),0,SUM('BOULEVARD 5'!$K13:U13)-$AP320)</f>
        <v>0</v>
      </c>
      <c r="S320" s="716">
        <f>IF(OR(status1B5!T15="",S$7="No aplica"),0,SUM('BOULEVARD 5'!$K13:V13)-$AP320)</f>
        <v>0</v>
      </c>
      <c r="T320" s="716">
        <f>IF(OR(status1B5!U15="",T$7="No aplica"),0,SUM('BOULEVARD 5'!$K13:W13)-$AP320)</f>
        <v>0</v>
      </c>
      <c r="U320" s="716">
        <f>IF(OR(status1B5!V15="",U$7="No aplica"),0,SUM('BOULEVARD 5'!$K13:X13)-$AP320)</f>
        <v>0</v>
      </c>
      <c r="V320" s="716">
        <f>IF(OR(status1B5!W15="",V$7="No aplica"),0,SUM('BOULEVARD 5'!$K13:Y13)-$AP320)</f>
        <v>0</v>
      </c>
      <c r="W320" s="716">
        <f>IF(OR(status1B5!X15="",W$7="No aplica"),0,SUM('BOULEVARD 5'!$K13:Z13)-$AP320)</f>
        <v>0</v>
      </c>
      <c r="X320" s="716">
        <f>IF(OR(status1B5!Y15="",X$7="No aplica"),0,SUM('BOULEVARD 5'!$K13:AA13)-$AP320)</f>
        <v>0</v>
      </c>
      <c r="Y320" s="716">
        <f>IF(OR(status1B5!Z15="",Y$7="No aplica"),0,SUM('BOULEVARD 5'!$K13:AB13)-$AP320)</f>
        <v>0</v>
      </c>
      <c r="Z320" s="716">
        <f>IF(OR(status1B5!AA15="",Z$7="No aplica"),0,SUM('BOULEVARD 5'!$K13:AC13)-$AP320)</f>
        <v>0</v>
      </c>
      <c r="AA320" s="716">
        <f>IF(OR(status1B5!AB15="",AA$7="No aplica"),0,SUM('BOULEVARD 5'!$K13:AD13)-$AP320)</f>
        <v>0</v>
      </c>
      <c r="AB320" s="716">
        <f>IF(OR(status1B5!AC15="",AB$7="No aplica"),0,SUM('BOULEVARD 5'!$K13:AE13)-$AP320)</f>
        <v>0</v>
      </c>
      <c r="AC320" s="716">
        <f>IF(OR(status1B5!AD15="",AC$7="No aplica"),0,SUM('BOULEVARD 5'!$K13:AF13)-$AP320)</f>
        <v>0</v>
      </c>
      <c r="AD320" s="716">
        <f>IF(OR(status1B5!AE15="",AD$7="No aplica"),0,SUM('BOULEVARD 5'!$K13:AG13)-$AP320)</f>
        <v>0</v>
      </c>
      <c r="AE320" s="716">
        <f>IF(OR(status1B5!AF15="",AE$7="No aplica"),0,SUM('BOULEVARD 5'!$K13:AH13)-$AP320)</f>
        <v>0</v>
      </c>
      <c r="AF320" s="716">
        <f>IF(OR(status1B5!AG15="",AF$7="No aplica"),0,SUM('BOULEVARD 5'!$K13:AI13)-$AP320)</f>
        <v>0</v>
      </c>
      <c r="AG320" s="716">
        <f>IF(OR(status1B5!AH15="",AG$7="No aplica"),0,SUM('BOULEVARD 5'!$K13:AJ13)-$AP320)</f>
        <v>0</v>
      </c>
      <c r="AH320" s="716">
        <f>IF(OR(status1B5!AI15="",AH$7="No aplica"),0,SUM('BOULEVARD 5'!$K13:AK13)-$AP320)</f>
        <v>0</v>
      </c>
      <c r="AI320" s="716">
        <f>IF(OR(status1B5!AJ15="",AI$7="No aplica"),0,SUM('BOULEVARD 5'!$K13:AL13)-$AP320)</f>
        <v>0</v>
      </c>
      <c r="AJ320" s="716">
        <f>IF(OR(status1B5!AK15="",AJ$7="No aplica"),0,SUM('BOULEVARD 5'!$K13:AM13)-$AP320)</f>
        <v>0</v>
      </c>
      <c r="AK320" s="716">
        <f>IF(OR(status1B5!AL15="",AK$7="No aplica"),0,SUM('BOULEVARD 5'!$K13:AN13)-$AP320)</f>
        <v>0</v>
      </c>
      <c r="AL320" s="716">
        <f>IF(OR(status1B5!AM15="",AL$7="No aplica"),0,SUM('BOULEVARD 5'!$K13:AO13)-$AP320)</f>
        <v>0</v>
      </c>
      <c r="AM320" s="716">
        <f>IF(OR(status1B5!AN15="",AM$7="No aplica"),0,SUM('BOULEVARD 5'!$K13:AP13)-$AP320)</f>
        <v>0</v>
      </c>
      <c r="AN320" s="716">
        <f>IF(OR(status1B5!AO15="",AN$7="No aplica"),0,SUM('BOULEVARD 5'!$K13:AQ13)-$AP320)</f>
        <v>0</v>
      </c>
      <c r="AO320" s="716">
        <f>IF(OR(status1B5!AP15="",AO$7="No aplica"),0,SUM('BOULEVARD 5'!$K13:AS13)-$AP320)</f>
        <v>0</v>
      </c>
      <c r="AP320" s="717">
        <f>'BOULEVARD PPTO'!BC8</f>
        <v>0</v>
      </c>
      <c r="AQ320" s="717">
        <f>'BOULEVARD 5'!AT13</f>
        <v>0</v>
      </c>
      <c r="AR320" s="717">
        <f t="shared" si="38"/>
        <v>0</v>
      </c>
      <c r="AS320" s="717"/>
      <c r="AT320" s="581"/>
    </row>
    <row r="321" spans="1:46" ht="13.15" customHeight="1" outlineLevel="1" x14ac:dyDescent="0.25">
      <c r="A321" s="700">
        <f t="shared" si="36"/>
        <v>0</v>
      </c>
      <c r="B321" s="564">
        <f t="shared" ref="B321:G321" si="44">B16</f>
        <v>108</v>
      </c>
      <c r="C321" s="564" t="str">
        <f t="shared" si="44"/>
        <v>B1.1</v>
      </c>
      <c r="D321" s="564">
        <f t="shared" si="44"/>
        <v>0</v>
      </c>
      <c r="E321" s="564" t="str">
        <f t="shared" si="44"/>
        <v/>
      </c>
      <c r="F321" s="581" t="str">
        <f t="shared" si="44"/>
        <v/>
      </c>
      <c r="G321" s="566" t="str">
        <f t="shared" si="44"/>
        <v/>
      </c>
      <c r="H321" s="716">
        <f>IF(OR(status1B5!I16="",H$7="No aplica"),0,SUM('BOULEVARD 5'!$K14:K14)-$AP321)</f>
        <v>0</v>
      </c>
      <c r="I321" s="716">
        <f>IF(OR(status1B5!J16="",I$7="No aplica"),0,SUM('BOULEVARD 5'!$K14:L14)-$AP321)</f>
        <v>0</v>
      </c>
      <c r="J321" s="716">
        <f>IF(OR(status1B5!K16="",J$7="No aplica"),0,SUM('BOULEVARD 5'!$K14:M14)-$AP321)</f>
        <v>0</v>
      </c>
      <c r="K321" s="716">
        <f>IF(OR(status1B5!L16="",K$7="No aplica"),0,SUM('BOULEVARD 5'!$K14:N14)-$AP321)</f>
        <v>0</v>
      </c>
      <c r="L321" s="716">
        <f>IF(OR(status1B5!M16="",L$7="No aplica"),0,SUM('BOULEVARD 5'!$K14:O14)-$AP321)</f>
        <v>0</v>
      </c>
      <c r="M321" s="716">
        <f>IF(OR(status1B5!N16="",M$7="No aplica"),0,SUM('BOULEVARD 5'!$K14:P14)-$AP321)</f>
        <v>0</v>
      </c>
      <c r="N321" s="716">
        <f>IF(OR(status1B5!O16="",N$7="No aplica"),0,SUM('BOULEVARD 5'!$K14:Q14)-$AP321)</f>
        <v>0</v>
      </c>
      <c r="O321" s="716">
        <f>IF(OR(status1B5!P16="",O$7="No aplica"),0,SUM('BOULEVARD 5'!$K14:R14)-$AP321)</f>
        <v>0</v>
      </c>
      <c r="P321" s="716">
        <f>IF(OR(status1B5!Q16="",P$7="No aplica"),0,SUM('BOULEVARD 5'!$K14:S14)-$AP321)</f>
        <v>0</v>
      </c>
      <c r="Q321" s="716">
        <f>IF(OR(status1B5!R16="",Q$7="No aplica"),0,SUM('BOULEVARD 5'!$K14:T14)-$AP321)</f>
        <v>0</v>
      </c>
      <c r="R321" s="716">
        <f>IF(OR(status1B5!S16="",R$7="No aplica"),0,SUM('BOULEVARD 5'!$K14:U14)-$AP321)</f>
        <v>0</v>
      </c>
      <c r="S321" s="716">
        <f>IF(OR(status1B5!T16="",S$7="No aplica"),0,SUM('BOULEVARD 5'!$K14:V14)-$AP321)</f>
        <v>0</v>
      </c>
      <c r="T321" s="716">
        <f>IF(OR(status1B5!U16="",T$7="No aplica"),0,SUM('BOULEVARD 5'!$K14:W14)-$AP321)</f>
        <v>0</v>
      </c>
      <c r="U321" s="716">
        <f>IF(OR(status1B5!V16="",U$7="No aplica"),0,SUM('BOULEVARD 5'!$K14:X14)-$AP321)</f>
        <v>0</v>
      </c>
      <c r="V321" s="716">
        <f>IF(OR(status1B5!W16="",V$7="No aplica"),0,SUM('BOULEVARD 5'!$K14:Y14)-$AP321)</f>
        <v>0</v>
      </c>
      <c r="W321" s="716">
        <f>IF(OR(status1B5!X16="",W$7="No aplica"),0,SUM('BOULEVARD 5'!$K14:Z14)-$AP321)</f>
        <v>0</v>
      </c>
      <c r="X321" s="716">
        <f>IF(OR(status1B5!Y16="",X$7="No aplica"),0,SUM('BOULEVARD 5'!$K14:AA14)-$AP321)</f>
        <v>0</v>
      </c>
      <c r="Y321" s="716">
        <f>IF(OR(status1B5!Z16="",Y$7="No aplica"),0,SUM('BOULEVARD 5'!$K14:AB14)-$AP321)</f>
        <v>0</v>
      </c>
      <c r="Z321" s="716">
        <f>IF(OR(status1B5!AA16="",Z$7="No aplica"),0,SUM('BOULEVARD 5'!$K14:AC14)-$AP321)</f>
        <v>0</v>
      </c>
      <c r="AA321" s="716">
        <f>IF(OR(status1B5!AB16="",AA$7="No aplica"),0,SUM('BOULEVARD 5'!$K14:AD14)-$AP321)</f>
        <v>0</v>
      </c>
      <c r="AB321" s="716">
        <f>IF(OR(status1B5!AC16="",AB$7="No aplica"),0,SUM('BOULEVARD 5'!$K14:AE14)-$AP321)</f>
        <v>0</v>
      </c>
      <c r="AC321" s="716">
        <f>IF(OR(status1B5!AD16="",AC$7="No aplica"),0,SUM('BOULEVARD 5'!$K14:AF14)-$AP321)</f>
        <v>0</v>
      </c>
      <c r="AD321" s="716">
        <f>IF(OR(status1B5!AE16="",AD$7="No aplica"),0,SUM('BOULEVARD 5'!$K14:AG14)-$AP321)</f>
        <v>0</v>
      </c>
      <c r="AE321" s="716">
        <f>IF(OR(status1B5!AF16="",AE$7="No aplica"),0,SUM('BOULEVARD 5'!$K14:AH14)-$AP321)</f>
        <v>0</v>
      </c>
      <c r="AF321" s="716">
        <f>IF(OR(status1B5!AG16="",AF$7="No aplica"),0,SUM('BOULEVARD 5'!$K14:AI14)-$AP321)</f>
        <v>0</v>
      </c>
      <c r="AG321" s="716">
        <f>IF(OR(status1B5!AH16="",AG$7="No aplica"),0,SUM('BOULEVARD 5'!$K14:AJ14)-$AP321)</f>
        <v>0</v>
      </c>
      <c r="AH321" s="716">
        <f>IF(OR(status1B5!AI16="",AH$7="No aplica"),0,SUM('BOULEVARD 5'!$K14:AK14)-$AP321)</f>
        <v>0</v>
      </c>
      <c r="AI321" s="716">
        <f>IF(OR(status1B5!AJ16="",AI$7="No aplica"),0,SUM('BOULEVARD 5'!$K14:AL14)-$AP321)</f>
        <v>0</v>
      </c>
      <c r="AJ321" s="716">
        <f>IF(OR(status1B5!AK16="",AJ$7="No aplica"),0,SUM('BOULEVARD 5'!$K14:AM14)-$AP321)</f>
        <v>0</v>
      </c>
      <c r="AK321" s="716">
        <f>IF(OR(status1B5!AL16="",AK$7="No aplica"),0,SUM('BOULEVARD 5'!$K14:AN14)-$AP321)</f>
        <v>0</v>
      </c>
      <c r="AL321" s="716">
        <f>IF(OR(status1B5!AM16="",AL$7="No aplica"),0,SUM('BOULEVARD 5'!$K14:AO14)-$AP321)</f>
        <v>0</v>
      </c>
      <c r="AM321" s="716">
        <f>IF(OR(status1B5!AN16="",AM$7="No aplica"),0,SUM('BOULEVARD 5'!$K14:AP14)-$AP321)</f>
        <v>0</v>
      </c>
      <c r="AN321" s="716">
        <f>IF(OR(status1B5!AO16="",AN$7="No aplica"),0,SUM('BOULEVARD 5'!$K14:AQ14)-$AP321)</f>
        <v>0</v>
      </c>
      <c r="AO321" s="716">
        <f>IF(OR(status1B5!AP16="",AO$7="No aplica"),0,SUM('BOULEVARD 5'!$K14:AS14)-$AP321)</f>
        <v>0</v>
      </c>
      <c r="AP321" s="717">
        <f>'BOULEVARD PPTO'!BC9</f>
        <v>0</v>
      </c>
      <c r="AQ321" s="717">
        <f>'BOULEVARD 5'!AT14</f>
        <v>0</v>
      </c>
      <c r="AR321" s="717">
        <f t="shared" si="38"/>
        <v>0</v>
      </c>
      <c r="AS321" s="717"/>
      <c r="AT321" s="581"/>
    </row>
    <row r="322" spans="1:46" ht="13.15" customHeight="1" outlineLevel="1" x14ac:dyDescent="0.25">
      <c r="A322" s="700">
        <f t="shared" si="36"/>
        <v>0</v>
      </c>
      <c r="B322" s="564">
        <f t="shared" ref="B322:G322" si="45">B17</f>
        <v>109</v>
      </c>
      <c r="C322" s="564" t="str">
        <f t="shared" si="45"/>
        <v>E2.1</v>
      </c>
      <c r="D322" s="564">
        <f t="shared" si="45"/>
        <v>0</v>
      </c>
      <c r="E322" s="564" t="str">
        <f t="shared" si="45"/>
        <v>Antonio Rada</v>
      </c>
      <c r="F322" s="581" t="str">
        <f t="shared" si="45"/>
        <v>Laura Elisa Ovalle Gonzalez</v>
      </c>
      <c r="G322" s="566">
        <f t="shared" si="45"/>
        <v>45471</v>
      </c>
      <c r="H322" s="716">
        <f>IF(OR(status1B5!I17="",H$7="No aplica"),0,SUM('BOULEVARD 5'!$K15:K15)-$AP322)</f>
        <v>0</v>
      </c>
      <c r="I322" s="716">
        <f>IF(OR(status1B5!J17="",I$7="No aplica"),0,SUM('BOULEVARD 5'!$K15:L15)-$AP322)</f>
        <v>0</v>
      </c>
      <c r="J322" s="716">
        <f>IF(OR(status1B5!K17="",J$7="No aplica"),0,SUM('BOULEVARD 5'!$K15:M15)-$AP322)</f>
        <v>0</v>
      </c>
      <c r="K322" s="716">
        <f>IF(OR(status1B5!L17="",K$7="No aplica"),0,SUM('BOULEVARD 5'!$K15:N15)-$AP322)</f>
        <v>0</v>
      </c>
      <c r="L322" s="716">
        <f>IF(OR(status1B5!M17="",L$7="No aplica"),0,SUM('BOULEVARD 5'!$K15:O15)-$AP322)</f>
        <v>0</v>
      </c>
      <c r="M322" s="716">
        <f>IF(OR(status1B5!N17="",M$7="No aplica"),0,SUM('BOULEVARD 5'!$K15:P15)-$AP322)</f>
        <v>0</v>
      </c>
      <c r="N322" s="716">
        <f>IF(OR(status1B5!O17="",N$7="No aplica"),0,SUM('BOULEVARD 5'!$K15:Q15)-$AP322)</f>
        <v>0</v>
      </c>
      <c r="O322" s="716">
        <f>IF(OR(status1B5!P17="",O$7="No aplica"),0,SUM('BOULEVARD 5'!$K15:R15)-$AP322)</f>
        <v>0</v>
      </c>
      <c r="P322" s="716">
        <f>IF(OR(status1B5!Q17="",P$7="No aplica"),0,SUM('BOULEVARD 5'!$K15:S15)-$AP322)</f>
        <v>0</v>
      </c>
      <c r="Q322" s="716">
        <f>IF(OR(status1B5!R17="",Q$7="No aplica"),0,SUM('BOULEVARD 5'!$K15:T15)-$AP322)</f>
        <v>0</v>
      </c>
      <c r="R322" s="716">
        <f>IF(OR(status1B5!S17="",R$7="No aplica"),0,SUM('BOULEVARD 5'!$K15:U15)-$AP322)</f>
        <v>0</v>
      </c>
      <c r="S322" s="716">
        <f>IF(OR(status1B5!T17="",S$7="No aplica"),0,SUM('BOULEVARD 5'!$K15:V15)-$AP322)</f>
        <v>0</v>
      </c>
      <c r="T322" s="716">
        <f>IF(OR(status1B5!U17="",T$7="No aplica"),0,SUM('BOULEVARD 5'!$K15:W15)-$AP322)</f>
        <v>0</v>
      </c>
      <c r="U322" s="716">
        <f>IF(OR(status1B5!V17="",U$7="No aplica"),0,SUM('BOULEVARD 5'!$K15:X15)-$AP322)</f>
        <v>0</v>
      </c>
      <c r="V322" s="716">
        <f>IF(OR(status1B5!W17="",V$7="No aplica"),0,SUM('BOULEVARD 5'!$K15:Y15)-$AP322)</f>
        <v>0</v>
      </c>
      <c r="W322" s="716">
        <f>IF(OR(status1B5!X17="",W$7="No aplica"),0,SUM('BOULEVARD 5'!$K15:Z15)-$AP322)</f>
        <v>-143676</v>
      </c>
      <c r="X322" s="716">
        <f>IF(OR(status1B5!Y17="",X$7="No aplica"),0,SUM('BOULEVARD 5'!$K15:AA15)-$AP322)</f>
        <v>-138676</v>
      </c>
      <c r="Y322" s="716">
        <f>IF(OR(status1B5!Z17="",Y$7="No aplica"),0,SUM('BOULEVARD 5'!$K15:AB15)-$AP322)</f>
        <v>-130972</v>
      </c>
      <c r="Z322" s="716">
        <f>IF(OR(status1B5!AA17="",Z$7="No aplica"),0,SUM('BOULEVARD 5'!$K15:AC15)-$AP322)</f>
        <v>-123268</v>
      </c>
      <c r="AA322" s="716">
        <f>IF(OR(status1B5!AB17="",AA$7="No aplica"),0,SUM('BOULEVARD 5'!$K15:AD15)-$AP322)</f>
        <v>-115564</v>
      </c>
      <c r="AB322" s="716">
        <f>IF(OR(status1B5!AC17="",AB$7="No aplica"),0,SUM('BOULEVARD 5'!$K15:AE15)-$AP322)</f>
        <v>-107860</v>
      </c>
      <c r="AC322" s="716">
        <f>IF(OR(status1B5!AD17="",AC$7="No aplica"),0,SUM('BOULEVARD 5'!$K15:AF15)-$AP322)</f>
        <v>-100156</v>
      </c>
      <c r="AD322" s="716">
        <f>IF(OR(status1B5!AE17="",AD$7="No aplica"),0,SUM('BOULEVARD 5'!$K15:AG15)-$AP322)</f>
        <v>-92452</v>
      </c>
      <c r="AE322" s="716">
        <f>IF(OR(status1B5!AF17="",AE$7="No aplica"),0,SUM('BOULEVARD 5'!$K15:AH15)-$AP322)</f>
        <v>-84748</v>
      </c>
      <c r="AF322" s="716">
        <f>IF(OR(status1B5!AG17="",AF$7="No aplica"),0,SUM('BOULEVARD 5'!$K15:AI15)-$AP322)</f>
        <v>-77044</v>
      </c>
      <c r="AG322" s="716">
        <f>IF(OR(status1B5!AH17="",AG$7="No aplica"),0,SUM('BOULEVARD 5'!$K15:AJ15)-$AP322)</f>
        <v>-69340</v>
      </c>
      <c r="AH322" s="716">
        <f>IF(OR(status1B5!AI17="",AH$7="No aplica"),0,SUM('BOULEVARD 5'!$K15:AK15)-$AP322)</f>
        <v>-61636</v>
      </c>
      <c r="AI322" s="716">
        <f>IF(OR(status1B5!AJ17="",AI$7="No aplica"),0,SUM('BOULEVARD 5'!$K15:AL15)-$AP322)</f>
        <v>-53932</v>
      </c>
      <c r="AJ322" s="716">
        <f>IF(OR(status1B5!AK17="",AJ$7="No aplica"),0,SUM('BOULEVARD 5'!$K15:AM15)-$AP322)</f>
        <v>-46228</v>
      </c>
      <c r="AK322" s="716">
        <f>IF(OR(status1B5!AL17="",AK$7="No aplica"),0,SUM('BOULEVARD 5'!$K15:AN15)-$AP322)</f>
        <v>-38524</v>
      </c>
      <c r="AL322" s="716">
        <f>IF(OR(status1B5!AM17="",AL$7="No aplica"),0,SUM('BOULEVARD 5'!$K15:AO15)-$AP322)</f>
        <v>-30820</v>
      </c>
      <c r="AM322" s="716">
        <f>IF(OR(status1B5!AN17="",AM$7="No aplica"),0,SUM('BOULEVARD 5'!$K15:AP15)-$AP322)</f>
        <v>-30820</v>
      </c>
      <c r="AN322" s="716">
        <f>IF(OR(status1B5!AO17="",AN$7="No aplica"),0,SUM('BOULEVARD 5'!$K15:AQ15)-$AP322)</f>
        <v>0</v>
      </c>
      <c r="AO322" s="716">
        <f>IF(OR(status1B5!AP17="",AO$7="No aplica"),0,SUM('BOULEVARD 5'!$K15:AS15)-$AP322)</f>
        <v>0</v>
      </c>
      <c r="AP322" s="717">
        <f>'BOULEVARD PPTO'!BC10</f>
        <v>148676</v>
      </c>
      <c r="AQ322" s="717">
        <f>'BOULEVARD 5'!AT15</f>
        <v>148672</v>
      </c>
      <c r="AR322" s="717">
        <f t="shared" si="38"/>
        <v>-4</v>
      </c>
      <c r="AS322" s="717"/>
      <c r="AT322" s="581"/>
    </row>
    <row r="323" spans="1:46" ht="13.15" customHeight="1" outlineLevel="1" x14ac:dyDescent="0.25">
      <c r="A323" s="700">
        <f t="shared" si="36"/>
        <v>0</v>
      </c>
      <c r="B323" s="564">
        <f t="shared" ref="B323:G323" si="46">B18</f>
        <v>110</v>
      </c>
      <c r="C323" s="564" t="str">
        <f t="shared" si="46"/>
        <v>A2.1</v>
      </c>
      <c r="D323" s="564">
        <f t="shared" si="46"/>
        <v>0</v>
      </c>
      <c r="E323" s="564" t="str">
        <f t="shared" si="46"/>
        <v>Antonio Rada</v>
      </c>
      <c r="F323" s="581" t="str">
        <f t="shared" si="46"/>
        <v>Karla Suzel Ruiz Sanchinelli De Alonzo</v>
      </c>
      <c r="G323" s="566">
        <f t="shared" si="46"/>
        <v>45088</v>
      </c>
      <c r="H323" s="716">
        <f>IF(OR(status1B5!I18="",H$7="No aplica"),0,SUM('BOULEVARD 5'!$K16:K16)-$AP323)</f>
        <v>0</v>
      </c>
      <c r="I323" s="716">
        <f>IF(OR(status1B5!J18="",I$7="No aplica"),0,SUM('BOULEVARD 5'!$K16:L16)-$AP323)</f>
        <v>0</v>
      </c>
      <c r="J323" s="716">
        <f>IF(OR(status1B5!K18="",J$7="No aplica"),0,SUM('BOULEVARD 5'!$K16:M16)-$AP323)</f>
        <v>0</v>
      </c>
      <c r="K323" s="716">
        <f>IF(OR(status1B5!L18="",K$7="No aplica"),0,SUM('BOULEVARD 5'!$K16:N16)-$AP323)</f>
        <v>-62100</v>
      </c>
      <c r="L323" s="716">
        <f>IF(OR(status1B5!M18="",L$7="No aplica"),0,SUM('BOULEVARD 5'!$K16:O16)-$AP323)</f>
        <v>-62100</v>
      </c>
      <c r="M323" s="716">
        <f>IF(OR(status1B5!N18="",M$7="No aplica"),0,SUM('BOULEVARD 5'!$K16:P16)-$AP323)</f>
        <v>-59712</v>
      </c>
      <c r="N323" s="716">
        <f>IF(OR(status1B5!O18="",N$7="No aplica"),0,SUM('BOULEVARD 5'!$K16:Q16)-$AP323)</f>
        <v>-57324</v>
      </c>
      <c r="O323" s="716">
        <f>IF(OR(status1B5!P18="",O$7="No aplica"),0,SUM('BOULEVARD 5'!$K16:R16)-$AP323)</f>
        <v>-54936</v>
      </c>
      <c r="P323" s="716">
        <f>IF(OR(status1B5!Q18="",P$7="No aplica"),0,SUM('BOULEVARD 5'!$K16:S16)-$AP323)</f>
        <v>-52548</v>
      </c>
      <c r="Q323" s="716">
        <f>IF(OR(status1B5!R18="",Q$7="No aplica"),0,SUM('BOULEVARD 5'!$K16:T16)-$AP323)</f>
        <v>-50160</v>
      </c>
      <c r="R323" s="716">
        <f>IF(OR(status1B5!S18="",R$7="No aplica"),0,SUM('BOULEVARD 5'!$K16:U16)-$AP323)</f>
        <v>-47772</v>
      </c>
      <c r="S323" s="716">
        <f>IF(OR(status1B5!T18="",S$7="No aplica"),0,SUM('BOULEVARD 5'!$K16:V16)-$AP323)</f>
        <v>-45384</v>
      </c>
      <c r="T323" s="716">
        <f>IF(OR(status1B5!U18="",T$7="No aplica"),0,SUM('BOULEVARD 5'!$K16:W16)-$AP323)</f>
        <v>-42996</v>
      </c>
      <c r="U323" s="716">
        <f>IF(OR(status1B5!V18="",U$7="No aplica"),0,SUM('BOULEVARD 5'!$K16:X16)-$AP323)</f>
        <v>-40608</v>
      </c>
      <c r="V323" s="716">
        <f>IF(OR(status1B5!W18="",V$7="No aplica"),0,SUM('BOULEVARD 5'!$K16:Y16)-$AP323)</f>
        <v>-38220</v>
      </c>
      <c r="W323" s="716">
        <f>IF(OR(status1B5!X18="",W$7="No aplica"),0,SUM('BOULEVARD 5'!$K16:Z16)-$AP323)</f>
        <v>-35832</v>
      </c>
      <c r="X323" s="716">
        <f>IF(OR(status1B5!Y18="",X$7="No aplica"),0,SUM('BOULEVARD 5'!$K16:AA16)-$AP323)</f>
        <v>-33444</v>
      </c>
      <c r="Y323" s="716">
        <f>IF(OR(status1B5!Z18="",Y$7="No aplica"),0,SUM('BOULEVARD 5'!$K16:AB16)-$AP323)</f>
        <v>-31056</v>
      </c>
      <c r="Z323" s="716">
        <f>IF(OR(status1B5!AA18="",Z$7="No aplica"),0,SUM('BOULEVARD 5'!$K16:AC16)-$AP323)</f>
        <v>-28668</v>
      </c>
      <c r="AA323" s="716">
        <f>IF(OR(status1B5!AB18="",AA$7="No aplica"),0,SUM('BOULEVARD 5'!$K16:AD16)-$AP323)</f>
        <v>-26280</v>
      </c>
      <c r="AB323" s="716">
        <f>IF(OR(status1B5!AC18="",AB$7="No aplica"),0,SUM('BOULEVARD 5'!$K16:AE16)-$AP323)</f>
        <v>-23892</v>
      </c>
      <c r="AC323" s="716">
        <f>IF(OR(status1B5!AD18="",AC$7="No aplica"),0,SUM('BOULEVARD 5'!$K16:AF16)-$AP323)</f>
        <v>-21504</v>
      </c>
      <c r="AD323" s="716">
        <f>IF(OR(status1B5!AE18="",AD$7="No aplica"),0,SUM('BOULEVARD 5'!$K16:AG16)-$AP323)</f>
        <v>-19116</v>
      </c>
      <c r="AE323" s="716">
        <f>IF(OR(status1B5!AF18="",AE$7="No aplica"),0,SUM('BOULEVARD 5'!$K16:AH16)-$AP323)</f>
        <v>-16728</v>
      </c>
      <c r="AF323" s="716">
        <f>IF(OR(status1B5!AG18="",AF$7="No aplica"),0,SUM('BOULEVARD 5'!$K16:AI16)-$AP323)</f>
        <v>-14340</v>
      </c>
      <c r="AG323" s="716">
        <f>IF(OR(status1B5!AH18="",AG$7="No aplica"),0,SUM('BOULEVARD 5'!$K16:AJ16)-$AP323)</f>
        <v>-11952</v>
      </c>
      <c r="AH323" s="716">
        <f>IF(OR(status1B5!AI18="",AH$7="No aplica"),0,SUM('BOULEVARD 5'!$K16:AK16)-$AP323)</f>
        <v>-9564</v>
      </c>
      <c r="AI323" s="716">
        <f>IF(OR(status1B5!AJ18="",AI$7="No aplica"),0,SUM('BOULEVARD 5'!$K16:AL16)-$AP323)</f>
        <v>-7176</v>
      </c>
      <c r="AJ323" s="716">
        <f>IF(OR(status1B5!AK18="",AJ$7="No aplica"),0,SUM('BOULEVARD 5'!$K16:AM16)-$AP323)</f>
        <v>-4788</v>
      </c>
      <c r="AK323" s="716">
        <f>IF(OR(status1B5!AL18="",AK$7="No aplica"),0,SUM('BOULEVARD 5'!$K16:AN16)-$AP323)</f>
        <v>-2400</v>
      </c>
      <c r="AL323" s="716">
        <f>IF(OR(status1B5!AM18="",AL$7="No aplica"),0,SUM('BOULEVARD 5'!$K16:AO16)-$AP323)</f>
        <v>-12</v>
      </c>
      <c r="AM323" s="716">
        <f>IF(OR(status1B5!AN18="",AM$7="No aplica"),0,SUM('BOULEVARD 5'!$K16:AP16)-$AP323)</f>
        <v>2376</v>
      </c>
      <c r="AN323" s="716">
        <f>IF(OR(status1B5!AO18="",AN$7="No aplica"),0,SUM('BOULEVARD 5'!$K16:AQ16)-$AP323)</f>
        <v>0</v>
      </c>
      <c r="AO323" s="716">
        <f>IF(OR(status1B5!AP18="",AO$7="No aplica"),0,SUM('BOULEVARD 5'!$K16:AS16)-$AP323)</f>
        <v>0</v>
      </c>
      <c r="AP323" s="717">
        <f>'BOULEVARD PPTO'!BC11</f>
        <v>68100</v>
      </c>
      <c r="AQ323" s="717">
        <f>'BOULEVARD 5'!AT16</f>
        <v>75252</v>
      </c>
      <c r="AR323" s="717">
        <f t="shared" si="38"/>
        <v>7152</v>
      </c>
      <c r="AS323" s="717"/>
      <c r="AT323" s="581"/>
    </row>
    <row r="324" spans="1:46" ht="13.15" customHeight="1" outlineLevel="1" x14ac:dyDescent="0.25">
      <c r="A324" s="700">
        <f t="shared" si="36"/>
        <v>0</v>
      </c>
      <c r="B324" s="564">
        <f t="shared" ref="B324:G324" si="47">B19</f>
        <v>111</v>
      </c>
      <c r="C324" s="564" t="str">
        <f t="shared" si="47"/>
        <v>A6.1</v>
      </c>
      <c r="D324" s="564">
        <f t="shared" si="47"/>
        <v>0</v>
      </c>
      <c r="E324" s="564" t="str">
        <f t="shared" si="47"/>
        <v>Jose Franco</v>
      </c>
      <c r="F324" s="581" t="str">
        <f t="shared" si="47"/>
        <v>Jonathan José Morales Salazar / Ingrid Liseth Barillas López</v>
      </c>
      <c r="G324" s="566">
        <f t="shared" si="47"/>
        <v>45012</v>
      </c>
      <c r="H324" s="716">
        <f>IF(OR(status1B5!I19="",H$7="No aplica"),0,SUM('BOULEVARD 5'!$K17:K17)-$AP324)</f>
        <v>-63700</v>
      </c>
      <c r="I324" s="716">
        <f>IF(OR(status1B5!J19="",I$7="No aplica"),0,SUM('BOULEVARD 5'!$K17:L17)-$AP324)</f>
        <v>-63700</v>
      </c>
      <c r="J324" s="716">
        <f>IF(OR(status1B5!K19="",J$7="No aplica"),0,SUM('BOULEVARD 5'!$K17:M17)-$AP324)</f>
        <v>-60880</v>
      </c>
      <c r="K324" s="716">
        <f>IF(OR(status1B5!L19="",K$7="No aplica"),0,SUM('BOULEVARD 5'!$K17:N17)-$AP324)</f>
        <v>-59060</v>
      </c>
      <c r="L324" s="716">
        <f>IF(OR(status1B5!M19="",L$7="No aplica"),0,SUM('BOULEVARD 5'!$K17:O17)-$AP324)</f>
        <v>-57240</v>
      </c>
      <c r="M324" s="716">
        <f>IF(OR(status1B5!N19="",M$7="No aplica"),0,SUM('BOULEVARD 5'!$K17:P17)-$AP324)</f>
        <v>-55420</v>
      </c>
      <c r="N324" s="716">
        <f>IF(OR(status1B5!O19="",N$7="No aplica"),0,SUM('BOULEVARD 5'!$K17:Q17)-$AP324)</f>
        <v>-53600</v>
      </c>
      <c r="O324" s="716">
        <f>IF(OR(status1B5!P19="",O$7="No aplica"),0,SUM('BOULEVARD 5'!$K17:R17)-$AP324)</f>
        <v>-51780</v>
      </c>
      <c r="P324" s="716">
        <f>IF(OR(status1B5!Q19="",P$7="No aplica"),0,SUM('BOULEVARD 5'!$K17:S17)-$AP324)</f>
        <v>-49960</v>
      </c>
      <c r="Q324" s="716">
        <f>IF(OR(status1B5!R19="",Q$7="No aplica"),0,SUM('BOULEVARD 5'!$K17:T17)-$AP324)</f>
        <v>-48140</v>
      </c>
      <c r="R324" s="716">
        <f>IF(OR(status1B5!S19="",R$7="No aplica"),0,SUM('BOULEVARD 5'!$K17:U17)-$AP324)</f>
        <v>-46320</v>
      </c>
      <c r="S324" s="716">
        <f>IF(OR(status1B5!T19="",S$7="No aplica"),0,SUM('BOULEVARD 5'!$K17:V17)-$AP324)</f>
        <v>-44500</v>
      </c>
      <c r="T324" s="716">
        <f>IF(OR(status1B5!U19="",T$7="No aplica"),0,SUM('BOULEVARD 5'!$K17:W17)-$AP324)</f>
        <v>-42680</v>
      </c>
      <c r="U324" s="716">
        <f>IF(OR(status1B5!V19="",U$7="No aplica"),0,SUM('BOULEVARD 5'!$K17:X17)-$AP324)</f>
        <v>-40860</v>
      </c>
      <c r="V324" s="716">
        <f>IF(OR(status1B5!W19="",V$7="No aplica"),0,SUM('BOULEVARD 5'!$K17:Y17)-$AP324)</f>
        <v>-39040</v>
      </c>
      <c r="W324" s="716">
        <f>IF(OR(status1B5!X19="",W$7="No aplica"),0,SUM('BOULEVARD 5'!$K17:Z17)-$AP324)</f>
        <v>-37220</v>
      </c>
      <c r="X324" s="716">
        <f>IF(OR(status1B5!Y19="",X$7="No aplica"),0,SUM('BOULEVARD 5'!$K17:AA17)-$AP324)</f>
        <v>-35400</v>
      </c>
      <c r="Y324" s="716">
        <f>IF(OR(status1B5!Z19="",Y$7="No aplica"),0,SUM('BOULEVARD 5'!$K17:AB17)-$AP324)</f>
        <v>-33580</v>
      </c>
      <c r="Z324" s="716">
        <f>IF(OR(status1B5!AA19="",Z$7="No aplica"),0,SUM('BOULEVARD 5'!$K17:AC17)-$AP324)</f>
        <v>-31760</v>
      </c>
      <c r="AA324" s="716">
        <f>IF(OR(status1B5!AB19="",AA$7="No aplica"),0,SUM('BOULEVARD 5'!$K17:AD17)-$AP324)</f>
        <v>-29940</v>
      </c>
      <c r="AB324" s="716">
        <f>IF(OR(status1B5!AC19="",AB$7="No aplica"),0,SUM('BOULEVARD 5'!$K17:AE17)-$AP324)</f>
        <v>-28120</v>
      </c>
      <c r="AC324" s="716">
        <f>IF(OR(status1B5!AD19="",AC$7="No aplica"),0,SUM('BOULEVARD 5'!$K17:AF17)-$AP324)</f>
        <v>-26300</v>
      </c>
      <c r="AD324" s="716">
        <f>IF(OR(status1B5!AE19="",AD$7="No aplica"),0,SUM('BOULEVARD 5'!$K17:AG17)-$AP324)</f>
        <v>-24480</v>
      </c>
      <c r="AE324" s="716">
        <f>IF(OR(status1B5!AF19="",AE$7="No aplica"),0,SUM('BOULEVARD 5'!$K17:AH17)-$AP324)</f>
        <v>-22660</v>
      </c>
      <c r="AF324" s="716">
        <f>IF(OR(status1B5!AG19="",AF$7="No aplica"),0,SUM('BOULEVARD 5'!$K17:AI17)-$AP324)</f>
        <v>-20840</v>
      </c>
      <c r="AG324" s="716">
        <f>IF(OR(status1B5!AH19="",AG$7="No aplica"),0,SUM('BOULEVARD 5'!$K17:AJ17)-$AP324)</f>
        <v>-19020</v>
      </c>
      <c r="AH324" s="716">
        <f>IF(OR(status1B5!AI19="",AH$7="No aplica"),0,SUM('BOULEVARD 5'!$K17:AK17)-$AP324)</f>
        <v>-17200</v>
      </c>
      <c r="AI324" s="716">
        <f>IF(OR(status1B5!AJ19="",AI$7="No aplica"),0,SUM('BOULEVARD 5'!$K17:AL17)-$AP324)</f>
        <v>-15380</v>
      </c>
      <c r="AJ324" s="716">
        <f>IF(OR(status1B5!AK19="",AJ$7="No aplica"),0,SUM('BOULEVARD 5'!$K17:AM17)-$AP324)</f>
        <v>-13560</v>
      </c>
      <c r="AK324" s="716">
        <f>IF(OR(status1B5!AL19="",AK$7="No aplica"),0,SUM('BOULEVARD 5'!$K17:AN17)-$AP324)</f>
        <v>-11740</v>
      </c>
      <c r="AL324" s="716">
        <f>IF(OR(status1B5!AM19="",AL$7="No aplica"),0,SUM('BOULEVARD 5'!$K17:AO17)-$AP324)</f>
        <v>-9920</v>
      </c>
      <c r="AM324" s="716">
        <f>IF(OR(status1B5!AN19="",AM$7="No aplica"),0,SUM('BOULEVARD 5'!$K17:AP17)-$AP324)</f>
        <v>-8100</v>
      </c>
      <c r="AN324" s="716">
        <f>IF(OR(status1B5!AO19="",AN$7="No aplica"),0,SUM('BOULEVARD 5'!$K17:AQ17)-$AP324)</f>
        <v>0</v>
      </c>
      <c r="AO324" s="716">
        <f>IF(OR(status1B5!AP19="",AO$7="No aplica"),0,SUM('BOULEVARD 5'!$K17:AS17)-$AP324)</f>
        <v>0</v>
      </c>
      <c r="AP324" s="717">
        <f>'BOULEVARD PPTO'!BC12</f>
        <v>69700</v>
      </c>
      <c r="AQ324" s="717">
        <f>'BOULEVARD 5'!AT17</f>
        <v>67060</v>
      </c>
      <c r="AR324" s="717">
        <f t="shared" si="38"/>
        <v>-2640</v>
      </c>
      <c r="AS324" s="717"/>
      <c r="AT324" s="581"/>
    </row>
    <row r="325" spans="1:46" ht="13.15" customHeight="1" outlineLevel="1" x14ac:dyDescent="0.25">
      <c r="A325" s="700">
        <f t="shared" si="36"/>
        <v>0</v>
      </c>
      <c r="B325" s="564">
        <f t="shared" ref="B325:G325" si="48">B20</f>
        <v>112</v>
      </c>
      <c r="C325" s="564" t="str">
        <f t="shared" si="48"/>
        <v>A3.1</v>
      </c>
      <c r="D325" s="564">
        <f t="shared" si="48"/>
        <v>0</v>
      </c>
      <c r="E325" s="564" t="str">
        <f t="shared" si="48"/>
        <v>Brenda Búcaro</v>
      </c>
      <c r="F325" s="581" t="str">
        <f t="shared" si="48"/>
        <v>Herbert Osiel Ramos Alfaro / Paula María Vásquez Cifuentes</v>
      </c>
      <c r="G325" s="566">
        <f t="shared" si="48"/>
        <v>45006</v>
      </c>
      <c r="H325" s="716">
        <f>IF(OR(status1B5!I20="",H$7="No aplica"),0,SUM('BOULEVARD 5'!$K18:K18)-$AP325)</f>
        <v>-63900</v>
      </c>
      <c r="I325" s="716">
        <f>IF(OR(status1B5!J20="",I$7="No aplica"),0,SUM('BOULEVARD 5'!$K18:L18)-$AP325)</f>
        <v>-62074</v>
      </c>
      <c r="J325" s="716">
        <f>IF(OR(status1B5!K20="",J$7="No aplica"),0,SUM('BOULEVARD 5'!$K18:M18)-$AP325)</f>
        <v>-60248</v>
      </c>
      <c r="K325" s="716">
        <f>IF(OR(status1B5!L20="",K$7="No aplica"),0,SUM('BOULEVARD 5'!$K18:N18)-$AP325)</f>
        <v>-58422</v>
      </c>
      <c r="L325" s="716">
        <f>IF(OR(status1B5!M20="",L$7="No aplica"),0,SUM('BOULEVARD 5'!$K18:O18)-$AP325)</f>
        <v>-56596</v>
      </c>
      <c r="M325" s="716">
        <f>IF(OR(status1B5!N20="",M$7="No aplica"),0,SUM('BOULEVARD 5'!$K18:P18)-$AP325)</f>
        <v>-54770</v>
      </c>
      <c r="N325" s="716">
        <f>IF(OR(status1B5!O20="",N$7="No aplica"),0,SUM('BOULEVARD 5'!$K18:Q18)-$AP325)</f>
        <v>-52944</v>
      </c>
      <c r="O325" s="716">
        <f>IF(OR(status1B5!P20="",O$7="No aplica"),0,SUM('BOULEVARD 5'!$K18:R18)-$AP325)</f>
        <v>-51118</v>
      </c>
      <c r="P325" s="716">
        <f>IF(OR(status1B5!Q20="",P$7="No aplica"),0,SUM('BOULEVARD 5'!$K18:S18)-$AP325)</f>
        <v>-49292</v>
      </c>
      <c r="Q325" s="716">
        <f>IF(OR(status1B5!R20="",Q$7="No aplica"),0,SUM('BOULEVARD 5'!$K18:T18)-$AP325)</f>
        <v>-47466</v>
      </c>
      <c r="R325" s="716">
        <f>IF(OR(status1B5!S20="",R$7="No aplica"),0,SUM('BOULEVARD 5'!$K18:U18)-$AP325)</f>
        <v>-45640</v>
      </c>
      <c r="S325" s="716">
        <f>IF(OR(status1B5!T20="",S$7="No aplica"),0,SUM('BOULEVARD 5'!$K18:V18)-$AP325)</f>
        <v>-43814</v>
      </c>
      <c r="T325" s="716">
        <f>IF(OR(status1B5!U20="",T$7="No aplica"),0,SUM('BOULEVARD 5'!$K18:W18)-$AP325)</f>
        <v>-41988</v>
      </c>
      <c r="U325" s="716">
        <f>IF(OR(status1B5!V20="",U$7="No aplica"),0,SUM('BOULEVARD 5'!$K18:X18)-$AP325)</f>
        <v>-40162</v>
      </c>
      <c r="V325" s="716">
        <f>IF(OR(status1B5!W20="",V$7="No aplica"),0,SUM('BOULEVARD 5'!$K18:Y18)-$AP325)</f>
        <v>-38336</v>
      </c>
      <c r="W325" s="716">
        <f>IF(OR(status1B5!X20="",W$7="No aplica"),0,SUM('BOULEVARD 5'!$K18:Z18)-$AP325)</f>
        <v>-36510</v>
      </c>
      <c r="X325" s="716">
        <f>IF(OR(status1B5!Y20="",X$7="No aplica"),0,SUM('BOULEVARD 5'!$K18:AA18)-$AP325)</f>
        <v>-34684</v>
      </c>
      <c r="Y325" s="716">
        <f>IF(OR(status1B5!Z20="",Y$7="No aplica"),0,SUM('BOULEVARD 5'!$K18:AB18)-$AP325)</f>
        <v>-32858</v>
      </c>
      <c r="Z325" s="716">
        <f>IF(OR(status1B5!AA20="",Z$7="No aplica"),0,SUM('BOULEVARD 5'!$K18:AC18)-$AP325)</f>
        <v>-31032</v>
      </c>
      <c r="AA325" s="716">
        <f>IF(OR(status1B5!AB20="",AA$7="No aplica"),0,SUM('BOULEVARD 5'!$K18:AD18)-$AP325)</f>
        <v>-29206</v>
      </c>
      <c r="AB325" s="716">
        <f>IF(OR(status1B5!AC20="",AB$7="No aplica"),0,SUM('BOULEVARD 5'!$K18:AE18)-$AP325)</f>
        <v>-27380</v>
      </c>
      <c r="AC325" s="716">
        <f>IF(OR(status1B5!AD20="",AC$7="No aplica"),0,SUM('BOULEVARD 5'!$K18:AF18)-$AP325)</f>
        <v>-25554</v>
      </c>
      <c r="AD325" s="716">
        <f>IF(OR(status1B5!AE20="",AD$7="No aplica"),0,SUM('BOULEVARD 5'!$K18:AG18)-$AP325)</f>
        <v>-23578</v>
      </c>
      <c r="AE325" s="716">
        <f>IF(OR(status1B5!AF20="",AE$7="No aplica"),0,SUM('BOULEVARD 5'!$K18:AH18)-$AP325)</f>
        <v>-20076</v>
      </c>
      <c r="AF325" s="716">
        <f>IF(OR(status1B5!AG20="",AF$7="No aplica"),0,SUM('BOULEVARD 5'!$K18:AI18)-$AP325)</f>
        <v>-20076</v>
      </c>
      <c r="AG325" s="716">
        <f>IF(OR(status1B5!AH20="",AG$7="No aplica"),0,SUM('BOULEVARD 5'!$K18:AJ18)-$AP325)</f>
        <v>-18250</v>
      </c>
      <c r="AH325" s="716">
        <f>IF(OR(status1B5!AI20="",AH$7="No aplica"),0,SUM('BOULEVARD 5'!$K18:AK18)-$AP325)</f>
        <v>-16424</v>
      </c>
      <c r="AI325" s="716">
        <f>IF(OR(status1B5!AJ20="",AI$7="No aplica"),0,SUM('BOULEVARD 5'!$K18:AL18)-$AP325)</f>
        <v>-12772</v>
      </c>
      <c r="AJ325" s="716">
        <f>IF(OR(status1B5!AK20="",AJ$7="No aplica"),0,SUM('BOULEVARD 5'!$K18:AM18)-$AP325)</f>
        <v>-12772</v>
      </c>
      <c r="AK325" s="716">
        <f>IF(OR(status1B5!AL20="",AK$7="No aplica"),0,SUM('BOULEVARD 5'!$K18:AN18)-$AP325)</f>
        <v>-10946</v>
      </c>
      <c r="AL325" s="716">
        <f>IF(OR(status1B5!AM20="",AL$7="No aplica"),0,SUM('BOULEVARD 5'!$K18:AO18)-$AP325)</f>
        <v>-9120</v>
      </c>
      <c r="AM325" s="716">
        <f>IF(OR(status1B5!AN20="",AM$7="No aplica"),0,SUM('BOULEVARD 5'!$K18:AP18)-$AP325)</f>
        <v>-7294</v>
      </c>
      <c r="AN325" s="716">
        <f>IF(OR(status1B5!AO20="",AN$7="No aplica"),0,SUM('BOULEVARD 5'!$K18:AQ18)-$AP325)</f>
        <v>0</v>
      </c>
      <c r="AO325" s="716">
        <f>IF(OR(status1B5!AP20="",AO$7="No aplica"),0,SUM('BOULEVARD 5'!$K18:AS18)-$AP325)</f>
        <v>0</v>
      </c>
      <c r="AP325" s="717">
        <f>'BOULEVARD PPTO'!BC13</f>
        <v>69900</v>
      </c>
      <c r="AQ325" s="717">
        <f>'BOULEVARD 5'!AT18</f>
        <v>68084</v>
      </c>
      <c r="AR325" s="717">
        <f t="shared" si="38"/>
        <v>-1816</v>
      </c>
      <c r="AS325" s="717"/>
      <c r="AT325" s="581"/>
    </row>
    <row r="326" spans="1:46" ht="13.15" customHeight="1" outlineLevel="1" x14ac:dyDescent="0.25">
      <c r="A326" s="700" t="str">
        <f t="shared" si="36"/>
        <v>CE</v>
      </c>
      <c r="B326" s="706">
        <f t="shared" ref="B326:G326" si="49">B21</f>
        <v>113</v>
      </c>
      <c r="C326" s="564" t="str">
        <f t="shared" si="49"/>
        <v>C3.1</v>
      </c>
      <c r="D326" s="707" t="str">
        <f t="shared" si="49"/>
        <v>ENGANCHE CANCELADO</v>
      </c>
      <c r="E326" s="564" t="str">
        <f t="shared" si="49"/>
        <v>Antonio Rada</v>
      </c>
      <c r="F326" s="581" t="str">
        <f t="shared" si="49"/>
        <v>Rodrigo Rodas Pazos</v>
      </c>
      <c r="G326" s="566">
        <f t="shared" si="49"/>
        <v>45616</v>
      </c>
      <c r="H326" s="716">
        <f>IF(OR(status1B5!I21="",H$7="No aplica"),0,SUM('BOULEVARD 5'!$K19:K19)-$AP326)</f>
        <v>0</v>
      </c>
      <c r="I326" s="716">
        <f>IF(OR(status1B5!J21="",I$7="No aplica"),0,SUM('BOULEVARD 5'!$K19:L19)-$AP326)</f>
        <v>0</v>
      </c>
      <c r="J326" s="716">
        <f>IF(OR(status1B5!K21="",J$7="No aplica"),0,SUM('BOULEVARD 5'!$K19:M19)-$AP326)</f>
        <v>0</v>
      </c>
      <c r="K326" s="716">
        <f>IF(OR(status1B5!L21="",K$7="No aplica"),0,SUM('BOULEVARD 5'!$K19:N19)-$AP326)</f>
        <v>0</v>
      </c>
      <c r="L326" s="716">
        <f>IF(OR(status1B5!M21="",L$7="No aplica"),0,SUM('BOULEVARD 5'!$K19:O19)-$AP326)</f>
        <v>0</v>
      </c>
      <c r="M326" s="716">
        <f>IF(OR(status1B5!N21="",M$7="No aplica"),0,SUM('BOULEVARD 5'!$K19:P19)-$AP326)</f>
        <v>0</v>
      </c>
      <c r="N326" s="716">
        <f>IF(OR(status1B5!O21="",N$7="No aplica"),0,SUM('BOULEVARD 5'!$K19:Q19)-$AP326)</f>
        <v>0</v>
      </c>
      <c r="O326" s="716">
        <f>IF(OR(status1B5!P21="",O$7="No aplica"),0,SUM('BOULEVARD 5'!$K19:R19)-$AP326)</f>
        <v>0</v>
      </c>
      <c r="P326" s="716">
        <f>IF(OR(status1B5!Q21="",P$7="No aplica"),0,SUM('BOULEVARD 5'!$K19:S19)-$AP326)</f>
        <v>0</v>
      </c>
      <c r="Q326" s="716">
        <f>IF(OR(status1B5!R21="",Q$7="No aplica"),0,SUM('BOULEVARD 5'!$K19:T19)-$AP326)</f>
        <v>0</v>
      </c>
      <c r="R326" s="716">
        <f>IF(OR(status1B5!S21="",R$7="No aplica"),0,SUM('BOULEVARD 5'!$K19:U19)-$AP326)</f>
        <v>0</v>
      </c>
      <c r="S326" s="716">
        <f>IF(OR(status1B5!T21="",S$7="No aplica"),0,SUM('BOULEVARD 5'!$K19:V19)-$AP326)</f>
        <v>0</v>
      </c>
      <c r="T326" s="716">
        <f>IF(OR(status1B5!U21="",T$7="No aplica"),0,SUM('BOULEVARD 5'!$K19:W19)-$AP326)</f>
        <v>0</v>
      </c>
      <c r="U326" s="716">
        <f>IF(OR(status1B5!V21="",U$7="No aplica"),0,SUM('BOULEVARD 5'!$K19:X19)-$AP326)</f>
        <v>0</v>
      </c>
      <c r="V326" s="716">
        <f>IF(OR(status1B5!W21="",V$7="No aplica"),0,SUM('BOULEVARD 5'!$K19:Y19)-$AP326)</f>
        <v>0</v>
      </c>
      <c r="W326" s="716">
        <f>IF(OR(status1B5!X21="",W$7="No aplica"),0,SUM('BOULEVARD 5'!$K19:Z19)-$AP326)</f>
        <v>0</v>
      </c>
      <c r="X326" s="716">
        <f>IF(OR(status1B5!Y21="",X$7="No aplica"),0,SUM('BOULEVARD 5'!$K19:AA19)-$AP326)</f>
        <v>0</v>
      </c>
      <c r="Y326" s="716">
        <f>IF(OR(status1B5!Z21="",Y$7="No aplica"),0,SUM('BOULEVARD 5'!$K19:AB19)-$AP326)</f>
        <v>0</v>
      </c>
      <c r="Z326" s="716">
        <f>IF(OR(status1B5!AA21="",Z$7="No aplica"),0,SUM('BOULEVARD 5'!$K19:AC19)-$AP326)</f>
        <v>0</v>
      </c>
      <c r="AA326" s="716">
        <f>IF(OR(status1B5!AB21="",AA$7="No aplica"),0,SUM('BOULEVARD 5'!$K19:AD19)-$AP326)</f>
        <v>0</v>
      </c>
      <c r="AB326" s="716">
        <f>IF(OR(status1B5!AC21="",AB$7="No aplica"),0,SUM('BOULEVARD 5'!$K19:AE19)-$AP326)</f>
        <v>-470006.24</v>
      </c>
      <c r="AC326" s="716">
        <f>IF(OR(status1B5!AD21="",AC$7="No aplica"),0,SUM('BOULEVARD 5'!$K19:AF19)-$AP326)</f>
        <v>-6.2399999999906868</v>
      </c>
      <c r="AD326" s="716">
        <f>IF(OR(status1B5!AE21="",AD$7="No aplica"),0,SUM('BOULEVARD 5'!$K19:AG19)-$AP326)</f>
        <v>-6.2399999999906868</v>
      </c>
      <c r="AE326" s="716">
        <f>IF(OR(status1B5!AF21="",AE$7="No aplica"),0,SUM('BOULEVARD 5'!$K19:AH19)-$AP326)</f>
        <v>-6.2399999999906868</v>
      </c>
      <c r="AF326" s="716">
        <f>IF(OR(status1B5!AG21="",AF$7="No aplica"),0,SUM('BOULEVARD 5'!$K19:AI19)-$AP326)</f>
        <v>-6.2399999999906868</v>
      </c>
      <c r="AG326" s="716">
        <f>IF(OR(status1B5!AH21="",AG$7="No aplica"),0,SUM('BOULEVARD 5'!$K19:AJ19)-$AP326)</f>
        <v>-6.2399999999906868</v>
      </c>
      <c r="AH326" s="716">
        <f>IF(OR(status1B5!AI21="",AH$7="No aplica"),0,SUM('BOULEVARD 5'!$K19:AK19)-$AP326)</f>
        <v>-6.2399999999906868</v>
      </c>
      <c r="AI326" s="716">
        <f>IF(OR(status1B5!AJ21="",AI$7="No aplica"),0,SUM('BOULEVARD 5'!$K19:AL19)-$AP326)</f>
        <v>-6.2399999999906868</v>
      </c>
      <c r="AJ326" s="716">
        <f>IF(OR(status1B5!AK21="",AJ$7="No aplica"),0,SUM('BOULEVARD 5'!$K19:AM19)-$AP326)</f>
        <v>-6.2399999999906868</v>
      </c>
      <c r="AK326" s="716">
        <f>IF(OR(status1B5!AL21="",AK$7="No aplica"),0,SUM('BOULEVARD 5'!$K19:AN19)-$AP326)</f>
        <v>-6.2399999999906868</v>
      </c>
      <c r="AL326" s="716">
        <f>IF(OR(status1B5!AM21="",AL$7="No aplica"),0,SUM('BOULEVARD 5'!$K19:AO19)-$AP326)</f>
        <v>-6.2399999999906868</v>
      </c>
      <c r="AM326" s="716">
        <f>IF(OR(status1B5!AN21="",AM$7="No aplica"),0,SUM('BOULEVARD 5'!$K19:AP19)-$AP326)</f>
        <v>-6.2399999999906868</v>
      </c>
      <c r="AN326" s="716">
        <f>IF(OR(status1B5!AO21="",AN$7="No aplica"),0,SUM('BOULEVARD 5'!$K19:AQ19)-$AP326)</f>
        <v>0</v>
      </c>
      <c r="AO326" s="716">
        <f>IF(OR(status1B5!AP21="",AO$7="No aplica"),0,SUM('BOULEVARD 5'!$K19:AS19)-$AP326)</f>
        <v>0</v>
      </c>
      <c r="AP326" s="717">
        <f>'BOULEVARD PPTO'!BC14</f>
        <v>480006.24</v>
      </c>
      <c r="AQ326" s="717">
        <f>'BOULEVARD 5'!AT19</f>
        <v>480000</v>
      </c>
      <c r="AR326" s="717">
        <f t="shared" si="38"/>
        <v>-6.2399999999906868</v>
      </c>
      <c r="AS326" s="717"/>
      <c r="AT326" s="581"/>
    </row>
    <row r="327" spans="1:46" ht="13.15" customHeight="1" outlineLevel="1" x14ac:dyDescent="0.25">
      <c r="A327" s="700" t="str">
        <f t="shared" si="36"/>
        <v>F&amp;F</v>
      </c>
      <c r="B327" s="704">
        <f t="shared" ref="B327:G327" si="50">B22</f>
        <v>114</v>
      </c>
      <c r="C327" s="704" t="str">
        <f t="shared" si="50"/>
        <v>C2.1</v>
      </c>
      <c r="D327" s="704">
        <f t="shared" si="50"/>
        <v>0</v>
      </c>
      <c r="E327" s="704" t="str">
        <f t="shared" si="50"/>
        <v>Antonio Rada</v>
      </c>
      <c r="F327" s="705" t="str">
        <f t="shared" si="50"/>
        <v>Mauricio Arimany Monzon</v>
      </c>
      <c r="G327" s="566">
        <f t="shared" si="50"/>
        <v>45012</v>
      </c>
      <c r="H327" s="716">
        <f>IF(OR(status1B5!I22="",H$7="No aplica"),0,SUM('BOULEVARD 5'!$K20:K20)-$AP327)</f>
        <v>0</v>
      </c>
      <c r="I327" s="716">
        <f>IF(OR(status1B5!J22="",I$7="No aplica"),0,SUM('BOULEVARD 5'!$K20:L20)-$AP327)</f>
        <v>0</v>
      </c>
      <c r="J327" s="716">
        <f>IF(OR(status1B5!K22="",J$7="No aplica"),0,SUM('BOULEVARD 5'!$K20:M20)-$AP327)</f>
        <v>0</v>
      </c>
      <c r="K327" s="716">
        <f>IF(OR(status1B5!L22="",K$7="No aplica"),0,SUM('BOULEVARD 5'!$K20:N20)-$AP327)</f>
        <v>0</v>
      </c>
      <c r="L327" s="716">
        <f>IF(OR(status1B5!M22="",L$7="No aplica"),0,SUM('BOULEVARD 5'!$K20:O20)-$AP327)</f>
        <v>0</v>
      </c>
      <c r="M327" s="716">
        <f>IF(OR(status1B5!N22="",M$7="No aplica"),0,SUM('BOULEVARD 5'!$K20:P20)-$AP327)</f>
        <v>0</v>
      </c>
      <c r="N327" s="716">
        <f>IF(OR(status1B5!O22="",N$7="No aplica"),0,SUM('BOULEVARD 5'!$K20:Q20)-$AP327)</f>
        <v>0</v>
      </c>
      <c r="O327" s="716">
        <f>IF(OR(status1B5!P22="",O$7="No aplica"),0,SUM('BOULEVARD 5'!$K20:R20)-$AP327)</f>
        <v>0</v>
      </c>
      <c r="P327" s="716">
        <f>IF(OR(status1B5!Q22="",P$7="No aplica"),0,SUM('BOULEVARD 5'!$K20:S20)-$AP327)</f>
        <v>0</v>
      </c>
      <c r="Q327" s="716">
        <f>IF(OR(status1B5!R22="",Q$7="No aplica"),0,SUM('BOULEVARD 5'!$K20:T20)-$AP327)</f>
        <v>0</v>
      </c>
      <c r="R327" s="716">
        <f>IF(OR(status1B5!S22="",R$7="No aplica"),0,SUM('BOULEVARD 5'!$K20:U20)-$AP327)</f>
        <v>0</v>
      </c>
      <c r="S327" s="716">
        <f>IF(OR(status1B5!T22="",S$7="No aplica"),0,SUM('BOULEVARD 5'!$K20:V20)-$AP327)</f>
        <v>0</v>
      </c>
      <c r="T327" s="716">
        <f>IF(OR(status1B5!U22="",T$7="No aplica"),0,SUM('BOULEVARD 5'!$K20:W20)-$AP327)</f>
        <v>0</v>
      </c>
      <c r="U327" s="716">
        <f>IF(OR(status1B5!V22="",U$7="No aplica"),0,SUM('BOULEVARD 5'!$K20:X20)-$AP327)</f>
        <v>0</v>
      </c>
      <c r="V327" s="716">
        <f>IF(OR(status1B5!W22="",V$7="No aplica"),0,SUM('BOULEVARD 5'!$K20:Y20)-$AP327)</f>
        <v>0</v>
      </c>
      <c r="W327" s="716">
        <f>IF(OR(status1B5!X22="",W$7="No aplica"),0,SUM('BOULEVARD 5'!$K20:Z20)-$AP327)</f>
        <v>0</v>
      </c>
      <c r="X327" s="716">
        <f>IF(OR(status1B5!Y22="",X$7="No aplica"),0,SUM('BOULEVARD 5'!$K20:AA20)-$AP327)</f>
        <v>0</v>
      </c>
      <c r="Y327" s="716">
        <f>IF(OR(status1B5!Z22="",Y$7="No aplica"),0,SUM('BOULEVARD 5'!$K20:AB20)-$AP327)</f>
        <v>0</v>
      </c>
      <c r="Z327" s="716">
        <f>IF(OR(status1B5!AA22="",Z$7="No aplica"),0,SUM('BOULEVARD 5'!$K20:AC20)-$AP327)</f>
        <v>0</v>
      </c>
      <c r="AA327" s="716">
        <f>IF(OR(status1B5!AB22="",AA$7="No aplica"),0,SUM('BOULEVARD 5'!$K20:AD20)-$AP327)</f>
        <v>0</v>
      </c>
      <c r="AB327" s="716">
        <f>IF(OR(status1B5!AC22="",AB$7="No aplica"),0,SUM('BOULEVARD 5'!$K20:AE20)-$AP327)</f>
        <v>0</v>
      </c>
      <c r="AC327" s="716">
        <f>IF(OR(status1B5!AD22="",AC$7="No aplica"),0,SUM('BOULEVARD 5'!$K20:AF20)-$AP327)</f>
        <v>0</v>
      </c>
      <c r="AD327" s="716">
        <f>IF(OR(status1B5!AE22="",AD$7="No aplica"),0,SUM('BOULEVARD 5'!$K20:AG20)-$AP327)</f>
        <v>0</v>
      </c>
      <c r="AE327" s="716">
        <f>IF(OR(status1B5!AF22="",AE$7="No aplica"),0,SUM('BOULEVARD 5'!$K20:AH20)-$AP327)</f>
        <v>0</v>
      </c>
      <c r="AF327" s="716">
        <f>IF(OR(status1B5!AG22="",AF$7="No aplica"),0,SUM('BOULEVARD 5'!$K20:AI20)-$AP327)</f>
        <v>0</v>
      </c>
      <c r="AG327" s="716">
        <f>IF(OR(status1B5!AH22="",AG$7="No aplica"),0,SUM('BOULEVARD 5'!$K20:AJ20)-$AP327)</f>
        <v>0</v>
      </c>
      <c r="AH327" s="716">
        <f>IF(OR(status1B5!AI22="",AH$7="No aplica"),0,SUM('BOULEVARD 5'!$K20:AK20)-$AP327)</f>
        <v>0</v>
      </c>
      <c r="AI327" s="716">
        <f>IF(OR(status1B5!AJ22="",AI$7="No aplica"),0,SUM('BOULEVARD 5'!$K20:AL20)-$AP327)</f>
        <v>0</v>
      </c>
      <c r="AJ327" s="716">
        <f>IF(OR(status1B5!AK22="",AJ$7="No aplica"),0,SUM('BOULEVARD 5'!$K20:AM20)-$AP327)</f>
        <v>0</v>
      </c>
      <c r="AK327" s="716">
        <f>IF(OR(status1B5!AL22="",AK$7="No aplica"),0,SUM('BOULEVARD 5'!$K20:AN20)-$AP327)</f>
        <v>0</v>
      </c>
      <c r="AL327" s="716">
        <f>IF(OR(status1B5!AM22="",AL$7="No aplica"),0,SUM('BOULEVARD 5'!$K20:AO20)-$AP327)</f>
        <v>0</v>
      </c>
      <c r="AM327" s="716">
        <f>IF(OR(status1B5!AN22="",AM$7="No aplica"),0,SUM('BOULEVARD 5'!$K20:AP20)-$AP327)</f>
        <v>0</v>
      </c>
      <c r="AN327" s="716">
        <f>IF(OR(status1B5!AO22="",AN$7="No aplica"),0,SUM('BOULEVARD 5'!$K20:AQ20)-$AP327)</f>
        <v>0</v>
      </c>
      <c r="AO327" s="716">
        <f>IF(OR(status1B5!AP22="",AO$7="No aplica"),0,SUM('BOULEVARD 5'!$K20:AS20)-$AP327)</f>
        <v>0</v>
      </c>
      <c r="AP327" s="717">
        <f>'BOULEVARD PPTO'!BC15</f>
        <v>99425.75</v>
      </c>
      <c r="AQ327" s="717">
        <f>'BOULEVARD 5'!AT20</f>
        <v>64718</v>
      </c>
      <c r="AR327" s="717">
        <f t="shared" si="38"/>
        <v>-34707.75</v>
      </c>
      <c r="AS327" s="717"/>
      <c r="AT327" s="581"/>
    </row>
    <row r="328" spans="1:46" ht="13.15" customHeight="1" outlineLevel="1" x14ac:dyDescent="0.25">
      <c r="A328" s="700">
        <f t="shared" si="36"/>
        <v>0</v>
      </c>
      <c r="B328" s="564">
        <f t="shared" ref="B328:G328" si="51">B23</f>
        <v>201</v>
      </c>
      <c r="C328" s="564" t="str">
        <f t="shared" si="51"/>
        <v>B7</v>
      </c>
      <c r="D328" s="564">
        <f t="shared" si="51"/>
        <v>0</v>
      </c>
      <c r="E328" s="564" t="str">
        <f t="shared" si="51"/>
        <v/>
      </c>
      <c r="F328" s="581" t="str">
        <f t="shared" si="51"/>
        <v/>
      </c>
      <c r="G328" s="566" t="str">
        <f t="shared" si="51"/>
        <v/>
      </c>
      <c r="H328" s="716">
        <f>IF(OR(status1B5!I23="",H$7="No aplica"),0,SUM('BOULEVARD 5'!$K21:K21)-$AP328)</f>
        <v>0</v>
      </c>
      <c r="I328" s="716">
        <f>IF(OR(status1B5!J23="",I$7="No aplica"),0,SUM('BOULEVARD 5'!$K21:L21)-$AP328)</f>
        <v>0</v>
      </c>
      <c r="J328" s="716">
        <f>IF(OR(status1B5!K23="",J$7="No aplica"),0,SUM('BOULEVARD 5'!$K21:M21)-$AP328)</f>
        <v>0</v>
      </c>
      <c r="K328" s="716">
        <f>IF(OR(status1B5!L23="",K$7="No aplica"),0,SUM('BOULEVARD 5'!$K21:N21)-$AP328)</f>
        <v>0</v>
      </c>
      <c r="L328" s="716">
        <f>IF(OR(status1B5!M23="",L$7="No aplica"),0,SUM('BOULEVARD 5'!$K21:O21)-$AP328)</f>
        <v>0</v>
      </c>
      <c r="M328" s="716">
        <f>IF(OR(status1B5!N23="",M$7="No aplica"),0,SUM('BOULEVARD 5'!$K21:P21)-$AP328)</f>
        <v>0</v>
      </c>
      <c r="N328" s="716">
        <f>IF(OR(status1B5!O23="",N$7="No aplica"),0,SUM('BOULEVARD 5'!$K21:Q21)-$AP328)</f>
        <v>0</v>
      </c>
      <c r="O328" s="716">
        <f>IF(OR(status1B5!P23="",O$7="No aplica"),0,SUM('BOULEVARD 5'!$K21:R21)-$AP328)</f>
        <v>0</v>
      </c>
      <c r="P328" s="716">
        <f>IF(OR(status1B5!Q23="",P$7="No aplica"),0,SUM('BOULEVARD 5'!$K21:S21)-$AP328)</f>
        <v>0</v>
      </c>
      <c r="Q328" s="716">
        <f>IF(OR(status1B5!R23="",Q$7="No aplica"),0,SUM('BOULEVARD 5'!$K21:T21)-$AP328)</f>
        <v>0</v>
      </c>
      <c r="R328" s="716">
        <f>IF(OR(status1B5!S23="",R$7="No aplica"),0,SUM('BOULEVARD 5'!$K21:U21)-$AP328)</f>
        <v>0</v>
      </c>
      <c r="S328" s="716">
        <f>IF(OR(status1B5!T23="",S$7="No aplica"),0,SUM('BOULEVARD 5'!$K21:V21)-$AP328)</f>
        <v>0</v>
      </c>
      <c r="T328" s="716">
        <f>IF(OR(status1B5!U23="",T$7="No aplica"),0,SUM('BOULEVARD 5'!$K21:W21)-$AP328)</f>
        <v>0</v>
      </c>
      <c r="U328" s="716">
        <f>IF(OR(status1B5!V23="",U$7="No aplica"),0,SUM('BOULEVARD 5'!$K21:X21)-$AP328)</f>
        <v>0</v>
      </c>
      <c r="V328" s="716">
        <f>IF(OR(status1B5!W23="",V$7="No aplica"),0,SUM('BOULEVARD 5'!$K21:Y21)-$AP328)</f>
        <v>0</v>
      </c>
      <c r="W328" s="716">
        <f>IF(OR(status1B5!X23="",W$7="No aplica"),0,SUM('BOULEVARD 5'!$K21:Z21)-$AP328)</f>
        <v>0</v>
      </c>
      <c r="X328" s="716">
        <f>IF(OR(status1B5!Y23="",X$7="No aplica"),0,SUM('BOULEVARD 5'!$K21:AA21)-$AP328)</f>
        <v>0</v>
      </c>
      <c r="Y328" s="716">
        <f>IF(OR(status1B5!Z23="",Y$7="No aplica"),0,SUM('BOULEVARD 5'!$K21:AB21)-$AP328)</f>
        <v>0</v>
      </c>
      <c r="Z328" s="716">
        <f>IF(OR(status1B5!AA23="",Z$7="No aplica"),0,SUM('BOULEVARD 5'!$K21:AC21)-$AP328)</f>
        <v>0</v>
      </c>
      <c r="AA328" s="716">
        <f>IF(OR(status1B5!AB23="",AA$7="No aplica"),0,SUM('BOULEVARD 5'!$K21:AD21)-$AP328)</f>
        <v>0</v>
      </c>
      <c r="AB328" s="716">
        <f>IF(OR(status1B5!AC23="",AB$7="No aplica"),0,SUM('BOULEVARD 5'!$K21:AE21)-$AP328)</f>
        <v>0</v>
      </c>
      <c r="AC328" s="716">
        <f>IF(OR(status1B5!AD23="",AC$7="No aplica"),0,SUM('BOULEVARD 5'!$K21:AF21)-$AP328)</f>
        <v>0</v>
      </c>
      <c r="AD328" s="716">
        <f>IF(OR(status1B5!AE23="",AD$7="No aplica"),0,SUM('BOULEVARD 5'!$K21:AG21)-$AP328)</f>
        <v>0</v>
      </c>
      <c r="AE328" s="716">
        <f>IF(OR(status1B5!AF23="",AE$7="No aplica"),0,SUM('BOULEVARD 5'!$K21:AH21)-$AP328)</f>
        <v>0</v>
      </c>
      <c r="AF328" s="716">
        <f>IF(OR(status1B5!AG23="",AF$7="No aplica"),0,SUM('BOULEVARD 5'!$K21:AI21)-$AP328)</f>
        <v>0</v>
      </c>
      <c r="AG328" s="716">
        <f>IF(OR(status1B5!AH23="",AG$7="No aplica"),0,SUM('BOULEVARD 5'!$K21:AJ21)-$AP328)</f>
        <v>0</v>
      </c>
      <c r="AH328" s="716">
        <f>IF(OR(status1B5!AI23="",AH$7="No aplica"),0,SUM('BOULEVARD 5'!$K21:AK21)-$AP328)</f>
        <v>0</v>
      </c>
      <c r="AI328" s="716">
        <f>IF(OR(status1B5!AJ23="",AI$7="No aplica"),0,SUM('BOULEVARD 5'!$K21:AL21)-$AP328)</f>
        <v>0</v>
      </c>
      <c r="AJ328" s="716">
        <f>IF(OR(status1B5!AK23="",AJ$7="No aplica"),0,SUM('BOULEVARD 5'!$K21:AM21)-$AP328)</f>
        <v>0</v>
      </c>
      <c r="AK328" s="716">
        <f>IF(OR(status1B5!AL23="",AK$7="No aplica"),0,SUM('BOULEVARD 5'!$K21:AN21)-$AP328)</f>
        <v>0</v>
      </c>
      <c r="AL328" s="716">
        <f>IF(OR(status1B5!AM23="",AL$7="No aplica"),0,SUM('BOULEVARD 5'!$K21:AO21)-$AP328)</f>
        <v>0</v>
      </c>
      <c r="AM328" s="716">
        <f>IF(OR(status1B5!AN23="",AM$7="No aplica"),0,SUM('BOULEVARD 5'!$K21:AP21)-$AP328)</f>
        <v>0</v>
      </c>
      <c r="AN328" s="716">
        <f>IF(OR(status1B5!AO23="",AN$7="No aplica"),0,SUM('BOULEVARD 5'!$K21:AQ21)-$AP328)</f>
        <v>0</v>
      </c>
      <c r="AO328" s="716">
        <f>IF(OR(status1B5!AP23="",AO$7="No aplica"),0,SUM('BOULEVARD 5'!$K21:AS21)-$AP328)</f>
        <v>0</v>
      </c>
      <c r="AP328" s="717">
        <f>'BOULEVARD PPTO'!BC16</f>
        <v>0</v>
      </c>
      <c r="AQ328" s="717">
        <f>'BOULEVARD 5'!AT21</f>
        <v>0</v>
      </c>
      <c r="AR328" s="717">
        <f t="shared" si="38"/>
        <v>0</v>
      </c>
      <c r="AS328" s="717"/>
      <c r="AT328" s="581"/>
    </row>
    <row r="329" spans="1:46" ht="13.15" customHeight="1" outlineLevel="1" x14ac:dyDescent="0.25">
      <c r="A329" s="700">
        <f t="shared" si="36"/>
        <v>0</v>
      </c>
      <c r="B329" s="708">
        <f t="shared" ref="B329:G329" si="52">B24</f>
        <v>202</v>
      </c>
      <c r="C329" s="564" t="str">
        <f t="shared" si="52"/>
        <v>B2</v>
      </c>
      <c r="D329" s="564">
        <f t="shared" si="52"/>
        <v>0</v>
      </c>
      <c r="E329" s="564" t="str">
        <f t="shared" si="52"/>
        <v>Antonio Rada</v>
      </c>
      <c r="F329" s="581" t="str">
        <f t="shared" si="52"/>
        <v>Bella Rosana Chaveque Gonzalez</v>
      </c>
      <c r="G329" s="566">
        <f t="shared" si="52"/>
        <v>45736</v>
      </c>
      <c r="H329" s="716">
        <f>IF(OR(status1B5!I24="",H$7="No aplica"),0,SUM('BOULEVARD 5'!$K22:K22)-$AP329)</f>
        <v>0</v>
      </c>
      <c r="I329" s="716">
        <f>IF(OR(status1B5!J24="",I$7="No aplica"),0,SUM('BOULEVARD 5'!$K22:L22)-$AP329)</f>
        <v>0</v>
      </c>
      <c r="J329" s="716">
        <f>IF(OR(status1B5!K24="",J$7="No aplica"),0,SUM('BOULEVARD 5'!$K22:M22)-$AP329)</f>
        <v>0</v>
      </c>
      <c r="K329" s="716">
        <f>IF(OR(status1B5!L24="",K$7="No aplica"),0,SUM('BOULEVARD 5'!$K22:N22)-$AP329)</f>
        <v>0</v>
      </c>
      <c r="L329" s="716">
        <f>IF(OR(status1B5!M24="",L$7="No aplica"),0,SUM('BOULEVARD 5'!$K22:O22)-$AP329)</f>
        <v>0</v>
      </c>
      <c r="M329" s="716">
        <f>IF(OR(status1B5!N24="",M$7="No aplica"),0,SUM('BOULEVARD 5'!$K22:P22)-$AP329)</f>
        <v>0</v>
      </c>
      <c r="N329" s="716">
        <f>IF(OR(status1B5!O24="",N$7="No aplica"),0,SUM('BOULEVARD 5'!$K22:Q22)-$AP329)</f>
        <v>0</v>
      </c>
      <c r="O329" s="716">
        <f>IF(OR(status1B5!P24="",O$7="No aplica"),0,SUM('BOULEVARD 5'!$K22:R22)-$AP329)</f>
        <v>0</v>
      </c>
      <c r="P329" s="716">
        <f>IF(OR(status1B5!Q24="",P$7="No aplica"),0,SUM('BOULEVARD 5'!$K22:S22)-$AP329)</f>
        <v>0</v>
      </c>
      <c r="Q329" s="716">
        <f>IF(OR(status1B5!R24="",Q$7="No aplica"),0,SUM('BOULEVARD 5'!$K22:T22)-$AP329)</f>
        <v>0</v>
      </c>
      <c r="R329" s="716">
        <f>IF(OR(status1B5!S24="",R$7="No aplica"),0,SUM('BOULEVARD 5'!$K22:U22)-$AP329)</f>
        <v>0</v>
      </c>
      <c r="S329" s="716">
        <f>IF(OR(status1B5!T24="",S$7="No aplica"),0,SUM('BOULEVARD 5'!$K22:V22)-$AP329)</f>
        <v>0</v>
      </c>
      <c r="T329" s="716">
        <f>IF(OR(status1B5!U24="",T$7="No aplica"),0,SUM('BOULEVARD 5'!$K22:W22)-$AP329)</f>
        <v>0</v>
      </c>
      <c r="U329" s="716">
        <f>IF(OR(status1B5!V24="",U$7="No aplica"),0,SUM('BOULEVARD 5'!$K22:X22)-$AP329)</f>
        <v>0</v>
      </c>
      <c r="V329" s="716">
        <f>IF(OR(status1B5!W24="",V$7="No aplica"),0,SUM('BOULEVARD 5'!$K22:Y22)-$AP329)</f>
        <v>0</v>
      </c>
      <c r="W329" s="716">
        <f>IF(OR(status1B5!X24="",W$7="No aplica"),0,SUM('BOULEVARD 5'!$K22:Z22)-$AP329)</f>
        <v>0</v>
      </c>
      <c r="X329" s="716">
        <f>IF(OR(status1B5!Y24="",X$7="No aplica"),0,SUM('BOULEVARD 5'!$K22:AA22)-$AP329)</f>
        <v>0</v>
      </c>
      <c r="Y329" s="716">
        <f>IF(OR(status1B5!Z24="",Y$7="No aplica"),0,SUM('BOULEVARD 5'!$K22:AB22)-$AP329)</f>
        <v>0</v>
      </c>
      <c r="Z329" s="716">
        <f>IF(OR(status1B5!AA24="",Z$7="No aplica"),0,SUM('BOULEVARD 5'!$K22:AC22)-$AP329)</f>
        <v>0</v>
      </c>
      <c r="AA329" s="716">
        <f>IF(OR(status1B5!AB24="",AA$7="No aplica"),0,SUM('BOULEVARD 5'!$K22:AD22)-$AP329)</f>
        <v>0</v>
      </c>
      <c r="AB329" s="716">
        <f>IF(OR(status1B5!AC24="",AB$7="No aplica"),0,SUM('BOULEVARD 5'!$K22:AE22)-$AP329)</f>
        <v>0</v>
      </c>
      <c r="AC329" s="716">
        <f>IF(OR(status1B5!AD24="",AC$7="No aplica"),0,SUM('BOULEVARD 5'!$K22:AF22)-$AP329)</f>
        <v>0</v>
      </c>
      <c r="AD329" s="716">
        <f>IF(OR(status1B5!AE24="",AD$7="No aplica"),0,SUM('BOULEVARD 5'!$K22:AG22)-$AP329)</f>
        <v>0</v>
      </c>
      <c r="AE329" s="716">
        <f>IF(OR(status1B5!AF24="",AE$7="No aplica"),0,SUM('BOULEVARD 5'!$K22:AH22)-$AP329)</f>
        <v>0</v>
      </c>
      <c r="AF329" s="716">
        <f>IF(OR(status1B5!AG24="",AF$7="No aplica"),0,SUM('BOULEVARD 5'!$K22:AI22)-$AP329)</f>
        <v>-122230.19</v>
      </c>
      <c r="AG329" s="716">
        <f>IF(OR(status1B5!AH24="",AG$7="No aplica"),0,SUM('BOULEVARD 5'!$K22:AJ22)-$AP329)</f>
        <v>-112230.19</v>
      </c>
      <c r="AH329" s="716">
        <f>IF(OR(status1B5!AI24="",AH$7="No aplica"),0,SUM('BOULEVARD 5'!$K22:AK22)-$AP329)</f>
        <v>-102230.19</v>
      </c>
      <c r="AI329" s="716">
        <f>IF(OR(status1B5!AJ24="",AI$7="No aplica"),0,SUM('BOULEVARD 5'!$K22:AL22)-$AP329)</f>
        <v>-93730.19</v>
      </c>
      <c r="AJ329" s="716">
        <f>IF(OR(status1B5!AK24="",AJ$7="No aplica"),0,SUM('BOULEVARD 5'!$K22:AM22)-$AP329)</f>
        <v>-83730.19</v>
      </c>
      <c r="AK329" s="716">
        <f>IF(OR(status1B5!AL24="",AK$7="No aplica"),0,SUM('BOULEVARD 5'!$K22:AN22)-$AP329)</f>
        <v>-75730.19</v>
      </c>
      <c r="AL329" s="716">
        <f>IF(OR(status1B5!AM24="",AL$7="No aplica"),0,SUM('BOULEVARD 5'!$K22:AO22)-$AP329)</f>
        <v>-67730.19</v>
      </c>
      <c r="AM329" s="716">
        <f>IF(OR(status1B5!AN24="",AM$7="No aplica"),0,SUM('BOULEVARD 5'!$K22:AP22)-$AP329)</f>
        <v>-59730.19</v>
      </c>
      <c r="AN329" s="716">
        <f>IF(OR(status1B5!AO24="",AN$7="No aplica"),0,SUM('BOULEVARD 5'!$K22:AQ22)-$AP329)</f>
        <v>0</v>
      </c>
      <c r="AO329" s="716">
        <f>IF(OR(status1B5!AP24="",AO$7="No aplica"),0,SUM('BOULEVARD 5'!$K22:AS22)-$AP329)</f>
        <v>0</v>
      </c>
      <c r="AP329" s="717">
        <f>'BOULEVARD PPTO'!BC17</f>
        <v>132230.19</v>
      </c>
      <c r="AQ329" s="717">
        <f>'BOULEVARD 5'!AT22</f>
        <v>100000</v>
      </c>
      <c r="AR329" s="717">
        <f t="shared" si="38"/>
        <v>-32230.190000000002</v>
      </c>
      <c r="AS329" s="717"/>
      <c r="AT329" s="581"/>
    </row>
    <row r="330" spans="1:46" ht="13.15" customHeight="1" outlineLevel="1" x14ac:dyDescent="0.25">
      <c r="A330" s="700">
        <f t="shared" si="36"/>
        <v>0</v>
      </c>
      <c r="B330" s="564">
        <f t="shared" ref="B330:G330" si="53">B25</f>
        <v>203</v>
      </c>
      <c r="C330" s="564" t="str">
        <f t="shared" si="53"/>
        <v>B6</v>
      </c>
      <c r="D330" s="564">
        <f t="shared" si="53"/>
        <v>0</v>
      </c>
      <c r="E330" s="564" t="str">
        <f t="shared" si="53"/>
        <v/>
      </c>
      <c r="F330" s="581" t="str">
        <f t="shared" si="53"/>
        <v/>
      </c>
      <c r="G330" s="566" t="str">
        <f t="shared" si="53"/>
        <v/>
      </c>
      <c r="H330" s="716">
        <f>IF(OR(status1B5!I25="",H$7="No aplica"),0,SUM('BOULEVARD 5'!$K23:K23)-$AP330)</f>
        <v>0</v>
      </c>
      <c r="I330" s="716">
        <f>IF(OR(status1B5!J25="",I$7="No aplica"),0,SUM('BOULEVARD 5'!$K23:L23)-$AP330)</f>
        <v>0</v>
      </c>
      <c r="J330" s="716">
        <f>IF(OR(status1B5!K25="",J$7="No aplica"),0,SUM('BOULEVARD 5'!$K23:M23)-$AP330)</f>
        <v>0</v>
      </c>
      <c r="K330" s="716">
        <f>IF(OR(status1B5!L25="",K$7="No aplica"),0,SUM('BOULEVARD 5'!$K23:N23)-$AP330)</f>
        <v>0</v>
      </c>
      <c r="L330" s="716">
        <f>IF(OR(status1B5!M25="",L$7="No aplica"),0,SUM('BOULEVARD 5'!$K23:O23)-$AP330)</f>
        <v>0</v>
      </c>
      <c r="M330" s="716">
        <f>IF(OR(status1B5!N25="",M$7="No aplica"),0,SUM('BOULEVARD 5'!$K23:P23)-$AP330)</f>
        <v>0</v>
      </c>
      <c r="N330" s="716">
        <f>IF(OR(status1B5!O25="",N$7="No aplica"),0,SUM('BOULEVARD 5'!$K23:Q23)-$AP330)</f>
        <v>0</v>
      </c>
      <c r="O330" s="716">
        <f>IF(OR(status1B5!P25="",O$7="No aplica"),0,SUM('BOULEVARD 5'!$K23:R23)-$AP330)</f>
        <v>0</v>
      </c>
      <c r="P330" s="716">
        <f>IF(OR(status1B5!Q25="",P$7="No aplica"),0,SUM('BOULEVARD 5'!$K23:S23)-$AP330)</f>
        <v>0</v>
      </c>
      <c r="Q330" s="716">
        <f>IF(OR(status1B5!R25="",Q$7="No aplica"),0,SUM('BOULEVARD 5'!$K23:T23)-$AP330)</f>
        <v>0</v>
      </c>
      <c r="R330" s="716">
        <f>IF(OR(status1B5!S25="",R$7="No aplica"),0,SUM('BOULEVARD 5'!$K23:U23)-$AP330)</f>
        <v>0</v>
      </c>
      <c r="S330" s="716">
        <f>IF(OR(status1B5!T25="",S$7="No aplica"),0,SUM('BOULEVARD 5'!$K23:V23)-$AP330)</f>
        <v>0</v>
      </c>
      <c r="T330" s="716">
        <f>IF(OR(status1B5!U25="",T$7="No aplica"),0,SUM('BOULEVARD 5'!$K23:W23)-$AP330)</f>
        <v>0</v>
      </c>
      <c r="U330" s="716">
        <f>IF(OR(status1B5!V25="",U$7="No aplica"),0,SUM('BOULEVARD 5'!$K23:X23)-$AP330)</f>
        <v>0</v>
      </c>
      <c r="V330" s="716">
        <f>IF(OR(status1B5!W25="",V$7="No aplica"),0,SUM('BOULEVARD 5'!$K23:Y23)-$AP330)</f>
        <v>0</v>
      </c>
      <c r="W330" s="716">
        <f>IF(OR(status1B5!X25="",W$7="No aplica"),0,SUM('BOULEVARD 5'!$K23:Z23)-$AP330)</f>
        <v>0</v>
      </c>
      <c r="X330" s="716">
        <f>IF(OR(status1B5!Y25="",X$7="No aplica"),0,SUM('BOULEVARD 5'!$K23:AA23)-$AP330)</f>
        <v>0</v>
      </c>
      <c r="Y330" s="716">
        <f>IF(OR(status1B5!Z25="",Y$7="No aplica"),0,SUM('BOULEVARD 5'!$K23:AB23)-$AP330)</f>
        <v>0</v>
      </c>
      <c r="Z330" s="716">
        <f>IF(OR(status1B5!AA25="",Z$7="No aplica"),0,SUM('BOULEVARD 5'!$K23:AC23)-$AP330)</f>
        <v>0</v>
      </c>
      <c r="AA330" s="716">
        <f>IF(OR(status1B5!AB25="",AA$7="No aplica"),0,SUM('BOULEVARD 5'!$K23:AD23)-$AP330)</f>
        <v>0</v>
      </c>
      <c r="AB330" s="716">
        <f>IF(OR(status1B5!AC25="",AB$7="No aplica"),0,SUM('BOULEVARD 5'!$K23:AE23)-$AP330)</f>
        <v>0</v>
      </c>
      <c r="AC330" s="716">
        <f>IF(OR(status1B5!AD25="",AC$7="No aplica"),0,SUM('BOULEVARD 5'!$K23:AF23)-$AP330)</f>
        <v>0</v>
      </c>
      <c r="AD330" s="716">
        <f>IF(OR(status1B5!AE25="",AD$7="No aplica"),0,SUM('BOULEVARD 5'!$K23:AG23)-$AP330)</f>
        <v>0</v>
      </c>
      <c r="AE330" s="716">
        <f>IF(OR(status1B5!AF25="",AE$7="No aplica"),0,SUM('BOULEVARD 5'!$K23:AH23)-$AP330)</f>
        <v>0</v>
      </c>
      <c r="AF330" s="716">
        <f>IF(OR(status1B5!AG25="",AF$7="No aplica"),0,SUM('BOULEVARD 5'!$K23:AI23)-$AP330)</f>
        <v>0</v>
      </c>
      <c r="AG330" s="716">
        <f>IF(OR(status1B5!AH25="",AG$7="No aplica"),0,SUM('BOULEVARD 5'!$K23:AJ23)-$AP330)</f>
        <v>0</v>
      </c>
      <c r="AH330" s="716">
        <f>IF(OR(status1B5!AI25="",AH$7="No aplica"),0,SUM('BOULEVARD 5'!$K23:AK23)-$AP330)</f>
        <v>0</v>
      </c>
      <c r="AI330" s="716">
        <f>IF(OR(status1B5!AJ25="",AI$7="No aplica"),0,SUM('BOULEVARD 5'!$K23:AL23)-$AP330)</f>
        <v>0</v>
      </c>
      <c r="AJ330" s="716">
        <f>IF(OR(status1B5!AK25="",AJ$7="No aplica"),0,SUM('BOULEVARD 5'!$K23:AM23)-$AP330)</f>
        <v>0</v>
      </c>
      <c r="AK330" s="716">
        <f>IF(OR(status1B5!AL25="",AK$7="No aplica"),0,SUM('BOULEVARD 5'!$K23:AN23)-$AP330)</f>
        <v>0</v>
      </c>
      <c r="AL330" s="716">
        <f>IF(OR(status1B5!AM25="",AL$7="No aplica"),0,SUM('BOULEVARD 5'!$K23:AO23)-$AP330)</f>
        <v>0</v>
      </c>
      <c r="AM330" s="716">
        <f>IF(OR(status1B5!AN25="",AM$7="No aplica"),0,SUM('BOULEVARD 5'!$K23:AP23)-$AP330)</f>
        <v>0</v>
      </c>
      <c r="AN330" s="716">
        <f>IF(OR(status1B5!AO25="",AN$7="No aplica"),0,SUM('BOULEVARD 5'!$K23:AQ23)-$AP330)</f>
        <v>0</v>
      </c>
      <c r="AO330" s="716">
        <f>IF(OR(status1B5!AP25="",AO$7="No aplica"),0,SUM('BOULEVARD 5'!$K23:AS23)-$AP330)</f>
        <v>0</v>
      </c>
      <c r="AP330" s="717">
        <f>'BOULEVARD PPTO'!BC18</f>
        <v>0</v>
      </c>
      <c r="AQ330" s="717">
        <f>'BOULEVARD 5'!AT23</f>
        <v>0</v>
      </c>
      <c r="AR330" s="717">
        <f t="shared" si="38"/>
        <v>0</v>
      </c>
      <c r="AS330" s="717"/>
      <c r="AT330" s="581"/>
    </row>
    <row r="331" spans="1:46" ht="13.15" customHeight="1" outlineLevel="1" x14ac:dyDescent="0.25">
      <c r="A331" s="700">
        <f t="shared" si="36"/>
        <v>0</v>
      </c>
      <c r="B331" s="564">
        <f t="shared" ref="B331:G331" si="54">B26</f>
        <v>204</v>
      </c>
      <c r="C331" s="564" t="str">
        <f t="shared" si="54"/>
        <v>B1</v>
      </c>
      <c r="D331" s="564">
        <f t="shared" si="54"/>
        <v>0</v>
      </c>
      <c r="E331" s="564" t="str">
        <f t="shared" si="54"/>
        <v>Antonio Rada</v>
      </c>
      <c r="F331" s="581" t="str">
        <f t="shared" si="54"/>
        <v>Paulette Leslie Wauthion Jimenez</v>
      </c>
      <c r="G331" s="566">
        <f t="shared" si="54"/>
        <v>45596</v>
      </c>
      <c r="H331" s="716">
        <f>IF(OR(status1B5!I26="",H$7="No aplica"),0,SUM('BOULEVARD 5'!$K24:K24)-$AP331)</f>
        <v>0</v>
      </c>
      <c r="I331" s="716">
        <f>IF(OR(status1B5!J26="",I$7="No aplica"),0,SUM('BOULEVARD 5'!$K24:L24)-$AP331)</f>
        <v>0</v>
      </c>
      <c r="J331" s="716">
        <f>IF(OR(status1B5!K26="",J$7="No aplica"),0,SUM('BOULEVARD 5'!$K24:M24)-$AP331)</f>
        <v>0</v>
      </c>
      <c r="K331" s="716">
        <f>IF(OR(status1B5!L26="",K$7="No aplica"),0,SUM('BOULEVARD 5'!$K24:N24)-$AP331)</f>
        <v>0</v>
      </c>
      <c r="L331" s="716">
        <f>IF(OR(status1B5!M26="",L$7="No aplica"),0,SUM('BOULEVARD 5'!$K24:O24)-$AP331)</f>
        <v>0</v>
      </c>
      <c r="M331" s="716">
        <f>IF(OR(status1B5!N26="",M$7="No aplica"),0,SUM('BOULEVARD 5'!$K24:P24)-$AP331)</f>
        <v>0</v>
      </c>
      <c r="N331" s="716">
        <f>IF(OR(status1B5!O26="",N$7="No aplica"),0,SUM('BOULEVARD 5'!$K24:Q24)-$AP331)</f>
        <v>0</v>
      </c>
      <c r="O331" s="716">
        <f>IF(OR(status1B5!P26="",O$7="No aplica"),0,SUM('BOULEVARD 5'!$K24:R24)-$AP331)</f>
        <v>0</v>
      </c>
      <c r="P331" s="716">
        <f>IF(OR(status1B5!Q26="",P$7="No aplica"),0,SUM('BOULEVARD 5'!$K24:S24)-$AP331)</f>
        <v>0</v>
      </c>
      <c r="Q331" s="716">
        <f>IF(OR(status1B5!R26="",Q$7="No aplica"),0,SUM('BOULEVARD 5'!$K24:T24)-$AP331)</f>
        <v>0</v>
      </c>
      <c r="R331" s="716">
        <f>IF(OR(status1B5!S26="",R$7="No aplica"),0,SUM('BOULEVARD 5'!$K24:U24)-$AP331)</f>
        <v>0</v>
      </c>
      <c r="S331" s="716">
        <f>IF(OR(status1B5!T26="",S$7="No aplica"),0,SUM('BOULEVARD 5'!$K24:V24)-$AP331)</f>
        <v>0</v>
      </c>
      <c r="T331" s="716">
        <f>IF(OR(status1B5!U26="",T$7="No aplica"),0,SUM('BOULEVARD 5'!$K24:W24)-$AP331)</f>
        <v>0</v>
      </c>
      <c r="U331" s="716">
        <f>IF(OR(status1B5!V26="",U$7="No aplica"),0,SUM('BOULEVARD 5'!$K24:X24)-$AP331)</f>
        <v>0</v>
      </c>
      <c r="V331" s="716">
        <f>IF(OR(status1B5!W26="",V$7="No aplica"),0,SUM('BOULEVARD 5'!$K24:Y24)-$AP331)</f>
        <v>0</v>
      </c>
      <c r="W331" s="716">
        <f>IF(OR(status1B5!X26="",W$7="No aplica"),0,SUM('BOULEVARD 5'!$K24:Z24)-$AP331)</f>
        <v>0</v>
      </c>
      <c r="X331" s="716">
        <f>IF(OR(status1B5!Y26="",X$7="No aplica"),0,SUM('BOULEVARD 5'!$K24:AA24)-$AP331)</f>
        <v>0</v>
      </c>
      <c r="Y331" s="716">
        <f>IF(OR(status1B5!Z26="",Y$7="No aplica"),0,SUM('BOULEVARD 5'!$K24:AB24)-$AP331)</f>
        <v>0</v>
      </c>
      <c r="Z331" s="716">
        <f>IF(OR(status1B5!AA26="",Z$7="No aplica"),0,SUM('BOULEVARD 5'!$K24:AC24)-$AP331)</f>
        <v>0</v>
      </c>
      <c r="AA331" s="716">
        <f>IF(OR(status1B5!AB26="",AA$7="No aplica"),0,SUM('BOULEVARD 5'!$K24:AD24)-$AP331)</f>
        <v>-96595</v>
      </c>
      <c r="AB331" s="716">
        <f>IF(OR(status1B5!AC26="",AB$7="No aplica"),0,SUM('BOULEVARD 5'!$K24:AE24)-$AP331)</f>
        <v>-96595</v>
      </c>
      <c r="AC331" s="716">
        <f>IF(OR(status1B5!AD26="",AC$7="No aplica"),0,SUM('BOULEVARD 5'!$K24:AF24)-$AP331)</f>
        <v>-81595</v>
      </c>
      <c r="AD331" s="716">
        <f>IF(OR(status1B5!AE26="",AD$7="No aplica"),0,SUM('BOULEVARD 5'!$K24:AG24)-$AP331)</f>
        <v>-74095</v>
      </c>
      <c r="AE331" s="716">
        <f>IF(OR(status1B5!AF26="",AE$7="No aplica"),0,SUM('BOULEVARD 5'!$K24:AH24)-$AP331)</f>
        <v>-69095</v>
      </c>
      <c r="AF331" s="716">
        <f>IF(OR(status1B5!AG26="",AF$7="No aplica"),0,SUM('BOULEVARD 5'!$K24:AI24)-$AP331)</f>
        <v>-59095</v>
      </c>
      <c r="AG331" s="716">
        <f>IF(OR(status1B5!AH26="",AG$7="No aplica"),0,SUM('BOULEVARD 5'!$K24:AJ24)-$AP331)</f>
        <v>-49095</v>
      </c>
      <c r="AH331" s="716">
        <f>IF(OR(status1B5!AI26="",AH$7="No aplica"),0,SUM('BOULEVARD 5'!$K24:AK24)-$AP331)</f>
        <v>-41595</v>
      </c>
      <c r="AI331" s="716">
        <f>IF(OR(status1B5!AJ26="",AI$7="No aplica"),0,SUM('BOULEVARD 5'!$K24:AL24)-$AP331)</f>
        <v>-31595</v>
      </c>
      <c r="AJ331" s="716">
        <f>IF(OR(status1B5!AK26="",AJ$7="No aplica"),0,SUM('BOULEVARD 5'!$K24:AM24)-$AP331)</f>
        <v>-21595</v>
      </c>
      <c r="AK331" s="716">
        <f>IF(OR(status1B5!AL26="",AK$7="No aplica"),0,SUM('BOULEVARD 5'!$K24:AN24)-$AP331)</f>
        <v>-11595</v>
      </c>
      <c r="AL331" s="716">
        <f>IF(OR(status1B5!AM26="",AL$7="No aplica"),0,SUM('BOULEVARD 5'!$K24:AO24)-$AP331)</f>
        <v>-6595</v>
      </c>
      <c r="AM331" s="716">
        <f>IF(OR(status1B5!AN26="",AM$7="No aplica"),0,SUM('BOULEVARD 5'!$K24:AP24)-$AP331)</f>
        <v>-1595</v>
      </c>
      <c r="AN331" s="716">
        <f>IF(OR(status1B5!AO26="",AN$7="No aplica"),0,SUM('BOULEVARD 5'!$K24:AQ24)-$AP331)</f>
        <v>0</v>
      </c>
      <c r="AO331" s="716">
        <f>IF(OR(status1B5!AP26="",AO$7="No aplica"),0,SUM('BOULEVARD 5'!$K24:AS24)-$AP331)</f>
        <v>0</v>
      </c>
      <c r="AP331" s="717">
        <f>'BOULEVARD PPTO'!BC19</f>
        <v>101595</v>
      </c>
      <c r="AQ331" s="717">
        <f>'BOULEVARD 5'!AT24</f>
        <v>115000</v>
      </c>
      <c r="AR331" s="717">
        <f t="shared" si="38"/>
        <v>13405</v>
      </c>
      <c r="AS331" s="717"/>
      <c r="AT331" s="581"/>
    </row>
    <row r="332" spans="1:46" ht="13.15" customHeight="1" outlineLevel="1" x14ac:dyDescent="0.25">
      <c r="A332" s="700">
        <f t="shared" si="36"/>
        <v>0</v>
      </c>
      <c r="B332" s="564">
        <f t="shared" ref="B332:G332" si="55">B27</f>
        <v>205</v>
      </c>
      <c r="C332" s="564" t="str">
        <f t="shared" si="55"/>
        <v>D7</v>
      </c>
      <c r="D332" s="564">
        <f t="shared" si="55"/>
        <v>0</v>
      </c>
      <c r="E332" s="564" t="str">
        <f t="shared" si="55"/>
        <v>Sofia Paredes</v>
      </c>
      <c r="F332" s="581" t="str">
        <f t="shared" si="55"/>
        <v>Javier Adolfo Hernandez Leon</v>
      </c>
      <c r="G332" s="566">
        <f t="shared" si="55"/>
        <v>45706</v>
      </c>
      <c r="H332" s="716">
        <f>IF(OR(status1B5!I27="",H$7="No aplica"),0,SUM('BOULEVARD 5'!$K25:K25)-$AP332)</f>
        <v>0</v>
      </c>
      <c r="I332" s="716">
        <f>IF(OR(status1B5!J27="",I$7="No aplica"),0,SUM('BOULEVARD 5'!$K25:L25)-$AP332)</f>
        <v>0</v>
      </c>
      <c r="J332" s="716">
        <f>IF(OR(status1B5!K27="",J$7="No aplica"),0,SUM('BOULEVARD 5'!$K25:M25)-$AP332)</f>
        <v>0</v>
      </c>
      <c r="K332" s="716">
        <f>IF(OR(status1B5!L27="",K$7="No aplica"),0,SUM('BOULEVARD 5'!$K25:N25)-$AP332)</f>
        <v>0</v>
      </c>
      <c r="L332" s="716">
        <f>IF(OR(status1B5!M27="",L$7="No aplica"),0,SUM('BOULEVARD 5'!$K25:O25)-$AP332)</f>
        <v>0</v>
      </c>
      <c r="M332" s="716">
        <f>IF(OR(status1B5!N27="",M$7="No aplica"),0,SUM('BOULEVARD 5'!$K25:P25)-$AP332)</f>
        <v>0</v>
      </c>
      <c r="N332" s="716">
        <f>IF(OR(status1B5!O27="",N$7="No aplica"),0,SUM('BOULEVARD 5'!$K25:Q25)-$AP332)</f>
        <v>0</v>
      </c>
      <c r="O332" s="716">
        <f>IF(OR(status1B5!P27="",O$7="No aplica"),0,SUM('BOULEVARD 5'!$K25:R25)-$AP332)</f>
        <v>0</v>
      </c>
      <c r="P332" s="716">
        <f>IF(OR(status1B5!Q27="",P$7="No aplica"),0,SUM('BOULEVARD 5'!$K25:S25)-$AP332)</f>
        <v>0</v>
      </c>
      <c r="Q332" s="716">
        <f>IF(OR(status1B5!R27="",Q$7="No aplica"),0,SUM('BOULEVARD 5'!$K25:T25)-$AP332)</f>
        <v>0</v>
      </c>
      <c r="R332" s="716">
        <f>IF(OR(status1B5!S27="",R$7="No aplica"),0,SUM('BOULEVARD 5'!$K25:U25)-$AP332)</f>
        <v>0</v>
      </c>
      <c r="S332" s="716">
        <f>IF(OR(status1B5!T27="",S$7="No aplica"),0,SUM('BOULEVARD 5'!$K25:V25)-$AP332)</f>
        <v>0</v>
      </c>
      <c r="T332" s="716">
        <f>IF(OR(status1B5!U27="",T$7="No aplica"),0,SUM('BOULEVARD 5'!$K25:W25)-$AP332)</f>
        <v>0</v>
      </c>
      <c r="U332" s="716">
        <f>IF(OR(status1B5!V27="",U$7="No aplica"),0,SUM('BOULEVARD 5'!$K25:X25)-$AP332)</f>
        <v>0</v>
      </c>
      <c r="V332" s="716">
        <f>IF(OR(status1B5!W27="",V$7="No aplica"),0,SUM('BOULEVARD 5'!$K25:Y25)-$AP332)</f>
        <v>0</v>
      </c>
      <c r="W332" s="716">
        <f>IF(OR(status1B5!X27="",W$7="No aplica"),0,SUM('BOULEVARD 5'!$K25:Z25)-$AP332)</f>
        <v>0</v>
      </c>
      <c r="X332" s="716">
        <f>IF(OR(status1B5!Y27="",X$7="No aplica"),0,SUM('BOULEVARD 5'!$K25:AA25)-$AP332)</f>
        <v>0</v>
      </c>
      <c r="Y332" s="716">
        <f>IF(OR(status1B5!Z27="",Y$7="No aplica"),0,SUM('BOULEVARD 5'!$K25:AB25)-$AP332)</f>
        <v>0</v>
      </c>
      <c r="Z332" s="716">
        <f>IF(OR(status1B5!AA27="",Z$7="No aplica"),0,SUM('BOULEVARD 5'!$K25:AC25)-$AP332)</f>
        <v>0</v>
      </c>
      <c r="AA332" s="716">
        <f>IF(OR(status1B5!AB27="",AA$7="No aplica"),0,SUM('BOULEVARD 5'!$K25:AD25)-$AP332)</f>
        <v>0</v>
      </c>
      <c r="AB332" s="716">
        <f>IF(OR(status1B5!AC27="",AB$7="No aplica"),0,SUM('BOULEVARD 5'!$K25:AE25)-$AP332)</f>
        <v>0</v>
      </c>
      <c r="AC332" s="716">
        <f>IF(OR(status1B5!AD27="",AC$7="No aplica"),0,SUM('BOULEVARD 5'!$K25:AF25)-$AP332)</f>
        <v>0</v>
      </c>
      <c r="AD332" s="716">
        <f>IF(OR(status1B5!AE27="",AD$7="No aplica"),0,SUM('BOULEVARD 5'!$K25:AG25)-$AP332)</f>
        <v>0</v>
      </c>
      <c r="AE332" s="716">
        <f>IF(OR(status1B5!AF27="",AE$7="No aplica"),0,SUM('BOULEVARD 5'!$K25:AH25)-$AP332)</f>
        <v>-126455.82</v>
      </c>
      <c r="AF332" s="716">
        <f>IF(OR(status1B5!AG27="",AF$7="No aplica"),0,SUM('BOULEVARD 5'!$K25:AI25)-$AP332)</f>
        <v>-118552.82</v>
      </c>
      <c r="AG332" s="716">
        <f>IF(OR(status1B5!AH27="",AG$7="No aplica"),0,SUM('BOULEVARD 5'!$K25:AJ25)-$AP332)</f>
        <v>-110649.82</v>
      </c>
      <c r="AH332" s="716">
        <f>IF(OR(status1B5!AI27="",AH$7="No aplica"),0,SUM('BOULEVARD 5'!$K25:AK25)-$AP332)</f>
        <v>-102746.82</v>
      </c>
      <c r="AI332" s="716">
        <f>IF(OR(status1B5!AJ27="",AI$7="No aplica"),0,SUM('BOULEVARD 5'!$K25:AL25)-$AP332)</f>
        <v>-94843.82</v>
      </c>
      <c r="AJ332" s="716">
        <f>IF(OR(status1B5!AK27="",AJ$7="No aplica"),0,SUM('BOULEVARD 5'!$K25:AM25)-$AP332)</f>
        <v>-86940.82</v>
      </c>
      <c r="AK332" s="716">
        <f>IF(OR(status1B5!AL27="",AK$7="No aplica"),0,SUM('BOULEVARD 5'!$K25:AN25)-$AP332)</f>
        <v>-79037.820000000007</v>
      </c>
      <c r="AL332" s="716">
        <f>IF(OR(status1B5!AM27="",AL$7="No aplica"),0,SUM('BOULEVARD 5'!$K25:AO25)-$AP332)</f>
        <v>-71134.820000000007</v>
      </c>
      <c r="AM332" s="716">
        <f>IF(OR(status1B5!AN27="",AM$7="No aplica"),0,SUM('BOULEVARD 5'!$K25:AP25)-$AP332)</f>
        <v>-63231.820000000007</v>
      </c>
      <c r="AN332" s="716">
        <f>IF(OR(status1B5!AO27="",AN$7="No aplica"),0,SUM('BOULEVARD 5'!$K25:AQ25)-$AP332)</f>
        <v>0</v>
      </c>
      <c r="AO332" s="716">
        <f>IF(OR(status1B5!AP27="",AO$7="No aplica"),0,SUM('BOULEVARD 5'!$K25:AS25)-$AP332)</f>
        <v>0</v>
      </c>
      <c r="AP332" s="717">
        <f>'BOULEVARD PPTO'!BC20</f>
        <v>136455.82</v>
      </c>
      <c r="AQ332" s="717">
        <f>'BOULEVARD 5'!AT25</f>
        <v>96933</v>
      </c>
      <c r="AR332" s="717">
        <f t="shared" si="38"/>
        <v>-39522.820000000007</v>
      </c>
      <c r="AS332" s="717"/>
      <c r="AT332" s="581"/>
    </row>
    <row r="333" spans="1:46" ht="13.15" customHeight="1" outlineLevel="1" x14ac:dyDescent="0.25">
      <c r="A333" s="700">
        <f t="shared" si="36"/>
        <v>0</v>
      </c>
      <c r="B333" s="564">
        <f t="shared" ref="B333:G333" si="56">B28</f>
        <v>206</v>
      </c>
      <c r="C333" s="564" t="str">
        <f t="shared" si="56"/>
        <v>A9</v>
      </c>
      <c r="D333" s="564">
        <f t="shared" si="56"/>
        <v>0</v>
      </c>
      <c r="E333" s="564" t="str">
        <f t="shared" si="56"/>
        <v/>
      </c>
      <c r="F333" s="581" t="str">
        <f t="shared" si="56"/>
        <v/>
      </c>
      <c r="G333" s="566" t="str">
        <f t="shared" si="56"/>
        <v/>
      </c>
      <c r="H333" s="716">
        <f>IF(OR(status1B5!I28="",H$7="No aplica"),0,SUM('BOULEVARD 5'!$K26:K26)-$AP333)</f>
        <v>0</v>
      </c>
      <c r="I333" s="716">
        <f>IF(OR(status1B5!J28="",I$7="No aplica"),0,SUM('BOULEVARD 5'!$K26:L26)-$AP333)</f>
        <v>0</v>
      </c>
      <c r="J333" s="716">
        <f>IF(OR(status1B5!K28="",J$7="No aplica"),0,SUM('BOULEVARD 5'!$K26:M26)-$AP333)</f>
        <v>0</v>
      </c>
      <c r="K333" s="716">
        <f>IF(OR(status1B5!L28="",K$7="No aplica"),0,SUM('BOULEVARD 5'!$K26:N26)-$AP333)</f>
        <v>0</v>
      </c>
      <c r="L333" s="716">
        <f>IF(OR(status1B5!M28="",L$7="No aplica"),0,SUM('BOULEVARD 5'!$K26:O26)-$AP333)</f>
        <v>0</v>
      </c>
      <c r="M333" s="716">
        <f>IF(OR(status1B5!N28="",M$7="No aplica"),0,SUM('BOULEVARD 5'!$K26:P26)-$AP333)</f>
        <v>0</v>
      </c>
      <c r="N333" s="716">
        <f>IF(OR(status1B5!O28="",N$7="No aplica"),0,SUM('BOULEVARD 5'!$K26:Q26)-$AP333)</f>
        <v>0</v>
      </c>
      <c r="O333" s="716">
        <f>IF(OR(status1B5!P28="",O$7="No aplica"),0,SUM('BOULEVARD 5'!$K26:R26)-$AP333)</f>
        <v>0</v>
      </c>
      <c r="P333" s="716">
        <f>IF(OR(status1B5!Q28="",P$7="No aplica"),0,SUM('BOULEVARD 5'!$K26:S26)-$AP333)</f>
        <v>0</v>
      </c>
      <c r="Q333" s="716">
        <f>IF(OR(status1B5!R28="",Q$7="No aplica"),0,SUM('BOULEVARD 5'!$K26:T26)-$AP333)</f>
        <v>0</v>
      </c>
      <c r="R333" s="716">
        <f>IF(OR(status1B5!S28="",R$7="No aplica"),0,SUM('BOULEVARD 5'!$K26:U26)-$AP333)</f>
        <v>0</v>
      </c>
      <c r="S333" s="716">
        <f>IF(OR(status1B5!T28="",S$7="No aplica"),0,SUM('BOULEVARD 5'!$K26:V26)-$AP333)</f>
        <v>0</v>
      </c>
      <c r="T333" s="716">
        <f>IF(OR(status1B5!U28="",T$7="No aplica"),0,SUM('BOULEVARD 5'!$K26:W26)-$AP333)</f>
        <v>0</v>
      </c>
      <c r="U333" s="716">
        <f>IF(OR(status1B5!V28="",U$7="No aplica"),0,SUM('BOULEVARD 5'!$K26:X26)-$AP333)</f>
        <v>0</v>
      </c>
      <c r="V333" s="716">
        <f>IF(OR(status1B5!W28="",V$7="No aplica"),0,SUM('BOULEVARD 5'!$K26:Y26)-$AP333)</f>
        <v>0</v>
      </c>
      <c r="W333" s="716">
        <f>IF(OR(status1B5!X28="",W$7="No aplica"),0,SUM('BOULEVARD 5'!$K26:Z26)-$AP333)</f>
        <v>0</v>
      </c>
      <c r="X333" s="716">
        <f>IF(OR(status1B5!Y28="",X$7="No aplica"),0,SUM('BOULEVARD 5'!$K26:AA26)-$AP333)</f>
        <v>0</v>
      </c>
      <c r="Y333" s="716">
        <f>IF(OR(status1B5!Z28="",Y$7="No aplica"),0,SUM('BOULEVARD 5'!$K26:AB26)-$AP333)</f>
        <v>0</v>
      </c>
      <c r="Z333" s="716">
        <f>IF(OR(status1B5!AA28="",Z$7="No aplica"),0,SUM('BOULEVARD 5'!$K26:AC26)-$AP333)</f>
        <v>0</v>
      </c>
      <c r="AA333" s="716">
        <f>IF(OR(status1B5!AB28="",AA$7="No aplica"),0,SUM('BOULEVARD 5'!$K26:AD26)-$AP333)</f>
        <v>0</v>
      </c>
      <c r="AB333" s="716">
        <f>IF(OR(status1B5!AC28="",AB$7="No aplica"),0,SUM('BOULEVARD 5'!$K26:AE26)-$AP333)</f>
        <v>0</v>
      </c>
      <c r="AC333" s="716">
        <f>IF(OR(status1B5!AD28="",AC$7="No aplica"),0,SUM('BOULEVARD 5'!$K26:AF26)-$AP333)</f>
        <v>0</v>
      </c>
      <c r="AD333" s="716">
        <f>IF(OR(status1B5!AE28="",AD$7="No aplica"),0,SUM('BOULEVARD 5'!$K26:AG26)-$AP333)</f>
        <v>0</v>
      </c>
      <c r="AE333" s="716">
        <f>IF(OR(status1B5!AF28="",AE$7="No aplica"),0,SUM('BOULEVARD 5'!$K26:AH26)-$AP333)</f>
        <v>0</v>
      </c>
      <c r="AF333" s="716">
        <f>IF(OR(status1B5!AG28="",AF$7="No aplica"),0,SUM('BOULEVARD 5'!$K26:AI26)-$AP333)</f>
        <v>0</v>
      </c>
      <c r="AG333" s="716">
        <f>IF(OR(status1B5!AH28="",AG$7="No aplica"),0,SUM('BOULEVARD 5'!$K26:AJ26)-$AP333)</f>
        <v>0</v>
      </c>
      <c r="AH333" s="716">
        <f>IF(OR(status1B5!AI28="",AH$7="No aplica"),0,SUM('BOULEVARD 5'!$K26:AK26)-$AP333)</f>
        <v>0</v>
      </c>
      <c r="AI333" s="716">
        <f>IF(OR(status1B5!AJ28="",AI$7="No aplica"),0,SUM('BOULEVARD 5'!$K26:AL26)-$AP333)</f>
        <v>0</v>
      </c>
      <c r="AJ333" s="716">
        <f>IF(OR(status1B5!AK28="",AJ$7="No aplica"),0,SUM('BOULEVARD 5'!$K26:AM26)-$AP333)</f>
        <v>0</v>
      </c>
      <c r="AK333" s="716">
        <f>IF(OR(status1B5!AL28="",AK$7="No aplica"),0,SUM('BOULEVARD 5'!$K26:AN26)-$AP333)</f>
        <v>0</v>
      </c>
      <c r="AL333" s="716">
        <f>IF(OR(status1B5!AM28="",AL$7="No aplica"),0,SUM('BOULEVARD 5'!$K26:AO26)-$AP333)</f>
        <v>0</v>
      </c>
      <c r="AM333" s="716">
        <f>IF(OR(status1B5!AN28="",AM$7="No aplica"),0,SUM('BOULEVARD 5'!$K26:AP26)-$AP333)</f>
        <v>0</v>
      </c>
      <c r="AN333" s="716">
        <f>IF(OR(status1B5!AO28="",AN$7="No aplica"),0,SUM('BOULEVARD 5'!$K26:AQ26)-$AP333)</f>
        <v>0</v>
      </c>
      <c r="AO333" s="716">
        <f>IF(OR(status1B5!AP28="",AO$7="No aplica"),0,SUM('BOULEVARD 5'!$K26:AS26)-$AP333)</f>
        <v>0</v>
      </c>
      <c r="AP333" s="717">
        <f>'BOULEVARD PPTO'!BC21</f>
        <v>0</v>
      </c>
      <c r="AQ333" s="717">
        <f>'BOULEVARD 5'!AT26</f>
        <v>0</v>
      </c>
      <c r="AR333" s="717">
        <f t="shared" si="38"/>
        <v>0</v>
      </c>
      <c r="AS333" s="717"/>
      <c r="AT333" s="581"/>
    </row>
    <row r="334" spans="1:46" ht="13.15" customHeight="1" outlineLevel="1" x14ac:dyDescent="0.25">
      <c r="A334" s="700">
        <f t="shared" si="36"/>
        <v>0</v>
      </c>
      <c r="B334" s="564">
        <f t="shared" ref="B334:G334" si="57">B29</f>
        <v>207</v>
      </c>
      <c r="C334" s="564" t="str">
        <f t="shared" si="57"/>
        <v>C9</v>
      </c>
      <c r="D334" s="564">
        <f t="shared" si="57"/>
        <v>0</v>
      </c>
      <c r="E334" s="564" t="str">
        <f t="shared" si="57"/>
        <v>Anahí Cisneros</v>
      </c>
      <c r="F334" s="581" t="str">
        <f t="shared" si="57"/>
        <v/>
      </c>
      <c r="G334" s="566" t="str">
        <f t="shared" si="57"/>
        <v/>
      </c>
      <c r="H334" s="716">
        <f>IF(OR(status1B5!I29="",H$7="No aplica"),0,SUM('BOULEVARD 5'!$K27:K27)-$AP334)</f>
        <v>0</v>
      </c>
      <c r="I334" s="716">
        <f>IF(OR(status1B5!J29="",I$7="No aplica"),0,SUM('BOULEVARD 5'!$K27:L27)-$AP334)</f>
        <v>0</v>
      </c>
      <c r="J334" s="716">
        <f>IF(OR(status1B5!K29="",J$7="No aplica"),0,SUM('BOULEVARD 5'!$K27:M27)-$AP334)</f>
        <v>0</v>
      </c>
      <c r="K334" s="716">
        <f>IF(OR(status1B5!L29="",K$7="No aplica"),0,SUM('BOULEVARD 5'!$K27:N27)-$AP334)</f>
        <v>0</v>
      </c>
      <c r="L334" s="716">
        <f>IF(OR(status1B5!M29="",L$7="No aplica"),0,SUM('BOULEVARD 5'!$K27:O27)-$AP334)</f>
        <v>0</v>
      </c>
      <c r="M334" s="716">
        <f>IF(OR(status1B5!N29="",M$7="No aplica"),0,SUM('BOULEVARD 5'!$K27:P27)-$AP334)</f>
        <v>0</v>
      </c>
      <c r="N334" s="716">
        <f>IF(OR(status1B5!O29="",N$7="No aplica"),0,SUM('BOULEVARD 5'!$K27:Q27)-$AP334)</f>
        <v>0</v>
      </c>
      <c r="O334" s="716">
        <f>IF(OR(status1B5!P29="",O$7="No aplica"),0,SUM('BOULEVARD 5'!$K27:R27)-$AP334)</f>
        <v>0</v>
      </c>
      <c r="P334" s="716">
        <f>IF(OR(status1B5!Q29="",P$7="No aplica"),0,SUM('BOULEVARD 5'!$K27:S27)-$AP334)</f>
        <v>0</v>
      </c>
      <c r="Q334" s="716">
        <f>IF(OR(status1B5!R29="",Q$7="No aplica"),0,SUM('BOULEVARD 5'!$K27:T27)-$AP334)</f>
        <v>0</v>
      </c>
      <c r="R334" s="716">
        <f>IF(OR(status1B5!S29="",R$7="No aplica"),0,SUM('BOULEVARD 5'!$K27:U27)-$AP334)</f>
        <v>0</v>
      </c>
      <c r="S334" s="716">
        <f>IF(OR(status1B5!T29="",S$7="No aplica"),0,SUM('BOULEVARD 5'!$K27:V27)-$AP334)</f>
        <v>0</v>
      </c>
      <c r="T334" s="716">
        <f>IF(OR(status1B5!U29="",T$7="No aplica"),0,SUM('BOULEVARD 5'!$K27:W27)-$AP334)</f>
        <v>0</v>
      </c>
      <c r="U334" s="716">
        <f>IF(OR(status1B5!V29="",U$7="No aplica"),0,SUM('BOULEVARD 5'!$K27:X27)-$AP334)</f>
        <v>0</v>
      </c>
      <c r="V334" s="716">
        <f>IF(OR(status1B5!W29="",V$7="No aplica"),0,SUM('BOULEVARD 5'!$K27:Y27)-$AP334)</f>
        <v>0</v>
      </c>
      <c r="W334" s="716">
        <f>IF(OR(status1B5!X29="",W$7="No aplica"),0,SUM('BOULEVARD 5'!$K27:Z27)-$AP334)</f>
        <v>0</v>
      </c>
      <c r="X334" s="716">
        <f>IF(OR(status1B5!Y29="",X$7="No aplica"),0,SUM('BOULEVARD 5'!$K27:AA27)-$AP334)</f>
        <v>0</v>
      </c>
      <c r="Y334" s="716">
        <f>IF(OR(status1B5!Z29="",Y$7="No aplica"),0,SUM('BOULEVARD 5'!$K27:AB27)-$AP334)</f>
        <v>0</v>
      </c>
      <c r="Z334" s="716">
        <f>IF(OR(status1B5!AA29="",Z$7="No aplica"),0,SUM('BOULEVARD 5'!$K27:AC27)-$AP334)</f>
        <v>0</v>
      </c>
      <c r="AA334" s="716">
        <f>IF(OR(status1B5!AB29="",AA$7="No aplica"),0,SUM('BOULEVARD 5'!$K27:AD27)-$AP334)</f>
        <v>0</v>
      </c>
      <c r="AB334" s="716">
        <f>IF(OR(status1B5!AC29="",AB$7="No aplica"),0,SUM('BOULEVARD 5'!$K27:AE27)-$AP334)</f>
        <v>0</v>
      </c>
      <c r="AC334" s="716">
        <f>IF(OR(status1B5!AD29="",AC$7="No aplica"),0,SUM('BOULEVARD 5'!$K27:AF27)-$AP334)</f>
        <v>0</v>
      </c>
      <c r="AD334" s="716">
        <f>IF(OR(status1B5!AE29="",AD$7="No aplica"),0,SUM('BOULEVARD 5'!$K27:AG27)-$AP334)</f>
        <v>0</v>
      </c>
      <c r="AE334" s="716">
        <f>IF(OR(status1B5!AF29="",AE$7="No aplica"),0,SUM('BOULEVARD 5'!$K27:AH27)-$AP334)</f>
        <v>0</v>
      </c>
      <c r="AF334" s="716">
        <f>IF(OR(status1B5!AG29="",AF$7="No aplica"),0,SUM('BOULEVARD 5'!$K27:AI27)-$AP334)</f>
        <v>0</v>
      </c>
      <c r="AG334" s="716">
        <f>IF(OR(status1B5!AH29="",AG$7="No aplica"),0,SUM('BOULEVARD 5'!$K27:AJ27)-$AP334)</f>
        <v>0</v>
      </c>
      <c r="AH334" s="716">
        <f>IF(OR(status1B5!AI29="",AH$7="No aplica"),0,SUM('BOULEVARD 5'!$K27:AK27)-$AP334)</f>
        <v>0</v>
      </c>
      <c r="AI334" s="716">
        <f>IF(OR(status1B5!AJ29="",AI$7="No aplica"),0,SUM('BOULEVARD 5'!$K27:AL27)-$AP334)</f>
        <v>0</v>
      </c>
      <c r="AJ334" s="716">
        <f>IF(OR(status1B5!AK29="",AJ$7="No aplica"),0,SUM('BOULEVARD 5'!$K27:AM27)-$AP334)</f>
        <v>0</v>
      </c>
      <c r="AK334" s="716">
        <f>IF(OR(status1B5!AL29="",AK$7="No aplica"),0,SUM('BOULEVARD 5'!$K27:AN27)-$AP334)</f>
        <v>0</v>
      </c>
      <c r="AL334" s="716">
        <f>IF(OR(status1B5!AM29="",AL$7="No aplica"),0,SUM('BOULEVARD 5'!$K27:AO27)-$AP334)</f>
        <v>0</v>
      </c>
      <c r="AM334" s="716">
        <f>IF(OR(status1B5!AN29="",AM$7="No aplica"),0,SUM('BOULEVARD 5'!$K27:AP27)-$AP334)</f>
        <v>0</v>
      </c>
      <c r="AN334" s="716">
        <f>IF(OR(status1B5!AO29="",AN$7="No aplica"),0,SUM('BOULEVARD 5'!$K27:AQ27)-$AP334)</f>
        <v>0</v>
      </c>
      <c r="AO334" s="716">
        <f>IF(OR(status1B5!AP29="",AO$7="No aplica"),0,SUM('BOULEVARD 5'!$K27:AS27)-$AP334)</f>
        <v>0</v>
      </c>
      <c r="AP334" s="717">
        <f>'BOULEVARD PPTO'!BC22</f>
        <v>0</v>
      </c>
      <c r="AQ334" s="717">
        <f>'BOULEVARD 5'!AT27</f>
        <v>0</v>
      </c>
      <c r="AR334" s="717">
        <f t="shared" si="38"/>
        <v>0</v>
      </c>
      <c r="AS334" s="717"/>
      <c r="AT334" s="581"/>
    </row>
    <row r="335" spans="1:46" ht="13.15" customHeight="1" outlineLevel="1" x14ac:dyDescent="0.25">
      <c r="A335" s="700">
        <f t="shared" si="36"/>
        <v>0</v>
      </c>
      <c r="B335" s="564">
        <f t="shared" ref="B335:G335" si="58">B30</f>
        <v>208</v>
      </c>
      <c r="C335" s="564" t="str">
        <f t="shared" si="58"/>
        <v>C8</v>
      </c>
      <c r="D335" s="564">
        <f t="shared" si="58"/>
        <v>0</v>
      </c>
      <c r="E335" s="564" t="str">
        <f t="shared" si="58"/>
        <v/>
      </c>
      <c r="F335" s="581" t="str">
        <f t="shared" si="58"/>
        <v/>
      </c>
      <c r="G335" s="566" t="str">
        <f t="shared" si="58"/>
        <v/>
      </c>
      <c r="H335" s="716">
        <f>IF(OR(status1B5!I30="",H$7="No aplica"),0,SUM('BOULEVARD 5'!$K28:K28)-$AP335)</f>
        <v>0</v>
      </c>
      <c r="I335" s="716">
        <f>IF(OR(status1B5!J30="",I$7="No aplica"),0,SUM('BOULEVARD 5'!$K28:L28)-$AP335)</f>
        <v>0</v>
      </c>
      <c r="J335" s="716">
        <f>IF(OR(status1B5!K30="",J$7="No aplica"),0,SUM('BOULEVARD 5'!$K28:M28)-$AP335)</f>
        <v>0</v>
      </c>
      <c r="K335" s="716">
        <f>IF(OR(status1B5!L30="",K$7="No aplica"),0,SUM('BOULEVARD 5'!$K28:N28)-$AP335)</f>
        <v>0</v>
      </c>
      <c r="L335" s="716">
        <f>IF(OR(status1B5!M30="",L$7="No aplica"),0,SUM('BOULEVARD 5'!$K28:O28)-$AP335)</f>
        <v>0</v>
      </c>
      <c r="M335" s="716">
        <f>IF(OR(status1B5!N30="",M$7="No aplica"),0,SUM('BOULEVARD 5'!$K28:P28)-$AP335)</f>
        <v>0</v>
      </c>
      <c r="N335" s="716">
        <f>IF(OR(status1B5!O30="",N$7="No aplica"),0,SUM('BOULEVARD 5'!$K28:Q28)-$AP335)</f>
        <v>0</v>
      </c>
      <c r="O335" s="716">
        <f>IF(OR(status1B5!P30="",O$7="No aplica"),0,SUM('BOULEVARD 5'!$K28:R28)-$AP335)</f>
        <v>0</v>
      </c>
      <c r="P335" s="716">
        <f>IF(OR(status1B5!Q30="",P$7="No aplica"),0,SUM('BOULEVARD 5'!$K28:S28)-$AP335)</f>
        <v>0</v>
      </c>
      <c r="Q335" s="716">
        <f>IF(OR(status1B5!R30="",Q$7="No aplica"),0,SUM('BOULEVARD 5'!$K28:T28)-$AP335)</f>
        <v>0</v>
      </c>
      <c r="R335" s="716">
        <f>IF(OR(status1B5!S30="",R$7="No aplica"),0,SUM('BOULEVARD 5'!$K28:U28)-$AP335)</f>
        <v>0</v>
      </c>
      <c r="S335" s="716">
        <f>IF(OR(status1B5!T30="",S$7="No aplica"),0,SUM('BOULEVARD 5'!$K28:V28)-$AP335)</f>
        <v>0</v>
      </c>
      <c r="T335" s="716">
        <f>IF(OR(status1B5!U30="",T$7="No aplica"),0,SUM('BOULEVARD 5'!$K28:W28)-$AP335)</f>
        <v>0</v>
      </c>
      <c r="U335" s="716">
        <f>IF(OR(status1B5!V30="",U$7="No aplica"),0,SUM('BOULEVARD 5'!$K28:X28)-$AP335)</f>
        <v>0</v>
      </c>
      <c r="V335" s="716">
        <f>IF(OR(status1B5!W30="",V$7="No aplica"),0,SUM('BOULEVARD 5'!$K28:Y28)-$AP335)</f>
        <v>0</v>
      </c>
      <c r="W335" s="716">
        <f>IF(OR(status1B5!X30="",W$7="No aplica"),0,SUM('BOULEVARD 5'!$K28:Z28)-$AP335)</f>
        <v>0</v>
      </c>
      <c r="X335" s="716">
        <f>IF(OR(status1B5!Y30="",X$7="No aplica"),0,SUM('BOULEVARD 5'!$K28:AA28)-$AP335)</f>
        <v>0</v>
      </c>
      <c r="Y335" s="716">
        <f>IF(OR(status1B5!Z30="",Y$7="No aplica"),0,SUM('BOULEVARD 5'!$K28:AB28)-$AP335)</f>
        <v>0</v>
      </c>
      <c r="Z335" s="716">
        <f>IF(OR(status1B5!AA30="",Z$7="No aplica"),0,SUM('BOULEVARD 5'!$K28:AC28)-$AP335)</f>
        <v>0</v>
      </c>
      <c r="AA335" s="716">
        <f>IF(OR(status1B5!AB30="",AA$7="No aplica"),0,SUM('BOULEVARD 5'!$K28:AD28)-$AP335)</f>
        <v>0</v>
      </c>
      <c r="AB335" s="716">
        <f>IF(OR(status1B5!AC30="",AB$7="No aplica"),0,SUM('BOULEVARD 5'!$K28:AE28)-$AP335)</f>
        <v>0</v>
      </c>
      <c r="AC335" s="716">
        <f>IF(OR(status1B5!AD30="",AC$7="No aplica"),0,SUM('BOULEVARD 5'!$K28:AF28)-$AP335)</f>
        <v>0</v>
      </c>
      <c r="AD335" s="716">
        <f>IF(OR(status1B5!AE30="",AD$7="No aplica"),0,SUM('BOULEVARD 5'!$K28:AG28)-$AP335)</f>
        <v>0</v>
      </c>
      <c r="AE335" s="716">
        <f>IF(OR(status1B5!AF30="",AE$7="No aplica"),0,SUM('BOULEVARD 5'!$K28:AH28)-$AP335)</f>
        <v>0</v>
      </c>
      <c r="AF335" s="716">
        <f>IF(OR(status1B5!AG30="",AF$7="No aplica"),0,SUM('BOULEVARD 5'!$K28:AI28)-$AP335)</f>
        <v>0</v>
      </c>
      <c r="AG335" s="716">
        <f>IF(OR(status1B5!AH30="",AG$7="No aplica"),0,SUM('BOULEVARD 5'!$K28:AJ28)-$AP335)</f>
        <v>0</v>
      </c>
      <c r="AH335" s="716">
        <f>IF(OR(status1B5!AI30="",AH$7="No aplica"),0,SUM('BOULEVARD 5'!$K28:AK28)-$AP335)</f>
        <v>0</v>
      </c>
      <c r="AI335" s="716">
        <f>IF(OR(status1B5!AJ30="",AI$7="No aplica"),0,SUM('BOULEVARD 5'!$K28:AL28)-$AP335)</f>
        <v>0</v>
      </c>
      <c r="AJ335" s="716">
        <f>IF(OR(status1B5!AK30="",AJ$7="No aplica"),0,SUM('BOULEVARD 5'!$K28:AM28)-$AP335)</f>
        <v>0</v>
      </c>
      <c r="AK335" s="716">
        <f>IF(OR(status1B5!AL30="",AK$7="No aplica"),0,SUM('BOULEVARD 5'!$K28:AN28)-$AP335)</f>
        <v>0</v>
      </c>
      <c r="AL335" s="716">
        <f>IF(OR(status1B5!AM30="",AL$7="No aplica"),0,SUM('BOULEVARD 5'!$K28:AO28)-$AP335)</f>
        <v>0</v>
      </c>
      <c r="AM335" s="716">
        <f>IF(OR(status1B5!AN30="",AM$7="No aplica"),0,SUM('BOULEVARD 5'!$K28:AP28)-$AP335)</f>
        <v>0</v>
      </c>
      <c r="AN335" s="716">
        <f>IF(OR(status1B5!AO30="",AN$7="No aplica"),0,SUM('BOULEVARD 5'!$K28:AQ28)-$AP335)</f>
        <v>0</v>
      </c>
      <c r="AO335" s="716">
        <f>IF(OR(status1B5!AP30="",AO$7="No aplica"),0,SUM('BOULEVARD 5'!$K28:AS28)-$AP335)</f>
        <v>0</v>
      </c>
      <c r="AP335" s="717">
        <f>'BOULEVARD PPTO'!BC23</f>
        <v>0</v>
      </c>
      <c r="AQ335" s="717">
        <f>'BOULEVARD 5'!AT28</f>
        <v>0</v>
      </c>
      <c r="AR335" s="717">
        <f t="shared" si="38"/>
        <v>0</v>
      </c>
      <c r="AS335" s="717"/>
      <c r="AT335" s="581"/>
    </row>
    <row r="336" spans="1:46" ht="13.15" customHeight="1" outlineLevel="1" x14ac:dyDescent="0.25">
      <c r="A336" s="700" t="str">
        <f t="shared" si="36"/>
        <v>CE</v>
      </c>
      <c r="B336" s="708">
        <f t="shared" ref="B336:G336" si="59">B31</f>
        <v>209</v>
      </c>
      <c r="C336" s="564" t="str">
        <f t="shared" si="59"/>
        <v>B4</v>
      </c>
      <c r="D336" s="707" t="str">
        <f t="shared" si="59"/>
        <v>ENGANCHE CANCELADO</v>
      </c>
      <c r="E336" s="564" t="str">
        <f t="shared" si="59"/>
        <v>Antonio Rada</v>
      </c>
      <c r="F336" s="581" t="str">
        <f t="shared" si="59"/>
        <v>Igor Alejandro Salazar Zamora</v>
      </c>
      <c r="G336" s="566">
        <f t="shared" si="59"/>
        <v>45838</v>
      </c>
      <c r="H336" s="716">
        <f>IF(OR(status1B5!I31="",H$7="No aplica"),0,SUM('BOULEVARD 5'!$K29:K29)-$AP336)</f>
        <v>0</v>
      </c>
      <c r="I336" s="716">
        <f>IF(OR(status1B5!J31="",I$7="No aplica"),0,SUM('BOULEVARD 5'!$K29:L29)-$AP336)</f>
        <v>0</v>
      </c>
      <c r="J336" s="716">
        <f>IF(OR(status1B5!K31="",J$7="No aplica"),0,SUM('BOULEVARD 5'!$K29:M29)-$AP336)</f>
        <v>0</v>
      </c>
      <c r="K336" s="716">
        <f>IF(OR(status1B5!L31="",K$7="No aplica"),0,SUM('BOULEVARD 5'!$K29:N29)-$AP336)</f>
        <v>0</v>
      </c>
      <c r="L336" s="716">
        <f>IF(OR(status1B5!M31="",L$7="No aplica"),0,SUM('BOULEVARD 5'!$K29:O29)-$AP336)</f>
        <v>0</v>
      </c>
      <c r="M336" s="716">
        <f>IF(OR(status1B5!N31="",M$7="No aplica"),0,SUM('BOULEVARD 5'!$K29:P29)-$AP336)</f>
        <v>0</v>
      </c>
      <c r="N336" s="716">
        <f>IF(OR(status1B5!O31="",N$7="No aplica"),0,SUM('BOULEVARD 5'!$K29:Q29)-$AP336)</f>
        <v>0</v>
      </c>
      <c r="O336" s="716">
        <f>IF(OR(status1B5!P31="",O$7="No aplica"),0,SUM('BOULEVARD 5'!$K29:R29)-$AP336)</f>
        <v>0</v>
      </c>
      <c r="P336" s="716">
        <f>IF(OR(status1B5!Q31="",P$7="No aplica"),0,SUM('BOULEVARD 5'!$K29:S29)-$AP336)</f>
        <v>0</v>
      </c>
      <c r="Q336" s="716">
        <f>IF(OR(status1B5!R31="",Q$7="No aplica"),0,SUM('BOULEVARD 5'!$K29:T29)-$AP336)</f>
        <v>0</v>
      </c>
      <c r="R336" s="716">
        <f>IF(OR(status1B5!S31="",R$7="No aplica"),0,SUM('BOULEVARD 5'!$K29:U29)-$AP336)</f>
        <v>0</v>
      </c>
      <c r="S336" s="716">
        <f>IF(OR(status1B5!T31="",S$7="No aplica"),0,SUM('BOULEVARD 5'!$K29:V29)-$AP336)</f>
        <v>0</v>
      </c>
      <c r="T336" s="716">
        <f>IF(OR(status1B5!U31="",T$7="No aplica"),0,SUM('BOULEVARD 5'!$K29:W29)-$AP336)</f>
        <v>0</v>
      </c>
      <c r="U336" s="716">
        <f>IF(OR(status1B5!V31="",U$7="No aplica"),0,SUM('BOULEVARD 5'!$K29:X29)-$AP336)</f>
        <v>0</v>
      </c>
      <c r="V336" s="716">
        <f>IF(OR(status1B5!W31="",V$7="No aplica"),0,SUM('BOULEVARD 5'!$K29:Y29)-$AP336)</f>
        <v>0</v>
      </c>
      <c r="W336" s="716">
        <f>IF(OR(status1B5!X31="",W$7="No aplica"),0,SUM('BOULEVARD 5'!$K29:Z29)-$AP336)</f>
        <v>0</v>
      </c>
      <c r="X336" s="716">
        <f>IF(OR(status1B5!Y31="",X$7="No aplica"),0,SUM('BOULEVARD 5'!$K29:AA29)-$AP336)</f>
        <v>0</v>
      </c>
      <c r="Y336" s="716">
        <f>IF(OR(status1B5!Z31="",Y$7="No aplica"),0,SUM('BOULEVARD 5'!$K29:AB29)-$AP336)</f>
        <v>0</v>
      </c>
      <c r="Z336" s="716">
        <f>IF(OR(status1B5!AA31="",Z$7="No aplica"),0,SUM('BOULEVARD 5'!$K29:AC29)-$AP336)</f>
        <v>0</v>
      </c>
      <c r="AA336" s="716">
        <f>IF(OR(status1B5!AB31="",AA$7="No aplica"),0,SUM('BOULEVARD 5'!$K29:AD29)-$AP336)</f>
        <v>0</v>
      </c>
      <c r="AB336" s="716">
        <f>IF(OR(status1B5!AC31="",AB$7="No aplica"),0,SUM('BOULEVARD 5'!$K29:AE29)-$AP336)</f>
        <v>0</v>
      </c>
      <c r="AC336" s="716">
        <f>IF(OR(status1B5!AD31="",AC$7="No aplica"),0,SUM('BOULEVARD 5'!$K29:AF29)-$AP336)</f>
        <v>0</v>
      </c>
      <c r="AD336" s="716">
        <f>IF(OR(status1B5!AE31="",AD$7="No aplica"),0,SUM('BOULEVARD 5'!$K29:AG29)-$AP336)</f>
        <v>0</v>
      </c>
      <c r="AE336" s="716">
        <f>IF(OR(status1B5!AF31="",AE$7="No aplica"),0,SUM('BOULEVARD 5'!$K29:AH29)-$AP336)</f>
        <v>0</v>
      </c>
      <c r="AF336" s="716">
        <f>IF(OR(status1B5!AG31="",AF$7="No aplica"),0,SUM('BOULEVARD 5'!$K29:AI29)-$AP336)</f>
        <v>0</v>
      </c>
      <c r="AG336" s="716">
        <f>IF(OR(status1B5!AH31="",AG$7="No aplica"),0,SUM('BOULEVARD 5'!$K29:AJ29)-$AP336)</f>
        <v>0</v>
      </c>
      <c r="AH336" s="716">
        <f>IF(OR(status1B5!AI31="",AH$7="No aplica"),0,SUM('BOULEVARD 5'!$K29:AK29)-$AP336)</f>
        <v>0</v>
      </c>
      <c r="AI336" s="716">
        <f>IF(OR(status1B5!AJ31="",AI$7="No aplica"),0,SUM('BOULEVARD 5'!$K29:AL29)-$AP336)</f>
        <v>-185104</v>
      </c>
      <c r="AJ336" s="716">
        <f>IF(OR(status1B5!AK31="",AJ$7="No aplica"),0,SUM('BOULEVARD 5'!$K29:AM29)-$AP336)</f>
        <v>0.17999999999301508</v>
      </c>
      <c r="AK336" s="716">
        <f>IF(OR(status1B5!AL31="",AK$7="No aplica"),0,SUM('BOULEVARD 5'!$K29:AN29)-$AP336)</f>
        <v>0.17999999999301508</v>
      </c>
      <c r="AL336" s="716">
        <f>IF(OR(status1B5!AM31="",AL$7="No aplica"),0,SUM('BOULEVARD 5'!$K29:AO29)-$AP336)</f>
        <v>0.17999999999301508</v>
      </c>
      <c r="AM336" s="716">
        <f>IF(OR(status1B5!AN31="",AM$7="No aplica"),0,SUM('BOULEVARD 5'!$K29:AP29)-$AP336)</f>
        <v>0.17999999999301508</v>
      </c>
      <c r="AN336" s="716">
        <f>IF(OR(status1B5!AO31="",AN$7="No aplica"),0,SUM('BOULEVARD 5'!$K29:AQ29)-$AP336)</f>
        <v>0</v>
      </c>
      <c r="AO336" s="716">
        <f>IF(OR(status1B5!AP31="",AO$7="No aplica"),0,SUM('BOULEVARD 5'!$K29:AS29)-$AP336)</f>
        <v>0</v>
      </c>
      <c r="AP336" s="717">
        <f>'BOULEVARD PPTO'!BC24</f>
        <v>200104</v>
      </c>
      <c r="AQ336" s="717">
        <f>'BOULEVARD 5'!AT29</f>
        <v>200104.18</v>
      </c>
      <c r="AR336" s="717">
        <f t="shared" si="38"/>
        <v>0.17999999999301508</v>
      </c>
      <c r="AS336" s="717"/>
      <c r="AT336" s="581"/>
    </row>
    <row r="337" spans="1:47" ht="13.15" customHeight="1" outlineLevel="1" x14ac:dyDescent="0.25">
      <c r="A337" s="700">
        <f t="shared" si="36"/>
        <v>0</v>
      </c>
      <c r="B337" s="564">
        <f t="shared" ref="B337:G337" si="60">B32</f>
        <v>210</v>
      </c>
      <c r="C337" s="564" t="str">
        <f t="shared" si="60"/>
        <v>B3</v>
      </c>
      <c r="D337" s="564">
        <f t="shared" si="60"/>
        <v>0</v>
      </c>
      <c r="E337" s="564" t="str">
        <f t="shared" si="60"/>
        <v>Laura Molina</v>
      </c>
      <c r="F337" s="581" t="str">
        <f t="shared" si="60"/>
        <v>Carlos Alejandro de León Samayoa</v>
      </c>
      <c r="G337" s="566">
        <f t="shared" si="60"/>
        <v>45859</v>
      </c>
      <c r="H337" s="716">
        <f>IF(OR(status1B5!I32="",H$7="No aplica"),0,SUM('BOULEVARD 5'!$K30:K30)-$AP337)</f>
        <v>0</v>
      </c>
      <c r="I337" s="716">
        <f>IF(OR(status1B5!J32="",I$7="No aplica"),0,SUM('BOULEVARD 5'!$K30:L30)-$AP337)</f>
        <v>0</v>
      </c>
      <c r="J337" s="716">
        <f>IF(OR(status1B5!K32="",J$7="No aplica"),0,SUM('BOULEVARD 5'!$K30:M30)-$AP337)</f>
        <v>0</v>
      </c>
      <c r="K337" s="716">
        <f>IF(OR(status1B5!L32="",K$7="No aplica"),0,SUM('BOULEVARD 5'!$K30:N30)-$AP337)</f>
        <v>0</v>
      </c>
      <c r="L337" s="716">
        <f>IF(OR(status1B5!M32="",L$7="No aplica"),0,SUM('BOULEVARD 5'!$K30:O30)-$AP337)</f>
        <v>0</v>
      </c>
      <c r="M337" s="716">
        <f>IF(OR(status1B5!N32="",M$7="No aplica"),0,SUM('BOULEVARD 5'!$K30:P30)-$AP337)</f>
        <v>0</v>
      </c>
      <c r="N337" s="716">
        <f>IF(OR(status1B5!O32="",N$7="No aplica"),0,SUM('BOULEVARD 5'!$K30:Q30)-$AP337)</f>
        <v>0</v>
      </c>
      <c r="O337" s="716">
        <f>IF(OR(status1B5!P32="",O$7="No aplica"),0,SUM('BOULEVARD 5'!$K30:R30)-$AP337)</f>
        <v>0</v>
      </c>
      <c r="P337" s="716">
        <f>IF(OR(status1B5!Q32="",P$7="No aplica"),0,SUM('BOULEVARD 5'!$K30:S30)-$AP337)</f>
        <v>0</v>
      </c>
      <c r="Q337" s="716">
        <f>IF(OR(status1B5!R32="",Q$7="No aplica"),0,SUM('BOULEVARD 5'!$K30:T30)-$AP337)</f>
        <v>0</v>
      </c>
      <c r="R337" s="716">
        <f>IF(OR(status1B5!S32="",R$7="No aplica"),0,SUM('BOULEVARD 5'!$K30:U30)-$AP337)</f>
        <v>0</v>
      </c>
      <c r="S337" s="716">
        <f>IF(OR(status1B5!T32="",S$7="No aplica"),0,SUM('BOULEVARD 5'!$K30:V30)-$AP337)</f>
        <v>0</v>
      </c>
      <c r="T337" s="716">
        <f>IF(OR(status1B5!U32="",T$7="No aplica"),0,SUM('BOULEVARD 5'!$K30:W30)-$AP337)</f>
        <v>0</v>
      </c>
      <c r="U337" s="716">
        <f>IF(OR(status1B5!V32="",U$7="No aplica"),0,SUM('BOULEVARD 5'!$K30:X30)-$AP337)</f>
        <v>0</v>
      </c>
      <c r="V337" s="716">
        <f>IF(OR(status1B5!W32="",V$7="No aplica"),0,SUM('BOULEVARD 5'!$K30:Y30)-$AP337)</f>
        <v>0</v>
      </c>
      <c r="W337" s="716">
        <f>IF(OR(status1B5!X32="",W$7="No aplica"),0,SUM('BOULEVARD 5'!$K30:Z30)-$AP337)</f>
        <v>0</v>
      </c>
      <c r="X337" s="716">
        <f>IF(OR(status1B5!Y32="",X$7="No aplica"),0,SUM('BOULEVARD 5'!$K30:AA30)-$AP337)</f>
        <v>0</v>
      </c>
      <c r="Y337" s="716">
        <f>IF(OR(status1B5!Z32="",Y$7="No aplica"),0,SUM('BOULEVARD 5'!$K30:AB30)-$AP337)</f>
        <v>0</v>
      </c>
      <c r="Z337" s="716">
        <f>IF(OR(status1B5!AA32="",Z$7="No aplica"),0,SUM('BOULEVARD 5'!$K30:AC30)-$AP337)</f>
        <v>0</v>
      </c>
      <c r="AA337" s="716">
        <f>IF(OR(status1B5!AB32="",AA$7="No aplica"),0,SUM('BOULEVARD 5'!$K30:AD30)-$AP337)</f>
        <v>0</v>
      </c>
      <c r="AB337" s="716">
        <f>IF(OR(status1B5!AC32="",AB$7="No aplica"),0,SUM('BOULEVARD 5'!$K30:AE30)-$AP337)</f>
        <v>0</v>
      </c>
      <c r="AC337" s="716">
        <f>IF(OR(status1B5!AD32="",AC$7="No aplica"),0,SUM('BOULEVARD 5'!$K30:AF30)-$AP337)</f>
        <v>0</v>
      </c>
      <c r="AD337" s="716">
        <f>IF(OR(status1B5!AE32="",AD$7="No aplica"),0,SUM('BOULEVARD 5'!$K30:AG30)-$AP337)</f>
        <v>0</v>
      </c>
      <c r="AE337" s="716">
        <f>IF(OR(status1B5!AF32="",AE$7="No aplica"),0,SUM('BOULEVARD 5'!$K30:AH30)-$AP337)</f>
        <v>0</v>
      </c>
      <c r="AF337" s="716">
        <f>IF(OR(status1B5!AG32="",AF$7="No aplica"),0,SUM('BOULEVARD 5'!$K30:AI30)-$AP337)</f>
        <v>0</v>
      </c>
      <c r="AG337" s="716">
        <f>IF(OR(status1B5!AH32="",AG$7="No aplica"),0,SUM('BOULEVARD 5'!$K30:AJ30)-$AP337)</f>
        <v>0</v>
      </c>
      <c r="AH337" s="716">
        <f>IF(OR(status1B5!AI32="",AH$7="No aplica"),0,SUM('BOULEVARD 5'!$K30:AK30)-$AP337)</f>
        <v>0</v>
      </c>
      <c r="AI337" s="716">
        <f>IF(OR(status1B5!AJ32="",AI$7="No aplica"),0,SUM('BOULEVARD 5'!$K30:AL30)-$AP337)</f>
        <v>0</v>
      </c>
      <c r="AJ337" s="716">
        <f>IF(OR(status1B5!AK32="",AJ$7="No aplica"),0,SUM('BOULEVARD 5'!$K30:AM30)-$AP337)</f>
        <v>-96048.260000000024</v>
      </c>
      <c r="AK337" s="716">
        <f>IF(OR(status1B5!AL32="",AK$7="No aplica"),0,SUM('BOULEVARD 5'!$K30:AN30)-$AP337)</f>
        <v>-87316.60000000002</v>
      </c>
      <c r="AL337" s="716">
        <f>IF(OR(status1B5!AM32="",AL$7="No aplica"),0,SUM('BOULEVARD 5'!$K30:AO30)-$AP337)</f>
        <v>-78584.940000000031</v>
      </c>
      <c r="AM337" s="716">
        <f>IF(OR(status1B5!AN32="",AM$7="No aplica"),0,SUM('BOULEVARD 5'!$K30:AP30)-$AP337)</f>
        <v>-69853.280000000028</v>
      </c>
      <c r="AN337" s="716">
        <f>IF(OR(status1B5!AO32="",AN$7="No aplica"),0,SUM('BOULEVARD 5'!$K30:AQ30)-$AP337)</f>
        <v>0</v>
      </c>
      <c r="AO337" s="716">
        <f>IF(OR(status1B5!AP32="",AO$7="No aplica"),0,SUM('BOULEVARD 5'!$K30:AS30)-$AP337)</f>
        <v>0</v>
      </c>
      <c r="AP337" s="717">
        <f>'BOULEVARD PPTO'!BC25</f>
        <v>111048.26000000002</v>
      </c>
      <c r="AQ337" s="717">
        <f>'BOULEVARD 5'!AT30</f>
        <v>67389.960000000006</v>
      </c>
      <c r="AR337" s="717">
        <f t="shared" si="38"/>
        <v>-43658.300000000017</v>
      </c>
      <c r="AS337" s="717"/>
      <c r="AT337" s="581"/>
    </row>
    <row r="338" spans="1:47" ht="13.15" customHeight="1" outlineLevel="1" x14ac:dyDescent="0.25">
      <c r="A338" s="700">
        <f t="shared" si="36"/>
        <v>0</v>
      </c>
      <c r="B338" s="564">
        <f t="shared" ref="B338:G338" si="61">B33</f>
        <v>211</v>
      </c>
      <c r="C338" s="564" t="str">
        <f t="shared" si="61"/>
        <v>E1</v>
      </c>
      <c r="D338" s="564">
        <f t="shared" si="61"/>
        <v>0</v>
      </c>
      <c r="E338" s="564" t="str">
        <f t="shared" si="61"/>
        <v/>
      </c>
      <c r="F338" s="581" t="str">
        <f t="shared" si="61"/>
        <v/>
      </c>
      <c r="G338" s="566" t="str">
        <f t="shared" si="61"/>
        <v/>
      </c>
      <c r="H338" s="716">
        <f>IF(OR(status1B5!I33="",H$7="No aplica"),0,SUM('BOULEVARD 5'!$K31:K31)-$AP338)</f>
        <v>0</v>
      </c>
      <c r="I338" s="716">
        <f>IF(OR(status1B5!J33="",I$7="No aplica"),0,SUM('BOULEVARD 5'!$K31:L31)-$AP338)</f>
        <v>0</v>
      </c>
      <c r="J338" s="716">
        <f>IF(OR(status1B5!K33="",J$7="No aplica"),0,SUM('BOULEVARD 5'!$K31:M31)-$AP338)</f>
        <v>0</v>
      </c>
      <c r="K338" s="716">
        <f>IF(OR(status1B5!L33="",K$7="No aplica"),0,SUM('BOULEVARD 5'!$K31:N31)-$AP338)</f>
        <v>0</v>
      </c>
      <c r="L338" s="716">
        <f>IF(OR(status1B5!M33="",L$7="No aplica"),0,SUM('BOULEVARD 5'!$K31:O31)-$AP338)</f>
        <v>0</v>
      </c>
      <c r="M338" s="716">
        <f>IF(OR(status1B5!N33="",M$7="No aplica"),0,SUM('BOULEVARD 5'!$K31:P31)-$AP338)</f>
        <v>0</v>
      </c>
      <c r="N338" s="716">
        <f>IF(OR(status1B5!O33="",N$7="No aplica"),0,SUM('BOULEVARD 5'!$K31:Q31)-$AP338)</f>
        <v>0</v>
      </c>
      <c r="O338" s="716">
        <f>IF(OR(status1B5!P33="",O$7="No aplica"),0,SUM('BOULEVARD 5'!$K31:R31)-$AP338)</f>
        <v>0</v>
      </c>
      <c r="P338" s="716">
        <f>IF(OR(status1B5!Q33="",P$7="No aplica"),0,SUM('BOULEVARD 5'!$K31:S31)-$AP338)</f>
        <v>0</v>
      </c>
      <c r="Q338" s="716">
        <f>IF(OR(status1B5!R33="",Q$7="No aplica"),0,SUM('BOULEVARD 5'!$K31:T31)-$AP338)</f>
        <v>0</v>
      </c>
      <c r="R338" s="716">
        <f>IF(OR(status1B5!S33="",R$7="No aplica"),0,SUM('BOULEVARD 5'!$K31:U31)-$AP338)</f>
        <v>0</v>
      </c>
      <c r="S338" s="716">
        <f>IF(OR(status1B5!T33="",S$7="No aplica"),0,SUM('BOULEVARD 5'!$K31:V31)-$AP338)</f>
        <v>0</v>
      </c>
      <c r="T338" s="716">
        <f>IF(OR(status1B5!U33="",T$7="No aplica"),0,SUM('BOULEVARD 5'!$K31:W31)-$AP338)</f>
        <v>0</v>
      </c>
      <c r="U338" s="716">
        <f>IF(OR(status1B5!V33="",U$7="No aplica"),0,SUM('BOULEVARD 5'!$K31:X31)-$AP338)</f>
        <v>0</v>
      </c>
      <c r="V338" s="716">
        <f>IF(OR(status1B5!W33="",V$7="No aplica"),0,SUM('BOULEVARD 5'!$K31:Y31)-$AP338)</f>
        <v>0</v>
      </c>
      <c r="W338" s="716">
        <f>IF(OR(status1B5!X33="",W$7="No aplica"),0,SUM('BOULEVARD 5'!$K31:Z31)-$AP338)</f>
        <v>0</v>
      </c>
      <c r="X338" s="716">
        <f>IF(OR(status1B5!Y33="",X$7="No aplica"),0,SUM('BOULEVARD 5'!$K31:AA31)-$AP338)</f>
        <v>0</v>
      </c>
      <c r="Y338" s="716">
        <f>IF(OR(status1B5!Z33="",Y$7="No aplica"),0,SUM('BOULEVARD 5'!$K31:AB31)-$AP338)</f>
        <v>0</v>
      </c>
      <c r="Z338" s="716">
        <f>IF(OR(status1B5!AA33="",Z$7="No aplica"),0,SUM('BOULEVARD 5'!$K31:AC31)-$AP338)</f>
        <v>0</v>
      </c>
      <c r="AA338" s="716">
        <f>IF(OR(status1B5!AB33="",AA$7="No aplica"),0,SUM('BOULEVARD 5'!$K31:AD31)-$AP338)</f>
        <v>0</v>
      </c>
      <c r="AB338" s="716">
        <f>IF(OR(status1B5!AC33="",AB$7="No aplica"),0,SUM('BOULEVARD 5'!$K31:AE31)-$AP338)</f>
        <v>0</v>
      </c>
      <c r="AC338" s="716">
        <f>IF(OR(status1B5!AD33="",AC$7="No aplica"),0,SUM('BOULEVARD 5'!$K31:AF31)-$AP338)</f>
        <v>0</v>
      </c>
      <c r="AD338" s="716">
        <f>IF(OR(status1B5!AE33="",AD$7="No aplica"),0,SUM('BOULEVARD 5'!$K31:AG31)-$AP338)</f>
        <v>0</v>
      </c>
      <c r="AE338" s="716">
        <f>IF(OR(status1B5!AF33="",AE$7="No aplica"),0,SUM('BOULEVARD 5'!$K31:AH31)-$AP338)</f>
        <v>0</v>
      </c>
      <c r="AF338" s="716">
        <f>IF(OR(status1B5!AG33="",AF$7="No aplica"),0,SUM('BOULEVARD 5'!$K31:AI31)-$AP338)</f>
        <v>0</v>
      </c>
      <c r="AG338" s="716">
        <f>IF(OR(status1B5!AH33="",AG$7="No aplica"),0,SUM('BOULEVARD 5'!$K31:AJ31)-$AP338)</f>
        <v>0</v>
      </c>
      <c r="AH338" s="716">
        <f>IF(OR(status1B5!AI33="",AH$7="No aplica"),0,SUM('BOULEVARD 5'!$K31:AK31)-$AP338)</f>
        <v>0</v>
      </c>
      <c r="AI338" s="716">
        <f>IF(OR(status1B5!AJ33="",AI$7="No aplica"),0,SUM('BOULEVARD 5'!$K31:AL31)-$AP338)</f>
        <v>0</v>
      </c>
      <c r="AJ338" s="716">
        <f>IF(OR(status1B5!AK33="",AJ$7="No aplica"),0,SUM('BOULEVARD 5'!$K31:AM31)-$AP338)</f>
        <v>0</v>
      </c>
      <c r="AK338" s="716">
        <f>IF(OR(status1B5!AL33="",AK$7="No aplica"),0,SUM('BOULEVARD 5'!$K31:AN31)-$AP338)</f>
        <v>0</v>
      </c>
      <c r="AL338" s="716">
        <f>IF(OR(status1B5!AM33="",AL$7="No aplica"),0,SUM('BOULEVARD 5'!$K31:AO31)-$AP338)</f>
        <v>0</v>
      </c>
      <c r="AM338" s="716">
        <f>IF(OR(status1B5!AN33="",AM$7="No aplica"),0,SUM('BOULEVARD 5'!$K31:AP31)-$AP338)</f>
        <v>0</v>
      </c>
      <c r="AN338" s="716">
        <f>IF(OR(status1B5!AO33="",AN$7="No aplica"),0,SUM('BOULEVARD 5'!$K31:AQ31)-$AP338)</f>
        <v>0</v>
      </c>
      <c r="AO338" s="716">
        <f>IF(OR(status1B5!AP33="",AO$7="No aplica"),0,SUM('BOULEVARD 5'!$K31:AS31)-$AP338)</f>
        <v>0</v>
      </c>
      <c r="AP338" s="717">
        <f>'BOULEVARD PPTO'!BC26</f>
        <v>0</v>
      </c>
      <c r="AQ338" s="717">
        <f>'BOULEVARD 5'!AT31</f>
        <v>0</v>
      </c>
      <c r="AR338" s="717">
        <f t="shared" si="38"/>
        <v>0</v>
      </c>
      <c r="AS338" s="717"/>
      <c r="AT338" s="581"/>
    </row>
    <row r="339" spans="1:47" ht="13.15" customHeight="1" outlineLevel="1" x14ac:dyDescent="0.25">
      <c r="A339" s="700">
        <f t="shared" si="36"/>
        <v>0</v>
      </c>
      <c r="B339" s="564">
        <f t="shared" ref="B339:G339" si="62">B34</f>
        <v>212</v>
      </c>
      <c r="C339" s="564" t="str">
        <f t="shared" si="62"/>
        <v>A4</v>
      </c>
      <c r="D339" s="564">
        <f t="shared" si="62"/>
        <v>0</v>
      </c>
      <c r="E339" s="564" t="str">
        <f t="shared" si="62"/>
        <v>Antonio Rada</v>
      </c>
      <c r="F339" s="581" t="str">
        <f t="shared" si="62"/>
        <v>Julio Eduardo Farnes Bucaro</v>
      </c>
      <c r="G339" s="566">
        <f t="shared" si="62"/>
        <v>45244</v>
      </c>
      <c r="H339" s="716">
        <f>IF(OR(status1B5!I34="",H$7="No aplica"),0,SUM('BOULEVARD 5'!$K32:K32)-$AP339)</f>
        <v>0</v>
      </c>
      <c r="I339" s="716">
        <f>IF(OR(status1B5!J34="",I$7="No aplica"),0,SUM('BOULEVARD 5'!$K32:L32)-$AP339)</f>
        <v>0</v>
      </c>
      <c r="J339" s="716">
        <f>IF(OR(status1B5!K34="",J$7="No aplica"),0,SUM('BOULEVARD 5'!$K32:M32)-$AP339)</f>
        <v>0</v>
      </c>
      <c r="K339" s="716">
        <f>IF(OR(status1B5!L34="",K$7="No aplica"),0,SUM('BOULEVARD 5'!$K32:N32)-$AP339)</f>
        <v>0</v>
      </c>
      <c r="L339" s="716">
        <f>IF(OR(status1B5!M34="",L$7="No aplica"),0,SUM('BOULEVARD 5'!$K32:O32)-$AP339)</f>
        <v>0</v>
      </c>
      <c r="M339" s="716">
        <f>IF(OR(status1B5!N34="",M$7="No aplica"),0,SUM('BOULEVARD 5'!$K32:P32)-$AP339)</f>
        <v>0</v>
      </c>
      <c r="N339" s="716">
        <f>IF(OR(status1B5!O34="",N$7="No aplica"),0,SUM('BOULEVARD 5'!$K32:Q32)-$AP339)</f>
        <v>0</v>
      </c>
      <c r="O339" s="716">
        <f>IF(OR(status1B5!P34="",O$7="No aplica"),0,SUM('BOULEVARD 5'!$K32:R32)-$AP339)</f>
        <v>0</v>
      </c>
      <c r="P339" s="716">
        <f>IF(OR(status1B5!Q34="",P$7="No aplica"),0,SUM('BOULEVARD 5'!$K32:S32)-$AP339)</f>
        <v>-63537.5</v>
      </c>
      <c r="Q339" s="716">
        <f>IF(OR(status1B5!R34="",Q$7="No aplica"),0,SUM('BOULEVARD 5'!$K32:T32)-$AP339)</f>
        <v>-60649.5</v>
      </c>
      <c r="R339" s="716">
        <f>IF(OR(status1B5!S34="",R$7="No aplica"),0,SUM('BOULEVARD 5'!$K32:U32)-$AP339)</f>
        <v>-57761.5</v>
      </c>
      <c r="S339" s="716">
        <f>IF(OR(status1B5!T34="",S$7="No aplica"),0,SUM('BOULEVARD 5'!$K32:V32)-$AP339)</f>
        <v>-54873.5</v>
      </c>
      <c r="T339" s="716">
        <f>IF(OR(status1B5!U34="",T$7="No aplica"),0,SUM('BOULEVARD 5'!$K32:W32)-$AP339)</f>
        <v>-51985.5</v>
      </c>
      <c r="U339" s="716">
        <f>IF(OR(status1B5!V34="",U$7="No aplica"),0,SUM('BOULEVARD 5'!$K32:X32)-$AP339)</f>
        <v>-49097.5</v>
      </c>
      <c r="V339" s="716">
        <f>IF(OR(status1B5!W34="",V$7="No aplica"),0,SUM('BOULEVARD 5'!$K32:Y32)-$AP339)</f>
        <v>-46209.5</v>
      </c>
      <c r="W339" s="716">
        <f>IF(OR(status1B5!X34="",W$7="No aplica"),0,SUM('BOULEVARD 5'!$K32:Z32)-$AP339)</f>
        <v>-43321.5</v>
      </c>
      <c r="X339" s="716">
        <f>IF(OR(status1B5!Y34="",X$7="No aplica"),0,SUM('BOULEVARD 5'!$K32:AA32)-$AP339)</f>
        <v>-40433.5</v>
      </c>
      <c r="Y339" s="716">
        <f>IF(OR(status1B5!Z34="",Y$7="No aplica"),0,SUM('BOULEVARD 5'!$K32:AB32)-$AP339)</f>
        <v>-37545.5</v>
      </c>
      <c r="Z339" s="716">
        <f>IF(OR(status1B5!AA34="",Z$7="No aplica"),0,SUM('BOULEVARD 5'!$K32:AC32)-$AP339)</f>
        <v>-34657.5</v>
      </c>
      <c r="AA339" s="716">
        <f>IF(OR(status1B5!AB34="",AA$7="No aplica"),0,SUM('BOULEVARD 5'!$K32:AD32)-$AP339)</f>
        <v>-31769.5</v>
      </c>
      <c r="AB339" s="716">
        <f>IF(OR(status1B5!AC34="",AB$7="No aplica"),0,SUM('BOULEVARD 5'!$K32:AE32)-$AP339)</f>
        <v>-28881.5</v>
      </c>
      <c r="AC339" s="716">
        <f>IF(OR(status1B5!AD34="",AC$7="No aplica"),0,SUM('BOULEVARD 5'!$K32:AF32)-$AP339)</f>
        <v>-25993.5</v>
      </c>
      <c r="AD339" s="716">
        <f>IF(OR(status1B5!AE34="",AD$7="No aplica"),0,SUM('BOULEVARD 5'!$K32:AG32)-$AP339)</f>
        <v>-23105.5</v>
      </c>
      <c r="AE339" s="716">
        <f>IF(OR(status1B5!AF34="",AE$7="No aplica"),0,SUM('BOULEVARD 5'!$K32:AH32)-$AP339)</f>
        <v>-20217.5</v>
      </c>
      <c r="AF339" s="716">
        <f>IF(OR(status1B5!AG34="",AF$7="No aplica"),0,SUM('BOULEVARD 5'!$K32:AI32)-$AP339)</f>
        <v>-17329.5</v>
      </c>
      <c r="AG339" s="716">
        <f>IF(OR(status1B5!AH34="",AG$7="No aplica"),0,SUM('BOULEVARD 5'!$K32:AJ32)-$AP339)</f>
        <v>-14441.5</v>
      </c>
      <c r="AH339" s="716">
        <f>IF(OR(status1B5!AI34="",AH$7="No aplica"),0,SUM('BOULEVARD 5'!$K32:AK32)-$AP339)</f>
        <v>-11553.5</v>
      </c>
      <c r="AI339" s="716">
        <f>IF(OR(status1B5!AJ34="",AI$7="No aplica"),0,SUM('BOULEVARD 5'!$K32:AL32)-$AP339)</f>
        <v>-8665.5</v>
      </c>
      <c r="AJ339" s="716">
        <f>IF(OR(status1B5!AK34="",AJ$7="No aplica"),0,SUM('BOULEVARD 5'!$K32:AM32)-$AP339)</f>
        <v>-5777.5</v>
      </c>
      <c r="AK339" s="716">
        <f>IF(OR(status1B5!AL34="",AK$7="No aplica"),0,SUM('BOULEVARD 5'!$K32:AN32)-$AP339)</f>
        <v>-2889.5</v>
      </c>
      <c r="AL339" s="716">
        <f>IF(OR(status1B5!AM34="",AL$7="No aplica"),0,SUM('BOULEVARD 5'!$K32:AO32)-$AP339)</f>
        <v>-1.5</v>
      </c>
      <c r="AM339" s="716">
        <f>IF(OR(status1B5!AN34="",AM$7="No aplica"),0,SUM('BOULEVARD 5'!$K32:AP32)-$AP339)</f>
        <v>-1.5</v>
      </c>
      <c r="AN339" s="716">
        <f>IF(OR(status1B5!AO34="",AN$7="No aplica"),0,SUM('BOULEVARD 5'!$K32:AQ32)-$AP339)</f>
        <v>0</v>
      </c>
      <c r="AO339" s="716">
        <f>IF(OR(status1B5!AP34="",AO$7="No aplica"),0,SUM('BOULEVARD 5'!$K32:AS32)-$AP339)</f>
        <v>0</v>
      </c>
      <c r="AP339" s="717">
        <f>'BOULEVARD PPTO'!BC27</f>
        <v>71537.5</v>
      </c>
      <c r="AQ339" s="717">
        <f>'BOULEVARD 5'!AT32</f>
        <v>71536</v>
      </c>
      <c r="AR339" s="717">
        <f t="shared" si="38"/>
        <v>-1.5</v>
      </c>
      <c r="AS339" s="717"/>
      <c r="AT339" s="581"/>
    </row>
    <row r="340" spans="1:47" ht="13.15" customHeight="1" outlineLevel="1" x14ac:dyDescent="0.25">
      <c r="A340" s="700">
        <f t="shared" si="36"/>
        <v>0</v>
      </c>
      <c r="B340" s="564">
        <f t="shared" ref="B340:G340" si="63">B35</f>
        <v>213</v>
      </c>
      <c r="C340" s="564" t="str">
        <f t="shared" si="63"/>
        <v>A8</v>
      </c>
      <c r="D340" s="564">
        <f t="shared" si="63"/>
        <v>0</v>
      </c>
      <c r="E340" s="564" t="str">
        <f t="shared" si="63"/>
        <v>Sofia Paredes</v>
      </c>
      <c r="F340" s="581" t="str">
        <f t="shared" si="63"/>
        <v xml:space="preserve">Carlos Humberto Rivera Carrillo </v>
      </c>
      <c r="G340" s="566">
        <f t="shared" si="63"/>
        <v>45695</v>
      </c>
      <c r="H340" s="716">
        <f>IF(OR(status1B5!I35="",H$7="No aplica"),0,SUM('BOULEVARD 5'!$K33:K33)-$AP340)</f>
        <v>0</v>
      </c>
      <c r="I340" s="716">
        <f>IF(OR(status1B5!J35="",I$7="No aplica"),0,SUM('BOULEVARD 5'!$K33:L33)-$AP340)</f>
        <v>0</v>
      </c>
      <c r="J340" s="716">
        <f>IF(OR(status1B5!K35="",J$7="No aplica"),0,SUM('BOULEVARD 5'!$K33:M33)-$AP340)</f>
        <v>0</v>
      </c>
      <c r="K340" s="716">
        <f>IF(OR(status1B5!L35="",K$7="No aplica"),0,SUM('BOULEVARD 5'!$K33:N33)-$AP340)</f>
        <v>0</v>
      </c>
      <c r="L340" s="716">
        <f>IF(OR(status1B5!M35="",L$7="No aplica"),0,SUM('BOULEVARD 5'!$K33:O33)-$AP340)</f>
        <v>0</v>
      </c>
      <c r="M340" s="716">
        <f>IF(OR(status1B5!N35="",M$7="No aplica"),0,SUM('BOULEVARD 5'!$K33:P33)-$AP340)</f>
        <v>0</v>
      </c>
      <c r="N340" s="716">
        <f>IF(OR(status1B5!O35="",N$7="No aplica"),0,SUM('BOULEVARD 5'!$K33:Q33)-$AP340)</f>
        <v>0</v>
      </c>
      <c r="O340" s="716">
        <f>IF(OR(status1B5!P35="",O$7="No aplica"),0,SUM('BOULEVARD 5'!$K33:R33)-$AP340)</f>
        <v>0</v>
      </c>
      <c r="P340" s="716">
        <f>IF(OR(status1B5!Q35="",P$7="No aplica"),0,SUM('BOULEVARD 5'!$K33:S33)-$AP340)</f>
        <v>0</v>
      </c>
      <c r="Q340" s="716">
        <f>IF(OR(status1B5!R35="",Q$7="No aplica"),0,SUM('BOULEVARD 5'!$K33:T33)-$AP340)</f>
        <v>0</v>
      </c>
      <c r="R340" s="716">
        <f>IF(OR(status1B5!S35="",R$7="No aplica"),0,SUM('BOULEVARD 5'!$K33:U33)-$AP340)</f>
        <v>0</v>
      </c>
      <c r="S340" s="716">
        <f>IF(OR(status1B5!T35="",S$7="No aplica"),0,SUM('BOULEVARD 5'!$K33:V33)-$AP340)</f>
        <v>0</v>
      </c>
      <c r="T340" s="716">
        <f>IF(OR(status1B5!U35="",T$7="No aplica"),0,SUM('BOULEVARD 5'!$K33:W33)-$AP340)</f>
        <v>0</v>
      </c>
      <c r="U340" s="716">
        <f>IF(OR(status1B5!V35="",U$7="No aplica"),0,SUM('BOULEVARD 5'!$K33:X33)-$AP340)</f>
        <v>0</v>
      </c>
      <c r="V340" s="716">
        <f>IF(OR(status1B5!W35="",V$7="No aplica"),0,SUM('BOULEVARD 5'!$K33:Y33)-$AP340)</f>
        <v>0</v>
      </c>
      <c r="W340" s="716">
        <f>IF(OR(status1B5!X35="",W$7="No aplica"),0,SUM('BOULEVARD 5'!$K33:Z33)-$AP340)</f>
        <v>0</v>
      </c>
      <c r="X340" s="716">
        <f>IF(OR(status1B5!Y35="",X$7="No aplica"),0,SUM('BOULEVARD 5'!$K33:AA33)-$AP340)</f>
        <v>0</v>
      </c>
      <c r="Y340" s="716">
        <f>IF(OR(status1B5!Z35="",Y$7="No aplica"),0,SUM('BOULEVARD 5'!$K33:AB33)-$AP340)</f>
        <v>0</v>
      </c>
      <c r="Z340" s="716">
        <f>IF(OR(status1B5!AA35="",Z$7="No aplica"),0,SUM('BOULEVARD 5'!$K33:AC33)-$AP340)</f>
        <v>0</v>
      </c>
      <c r="AA340" s="716">
        <f>IF(OR(status1B5!AB35="",AA$7="No aplica"),0,SUM('BOULEVARD 5'!$K33:AD33)-$AP340)</f>
        <v>0</v>
      </c>
      <c r="AB340" s="716">
        <f>IF(OR(status1B5!AC35="",AB$7="No aplica"),0,SUM('BOULEVARD 5'!$K33:AE33)-$AP340)</f>
        <v>0</v>
      </c>
      <c r="AC340" s="716">
        <f>IF(OR(status1B5!AD35="",AC$7="No aplica"),0,SUM('BOULEVARD 5'!$K33:AF33)-$AP340)</f>
        <v>0</v>
      </c>
      <c r="AD340" s="716">
        <f>IF(OR(status1B5!AE35="",AD$7="No aplica"),0,SUM('BOULEVARD 5'!$K33:AG33)-$AP340)</f>
        <v>0</v>
      </c>
      <c r="AE340" s="716">
        <f>IF(OR(status1B5!AF35="",AE$7="No aplica"),0,SUM('BOULEVARD 5'!$K33:AH33)-$AP340)</f>
        <v>-70718.740000000005</v>
      </c>
      <c r="AF340" s="716">
        <f>IF(OR(status1B5!AG35="",AF$7="No aplica"),0,SUM('BOULEVARD 5'!$K33:AI33)-$AP340)</f>
        <v>-70718.740000000005</v>
      </c>
      <c r="AG340" s="716">
        <f>IF(OR(status1B5!AH35="",AG$7="No aplica"),0,SUM('BOULEVARD 5'!$K33:AJ33)-$AP340)</f>
        <v>-59179.020000000004</v>
      </c>
      <c r="AH340" s="716">
        <f>IF(OR(status1B5!AI35="",AH$7="No aplica"),0,SUM('BOULEVARD 5'!$K33:AK33)-$AP340)</f>
        <v>-54179.020000000004</v>
      </c>
      <c r="AI340" s="716">
        <f>IF(OR(status1B5!AJ35="",AI$7="No aplica"),0,SUM('BOULEVARD 5'!$K33:AL33)-$AP340)</f>
        <v>-54179.020000000004</v>
      </c>
      <c r="AJ340" s="716">
        <f>IF(OR(status1B5!AK35="",AJ$7="No aplica"),0,SUM('BOULEVARD 5'!$K33:AM33)-$AP340)</f>
        <v>-44179.020000000004</v>
      </c>
      <c r="AK340" s="716">
        <f>IF(OR(status1B5!AL35="",AK$7="No aplica"),0,SUM('BOULEVARD 5'!$K33:AN33)-$AP340)</f>
        <v>-44179.020000000004</v>
      </c>
      <c r="AL340" s="716">
        <f>IF(OR(status1B5!AM35="",AL$7="No aplica"),0,SUM('BOULEVARD 5'!$K33:AO33)-$AP340)</f>
        <v>-39179.020000000004</v>
      </c>
      <c r="AM340" s="716">
        <f>IF(OR(status1B5!AN35="",AM$7="No aplica"),0,SUM('BOULEVARD 5'!$K33:AP33)-$AP340)</f>
        <v>-34179.020000000004</v>
      </c>
      <c r="AN340" s="716">
        <f>IF(OR(status1B5!AO35="",AN$7="No aplica"),0,SUM('BOULEVARD 5'!$K33:AQ33)-$AP340)</f>
        <v>0</v>
      </c>
      <c r="AO340" s="716">
        <f>IF(OR(status1B5!AP35="",AO$7="No aplica"),0,SUM('BOULEVARD 5'!$K33:AS33)-$AP340)</f>
        <v>0</v>
      </c>
      <c r="AP340" s="717">
        <f>'BOULEVARD PPTO'!BC28</f>
        <v>80718.740000000005</v>
      </c>
      <c r="AQ340" s="717">
        <f>'BOULEVARD 5'!AT33</f>
        <v>56539.72</v>
      </c>
      <c r="AR340" s="717">
        <f t="shared" si="38"/>
        <v>-24179.020000000004</v>
      </c>
      <c r="AS340" s="717"/>
      <c r="AT340" s="581"/>
    </row>
    <row r="341" spans="1:47" ht="13.15" customHeight="1" outlineLevel="1" x14ac:dyDescent="0.25">
      <c r="A341" s="700">
        <f t="shared" si="36"/>
        <v>0</v>
      </c>
      <c r="B341" s="564">
        <f t="shared" ref="B341:G341" si="64">B36</f>
        <v>214</v>
      </c>
      <c r="C341" s="564" t="str">
        <f t="shared" si="64"/>
        <v>A1</v>
      </c>
      <c r="D341" s="564">
        <f t="shared" si="64"/>
        <v>0</v>
      </c>
      <c r="E341" s="564" t="str">
        <f t="shared" si="64"/>
        <v>Antonio Rada</v>
      </c>
      <c r="F341" s="581" t="str">
        <f t="shared" si="64"/>
        <v>Jorge Daniel Baca Chiroy</v>
      </c>
      <c r="G341" s="566">
        <f t="shared" si="64"/>
        <v>45259</v>
      </c>
      <c r="H341" s="716">
        <f>IF(OR(status1B5!I36="",H$7="No aplica"),0,SUM('BOULEVARD 5'!$K34:K34)-$AP341)</f>
        <v>0</v>
      </c>
      <c r="I341" s="716">
        <f>IF(OR(status1B5!J36="",I$7="No aplica"),0,SUM('BOULEVARD 5'!$K34:L34)-$AP341)</f>
        <v>0</v>
      </c>
      <c r="J341" s="716">
        <f>IF(OR(status1B5!K36="",J$7="No aplica"),0,SUM('BOULEVARD 5'!$K34:M34)-$AP341)</f>
        <v>0</v>
      </c>
      <c r="K341" s="716">
        <f>IF(OR(status1B5!L36="",K$7="No aplica"),0,SUM('BOULEVARD 5'!$K34:N34)-$AP341)</f>
        <v>0</v>
      </c>
      <c r="L341" s="716">
        <f>IF(OR(status1B5!M36="",L$7="No aplica"),0,SUM('BOULEVARD 5'!$K34:O34)-$AP341)</f>
        <v>0</v>
      </c>
      <c r="M341" s="716">
        <f>IF(OR(status1B5!N36="",M$7="No aplica"),0,SUM('BOULEVARD 5'!$K34:P34)-$AP341)</f>
        <v>0</v>
      </c>
      <c r="N341" s="716">
        <f>IF(OR(status1B5!O36="",N$7="No aplica"),0,SUM('BOULEVARD 5'!$K34:Q34)-$AP341)</f>
        <v>0</v>
      </c>
      <c r="O341" s="716">
        <f>IF(OR(status1B5!P36="",O$7="No aplica"),0,SUM('BOULEVARD 5'!$K34:R34)-$AP341)</f>
        <v>0</v>
      </c>
      <c r="P341" s="716">
        <f>IF(OR(status1B5!Q36="",P$7="No aplica"),0,SUM('BOULEVARD 5'!$K34:S34)-$AP341)</f>
        <v>-66572.5</v>
      </c>
      <c r="Q341" s="716">
        <f>IF(OR(status1B5!R36="",Q$7="No aplica"),0,SUM('BOULEVARD 5'!$K34:T34)-$AP341)</f>
        <v>-63547.5</v>
      </c>
      <c r="R341" s="716">
        <f>IF(OR(status1B5!S36="",R$7="No aplica"),0,SUM('BOULEVARD 5'!$K34:U34)-$AP341)</f>
        <v>-60522.5</v>
      </c>
      <c r="S341" s="716">
        <f>IF(OR(status1B5!T36="",S$7="No aplica"),0,SUM('BOULEVARD 5'!$K34:V34)-$AP341)</f>
        <v>-60522.5</v>
      </c>
      <c r="T341" s="716">
        <f>IF(OR(status1B5!U36="",T$7="No aplica"),0,SUM('BOULEVARD 5'!$K34:W34)-$AP341)</f>
        <v>-60522.5</v>
      </c>
      <c r="U341" s="716">
        <f>IF(OR(status1B5!V36="",U$7="No aplica"),0,SUM('BOULEVARD 5'!$K34:X34)-$AP341)</f>
        <v>-60522.5</v>
      </c>
      <c r="V341" s="716">
        <f>IF(OR(status1B5!W36="",V$7="No aplica"),0,SUM('BOULEVARD 5'!$K34:Y34)-$AP341)</f>
        <v>-60522.5</v>
      </c>
      <c r="W341" s="716">
        <f>IF(OR(status1B5!X36="",W$7="No aplica"),0,SUM('BOULEVARD 5'!$K34:Z34)-$AP341)</f>
        <v>-54472.5</v>
      </c>
      <c r="X341" s="716">
        <f>IF(OR(status1B5!Y36="",X$7="No aplica"),0,SUM('BOULEVARD 5'!$K34:AA34)-$AP341)</f>
        <v>-54472.5</v>
      </c>
      <c r="Y341" s="716">
        <f>IF(OR(status1B5!Z36="",Y$7="No aplica"),0,SUM('BOULEVARD 5'!$K34:AB34)-$AP341)</f>
        <v>-54472.5</v>
      </c>
      <c r="Z341" s="716">
        <f>IF(OR(status1B5!AA36="",Z$7="No aplica"),0,SUM('BOULEVARD 5'!$K34:AC34)-$AP341)</f>
        <v>-39342.5</v>
      </c>
      <c r="AA341" s="716">
        <f>IF(OR(status1B5!AB36="",AA$7="No aplica"),0,SUM('BOULEVARD 5'!$K34:AD34)-$AP341)</f>
        <v>-39342.5</v>
      </c>
      <c r="AB341" s="716">
        <f>IF(OR(status1B5!AC36="",AB$7="No aplica"),0,SUM('BOULEVARD 5'!$K34:AE34)-$AP341)</f>
        <v>-30264.5</v>
      </c>
      <c r="AC341" s="716">
        <f>IF(OR(status1B5!AD36="",AC$7="No aplica"),0,SUM('BOULEVARD 5'!$K34:AF34)-$AP341)</f>
        <v>-30264.5</v>
      </c>
      <c r="AD341" s="716">
        <f>IF(OR(status1B5!AE36="",AD$7="No aplica"),0,SUM('BOULEVARD 5'!$K34:AG34)-$AP341)</f>
        <v>-30264.5</v>
      </c>
      <c r="AE341" s="716">
        <f>IF(OR(status1B5!AF36="",AE$7="No aplica"),0,SUM('BOULEVARD 5'!$K34:AH34)-$AP341)</f>
        <v>-21186.5</v>
      </c>
      <c r="AF341" s="716">
        <f>IF(OR(status1B5!AG36="",AF$7="No aplica"),0,SUM('BOULEVARD 5'!$K34:AI34)-$AP341)</f>
        <v>-21186.5</v>
      </c>
      <c r="AG341" s="716">
        <f>IF(OR(status1B5!AH36="",AG$7="No aplica"),0,SUM('BOULEVARD 5'!$K34:AJ34)-$AP341)</f>
        <v>-15130.5</v>
      </c>
      <c r="AH341" s="716">
        <f>IF(OR(status1B5!AI36="",AH$7="No aplica"),0,SUM('BOULEVARD 5'!$K34:AK34)-$AP341)</f>
        <v>-12105.5</v>
      </c>
      <c r="AI341" s="716">
        <f>IF(OR(status1B5!AJ36="",AI$7="No aplica"),0,SUM('BOULEVARD 5'!$K34:AL34)-$AP341)</f>
        <v>0</v>
      </c>
      <c r="AJ341" s="716">
        <f>IF(OR(status1B5!AK36="",AJ$7="No aplica"),0,SUM('BOULEVARD 5'!$K34:AM34)-$AP341)</f>
        <v>0</v>
      </c>
      <c r="AK341" s="716">
        <f>IF(OR(status1B5!AL36="",AK$7="No aplica"),0,SUM('BOULEVARD 5'!$K34:AN34)-$AP341)</f>
        <v>0</v>
      </c>
      <c r="AL341" s="716">
        <f>IF(OR(status1B5!AM36="",AL$7="No aplica"),0,SUM('BOULEVARD 5'!$K34:AO34)-$AP341)</f>
        <v>0</v>
      </c>
      <c r="AM341" s="716">
        <f>IF(OR(status1B5!AN36="",AM$7="No aplica"),0,SUM('BOULEVARD 5'!$K34:AP34)-$AP341)</f>
        <v>0</v>
      </c>
      <c r="AN341" s="716">
        <f>IF(OR(status1B5!AO36="",AN$7="No aplica"),0,SUM('BOULEVARD 5'!$K34:AQ34)-$AP341)</f>
        <v>0</v>
      </c>
      <c r="AO341" s="716">
        <f>IF(OR(status1B5!AP36="",AO$7="No aplica"),0,SUM('BOULEVARD 5'!$K34:AS34)-$AP341)</f>
        <v>0</v>
      </c>
      <c r="AP341" s="717">
        <f>'BOULEVARD PPTO'!BC29</f>
        <v>72072.5</v>
      </c>
      <c r="AQ341" s="717">
        <f>'BOULEVARD 5'!AT34</f>
        <v>72072.5</v>
      </c>
      <c r="AR341" s="717">
        <f t="shared" si="38"/>
        <v>0</v>
      </c>
      <c r="AS341" s="717"/>
      <c r="AT341" s="581"/>
      <c r="AU341" s="429" t="s">
        <v>848</v>
      </c>
    </row>
    <row r="342" spans="1:47" ht="13.15" customHeight="1" outlineLevel="1" x14ac:dyDescent="0.25">
      <c r="A342" s="700">
        <f t="shared" si="36"/>
        <v>0</v>
      </c>
      <c r="B342" s="564">
        <f t="shared" ref="B342:G342" si="65">B37</f>
        <v>215</v>
      </c>
      <c r="C342" s="564" t="str">
        <f t="shared" si="65"/>
        <v>C4</v>
      </c>
      <c r="D342" s="564">
        <f t="shared" si="65"/>
        <v>0</v>
      </c>
      <c r="E342" s="564" t="str">
        <f t="shared" si="65"/>
        <v>Antonio Rada</v>
      </c>
      <c r="F342" s="581" t="str">
        <f t="shared" si="65"/>
        <v>Lidia Elizabeth Pocasangre Rac</v>
      </c>
      <c r="G342" s="566">
        <f t="shared" si="65"/>
        <v>45353</v>
      </c>
      <c r="H342" s="716">
        <f>IF(OR(status1B5!I37="",H$7="No aplica"),0,SUM('BOULEVARD 5'!$K35:K35)-$AP342)</f>
        <v>0</v>
      </c>
      <c r="I342" s="716">
        <f>IF(OR(status1B5!J37="",I$7="No aplica"),0,SUM('BOULEVARD 5'!$K35:L35)-$AP342)</f>
        <v>0</v>
      </c>
      <c r="J342" s="716">
        <f>IF(OR(status1B5!K37="",J$7="No aplica"),0,SUM('BOULEVARD 5'!$K35:M35)-$AP342)</f>
        <v>0</v>
      </c>
      <c r="K342" s="716">
        <f>IF(OR(status1B5!L37="",K$7="No aplica"),0,SUM('BOULEVARD 5'!$K35:N35)-$AP342)</f>
        <v>0</v>
      </c>
      <c r="L342" s="716">
        <f>IF(OR(status1B5!M37="",L$7="No aplica"),0,SUM('BOULEVARD 5'!$K35:O35)-$AP342)</f>
        <v>0</v>
      </c>
      <c r="M342" s="716">
        <f>IF(OR(status1B5!N37="",M$7="No aplica"),0,SUM('BOULEVARD 5'!$K35:P35)-$AP342)</f>
        <v>0</v>
      </c>
      <c r="N342" s="716">
        <f>IF(OR(status1B5!O37="",N$7="No aplica"),0,SUM('BOULEVARD 5'!$K35:Q35)-$AP342)</f>
        <v>0</v>
      </c>
      <c r="O342" s="716">
        <f>IF(OR(status1B5!P37="",O$7="No aplica"),0,SUM('BOULEVARD 5'!$K35:R35)-$AP342)</f>
        <v>0</v>
      </c>
      <c r="P342" s="716">
        <f>IF(OR(status1B5!Q37="",P$7="No aplica"),0,SUM('BOULEVARD 5'!$K35:S35)-$AP342)</f>
        <v>0</v>
      </c>
      <c r="Q342" s="716">
        <f>IF(OR(status1B5!R37="",Q$7="No aplica"),0,SUM('BOULEVARD 5'!$K35:T35)-$AP342)</f>
        <v>0</v>
      </c>
      <c r="R342" s="716">
        <f>IF(OR(status1B5!S37="",R$7="No aplica"),0,SUM('BOULEVARD 5'!$K35:U35)-$AP342)</f>
        <v>0</v>
      </c>
      <c r="S342" s="716">
        <f>IF(OR(status1B5!T37="",S$7="No aplica"),0,SUM('BOULEVARD 5'!$K35:V35)-$AP342)</f>
        <v>0</v>
      </c>
      <c r="T342" s="716">
        <f>IF(OR(status1B5!U37="",T$7="No aplica"),0,SUM('BOULEVARD 5'!$K35:W35)-$AP342)</f>
        <v>-88600</v>
      </c>
      <c r="U342" s="716">
        <f>IF(OR(status1B5!V37="",U$7="No aplica"),0,SUM('BOULEVARD 5'!$K35:X35)-$AP342)</f>
        <v>-83600</v>
      </c>
      <c r="V342" s="716">
        <f>IF(OR(status1B5!W37="",V$7="No aplica"),0,SUM('BOULEVARD 5'!$K35:Y35)-$AP342)</f>
        <v>-78600</v>
      </c>
      <c r="W342" s="716">
        <f>IF(OR(status1B5!X37="",W$7="No aplica"),0,SUM('BOULEVARD 5'!$K35:Z35)-$AP342)</f>
        <v>-73600</v>
      </c>
      <c r="X342" s="716">
        <f>IF(OR(status1B5!Y37="",X$7="No aplica"),0,SUM('BOULEVARD 5'!$K35:AA35)-$AP342)</f>
        <v>-68600</v>
      </c>
      <c r="Y342" s="716">
        <f>IF(OR(status1B5!Z37="",Y$7="No aplica"),0,SUM('BOULEVARD 5'!$K35:AB35)-$AP342)</f>
        <v>-63600</v>
      </c>
      <c r="Z342" s="716">
        <f>IF(OR(status1B5!AA37="",Z$7="No aplica"),0,SUM('BOULEVARD 5'!$K35:AC35)-$AP342)</f>
        <v>-58600</v>
      </c>
      <c r="AA342" s="716">
        <f>IF(OR(status1B5!AB37="",AA$7="No aplica"),0,SUM('BOULEVARD 5'!$K35:AD35)-$AP342)</f>
        <v>-54100</v>
      </c>
      <c r="AB342" s="716">
        <f>IF(OR(status1B5!AC37="",AB$7="No aplica"),0,SUM('BOULEVARD 5'!$K35:AE35)-$AP342)</f>
        <v>-48600</v>
      </c>
      <c r="AC342" s="716">
        <f>IF(OR(status1B5!AD37="",AC$7="No aplica"),0,SUM('BOULEVARD 5'!$K35:AF35)-$AP342)</f>
        <v>-43600</v>
      </c>
      <c r="AD342" s="716">
        <f>IF(OR(status1B5!AE37="",AD$7="No aplica"),0,SUM('BOULEVARD 5'!$K35:AG35)-$AP342)</f>
        <v>-38600</v>
      </c>
      <c r="AE342" s="716">
        <f>IF(OR(status1B5!AF37="",AE$7="No aplica"),0,SUM('BOULEVARD 5'!$K35:AH35)-$AP342)</f>
        <v>-33600</v>
      </c>
      <c r="AF342" s="716">
        <f>IF(OR(status1B5!AG37="",AF$7="No aplica"),0,SUM('BOULEVARD 5'!$K35:AI35)-$AP342)</f>
        <v>-28600</v>
      </c>
      <c r="AG342" s="716">
        <f>IF(OR(status1B5!AH37="",AG$7="No aplica"),0,SUM('BOULEVARD 5'!$K35:AJ35)-$AP342)</f>
        <v>-23600</v>
      </c>
      <c r="AH342" s="716">
        <f>IF(OR(status1B5!AI37="",AH$7="No aplica"),0,SUM('BOULEVARD 5'!$K35:AK35)-$AP342)</f>
        <v>-18600</v>
      </c>
      <c r="AI342" s="716">
        <f>IF(OR(status1B5!AJ37="",AI$7="No aplica"),0,SUM('BOULEVARD 5'!$K35:AL35)-$AP342)</f>
        <v>-13600</v>
      </c>
      <c r="AJ342" s="716">
        <f>IF(OR(status1B5!AK37="",AJ$7="No aplica"),0,SUM('BOULEVARD 5'!$K35:AM35)-$AP342)</f>
        <v>-8600</v>
      </c>
      <c r="AK342" s="716">
        <f>IF(OR(status1B5!AL37="",AK$7="No aplica"),0,SUM('BOULEVARD 5'!$K35:AN35)-$AP342)</f>
        <v>-3600</v>
      </c>
      <c r="AL342" s="716">
        <f>IF(OR(status1B5!AM37="",AL$7="No aplica"),0,SUM('BOULEVARD 5'!$K35:AO35)-$AP342)</f>
        <v>1400</v>
      </c>
      <c r="AM342" s="716">
        <f>IF(OR(status1B5!AN37="",AM$7="No aplica"),0,SUM('BOULEVARD 5'!$K35:AP35)-$AP342)</f>
        <v>1400</v>
      </c>
      <c r="AN342" s="716">
        <f>IF(OR(status1B5!AO37="",AN$7="No aplica"),0,SUM('BOULEVARD 5'!$K35:AQ35)-$AP342)</f>
        <v>0</v>
      </c>
      <c r="AO342" s="716">
        <f>IF(OR(status1B5!AP37="",AO$7="No aplica"),0,SUM('BOULEVARD 5'!$K35:AS35)-$AP342)</f>
        <v>0</v>
      </c>
      <c r="AP342" s="717">
        <f>'BOULEVARD PPTO'!BC30</f>
        <v>96600</v>
      </c>
      <c r="AQ342" s="717">
        <f>'BOULEVARD 5'!AT35</f>
        <v>100000</v>
      </c>
      <c r="AR342" s="717">
        <f t="shared" si="38"/>
        <v>3400</v>
      </c>
      <c r="AS342" s="717"/>
      <c r="AT342" s="581"/>
    </row>
    <row r="343" spans="1:47" ht="13.15" customHeight="1" outlineLevel="1" x14ac:dyDescent="0.25">
      <c r="A343" s="700">
        <f t="shared" si="36"/>
        <v>0</v>
      </c>
      <c r="B343" s="708">
        <f t="shared" ref="B343:G343" si="66">B38</f>
        <v>216</v>
      </c>
      <c r="C343" s="564" t="str">
        <f t="shared" si="66"/>
        <v>C1</v>
      </c>
      <c r="D343" s="707" t="str">
        <f t="shared" si="66"/>
        <v>ENGANCHE CANCELADO</v>
      </c>
      <c r="E343" s="564" t="str">
        <f t="shared" si="66"/>
        <v>Antonio Rada</v>
      </c>
      <c r="F343" s="581" t="str">
        <f t="shared" si="66"/>
        <v>Narvesters Gabriell Moreno Cedeño</v>
      </c>
      <c r="G343" s="566">
        <f t="shared" si="66"/>
        <v>45360</v>
      </c>
      <c r="H343" s="716">
        <f>IF(OR(status1B5!I38="",H$7="No aplica"),0,SUM('BOULEVARD 5'!$K36:K36)-$AP343)</f>
        <v>0</v>
      </c>
      <c r="I343" s="716">
        <f>IF(OR(status1B5!J38="",I$7="No aplica"),0,SUM('BOULEVARD 5'!$K36:L36)-$AP343)</f>
        <v>0</v>
      </c>
      <c r="J343" s="716">
        <f>IF(OR(status1B5!K38="",J$7="No aplica"),0,SUM('BOULEVARD 5'!$K36:M36)-$AP343)</f>
        <v>0</v>
      </c>
      <c r="K343" s="716">
        <f>IF(OR(status1B5!L38="",K$7="No aplica"),0,SUM('BOULEVARD 5'!$K36:N36)-$AP343)</f>
        <v>0</v>
      </c>
      <c r="L343" s="716">
        <f>IF(OR(status1B5!M38="",L$7="No aplica"),0,SUM('BOULEVARD 5'!$K36:O36)-$AP343)</f>
        <v>0</v>
      </c>
      <c r="M343" s="716">
        <f>IF(OR(status1B5!N38="",M$7="No aplica"),0,SUM('BOULEVARD 5'!$K36:P36)-$AP343)</f>
        <v>0</v>
      </c>
      <c r="N343" s="716">
        <f>IF(OR(status1B5!O38="",N$7="No aplica"),0,SUM('BOULEVARD 5'!$K36:Q36)-$AP343)</f>
        <v>0</v>
      </c>
      <c r="O343" s="716">
        <f>IF(OR(status1B5!P38="",O$7="No aplica"),0,SUM('BOULEVARD 5'!$K36:R36)-$AP343)</f>
        <v>0</v>
      </c>
      <c r="P343" s="716">
        <f>IF(OR(status1B5!Q38="",P$7="No aplica"),0,SUM('BOULEVARD 5'!$K36:S36)-$AP343)</f>
        <v>0</v>
      </c>
      <c r="Q343" s="716">
        <f>IF(OR(status1B5!R38="",Q$7="No aplica"),0,SUM('BOULEVARD 5'!$K36:T36)-$AP343)</f>
        <v>0</v>
      </c>
      <c r="R343" s="716">
        <f>IF(OR(status1B5!S38="",R$7="No aplica"),0,SUM('BOULEVARD 5'!$K36:U36)-$AP343)</f>
        <v>0</v>
      </c>
      <c r="S343" s="716">
        <f>IF(OR(status1B5!T38="",S$7="No aplica"),0,SUM('BOULEVARD 5'!$K36:V36)-$AP343)</f>
        <v>0</v>
      </c>
      <c r="T343" s="716">
        <f>IF(OR(status1B5!U38="",T$7="No aplica"),0,SUM('BOULEVARD 5'!$K36:W36)-$AP343)</f>
        <v>-90100</v>
      </c>
      <c r="U343" s="716">
        <f>IF(OR(status1B5!V38="",U$7="No aplica"),0,SUM('BOULEVARD 5'!$K36:X36)-$AP343)</f>
        <v>-85094</v>
      </c>
      <c r="V343" s="716">
        <f>IF(OR(status1B5!W38="",V$7="No aplica"),0,SUM('BOULEVARD 5'!$K36:Y36)-$AP343)</f>
        <v>-80088</v>
      </c>
      <c r="W343" s="716">
        <f>IF(OR(status1B5!X38="",W$7="No aplica"),0,SUM('BOULEVARD 5'!$K36:Z36)-$AP343)</f>
        <v>-75082</v>
      </c>
      <c r="X343" s="716">
        <f>IF(OR(status1B5!Y38="",X$7="No aplica"),0,SUM('BOULEVARD 5'!$K36:AA36)-$AP343)</f>
        <v>-65070</v>
      </c>
      <c r="Y343" s="716">
        <f>IF(OR(status1B5!Z38="",Y$7="No aplica"),0,SUM('BOULEVARD 5'!$K36:AB36)-$AP343)</f>
        <v>-50052</v>
      </c>
      <c r="Z343" s="716">
        <f>IF(OR(status1B5!AA38="",Z$7="No aplica"),0,SUM('BOULEVARD 5'!$K36:AC36)-$AP343)</f>
        <v>-30028</v>
      </c>
      <c r="AA343" s="716">
        <f>IF(OR(status1B5!AB38="",AA$7="No aplica"),0,SUM('BOULEVARD 5'!$K36:AD36)-$AP343)</f>
        <v>-4998</v>
      </c>
      <c r="AB343" s="716">
        <f>IF(OR(status1B5!AC38="",AB$7="No aplica"),0,SUM('BOULEVARD 5'!$K36:AE36)-$AP343)</f>
        <v>25002</v>
      </c>
      <c r="AC343" s="716">
        <f>IF(OR(status1B5!AD38="",AC$7="No aplica"),0,SUM('BOULEVARD 5'!$K36:AF36)-$AP343)</f>
        <v>60002</v>
      </c>
      <c r="AD343" s="716">
        <f>IF(OR(status1B5!AE38="",AD$7="No aplica"),0,SUM('BOULEVARD 5'!$K36:AG36)-$AP343)</f>
        <v>100002</v>
      </c>
      <c r="AE343" s="716">
        <f>IF(OR(status1B5!AF38="",AE$7="No aplica"),0,SUM('BOULEVARD 5'!$K36:AH36)-$AP343)</f>
        <v>140002</v>
      </c>
      <c r="AF343" s="716">
        <f>IF(OR(status1B5!AG38="",AF$7="No aplica"),0,SUM('BOULEVARD 5'!$K36:AI36)-$AP343)</f>
        <v>180002</v>
      </c>
      <c r="AG343" s="716">
        <f>IF(OR(status1B5!AH38="",AG$7="No aplica"),0,SUM('BOULEVARD 5'!$K36:AJ36)-$AP343)</f>
        <v>230002</v>
      </c>
      <c r="AH343" s="716">
        <f>IF(OR(status1B5!AI38="",AH$7="No aplica"),0,SUM('BOULEVARD 5'!$K36:AK36)-$AP343)</f>
        <v>280002</v>
      </c>
      <c r="AI343" s="716">
        <f>IF(OR(status1B5!AJ38="",AI$7="No aplica"),0,SUM('BOULEVARD 5'!$K36:AL36)-$AP343)</f>
        <v>330002</v>
      </c>
      <c r="AJ343" s="716">
        <f>IF(OR(status1B5!AK38="",AJ$7="No aplica"),0,SUM('BOULEVARD 5'!$K36:AM36)-$AP343)</f>
        <v>382002</v>
      </c>
      <c r="AK343" s="716">
        <f>IF(OR(status1B5!AL38="",AK$7="No aplica"),0,SUM('BOULEVARD 5'!$K36:AN36)-$AP343)</f>
        <v>442002</v>
      </c>
      <c r="AL343" s="716">
        <f>IF(OR(status1B5!AM38="",AL$7="No aplica"),0,SUM('BOULEVARD 5'!$K36:AO36)-$AP343)</f>
        <v>486002</v>
      </c>
      <c r="AM343" s="716">
        <f>IF(OR(status1B5!AN38="",AM$7="No aplica"),0,SUM('BOULEVARD 5'!$K36:AP36)-$AP343)</f>
        <v>531002</v>
      </c>
      <c r="AN343" s="716">
        <f>IF(OR(status1B5!AO38="",AN$7="No aplica"),0,SUM('BOULEVARD 5'!$K36:AQ36)-$AP343)</f>
        <v>0</v>
      </c>
      <c r="AO343" s="716">
        <f>IF(OR(status1B5!AP38="",AO$7="No aplica"),0,SUM('BOULEVARD 5'!$K36:AS36)-$AP343)</f>
        <v>0</v>
      </c>
      <c r="AP343" s="717">
        <f>'BOULEVARD PPTO'!BC31</f>
        <v>98100</v>
      </c>
      <c r="AQ343" s="717">
        <f>'BOULEVARD 5'!AT36</f>
        <v>780700</v>
      </c>
      <c r="AR343" s="717">
        <f t="shared" si="38"/>
        <v>682600</v>
      </c>
      <c r="AS343" s="717"/>
      <c r="AT343" s="581"/>
    </row>
    <row r="344" spans="1:47" ht="13.15" customHeight="1" outlineLevel="1" x14ac:dyDescent="0.25">
      <c r="A344" s="700">
        <f t="shared" si="36"/>
        <v>0</v>
      </c>
      <c r="B344" s="564">
        <f t="shared" ref="B344:G344" si="67">B39</f>
        <v>301</v>
      </c>
      <c r="C344" s="564" t="str">
        <f t="shared" si="67"/>
        <v>C3</v>
      </c>
      <c r="D344" s="564">
        <f t="shared" si="67"/>
        <v>0</v>
      </c>
      <c r="E344" s="564" t="str">
        <f t="shared" si="67"/>
        <v>Antonio Rada</v>
      </c>
      <c r="F344" s="581" t="str">
        <f t="shared" si="67"/>
        <v>Jonathan Kiril Thomas Menkos</v>
      </c>
      <c r="G344" s="566">
        <f t="shared" si="67"/>
        <v>45494</v>
      </c>
      <c r="H344" s="716">
        <f>IF(OR(status1B5!I39="",H$7="No aplica"),0,SUM('BOULEVARD 5'!$K37:K37)-$AP344)</f>
        <v>0</v>
      </c>
      <c r="I344" s="716">
        <f>IF(OR(status1B5!J39="",I$7="No aplica"),0,SUM('BOULEVARD 5'!$K37:L37)-$AP344)</f>
        <v>0</v>
      </c>
      <c r="J344" s="716">
        <f>IF(OR(status1B5!K39="",J$7="No aplica"),0,SUM('BOULEVARD 5'!$K37:M37)-$AP344)</f>
        <v>0</v>
      </c>
      <c r="K344" s="716">
        <f>IF(OR(status1B5!L39="",K$7="No aplica"),0,SUM('BOULEVARD 5'!$K37:N37)-$AP344)</f>
        <v>0</v>
      </c>
      <c r="L344" s="716">
        <f>IF(OR(status1B5!M39="",L$7="No aplica"),0,SUM('BOULEVARD 5'!$K37:O37)-$AP344)</f>
        <v>0</v>
      </c>
      <c r="M344" s="716">
        <f>IF(OR(status1B5!N39="",M$7="No aplica"),0,SUM('BOULEVARD 5'!$K37:P37)-$AP344)</f>
        <v>0</v>
      </c>
      <c r="N344" s="716">
        <f>IF(OR(status1B5!O39="",N$7="No aplica"),0,SUM('BOULEVARD 5'!$K37:Q37)-$AP344)</f>
        <v>0</v>
      </c>
      <c r="O344" s="716">
        <f>IF(OR(status1B5!P39="",O$7="No aplica"),0,SUM('BOULEVARD 5'!$K37:R37)-$AP344)</f>
        <v>0</v>
      </c>
      <c r="P344" s="716">
        <f>IF(OR(status1B5!Q39="",P$7="No aplica"),0,SUM('BOULEVARD 5'!$K37:S37)-$AP344)</f>
        <v>0</v>
      </c>
      <c r="Q344" s="716">
        <f>IF(OR(status1B5!R39="",Q$7="No aplica"),0,SUM('BOULEVARD 5'!$K37:T37)-$AP344)</f>
        <v>0</v>
      </c>
      <c r="R344" s="716">
        <f>IF(OR(status1B5!S39="",R$7="No aplica"),0,SUM('BOULEVARD 5'!$K37:U37)-$AP344)</f>
        <v>0</v>
      </c>
      <c r="S344" s="716">
        <f>IF(OR(status1B5!T39="",S$7="No aplica"),0,SUM('BOULEVARD 5'!$K37:V37)-$AP344)</f>
        <v>0</v>
      </c>
      <c r="T344" s="716">
        <f>IF(OR(status1B5!U39="",T$7="No aplica"),0,SUM('BOULEVARD 5'!$K37:W37)-$AP344)</f>
        <v>0</v>
      </c>
      <c r="U344" s="716">
        <f>IF(OR(status1B5!V39="",U$7="No aplica"),0,SUM('BOULEVARD 5'!$K37:X37)-$AP344)</f>
        <v>0</v>
      </c>
      <c r="V344" s="716">
        <f>IF(OR(status1B5!W39="",V$7="No aplica"),0,SUM('BOULEVARD 5'!$K37:Y37)-$AP344)</f>
        <v>0</v>
      </c>
      <c r="W344" s="716">
        <f>IF(OR(status1B5!X39="",W$7="No aplica"),0,SUM('BOULEVARD 5'!$K37:Z37)-$AP344)</f>
        <v>0</v>
      </c>
      <c r="X344" s="716">
        <f>IF(OR(status1B5!Y39="",X$7="No aplica"),0,SUM('BOULEVARD 5'!$K37:AA37)-$AP344)</f>
        <v>-117300</v>
      </c>
      <c r="Y344" s="716">
        <f>IF(OR(status1B5!Z39="",Y$7="No aplica"),0,SUM('BOULEVARD 5'!$K37:AB37)-$AP344)</f>
        <v>-103500</v>
      </c>
      <c r="Z344" s="716">
        <f>IF(OR(status1B5!AA39="",Z$7="No aplica"),0,SUM('BOULEVARD 5'!$K37:AC37)-$AP344)</f>
        <v>-96600</v>
      </c>
      <c r="AA344" s="716">
        <f>IF(OR(status1B5!AB39="",AA$7="No aplica"),0,SUM('BOULEVARD 5'!$K37:AD37)-$AP344)</f>
        <v>-96600</v>
      </c>
      <c r="AB344" s="716">
        <f>IF(OR(status1B5!AC39="",AB$7="No aplica"),0,SUM('BOULEVARD 5'!$K37:AE37)-$AP344)</f>
        <v>-89700</v>
      </c>
      <c r="AC344" s="716">
        <f>IF(OR(status1B5!AD39="",AC$7="No aplica"),0,SUM('BOULEVARD 5'!$K37:AF37)-$AP344)</f>
        <v>-82800</v>
      </c>
      <c r="AD344" s="716">
        <f>IF(OR(status1B5!AE39="",AD$7="No aplica"),0,SUM('BOULEVARD 5'!$K37:AG37)-$AP344)</f>
        <v>-75900</v>
      </c>
      <c r="AE344" s="716">
        <f>IF(OR(status1B5!AF39="",AE$7="No aplica"),0,SUM('BOULEVARD 5'!$K37:AH37)-$AP344)</f>
        <v>-69000</v>
      </c>
      <c r="AF344" s="716">
        <f>IF(OR(status1B5!AG39="",AF$7="No aplica"),0,SUM('BOULEVARD 5'!$K37:AI37)-$AP344)</f>
        <v>-62100</v>
      </c>
      <c r="AG344" s="716">
        <f>IF(OR(status1B5!AH39="",AG$7="No aplica"),0,SUM('BOULEVARD 5'!$K37:AJ37)-$AP344)</f>
        <v>-55200</v>
      </c>
      <c r="AH344" s="716">
        <f>IF(OR(status1B5!AI39="",AH$7="No aplica"),0,SUM('BOULEVARD 5'!$K37:AK37)-$AP344)</f>
        <v>-48300</v>
      </c>
      <c r="AI344" s="716">
        <f>IF(OR(status1B5!AJ39="",AI$7="No aplica"),0,SUM('BOULEVARD 5'!$K37:AL37)-$AP344)</f>
        <v>-41400</v>
      </c>
      <c r="AJ344" s="716">
        <f>IF(OR(status1B5!AK39="",AJ$7="No aplica"),0,SUM('BOULEVARD 5'!$K37:AM37)-$AP344)</f>
        <v>-34500</v>
      </c>
      <c r="AK344" s="716">
        <f>IF(OR(status1B5!AL39="",AK$7="No aplica"),0,SUM('BOULEVARD 5'!$K37:AN37)-$AP344)</f>
        <v>-27600</v>
      </c>
      <c r="AL344" s="716">
        <f>IF(OR(status1B5!AM39="",AL$7="No aplica"),0,SUM('BOULEVARD 5'!$K37:AO37)-$AP344)</f>
        <v>-20700</v>
      </c>
      <c r="AM344" s="716">
        <f>IF(OR(status1B5!AN39="",AM$7="No aplica"),0,SUM('BOULEVARD 5'!$K37:AP37)-$AP344)</f>
        <v>-13800</v>
      </c>
      <c r="AN344" s="716">
        <f>IF(OR(status1B5!AO39="",AN$7="No aplica"),0,SUM('BOULEVARD 5'!$K37:AQ37)-$AP344)</f>
        <v>0</v>
      </c>
      <c r="AO344" s="716">
        <f>IF(OR(status1B5!AP39="",AO$7="No aplica"),0,SUM('BOULEVARD 5'!$K37:AS37)-$AP344)</f>
        <v>0</v>
      </c>
      <c r="AP344" s="717">
        <f>'BOULEVARD PPTO'!BC32</f>
        <v>127300</v>
      </c>
      <c r="AQ344" s="717">
        <f>'BOULEVARD 5'!AT37</f>
        <v>127300</v>
      </c>
      <c r="AR344" s="717">
        <f t="shared" si="38"/>
        <v>0</v>
      </c>
      <c r="AS344" s="717"/>
      <c r="AT344" s="581"/>
    </row>
    <row r="345" spans="1:47" ht="13.15" customHeight="1" outlineLevel="1" x14ac:dyDescent="0.25">
      <c r="A345" s="700">
        <f t="shared" si="36"/>
        <v>0</v>
      </c>
      <c r="B345" s="564">
        <f t="shared" ref="B345:G345" si="68">B40</f>
        <v>302</v>
      </c>
      <c r="C345" s="564" t="str">
        <f t="shared" si="68"/>
        <v>C2</v>
      </c>
      <c r="D345" s="564">
        <f t="shared" si="68"/>
        <v>0</v>
      </c>
      <c r="E345" s="564" t="str">
        <f t="shared" si="68"/>
        <v>Anahí Cisneros</v>
      </c>
      <c r="F345" s="581" t="str">
        <f t="shared" si="68"/>
        <v>José Ignacio Ramírez Soto</v>
      </c>
      <c r="G345" s="566">
        <f t="shared" si="68"/>
        <v>45898</v>
      </c>
      <c r="H345" s="716">
        <f>IF(OR(status1B5!I40="",H$7="No aplica"),0,SUM('BOULEVARD 5'!$K38:K38)-$AP345)</f>
        <v>0</v>
      </c>
      <c r="I345" s="716">
        <f>IF(OR(status1B5!J40="",I$7="No aplica"),0,SUM('BOULEVARD 5'!$K38:L38)-$AP345)</f>
        <v>0</v>
      </c>
      <c r="J345" s="716">
        <f>IF(OR(status1B5!K40="",J$7="No aplica"),0,SUM('BOULEVARD 5'!$K38:M38)-$AP345)</f>
        <v>0</v>
      </c>
      <c r="K345" s="716">
        <f>IF(OR(status1B5!L40="",K$7="No aplica"),0,SUM('BOULEVARD 5'!$K38:N38)-$AP345)</f>
        <v>0</v>
      </c>
      <c r="L345" s="716">
        <f>IF(OR(status1B5!M40="",L$7="No aplica"),0,SUM('BOULEVARD 5'!$K38:O38)-$AP345)</f>
        <v>0</v>
      </c>
      <c r="M345" s="716">
        <f>IF(OR(status1B5!N40="",M$7="No aplica"),0,SUM('BOULEVARD 5'!$K38:P38)-$AP345)</f>
        <v>0</v>
      </c>
      <c r="N345" s="716">
        <f>IF(OR(status1B5!O40="",N$7="No aplica"),0,SUM('BOULEVARD 5'!$K38:Q38)-$AP345)</f>
        <v>0</v>
      </c>
      <c r="O345" s="716">
        <f>IF(OR(status1B5!P40="",O$7="No aplica"),0,SUM('BOULEVARD 5'!$K38:R38)-$AP345)</f>
        <v>0</v>
      </c>
      <c r="P345" s="716">
        <f>IF(OR(status1B5!Q40="",P$7="No aplica"),0,SUM('BOULEVARD 5'!$K38:S38)-$AP345)</f>
        <v>0</v>
      </c>
      <c r="Q345" s="716">
        <f>IF(OR(status1B5!R40="",Q$7="No aplica"),0,SUM('BOULEVARD 5'!$K38:T38)-$AP345)</f>
        <v>0</v>
      </c>
      <c r="R345" s="716">
        <f>IF(OR(status1B5!S40="",R$7="No aplica"),0,SUM('BOULEVARD 5'!$K38:U38)-$AP345)</f>
        <v>0</v>
      </c>
      <c r="S345" s="716">
        <f>IF(OR(status1B5!T40="",S$7="No aplica"),0,SUM('BOULEVARD 5'!$K38:V38)-$AP345)</f>
        <v>0</v>
      </c>
      <c r="T345" s="716">
        <f>IF(OR(status1B5!U40="",T$7="No aplica"),0,SUM('BOULEVARD 5'!$K38:W38)-$AP345)</f>
        <v>0</v>
      </c>
      <c r="U345" s="716">
        <f>IF(OR(status1B5!V40="",U$7="No aplica"),0,SUM('BOULEVARD 5'!$K38:X38)-$AP345)</f>
        <v>0</v>
      </c>
      <c r="V345" s="716">
        <f>IF(OR(status1B5!W40="",V$7="No aplica"),0,SUM('BOULEVARD 5'!$K38:Y38)-$AP345)</f>
        <v>0</v>
      </c>
      <c r="W345" s="716">
        <f>IF(OR(status1B5!X40="",W$7="No aplica"),0,SUM('BOULEVARD 5'!$K38:Z38)-$AP345)</f>
        <v>0</v>
      </c>
      <c r="X345" s="716">
        <f>IF(OR(status1B5!Y40="",X$7="No aplica"),0,SUM('BOULEVARD 5'!$K38:AA38)-$AP345)</f>
        <v>0</v>
      </c>
      <c r="Y345" s="716">
        <f>IF(OR(status1B5!Z40="",Y$7="No aplica"),0,SUM('BOULEVARD 5'!$K38:AB38)-$AP345)</f>
        <v>0</v>
      </c>
      <c r="Z345" s="716">
        <f>IF(OR(status1B5!AA40="",Z$7="No aplica"),0,SUM('BOULEVARD 5'!$K38:AC38)-$AP345)</f>
        <v>0</v>
      </c>
      <c r="AA345" s="716">
        <f>IF(OR(status1B5!AB40="",AA$7="No aplica"),0,SUM('BOULEVARD 5'!$K38:AD38)-$AP345)</f>
        <v>0</v>
      </c>
      <c r="AB345" s="716">
        <f>IF(OR(status1B5!AC40="",AB$7="No aplica"),0,SUM('BOULEVARD 5'!$K38:AE38)-$AP345)</f>
        <v>0</v>
      </c>
      <c r="AC345" s="716">
        <f>IF(OR(status1B5!AD40="",AC$7="No aplica"),0,SUM('BOULEVARD 5'!$K38:AF38)-$AP345)</f>
        <v>0</v>
      </c>
      <c r="AD345" s="716">
        <f>IF(OR(status1B5!AE40="",AD$7="No aplica"),0,SUM('BOULEVARD 5'!$K38:AG38)-$AP345)</f>
        <v>0</v>
      </c>
      <c r="AE345" s="716">
        <f>IF(OR(status1B5!AF40="",AE$7="No aplica"),0,SUM('BOULEVARD 5'!$K38:AH38)-$AP345)</f>
        <v>0</v>
      </c>
      <c r="AF345" s="716">
        <f>IF(OR(status1B5!AG40="",AF$7="No aplica"),0,SUM('BOULEVARD 5'!$K38:AI38)-$AP345)</f>
        <v>0</v>
      </c>
      <c r="AG345" s="716">
        <f>IF(OR(status1B5!AH40="",AG$7="No aplica"),0,SUM('BOULEVARD 5'!$K38:AJ38)-$AP345)</f>
        <v>0</v>
      </c>
      <c r="AH345" s="716">
        <f>IF(OR(status1B5!AI40="",AH$7="No aplica"),0,SUM('BOULEVARD 5'!$K38:AK38)-$AP345)</f>
        <v>0</v>
      </c>
      <c r="AI345" s="716">
        <f>IF(OR(status1B5!AJ40="",AI$7="No aplica"),0,SUM('BOULEVARD 5'!$K38:AL38)-$AP345)</f>
        <v>0</v>
      </c>
      <c r="AJ345" s="716">
        <f>IF(OR(status1B5!AK40="",AJ$7="No aplica"),0,SUM('BOULEVARD 5'!$K38:AM38)-$AP345)</f>
        <v>0</v>
      </c>
      <c r="AK345" s="716">
        <f>IF(OR(status1B5!AL40="",AK$7="No aplica"),0,SUM('BOULEVARD 5'!$K38:AN38)-$AP345)</f>
        <v>10000</v>
      </c>
      <c r="AL345" s="716">
        <f>IF(OR(status1B5!AM40="",AL$7="No aplica"),0,SUM('BOULEVARD 5'!$K38:AO38)-$AP345)</f>
        <v>19200</v>
      </c>
      <c r="AM345" s="716">
        <f>IF(OR(status1B5!AN40="",AM$7="No aplica"),0,SUM('BOULEVARD 5'!$K38:AP38)-$AP345)</f>
        <v>28400</v>
      </c>
      <c r="AN345" s="716">
        <f>IF(OR(status1B5!AO40="",AN$7="No aplica"),0,SUM('BOULEVARD 5'!$K38:AQ38)-$AP345)</f>
        <v>0</v>
      </c>
      <c r="AO345" s="716">
        <f>IF(OR(status1B5!AP40="",AO$7="No aplica"),0,SUM('BOULEVARD 5'!$K38:AS38)-$AP345)</f>
        <v>0</v>
      </c>
      <c r="AP345" s="717">
        <f>'BOULEVARD PPTO'!BC33</f>
        <v>0</v>
      </c>
      <c r="AQ345" s="717">
        <f>'BOULEVARD 5'!AT38</f>
        <v>46800</v>
      </c>
      <c r="AR345" s="717">
        <f t="shared" si="38"/>
        <v>46800</v>
      </c>
      <c r="AS345" s="717"/>
      <c r="AT345" s="581"/>
    </row>
    <row r="346" spans="1:47" ht="13.15" customHeight="1" outlineLevel="1" x14ac:dyDescent="0.25">
      <c r="A346" s="700">
        <f t="shared" si="36"/>
        <v>0</v>
      </c>
      <c r="B346" s="564">
        <f t="shared" ref="B346:G346" si="69">B41</f>
        <v>303</v>
      </c>
      <c r="C346" s="564" t="str">
        <f t="shared" si="69"/>
        <v>A6</v>
      </c>
      <c r="D346" s="564">
        <f t="shared" si="69"/>
        <v>0</v>
      </c>
      <c r="E346" s="564" t="str">
        <f t="shared" si="69"/>
        <v>Erwin Cardona</v>
      </c>
      <c r="F346" s="581" t="str">
        <f t="shared" si="69"/>
        <v>Pedro Antonio Gomar Chávez</v>
      </c>
      <c r="G346" s="566" t="str">
        <f t="shared" si="69"/>
        <v>27/11/205</v>
      </c>
      <c r="H346" s="716">
        <f>IF(OR(status1B5!I41="",H$7="No aplica"),0,SUM('BOULEVARD 5'!$K39:K39)-$AP346)</f>
        <v>0</v>
      </c>
      <c r="I346" s="716">
        <f>IF(OR(status1B5!J41="",I$7="No aplica"),0,SUM('BOULEVARD 5'!$K39:L39)-$AP346)</f>
        <v>0</v>
      </c>
      <c r="J346" s="716">
        <f>IF(OR(status1B5!K41="",J$7="No aplica"),0,SUM('BOULEVARD 5'!$K39:M39)-$AP346)</f>
        <v>0</v>
      </c>
      <c r="K346" s="716">
        <f>IF(OR(status1B5!L41="",K$7="No aplica"),0,SUM('BOULEVARD 5'!$K39:N39)-$AP346)</f>
        <v>0</v>
      </c>
      <c r="L346" s="716">
        <f>IF(OR(status1B5!M41="",L$7="No aplica"),0,SUM('BOULEVARD 5'!$K39:O39)-$AP346)</f>
        <v>0</v>
      </c>
      <c r="M346" s="716">
        <f>IF(OR(status1B5!N41="",M$7="No aplica"),0,SUM('BOULEVARD 5'!$K39:P39)-$AP346)</f>
        <v>0</v>
      </c>
      <c r="N346" s="716">
        <f>IF(OR(status1B5!O41="",N$7="No aplica"),0,SUM('BOULEVARD 5'!$K39:Q39)-$AP346)</f>
        <v>0</v>
      </c>
      <c r="O346" s="716">
        <f>IF(OR(status1B5!P41="",O$7="No aplica"),0,SUM('BOULEVARD 5'!$K39:R39)-$AP346)</f>
        <v>0</v>
      </c>
      <c r="P346" s="716">
        <f>IF(OR(status1B5!Q41="",P$7="No aplica"),0,SUM('BOULEVARD 5'!$K39:S39)-$AP346)</f>
        <v>0</v>
      </c>
      <c r="Q346" s="716">
        <f>IF(OR(status1B5!R41="",Q$7="No aplica"),0,SUM('BOULEVARD 5'!$K39:T39)-$AP346)</f>
        <v>0</v>
      </c>
      <c r="R346" s="716">
        <f>IF(OR(status1B5!S41="",R$7="No aplica"),0,SUM('BOULEVARD 5'!$K39:U39)-$AP346)</f>
        <v>0</v>
      </c>
      <c r="S346" s="716">
        <f>IF(OR(status1B5!T41="",S$7="No aplica"),0,SUM('BOULEVARD 5'!$K39:V39)-$AP346)</f>
        <v>0</v>
      </c>
      <c r="T346" s="716">
        <f>IF(OR(status1B5!U41="",T$7="No aplica"),0,SUM('BOULEVARD 5'!$K39:W39)-$AP346)</f>
        <v>0</v>
      </c>
      <c r="U346" s="716">
        <f>IF(OR(status1B5!V41="",U$7="No aplica"),0,SUM('BOULEVARD 5'!$K39:X39)-$AP346)</f>
        <v>0</v>
      </c>
      <c r="V346" s="716">
        <f>IF(OR(status1B5!W41="",V$7="No aplica"),0,SUM('BOULEVARD 5'!$K39:Y39)-$AP346)</f>
        <v>0</v>
      </c>
      <c r="W346" s="716">
        <f>IF(OR(status1B5!X41="",W$7="No aplica"),0,SUM('BOULEVARD 5'!$K39:Z39)-$AP346)</f>
        <v>0</v>
      </c>
      <c r="X346" s="716">
        <f>IF(OR(status1B5!Y41="",X$7="No aplica"),0,SUM('BOULEVARD 5'!$K39:AA39)-$AP346)</f>
        <v>0</v>
      </c>
      <c r="Y346" s="716">
        <f>IF(OR(status1B5!Z41="",Y$7="No aplica"),0,SUM('BOULEVARD 5'!$K39:AB39)-$AP346)</f>
        <v>0</v>
      </c>
      <c r="Z346" s="716">
        <f>IF(OR(status1B5!AA41="",Z$7="No aplica"),0,SUM('BOULEVARD 5'!$K39:AC39)-$AP346)</f>
        <v>0</v>
      </c>
      <c r="AA346" s="716">
        <f>IF(OR(status1B5!AB41="",AA$7="No aplica"),0,SUM('BOULEVARD 5'!$K39:AD39)-$AP346)</f>
        <v>0</v>
      </c>
      <c r="AB346" s="716">
        <f>IF(OR(status1B5!AC41="",AB$7="No aplica"),0,SUM('BOULEVARD 5'!$K39:AE39)-$AP346)</f>
        <v>0</v>
      </c>
      <c r="AC346" s="716">
        <f>IF(OR(status1B5!AD41="",AC$7="No aplica"),0,SUM('BOULEVARD 5'!$K39:AF39)-$AP346)</f>
        <v>0</v>
      </c>
      <c r="AD346" s="716">
        <f>IF(OR(status1B5!AE41="",AD$7="No aplica"),0,SUM('BOULEVARD 5'!$K39:AG39)-$AP346)</f>
        <v>0</v>
      </c>
      <c r="AE346" s="716">
        <f>IF(OR(status1B5!AF41="",AE$7="No aplica"),0,SUM('BOULEVARD 5'!$K39:AH39)-$AP346)</f>
        <v>0</v>
      </c>
      <c r="AF346" s="716">
        <f>IF(OR(status1B5!AG41="",AF$7="No aplica"),0,SUM('BOULEVARD 5'!$K39:AI39)-$AP346)</f>
        <v>0</v>
      </c>
      <c r="AG346" s="716">
        <f>IF(OR(status1B5!AH41="",AG$7="No aplica"),0,SUM('BOULEVARD 5'!$K39:AJ39)-$AP346)</f>
        <v>0</v>
      </c>
      <c r="AH346" s="716">
        <f>IF(OR(status1B5!AI41="",AH$7="No aplica"),0,SUM('BOULEVARD 5'!$K39:AK39)-$AP346)</f>
        <v>0</v>
      </c>
      <c r="AI346" s="716">
        <f>IF(OR(status1B5!AJ41="",AI$7="No aplica"),0,SUM('BOULEVARD 5'!$K39:AL39)-$AP346)</f>
        <v>0</v>
      </c>
      <c r="AJ346" s="716">
        <f>IF(OR(status1B5!AK41="",AJ$7="No aplica"),0,SUM('BOULEVARD 5'!$K39:AM39)-$AP346)</f>
        <v>0</v>
      </c>
      <c r="AK346" s="716">
        <f>IF(OR(status1B5!AL41="",AK$7="No aplica"),0,SUM('BOULEVARD 5'!$K39:AN39)-$AP346)</f>
        <v>0</v>
      </c>
      <c r="AL346" s="716">
        <f>IF(OR(status1B5!AM41="",AL$7="No aplica"),0,SUM('BOULEVARD 5'!$K39:AO39)-$AP346)</f>
        <v>0</v>
      </c>
      <c r="AM346" s="716">
        <f>IF(OR(status1B5!AN41="",AM$7="No aplica"),0,SUM('BOULEVARD 5'!$K39:AP39)-$AP346)</f>
        <v>0</v>
      </c>
      <c r="AN346" s="716">
        <f>IF(OR(status1B5!AO41="",AN$7="No aplica"),0,SUM('BOULEVARD 5'!$K39:AQ39)-$AP346)</f>
        <v>0</v>
      </c>
      <c r="AO346" s="716">
        <f>IF(OR(status1B5!AP41="",AO$7="No aplica"),0,SUM('BOULEVARD 5'!$K39:AS39)-$AP346)</f>
        <v>0</v>
      </c>
      <c r="AP346" s="717">
        <f>'BOULEVARD PPTO'!BC34</f>
        <v>0</v>
      </c>
      <c r="AQ346" s="717">
        <f>'BOULEVARD 5'!AT39</f>
        <v>0</v>
      </c>
      <c r="AR346" s="717">
        <f t="shared" si="38"/>
        <v>0</v>
      </c>
      <c r="AS346" s="717"/>
      <c r="AT346" s="581"/>
    </row>
    <row r="347" spans="1:47" ht="13.15" customHeight="1" outlineLevel="1" x14ac:dyDescent="0.25">
      <c r="A347" s="700">
        <f t="shared" si="36"/>
        <v>0</v>
      </c>
      <c r="B347" s="564">
        <f t="shared" ref="B347:G347" si="70">B42</f>
        <v>304</v>
      </c>
      <c r="C347" s="564" t="str">
        <f t="shared" si="70"/>
        <v>A3</v>
      </c>
      <c r="D347" s="564">
        <f t="shared" si="70"/>
        <v>0</v>
      </c>
      <c r="E347" s="564" t="str">
        <f t="shared" si="70"/>
        <v>Antonio Rada</v>
      </c>
      <c r="F347" s="581" t="str">
        <f t="shared" si="70"/>
        <v>Ricardo Alberto Vásquez Monterroso</v>
      </c>
      <c r="G347" s="566">
        <f t="shared" si="70"/>
        <v>45719</v>
      </c>
      <c r="H347" s="716">
        <f>IF(OR(status1B5!I42="",H$7="No aplica"),0,SUM('BOULEVARD 5'!$K40:K40)-$AP347)</f>
        <v>0</v>
      </c>
      <c r="I347" s="716">
        <f>IF(OR(status1B5!J42="",I$7="No aplica"),0,SUM('BOULEVARD 5'!$K40:L40)-$AP347)</f>
        <v>0</v>
      </c>
      <c r="J347" s="716">
        <f>IF(OR(status1B5!K42="",J$7="No aplica"),0,SUM('BOULEVARD 5'!$K40:M40)-$AP347)</f>
        <v>0</v>
      </c>
      <c r="K347" s="716">
        <f>IF(OR(status1B5!L42="",K$7="No aplica"),0,SUM('BOULEVARD 5'!$K40:N40)-$AP347)</f>
        <v>0</v>
      </c>
      <c r="L347" s="716">
        <f>IF(OR(status1B5!M42="",L$7="No aplica"),0,SUM('BOULEVARD 5'!$K40:O40)-$AP347)</f>
        <v>0</v>
      </c>
      <c r="M347" s="716">
        <f>IF(OR(status1B5!N42="",M$7="No aplica"),0,SUM('BOULEVARD 5'!$K40:P40)-$AP347)</f>
        <v>0</v>
      </c>
      <c r="N347" s="716">
        <f>IF(OR(status1B5!O42="",N$7="No aplica"),0,SUM('BOULEVARD 5'!$K40:Q40)-$AP347)</f>
        <v>0</v>
      </c>
      <c r="O347" s="716">
        <f>IF(OR(status1B5!P42="",O$7="No aplica"),0,SUM('BOULEVARD 5'!$K40:R40)-$AP347)</f>
        <v>0</v>
      </c>
      <c r="P347" s="716">
        <f>IF(OR(status1B5!Q42="",P$7="No aplica"),0,SUM('BOULEVARD 5'!$K40:S40)-$AP347)</f>
        <v>0</v>
      </c>
      <c r="Q347" s="716">
        <f>IF(OR(status1B5!R42="",Q$7="No aplica"),0,SUM('BOULEVARD 5'!$K40:T40)-$AP347)</f>
        <v>0</v>
      </c>
      <c r="R347" s="716">
        <f>IF(OR(status1B5!S42="",R$7="No aplica"),0,SUM('BOULEVARD 5'!$K40:U40)-$AP347)</f>
        <v>0</v>
      </c>
      <c r="S347" s="716">
        <f>IF(OR(status1B5!T42="",S$7="No aplica"),0,SUM('BOULEVARD 5'!$K40:V40)-$AP347)</f>
        <v>0</v>
      </c>
      <c r="T347" s="716">
        <f>IF(OR(status1B5!U42="",T$7="No aplica"),0,SUM('BOULEVARD 5'!$K40:W40)-$AP347)</f>
        <v>0</v>
      </c>
      <c r="U347" s="716">
        <f>IF(OR(status1B5!V42="",U$7="No aplica"),0,SUM('BOULEVARD 5'!$K40:X40)-$AP347)</f>
        <v>0</v>
      </c>
      <c r="V347" s="716">
        <f>IF(OR(status1B5!W42="",V$7="No aplica"),0,SUM('BOULEVARD 5'!$K40:Y40)-$AP347)</f>
        <v>0</v>
      </c>
      <c r="W347" s="716">
        <f>IF(OR(status1B5!X42="",W$7="No aplica"),0,SUM('BOULEVARD 5'!$K40:Z40)-$AP347)</f>
        <v>0</v>
      </c>
      <c r="X347" s="716">
        <f>IF(OR(status1B5!Y42="",X$7="No aplica"),0,SUM('BOULEVARD 5'!$K40:AA40)-$AP347)</f>
        <v>0</v>
      </c>
      <c r="Y347" s="716">
        <f>IF(OR(status1B5!Z42="",Y$7="No aplica"),0,SUM('BOULEVARD 5'!$K40:AB40)-$AP347)</f>
        <v>0</v>
      </c>
      <c r="Z347" s="716">
        <f>IF(OR(status1B5!AA42="",Z$7="No aplica"),0,SUM('BOULEVARD 5'!$K40:AC40)-$AP347)</f>
        <v>0</v>
      </c>
      <c r="AA347" s="716">
        <f>IF(OR(status1B5!AB42="",AA$7="No aplica"),0,SUM('BOULEVARD 5'!$K40:AD40)-$AP347)</f>
        <v>0</v>
      </c>
      <c r="AB347" s="716">
        <f>IF(OR(status1B5!AC42="",AB$7="No aplica"),0,SUM('BOULEVARD 5'!$K40:AE40)-$AP347)</f>
        <v>0</v>
      </c>
      <c r="AC347" s="716">
        <f>IF(OR(status1B5!AD42="",AC$7="No aplica"),0,SUM('BOULEVARD 5'!$K40:AF40)-$AP347)</f>
        <v>0</v>
      </c>
      <c r="AD347" s="716">
        <f>IF(OR(status1B5!AE42="",AD$7="No aplica"),0,SUM('BOULEVARD 5'!$K40:AG40)-$AP347)</f>
        <v>0</v>
      </c>
      <c r="AE347" s="716">
        <f>IF(OR(status1B5!AF42="",AE$7="No aplica"),0,SUM('BOULEVARD 5'!$K40:AH40)-$AP347)</f>
        <v>0</v>
      </c>
      <c r="AF347" s="716">
        <f>IF(OR(status1B5!AG42="",AF$7="No aplica"),0,SUM('BOULEVARD 5'!$K40:AI40)-$AP347)</f>
        <v>-73415.199999999997</v>
      </c>
      <c r="AG347" s="716">
        <f>IF(OR(status1B5!AH42="",AG$7="No aplica"),0,SUM('BOULEVARD 5'!$K40:AJ40)-$AP347)</f>
        <v>-68171.199999999997</v>
      </c>
      <c r="AH347" s="716">
        <f>IF(OR(status1B5!AI42="",AH$7="No aplica"),0,SUM('BOULEVARD 5'!$K40:AK40)-$AP347)</f>
        <v>-62927.199999999997</v>
      </c>
      <c r="AI347" s="716">
        <f>IF(OR(status1B5!AJ42="",AI$7="No aplica"),0,SUM('BOULEVARD 5'!$K40:AL40)-$AP347)</f>
        <v>-57683.199999999997</v>
      </c>
      <c r="AJ347" s="716">
        <f>IF(OR(status1B5!AK42="",AJ$7="No aplica"),0,SUM('BOULEVARD 5'!$K40:AM40)-$AP347)</f>
        <v>-52439.199999999997</v>
      </c>
      <c r="AK347" s="716">
        <f>IF(OR(status1B5!AL42="",AK$7="No aplica"),0,SUM('BOULEVARD 5'!$K40:AN40)-$AP347)</f>
        <v>-47195.199999999997</v>
      </c>
      <c r="AL347" s="716">
        <f>IF(OR(status1B5!AM42="",AL$7="No aplica"),0,SUM('BOULEVARD 5'!$K40:AO40)-$AP347)</f>
        <v>-41951.199999999997</v>
      </c>
      <c r="AM347" s="716">
        <f>IF(OR(status1B5!AN42="",AM$7="No aplica"),0,SUM('BOULEVARD 5'!$K40:AP40)-$AP347)</f>
        <v>-36707.199999999997</v>
      </c>
      <c r="AN347" s="716">
        <f>IF(OR(status1B5!AO42="",AN$7="No aplica"),0,SUM('BOULEVARD 5'!$K40:AQ40)-$AP347)</f>
        <v>0</v>
      </c>
      <c r="AO347" s="716">
        <f>IF(OR(status1B5!AP42="",AO$7="No aplica"),0,SUM('BOULEVARD 5'!$K40:AS40)-$AP347)</f>
        <v>0</v>
      </c>
      <c r="AP347" s="717">
        <f>'BOULEVARD PPTO'!BC35</f>
        <v>83415.199999999997</v>
      </c>
      <c r="AQ347" s="717">
        <f>'BOULEVARD 5'!AT40</f>
        <v>62440</v>
      </c>
      <c r="AR347" s="717">
        <f t="shared" si="38"/>
        <v>-20975.199999999997</v>
      </c>
      <c r="AS347" s="717"/>
      <c r="AT347" s="581"/>
    </row>
    <row r="348" spans="1:47" ht="13.15" customHeight="1" outlineLevel="1" x14ac:dyDescent="0.25">
      <c r="A348" s="700">
        <f t="shared" si="36"/>
        <v>0</v>
      </c>
      <c r="B348" s="564">
        <f t="shared" ref="B348:G348" si="71">B43</f>
        <v>305</v>
      </c>
      <c r="C348" s="564" t="str">
        <f t="shared" si="71"/>
        <v>B7</v>
      </c>
      <c r="D348" s="564">
        <f t="shared" si="71"/>
        <v>0</v>
      </c>
      <c r="E348" s="564" t="str">
        <f t="shared" si="71"/>
        <v>Antonio Rada</v>
      </c>
      <c r="F348" s="581" t="str">
        <f t="shared" si="71"/>
        <v>Josue Alejandro Arias Perez</v>
      </c>
      <c r="G348" s="566">
        <f t="shared" si="71"/>
        <v>45748</v>
      </c>
      <c r="H348" s="716">
        <f>IF(OR(status1B5!I43="",H$7="No aplica"),0,SUM('BOULEVARD 5'!$K41:K41)-$AP348)</f>
        <v>0</v>
      </c>
      <c r="I348" s="716">
        <f>IF(OR(status1B5!J43="",I$7="No aplica"),0,SUM('BOULEVARD 5'!$K41:L41)-$AP348)</f>
        <v>0</v>
      </c>
      <c r="J348" s="716">
        <f>IF(OR(status1B5!K43="",J$7="No aplica"),0,SUM('BOULEVARD 5'!$K41:M41)-$AP348)</f>
        <v>0</v>
      </c>
      <c r="K348" s="716">
        <f>IF(OR(status1B5!L43="",K$7="No aplica"),0,SUM('BOULEVARD 5'!$K41:N41)-$AP348)</f>
        <v>0</v>
      </c>
      <c r="L348" s="716">
        <f>IF(OR(status1B5!M43="",L$7="No aplica"),0,SUM('BOULEVARD 5'!$K41:O41)-$AP348)</f>
        <v>0</v>
      </c>
      <c r="M348" s="716">
        <f>IF(OR(status1B5!N43="",M$7="No aplica"),0,SUM('BOULEVARD 5'!$K41:P41)-$AP348)</f>
        <v>0</v>
      </c>
      <c r="N348" s="716">
        <f>IF(OR(status1B5!O43="",N$7="No aplica"),0,SUM('BOULEVARD 5'!$K41:Q41)-$AP348)</f>
        <v>0</v>
      </c>
      <c r="O348" s="716">
        <f>IF(OR(status1B5!P43="",O$7="No aplica"),0,SUM('BOULEVARD 5'!$K41:R41)-$AP348)</f>
        <v>0</v>
      </c>
      <c r="P348" s="716">
        <f>IF(OR(status1B5!Q43="",P$7="No aplica"),0,SUM('BOULEVARD 5'!$K41:S41)-$AP348)</f>
        <v>0</v>
      </c>
      <c r="Q348" s="716">
        <f>IF(OR(status1B5!R43="",Q$7="No aplica"),0,SUM('BOULEVARD 5'!$K41:T41)-$AP348)</f>
        <v>0</v>
      </c>
      <c r="R348" s="716">
        <f>IF(OR(status1B5!S43="",R$7="No aplica"),0,SUM('BOULEVARD 5'!$K41:U41)-$AP348)</f>
        <v>0</v>
      </c>
      <c r="S348" s="716">
        <f>IF(OR(status1B5!T43="",S$7="No aplica"),0,SUM('BOULEVARD 5'!$K41:V41)-$AP348)</f>
        <v>0</v>
      </c>
      <c r="T348" s="716">
        <f>IF(OR(status1B5!U43="",T$7="No aplica"),0,SUM('BOULEVARD 5'!$K41:W41)-$AP348)</f>
        <v>0</v>
      </c>
      <c r="U348" s="716">
        <f>IF(OR(status1B5!V43="",U$7="No aplica"),0,SUM('BOULEVARD 5'!$K41:X41)-$AP348)</f>
        <v>0</v>
      </c>
      <c r="V348" s="716">
        <f>IF(OR(status1B5!W43="",V$7="No aplica"),0,SUM('BOULEVARD 5'!$K41:Y41)-$AP348)</f>
        <v>0</v>
      </c>
      <c r="W348" s="716">
        <f>IF(OR(status1B5!X43="",W$7="No aplica"),0,SUM('BOULEVARD 5'!$K41:Z41)-$AP348)</f>
        <v>0</v>
      </c>
      <c r="X348" s="716">
        <f>IF(OR(status1B5!Y43="",X$7="No aplica"),0,SUM('BOULEVARD 5'!$K41:AA41)-$AP348)</f>
        <v>0</v>
      </c>
      <c r="Y348" s="716">
        <f>IF(OR(status1B5!Z43="",Y$7="No aplica"),0,SUM('BOULEVARD 5'!$K41:AB41)-$AP348)</f>
        <v>0</v>
      </c>
      <c r="Z348" s="716">
        <f>IF(OR(status1B5!AA43="",Z$7="No aplica"),0,SUM('BOULEVARD 5'!$K41:AC41)-$AP348)</f>
        <v>0</v>
      </c>
      <c r="AA348" s="716">
        <f>IF(OR(status1B5!AB43="",AA$7="No aplica"),0,SUM('BOULEVARD 5'!$K41:AD41)-$AP348)</f>
        <v>0</v>
      </c>
      <c r="AB348" s="716">
        <f>IF(OR(status1B5!AC43="",AB$7="No aplica"),0,SUM('BOULEVARD 5'!$K41:AE41)-$AP348)</f>
        <v>0</v>
      </c>
      <c r="AC348" s="716">
        <f>IF(OR(status1B5!AD43="",AC$7="No aplica"),0,SUM('BOULEVARD 5'!$K41:AF41)-$AP348)</f>
        <v>0</v>
      </c>
      <c r="AD348" s="716">
        <f>IF(OR(status1B5!AE43="",AD$7="No aplica"),0,SUM('BOULEVARD 5'!$K41:AG41)-$AP348)</f>
        <v>0</v>
      </c>
      <c r="AE348" s="716">
        <f>IF(OR(status1B5!AF43="",AE$7="No aplica"),0,SUM('BOULEVARD 5'!$K41:AH41)-$AP348)</f>
        <v>0</v>
      </c>
      <c r="AF348" s="716">
        <f>IF(OR(status1B5!AG43="",AF$7="No aplica"),0,SUM('BOULEVARD 5'!$K41:AI41)-$AP348)</f>
        <v>0</v>
      </c>
      <c r="AG348" s="716">
        <f>IF(OR(status1B5!AH43="",AG$7="No aplica"),0,SUM('BOULEVARD 5'!$K41:AJ41)-$AP348)</f>
        <v>-96265.61</v>
      </c>
      <c r="AH348" s="716">
        <f>IF(OR(status1B5!AI43="",AH$7="No aplica"),0,SUM('BOULEVARD 5'!$K41:AK41)-$AP348)</f>
        <v>-92765.61</v>
      </c>
      <c r="AI348" s="716">
        <f>IF(OR(status1B5!AJ43="",AI$7="No aplica"),0,SUM('BOULEVARD 5'!$K41:AL41)-$AP348)</f>
        <v>-89265.61</v>
      </c>
      <c r="AJ348" s="716">
        <f>IF(OR(status1B5!AK43="",AJ$7="No aplica"),0,SUM('BOULEVARD 5'!$K41:AM41)-$AP348)</f>
        <v>-74265.61</v>
      </c>
      <c r="AK348" s="716">
        <f>IF(OR(status1B5!AL43="",AK$7="No aplica"),0,SUM('BOULEVARD 5'!$K41:AN41)-$AP348)</f>
        <v>-70765.61</v>
      </c>
      <c r="AL348" s="716">
        <f>IF(OR(status1B5!AM43="",AL$7="No aplica"),0,SUM('BOULEVARD 5'!$K41:AO41)-$AP348)</f>
        <v>-67265.61</v>
      </c>
      <c r="AM348" s="716">
        <f>IF(OR(status1B5!AN43="",AM$7="No aplica"),0,SUM('BOULEVARD 5'!$K41:AP41)-$AP348)</f>
        <v>-67265.61</v>
      </c>
      <c r="AN348" s="716">
        <f>IF(OR(status1B5!AO43="",AN$7="No aplica"),0,SUM('BOULEVARD 5'!$K41:AQ41)-$AP348)</f>
        <v>0</v>
      </c>
      <c r="AO348" s="716">
        <f>IF(OR(status1B5!AP43="",AO$7="No aplica"),0,SUM('BOULEVARD 5'!$K41:AS41)-$AP348)</f>
        <v>0</v>
      </c>
      <c r="AP348" s="717">
        <f>'BOULEVARD PPTO'!BC36</f>
        <v>111265.61</v>
      </c>
      <c r="AQ348" s="717">
        <f>'BOULEVARD 5'!AT41</f>
        <v>61000</v>
      </c>
      <c r="AR348" s="717">
        <f t="shared" si="38"/>
        <v>-50265.61</v>
      </c>
      <c r="AS348" s="717"/>
      <c r="AT348" s="581"/>
    </row>
    <row r="349" spans="1:47" ht="13.15" customHeight="1" outlineLevel="1" x14ac:dyDescent="0.25">
      <c r="A349" s="700">
        <f t="shared" si="36"/>
        <v>0</v>
      </c>
      <c r="B349" s="564">
        <f t="shared" ref="B349:G349" si="72">B44</f>
        <v>306</v>
      </c>
      <c r="C349" s="564" t="str">
        <f t="shared" si="72"/>
        <v>B2</v>
      </c>
      <c r="D349" s="564">
        <f t="shared" si="72"/>
        <v>0</v>
      </c>
      <c r="E349" s="564" t="str">
        <f t="shared" si="72"/>
        <v>Anahí Cisneros</v>
      </c>
      <c r="F349" s="581" t="str">
        <f t="shared" si="72"/>
        <v>Ricardo José Ruiz Álvarez</v>
      </c>
      <c r="G349" s="566">
        <f t="shared" si="72"/>
        <v>46033</v>
      </c>
      <c r="H349" s="716">
        <f>IF(OR(status1B5!I44="",H$7="No aplica"),0,SUM('BOULEVARD 5'!$K42:K42)-$AP349)</f>
        <v>0</v>
      </c>
      <c r="I349" s="716">
        <f>IF(OR(status1B5!J44="",I$7="No aplica"),0,SUM('BOULEVARD 5'!$K42:L42)-$AP349)</f>
        <v>0</v>
      </c>
      <c r="J349" s="716">
        <f>IF(OR(status1B5!K44="",J$7="No aplica"),0,SUM('BOULEVARD 5'!$K42:M42)-$AP349)</f>
        <v>0</v>
      </c>
      <c r="K349" s="716">
        <f>IF(OR(status1B5!L44="",K$7="No aplica"),0,SUM('BOULEVARD 5'!$K42:N42)-$AP349)</f>
        <v>0</v>
      </c>
      <c r="L349" s="716">
        <f>IF(OR(status1B5!M44="",L$7="No aplica"),0,SUM('BOULEVARD 5'!$K42:O42)-$AP349)</f>
        <v>0</v>
      </c>
      <c r="M349" s="716">
        <f>IF(OR(status1B5!N44="",M$7="No aplica"),0,SUM('BOULEVARD 5'!$K42:P42)-$AP349)</f>
        <v>0</v>
      </c>
      <c r="N349" s="716">
        <f>IF(OR(status1B5!O44="",N$7="No aplica"),0,SUM('BOULEVARD 5'!$K42:Q42)-$AP349)</f>
        <v>0</v>
      </c>
      <c r="O349" s="716">
        <f>IF(OR(status1B5!P44="",O$7="No aplica"),0,SUM('BOULEVARD 5'!$K42:R42)-$AP349)</f>
        <v>0</v>
      </c>
      <c r="P349" s="716">
        <f>IF(OR(status1B5!Q44="",P$7="No aplica"),0,SUM('BOULEVARD 5'!$K42:S42)-$AP349)</f>
        <v>0</v>
      </c>
      <c r="Q349" s="716">
        <f>IF(OR(status1B5!R44="",Q$7="No aplica"),0,SUM('BOULEVARD 5'!$K42:T42)-$AP349)</f>
        <v>0</v>
      </c>
      <c r="R349" s="716">
        <f>IF(OR(status1B5!S44="",R$7="No aplica"),0,SUM('BOULEVARD 5'!$K42:U42)-$AP349)</f>
        <v>0</v>
      </c>
      <c r="S349" s="716">
        <f>IF(OR(status1B5!T44="",S$7="No aplica"),0,SUM('BOULEVARD 5'!$K42:V42)-$AP349)</f>
        <v>0</v>
      </c>
      <c r="T349" s="716">
        <f>IF(OR(status1B5!U44="",T$7="No aplica"),0,SUM('BOULEVARD 5'!$K42:W42)-$AP349)</f>
        <v>0</v>
      </c>
      <c r="U349" s="716">
        <f>IF(OR(status1B5!V44="",U$7="No aplica"),0,SUM('BOULEVARD 5'!$K42:X42)-$AP349)</f>
        <v>0</v>
      </c>
      <c r="V349" s="716">
        <f>IF(OR(status1B5!W44="",V$7="No aplica"),0,SUM('BOULEVARD 5'!$K42:Y42)-$AP349)</f>
        <v>0</v>
      </c>
      <c r="W349" s="716">
        <f>IF(OR(status1B5!X44="",W$7="No aplica"),0,SUM('BOULEVARD 5'!$K42:Z42)-$AP349)</f>
        <v>0</v>
      </c>
      <c r="X349" s="716">
        <f>IF(OR(status1B5!Y44="",X$7="No aplica"),0,SUM('BOULEVARD 5'!$K42:AA42)-$AP349)</f>
        <v>0</v>
      </c>
      <c r="Y349" s="716">
        <f>IF(OR(status1B5!Z44="",Y$7="No aplica"),0,SUM('BOULEVARD 5'!$K42:AB42)-$AP349)</f>
        <v>0</v>
      </c>
      <c r="Z349" s="716">
        <f>IF(OR(status1B5!AA44="",Z$7="No aplica"),0,SUM('BOULEVARD 5'!$K42:AC42)-$AP349)</f>
        <v>0</v>
      </c>
      <c r="AA349" s="716">
        <f>IF(OR(status1B5!AB44="",AA$7="No aplica"),0,SUM('BOULEVARD 5'!$K42:AD42)-$AP349)</f>
        <v>0</v>
      </c>
      <c r="AB349" s="716">
        <f>IF(OR(status1B5!AC44="",AB$7="No aplica"),0,SUM('BOULEVARD 5'!$K42:AE42)-$AP349)</f>
        <v>0</v>
      </c>
      <c r="AC349" s="716">
        <f>IF(OR(status1B5!AD44="",AC$7="No aplica"),0,SUM('BOULEVARD 5'!$K42:AF42)-$AP349)</f>
        <v>0</v>
      </c>
      <c r="AD349" s="716">
        <f>IF(OR(status1B5!AE44="",AD$7="No aplica"),0,SUM('BOULEVARD 5'!$K42:AG42)-$AP349)</f>
        <v>0</v>
      </c>
      <c r="AE349" s="716">
        <f>IF(OR(status1B5!AF44="",AE$7="No aplica"),0,SUM('BOULEVARD 5'!$K42:AH42)-$AP349)</f>
        <v>0</v>
      </c>
      <c r="AF349" s="716">
        <f>IF(OR(status1B5!AG44="",AF$7="No aplica"),0,SUM('BOULEVARD 5'!$K42:AI42)-$AP349)</f>
        <v>0</v>
      </c>
      <c r="AG349" s="716">
        <f>IF(OR(status1B5!AH44="",AG$7="No aplica"),0,SUM('BOULEVARD 5'!$K42:AJ42)-$AP349)</f>
        <v>0</v>
      </c>
      <c r="AH349" s="716">
        <f>IF(OR(status1B5!AI44="",AH$7="No aplica"),0,SUM('BOULEVARD 5'!$K42:AK42)-$AP349)</f>
        <v>0</v>
      </c>
      <c r="AI349" s="716">
        <f>IF(OR(status1B5!AJ44="",AI$7="No aplica"),0,SUM('BOULEVARD 5'!$K42:AL42)-$AP349)</f>
        <v>0</v>
      </c>
      <c r="AJ349" s="716">
        <f>IF(OR(status1B5!AK44="",AJ$7="No aplica"),0,SUM('BOULEVARD 5'!$K42:AM42)-$AP349)</f>
        <v>0</v>
      </c>
      <c r="AK349" s="716">
        <f>IF(OR(status1B5!AL44="",AK$7="No aplica"),0,SUM('BOULEVARD 5'!$K42:AN42)-$AP349)</f>
        <v>0</v>
      </c>
      <c r="AL349" s="716">
        <f>IF(OR(status1B5!AM44="",AL$7="No aplica"),0,SUM('BOULEVARD 5'!$K42:AO42)-$AP349)</f>
        <v>0</v>
      </c>
      <c r="AM349" s="716">
        <f>IF(OR(status1B5!AN44="",AM$7="No aplica"),0,SUM('BOULEVARD 5'!$K42:AP42)-$AP349)</f>
        <v>0</v>
      </c>
      <c r="AN349" s="716">
        <f>IF(OR(status1B5!AO44="",AN$7="No aplica"),0,SUM('BOULEVARD 5'!$K42:AQ42)-$AP349)</f>
        <v>0</v>
      </c>
      <c r="AO349" s="716">
        <f>IF(OR(status1B5!AP44="",AO$7="No aplica"),0,SUM('BOULEVARD 5'!$K42:AS42)-$AP349)</f>
        <v>0</v>
      </c>
      <c r="AP349" s="717">
        <f>'BOULEVARD PPTO'!BC37</f>
        <v>0</v>
      </c>
      <c r="AQ349" s="717">
        <f>'BOULEVARD 5'!AT42</f>
        <v>10000</v>
      </c>
      <c r="AR349" s="717">
        <f t="shared" si="38"/>
        <v>10000</v>
      </c>
      <c r="AS349" s="717"/>
      <c r="AT349" s="581"/>
    </row>
    <row r="350" spans="1:47" ht="13.15" customHeight="1" outlineLevel="1" x14ac:dyDescent="0.25">
      <c r="A350" s="700">
        <f t="shared" si="36"/>
        <v>0</v>
      </c>
      <c r="B350" s="564">
        <f t="shared" ref="B350:G350" si="73">B45</f>
        <v>307</v>
      </c>
      <c r="C350" s="564" t="str">
        <f t="shared" si="73"/>
        <v>B6</v>
      </c>
      <c r="D350" s="564">
        <f t="shared" si="73"/>
        <v>0</v>
      </c>
      <c r="E350" s="564" t="str">
        <f t="shared" si="73"/>
        <v>Erwin Cardona</v>
      </c>
      <c r="F350" s="581" t="str">
        <f t="shared" si="73"/>
        <v>Héctor Salvador Júarez Hernández/Angee Brizel Canelas Diaz</v>
      </c>
      <c r="G350" s="566">
        <f t="shared" si="73"/>
        <v>45999</v>
      </c>
      <c r="H350" s="716">
        <f>IF(OR(status1B5!I45="",H$7="No aplica"),0,SUM('BOULEVARD 5'!$K43:K43)-$AP350)</f>
        <v>0</v>
      </c>
      <c r="I350" s="716">
        <f>IF(OR(status1B5!J45="",I$7="No aplica"),0,SUM('BOULEVARD 5'!$K43:L43)-$AP350)</f>
        <v>0</v>
      </c>
      <c r="J350" s="716">
        <f>IF(OR(status1B5!K45="",J$7="No aplica"),0,SUM('BOULEVARD 5'!$K43:M43)-$AP350)</f>
        <v>0</v>
      </c>
      <c r="K350" s="716">
        <f>IF(OR(status1B5!L45="",K$7="No aplica"),0,SUM('BOULEVARD 5'!$K43:N43)-$AP350)</f>
        <v>0</v>
      </c>
      <c r="L350" s="716">
        <f>IF(OR(status1B5!M45="",L$7="No aplica"),0,SUM('BOULEVARD 5'!$K43:O43)-$AP350)</f>
        <v>0</v>
      </c>
      <c r="M350" s="716">
        <f>IF(OR(status1B5!N45="",M$7="No aplica"),0,SUM('BOULEVARD 5'!$K43:P43)-$AP350)</f>
        <v>0</v>
      </c>
      <c r="N350" s="716">
        <f>IF(OR(status1B5!O45="",N$7="No aplica"),0,SUM('BOULEVARD 5'!$K43:Q43)-$AP350)</f>
        <v>0</v>
      </c>
      <c r="O350" s="716">
        <f>IF(OR(status1B5!P45="",O$7="No aplica"),0,SUM('BOULEVARD 5'!$K43:R43)-$AP350)</f>
        <v>0</v>
      </c>
      <c r="P350" s="716">
        <f>IF(OR(status1B5!Q45="",P$7="No aplica"),0,SUM('BOULEVARD 5'!$K43:S43)-$AP350)</f>
        <v>0</v>
      </c>
      <c r="Q350" s="716">
        <f>IF(OR(status1B5!R45="",Q$7="No aplica"),0,SUM('BOULEVARD 5'!$K43:T43)-$AP350)</f>
        <v>0</v>
      </c>
      <c r="R350" s="716">
        <f>IF(OR(status1B5!S45="",R$7="No aplica"),0,SUM('BOULEVARD 5'!$K43:U43)-$AP350)</f>
        <v>0</v>
      </c>
      <c r="S350" s="716">
        <f>IF(OR(status1B5!T45="",S$7="No aplica"),0,SUM('BOULEVARD 5'!$K43:V43)-$AP350)</f>
        <v>0</v>
      </c>
      <c r="T350" s="716">
        <f>IF(OR(status1B5!U45="",T$7="No aplica"),0,SUM('BOULEVARD 5'!$K43:W43)-$AP350)</f>
        <v>0</v>
      </c>
      <c r="U350" s="716">
        <f>IF(OR(status1B5!V45="",U$7="No aplica"),0,SUM('BOULEVARD 5'!$K43:X43)-$AP350)</f>
        <v>0</v>
      </c>
      <c r="V350" s="716">
        <f>IF(OR(status1B5!W45="",V$7="No aplica"),0,SUM('BOULEVARD 5'!$K43:Y43)-$AP350)</f>
        <v>0</v>
      </c>
      <c r="W350" s="716">
        <f>IF(OR(status1B5!X45="",W$7="No aplica"),0,SUM('BOULEVARD 5'!$K43:Z43)-$AP350)</f>
        <v>0</v>
      </c>
      <c r="X350" s="716">
        <f>IF(OR(status1B5!Y45="",X$7="No aplica"),0,SUM('BOULEVARD 5'!$K43:AA43)-$AP350)</f>
        <v>0</v>
      </c>
      <c r="Y350" s="716">
        <f>IF(OR(status1B5!Z45="",Y$7="No aplica"),0,SUM('BOULEVARD 5'!$K43:AB43)-$AP350)</f>
        <v>0</v>
      </c>
      <c r="Z350" s="716">
        <f>IF(OR(status1B5!AA45="",Z$7="No aplica"),0,SUM('BOULEVARD 5'!$K43:AC43)-$AP350)</f>
        <v>0</v>
      </c>
      <c r="AA350" s="716">
        <f>IF(OR(status1B5!AB45="",AA$7="No aplica"),0,SUM('BOULEVARD 5'!$K43:AD43)-$AP350)</f>
        <v>0</v>
      </c>
      <c r="AB350" s="716">
        <f>IF(OR(status1B5!AC45="",AB$7="No aplica"),0,SUM('BOULEVARD 5'!$K43:AE43)-$AP350)</f>
        <v>0</v>
      </c>
      <c r="AC350" s="716">
        <f>IF(OR(status1B5!AD45="",AC$7="No aplica"),0,SUM('BOULEVARD 5'!$K43:AF43)-$AP350)</f>
        <v>0</v>
      </c>
      <c r="AD350" s="716">
        <f>IF(OR(status1B5!AE45="",AD$7="No aplica"),0,SUM('BOULEVARD 5'!$K43:AG43)-$AP350)</f>
        <v>0</v>
      </c>
      <c r="AE350" s="716">
        <f>IF(OR(status1B5!AF45="",AE$7="No aplica"),0,SUM('BOULEVARD 5'!$K43:AH43)-$AP350)</f>
        <v>0</v>
      </c>
      <c r="AF350" s="716">
        <f>IF(OR(status1B5!AG45="",AF$7="No aplica"),0,SUM('BOULEVARD 5'!$K43:AI43)-$AP350)</f>
        <v>0</v>
      </c>
      <c r="AG350" s="716">
        <f>IF(OR(status1B5!AH45="",AG$7="No aplica"),0,SUM('BOULEVARD 5'!$K43:AJ43)-$AP350)</f>
        <v>0</v>
      </c>
      <c r="AH350" s="716">
        <f>IF(OR(status1B5!AI45="",AH$7="No aplica"),0,SUM('BOULEVARD 5'!$K43:AK43)-$AP350)</f>
        <v>0</v>
      </c>
      <c r="AI350" s="716">
        <f>IF(OR(status1B5!AJ45="",AI$7="No aplica"),0,SUM('BOULEVARD 5'!$K43:AL43)-$AP350)</f>
        <v>0</v>
      </c>
      <c r="AJ350" s="716">
        <f>IF(OR(status1B5!AK45="",AJ$7="No aplica"),0,SUM('BOULEVARD 5'!$K43:AM43)-$AP350)</f>
        <v>0</v>
      </c>
      <c r="AK350" s="716">
        <f>IF(OR(status1B5!AL45="",AK$7="No aplica"),0,SUM('BOULEVARD 5'!$K43:AN43)-$AP350)</f>
        <v>0</v>
      </c>
      <c r="AL350" s="716">
        <f>IF(OR(status1B5!AM45="",AL$7="No aplica"),0,SUM('BOULEVARD 5'!$K43:AO43)-$AP350)</f>
        <v>0</v>
      </c>
      <c r="AM350" s="716">
        <f>IF(OR(status1B5!AN45="",AM$7="No aplica"),0,SUM('BOULEVARD 5'!$K43:AP43)-$AP350)</f>
        <v>0</v>
      </c>
      <c r="AN350" s="716">
        <f>IF(OR(status1B5!AO45="",AN$7="No aplica"),0,SUM('BOULEVARD 5'!$K43:AQ43)-$AP350)</f>
        <v>0</v>
      </c>
      <c r="AO350" s="716">
        <f>IF(OR(status1B5!AP45="",AO$7="No aplica"),0,SUM('BOULEVARD 5'!$K43:AS43)-$AP350)</f>
        <v>0</v>
      </c>
      <c r="AP350" s="717">
        <f>'BOULEVARD PPTO'!BC38</f>
        <v>0</v>
      </c>
      <c r="AQ350" s="717">
        <f>'BOULEVARD 5'!AT43</f>
        <v>20000</v>
      </c>
      <c r="AR350" s="717">
        <f t="shared" si="38"/>
        <v>20000</v>
      </c>
      <c r="AS350" s="717"/>
      <c r="AT350" s="581"/>
    </row>
    <row r="351" spans="1:47" ht="13.15" customHeight="1" outlineLevel="1" x14ac:dyDescent="0.25">
      <c r="A351" s="700">
        <f t="shared" si="36"/>
        <v>0</v>
      </c>
      <c r="B351" s="564">
        <f t="shared" ref="B351:G351" si="74">B46</f>
        <v>308</v>
      </c>
      <c r="C351" s="564" t="str">
        <f t="shared" si="74"/>
        <v>B1</v>
      </c>
      <c r="D351" s="564">
        <f t="shared" si="74"/>
        <v>0</v>
      </c>
      <c r="E351" s="564" t="str">
        <f t="shared" si="74"/>
        <v>Antonio Rada</v>
      </c>
      <c r="F351" s="581" t="str">
        <f t="shared" si="74"/>
        <v>Ricardo Alberto Vásquez Monterroso</v>
      </c>
      <c r="G351" s="566">
        <f t="shared" si="74"/>
        <v>45719</v>
      </c>
      <c r="H351" s="716">
        <f>IF(OR(status1B5!I46="",H$7="No aplica"),0,SUM('BOULEVARD 5'!$K44:K44)-$AP351)</f>
        <v>0</v>
      </c>
      <c r="I351" s="716">
        <f>IF(OR(status1B5!J46="",I$7="No aplica"),0,SUM('BOULEVARD 5'!$K44:L44)-$AP351)</f>
        <v>0</v>
      </c>
      <c r="J351" s="716">
        <f>IF(OR(status1B5!K46="",J$7="No aplica"),0,SUM('BOULEVARD 5'!$K44:M44)-$AP351)</f>
        <v>0</v>
      </c>
      <c r="K351" s="716">
        <f>IF(OR(status1B5!L46="",K$7="No aplica"),0,SUM('BOULEVARD 5'!$K44:N44)-$AP351)</f>
        <v>0</v>
      </c>
      <c r="L351" s="716">
        <f>IF(OR(status1B5!M46="",L$7="No aplica"),0,SUM('BOULEVARD 5'!$K44:O44)-$AP351)</f>
        <v>0</v>
      </c>
      <c r="M351" s="716">
        <f>IF(OR(status1B5!N46="",M$7="No aplica"),0,SUM('BOULEVARD 5'!$K44:P44)-$AP351)</f>
        <v>0</v>
      </c>
      <c r="N351" s="716">
        <f>IF(OR(status1B5!O46="",N$7="No aplica"),0,SUM('BOULEVARD 5'!$K44:Q44)-$AP351)</f>
        <v>0</v>
      </c>
      <c r="O351" s="716">
        <f>IF(OR(status1B5!P46="",O$7="No aplica"),0,SUM('BOULEVARD 5'!$K44:R44)-$AP351)</f>
        <v>0</v>
      </c>
      <c r="P351" s="716">
        <f>IF(OR(status1B5!Q46="",P$7="No aplica"),0,SUM('BOULEVARD 5'!$K44:S44)-$AP351)</f>
        <v>0</v>
      </c>
      <c r="Q351" s="716">
        <f>IF(OR(status1B5!R46="",Q$7="No aplica"),0,SUM('BOULEVARD 5'!$K44:T44)-$AP351)</f>
        <v>0</v>
      </c>
      <c r="R351" s="716">
        <f>IF(OR(status1B5!S46="",R$7="No aplica"),0,SUM('BOULEVARD 5'!$K44:U44)-$AP351)</f>
        <v>0</v>
      </c>
      <c r="S351" s="716">
        <f>IF(OR(status1B5!T46="",S$7="No aplica"),0,SUM('BOULEVARD 5'!$K44:V44)-$AP351)</f>
        <v>0</v>
      </c>
      <c r="T351" s="716">
        <f>IF(OR(status1B5!U46="",T$7="No aplica"),0,SUM('BOULEVARD 5'!$K44:W44)-$AP351)</f>
        <v>0</v>
      </c>
      <c r="U351" s="716">
        <f>IF(OR(status1B5!V46="",U$7="No aplica"),0,SUM('BOULEVARD 5'!$K44:X44)-$AP351)</f>
        <v>0</v>
      </c>
      <c r="V351" s="716">
        <f>IF(OR(status1B5!W46="",V$7="No aplica"),0,SUM('BOULEVARD 5'!$K44:Y44)-$AP351)</f>
        <v>0</v>
      </c>
      <c r="W351" s="716">
        <f>IF(OR(status1B5!X46="",W$7="No aplica"),0,SUM('BOULEVARD 5'!$K44:Z44)-$AP351)</f>
        <v>0</v>
      </c>
      <c r="X351" s="716">
        <f>IF(OR(status1B5!Y46="",X$7="No aplica"),0,SUM('BOULEVARD 5'!$K44:AA44)-$AP351)</f>
        <v>0</v>
      </c>
      <c r="Y351" s="716">
        <f>IF(OR(status1B5!Z46="",Y$7="No aplica"),0,SUM('BOULEVARD 5'!$K44:AB44)-$AP351)</f>
        <v>0</v>
      </c>
      <c r="Z351" s="716">
        <f>IF(OR(status1B5!AA46="",Z$7="No aplica"),0,SUM('BOULEVARD 5'!$K44:AC44)-$AP351)</f>
        <v>0</v>
      </c>
      <c r="AA351" s="716">
        <f>IF(OR(status1B5!AB46="",AA$7="No aplica"),0,SUM('BOULEVARD 5'!$K44:AD44)-$AP351)</f>
        <v>0</v>
      </c>
      <c r="AB351" s="716">
        <f>IF(OR(status1B5!AC46="",AB$7="No aplica"),0,SUM('BOULEVARD 5'!$K44:AE44)-$AP351)</f>
        <v>0</v>
      </c>
      <c r="AC351" s="716">
        <f>IF(OR(status1B5!AD46="",AC$7="No aplica"),0,SUM('BOULEVARD 5'!$K44:AF44)-$AP351)</f>
        <v>0</v>
      </c>
      <c r="AD351" s="716">
        <f>IF(OR(status1B5!AE46="",AD$7="No aplica"),0,SUM('BOULEVARD 5'!$K44:AG44)-$AP351)</f>
        <v>0</v>
      </c>
      <c r="AE351" s="716">
        <f>IF(OR(status1B5!AF46="",AE$7="No aplica"),0,SUM('BOULEVARD 5'!$K44:AH44)-$AP351)</f>
        <v>0</v>
      </c>
      <c r="AF351" s="716">
        <f>IF(OR(status1B5!AG46="",AF$7="No aplica"),0,SUM('BOULEVARD 5'!$K44:AI44)-$AP351)</f>
        <v>-93328.19</v>
      </c>
      <c r="AG351" s="716">
        <f>IF(OR(status1B5!AH46="",AG$7="No aplica"),0,SUM('BOULEVARD 5'!$K44:AJ44)-$AP351)</f>
        <v>-86662.19</v>
      </c>
      <c r="AH351" s="716">
        <f>IF(OR(status1B5!AI46="",AH$7="No aplica"),0,SUM('BOULEVARD 5'!$K44:AK44)-$AP351)</f>
        <v>-79996.19</v>
      </c>
      <c r="AI351" s="716">
        <f>IF(OR(status1B5!AJ46="",AI$7="No aplica"),0,SUM('BOULEVARD 5'!$K44:AL44)-$AP351)</f>
        <v>-73330.19</v>
      </c>
      <c r="AJ351" s="716">
        <f>IF(OR(status1B5!AK46="",AJ$7="No aplica"),0,SUM('BOULEVARD 5'!$K44:AM44)-$AP351)</f>
        <v>-66664.19</v>
      </c>
      <c r="AK351" s="716">
        <f>IF(OR(status1B5!AL46="",AK$7="No aplica"),0,SUM('BOULEVARD 5'!$K44:AN44)-$AP351)</f>
        <v>-59998.19</v>
      </c>
      <c r="AL351" s="716">
        <f>IF(OR(status1B5!AM46="",AL$7="No aplica"),0,SUM('BOULEVARD 5'!$K44:AO44)-$AP351)</f>
        <v>-53332.19</v>
      </c>
      <c r="AM351" s="716">
        <f>IF(OR(status1B5!AN46="",AM$7="No aplica"),0,SUM('BOULEVARD 5'!$K44:AP44)-$AP351)</f>
        <v>-46666.19</v>
      </c>
      <c r="AN351" s="716">
        <f>IF(OR(status1B5!AO46="",AN$7="No aplica"),0,SUM('BOULEVARD 5'!$K44:AQ44)-$AP351)</f>
        <v>0</v>
      </c>
      <c r="AO351" s="716">
        <f>IF(OR(status1B5!AP46="",AO$7="No aplica"),0,SUM('BOULEVARD 5'!$K44:AS44)-$AP351)</f>
        <v>0</v>
      </c>
      <c r="AP351" s="717">
        <f>'BOULEVARD PPTO'!BC39</f>
        <v>103328.19</v>
      </c>
      <c r="AQ351" s="717">
        <f>'BOULEVARD 5'!AT44</f>
        <v>76660</v>
      </c>
      <c r="AR351" s="717">
        <f t="shared" si="38"/>
        <v>-26668.190000000002</v>
      </c>
      <c r="AS351" s="717"/>
      <c r="AT351" s="581"/>
    </row>
    <row r="352" spans="1:47" ht="13.15" customHeight="1" outlineLevel="1" x14ac:dyDescent="0.25">
      <c r="A352" s="700">
        <f t="shared" si="36"/>
        <v>0</v>
      </c>
      <c r="B352" s="564">
        <f t="shared" ref="B352:G352" si="75">B47</f>
        <v>309</v>
      </c>
      <c r="C352" s="564" t="str">
        <f t="shared" si="75"/>
        <v>D7</v>
      </c>
      <c r="D352" s="564">
        <f t="shared" si="75"/>
        <v>0</v>
      </c>
      <c r="E352" s="564" t="str">
        <f t="shared" si="75"/>
        <v>Antonio Rada</v>
      </c>
      <c r="F352" s="581" t="str">
        <f t="shared" si="75"/>
        <v>Leonel Bernardo Molina Gramajo</v>
      </c>
      <c r="G352" s="566">
        <f t="shared" si="75"/>
        <v>45516</v>
      </c>
      <c r="H352" s="716">
        <f>IF(OR(status1B5!I47="",H$7="No aplica"),0,SUM('BOULEVARD 5'!$K45:K45)-$AP352)</f>
        <v>0</v>
      </c>
      <c r="I352" s="716">
        <f>IF(OR(status1B5!J47="",I$7="No aplica"),0,SUM('BOULEVARD 5'!$K45:L45)-$AP352)</f>
        <v>0</v>
      </c>
      <c r="J352" s="716">
        <f>IF(OR(status1B5!K47="",J$7="No aplica"),0,SUM('BOULEVARD 5'!$K45:M45)-$AP352)</f>
        <v>0</v>
      </c>
      <c r="K352" s="716">
        <f>IF(OR(status1B5!L47="",K$7="No aplica"),0,SUM('BOULEVARD 5'!$K45:N45)-$AP352)</f>
        <v>0</v>
      </c>
      <c r="L352" s="716">
        <f>IF(OR(status1B5!M47="",L$7="No aplica"),0,SUM('BOULEVARD 5'!$K45:O45)-$AP352)</f>
        <v>0</v>
      </c>
      <c r="M352" s="716">
        <f>IF(OR(status1B5!N47="",M$7="No aplica"),0,SUM('BOULEVARD 5'!$K45:P45)-$AP352)</f>
        <v>0</v>
      </c>
      <c r="N352" s="716">
        <f>IF(OR(status1B5!O47="",N$7="No aplica"),0,SUM('BOULEVARD 5'!$K45:Q45)-$AP352)</f>
        <v>0</v>
      </c>
      <c r="O352" s="716">
        <f>IF(OR(status1B5!P47="",O$7="No aplica"),0,SUM('BOULEVARD 5'!$K45:R45)-$AP352)</f>
        <v>0</v>
      </c>
      <c r="P352" s="716">
        <f>IF(OR(status1B5!Q47="",P$7="No aplica"),0,SUM('BOULEVARD 5'!$K45:S45)-$AP352)</f>
        <v>0</v>
      </c>
      <c r="Q352" s="716">
        <f>IF(OR(status1B5!R47="",Q$7="No aplica"),0,SUM('BOULEVARD 5'!$K45:T45)-$AP352)</f>
        <v>0</v>
      </c>
      <c r="R352" s="716">
        <f>IF(OR(status1B5!S47="",R$7="No aplica"),0,SUM('BOULEVARD 5'!$K45:U45)-$AP352)</f>
        <v>0</v>
      </c>
      <c r="S352" s="716">
        <f>IF(OR(status1B5!T47="",S$7="No aplica"),0,SUM('BOULEVARD 5'!$K45:V45)-$AP352)</f>
        <v>0</v>
      </c>
      <c r="T352" s="716">
        <f>IF(OR(status1B5!U47="",T$7="No aplica"),0,SUM('BOULEVARD 5'!$K45:W45)-$AP352)</f>
        <v>0</v>
      </c>
      <c r="U352" s="716">
        <f>IF(OR(status1B5!V47="",U$7="No aplica"),0,SUM('BOULEVARD 5'!$K45:X45)-$AP352)</f>
        <v>0</v>
      </c>
      <c r="V352" s="716">
        <f>IF(OR(status1B5!W47="",V$7="No aplica"),0,SUM('BOULEVARD 5'!$K45:Y45)-$AP352)</f>
        <v>0</v>
      </c>
      <c r="W352" s="716">
        <f>IF(OR(status1B5!X47="",W$7="No aplica"),0,SUM('BOULEVARD 5'!$K45:Z45)-$AP352)</f>
        <v>0</v>
      </c>
      <c r="X352" s="716">
        <f>IF(OR(status1B5!Y47="",X$7="No aplica"),0,SUM('BOULEVARD 5'!$K45:AA45)-$AP352)</f>
        <v>0</v>
      </c>
      <c r="Y352" s="716">
        <f>IF(OR(status1B5!Z47="",Y$7="No aplica"),0,SUM('BOULEVARD 5'!$K45:AB45)-$AP352)</f>
        <v>-130090</v>
      </c>
      <c r="Z352" s="716">
        <f>IF(OR(status1B5!AA47="",Z$7="No aplica"),0,SUM('BOULEVARD 5'!$K45:AC45)-$AP352)</f>
        <v>-127590</v>
      </c>
      <c r="AA352" s="716">
        <f>IF(OR(status1B5!AB47="",AA$7="No aplica"),0,SUM('BOULEVARD 5'!$K45:AD45)-$AP352)</f>
        <v>-125090</v>
      </c>
      <c r="AB352" s="716">
        <f>IF(OR(status1B5!AC47="",AB$7="No aplica"),0,SUM('BOULEVARD 5'!$K45:AE45)-$AP352)</f>
        <v>-122590</v>
      </c>
      <c r="AC352" s="716">
        <f>IF(OR(status1B5!AD47="",AC$7="No aplica"),0,SUM('BOULEVARD 5'!$K45:AF45)-$AP352)</f>
        <v>-120090</v>
      </c>
      <c r="AD352" s="716">
        <f>IF(OR(status1B5!AE47="",AD$7="No aplica"),0,SUM('BOULEVARD 5'!$K45:AG45)-$AP352)</f>
        <v>-120090</v>
      </c>
      <c r="AE352" s="716">
        <f>IF(OR(status1B5!AF47="",AE$7="No aplica"),0,SUM('BOULEVARD 5'!$K45:AH45)-$AP352)</f>
        <v>-117590</v>
      </c>
      <c r="AF352" s="716">
        <f>IF(OR(status1B5!AG47="",AF$7="No aplica"),0,SUM('BOULEVARD 5'!$K45:AI45)-$AP352)</f>
        <v>-117590</v>
      </c>
      <c r="AG352" s="716">
        <f>IF(OR(status1B5!AH47="",AG$7="No aplica"),0,SUM('BOULEVARD 5'!$K45:AJ45)-$AP352)</f>
        <v>-110090</v>
      </c>
      <c r="AH352" s="716">
        <f>IF(OR(status1B5!AI47="",AH$7="No aplica"),0,SUM('BOULEVARD 5'!$K45:AK45)-$AP352)</f>
        <v>-107590</v>
      </c>
      <c r="AI352" s="716">
        <f>IF(OR(status1B5!AJ47="",AI$7="No aplica"),0,SUM('BOULEVARD 5'!$K45:AL45)-$AP352)</f>
        <v>-105090</v>
      </c>
      <c r="AJ352" s="716">
        <f>IF(OR(status1B5!AK47="",AJ$7="No aplica"),0,SUM('BOULEVARD 5'!$K45:AM45)-$AP352)</f>
        <v>-100090</v>
      </c>
      <c r="AK352" s="716">
        <f>IF(OR(status1B5!AL47="",AK$7="No aplica"),0,SUM('BOULEVARD 5'!$K45:AN45)-$AP352)</f>
        <v>-95090</v>
      </c>
      <c r="AL352" s="716">
        <f>IF(OR(status1B5!AM47="",AL$7="No aplica"),0,SUM('BOULEVARD 5'!$K45:AO45)-$AP352)</f>
        <v>-92590</v>
      </c>
      <c r="AM352" s="716">
        <f>IF(OR(status1B5!AN47="",AM$7="No aplica"),0,SUM('BOULEVARD 5'!$K45:AP45)-$AP352)</f>
        <v>-87590</v>
      </c>
      <c r="AN352" s="716">
        <f>IF(OR(status1B5!AO47="",AN$7="No aplica"),0,SUM('BOULEVARD 5'!$K45:AQ45)-$AP352)</f>
        <v>0</v>
      </c>
      <c r="AO352" s="716">
        <f>IF(OR(status1B5!AP47="",AO$7="No aplica"),0,SUM('BOULEVARD 5'!$K45:AS45)-$AP352)</f>
        <v>0</v>
      </c>
      <c r="AP352" s="717">
        <f>'BOULEVARD PPTO'!BC40</f>
        <v>135090</v>
      </c>
      <c r="AQ352" s="717">
        <f>'BOULEVARD 5'!AT45</f>
        <v>57500</v>
      </c>
      <c r="AR352" s="717">
        <f t="shared" si="38"/>
        <v>-77590</v>
      </c>
      <c r="AS352" s="717"/>
      <c r="AT352" s="581"/>
    </row>
    <row r="353" spans="1:46" ht="13.15" customHeight="1" outlineLevel="1" x14ac:dyDescent="0.25">
      <c r="A353" s="700">
        <f t="shared" si="36"/>
        <v>0</v>
      </c>
      <c r="B353" s="564">
        <f t="shared" ref="B353:G353" si="76">B48</f>
        <v>310</v>
      </c>
      <c r="C353" s="564" t="str">
        <f t="shared" si="76"/>
        <v>A9</v>
      </c>
      <c r="D353" s="564">
        <f t="shared" si="76"/>
        <v>0</v>
      </c>
      <c r="E353" s="564" t="str">
        <f t="shared" si="76"/>
        <v>Erwin Cardona</v>
      </c>
      <c r="F353" s="581" t="str">
        <f t="shared" si="76"/>
        <v>Fernando Javier Rosales Gramajo</v>
      </c>
      <c r="G353" s="566">
        <f t="shared" si="76"/>
        <v>46000</v>
      </c>
      <c r="H353" s="716">
        <f>IF(OR(status1B5!I48="",H$7="No aplica"),0,SUM('BOULEVARD 5'!$K46:K46)-$AP353)</f>
        <v>0</v>
      </c>
      <c r="I353" s="716">
        <f>IF(OR(status1B5!J48="",I$7="No aplica"),0,SUM('BOULEVARD 5'!$K46:L46)-$AP353)</f>
        <v>0</v>
      </c>
      <c r="J353" s="716">
        <f>IF(OR(status1B5!K48="",J$7="No aplica"),0,SUM('BOULEVARD 5'!$K46:M46)-$AP353)</f>
        <v>0</v>
      </c>
      <c r="K353" s="716">
        <f>IF(OR(status1B5!L48="",K$7="No aplica"),0,SUM('BOULEVARD 5'!$K46:N46)-$AP353)</f>
        <v>0</v>
      </c>
      <c r="L353" s="716">
        <f>IF(OR(status1B5!M48="",L$7="No aplica"),0,SUM('BOULEVARD 5'!$K46:O46)-$AP353)</f>
        <v>0</v>
      </c>
      <c r="M353" s="716">
        <f>IF(OR(status1B5!N48="",M$7="No aplica"),0,SUM('BOULEVARD 5'!$K46:P46)-$AP353)</f>
        <v>0</v>
      </c>
      <c r="N353" s="716">
        <f>IF(OR(status1B5!O48="",N$7="No aplica"),0,SUM('BOULEVARD 5'!$K46:Q46)-$AP353)</f>
        <v>0</v>
      </c>
      <c r="O353" s="716">
        <f>IF(OR(status1B5!P48="",O$7="No aplica"),0,SUM('BOULEVARD 5'!$K46:R46)-$AP353)</f>
        <v>0</v>
      </c>
      <c r="P353" s="716">
        <f>IF(OR(status1B5!Q48="",P$7="No aplica"),0,SUM('BOULEVARD 5'!$K46:S46)-$AP353)</f>
        <v>0</v>
      </c>
      <c r="Q353" s="716">
        <f>IF(OR(status1B5!R48="",Q$7="No aplica"),0,SUM('BOULEVARD 5'!$K46:T46)-$AP353)</f>
        <v>0</v>
      </c>
      <c r="R353" s="716">
        <f>IF(OR(status1B5!S48="",R$7="No aplica"),0,SUM('BOULEVARD 5'!$K46:U46)-$AP353)</f>
        <v>0</v>
      </c>
      <c r="S353" s="716">
        <f>IF(OR(status1B5!T48="",S$7="No aplica"),0,SUM('BOULEVARD 5'!$K46:V46)-$AP353)</f>
        <v>0</v>
      </c>
      <c r="T353" s="716">
        <f>IF(OR(status1B5!U48="",T$7="No aplica"),0,SUM('BOULEVARD 5'!$K46:W46)-$AP353)</f>
        <v>0</v>
      </c>
      <c r="U353" s="716">
        <f>IF(OR(status1B5!V48="",U$7="No aplica"),0,SUM('BOULEVARD 5'!$K46:X46)-$AP353)</f>
        <v>0</v>
      </c>
      <c r="V353" s="716">
        <f>IF(OR(status1B5!W48="",V$7="No aplica"),0,SUM('BOULEVARD 5'!$K46:Y46)-$AP353)</f>
        <v>0</v>
      </c>
      <c r="W353" s="716">
        <f>IF(OR(status1B5!X48="",W$7="No aplica"),0,SUM('BOULEVARD 5'!$K46:Z46)-$AP353)</f>
        <v>0</v>
      </c>
      <c r="X353" s="716">
        <f>IF(OR(status1B5!Y48="",X$7="No aplica"),0,SUM('BOULEVARD 5'!$K46:AA46)-$AP353)</f>
        <v>0</v>
      </c>
      <c r="Y353" s="716">
        <f>IF(OR(status1B5!Z48="",Y$7="No aplica"),0,SUM('BOULEVARD 5'!$K46:AB46)-$AP353)</f>
        <v>0</v>
      </c>
      <c r="Z353" s="716">
        <f>IF(OR(status1B5!AA48="",Z$7="No aplica"),0,SUM('BOULEVARD 5'!$K46:AC46)-$AP353)</f>
        <v>0</v>
      </c>
      <c r="AA353" s="716">
        <f>IF(OR(status1B5!AB48="",AA$7="No aplica"),0,SUM('BOULEVARD 5'!$K46:AD46)-$AP353)</f>
        <v>0</v>
      </c>
      <c r="AB353" s="716">
        <f>IF(OR(status1B5!AC48="",AB$7="No aplica"),0,SUM('BOULEVARD 5'!$K46:AE46)-$AP353)</f>
        <v>0</v>
      </c>
      <c r="AC353" s="716">
        <f>IF(OR(status1B5!AD48="",AC$7="No aplica"),0,SUM('BOULEVARD 5'!$K46:AF46)-$AP353)</f>
        <v>0</v>
      </c>
      <c r="AD353" s="716">
        <f>IF(OR(status1B5!AE48="",AD$7="No aplica"),0,SUM('BOULEVARD 5'!$K46:AG46)-$AP353)</f>
        <v>0</v>
      </c>
      <c r="AE353" s="716">
        <f>IF(OR(status1B5!AF48="",AE$7="No aplica"),0,SUM('BOULEVARD 5'!$K46:AH46)-$AP353)</f>
        <v>0</v>
      </c>
      <c r="AF353" s="716">
        <f>IF(OR(status1B5!AG48="",AF$7="No aplica"),0,SUM('BOULEVARD 5'!$K46:AI46)-$AP353)</f>
        <v>0</v>
      </c>
      <c r="AG353" s="716">
        <f>IF(OR(status1B5!AH48="",AG$7="No aplica"),0,SUM('BOULEVARD 5'!$K46:AJ46)-$AP353)</f>
        <v>0</v>
      </c>
      <c r="AH353" s="716">
        <f>IF(OR(status1B5!AI48="",AH$7="No aplica"),0,SUM('BOULEVARD 5'!$K46:AK46)-$AP353)</f>
        <v>0</v>
      </c>
      <c r="AI353" s="716">
        <f>IF(OR(status1B5!AJ48="",AI$7="No aplica"),0,SUM('BOULEVARD 5'!$K46:AL46)-$AP353)</f>
        <v>0</v>
      </c>
      <c r="AJ353" s="716">
        <f>IF(OR(status1B5!AK48="",AJ$7="No aplica"),0,SUM('BOULEVARD 5'!$K46:AM46)-$AP353)</f>
        <v>0</v>
      </c>
      <c r="AK353" s="716">
        <f>IF(OR(status1B5!AL48="",AK$7="No aplica"),0,SUM('BOULEVARD 5'!$K46:AN46)-$AP353)</f>
        <v>0</v>
      </c>
      <c r="AL353" s="716">
        <f>IF(OR(status1B5!AM48="",AL$7="No aplica"),0,SUM('BOULEVARD 5'!$K46:AO46)-$AP353)</f>
        <v>0</v>
      </c>
      <c r="AM353" s="716">
        <f>IF(OR(status1B5!AN48="",AM$7="No aplica"),0,SUM('BOULEVARD 5'!$K46:AP46)-$AP353)</f>
        <v>0</v>
      </c>
      <c r="AN353" s="716">
        <f>IF(OR(status1B5!AO48="",AN$7="No aplica"),0,SUM('BOULEVARD 5'!$K46:AQ46)-$AP353)</f>
        <v>0</v>
      </c>
      <c r="AO353" s="716">
        <f>IF(OR(status1B5!AP48="",AO$7="No aplica"),0,SUM('BOULEVARD 5'!$K46:AS46)-$AP353)</f>
        <v>0</v>
      </c>
      <c r="AP353" s="717">
        <f>'BOULEVARD PPTO'!BC41</f>
        <v>0</v>
      </c>
      <c r="AQ353" s="717">
        <f>'BOULEVARD 5'!AT46</f>
        <v>10000</v>
      </c>
      <c r="AR353" s="717">
        <f t="shared" si="38"/>
        <v>10000</v>
      </c>
      <c r="AS353" s="717"/>
      <c r="AT353" s="581"/>
    </row>
    <row r="354" spans="1:46" ht="13.15" customHeight="1" outlineLevel="1" x14ac:dyDescent="0.25">
      <c r="A354" s="700" t="str">
        <f t="shared" si="36"/>
        <v>CE</v>
      </c>
      <c r="B354" s="708">
        <f t="shared" ref="B354:G354" si="77">B49</f>
        <v>311</v>
      </c>
      <c r="C354" s="564" t="str">
        <f t="shared" si="77"/>
        <v>C9</v>
      </c>
      <c r="D354" s="707" t="str">
        <f t="shared" si="77"/>
        <v>ENGANCHE CANCELADO</v>
      </c>
      <c r="E354" s="564" t="str">
        <f t="shared" si="77"/>
        <v>Diana Alvarez</v>
      </c>
      <c r="F354" s="581" t="str">
        <f t="shared" si="77"/>
        <v>Miguel Angel Teletor Riz</v>
      </c>
      <c r="G354" s="566">
        <f t="shared" si="77"/>
        <v>45562</v>
      </c>
      <c r="H354" s="716">
        <f>IF(OR(status1B5!I49="",H$7="No aplica"),0,SUM('BOULEVARD 5'!$K47:K47)-$AP354)</f>
        <v>0</v>
      </c>
      <c r="I354" s="716">
        <f>IF(OR(status1B5!J49="",I$7="No aplica"),0,SUM('BOULEVARD 5'!$K47:L47)-$AP354)</f>
        <v>0</v>
      </c>
      <c r="J354" s="716">
        <f>IF(OR(status1B5!K49="",J$7="No aplica"),0,SUM('BOULEVARD 5'!$K47:M47)-$AP354)</f>
        <v>0</v>
      </c>
      <c r="K354" s="716">
        <f>IF(OR(status1B5!L49="",K$7="No aplica"),0,SUM('BOULEVARD 5'!$K47:N47)-$AP354)</f>
        <v>0</v>
      </c>
      <c r="L354" s="716">
        <f>IF(OR(status1B5!M49="",L$7="No aplica"),0,SUM('BOULEVARD 5'!$K47:O47)-$AP354)</f>
        <v>0</v>
      </c>
      <c r="M354" s="716">
        <f>IF(OR(status1B5!N49="",M$7="No aplica"),0,SUM('BOULEVARD 5'!$K47:P47)-$AP354)</f>
        <v>0</v>
      </c>
      <c r="N354" s="716">
        <f>IF(OR(status1B5!O49="",N$7="No aplica"),0,SUM('BOULEVARD 5'!$K47:Q47)-$AP354)</f>
        <v>0</v>
      </c>
      <c r="O354" s="716">
        <f>IF(OR(status1B5!P49="",O$7="No aplica"),0,SUM('BOULEVARD 5'!$K47:R47)-$AP354)</f>
        <v>0</v>
      </c>
      <c r="P354" s="716">
        <f>IF(OR(status1B5!Q49="",P$7="No aplica"),0,SUM('BOULEVARD 5'!$K47:S47)-$AP354)</f>
        <v>0</v>
      </c>
      <c r="Q354" s="716">
        <f>IF(OR(status1B5!R49="",Q$7="No aplica"),0,SUM('BOULEVARD 5'!$K47:T47)-$AP354)</f>
        <v>0</v>
      </c>
      <c r="R354" s="716">
        <f>IF(OR(status1B5!S49="",R$7="No aplica"),0,SUM('BOULEVARD 5'!$K47:U47)-$AP354)</f>
        <v>0</v>
      </c>
      <c r="S354" s="716">
        <f>IF(OR(status1B5!T49="",S$7="No aplica"),0,SUM('BOULEVARD 5'!$K47:V47)-$AP354)</f>
        <v>0</v>
      </c>
      <c r="T354" s="716">
        <f>IF(OR(status1B5!U49="",T$7="No aplica"),0,SUM('BOULEVARD 5'!$K47:W47)-$AP354)</f>
        <v>0</v>
      </c>
      <c r="U354" s="716">
        <f>IF(OR(status1B5!V49="",U$7="No aplica"),0,SUM('BOULEVARD 5'!$K47:X47)-$AP354)</f>
        <v>0</v>
      </c>
      <c r="V354" s="716">
        <f>IF(OR(status1B5!W49="",V$7="No aplica"),0,SUM('BOULEVARD 5'!$K47:Y47)-$AP354)</f>
        <v>0</v>
      </c>
      <c r="W354" s="716">
        <f>IF(OR(status1B5!X49="",W$7="No aplica"),0,SUM('BOULEVARD 5'!$K47:Z47)-$AP354)</f>
        <v>0</v>
      </c>
      <c r="X354" s="716">
        <f>IF(OR(status1B5!Y49="",X$7="No aplica"),0,SUM('BOULEVARD 5'!$K47:AA47)-$AP354)</f>
        <v>0</v>
      </c>
      <c r="Y354" s="716">
        <f>IF(OR(status1B5!Z49="",Y$7="No aplica"),0,SUM('BOULEVARD 5'!$K47:AB47)-$AP354)</f>
        <v>0</v>
      </c>
      <c r="Z354" s="716">
        <f>IF(OR(status1B5!AA49="",Z$7="No aplica"),0,SUM('BOULEVARD 5'!$K47:AC47)-$AP354)</f>
        <v>-139140</v>
      </c>
      <c r="AA354" s="716">
        <f>IF(OR(status1B5!AB49="",AA$7="No aplica"),0,SUM('BOULEVARD 5'!$K47:AD47)-$AP354)</f>
        <v>-129140</v>
      </c>
      <c r="AB354" s="716">
        <f>IF(OR(status1B5!AC49="",AB$7="No aplica"),0,SUM('BOULEVARD 5'!$K47:AE47)-$AP354)</f>
        <v>0</v>
      </c>
      <c r="AC354" s="716">
        <f>IF(OR(status1B5!AD49="",AC$7="No aplica"),0,SUM('BOULEVARD 5'!$K47:AF47)-$AP354)</f>
        <v>0</v>
      </c>
      <c r="AD354" s="716">
        <f>IF(OR(status1B5!AE49="",AD$7="No aplica"),0,SUM('BOULEVARD 5'!$K47:AG47)-$AP354)</f>
        <v>0</v>
      </c>
      <c r="AE354" s="716">
        <f>IF(OR(status1B5!AF49="",AE$7="No aplica"),0,SUM('BOULEVARD 5'!$K47:AH47)-$AP354)</f>
        <v>0</v>
      </c>
      <c r="AF354" s="716">
        <f>IF(OR(status1B5!AG49="",AF$7="No aplica"),0,SUM('BOULEVARD 5'!$K47:AI47)-$AP354)</f>
        <v>0</v>
      </c>
      <c r="AG354" s="716">
        <f>IF(OR(status1B5!AH49="",AG$7="No aplica"),0,SUM('BOULEVARD 5'!$K47:AJ47)-$AP354)</f>
        <v>0</v>
      </c>
      <c r="AH354" s="716">
        <f>IF(OR(status1B5!AI49="",AH$7="No aplica"),0,SUM('BOULEVARD 5'!$K47:AK47)-$AP354)</f>
        <v>0</v>
      </c>
      <c r="AI354" s="716">
        <f>IF(OR(status1B5!AJ49="",AI$7="No aplica"),0,SUM('BOULEVARD 5'!$K47:AL47)-$AP354)</f>
        <v>0</v>
      </c>
      <c r="AJ354" s="716">
        <f>IF(OR(status1B5!AK49="",AJ$7="No aplica"),0,SUM('BOULEVARD 5'!$K47:AM47)-$AP354)</f>
        <v>0</v>
      </c>
      <c r="AK354" s="716">
        <f>IF(OR(status1B5!AL49="",AK$7="No aplica"),0,SUM('BOULEVARD 5'!$K47:AN47)-$AP354)</f>
        <v>0</v>
      </c>
      <c r="AL354" s="716">
        <f>IF(OR(status1B5!AM49="",AL$7="No aplica"),0,SUM('BOULEVARD 5'!$K47:AO47)-$AP354)</f>
        <v>0</v>
      </c>
      <c r="AM354" s="716">
        <f>IF(OR(status1B5!AN49="",AM$7="No aplica"),0,SUM('BOULEVARD 5'!$K47:AP47)-$AP354)</f>
        <v>0</v>
      </c>
      <c r="AN354" s="716">
        <f>IF(OR(status1B5!AO49="",AN$7="No aplica"),0,SUM('BOULEVARD 5'!$K47:AQ47)-$AP354)</f>
        <v>0</v>
      </c>
      <c r="AO354" s="716">
        <f>IF(OR(status1B5!AP49="",AO$7="No aplica"),0,SUM('BOULEVARD 5'!$K47:AS47)-$AP354)</f>
        <v>0</v>
      </c>
      <c r="AP354" s="717">
        <f>'BOULEVARD PPTO'!BC42</f>
        <v>139140</v>
      </c>
      <c r="AQ354" s="717">
        <f>'BOULEVARD 5'!AT47</f>
        <v>139140</v>
      </c>
      <c r="AR354" s="717">
        <f t="shared" si="38"/>
        <v>0</v>
      </c>
      <c r="AS354" s="717"/>
      <c r="AT354" s="581"/>
    </row>
    <row r="355" spans="1:46" ht="13.15" customHeight="1" outlineLevel="1" x14ac:dyDescent="0.25">
      <c r="A355" s="700">
        <f t="shared" si="36"/>
        <v>0</v>
      </c>
      <c r="B355" s="564">
        <f t="shared" ref="B355:G355" si="78">B50</f>
        <v>312</v>
      </c>
      <c r="C355" s="564" t="str">
        <f t="shared" si="78"/>
        <v>C8</v>
      </c>
      <c r="D355" s="564">
        <f t="shared" si="78"/>
        <v>0</v>
      </c>
      <c r="E355" s="564" t="str">
        <f t="shared" si="78"/>
        <v>Antonio Rada</v>
      </c>
      <c r="F355" s="581" t="str">
        <f t="shared" si="78"/>
        <v>Freddy Alejandro Chinchilla Culajay</v>
      </c>
      <c r="G355" s="566">
        <f t="shared" si="78"/>
        <v>45650</v>
      </c>
      <c r="H355" s="716">
        <f>IF(OR(status1B5!I50="",H$7="No aplica"),0,SUM('BOULEVARD 5'!$K48:K48)-$AP355)</f>
        <v>0</v>
      </c>
      <c r="I355" s="716">
        <f>IF(OR(status1B5!J50="",I$7="No aplica"),0,SUM('BOULEVARD 5'!$K48:L48)-$AP355)</f>
        <v>0</v>
      </c>
      <c r="J355" s="716">
        <f>IF(OR(status1B5!K50="",J$7="No aplica"),0,SUM('BOULEVARD 5'!$K48:M48)-$AP355)</f>
        <v>0</v>
      </c>
      <c r="K355" s="716">
        <f>IF(OR(status1B5!L50="",K$7="No aplica"),0,SUM('BOULEVARD 5'!$K48:N48)-$AP355)</f>
        <v>0</v>
      </c>
      <c r="L355" s="716">
        <f>IF(OR(status1B5!M50="",L$7="No aplica"),0,SUM('BOULEVARD 5'!$K48:O48)-$AP355)</f>
        <v>0</v>
      </c>
      <c r="M355" s="716">
        <f>IF(OR(status1B5!N50="",M$7="No aplica"),0,SUM('BOULEVARD 5'!$K48:P48)-$AP355)</f>
        <v>0</v>
      </c>
      <c r="N355" s="716">
        <f>IF(OR(status1B5!O50="",N$7="No aplica"),0,SUM('BOULEVARD 5'!$K48:Q48)-$AP355)</f>
        <v>0</v>
      </c>
      <c r="O355" s="716">
        <f>IF(OR(status1B5!P50="",O$7="No aplica"),0,SUM('BOULEVARD 5'!$K48:R48)-$AP355)</f>
        <v>0</v>
      </c>
      <c r="P355" s="716">
        <f>IF(OR(status1B5!Q50="",P$7="No aplica"),0,SUM('BOULEVARD 5'!$K48:S48)-$AP355)</f>
        <v>0</v>
      </c>
      <c r="Q355" s="716">
        <f>IF(OR(status1B5!R50="",Q$7="No aplica"),0,SUM('BOULEVARD 5'!$K48:T48)-$AP355)</f>
        <v>0</v>
      </c>
      <c r="R355" s="716">
        <f>IF(OR(status1B5!S50="",R$7="No aplica"),0,SUM('BOULEVARD 5'!$K48:U48)-$AP355)</f>
        <v>0</v>
      </c>
      <c r="S355" s="716">
        <f>IF(OR(status1B5!T50="",S$7="No aplica"),0,SUM('BOULEVARD 5'!$K48:V48)-$AP355)</f>
        <v>0</v>
      </c>
      <c r="T355" s="716">
        <f>IF(OR(status1B5!U50="",T$7="No aplica"),0,SUM('BOULEVARD 5'!$K48:W48)-$AP355)</f>
        <v>0</v>
      </c>
      <c r="U355" s="716">
        <f>IF(OR(status1B5!V50="",U$7="No aplica"),0,SUM('BOULEVARD 5'!$K48:X48)-$AP355)</f>
        <v>0</v>
      </c>
      <c r="V355" s="716">
        <f>IF(OR(status1B5!W50="",V$7="No aplica"),0,SUM('BOULEVARD 5'!$K48:Y48)-$AP355)</f>
        <v>0</v>
      </c>
      <c r="W355" s="716">
        <f>IF(OR(status1B5!X50="",W$7="No aplica"),0,SUM('BOULEVARD 5'!$K48:Z48)-$AP355)</f>
        <v>0</v>
      </c>
      <c r="X355" s="716">
        <f>IF(OR(status1B5!Y50="",X$7="No aplica"),0,SUM('BOULEVARD 5'!$K48:AA48)-$AP355)</f>
        <v>0</v>
      </c>
      <c r="Y355" s="716">
        <f>IF(OR(status1B5!Z50="",Y$7="No aplica"),0,SUM('BOULEVARD 5'!$K48:AB48)-$AP355)</f>
        <v>0</v>
      </c>
      <c r="Z355" s="716">
        <f>IF(OR(status1B5!AA50="",Z$7="No aplica"),0,SUM('BOULEVARD 5'!$K48:AC48)-$AP355)</f>
        <v>0</v>
      </c>
      <c r="AA355" s="716">
        <f>IF(OR(status1B5!AB50="",AA$7="No aplica"),0,SUM('BOULEVARD 5'!$K48:AD48)-$AP355)</f>
        <v>0</v>
      </c>
      <c r="AB355" s="716">
        <f>IF(OR(status1B5!AC50="",AB$7="No aplica"),0,SUM('BOULEVARD 5'!$K48:AE48)-$AP355)</f>
        <v>0</v>
      </c>
      <c r="AC355" s="716">
        <f>IF(OR(status1B5!AD50="",AC$7="No aplica"),0,SUM('BOULEVARD 5'!$K48:AF48)-$AP355)</f>
        <v>-133462.32</v>
      </c>
      <c r="AD355" s="716">
        <f>IF(OR(status1B5!AE50="",AD$7="No aplica"),0,SUM('BOULEVARD 5'!$K48:AG48)-$AP355)</f>
        <v>-133462.32</v>
      </c>
      <c r="AE355" s="716">
        <f>IF(OR(status1B5!AF50="",AE$7="No aplica"),0,SUM('BOULEVARD 5'!$K48:AH48)-$AP355)</f>
        <v>-125611.32</v>
      </c>
      <c r="AF355" s="716">
        <f>IF(OR(status1B5!AG50="",AF$7="No aplica"),0,SUM('BOULEVARD 5'!$K48:AI48)-$AP355)</f>
        <v>-117760.32000000001</v>
      </c>
      <c r="AG355" s="716">
        <f>IF(OR(status1B5!AH50="",AG$7="No aplica"),0,SUM('BOULEVARD 5'!$K48:AJ48)-$AP355)</f>
        <v>-109909.32</v>
      </c>
      <c r="AH355" s="716">
        <f>IF(OR(status1B5!AI50="",AH$7="No aplica"),0,SUM('BOULEVARD 5'!$K48:AK48)-$AP355)</f>
        <v>-102058.32</v>
      </c>
      <c r="AI355" s="716">
        <f>IF(OR(status1B5!AJ50="",AI$7="No aplica"),0,SUM('BOULEVARD 5'!$K48:AL48)-$AP355)</f>
        <v>-94207.32</v>
      </c>
      <c r="AJ355" s="716">
        <f>IF(OR(status1B5!AK50="",AJ$7="No aplica"),0,SUM('BOULEVARD 5'!$K48:AM48)-$AP355)</f>
        <v>-86356.32</v>
      </c>
      <c r="AK355" s="716">
        <f>IF(OR(status1B5!AL50="",AK$7="No aplica"),0,SUM('BOULEVARD 5'!$K48:AN48)-$AP355)</f>
        <v>-78505.320000000007</v>
      </c>
      <c r="AL355" s="716">
        <f>IF(OR(status1B5!AM50="",AL$7="No aplica"),0,SUM('BOULEVARD 5'!$K48:AO48)-$AP355)</f>
        <v>-70654.320000000007</v>
      </c>
      <c r="AM355" s="716">
        <f>IF(OR(status1B5!AN50="",AM$7="No aplica"),0,SUM('BOULEVARD 5'!$K48:AP48)-$AP355)</f>
        <v>-62803.320000000007</v>
      </c>
      <c r="AN355" s="716">
        <f>IF(OR(status1B5!AO50="",AN$7="No aplica"),0,SUM('BOULEVARD 5'!$K48:AQ48)-$AP355)</f>
        <v>0</v>
      </c>
      <c r="AO355" s="716">
        <f>IF(OR(status1B5!AP50="",AO$7="No aplica"),0,SUM('BOULEVARD 5'!$K48:AS48)-$AP355)</f>
        <v>0</v>
      </c>
      <c r="AP355" s="717">
        <f>'BOULEVARD PPTO'!BC43</f>
        <v>141462.32</v>
      </c>
      <c r="AQ355" s="717">
        <f>'BOULEVARD 5'!AT48</f>
        <v>102212</v>
      </c>
      <c r="AR355" s="717">
        <f t="shared" si="38"/>
        <v>-39250.320000000007</v>
      </c>
      <c r="AS355" s="717"/>
      <c r="AT355" s="581"/>
    </row>
    <row r="356" spans="1:46" ht="13.15" customHeight="1" outlineLevel="1" x14ac:dyDescent="0.25">
      <c r="A356" s="700">
        <f t="shared" si="36"/>
        <v>0</v>
      </c>
      <c r="B356" s="564">
        <f t="shared" ref="B356:G356" si="79">B51</f>
        <v>313</v>
      </c>
      <c r="C356" s="564" t="str">
        <f t="shared" si="79"/>
        <v>B4</v>
      </c>
      <c r="D356" s="564">
        <f t="shared" si="79"/>
        <v>0</v>
      </c>
      <c r="E356" s="564" t="str">
        <f t="shared" si="79"/>
        <v>Antonio Rada</v>
      </c>
      <c r="F356" s="581" t="str">
        <f t="shared" si="79"/>
        <v>Leslly Franzoli Cortez Avila</v>
      </c>
      <c r="G356" s="566">
        <f t="shared" si="79"/>
        <v>45419</v>
      </c>
      <c r="H356" s="716">
        <f>IF(OR(status1B5!I51="",H$7="No aplica"),0,SUM('BOULEVARD 5'!$K49:K49)-$AP356)</f>
        <v>0</v>
      </c>
      <c r="I356" s="716">
        <f>IF(OR(status1B5!J51="",I$7="No aplica"),0,SUM('BOULEVARD 5'!$K49:L49)-$AP356)</f>
        <v>0</v>
      </c>
      <c r="J356" s="716">
        <f>IF(OR(status1B5!K51="",J$7="No aplica"),0,SUM('BOULEVARD 5'!$K49:M49)-$AP356)</f>
        <v>0</v>
      </c>
      <c r="K356" s="716">
        <f>IF(OR(status1B5!L51="",K$7="No aplica"),0,SUM('BOULEVARD 5'!$K49:N49)-$AP356)</f>
        <v>0</v>
      </c>
      <c r="L356" s="716">
        <f>IF(OR(status1B5!M51="",L$7="No aplica"),0,SUM('BOULEVARD 5'!$K49:O49)-$AP356)</f>
        <v>0</v>
      </c>
      <c r="M356" s="716">
        <f>IF(OR(status1B5!N51="",M$7="No aplica"),0,SUM('BOULEVARD 5'!$K49:P49)-$AP356)</f>
        <v>0</v>
      </c>
      <c r="N356" s="716">
        <f>IF(OR(status1B5!O51="",N$7="No aplica"),0,SUM('BOULEVARD 5'!$K49:Q49)-$AP356)</f>
        <v>0</v>
      </c>
      <c r="O356" s="716">
        <f>IF(OR(status1B5!P51="",O$7="No aplica"),0,SUM('BOULEVARD 5'!$K49:R49)-$AP356)</f>
        <v>0</v>
      </c>
      <c r="P356" s="716">
        <f>IF(OR(status1B5!Q51="",P$7="No aplica"),0,SUM('BOULEVARD 5'!$K49:S49)-$AP356)</f>
        <v>0</v>
      </c>
      <c r="Q356" s="716">
        <f>IF(OR(status1B5!R51="",Q$7="No aplica"),0,SUM('BOULEVARD 5'!$K49:T49)-$AP356)</f>
        <v>0</v>
      </c>
      <c r="R356" s="716">
        <f>IF(OR(status1B5!S51="",R$7="No aplica"),0,SUM('BOULEVARD 5'!$K49:U49)-$AP356)</f>
        <v>0</v>
      </c>
      <c r="S356" s="716">
        <f>IF(OR(status1B5!T51="",S$7="No aplica"),0,SUM('BOULEVARD 5'!$K49:V49)-$AP356)</f>
        <v>0</v>
      </c>
      <c r="T356" s="716">
        <f>IF(OR(status1B5!U51="",T$7="No aplica"),0,SUM('BOULEVARD 5'!$K49:W49)-$AP356)</f>
        <v>0</v>
      </c>
      <c r="U356" s="716">
        <f>IF(OR(status1B5!V51="",U$7="No aplica"),0,SUM('BOULEVARD 5'!$K49:X49)-$AP356)</f>
        <v>0</v>
      </c>
      <c r="V356" s="716">
        <f>IF(OR(status1B5!W51="",V$7="No aplica"),0,SUM('BOULEVARD 5'!$K49:Y49)-$AP356)</f>
        <v>-100800</v>
      </c>
      <c r="W356" s="716">
        <f>IF(OR(status1B5!X51="",W$7="No aplica"),0,SUM('BOULEVARD 5'!$K49:Z49)-$AP356)</f>
        <v>-96547</v>
      </c>
      <c r="X356" s="716">
        <f>IF(OR(status1B5!Y51="",X$7="No aplica"),0,SUM('BOULEVARD 5'!$K49:AA49)-$AP356)</f>
        <v>-72294</v>
      </c>
      <c r="Y356" s="716">
        <f>IF(OR(status1B5!Z51="",Y$7="No aplica"),0,SUM('BOULEVARD 5'!$K49:AB49)-$AP356)</f>
        <v>-68041</v>
      </c>
      <c r="Z356" s="716">
        <f>IF(OR(status1B5!AA51="",Z$7="No aplica"),0,SUM('BOULEVARD 5'!$K49:AC49)-$AP356)</f>
        <v>-63788</v>
      </c>
      <c r="AA356" s="716">
        <f>IF(OR(status1B5!AB51="",AA$7="No aplica"),0,SUM('BOULEVARD 5'!$K49:AD49)-$AP356)</f>
        <v>-55282</v>
      </c>
      <c r="AB356" s="716">
        <f>IF(OR(status1B5!AC51="",AB$7="No aplica"),0,SUM('BOULEVARD 5'!$K49:AE49)-$AP356)</f>
        <v>-55282</v>
      </c>
      <c r="AC356" s="716">
        <f>IF(OR(status1B5!AD51="",AC$7="No aplica"),0,SUM('BOULEVARD 5'!$K49:AF49)-$AP356)</f>
        <v>-51029</v>
      </c>
      <c r="AD356" s="716">
        <f>IF(OR(status1B5!AE51="",AD$7="No aplica"),0,SUM('BOULEVARD 5'!$K49:AG49)-$AP356)</f>
        <v>-46776</v>
      </c>
      <c r="AE356" s="716">
        <f>IF(OR(status1B5!AF51="",AE$7="No aplica"),0,SUM('BOULEVARD 5'!$K49:AH49)-$AP356)</f>
        <v>-42523</v>
      </c>
      <c r="AF356" s="716">
        <f>IF(OR(status1B5!AG51="",AF$7="No aplica"),0,SUM('BOULEVARD 5'!$K49:AI49)-$AP356)</f>
        <v>-38270</v>
      </c>
      <c r="AG356" s="716">
        <f>IF(OR(status1B5!AH51="",AG$7="No aplica"),0,SUM('BOULEVARD 5'!$K49:AJ49)-$AP356)</f>
        <v>-29764</v>
      </c>
      <c r="AH356" s="716">
        <f>IF(OR(status1B5!AI51="",AH$7="No aplica"),0,SUM('BOULEVARD 5'!$K49:AK49)-$AP356)</f>
        <v>-29764</v>
      </c>
      <c r="AI356" s="716">
        <f>IF(OR(status1B5!AJ51="",AI$7="No aplica"),0,SUM('BOULEVARD 5'!$K49:AL49)-$AP356)</f>
        <v>-25511</v>
      </c>
      <c r="AJ356" s="716">
        <f>IF(OR(status1B5!AK51="",AJ$7="No aplica"),0,SUM('BOULEVARD 5'!$K49:AM49)-$AP356)</f>
        <v>-21258</v>
      </c>
      <c r="AK356" s="716">
        <f>IF(OR(status1B5!AL51="",AK$7="No aplica"),0,SUM('BOULEVARD 5'!$K49:AN49)-$AP356)</f>
        <v>-12752</v>
      </c>
      <c r="AL356" s="716">
        <f>IF(OR(status1B5!AM51="",AL$7="No aplica"),0,SUM('BOULEVARD 5'!$K49:AO49)-$AP356)</f>
        <v>-12752</v>
      </c>
      <c r="AM356" s="716">
        <f>IF(OR(status1B5!AN51="",AM$7="No aplica"),0,SUM('BOULEVARD 5'!$K49:AP49)-$AP356)</f>
        <v>-4246</v>
      </c>
      <c r="AN356" s="716">
        <f>IF(OR(status1B5!AO51="",AN$7="No aplica"),0,SUM('BOULEVARD 5'!$K49:AQ49)-$AP356)</f>
        <v>0</v>
      </c>
      <c r="AO356" s="716">
        <f>IF(OR(status1B5!AP51="",AO$7="No aplica"),0,SUM('BOULEVARD 5'!$K49:AS49)-$AP356)</f>
        <v>0</v>
      </c>
      <c r="AP356" s="717">
        <f>'BOULEVARD PPTO'!BC44</f>
        <v>108800</v>
      </c>
      <c r="AQ356" s="717">
        <f>'BOULEVARD 5'!AT49</f>
        <v>108807</v>
      </c>
      <c r="AR356" s="717">
        <f t="shared" si="38"/>
        <v>7</v>
      </c>
      <c r="AS356" s="717"/>
      <c r="AT356" s="581"/>
    </row>
    <row r="357" spans="1:46" ht="13.15" customHeight="1" outlineLevel="1" x14ac:dyDescent="0.25">
      <c r="A357" s="700">
        <f t="shared" si="36"/>
        <v>0</v>
      </c>
      <c r="B357" s="564">
        <f t="shared" ref="B357:G357" si="80">B52</f>
        <v>314</v>
      </c>
      <c r="C357" s="564" t="str">
        <f t="shared" si="80"/>
        <v>B3</v>
      </c>
      <c r="D357" s="564">
        <f t="shared" si="80"/>
        <v>0</v>
      </c>
      <c r="E357" s="564" t="str">
        <f t="shared" si="80"/>
        <v>Laura Molina</v>
      </c>
      <c r="F357" s="581" t="str">
        <f t="shared" si="80"/>
        <v>Arcely Contreras</v>
      </c>
      <c r="G357" s="566">
        <f t="shared" si="80"/>
        <v>45880</v>
      </c>
      <c r="H357" s="716">
        <f>IF(OR(status1B5!I52="",H$7="No aplica"),0,SUM('BOULEVARD 5'!$K50:K50)-$AP357)</f>
        <v>0</v>
      </c>
      <c r="I357" s="716">
        <f>IF(OR(status1B5!J52="",I$7="No aplica"),0,SUM('BOULEVARD 5'!$K50:L50)-$AP357)</f>
        <v>0</v>
      </c>
      <c r="J357" s="716">
        <f>IF(OR(status1B5!K52="",J$7="No aplica"),0,SUM('BOULEVARD 5'!$K50:M50)-$AP357)</f>
        <v>0</v>
      </c>
      <c r="K357" s="716">
        <f>IF(OR(status1B5!L52="",K$7="No aplica"),0,SUM('BOULEVARD 5'!$K50:N50)-$AP357)</f>
        <v>0</v>
      </c>
      <c r="L357" s="716">
        <f>IF(OR(status1B5!M52="",L$7="No aplica"),0,SUM('BOULEVARD 5'!$K50:O50)-$AP357)</f>
        <v>0</v>
      </c>
      <c r="M357" s="716">
        <f>IF(OR(status1B5!N52="",M$7="No aplica"),0,SUM('BOULEVARD 5'!$K50:P50)-$AP357)</f>
        <v>0</v>
      </c>
      <c r="N357" s="716">
        <f>IF(OR(status1B5!O52="",N$7="No aplica"),0,SUM('BOULEVARD 5'!$K50:Q50)-$AP357)</f>
        <v>0</v>
      </c>
      <c r="O357" s="716">
        <f>IF(OR(status1B5!P52="",O$7="No aplica"),0,SUM('BOULEVARD 5'!$K50:R50)-$AP357)</f>
        <v>0</v>
      </c>
      <c r="P357" s="716">
        <f>IF(OR(status1B5!Q52="",P$7="No aplica"),0,SUM('BOULEVARD 5'!$K50:S50)-$AP357)</f>
        <v>0</v>
      </c>
      <c r="Q357" s="716">
        <f>IF(OR(status1B5!R52="",Q$7="No aplica"),0,SUM('BOULEVARD 5'!$K50:T50)-$AP357)</f>
        <v>0</v>
      </c>
      <c r="R357" s="716">
        <f>IF(OR(status1B5!S52="",R$7="No aplica"),0,SUM('BOULEVARD 5'!$K50:U50)-$AP357)</f>
        <v>0</v>
      </c>
      <c r="S357" s="716">
        <f>IF(OR(status1B5!T52="",S$7="No aplica"),0,SUM('BOULEVARD 5'!$K50:V50)-$AP357)</f>
        <v>0</v>
      </c>
      <c r="T357" s="716">
        <f>IF(OR(status1B5!U52="",T$7="No aplica"),0,SUM('BOULEVARD 5'!$K50:W50)-$AP357)</f>
        <v>0</v>
      </c>
      <c r="U357" s="716">
        <f>IF(OR(status1B5!V52="",U$7="No aplica"),0,SUM('BOULEVARD 5'!$K50:X50)-$AP357)</f>
        <v>0</v>
      </c>
      <c r="V357" s="716">
        <f>IF(OR(status1B5!W52="",V$7="No aplica"),0,SUM('BOULEVARD 5'!$K50:Y50)-$AP357)</f>
        <v>0</v>
      </c>
      <c r="W357" s="716">
        <f>IF(OR(status1B5!X52="",W$7="No aplica"),0,SUM('BOULEVARD 5'!$K50:Z50)-$AP357)</f>
        <v>0</v>
      </c>
      <c r="X357" s="716">
        <f>IF(OR(status1B5!Y52="",X$7="No aplica"),0,SUM('BOULEVARD 5'!$K50:AA50)-$AP357)</f>
        <v>0</v>
      </c>
      <c r="Y357" s="716">
        <f>IF(OR(status1B5!Z52="",Y$7="No aplica"),0,SUM('BOULEVARD 5'!$K50:AB50)-$AP357)</f>
        <v>0</v>
      </c>
      <c r="Z357" s="716">
        <f>IF(OR(status1B5!AA52="",Z$7="No aplica"),0,SUM('BOULEVARD 5'!$K50:AC50)-$AP357)</f>
        <v>0</v>
      </c>
      <c r="AA357" s="716">
        <f>IF(OR(status1B5!AB52="",AA$7="No aplica"),0,SUM('BOULEVARD 5'!$K50:AD50)-$AP357)</f>
        <v>0</v>
      </c>
      <c r="AB357" s="716">
        <f>IF(OR(status1B5!AC52="",AB$7="No aplica"),0,SUM('BOULEVARD 5'!$K50:AE50)-$AP357)</f>
        <v>0</v>
      </c>
      <c r="AC357" s="716">
        <f>IF(OR(status1B5!AD52="",AC$7="No aplica"),0,SUM('BOULEVARD 5'!$K50:AF50)-$AP357)</f>
        <v>0</v>
      </c>
      <c r="AD357" s="716">
        <f>IF(OR(status1B5!AE52="",AD$7="No aplica"),0,SUM('BOULEVARD 5'!$K50:AG50)-$AP357)</f>
        <v>0</v>
      </c>
      <c r="AE357" s="716">
        <f>IF(OR(status1B5!AF52="",AE$7="No aplica"),0,SUM('BOULEVARD 5'!$K50:AH50)-$AP357)</f>
        <v>0</v>
      </c>
      <c r="AF357" s="716">
        <f>IF(OR(status1B5!AG52="",AF$7="No aplica"),0,SUM('BOULEVARD 5'!$K50:AI50)-$AP357)</f>
        <v>0</v>
      </c>
      <c r="AG357" s="716">
        <f>IF(OR(status1B5!AH52="",AG$7="No aplica"),0,SUM('BOULEVARD 5'!$K50:AJ50)-$AP357)</f>
        <v>0</v>
      </c>
      <c r="AH357" s="716">
        <f>IF(OR(status1B5!AI52="",AH$7="No aplica"),0,SUM('BOULEVARD 5'!$K50:AK50)-$AP357)</f>
        <v>0</v>
      </c>
      <c r="AI357" s="716">
        <f>IF(OR(status1B5!AJ52="",AI$7="No aplica"),0,SUM('BOULEVARD 5'!$K50:AL50)-$AP357)</f>
        <v>0</v>
      </c>
      <c r="AJ357" s="716">
        <f>IF(OR(status1B5!AK52="",AJ$7="No aplica"),0,SUM('BOULEVARD 5'!$K50:AM50)-$AP357)</f>
        <v>0</v>
      </c>
      <c r="AK357" s="716">
        <f>IF(OR(status1B5!AL52="",AK$7="No aplica"),0,SUM('BOULEVARD 5'!$K50:AN50)-$AP357)</f>
        <v>10000</v>
      </c>
      <c r="AL357" s="716">
        <f>IF(OR(status1B5!AM52="",AL$7="No aplica"),0,SUM('BOULEVARD 5'!$K50:AO50)-$AP357)</f>
        <v>16774.830000000002</v>
      </c>
      <c r="AM357" s="716">
        <f>IF(OR(status1B5!AN52="",AM$7="No aplica"),0,SUM('BOULEVARD 5'!$K50:AP50)-$AP357)</f>
        <v>23549.660000000003</v>
      </c>
      <c r="AN357" s="716">
        <f>IF(OR(status1B5!AO52="",AN$7="No aplica"),0,SUM('BOULEVARD 5'!$K50:AQ50)-$AP357)</f>
        <v>0</v>
      </c>
      <c r="AO357" s="716">
        <f>IF(OR(status1B5!AP52="",AO$7="No aplica"),0,SUM('BOULEVARD 5'!$K50:AS50)-$AP357)</f>
        <v>0</v>
      </c>
      <c r="AP357" s="717">
        <f>'BOULEVARD PPTO'!BC45</f>
        <v>0</v>
      </c>
      <c r="AQ357" s="717">
        <f>'BOULEVARD 5'!AT50</f>
        <v>43874.150000000009</v>
      </c>
      <c r="AR357" s="717">
        <f t="shared" si="38"/>
        <v>43874.150000000009</v>
      </c>
      <c r="AS357" s="717"/>
      <c r="AT357" s="581"/>
    </row>
    <row r="358" spans="1:46" ht="13.15" customHeight="1" outlineLevel="1" x14ac:dyDescent="0.25">
      <c r="A358" s="700">
        <f t="shared" si="36"/>
        <v>0</v>
      </c>
      <c r="B358" s="564">
        <f t="shared" ref="B358:G358" si="81">B53</f>
        <v>315</v>
      </c>
      <c r="C358" s="564" t="str">
        <f t="shared" si="81"/>
        <v>E1</v>
      </c>
      <c r="D358" s="564">
        <f t="shared" si="81"/>
        <v>0</v>
      </c>
      <c r="E358" s="564" t="str">
        <f t="shared" si="81"/>
        <v>Sofia Paredes</v>
      </c>
      <c r="F358" s="581" t="str">
        <f t="shared" si="81"/>
        <v>Lilian America Roldan Ochoa</v>
      </c>
      <c r="G358" s="566">
        <f t="shared" si="81"/>
        <v>45752</v>
      </c>
      <c r="H358" s="716">
        <f>IF(OR(status1B5!I53="",H$7="No aplica"),0,SUM('BOULEVARD 5'!$K51:K51)-$AP358)</f>
        <v>0</v>
      </c>
      <c r="I358" s="716">
        <f>IF(OR(status1B5!J53="",I$7="No aplica"),0,SUM('BOULEVARD 5'!$K51:L51)-$AP358)</f>
        <v>0</v>
      </c>
      <c r="J358" s="716">
        <f>IF(OR(status1B5!K53="",J$7="No aplica"),0,SUM('BOULEVARD 5'!$K51:M51)-$AP358)</f>
        <v>0</v>
      </c>
      <c r="K358" s="716">
        <f>IF(OR(status1B5!L53="",K$7="No aplica"),0,SUM('BOULEVARD 5'!$K51:N51)-$AP358)</f>
        <v>0</v>
      </c>
      <c r="L358" s="716">
        <f>IF(OR(status1B5!M53="",L$7="No aplica"),0,SUM('BOULEVARD 5'!$K51:O51)-$AP358)</f>
        <v>0</v>
      </c>
      <c r="M358" s="716">
        <f>IF(OR(status1B5!N53="",M$7="No aplica"),0,SUM('BOULEVARD 5'!$K51:P51)-$AP358)</f>
        <v>0</v>
      </c>
      <c r="N358" s="716">
        <f>IF(OR(status1B5!O53="",N$7="No aplica"),0,SUM('BOULEVARD 5'!$K51:Q51)-$AP358)</f>
        <v>0</v>
      </c>
      <c r="O358" s="716">
        <f>IF(OR(status1B5!P53="",O$7="No aplica"),0,SUM('BOULEVARD 5'!$K51:R51)-$AP358)</f>
        <v>0</v>
      </c>
      <c r="P358" s="716">
        <f>IF(OR(status1B5!Q53="",P$7="No aplica"),0,SUM('BOULEVARD 5'!$K51:S51)-$AP358)</f>
        <v>0</v>
      </c>
      <c r="Q358" s="716">
        <f>IF(OR(status1B5!R53="",Q$7="No aplica"),0,SUM('BOULEVARD 5'!$K51:T51)-$AP358)</f>
        <v>0</v>
      </c>
      <c r="R358" s="716">
        <f>IF(OR(status1B5!S53="",R$7="No aplica"),0,SUM('BOULEVARD 5'!$K51:U51)-$AP358)</f>
        <v>0</v>
      </c>
      <c r="S358" s="716">
        <f>IF(OR(status1B5!T53="",S$7="No aplica"),0,SUM('BOULEVARD 5'!$K51:V51)-$AP358)</f>
        <v>0</v>
      </c>
      <c r="T358" s="716">
        <f>IF(OR(status1B5!U53="",T$7="No aplica"),0,SUM('BOULEVARD 5'!$K51:W51)-$AP358)</f>
        <v>0</v>
      </c>
      <c r="U358" s="716">
        <f>IF(OR(status1B5!V53="",U$7="No aplica"),0,SUM('BOULEVARD 5'!$K51:X51)-$AP358)</f>
        <v>0</v>
      </c>
      <c r="V358" s="716">
        <f>IF(OR(status1B5!W53="",V$7="No aplica"),0,SUM('BOULEVARD 5'!$K51:Y51)-$AP358)</f>
        <v>0</v>
      </c>
      <c r="W358" s="716">
        <f>IF(OR(status1B5!X53="",W$7="No aplica"),0,SUM('BOULEVARD 5'!$K51:Z51)-$AP358)</f>
        <v>0</v>
      </c>
      <c r="X358" s="716">
        <f>IF(OR(status1B5!Y53="",X$7="No aplica"),0,SUM('BOULEVARD 5'!$K51:AA51)-$AP358)</f>
        <v>0</v>
      </c>
      <c r="Y358" s="716">
        <f>IF(OR(status1B5!Z53="",Y$7="No aplica"),0,SUM('BOULEVARD 5'!$K51:AB51)-$AP358)</f>
        <v>0</v>
      </c>
      <c r="Z358" s="716">
        <f>IF(OR(status1B5!AA53="",Z$7="No aplica"),0,SUM('BOULEVARD 5'!$K51:AC51)-$AP358)</f>
        <v>0</v>
      </c>
      <c r="AA358" s="716">
        <f>IF(OR(status1B5!AB53="",AA$7="No aplica"),0,SUM('BOULEVARD 5'!$K51:AD51)-$AP358)</f>
        <v>0</v>
      </c>
      <c r="AB358" s="716">
        <f>IF(OR(status1B5!AC53="",AB$7="No aplica"),0,SUM('BOULEVARD 5'!$K51:AE51)-$AP358)</f>
        <v>0</v>
      </c>
      <c r="AC358" s="716">
        <f>IF(OR(status1B5!AD53="",AC$7="No aplica"),0,SUM('BOULEVARD 5'!$K51:AF51)-$AP358)</f>
        <v>0</v>
      </c>
      <c r="AD358" s="716">
        <f>IF(OR(status1B5!AE53="",AD$7="No aplica"),0,SUM('BOULEVARD 5'!$K51:AG51)-$AP358)</f>
        <v>0</v>
      </c>
      <c r="AE358" s="716">
        <f>IF(OR(status1B5!AF53="",AE$7="No aplica"),0,SUM('BOULEVARD 5'!$K51:AH51)-$AP358)</f>
        <v>0</v>
      </c>
      <c r="AF358" s="716">
        <f>IF(OR(status1B5!AG53="",AF$7="No aplica"),0,SUM('BOULEVARD 5'!$K51:AI51)-$AP358)</f>
        <v>0</v>
      </c>
      <c r="AG358" s="716">
        <f>IF(OR(status1B5!AH53="",AG$7="No aplica"),0,SUM('BOULEVARD 5'!$K51:AJ51)-$AP358)</f>
        <v>-144426.98000000001</v>
      </c>
      <c r="AH358" s="716">
        <f>IF(OR(status1B5!AI53="",AH$7="No aplica"),0,SUM('BOULEVARD 5'!$K51:AK51)-$AP358)</f>
        <v>-134426.98000000001</v>
      </c>
      <c r="AI358" s="716">
        <f>IF(OR(status1B5!AJ53="",AI$7="No aplica"),0,SUM('BOULEVARD 5'!$K51:AL51)-$AP358)</f>
        <v>-134426.98000000001</v>
      </c>
      <c r="AJ358" s="716">
        <f>IF(OR(status1B5!AK53="",AJ$7="No aplica"),0,SUM('BOULEVARD 5'!$K51:AM51)-$AP358)</f>
        <v>-124402.98000000001</v>
      </c>
      <c r="AK358" s="716">
        <f>IF(OR(status1B5!AL53="",AK$7="No aplica"),0,SUM('BOULEVARD 5'!$K51:AN51)-$AP358)</f>
        <v>-112402.98000000001</v>
      </c>
      <c r="AL358" s="716">
        <f>IF(OR(status1B5!AM53="",AL$7="No aplica"),0,SUM('BOULEVARD 5'!$K51:AO51)-$AP358)</f>
        <v>-100402.98000000001</v>
      </c>
      <c r="AM358" s="716">
        <f>IF(OR(status1B5!AN53="",AM$7="No aplica"),0,SUM('BOULEVARD 5'!$K51:AP51)-$AP358)</f>
        <v>-78402.98000000001</v>
      </c>
      <c r="AN358" s="716">
        <f>IF(OR(status1B5!AO53="",AN$7="No aplica"),0,SUM('BOULEVARD 5'!$K51:AQ51)-$AP358)</f>
        <v>0</v>
      </c>
      <c r="AO358" s="716">
        <f>IF(OR(status1B5!AP53="",AO$7="No aplica"),0,SUM('BOULEVARD 5'!$K51:AS51)-$AP358)</f>
        <v>0</v>
      </c>
      <c r="AP358" s="717">
        <f>'BOULEVARD PPTO'!BC46</f>
        <v>154426.98000000001</v>
      </c>
      <c r="AQ358" s="717">
        <f>'BOULEVARD 5'!AT51</f>
        <v>98024</v>
      </c>
      <c r="AR358" s="717">
        <f t="shared" si="38"/>
        <v>-56402.98000000001</v>
      </c>
      <c r="AS358" s="717"/>
      <c r="AT358" s="581"/>
    </row>
    <row r="359" spans="1:46" ht="13.15" customHeight="1" outlineLevel="1" x14ac:dyDescent="0.25">
      <c r="A359" s="700">
        <f t="shared" si="36"/>
        <v>0</v>
      </c>
      <c r="B359" s="564">
        <f t="shared" ref="B359:G359" si="82">B54</f>
        <v>316</v>
      </c>
      <c r="C359" s="564" t="str">
        <f t="shared" si="82"/>
        <v>A4</v>
      </c>
      <c r="D359" s="564">
        <f t="shared" si="82"/>
        <v>0</v>
      </c>
      <c r="E359" s="564" t="str">
        <f t="shared" si="82"/>
        <v>Antonio Rada</v>
      </c>
      <c r="F359" s="581" t="str">
        <f t="shared" si="82"/>
        <v>Allan Omar Alvarado Vásquez</v>
      </c>
      <c r="G359" s="566">
        <f t="shared" si="82"/>
        <v>45228</v>
      </c>
      <c r="H359" s="716">
        <f>IF(OR(status1B5!I54="",H$7="No aplica"),0,SUM('BOULEVARD 5'!$K52:K52)-$AP359)</f>
        <v>0</v>
      </c>
      <c r="I359" s="716">
        <f>IF(OR(status1B5!J54="",I$7="No aplica"),0,SUM('BOULEVARD 5'!$K52:L52)-$AP359)</f>
        <v>0</v>
      </c>
      <c r="J359" s="716">
        <f>IF(OR(status1B5!K54="",J$7="No aplica"),0,SUM('BOULEVARD 5'!$K52:M52)-$AP359)</f>
        <v>0</v>
      </c>
      <c r="K359" s="716">
        <f>IF(OR(status1B5!L54="",K$7="No aplica"),0,SUM('BOULEVARD 5'!$K52:N52)-$AP359)</f>
        <v>0</v>
      </c>
      <c r="L359" s="716">
        <f>IF(OR(status1B5!M54="",L$7="No aplica"),0,SUM('BOULEVARD 5'!$K52:O52)-$AP359)</f>
        <v>0</v>
      </c>
      <c r="M359" s="716">
        <f>IF(OR(status1B5!N54="",M$7="No aplica"),0,SUM('BOULEVARD 5'!$K52:P52)-$AP359)</f>
        <v>0</v>
      </c>
      <c r="N359" s="716">
        <f>IF(OR(status1B5!O54="",N$7="No aplica"),0,SUM('BOULEVARD 5'!$K52:Q52)-$AP359)</f>
        <v>0</v>
      </c>
      <c r="O359" s="716">
        <f>IF(OR(status1B5!P54="",O$7="No aplica"),0,SUM('BOULEVARD 5'!$K52:R52)-$AP359)</f>
        <v>-62896.44</v>
      </c>
      <c r="P359" s="716">
        <f>IF(OR(status1B5!Q54="",P$7="No aplica"),0,SUM('BOULEVARD 5'!$K52:S52)-$AP359)</f>
        <v>-60161.440000000002</v>
      </c>
      <c r="Q359" s="716">
        <f>IF(OR(status1B5!R54="",Q$7="No aplica"),0,SUM('BOULEVARD 5'!$K52:T52)-$AP359)</f>
        <v>-57426.44</v>
      </c>
      <c r="R359" s="716">
        <f>IF(OR(status1B5!S54="",R$7="No aplica"),0,SUM('BOULEVARD 5'!$K52:U52)-$AP359)</f>
        <v>-54691.44</v>
      </c>
      <c r="S359" s="716">
        <f>IF(OR(status1B5!T54="",S$7="No aplica"),0,SUM('BOULEVARD 5'!$K52:V52)-$AP359)</f>
        <v>-51956.44</v>
      </c>
      <c r="T359" s="716">
        <f>IF(OR(status1B5!U54="",T$7="No aplica"),0,SUM('BOULEVARD 5'!$K52:W52)-$AP359)</f>
        <v>-49221.440000000002</v>
      </c>
      <c r="U359" s="716">
        <f>IF(OR(status1B5!V54="",U$7="No aplica"),0,SUM('BOULEVARD 5'!$K52:X52)-$AP359)</f>
        <v>-46486.44</v>
      </c>
      <c r="V359" s="716">
        <f>IF(OR(status1B5!W54="",V$7="No aplica"),0,SUM('BOULEVARD 5'!$K52:Y52)-$AP359)</f>
        <v>-41016.44</v>
      </c>
      <c r="W359" s="716">
        <f>IF(OR(status1B5!X54="",W$7="No aplica"),0,SUM('BOULEVARD 5'!$K52:Z52)-$AP359)</f>
        <v>-38281.440000000002</v>
      </c>
      <c r="X359" s="716">
        <f>IF(OR(status1B5!Y54="",X$7="No aplica"),0,SUM('BOULEVARD 5'!$K52:AA52)-$AP359)</f>
        <v>-38281.440000000002</v>
      </c>
      <c r="Y359" s="716">
        <f>IF(OR(status1B5!Z54="",Y$7="No aplica"),0,SUM('BOULEVARD 5'!$K52:AB52)-$AP359)</f>
        <v>-35546.44</v>
      </c>
      <c r="Z359" s="716">
        <f>IF(OR(status1B5!AA54="",Z$7="No aplica"),0,SUM('BOULEVARD 5'!$K52:AC52)-$AP359)</f>
        <v>-32811.440000000002</v>
      </c>
      <c r="AA359" s="716">
        <f>IF(OR(status1B5!AB54="",AA$7="No aplica"),0,SUM('BOULEVARD 5'!$K52:AD52)-$AP359)</f>
        <v>-30076.440000000002</v>
      </c>
      <c r="AB359" s="716">
        <f>IF(OR(status1B5!AC54="",AB$7="No aplica"),0,SUM('BOULEVARD 5'!$K52:AE52)-$AP359)</f>
        <v>-27341.440000000002</v>
      </c>
      <c r="AC359" s="716">
        <f>IF(OR(status1B5!AD54="",AC$7="No aplica"),0,SUM('BOULEVARD 5'!$K52:AF52)-$AP359)</f>
        <v>-24606.440000000002</v>
      </c>
      <c r="AD359" s="716">
        <f>IF(OR(status1B5!AE54="",AD$7="No aplica"),0,SUM('BOULEVARD 5'!$K52:AG52)-$AP359)</f>
        <v>-21871.440000000002</v>
      </c>
      <c r="AE359" s="716">
        <f>IF(OR(status1B5!AF54="",AE$7="No aplica"),0,SUM('BOULEVARD 5'!$K52:AH52)-$AP359)</f>
        <v>-19136.440000000002</v>
      </c>
      <c r="AF359" s="716">
        <f>IF(OR(status1B5!AG54="",AF$7="No aplica"),0,SUM('BOULEVARD 5'!$K52:AI52)-$AP359)</f>
        <v>-16401.440000000002</v>
      </c>
      <c r="AG359" s="716">
        <f>IF(OR(status1B5!AH54="",AG$7="No aplica"),0,SUM('BOULEVARD 5'!$K52:AJ52)-$AP359)</f>
        <v>-13666.440000000002</v>
      </c>
      <c r="AH359" s="716">
        <f>IF(OR(status1B5!AI54="",AH$7="No aplica"),0,SUM('BOULEVARD 5'!$K52:AK52)-$AP359)</f>
        <v>-10931.440000000002</v>
      </c>
      <c r="AI359" s="716">
        <f>IF(OR(status1B5!AJ54="",AI$7="No aplica"),0,SUM('BOULEVARD 5'!$K52:AL52)-$AP359)</f>
        <v>-8196.4400000000023</v>
      </c>
      <c r="AJ359" s="716">
        <f>IF(OR(status1B5!AK54="",AJ$7="No aplica"),0,SUM('BOULEVARD 5'!$K52:AM52)-$AP359)</f>
        <v>-5461.4400000000023</v>
      </c>
      <c r="AK359" s="716">
        <f>IF(OR(status1B5!AL54="",AK$7="No aplica"),0,SUM('BOULEVARD 5'!$K52:AN52)-$AP359)</f>
        <v>-2726.4400000000023</v>
      </c>
      <c r="AL359" s="716">
        <f>IF(OR(status1B5!AM54="",AL$7="No aplica"),0,SUM('BOULEVARD 5'!$K52:AO52)-$AP359)</f>
        <v>-2726.4400000000023</v>
      </c>
      <c r="AM359" s="716">
        <f>IF(OR(status1B5!AN54="",AM$7="No aplica"),0,SUM('BOULEVARD 5'!$K52:AP52)-$AP359)</f>
        <v>8.5599999999976717</v>
      </c>
      <c r="AN359" s="716">
        <f>IF(OR(status1B5!AO54="",AN$7="No aplica"),0,SUM('BOULEVARD 5'!$K52:AQ52)-$AP359)</f>
        <v>0</v>
      </c>
      <c r="AO359" s="716">
        <f>IF(OR(status1B5!AP54="",AO$7="No aplica"),0,SUM('BOULEVARD 5'!$K52:AS52)-$AP359)</f>
        <v>0</v>
      </c>
      <c r="AP359" s="717">
        <f>'BOULEVARD PPTO'!BC47</f>
        <v>70896.44</v>
      </c>
      <c r="AQ359" s="717">
        <f>'BOULEVARD 5'!AT52</f>
        <v>70905</v>
      </c>
      <c r="AR359" s="717">
        <f t="shared" si="38"/>
        <v>8.5599999999976717</v>
      </c>
      <c r="AS359" s="717"/>
      <c r="AT359" s="581"/>
    </row>
    <row r="360" spans="1:46" ht="13.15" customHeight="1" outlineLevel="1" x14ac:dyDescent="0.25">
      <c r="A360" s="700">
        <f t="shared" si="36"/>
        <v>0</v>
      </c>
      <c r="B360" s="564">
        <f t="shared" ref="B360:G360" si="83">B55</f>
        <v>317</v>
      </c>
      <c r="C360" s="564" t="str">
        <f t="shared" si="83"/>
        <v>A8</v>
      </c>
      <c r="D360" s="564">
        <f t="shared" si="83"/>
        <v>0</v>
      </c>
      <c r="E360" s="564" t="str">
        <f t="shared" si="83"/>
        <v>Antonio Rada</v>
      </c>
      <c r="F360" s="581" t="str">
        <f t="shared" si="83"/>
        <v>Antonio Meneses Hernandez</v>
      </c>
      <c r="G360" s="566">
        <f t="shared" si="83"/>
        <v>45258</v>
      </c>
      <c r="H360" s="716">
        <f>IF(OR(status1B5!I55="",H$7="No aplica"),0,SUM('BOULEVARD 5'!$K53:K53)-$AP360)</f>
        <v>0</v>
      </c>
      <c r="I360" s="716">
        <f>IF(OR(status1B5!J55="",I$7="No aplica"),0,SUM('BOULEVARD 5'!$K53:L53)-$AP360)</f>
        <v>0</v>
      </c>
      <c r="J360" s="716">
        <f>IF(OR(status1B5!K55="",J$7="No aplica"),0,SUM('BOULEVARD 5'!$K53:M53)-$AP360)</f>
        <v>0</v>
      </c>
      <c r="K360" s="716">
        <f>IF(OR(status1B5!L55="",K$7="No aplica"),0,SUM('BOULEVARD 5'!$K53:N53)-$AP360)</f>
        <v>0</v>
      </c>
      <c r="L360" s="716">
        <f>IF(OR(status1B5!M55="",L$7="No aplica"),0,SUM('BOULEVARD 5'!$K53:O53)-$AP360)</f>
        <v>0</v>
      </c>
      <c r="M360" s="716">
        <f>IF(OR(status1B5!N55="",M$7="No aplica"),0,SUM('BOULEVARD 5'!$K53:P53)-$AP360)</f>
        <v>0</v>
      </c>
      <c r="N360" s="716">
        <f>IF(OR(status1B5!O55="",N$7="No aplica"),0,SUM('BOULEVARD 5'!$K53:Q53)-$AP360)</f>
        <v>0</v>
      </c>
      <c r="O360" s="716">
        <f>IF(OR(status1B5!P55="",O$7="No aplica"),0,SUM('BOULEVARD 5'!$K53:R53)-$AP360)</f>
        <v>0</v>
      </c>
      <c r="P360" s="716">
        <f>IF(OR(status1B5!Q55="",P$7="No aplica"),0,SUM('BOULEVARD 5'!$K53:S53)-$AP360)</f>
        <v>-66687.5</v>
      </c>
      <c r="Q360" s="716">
        <f>IF(OR(status1B5!R55="",Q$7="No aplica"),0,SUM('BOULEVARD 5'!$K53:T53)-$AP360)</f>
        <v>-63656.5</v>
      </c>
      <c r="R360" s="716">
        <f>IF(OR(status1B5!S55="",R$7="No aplica"),0,SUM('BOULEVARD 5'!$K53:U53)-$AP360)</f>
        <v>-60625.5</v>
      </c>
      <c r="S360" s="716">
        <f>IF(OR(status1B5!T55="",S$7="No aplica"),0,SUM('BOULEVARD 5'!$K53:V53)-$AP360)</f>
        <v>-57594.5</v>
      </c>
      <c r="T360" s="716">
        <f>IF(OR(status1B5!U55="",T$7="No aplica"),0,SUM('BOULEVARD 5'!$K53:W53)-$AP360)</f>
        <v>-54563.5</v>
      </c>
      <c r="U360" s="716">
        <f>IF(OR(status1B5!V55="",U$7="No aplica"),0,SUM('BOULEVARD 5'!$K53:X53)-$AP360)</f>
        <v>-51532.5</v>
      </c>
      <c r="V360" s="716">
        <f>IF(OR(status1B5!W55="",V$7="No aplica"),0,SUM('BOULEVARD 5'!$K53:Y53)-$AP360)</f>
        <v>-48501.5</v>
      </c>
      <c r="W360" s="716">
        <f>IF(OR(status1B5!X55="",W$7="No aplica"),0,SUM('BOULEVARD 5'!$K53:Z53)-$AP360)</f>
        <v>-45470.5</v>
      </c>
      <c r="X360" s="716">
        <f>IF(OR(status1B5!Y55="",X$7="No aplica"),0,SUM('BOULEVARD 5'!$K53:AA53)-$AP360)</f>
        <v>-42439.5</v>
      </c>
      <c r="Y360" s="716">
        <f>IF(OR(status1B5!Z55="",Y$7="No aplica"),0,SUM('BOULEVARD 5'!$K53:AB53)-$AP360)</f>
        <v>-39408.5</v>
      </c>
      <c r="Z360" s="716">
        <f>IF(OR(status1B5!AA55="",Z$7="No aplica"),0,SUM('BOULEVARD 5'!$K53:AC53)-$AP360)</f>
        <v>-36377.5</v>
      </c>
      <c r="AA360" s="716">
        <f>IF(OR(status1B5!AB55="",AA$7="No aplica"),0,SUM('BOULEVARD 5'!$K53:AD53)-$AP360)</f>
        <v>-33346.5</v>
      </c>
      <c r="AB360" s="716">
        <f>IF(OR(status1B5!AC55="",AB$7="No aplica"),0,SUM('BOULEVARD 5'!$K53:AE53)-$AP360)</f>
        <v>-30315.5</v>
      </c>
      <c r="AC360" s="716">
        <f>IF(OR(status1B5!AD55="",AC$7="No aplica"),0,SUM('BOULEVARD 5'!$K53:AF53)-$AP360)</f>
        <v>-27284.5</v>
      </c>
      <c r="AD360" s="716">
        <f>IF(OR(status1B5!AE55="",AD$7="No aplica"),0,SUM('BOULEVARD 5'!$K53:AG53)-$AP360)</f>
        <v>-24253.5</v>
      </c>
      <c r="AE360" s="716">
        <f>IF(OR(status1B5!AF55="",AE$7="No aplica"),0,SUM('BOULEVARD 5'!$K53:AH53)-$AP360)</f>
        <v>-21222.5</v>
      </c>
      <c r="AF360" s="716">
        <f>IF(OR(status1B5!AG55="",AF$7="No aplica"),0,SUM('BOULEVARD 5'!$K53:AI53)-$AP360)</f>
        <v>-18191.5</v>
      </c>
      <c r="AG360" s="716">
        <f>IF(OR(status1B5!AH55="",AG$7="No aplica"),0,SUM('BOULEVARD 5'!$K53:AJ53)-$AP360)</f>
        <v>-15160.5</v>
      </c>
      <c r="AH360" s="716">
        <f>IF(OR(status1B5!AI55="",AH$7="No aplica"),0,SUM('BOULEVARD 5'!$K53:AK53)-$AP360)</f>
        <v>-12129.5</v>
      </c>
      <c r="AI360" s="716">
        <f>IF(OR(status1B5!AJ55="",AI$7="No aplica"),0,SUM('BOULEVARD 5'!$K53:AL53)-$AP360)</f>
        <v>-9098.5</v>
      </c>
      <c r="AJ360" s="716">
        <f>IF(OR(status1B5!AK55="",AJ$7="No aplica"),0,SUM('BOULEVARD 5'!$K53:AM53)-$AP360)</f>
        <v>-6067.5</v>
      </c>
      <c r="AK360" s="716">
        <f>IF(OR(status1B5!AL55="",AK$7="No aplica"),0,SUM('BOULEVARD 5'!$K53:AN53)-$AP360)</f>
        <v>-3036.5</v>
      </c>
      <c r="AL360" s="716">
        <f>IF(OR(status1B5!AM55="",AL$7="No aplica"),0,SUM('BOULEVARD 5'!$K53:AO53)-$AP360)</f>
        <v>0</v>
      </c>
      <c r="AM360" s="716">
        <f>IF(OR(status1B5!AN55="",AM$7="No aplica"),0,SUM('BOULEVARD 5'!$K53:AP53)-$AP360)</f>
        <v>3031</v>
      </c>
      <c r="AN360" s="716">
        <f>IF(OR(status1B5!AO55="",AN$7="No aplica"),0,SUM('BOULEVARD 5'!$K53:AQ53)-$AP360)</f>
        <v>0</v>
      </c>
      <c r="AO360" s="716">
        <f>IF(OR(status1B5!AP55="",AO$7="No aplica"),0,SUM('BOULEVARD 5'!$K53:AS53)-$AP360)</f>
        <v>0</v>
      </c>
      <c r="AP360" s="717">
        <f>'BOULEVARD PPTO'!BC48</f>
        <v>72187.5</v>
      </c>
      <c r="AQ360" s="717">
        <f>'BOULEVARD 5'!AT53</f>
        <v>75218.5</v>
      </c>
      <c r="AR360" s="717">
        <f t="shared" si="38"/>
        <v>3031</v>
      </c>
      <c r="AS360" s="717"/>
      <c r="AT360" s="581"/>
    </row>
    <row r="361" spans="1:46" ht="13.15" customHeight="1" outlineLevel="1" x14ac:dyDescent="0.25">
      <c r="A361" s="700">
        <f t="shared" si="36"/>
        <v>0</v>
      </c>
      <c r="B361" s="564">
        <f t="shared" ref="B361:G361" si="84">B56</f>
        <v>318</v>
      </c>
      <c r="C361" s="564" t="str">
        <f t="shared" si="84"/>
        <v>A1</v>
      </c>
      <c r="D361" s="564">
        <f t="shared" si="84"/>
        <v>0</v>
      </c>
      <c r="E361" s="564" t="str">
        <f t="shared" si="84"/>
        <v>Antonio Rada</v>
      </c>
      <c r="F361" s="581" t="str">
        <f t="shared" si="84"/>
        <v>Jose Reynaldo Linares</v>
      </c>
      <c r="G361" s="566">
        <f t="shared" si="84"/>
        <v>45242</v>
      </c>
      <c r="H361" s="716">
        <f>IF(OR(status1B5!I56="",H$7="No aplica"),0,SUM('BOULEVARD 5'!$K54:K54)-$AP361)</f>
        <v>0</v>
      </c>
      <c r="I361" s="716">
        <f>IF(OR(status1B5!J56="",I$7="No aplica"),0,SUM('BOULEVARD 5'!$K54:L54)-$AP361)</f>
        <v>0</v>
      </c>
      <c r="J361" s="716">
        <f>IF(OR(status1B5!K56="",J$7="No aplica"),0,SUM('BOULEVARD 5'!$K54:M54)-$AP361)</f>
        <v>0</v>
      </c>
      <c r="K361" s="716">
        <f>IF(OR(status1B5!L56="",K$7="No aplica"),0,SUM('BOULEVARD 5'!$K54:N54)-$AP361)</f>
        <v>0</v>
      </c>
      <c r="L361" s="716">
        <f>IF(OR(status1B5!M56="",L$7="No aplica"),0,SUM('BOULEVARD 5'!$K54:O54)-$AP361)</f>
        <v>0</v>
      </c>
      <c r="M361" s="716">
        <f>IF(OR(status1B5!N56="",M$7="No aplica"),0,SUM('BOULEVARD 5'!$K54:P54)-$AP361)</f>
        <v>0</v>
      </c>
      <c r="N361" s="716">
        <f>IF(OR(status1B5!O56="",N$7="No aplica"),0,SUM('BOULEVARD 5'!$K54:Q54)-$AP361)</f>
        <v>0</v>
      </c>
      <c r="O361" s="716">
        <f>IF(OR(status1B5!P56="",O$7="No aplica"),0,SUM('BOULEVARD 5'!$K54:R54)-$AP361)</f>
        <v>0</v>
      </c>
      <c r="P361" s="716">
        <f>IF(OR(status1B5!Q56="",P$7="No aplica"),0,SUM('BOULEVARD 5'!$K54:S54)-$AP361)</f>
        <v>-66572.5</v>
      </c>
      <c r="Q361" s="716">
        <f>IF(OR(status1B5!R56="",Q$7="No aplica"),0,SUM('BOULEVARD 5'!$K54:T54)-$AP361)</f>
        <v>-63546.5</v>
      </c>
      <c r="R361" s="716">
        <f>IF(OR(status1B5!S56="",R$7="No aplica"),0,SUM('BOULEVARD 5'!$K54:U54)-$AP361)</f>
        <v>-60520.5</v>
      </c>
      <c r="S361" s="716">
        <f>IF(OR(status1B5!T56="",S$7="No aplica"),0,SUM('BOULEVARD 5'!$K54:V54)-$AP361)</f>
        <v>-57494.5</v>
      </c>
      <c r="T361" s="716">
        <f>IF(OR(status1B5!U56="",T$7="No aplica"),0,SUM('BOULEVARD 5'!$K54:W54)-$AP361)</f>
        <v>-54468.5</v>
      </c>
      <c r="U361" s="716">
        <f>IF(OR(status1B5!V56="",U$7="No aplica"),0,SUM('BOULEVARD 5'!$K54:X54)-$AP361)</f>
        <v>-51442.5</v>
      </c>
      <c r="V361" s="716">
        <f>IF(OR(status1B5!W56="",V$7="No aplica"),0,SUM('BOULEVARD 5'!$K54:Y54)-$AP361)</f>
        <v>-48416.5</v>
      </c>
      <c r="W361" s="716">
        <f>IF(OR(status1B5!X56="",W$7="No aplica"),0,SUM('BOULEVARD 5'!$K54:Z54)-$AP361)</f>
        <v>-45390.5</v>
      </c>
      <c r="X361" s="716">
        <f>IF(OR(status1B5!Y56="",X$7="No aplica"),0,SUM('BOULEVARD 5'!$K54:AA54)-$AP361)</f>
        <v>-42364.5</v>
      </c>
      <c r="Y361" s="716">
        <f>IF(OR(status1B5!Z56="",Y$7="No aplica"),0,SUM('BOULEVARD 5'!$K54:AB54)-$AP361)</f>
        <v>-39338.5</v>
      </c>
      <c r="Z361" s="716">
        <f>IF(OR(status1B5!AA56="",Z$7="No aplica"),0,SUM('BOULEVARD 5'!$K54:AC54)-$AP361)</f>
        <v>-36312.5</v>
      </c>
      <c r="AA361" s="716">
        <f>IF(OR(status1B5!AB56="",AA$7="No aplica"),0,SUM('BOULEVARD 5'!$K54:AD54)-$AP361)</f>
        <v>-33286.5</v>
      </c>
      <c r="AB361" s="716">
        <f>IF(OR(status1B5!AC56="",AB$7="No aplica"),0,SUM('BOULEVARD 5'!$K54:AE54)-$AP361)</f>
        <v>-30260.5</v>
      </c>
      <c r="AC361" s="716">
        <f>IF(OR(status1B5!AD56="",AC$7="No aplica"),0,SUM('BOULEVARD 5'!$K54:AF54)-$AP361)</f>
        <v>-27234.5</v>
      </c>
      <c r="AD361" s="716">
        <f>IF(OR(status1B5!AE56="",AD$7="No aplica"),0,SUM('BOULEVARD 5'!$K54:AG54)-$AP361)</f>
        <v>-24208.5</v>
      </c>
      <c r="AE361" s="716">
        <f>IF(OR(status1B5!AF56="",AE$7="No aplica"),0,SUM('BOULEVARD 5'!$K54:AH54)-$AP361)</f>
        <v>-21182.5</v>
      </c>
      <c r="AF361" s="716">
        <f>IF(OR(status1B5!AG56="",AF$7="No aplica"),0,SUM('BOULEVARD 5'!$K54:AI54)-$AP361)</f>
        <v>-18156.5</v>
      </c>
      <c r="AG361" s="716">
        <f>IF(OR(status1B5!AH56="",AG$7="No aplica"),0,SUM('BOULEVARD 5'!$K54:AJ54)-$AP361)</f>
        <v>-15130.5</v>
      </c>
      <c r="AH361" s="716">
        <f>IF(OR(status1B5!AI56="",AH$7="No aplica"),0,SUM('BOULEVARD 5'!$K54:AK54)-$AP361)</f>
        <v>-12104.5</v>
      </c>
      <c r="AI361" s="716">
        <f>IF(OR(status1B5!AJ56="",AI$7="No aplica"),0,SUM('BOULEVARD 5'!$K54:AL54)-$AP361)</f>
        <v>-9078.5</v>
      </c>
      <c r="AJ361" s="716">
        <f>IF(OR(status1B5!AK56="",AJ$7="No aplica"),0,SUM('BOULEVARD 5'!$K54:AM54)-$AP361)</f>
        <v>-6052.5</v>
      </c>
      <c r="AK361" s="716">
        <f>IF(OR(status1B5!AL56="",AK$7="No aplica"),0,SUM('BOULEVARD 5'!$K54:AN54)-$AP361)</f>
        <v>-3026.5</v>
      </c>
      <c r="AL361" s="716">
        <f>IF(OR(status1B5!AM56="",AL$7="No aplica"),0,SUM('BOULEVARD 5'!$K54:AO54)-$AP361)</f>
        <v>0</v>
      </c>
      <c r="AM361" s="716">
        <f>IF(OR(status1B5!AN56="",AM$7="No aplica"),0,SUM('BOULEVARD 5'!$K54:AP54)-$AP361)</f>
        <v>0</v>
      </c>
      <c r="AN361" s="716">
        <f>IF(OR(status1B5!AO56="",AN$7="No aplica"),0,SUM('BOULEVARD 5'!$K54:AQ54)-$AP361)</f>
        <v>0</v>
      </c>
      <c r="AO361" s="716">
        <f>IF(OR(status1B5!AP56="",AO$7="No aplica"),0,SUM('BOULEVARD 5'!$K54:AS54)-$AP361)</f>
        <v>0</v>
      </c>
      <c r="AP361" s="717">
        <f>'BOULEVARD PPTO'!BC49</f>
        <v>72072.5</v>
      </c>
      <c r="AQ361" s="717">
        <f>'BOULEVARD 5'!AT54</f>
        <v>72072.5</v>
      </c>
      <c r="AR361" s="717">
        <f t="shared" si="38"/>
        <v>0</v>
      </c>
      <c r="AS361" s="717"/>
      <c r="AT361" s="581"/>
    </row>
    <row r="362" spans="1:46" ht="13.15" customHeight="1" outlineLevel="1" x14ac:dyDescent="0.25">
      <c r="A362" s="700">
        <f t="shared" si="36"/>
        <v>0</v>
      </c>
      <c r="B362" s="564">
        <f t="shared" ref="B362:G362" si="85">B57</f>
        <v>319</v>
      </c>
      <c r="C362" s="564" t="str">
        <f t="shared" si="85"/>
        <v>C4</v>
      </c>
      <c r="D362" s="564">
        <f t="shared" si="85"/>
        <v>0</v>
      </c>
      <c r="E362" s="564" t="str">
        <f t="shared" si="85"/>
        <v>Antonio Rada</v>
      </c>
      <c r="F362" s="581" t="str">
        <f t="shared" si="85"/>
        <v>Aaron Fabrizio Tello Merida</v>
      </c>
      <c r="G362" s="566">
        <f t="shared" si="85"/>
        <v>45340</v>
      </c>
      <c r="H362" s="716">
        <f>IF(OR(status1B5!I57="",H$7="No aplica"),0,SUM('BOULEVARD 5'!$K55:K55)-$AP362)</f>
        <v>0</v>
      </c>
      <c r="I362" s="716">
        <f>IF(OR(status1B5!J57="",I$7="No aplica"),0,SUM('BOULEVARD 5'!$K55:L55)-$AP362)</f>
        <v>0</v>
      </c>
      <c r="J362" s="716">
        <f>IF(OR(status1B5!K57="",J$7="No aplica"),0,SUM('BOULEVARD 5'!$K55:M55)-$AP362)</f>
        <v>0</v>
      </c>
      <c r="K362" s="716">
        <f>IF(OR(status1B5!L57="",K$7="No aplica"),0,SUM('BOULEVARD 5'!$K55:N55)-$AP362)</f>
        <v>0</v>
      </c>
      <c r="L362" s="716">
        <f>IF(OR(status1B5!M57="",L$7="No aplica"),0,SUM('BOULEVARD 5'!$K55:O55)-$AP362)</f>
        <v>0</v>
      </c>
      <c r="M362" s="716">
        <f>IF(OR(status1B5!N57="",M$7="No aplica"),0,SUM('BOULEVARD 5'!$K55:P55)-$AP362)</f>
        <v>0</v>
      </c>
      <c r="N362" s="716">
        <f>IF(OR(status1B5!O57="",N$7="No aplica"),0,SUM('BOULEVARD 5'!$K55:Q55)-$AP362)</f>
        <v>0</v>
      </c>
      <c r="O362" s="716">
        <f>IF(OR(status1B5!P57="",O$7="No aplica"),0,SUM('BOULEVARD 5'!$K55:R55)-$AP362)</f>
        <v>0</v>
      </c>
      <c r="P362" s="716">
        <f>IF(OR(status1B5!Q57="",P$7="No aplica"),0,SUM('BOULEVARD 5'!$K55:S55)-$AP362)</f>
        <v>0</v>
      </c>
      <c r="Q362" s="716">
        <f>IF(OR(status1B5!R57="",Q$7="No aplica"),0,SUM('BOULEVARD 5'!$K55:T55)-$AP362)</f>
        <v>0</v>
      </c>
      <c r="R362" s="716">
        <f>IF(OR(status1B5!S57="",R$7="No aplica"),0,SUM('BOULEVARD 5'!$K55:U55)-$AP362)</f>
        <v>0</v>
      </c>
      <c r="S362" s="716">
        <f>IF(OR(status1B5!T57="",S$7="No aplica"),0,SUM('BOULEVARD 5'!$K55:V55)-$AP362)</f>
        <v>-88600</v>
      </c>
      <c r="T362" s="716">
        <f>IF(OR(status1B5!U57="",T$7="No aplica"),0,SUM('BOULEVARD 5'!$K55:W55)-$AP362)</f>
        <v>-81600</v>
      </c>
      <c r="U362" s="716">
        <f>IF(OR(status1B5!V57="",U$7="No aplica"),0,SUM('BOULEVARD 5'!$K55:X55)-$AP362)</f>
        <v>-74600</v>
      </c>
      <c r="V362" s="716">
        <f>IF(OR(status1B5!W57="",V$7="No aplica"),0,SUM('BOULEVARD 5'!$K55:Y55)-$AP362)</f>
        <v>-67600</v>
      </c>
      <c r="W362" s="716">
        <f>IF(OR(status1B5!X57="",W$7="No aplica"),0,SUM('BOULEVARD 5'!$K55:Z55)-$AP362)</f>
        <v>-60600</v>
      </c>
      <c r="X362" s="716">
        <f>IF(OR(status1B5!Y57="",X$7="No aplica"),0,SUM('BOULEVARD 5'!$K55:AA55)-$AP362)</f>
        <v>-46600</v>
      </c>
      <c r="Y362" s="716">
        <f>IF(OR(status1B5!Z57="",Y$7="No aplica"),0,SUM('BOULEVARD 5'!$K55:AB55)-$AP362)</f>
        <v>-39600</v>
      </c>
      <c r="Z362" s="716">
        <f>IF(OR(status1B5!AA57="",Z$7="No aplica"),0,SUM('BOULEVARD 5'!$K55:AC55)-$AP362)</f>
        <v>-32600</v>
      </c>
      <c r="AA362" s="716">
        <f>IF(OR(status1B5!AB57="",AA$7="No aplica"),0,SUM('BOULEVARD 5'!$K55:AD55)-$AP362)</f>
        <v>-25600</v>
      </c>
      <c r="AB362" s="716">
        <f>IF(OR(status1B5!AC57="",AB$7="No aplica"),0,SUM('BOULEVARD 5'!$K55:AE55)-$AP362)</f>
        <v>-18600</v>
      </c>
      <c r="AC362" s="716">
        <f>IF(OR(status1B5!AD57="",AC$7="No aplica"),0,SUM('BOULEVARD 5'!$K55:AF55)-$AP362)</f>
        <v>-11600</v>
      </c>
      <c r="AD362" s="716">
        <f>IF(OR(status1B5!AE57="",AD$7="No aplica"),0,SUM('BOULEVARD 5'!$K55:AG55)-$AP362)</f>
        <v>5400</v>
      </c>
      <c r="AE362" s="716">
        <f>IF(OR(status1B5!AF57="",AE$7="No aplica"),0,SUM('BOULEVARD 5'!$K55:AH55)-$AP362)</f>
        <v>12400</v>
      </c>
      <c r="AF362" s="716">
        <f>IF(OR(status1B5!AG57="",AF$7="No aplica"),0,SUM('BOULEVARD 5'!$K55:AI55)-$AP362)</f>
        <v>19400</v>
      </c>
      <c r="AG362" s="716">
        <f>IF(OR(status1B5!AH57="",AG$7="No aplica"),0,SUM('BOULEVARD 5'!$K55:AJ55)-$AP362)</f>
        <v>26400</v>
      </c>
      <c r="AH362" s="716">
        <f>IF(OR(status1B5!AI57="",AH$7="No aplica"),0,SUM('BOULEVARD 5'!$K55:AK55)-$AP362)</f>
        <v>33400</v>
      </c>
      <c r="AI362" s="716">
        <f>IF(OR(status1B5!AJ57="",AI$7="No aplica"),0,SUM('BOULEVARD 5'!$K55:AL55)-$AP362)</f>
        <v>40400</v>
      </c>
      <c r="AJ362" s="716">
        <f>IF(OR(status1B5!AK57="",AJ$7="No aplica"),0,SUM('BOULEVARD 5'!$K55:AM55)-$AP362)</f>
        <v>47400</v>
      </c>
      <c r="AK362" s="716">
        <f>IF(OR(status1B5!AL57="",AK$7="No aplica"),0,SUM('BOULEVARD 5'!$K55:AN55)-$AP362)</f>
        <v>54400</v>
      </c>
      <c r="AL362" s="716">
        <f>IF(OR(status1B5!AM57="",AL$7="No aplica"),0,SUM('BOULEVARD 5'!$K55:AO55)-$AP362)</f>
        <v>61400</v>
      </c>
      <c r="AM362" s="716">
        <f>IF(OR(status1B5!AN57="",AM$7="No aplica"),0,SUM('BOULEVARD 5'!$K55:AP55)-$AP362)</f>
        <v>68400</v>
      </c>
      <c r="AN362" s="716">
        <f>IF(OR(status1B5!AO57="",AN$7="No aplica"),0,SUM('BOULEVARD 5'!$K55:AQ55)-$AP362)</f>
        <v>0</v>
      </c>
      <c r="AO362" s="716">
        <f>IF(OR(status1B5!AP57="",AO$7="No aplica"),0,SUM('BOULEVARD 5'!$K55:AS55)-$AP362)</f>
        <v>0</v>
      </c>
      <c r="AP362" s="717">
        <f>'BOULEVARD PPTO'!BC50</f>
        <v>96600</v>
      </c>
      <c r="AQ362" s="717">
        <f>'BOULEVARD 5'!AT55</f>
        <v>193000</v>
      </c>
      <c r="AR362" s="717">
        <f t="shared" si="38"/>
        <v>96400</v>
      </c>
      <c r="AS362" s="717"/>
      <c r="AT362" s="581"/>
    </row>
    <row r="363" spans="1:46" ht="13.15" customHeight="1" outlineLevel="1" x14ac:dyDescent="0.25">
      <c r="A363" s="700">
        <f t="shared" si="36"/>
        <v>0</v>
      </c>
      <c r="B363" s="564">
        <f t="shared" ref="B363:G363" si="86">B58</f>
        <v>320</v>
      </c>
      <c r="C363" s="564" t="str">
        <f t="shared" si="86"/>
        <v>C1</v>
      </c>
      <c r="D363" s="564">
        <f t="shared" si="86"/>
        <v>0</v>
      </c>
      <c r="E363" s="564" t="str">
        <f t="shared" si="86"/>
        <v>Antonio Rada</v>
      </c>
      <c r="F363" s="581" t="str">
        <f t="shared" si="86"/>
        <v>Santiago Taracena Puga</v>
      </c>
      <c r="G363" s="566">
        <f t="shared" si="86"/>
        <v>45150</v>
      </c>
      <c r="H363" s="716">
        <f>IF(OR(status1B5!I58="",H$7="No aplica"),0,SUM('BOULEVARD 5'!$K56:K56)-$AP363)</f>
        <v>0</v>
      </c>
      <c r="I363" s="716">
        <f>IF(OR(status1B5!J58="",I$7="No aplica"),0,SUM('BOULEVARD 5'!$K56:L56)-$AP363)</f>
        <v>0</v>
      </c>
      <c r="J363" s="716">
        <f>IF(OR(status1B5!K58="",J$7="No aplica"),0,SUM('BOULEVARD 5'!$K56:M56)-$AP363)</f>
        <v>0</v>
      </c>
      <c r="K363" s="716">
        <f>IF(OR(status1B5!L58="",K$7="No aplica"),0,SUM('BOULEVARD 5'!$K56:N56)-$AP363)</f>
        <v>0</v>
      </c>
      <c r="L363" s="716">
        <f>IF(OR(status1B5!M58="",L$7="No aplica"),0,SUM('BOULEVARD 5'!$K56:O56)-$AP363)</f>
        <v>0</v>
      </c>
      <c r="M363" s="716">
        <f>IF(OR(status1B5!N58="",M$7="No aplica"),0,SUM('BOULEVARD 5'!$K56:P56)-$AP363)</f>
        <v>-92100</v>
      </c>
      <c r="N363" s="716">
        <f>IF(OR(status1B5!O58="",N$7="No aplica"),0,SUM('BOULEVARD 5'!$K56:Q56)-$AP363)</f>
        <v>-88416</v>
      </c>
      <c r="O363" s="716">
        <f>IF(OR(status1B5!P58="",O$7="No aplica"),0,SUM('BOULEVARD 5'!$K56:R56)-$AP363)</f>
        <v>-84732</v>
      </c>
      <c r="P363" s="716">
        <f>IF(OR(status1B5!Q58="",P$7="No aplica"),0,SUM('BOULEVARD 5'!$K56:S56)-$AP363)</f>
        <v>-81048</v>
      </c>
      <c r="Q363" s="716">
        <f>IF(OR(status1B5!R58="",Q$7="No aplica"),0,SUM('BOULEVARD 5'!$K56:T56)-$AP363)</f>
        <v>-77364</v>
      </c>
      <c r="R363" s="716">
        <f>IF(OR(status1B5!S58="",R$7="No aplica"),0,SUM('BOULEVARD 5'!$K56:U56)-$AP363)</f>
        <v>-73680</v>
      </c>
      <c r="S363" s="716">
        <f>IF(OR(status1B5!T58="",S$7="No aplica"),0,SUM('BOULEVARD 5'!$K56:V56)-$AP363)</f>
        <v>-69996</v>
      </c>
      <c r="T363" s="716">
        <f>IF(OR(status1B5!U58="",T$7="No aplica"),0,SUM('BOULEVARD 5'!$K56:W56)-$AP363)</f>
        <v>-66312</v>
      </c>
      <c r="U363" s="716">
        <f>IF(OR(status1B5!V58="",U$7="No aplica"),0,SUM('BOULEVARD 5'!$K56:X56)-$AP363)</f>
        <v>-62628</v>
      </c>
      <c r="V363" s="716">
        <f>IF(OR(status1B5!W58="",V$7="No aplica"),0,SUM('BOULEVARD 5'!$K56:Y56)-$AP363)</f>
        <v>-58944</v>
      </c>
      <c r="W363" s="716">
        <f>IF(OR(status1B5!X58="",W$7="No aplica"),0,SUM('BOULEVARD 5'!$K56:Z56)-$AP363)</f>
        <v>-55260</v>
      </c>
      <c r="X363" s="716">
        <f>IF(OR(status1B5!Y58="",X$7="No aplica"),0,SUM('BOULEVARD 5'!$K56:AA56)-$AP363)</f>
        <v>-51576</v>
      </c>
      <c r="Y363" s="716">
        <f>IF(OR(status1B5!Z58="",Y$7="No aplica"),0,SUM('BOULEVARD 5'!$K56:AB56)-$AP363)</f>
        <v>-47892</v>
      </c>
      <c r="Z363" s="716">
        <f>IF(OR(status1B5!AA58="",Z$7="No aplica"),0,SUM('BOULEVARD 5'!$K56:AC56)-$AP363)</f>
        <v>-44208</v>
      </c>
      <c r="AA363" s="716">
        <f>IF(OR(status1B5!AB58="",AA$7="No aplica"),0,SUM('BOULEVARD 5'!$K56:AD56)-$AP363)</f>
        <v>-40524</v>
      </c>
      <c r="AB363" s="716">
        <f>IF(OR(status1B5!AC58="",AB$7="No aplica"),0,SUM('BOULEVARD 5'!$K56:AE56)-$AP363)</f>
        <v>-36840</v>
      </c>
      <c r="AC363" s="716">
        <f>IF(OR(status1B5!AD58="",AC$7="No aplica"),0,SUM('BOULEVARD 5'!$K56:AF56)-$AP363)</f>
        <v>-33156</v>
      </c>
      <c r="AD363" s="716">
        <f>IF(OR(status1B5!AE58="",AD$7="No aplica"),0,SUM('BOULEVARD 5'!$K56:AG56)-$AP363)</f>
        <v>-29472</v>
      </c>
      <c r="AE363" s="716">
        <f>IF(OR(status1B5!AF58="",AE$7="No aplica"),0,SUM('BOULEVARD 5'!$K56:AH56)-$AP363)</f>
        <v>-25788</v>
      </c>
      <c r="AF363" s="716">
        <f>IF(OR(status1B5!AG58="",AF$7="No aplica"),0,SUM('BOULEVARD 5'!$K56:AI56)-$AP363)</f>
        <v>-22104</v>
      </c>
      <c r="AG363" s="716">
        <f>IF(OR(status1B5!AH58="",AG$7="No aplica"),0,SUM('BOULEVARD 5'!$K56:AJ56)-$AP363)</f>
        <v>-18420</v>
      </c>
      <c r="AH363" s="716">
        <f>IF(OR(status1B5!AI58="",AH$7="No aplica"),0,SUM('BOULEVARD 5'!$K56:AK56)-$AP363)</f>
        <v>-14736</v>
      </c>
      <c r="AI363" s="716">
        <f>IF(OR(status1B5!AJ58="",AI$7="No aplica"),0,SUM('BOULEVARD 5'!$K56:AL56)-$AP363)</f>
        <v>-11052</v>
      </c>
      <c r="AJ363" s="716">
        <f>IF(OR(status1B5!AK58="",AJ$7="No aplica"),0,SUM('BOULEVARD 5'!$K56:AM56)-$AP363)</f>
        <v>-7368</v>
      </c>
      <c r="AK363" s="716">
        <f>IF(OR(status1B5!AL58="",AK$7="No aplica"),0,SUM('BOULEVARD 5'!$K56:AN56)-$AP363)</f>
        <v>-3684</v>
      </c>
      <c r="AL363" s="716">
        <f>IF(OR(status1B5!AM58="",AL$7="No aplica"),0,SUM('BOULEVARD 5'!$K56:AO56)-$AP363)</f>
        <v>0</v>
      </c>
      <c r="AM363" s="716">
        <f>IF(OR(status1B5!AN58="",AM$7="No aplica"),0,SUM('BOULEVARD 5'!$K56:AP56)-$AP363)</f>
        <v>0</v>
      </c>
      <c r="AN363" s="716">
        <f>IF(OR(status1B5!AO58="",AN$7="No aplica"),0,SUM('BOULEVARD 5'!$K56:AQ56)-$AP363)</f>
        <v>0</v>
      </c>
      <c r="AO363" s="716">
        <f>IF(OR(status1B5!AP58="",AO$7="No aplica"),0,SUM('BOULEVARD 5'!$K56:AS56)-$AP363)</f>
        <v>0</v>
      </c>
      <c r="AP363" s="717">
        <f>'BOULEVARD PPTO'!BC51</f>
        <v>98100</v>
      </c>
      <c r="AQ363" s="717">
        <f>'BOULEVARD 5'!AT56</f>
        <v>98100</v>
      </c>
      <c r="AR363" s="717">
        <f t="shared" si="38"/>
        <v>0</v>
      </c>
      <c r="AS363" s="717"/>
      <c r="AT363" s="581"/>
    </row>
    <row r="364" spans="1:46" ht="13.15" customHeight="1" outlineLevel="1" x14ac:dyDescent="0.25">
      <c r="A364" s="700">
        <f t="shared" si="36"/>
        <v>0</v>
      </c>
      <c r="B364" s="564">
        <f t="shared" ref="B364:G364" si="87">B59</f>
        <v>401</v>
      </c>
      <c r="C364" s="564" t="str">
        <f t="shared" si="87"/>
        <v>C3</v>
      </c>
      <c r="D364" s="564">
        <f t="shared" si="87"/>
        <v>0</v>
      </c>
      <c r="E364" s="564" t="str">
        <f t="shared" si="87"/>
        <v>Antonio Rada</v>
      </c>
      <c r="F364" s="581" t="str">
        <f t="shared" si="87"/>
        <v>Sara Veronica Ortíz De León</v>
      </c>
      <c r="G364" s="566">
        <f t="shared" si="87"/>
        <v>45320</v>
      </c>
      <c r="H364" s="716">
        <f>IF(OR(status1B5!I59="",H$7="No aplica"),0,SUM('BOULEVARD 5'!$K57:K57)-$AP364)</f>
        <v>0</v>
      </c>
      <c r="I364" s="716">
        <f>IF(OR(status1B5!J59="",I$7="No aplica"),0,SUM('BOULEVARD 5'!$K57:L57)-$AP364)</f>
        <v>0</v>
      </c>
      <c r="J364" s="716">
        <f>IF(OR(status1B5!K59="",J$7="No aplica"),0,SUM('BOULEVARD 5'!$K57:M57)-$AP364)</f>
        <v>0</v>
      </c>
      <c r="K364" s="716">
        <f>IF(OR(status1B5!L59="",K$7="No aplica"),0,SUM('BOULEVARD 5'!$K57:N57)-$AP364)</f>
        <v>0</v>
      </c>
      <c r="L364" s="716">
        <f>IF(OR(status1B5!M59="",L$7="No aplica"),0,SUM('BOULEVARD 5'!$K57:O57)-$AP364)</f>
        <v>0</v>
      </c>
      <c r="M364" s="716">
        <f>IF(OR(status1B5!N59="",M$7="No aplica"),0,SUM('BOULEVARD 5'!$K57:P57)-$AP364)</f>
        <v>0</v>
      </c>
      <c r="N364" s="716">
        <f>IF(OR(status1B5!O59="",N$7="No aplica"),0,SUM('BOULEVARD 5'!$K57:Q57)-$AP364)</f>
        <v>0</v>
      </c>
      <c r="O364" s="716">
        <f>IF(OR(status1B5!P59="",O$7="No aplica"),0,SUM('BOULEVARD 5'!$K57:R57)-$AP364)</f>
        <v>0</v>
      </c>
      <c r="P364" s="716">
        <f>IF(OR(status1B5!Q59="",P$7="No aplica"),0,SUM('BOULEVARD 5'!$K57:S57)-$AP364)</f>
        <v>0</v>
      </c>
      <c r="Q364" s="716">
        <f>IF(OR(status1B5!R59="",Q$7="No aplica"),0,SUM('BOULEVARD 5'!$K57:T57)-$AP364)</f>
        <v>0</v>
      </c>
      <c r="R364" s="716">
        <f>IF(OR(status1B5!S59="",R$7="No aplica"),0,SUM('BOULEVARD 5'!$K57:U57)-$AP364)</f>
        <v>-107400</v>
      </c>
      <c r="S364" s="716">
        <f>IF(OR(status1B5!T59="",S$7="No aplica"),0,SUM('BOULEVARD 5'!$K57:V57)-$AP364)</f>
        <v>-102030</v>
      </c>
      <c r="T364" s="716">
        <f>IF(OR(status1B5!U59="",T$7="No aplica"),0,SUM('BOULEVARD 5'!$K57:W57)-$AP364)</f>
        <v>-96660</v>
      </c>
      <c r="U364" s="716">
        <f>IF(OR(status1B5!V59="",U$7="No aplica"),0,SUM('BOULEVARD 5'!$K57:X57)-$AP364)</f>
        <v>-85920</v>
      </c>
      <c r="V364" s="716">
        <f>IF(OR(status1B5!W59="",V$7="No aplica"),0,SUM('BOULEVARD 5'!$K57:Y57)-$AP364)</f>
        <v>-85920</v>
      </c>
      <c r="W364" s="716">
        <f>IF(OR(status1B5!X59="",W$7="No aplica"),0,SUM('BOULEVARD 5'!$K57:Z57)-$AP364)</f>
        <v>-80550</v>
      </c>
      <c r="X364" s="716">
        <f>IF(OR(status1B5!Y59="",X$7="No aplica"),0,SUM('BOULEVARD 5'!$K57:AA57)-$AP364)</f>
        <v>-75180</v>
      </c>
      <c r="Y364" s="716">
        <f>IF(OR(status1B5!Z59="",Y$7="No aplica"),0,SUM('BOULEVARD 5'!$K57:AB57)-$AP364)</f>
        <v>-69810</v>
      </c>
      <c r="Z364" s="716">
        <f>IF(OR(status1B5!AA59="",Z$7="No aplica"),0,SUM('BOULEVARD 5'!$K57:AC57)-$AP364)</f>
        <v>-64440</v>
      </c>
      <c r="AA364" s="716">
        <f>IF(OR(status1B5!AB59="",AA$7="No aplica"),0,SUM('BOULEVARD 5'!$K57:AD57)-$AP364)</f>
        <v>-59070</v>
      </c>
      <c r="AB364" s="716">
        <f>IF(OR(status1B5!AC59="",AB$7="No aplica"),0,SUM('BOULEVARD 5'!$K57:AE57)-$AP364)</f>
        <v>-53700</v>
      </c>
      <c r="AC364" s="716">
        <f>IF(OR(status1B5!AD59="",AC$7="No aplica"),0,SUM('BOULEVARD 5'!$K57:AF57)-$AP364)</f>
        <v>-48330</v>
      </c>
      <c r="AD364" s="716">
        <f>IF(OR(status1B5!AE59="",AD$7="No aplica"),0,SUM('BOULEVARD 5'!$K57:AG57)-$AP364)</f>
        <v>-42960</v>
      </c>
      <c r="AE364" s="716">
        <f>IF(OR(status1B5!AF59="",AE$7="No aplica"),0,SUM('BOULEVARD 5'!$K57:AH57)-$AP364)</f>
        <v>-37590</v>
      </c>
      <c r="AF364" s="716">
        <f>IF(OR(status1B5!AG59="",AF$7="No aplica"),0,SUM('BOULEVARD 5'!$K57:AI57)-$AP364)</f>
        <v>-32220</v>
      </c>
      <c r="AG364" s="716">
        <f>IF(OR(status1B5!AH59="",AG$7="No aplica"),0,SUM('BOULEVARD 5'!$K57:AJ57)-$AP364)</f>
        <v>-26850</v>
      </c>
      <c r="AH364" s="716">
        <f>IF(OR(status1B5!AI59="",AH$7="No aplica"),0,SUM('BOULEVARD 5'!$K57:AK57)-$AP364)</f>
        <v>-21480</v>
      </c>
      <c r="AI364" s="716">
        <f>IF(OR(status1B5!AJ59="",AI$7="No aplica"),0,SUM('BOULEVARD 5'!$K57:AL57)-$AP364)</f>
        <v>-16110</v>
      </c>
      <c r="AJ364" s="716">
        <f>IF(OR(status1B5!AK59="",AJ$7="No aplica"),0,SUM('BOULEVARD 5'!$K57:AM57)-$AP364)</f>
        <v>-10740</v>
      </c>
      <c r="AK364" s="716">
        <f>IF(OR(status1B5!AL59="",AK$7="No aplica"),0,SUM('BOULEVARD 5'!$K57:AN57)-$AP364)</f>
        <v>-5370</v>
      </c>
      <c r="AL364" s="716">
        <f>IF(OR(status1B5!AM59="",AL$7="No aplica"),0,SUM('BOULEVARD 5'!$K57:AO57)-$AP364)</f>
        <v>0</v>
      </c>
      <c r="AM364" s="716">
        <f>IF(OR(status1B5!AN59="",AM$7="No aplica"),0,SUM('BOULEVARD 5'!$K57:AP57)-$AP364)</f>
        <v>5370</v>
      </c>
      <c r="AN364" s="716">
        <f>IF(OR(status1B5!AO59="",AN$7="No aplica"),0,SUM('BOULEVARD 5'!$K57:AQ57)-$AP364)</f>
        <v>0</v>
      </c>
      <c r="AO364" s="716">
        <f>IF(OR(status1B5!AP59="",AO$7="No aplica"),0,SUM('BOULEVARD 5'!$K57:AS57)-$AP364)</f>
        <v>0</v>
      </c>
      <c r="AP364" s="717">
        <f>'BOULEVARD PPTO'!BC52</f>
        <v>115400</v>
      </c>
      <c r="AQ364" s="717">
        <f>'BOULEVARD 5'!AT57</f>
        <v>120770</v>
      </c>
      <c r="AR364" s="717">
        <f t="shared" si="38"/>
        <v>5370</v>
      </c>
      <c r="AS364" s="717"/>
      <c r="AT364" s="581"/>
    </row>
    <row r="365" spans="1:46" ht="13.15" customHeight="1" outlineLevel="1" x14ac:dyDescent="0.25">
      <c r="A365" s="700">
        <f t="shared" si="36"/>
        <v>0</v>
      </c>
      <c r="B365" s="564">
        <f t="shared" ref="B365:G365" si="88">B60</f>
        <v>402</v>
      </c>
      <c r="C365" s="564" t="str">
        <f t="shared" si="88"/>
        <v>C2</v>
      </c>
      <c r="D365" s="564">
        <f t="shared" si="88"/>
        <v>0</v>
      </c>
      <c r="E365" s="564" t="str">
        <f t="shared" si="88"/>
        <v>Antonio Rada</v>
      </c>
      <c r="F365" s="581" t="str">
        <f t="shared" si="88"/>
        <v>Guillermo Vinicio Cotto Mux</v>
      </c>
      <c r="G365" s="566">
        <f t="shared" si="88"/>
        <v>45263</v>
      </c>
      <c r="H365" s="716">
        <f>IF(OR(status1B5!I60="",H$7="No aplica"),0,SUM('BOULEVARD 5'!$K58:K58)-$AP365)</f>
        <v>0</v>
      </c>
      <c r="I365" s="716">
        <f>IF(OR(status1B5!J60="",I$7="No aplica"),0,SUM('BOULEVARD 5'!$K58:L58)-$AP365)</f>
        <v>0</v>
      </c>
      <c r="J365" s="716">
        <f>IF(OR(status1B5!K60="",J$7="No aplica"),0,SUM('BOULEVARD 5'!$K58:M58)-$AP365)</f>
        <v>0</v>
      </c>
      <c r="K365" s="716">
        <f>IF(OR(status1B5!L60="",K$7="No aplica"),0,SUM('BOULEVARD 5'!$K58:N58)-$AP365)</f>
        <v>0</v>
      </c>
      <c r="L365" s="716">
        <f>IF(OR(status1B5!M60="",L$7="No aplica"),0,SUM('BOULEVARD 5'!$K58:O58)-$AP365)</f>
        <v>0</v>
      </c>
      <c r="M365" s="716">
        <f>IF(OR(status1B5!N60="",M$7="No aplica"),0,SUM('BOULEVARD 5'!$K58:P58)-$AP365)</f>
        <v>0</v>
      </c>
      <c r="N365" s="716">
        <f>IF(OR(status1B5!O60="",N$7="No aplica"),0,SUM('BOULEVARD 5'!$K58:Q58)-$AP365)</f>
        <v>0</v>
      </c>
      <c r="O365" s="716">
        <f>IF(OR(status1B5!P60="",O$7="No aplica"),0,SUM('BOULEVARD 5'!$K58:R58)-$AP365)</f>
        <v>0</v>
      </c>
      <c r="P365" s="716">
        <f>IF(OR(status1B5!Q60="",P$7="No aplica"),0,SUM('BOULEVARD 5'!$K58:S58)-$AP365)</f>
        <v>0</v>
      </c>
      <c r="Q365" s="716">
        <f>IF(OR(status1B5!R60="",Q$7="No aplica"),0,SUM('BOULEVARD 5'!$K58:T58)-$AP365)</f>
        <v>-109671.45</v>
      </c>
      <c r="R365" s="716">
        <f>IF(OR(status1B5!S60="",R$7="No aplica"),0,SUM('BOULEVARD 5'!$K58:U58)-$AP365)</f>
        <v>-104452.45</v>
      </c>
      <c r="S365" s="716">
        <f>IF(OR(status1B5!T60="",S$7="No aplica"),0,SUM('BOULEVARD 5'!$K58:V58)-$AP365)</f>
        <v>-99227.45</v>
      </c>
      <c r="T365" s="716">
        <f>IF(OR(status1B5!U60="",T$7="No aplica"),0,SUM('BOULEVARD 5'!$K58:W58)-$AP365)</f>
        <v>-94005.45</v>
      </c>
      <c r="U365" s="716">
        <f>IF(OR(status1B5!V60="",U$7="No aplica"),0,SUM('BOULEVARD 5'!$K58:X58)-$AP365)</f>
        <v>-88783.45</v>
      </c>
      <c r="V365" s="716">
        <f>IF(OR(status1B5!W60="",V$7="No aplica"),0,SUM('BOULEVARD 5'!$K58:Y58)-$AP365)</f>
        <v>-83561.45</v>
      </c>
      <c r="W365" s="716">
        <f>IF(OR(status1B5!X60="",W$7="No aplica"),0,SUM('BOULEVARD 5'!$K58:Z58)-$AP365)</f>
        <v>-78339.45</v>
      </c>
      <c r="X365" s="716">
        <f>IF(OR(status1B5!Y60="",X$7="No aplica"),0,SUM('BOULEVARD 5'!$K58:AA58)-$AP365)</f>
        <v>-73117.45</v>
      </c>
      <c r="Y365" s="716">
        <f>IF(OR(status1B5!Z60="",Y$7="No aplica"),0,SUM('BOULEVARD 5'!$K58:AB58)-$AP365)</f>
        <v>-67895.45</v>
      </c>
      <c r="Z365" s="716">
        <f>IF(OR(status1B5!AA60="",Z$7="No aplica"),0,SUM('BOULEVARD 5'!$K58:AC58)-$AP365)</f>
        <v>-62673.45</v>
      </c>
      <c r="AA365" s="716">
        <f>IF(OR(status1B5!AB60="",AA$7="No aplica"),0,SUM('BOULEVARD 5'!$K58:AD58)-$AP365)</f>
        <v>-57451.45</v>
      </c>
      <c r="AB365" s="716">
        <f>IF(OR(status1B5!AC60="",AB$7="No aplica"),0,SUM('BOULEVARD 5'!$K58:AE58)-$AP365)</f>
        <v>-52229.45</v>
      </c>
      <c r="AC365" s="716">
        <f>IF(OR(status1B5!AD60="",AC$7="No aplica"),0,SUM('BOULEVARD 5'!$K58:AF58)-$AP365)</f>
        <v>-47007.45</v>
      </c>
      <c r="AD365" s="716">
        <f>IF(OR(status1B5!AE60="",AD$7="No aplica"),0,SUM('BOULEVARD 5'!$K58:AG58)-$AP365)</f>
        <v>-41785.449999999997</v>
      </c>
      <c r="AE365" s="716">
        <f>IF(OR(status1B5!AF60="",AE$7="No aplica"),0,SUM('BOULEVARD 5'!$K58:AH58)-$AP365)</f>
        <v>-36563.449999999997</v>
      </c>
      <c r="AF365" s="716">
        <f>IF(OR(status1B5!AG60="",AF$7="No aplica"),0,SUM('BOULEVARD 5'!$K58:AI58)-$AP365)</f>
        <v>-31341.449999999997</v>
      </c>
      <c r="AG365" s="716">
        <f>IF(OR(status1B5!AH60="",AG$7="No aplica"),0,SUM('BOULEVARD 5'!$K58:AJ58)-$AP365)</f>
        <v>-26119.449999999997</v>
      </c>
      <c r="AH365" s="716">
        <f>IF(OR(status1B5!AI60="",AH$7="No aplica"),0,SUM('BOULEVARD 5'!$K58:AK58)-$AP365)</f>
        <v>-20897.449999999997</v>
      </c>
      <c r="AI365" s="716">
        <f>IF(OR(status1B5!AJ60="",AI$7="No aplica"),0,SUM('BOULEVARD 5'!$K58:AL58)-$AP365)</f>
        <v>-15675.449999999997</v>
      </c>
      <c r="AJ365" s="716">
        <f>IF(OR(status1B5!AK60="",AJ$7="No aplica"),0,SUM('BOULEVARD 5'!$K58:AM58)-$AP365)</f>
        <v>-10453.449999999997</v>
      </c>
      <c r="AK365" s="716">
        <f>IF(OR(status1B5!AL60="",AK$7="No aplica"),0,SUM('BOULEVARD 5'!$K58:AN58)-$AP365)</f>
        <v>-5231.4499999999971</v>
      </c>
      <c r="AL365" s="716">
        <f>IF(OR(status1B5!AM60="",AL$7="No aplica"),0,SUM('BOULEVARD 5'!$K58:AO58)-$AP365)</f>
        <v>0</v>
      </c>
      <c r="AM365" s="716">
        <f>IF(OR(status1B5!AN60="",AM$7="No aplica"),0,SUM('BOULEVARD 5'!$K58:AP58)-$AP365)</f>
        <v>0</v>
      </c>
      <c r="AN365" s="716">
        <f>IF(OR(status1B5!AO60="",AN$7="No aplica"),0,SUM('BOULEVARD 5'!$K58:AQ58)-$AP365)</f>
        <v>0</v>
      </c>
      <c r="AO365" s="716">
        <f>IF(OR(status1B5!AP60="",AO$7="No aplica"),0,SUM('BOULEVARD 5'!$K58:AS58)-$AP365)</f>
        <v>0</v>
      </c>
      <c r="AP365" s="717">
        <f>'BOULEVARD PPTO'!BC53</f>
        <v>115171.45</v>
      </c>
      <c r="AQ365" s="717">
        <f>'BOULEVARD 5'!AT58</f>
        <v>115171.45</v>
      </c>
      <c r="AR365" s="717">
        <f t="shared" si="38"/>
        <v>0</v>
      </c>
      <c r="AS365" s="717"/>
      <c r="AT365" s="581"/>
    </row>
    <row r="366" spans="1:46" ht="13.15" customHeight="1" outlineLevel="1" x14ac:dyDescent="0.25">
      <c r="A366" s="700">
        <f t="shared" si="36"/>
        <v>0</v>
      </c>
      <c r="B366" s="564">
        <f t="shared" ref="B366:G366" si="89">B61</f>
        <v>403</v>
      </c>
      <c r="C366" s="564" t="str">
        <f t="shared" si="89"/>
        <v>A6</v>
      </c>
      <c r="D366" s="564">
        <f t="shared" si="89"/>
        <v>0</v>
      </c>
      <c r="E366" s="564" t="str">
        <f t="shared" si="89"/>
        <v>Antonio Rada</v>
      </c>
      <c r="F366" s="581" t="str">
        <f t="shared" si="89"/>
        <v>Denis Estuardo Mazariegos Fuentes</v>
      </c>
      <c r="G366" s="566">
        <f t="shared" si="89"/>
        <v>45158</v>
      </c>
      <c r="H366" s="716">
        <f>IF(OR(status1B5!I61="",H$7="No aplica"),0,SUM('BOULEVARD 5'!$K59:K59)-$AP366)</f>
        <v>0</v>
      </c>
      <c r="I366" s="716">
        <f>IF(OR(status1B5!J61="",I$7="No aplica"),0,SUM('BOULEVARD 5'!$K59:L59)-$AP366)</f>
        <v>0</v>
      </c>
      <c r="J366" s="716">
        <f>IF(OR(status1B5!K61="",J$7="No aplica"),0,SUM('BOULEVARD 5'!$K59:M59)-$AP366)</f>
        <v>0</v>
      </c>
      <c r="K366" s="716">
        <f>IF(OR(status1B5!L61="",K$7="No aplica"),0,SUM('BOULEVARD 5'!$K59:N59)-$AP366)</f>
        <v>0</v>
      </c>
      <c r="L366" s="716">
        <f>IF(OR(status1B5!M61="",L$7="No aplica"),0,SUM('BOULEVARD 5'!$K59:O59)-$AP366)</f>
        <v>0</v>
      </c>
      <c r="M366" s="716">
        <f>IF(OR(status1B5!N61="",M$7="No aplica"),0,SUM('BOULEVARD 5'!$K59:P59)-$AP366)</f>
        <v>-64000</v>
      </c>
      <c r="N366" s="716">
        <f>IF(OR(status1B5!O61="",N$7="No aplica"),0,SUM('BOULEVARD 5'!$K59:Q59)-$AP366)</f>
        <v>-61440</v>
      </c>
      <c r="O366" s="716">
        <f>IF(OR(status1B5!P61="",O$7="No aplica"),0,SUM('BOULEVARD 5'!$K59:R59)-$AP366)</f>
        <v>-58880</v>
      </c>
      <c r="P366" s="716">
        <f>IF(OR(status1B5!Q61="",P$7="No aplica"),0,SUM('BOULEVARD 5'!$K59:S59)-$AP366)</f>
        <v>-56320</v>
      </c>
      <c r="Q366" s="716">
        <f>IF(OR(status1B5!R61="",Q$7="No aplica"),0,SUM('BOULEVARD 5'!$K59:T59)-$AP366)</f>
        <v>-53760</v>
      </c>
      <c r="R366" s="716">
        <f>IF(OR(status1B5!S61="",R$7="No aplica"),0,SUM('BOULEVARD 5'!$K59:U59)-$AP366)</f>
        <v>-51200</v>
      </c>
      <c r="S366" s="716">
        <f>IF(OR(status1B5!T61="",S$7="No aplica"),0,SUM('BOULEVARD 5'!$K59:V59)-$AP366)</f>
        <v>-48640</v>
      </c>
      <c r="T366" s="716">
        <f>IF(OR(status1B5!U61="",T$7="No aplica"),0,SUM('BOULEVARD 5'!$K59:W59)-$AP366)</f>
        <v>-46080</v>
      </c>
      <c r="U366" s="716">
        <f>IF(OR(status1B5!V61="",U$7="No aplica"),0,SUM('BOULEVARD 5'!$K59:X59)-$AP366)</f>
        <v>-43520</v>
      </c>
      <c r="V366" s="716">
        <f>IF(OR(status1B5!W61="",V$7="No aplica"),0,SUM('BOULEVARD 5'!$K59:Y59)-$AP366)</f>
        <v>-40960</v>
      </c>
      <c r="W366" s="716">
        <f>IF(OR(status1B5!X61="",W$7="No aplica"),0,SUM('BOULEVARD 5'!$K59:Z59)-$AP366)</f>
        <v>-38400</v>
      </c>
      <c r="X366" s="716">
        <f>IF(OR(status1B5!Y61="",X$7="No aplica"),0,SUM('BOULEVARD 5'!$K59:AA59)-$AP366)</f>
        <v>-35840</v>
      </c>
      <c r="Y366" s="716">
        <f>IF(OR(status1B5!Z61="",Y$7="No aplica"),0,SUM('BOULEVARD 5'!$K59:AB59)-$AP366)</f>
        <v>-33280</v>
      </c>
      <c r="Z366" s="716">
        <f>IF(OR(status1B5!AA61="",Z$7="No aplica"),0,SUM('BOULEVARD 5'!$K59:AC59)-$AP366)</f>
        <v>-30720</v>
      </c>
      <c r="AA366" s="716">
        <f>IF(OR(status1B5!AB61="",AA$7="No aplica"),0,SUM('BOULEVARD 5'!$K59:AD59)-$AP366)</f>
        <v>-28160</v>
      </c>
      <c r="AB366" s="716">
        <f>IF(OR(status1B5!AC61="",AB$7="No aplica"),0,SUM('BOULEVARD 5'!$K59:AE59)-$AP366)</f>
        <v>-25600</v>
      </c>
      <c r="AC366" s="716">
        <f>IF(OR(status1B5!AD61="",AC$7="No aplica"),0,SUM('BOULEVARD 5'!$K59:AF59)-$AP366)</f>
        <v>-23040</v>
      </c>
      <c r="AD366" s="716">
        <f>IF(OR(status1B5!AE61="",AD$7="No aplica"),0,SUM('BOULEVARD 5'!$K59:AG59)-$AP366)</f>
        <v>-20480</v>
      </c>
      <c r="AE366" s="716">
        <f>IF(OR(status1B5!AF61="",AE$7="No aplica"),0,SUM('BOULEVARD 5'!$K59:AH59)-$AP366)</f>
        <v>-17920</v>
      </c>
      <c r="AF366" s="716">
        <f>IF(OR(status1B5!AG61="",AF$7="No aplica"),0,SUM('BOULEVARD 5'!$K59:AI59)-$AP366)</f>
        <v>-15360</v>
      </c>
      <c r="AG366" s="716">
        <f>IF(OR(status1B5!AH61="",AG$7="No aplica"),0,SUM('BOULEVARD 5'!$K59:AJ59)-$AP366)</f>
        <v>-12800</v>
      </c>
      <c r="AH366" s="716">
        <f>IF(OR(status1B5!AI61="",AH$7="No aplica"),0,SUM('BOULEVARD 5'!$K59:AK59)-$AP366)</f>
        <v>-10240</v>
      </c>
      <c r="AI366" s="716">
        <f>IF(OR(status1B5!AJ61="",AI$7="No aplica"),0,SUM('BOULEVARD 5'!$K59:AL59)-$AP366)</f>
        <v>-7680</v>
      </c>
      <c r="AJ366" s="716">
        <f>IF(OR(status1B5!AK61="",AJ$7="No aplica"),0,SUM('BOULEVARD 5'!$K59:AM59)-$AP366)</f>
        <v>-7680</v>
      </c>
      <c r="AK366" s="716">
        <f>IF(OR(status1B5!AL61="",AK$7="No aplica"),0,SUM('BOULEVARD 5'!$K59:AN59)-$AP366)</f>
        <v>-7680</v>
      </c>
      <c r="AL366" s="716">
        <f>IF(OR(status1B5!AM61="",AL$7="No aplica"),0,SUM('BOULEVARD 5'!$K59:AO59)-$AP366)</f>
        <v>-7680</v>
      </c>
      <c r="AM366" s="716">
        <f>IF(OR(status1B5!AN61="",AM$7="No aplica"),0,SUM('BOULEVARD 5'!$K59:AP59)-$AP366)</f>
        <v>-7680</v>
      </c>
      <c r="AN366" s="716">
        <f>IF(OR(status1B5!AO61="",AN$7="No aplica"),0,SUM('BOULEVARD 5'!$K59:AQ59)-$AP366)</f>
        <v>0</v>
      </c>
      <c r="AO366" s="716">
        <f>IF(OR(status1B5!AP61="",AO$7="No aplica"),0,SUM('BOULEVARD 5'!$K59:AS59)-$AP366)</f>
        <v>0</v>
      </c>
      <c r="AP366" s="717">
        <f>'BOULEVARD PPTO'!BC54</f>
        <v>70000</v>
      </c>
      <c r="AQ366" s="717">
        <f>'BOULEVARD 5'!AT59</f>
        <v>62320</v>
      </c>
      <c r="AR366" s="717">
        <f t="shared" si="38"/>
        <v>-7680</v>
      </c>
      <c r="AS366" s="717"/>
      <c r="AT366" s="581"/>
    </row>
    <row r="367" spans="1:46" ht="13.15" customHeight="1" outlineLevel="1" x14ac:dyDescent="0.25">
      <c r="A367" s="700">
        <f t="shared" si="36"/>
        <v>0</v>
      </c>
      <c r="B367" s="564">
        <f t="shared" ref="B367:G367" si="90">B62</f>
        <v>404</v>
      </c>
      <c r="C367" s="564" t="str">
        <f t="shared" si="90"/>
        <v>A3</v>
      </c>
      <c r="D367" s="564">
        <f t="shared" si="90"/>
        <v>0</v>
      </c>
      <c r="E367" s="564" t="str">
        <f t="shared" si="90"/>
        <v>Brenda Búcaro</v>
      </c>
      <c r="F367" s="581" t="str">
        <f t="shared" si="90"/>
        <v>Gerson Andre Villatoro Urizar</v>
      </c>
      <c r="G367" s="566">
        <f t="shared" si="90"/>
        <v>45230</v>
      </c>
      <c r="H367" s="716">
        <f>IF(OR(status1B5!I62="",H$7="No aplica"),0,SUM('BOULEVARD 5'!$K60:K60)-$AP367)</f>
        <v>0</v>
      </c>
      <c r="I367" s="716">
        <f>IF(OR(status1B5!J62="",I$7="No aplica"),0,SUM('BOULEVARD 5'!$K60:L60)-$AP367)</f>
        <v>0</v>
      </c>
      <c r="J367" s="716">
        <f>IF(OR(status1B5!K62="",J$7="No aplica"),0,SUM('BOULEVARD 5'!$K60:M60)-$AP367)</f>
        <v>0</v>
      </c>
      <c r="K367" s="716">
        <f>IF(OR(status1B5!L62="",K$7="No aplica"),0,SUM('BOULEVARD 5'!$K60:N60)-$AP367)</f>
        <v>0</v>
      </c>
      <c r="L367" s="716">
        <f>IF(OR(status1B5!M62="",L$7="No aplica"),0,SUM('BOULEVARD 5'!$K60:O60)-$AP367)</f>
        <v>0</v>
      </c>
      <c r="M367" s="716">
        <f>IF(OR(status1B5!N62="",M$7="No aplica"),0,SUM('BOULEVARD 5'!$K60:P60)-$AP367)</f>
        <v>0</v>
      </c>
      <c r="N367" s="716">
        <f>IF(OR(status1B5!O62="",N$7="No aplica"),0,SUM('BOULEVARD 5'!$K60:Q60)-$AP367)</f>
        <v>0</v>
      </c>
      <c r="O367" s="716">
        <f>IF(OR(status1B5!P62="",O$7="No aplica"),0,SUM('BOULEVARD 5'!$K60:R60)-$AP367)</f>
        <v>-64200</v>
      </c>
      <c r="P367" s="716">
        <f>IF(OR(status1B5!Q62="",P$7="No aplica"),0,SUM('BOULEVARD 5'!$K60:S60)-$AP367)</f>
        <v>-61409</v>
      </c>
      <c r="Q367" s="716">
        <f>IF(OR(status1B5!R62="",Q$7="No aplica"),0,SUM('BOULEVARD 5'!$K60:T60)-$AP367)</f>
        <v>-58618</v>
      </c>
      <c r="R367" s="716">
        <f>IF(OR(status1B5!S62="",R$7="No aplica"),0,SUM('BOULEVARD 5'!$K60:U60)-$AP367)</f>
        <v>-55827</v>
      </c>
      <c r="S367" s="716">
        <f>IF(OR(status1B5!T62="",S$7="No aplica"),0,SUM('BOULEVARD 5'!$K60:V60)-$AP367)</f>
        <v>-53036</v>
      </c>
      <c r="T367" s="716">
        <f>IF(OR(status1B5!U62="",T$7="No aplica"),0,SUM('BOULEVARD 5'!$K60:W60)-$AP367)</f>
        <v>-50245</v>
      </c>
      <c r="U367" s="716">
        <f>IF(OR(status1B5!V62="",U$7="No aplica"),0,SUM('BOULEVARD 5'!$K60:X60)-$AP367)</f>
        <v>-44663</v>
      </c>
      <c r="V367" s="716">
        <f>IF(OR(status1B5!W62="",V$7="No aplica"),0,SUM('BOULEVARD 5'!$K60:Y60)-$AP367)</f>
        <v>-44663</v>
      </c>
      <c r="W367" s="716">
        <f>IF(OR(status1B5!X62="",W$7="No aplica"),0,SUM('BOULEVARD 5'!$K60:Z60)-$AP367)</f>
        <v>-41872</v>
      </c>
      <c r="X367" s="716">
        <f>IF(OR(status1B5!Y62="",X$7="No aplica"),0,SUM('BOULEVARD 5'!$K60:AA60)-$AP367)</f>
        <v>-39081</v>
      </c>
      <c r="Y367" s="716">
        <f>IF(OR(status1B5!Z62="",Y$7="No aplica"),0,SUM('BOULEVARD 5'!$K60:AB60)-$AP367)</f>
        <v>-33499</v>
      </c>
      <c r="Z367" s="716">
        <f>IF(OR(status1B5!AA62="",Z$7="No aplica"),0,SUM('BOULEVARD 5'!$K60:AC60)-$AP367)</f>
        <v>-33499</v>
      </c>
      <c r="AA367" s="716">
        <f>IF(OR(status1B5!AB62="",AA$7="No aplica"),0,SUM('BOULEVARD 5'!$K60:AD60)-$AP367)</f>
        <v>-30708</v>
      </c>
      <c r="AB367" s="716">
        <f>IF(OR(status1B5!AC62="",AB$7="No aplica"),0,SUM('BOULEVARD 5'!$K60:AE60)-$AP367)</f>
        <v>-27917</v>
      </c>
      <c r="AC367" s="716">
        <f>IF(OR(status1B5!AD62="",AC$7="No aplica"),0,SUM('BOULEVARD 5'!$K60:AF60)-$AP367)</f>
        <v>-27917</v>
      </c>
      <c r="AD367" s="716">
        <f>IF(OR(status1B5!AE62="",AD$7="No aplica"),0,SUM('BOULEVARD 5'!$K60:AG60)-$AP367)</f>
        <v>-25126</v>
      </c>
      <c r="AE367" s="716">
        <f>IF(OR(status1B5!AF62="",AE$7="No aplica"),0,SUM('BOULEVARD 5'!$K60:AH60)-$AP367)</f>
        <v>-22335</v>
      </c>
      <c r="AF367" s="716">
        <f>IF(OR(status1B5!AG62="",AF$7="No aplica"),0,SUM('BOULEVARD 5'!$K60:AI60)-$AP367)</f>
        <v>-19544</v>
      </c>
      <c r="AG367" s="716">
        <f>IF(OR(status1B5!AH62="",AG$7="No aplica"),0,SUM('BOULEVARD 5'!$K60:AJ60)-$AP367)</f>
        <v>-16753</v>
      </c>
      <c r="AH367" s="716">
        <f>IF(OR(status1B5!AI62="",AH$7="No aplica"),0,SUM('BOULEVARD 5'!$K60:AK60)-$AP367)</f>
        <v>-13962</v>
      </c>
      <c r="AI367" s="716">
        <f>IF(OR(status1B5!AJ62="",AI$7="No aplica"),0,SUM('BOULEVARD 5'!$K60:AL60)-$AP367)</f>
        <v>-11171</v>
      </c>
      <c r="AJ367" s="716">
        <f>IF(OR(status1B5!AK62="",AJ$7="No aplica"),0,SUM('BOULEVARD 5'!$K60:AM60)-$AP367)</f>
        <v>-8380</v>
      </c>
      <c r="AK367" s="716">
        <f>IF(OR(status1B5!AL62="",AK$7="No aplica"),0,SUM('BOULEVARD 5'!$K60:AN60)-$AP367)</f>
        <v>-5589</v>
      </c>
      <c r="AL367" s="716">
        <f>IF(OR(status1B5!AM62="",AL$7="No aplica"),0,SUM('BOULEVARD 5'!$K60:AO60)-$AP367)</f>
        <v>0</v>
      </c>
      <c r="AM367" s="716">
        <f>IF(OR(status1B5!AN62="",AM$7="No aplica"),0,SUM('BOULEVARD 5'!$K60:AP60)-$AP367)</f>
        <v>0</v>
      </c>
      <c r="AN367" s="716">
        <f>IF(OR(status1B5!AO62="",AN$7="No aplica"),0,SUM('BOULEVARD 5'!$K60:AQ60)-$AP367)</f>
        <v>0</v>
      </c>
      <c r="AO367" s="716">
        <f>IF(OR(status1B5!AP62="",AO$7="No aplica"),0,SUM('BOULEVARD 5'!$K60:AS60)-$AP367)</f>
        <v>0</v>
      </c>
      <c r="AP367" s="717">
        <f>'BOULEVARD PPTO'!BC55</f>
        <v>72200</v>
      </c>
      <c r="AQ367" s="717">
        <f>'BOULEVARD 5'!AT60</f>
        <v>95200</v>
      </c>
      <c r="AR367" s="717">
        <f t="shared" si="38"/>
        <v>23000</v>
      </c>
      <c r="AS367" s="717"/>
      <c r="AT367" s="581"/>
    </row>
    <row r="368" spans="1:46" ht="13.15" customHeight="1" outlineLevel="1" x14ac:dyDescent="0.25">
      <c r="A368" s="700">
        <f t="shared" si="36"/>
        <v>0</v>
      </c>
      <c r="B368" s="564">
        <f t="shared" ref="B368:G368" si="91">B63</f>
        <v>405</v>
      </c>
      <c r="C368" s="564" t="str">
        <f t="shared" si="91"/>
        <v>B7</v>
      </c>
      <c r="D368" s="564">
        <f t="shared" si="91"/>
        <v>0</v>
      </c>
      <c r="E368" s="564" t="str">
        <f t="shared" si="91"/>
        <v/>
      </c>
      <c r="F368" s="581" t="str">
        <f t="shared" si="91"/>
        <v>Mario Saul Aragón Zepeda</v>
      </c>
      <c r="G368" s="566">
        <f t="shared" si="91"/>
        <v>45995</v>
      </c>
      <c r="H368" s="716">
        <f>IF(OR(status1B5!I63="",H$7="No aplica"),0,SUM('BOULEVARD 5'!$K61:K61)-$AP368)</f>
        <v>0</v>
      </c>
      <c r="I368" s="716">
        <f>IF(OR(status1B5!J63="",I$7="No aplica"),0,SUM('BOULEVARD 5'!$K61:L61)-$AP368)</f>
        <v>0</v>
      </c>
      <c r="J368" s="716">
        <f>IF(OR(status1B5!K63="",J$7="No aplica"),0,SUM('BOULEVARD 5'!$K61:M61)-$AP368)</f>
        <v>0</v>
      </c>
      <c r="K368" s="716">
        <f>IF(OR(status1B5!L63="",K$7="No aplica"),0,SUM('BOULEVARD 5'!$K61:N61)-$AP368)</f>
        <v>0</v>
      </c>
      <c r="L368" s="716">
        <f>IF(OR(status1B5!M63="",L$7="No aplica"),0,SUM('BOULEVARD 5'!$K61:O61)-$AP368)</f>
        <v>0</v>
      </c>
      <c r="M368" s="716">
        <f>IF(OR(status1B5!N63="",M$7="No aplica"),0,SUM('BOULEVARD 5'!$K61:P61)-$AP368)</f>
        <v>0</v>
      </c>
      <c r="N368" s="716">
        <f>IF(OR(status1B5!O63="",N$7="No aplica"),0,SUM('BOULEVARD 5'!$K61:Q61)-$AP368)</f>
        <v>0</v>
      </c>
      <c r="O368" s="716">
        <f>IF(OR(status1B5!P63="",O$7="No aplica"),0,SUM('BOULEVARD 5'!$K61:R61)-$AP368)</f>
        <v>0</v>
      </c>
      <c r="P368" s="716">
        <f>IF(OR(status1B5!Q63="",P$7="No aplica"),0,SUM('BOULEVARD 5'!$K61:S61)-$AP368)</f>
        <v>0</v>
      </c>
      <c r="Q368" s="716">
        <f>IF(OR(status1B5!R63="",Q$7="No aplica"),0,SUM('BOULEVARD 5'!$K61:T61)-$AP368)</f>
        <v>0</v>
      </c>
      <c r="R368" s="716">
        <f>IF(OR(status1B5!S63="",R$7="No aplica"),0,SUM('BOULEVARD 5'!$K61:U61)-$AP368)</f>
        <v>0</v>
      </c>
      <c r="S368" s="716">
        <f>IF(OR(status1B5!T63="",S$7="No aplica"),0,SUM('BOULEVARD 5'!$K61:V61)-$AP368)</f>
        <v>0</v>
      </c>
      <c r="T368" s="716">
        <f>IF(OR(status1B5!U63="",T$7="No aplica"),0,SUM('BOULEVARD 5'!$K61:W61)-$AP368)</f>
        <v>0</v>
      </c>
      <c r="U368" s="716">
        <f>IF(OR(status1B5!V63="",U$7="No aplica"),0,SUM('BOULEVARD 5'!$K61:X61)-$AP368)</f>
        <v>0</v>
      </c>
      <c r="V368" s="716">
        <f>IF(OR(status1B5!W63="",V$7="No aplica"),0,SUM('BOULEVARD 5'!$K61:Y61)-$AP368)</f>
        <v>0</v>
      </c>
      <c r="W368" s="716">
        <f>IF(OR(status1B5!X63="",W$7="No aplica"),0,SUM('BOULEVARD 5'!$K61:Z61)-$AP368)</f>
        <v>0</v>
      </c>
      <c r="X368" s="716">
        <f>IF(OR(status1B5!Y63="",X$7="No aplica"),0,SUM('BOULEVARD 5'!$K61:AA61)-$AP368)</f>
        <v>0</v>
      </c>
      <c r="Y368" s="716">
        <f>IF(OR(status1B5!Z63="",Y$7="No aplica"),0,SUM('BOULEVARD 5'!$K61:AB61)-$AP368)</f>
        <v>0</v>
      </c>
      <c r="Z368" s="716">
        <f>IF(OR(status1B5!AA63="",Z$7="No aplica"),0,SUM('BOULEVARD 5'!$K61:AC61)-$AP368)</f>
        <v>0</v>
      </c>
      <c r="AA368" s="716">
        <f>IF(OR(status1B5!AB63="",AA$7="No aplica"),0,SUM('BOULEVARD 5'!$K61:AD61)-$AP368)</f>
        <v>0</v>
      </c>
      <c r="AB368" s="716">
        <f>IF(OR(status1B5!AC63="",AB$7="No aplica"),0,SUM('BOULEVARD 5'!$K61:AE61)-$AP368)</f>
        <v>0</v>
      </c>
      <c r="AC368" s="716">
        <f>IF(OR(status1B5!AD63="",AC$7="No aplica"),0,SUM('BOULEVARD 5'!$K61:AF61)-$AP368)</f>
        <v>0</v>
      </c>
      <c r="AD368" s="716">
        <f>IF(OR(status1B5!AE63="",AD$7="No aplica"),0,SUM('BOULEVARD 5'!$K61:AG61)-$AP368)</f>
        <v>0</v>
      </c>
      <c r="AE368" s="716">
        <f>IF(OR(status1B5!AF63="",AE$7="No aplica"),0,SUM('BOULEVARD 5'!$K61:AH61)-$AP368)</f>
        <v>0</v>
      </c>
      <c r="AF368" s="716">
        <f>IF(OR(status1B5!AG63="",AF$7="No aplica"),0,SUM('BOULEVARD 5'!$K61:AI61)-$AP368)</f>
        <v>0</v>
      </c>
      <c r="AG368" s="716">
        <f>IF(OR(status1B5!AH63="",AG$7="No aplica"),0,SUM('BOULEVARD 5'!$K61:AJ61)-$AP368)</f>
        <v>0</v>
      </c>
      <c r="AH368" s="716">
        <f>IF(OR(status1B5!AI63="",AH$7="No aplica"),0,SUM('BOULEVARD 5'!$K61:AK61)-$AP368)</f>
        <v>0</v>
      </c>
      <c r="AI368" s="716">
        <f>IF(OR(status1B5!AJ63="",AI$7="No aplica"),0,SUM('BOULEVARD 5'!$K61:AL61)-$AP368)</f>
        <v>0</v>
      </c>
      <c r="AJ368" s="716">
        <f>IF(OR(status1B5!AK63="",AJ$7="No aplica"),0,SUM('BOULEVARD 5'!$K61:AM61)-$AP368)</f>
        <v>0</v>
      </c>
      <c r="AK368" s="716">
        <f>IF(OR(status1B5!AL63="",AK$7="No aplica"),0,SUM('BOULEVARD 5'!$K61:AN61)-$AP368)</f>
        <v>0</v>
      </c>
      <c r="AL368" s="716">
        <f>IF(OR(status1B5!AM63="",AL$7="No aplica"),0,SUM('BOULEVARD 5'!$K61:AO61)-$AP368)</f>
        <v>0</v>
      </c>
      <c r="AM368" s="716">
        <f>IF(OR(status1B5!AN63="",AM$7="No aplica"),0,SUM('BOULEVARD 5'!$K61:AP61)-$AP368)</f>
        <v>0</v>
      </c>
      <c r="AN368" s="716">
        <f>IF(OR(status1B5!AO63="",AN$7="No aplica"),0,SUM('BOULEVARD 5'!$K61:AQ61)-$AP368)</f>
        <v>0</v>
      </c>
      <c r="AO368" s="716">
        <f>IF(OR(status1B5!AP63="",AO$7="No aplica"),0,SUM('BOULEVARD 5'!$K61:AS61)-$AP368)</f>
        <v>0</v>
      </c>
      <c r="AP368" s="717">
        <f>'BOULEVARD PPTO'!BC56</f>
        <v>0</v>
      </c>
      <c r="AQ368" s="717">
        <f>'BOULEVARD 5'!AT61</f>
        <v>10000</v>
      </c>
      <c r="AR368" s="717">
        <f t="shared" si="38"/>
        <v>10000</v>
      </c>
      <c r="AS368" s="717"/>
      <c r="AT368" s="581"/>
    </row>
    <row r="369" spans="1:46" ht="13.15" customHeight="1" outlineLevel="1" x14ac:dyDescent="0.25">
      <c r="A369" s="700">
        <f t="shared" si="36"/>
        <v>0</v>
      </c>
      <c r="B369" s="564">
        <f t="shared" ref="B369:G369" si="92">B64</f>
        <v>406</v>
      </c>
      <c r="C369" s="564" t="str">
        <f t="shared" si="92"/>
        <v>B2</v>
      </c>
      <c r="D369" s="564">
        <f t="shared" si="92"/>
        <v>0</v>
      </c>
      <c r="E369" s="564" t="str">
        <f t="shared" si="92"/>
        <v>SIN DATOS</v>
      </c>
      <c r="F369" s="581" t="str">
        <f t="shared" si="92"/>
        <v xml:space="preserve">Andrea Joanna Hidalgo Mendizábal </v>
      </c>
      <c r="G369" s="566">
        <f t="shared" si="92"/>
        <v>45800</v>
      </c>
      <c r="H369" s="716">
        <f>IF(OR(status1B5!I64="",H$7="No aplica"),0,SUM('BOULEVARD 5'!$K62:K62)-$AP369)</f>
        <v>0</v>
      </c>
      <c r="I369" s="716">
        <f>IF(OR(status1B5!J64="",I$7="No aplica"),0,SUM('BOULEVARD 5'!$K62:L62)-$AP369)</f>
        <v>0</v>
      </c>
      <c r="J369" s="716">
        <f>IF(OR(status1B5!K64="",J$7="No aplica"),0,SUM('BOULEVARD 5'!$K62:M62)-$AP369)</f>
        <v>0</v>
      </c>
      <c r="K369" s="716">
        <f>IF(OR(status1B5!L64="",K$7="No aplica"),0,SUM('BOULEVARD 5'!$K62:N62)-$AP369)</f>
        <v>0</v>
      </c>
      <c r="L369" s="716">
        <f>IF(OR(status1B5!M64="",L$7="No aplica"),0,SUM('BOULEVARD 5'!$K62:O62)-$AP369)</f>
        <v>0</v>
      </c>
      <c r="M369" s="716">
        <f>IF(OR(status1B5!N64="",M$7="No aplica"),0,SUM('BOULEVARD 5'!$K62:P62)-$AP369)</f>
        <v>0</v>
      </c>
      <c r="N369" s="716">
        <f>IF(OR(status1B5!O64="",N$7="No aplica"),0,SUM('BOULEVARD 5'!$K62:Q62)-$AP369)</f>
        <v>0</v>
      </c>
      <c r="O369" s="716">
        <f>IF(OR(status1B5!P64="",O$7="No aplica"),0,SUM('BOULEVARD 5'!$K62:R62)-$AP369)</f>
        <v>0</v>
      </c>
      <c r="P369" s="716">
        <f>IF(OR(status1B5!Q64="",P$7="No aplica"),0,SUM('BOULEVARD 5'!$K62:S62)-$AP369)</f>
        <v>0</v>
      </c>
      <c r="Q369" s="716">
        <f>IF(OR(status1B5!R64="",Q$7="No aplica"),0,SUM('BOULEVARD 5'!$K62:T62)-$AP369)</f>
        <v>0</v>
      </c>
      <c r="R369" s="716">
        <f>IF(OR(status1B5!S64="",R$7="No aplica"),0,SUM('BOULEVARD 5'!$K62:U62)-$AP369)</f>
        <v>0</v>
      </c>
      <c r="S369" s="716">
        <f>IF(OR(status1B5!T64="",S$7="No aplica"),0,SUM('BOULEVARD 5'!$K62:V62)-$AP369)</f>
        <v>0</v>
      </c>
      <c r="T369" s="716">
        <f>IF(OR(status1B5!U64="",T$7="No aplica"),0,SUM('BOULEVARD 5'!$K62:W62)-$AP369)</f>
        <v>0</v>
      </c>
      <c r="U369" s="716">
        <f>IF(OR(status1B5!V64="",U$7="No aplica"),0,SUM('BOULEVARD 5'!$K62:X62)-$AP369)</f>
        <v>0</v>
      </c>
      <c r="V369" s="716">
        <f>IF(OR(status1B5!W64="",V$7="No aplica"),0,SUM('BOULEVARD 5'!$K62:Y62)-$AP369)</f>
        <v>0</v>
      </c>
      <c r="W369" s="716">
        <f>IF(OR(status1B5!X64="",W$7="No aplica"),0,SUM('BOULEVARD 5'!$K62:Z62)-$AP369)</f>
        <v>0</v>
      </c>
      <c r="X369" s="716">
        <f>IF(OR(status1B5!Y64="",X$7="No aplica"),0,SUM('BOULEVARD 5'!$K62:AA62)-$AP369)</f>
        <v>0</v>
      </c>
      <c r="Y369" s="716">
        <f>IF(OR(status1B5!Z64="",Y$7="No aplica"),0,SUM('BOULEVARD 5'!$K62:AB62)-$AP369)</f>
        <v>0</v>
      </c>
      <c r="Z369" s="716">
        <f>IF(OR(status1B5!AA64="",Z$7="No aplica"),0,SUM('BOULEVARD 5'!$K62:AC62)-$AP369)</f>
        <v>0</v>
      </c>
      <c r="AA369" s="716">
        <f>IF(OR(status1B5!AB64="",AA$7="No aplica"),0,SUM('BOULEVARD 5'!$K62:AD62)-$AP369)</f>
        <v>0</v>
      </c>
      <c r="AB369" s="716">
        <f>IF(OR(status1B5!AC64="",AB$7="No aplica"),0,SUM('BOULEVARD 5'!$K62:AE62)-$AP369)</f>
        <v>0</v>
      </c>
      <c r="AC369" s="716">
        <f>IF(OR(status1B5!AD64="",AC$7="No aplica"),0,SUM('BOULEVARD 5'!$K62:AF62)-$AP369)</f>
        <v>0</v>
      </c>
      <c r="AD369" s="716">
        <f>IF(OR(status1B5!AE64="",AD$7="No aplica"),0,SUM('BOULEVARD 5'!$K62:AG62)-$AP369)</f>
        <v>0</v>
      </c>
      <c r="AE369" s="716">
        <f>IF(OR(status1B5!AF64="",AE$7="No aplica"),0,SUM('BOULEVARD 5'!$K62:AH62)-$AP369)</f>
        <v>0</v>
      </c>
      <c r="AF369" s="716">
        <f>IF(OR(status1B5!AG64="",AF$7="No aplica"),0,SUM('BOULEVARD 5'!$K62:AI62)-$AP369)</f>
        <v>0</v>
      </c>
      <c r="AG369" s="716">
        <f>IF(OR(status1B5!AH64="",AG$7="No aplica"),0,SUM('BOULEVARD 5'!$K62:AJ62)-$AP369)</f>
        <v>0</v>
      </c>
      <c r="AH369" s="716">
        <f>IF(OR(status1B5!AI64="",AH$7="No aplica"),0,SUM('BOULEVARD 5'!$K62:AK62)-$AP369)</f>
        <v>-100452</v>
      </c>
      <c r="AI369" s="716">
        <f>IF(OR(status1B5!AJ64="",AI$7="No aplica"),0,SUM('BOULEVARD 5'!$K62:AL62)-$AP369)</f>
        <v>-83718</v>
      </c>
      <c r="AJ369" s="716">
        <f>IF(OR(status1B5!AK64="",AJ$7="No aplica"),0,SUM('BOULEVARD 5'!$K62:AM62)-$AP369)</f>
        <v>-66984</v>
      </c>
      <c r="AK369" s="716">
        <f>IF(OR(status1B5!AL64="",AK$7="No aplica"),0,SUM('BOULEVARD 5'!$K62:AN62)-$AP369)</f>
        <v>-66984</v>
      </c>
      <c r="AL369" s="716">
        <f>IF(OR(status1B5!AM64="",AL$7="No aplica"),0,SUM('BOULEVARD 5'!$K62:AO62)-$AP369)</f>
        <v>-66984</v>
      </c>
      <c r="AM369" s="716">
        <f>IF(OR(status1B5!AN64="",AM$7="No aplica"),0,SUM('BOULEVARD 5'!$K62:AP62)-$AP369)</f>
        <v>-58617</v>
      </c>
      <c r="AN369" s="716">
        <f>IF(OR(status1B5!AO64="",AN$7="No aplica"),0,SUM('BOULEVARD 5'!$K62:AQ62)-$AP369)</f>
        <v>0</v>
      </c>
      <c r="AO369" s="716">
        <f>IF(OR(status1B5!AP64="",AO$7="No aplica"),0,SUM('BOULEVARD 5'!$K62:AS62)-$AP369)</f>
        <v>0</v>
      </c>
      <c r="AP369" s="717">
        <f>'BOULEVARD PPTO'!BC57</f>
        <v>110452</v>
      </c>
      <c r="AQ369" s="717">
        <f>'BOULEVARD 5'!AT62</f>
        <v>76936</v>
      </c>
      <c r="AR369" s="717">
        <f t="shared" si="38"/>
        <v>-33516</v>
      </c>
      <c r="AS369" s="717"/>
      <c r="AT369" s="581"/>
    </row>
    <row r="370" spans="1:46" ht="13.15" customHeight="1" outlineLevel="1" x14ac:dyDescent="0.25">
      <c r="A370" s="700">
        <f t="shared" si="36"/>
        <v>0</v>
      </c>
      <c r="B370" s="564">
        <f t="shared" ref="B370:G370" si="93">B65</f>
        <v>407</v>
      </c>
      <c r="C370" s="564" t="str">
        <f t="shared" si="93"/>
        <v>B6</v>
      </c>
      <c r="D370" s="564">
        <f t="shared" si="93"/>
        <v>0</v>
      </c>
      <c r="E370" s="564" t="str">
        <f t="shared" si="93"/>
        <v>Laura Molina</v>
      </c>
      <c r="F370" s="581" t="str">
        <f t="shared" si="93"/>
        <v>Alberto Antonio Arrecis Rosales</v>
      </c>
      <c r="G370" s="566">
        <f t="shared" si="93"/>
        <v>45883</v>
      </c>
      <c r="H370" s="716">
        <f>IF(OR(status1B5!I65="",H$7="No aplica"),0,SUM('BOULEVARD 5'!$K63:K63)-$AP370)</f>
        <v>0</v>
      </c>
      <c r="I370" s="716">
        <f>IF(OR(status1B5!J65="",I$7="No aplica"),0,SUM('BOULEVARD 5'!$K63:L63)-$AP370)</f>
        <v>0</v>
      </c>
      <c r="J370" s="716">
        <f>IF(OR(status1B5!K65="",J$7="No aplica"),0,SUM('BOULEVARD 5'!$K63:M63)-$AP370)</f>
        <v>0</v>
      </c>
      <c r="K370" s="716">
        <f>IF(OR(status1B5!L65="",K$7="No aplica"),0,SUM('BOULEVARD 5'!$K63:N63)-$AP370)</f>
        <v>0</v>
      </c>
      <c r="L370" s="716">
        <f>IF(OR(status1B5!M65="",L$7="No aplica"),0,SUM('BOULEVARD 5'!$K63:O63)-$AP370)</f>
        <v>0</v>
      </c>
      <c r="M370" s="716">
        <f>IF(OR(status1B5!N65="",M$7="No aplica"),0,SUM('BOULEVARD 5'!$K63:P63)-$AP370)</f>
        <v>0</v>
      </c>
      <c r="N370" s="716">
        <f>IF(OR(status1B5!O65="",N$7="No aplica"),0,SUM('BOULEVARD 5'!$K63:Q63)-$AP370)</f>
        <v>0</v>
      </c>
      <c r="O370" s="716">
        <f>IF(OR(status1B5!P65="",O$7="No aplica"),0,SUM('BOULEVARD 5'!$K63:R63)-$AP370)</f>
        <v>0</v>
      </c>
      <c r="P370" s="716">
        <f>IF(OR(status1B5!Q65="",P$7="No aplica"),0,SUM('BOULEVARD 5'!$K63:S63)-$AP370)</f>
        <v>0</v>
      </c>
      <c r="Q370" s="716">
        <f>IF(OR(status1B5!R65="",Q$7="No aplica"),0,SUM('BOULEVARD 5'!$K63:T63)-$AP370)</f>
        <v>0</v>
      </c>
      <c r="R370" s="716">
        <f>IF(OR(status1B5!S65="",R$7="No aplica"),0,SUM('BOULEVARD 5'!$K63:U63)-$AP370)</f>
        <v>0</v>
      </c>
      <c r="S370" s="716">
        <f>IF(OR(status1B5!T65="",S$7="No aplica"),0,SUM('BOULEVARD 5'!$K63:V63)-$AP370)</f>
        <v>0</v>
      </c>
      <c r="T370" s="716">
        <f>IF(OR(status1B5!U65="",T$7="No aplica"),0,SUM('BOULEVARD 5'!$K63:W63)-$AP370)</f>
        <v>0</v>
      </c>
      <c r="U370" s="716">
        <f>IF(OR(status1B5!V65="",U$7="No aplica"),0,SUM('BOULEVARD 5'!$K63:X63)-$AP370)</f>
        <v>0</v>
      </c>
      <c r="V370" s="716">
        <f>IF(OR(status1B5!W65="",V$7="No aplica"),0,SUM('BOULEVARD 5'!$K63:Y63)-$AP370)</f>
        <v>0</v>
      </c>
      <c r="W370" s="716">
        <f>IF(OR(status1B5!X65="",W$7="No aplica"),0,SUM('BOULEVARD 5'!$K63:Z63)-$AP370)</f>
        <v>0</v>
      </c>
      <c r="X370" s="716">
        <f>IF(OR(status1B5!Y65="",X$7="No aplica"),0,SUM('BOULEVARD 5'!$K63:AA63)-$AP370)</f>
        <v>0</v>
      </c>
      <c r="Y370" s="716">
        <f>IF(OR(status1B5!Z65="",Y$7="No aplica"),0,SUM('BOULEVARD 5'!$K63:AB63)-$AP370)</f>
        <v>0</v>
      </c>
      <c r="Z370" s="716">
        <f>IF(OR(status1B5!AA65="",Z$7="No aplica"),0,SUM('BOULEVARD 5'!$K63:AC63)-$AP370)</f>
        <v>0</v>
      </c>
      <c r="AA370" s="716">
        <f>IF(OR(status1B5!AB65="",AA$7="No aplica"),0,SUM('BOULEVARD 5'!$K63:AD63)-$AP370)</f>
        <v>0</v>
      </c>
      <c r="AB370" s="716">
        <f>IF(OR(status1B5!AC65="",AB$7="No aplica"),0,SUM('BOULEVARD 5'!$K63:AE63)-$AP370)</f>
        <v>0</v>
      </c>
      <c r="AC370" s="716">
        <f>IF(OR(status1B5!AD65="",AC$7="No aplica"),0,SUM('BOULEVARD 5'!$K63:AF63)-$AP370)</f>
        <v>0</v>
      </c>
      <c r="AD370" s="716">
        <f>IF(OR(status1B5!AE65="",AD$7="No aplica"),0,SUM('BOULEVARD 5'!$K63:AG63)-$AP370)</f>
        <v>0</v>
      </c>
      <c r="AE370" s="716">
        <f>IF(OR(status1B5!AF65="",AE$7="No aplica"),0,SUM('BOULEVARD 5'!$K63:AH63)-$AP370)</f>
        <v>0</v>
      </c>
      <c r="AF370" s="716">
        <f>IF(OR(status1B5!AG65="",AF$7="No aplica"),0,SUM('BOULEVARD 5'!$K63:AI63)-$AP370)</f>
        <v>0</v>
      </c>
      <c r="AG370" s="716">
        <f>IF(OR(status1B5!AH65="",AG$7="No aplica"),0,SUM('BOULEVARD 5'!$K63:AJ63)-$AP370)</f>
        <v>0</v>
      </c>
      <c r="AH370" s="716">
        <f>IF(OR(status1B5!AI65="",AH$7="No aplica"),0,SUM('BOULEVARD 5'!$K63:AK63)-$AP370)</f>
        <v>0</v>
      </c>
      <c r="AI370" s="716">
        <f>IF(OR(status1B5!AJ65="",AI$7="No aplica"),0,SUM('BOULEVARD 5'!$K63:AL63)-$AP370)</f>
        <v>0</v>
      </c>
      <c r="AJ370" s="716">
        <f>IF(OR(status1B5!AK65="",AJ$7="No aplica"),0,SUM('BOULEVARD 5'!$K63:AM63)-$AP370)</f>
        <v>0</v>
      </c>
      <c r="AK370" s="716">
        <f>IF(OR(status1B5!AL65="",AK$7="No aplica"),0,SUM('BOULEVARD 5'!$K63:AN63)-$AP370)</f>
        <v>10000</v>
      </c>
      <c r="AL370" s="716">
        <f>IF(OR(status1B5!AM65="",AL$7="No aplica"),0,SUM('BOULEVARD 5'!$K63:AO63)-$AP370)</f>
        <v>17041.47</v>
      </c>
      <c r="AM370" s="716">
        <f>IF(OR(status1B5!AN65="",AM$7="No aplica"),0,SUM('BOULEVARD 5'!$K63:AP63)-$AP370)</f>
        <v>24082.940000000002</v>
      </c>
      <c r="AN370" s="716">
        <f>IF(OR(status1B5!AO65="",AN$7="No aplica"),0,SUM('BOULEVARD 5'!$K63:AQ63)-$AP370)</f>
        <v>0</v>
      </c>
      <c r="AO370" s="716">
        <f>IF(OR(status1B5!AP65="",AO$7="No aplica"),0,SUM('BOULEVARD 5'!$K63:AS63)-$AP370)</f>
        <v>0</v>
      </c>
      <c r="AP370" s="717">
        <f>'BOULEVARD PPTO'!BC58</f>
        <v>0</v>
      </c>
      <c r="AQ370" s="717">
        <f>'BOULEVARD 5'!AT63</f>
        <v>45207.350000000006</v>
      </c>
      <c r="AR370" s="717">
        <f t="shared" si="38"/>
        <v>45207.350000000006</v>
      </c>
      <c r="AS370" s="717"/>
      <c r="AT370" s="581"/>
    </row>
    <row r="371" spans="1:46" ht="13.15" customHeight="1" outlineLevel="1" x14ac:dyDescent="0.25">
      <c r="A371" s="700" t="str">
        <f t="shared" si="36"/>
        <v>CE</v>
      </c>
      <c r="B371" s="708">
        <f t="shared" ref="B371:G371" si="94">B66</f>
        <v>408</v>
      </c>
      <c r="C371" s="564" t="str">
        <f t="shared" si="94"/>
        <v>B1</v>
      </c>
      <c r="D371" s="647" t="str">
        <f t="shared" si="94"/>
        <v>Plan de pagos especiales</v>
      </c>
      <c r="E371" s="564" t="str">
        <f t="shared" si="94"/>
        <v>Antonio Rada</v>
      </c>
      <c r="F371" s="581" t="str">
        <f t="shared" si="94"/>
        <v>Maria Gabriela Chang Quan De Garcia</v>
      </c>
      <c r="G371" s="566">
        <f t="shared" si="94"/>
        <v>45335</v>
      </c>
      <c r="H371" s="716">
        <f>IF(OR(status1B5!I66="",H$7="No aplica"),0,SUM('BOULEVARD 5'!$K64:K64)-$AP371)</f>
        <v>0</v>
      </c>
      <c r="I371" s="716">
        <f>IF(OR(status1B5!J66="",I$7="No aplica"),0,SUM('BOULEVARD 5'!$K64:L64)-$AP371)</f>
        <v>0</v>
      </c>
      <c r="J371" s="716">
        <f>IF(OR(status1B5!K66="",J$7="No aplica"),0,SUM('BOULEVARD 5'!$K64:M64)-$AP371)</f>
        <v>0</v>
      </c>
      <c r="K371" s="716">
        <f>IF(OR(status1B5!L66="",K$7="No aplica"),0,SUM('BOULEVARD 5'!$K64:N64)-$AP371)</f>
        <v>0</v>
      </c>
      <c r="L371" s="716">
        <f>IF(OR(status1B5!M66="",L$7="No aplica"),0,SUM('BOULEVARD 5'!$K64:O64)-$AP371)</f>
        <v>0</v>
      </c>
      <c r="M371" s="716">
        <f>IF(OR(status1B5!N66="",M$7="No aplica"),0,SUM('BOULEVARD 5'!$K64:P64)-$AP371)</f>
        <v>0</v>
      </c>
      <c r="N371" s="716">
        <f>IF(OR(status1B5!O66="",N$7="No aplica"),0,SUM('BOULEVARD 5'!$K64:Q64)-$AP371)</f>
        <v>0</v>
      </c>
      <c r="O371" s="716">
        <f>IF(OR(status1B5!P66="",O$7="No aplica"),0,SUM('BOULEVARD 5'!$K64:R64)-$AP371)</f>
        <v>0</v>
      </c>
      <c r="P371" s="716">
        <f>IF(OR(status1B5!Q66="",P$7="No aplica"),0,SUM('BOULEVARD 5'!$K64:S64)-$AP371)</f>
        <v>0</v>
      </c>
      <c r="Q371" s="716">
        <f>IF(OR(status1B5!R66="",Q$7="No aplica"),0,SUM('BOULEVARD 5'!$K64:T64)-$AP371)</f>
        <v>0</v>
      </c>
      <c r="R371" s="716">
        <f>IF(OR(status1B5!S66="",R$7="No aplica"),0,SUM('BOULEVARD 5'!$K64:U64)-$AP371)</f>
        <v>0</v>
      </c>
      <c r="S371" s="716">
        <f>IF(OR(status1B5!T66="",S$7="No aplica"),0,SUM('BOULEVARD 5'!$K64:V64)-$AP371)</f>
        <v>-118112</v>
      </c>
      <c r="T371" s="716">
        <f>IF(OR(status1B5!U66="",T$7="No aplica"),0,SUM('BOULEVARD 5'!$K64:W64)-$AP371)</f>
        <v>-118112</v>
      </c>
      <c r="U371" s="716">
        <f>IF(OR(status1B5!V66="",U$7="No aplica"),0,SUM('BOULEVARD 5'!$K64:X64)-$AP371)</f>
        <v>-118112</v>
      </c>
      <c r="V371" s="716">
        <f>IF(OR(status1B5!W66="",V$7="No aplica"),0,SUM('BOULEVARD 5'!$K64:Y64)-$AP371)</f>
        <v>-118112</v>
      </c>
      <c r="W371" s="716">
        <f>IF(OR(status1B5!X66="",W$7="No aplica"),0,SUM('BOULEVARD 5'!$K64:Z64)-$AP371)</f>
        <v>-118112</v>
      </c>
      <c r="X371" s="716">
        <f>IF(OR(status1B5!Y66="",X$7="No aplica"),0,SUM('BOULEVARD 5'!$K64:AA64)-$AP371)</f>
        <v>-118112</v>
      </c>
      <c r="Y371" s="716">
        <f>IF(OR(status1B5!Z66="",Y$7="No aplica"),0,SUM('BOULEVARD 5'!$K64:AB64)-$AP371)</f>
        <v>-118112</v>
      </c>
      <c r="Z371" s="716">
        <f>IF(OR(status1B5!AA66="",Z$7="No aplica"),0,SUM('BOULEVARD 5'!$K64:AC64)-$AP371)</f>
        <v>-118112</v>
      </c>
      <c r="AA371" s="716">
        <f>IF(OR(status1B5!AB66="",AA$7="No aplica"),0,SUM('BOULEVARD 5'!$K64:AD64)-$AP371)</f>
        <v>-118112</v>
      </c>
      <c r="AB371" s="716">
        <f>IF(OR(status1B5!AC66="",AB$7="No aplica"),0,SUM('BOULEVARD 5'!$K64:AE64)-$AP371)</f>
        <v>-118112</v>
      </c>
      <c r="AC371" s="716">
        <f>IF(OR(status1B5!AD66="",AC$7="No aplica"),0,SUM('BOULEVARD 5'!$K64:AF64)-$AP371)</f>
        <v>-118112</v>
      </c>
      <c r="AD371" s="716">
        <f>IF(OR(status1B5!AE66="",AD$7="No aplica"),0,SUM('BOULEVARD 5'!$K64:AG64)-$AP371)</f>
        <v>-118112</v>
      </c>
      <c r="AE371" s="716">
        <f>IF(OR(status1B5!AF66="",AE$7="No aplica"),0,SUM('BOULEVARD 5'!$K64:AH64)-$AP371)</f>
        <v>-118112</v>
      </c>
      <c r="AF371" s="716">
        <f>IF(OR(status1B5!AG66="",AF$7="No aplica"),0,SUM('BOULEVARD 5'!$K64:AI64)-$AP371)</f>
        <v>-118112</v>
      </c>
      <c r="AG371" s="716">
        <f>IF(OR(status1B5!AH66="",AG$7="No aplica"),0,SUM('BOULEVARD 5'!$K64:AJ64)-$AP371)</f>
        <v>-118112</v>
      </c>
      <c r="AH371" s="716">
        <f>IF(OR(status1B5!AI66="",AH$7="No aplica"),0,SUM('BOULEVARD 5'!$K64:AK64)-$AP371)</f>
        <v>-118112</v>
      </c>
      <c r="AI371" s="716">
        <f>IF(OR(status1B5!AJ66="",AI$7="No aplica"),0,SUM('BOULEVARD 5'!$K64:AL64)-$AP371)</f>
        <v>-88112</v>
      </c>
      <c r="AJ371" s="716">
        <f>IF(OR(status1B5!AK66="",AJ$7="No aplica"),0,SUM('BOULEVARD 5'!$K64:AM64)-$AP371)</f>
        <v>-88112</v>
      </c>
      <c r="AK371" s="716">
        <f>IF(OR(status1B5!AL66="",AK$7="No aplica"),0,SUM('BOULEVARD 5'!$K64:AN64)-$AP371)</f>
        <v>-88112</v>
      </c>
      <c r="AL371" s="716">
        <f>IF(OR(status1B5!AM66="",AL$7="No aplica"),0,SUM('BOULEVARD 5'!$K64:AO64)-$AP371)</f>
        <v>-88112</v>
      </c>
      <c r="AM371" s="716">
        <f>IF(OR(status1B5!AN66="",AM$7="No aplica"),0,SUM('BOULEVARD 5'!$K64:AP64)-$AP371)</f>
        <v>-88112</v>
      </c>
      <c r="AN371" s="716">
        <f>IF(OR(status1B5!AO66="",AN$7="No aplica"),0,SUM('BOULEVARD 5'!$K64:AQ64)-$AP371)</f>
        <v>0</v>
      </c>
      <c r="AO371" s="716">
        <f>IF(OR(status1B5!AP66="",AO$7="No aplica"),0,SUM('BOULEVARD 5'!$K64:AS64)-$AP371)</f>
        <v>0</v>
      </c>
      <c r="AP371" s="717">
        <f>'BOULEVARD PPTO'!BC59</f>
        <v>126112</v>
      </c>
      <c r="AQ371" s="717">
        <f>'BOULEVARD 5'!AT64</f>
        <v>58000</v>
      </c>
      <c r="AR371" s="717">
        <f t="shared" si="38"/>
        <v>-68112</v>
      </c>
      <c r="AS371" s="717"/>
      <c r="AT371" s="581"/>
    </row>
    <row r="372" spans="1:46" ht="13.15" customHeight="1" outlineLevel="1" x14ac:dyDescent="0.25">
      <c r="A372" s="700">
        <f t="shared" si="36"/>
        <v>0</v>
      </c>
      <c r="B372" s="564">
        <f t="shared" ref="B372:G372" si="95">B67</f>
        <v>409</v>
      </c>
      <c r="C372" s="564" t="str">
        <f t="shared" si="95"/>
        <v>D7</v>
      </c>
      <c r="D372" s="564">
        <f t="shared" si="95"/>
        <v>0</v>
      </c>
      <c r="E372" s="564" t="str">
        <f t="shared" si="95"/>
        <v>Antonio Rada</v>
      </c>
      <c r="F372" s="581" t="str">
        <f t="shared" si="95"/>
        <v>Rafael Leonidas Tabic Borja</v>
      </c>
      <c r="G372" s="566">
        <f t="shared" si="95"/>
        <v>45512</v>
      </c>
      <c r="H372" s="716">
        <f>IF(OR(status1B5!I67="",H$7="No aplica"),0,SUM('BOULEVARD 5'!$K65:K65)-$AP372)</f>
        <v>0</v>
      </c>
      <c r="I372" s="716">
        <f>IF(OR(status1B5!J67="",I$7="No aplica"),0,SUM('BOULEVARD 5'!$K65:L65)-$AP372)</f>
        <v>0</v>
      </c>
      <c r="J372" s="716">
        <f>IF(OR(status1B5!K67="",J$7="No aplica"),0,SUM('BOULEVARD 5'!$K65:M65)-$AP372)</f>
        <v>0</v>
      </c>
      <c r="K372" s="716">
        <f>IF(OR(status1B5!L67="",K$7="No aplica"),0,SUM('BOULEVARD 5'!$K65:N65)-$AP372)</f>
        <v>0</v>
      </c>
      <c r="L372" s="716">
        <f>IF(OR(status1B5!M67="",L$7="No aplica"),0,SUM('BOULEVARD 5'!$K65:O65)-$AP372)</f>
        <v>0</v>
      </c>
      <c r="M372" s="716">
        <f>IF(OR(status1B5!N67="",M$7="No aplica"),0,SUM('BOULEVARD 5'!$K65:P65)-$AP372)</f>
        <v>0</v>
      </c>
      <c r="N372" s="716">
        <f>IF(OR(status1B5!O67="",N$7="No aplica"),0,SUM('BOULEVARD 5'!$K65:Q65)-$AP372)</f>
        <v>0</v>
      </c>
      <c r="O372" s="716">
        <f>IF(OR(status1B5!P67="",O$7="No aplica"),0,SUM('BOULEVARD 5'!$K65:R65)-$AP372)</f>
        <v>0</v>
      </c>
      <c r="P372" s="716">
        <f>IF(OR(status1B5!Q67="",P$7="No aplica"),0,SUM('BOULEVARD 5'!$K65:S65)-$AP372)</f>
        <v>0</v>
      </c>
      <c r="Q372" s="716">
        <f>IF(OR(status1B5!R67="",Q$7="No aplica"),0,SUM('BOULEVARD 5'!$K65:T65)-$AP372)</f>
        <v>0</v>
      </c>
      <c r="R372" s="716">
        <f>IF(OR(status1B5!S67="",R$7="No aplica"),0,SUM('BOULEVARD 5'!$K65:U65)-$AP372)</f>
        <v>0</v>
      </c>
      <c r="S372" s="716">
        <f>IF(OR(status1B5!T67="",S$7="No aplica"),0,SUM('BOULEVARD 5'!$K65:V65)-$AP372)</f>
        <v>0</v>
      </c>
      <c r="T372" s="716">
        <f>IF(OR(status1B5!U67="",T$7="No aplica"),0,SUM('BOULEVARD 5'!$K65:W65)-$AP372)</f>
        <v>0</v>
      </c>
      <c r="U372" s="716">
        <f>IF(OR(status1B5!V67="",U$7="No aplica"),0,SUM('BOULEVARD 5'!$K65:X65)-$AP372)</f>
        <v>0</v>
      </c>
      <c r="V372" s="716">
        <f>IF(OR(status1B5!W67="",V$7="No aplica"),0,SUM('BOULEVARD 5'!$K65:Y65)-$AP372)</f>
        <v>0</v>
      </c>
      <c r="W372" s="716">
        <f>IF(OR(status1B5!X67="",W$7="No aplica"),0,SUM('BOULEVARD 5'!$K65:Z65)-$AP372)</f>
        <v>0</v>
      </c>
      <c r="X372" s="716">
        <f>IF(OR(status1B5!Y67="",X$7="No aplica"),0,SUM('BOULEVARD 5'!$K65:AA65)-$AP372)</f>
        <v>0</v>
      </c>
      <c r="Y372" s="716">
        <f>IF(OR(status1B5!Z67="",Y$7="No aplica"),0,SUM('BOULEVARD 5'!$K65:AB65)-$AP372)</f>
        <v>-124190</v>
      </c>
      <c r="Z372" s="716">
        <f>IF(OR(status1B5!AA67="",Z$7="No aplica"),0,SUM('BOULEVARD 5'!$K65:AC65)-$AP372)</f>
        <v>-116390</v>
      </c>
      <c r="AA372" s="716">
        <f>IF(OR(status1B5!AB67="",AA$7="No aplica"),0,SUM('BOULEVARD 5'!$K65:AD65)-$AP372)</f>
        <v>-108390</v>
      </c>
      <c r="AB372" s="716">
        <f>IF(OR(status1B5!AC67="",AB$7="No aplica"),0,SUM('BOULEVARD 5'!$K65:AE65)-$AP372)</f>
        <v>-100190</v>
      </c>
      <c r="AC372" s="716">
        <f>IF(OR(status1B5!AD67="",AC$7="No aplica"),0,SUM('BOULEVARD 5'!$K65:AF65)-$AP372)</f>
        <v>-84190</v>
      </c>
      <c r="AD372" s="716">
        <f>IF(OR(status1B5!AE67="",AD$7="No aplica"),0,SUM('BOULEVARD 5'!$K65:AG65)-$AP372)</f>
        <v>-84190</v>
      </c>
      <c r="AE372" s="716">
        <f>IF(OR(status1B5!AF67="",AE$7="No aplica"),0,SUM('BOULEVARD 5'!$K65:AH65)-$AP372)</f>
        <v>-76190</v>
      </c>
      <c r="AF372" s="716">
        <f>IF(OR(status1B5!AG67="",AF$7="No aplica"),0,SUM('BOULEVARD 5'!$K65:AI65)-$AP372)</f>
        <v>-68190</v>
      </c>
      <c r="AG372" s="716">
        <f>IF(OR(status1B5!AH67="",AG$7="No aplica"),0,SUM('BOULEVARD 5'!$K65:AJ65)-$AP372)</f>
        <v>-60190</v>
      </c>
      <c r="AH372" s="716">
        <f>IF(OR(status1B5!AI67="",AH$7="No aplica"),0,SUM('BOULEVARD 5'!$K65:AK65)-$AP372)</f>
        <v>-52190</v>
      </c>
      <c r="AI372" s="716">
        <f>IF(OR(status1B5!AJ67="",AI$7="No aplica"),0,SUM('BOULEVARD 5'!$K65:AL65)-$AP372)</f>
        <v>-44190</v>
      </c>
      <c r="AJ372" s="716">
        <f>IF(OR(status1B5!AK67="",AJ$7="No aplica"),0,SUM('BOULEVARD 5'!$K65:AM65)-$AP372)</f>
        <v>-36190</v>
      </c>
      <c r="AK372" s="716">
        <f>IF(OR(status1B5!AL67="",AK$7="No aplica"),0,SUM('BOULEVARD 5'!$K65:AN65)-$AP372)</f>
        <v>-28190</v>
      </c>
      <c r="AL372" s="716">
        <f>IF(OR(status1B5!AM67="",AL$7="No aplica"),0,SUM('BOULEVARD 5'!$K65:AO65)-$AP372)</f>
        <v>-20190</v>
      </c>
      <c r="AM372" s="716">
        <f>IF(OR(status1B5!AN67="",AM$7="No aplica"),0,SUM('BOULEVARD 5'!$K65:AP65)-$AP372)</f>
        <v>-12190</v>
      </c>
      <c r="AN372" s="716">
        <f>IF(OR(status1B5!AO67="",AN$7="No aplica"),0,SUM('BOULEVARD 5'!$K65:AQ65)-$AP372)</f>
        <v>0</v>
      </c>
      <c r="AO372" s="716">
        <f>IF(OR(status1B5!AP67="",AO$7="No aplica"),0,SUM('BOULEVARD 5'!$K65:AS65)-$AP372)</f>
        <v>0</v>
      </c>
      <c r="AP372" s="717">
        <f>'BOULEVARD PPTO'!BC60</f>
        <v>134190</v>
      </c>
      <c r="AQ372" s="717">
        <f>'BOULEVARD 5'!AT65</f>
        <v>138000</v>
      </c>
      <c r="AR372" s="717">
        <f t="shared" si="38"/>
        <v>3810</v>
      </c>
      <c r="AS372" s="717"/>
      <c r="AT372" s="581"/>
    </row>
    <row r="373" spans="1:46" ht="13.15" customHeight="1" outlineLevel="1" x14ac:dyDescent="0.25">
      <c r="A373" s="700">
        <f t="shared" si="36"/>
        <v>0</v>
      </c>
      <c r="B373" s="564">
        <f t="shared" ref="B373:G373" si="96">B68</f>
        <v>410</v>
      </c>
      <c r="C373" s="564" t="str">
        <f t="shared" si="96"/>
        <v>A9</v>
      </c>
      <c r="D373" s="564">
        <f t="shared" si="96"/>
        <v>0</v>
      </c>
      <c r="E373" s="564" t="str">
        <f t="shared" si="96"/>
        <v>Anahí Cisneros</v>
      </c>
      <c r="F373" s="581" t="str">
        <f t="shared" si="96"/>
        <v>Josué Ernesto Herrera Aguilar</v>
      </c>
      <c r="G373" s="566">
        <f t="shared" si="96"/>
        <v>45849</v>
      </c>
      <c r="H373" s="716">
        <f>IF(OR(status1B5!I68="",H$7="No aplica"),0,SUM('BOULEVARD 5'!$K66:K66)-$AP373)</f>
        <v>0</v>
      </c>
      <c r="I373" s="716">
        <f>IF(OR(status1B5!J68="",I$7="No aplica"),0,SUM('BOULEVARD 5'!$K66:L66)-$AP373)</f>
        <v>0</v>
      </c>
      <c r="J373" s="716">
        <f>IF(OR(status1B5!K68="",J$7="No aplica"),0,SUM('BOULEVARD 5'!$K66:M66)-$AP373)</f>
        <v>0</v>
      </c>
      <c r="K373" s="716">
        <f>IF(OR(status1B5!L68="",K$7="No aplica"),0,SUM('BOULEVARD 5'!$K66:N66)-$AP373)</f>
        <v>0</v>
      </c>
      <c r="L373" s="716">
        <f>IF(OR(status1B5!M68="",L$7="No aplica"),0,SUM('BOULEVARD 5'!$K66:O66)-$AP373)</f>
        <v>0</v>
      </c>
      <c r="M373" s="716">
        <f>IF(OR(status1B5!N68="",M$7="No aplica"),0,SUM('BOULEVARD 5'!$K66:P66)-$AP373)</f>
        <v>0</v>
      </c>
      <c r="N373" s="716">
        <f>IF(OR(status1B5!O68="",N$7="No aplica"),0,SUM('BOULEVARD 5'!$K66:Q66)-$AP373)</f>
        <v>0</v>
      </c>
      <c r="O373" s="716">
        <f>IF(OR(status1B5!P68="",O$7="No aplica"),0,SUM('BOULEVARD 5'!$K66:R66)-$AP373)</f>
        <v>0</v>
      </c>
      <c r="P373" s="716">
        <f>IF(OR(status1B5!Q68="",P$7="No aplica"),0,SUM('BOULEVARD 5'!$K66:S66)-$AP373)</f>
        <v>0</v>
      </c>
      <c r="Q373" s="716">
        <f>IF(OR(status1B5!R68="",Q$7="No aplica"),0,SUM('BOULEVARD 5'!$K66:T66)-$AP373)</f>
        <v>0</v>
      </c>
      <c r="R373" s="716">
        <f>IF(OR(status1B5!S68="",R$7="No aplica"),0,SUM('BOULEVARD 5'!$K66:U66)-$AP373)</f>
        <v>0</v>
      </c>
      <c r="S373" s="716">
        <f>IF(OR(status1B5!T68="",S$7="No aplica"),0,SUM('BOULEVARD 5'!$K66:V66)-$AP373)</f>
        <v>0</v>
      </c>
      <c r="T373" s="716">
        <f>IF(OR(status1B5!U68="",T$7="No aplica"),0,SUM('BOULEVARD 5'!$K66:W66)-$AP373)</f>
        <v>0</v>
      </c>
      <c r="U373" s="716">
        <f>IF(OR(status1B5!V68="",U$7="No aplica"),0,SUM('BOULEVARD 5'!$K66:X66)-$AP373)</f>
        <v>0</v>
      </c>
      <c r="V373" s="716">
        <f>IF(OR(status1B5!W68="",V$7="No aplica"),0,SUM('BOULEVARD 5'!$K66:Y66)-$AP373)</f>
        <v>0</v>
      </c>
      <c r="W373" s="716">
        <f>IF(OR(status1B5!X68="",W$7="No aplica"),0,SUM('BOULEVARD 5'!$K66:Z66)-$AP373)</f>
        <v>0</v>
      </c>
      <c r="X373" s="716">
        <f>IF(OR(status1B5!Y68="",X$7="No aplica"),0,SUM('BOULEVARD 5'!$K66:AA66)-$AP373)</f>
        <v>0</v>
      </c>
      <c r="Y373" s="716">
        <f>IF(OR(status1B5!Z68="",Y$7="No aplica"),0,SUM('BOULEVARD 5'!$K66:AB66)-$AP373)</f>
        <v>0</v>
      </c>
      <c r="Z373" s="716">
        <f>IF(OR(status1B5!AA68="",Z$7="No aplica"),0,SUM('BOULEVARD 5'!$K66:AC66)-$AP373)</f>
        <v>0</v>
      </c>
      <c r="AA373" s="716">
        <f>IF(OR(status1B5!AB68="",AA$7="No aplica"),0,SUM('BOULEVARD 5'!$K66:AD66)-$AP373)</f>
        <v>0</v>
      </c>
      <c r="AB373" s="716">
        <f>IF(OR(status1B5!AC68="",AB$7="No aplica"),0,SUM('BOULEVARD 5'!$K66:AE66)-$AP373)</f>
        <v>0</v>
      </c>
      <c r="AC373" s="716">
        <f>IF(OR(status1B5!AD68="",AC$7="No aplica"),0,SUM('BOULEVARD 5'!$K66:AF66)-$AP373)</f>
        <v>0</v>
      </c>
      <c r="AD373" s="716">
        <f>IF(OR(status1B5!AE68="",AD$7="No aplica"),0,SUM('BOULEVARD 5'!$K66:AG66)-$AP373)</f>
        <v>0</v>
      </c>
      <c r="AE373" s="716">
        <f>IF(OR(status1B5!AF68="",AE$7="No aplica"),0,SUM('BOULEVARD 5'!$K66:AH66)-$AP373)</f>
        <v>0</v>
      </c>
      <c r="AF373" s="716">
        <f>IF(OR(status1B5!AG68="",AF$7="No aplica"),0,SUM('BOULEVARD 5'!$K66:AI66)-$AP373)</f>
        <v>0</v>
      </c>
      <c r="AG373" s="716">
        <f>IF(OR(status1B5!AH68="",AG$7="No aplica"),0,SUM('BOULEVARD 5'!$K66:AJ66)-$AP373)</f>
        <v>0</v>
      </c>
      <c r="AH373" s="716">
        <f>IF(OR(status1B5!AI68="",AH$7="No aplica"),0,SUM('BOULEVARD 5'!$K66:AK66)-$AP373)</f>
        <v>0</v>
      </c>
      <c r="AI373" s="716">
        <f>IF(OR(status1B5!AJ68="",AI$7="No aplica"),0,SUM('BOULEVARD 5'!$K66:AL66)-$AP373)</f>
        <v>0</v>
      </c>
      <c r="AJ373" s="716">
        <f>IF(OR(status1B5!AK68="",AJ$7="No aplica"),0,SUM('BOULEVARD 5'!$K66:AM66)-$AP373)</f>
        <v>-104544.44000000003</v>
      </c>
      <c r="AK373" s="716">
        <f>IF(OR(status1B5!AL68="",AK$7="No aplica"),0,SUM('BOULEVARD 5'!$K66:AN66)-$AP373)</f>
        <v>-95045.86000000003</v>
      </c>
      <c r="AL373" s="716">
        <f>IF(OR(status1B5!AM68="",AL$7="No aplica"),0,SUM('BOULEVARD 5'!$K66:AO66)-$AP373)</f>
        <v>-85547.280000000028</v>
      </c>
      <c r="AM373" s="716">
        <f>IF(OR(status1B5!AN68="",AM$7="No aplica"),0,SUM('BOULEVARD 5'!$K66:AP66)-$AP373)</f>
        <v>-76048.700000000026</v>
      </c>
      <c r="AN373" s="716">
        <f>IF(OR(status1B5!AO68="",AN$7="No aplica"),0,SUM('BOULEVARD 5'!$K66:AQ66)-$AP373)</f>
        <v>0</v>
      </c>
      <c r="AO373" s="716">
        <f>IF(OR(status1B5!AP68="",AO$7="No aplica"),0,SUM('BOULEVARD 5'!$K66:AS66)-$AP373)</f>
        <v>0</v>
      </c>
      <c r="AP373" s="717">
        <f>'BOULEVARD PPTO'!BC61</f>
        <v>119544.44000000003</v>
      </c>
      <c r="AQ373" s="717">
        <f>'BOULEVARD 5'!AT66</f>
        <v>71991.48000000001</v>
      </c>
      <c r="AR373" s="717">
        <f t="shared" si="38"/>
        <v>-47552.960000000021</v>
      </c>
      <c r="AS373" s="717"/>
      <c r="AT373" s="581"/>
    </row>
    <row r="374" spans="1:46" ht="13.15" customHeight="1" outlineLevel="1" x14ac:dyDescent="0.25">
      <c r="A374" s="700">
        <f t="shared" si="36"/>
        <v>0</v>
      </c>
      <c r="B374" s="564">
        <f t="shared" ref="B374:G374" si="97">B69</f>
        <v>411</v>
      </c>
      <c r="C374" s="564" t="str">
        <f t="shared" si="97"/>
        <v>C9</v>
      </c>
      <c r="D374" s="564">
        <f t="shared" si="97"/>
        <v>0</v>
      </c>
      <c r="E374" s="564" t="str">
        <f t="shared" si="97"/>
        <v>Anahí Cisneros</v>
      </c>
      <c r="F374" s="581" t="str">
        <f t="shared" si="97"/>
        <v>Sonia Elizabeth Gómez Méndez de García</v>
      </c>
      <c r="G374" s="566">
        <f t="shared" si="97"/>
        <v>45971</v>
      </c>
      <c r="H374" s="716">
        <f>IF(OR(status1B5!I69="",H$7="No aplica"),0,SUM('BOULEVARD 5'!$K67:K67)-$AP374)</f>
        <v>0</v>
      </c>
      <c r="I374" s="716">
        <f>IF(OR(status1B5!J69="",I$7="No aplica"),0,SUM('BOULEVARD 5'!$K67:L67)-$AP374)</f>
        <v>0</v>
      </c>
      <c r="J374" s="716">
        <f>IF(OR(status1B5!K69="",J$7="No aplica"),0,SUM('BOULEVARD 5'!$K67:M67)-$AP374)</f>
        <v>0</v>
      </c>
      <c r="K374" s="716">
        <f>IF(OR(status1B5!L69="",K$7="No aplica"),0,SUM('BOULEVARD 5'!$K67:N67)-$AP374)</f>
        <v>0</v>
      </c>
      <c r="L374" s="716">
        <f>IF(OR(status1B5!M69="",L$7="No aplica"),0,SUM('BOULEVARD 5'!$K67:O67)-$AP374)</f>
        <v>0</v>
      </c>
      <c r="M374" s="716">
        <f>IF(OR(status1B5!N69="",M$7="No aplica"),0,SUM('BOULEVARD 5'!$K67:P67)-$AP374)</f>
        <v>0</v>
      </c>
      <c r="N374" s="716">
        <f>IF(OR(status1B5!O69="",N$7="No aplica"),0,SUM('BOULEVARD 5'!$K67:Q67)-$AP374)</f>
        <v>0</v>
      </c>
      <c r="O374" s="716">
        <f>IF(OR(status1B5!P69="",O$7="No aplica"),0,SUM('BOULEVARD 5'!$K67:R67)-$AP374)</f>
        <v>0</v>
      </c>
      <c r="P374" s="716">
        <f>IF(OR(status1B5!Q69="",P$7="No aplica"),0,SUM('BOULEVARD 5'!$K67:S67)-$AP374)</f>
        <v>0</v>
      </c>
      <c r="Q374" s="716">
        <f>IF(OR(status1B5!R69="",Q$7="No aplica"),0,SUM('BOULEVARD 5'!$K67:T67)-$AP374)</f>
        <v>0</v>
      </c>
      <c r="R374" s="716">
        <f>IF(OR(status1B5!S69="",R$7="No aplica"),0,SUM('BOULEVARD 5'!$K67:U67)-$AP374)</f>
        <v>0</v>
      </c>
      <c r="S374" s="716">
        <f>IF(OR(status1B5!T69="",S$7="No aplica"),0,SUM('BOULEVARD 5'!$K67:V67)-$AP374)</f>
        <v>0</v>
      </c>
      <c r="T374" s="716">
        <f>IF(OR(status1B5!U69="",T$7="No aplica"),0,SUM('BOULEVARD 5'!$K67:W67)-$AP374)</f>
        <v>0</v>
      </c>
      <c r="U374" s="716">
        <f>IF(OR(status1B5!V69="",U$7="No aplica"),0,SUM('BOULEVARD 5'!$K67:X67)-$AP374)</f>
        <v>0</v>
      </c>
      <c r="V374" s="716">
        <f>IF(OR(status1B5!W69="",V$7="No aplica"),0,SUM('BOULEVARD 5'!$K67:Y67)-$AP374)</f>
        <v>0</v>
      </c>
      <c r="W374" s="716">
        <f>IF(OR(status1B5!X69="",W$7="No aplica"),0,SUM('BOULEVARD 5'!$K67:Z67)-$AP374)</f>
        <v>0</v>
      </c>
      <c r="X374" s="716">
        <f>IF(OR(status1B5!Y69="",X$7="No aplica"),0,SUM('BOULEVARD 5'!$K67:AA67)-$AP374)</f>
        <v>0</v>
      </c>
      <c r="Y374" s="716">
        <f>IF(OR(status1B5!Z69="",Y$7="No aplica"),0,SUM('BOULEVARD 5'!$K67:AB67)-$AP374)</f>
        <v>0</v>
      </c>
      <c r="Z374" s="716">
        <f>IF(OR(status1B5!AA69="",Z$7="No aplica"),0,SUM('BOULEVARD 5'!$K67:AC67)-$AP374)</f>
        <v>0</v>
      </c>
      <c r="AA374" s="716">
        <f>IF(OR(status1B5!AB69="",AA$7="No aplica"),0,SUM('BOULEVARD 5'!$K67:AD67)-$AP374)</f>
        <v>0</v>
      </c>
      <c r="AB374" s="716">
        <f>IF(OR(status1B5!AC69="",AB$7="No aplica"),0,SUM('BOULEVARD 5'!$K67:AE67)-$AP374)</f>
        <v>0</v>
      </c>
      <c r="AC374" s="716">
        <f>IF(OR(status1B5!AD69="",AC$7="No aplica"),0,SUM('BOULEVARD 5'!$K67:AF67)-$AP374)</f>
        <v>0</v>
      </c>
      <c r="AD374" s="716">
        <f>IF(OR(status1B5!AE69="",AD$7="No aplica"),0,SUM('BOULEVARD 5'!$K67:AG67)-$AP374)</f>
        <v>0</v>
      </c>
      <c r="AE374" s="716">
        <f>IF(OR(status1B5!AF69="",AE$7="No aplica"),0,SUM('BOULEVARD 5'!$K67:AH67)-$AP374)</f>
        <v>0</v>
      </c>
      <c r="AF374" s="716">
        <f>IF(OR(status1B5!AG69="",AF$7="No aplica"),0,SUM('BOULEVARD 5'!$K67:AI67)-$AP374)</f>
        <v>0</v>
      </c>
      <c r="AG374" s="716">
        <f>IF(OR(status1B5!AH69="",AG$7="No aplica"),0,SUM('BOULEVARD 5'!$K67:AJ67)-$AP374)</f>
        <v>0</v>
      </c>
      <c r="AH374" s="716">
        <f>IF(OR(status1B5!AI69="",AH$7="No aplica"),0,SUM('BOULEVARD 5'!$K67:AK67)-$AP374)</f>
        <v>0</v>
      </c>
      <c r="AI374" s="716">
        <f>IF(OR(status1B5!AJ69="",AI$7="No aplica"),0,SUM('BOULEVARD 5'!$K67:AL67)-$AP374)</f>
        <v>0</v>
      </c>
      <c r="AJ374" s="716">
        <f>IF(OR(status1B5!AK69="",AJ$7="No aplica"),0,SUM('BOULEVARD 5'!$K67:AM67)-$AP374)</f>
        <v>0</v>
      </c>
      <c r="AK374" s="716">
        <f>IF(OR(status1B5!AL69="",AK$7="No aplica"),0,SUM('BOULEVARD 5'!$K67:AN67)-$AP374)</f>
        <v>0</v>
      </c>
      <c r="AL374" s="716">
        <f>IF(OR(status1B5!AM69="",AL$7="No aplica"),0,SUM('BOULEVARD 5'!$K67:AO67)-$AP374)</f>
        <v>0</v>
      </c>
      <c r="AM374" s="716">
        <f>IF(OR(status1B5!AN69="",AM$7="No aplica"),0,SUM('BOULEVARD 5'!$K67:AP67)-$AP374)</f>
        <v>0</v>
      </c>
      <c r="AN374" s="716">
        <f>IF(OR(status1B5!AO69="",AN$7="No aplica"),0,SUM('BOULEVARD 5'!$K67:AQ67)-$AP374)</f>
        <v>0</v>
      </c>
      <c r="AO374" s="716">
        <f>IF(OR(status1B5!AP69="",AO$7="No aplica"),0,SUM('BOULEVARD 5'!$K67:AS67)-$AP374)</f>
        <v>0</v>
      </c>
      <c r="AP374" s="717">
        <f>'BOULEVARD PPTO'!BC62</f>
        <v>0</v>
      </c>
      <c r="AQ374" s="717">
        <f>'BOULEVARD 5'!AT67</f>
        <v>9589.2900000000009</v>
      </c>
      <c r="AR374" s="717">
        <f t="shared" si="38"/>
        <v>9589.2900000000009</v>
      </c>
      <c r="AS374" s="717"/>
      <c r="AT374" s="581"/>
    </row>
    <row r="375" spans="1:46" ht="13.15" customHeight="1" outlineLevel="1" x14ac:dyDescent="0.25">
      <c r="A375" s="700">
        <f t="shared" si="36"/>
        <v>0</v>
      </c>
      <c r="B375" s="564">
        <f t="shared" ref="B375:G375" si="98">B70</f>
        <v>412</v>
      </c>
      <c r="C375" s="564" t="str">
        <f t="shared" si="98"/>
        <v>C8</v>
      </c>
      <c r="D375" s="564">
        <f t="shared" si="98"/>
        <v>0</v>
      </c>
      <c r="E375" s="564" t="str">
        <f t="shared" si="98"/>
        <v>Anahí Cisneros</v>
      </c>
      <c r="F375" s="581" t="str">
        <f t="shared" si="98"/>
        <v>Silvia Rose Mary Monzón Paniagua</v>
      </c>
      <c r="G375" s="566">
        <f t="shared" si="98"/>
        <v>45971</v>
      </c>
      <c r="H375" s="716">
        <f>IF(OR(status1B5!I70="",H$7="No aplica"),0,SUM('BOULEVARD 5'!$K68:K68)-$AP375)</f>
        <v>0</v>
      </c>
      <c r="I375" s="716">
        <f>IF(OR(status1B5!J70="",I$7="No aplica"),0,SUM('BOULEVARD 5'!$K68:L68)-$AP375)</f>
        <v>0</v>
      </c>
      <c r="J375" s="716">
        <f>IF(OR(status1B5!K70="",J$7="No aplica"),0,SUM('BOULEVARD 5'!$K68:M68)-$AP375)</f>
        <v>0</v>
      </c>
      <c r="K375" s="716">
        <f>IF(OR(status1B5!L70="",K$7="No aplica"),0,SUM('BOULEVARD 5'!$K68:N68)-$AP375)</f>
        <v>0</v>
      </c>
      <c r="L375" s="716">
        <f>IF(OR(status1B5!M70="",L$7="No aplica"),0,SUM('BOULEVARD 5'!$K68:O68)-$AP375)</f>
        <v>0</v>
      </c>
      <c r="M375" s="716">
        <f>IF(OR(status1B5!N70="",M$7="No aplica"),0,SUM('BOULEVARD 5'!$K68:P68)-$AP375)</f>
        <v>0</v>
      </c>
      <c r="N375" s="716">
        <f>IF(OR(status1B5!O70="",N$7="No aplica"),0,SUM('BOULEVARD 5'!$K68:Q68)-$AP375)</f>
        <v>0</v>
      </c>
      <c r="O375" s="716">
        <f>IF(OR(status1B5!P70="",O$7="No aplica"),0,SUM('BOULEVARD 5'!$K68:R68)-$AP375)</f>
        <v>0</v>
      </c>
      <c r="P375" s="716">
        <f>IF(OR(status1B5!Q70="",P$7="No aplica"),0,SUM('BOULEVARD 5'!$K68:S68)-$AP375)</f>
        <v>0</v>
      </c>
      <c r="Q375" s="716">
        <f>IF(OR(status1B5!R70="",Q$7="No aplica"),0,SUM('BOULEVARD 5'!$K68:T68)-$AP375)</f>
        <v>0</v>
      </c>
      <c r="R375" s="716">
        <f>IF(OR(status1B5!S70="",R$7="No aplica"),0,SUM('BOULEVARD 5'!$K68:U68)-$AP375)</f>
        <v>0</v>
      </c>
      <c r="S375" s="716">
        <f>IF(OR(status1B5!T70="",S$7="No aplica"),0,SUM('BOULEVARD 5'!$K68:V68)-$AP375)</f>
        <v>0</v>
      </c>
      <c r="T375" s="716">
        <f>IF(OR(status1B5!U70="",T$7="No aplica"),0,SUM('BOULEVARD 5'!$K68:W68)-$AP375)</f>
        <v>0</v>
      </c>
      <c r="U375" s="716">
        <f>IF(OR(status1B5!V70="",U$7="No aplica"),0,SUM('BOULEVARD 5'!$K68:X68)-$AP375)</f>
        <v>0</v>
      </c>
      <c r="V375" s="716">
        <f>IF(OR(status1B5!W70="",V$7="No aplica"),0,SUM('BOULEVARD 5'!$K68:Y68)-$AP375)</f>
        <v>0</v>
      </c>
      <c r="W375" s="716">
        <f>IF(OR(status1B5!X70="",W$7="No aplica"),0,SUM('BOULEVARD 5'!$K68:Z68)-$AP375)</f>
        <v>0</v>
      </c>
      <c r="X375" s="716">
        <f>IF(OR(status1B5!Y70="",X$7="No aplica"),0,SUM('BOULEVARD 5'!$K68:AA68)-$AP375)</f>
        <v>0</v>
      </c>
      <c r="Y375" s="716">
        <f>IF(OR(status1B5!Z70="",Y$7="No aplica"),0,SUM('BOULEVARD 5'!$K68:AB68)-$AP375)</f>
        <v>0</v>
      </c>
      <c r="Z375" s="716">
        <f>IF(OR(status1B5!AA70="",Z$7="No aplica"),0,SUM('BOULEVARD 5'!$K68:AC68)-$AP375)</f>
        <v>0</v>
      </c>
      <c r="AA375" s="716">
        <f>IF(OR(status1B5!AB70="",AA$7="No aplica"),0,SUM('BOULEVARD 5'!$K68:AD68)-$AP375)</f>
        <v>0</v>
      </c>
      <c r="AB375" s="716">
        <f>IF(OR(status1B5!AC70="",AB$7="No aplica"),0,SUM('BOULEVARD 5'!$K68:AE68)-$AP375)</f>
        <v>0</v>
      </c>
      <c r="AC375" s="716">
        <f>IF(OR(status1B5!AD70="",AC$7="No aplica"),0,SUM('BOULEVARD 5'!$K68:AF68)-$AP375)</f>
        <v>0</v>
      </c>
      <c r="AD375" s="716">
        <f>IF(OR(status1B5!AE70="",AD$7="No aplica"),0,SUM('BOULEVARD 5'!$K68:AG68)-$AP375)</f>
        <v>0</v>
      </c>
      <c r="AE375" s="716">
        <f>IF(OR(status1B5!AF70="",AE$7="No aplica"),0,SUM('BOULEVARD 5'!$K68:AH68)-$AP375)</f>
        <v>0</v>
      </c>
      <c r="AF375" s="716">
        <f>IF(OR(status1B5!AG70="",AF$7="No aplica"),0,SUM('BOULEVARD 5'!$K68:AI68)-$AP375)</f>
        <v>0</v>
      </c>
      <c r="AG375" s="716">
        <f>IF(OR(status1B5!AH70="",AG$7="No aplica"),0,SUM('BOULEVARD 5'!$K68:AJ68)-$AP375)</f>
        <v>0</v>
      </c>
      <c r="AH375" s="716">
        <f>IF(OR(status1B5!AI70="",AH$7="No aplica"),0,SUM('BOULEVARD 5'!$K68:AK68)-$AP375)</f>
        <v>0</v>
      </c>
      <c r="AI375" s="716">
        <f>IF(OR(status1B5!AJ70="",AI$7="No aplica"),0,SUM('BOULEVARD 5'!$K68:AL68)-$AP375)</f>
        <v>0</v>
      </c>
      <c r="AJ375" s="716">
        <f>IF(OR(status1B5!AK70="",AJ$7="No aplica"),0,SUM('BOULEVARD 5'!$K68:AM68)-$AP375)</f>
        <v>0</v>
      </c>
      <c r="AK375" s="716">
        <f>IF(OR(status1B5!AL70="",AK$7="No aplica"),0,SUM('BOULEVARD 5'!$K68:AN68)-$AP375)</f>
        <v>0</v>
      </c>
      <c r="AL375" s="716">
        <f>IF(OR(status1B5!AM70="",AL$7="No aplica"),0,SUM('BOULEVARD 5'!$K68:AO68)-$AP375)</f>
        <v>0</v>
      </c>
      <c r="AM375" s="716">
        <f>IF(OR(status1B5!AN70="",AM$7="No aplica"),0,SUM('BOULEVARD 5'!$K68:AP68)-$AP375)</f>
        <v>0</v>
      </c>
      <c r="AN375" s="716">
        <f>IF(OR(status1B5!AO70="",AN$7="No aplica"),0,SUM('BOULEVARD 5'!$K68:AQ68)-$AP375)</f>
        <v>0</v>
      </c>
      <c r="AO375" s="716">
        <f>IF(OR(status1B5!AP70="",AO$7="No aplica"),0,SUM('BOULEVARD 5'!$K68:AS68)-$AP375)</f>
        <v>0</v>
      </c>
      <c r="AP375" s="717">
        <f>'BOULEVARD PPTO'!BC63</f>
        <v>0</v>
      </c>
      <c r="AQ375" s="717">
        <f>'BOULEVARD 5'!AT68</f>
        <v>78148</v>
      </c>
      <c r="AR375" s="717">
        <f t="shared" si="38"/>
        <v>78148</v>
      </c>
      <c r="AS375" s="717"/>
      <c r="AT375" s="581"/>
    </row>
    <row r="376" spans="1:46" ht="13.15" customHeight="1" outlineLevel="1" x14ac:dyDescent="0.25">
      <c r="A376" s="700">
        <f t="shared" si="36"/>
        <v>0</v>
      </c>
      <c r="B376" s="564">
        <f t="shared" ref="B376:G376" si="99">B71</f>
        <v>413</v>
      </c>
      <c r="C376" s="564" t="str">
        <f t="shared" si="99"/>
        <v>B4</v>
      </c>
      <c r="D376" s="564">
        <f t="shared" si="99"/>
        <v>0</v>
      </c>
      <c r="E376" s="564" t="str">
        <f t="shared" si="99"/>
        <v>Sofia Paredes</v>
      </c>
      <c r="F376" s="581" t="str">
        <f t="shared" si="99"/>
        <v>Cindy Carolina Toscano Merida</v>
      </c>
      <c r="G376" s="566">
        <f t="shared" si="99"/>
        <v>45688</v>
      </c>
      <c r="H376" s="716">
        <f>IF(OR(status1B5!I71="",H$7="No aplica"),0,SUM('BOULEVARD 5'!$K69:K69)-$AP376)</f>
        <v>0</v>
      </c>
      <c r="I376" s="716">
        <f>IF(OR(status1B5!J71="",I$7="No aplica"),0,SUM('BOULEVARD 5'!$K69:L69)-$AP376)</f>
        <v>0</v>
      </c>
      <c r="J376" s="716">
        <f>IF(OR(status1B5!K71="",J$7="No aplica"),0,SUM('BOULEVARD 5'!$K69:M69)-$AP376)</f>
        <v>0</v>
      </c>
      <c r="K376" s="716">
        <f>IF(OR(status1B5!L71="",K$7="No aplica"),0,SUM('BOULEVARD 5'!$K69:N69)-$AP376)</f>
        <v>0</v>
      </c>
      <c r="L376" s="716">
        <f>IF(OR(status1B5!M71="",L$7="No aplica"),0,SUM('BOULEVARD 5'!$K69:O69)-$AP376)</f>
        <v>0</v>
      </c>
      <c r="M376" s="716">
        <f>IF(OR(status1B5!N71="",M$7="No aplica"),0,SUM('BOULEVARD 5'!$K69:P69)-$AP376)</f>
        <v>0</v>
      </c>
      <c r="N376" s="716">
        <f>IF(OR(status1B5!O71="",N$7="No aplica"),0,SUM('BOULEVARD 5'!$K69:Q69)-$AP376)</f>
        <v>0</v>
      </c>
      <c r="O376" s="716">
        <f>IF(OR(status1B5!P71="",O$7="No aplica"),0,SUM('BOULEVARD 5'!$K69:R69)-$AP376)</f>
        <v>0</v>
      </c>
      <c r="P376" s="716">
        <f>IF(OR(status1B5!Q71="",P$7="No aplica"),0,SUM('BOULEVARD 5'!$K69:S69)-$AP376)</f>
        <v>0</v>
      </c>
      <c r="Q376" s="716">
        <f>IF(OR(status1B5!R71="",Q$7="No aplica"),0,SUM('BOULEVARD 5'!$K69:T69)-$AP376)</f>
        <v>0</v>
      </c>
      <c r="R376" s="716">
        <f>IF(OR(status1B5!S71="",R$7="No aplica"),0,SUM('BOULEVARD 5'!$K69:U69)-$AP376)</f>
        <v>0</v>
      </c>
      <c r="S376" s="716">
        <f>IF(OR(status1B5!T71="",S$7="No aplica"),0,SUM('BOULEVARD 5'!$K69:V69)-$AP376)</f>
        <v>0</v>
      </c>
      <c r="T376" s="716">
        <f>IF(OR(status1B5!U71="",T$7="No aplica"),0,SUM('BOULEVARD 5'!$K69:W69)-$AP376)</f>
        <v>0</v>
      </c>
      <c r="U376" s="716">
        <f>IF(OR(status1B5!V71="",U$7="No aplica"),0,SUM('BOULEVARD 5'!$K69:X69)-$AP376)</f>
        <v>0</v>
      </c>
      <c r="V376" s="716">
        <f>IF(OR(status1B5!W71="",V$7="No aplica"),0,SUM('BOULEVARD 5'!$K69:Y69)-$AP376)</f>
        <v>0</v>
      </c>
      <c r="W376" s="716">
        <f>IF(OR(status1B5!X71="",W$7="No aplica"),0,SUM('BOULEVARD 5'!$K69:Z69)-$AP376)</f>
        <v>0</v>
      </c>
      <c r="X376" s="716">
        <f>IF(OR(status1B5!Y71="",X$7="No aplica"),0,SUM('BOULEVARD 5'!$K69:AA69)-$AP376)</f>
        <v>0</v>
      </c>
      <c r="Y376" s="716">
        <f>IF(OR(status1B5!Z71="",Y$7="No aplica"),0,SUM('BOULEVARD 5'!$K69:AB69)-$AP376)</f>
        <v>0</v>
      </c>
      <c r="Z376" s="716">
        <f>IF(OR(status1B5!AA71="",Z$7="No aplica"),0,SUM('BOULEVARD 5'!$K69:AC69)-$AP376)</f>
        <v>0</v>
      </c>
      <c r="AA376" s="716">
        <f>IF(OR(status1B5!AB71="",AA$7="No aplica"),0,SUM('BOULEVARD 5'!$K69:AD69)-$AP376)</f>
        <v>0</v>
      </c>
      <c r="AB376" s="716">
        <f>IF(OR(status1B5!AC71="",AB$7="No aplica"),0,SUM('BOULEVARD 5'!$K69:AE69)-$AP376)</f>
        <v>0</v>
      </c>
      <c r="AC376" s="716">
        <f>IF(OR(status1B5!AD71="",AC$7="No aplica"),0,SUM('BOULEVARD 5'!$K69:AF69)-$AP376)</f>
        <v>0</v>
      </c>
      <c r="AD376" s="716">
        <f>IF(OR(status1B5!AE71="",AD$7="No aplica"),0,SUM('BOULEVARD 5'!$K69:AG69)-$AP376)</f>
        <v>-96354.43</v>
      </c>
      <c r="AE376" s="716">
        <f>IF(OR(status1B5!AF71="",AE$7="No aplica"),0,SUM('BOULEVARD 5'!$K69:AH69)-$AP376)</f>
        <v>-90332.43</v>
      </c>
      <c r="AF376" s="716">
        <f>IF(OR(status1B5!AG71="",AF$7="No aplica"),0,SUM('BOULEVARD 5'!$K69:AI69)-$AP376)</f>
        <v>-84310.43</v>
      </c>
      <c r="AG376" s="716">
        <f>IF(OR(status1B5!AH71="",AG$7="No aplica"),0,SUM('BOULEVARD 5'!$K69:AJ69)-$AP376)</f>
        <v>-78288.429999999993</v>
      </c>
      <c r="AH376" s="716">
        <f>IF(OR(status1B5!AI71="",AH$7="No aplica"),0,SUM('BOULEVARD 5'!$K69:AK69)-$AP376)</f>
        <v>-72266.429999999993</v>
      </c>
      <c r="AI376" s="716">
        <f>IF(OR(status1B5!AJ71="",AI$7="No aplica"),0,SUM('BOULEVARD 5'!$K69:AL69)-$AP376)</f>
        <v>-66244.429999999993</v>
      </c>
      <c r="AJ376" s="716">
        <f>IF(OR(status1B5!AK71="",AJ$7="No aplica"),0,SUM('BOULEVARD 5'!$K69:AM69)-$AP376)</f>
        <v>-60222.429999999993</v>
      </c>
      <c r="AK376" s="716">
        <f>IF(OR(status1B5!AL71="",AK$7="No aplica"),0,SUM('BOULEVARD 5'!$K69:AN69)-$AP376)</f>
        <v>-54200.429999999993</v>
      </c>
      <c r="AL376" s="716">
        <f>IF(OR(status1B5!AM71="",AL$7="No aplica"),0,SUM('BOULEVARD 5'!$K69:AO69)-$AP376)</f>
        <v>-48178.429999999993</v>
      </c>
      <c r="AM376" s="716">
        <f>IF(OR(status1B5!AN71="",AM$7="No aplica"),0,SUM('BOULEVARD 5'!$K69:AP69)-$AP376)</f>
        <v>-42156.429999999993</v>
      </c>
      <c r="AN376" s="716">
        <f>IF(OR(status1B5!AO71="",AN$7="No aplica"),0,SUM('BOULEVARD 5'!$K69:AQ69)-$AP376)</f>
        <v>0</v>
      </c>
      <c r="AO376" s="716">
        <f>IF(OR(status1B5!AP71="",AO$7="No aplica"),0,SUM('BOULEVARD 5'!$K69:AS69)-$AP376)</f>
        <v>0</v>
      </c>
      <c r="AP376" s="717">
        <f>'BOULEVARD PPTO'!BC64</f>
        <v>106354.43</v>
      </c>
      <c r="AQ376" s="717">
        <f>'BOULEVARD 5'!AT69</f>
        <v>82264</v>
      </c>
      <c r="AR376" s="717">
        <f t="shared" si="38"/>
        <v>-24090.429999999993</v>
      </c>
      <c r="AS376" s="717"/>
      <c r="AT376" s="581"/>
    </row>
    <row r="377" spans="1:46" ht="13.15" customHeight="1" outlineLevel="1" x14ac:dyDescent="0.25">
      <c r="A377" s="700">
        <f t="shared" si="36"/>
        <v>0</v>
      </c>
      <c r="B377" s="564">
        <f t="shared" ref="B377:G377" si="100">B72</f>
        <v>414</v>
      </c>
      <c r="C377" s="564" t="str">
        <f t="shared" si="100"/>
        <v>B3</v>
      </c>
      <c r="D377" s="564">
        <f t="shared" si="100"/>
        <v>0</v>
      </c>
      <c r="E377" s="564" t="str">
        <f t="shared" si="100"/>
        <v>Antonio Rada</v>
      </c>
      <c r="F377" s="581" t="str">
        <f t="shared" si="100"/>
        <v>Carolina Rivas Le Sage De Alonzo</v>
      </c>
      <c r="G377" s="566">
        <f t="shared" si="100"/>
        <v>45439</v>
      </c>
      <c r="H377" s="716">
        <f>IF(OR(status1B5!I72="",H$7="No aplica"),0,SUM('BOULEVARD 5'!$K70:K70)-$AP377)</f>
        <v>0</v>
      </c>
      <c r="I377" s="716">
        <f>IF(OR(status1B5!J72="",I$7="No aplica"),0,SUM('BOULEVARD 5'!$K70:L70)-$AP377)</f>
        <v>0</v>
      </c>
      <c r="J377" s="716">
        <f>IF(OR(status1B5!K72="",J$7="No aplica"),0,SUM('BOULEVARD 5'!$K70:M70)-$AP377)</f>
        <v>0</v>
      </c>
      <c r="K377" s="716">
        <f>IF(OR(status1B5!L72="",K$7="No aplica"),0,SUM('BOULEVARD 5'!$K70:N70)-$AP377)</f>
        <v>0</v>
      </c>
      <c r="L377" s="716">
        <f>IF(OR(status1B5!M72="",L$7="No aplica"),0,SUM('BOULEVARD 5'!$K70:O70)-$AP377)</f>
        <v>0</v>
      </c>
      <c r="M377" s="716">
        <f>IF(OR(status1B5!N72="",M$7="No aplica"),0,SUM('BOULEVARD 5'!$K70:P70)-$AP377)</f>
        <v>0</v>
      </c>
      <c r="N377" s="716">
        <f>IF(OR(status1B5!O72="",N$7="No aplica"),0,SUM('BOULEVARD 5'!$K70:Q70)-$AP377)</f>
        <v>0</v>
      </c>
      <c r="O377" s="716">
        <f>IF(OR(status1B5!P72="",O$7="No aplica"),0,SUM('BOULEVARD 5'!$K70:R70)-$AP377)</f>
        <v>0</v>
      </c>
      <c r="P377" s="716">
        <f>IF(OR(status1B5!Q72="",P$7="No aplica"),0,SUM('BOULEVARD 5'!$K70:S70)-$AP377)</f>
        <v>0</v>
      </c>
      <c r="Q377" s="716">
        <f>IF(OR(status1B5!R72="",Q$7="No aplica"),0,SUM('BOULEVARD 5'!$K70:T70)-$AP377)</f>
        <v>0</v>
      </c>
      <c r="R377" s="716">
        <f>IF(OR(status1B5!S72="",R$7="No aplica"),0,SUM('BOULEVARD 5'!$K70:U70)-$AP377)</f>
        <v>0</v>
      </c>
      <c r="S377" s="716">
        <f>IF(OR(status1B5!T72="",S$7="No aplica"),0,SUM('BOULEVARD 5'!$K70:V70)-$AP377)</f>
        <v>0</v>
      </c>
      <c r="T377" s="716">
        <f>IF(OR(status1B5!U72="",T$7="No aplica"),0,SUM('BOULEVARD 5'!$K70:W70)-$AP377)</f>
        <v>0</v>
      </c>
      <c r="U377" s="716">
        <f>IF(OR(status1B5!V72="",U$7="No aplica"),0,SUM('BOULEVARD 5'!$K70:X70)-$AP377)</f>
        <v>0</v>
      </c>
      <c r="V377" s="716">
        <f>IF(OR(status1B5!W72="",V$7="No aplica"),0,SUM('BOULEVARD 5'!$K70:Y70)-$AP377)</f>
        <v>-78800</v>
      </c>
      <c r="W377" s="716">
        <f>IF(OR(status1B5!X72="",W$7="No aplica"),0,SUM('BOULEVARD 5'!$K70:Z70)-$AP377)</f>
        <v>-74653</v>
      </c>
      <c r="X377" s="716">
        <f>IF(OR(status1B5!Y72="",X$7="No aplica"),0,SUM('BOULEVARD 5'!$K70:AA70)-$AP377)</f>
        <v>-70506</v>
      </c>
      <c r="Y377" s="716">
        <f>IF(OR(status1B5!Z72="",Y$7="No aplica"),0,SUM('BOULEVARD 5'!$K70:AB70)-$AP377)</f>
        <v>-66359</v>
      </c>
      <c r="Z377" s="716">
        <f>IF(OR(status1B5!AA72="",Z$7="No aplica"),0,SUM('BOULEVARD 5'!$K70:AC70)-$AP377)</f>
        <v>-62212</v>
      </c>
      <c r="AA377" s="716">
        <f>IF(OR(status1B5!AB72="",AA$7="No aplica"),0,SUM('BOULEVARD 5'!$K70:AD70)-$AP377)</f>
        <v>-58065</v>
      </c>
      <c r="AB377" s="716">
        <f>IF(OR(status1B5!AC72="",AB$7="No aplica"),0,SUM('BOULEVARD 5'!$K70:AE70)-$AP377)</f>
        <v>-53918</v>
      </c>
      <c r="AC377" s="716">
        <f>IF(OR(status1B5!AD72="",AC$7="No aplica"),0,SUM('BOULEVARD 5'!$K70:AF70)-$AP377)</f>
        <v>-49771</v>
      </c>
      <c r="AD377" s="716">
        <f>IF(OR(status1B5!AE72="",AD$7="No aplica"),0,SUM('BOULEVARD 5'!$K70:AG70)-$AP377)</f>
        <v>-45624</v>
      </c>
      <c r="AE377" s="716">
        <f>IF(OR(status1B5!AF72="",AE$7="No aplica"),0,SUM('BOULEVARD 5'!$K70:AH70)-$AP377)</f>
        <v>-41477</v>
      </c>
      <c r="AF377" s="716">
        <f>IF(OR(status1B5!AG72="",AF$7="No aplica"),0,SUM('BOULEVARD 5'!$K70:AI70)-$AP377)</f>
        <v>-37330</v>
      </c>
      <c r="AG377" s="716">
        <f>IF(OR(status1B5!AH72="",AG$7="No aplica"),0,SUM('BOULEVARD 5'!$K70:AJ70)-$AP377)</f>
        <v>-33183</v>
      </c>
      <c r="AH377" s="716">
        <f>IF(OR(status1B5!AI72="",AH$7="No aplica"),0,SUM('BOULEVARD 5'!$K70:AK70)-$AP377)</f>
        <v>-29036</v>
      </c>
      <c r="AI377" s="716">
        <f>IF(OR(status1B5!AJ72="",AI$7="No aplica"),0,SUM('BOULEVARD 5'!$K70:AL70)-$AP377)</f>
        <v>-24889</v>
      </c>
      <c r="AJ377" s="716">
        <f>IF(OR(status1B5!AK72="",AJ$7="No aplica"),0,SUM('BOULEVARD 5'!$K70:AM70)-$AP377)</f>
        <v>-20742</v>
      </c>
      <c r="AK377" s="716">
        <f>IF(OR(status1B5!AL72="",AK$7="No aplica"),0,SUM('BOULEVARD 5'!$K70:AN70)-$AP377)</f>
        <v>-16595</v>
      </c>
      <c r="AL377" s="716">
        <f>IF(OR(status1B5!AM72="",AL$7="No aplica"),0,SUM('BOULEVARD 5'!$K70:AO70)-$AP377)</f>
        <v>-12448</v>
      </c>
      <c r="AM377" s="716">
        <f>IF(OR(status1B5!AN72="",AM$7="No aplica"),0,SUM('BOULEVARD 5'!$K70:AP70)-$AP377)</f>
        <v>-8301</v>
      </c>
      <c r="AN377" s="716">
        <f>IF(OR(status1B5!AO72="",AN$7="No aplica"),0,SUM('BOULEVARD 5'!$K70:AQ70)-$AP377)</f>
        <v>0</v>
      </c>
      <c r="AO377" s="716">
        <f>IF(OR(status1B5!AP72="",AO$7="No aplica"),0,SUM('BOULEVARD 5'!$K70:AS70)-$AP377)</f>
        <v>0</v>
      </c>
      <c r="AP377" s="717">
        <f>'BOULEVARD PPTO'!BC65</f>
        <v>88800</v>
      </c>
      <c r="AQ377" s="717">
        <f>'BOULEVARD 5'!AT70</f>
        <v>168793</v>
      </c>
      <c r="AR377" s="717">
        <f t="shared" si="38"/>
        <v>79993</v>
      </c>
      <c r="AS377" s="717"/>
      <c r="AT377" s="581"/>
    </row>
    <row r="378" spans="1:46" ht="13.15" customHeight="1" outlineLevel="1" x14ac:dyDescent="0.25">
      <c r="A378" s="700">
        <f t="shared" si="36"/>
        <v>0</v>
      </c>
      <c r="B378" s="564">
        <f t="shared" ref="B378:G378" si="101">B73</f>
        <v>415</v>
      </c>
      <c r="C378" s="564" t="str">
        <f t="shared" si="101"/>
        <v>E1</v>
      </c>
      <c r="D378" s="564">
        <f t="shared" si="101"/>
        <v>0</v>
      </c>
      <c r="E378" s="564" t="str">
        <f t="shared" si="101"/>
        <v>Anahí Cisneros</v>
      </c>
      <c r="F378" s="581" t="str">
        <f t="shared" si="101"/>
        <v>Kevin Mario Andrés Leal Morales / Flor de María Herrera Reyes de Gil</v>
      </c>
      <c r="G378" s="566">
        <f t="shared" si="101"/>
        <v>45818</v>
      </c>
      <c r="H378" s="716">
        <f>IF(OR(status1B5!I73="",H$7="No aplica"),0,SUM('BOULEVARD 5'!$K71:K71)-$AP378)</f>
        <v>0</v>
      </c>
      <c r="I378" s="716">
        <f>IF(OR(status1B5!J73="",I$7="No aplica"),0,SUM('BOULEVARD 5'!$K71:L71)-$AP378)</f>
        <v>0</v>
      </c>
      <c r="J378" s="716">
        <f>IF(OR(status1B5!K73="",J$7="No aplica"),0,SUM('BOULEVARD 5'!$K71:M71)-$AP378)</f>
        <v>0</v>
      </c>
      <c r="K378" s="716">
        <f>IF(OR(status1B5!L73="",K$7="No aplica"),0,SUM('BOULEVARD 5'!$K71:N71)-$AP378)</f>
        <v>0</v>
      </c>
      <c r="L378" s="716">
        <f>IF(OR(status1B5!M73="",L$7="No aplica"),0,SUM('BOULEVARD 5'!$K71:O71)-$AP378)</f>
        <v>0</v>
      </c>
      <c r="M378" s="716">
        <f>IF(OR(status1B5!N73="",M$7="No aplica"),0,SUM('BOULEVARD 5'!$K71:P71)-$AP378)</f>
        <v>0</v>
      </c>
      <c r="N378" s="716">
        <f>IF(OR(status1B5!O73="",N$7="No aplica"),0,SUM('BOULEVARD 5'!$K71:Q71)-$AP378)</f>
        <v>0</v>
      </c>
      <c r="O378" s="716">
        <f>IF(OR(status1B5!P73="",O$7="No aplica"),0,SUM('BOULEVARD 5'!$K71:R71)-$AP378)</f>
        <v>0</v>
      </c>
      <c r="P378" s="716">
        <f>IF(OR(status1B5!Q73="",P$7="No aplica"),0,SUM('BOULEVARD 5'!$K71:S71)-$AP378)</f>
        <v>0</v>
      </c>
      <c r="Q378" s="716">
        <f>IF(OR(status1B5!R73="",Q$7="No aplica"),0,SUM('BOULEVARD 5'!$K71:T71)-$AP378)</f>
        <v>0</v>
      </c>
      <c r="R378" s="716">
        <f>IF(OR(status1B5!S73="",R$7="No aplica"),0,SUM('BOULEVARD 5'!$K71:U71)-$AP378)</f>
        <v>0</v>
      </c>
      <c r="S378" s="716">
        <f>IF(OR(status1B5!T73="",S$7="No aplica"),0,SUM('BOULEVARD 5'!$K71:V71)-$AP378)</f>
        <v>0</v>
      </c>
      <c r="T378" s="716">
        <f>IF(OR(status1B5!U73="",T$7="No aplica"),0,SUM('BOULEVARD 5'!$K71:W71)-$AP378)</f>
        <v>0</v>
      </c>
      <c r="U378" s="716">
        <f>IF(OR(status1B5!V73="",U$7="No aplica"),0,SUM('BOULEVARD 5'!$K71:X71)-$AP378)</f>
        <v>0</v>
      </c>
      <c r="V378" s="716">
        <f>IF(OR(status1B5!W73="",V$7="No aplica"),0,SUM('BOULEVARD 5'!$K71:Y71)-$AP378)</f>
        <v>0</v>
      </c>
      <c r="W378" s="716">
        <f>IF(OR(status1B5!X73="",W$7="No aplica"),0,SUM('BOULEVARD 5'!$K71:Z71)-$AP378)</f>
        <v>0</v>
      </c>
      <c r="X378" s="716">
        <f>IF(OR(status1B5!Y73="",X$7="No aplica"),0,SUM('BOULEVARD 5'!$K71:AA71)-$AP378)</f>
        <v>0</v>
      </c>
      <c r="Y378" s="716">
        <f>IF(OR(status1B5!Z73="",Y$7="No aplica"),0,SUM('BOULEVARD 5'!$K71:AB71)-$AP378)</f>
        <v>0</v>
      </c>
      <c r="Z378" s="716">
        <f>IF(OR(status1B5!AA73="",Z$7="No aplica"),0,SUM('BOULEVARD 5'!$K71:AC71)-$AP378)</f>
        <v>0</v>
      </c>
      <c r="AA378" s="716">
        <f>IF(OR(status1B5!AB73="",AA$7="No aplica"),0,SUM('BOULEVARD 5'!$K71:AD71)-$AP378)</f>
        <v>0</v>
      </c>
      <c r="AB378" s="716">
        <f>IF(OR(status1B5!AC73="",AB$7="No aplica"),0,SUM('BOULEVARD 5'!$K71:AE71)-$AP378)</f>
        <v>0</v>
      </c>
      <c r="AC378" s="716">
        <f>IF(OR(status1B5!AD73="",AC$7="No aplica"),0,SUM('BOULEVARD 5'!$K71:AF71)-$AP378)</f>
        <v>0</v>
      </c>
      <c r="AD378" s="716">
        <f>IF(OR(status1B5!AE73="",AD$7="No aplica"),0,SUM('BOULEVARD 5'!$K71:AG71)-$AP378)</f>
        <v>0</v>
      </c>
      <c r="AE378" s="716">
        <f>IF(OR(status1B5!AF73="",AE$7="No aplica"),0,SUM('BOULEVARD 5'!$K71:AH71)-$AP378)</f>
        <v>0</v>
      </c>
      <c r="AF378" s="716">
        <f>IF(OR(status1B5!AG73="",AF$7="No aplica"),0,SUM('BOULEVARD 5'!$K71:AI71)-$AP378)</f>
        <v>0</v>
      </c>
      <c r="AG378" s="716">
        <f>IF(OR(status1B5!AH73="",AG$7="No aplica"),0,SUM('BOULEVARD 5'!$K71:AJ71)-$AP378)</f>
        <v>0</v>
      </c>
      <c r="AH378" s="716">
        <f>IF(OR(status1B5!AI73="",AH$7="No aplica"),0,SUM('BOULEVARD 5'!$K71:AK71)-$AP378)</f>
        <v>0</v>
      </c>
      <c r="AI378" s="716">
        <f>IF(OR(status1B5!AJ73="",AI$7="No aplica"),0,SUM('BOULEVARD 5'!$K71:AL71)-$AP378)</f>
        <v>-216526.97</v>
      </c>
      <c r="AJ378" s="716">
        <f>IF(OR(status1B5!AK73="",AJ$7="No aplica"),0,SUM('BOULEVARD 5'!$K71:AM71)-$AP378)</f>
        <v>-198482.97</v>
      </c>
      <c r="AK378" s="716">
        <f>IF(OR(status1B5!AL73="",AK$7="No aplica"),0,SUM('BOULEVARD 5'!$K71:AN71)-$AP378)</f>
        <v>-180438.97</v>
      </c>
      <c r="AL378" s="716">
        <f>IF(OR(status1B5!AM73="",AL$7="No aplica"),0,SUM('BOULEVARD 5'!$K71:AO71)-$AP378)</f>
        <v>-162394.97</v>
      </c>
      <c r="AM378" s="716">
        <f>IF(OR(status1B5!AN73="",AM$7="No aplica"),0,SUM('BOULEVARD 5'!$K71:AP71)-$AP378)</f>
        <v>-144350.97</v>
      </c>
      <c r="AN378" s="716">
        <f>IF(OR(status1B5!AO73="",AN$7="No aplica"),0,SUM('BOULEVARD 5'!$K71:AQ71)-$AP378)</f>
        <v>0</v>
      </c>
      <c r="AO378" s="716">
        <f>IF(OR(status1B5!AP73="",AO$7="No aplica"),0,SUM('BOULEVARD 5'!$K71:AS71)-$AP378)</f>
        <v>0</v>
      </c>
      <c r="AP378" s="717">
        <f>'BOULEVARD PPTO'!BC66</f>
        <v>231526.97</v>
      </c>
      <c r="AQ378" s="717">
        <f>'BOULEVARD 5'!AT71</f>
        <v>141308</v>
      </c>
      <c r="AR378" s="717">
        <f t="shared" si="38"/>
        <v>-90218.97</v>
      </c>
      <c r="AS378" s="717"/>
      <c r="AT378" s="581"/>
    </row>
    <row r="379" spans="1:46" ht="13.15" customHeight="1" outlineLevel="1" x14ac:dyDescent="0.25">
      <c r="A379" s="700">
        <f t="shared" ref="A379:A442" si="102">A74</f>
        <v>0</v>
      </c>
      <c r="B379" s="585">
        <f t="shared" ref="B379:G379" si="103">B74</f>
        <v>416</v>
      </c>
      <c r="C379" s="585" t="str">
        <f t="shared" si="103"/>
        <v>A4</v>
      </c>
      <c r="D379" s="585">
        <f t="shared" si="103"/>
        <v>0</v>
      </c>
      <c r="E379" s="585" t="str">
        <f t="shared" si="103"/>
        <v>Sofia Paredes</v>
      </c>
      <c r="F379" s="586" t="str">
        <f t="shared" si="103"/>
        <v xml:space="preserve">Carlos Humberto Rivera Carrillo </v>
      </c>
      <c r="G379" s="566">
        <f t="shared" si="103"/>
        <v>45695</v>
      </c>
      <c r="H379" s="716">
        <f>IF(OR(status1B5!I74="",H$7="No aplica"),0,SUM('BOULEVARD 5'!$K72:K72)-$AP379)</f>
        <v>0</v>
      </c>
      <c r="I379" s="716">
        <f>IF(OR(status1B5!J74="",I$7="No aplica"),0,SUM('BOULEVARD 5'!$K72:L72)-$AP379)</f>
        <v>0</v>
      </c>
      <c r="J379" s="716">
        <f>IF(OR(status1B5!K74="",J$7="No aplica"),0,SUM('BOULEVARD 5'!$K72:M72)-$AP379)</f>
        <v>0</v>
      </c>
      <c r="K379" s="716">
        <f>IF(OR(status1B5!L74="",K$7="No aplica"),0,SUM('BOULEVARD 5'!$K72:N72)-$AP379)</f>
        <v>0</v>
      </c>
      <c r="L379" s="716">
        <f>IF(OR(status1B5!M74="",L$7="No aplica"),0,SUM('BOULEVARD 5'!$K72:O72)-$AP379)</f>
        <v>0</v>
      </c>
      <c r="M379" s="716">
        <f>IF(OR(status1B5!N74="",M$7="No aplica"),0,SUM('BOULEVARD 5'!$K72:P72)-$AP379)</f>
        <v>0</v>
      </c>
      <c r="N379" s="716">
        <f>IF(OR(status1B5!O74="",N$7="No aplica"),0,SUM('BOULEVARD 5'!$K72:Q72)-$AP379)</f>
        <v>0</v>
      </c>
      <c r="O379" s="716">
        <f>IF(OR(status1B5!P74="",O$7="No aplica"),0,SUM('BOULEVARD 5'!$K72:R72)-$AP379)</f>
        <v>0</v>
      </c>
      <c r="P379" s="716">
        <f>IF(OR(status1B5!Q74="",P$7="No aplica"),0,SUM('BOULEVARD 5'!$K72:S72)-$AP379)</f>
        <v>0</v>
      </c>
      <c r="Q379" s="716">
        <f>IF(OR(status1B5!R74="",Q$7="No aplica"),0,SUM('BOULEVARD 5'!$K72:T72)-$AP379)</f>
        <v>0</v>
      </c>
      <c r="R379" s="716">
        <f>IF(OR(status1B5!S74="",R$7="No aplica"),0,SUM('BOULEVARD 5'!$K72:U72)-$AP379)</f>
        <v>0</v>
      </c>
      <c r="S379" s="716">
        <f>IF(OR(status1B5!T74="",S$7="No aplica"),0,SUM('BOULEVARD 5'!$K72:V72)-$AP379)</f>
        <v>0</v>
      </c>
      <c r="T379" s="716">
        <f>IF(OR(status1B5!U74="",T$7="No aplica"),0,SUM('BOULEVARD 5'!$K72:W72)-$AP379)</f>
        <v>0</v>
      </c>
      <c r="U379" s="716">
        <f>IF(OR(status1B5!V74="",U$7="No aplica"),0,SUM('BOULEVARD 5'!$K72:X72)-$AP379)</f>
        <v>0</v>
      </c>
      <c r="V379" s="716">
        <f>IF(OR(status1B5!W74="",V$7="No aplica"),0,SUM('BOULEVARD 5'!$K72:Y72)-$AP379)</f>
        <v>0</v>
      </c>
      <c r="W379" s="716">
        <f>IF(OR(status1B5!X74="",W$7="No aplica"),0,SUM('BOULEVARD 5'!$K72:Z72)-$AP379)</f>
        <v>0</v>
      </c>
      <c r="X379" s="716">
        <f>IF(OR(status1B5!Y74="",X$7="No aplica"),0,SUM('BOULEVARD 5'!$K72:AA72)-$AP379)</f>
        <v>0</v>
      </c>
      <c r="Y379" s="716">
        <f>IF(OR(status1B5!Z74="",Y$7="No aplica"),0,SUM('BOULEVARD 5'!$K72:AB72)-$AP379)</f>
        <v>0</v>
      </c>
      <c r="Z379" s="716">
        <f>IF(OR(status1B5!AA74="",Z$7="No aplica"),0,SUM('BOULEVARD 5'!$K72:AC72)-$AP379)</f>
        <v>0</v>
      </c>
      <c r="AA379" s="716">
        <f>IF(OR(status1B5!AB74="",AA$7="No aplica"),0,SUM('BOULEVARD 5'!$K72:AD72)-$AP379)</f>
        <v>0</v>
      </c>
      <c r="AB379" s="716">
        <f>IF(OR(status1B5!AC74="",AB$7="No aplica"),0,SUM('BOULEVARD 5'!$K72:AE72)-$AP379)</f>
        <v>0</v>
      </c>
      <c r="AC379" s="716">
        <f>IF(OR(status1B5!AD74="",AC$7="No aplica"),0,SUM('BOULEVARD 5'!$K72:AF72)-$AP379)</f>
        <v>0</v>
      </c>
      <c r="AD379" s="716">
        <f>IF(OR(status1B5!AE74="",AD$7="No aplica"),0,SUM('BOULEVARD 5'!$K72:AG72)-$AP379)</f>
        <v>0</v>
      </c>
      <c r="AE379" s="716">
        <f>IF(OR(status1B5!AF74="",AE$7="No aplica"),0,SUM('BOULEVARD 5'!$K72:AH72)-$AP379)</f>
        <v>-69931.179999999993</v>
      </c>
      <c r="AF379" s="716">
        <f>IF(OR(status1B5!AG74="",AF$7="No aplica"),0,SUM('BOULEVARD 5'!$K72:AI72)-$AP379)</f>
        <v>-69931.179999999993</v>
      </c>
      <c r="AG379" s="716">
        <f>IF(OR(status1B5!AH74="",AG$7="No aplica"),0,SUM('BOULEVARD 5'!$K72:AJ72)-$AP379)</f>
        <v>-58391.459999999992</v>
      </c>
      <c r="AH379" s="716">
        <f>IF(OR(status1B5!AI74="",AH$7="No aplica"),0,SUM('BOULEVARD 5'!$K72:AK72)-$AP379)</f>
        <v>-53391.459999999992</v>
      </c>
      <c r="AI379" s="716">
        <f>IF(OR(status1B5!AJ74="",AI$7="No aplica"),0,SUM('BOULEVARD 5'!$K72:AL72)-$AP379)</f>
        <v>-53391.459999999992</v>
      </c>
      <c r="AJ379" s="716">
        <f>IF(OR(status1B5!AK74="",AJ$7="No aplica"),0,SUM('BOULEVARD 5'!$K72:AM72)-$AP379)</f>
        <v>-43391.459999999992</v>
      </c>
      <c r="AK379" s="716">
        <f>IF(OR(status1B5!AL74="",AK$7="No aplica"),0,SUM('BOULEVARD 5'!$K72:AN72)-$AP379)</f>
        <v>-43391.459999999992</v>
      </c>
      <c r="AL379" s="716">
        <f>IF(OR(status1B5!AM74="",AL$7="No aplica"),0,SUM('BOULEVARD 5'!$K72:AO72)-$AP379)</f>
        <v>-38391.459999999992</v>
      </c>
      <c r="AM379" s="716">
        <f>IF(OR(status1B5!AN74="",AM$7="No aplica"),0,SUM('BOULEVARD 5'!$K72:AP72)-$AP379)</f>
        <v>-33391.459999999992</v>
      </c>
      <c r="AN379" s="716">
        <f>IF(OR(status1B5!AO74="",AN$7="No aplica"),0,SUM('BOULEVARD 5'!$K72:AQ72)-$AP379)</f>
        <v>0</v>
      </c>
      <c r="AO379" s="716">
        <f>IF(OR(status1B5!AP74="",AO$7="No aplica"),0,SUM('BOULEVARD 5'!$K72:AS72)-$AP379)</f>
        <v>0</v>
      </c>
      <c r="AP379" s="717">
        <f>'BOULEVARD PPTO'!BC67</f>
        <v>79931.179999999993</v>
      </c>
      <c r="AQ379" s="717">
        <f>'BOULEVARD 5'!AT72</f>
        <v>56539.72</v>
      </c>
      <c r="AR379" s="717">
        <f t="shared" ref="AR379:AR442" si="104">AQ379-AP379</f>
        <v>-23391.459999999992</v>
      </c>
      <c r="AS379" s="717"/>
      <c r="AT379" s="581"/>
    </row>
    <row r="380" spans="1:46" ht="13.15" customHeight="1" outlineLevel="1" x14ac:dyDescent="0.25">
      <c r="A380" s="700">
        <f t="shared" si="102"/>
        <v>0</v>
      </c>
      <c r="B380" s="564">
        <f t="shared" ref="B380:G380" si="105">B75</f>
        <v>417</v>
      </c>
      <c r="C380" s="564" t="str">
        <f t="shared" si="105"/>
        <v>A8</v>
      </c>
      <c r="D380" s="564">
        <f t="shared" si="105"/>
        <v>0</v>
      </c>
      <c r="E380" s="564" t="str">
        <f t="shared" si="105"/>
        <v>Antonio Rada</v>
      </c>
      <c r="F380" s="581" t="str">
        <f t="shared" si="105"/>
        <v>Miguel Angel Flores Linares</v>
      </c>
      <c r="G380" s="566">
        <f t="shared" si="105"/>
        <v>45249</v>
      </c>
      <c r="H380" s="716">
        <f>IF(OR(status1B5!I75="",H$7="No aplica"),0,SUM('BOULEVARD 5'!$K73:K73)-$AP380)</f>
        <v>0</v>
      </c>
      <c r="I380" s="716">
        <f>IF(OR(status1B5!J75="",I$7="No aplica"),0,SUM('BOULEVARD 5'!$K73:L73)-$AP380)</f>
        <v>0</v>
      </c>
      <c r="J380" s="716">
        <f>IF(OR(status1B5!K75="",J$7="No aplica"),0,SUM('BOULEVARD 5'!$K73:M73)-$AP380)</f>
        <v>0</v>
      </c>
      <c r="K380" s="716">
        <f>IF(OR(status1B5!L75="",K$7="No aplica"),0,SUM('BOULEVARD 5'!$K73:N73)-$AP380)</f>
        <v>0</v>
      </c>
      <c r="L380" s="716">
        <f>IF(OR(status1B5!M75="",L$7="No aplica"),0,SUM('BOULEVARD 5'!$K73:O73)-$AP380)</f>
        <v>0</v>
      </c>
      <c r="M380" s="716">
        <f>IF(OR(status1B5!N75="",M$7="No aplica"),0,SUM('BOULEVARD 5'!$K73:P73)-$AP380)</f>
        <v>0</v>
      </c>
      <c r="N380" s="716">
        <f>IF(OR(status1B5!O75="",N$7="No aplica"),0,SUM('BOULEVARD 5'!$K73:Q73)-$AP380)</f>
        <v>0</v>
      </c>
      <c r="O380" s="716">
        <f>IF(OR(status1B5!P75="",O$7="No aplica"),0,SUM('BOULEVARD 5'!$K73:R73)-$AP380)</f>
        <v>0</v>
      </c>
      <c r="P380" s="716">
        <f>IF(OR(status1B5!Q75="",P$7="No aplica"),0,SUM('BOULEVARD 5'!$K73:S73)-$AP380)</f>
        <v>-66687.5</v>
      </c>
      <c r="Q380" s="716">
        <f>IF(OR(status1B5!R75="",Q$7="No aplica"),0,SUM('BOULEVARD 5'!$K73:T73)-$AP380)</f>
        <v>-63656.5</v>
      </c>
      <c r="R380" s="716">
        <f>IF(OR(status1B5!S75="",R$7="No aplica"),0,SUM('BOULEVARD 5'!$K73:U73)-$AP380)</f>
        <v>-60625.5</v>
      </c>
      <c r="S380" s="716">
        <f>IF(OR(status1B5!T75="",S$7="No aplica"),0,SUM('BOULEVARD 5'!$K73:V73)-$AP380)</f>
        <v>-57594.5</v>
      </c>
      <c r="T380" s="716">
        <f>IF(OR(status1B5!U75="",T$7="No aplica"),0,SUM('BOULEVARD 5'!$K73:W73)-$AP380)</f>
        <v>-54563.5</v>
      </c>
      <c r="U380" s="716">
        <f>IF(OR(status1B5!V75="",U$7="No aplica"),0,SUM('BOULEVARD 5'!$K73:X73)-$AP380)</f>
        <v>-51532.5</v>
      </c>
      <c r="V380" s="716">
        <f>IF(OR(status1B5!W75="",V$7="No aplica"),0,SUM('BOULEVARD 5'!$K73:Y73)-$AP380)</f>
        <v>-48501.5</v>
      </c>
      <c r="W380" s="716">
        <f>IF(OR(status1B5!X75="",W$7="No aplica"),0,SUM('BOULEVARD 5'!$K73:Z73)-$AP380)</f>
        <v>-45470.5</v>
      </c>
      <c r="X380" s="716">
        <f>IF(OR(status1B5!Y75="",X$7="No aplica"),0,SUM('BOULEVARD 5'!$K73:AA73)-$AP380)</f>
        <v>-42439.5</v>
      </c>
      <c r="Y380" s="716">
        <f>IF(OR(status1B5!Z75="",Y$7="No aplica"),0,SUM('BOULEVARD 5'!$K73:AB73)-$AP380)</f>
        <v>-39408.5</v>
      </c>
      <c r="Z380" s="716">
        <f>IF(OR(status1B5!AA75="",Z$7="No aplica"),0,SUM('BOULEVARD 5'!$K73:AC73)-$AP380)</f>
        <v>-36377.5</v>
      </c>
      <c r="AA380" s="716">
        <f>IF(OR(status1B5!AB75="",AA$7="No aplica"),0,SUM('BOULEVARD 5'!$K73:AD73)-$AP380)</f>
        <v>-33346.5</v>
      </c>
      <c r="AB380" s="716">
        <f>IF(OR(status1B5!AC75="",AB$7="No aplica"),0,SUM('BOULEVARD 5'!$K73:AE73)-$AP380)</f>
        <v>-30315.5</v>
      </c>
      <c r="AC380" s="716">
        <f>IF(OR(status1B5!AD75="",AC$7="No aplica"),0,SUM('BOULEVARD 5'!$K73:AF73)-$AP380)</f>
        <v>-27284.5</v>
      </c>
      <c r="AD380" s="716">
        <f>IF(OR(status1B5!AE75="",AD$7="No aplica"),0,SUM('BOULEVARD 5'!$K73:AG73)-$AP380)</f>
        <v>-24253.5</v>
      </c>
      <c r="AE380" s="716">
        <f>IF(OR(status1B5!AF75="",AE$7="No aplica"),0,SUM('BOULEVARD 5'!$K73:AH73)-$AP380)</f>
        <v>-21222.5</v>
      </c>
      <c r="AF380" s="716">
        <f>IF(OR(status1B5!AG75="",AF$7="No aplica"),0,SUM('BOULEVARD 5'!$K73:AI73)-$AP380)</f>
        <v>-18191.5</v>
      </c>
      <c r="AG380" s="716">
        <f>IF(OR(status1B5!AH75="",AG$7="No aplica"),0,SUM('BOULEVARD 5'!$K73:AJ73)-$AP380)</f>
        <v>-15160.5</v>
      </c>
      <c r="AH380" s="716">
        <f>IF(OR(status1B5!AI75="",AH$7="No aplica"),0,SUM('BOULEVARD 5'!$K73:AK73)-$AP380)</f>
        <v>-12129.5</v>
      </c>
      <c r="AI380" s="716">
        <f>IF(OR(status1B5!AJ75="",AI$7="No aplica"),0,SUM('BOULEVARD 5'!$K73:AL73)-$AP380)</f>
        <v>-9098.5</v>
      </c>
      <c r="AJ380" s="716">
        <f>IF(OR(status1B5!AK75="",AJ$7="No aplica"),0,SUM('BOULEVARD 5'!$K73:AM73)-$AP380)</f>
        <v>-6067.5</v>
      </c>
      <c r="AK380" s="716">
        <f>IF(OR(status1B5!AL75="",AK$7="No aplica"),0,SUM('BOULEVARD 5'!$K73:AN73)-$AP380)</f>
        <v>-3036.5</v>
      </c>
      <c r="AL380" s="716">
        <f>IF(OR(status1B5!AM75="",AL$7="No aplica"),0,SUM('BOULEVARD 5'!$K73:AO73)-$AP380)</f>
        <v>0</v>
      </c>
      <c r="AM380" s="716">
        <f>IF(OR(status1B5!AN75="",AM$7="No aplica"),0,SUM('BOULEVARD 5'!$K73:AP73)-$AP380)</f>
        <v>0</v>
      </c>
      <c r="AN380" s="716">
        <f>IF(OR(status1B5!AO75="",AN$7="No aplica"),0,SUM('BOULEVARD 5'!$K73:AQ73)-$AP380)</f>
        <v>0</v>
      </c>
      <c r="AO380" s="716">
        <f>IF(OR(status1B5!AP75="",AO$7="No aplica"),0,SUM('BOULEVARD 5'!$K73:AS73)-$AP380)</f>
        <v>0</v>
      </c>
      <c r="AP380" s="717">
        <f>'BOULEVARD PPTO'!BC68</f>
        <v>72187.5</v>
      </c>
      <c r="AQ380" s="717">
        <f>'BOULEVARD 5'!AT73</f>
        <v>72187.5</v>
      </c>
      <c r="AR380" s="717">
        <f t="shared" si="104"/>
        <v>0</v>
      </c>
      <c r="AS380" s="717"/>
      <c r="AT380" s="581"/>
    </row>
    <row r="381" spans="1:46" ht="13.15" customHeight="1" outlineLevel="1" x14ac:dyDescent="0.25">
      <c r="A381" s="700">
        <f t="shared" si="102"/>
        <v>0</v>
      </c>
      <c r="B381" s="564">
        <f t="shared" ref="B381:G381" si="106">B76</f>
        <v>418</v>
      </c>
      <c r="C381" s="564" t="str">
        <f t="shared" si="106"/>
        <v>A1</v>
      </c>
      <c r="D381" s="564">
        <f t="shared" si="106"/>
        <v>0</v>
      </c>
      <c r="E381" s="564" t="str">
        <f t="shared" si="106"/>
        <v>Antonio Rada</v>
      </c>
      <c r="F381" s="581" t="str">
        <f t="shared" si="106"/>
        <v xml:space="preserve">Antonio Vicente Tzep Tahay </v>
      </c>
      <c r="G381" s="566">
        <f t="shared" si="106"/>
        <v>45785</v>
      </c>
      <c r="H381" s="716">
        <f>IF(OR(status1B5!I76="",H$7="No aplica"),0,SUM('BOULEVARD 5'!$K74:K74)-$AP381)</f>
        <v>0</v>
      </c>
      <c r="I381" s="716">
        <f>IF(OR(status1B5!J76="",I$7="No aplica"),0,SUM('BOULEVARD 5'!$K74:L74)-$AP381)</f>
        <v>0</v>
      </c>
      <c r="J381" s="716">
        <f>IF(OR(status1B5!K76="",J$7="No aplica"),0,SUM('BOULEVARD 5'!$K74:M74)-$AP381)</f>
        <v>0</v>
      </c>
      <c r="K381" s="716">
        <f>IF(OR(status1B5!L76="",K$7="No aplica"),0,SUM('BOULEVARD 5'!$K74:N74)-$AP381)</f>
        <v>0</v>
      </c>
      <c r="L381" s="716">
        <f>IF(OR(status1B5!M76="",L$7="No aplica"),0,SUM('BOULEVARD 5'!$K74:O74)-$AP381)</f>
        <v>0</v>
      </c>
      <c r="M381" s="716">
        <f>IF(OR(status1B5!N76="",M$7="No aplica"),0,SUM('BOULEVARD 5'!$K74:P74)-$AP381)</f>
        <v>0</v>
      </c>
      <c r="N381" s="716">
        <f>IF(OR(status1B5!O76="",N$7="No aplica"),0,SUM('BOULEVARD 5'!$K74:Q74)-$AP381)</f>
        <v>0</v>
      </c>
      <c r="O381" s="716">
        <f>IF(OR(status1B5!P76="",O$7="No aplica"),0,SUM('BOULEVARD 5'!$K74:R74)-$AP381)</f>
        <v>0</v>
      </c>
      <c r="P381" s="716">
        <f>IF(OR(status1B5!Q76="",P$7="No aplica"),0,SUM('BOULEVARD 5'!$K74:S74)-$AP381)</f>
        <v>0</v>
      </c>
      <c r="Q381" s="716">
        <f>IF(OR(status1B5!R76="",Q$7="No aplica"),0,SUM('BOULEVARD 5'!$K74:T74)-$AP381)</f>
        <v>0</v>
      </c>
      <c r="R381" s="716">
        <f>IF(OR(status1B5!S76="",R$7="No aplica"),0,SUM('BOULEVARD 5'!$K74:U74)-$AP381)</f>
        <v>0</v>
      </c>
      <c r="S381" s="716">
        <f>IF(OR(status1B5!T76="",S$7="No aplica"),0,SUM('BOULEVARD 5'!$K74:V74)-$AP381)</f>
        <v>0</v>
      </c>
      <c r="T381" s="716">
        <f>IF(OR(status1B5!U76="",T$7="No aplica"),0,SUM('BOULEVARD 5'!$K74:W74)-$AP381)</f>
        <v>0</v>
      </c>
      <c r="U381" s="716">
        <f>IF(OR(status1B5!V76="",U$7="No aplica"),0,SUM('BOULEVARD 5'!$K74:X74)-$AP381)</f>
        <v>0</v>
      </c>
      <c r="V381" s="716">
        <f>IF(OR(status1B5!W76="",V$7="No aplica"),0,SUM('BOULEVARD 5'!$K74:Y74)-$AP381)</f>
        <v>0</v>
      </c>
      <c r="W381" s="716">
        <f>IF(OR(status1B5!X76="",W$7="No aplica"),0,SUM('BOULEVARD 5'!$K74:Z74)-$AP381)</f>
        <v>0</v>
      </c>
      <c r="X381" s="716">
        <f>IF(OR(status1B5!Y76="",X$7="No aplica"),0,SUM('BOULEVARD 5'!$K74:AA74)-$AP381)</f>
        <v>0</v>
      </c>
      <c r="Y381" s="716">
        <f>IF(OR(status1B5!Z76="",Y$7="No aplica"),0,SUM('BOULEVARD 5'!$K74:AB74)-$AP381)</f>
        <v>0</v>
      </c>
      <c r="Z381" s="716">
        <f>IF(OR(status1B5!AA76="",Z$7="No aplica"),0,SUM('BOULEVARD 5'!$K74:AC74)-$AP381)</f>
        <v>0</v>
      </c>
      <c r="AA381" s="716">
        <f>IF(OR(status1B5!AB76="",AA$7="No aplica"),0,SUM('BOULEVARD 5'!$K74:AD74)-$AP381)</f>
        <v>0</v>
      </c>
      <c r="AB381" s="716">
        <f>IF(OR(status1B5!AC76="",AB$7="No aplica"),0,SUM('BOULEVARD 5'!$K74:AE74)-$AP381)</f>
        <v>0</v>
      </c>
      <c r="AC381" s="716">
        <f>IF(OR(status1B5!AD76="",AC$7="No aplica"),0,SUM('BOULEVARD 5'!$K74:AF74)-$AP381)</f>
        <v>0</v>
      </c>
      <c r="AD381" s="716">
        <f>IF(OR(status1B5!AE76="",AD$7="No aplica"),0,SUM('BOULEVARD 5'!$K74:AG74)-$AP381)</f>
        <v>0</v>
      </c>
      <c r="AE381" s="716">
        <f>IF(OR(status1B5!AF76="",AE$7="No aplica"),0,SUM('BOULEVARD 5'!$K74:AH74)-$AP381)</f>
        <v>0</v>
      </c>
      <c r="AF381" s="716">
        <f>IF(OR(status1B5!AG76="",AF$7="No aplica"),0,SUM('BOULEVARD 5'!$K74:AI74)-$AP381)</f>
        <v>0</v>
      </c>
      <c r="AG381" s="716">
        <f>IF(OR(status1B5!AH76="",AG$7="No aplica"),0,SUM('BOULEVARD 5'!$K74:AJ74)-$AP381)</f>
        <v>0</v>
      </c>
      <c r="AH381" s="716">
        <f>IF(OR(status1B5!AI76="",AH$7="No aplica"),0,SUM('BOULEVARD 5'!$K74:AK74)-$AP381)</f>
        <v>-65076</v>
      </c>
      <c r="AI381" s="716">
        <f>IF(OR(status1B5!AJ76="",AI$7="No aplica"),0,SUM('BOULEVARD 5'!$K74:AL74)-$AP381)</f>
        <v>-59653</v>
      </c>
      <c r="AJ381" s="716">
        <f>IF(OR(status1B5!AK76="",AJ$7="No aplica"),0,SUM('BOULEVARD 5'!$K74:AM74)-$AP381)</f>
        <v>-59653</v>
      </c>
      <c r="AK381" s="716">
        <f>IF(OR(status1B5!AL76="",AK$7="No aplica"),0,SUM('BOULEVARD 5'!$K74:AN74)-$AP381)</f>
        <v>-59653</v>
      </c>
      <c r="AL381" s="716">
        <f>IF(OR(status1B5!AM76="",AL$7="No aplica"),0,SUM('BOULEVARD 5'!$K74:AO74)-$AP381)</f>
        <v>-43384</v>
      </c>
      <c r="AM381" s="716">
        <f>IF(OR(status1B5!AN76="",AM$7="No aplica"),0,SUM('BOULEVARD 5'!$K74:AP74)-$AP381)</f>
        <v>-43384</v>
      </c>
      <c r="AN381" s="716">
        <f>IF(OR(status1B5!AO76="",AN$7="No aplica"),0,SUM('BOULEVARD 5'!$K74:AQ74)-$AP381)</f>
        <v>0</v>
      </c>
      <c r="AO381" s="716">
        <f>IF(OR(status1B5!AP76="",AO$7="No aplica"),0,SUM('BOULEVARD 5'!$K74:AS74)-$AP381)</f>
        <v>0</v>
      </c>
      <c r="AP381" s="717">
        <f>'BOULEVARD PPTO'!BC69</f>
        <v>75076</v>
      </c>
      <c r="AQ381" s="717">
        <f>'BOULEVARD 5'!AT74</f>
        <v>31692</v>
      </c>
      <c r="AR381" s="717">
        <f t="shared" si="104"/>
        <v>-43384</v>
      </c>
      <c r="AS381" s="717"/>
      <c r="AT381" s="581"/>
    </row>
    <row r="382" spans="1:46" ht="13.15" customHeight="1" outlineLevel="1" x14ac:dyDescent="0.25">
      <c r="A382" s="700">
        <f t="shared" si="102"/>
        <v>0</v>
      </c>
      <c r="B382" s="564">
        <f t="shared" ref="B382:G382" si="107">B77</f>
        <v>419</v>
      </c>
      <c r="C382" s="564" t="str">
        <f t="shared" si="107"/>
        <v>C4</v>
      </c>
      <c r="D382" s="564">
        <f t="shared" si="107"/>
        <v>0</v>
      </c>
      <c r="E382" s="564" t="str">
        <f t="shared" si="107"/>
        <v>Antonio Rada</v>
      </c>
      <c r="F382" s="581" t="str">
        <f t="shared" si="107"/>
        <v>Andrea Elizabeth Ortiz Perez</v>
      </c>
      <c r="G382" s="566">
        <f t="shared" si="107"/>
        <v>45231</v>
      </c>
      <c r="H382" s="716">
        <f>IF(OR(status1B5!I77="",H$7="No aplica"),0,SUM('BOULEVARD 5'!$K75:K75)-$AP382)</f>
        <v>0</v>
      </c>
      <c r="I382" s="716">
        <f>IF(OR(status1B5!J77="",I$7="No aplica"),0,SUM('BOULEVARD 5'!$K75:L75)-$AP382)</f>
        <v>0</v>
      </c>
      <c r="J382" s="716">
        <f>IF(OR(status1B5!K77="",J$7="No aplica"),0,SUM('BOULEVARD 5'!$K75:M75)-$AP382)</f>
        <v>0</v>
      </c>
      <c r="K382" s="716">
        <f>IF(OR(status1B5!L77="",K$7="No aplica"),0,SUM('BOULEVARD 5'!$K75:N75)-$AP382)</f>
        <v>0</v>
      </c>
      <c r="L382" s="716">
        <f>IF(OR(status1B5!M77="",L$7="No aplica"),0,SUM('BOULEVARD 5'!$K75:O75)-$AP382)</f>
        <v>0</v>
      </c>
      <c r="M382" s="716">
        <f>IF(OR(status1B5!N77="",M$7="No aplica"),0,SUM('BOULEVARD 5'!$K75:P75)-$AP382)</f>
        <v>0</v>
      </c>
      <c r="N382" s="716">
        <f>IF(OR(status1B5!O77="",N$7="No aplica"),0,SUM('BOULEVARD 5'!$K75:Q75)-$AP382)</f>
        <v>0</v>
      </c>
      <c r="O382" s="716">
        <f>IF(OR(status1B5!P77="",O$7="No aplica"),0,SUM('BOULEVARD 5'!$K75:R75)-$AP382)</f>
        <v>0</v>
      </c>
      <c r="P382" s="716">
        <f>IF(OR(status1B5!Q77="",P$7="No aplica"),0,SUM('BOULEVARD 5'!$K75:S75)-$AP382)</f>
        <v>-88600</v>
      </c>
      <c r="Q382" s="716">
        <f>IF(OR(status1B5!R77="",Q$7="No aplica"),0,SUM('BOULEVARD 5'!$K75:T75)-$AP382)</f>
        <v>-84573</v>
      </c>
      <c r="R382" s="716">
        <f>IF(OR(status1B5!S77="",R$7="No aplica"),0,SUM('BOULEVARD 5'!$K75:U75)-$AP382)</f>
        <v>-80546</v>
      </c>
      <c r="S382" s="716">
        <f>IF(OR(status1B5!T77="",S$7="No aplica"),0,SUM('BOULEVARD 5'!$K75:V75)-$AP382)</f>
        <v>-76519</v>
      </c>
      <c r="T382" s="716">
        <f>IF(OR(status1B5!U77="",T$7="No aplica"),0,SUM('BOULEVARD 5'!$K75:W75)-$AP382)</f>
        <v>-72492</v>
      </c>
      <c r="U382" s="716">
        <f>IF(OR(status1B5!V77="",U$7="No aplica"),0,SUM('BOULEVARD 5'!$K75:X75)-$AP382)</f>
        <v>-68465</v>
      </c>
      <c r="V382" s="716">
        <f>IF(OR(status1B5!W77="",V$7="No aplica"),0,SUM('BOULEVARD 5'!$K75:Y75)-$AP382)</f>
        <v>-64438</v>
      </c>
      <c r="W382" s="716">
        <f>IF(OR(status1B5!X77="",W$7="No aplica"),0,SUM('BOULEVARD 5'!$K75:Z75)-$AP382)</f>
        <v>-60411</v>
      </c>
      <c r="X382" s="716">
        <f>IF(OR(status1B5!Y77="",X$7="No aplica"),0,SUM('BOULEVARD 5'!$K75:AA75)-$AP382)</f>
        <v>-56384</v>
      </c>
      <c r="Y382" s="716">
        <f>IF(OR(status1B5!Z77="",Y$7="No aplica"),0,SUM('BOULEVARD 5'!$K75:AB75)-$AP382)</f>
        <v>-52357</v>
      </c>
      <c r="Z382" s="716">
        <f>IF(OR(status1B5!AA77="",Z$7="No aplica"),0,SUM('BOULEVARD 5'!$K75:AC75)-$AP382)</f>
        <v>-48330</v>
      </c>
      <c r="AA382" s="716">
        <f>IF(OR(status1B5!AB77="",AA$7="No aplica"),0,SUM('BOULEVARD 5'!$K75:AD75)-$AP382)</f>
        <v>-44303</v>
      </c>
      <c r="AB382" s="716">
        <f>IF(OR(status1B5!AC77="",AB$7="No aplica"),0,SUM('BOULEVARD 5'!$K75:AE75)-$AP382)</f>
        <v>-40276</v>
      </c>
      <c r="AC382" s="716">
        <f>IF(OR(status1B5!AD77="",AC$7="No aplica"),0,SUM('BOULEVARD 5'!$K75:AF75)-$AP382)</f>
        <v>-36249</v>
      </c>
      <c r="AD382" s="716">
        <f>IF(OR(status1B5!AE77="",AD$7="No aplica"),0,SUM('BOULEVARD 5'!$K75:AG75)-$AP382)</f>
        <v>-32222</v>
      </c>
      <c r="AE382" s="716">
        <f>IF(OR(status1B5!AF77="",AE$7="No aplica"),0,SUM('BOULEVARD 5'!$K75:AH75)-$AP382)</f>
        <v>-28195</v>
      </c>
      <c r="AF382" s="716">
        <f>IF(OR(status1B5!AG77="",AF$7="No aplica"),0,SUM('BOULEVARD 5'!$K75:AI75)-$AP382)</f>
        <v>-24168</v>
      </c>
      <c r="AG382" s="716">
        <f>IF(OR(status1B5!AH77="",AG$7="No aplica"),0,SUM('BOULEVARD 5'!$K75:AJ75)-$AP382)</f>
        <v>-20141</v>
      </c>
      <c r="AH382" s="716">
        <f>IF(OR(status1B5!AI77="",AH$7="No aplica"),0,SUM('BOULEVARD 5'!$K75:AK75)-$AP382)</f>
        <v>-16114</v>
      </c>
      <c r="AI382" s="716">
        <f>IF(OR(status1B5!AJ77="",AI$7="No aplica"),0,SUM('BOULEVARD 5'!$K75:AL75)-$AP382)</f>
        <v>-12087</v>
      </c>
      <c r="AJ382" s="716">
        <f>IF(OR(status1B5!AK77="",AJ$7="No aplica"),0,SUM('BOULEVARD 5'!$K75:AM75)-$AP382)</f>
        <v>-8060</v>
      </c>
      <c r="AK382" s="716">
        <f>IF(OR(status1B5!AL77="",AK$7="No aplica"),0,SUM('BOULEVARD 5'!$K75:AN75)-$AP382)</f>
        <v>-4033</v>
      </c>
      <c r="AL382" s="716">
        <f>IF(OR(status1B5!AM77="",AL$7="No aplica"),0,SUM('BOULEVARD 5'!$K75:AO75)-$AP382)</f>
        <v>-6</v>
      </c>
      <c r="AM382" s="716">
        <f>IF(OR(status1B5!AN77="",AM$7="No aplica"),0,SUM('BOULEVARD 5'!$K75:AP75)-$AP382)</f>
        <v>-6</v>
      </c>
      <c r="AN382" s="716">
        <f>IF(OR(status1B5!AO77="",AN$7="No aplica"),0,SUM('BOULEVARD 5'!$K75:AQ75)-$AP382)</f>
        <v>0</v>
      </c>
      <c r="AO382" s="716">
        <f>IF(OR(status1B5!AP77="",AO$7="No aplica"),0,SUM('BOULEVARD 5'!$K75:AS75)-$AP382)</f>
        <v>0</v>
      </c>
      <c r="AP382" s="717">
        <f>'BOULEVARD PPTO'!BC70</f>
        <v>96600</v>
      </c>
      <c r="AQ382" s="717">
        <f>'BOULEVARD 5'!AT75</f>
        <v>96594</v>
      </c>
      <c r="AR382" s="717">
        <f t="shared" si="104"/>
        <v>-6</v>
      </c>
      <c r="AS382" s="717"/>
      <c r="AT382" s="581"/>
    </row>
    <row r="383" spans="1:46" ht="13.15" customHeight="1" outlineLevel="1" x14ac:dyDescent="0.25">
      <c r="A383" s="700">
        <f t="shared" si="102"/>
        <v>0</v>
      </c>
      <c r="B383" s="564">
        <f t="shared" ref="B383:G383" si="108">B78</f>
        <v>420</v>
      </c>
      <c r="C383" s="564" t="str">
        <f t="shared" si="108"/>
        <v>C1</v>
      </c>
      <c r="D383" s="564">
        <f t="shared" si="108"/>
        <v>0</v>
      </c>
      <c r="E383" s="564" t="str">
        <f t="shared" si="108"/>
        <v>Antonio Rada</v>
      </c>
      <c r="F383" s="581" t="str">
        <f t="shared" si="108"/>
        <v>Rodriga Virginia Figueroa Perez</v>
      </c>
      <c r="G383" s="566">
        <f t="shared" si="108"/>
        <v>45490</v>
      </c>
      <c r="H383" s="716">
        <f>IF(OR(status1B5!I78="",H$7="No aplica"),0,SUM('BOULEVARD 5'!$K76:K76)-$AP383)</f>
        <v>0</v>
      </c>
      <c r="I383" s="716">
        <f>IF(OR(status1B5!J78="",I$7="No aplica"),0,SUM('BOULEVARD 5'!$K76:L76)-$AP383)</f>
        <v>0</v>
      </c>
      <c r="J383" s="716">
        <f>IF(OR(status1B5!K78="",J$7="No aplica"),0,SUM('BOULEVARD 5'!$K76:M76)-$AP383)</f>
        <v>0</v>
      </c>
      <c r="K383" s="716">
        <f>IF(OR(status1B5!L78="",K$7="No aplica"),0,SUM('BOULEVARD 5'!$K76:N76)-$AP383)</f>
        <v>0</v>
      </c>
      <c r="L383" s="716">
        <f>IF(OR(status1B5!M78="",L$7="No aplica"),0,SUM('BOULEVARD 5'!$K76:O76)-$AP383)</f>
        <v>0</v>
      </c>
      <c r="M383" s="716">
        <f>IF(OR(status1B5!N78="",M$7="No aplica"),0,SUM('BOULEVARD 5'!$K76:P76)-$AP383)</f>
        <v>0</v>
      </c>
      <c r="N383" s="716">
        <f>IF(OR(status1B5!O78="",N$7="No aplica"),0,SUM('BOULEVARD 5'!$K76:Q76)-$AP383)</f>
        <v>0</v>
      </c>
      <c r="O383" s="716">
        <f>IF(OR(status1B5!P78="",O$7="No aplica"),0,SUM('BOULEVARD 5'!$K76:R76)-$AP383)</f>
        <v>0</v>
      </c>
      <c r="P383" s="716">
        <f>IF(OR(status1B5!Q78="",P$7="No aplica"),0,SUM('BOULEVARD 5'!$K76:S76)-$AP383)</f>
        <v>0</v>
      </c>
      <c r="Q383" s="716">
        <f>IF(OR(status1B5!R78="",Q$7="No aplica"),0,SUM('BOULEVARD 5'!$K76:T76)-$AP383)</f>
        <v>0</v>
      </c>
      <c r="R383" s="716">
        <f>IF(OR(status1B5!S78="",R$7="No aplica"),0,SUM('BOULEVARD 5'!$K76:U76)-$AP383)</f>
        <v>0</v>
      </c>
      <c r="S383" s="716">
        <f>IF(OR(status1B5!T78="",S$7="No aplica"),0,SUM('BOULEVARD 5'!$K76:V76)-$AP383)</f>
        <v>0</v>
      </c>
      <c r="T383" s="716">
        <f>IF(OR(status1B5!U78="",T$7="No aplica"),0,SUM('BOULEVARD 5'!$K76:W76)-$AP383)</f>
        <v>0</v>
      </c>
      <c r="U383" s="716">
        <f>IF(OR(status1B5!V78="",U$7="No aplica"),0,SUM('BOULEVARD 5'!$K76:X76)-$AP383)</f>
        <v>0</v>
      </c>
      <c r="V383" s="716">
        <f>IF(OR(status1B5!W78="",V$7="No aplica"),0,SUM('BOULEVARD 5'!$K76:Y76)-$AP383)</f>
        <v>0</v>
      </c>
      <c r="W383" s="716">
        <f>IF(OR(status1B5!X78="",W$7="No aplica"),0,SUM('BOULEVARD 5'!$K76:Z76)-$AP383)</f>
        <v>0</v>
      </c>
      <c r="X383" s="716">
        <f>IF(OR(status1B5!Y78="",X$7="No aplica"),0,SUM('BOULEVARD 5'!$K76:AA76)-$AP383)</f>
        <v>-106700</v>
      </c>
      <c r="Y383" s="716">
        <f>IF(OR(status1B5!Z78="",Y$7="No aplica"),0,SUM('BOULEVARD 5'!$K76:AB76)-$AP383)</f>
        <v>-100424</v>
      </c>
      <c r="Z383" s="716">
        <f>IF(OR(status1B5!AA78="",Z$7="No aplica"),0,SUM('BOULEVARD 5'!$K76:AC76)-$AP383)</f>
        <v>-94148</v>
      </c>
      <c r="AA383" s="716">
        <f>IF(OR(status1B5!AB78="",AA$7="No aplica"),0,SUM('BOULEVARD 5'!$K76:AD76)-$AP383)</f>
        <v>-87872</v>
      </c>
      <c r="AB383" s="716">
        <f>IF(OR(status1B5!AC78="",AB$7="No aplica"),0,SUM('BOULEVARD 5'!$K76:AE76)-$AP383)</f>
        <v>-81596</v>
      </c>
      <c r="AC383" s="716">
        <f>IF(OR(status1B5!AD78="",AC$7="No aplica"),0,SUM('BOULEVARD 5'!$K76:AF76)-$AP383)</f>
        <v>-75320</v>
      </c>
      <c r="AD383" s="716">
        <f>IF(OR(status1B5!AE78="",AD$7="No aplica"),0,SUM('BOULEVARD 5'!$K76:AG76)-$AP383)</f>
        <v>-69044</v>
      </c>
      <c r="AE383" s="716">
        <f>IF(OR(status1B5!AF78="",AE$7="No aplica"),0,SUM('BOULEVARD 5'!$K76:AH76)-$AP383)</f>
        <v>-62768</v>
      </c>
      <c r="AF383" s="716">
        <f>IF(OR(status1B5!AG78="",AF$7="No aplica"),0,SUM('BOULEVARD 5'!$K76:AI76)-$AP383)</f>
        <v>-56492</v>
      </c>
      <c r="AG383" s="716">
        <f>IF(OR(status1B5!AH78="",AG$7="No aplica"),0,SUM('BOULEVARD 5'!$K76:AJ76)-$AP383)</f>
        <v>-50216</v>
      </c>
      <c r="AH383" s="716">
        <f>IF(OR(status1B5!AI78="",AH$7="No aplica"),0,SUM('BOULEVARD 5'!$K76:AK76)-$AP383)</f>
        <v>-43940</v>
      </c>
      <c r="AI383" s="716">
        <f>IF(OR(status1B5!AJ78="",AI$7="No aplica"),0,SUM('BOULEVARD 5'!$K76:AL76)-$AP383)</f>
        <v>-37664</v>
      </c>
      <c r="AJ383" s="716">
        <f>IF(OR(status1B5!AK78="",AJ$7="No aplica"),0,SUM('BOULEVARD 5'!$K76:AM76)-$AP383)</f>
        <v>-31388</v>
      </c>
      <c r="AK383" s="716">
        <f>IF(OR(status1B5!AL78="",AK$7="No aplica"),0,SUM('BOULEVARD 5'!$K76:AN76)-$AP383)</f>
        <v>-25112</v>
      </c>
      <c r="AL383" s="716">
        <f>IF(OR(status1B5!AM78="",AL$7="No aplica"),0,SUM('BOULEVARD 5'!$K76:AO76)-$AP383)</f>
        <v>-18836</v>
      </c>
      <c r="AM383" s="716">
        <f>IF(OR(status1B5!AN78="",AM$7="No aplica"),0,SUM('BOULEVARD 5'!$K76:AP76)-$AP383)</f>
        <v>-12560</v>
      </c>
      <c r="AN383" s="716">
        <f>IF(OR(status1B5!AO78="",AN$7="No aplica"),0,SUM('BOULEVARD 5'!$K76:AQ76)-$AP383)</f>
        <v>0</v>
      </c>
      <c r="AO383" s="716">
        <f>IF(OR(status1B5!AP78="",AO$7="No aplica"),0,SUM('BOULEVARD 5'!$K76:AS76)-$AP383)</f>
        <v>0</v>
      </c>
      <c r="AP383" s="717">
        <f>'BOULEVARD PPTO'!BC71</f>
        <v>116700</v>
      </c>
      <c r="AQ383" s="717">
        <f>'BOULEVARD 5'!AT76</f>
        <v>116700</v>
      </c>
      <c r="AR383" s="717">
        <f t="shared" si="104"/>
        <v>0</v>
      </c>
      <c r="AS383" s="717"/>
      <c r="AT383" s="581"/>
    </row>
    <row r="384" spans="1:46" ht="13.15" customHeight="1" outlineLevel="1" x14ac:dyDescent="0.25">
      <c r="A384" s="700">
        <f t="shared" si="102"/>
        <v>0</v>
      </c>
      <c r="B384" s="564">
        <f t="shared" ref="B384:G384" si="109">B79</f>
        <v>501</v>
      </c>
      <c r="C384" s="564" t="str">
        <f t="shared" si="109"/>
        <v>E9</v>
      </c>
      <c r="D384" s="564">
        <f t="shared" si="109"/>
        <v>0</v>
      </c>
      <c r="E384" s="564" t="str">
        <f t="shared" si="109"/>
        <v>Sofia Paredes</v>
      </c>
      <c r="F384" s="581" t="str">
        <f t="shared" si="109"/>
        <v>Erick Guillermo Ruano Garcia</v>
      </c>
      <c r="G384" s="566">
        <f t="shared" si="109"/>
        <v>45681</v>
      </c>
      <c r="H384" s="716">
        <f>IF(OR(status1B5!I79="",H$7="No aplica"),0,SUM('BOULEVARD 5'!$K77:K77)-$AP384)</f>
        <v>0</v>
      </c>
      <c r="I384" s="716">
        <f>IF(OR(status1B5!J79="",I$7="No aplica"),0,SUM('BOULEVARD 5'!$K77:L77)-$AP384)</f>
        <v>0</v>
      </c>
      <c r="J384" s="716">
        <f>IF(OR(status1B5!K79="",J$7="No aplica"),0,SUM('BOULEVARD 5'!$K77:M77)-$AP384)</f>
        <v>0</v>
      </c>
      <c r="K384" s="716">
        <f>IF(OR(status1B5!L79="",K$7="No aplica"),0,SUM('BOULEVARD 5'!$K77:N77)-$AP384)</f>
        <v>0</v>
      </c>
      <c r="L384" s="716">
        <f>IF(OR(status1B5!M79="",L$7="No aplica"),0,SUM('BOULEVARD 5'!$K77:O77)-$AP384)</f>
        <v>0</v>
      </c>
      <c r="M384" s="716">
        <f>IF(OR(status1B5!N79="",M$7="No aplica"),0,SUM('BOULEVARD 5'!$K77:P77)-$AP384)</f>
        <v>0</v>
      </c>
      <c r="N384" s="716">
        <f>IF(OR(status1B5!O79="",N$7="No aplica"),0,SUM('BOULEVARD 5'!$K77:Q77)-$AP384)</f>
        <v>0</v>
      </c>
      <c r="O384" s="716">
        <f>IF(OR(status1B5!P79="",O$7="No aplica"),0,SUM('BOULEVARD 5'!$K77:R77)-$AP384)</f>
        <v>0</v>
      </c>
      <c r="P384" s="716">
        <f>IF(OR(status1B5!Q79="",P$7="No aplica"),0,SUM('BOULEVARD 5'!$K77:S77)-$AP384)</f>
        <v>0</v>
      </c>
      <c r="Q384" s="716">
        <f>IF(OR(status1B5!R79="",Q$7="No aplica"),0,SUM('BOULEVARD 5'!$K77:T77)-$AP384)</f>
        <v>0</v>
      </c>
      <c r="R384" s="716">
        <f>IF(OR(status1B5!S79="",R$7="No aplica"),0,SUM('BOULEVARD 5'!$K77:U77)-$AP384)</f>
        <v>0</v>
      </c>
      <c r="S384" s="716">
        <f>IF(OR(status1B5!T79="",S$7="No aplica"),0,SUM('BOULEVARD 5'!$K77:V77)-$AP384)</f>
        <v>0</v>
      </c>
      <c r="T384" s="716">
        <f>IF(OR(status1B5!U79="",T$7="No aplica"),0,SUM('BOULEVARD 5'!$K77:W77)-$AP384)</f>
        <v>0</v>
      </c>
      <c r="U384" s="716">
        <f>IF(OR(status1B5!V79="",U$7="No aplica"),0,SUM('BOULEVARD 5'!$K77:X77)-$AP384)</f>
        <v>0</v>
      </c>
      <c r="V384" s="716">
        <f>IF(OR(status1B5!W79="",V$7="No aplica"),0,SUM('BOULEVARD 5'!$K77:Y77)-$AP384)</f>
        <v>0</v>
      </c>
      <c r="W384" s="716">
        <f>IF(OR(status1B5!X79="",W$7="No aplica"),0,SUM('BOULEVARD 5'!$K77:Z77)-$AP384)</f>
        <v>0</v>
      </c>
      <c r="X384" s="716">
        <f>IF(OR(status1B5!Y79="",X$7="No aplica"),0,SUM('BOULEVARD 5'!$K77:AA77)-$AP384)</f>
        <v>0</v>
      </c>
      <c r="Y384" s="716">
        <f>IF(OR(status1B5!Z79="",Y$7="No aplica"),0,SUM('BOULEVARD 5'!$K77:AB77)-$AP384)</f>
        <v>0</v>
      </c>
      <c r="Z384" s="716">
        <f>IF(OR(status1B5!AA79="",Z$7="No aplica"),0,SUM('BOULEVARD 5'!$K77:AC77)-$AP384)</f>
        <v>0</v>
      </c>
      <c r="AA384" s="716">
        <f>IF(OR(status1B5!AB79="",AA$7="No aplica"),0,SUM('BOULEVARD 5'!$K77:AD77)-$AP384)</f>
        <v>0</v>
      </c>
      <c r="AB384" s="716">
        <f>IF(OR(status1B5!AC79="",AB$7="No aplica"),0,SUM('BOULEVARD 5'!$K77:AE77)-$AP384)</f>
        <v>0</v>
      </c>
      <c r="AC384" s="716">
        <f>IF(OR(status1B5!AD79="",AC$7="No aplica"),0,SUM('BOULEVARD 5'!$K77:AF77)-$AP384)</f>
        <v>0</v>
      </c>
      <c r="AD384" s="716">
        <f>IF(OR(status1B5!AE79="",AD$7="No aplica"),0,SUM('BOULEVARD 5'!$K77:AG77)-$AP384)</f>
        <v>-140349.44</v>
      </c>
      <c r="AE384" s="716">
        <f>IF(OR(status1B5!AF79="",AE$7="No aplica"),0,SUM('BOULEVARD 5'!$K77:AH77)-$AP384)</f>
        <v>-131577.44</v>
      </c>
      <c r="AF384" s="716">
        <f>IF(OR(status1B5!AG79="",AF$7="No aplica"),0,SUM('BOULEVARD 5'!$K77:AI77)-$AP384)</f>
        <v>-122805.44</v>
      </c>
      <c r="AG384" s="716">
        <f>IF(OR(status1B5!AH79="",AG$7="No aplica"),0,SUM('BOULEVARD 5'!$K77:AJ77)-$AP384)</f>
        <v>-114033.44</v>
      </c>
      <c r="AH384" s="716">
        <f>IF(OR(status1B5!AI79="",AH$7="No aplica"),0,SUM('BOULEVARD 5'!$K77:AK77)-$AP384)</f>
        <v>-105261.44</v>
      </c>
      <c r="AI384" s="716">
        <f>IF(OR(status1B5!AJ79="",AI$7="No aplica"),0,SUM('BOULEVARD 5'!$K77:AL77)-$AP384)</f>
        <v>-96489.44</v>
      </c>
      <c r="AJ384" s="716">
        <f>IF(OR(status1B5!AK79="",AJ$7="No aplica"),0,SUM('BOULEVARD 5'!$K77:AM77)-$AP384)</f>
        <v>-87717.440000000002</v>
      </c>
      <c r="AK384" s="716">
        <f>IF(OR(status1B5!AL79="",AK$7="No aplica"),0,SUM('BOULEVARD 5'!$K77:AN77)-$AP384)</f>
        <v>-78945.440000000002</v>
      </c>
      <c r="AL384" s="716">
        <f>IF(OR(status1B5!AM79="",AL$7="No aplica"),0,SUM('BOULEVARD 5'!$K77:AO77)-$AP384)</f>
        <v>-70173.440000000002</v>
      </c>
      <c r="AM384" s="716">
        <f>IF(OR(status1B5!AN79="",AM$7="No aplica"),0,SUM('BOULEVARD 5'!$K77:AP77)-$AP384)</f>
        <v>-61401.440000000002</v>
      </c>
      <c r="AN384" s="716">
        <f>IF(OR(status1B5!AO79="",AN$7="No aplica"),0,SUM('BOULEVARD 5'!$K77:AQ77)-$AP384)</f>
        <v>0</v>
      </c>
      <c r="AO384" s="716">
        <f>IF(OR(status1B5!AP79="",AO$7="No aplica"),0,SUM('BOULEVARD 5'!$K77:AS77)-$AP384)</f>
        <v>0</v>
      </c>
      <c r="AP384" s="717">
        <f>'BOULEVARD PPTO'!BC72</f>
        <v>150349.44</v>
      </c>
      <c r="AQ384" s="717">
        <f>'BOULEVARD 5'!AT77</f>
        <v>115264</v>
      </c>
      <c r="AR384" s="717">
        <f t="shared" si="104"/>
        <v>-35085.440000000002</v>
      </c>
      <c r="AS384" s="717"/>
      <c r="AT384" s="581"/>
    </row>
    <row r="385" spans="1:46" ht="13.15" customHeight="1" outlineLevel="1" x14ac:dyDescent="0.25">
      <c r="A385" s="700">
        <f t="shared" si="102"/>
        <v>0</v>
      </c>
      <c r="B385" s="564">
        <f t="shared" ref="B385:G385" si="110">B80</f>
        <v>502</v>
      </c>
      <c r="C385" s="564" t="str">
        <f t="shared" si="110"/>
        <v>E10</v>
      </c>
      <c r="D385" s="564">
        <f t="shared" si="110"/>
        <v>0</v>
      </c>
      <c r="E385" s="564" t="str">
        <f t="shared" si="110"/>
        <v>Laura Molina</v>
      </c>
      <c r="F385" s="581" t="str">
        <f t="shared" si="110"/>
        <v>Rudy Baldemar Villeda Vanegas / Marcia Corina Hernández Ruiz de Villeda</v>
      </c>
      <c r="G385" s="566">
        <f t="shared" si="110"/>
        <v>45832</v>
      </c>
      <c r="H385" s="716">
        <f>IF(OR(status1B5!I80="",H$7="No aplica"),0,SUM('BOULEVARD 5'!$K78:K78)-$AP385)</f>
        <v>0</v>
      </c>
      <c r="I385" s="716">
        <f>IF(OR(status1B5!J80="",I$7="No aplica"),0,SUM('BOULEVARD 5'!$K78:L78)-$AP385)</f>
        <v>0</v>
      </c>
      <c r="J385" s="716">
        <f>IF(OR(status1B5!K80="",J$7="No aplica"),0,SUM('BOULEVARD 5'!$K78:M78)-$AP385)</f>
        <v>0</v>
      </c>
      <c r="K385" s="716">
        <f>IF(OR(status1B5!L80="",K$7="No aplica"),0,SUM('BOULEVARD 5'!$K78:N78)-$AP385)</f>
        <v>0</v>
      </c>
      <c r="L385" s="716">
        <f>IF(OR(status1B5!M80="",L$7="No aplica"),0,SUM('BOULEVARD 5'!$K78:O78)-$AP385)</f>
        <v>0</v>
      </c>
      <c r="M385" s="716">
        <f>IF(OR(status1B5!N80="",M$7="No aplica"),0,SUM('BOULEVARD 5'!$K78:P78)-$AP385)</f>
        <v>0</v>
      </c>
      <c r="N385" s="716">
        <f>IF(OR(status1B5!O80="",N$7="No aplica"),0,SUM('BOULEVARD 5'!$K78:Q78)-$AP385)</f>
        <v>0</v>
      </c>
      <c r="O385" s="716">
        <f>IF(OR(status1B5!P80="",O$7="No aplica"),0,SUM('BOULEVARD 5'!$K78:R78)-$AP385)</f>
        <v>0</v>
      </c>
      <c r="P385" s="716">
        <f>IF(OR(status1B5!Q80="",P$7="No aplica"),0,SUM('BOULEVARD 5'!$K78:S78)-$AP385)</f>
        <v>0</v>
      </c>
      <c r="Q385" s="716">
        <f>IF(OR(status1B5!R80="",Q$7="No aplica"),0,SUM('BOULEVARD 5'!$K78:T78)-$AP385)</f>
        <v>0</v>
      </c>
      <c r="R385" s="716">
        <f>IF(OR(status1B5!S80="",R$7="No aplica"),0,SUM('BOULEVARD 5'!$K78:U78)-$AP385)</f>
        <v>0</v>
      </c>
      <c r="S385" s="716">
        <f>IF(OR(status1B5!T80="",S$7="No aplica"),0,SUM('BOULEVARD 5'!$K78:V78)-$AP385)</f>
        <v>0</v>
      </c>
      <c r="T385" s="716">
        <f>IF(OR(status1B5!U80="",T$7="No aplica"),0,SUM('BOULEVARD 5'!$K78:W78)-$AP385)</f>
        <v>0</v>
      </c>
      <c r="U385" s="716">
        <f>IF(OR(status1B5!V80="",U$7="No aplica"),0,SUM('BOULEVARD 5'!$K78:X78)-$AP385)</f>
        <v>0</v>
      </c>
      <c r="V385" s="716">
        <f>IF(OR(status1B5!W80="",V$7="No aplica"),0,SUM('BOULEVARD 5'!$K78:Y78)-$AP385)</f>
        <v>0</v>
      </c>
      <c r="W385" s="716">
        <f>IF(OR(status1B5!X80="",W$7="No aplica"),0,SUM('BOULEVARD 5'!$K78:Z78)-$AP385)</f>
        <v>0</v>
      </c>
      <c r="X385" s="716">
        <f>IF(OR(status1B5!Y80="",X$7="No aplica"),0,SUM('BOULEVARD 5'!$K78:AA78)-$AP385)</f>
        <v>0</v>
      </c>
      <c r="Y385" s="716">
        <f>IF(OR(status1B5!Z80="",Y$7="No aplica"),0,SUM('BOULEVARD 5'!$K78:AB78)-$AP385)</f>
        <v>0</v>
      </c>
      <c r="Z385" s="716">
        <f>IF(OR(status1B5!AA80="",Z$7="No aplica"),0,SUM('BOULEVARD 5'!$K78:AC78)-$AP385)</f>
        <v>0</v>
      </c>
      <c r="AA385" s="716">
        <f>IF(OR(status1B5!AB80="",AA$7="No aplica"),0,SUM('BOULEVARD 5'!$K78:AD78)-$AP385)</f>
        <v>0</v>
      </c>
      <c r="AB385" s="716">
        <f>IF(OR(status1B5!AC80="",AB$7="No aplica"),0,SUM('BOULEVARD 5'!$K78:AE78)-$AP385)</f>
        <v>0</v>
      </c>
      <c r="AC385" s="716">
        <f>IF(OR(status1B5!AD80="",AC$7="No aplica"),0,SUM('BOULEVARD 5'!$K78:AF78)-$AP385)</f>
        <v>0</v>
      </c>
      <c r="AD385" s="716">
        <f>IF(OR(status1B5!AE80="",AD$7="No aplica"),0,SUM('BOULEVARD 5'!$K78:AG78)-$AP385)</f>
        <v>0</v>
      </c>
      <c r="AE385" s="716">
        <f>IF(OR(status1B5!AF80="",AE$7="No aplica"),0,SUM('BOULEVARD 5'!$K78:AH78)-$AP385)</f>
        <v>0</v>
      </c>
      <c r="AF385" s="716">
        <f>IF(OR(status1B5!AG80="",AF$7="No aplica"),0,SUM('BOULEVARD 5'!$K78:AI78)-$AP385)</f>
        <v>0</v>
      </c>
      <c r="AG385" s="716">
        <f>IF(OR(status1B5!AH80="",AG$7="No aplica"),0,SUM('BOULEVARD 5'!$K78:AJ78)-$AP385)</f>
        <v>0</v>
      </c>
      <c r="AH385" s="716">
        <f>IF(OR(status1B5!AI80="",AH$7="No aplica"),0,SUM('BOULEVARD 5'!$K78:AK78)-$AP385)</f>
        <v>0</v>
      </c>
      <c r="AI385" s="716">
        <f>IF(OR(status1B5!AJ80="",AI$7="No aplica"),0,SUM('BOULEVARD 5'!$K78:AL78)-$AP385)</f>
        <v>-223560</v>
      </c>
      <c r="AJ385" s="716">
        <f>IF(OR(status1B5!AK80="",AJ$7="No aplica"),0,SUM('BOULEVARD 5'!$K78:AM78)-$AP385)</f>
        <v>-204930</v>
      </c>
      <c r="AK385" s="716">
        <f>IF(OR(status1B5!AL80="",AK$7="No aplica"),0,SUM('BOULEVARD 5'!$K78:AN78)-$AP385)</f>
        <v>-186300</v>
      </c>
      <c r="AL385" s="716">
        <f>IF(OR(status1B5!AM80="",AL$7="No aplica"),0,SUM('BOULEVARD 5'!$K78:AO78)-$AP385)</f>
        <v>-167670</v>
      </c>
      <c r="AM385" s="716">
        <f>IF(OR(status1B5!AN80="",AM$7="No aplica"),0,SUM('BOULEVARD 5'!$K78:AP78)-$AP385)</f>
        <v>-149040</v>
      </c>
      <c r="AN385" s="716">
        <f>IF(OR(status1B5!AO80="",AN$7="No aplica"),0,SUM('BOULEVARD 5'!$K78:AQ78)-$AP385)</f>
        <v>0</v>
      </c>
      <c r="AO385" s="716">
        <f>IF(OR(status1B5!AP80="",AO$7="No aplica"),0,SUM('BOULEVARD 5'!$K78:AS78)-$AP385)</f>
        <v>0</v>
      </c>
      <c r="AP385" s="717">
        <f>'BOULEVARD PPTO'!BC73</f>
        <v>238560</v>
      </c>
      <c r="AQ385" s="717">
        <f>'BOULEVARD 5'!AT78</f>
        <v>145410</v>
      </c>
      <c r="AR385" s="717">
        <f t="shared" si="104"/>
        <v>-93150</v>
      </c>
      <c r="AS385" s="717"/>
      <c r="AT385" s="581"/>
    </row>
    <row r="386" spans="1:46" ht="13.15" customHeight="1" outlineLevel="1" x14ac:dyDescent="0.25">
      <c r="A386" s="700">
        <f t="shared" si="102"/>
        <v>0</v>
      </c>
      <c r="B386" s="564">
        <f t="shared" ref="B386:G386" si="111">B81</f>
        <v>503</v>
      </c>
      <c r="C386" s="564" t="str">
        <f t="shared" si="111"/>
        <v>B4</v>
      </c>
      <c r="D386" s="564">
        <f t="shared" si="111"/>
        <v>0</v>
      </c>
      <c r="E386" s="564" t="str">
        <f t="shared" si="111"/>
        <v>Antonio Rada</v>
      </c>
      <c r="F386" s="581" t="str">
        <f t="shared" si="111"/>
        <v>David Eduardo Orellana Rivera</v>
      </c>
      <c r="G386" s="566">
        <f t="shared" si="111"/>
        <v>45798</v>
      </c>
      <c r="H386" s="716">
        <f>IF(OR(status1B5!I81="",H$7="No aplica"),0,SUM('BOULEVARD 5'!$K79:K79)-$AP386)</f>
        <v>0</v>
      </c>
      <c r="I386" s="716">
        <f>IF(OR(status1B5!J81="",I$7="No aplica"),0,SUM('BOULEVARD 5'!$K79:L79)-$AP386)</f>
        <v>0</v>
      </c>
      <c r="J386" s="716">
        <f>IF(OR(status1B5!K81="",J$7="No aplica"),0,SUM('BOULEVARD 5'!$K79:M79)-$AP386)</f>
        <v>0</v>
      </c>
      <c r="K386" s="716">
        <f>IF(OR(status1B5!L81="",K$7="No aplica"),0,SUM('BOULEVARD 5'!$K79:N79)-$AP386)</f>
        <v>0</v>
      </c>
      <c r="L386" s="716">
        <f>IF(OR(status1B5!M81="",L$7="No aplica"),0,SUM('BOULEVARD 5'!$K79:O79)-$AP386)</f>
        <v>0</v>
      </c>
      <c r="M386" s="716">
        <f>IF(OR(status1B5!N81="",M$7="No aplica"),0,SUM('BOULEVARD 5'!$K79:P79)-$AP386)</f>
        <v>0</v>
      </c>
      <c r="N386" s="716">
        <f>IF(OR(status1B5!O81="",N$7="No aplica"),0,SUM('BOULEVARD 5'!$K79:Q79)-$AP386)</f>
        <v>0</v>
      </c>
      <c r="O386" s="716">
        <f>IF(OR(status1B5!P81="",O$7="No aplica"),0,SUM('BOULEVARD 5'!$K79:R79)-$AP386)</f>
        <v>0</v>
      </c>
      <c r="P386" s="716">
        <f>IF(OR(status1B5!Q81="",P$7="No aplica"),0,SUM('BOULEVARD 5'!$K79:S79)-$AP386)</f>
        <v>0</v>
      </c>
      <c r="Q386" s="716">
        <f>IF(OR(status1B5!R81="",Q$7="No aplica"),0,SUM('BOULEVARD 5'!$K79:T79)-$AP386)</f>
        <v>0</v>
      </c>
      <c r="R386" s="716">
        <f>IF(OR(status1B5!S81="",R$7="No aplica"),0,SUM('BOULEVARD 5'!$K79:U79)-$AP386)</f>
        <v>0</v>
      </c>
      <c r="S386" s="716">
        <f>IF(OR(status1B5!T81="",S$7="No aplica"),0,SUM('BOULEVARD 5'!$K79:V79)-$AP386)</f>
        <v>0</v>
      </c>
      <c r="T386" s="716">
        <f>IF(OR(status1B5!U81="",T$7="No aplica"),0,SUM('BOULEVARD 5'!$K79:W79)-$AP386)</f>
        <v>0</v>
      </c>
      <c r="U386" s="716">
        <f>IF(OR(status1B5!V81="",U$7="No aplica"),0,SUM('BOULEVARD 5'!$K79:X79)-$AP386)</f>
        <v>0</v>
      </c>
      <c r="V386" s="716">
        <f>IF(OR(status1B5!W81="",V$7="No aplica"),0,SUM('BOULEVARD 5'!$K79:Y79)-$AP386)</f>
        <v>0</v>
      </c>
      <c r="W386" s="716">
        <f>IF(OR(status1B5!X81="",W$7="No aplica"),0,SUM('BOULEVARD 5'!$K79:Z79)-$AP386)</f>
        <v>0</v>
      </c>
      <c r="X386" s="716">
        <f>IF(OR(status1B5!Y81="",X$7="No aplica"),0,SUM('BOULEVARD 5'!$K79:AA79)-$AP386)</f>
        <v>0</v>
      </c>
      <c r="Y386" s="716">
        <f>IF(OR(status1B5!Z81="",Y$7="No aplica"),0,SUM('BOULEVARD 5'!$K79:AB79)-$AP386)</f>
        <v>0</v>
      </c>
      <c r="Z386" s="716">
        <f>IF(OR(status1B5!AA81="",Z$7="No aplica"),0,SUM('BOULEVARD 5'!$K79:AC79)-$AP386)</f>
        <v>0</v>
      </c>
      <c r="AA386" s="716">
        <f>IF(OR(status1B5!AB81="",AA$7="No aplica"),0,SUM('BOULEVARD 5'!$K79:AD79)-$AP386)</f>
        <v>0</v>
      </c>
      <c r="AB386" s="716">
        <f>IF(OR(status1B5!AC81="",AB$7="No aplica"),0,SUM('BOULEVARD 5'!$K79:AE79)-$AP386)</f>
        <v>0</v>
      </c>
      <c r="AC386" s="716">
        <f>IF(OR(status1B5!AD81="",AC$7="No aplica"),0,SUM('BOULEVARD 5'!$K79:AF79)-$AP386)</f>
        <v>0</v>
      </c>
      <c r="AD386" s="716">
        <f>IF(OR(status1B5!AE81="",AD$7="No aplica"),0,SUM('BOULEVARD 5'!$K79:AG79)-$AP386)</f>
        <v>0</v>
      </c>
      <c r="AE386" s="716">
        <f>IF(OR(status1B5!AF81="",AE$7="No aplica"),0,SUM('BOULEVARD 5'!$K79:AH79)-$AP386)</f>
        <v>0</v>
      </c>
      <c r="AF386" s="716">
        <f>IF(OR(status1B5!AG81="",AF$7="No aplica"),0,SUM('BOULEVARD 5'!$K79:AI79)-$AP386)</f>
        <v>0</v>
      </c>
      <c r="AG386" s="716">
        <f>IF(OR(status1B5!AH81="",AG$7="No aplica"),0,SUM('BOULEVARD 5'!$K79:AJ79)-$AP386)</f>
        <v>0</v>
      </c>
      <c r="AH386" s="716">
        <f>IF(OR(status1B5!AI81="",AH$7="No aplica"),0,SUM('BOULEVARD 5'!$K79:AK79)-$AP386)</f>
        <v>-238562.1</v>
      </c>
      <c r="AI386" s="716">
        <f>IF(OR(status1B5!AJ81="",AI$7="No aplica"),0,SUM('BOULEVARD 5'!$K79:AL79)-$AP386)</f>
        <v>-230668.1</v>
      </c>
      <c r="AJ386" s="716">
        <f>IF(OR(status1B5!AK81="",AJ$7="No aplica"),0,SUM('BOULEVARD 5'!$K79:AM79)-$AP386)</f>
        <v>-222774.1</v>
      </c>
      <c r="AK386" s="716">
        <f>IF(OR(status1B5!AL81="",AK$7="No aplica"),0,SUM('BOULEVARD 5'!$K79:AN79)-$AP386)</f>
        <v>-214880.1</v>
      </c>
      <c r="AL386" s="716">
        <f>IF(OR(status1B5!AM81="",AL$7="No aplica"),0,SUM('BOULEVARD 5'!$K79:AO79)-$AP386)</f>
        <v>-206986.1</v>
      </c>
      <c r="AM386" s="716">
        <f>IF(OR(status1B5!AN81="",AM$7="No aplica"),0,SUM('BOULEVARD 5'!$K79:AP79)-$AP386)</f>
        <v>-206986.1</v>
      </c>
      <c r="AN386" s="716">
        <f>IF(OR(status1B5!AO81="",AN$7="No aplica"),0,SUM('BOULEVARD 5'!$K79:AQ79)-$AP386)</f>
        <v>0</v>
      </c>
      <c r="AO386" s="716">
        <f>IF(OR(status1B5!AP81="",AO$7="No aplica"),0,SUM('BOULEVARD 5'!$K79:AS79)-$AP386)</f>
        <v>0</v>
      </c>
      <c r="AP386" s="717">
        <f>'BOULEVARD PPTO'!BC74</f>
        <v>248562.1</v>
      </c>
      <c r="AQ386" s="717">
        <f>'BOULEVARD 5'!AT79</f>
        <v>65258</v>
      </c>
      <c r="AR386" s="717">
        <f t="shared" si="104"/>
        <v>-183304.1</v>
      </c>
      <c r="AS386" s="717"/>
      <c r="AT386" s="581"/>
    </row>
    <row r="387" spans="1:46" ht="13.15" customHeight="1" outlineLevel="1" x14ac:dyDescent="0.25">
      <c r="A387" s="700">
        <f t="shared" si="102"/>
        <v>0</v>
      </c>
      <c r="B387" s="564">
        <f t="shared" ref="B387:G387" si="112">B82</f>
        <v>504</v>
      </c>
      <c r="C387" s="564" t="str">
        <f t="shared" si="112"/>
        <v>B3</v>
      </c>
      <c r="D387" s="564">
        <f t="shared" si="112"/>
        <v>0</v>
      </c>
      <c r="E387" s="564" t="str">
        <f t="shared" si="112"/>
        <v>Antonio Rada</v>
      </c>
      <c r="F387" s="581" t="str">
        <f t="shared" si="112"/>
        <v>Jaquelyn Andrea España Siliezar</v>
      </c>
      <c r="G387" s="566">
        <f t="shared" si="112"/>
        <v>45788</v>
      </c>
      <c r="H387" s="716">
        <f>IF(OR(status1B5!I82="",H$7="No aplica"),0,SUM('BOULEVARD 5'!$K80:K80)-$AP387)</f>
        <v>0</v>
      </c>
      <c r="I387" s="716">
        <f>IF(OR(status1B5!J82="",I$7="No aplica"),0,SUM('BOULEVARD 5'!$K80:L80)-$AP387)</f>
        <v>0</v>
      </c>
      <c r="J387" s="716">
        <f>IF(OR(status1B5!K82="",J$7="No aplica"),0,SUM('BOULEVARD 5'!$K80:M80)-$AP387)</f>
        <v>0</v>
      </c>
      <c r="K387" s="716">
        <f>IF(OR(status1B5!L82="",K$7="No aplica"),0,SUM('BOULEVARD 5'!$K80:N80)-$AP387)</f>
        <v>0</v>
      </c>
      <c r="L387" s="716">
        <f>IF(OR(status1B5!M82="",L$7="No aplica"),0,SUM('BOULEVARD 5'!$K80:O80)-$AP387)</f>
        <v>0</v>
      </c>
      <c r="M387" s="716">
        <f>IF(OR(status1B5!N82="",M$7="No aplica"),0,SUM('BOULEVARD 5'!$K80:P80)-$AP387)</f>
        <v>0</v>
      </c>
      <c r="N387" s="716">
        <f>IF(OR(status1B5!O82="",N$7="No aplica"),0,SUM('BOULEVARD 5'!$K80:Q80)-$AP387)</f>
        <v>0</v>
      </c>
      <c r="O387" s="716">
        <f>IF(OR(status1B5!P82="",O$7="No aplica"),0,SUM('BOULEVARD 5'!$K80:R80)-$AP387)</f>
        <v>0</v>
      </c>
      <c r="P387" s="716">
        <f>IF(OR(status1B5!Q82="",P$7="No aplica"),0,SUM('BOULEVARD 5'!$K80:S80)-$AP387)</f>
        <v>0</v>
      </c>
      <c r="Q387" s="716">
        <f>IF(OR(status1B5!R82="",Q$7="No aplica"),0,SUM('BOULEVARD 5'!$K80:T80)-$AP387)</f>
        <v>0</v>
      </c>
      <c r="R387" s="716">
        <f>IF(OR(status1B5!S82="",R$7="No aplica"),0,SUM('BOULEVARD 5'!$K80:U80)-$AP387)</f>
        <v>0</v>
      </c>
      <c r="S387" s="716">
        <f>IF(OR(status1B5!T82="",S$7="No aplica"),0,SUM('BOULEVARD 5'!$K80:V80)-$AP387)</f>
        <v>0</v>
      </c>
      <c r="T387" s="716">
        <f>IF(OR(status1B5!U82="",T$7="No aplica"),0,SUM('BOULEVARD 5'!$K80:W80)-$AP387)</f>
        <v>0</v>
      </c>
      <c r="U387" s="716">
        <f>IF(OR(status1B5!V82="",U$7="No aplica"),0,SUM('BOULEVARD 5'!$K80:X80)-$AP387)</f>
        <v>0</v>
      </c>
      <c r="V387" s="716">
        <f>IF(OR(status1B5!W82="",V$7="No aplica"),0,SUM('BOULEVARD 5'!$K80:Y80)-$AP387)</f>
        <v>0</v>
      </c>
      <c r="W387" s="716">
        <f>IF(OR(status1B5!X82="",W$7="No aplica"),0,SUM('BOULEVARD 5'!$K80:Z80)-$AP387)</f>
        <v>0</v>
      </c>
      <c r="X387" s="716">
        <f>IF(OR(status1B5!Y82="",X$7="No aplica"),0,SUM('BOULEVARD 5'!$K80:AA80)-$AP387)</f>
        <v>0</v>
      </c>
      <c r="Y387" s="716">
        <f>IF(OR(status1B5!Z82="",Y$7="No aplica"),0,SUM('BOULEVARD 5'!$K80:AB80)-$AP387)</f>
        <v>0</v>
      </c>
      <c r="Z387" s="716">
        <f>IF(OR(status1B5!AA82="",Z$7="No aplica"),0,SUM('BOULEVARD 5'!$K80:AC80)-$AP387)</f>
        <v>0</v>
      </c>
      <c r="AA387" s="716">
        <f>IF(OR(status1B5!AB82="",AA$7="No aplica"),0,SUM('BOULEVARD 5'!$K80:AD80)-$AP387)</f>
        <v>0</v>
      </c>
      <c r="AB387" s="716">
        <f>IF(OR(status1B5!AC82="",AB$7="No aplica"),0,SUM('BOULEVARD 5'!$K80:AE80)-$AP387)</f>
        <v>0</v>
      </c>
      <c r="AC387" s="716">
        <f>IF(OR(status1B5!AD82="",AC$7="No aplica"),0,SUM('BOULEVARD 5'!$K80:AF80)-$AP387)</f>
        <v>0</v>
      </c>
      <c r="AD387" s="716">
        <f>IF(OR(status1B5!AE82="",AD$7="No aplica"),0,SUM('BOULEVARD 5'!$K80:AG80)-$AP387)</f>
        <v>0</v>
      </c>
      <c r="AE387" s="716">
        <f>IF(OR(status1B5!AF82="",AE$7="No aplica"),0,SUM('BOULEVARD 5'!$K80:AH80)-$AP387)</f>
        <v>0</v>
      </c>
      <c r="AF387" s="716">
        <f>IF(OR(status1B5!AG82="",AF$7="No aplica"),0,SUM('BOULEVARD 5'!$K80:AI80)-$AP387)</f>
        <v>0</v>
      </c>
      <c r="AG387" s="716">
        <f>IF(OR(status1B5!AH82="",AG$7="No aplica"),0,SUM('BOULEVARD 5'!$K80:AJ80)-$AP387)</f>
        <v>0</v>
      </c>
      <c r="AH387" s="716">
        <f>IF(OR(status1B5!AI82="",AH$7="No aplica"),0,SUM('BOULEVARD 5'!$K80:AK80)-$AP387)</f>
        <v>-94728</v>
      </c>
      <c r="AI387" s="716">
        <f>IF(OR(status1B5!AJ82="",AI$7="No aplica"),0,SUM('BOULEVARD 5'!$K80:AL80)-$AP387)</f>
        <v>-86834</v>
      </c>
      <c r="AJ387" s="716">
        <f>IF(OR(status1B5!AK82="",AJ$7="No aplica"),0,SUM('BOULEVARD 5'!$K80:AM80)-$AP387)</f>
        <v>-78940</v>
      </c>
      <c r="AK387" s="716">
        <f>IF(OR(status1B5!AL82="",AK$7="No aplica"),0,SUM('BOULEVARD 5'!$K80:AN80)-$AP387)</f>
        <v>-71046</v>
      </c>
      <c r="AL387" s="716">
        <f>IF(OR(status1B5!AM82="",AL$7="No aplica"),0,SUM('BOULEVARD 5'!$K80:AO80)-$AP387)</f>
        <v>-63152</v>
      </c>
      <c r="AM387" s="716">
        <f>IF(OR(status1B5!AN82="",AM$7="No aplica"),0,SUM('BOULEVARD 5'!$K80:AP80)-$AP387)</f>
        <v>-55258</v>
      </c>
      <c r="AN387" s="716">
        <f>IF(OR(status1B5!AO82="",AN$7="No aplica"),0,SUM('BOULEVARD 5'!$K80:AQ80)-$AP387)</f>
        <v>0</v>
      </c>
      <c r="AO387" s="716">
        <f>IF(OR(status1B5!AP82="",AO$7="No aplica"),0,SUM('BOULEVARD 5'!$K80:AS80)-$AP387)</f>
        <v>0</v>
      </c>
      <c r="AP387" s="717">
        <f>'BOULEVARD PPTO'!BC75</f>
        <v>104728</v>
      </c>
      <c r="AQ387" s="717">
        <f>'BOULEVARD 5'!AT80</f>
        <v>73152</v>
      </c>
      <c r="AR387" s="717">
        <f t="shared" si="104"/>
        <v>-31576</v>
      </c>
      <c r="AS387" s="717"/>
      <c r="AT387" s="581"/>
    </row>
    <row r="388" spans="1:46" ht="13.15" customHeight="1" outlineLevel="1" x14ac:dyDescent="0.25">
      <c r="A388" s="700">
        <f t="shared" si="102"/>
        <v>0</v>
      </c>
      <c r="B388" s="564">
        <f t="shared" ref="B388:G388" si="113">B83</f>
        <v>505</v>
      </c>
      <c r="C388" s="564" t="str">
        <f t="shared" si="113"/>
        <v>D9</v>
      </c>
      <c r="D388" s="564">
        <f t="shared" si="113"/>
        <v>0</v>
      </c>
      <c r="E388" s="564" t="str">
        <f t="shared" si="113"/>
        <v>Antonio Rada</v>
      </c>
      <c r="F388" s="581" t="str">
        <f t="shared" si="113"/>
        <v>Nancy Eugenia Cisneros Sanchez De Davila</v>
      </c>
      <c r="G388" s="566">
        <f t="shared" si="113"/>
        <v>45503</v>
      </c>
      <c r="H388" s="716">
        <f>IF(OR(status1B5!I83="",H$7="No aplica"),0,SUM('BOULEVARD 5'!$K81:K81)-$AP388)</f>
        <v>0</v>
      </c>
      <c r="I388" s="716">
        <f>IF(OR(status1B5!J83="",I$7="No aplica"),0,SUM('BOULEVARD 5'!$K81:L81)-$AP388)</f>
        <v>0</v>
      </c>
      <c r="J388" s="716">
        <f>IF(OR(status1B5!K83="",J$7="No aplica"),0,SUM('BOULEVARD 5'!$K81:M81)-$AP388)</f>
        <v>0</v>
      </c>
      <c r="K388" s="716">
        <f>IF(OR(status1B5!L83="",K$7="No aplica"),0,SUM('BOULEVARD 5'!$K81:N81)-$AP388)</f>
        <v>0</v>
      </c>
      <c r="L388" s="716">
        <f>IF(OR(status1B5!M83="",L$7="No aplica"),0,SUM('BOULEVARD 5'!$K81:O81)-$AP388)</f>
        <v>0</v>
      </c>
      <c r="M388" s="716">
        <f>IF(OR(status1B5!N83="",M$7="No aplica"),0,SUM('BOULEVARD 5'!$K81:P81)-$AP388)</f>
        <v>0</v>
      </c>
      <c r="N388" s="716">
        <f>IF(OR(status1B5!O83="",N$7="No aplica"),0,SUM('BOULEVARD 5'!$K81:Q81)-$AP388)</f>
        <v>0</v>
      </c>
      <c r="O388" s="716">
        <f>IF(OR(status1B5!P83="",O$7="No aplica"),0,SUM('BOULEVARD 5'!$K81:R81)-$AP388)</f>
        <v>0</v>
      </c>
      <c r="P388" s="716">
        <f>IF(OR(status1B5!Q83="",P$7="No aplica"),0,SUM('BOULEVARD 5'!$K81:S81)-$AP388)</f>
        <v>0</v>
      </c>
      <c r="Q388" s="716">
        <f>IF(OR(status1B5!R83="",Q$7="No aplica"),0,SUM('BOULEVARD 5'!$K81:T81)-$AP388)</f>
        <v>0</v>
      </c>
      <c r="R388" s="716">
        <f>IF(OR(status1B5!S83="",R$7="No aplica"),0,SUM('BOULEVARD 5'!$K81:U81)-$AP388)</f>
        <v>0</v>
      </c>
      <c r="S388" s="716">
        <f>IF(OR(status1B5!T83="",S$7="No aplica"),0,SUM('BOULEVARD 5'!$K81:V81)-$AP388)</f>
        <v>0</v>
      </c>
      <c r="T388" s="716">
        <f>IF(OR(status1B5!U83="",T$7="No aplica"),0,SUM('BOULEVARD 5'!$K81:W81)-$AP388)</f>
        <v>0</v>
      </c>
      <c r="U388" s="716">
        <f>IF(OR(status1B5!V83="",U$7="No aplica"),0,SUM('BOULEVARD 5'!$K81:X81)-$AP388)</f>
        <v>0</v>
      </c>
      <c r="V388" s="716">
        <f>IF(OR(status1B5!W83="",V$7="No aplica"),0,SUM('BOULEVARD 5'!$K81:Y81)-$AP388)</f>
        <v>0</v>
      </c>
      <c r="W388" s="716">
        <f>IF(OR(status1B5!X83="",W$7="No aplica"),0,SUM('BOULEVARD 5'!$K81:Z81)-$AP388)</f>
        <v>0</v>
      </c>
      <c r="X388" s="716">
        <f>IF(OR(status1B5!Y83="",X$7="No aplica"),0,SUM('BOULEVARD 5'!$K81:AA81)-$AP388)</f>
        <v>-129967</v>
      </c>
      <c r="Y388" s="716">
        <f>IF(OR(status1B5!Z83="",Y$7="No aplica"),0,SUM('BOULEVARD 5'!$K81:AB81)-$AP388)</f>
        <v>-122322</v>
      </c>
      <c r="Z388" s="716">
        <f>IF(OR(status1B5!AA83="",Z$7="No aplica"),0,SUM('BOULEVARD 5'!$K81:AC81)-$AP388)</f>
        <v>-114677</v>
      </c>
      <c r="AA388" s="716">
        <f>IF(OR(status1B5!AB83="",AA$7="No aplica"),0,SUM('BOULEVARD 5'!$K81:AD81)-$AP388)</f>
        <v>-107032</v>
      </c>
      <c r="AB388" s="716">
        <f>IF(OR(status1B5!AC83="",AB$7="No aplica"),0,SUM('BOULEVARD 5'!$K81:AE81)-$AP388)</f>
        <v>-99387</v>
      </c>
      <c r="AC388" s="716">
        <f>IF(OR(status1B5!AD83="",AC$7="No aplica"),0,SUM('BOULEVARD 5'!$K81:AF81)-$AP388)</f>
        <v>-91742</v>
      </c>
      <c r="AD388" s="716">
        <f>IF(OR(status1B5!AE83="",AD$7="No aplica"),0,SUM('BOULEVARD 5'!$K81:AG81)-$AP388)</f>
        <v>-84097</v>
      </c>
      <c r="AE388" s="716">
        <f>IF(OR(status1B5!AF83="",AE$7="No aplica"),0,SUM('BOULEVARD 5'!$K81:AH81)-$AP388)</f>
        <v>-76452</v>
      </c>
      <c r="AF388" s="716">
        <f>IF(OR(status1B5!AG83="",AF$7="No aplica"),0,SUM('BOULEVARD 5'!$K81:AI81)-$AP388)</f>
        <v>-68807</v>
      </c>
      <c r="AG388" s="716">
        <f>IF(OR(status1B5!AH83="",AG$7="No aplica"),0,SUM('BOULEVARD 5'!$K81:AJ81)-$AP388)</f>
        <v>-61162</v>
      </c>
      <c r="AH388" s="716">
        <f>IF(OR(status1B5!AI83="",AH$7="No aplica"),0,SUM('BOULEVARD 5'!$K81:AK81)-$AP388)</f>
        <v>-53517</v>
      </c>
      <c r="AI388" s="716">
        <f>IF(OR(status1B5!AJ83="",AI$7="No aplica"),0,SUM('BOULEVARD 5'!$K81:AL81)-$AP388)</f>
        <v>-45872</v>
      </c>
      <c r="AJ388" s="716">
        <f>IF(OR(status1B5!AK83="",AJ$7="No aplica"),0,SUM('BOULEVARD 5'!$K81:AM81)-$AP388)</f>
        <v>-38227</v>
      </c>
      <c r="AK388" s="716">
        <f>IF(OR(status1B5!AL83="",AK$7="No aplica"),0,SUM('BOULEVARD 5'!$K81:AN81)-$AP388)</f>
        <v>-38227</v>
      </c>
      <c r="AL388" s="716">
        <f>IF(OR(status1B5!AM83="",AL$7="No aplica"),0,SUM('BOULEVARD 5'!$K81:AO81)-$AP388)</f>
        <v>-22937</v>
      </c>
      <c r="AM388" s="716">
        <f>IF(OR(status1B5!AN83="",AM$7="No aplica"),0,SUM('BOULEVARD 5'!$K81:AP81)-$AP388)</f>
        <v>-15292</v>
      </c>
      <c r="AN388" s="716">
        <f>IF(OR(status1B5!AO83="",AN$7="No aplica"),0,SUM('BOULEVARD 5'!$K81:AQ81)-$AP388)</f>
        <v>0</v>
      </c>
      <c r="AO388" s="716">
        <f>IF(OR(status1B5!AP83="",AO$7="No aplica"),0,SUM('BOULEVARD 5'!$K81:AS81)-$AP388)</f>
        <v>0</v>
      </c>
      <c r="AP388" s="717">
        <f>'BOULEVARD PPTO'!BC76</f>
        <v>139967</v>
      </c>
      <c r="AQ388" s="717">
        <f>'BOULEVARD 5'!AT81</f>
        <v>147610</v>
      </c>
      <c r="AR388" s="717">
        <f t="shared" si="104"/>
        <v>7643</v>
      </c>
      <c r="AS388" s="717"/>
      <c r="AT388" s="581"/>
    </row>
    <row r="389" spans="1:46" ht="13.15" customHeight="1" outlineLevel="1" x14ac:dyDescent="0.25">
      <c r="A389" s="700">
        <f t="shared" si="102"/>
        <v>0</v>
      </c>
      <c r="B389" s="564">
        <f t="shared" ref="B389:G389" si="114">B84</f>
        <v>506</v>
      </c>
      <c r="C389" s="564" t="str">
        <f t="shared" si="114"/>
        <v>D8</v>
      </c>
      <c r="D389" s="564">
        <f t="shared" si="114"/>
        <v>0</v>
      </c>
      <c r="E389" s="564" t="str">
        <f t="shared" si="114"/>
        <v>Antonio Rada</v>
      </c>
      <c r="F389" s="581" t="str">
        <f t="shared" si="114"/>
        <v>Carlos Eduardo Miranda Y Nancy Patricia Medina</v>
      </c>
      <c r="G389" s="566">
        <f t="shared" si="114"/>
        <v>45580</v>
      </c>
      <c r="H389" s="716">
        <f>IF(OR(status1B5!I84="",H$7="No aplica"),0,SUM('BOULEVARD 5'!$K82:K82)-$AP389)</f>
        <v>0</v>
      </c>
      <c r="I389" s="716">
        <f>IF(OR(status1B5!J84="",I$7="No aplica"),0,SUM('BOULEVARD 5'!$K82:L82)-$AP389)</f>
        <v>0</v>
      </c>
      <c r="J389" s="716">
        <f>IF(OR(status1B5!K84="",J$7="No aplica"),0,SUM('BOULEVARD 5'!$K82:M82)-$AP389)</f>
        <v>0</v>
      </c>
      <c r="K389" s="716">
        <f>IF(OR(status1B5!L84="",K$7="No aplica"),0,SUM('BOULEVARD 5'!$K82:N82)-$AP389)</f>
        <v>0</v>
      </c>
      <c r="L389" s="716">
        <f>IF(OR(status1B5!M84="",L$7="No aplica"),0,SUM('BOULEVARD 5'!$K82:O82)-$AP389)</f>
        <v>0</v>
      </c>
      <c r="M389" s="716">
        <f>IF(OR(status1B5!N84="",M$7="No aplica"),0,SUM('BOULEVARD 5'!$K82:P82)-$AP389)</f>
        <v>0</v>
      </c>
      <c r="N389" s="716">
        <f>IF(OR(status1B5!O84="",N$7="No aplica"),0,SUM('BOULEVARD 5'!$K82:Q82)-$AP389)</f>
        <v>0</v>
      </c>
      <c r="O389" s="716">
        <f>IF(OR(status1B5!P84="",O$7="No aplica"),0,SUM('BOULEVARD 5'!$K82:R82)-$AP389)</f>
        <v>0</v>
      </c>
      <c r="P389" s="716">
        <f>IF(OR(status1B5!Q84="",P$7="No aplica"),0,SUM('BOULEVARD 5'!$K82:S82)-$AP389)</f>
        <v>0</v>
      </c>
      <c r="Q389" s="716">
        <f>IF(OR(status1B5!R84="",Q$7="No aplica"),0,SUM('BOULEVARD 5'!$K82:T82)-$AP389)</f>
        <v>0</v>
      </c>
      <c r="R389" s="716">
        <f>IF(OR(status1B5!S84="",R$7="No aplica"),0,SUM('BOULEVARD 5'!$K82:U82)-$AP389)</f>
        <v>0</v>
      </c>
      <c r="S389" s="716">
        <f>IF(OR(status1B5!T84="",S$7="No aplica"),0,SUM('BOULEVARD 5'!$K82:V82)-$AP389)</f>
        <v>0</v>
      </c>
      <c r="T389" s="716">
        <f>IF(OR(status1B5!U84="",T$7="No aplica"),0,SUM('BOULEVARD 5'!$K82:W82)-$AP389)</f>
        <v>0</v>
      </c>
      <c r="U389" s="716">
        <f>IF(OR(status1B5!V84="",U$7="No aplica"),0,SUM('BOULEVARD 5'!$K82:X82)-$AP389)</f>
        <v>0</v>
      </c>
      <c r="V389" s="716">
        <f>IF(OR(status1B5!W84="",V$7="No aplica"),0,SUM('BOULEVARD 5'!$K82:Y82)-$AP389)</f>
        <v>0</v>
      </c>
      <c r="W389" s="716">
        <f>IF(OR(status1B5!X84="",W$7="No aplica"),0,SUM('BOULEVARD 5'!$K82:Z82)-$AP389)</f>
        <v>0</v>
      </c>
      <c r="X389" s="716">
        <f>IF(OR(status1B5!Y84="",X$7="No aplica"),0,SUM('BOULEVARD 5'!$K82:AA82)-$AP389)</f>
        <v>0</v>
      </c>
      <c r="Y389" s="716">
        <f>IF(OR(status1B5!Z84="",Y$7="No aplica"),0,SUM('BOULEVARD 5'!$K82:AB82)-$AP389)</f>
        <v>0</v>
      </c>
      <c r="Z389" s="716">
        <f>IF(OR(status1B5!AA84="",Z$7="No aplica"),0,SUM('BOULEVARD 5'!$K82:AC82)-$AP389)</f>
        <v>0</v>
      </c>
      <c r="AA389" s="716">
        <f>IF(OR(status1B5!AB84="",AA$7="No aplica"),0,SUM('BOULEVARD 5'!$K82:AD82)-$AP389)</f>
        <v>-128595</v>
      </c>
      <c r="AB389" s="716">
        <f>IF(OR(status1B5!AC84="",AB$7="No aplica"),0,SUM('BOULEVARD 5'!$K82:AE82)-$AP389)</f>
        <v>-119455</v>
      </c>
      <c r="AC389" s="716">
        <f>IF(OR(status1B5!AD84="",AC$7="No aplica"),0,SUM('BOULEVARD 5'!$K82:AF82)-$AP389)</f>
        <v>-110315</v>
      </c>
      <c r="AD389" s="716">
        <f>IF(OR(status1B5!AE84="",AD$7="No aplica"),0,SUM('BOULEVARD 5'!$K82:AG82)-$AP389)</f>
        <v>-110315</v>
      </c>
      <c r="AE389" s="716">
        <f>IF(OR(status1B5!AF84="",AE$7="No aplica"),0,SUM('BOULEVARD 5'!$K82:AH82)-$AP389)</f>
        <v>-92035</v>
      </c>
      <c r="AF389" s="716">
        <f>IF(OR(status1B5!AG84="",AF$7="No aplica"),0,SUM('BOULEVARD 5'!$K82:AI82)-$AP389)</f>
        <v>-82895</v>
      </c>
      <c r="AG389" s="716">
        <f>IF(OR(status1B5!AH84="",AG$7="No aplica"),0,SUM('BOULEVARD 5'!$K82:AJ82)-$AP389)</f>
        <v>-73755</v>
      </c>
      <c r="AH389" s="716">
        <f>IF(OR(status1B5!AI84="",AH$7="No aplica"),0,SUM('BOULEVARD 5'!$K82:AK82)-$AP389)</f>
        <v>-64615</v>
      </c>
      <c r="AI389" s="716">
        <f>IF(OR(status1B5!AJ84="",AI$7="No aplica"),0,SUM('BOULEVARD 5'!$K82:AL82)-$AP389)</f>
        <v>-64615</v>
      </c>
      <c r="AJ389" s="716">
        <f>IF(OR(status1B5!AK84="",AJ$7="No aplica"),0,SUM('BOULEVARD 5'!$K82:AM82)-$AP389)</f>
        <v>-46335</v>
      </c>
      <c r="AK389" s="716">
        <f>IF(OR(status1B5!AL84="",AK$7="No aplica"),0,SUM('BOULEVARD 5'!$K82:AN82)-$AP389)</f>
        <v>-37195</v>
      </c>
      <c r="AL389" s="716">
        <f>IF(OR(status1B5!AM84="",AL$7="No aplica"),0,SUM('BOULEVARD 5'!$K82:AO82)-$AP389)</f>
        <v>-28055</v>
      </c>
      <c r="AM389" s="716">
        <f>IF(OR(status1B5!AN84="",AM$7="No aplica"),0,SUM('BOULEVARD 5'!$K82:AP82)-$AP389)</f>
        <v>-18915</v>
      </c>
      <c r="AN389" s="716">
        <f>IF(OR(status1B5!AO84="",AN$7="No aplica"),0,SUM('BOULEVARD 5'!$K82:AQ82)-$AP389)</f>
        <v>0</v>
      </c>
      <c r="AO389" s="716">
        <f>IF(OR(status1B5!AP84="",AO$7="No aplica"),0,SUM('BOULEVARD 5'!$K82:AS82)-$AP389)</f>
        <v>0</v>
      </c>
      <c r="AP389" s="717">
        <f>'BOULEVARD PPTO'!BC77</f>
        <v>138595</v>
      </c>
      <c r="AQ389" s="717">
        <f>'BOULEVARD 5'!AT82</f>
        <v>137960</v>
      </c>
      <c r="AR389" s="717">
        <f t="shared" si="104"/>
        <v>-635</v>
      </c>
      <c r="AS389" s="717"/>
      <c r="AT389" s="581"/>
    </row>
    <row r="390" spans="1:46" ht="13.15" customHeight="1" outlineLevel="1" x14ac:dyDescent="0.25">
      <c r="A390" s="700">
        <f t="shared" si="102"/>
        <v>0</v>
      </c>
      <c r="B390" s="564">
        <f t="shared" ref="B390:G390" si="115">B85</f>
        <v>507</v>
      </c>
      <c r="C390" s="564" t="str">
        <f t="shared" si="115"/>
        <v>A12</v>
      </c>
      <c r="D390" s="564">
        <f t="shared" si="115"/>
        <v>0</v>
      </c>
      <c r="E390" s="564" t="str">
        <f t="shared" si="115"/>
        <v>Antonio Rada</v>
      </c>
      <c r="F390" s="581" t="str">
        <f t="shared" si="115"/>
        <v>Osmin Otoniel Oliva Córdova</v>
      </c>
      <c r="G390" s="566">
        <f t="shared" si="115"/>
        <v>45155</v>
      </c>
      <c r="H390" s="716">
        <f>IF(OR(status1B5!I85="",H$7="No aplica"),0,SUM('BOULEVARD 5'!$K83:K83)-$AP390)</f>
        <v>0</v>
      </c>
      <c r="I390" s="716">
        <f>IF(OR(status1B5!J85="",I$7="No aplica"),0,SUM('BOULEVARD 5'!$K83:L83)-$AP390)</f>
        <v>0</v>
      </c>
      <c r="J390" s="716">
        <f>IF(OR(status1B5!K85="",J$7="No aplica"),0,SUM('BOULEVARD 5'!$K83:M83)-$AP390)</f>
        <v>0</v>
      </c>
      <c r="K390" s="716">
        <f>IF(OR(status1B5!L85="",K$7="No aplica"),0,SUM('BOULEVARD 5'!$K83:N83)-$AP390)</f>
        <v>0</v>
      </c>
      <c r="L390" s="716">
        <f>IF(OR(status1B5!M85="",L$7="No aplica"),0,SUM('BOULEVARD 5'!$K83:O83)-$AP390)</f>
        <v>0</v>
      </c>
      <c r="M390" s="716">
        <f>IF(OR(status1B5!N85="",M$7="No aplica"),0,SUM('BOULEVARD 5'!$K83:P83)-$AP390)</f>
        <v>-66300</v>
      </c>
      <c r="N390" s="716">
        <f>IF(OR(status1B5!O85="",N$7="No aplica"),0,SUM('BOULEVARD 5'!$K83:Q83)-$AP390)</f>
        <v>-63648</v>
      </c>
      <c r="O390" s="716">
        <f>IF(OR(status1B5!P85="",O$7="No aplica"),0,SUM('BOULEVARD 5'!$K83:R83)-$AP390)</f>
        <v>-60996</v>
      </c>
      <c r="P390" s="716">
        <f>IF(OR(status1B5!Q85="",P$7="No aplica"),0,SUM('BOULEVARD 5'!$K83:S83)-$AP390)</f>
        <v>-58344</v>
      </c>
      <c r="Q390" s="716">
        <f>IF(OR(status1B5!R85="",Q$7="No aplica"),0,SUM('BOULEVARD 5'!$K83:T83)-$AP390)</f>
        <v>-48092</v>
      </c>
      <c r="R390" s="716">
        <f>IF(OR(status1B5!S85="",R$7="No aplica"),0,SUM('BOULEVARD 5'!$K83:U83)-$AP390)</f>
        <v>-48092</v>
      </c>
      <c r="S390" s="716">
        <f>IF(OR(status1B5!T85="",S$7="No aplica"),0,SUM('BOULEVARD 5'!$K83:V83)-$AP390)</f>
        <v>-45440</v>
      </c>
      <c r="T390" s="716">
        <f>IF(OR(status1B5!U85="",T$7="No aplica"),0,SUM('BOULEVARD 5'!$K83:W83)-$AP390)</f>
        <v>-42788</v>
      </c>
      <c r="U390" s="716">
        <f>IF(OR(status1B5!V85="",U$7="No aplica"),0,SUM('BOULEVARD 5'!$K83:X83)-$AP390)</f>
        <v>-40136</v>
      </c>
      <c r="V390" s="716">
        <f>IF(OR(status1B5!W85="",V$7="No aplica"),0,SUM('BOULEVARD 5'!$K83:Y83)-$AP390)</f>
        <v>-37484</v>
      </c>
      <c r="W390" s="716">
        <f>IF(OR(status1B5!X85="",W$7="No aplica"),0,SUM('BOULEVARD 5'!$K83:Z83)-$AP390)</f>
        <v>-34832</v>
      </c>
      <c r="X390" s="716">
        <f>IF(OR(status1B5!Y85="",X$7="No aplica"),0,SUM('BOULEVARD 5'!$K83:AA83)-$AP390)</f>
        <v>-32180</v>
      </c>
      <c r="Y390" s="716">
        <f>IF(OR(status1B5!Z85="",Y$7="No aplica"),0,SUM('BOULEVARD 5'!$K83:AB83)-$AP390)</f>
        <v>-29528</v>
      </c>
      <c r="Z390" s="716">
        <f>IF(OR(status1B5!AA85="",Z$7="No aplica"),0,SUM('BOULEVARD 5'!$K83:AC83)-$AP390)</f>
        <v>-26876</v>
      </c>
      <c r="AA390" s="716">
        <f>IF(OR(status1B5!AB85="",AA$7="No aplica"),0,SUM('BOULEVARD 5'!$K83:AD83)-$AP390)</f>
        <v>-24224</v>
      </c>
      <c r="AB390" s="716">
        <f>IF(OR(status1B5!AC85="",AB$7="No aplica"),0,SUM('BOULEVARD 5'!$K83:AE83)-$AP390)</f>
        <v>-21572</v>
      </c>
      <c r="AC390" s="716">
        <f>IF(OR(status1B5!AD85="",AC$7="No aplica"),0,SUM('BOULEVARD 5'!$K83:AF83)-$AP390)</f>
        <v>-18920</v>
      </c>
      <c r="AD390" s="716">
        <f>IF(OR(status1B5!AE85="",AD$7="No aplica"),0,SUM('BOULEVARD 5'!$K83:AG83)-$AP390)</f>
        <v>-16268</v>
      </c>
      <c r="AE390" s="716">
        <f>IF(OR(status1B5!AF85="",AE$7="No aplica"),0,SUM('BOULEVARD 5'!$K83:AH83)-$AP390)</f>
        <v>-13616</v>
      </c>
      <c r="AF390" s="716">
        <f>IF(OR(status1B5!AG85="",AF$7="No aplica"),0,SUM('BOULEVARD 5'!$K83:AI83)-$AP390)</f>
        <v>-10964</v>
      </c>
      <c r="AG390" s="716">
        <f>IF(OR(status1B5!AH85="",AG$7="No aplica"),0,SUM('BOULEVARD 5'!$K83:AJ83)-$AP390)</f>
        <v>-8312</v>
      </c>
      <c r="AH390" s="716">
        <f>IF(OR(status1B5!AI85="",AH$7="No aplica"),0,SUM('BOULEVARD 5'!$K83:AK83)-$AP390)</f>
        <v>-5660</v>
      </c>
      <c r="AI390" s="716">
        <f>IF(OR(status1B5!AJ85="",AI$7="No aplica"),0,SUM('BOULEVARD 5'!$K83:AL83)-$AP390)</f>
        <v>-3008</v>
      </c>
      <c r="AJ390" s="716">
        <f>IF(OR(status1B5!AK85="",AJ$7="No aplica"),0,SUM('BOULEVARD 5'!$K83:AM83)-$AP390)</f>
        <v>-356</v>
      </c>
      <c r="AK390" s="716">
        <f>IF(OR(status1B5!AL85="",AK$7="No aplica"),0,SUM('BOULEVARD 5'!$K83:AN83)-$AP390)</f>
        <v>2296</v>
      </c>
      <c r="AL390" s="716">
        <f>IF(OR(status1B5!AM85="",AL$7="No aplica"),0,SUM('BOULEVARD 5'!$K83:AO83)-$AP390)</f>
        <v>4948</v>
      </c>
      <c r="AM390" s="716">
        <f>IF(OR(status1B5!AN85="",AM$7="No aplica"),0,SUM('BOULEVARD 5'!$K83:AP83)-$AP390)</f>
        <v>7600</v>
      </c>
      <c r="AN390" s="716">
        <f>IF(OR(status1B5!AO85="",AN$7="No aplica"),0,SUM('BOULEVARD 5'!$K83:AQ83)-$AP390)</f>
        <v>0</v>
      </c>
      <c r="AO390" s="716">
        <f>IF(OR(status1B5!AP85="",AO$7="No aplica"),0,SUM('BOULEVARD 5'!$K83:AS83)-$AP390)</f>
        <v>0</v>
      </c>
      <c r="AP390" s="717">
        <f>'BOULEVARD PPTO'!BC78</f>
        <v>72300</v>
      </c>
      <c r="AQ390" s="717">
        <f>'BOULEVARD 5'!AT83</f>
        <v>82552</v>
      </c>
      <c r="AR390" s="717">
        <f t="shared" si="104"/>
        <v>10252</v>
      </c>
      <c r="AS390" s="717"/>
      <c r="AT390" s="581"/>
    </row>
    <row r="391" spans="1:46" ht="13.15" customHeight="1" outlineLevel="1" x14ac:dyDescent="0.25">
      <c r="A391" s="700">
        <f t="shared" si="102"/>
        <v>0</v>
      </c>
      <c r="B391" s="564">
        <f t="shared" ref="B391:G391" si="116">B86</f>
        <v>508</v>
      </c>
      <c r="C391" s="564" t="str">
        <f t="shared" si="116"/>
        <v>C6</v>
      </c>
      <c r="D391" s="564">
        <f t="shared" si="116"/>
        <v>0</v>
      </c>
      <c r="E391" s="564" t="str">
        <f t="shared" si="116"/>
        <v>Antonio Rada</v>
      </c>
      <c r="F391" s="581" t="str">
        <f t="shared" si="116"/>
        <v>Evelyn Aida Samayoa San Jose</v>
      </c>
      <c r="G391" s="566">
        <f t="shared" si="116"/>
        <v>45394</v>
      </c>
      <c r="H391" s="716">
        <f>IF(OR(status1B5!I86="",H$7="No aplica"),0,SUM('BOULEVARD 5'!$K84:K84)-$AP391)</f>
        <v>0</v>
      </c>
      <c r="I391" s="716">
        <f>IF(OR(status1B5!J86="",I$7="No aplica"),0,SUM('BOULEVARD 5'!$K84:L84)-$AP391)</f>
        <v>0</v>
      </c>
      <c r="J391" s="716">
        <f>IF(OR(status1B5!K86="",J$7="No aplica"),0,SUM('BOULEVARD 5'!$K84:M84)-$AP391)</f>
        <v>0</v>
      </c>
      <c r="K391" s="716">
        <f>IF(OR(status1B5!L86="",K$7="No aplica"),0,SUM('BOULEVARD 5'!$K84:N84)-$AP391)</f>
        <v>0</v>
      </c>
      <c r="L391" s="716">
        <f>IF(OR(status1B5!M86="",L$7="No aplica"),0,SUM('BOULEVARD 5'!$K84:O84)-$AP391)</f>
        <v>0</v>
      </c>
      <c r="M391" s="716">
        <f>IF(OR(status1B5!N86="",M$7="No aplica"),0,SUM('BOULEVARD 5'!$K84:P84)-$AP391)</f>
        <v>0</v>
      </c>
      <c r="N391" s="716">
        <f>IF(OR(status1B5!O86="",N$7="No aplica"),0,SUM('BOULEVARD 5'!$K84:Q84)-$AP391)</f>
        <v>0</v>
      </c>
      <c r="O391" s="716">
        <f>IF(OR(status1B5!P86="",O$7="No aplica"),0,SUM('BOULEVARD 5'!$K84:R84)-$AP391)</f>
        <v>0</v>
      </c>
      <c r="P391" s="716">
        <f>IF(OR(status1B5!Q86="",P$7="No aplica"),0,SUM('BOULEVARD 5'!$K84:S84)-$AP391)</f>
        <v>0</v>
      </c>
      <c r="Q391" s="716">
        <f>IF(OR(status1B5!R86="",Q$7="No aplica"),0,SUM('BOULEVARD 5'!$K84:T84)-$AP391)</f>
        <v>0</v>
      </c>
      <c r="R391" s="716">
        <f>IF(OR(status1B5!S86="",R$7="No aplica"),0,SUM('BOULEVARD 5'!$K84:U84)-$AP391)</f>
        <v>0</v>
      </c>
      <c r="S391" s="716">
        <f>IF(OR(status1B5!T86="",S$7="No aplica"),0,SUM('BOULEVARD 5'!$K84:V84)-$AP391)</f>
        <v>0</v>
      </c>
      <c r="T391" s="716">
        <f>IF(OR(status1B5!U86="",T$7="No aplica"),0,SUM('BOULEVARD 5'!$K84:W84)-$AP391)</f>
        <v>0</v>
      </c>
      <c r="U391" s="716">
        <f>IF(OR(status1B5!V86="",U$7="No aplica"),0,SUM('BOULEVARD 5'!$K84:X84)-$AP391)</f>
        <v>-110393</v>
      </c>
      <c r="V391" s="716">
        <f>IF(OR(status1B5!W86="",V$7="No aplica"),0,SUM('BOULEVARD 5'!$K84:Y84)-$AP391)</f>
        <v>-103893</v>
      </c>
      <c r="W391" s="716">
        <f>IF(OR(status1B5!X86="",W$7="No aplica"),0,SUM('BOULEVARD 5'!$K84:Z84)-$AP391)</f>
        <v>-97393</v>
      </c>
      <c r="X391" s="716">
        <f>IF(OR(status1B5!Y86="",X$7="No aplica"),0,SUM('BOULEVARD 5'!$K84:AA84)-$AP391)</f>
        <v>-90893</v>
      </c>
      <c r="Y391" s="716">
        <f>IF(OR(status1B5!Z86="",Y$7="No aplica"),0,SUM('BOULEVARD 5'!$K84:AB84)-$AP391)</f>
        <v>-84393</v>
      </c>
      <c r="Z391" s="716">
        <f>IF(OR(status1B5!AA86="",Z$7="No aplica"),0,SUM('BOULEVARD 5'!$K84:AC84)-$AP391)</f>
        <v>-71393</v>
      </c>
      <c r="AA391" s="716">
        <f>IF(OR(status1B5!AB86="",AA$7="No aplica"),0,SUM('BOULEVARD 5'!$K84:AD84)-$AP391)</f>
        <v>-71393</v>
      </c>
      <c r="AB391" s="716">
        <f>IF(OR(status1B5!AC86="",AB$7="No aplica"),0,SUM('BOULEVARD 5'!$K84:AE84)-$AP391)</f>
        <v>-64893</v>
      </c>
      <c r="AC391" s="716">
        <f>IF(OR(status1B5!AD86="",AC$7="No aplica"),0,SUM('BOULEVARD 5'!$K84:AF84)-$AP391)</f>
        <v>-51893</v>
      </c>
      <c r="AD391" s="716">
        <f>IF(OR(status1B5!AE86="",AD$7="No aplica"),0,SUM('BOULEVARD 5'!$K84:AG84)-$AP391)</f>
        <v>-51893</v>
      </c>
      <c r="AE391" s="716">
        <f>IF(OR(status1B5!AF86="",AE$7="No aplica"),0,SUM('BOULEVARD 5'!$K84:AH84)-$AP391)</f>
        <v>-45393</v>
      </c>
      <c r="AF391" s="716">
        <f>IF(OR(status1B5!AG86="",AF$7="No aplica"),0,SUM('BOULEVARD 5'!$K84:AI84)-$AP391)</f>
        <v>-38893</v>
      </c>
      <c r="AG391" s="716">
        <f>IF(OR(status1B5!AH86="",AG$7="No aplica"),0,SUM('BOULEVARD 5'!$K84:AJ84)-$AP391)</f>
        <v>-32393</v>
      </c>
      <c r="AH391" s="716">
        <f>IF(OR(status1B5!AI86="",AH$7="No aplica"),0,SUM('BOULEVARD 5'!$K84:AK84)-$AP391)</f>
        <v>-25893</v>
      </c>
      <c r="AI391" s="716">
        <f>IF(OR(status1B5!AJ86="",AI$7="No aplica"),0,SUM('BOULEVARD 5'!$K84:AL84)-$AP391)</f>
        <v>-19393</v>
      </c>
      <c r="AJ391" s="716">
        <f>IF(OR(status1B5!AK86="",AJ$7="No aplica"),0,SUM('BOULEVARD 5'!$K84:AM84)-$AP391)</f>
        <v>-19393</v>
      </c>
      <c r="AK391" s="716">
        <f>IF(OR(status1B5!AL86="",AK$7="No aplica"),0,SUM('BOULEVARD 5'!$K84:AN84)-$AP391)</f>
        <v>-12893</v>
      </c>
      <c r="AL391" s="716">
        <f>IF(OR(status1B5!AM86="",AL$7="No aplica"),0,SUM('BOULEVARD 5'!$K84:AO84)-$AP391)</f>
        <v>-6393</v>
      </c>
      <c r="AM391" s="716">
        <f>IF(OR(status1B5!AN86="",AM$7="No aplica"),0,SUM('BOULEVARD 5'!$K84:AP84)-$AP391)</f>
        <v>107</v>
      </c>
      <c r="AN391" s="716">
        <f>IF(OR(status1B5!AO86="",AN$7="No aplica"),0,SUM('BOULEVARD 5'!$K84:AQ84)-$AP391)</f>
        <v>0</v>
      </c>
      <c r="AO391" s="716">
        <f>IF(OR(status1B5!AP86="",AO$7="No aplica"),0,SUM('BOULEVARD 5'!$K84:AS84)-$AP391)</f>
        <v>0</v>
      </c>
      <c r="AP391" s="717">
        <f>'BOULEVARD PPTO'!BC79</f>
        <v>118393</v>
      </c>
      <c r="AQ391" s="717">
        <f>'BOULEVARD 5'!AT84</f>
        <v>138000</v>
      </c>
      <c r="AR391" s="717">
        <f t="shared" si="104"/>
        <v>19607</v>
      </c>
      <c r="AS391" s="717"/>
      <c r="AT391" s="581"/>
    </row>
    <row r="392" spans="1:46" ht="13.15" customHeight="1" outlineLevel="1" x14ac:dyDescent="0.25">
      <c r="A392" s="700">
        <f t="shared" si="102"/>
        <v>0</v>
      </c>
      <c r="B392" s="564">
        <f t="shared" ref="B392:G392" si="117">B87</f>
        <v>509</v>
      </c>
      <c r="C392" s="564" t="str">
        <f t="shared" si="117"/>
        <v>C5</v>
      </c>
      <c r="D392" s="564">
        <f t="shared" si="117"/>
        <v>0</v>
      </c>
      <c r="E392" s="564" t="str">
        <f t="shared" si="117"/>
        <v>Antonio Rada</v>
      </c>
      <c r="F392" s="581" t="str">
        <f t="shared" si="117"/>
        <v>Anabella Alburez Aja</v>
      </c>
      <c r="G392" s="566">
        <f t="shared" si="117"/>
        <v>45473</v>
      </c>
      <c r="H392" s="716">
        <f>IF(OR(status1B5!I87="",H$7="No aplica"),0,SUM('BOULEVARD 5'!$K85:K85)-$AP392)</f>
        <v>0</v>
      </c>
      <c r="I392" s="716">
        <f>IF(OR(status1B5!J87="",I$7="No aplica"),0,SUM('BOULEVARD 5'!$K85:L85)-$AP392)</f>
        <v>0</v>
      </c>
      <c r="J392" s="716">
        <f>IF(OR(status1B5!K87="",J$7="No aplica"),0,SUM('BOULEVARD 5'!$K85:M85)-$AP392)</f>
        <v>0</v>
      </c>
      <c r="K392" s="716">
        <f>IF(OR(status1B5!L87="",K$7="No aplica"),0,SUM('BOULEVARD 5'!$K85:N85)-$AP392)</f>
        <v>0</v>
      </c>
      <c r="L392" s="716">
        <f>IF(OR(status1B5!M87="",L$7="No aplica"),0,SUM('BOULEVARD 5'!$K85:O85)-$AP392)</f>
        <v>0</v>
      </c>
      <c r="M392" s="716">
        <f>IF(OR(status1B5!N87="",M$7="No aplica"),0,SUM('BOULEVARD 5'!$K85:P85)-$AP392)</f>
        <v>0</v>
      </c>
      <c r="N392" s="716">
        <f>IF(OR(status1B5!O87="",N$7="No aplica"),0,SUM('BOULEVARD 5'!$K85:Q85)-$AP392)</f>
        <v>0</v>
      </c>
      <c r="O392" s="716">
        <f>IF(OR(status1B5!P87="",O$7="No aplica"),0,SUM('BOULEVARD 5'!$K85:R85)-$AP392)</f>
        <v>0</v>
      </c>
      <c r="P392" s="716">
        <f>IF(OR(status1B5!Q87="",P$7="No aplica"),0,SUM('BOULEVARD 5'!$K85:S85)-$AP392)</f>
        <v>0</v>
      </c>
      <c r="Q392" s="716">
        <f>IF(OR(status1B5!R87="",Q$7="No aplica"),0,SUM('BOULEVARD 5'!$K85:T85)-$AP392)</f>
        <v>0</v>
      </c>
      <c r="R392" s="716">
        <f>IF(OR(status1B5!S87="",R$7="No aplica"),0,SUM('BOULEVARD 5'!$K85:U85)-$AP392)</f>
        <v>0</v>
      </c>
      <c r="S392" s="716">
        <f>IF(OR(status1B5!T87="",S$7="No aplica"),0,SUM('BOULEVARD 5'!$K85:V85)-$AP392)</f>
        <v>0</v>
      </c>
      <c r="T392" s="716">
        <f>IF(OR(status1B5!U87="",T$7="No aplica"),0,SUM('BOULEVARD 5'!$K85:W85)-$AP392)</f>
        <v>0</v>
      </c>
      <c r="U392" s="716">
        <f>IF(OR(status1B5!V87="",U$7="No aplica"),0,SUM('BOULEVARD 5'!$K85:X85)-$AP392)</f>
        <v>0</v>
      </c>
      <c r="V392" s="716">
        <f>IF(OR(status1B5!W87="",V$7="No aplica"),0,SUM('BOULEVARD 5'!$K85:Y85)-$AP392)</f>
        <v>0</v>
      </c>
      <c r="W392" s="716">
        <f>IF(OR(status1B5!X87="",W$7="No aplica"),0,SUM('BOULEVARD 5'!$K85:Z85)-$AP392)</f>
        <v>-108161.5</v>
      </c>
      <c r="X392" s="716">
        <f>IF(OR(status1B5!Y87="",X$7="No aplica"),0,SUM('BOULEVARD 5'!$K85:AA85)-$AP392)</f>
        <v>-108161.5</v>
      </c>
      <c r="Y392" s="716">
        <f>IF(OR(status1B5!Z87="",Y$7="No aplica"),0,SUM('BOULEVARD 5'!$K85:AB85)-$AP392)</f>
        <v>-102152.5</v>
      </c>
      <c r="Z392" s="716">
        <f>IF(OR(status1B5!AA87="",Z$7="No aplica"),0,SUM('BOULEVARD 5'!$K85:AC85)-$AP392)</f>
        <v>-96143.5</v>
      </c>
      <c r="AA392" s="716">
        <f>IF(OR(status1B5!AB87="",AA$7="No aplica"),0,SUM('BOULEVARD 5'!$K85:AD85)-$AP392)</f>
        <v>-96143.5</v>
      </c>
      <c r="AB392" s="716">
        <f>IF(OR(status1B5!AC87="",AB$7="No aplica"),0,SUM('BOULEVARD 5'!$K85:AE85)-$AP392)</f>
        <v>-90134.5</v>
      </c>
      <c r="AC392" s="716">
        <f>IF(OR(status1B5!AD87="",AC$7="No aplica"),0,SUM('BOULEVARD 5'!$K85:AF85)-$AP392)</f>
        <v>-78116.5</v>
      </c>
      <c r="AD392" s="716">
        <f>IF(OR(status1B5!AE87="",AD$7="No aplica"),0,SUM('BOULEVARD 5'!$K85:AG85)-$AP392)</f>
        <v>-66098.5</v>
      </c>
      <c r="AE392" s="716">
        <f>IF(OR(status1B5!AF87="",AE$7="No aplica"),0,SUM('BOULEVARD 5'!$K85:AH85)-$AP392)</f>
        <v>-66098.5</v>
      </c>
      <c r="AF392" s="716">
        <f>IF(OR(status1B5!AG87="",AF$7="No aplica"),0,SUM('BOULEVARD 5'!$K85:AI85)-$AP392)</f>
        <v>-60089.5</v>
      </c>
      <c r="AG392" s="716">
        <f>IF(OR(status1B5!AH87="",AG$7="No aplica"),0,SUM('BOULEVARD 5'!$K85:AJ85)-$AP392)</f>
        <v>-54080.5</v>
      </c>
      <c r="AH392" s="716">
        <f>IF(OR(status1B5!AI87="",AH$7="No aplica"),0,SUM('BOULEVARD 5'!$K85:AK85)-$AP392)</f>
        <v>-54080.5</v>
      </c>
      <c r="AI392" s="716">
        <f>IF(OR(status1B5!AJ87="",AI$7="No aplica"),0,SUM('BOULEVARD 5'!$K85:AL85)-$AP392)</f>
        <v>-48071.5</v>
      </c>
      <c r="AJ392" s="716">
        <f>IF(OR(status1B5!AK87="",AJ$7="No aplica"),0,SUM('BOULEVARD 5'!$K85:AM85)-$AP392)</f>
        <v>-30044.5</v>
      </c>
      <c r="AK392" s="716">
        <f>IF(OR(status1B5!AL87="",AK$7="No aplica"),0,SUM('BOULEVARD 5'!$K85:AN85)-$AP392)</f>
        <v>-24035.5</v>
      </c>
      <c r="AL392" s="716">
        <f>IF(OR(status1B5!AM87="",AL$7="No aplica"),0,SUM('BOULEVARD 5'!$K85:AO85)-$AP392)</f>
        <v>-24035.5</v>
      </c>
      <c r="AM392" s="716">
        <f>IF(OR(status1B5!AN87="",AM$7="No aplica"),0,SUM('BOULEVARD 5'!$K85:AP85)-$AP392)</f>
        <v>-24035.5</v>
      </c>
      <c r="AN392" s="716">
        <f>IF(OR(status1B5!AO87="",AN$7="No aplica"),0,SUM('BOULEVARD 5'!$K85:AQ85)-$AP392)</f>
        <v>0</v>
      </c>
      <c r="AO392" s="716">
        <f>IF(OR(status1B5!AP87="",AO$7="No aplica"),0,SUM('BOULEVARD 5'!$K85:AS85)-$AP392)</f>
        <v>0</v>
      </c>
      <c r="AP392" s="717">
        <f>'BOULEVARD PPTO'!BC80</f>
        <v>118161.5</v>
      </c>
      <c r="AQ392" s="717">
        <f>'BOULEVARD 5'!AT85</f>
        <v>118165</v>
      </c>
      <c r="AR392" s="717">
        <f t="shared" si="104"/>
        <v>3.5</v>
      </c>
      <c r="AS392" s="717"/>
      <c r="AT392" s="581"/>
    </row>
    <row r="393" spans="1:46" ht="13.15" customHeight="1" outlineLevel="1" x14ac:dyDescent="0.25">
      <c r="A393" s="700">
        <f t="shared" si="102"/>
        <v>0</v>
      </c>
      <c r="B393" s="564">
        <f t="shared" ref="B393:G393" si="118">B88</f>
        <v>510</v>
      </c>
      <c r="C393" s="564" t="str">
        <f t="shared" si="118"/>
        <v>C6</v>
      </c>
      <c r="D393" s="564">
        <f t="shared" si="118"/>
        <v>0</v>
      </c>
      <c r="E393" s="564" t="str">
        <f t="shared" si="118"/>
        <v>Antonio Rada</v>
      </c>
      <c r="F393" s="581" t="str">
        <f t="shared" si="118"/>
        <v>Francis Ayleen Funes Castellanos</v>
      </c>
      <c r="G393" s="566">
        <f t="shared" si="118"/>
        <v>45352</v>
      </c>
      <c r="H393" s="716">
        <f>IF(OR(status1B5!I88="",H$7="No aplica"),0,SUM('BOULEVARD 5'!$K86:K86)-$AP393)</f>
        <v>0</v>
      </c>
      <c r="I393" s="716">
        <f>IF(OR(status1B5!J88="",I$7="No aplica"),0,SUM('BOULEVARD 5'!$K86:L86)-$AP393)</f>
        <v>0</v>
      </c>
      <c r="J393" s="716">
        <f>IF(OR(status1B5!K88="",J$7="No aplica"),0,SUM('BOULEVARD 5'!$K86:M86)-$AP393)</f>
        <v>0</v>
      </c>
      <c r="K393" s="716">
        <f>IF(OR(status1B5!L88="",K$7="No aplica"),0,SUM('BOULEVARD 5'!$K86:N86)-$AP393)</f>
        <v>0</v>
      </c>
      <c r="L393" s="716">
        <f>IF(OR(status1B5!M88="",L$7="No aplica"),0,SUM('BOULEVARD 5'!$K86:O86)-$AP393)</f>
        <v>0</v>
      </c>
      <c r="M393" s="716">
        <f>IF(OR(status1B5!N88="",M$7="No aplica"),0,SUM('BOULEVARD 5'!$K86:P86)-$AP393)</f>
        <v>0</v>
      </c>
      <c r="N393" s="716">
        <f>IF(OR(status1B5!O88="",N$7="No aplica"),0,SUM('BOULEVARD 5'!$K86:Q86)-$AP393)</f>
        <v>0</v>
      </c>
      <c r="O393" s="716">
        <f>IF(OR(status1B5!P88="",O$7="No aplica"),0,SUM('BOULEVARD 5'!$K86:R86)-$AP393)</f>
        <v>0</v>
      </c>
      <c r="P393" s="716">
        <f>IF(OR(status1B5!Q88="",P$7="No aplica"),0,SUM('BOULEVARD 5'!$K86:S86)-$AP393)</f>
        <v>0</v>
      </c>
      <c r="Q393" s="716">
        <f>IF(OR(status1B5!R88="",Q$7="No aplica"),0,SUM('BOULEVARD 5'!$K86:T86)-$AP393)</f>
        <v>0</v>
      </c>
      <c r="R393" s="716">
        <f>IF(OR(status1B5!S88="",R$7="No aplica"),0,SUM('BOULEVARD 5'!$K86:U86)-$AP393)</f>
        <v>0</v>
      </c>
      <c r="S393" s="716">
        <f>IF(OR(status1B5!T88="",S$7="No aplica"),0,SUM('BOULEVARD 5'!$K86:V86)-$AP393)</f>
        <v>0</v>
      </c>
      <c r="T393" s="716">
        <f>IF(OR(status1B5!U88="",T$7="No aplica"),0,SUM('BOULEVARD 5'!$K86:W86)-$AP393)</f>
        <v>-110393</v>
      </c>
      <c r="U393" s="716">
        <f>IF(OR(status1B5!V88="",U$7="No aplica"),0,SUM('BOULEVARD 5'!$K86:X86)-$AP393)</f>
        <v>-104260</v>
      </c>
      <c r="V393" s="716">
        <f>IF(OR(status1B5!W88="",V$7="No aplica"),0,SUM('BOULEVARD 5'!$K86:Y86)-$AP393)</f>
        <v>-98127</v>
      </c>
      <c r="W393" s="716">
        <f>IF(OR(status1B5!X88="",W$7="No aplica"),0,SUM('BOULEVARD 5'!$K86:Z86)-$AP393)</f>
        <v>-91994</v>
      </c>
      <c r="X393" s="716">
        <f>IF(OR(status1B5!Y88="",X$7="No aplica"),0,SUM('BOULEVARD 5'!$K86:AA86)-$AP393)</f>
        <v>-85861</v>
      </c>
      <c r="Y393" s="716">
        <f>IF(OR(status1B5!Z88="",Y$7="No aplica"),0,SUM('BOULEVARD 5'!$K86:AB86)-$AP393)</f>
        <v>-79728</v>
      </c>
      <c r="Z393" s="716">
        <f>IF(OR(status1B5!AA88="",Z$7="No aplica"),0,SUM('BOULEVARD 5'!$K86:AC86)-$AP393)</f>
        <v>-73595</v>
      </c>
      <c r="AA393" s="716">
        <f>IF(OR(status1B5!AB88="",AA$7="No aplica"),0,SUM('BOULEVARD 5'!$K86:AD86)-$AP393)</f>
        <v>-67462</v>
      </c>
      <c r="AB393" s="716">
        <f>IF(OR(status1B5!AC88="",AB$7="No aplica"),0,SUM('BOULEVARD 5'!$K86:AE86)-$AP393)</f>
        <v>-61328.67</v>
      </c>
      <c r="AC393" s="716">
        <f>IF(OR(status1B5!AD88="",AC$7="No aplica"),0,SUM('BOULEVARD 5'!$K86:AF86)-$AP393)</f>
        <v>-55195.34</v>
      </c>
      <c r="AD393" s="716">
        <f>IF(OR(status1B5!AE88="",AD$7="No aplica"),0,SUM('BOULEVARD 5'!$K86:AG86)-$AP393)</f>
        <v>-49062.009999999995</v>
      </c>
      <c r="AE393" s="716">
        <f>IF(OR(status1B5!AF88="",AE$7="No aplica"),0,SUM('BOULEVARD 5'!$K86:AH86)-$AP393)</f>
        <v>-42928.679999999993</v>
      </c>
      <c r="AF393" s="716">
        <f>IF(OR(status1B5!AG88="",AF$7="No aplica"),0,SUM('BOULEVARD 5'!$K86:AI86)-$AP393)</f>
        <v>-36795.349999999991</v>
      </c>
      <c r="AG393" s="716">
        <f>IF(OR(status1B5!AH88="",AG$7="No aplica"),0,SUM('BOULEVARD 5'!$K86:AJ86)-$AP393)</f>
        <v>-30662.01999999999</v>
      </c>
      <c r="AH393" s="716">
        <f>IF(OR(status1B5!AI88="",AH$7="No aplica"),0,SUM('BOULEVARD 5'!$K86:AK86)-$AP393)</f>
        <v>-24528.689999999988</v>
      </c>
      <c r="AI393" s="716">
        <f>IF(OR(status1B5!AJ88="",AI$7="No aplica"),0,SUM('BOULEVARD 5'!$K86:AL86)-$AP393)</f>
        <v>-18395.359999999986</v>
      </c>
      <c r="AJ393" s="716">
        <f>IF(OR(status1B5!AK88="",AJ$7="No aplica"),0,SUM('BOULEVARD 5'!$K86:AM86)-$AP393)</f>
        <v>-12395.359999999986</v>
      </c>
      <c r="AK393" s="716">
        <f>IF(OR(status1B5!AL88="",AK$7="No aplica"),0,SUM('BOULEVARD 5'!$K86:AN86)-$AP393)</f>
        <v>-7999.9999999999854</v>
      </c>
      <c r="AL393" s="716">
        <f>IF(OR(status1B5!AM88="",AL$7="No aplica"),0,SUM('BOULEVARD 5'!$K86:AO86)-$AP393)</f>
        <v>-3999.9999999999854</v>
      </c>
      <c r="AM393" s="716">
        <f>IF(OR(status1B5!AN88="",AM$7="No aplica"),0,SUM('BOULEVARD 5'!$K86:AP86)-$AP393)</f>
        <v>-3999.9999999999854</v>
      </c>
      <c r="AN393" s="716">
        <f>IF(OR(status1B5!AO88="",AN$7="No aplica"),0,SUM('BOULEVARD 5'!$K86:AQ86)-$AP393)</f>
        <v>0</v>
      </c>
      <c r="AO393" s="716">
        <f>IF(OR(status1B5!AP88="",AO$7="No aplica"),0,SUM('BOULEVARD 5'!$K86:AS86)-$AP393)</f>
        <v>0</v>
      </c>
      <c r="AP393" s="717">
        <f>'BOULEVARD PPTO'!BC81</f>
        <v>118393</v>
      </c>
      <c r="AQ393" s="717">
        <f>'BOULEVARD 5'!AT86</f>
        <v>114393.00000000001</v>
      </c>
      <c r="AR393" s="717">
        <f t="shared" si="104"/>
        <v>-3999.9999999999854</v>
      </c>
      <c r="AS393" s="717"/>
      <c r="AT393" s="581"/>
    </row>
    <row r="394" spans="1:46" ht="13.15" customHeight="1" outlineLevel="1" x14ac:dyDescent="0.25">
      <c r="A394" s="700">
        <f t="shared" si="102"/>
        <v>0</v>
      </c>
      <c r="B394" s="564">
        <f t="shared" ref="B394:G394" si="119">B89</f>
        <v>511</v>
      </c>
      <c r="C394" s="564" t="str">
        <f t="shared" si="119"/>
        <v>C5</v>
      </c>
      <c r="D394" s="564">
        <f t="shared" si="119"/>
        <v>0</v>
      </c>
      <c r="E394" s="564" t="str">
        <f t="shared" si="119"/>
        <v>Antonio Rada</v>
      </c>
      <c r="F394" s="581" t="str">
        <f t="shared" si="119"/>
        <v>Hugo Leonel Roca Morales</v>
      </c>
      <c r="G394" s="566">
        <f t="shared" si="119"/>
        <v>45470</v>
      </c>
      <c r="H394" s="716">
        <f>IF(OR(status1B5!I89="",H$7="No aplica"),0,SUM('BOULEVARD 5'!$K87:K87)-$AP394)</f>
        <v>0</v>
      </c>
      <c r="I394" s="716">
        <f>IF(OR(status1B5!J89="",I$7="No aplica"),0,SUM('BOULEVARD 5'!$K87:L87)-$AP394)</f>
        <v>0</v>
      </c>
      <c r="J394" s="716">
        <f>IF(OR(status1B5!K89="",J$7="No aplica"),0,SUM('BOULEVARD 5'!$K87:M87)-$AP394)</f>
        <v>0</v>
      </c>
      <c r="K394" s="716">
        <f>IF(OR(status1B5!L89="",K$7="No aplica"),0,SUM('BOULEVARD 5'!$K87:N87)-$AP394)</f>
        <v>0</v>
      </c>
      <c r="L394" s="716">
        <f>IF(OR(status1B5!M89="",L$7="No aplica"),0,SUM('BOULEVARD 5'!$K87:O87)-$AP394)</f>
        <v>0</v>
      </c>
      <c r="M394" s="716">
        <f>IF(OR(status1B5!N89="",M$7="No aplica"),0,SUM('BOULEVARD 5'!$K87:P87)-$AP394)</f>
        <v>0</v>
      </c>
      <c r="N394" s="716">
        <f>IF(OR(status1B5!O89="",N$7="No aplica"),0,SUM('BOULEVARD 5'!$K87:Q87)-$AP394)</f>
        <v>0</v>
      </c>
      <c r="O394" s="716">
        <f>IF(OR(status1B5!P89="",O$7="No aplica"),0,SUM('BOULEVARD 5'!$K87:R87)-$AP394)</f>
        <v>0</v>
      </c>
      <c r="P394" s="716">
        <f>IF(OR(status1B5!Q89="",P$7="No aplica"),0,SUM('BOULEVARD 5'!$K87:S87)-$AP394)</f>
        <v>0</v>
      </c>
      <c r="Q394" s="716">
        <f>IF(OR(status1B5!R89="",Q$7="No aplica"),0,SUM('BOULEVARD 5'!$K87:T87)-$AP394)</f>
        <v>0</v>
      </c>
      <c r="R394" s="716">
        <f>IF(OR(status1B5!S89="",R$7="No aplica"),0,SUM('BOULEVARD 5'!$K87:U87)-$AP394)</f>
        <v>0</v>
      </c>
      <c r="S394" s="716">
        <f>IF(OR(status1B5!T89="",S$7="No aplica"),0,SUM('BOULEVARD 5'!$K87:V87)-$AP394)</f>
        <v>0</v>
      </c>
      <c r="T394" s="716">
        <f>IF(OR(status1B5!U89="",T$7="No aplica"),0,SUM('BOULEVARD 5'!$K87:W87)-$AP394)</f>
        <v>0</v>
      </c>
      <c r="U394" s="716">
        <f>IF(OR(status1B5!V89="",U$7="No aplica"),0,SUM('BOULEVARD 5'!$K87:X87)-$AP394)</f>
        <v>0</v>
      </c>
      <c r="V394" s="716">
        <f>IF(OR(status1B5!W89="",V$7="No aplica"),0,SUM('BOULEVARD 5'!$K87:Y87)-$AP394)</f>
        <v>0</v>
      </c>
      <c r="W394" s="716">
        <f>IF(OR(status1B5!X89="",W$7="No aplica"),0,SUM('BOULEVARD 5'!$K87:Z87)-$AP394)</f>
        <v>-113161.5</v>
      </c>
      <c r="X394" s="716">
        <f>IF(OR(status1B5!Y89="",X$7="No aplica"),0,SUM('BOULEVARD 5'!$K87:AA87)-$AP394)</f>
        <v>-98161.5</v>
      </c>
      <c r="Y394" s="716">
        <f>IF(OR(status1B5!Z89="",Y$7="No aplica"),0,SUM('BOULEVARD 5'!$K87:AB87)-$AP394)</f>
        <v>-92152.5</v>
      </c>
      <c r="Z394" s="716">
        <f>IF(OR(status1B5!AA89="",Z$7="No aplica"),0,SUM('BOULEVARD 5'!$K87:AC87)-$AP394)</f>
        <v>-76143.5</v>
      </c>
      <c r="AA394" s="716">
        <f>IF(OR(status1B5!AB89="",AA$7="No aplica"),0,SUM('BOULEVARD 5'!$K87:AD87)-$AP394)</f>
        <v>-70134.5</v>
      </c>
      <c r="AB394" s="716">
        <f>IF(OR(status1B5!AC89="",AB$7="No aplica"),0,SUM('BOULEVARD 5'!$K87:AE87)-$AP394)</f>
        <v>-60134.5</v>
      </c>
      <c r="AC394" s="716">
        <f>IF(OR(status1B5!AD89="",AC$7="No aplica"),0,SUM('BOULEVARD 5'!$K87:AF87)-$AP394)</f>
        <v>-60134.5</v>
      </c>
      <c r="AD394" s="716">
        <f>IF(OR(status1B5!AE89="",AD$7="No aplica"),0,SUM('BOULEVARD 5'!$K87:AG87)-$AP394)</f>
        <v>-35134.5</v>
      </c>
      <c r="AE394" s="716">
        <f>IF(OR(status1B5!AF89="",AE$7="No aplica"),0,SUM('BOULEVARD 5'!$K87:AH87)-$AP394)</f>
        <v>-27634.5</v>
      </c>
      <c r="AF394" s="716">
        <f>IF(OR(status1B5!AG89="",AF$7="No aplica"),0,SUM('BOULEVARD 5'!$K87:AI87)-$AP394)</f>
        <v>-17634.5</v>
      </c>
      <c r="AG394" s="716">
        <f>IF(OR(status1B5!AH89="",AG$7="No aplica"),0,SUM('BOULEVARD 5'!$K87:AJ87)-$AP394)</f>
        <v>-17634.5</v>
      </c>
      <c r="AH394" s="716">
        <f>IF(OR(status1B5!AI89="",AH$7="No aplica"),0,SUM('BOULEVARD 5'!$K87:AK87)-$AP394)</f>
        <v>-7634.5</v>
      </c>
      <c r="AI394" s="716">
        <f>IF(OR(status1B5!AJ89="",AI$7="No aplica"),0,SUM('BOULEVARD 5'!$K87:AL87)-$AP394)</f>
        <v>-7634.5</v>
      </c>
      <c r="AJ394" s="716">
        <f>IF(OR(status1B5!AK89="",AJ$7="No aplica"),0,SUM('BOULEVARD 5'!$K87:AM87)-$AP394)</f>
        <v>-134.5</v>
      </c>
      <c r="AK394" s="716">
        <f>IF(OR(status1B5!AL89="",AK$7="No aplica"),0,SUM('BOULEVARD 5'!$K87:AN87)-$AP394)</f>
        <v>9865.5</v>
      </c>
      <c r="AL394" s="716">
        <f>IF(OR(status1B5!AM89="",AL$7="No aplica"),0,SUM('BOULEVARD 5'!$K87:AO87)-$AP394)</f>
        <v>19865.5</v>
      </c>
      <c r="AM394" s="716">
        <f>IF(OR(status1B5!AN89="",AM$7="No aplica"),0,SUM('BOULEVARD 5'!$K87:AP87)-$AP394)</f>
        <v>19865.5</v>
      </c>
      <c r="AN394" s="716">
        <f>IF(OR(status1B5!AO89="",AN$7="No aplica"),0,SUM('BOULEVARD 5'!$K87:AQ87)-$AP394)</f>
        <v>0</v>
      </c>
      <c r="AO394" s="716">
        <f>IF(OR(status1B5!AP89="",AO$7="No aplica"),0,SUM('BOULEVARD 5'!$K87:AS87)-$AP394)</f>
        <v>0</v>
      </c>
      <c r="AP394" s="717">
        <f>'BOULEVARD PPTO'!BC82</f>
        <v>118161.5</v>
      </c>
      <c r="AQ394" s="717">
        <f>'BOULEVARD 5'!AT87</f>
        <v>158027</v>
      </c>
      <c r="AR394" s="717">
        <f t="shared" si="104"/>
        <v>39865.5</v>
      </c>
      <c r="AS394" s="717"/>
      <c r="AT394" s="581"/>
    </row>
    <row r="395" spans="1:46" ht="13.15" customHeight="1" outlineLevel="1" x14ac:dyDescent="0.25">
      <c r="A395" s="700">
        <f t="shared" si="102"/>
        <v>0</v>
      </c>
      <c r="B395" s="564">
        <f t="shared" ref="B395:G395" si="120">B90</f>
        <v>512</v>
      </c>
      <c r="C395" s="564" t="str">
        <f t="shared" si="120"/>
        <v>A8</v>
      </c>
      <c r="D395" s="564">
        <f t="shared" si="120"/>
        <v>0</v>
      </c>
      <c r="E395" s="564" t="str">
        <f t="shared" si="120"/>
        <v>Antonio Rada</v>
      </c>
      <c r="F395" s="581" t="str">
        <f t="shared" si="120"/>
        <v>Oscar Antonio Gonzalez Hurtarte</v>
      </c>
      <c r="G395" s="566">
        <f t="shared" si="120"/>
        <v>45125</v>
      </c>
      <c r="H395" s="716">
        <f>IF(OR(status1B5!I90="",H$7="No aplica"),0,SUM('BOULEVARD 5'!$K88:K88)-$AP395)</f>
        <v>0</v>
      </c>
      <c r="I395" s="716">
        <f>IF(OR(status1B5!J90="",I$7="No aplica"),0,SUM('BOULEVARD 5'!$K88:L88)-$AP395)</f>
        <v>0</v>
      </c>
      <c r="J395" s="716">
        <f>IF(OR(status1B5!K90="",J$7="No aplica"),0,SUM('BOULEVARD 5'!$K88:M88)-$AP395)</f>
        <v>0</v>
      </c>
      <c r="K395" s="716">
        <f>IF(OR(status1B5!L90="",K$7="No aplica"),0,SUM('BOULEVARD 5'!$K88:N88)-$AP395)</f>
        <v>0</v>
      </c>
      <c r="L395" s="716">
        <f>IF(OR(status1B5!M90="",L$7="No aplica"),0,SUM('BOULEVARD 5'!$K88:O88)-$AP395)</f>
        <v>-64400</v>
      </c>
      <c r="M395" s="716">
        <f>IF(OR(status1B5!N90="",M$7="No aplica"),0,SUM('BOULEVARD 5'!$K88:P88)-$AP395)</f>
        <v>-61923</v>
      </c>
      <c r="N395" s="716">
        <f>IF(OR(status1B5!O90="",N$7="No aplica"),0,SUM('BOULEVARD 5'!$K88:Q88)-$AP395)</f>
        <v>-59446</v>
      </c>
      <c r="O395" s="716">
        <f>IF(OR(status1B5!P90="",O$7="No aplica"),0,SUM('BOULEVARD 5'!$K88:R88)-$AP395)</f>
        <v>-56969</v>
      </c>
      <c r="P395" s="716">
        <f>IF(OR(status1B5!Q90="",P$7="No aplica"),0,SUM('BOULEVARD 5'!$K88:S88)-$AP395)</f>
        <v>-54492</v>
      </c>
      <c r="Q395" s="716">
        <f>IF(OR(status1B5!R90="",Q$7="No aplica"),0,SUM('BOULEVARD 5'!$K88:T88)-$AP395)</f>
        <v>-54492</v>
      </c>
      <c r="R395" s="716">
        <f>IF(OR(status1B5!S90="",R$7="No aplica"),0,SUM('BOULEVARD 5'!$K88:U88)-$AP395)</f>
        <v>-49538</v>
      </c>
      <c r="S395" s="716">
        <f>IF(OR(status1B5!T90="",S$7="No aplica"),0,SUM('BOULEVARD 5'!$K88:V88)-$AP395)</f>
        <v>-47061</v>
      </c>
      <c r="T395" s="716">
        <f>IF(OR(status1B5!U90="",T$7="No aplica"),0,SUM('BOULEVARD 5'!$K88:W88)-$AP395)</f>
        <v>-44584</v>
      </c>
      <c r="U395" s="716">
        <f>IF(OR(status1B5!V90="",U$7="No aplica"),0,SUM('BOULEVARD 5'!$K88:X88)-$AP395)</f>
        <v>-42107</v>
      </c>
      <c r="V395" s="716">
        <f>IF(OR(status1B5!W90="",V$7="No aplica"),0,SUM('BOULEVARD 5'!$K88:Y88)-$AP395)</f>
        <v>-39630</v>
      </c>
      <c r="W395" s="716">
        <f>IF(OR(status1B5!X90="",W$7="No aplica"),0,SUM('BOULEVARD 5'!$K88:Z88)-$AP395)</f>
        <v>-37153</v>
      </c>
      <c r="X395" s="716">
        <f>IF(OR(status1B5!Y90="",X$7="No aplica"),0,SUM('BOULEVARD 5'!$K88:AA88)-$AP395)</f>
        <v>-34676</v>
      </c>
      <c r="Y395" s="716">
        <f>IF(OR(status1B5!Z90="",Y$7="No aplica"),0,SUM('BOULEVARD 5'!$K88:AB88)-$AP395)</f>
        <v>-32199</v>
      </c>
      <c r="Z395" s="716">
        <f>IF(OR(status1B5!AA90="",Z$7="No aplica"),0,SUM('BOULEVARD 5'!$K88:AC88)-$AP395)</f>
        <v>-32199</v>
      </c>
      <c r="AA395" s="716">
        <f>IF(OR(status1B5!AB90="",AA$7="No aplica"),0,SUM('BOULEVARD 5'!$K88:AD88)-$AP395)</f>
        <v>-29722</v>
      </c>
      <c r="AB395" s="716">
        <f>IF(OR(status1B5!AC90="",AB$7="No aplica"),0,SUM('BOULEVARD 5'!$K88:AE88)-$AP395)</f>
        <v>-27245</v>
      </c>
      <c r="AC395" s="716">
        <f>IF(OR(status1B5!AD90="",AC$7="No aplica"),0,SUM('BOULEVARD 5'!$K88:AF88)-$AP395)</f>
        <v>-27245</v>
      </c>
      <c r="AD395" s="716">
        <f>IF(OR(status1B5!AE90="",AD$7="No aplica"),0,SUM('BOULEVARD 5'!$K88:AG88)-$AP395)</f>
        <v>-27245</v>
      </c>
      <c r="AE395" s="716">
        <f>IF(OR(status1B5!AF90="",AE$7="No aplica"),0,SUM('BOULEVARD 5'!$K88:AH88)-$AP395)</f>
        <v>-17337</v>
      </c>
      <c r="AF395" s="716">
        <f>IF(OR(status1B5!AG90="",AF$7="No aplica"),0,SUM('BOULEVARD 5'!$K88:AI88)-$AP395)</f>
        <v>-17337</v>
      </c>
      <c r="AG395" s="716">
        <f>IF(OR(status1B5!AH90="",AG$7="No aplica"),0,SUM('BOULEVARD 5'!$K88:AJ88)-$AP395)</f>
        <v>-12383</v>
      </c>
      <c r="AH395" s="716">
        <f>IF(OR(status1B5!AI90="",AH$7="No aplica"),0,SUM('BOULEVARD 5'!$K88:AK88)-$AP395)</f>
        <v>-9906</v>
      </c>
      <c r="AI395" s="716">
        <f>IF(OR(status1B5!AJ90="",AI$7="No aplica"),0,SUM('BOULEVARD 5'!$K88:AL88)-$AP395)</f>
        <v>-9906</v>
      </c>
      <c r="AJ395" s="716">
        <f>IF(OR(status1B5!AK90="",AJ$7="No aplica"),0,SUM('BOULEVARD 5'!$K88:AM88)-$AP395)</f>
        <v>-4952</v>
      </c>
      <c r="AK395" s="716">
        <f>IF(OR(status1B5!AL90="",AK$7="No aplica"),0,SUM('BOULEVARD 5'!$K88:AN88)-$AP395)</f>
        <v>-4952</v>
      </c>
      <c r="AL395" s="716">
        <f>IF(OR(status1B5!AM90="",AL$7="No aplica"),0,SUM('BOULEVARD 5'!$K88:AO88)-$AP395)</f>
        <v>-2475</v>
      </c>
      <c r="AM395" s="716">
        <f>IF(OR(status1B5!AN90="",AM$7="No aplica"),0,SUM('BOULEVARD 5'!$K88:AP88)-$AP395)</f>
        <v>2</v>
      </c>
      <c r="AN395" s="716">
        <f>IF(OR(status1B5!AO90="",AN$7="No aplica"),0,SUM('BOULEVARD 5'!$K88:AQ88)-$AP395)</f>
        <v>0</v>
      </c>
      <c r="AO395" s="716">
        <f>IF(OR(status1B5!AP90="",AO$7="No aplica"),0,SUM('BOULEVARD 5'!$K88:AS88)-$AP395)</f>
        <v>0</v>
      </c>
      <c r="AP395" s="717">
        <f>'BOULEVARD PPTO'!BC83</f>
        <v>70400</v>
      </c>
      <c r="AQ395" s="717">
        <f>'BOULEVARD 5'!AT88</f>
        <v>70402</v>
      </c>
      <c r="AR395" s="717">
        <f t="shared" si="104"/>
        <v>2</v>
      </c>
      <c r="AS395" s="717"/>
      <c r="AT395" s="581"/>
    </row>
    <row r="396" spans="1:46" ht="13.15" customHeight="1" outlineLevel="1" x14ac:dyDescent="0.25">
      <c r="A396" s="700">
        <f t="shared" si="102"/>
        <v>0</v>
      </c>
      <c r="B396" s="564">
        <f t="shared" ref="B396:G396" si="121">B91</f>
        <v>513</v>
      </c>
      <c r="C396" s="564" t="str">
        <f t="shared" si="121"/>
        <v>A2</v>
      </c>
      <c r="D396" s="564">
        <f t="shared" si="121"/>
        <v>0</v>
      </c>
      <c r="E396" s="564" t="str">
        <f t="shared" si="121"/>
        <v>Antonio Rada</v>
      </c>
      <c r="F396" s="581" t="str">
        <f t="shared" si="121"/>
        <v>Maria Fernanda Cabrera Valdez</v>
      </c>
      <c r="G396" s="566">
        <f t="shared" si="121"/>
        <v>45123</v>
      </c>
      <c r="H396" s="716">
        <f>IF(OR(status1B5!I91="",H$7="No aplica"),0,SUM('BOULEVARD 5'!$K89:K89)-$AP396)</f>
        <v>0</v>
      </c>
      <c r="I396" s="716">
        <f>IF(OR(status1B5!J91="",I$7="No aplica"),0,SUM('BOULEVARD 5'!$K89:L89)-$AP396)</f>
        <v>0</v>
      </c>
      <c r="J396" s="716">
        <f>IF(OR(status1B5!K91="",J$7="No aplica"),0,SUM('BOULEVARD 5'!$K89:M89)-$AP396)</f>
        <v>0</v>
      </c>
      <c r="K396" s="716">
        <f>IF(OR(status1B5!L91="",K$7="No aplica"),0,SUM('BOULEVARD 5'!$K89:N89)-$AP396)</f>
        <v>0</v>
      </c>
      <c r="L396" s="716">
        <f>IF(OR(status1B5!M91="",L$7="No aplica"),0,SUM('BOULEVARD 5'!$K89:O89)-$AP396)</f>
        <v>-62800</v>
      </c>
      <c r="M396" s="716">
        <f>IF(OR(status1B5!N91="",M$7="No aplica"),0,SUM('BOULEVARD 5'!$K89:P89)-$AP396)</f>
        <v>-62800</v>
      </c>
      <c r="N396" s="716">
        <f>IF(OR(status1B5!O91="",N$7="No aplica"),0,SUM('BOULEVARD 5'!$K89:Q89)-$AP396)</f>
        <v>-55555</v>
      </c>
      <c r="O396" s="716">
        <f>IF(OR(status1B5!P91="",O$7="No aplica"),0,SUM('BOULEVARD 5'!$K89:R89)-$AP396)</f>
        <v>-53140</v>
      </c>
      <c r="P396" s="716">
        <f>IF(OR(status1B5!Q91="",P$7="No aplica"),0,SUM('BOULEVARD 5'!$K89:S89)-$AP396)</f>
        <v>-53140</v>
      </c>
      <c r="Q396" s="716">
        <f>IF(OR(status1B5!R91="",Q$7="No aplica"),0,SUM('BOULEVARD 5'!$K89:T89)-$AP396)</f>
        <v>-53140</v>
      </c>
      <c r="R396" s="716">
        <f>IF(OR(status1B5!S91="",R$7="No aplica"),0,SUM('BOULEVARD 5'!$K89:U89)-$AP396)</f>
        <v>-48310</v>
      </c>
      <c r="S396" s="716">
        <f>IF(OR(status1B5!T91="",S$7="No aplica"),0,SUM('BOULEVARD 5'!$K89:V89)-$AP396)</f>
        <v>-45895</v>
      </c>
      <c r="T396" s="716">
        <f>IF(OR(status1B5!U91="",T$7="No aplica"),0,SUM('BOULEVARD 5'!$K89:W89)-$AP396)</f>
        <v>-45895</v>
      </c>
      <c r="U396" s="716">
        <f>IF(OR(status1B5!V91="",U$7="No aplica"),0,SUM('BOULEVARD 5'!$K89:X89)-$AP396)</f>
        <v>-38650</v>
      </c>
      <c r="V396" s="716">
        <f>IF(OR(status1B5!W91="",V$7="No aplica"),0,SUM('BOULEVARD 5'!$K89:Y89)-$AP396)</f>
        <v>-36235</v>
      </c>
      <c r="W396" s="716">
        <f>IF(OR(status1B5!X91="",W$7="No aplica"),0,SUM('BOULEVARD 5'!$K89:Z89)-$AP396)</f>
        <v>-36235</v>
      </c>
      <c r="X396" s="716">
        <f>IF(OR(status1B5!Y91="",X$7="No aplica"),0,SUM('BOULEVARD 5'!$K89:AA89)-$AP396)</f>
        <v>-31405</v>
      </c>
      <c r="Y396" s="716">
        <f>IF(OR(status1B5!Z91="",Y$7="No aplica"),0,SUM('BOULEVARD 5'!$K89:AB89)-$AP396)</f>
        <v>-31405</v>
      </c>
      <c r="Z396" s="716">
        <f>IF(OR(status1B5!AA91="",Z$7="No aplica"),0,SUM('BOULEVARD 5'!$K89:AC89)-$AP396)</f>
        <v>-26575</v>
      </c>
      <c r="AA396" s="716">
        <f>IF(OR(status1B5!AB91="",AA$7="No aplica"),0,SUM('BOULEVARD 5'!$K89:AD89)-$AP396)</f>
        <v>-24160</v>
      </c>
      <c r="AB396" s="716">
        <f>IF(OR(status1B5!AC91="",AB$7="No aplica"),0,SUM('BOULEVARD 5'!$K89:AE89)-$AP396)</f>
        <v>-21745</v>
      </c>
      <c r="AC396" s="716">
        <f>IF(OR(status1B5!AD91="",AC$7="No aplica"),0,SUM('BOULEVARD 5'!$K89:AF89)-$AP396)</f>
        <v>-19330</v>
      </c>
      <c r="AD396" s="716">
        <f>IF(OR(status1B5!AE91="",AD$7="No aplica"),0,SUM('BOULEVARD 5'!$K89:AG89)-$AP396)</f>
        <v>-16915</v>
      </c>
      <c r="AE396" s="716">
        <f>IF(OR(status1B5!AF91="",AE$7="No aplica"),0,SUM('BOULEVARD 5'!$K89:AH89)-$AP396)</f>
        <v>-14500</v>
      </c>
      <c r="AF396" s="716">
        <f>IF(OR(status1B5!AG91="",AF$7="No aplica"),0,SUM('BOULEVARD 5'!$K89:AI89)-$AP396)</f>
        <v>-14500</v>
      </c>
      <c r="AG396" s="716">
        <f>IF(OR(status1B5!AH91="",AG$7="No aplica"),0,SUM('BOULEVARD 5'!$K89:AJ89)-$AP396)</f>
        <v>-12085</v>
      </c>
      <c r="AH396" s="716">
        <f>IF(OR(status1B5!AI91="",AH$7="No aplica"),0,SUM('BOULEVARD 5'!$K89:AK89)-$AP396)</f>
        <v>-9670</v>
      </c>
      <c r="AI396" s="716">
        <f>IF(OR(status1B5!AJ91="",AI$7="No aplica"),0,SUM('BOULEVARD 5'!$K89:AL89)-$AP396)</f>
        <v>-4840</v>
      </c>
      <c r="AJ396" s="716">
        <f>IF(OR(status1B5!AK91="",AJ$7="No aplica"),0,SUM('BOULEVARD 5'!$K89:AM89)-$AP396)</f>
        <v>-4840</v>
      </c>
      <c r="AK396" s="716">
        <f>IF(OR(status1B5!AL91="",AK$7="No aplica"),0,SUM('BOULEVARD 5'!$K89:AN89)-$AP396)</f>
        <v>-4840</v>
      </c>
      <c r="AL396" s="716">
        <f>IF(OR(status1B5!AM91="",AL$7="No aplica"),0,SUM('BOULEVARD 5'!$K89:AO89)-$AP396)</f>
        <v>-2425</v>
      </c>
      <c r="AM396" s="716">
        <f>IF(OR(status1B5!AN91="",AM$7="No aplica"),0,SUM('BOULEVARD 5'!$K89:AP89)-$AP396)</f>
        <v>2405</v>
      </c>
      <c r="AN396" s="716">
        <f>IF(OR(status1B5!AO91="",AN$7="No aplica"),0,SUM('BOULEVARD 5'!$K89:AQ89)-$AP396)</f>
        <v>0</v>
      </c>
      <c r="AO396" s="716">
        <f>IF(OR(status1B5!AP91="",AO$7="No aplica"),0,SUM('BOULEVARD 5'!$K89:AS89)-$AP396)</f>
        <v>0</v>
      </c>
      <c r="AP396" s="717">
        <f>'BOULEVARD PPTO'!BC84</f>
        <v>68800</v>
      </c>
      <c r="AQ396" s="717">
        <f>'BOULEVARD 5'!AT89</f>
        <v>76035</v>
      </c>
      <c r="AR396" s="717">
        <f t="shared" si="104"/>
        <v>7235</v>
      </c>
      <c r="AS396" s="717"/>
      <c r="AT396" s="581"/>
    </row>
    <row r="397" spans="1:46" ht="13.15" customHeight="1" outlineLevel="1" x14ac:dyDescent="0.25">
      <c r="A397" s="700">
        <f t="shared" si="102"/>
        <v>0</v>
      </c>
      <c r="B397" s="564">
        <f t="shared" ref="B397:G397" si="122">B92</f>
        <v>514</v>
      </c>
      <c r="C397" s="564" t="str">
        <f t="shared" si="122"/>
        <v>E5</v>
      </c>
      <c r="D397" s="564">
        <f t="shared" si="122"/>
        <v>0</v>
      </c>
      <c r="E397" s="564" t="str">
        <f t="shared" si="122"/>
        <v>Antonio Rada</v>
      </c>
      <c r="F397" s="581" t="str">
        <f t="shared" si="122"/>
        <v>Danya Maribel Callejas Hernandez De Herrera</v>
      </c>
      <c r="G397" s="566">
        <f t="shared" si="122"/>
        <v>45741</v>
      </c>
      <c r="H397" s="716">
        <f>IF(OR(status1B5!I92="",H$7="No aplica"),0,SUM('BOULEVARD 5'!$K90:K90)-$AP397)</f>
        <v>0</v>
      </c>
      <c r="I397" s="716">
        <f>IF(OR(status1B5!J92="",I$7="No aplica"),0,SUM('BOULEVARD 5'!$K90:L90)-$AP397)</f>
        <v>0</v>
      </c>
      <c r="J397" s="716">
        <f>IF(OR(status1B5!K92="",J$7="No aplica"),0,SUM('BOULEVARD 5'!$K90:M90)-$AP397)</f>
        <v>0</v>
      </c>
      <c r="K397" s="716">
        <f>IF(OR(status1B5!L92="",K$7="No aplica"),0,SUM('BOULEVARD 5'!$K90:N90)-$AP397)</f>
        <v>0</v>
      </c>
      <c r="L397" s="716">
        <f>IF(OR(status1B5!M92="",L$7="No aplica"),0,SUM('BOULEVARD 5'!$K90:O90)-$AP397)</f>
        <v>0</v>
      </c>
      <c r="M397" s="716">
        <f>IF(OR(status1B5!N92="",M$7="No aplica"),0,SUM('BOULEVARD 5'!$K90:P90)-$AP397)</f>
        <v>0</v>
      </c>
      <c r="N397" s="716">
        <f>IF(OR(status1B5!O92="",N$7="No aplica"),0,SUM('BOULEVARD 5'!$K90:Q90)-$AP397)</f>
        <v>0</v>
      </c>
      <c r="O397" s="716">
        <f>IF(OR(status1B5!P92="",O$7="No aplica"),0,SUM('BOULEVARD 5'!$K90:R90)-$AP397)</f>
        <v>0</v>
      </c>
      <c r="P397" s="716">
        <f>IF(OR(status1B5!Q92="",P$7="No aplica"),0,SUM('BOULEVARD 5'!$K90:S90)-$AP397)</f>
        <v>0</v>
      </c>
      <c r="Q397" s="716">
        <f>IF(OR(status1B5!R92="",Q$7="No aplica"),0,SUM('BOULEVARD 5'!$K90:T90)-$AP397)</f>
        <v>0</v>
      </c>
      <c r="R397" s="716">
        <f>IF(OR(status1B5!S92="",R$7="No aplica"),0,SUM('BOULEVARD 5'!$K90:U90)-$AP397)</f>
        <v>0</v>
      </c>
      <c r="S397" s="716">
        <f>IF(OR(status1B5!T92="",S$7="No aplica"),0,SUM('BOULEVARD 5'!$K90:V90)-$AP397)</f>
        <v>0</v>
      </c>
      <c r="T397" s="716">
        <f>IF(OR(status1B5!U92="",T$7="No aplica"),0,SUM('BOULEVARD 5'!$K90:W90)-$AP397)</f>
        <v>0</v>
      </c>
      <c r="U397" s="716">
        <f>IF(OR(status1B5!V92="",U$7="No aplica"),0,SUM('BOULEVARD 5'!$K90:X90)-$AP397)</f>
        <v>0</v>
      </c>
      <c r="V397" s="716">
        <f>IF(OR(status1B5!W92="",V$7="No aplica"),0,SUM('BOULEVARD 5'!$K90:Y90)-$AP397)</f>
        <v>0</v>
      </c>
      <c r="W397" s="716">
        <f>IF(OR(status1B5!X92="",W$7="No aplica"),0,SUM('BOULEVARD 5'!$K90:Z90)-$AP397)</f>
        <v>0</v>
      </c>
      <c r="X397" s="716">
        <f>IF(OR(status1B5!Y92="",X$7="No aplica"),0,SUM('BOULEVARD 5'!$K90:AA90)-$AP397)</f>
        <v>0</v>
      </c>
      <c r="Y397" s="716">
        <f>IF(OR(status1B5!Z92="",Y$7="No aplica"),0,SUM('BOULEVARD 5'!$K90:AB90)-$AP397)</f>
        <v>0</v>
      </c>
      <c r="Z397" s="716">
        <f>IF(OR(status1B5!AA92="",Z$7="No aplica"),0,SUM('BOULEVARD 5'!$K90:AC90)-$AP397)</f>
        <v>0</v>
      </c>
      <c r="AA397" s="716">
        <f>IF(OR(status1B5!AB92="",AA$7="No aplica"),0,SUM('BOULEVARD 5'!$K90:AD90)-$AP397)</f>
        <v>0</v>
      </c>
      <c r="AB397" s="716">
        <f>IF(OR(status1B5!AC92="",AB$7="No aplica"),0,SUM('BOULEVARD 5'!$K90:AE90)-$AP397)</f>
        <v>0</v>
      </c>
      <c r="AC397" s="716">
        <f>IF(OR(status1B5!AD92="",AC$7="No aplica"),0,SUM('BOULEVARD 5'!$K90:AF90)-$AP397)</f>
        <v>0</v>
      </c>
      <c r="AD397" s="716">
        <f>IF(OR(status1B5!AE92="",AD$7="No aplica"),0,SUM('BOULEVARD 5'!$K90:AG90)-$AP397)</f>
        <v>0</v>
      </c>
      <c r="AE397" s="716">
        <f>IF(OR(status1B5!AF92="",AE$7="No aplica"),0,SUM('BOULEVARD 5'!$K90:AH90)-$AP397)</f>
        <v>0</v>
      </c>
      <c r="AF397" s="716">
        <f>IF(OR(status1B5!AG92="",AF$7="No aplica"),0,SUM('BOULEVARD 5'!$K90:AI90)-$AP397)</f>
        <v>10000</v>
      </c>
      <c r="AG397" s="716">
        <f>IF(OR(status1B5!AH92="",AG$7="No aplica"),0,SUM('BOULEVARD 5'!$K90:AJ90)-$AP397)</f>
        <v>20256</v>
      </c>
      <c r="AH397" s="716">
        <f>IF(OR(status1B5!AI92="",AH$7="No aplica"),0,SUM('BOULEVARD 5'!$K90:AK90)-$AP397)</f>
        <v>30512</v>
      </c>
      <c r="AI397" s="716">
        <f>IF(OR(status1B5!AJ92="",AI$7="No aplica"),0,SUM('BOULEVARD 5'!$K90:AL90)-$AP397)</f>
        <v>40768</v>
      </c>
      <c r="AJ397" s="716">
        <f>IF(OR(status1B5!AK92="",AJ$7="No aplica"),0,SUM('BOULEVARD 5'!$K90:AM90)-$AP397)</f>
        <v>51024</v>
      </c>
      <c r="AK397" s="716">
        <f>IF(OR(status1B5!AL92="",AK$7="No aplica"),0,SUM('BOULEVARD 5'!$K90:AN90)-$AP397)</f>
        <v>61280</v>
      </c>
      <c r="AL397" s="716">
        <f>IF(OR(status1B5!AM92="",AL$7="No aplica"),0,SUM('BOULEVARD 5'!$K90:AO90)-$AP397)</f>
        <v>71536</v>
      </c>
      <c r="AM397" s="716">
        <f>IF(OR(status1B5!AN92="",AM$7="No aplica"),0,SUM('BOULEVARD 5'!$K90:AP90)-$AP397)</f>
        <v>81792</v>
      </c>
      <c r="AN397" s="716">
        <f>IF(OR(status1B5!AO92="",AN$7="No aplica"),0,SUM('BOULEVARD 5'!$K90:AQ90)-$AP397)</f>
        <v>0</v>
      </c>
      <c r="AO397" s="716">
        <f>IF(OR(status1B5!AP92="",AO$7="No aplica"),0,SUM('BOULEVARD 5'!$K90:AS90)-$AP397)</f>
        <v>0</v>
      </c>
      <c r="AP397" s="717">
        <f>'BOULEVARD PPTO'!BC85</f>
        <v>0</v>
      </c>
      <c r="AQ397" s="717">
        <f>'BOULEVARD 5'!AT90</f>
        <v>92048</v>
      </c>
      <c r="AR397" s="717">
        <f t="shared" si="104"/>
        <v>92048</v>
      </c>
      <c r="AS397" s="717"/>
      <c r="AT397" s="581"/>
    </row>
    <row r="398" spans="1:46" ht="13.15" customHeight="1" outlineLevel="1" x14ac:dyDescent="0.25">
      <c r="A398" s="700">
        <f t="shared" si="102"/>
        <v>0</v>
      </c>
      <c r="B398" s="564">
        <f t="shared" ref="B398:G398" si="123">B93</f>
        <v>515</v>
      </c>
      <c r="C398" s="564" t="str">
        <f t="shared" si="123"/>
        <v>A5</v>
      </c>
      <c r="D398" s="564">
        <f t="shared" si="123"/>
        <v>0</v>
      </c>
      <c r="E398" s="564" t="str">
        <f t="shared" si="123"/>
        <v>Jose Franco</v>
      </c>
      <c r="F398" s="581" t="str">
        <f t="shared" si="123"/>
        <v>Ingrid Vanessa Granados Barneond</v>
      </c>
      <c r="G398" s="566">
        <f t="shared" si="123"/>
        <v>45012</v>
      </c>
      <c r="H398" s="716">
        <f>IF(OR(status1B5!I93="",H$7="No aplica"),0,SUM('BOULEVARD 5'!$K91:K91)-$AP398)</f>
        <v>-53679.5</v>
      </c>
      <c r="I398" s="716">
        <f>IF(OR(status1B5!J93="",I$7="No aplica"),0,SUM('BOULEVARD 5'!$K91:L91)-$AP398)</f>
        <v>-52109.5</v>
      </c>
      <c r="J398" s="716">
        <f>IF(OR(status1B5!K93="",J$7="No aplica"),0,SUM('BOULEVARD 5'!$K91:M91)-$AP398)</f>
        <v>-50539.5</v>
      </c>
      <c r="K398" s="716">
        <f>IF(OR(status1B5!L93="",K$7="No aplica"),0,SUM('BOULEVARD 5'!$K91:N91)-$AP398)</f>
        <v>-48969.5</v>
      </c>
      <c r="L398" s="716">
        <f>IF(OR(status1B5!M93="",L$7="No aplica"),0,SUM('BOULEVARD 5'!$K91:O91)-$AP398)</f>
        <v>-47399.5</v>
      </c>
      <c r="M398" s="716">
        <f>IF(OR(status1B5!N93="",M$7="No aplica"),0,SUM('BOULEVARD 5'!$K91:P91)-$AP398)</f>
        <v>-45829.5</v>
      </c>
      <c r="N398" s="716">
        <f>IF(OR(status1B5!O93="",N$7="No aplica"),0,SUM('BOULEVARD 5'!$K91:Q91)-$AP398)</f>
        <v>-44259.5</v>
      </c>
      <c r="O398" s="716">
        <f>IF(OR(status1B5!P93="",O$7="No aplica"),0,SUM('BOULEVARD 5'!$K91:R91)-$AP398)</f>
        <v>-42689.5</v>
      </c>
      <c r="P398" s="716">
        <f>IF(OR(status1B5!Q93="",P$7="No aplica"),0,SUM('BOULEVARD 5'!$K91:S91)-$AP398)</f>
        <v>-41119.5</v>
      </c>
      <c r="Q398" s="716">
        <f>IF(OR(status1B5!R93="",Q$7="No aplica"),0,SUM('BOULEVARD 5'!$K91:T91)-$AP398)</f>
        <v>-39549.5</v>
      </c>
      <c r="R398" s="716">
        <f>IF(OR(status1B5!S93="",R$7="No aplica"),0,SUM('BOULEVARD 5'!$K91:U91)-$AP398)</f>
        <v>-37979.5</v>
      </c>
      <c r="S398" s="716">
        <f>IF(OR(status1B5!T93="",S$7="No aplica"),0,SUM('BOULEVARD 5'!$K91:V91)-$AP398)</f>
        <v>-36409.5</v>
      </c>
      <c r="T398" s="716">
        <f>IF(OR(status1B5!U93="",T$7="No aplica"),0,SUM('BOULEVARD 5'!$K91:W91)-$AP398)</f>
        <v>-34839.5</v>
      </c>
      <c r="U398" s="716">
        <f>IF(OR(status1B5!V93="",U$7="No aplica"),0,SUM('BOULEVARD 5'!$K91:X91)-$AP398)</f>
        <v>-33269.5</v>
      </c>
      <c r="V398" s="716">
        <f>IF(OR(status1B5!W93="",V$7="No aplica"),0,SUM('BOULEVARD 5'!$K91:Y91)-$AP398)</f>
        <v>-31699.5</v>
      </c>
      <c r="W398" s="716">
        <f>IF(OR(status1B5!X93="",W$7="No aplica"),0,SUM('BOULEVARD 5'!$K91:Z91)-$AP398)</f>
        <v>-30129.5</v>
      </c>
      <c r="X398" s="716">
        <f>IF(OR(status1B5!Y93="",X$7="No aplica"),0,SUM('BOULEVARD 5'!$K91:AA91)-$AP398)</f>
        <v>-28559.5</v>
      </c>
      <c r="Y398" s="716">
        <f>IF(OR(status1B5!Z93="",Y$7="No aplica"),0,SUM('BOULEVARD 5'!$K91:AB91)-$AP398)</f>
        <v>-26989.5</v>
      </c>
      <c r="Z398" s="716">
        <f>IF(OR(status1B5!AA93="",Z$7="No aplica"),0,SUM('BOULEVARD 5'!$K91:AC91)-$AP398)</f>
        <v>-25419.5</v>
      </c>
      <c r="AA398" s="716">
        <f>IF(OR(status1B5!AB93="",AA$7="No aplica"),0,SUM('BOULEVARD 5'!$K91:AD91)-$AP398)</f>
        <v>-23849.5</v>
      </c>
      <c r="AB398" s="716">
        <f>IF(OR(status1B5!AC93="",AB$7="No aplica"),0,SUM('BOULEVARD 5'!$K91:AE91)-$AP398)</f>
        <v>-22279.5</v>
      </c>
      <c r="AC398" s="716">
        <f>IF(OR(status1B5!AD93="",AC$7="No aplica"),0,SUM('BOULEVARD 5'!$K91:AF91)-$AP398)</f>
        <v>-20709.5</v>
      </c>
      <c r="AD398" s="716">
        <f>IF(OR(status1B5!AE93="",AD$7="No aplica"),0,SUM('BOULEVARD 5'!$K91:AG91)-$AP398)</f>
        <v>-19139.5</v>
      </c>
      <c r="AE398" s="716">
        <f>IF(OR(status1B5!AF93="",AE$7="No aplica"),0,SUM('BOULEVARD 5'!$K91:AH91)-$AP398)</f>
        <v>-17569.5</v>
      </c>
      <c r="AF398" s="716">
        <f>IF(OR(status1B5!AG93="",AF$7="No aplica"),0,SUM('BOULEVARD 5'!$K91:AI91)-$AP398)</f>
        <v>-15999.5</v>
      </c>
      <c r="AG398" s="716">
        <f>IF(OR(status1B5!AH93="",AG$7="No aplica"),0,SUM('BOULEVARD 5'!$K91:AJ91)-$AP398)</f>
        <v>-14429.5</v>
      </c>
      <c r="AH398" s="716">
        <f>IF(OR(status1B5!AI93="",AH$7="No aplica"),0,SUM('BOULEVARD 5'!$K91:AK91)-$AP398)</f>
        <v>-12859.5</v>
      </c>
      <c r="AI398" s="716">
        <f>IF(OR(status1B5!AJ93="",AI$7="No aplica"),0,SUM('BOULEVARD 5'!$K91:AL91)-$AP398)</f>
        <v>-11289.5</v>
      </c>
      <c r="AJ398" s="716">
        <f>IF(OR(status1B5!AK93="",AJ$7="No aplica"),0,SUM('BOULEVARD 5'!$K91:AM91)-$AP398)</f>
        <v>-9719.5</v>
      </c>
      <c r="AK398" s="716">
        <f>IF(OR(status1B5!AL93="",AK$7="No aplica"),0,SUM('BOULEVARD 5'!$K91:AN91)-$AP398)</f>
        <v>-8149.5</v>
      </c>
      <c r="AL398" s="716">
        <f>IF(OR(status1B5!AM93="",AL$7="No aplica"),0,SUM('BOULEVARD 5'!$K91:AO91)-$AP398)</f>
        <v>-6579.5</v>
      </c>
      <c r="AM398" s="716">
        <f>IF(OR(status1B5!AN93="",AM$7="No aplica"),0,SUM('BOULEVARD 5'!$K91:AP91)-$AP398)</f>
        <v>-5009.5</v>
      </c>
      <c r="AN398" s="716">
        <f>IF(OR(status1B5!AO93="",AN$7="No aplica"),0,SUM('BOULEVARD 5'!$K91:AQ91)-$AP398)</f>
        <v>0</v>
      </c>
      <c r="AO398" s="716">
        <f>IF(OR(status1B5!AP93="",AO$7="No aplica"),0,SUM('BOULEVARD 5'!$K91:AS91)-$AP398)</f>
        <v>0</v>
      </c>
      <c r="AP398" s="717">
        <f>'BOULEVARD PPTO'!BC86</f>
        <v>61249.5</v>
      </c>
      <c r="AQ398" s="717">
        <f>'BOULEVARD 5'!AT91</f>
        <v>59380</v>
      </c>
      <c r="AR398" s="717">
        <f t="shared" si="104"/>
        <v>-1869.5</v>
      </c>
      <c r="AS398" s="717"/>
      <c r="AT398" s="581"/>
    </row>
    <row r="399" spans="1:46" ht="13.15" customHeight="1" outlineLevel="1" x14ac:dyDescent="0.25">
      <c r="A399" s="700">
        <f t="shared" si="102"/>
        <v>0</v>
      </c>
      <c r="B399" s="564">
        <f t="shared" ref="B399:G399" si="124">B94</f>
        <v>516</v>
      </c>
      <c r="C399" s="564" t="str">
        <f t="shared" si="124"/>
        <v>B4</v>
      </c>
      <c r="D399" s="564">
        <f t="shared" si="124"/>
        <v>0</v>
      </c>
      <c r="E399" s="564" t="str">
        <f t="shared" si="124"/>
        <v>Diana Alvarez</v>
      </c>
      <c r="F399" s="581" t="str">
        <f t="shared" si="124"/>
        <v>José Javier Sarceño Alfaro Y María Rosana Rivera Gallardo</v>
      </c>
      <c r="G399" s="566">
        <f t="shared" si="124"/>
        <v>45557</v>
      </c>
      <c r="H399" s="716">
        <f>IF(OR(status1B5!I94="",H$7="No aplica"),0,SUM('BOULEVARD 5'!$K92:K92)-$AP399)</f>
        <v>0</v>
      </c>
      <c r="I399" s="716">
        <f>IF(OR(status1B5!J94="",I$7="No aplica"),0,SUM('BOULEVARD 5'!$K92:L92)-$AP399)</f>
        <v>0</v>
      </c>
      <c r="J399" s="716">
        <f>IF(OR(status1B5!K94="",J$7="No aplica"),0,SUM('BOULEVARD 5'!$K92:M92)-$AP399)</f>
        <v>0</v>
      </c>
      <c r="K399" s="716">
        <f>IF(OR(status1B5!L94="",K$7="No aplica"),0,SUM('BOULEVARD 5'!$K92:N92)-$AP399)</f>
        <v>0</v>
      </c>
      <c r="L399" s="716">
        <f>IF(OR(status1B5!M94="",L$7="No aplica"),0,SUM('BOULEVARD 5'!$K92:O92)-$AP399)</f>
        <v>0</v>
      </c>
      <c r="M399" s="716">
        <f>IF(OR(status1B5!N94="",M$7="No aplica"),0,SUM('BOULEVARD 5'!$K92:P92)-$AP399)</f>
        <v>0</v>
      </c>
      <c r="N399" s="716">
        <f>IF(OR(status1B5!O94="",N$7="No aplica"),0,SUM('BOULEVARD 5'!$K92:Q92)-$AP399)</f>
        <v>0</v>
      </c>
      <c r="O399" s="716">
        <f>IF(OR(status1B5!P94="",O$7="No aplica"),0,SUM('BOULEVARD 5'!$K92:R92)-$AP399)</f>
        <v>0</v>
      </c>
      <c r="P399" s="716">
        <f>IF(OR(status1B5!Q94="",P$7="No aplica"),0,SUM('BOULEVARD 5'!$K92:S92)-$AP399)</f>
        <v>0</v>
      </c>
      <c r="Q399" s="716">
        <f>IF(OR(status1B5!R94="",Q$7="No aplica"),0,SUM('BOULEVARD 5'!$K92:T92)-$AP399)</f>
        <v>0</v>
      </c>
      <c r="R399" s="716">
        <f>IF(OR(status1B5!S94="",R$7="No aplica"),0,SUM('BOULEVARD 5'!$K92:U92)-$AP399)</f>
        <v>0</v>
      </c>
      <c r="S399" s="716">
        <f>IF(OR(status1B5!T94="",S$7="No aplica"),0,SUM('BOULEVARD 5'!$K92:V92)-$AP399)</f>
        <v>0</v>
      </c>
      <c r="T399" s="716">
        <f>IF(OR(status1B5!U94="",T$7="No aplica"),0,SUM('BOULEVARD 5'!$K92:W92)-$AP399)</f>
        <v>0</v>
      </c>
      <c r="U399" s="716">
        <f>IF(OR(status1B5!V94="",U$7="No aplica"),0,SUM('BOULEVARD 5'!$K92:X92)-$AP399)</f>
        <v>0</v>
      </c>
      <c r="V399" s="716">
        <f>IF(OR(status1B5!W94="",V$7="No aplica"),0,SUM('BOULEVARD 5'!$K92:Y92)-$AP399)</f>
        <v>0</v>
      </c>
      <c r="W399" s="716">
        <f>IF(OR(status1B5!X94="",W$7="No aplica"),0,SUM('BOULEVARD 5'!$K92:Z92)-$AP399)</f>
        <v>0</v>
      </c>
      <c r="X399" s="716">
        <f>IF(OR(status1B5!Y94="",X$7="No aplica"),0,SUM('BOULEVARD 5'!$K92:AA92)-$AP399)</f>
        <v>0</v>
      </c>
      <c r="Y399" s="716">
        <f>IF(OR(status1B5!Z94="",Y$7="No aplica"),0,SUM('BOULEVARD 5'!$K92:AB92)-$AP399)</f>
        <v>0</v>
      </c>
      <c r="Z399" s="716">
        <f>IF(OR(status1B5!AA94="",Z$7="No aplica"),0,SUM('BOULEVARD 5'!$K92:AC92)-$AP399)</f>
        <v>-93710</v>
      </c>
      <c r="AA399" s="716">
        <f>IF(OR(status1B5!AB94="",AA$7="No aplica"),0,SUM('BOULEVARD 5'!$K92:AD92)-$AP399)</f>
        <v>-87463</v>
      </c>
      <c r="AB399" s="716">
        <f>IF(OR(status1B5!AC94="",AB$7="No aplica"),0,SUM('BOULEVARD 5'!$K92:AE92)-$AP399)</f>
        <v>-81216</v>
      </c>
      <c r="AC399" s="716">
        <f>IF(OR(status1B5!AD94="",AC$7="No aplica"),0,SUM('BOULEVARD 5'!$K92:AF92)-$AP399)</f>
        <v>-74969</v>
      </c>
      <c r="AD399" s="716">
        <f>IF(OR(status1B5!AE94="",AD$7="No aplica"),0,SUM('BOULEVARD 5'!$K92:AG92)-$AP399)</f>
        <v>-68722</v>
      </c>
      <c r="AE399" s="716">
        <f>IF(OR(status1B5!AF94="",AE$7="No aplica"),0,SUM('BOULEVARD 5'!$K92:AH92)-$AP399)</f>
        <v>-62475</v>
      </c>
      <c r="AF399" s="716">
        <f>IF(OR(status1B5!AG94="",AF$7="No aplica"),0,SUM('BOULEVARD 5'!$K92:AI92)-$AP399)</f>
        <v>-56228</v>
      </c>
      <c r="AG399" s="716">
        <f>IF(OR(status1B5!AH94="",AG$7="No aplica"),0,SUM('BOULEVARD 5'!$K92:AJ92)-$AP399)</f>
        <v>-49981</v>
      </c>
      <c r="AH399" s="716">
        <f>IF(OR(status1B5!AI94="",AH$7="No aplica"),0,SUM('BOULEVARD 5'!$K92:AK92)-$AP399)</f>
        <v>-43734</v>
      </c>
      <c r="AI399" s="716">
        <f>IF(OR(status1B5!AJ94="",AI$7="No aplica"),0,SUM('BOULEVARD 5'!$K92:AL92)-$AP399)</f>
        <v>-43734</v>
      </c>
      <c r="AJ399" s="716">
        <f>IF(OR(status1B5!AK94="",AJ$7="No aplica"),0,SUM('BOULEVARD 5'!$K92:AM92)-$AP399)</f>
        <v>-31213</v>
      </c>
      <c r="AK399" s="716">
        <f>IF(OR(status1B5!AL94="",AK$7="No aplica"),0,SUM('BOULEVARD 5'!$K92:AN92)-$AP399)</f>
        <v>-24966</v>
      </c>
      <c r="AL399" s="716">
        <f>IF(OR(status1B5!AM94="",AL$7="No aplica"),0,SUM('BOULEVARD 5'!$K92:AO92)-$AP399)</f>
        <v>-24966</v>
      </c>
      <c r="AM399" s="716">
        <f>IF(OR(status1B5!AN94="",AM$7="No aplica"),0,SUM('BOULEVARD 5'!$K92:AP92)-$AP399)</f>
        <v>-18719</v>
      </c>
      <c r="AN399" s="716">
        <f>IF(OR(status1B5!AO94="",AN$7="No aplica"),0,SUM('BOULEVARD 5'!$K92:AQ92)-$AP399)</f>
        <v>0</v>
      </c>
      <c r="AO399" s="716">
        <f>IF(OR(status1B5!AP94="",AO$7="No aplica"),0,SUM('BOULEVARD 5'!$K92:AS92)-$AP399)</f>
        <v>0</v>
      </c>
      <c r="AP399" s="717">
        <f>'BOULEVARD PPTO'!BC87</f>
        <v>103710</v>
      </c>
      <c r="AQ399" s="717">
        <f>'BOULEVARD 5'!AT92</f>
        <v>103732</v>
      </c>
      <c r="AR399" s="717">
        <f t="shared" si="104"/>
        <v>22</v>
      </c>
      <c r="AS399" s="717"/>
      <c r="AT399" s="581"/>
    </row>
    <row r="400" spans="1:46" ht="13.15" customHeight="1" outlineLevel="1" x14ac:dyDescent="0.25">
      <c r="A400" s="700">
        <f t="shared" si="102"/>
        <v>0</v>
      </c>
      <c r="B400" s="564">
        <f t="shared" ref="B400:G400" si="125">B95</f>
        <v>517</v>
      </c>
      <c r="C400" s="564" t="str">
        <f t="shared" si="125"/>
        <v>B3</v>
      </c>
      <c r="D400" s="564">
        <f t="shared" si="125"/>
        <v>0</v>
      </c>
      <c r="E400" s="564" t="str">
        <f t="shared" si="125"/>
        <v>Antonio Rada</v>
      </c>
      <c r="F400" s="581" t="str">
        <f t="shared" si="125"/>
        <v>Jorge Estuardo Díaz Durán Baldetti</v>
      </c>
      <c r="G400" s="566">
        <f t="shared" si="125"/>
        <v>45425</v>
      </c>
      <c r="H400" s="716">
        <f>IF(OR(status1B5!I95="",H$7="No aplica"),0,SUM('BOULEVARD 5'!$K93:K93)-$AP400)</f>
        <v>0</v>
      </c>
      <c r="I400" s="716">
        <f>IF(OR(status1B5!J95="",I$7="No aplica"),0,SUM('BOULEVARD 5'!$K93:L93)-$AP400)</f>
        <v>0</v>
      </c>
      <c r="J400" s="716">
        <f>IF(OR(status1B5!K95="",J$7="No aplica"),0,SUM('BOULEVARD 5'!$K93:M93)-$AP400)</f>
        <v>0</v>
      </c>
      <c r="K400" s="716">
        <f>IF(OR(status1B5!L95="",K$7="No aplica"),0,SUM('BOULEVARD 5'!$K93:N93)-$AP400)</f>
        <v>0</v>
      </c>
      <c r="L400" s="716">
        <f>IF(OR(status1B5!M95="",L$7="No aplica"),0,SUM('BOULEVARD 5'!$K93:O93)-$AP400)</f>
        <v>0</v>
      </c>
      <c r="M400" s="716">
        <f>IF(OR(status1B5!N95="",M$7="No aplica"),0,SUM('BOULEVARD 5'!$K93:P93)-$AP400)</f>
        <v>0</v>
      </c>
      <c r="N400" s="716">
        <f>IF(OR(status1B5!O95="",N$7="No aplica"),0,SUM('BOULEVARD 5'!$K93:Q93)-$AP400)</f>
        <v>0</v>
      </c>
      <c r="O400" s="716">
        <f>IF(OR(status1B5!P95="",O$7="No aplica"),0,SUM('BOULEVARD 5'!$K93:R93)-$AP400)</f>
        <v>0</v>
      </c>
      <c r="P400" s="716">
        <f>IF(OR(status1B5!Q95="",P$7="No aplica"),0,SUM('BOULEVARD 5'!$K93:S93)-$AP400)</f>
        <v>0</v>
      </c>
      <c r="Q400" s="716">
        <f>IF(OR(status1B5!R95="",Q$7="No aplica"),0,SUM('BOULEVARD 5'!$K93:T93)-$AP400)</f>
        <v>0</v>
      </c>
      <c r="R400" s="716">
        <f>IF(OR(status1B5!S95="",R$7="No aplica"),0,SUM('BOULEVARD 5'!$K93:U93)-$AP400)</f>
        <v>0</v>
      </c>
      <c r="S400" s="716">
        <f>IF(OR(status1B5!T95="",S$7="No aplica"),0,SUM('BOULEVARD 5'!$K93:V93)-$AP400)</f>
        <v>0</v>
      </c>
      <c r="T400" s="716">
        <f>IF(OR(status1B5!U95="",T$7="No aplica"),0,SUM('BOULEVARD 5'!$K93:W93)-$AP400)</f>
        <v>0</v>
      </c>
      <c r="U400" s="716">
        <f>IF(OR(status1B5!V95="",U$7="No aplica"),0,SUM('BOULEVARD 5'!$K93:X93)-$AP400)</f>
        <v>0</v>
      </c>
      <c r="V400" s="716">
        <f>IF(OR(status1B5!W95="",V$7="No aplica"),0,SUM('BOULEVARD 5'!$K93:Y93)-$AP400)</f>
        <v>-79162.12</v>
      </c>
      <c r="W400" s="716">
        <f>IF(OR(status1B5!X95="",W$7="No aplica"),0,SUM('BOULEVARD 5'!$K93:Z93)-$AP400)</f>
        <v>-75122.12</v>
      </c>
      <c r="X400" s="716">
        <f>IF(OR(status1B5!Y95="",X$7="No aplica"),0,SUM('BOULEVARD 5'!$K93:AA93)-$AP400)</f>
        <v>-70956.12</v>
      </c>
      <c r="Y400" s="716">
        <f>IF(OR(status1B5!Z95="",Y$7="No aplica"),0,SUM('BOULEVARD 5'!$K93:AB93)-$AP400)</f>
        <v>-66790.12</v>
      </c>
      <c r="Z400" s="716">
        <f>IF(OR(status1B5!AA95="",Z$7="No aplica"),0,SUM('BOULEVARD 5'!$K93:AC93)-$AP400)</f>
        <v>-62624.119999999995</v>
      </c>
      <c r="AA400" s="716">
        <f>IF(OR(status1B5!AB95="",AA$7="No aplica"),0,SUM('BOULEVARD 5'!$K93:AD93)-$AP400)</f>
        <v>-58458.119999999995</v>
      </c>
      <c r="AB400" s="716">
        <f>IF(OR(status1B5!AC95="",AB$7="No aplica"),0,SUM('BOULEVARD 5'!$K93:AE93)-$AP400)</f>
        <v>-50126.119999999995</v>
      </c>
      <c r="AC400" s="716">
        <f>IF(OR(status1B5!AD95="",AC$7="No aplica"),0,SUM('BOULEVARD 5'!$K93:AF93)-$AP400)</f>
        <v>-45960.119999999995</v>
      </c>
      <c r="AD400" s="716">
        <f>IF(OR(status1B5!AE95="",AD$7="No aplica"),0,SUM('BOULEVARD 5'!$K93:AG93)-$AP400)</f>
        <v>-45960.119999999995</v>
      </c>
      <c r="AE400" s="716">
        <f>IF(OR(status1B5!AF95="",AE$7="No aplica"),0,SUM('BOULEVARD 5'!$K93:AH93)-$AP400)</f>
        <v>-41794.119999999995</v>
      </c>
      <c r="AF400" s="716">
        <f>IF(OR(status1B5!AG95="",AF$7="No aplica"),0,SUM('BOULEVARD 5'!$K93:AI93)-$AP400)</f>
        <v>-37628.119999999995</v>
      </c>
      <c r="AG400" s="716">
        <f>IF(OR(status1B5!AH95="",AG$7="No aplica"),0,SUM('BOULEVARD 5'!$K93:AJ93)-$AP400)</f>
        <v>-33462.119999999995</v>
      </c>
      <c r="AH400" s="716">
        <f>IF(OR(status1B5!AI95="",AH$7="No aplica"),0,SUM('BOULEVARD 5'!$K93:AK93)-$AP400)</f>
        <v>-29296.119999999995</v>
      </c>
      <c r="AI400" s="716">
        <f>IF(OR(status1B5!AJ95="",AI$7="No aplica"),0,SUM('BOULEVARD 5'!$K93:AL93)-$AP400)</f>
        <v>-25130.119999999995</v>
      </c>
      <c r="AJ400" s="716">
        <f>IF(OR(status1B5!AK95="",AJ$7="No aplica"),0,SUM('BOULEVARD 5'!$K93:AM93)-$AP400)</f>
        <v>-20964.119999999995</v>
      </c>
      <c r="AK400" s="716">
        <f>IF(OR(status1B5!AL95="",AK$7="No aplica"),0,SUM('BOULEVARD 5'!$K93:AN93)-$AP400)</f>
        <v>-16798.119999999995</v>
      </c>
      <c r="AL400" s="716">
        <f>IF(OR(status1B5!AM95="",AL$7="No aplica"),0,SUM('BOULEVARD 5'!$K93:AO93)-$AP400)</f>
        <v>-12632.119999999995</v>
      </c>
      <c r="AM400" s="716">
        <f>IF(OR(status1B5!AN95="",AM$7="No aplica"),0,SUM('BOULEVARD 5'!$K93:AP93)-$AP400)</f>
        <v>-8466.1199999999953</v>
      </c>
      <c r="AN400" s="716">
        <f>IF(OR(status1B5!AO95="",AN$7="No aplica"),0,SUM('BOULEVARD 5'!$K93:AQ93)-$AP400)</f>
        <v>0</v>
      </c>
      <c r="AO400" s="716">
        <f>IF(OR(status1B5!AP95="",AO$7="No aplica"),0,SUM('BOULEVARD 5'!$K93:AS93)-$AP400)</f>
        <v>0</v>
      </c>
      <c r="AP400" s="717">
        <f>'BOULEVARD PPTO'!BC88</f>
        <v>87162.12</v>
      </c>
      <c r="AQ400" s="717">
        <f>'BOULEVARD 5'!AT93</f>
        <v>133540</v>
      </c>
      <c r="AR400" s="717">
        <f t="shared" si="104"/>
        <v>46377.880000000005</v>
      </c>
      <c r="AS400" s="717"/>
      <c r="AT400" s="581"/>
    </row>
    <row r="401" spans="1:46" ht="13.15" customHeight="1" outlineLevel="1" x14ac:dyDescent="0.25">
      <c r="A401" s="700">
        <f t="shared" si="102"/>
        <v>0</v>
      </c>
      <c r="B401" s="564">
        <f t="shared" ref="B401:G401" si="126">B96</f>
        <v>518</v>
      </c>
      <c r="C401" s="564" t="str">
        <f t="shared" si="126"/>
        <v>E9</v>
      </c>
      <c r="D401" s="564">
        <f t="shared" si="126"/>
        <v>0</v>
      </c>
      <c r="E401" s="564" t="str">
        <f t="shared" si="126"/>
        <v>Diana Alvarez</v>
      </c>
      <c r="F401" s="581" t="str">
        <f t="shared" si="126"/>
        <v>Karla Denisse Ariana Méndez Contreras</v>
      </c>
      <c r="G401" s="566">
        <f t="shared" si="126"/>
        <v>45594</v>
      </c>
      <c r="H401" s="716">
        <f>IF(OR(status1B5!I96="",H$7="No aplica"),0,SUM('BOULEVARD 5'!$K94:K94)-$AP401)</f>
        <v>0</v>
      </c>
      <c r="I401" s="716">
        <f>IF(OR(status1B5!J96="",I$7="No aplica"),0,SUM('BOULEVARD 5'!$K94:L94)-$AP401)</f>
        <v>0</v>
      </c>
      <c r="J401" s="716">
        <f>IF(OR(status1B5!K96="",J$7="No aplica"),0,SUM('BOULEVARD 5'!$K94:M94)-$AP401)</f>
        <v>0</v>
      </c>
      <c r="K401" s="716">
        <f>IF(OR(status1B5!L96="",K$7="No aplica"),0,SUM('BOULEVARD 5'!$K94:N94)-$AP401)</f>
        <v>0</v>
      </c>
      <c r="L401" s="716">
        <f>IF(OR(status1B5!M96="",L$7="No aplica"),0,SUM('BOULEVARD 5'!$K94:O94)-$AP401)</f>
        <v>0</v>
      </c>
      <c r="M401" s="716">
        <f>IF(OR(status1B5!N96="",M$7="No aplica"),0,SUM('BOULEVARD 5'!$K94:P94)-$AP401)</f>
        <v>0</v>
      </c>
      <c r="N401" s="716">
        <f>IF(OR(status1B5!O96="",N$7="No aplica"),0,SUM('BOULEVARD 5'!$K94:Q94)-$AP401)</f>
        <v>0</v>
      </c>
      <c r="O401" s="716">
        <f>IF(OR(status1B5!P96="",O$7="No aplica"),0,SUM('BOULEVARD 5'!$K94:R94)-$AP401)</f>
        <v>0</v>
      </c>
      <c r="P401" s="716">
        <f>IF(OR(status1B5!Q96="",P$7="No aplica"),0,SUM('BOULEVARD 5'!$K94:S94)-$AP401)</f>
        <v>0</v>
      </c>
      <c r="Q401" s="716">
        <f>IF(OR(status1B5!R96="",Q$7="No aplica"),0,SUM('BOULEVARD 5'!$K94:T94)-$AP401)</f>
        <v>0</v>
      </c>
      <c r="R401" s="716">
        <f>IF(OR(status1B5!S96="",R$7="No aplica"),0,SUM('BOULEVARD 5'!$K94:U94)-$AP401)</f>
        <v>0</v>
      </c>
      <c r="S401" s="716">
        <f>IF(OR(status1B5!T96="",S$7="No aplica"),0,SUM('BOULEVARD 5'!$K94:V94)-$AP401)</f>
        <v>0</v>
      </c>
      <c r="T401" s="716">
        <f>IF(OR(status1B5!U96="",T$7="No aplica"),0,SUM('BOULEVARD 5'!$K94:W94)-$AP401)</f>
        <v>0</v>
      </c>
      <c r="U401" s="716">
        <f>IF(OR(status1B5!V96="",U$7="No aplica"),0,SUM('BOULEVARD 5'!$K94:X94)-$AP401)</f>
        <v>0</v>
      </c>
      <c r="V401" s="716">
        <f>IF(OR(status1B5!W96="",V$7="No aplica"),0,SUM('BOULEVARD 5'!$K94:Y94)-$AP401)</f>
        <v>0</v>
      </c>
      <c r="W401" s="716">
        <f>IF(OR(status1B5!X96="",W$7="No aplica"),0,SUM('BOULEVARD 5'!$K94:Z94)-$AP401)</f>
        <v>0</v>
      </c>
      <c r="X401" s="716">
        <f>IF(OR(status1B5!Y96="",X$7="No aplica"),0,SUM('BOULEVARD 5'!$K94:AA94)-$AP401)</f>
        <v>0</v>
      </c>
      <c r="Y401" s="716">
        <f>IF(OR(status1B5!Z96="",Y$7="No aplica"),0,SUM('BOULEVARD 5'!$K94:AB94)-$AP401)</f>
        <v>0</v>
      </c>
      <c r="Z401" s="716">
        <f>IF(OR(status1B5!AA96="",Z$7="No aplica"),0,SUM('BOULEVARD 5'!$K94:AC94)-$AP401)</f>
        <v>0</v>
      </c>
      <c r="AA401" s="716">
        <f>IF(OR(status1B5!AB96="",AA$7="No aplica"),0,SUM('BOULEVARD 5'!$K94:AD94)-$AP401)</f>
        <v>-140549.44</v>
      </c>
      <c r="AB401" s="716">
        <f>IF(OR(status1B5!AC96="",AB$7="No aplica"),0,SUM('BOULEVARD 5'!$K94:AE94)-$AP401)</f>
        <v>-140549.44</v>
      </c>
      <c r="AC401" s="716">
        <f>IF(OR(status1B5!AD96="",AC$7="No aplica"),0,SUM('BOULEVARD 5'!$K94:AF94)-$AP401)</f>
        <v>-105549.44</v>
      </c>
      <c r="AD401" s="716">
        <f>IF(OR(status1B5!AE96="",AD$7="No aplica"),0,SUM('BOULEVARD 5'!$K94:AG94)-$AP401)</f>
        <v>-105549.44</v>
      </c>
      <c r="AE401" s="716">
        <f>IF(OR(status1B5!AF96="",AE$7="No aplica"),0,SUM('BOULEVARD 5'!$K94:AH94)-$AP401)</f>
        <v>-70549.440000000002</v>
      </c>
      <c r="AF401" s="716">
        <f>IF(OR(status1B5!AG96="",AF$7="No aplica"),0,SUM('BOULEVARD 5'!$K94:AI94)-$AP401)</f>
        <v>-70549.440000000002</v>
      </c>
      <c r="AG401" s="716">
        <f>IF(OR(status1B5!AH96="",AG$7="No aplica"),0,SUM('BOULEVARD 5'!$K94:AJ94)-$AP401)</f>
        <v>-70549.440000000002</v>
      </c>
      <c r="AH401" s="716">
        <f>IF(OR(status1B5!AI96="",AH$7="No aplica"),0,SUM('BOULEVARD 5'!$K94:AK94)-$AP401)</f>
        <v>-70549.440000000002</v>
      </c>
      <c r="AI401" s="716">
        <f>IF(OR(status1B5!AJ96="",AI$7="No aplica"),0,SUM('BOULEVARD 5'!$K94:AL94)-$AP401)</f>
        <v>-62549.440000000002</v>
      </c>
      <c r="AJ401" s="716">
        <f>IF(OR(status1B5!AK96="",AJ$7="No aplica"),0,SUM('BOULEVARD 5'!$K94:AM94)-$AP401)</f>
        <v>-51785.440000000002</v>
      </c>
      <c r="AK401" s="716">
        <f>IF(OR(status1B5!AL96="",AK$7="No aplica"),0,SUM('BOULEVARD 5'!$K94:AN94)-$AP401)</f>
        <v>-51785.440000000002</v>
      </c>
      <c r="AL401" s="716">
        <f>IF(OR(status1B5!AM96="",AL$7="No aplica"),0,SUM('BOULEVARD 5'!$K94:AO94)-$AP401)</f>
        <v>-51785.440000000002</v>
      </c>
      <c r="AM401" s="716">
        <f>IF(OR(status1B5!AN96="",AM$7="No aplica"),0,SUM('BOULEVARD 5'!$K94:AP94)-$AP401)</f>
        <v>-41785.440000000002</v>
      </c>
      <c r="AN401" s="716">
        <f>IF(OR(status1B5!AO96="",AN$7="No aplica"),0,SUM('BOULEVARD 5'!$K94:AQ94)-$AP401)</f>
        <v>0</v>
      </c>
      <c r="AO401" s="716">
        <f>IF(OR(status1B5!AP96="",AO$7="No aplica"),0,SUM('BOULEVARD 5'!$K94:AS94)-$AP401)</f>
        <v>0</v>
      </c>
      <c r="AP401" s="717">
        <f>'BOULEVARD PPTO'!BC89</f>
        <v>150549.44</v>
      </c>
      <c r="AQ401" s="717">
        <f>'BOULEVARD 5'!AT94</f>
        <v>550549.43999999994</v>
      </c>
      <c r="AR401" s="717">
        <f t="shared" si="104"/>
        <v>399999.99999999994</v>
      </c>
      <c r="AS401" s="717"/>
      <c r="AT401" s="581"/>
    </row>
    <row r="402" spans="1:46" ht="13.15" customHeight="1" outlineLevel="1" x14ac:dyDescent="0.25">
      <c r="A402" s="700">
        <f t="shared" si="102"/>
        <v>0</v>
      </c>
      <c r="B402" s="564">
        <f t="shared" ref="B402:G402" si="127">B97</f>
        <v>519</v>
      </c>
      <c r="C402" s="564" t="str">
        <f t="shared" si="127"/>
        <v>E10</v>
      </c>
      <c r="D402" s="564">
        <f t="shared" si="127"/>
        <v>0</v>
      </c>
      <c r="E402" s="564" t="str">
        <f t="shared" si="127"/>
        <v>Anahí Cisneros</v>
      </c>
      <c r="F402" s="581" t="str">
        <f t="shared" si="127"/>
        <v>Neftali Hemanuel de Leon Recinos</v>
      </c>
      <c r="G402" s="566">
        <f t="shared" si="127"/>
        <v>45898</v>
      </c>
      <c r="H402" s="716">
        <f>IF(OR(status1B5!I97="",H$7="No aplica"),0,SUM('BOULEVARD 5'!$K95:K95)-$AP402)</f>
        <v>0</v>
      </c>
      <c r="I402" s="716">
        <f>IF(OR(status1B5!J97="",I$7="No aplica"),0,SUM('BOULEVARD 5'!$K95:L95)-$AP402)</f>
        <v>0</v>
      </c>
      <c r="J402" s="716">
        <f>IF(OR(status1B5!K97="",J$7="No aplica"),0,SUM('BOULEVARD 5'!$K95:M95)-$AP402)</f>
        <v>0</v>
      </c>
      <c r="K402" s="716">
        <f>IF(OR(status1B5!L97="",K$7="No aplica"),0,SUM('BOULEVARD 5'!$K95:N95)-$AP402)</f>
        <v>0</v>
      </c>
      <c r="L402" s="716">
        <f>IF(OR(status1B5!M97="",L$7="No aplica"),0,SUM('BOULEVARD 5'!$K95:O95)-$AP402)</f>
        <v>0</v>
      </c>
      <c r="M402" s="716">
        <f>IF(OR(status1B5!N97="",M$7="No aplica"),0,SUM('BOULEVARD 5'!$K95:P95)-$AP402)</f>
        <v>0</v>
      </c>
      <c r="N402" s="716">
        <f>IF(OR(status1B5!O97="",N$7="No aplica"),0,SUM('BOULEVARD 5'!$K95:Q95)-$AP402)</f>
        <v>0</v>
      </c>
      <c r="O402" s="716">
        <f>IF(OR(status1B5!P97="",O$7="No aplica"),0,SUM('BOULEVARD 5'!$K95:R95)-$AP402)</f>
        <v>0</v>
      </c>
      <c r="P402" s="716">
        <f>IF(OR(status1B5!Q97="",P$7="No aplica"),0,SUM('BOULEVARD 5'!$K95:S95)-$AP402)</f>
        <v>0</v>
      </c>
      <c r="Q402" s="716">
        <f>IF(OR(status1B5!R97="",Q$7="No aplica"),0,SUM('BOULEVARD 5'!$K95:T95)-$AP402)</f>
        <v>0</v>
      </c>
      <c r="R402" s="716">
        <f>IF(OR(status1B5!S97="",R$7="No aplica"),0,SUM('BOULEVARD 5'!$K95:U95)-$AP402)</f>
        <v>0</v>
      </c>
      <c r="S402" s="716">
        <f>IF(OR(status1B5!T97="",S$7="No aplica"),0,SUM('BOULEVARD 5'!$K95:V95)-$AP402)</f>
        <v>0</v>
      </c>
      <c r="T402" s="716">
        <f>IF(OR(status1B5!U97="",T$7="No aplica"),0,SUM('BOULEVARD 5'!$K95:W95)-$AP402)</f>
        <v>0</v>
      </c>
      <c r="U402" s="716">
        <f>IF(OR(status1B5!V97="",U$7="No aplica"),0,SUM('BOULEVARD 5'!$K95:X95)-$AP402)</f>
        <v>0</v>
      </c>
      <c r="V402" s="716">
        <f>IF(OR(status1B5!W97="",V$7="No aplica"),0,SUM('BOULEVARD 5'!$K95:Y95)-$AP402)</f>
        <v>0</v>
      </c>
      <c r="W402" s="716">
        <f>IF(OR(status1B5!X97="",W$7="No aplica"),0,SUM('BOULEVARD 5'!$K95:Z95)-$AP402)</f>
        <v>0</v>
      </c>
      <c r="X402" s="716">
        <f>IF(OR(status1B5!Y97="",X$7="No aplica"),0,SUM('BOULEVARD 5'!$K95:AA95)-$AP402)</f>
        <v>0</v>
      </c>
      <c r="Y402" s="716">
        <f>IF(OR(status1B5!Z97="",Y$7="No aplica"),0,SUM('BOULEVARD 5'!$K95:AB95)-$AP402)</f>
        <v>0</v>
      </c>
      <c r="Z402" s="716">
        <f>IF(OR(status1B5!AA97="",Z$7="No aplica"),0,SUM('BOULEVARD 5'!$K95:AC95)-$AP402)</f>
        <v>0</v>
      </c>
      <c r="AA402" s="716">
        <f>IF(OR(status1B5!AB97="",AA$7="No aplica"),0,SUM('BOULEVARD 5'!$K95:AD95)-$AP402)</f>
        <v>0</v>
      </c>
      <c r="AB402" s="716">
        <f>IF(OR(status1B5!AC97="",AB$7="No aplica"),0,SUM('BOULEVARD 5'!$K95:AE95)-$AP402)</f>
        <v>0</v>
      </c>
      <c r="AC402" s="716">
        <f>IF(OR(status1B5!AD97="",AC$7="No aplica"),0,SUM('BOULEVARD 5'!$K95:AF95)-$AP402)</f>
        <v>0</v>
      </c>
      <c r="AD402" s="716">
        <f>IF(OR(status1B5!AE97="",AD$7="No aplica"),0,SUM('BOULEVARD 5'!$K95:AG95)-$AP402)</f>
        <v>0</v>
      </c>
      <c r="AE402" s="716">
        <f>IF(OR(status1B5!AF97="",AE$7="No aplica"),0,SUM('BOULEVARD 5'!$K95:AH95)-$AP402)</f>
        <v>0</v>
      </c>
      <c r="AF402" s="716">
        <f>IF(OR(status1B5!AG97="",AF$7="No aplica"),0,SUM('BOULEVARD 5'!$K95:AI95)-$AP402)</f>
        <v>0</v>
      </c>
      <c r="AG402" s="716">
        <f>IF(OR(status1B5!AH97="",AG$7="No aplica"),0,SUM('BOULEVARD 5'!$K95:AJ95)-$AP402)</f>
        <v>0</v>
      </c>
      <c r="AH402" s="716">
        <f>IF(OR(status1B5!AI97="",AH$7="No aplica"),0,SUM('BOULEVARD 5'!$K95:AK95)-$AP402)</f>
        <v>0</v>
      </c>
      <c r="AI402" s="716">
        <f>IF(OR(status1B5!AJ97="",AI$7="No aplica"),0,SUM('BOULEVARD 5'!$K95:AL95)-$AP402)</f>
        <v>0</v>
      </c>
      <c r="AJ402" s="716">
        <f>IF(OR(status1B5!AK97="",AJ$7="No aplica"),0,SUM('BOULEVARD 5'!$K95:AM95)-$AP402)</f>
        <v>0</v>
      </c>
      <c r="AK402" s="716">
        <f>IF(OR(status1B5!AL97="",AK$7="No aplica"),0,SUM('BOULEVARD 5'!$K95:AN95)-$AP402)</f>
        <v>-102100</v>
      </c>
      <c r="AL402" s="716">
        <f>IF(OR(status1B5!AM97="",AL$7="No aplica"),0,SUM('BOULEVARD 5'!$K95:AO95)-$AP402)</f>
        <v>-91890</v>
      </c>
      <c r="AM402" s="716">
        <f>IF(OR(status1B5!AN97="",AM$7="No aplica"),0,SUM('BOULEVARD 5'!$K95:AP95)-$AP402)</f>
        <v>-81680</v>
      </c>
      <c r="AN402" s="716">
        <f>IF(OR(status1B5!AO97="",AN$7="No aplica"),0,SUM('BOULEVARD 5'!$K95:AQ95)-$AP402)</f>
        <v>0</v>
      </c>
      <c r="AO402" s="716">
        <f>IF(OR(status1B5!AP97="",AO$7="No aplica"),0,SUM('BOULEVARD 5'!$K95:AS95)-$AP402)</f>
        <v>0</v>
      </c>
      <c r="AP402" s="717">
        <f>'BOULEVARD PPTO'!BC90</f>
        <v>112100</v>
      </c>
      <c r="AQ402" s="717">
        <f>'BOULEVARD 5'!AT95</f>
        <v>61050</v>
      </c>
      <c r="AR402" s="717">
        <f t="shared" si="104"/>
        <v>-51050</v>
      </c>
      <c r="AS402" s="717"/>
      <c r="AT402" s="581"/>
    </row>
    <row r="403" spans="1:46" ht="13.15" customHeight="1" outlineLevel="1" x14ac:dyDescent="0.25">
      <c r="A403" s="700">
        <f t="shared" si="102"/>
        <v>0</v>
      </c>
      <c r="B403" s="564">
        <f t="shared" ref="B403:G403" si="128">B98</f>
        <v>601</v>
      </c>
      <c r="C403" s="564" t="str">
        <f t="shared" si="128"/>
        <v>E9</v>
      </c>
      <c r="D403" s="564">
        <f t="shared" si="128"/>
        <v>0</v>
      </c>
      <c r="E403" s="564" t="str">
        <f t="shared" si="128"/>
        <v>Diana Alvarez</v>
      </c>
      <c r="F403" s="581" t="str">
        <f t="shared" si="128"/>
        <v>Cedric Amilcar Rivera Fajardo</v>
      </c>
      <c r="G403" s="566">
        <f t="shared" si="128"/>
        <v>45580</v>
      </c>
      <c r="H403" s="716">
        <f>IF(OR(status1B5!I98="",H$7="No aplica"),0,SUM('BOULEVARD 5'!$K96:K96)-$AP403)</f>
        <v>0</v>
      </c>
      <c r="I403" s="716">
        <f>IF(OR(status1B5!J98="",I$7="No aplica"),0,SUM('BOULEVARD 5'!$K96:L96)-$AP403)</f>
        <v>0</v>
      </c>
      <c r="J403" s="716">
        <f>IF(OR(status1B5!K98="",J$7="No aplica"),0,SUM('BOULEVARD 5'!$K96:M96)-$AP403)</f>
        <v>0</v>
      </c>
      <c r="K403" s="716">
        <f>IF(OR(status1B5!L98="",K$7="No aplica"),0,SUM('BOULEVARD 5'!$K96:N96)-$AP403)</f>
        <v>0</v>
      </c>
      <c r="L403" s="716">
        <f>IF(OR(status1B5!M98="",L$7="No aplica"),0,SUM('BOULEVARD 5'!$K96:O96)-$AP403)</f>
        <v>0</v>
      </c>
      <c r="M403" s="716">
        <f>IF(OR(status1B5!N98="",M$7="No aplica"),0,SUM('BOULEVARD 5'!$K96:P96)-$AP403)</f>
        <v>0</v>
      </c>
      <c r="N403" s="716">
        <f>IF(OR(status1B5!O98="",N$7="No aplica"),0,SUM('BOULEVARD 5'!$K96:Q96)-$AP403)</f>
        <v>0</v>
      </c>
      <c r="O403" s="716">
        <f>IF(OR(status1B5!P98="",O$7="No aplica"),0,SUM('BOULEVARD 5'!$K96:R96)-$AP403)</f>
        <v>0</v>
      </c>
      <c r="P403" s="716">
        <f>IF(OR(status1B5!Q98="",P$7="No aplica"),0,SUM('BOULEVARD 5'!$K96:S96)-$AP403)</f>
        <v>0</v>
      </c>
      <c r="Q403" s="716">
        <f>IF(OR(status1B5!R98="",Q$7="No aplica"),0,SUM('BOULEVARD 5'!$K96:T96)-$AP403)</f>
        <v>0</v>
      </c>
      <c r="R403" s="716">
        <f>IF(OR(status1B5!S98="",R$7="No aplica"),0,SUM('BOULEVARD 5'!$K96:U96)-$AP403)</f>
        <v>0</v>
      </c>
      <c r="S403" s="716">
        <f>IF(OR(status1B5!T98="",S$7="No aplica"),0,SUM('BOULEVARD 5'!$K96:V96)-$AP403)</f>
        <v>0</v>
      </c>
      <c r="T403" s="716">
        <f>IF(OR(status1B5!U98="",T$7="No aplica"),0,SUM('BOULEVARD 5'!$K96:W96)-$AP403)</f>
        <v>0</v>
      </c>
      <c r="U403" s="716">
        <f>IF(OR(status1B5!V98="",U$7="No aplica"),0,SUM('BOULEVARD 5'!$K96:X96)-$AP403)</f>
        <v>0</v>
      </c>
      <c r="V403" s="716">
        <f>IF(OR(status1B5!W98="",V$7="No aplica"),0,SUM('BOULEVARD 5'!$K96:Y96)-$AP403)</f>
        <v>0</v>
      </c>
      <c r="W403" s="716">
        <f>IF(OR(status1B5!X98="",W$7="No aplica"),0,SUM('BOULEVARD 5'!$K96:Z96)-$AP403)</f>
        <v>0</v>
      </c>
      <c r="X403" s="716">
        <f>IF(OR(status1B5!Y98="",X$7="No aplica"),0,SUM('BOULEVARD 5'!$K96:AA96)-$AP403)</f>
        <v>0</v>
      </c>
      <c r="Y403" s="716">
        <f>IF(OR(status1B5!Z98="",Y$7="No aplica"),0,SUM('BOULEVARD 5'!$K96:AB96)-$AP403)</f>
        <v>0</v>
      </c>
      <c r="Z403" s="716">
        <f>IF(OR(status1B5!AA98="",Z$7="No aplica"),0,SUM('BOULEVARD 5'!$K96:AC96)-$AP403)</f>
        <v>0</v>
      </c>
      <c r="AA403" s="716">
        <f>IF(OR(status1B5!AB98="",AA$7="No aplica"),0,SUM('BOULEVARD 5'!$K96:AD96)-$AP403)</f>
        <v>-137912.79999999999</v>
      </c>
      <c r="AB403" s="716">
        <f>IF(OR(status1B5!AC98="",AB$7="No aplica"),0,SUM('BOULEVARD 5'!$K96:AE96)-$AP403)</f>
        <v>-127912.79999999999</v>
      </c>
      <c r="AC403" s="716">
        <f>IF(OR(status1B5!AD98="",AC$7="No aplica"),0,SUM('BOULEVARD 5'!$K96:AF96)-$AP403)</f>
        <v>-77912.799999999988</v>
      </c>
      <c r="AD403" s="716">
        <f>IF(OR(status1B5!AE98="",AD$7="No aplica"),0,SUM('BOULEVARD 5'!$K96:AG96)-$AP403)</f>
        <v>-67912.799999999988</v>
      </c>
      <c r="AE403" s="716">
        <f>IF(OR(status1B5!AF98="",AE$7="No aplica"),0,SUM('BOULEVARD 5'!$K96:AH96)-$AP403)</f>
        <v>-57912.799999999988</v>
      </c>
      <c r="AF403" s="716">
        <f>IF(OR(status1B5!AG98="",AF$7="No aplica"),0,SUM('BOULEVARD 5'!$K96:AI96)-$AP403)</f>
        <v>-47912.799999999988</v>
      </c>
      <c r="AG403" s="716">
        <f>IF(OR(status1B5!AH98="",AG$7="No aplica"),0,SUM('BOULEVARD 5'!$K96:AJ96)-$AP403)</f>
        <v>-37912.799999999988</v>
      </c>
      <c r="AH403" s="716">
        <f>IF(OR(status1B5!AI98="",AH$7="No aplica"),0,SUM('BOULEVARD 5'!$K96:AK96)-$AP403)</f>
        <v>-27912.799999999988</v>
      </c>
      <c r="AI403" s="716">
        <f>IF(OR(status1B5!AJ98="",AI$7="No aplica"),0,SUM('BOULEVARD 5'!$K96:AL96)-$AP403)</f>
        <v>-17912.799999999988</v>
      </c>
      <c r="AJ403" s="716">
        <f>IF(OR(status1B5!AK98="",AJ$7="No aplica"),0,SUM('BOULEVARD 5'!$K96:AM96)-$AP403)</f>
        <v>-17912.799999999988</v>
      </c>
      <c r="AK403" s="716">
        <f>IF(OR(status1B5!AL98="",AK$7="No aplica"),0,SUM('BOULEVARD 5'!$K96:AN96)-$AP403)</f>
        <v>-17912.799999999988</v>
      </c>
      <c r="AL403" s="716">
        <f>IF(OR(status1B5!AM98="",AL$7="No aplica"),0,SUM('BOULEVARD 5'!$K96:AO96)-$AP403)</f>
        <v>-11912.799999999988</v>
      </c>
      <c r="AM403" s="716">
        <f>IF(OR(status1B5!AN98="",AM$7="No aplica"),0,SUM('BOULEVARD 5'!$K96:AP96)-$AP403)</f>
        <v>-5912.7999999999884</v>
      </c>
      <c r="AN403" s="716">
        <f>IF(OR(status1B5!AO98="",AN$7="No aplica"),0,SUM('BOULEVARD 5'!$K96:AQ96)-$AP403)</f>
        <v>0</v>
      </c>
      <c r="AO403" s="716">
        <f>IF(OR(status1B5!AP98="",AO$7="No aplica"),0,SUM('BOULEVARD 5'!$K96:AS96)-$AP403)</f>
        <v>0</v>
      </c>
      <c r="AP403" s="717">
        <f>'BOULEVARD PPTO'!BC91</f>
        <v>147912.79999999999</v>
      </c>
      <c r="AQ403" s="717">
        <f>'BOULEVARD 5'!AT96</f>
        <v>148000</v>
      </c>
      <c r="AR403" s="717">
        <f t="shared" si="104"/>
        <v>87.200000000011642</v>
      </c>
      <c r="AS403" s="717"/>
      <c r="AT403" s="581"/>
    </row>
    <row r="404" spans="1:46" ht="13.15" customHeight="1" outlineLevel="1" x14ac:dyDescent="0.25">
      <c r="A404" s="700">
        <f t="shared" si="102"/>
        <v>0</v>
      </c>
      <c r="B404" s="564">
        <f t="shared" ref="B404:G404" si="129">B99</f>
        <v>602</v>
      </c>
      <c r="C404" s="564" t="str">
        <f t="shared" si="129"/>
        <v>E10</v>
      </c>
      <c r="D404" s="564">
        <f t="shared" si="129"/>
        <v>0</v>
      </c>
      <c r="E404" s="709" t="str">
        <f t="shared" si="129"/>
        <v>**</v>
      </c>
      <c r="F404" s="710" t="str">
        <f t="shared" si="129"/>
        <v>Wendy Lorena Caal Garcia</v>
      </c>
      <c r="G404" s="711">
        <f t="shared" si="129"/>
        <v>45896</v>
      </c>
      <c r="H404" s="716">
        <f>IF(OR(status1B5!I99="",H$7="No aplica"),0,SUM('BOULEVARD 5'!$K97:K97)-$AP404)</f>
        <v>0</v>
      </c>
      <c r="I404" s="716">
        <f>IF(OR(status1B5!J99="",I$7="No aplica"),0,SUM('BOULEVARD 5'!$K97:L97)-$AP404)</f>
        <v>0</v>
      </c>
      <c r="J404" s="716">
        <f>IF(OR(status1B5!K99="",J$7="No aplica"),0,SUM('BOULEVARD 5'!$K97:M97)-$AP404)</f>
        <v>0</v>
      </c>
      <c r="K404" s="716">
        <f>IF(OR(status1B5!L99="",K$7="No aplica"),0,SUM('BOULEVARD 5'!$K97:N97)-$AP404)</f>
        <v>0</v>
      </c>
      <c r="L404" s="716">
        <f>IF(OR(status1B5!M99="",L$7="No aplica"),0,SUM('BOULEVARD 5'!$K97:O97)-$AP404)</f>
        <v>0</v>
      </c>
      <c r="M404" s="716">
        <f>IF(OR(status1B5!N99="",M$7="No aplica"),0,SUM('BOULEVARD 5'!$K97:P97)-$AP404)</f>
        <v>0</v>
      </c>
      <c r="N404" s="716">
        <f>IF(OR(status1B5!O99="",N$7="No aplica"),0,SUM('BOULEVARD 5'!$K97:Q97)-$AP404)</f>
        <v>0</v>
      </c>
      <c r="O404" s="716">
        <f>IF(OR(status1B5!P99="",O$7="No aplica"),0,SUM('BOULEVARD 5'!$K97:R97)-$AP404)</f>
        <v>0</v>
      </c>
      <c r="P404" s="716">
        <f>IF(OR(status1B5!Q99="",P$7="No aplica"),0,SUM('BOULEVARD 5'!$K97:S97)-$AP404)</f>
        <v>0</v>
      </c>
      <c r="Q404" s="716">
        <f>IF(OR(status1B5!R99="",Q$7="No aplica"),0,SUM('BOULEVARD 5'!$K97:T97)-$AP404)</f>
        <v>0</v>
      </c>
      <c r="R404" s="716">
        <f>IF(OR(status1B5!S99="",R$7="No aplica"),0,SUM('BOULEVARD 5'!$K97:U97)-$AP404)</f>
        <v>0</v>
      </c>
      <c r="S404" s="716">
        <f>IF(OR(status1B5!T99="",S$7="No aplica"),0,SUM('BOULEVARD 5'!$K97:V97)-$AP404)</f>
        <v>0</v>
      </c>
      <c r="T404" s="716">
        <f>IF(OR(status1B5!U99="",T$7="No aplica"),0,SUM('BOULEVARD 5'!$K97:W97)-$AP404)</f>
        <v>0</v>
      </c>
      <c r="U404" s="716">
        <f>IF(OR(status1B5!V99="",U$7="No aplica"),0,SUM('BOULEVARD 5'!$K97:X97)-$AP404)</f>
        <v>0</v>
      </c>
      <c r="V404" s="716">
        <f>IF(OR(status1B5!W99="",V$7="No aplica"),0,SUM('BOULEVARD 5'!$K97:Y97)-$AP404)</f>
        <v>0</v>
      </c>
      <c r="W404" s="716">
        <f>IF(OR(status1B5!X99="",W$7="No aplica"),0,SUM('BOULEVARD 5'!$K97:Z97)-$AP404)</f>
        <v>0</v>
      </c>
      <c r="X404" s="716">
        <f>IF(OR(status1B5!Y99="",X$7="No aplica"),0,SUM('BOULEVARD 5'!$K97:AA97)-$AP404)</f>
        <v>0</v>
      </c>
      <c r="Y404" s="716">
        <f>IF(OR(status1B5!Z99="",Y$7="No aplica"),0,SUM('BOULEVARD 5'!$K97:AB97)-$AP404)</f>
        <v>0</v>
      </c>
      <c r="Z404" s="716">
        <f>IF(OR(status1B5!AA99="",Z$7="No aplica"),0,SUM('BOULEVARD 5'!$K97:AC97)-$AP404)</f>
        <v>0</v>
      </c>
      <c r="AA404" s="716">
        <f>IF(OR(status1B5!AB99="",AA$7="No aplica"),0,SUM('BOULEVARD 5'!$K97:AD97)-$AP404)</f>
        <v>0</v>
      </c>
      <c r="AB404" s="716">
        <f>IF(OR(status1B5!AC99="",AB$7="No aplica"),0,SUM('BOULEVARD 5'!$K97:AE97)-$AP404)</f>
        <v>0</v>
      </c>
      <c r="AC404" s="716">
        <f>IF(OR(status1B5!AD99="",AC$7="No aplica"),0,SUM('BOULEVARD 5'!$K97:AF97)-$AP404)</f>
        <v>0</v>
      </c>
      <c r="AD404" s="716">
        <f>IF(OR(status1B5!AE99="",AD$7="No aplica"),0,SUM('BOULEVARD 5'!$K97:AG97)-$AP404)</f>
        <v>0</v>
      </c>
      <c r="AE404" s="716">
        <f>IF(OR(status1B5!AF99="",AE$7="No aplica"),0,SUM('BOULEVARD 5'!$K97:AH97)-$AP404)</f>
        <v>0</v>
      </c>
      <c r="AF404" s="716">
        <f>IF(OR(status1B5!AG99="",AF$7="No aplica"),0,SUM('BOULEVARD 5'!$K97:AI97)-$AP404)</f>
        <v>0</v>
      </c>
      <c r="AG404" s="716">
        <f>IF(OR(status1B5!AH99="",AG$7="No aplica"),0,SUM('BOULEVARD 5'!$K97:AJ97)-$AP404)</f>
        <v>0</v>
      </c>
      <c r="AH404" s="716">
        <f>IF(OR(status1B5!AI99="",AH$7="No aplica"),0,SUM('BOULEVARD 5'!$K97:AK97)-$AP404)</f>
        <v>0</v>
      </c>
      <c r="AI404" s="716">
        <f>IF(OR(status1B5!AJ99="",AI$7="No aplica"),0,SUM('BOULEVARD 5'!$K97:AL97)-$AP404)</f>
        <v>0</v>
      </c>
      <c r="AJ404" s="716">
        <f>IF(OR(status1B5!AK99="",AJ$7="No aplica"),0,SUM('BOULEVARD 5'!$K97:AM97)-$AP404)</f>
        <v>0</v>
      </c>
      <c r="AK404" s="716">
        <f>IF(OR(status1B5!AL99="",AK$7="No aplica"),0,SUM('BOULEVARD 5'!$K97:AN97)-$AP404)</f>
        <v>-142894.32999999999</v>
      </c>
      <c r="AL404" s="716">
        <f>IF(OR(status1B5!AM99="",AL$7="No aplica"),0,SUM('BOULEVARD 5'!$K97:AO97)-$AP404)</f>
        <v>-142894.32999999999</v>
      </c>
      <c r="AM404" s="716">
        <f>IF(OR(status1B5!AN99="",AM$7="No aplica"),0,SUM('BOULEVARD 5'!$K97:AP97)-$AP404)</f>
        <v>-40094.329999999987</v>
      </c>
      <c r="AN404" s="716">
        <f>IF(OR(status1B5!AO99="",AN$7="No aplica"),0,SUM('BOULEVARD 5'!$K97:AQ97)-$AP404)</f>
        <v>0</v>
      </c>
      <c r="AO404" s="716">
        <f>IF(OR(status1B5!AP99="",AO$7="No aplica"),0,SUM('BOULEVARD 5'!$K97:AS97)-$AP404)</f>
        <v>0</v>
      </c>
      <c r="AP404" s="717">
        <f>'BOULEVARD PPTO'!BC92</f>
        <v>152894.32999999999</v>
      </c>
      <c r="AQ404" s="717">
        <f>'BOULEVARD 5'!AT97</f>
        <v>112800</v>
      </c>
      <c r="AR404" s="717">
        <f t="shared" si="104"/>
        <v>-40094.329999999987</v>
      </c>
      <c r="AS404" s="717"/>
      <c r="AT404" s="581"/>
    </row>
    <row r="405" spans="1:46" ht="13.15" customHeight="1" outlineLevel="1" x14ac:dyDescent="0.25">
      <c r="A405" s="700">
        <f t="shared" si="102"/>
        <v>0</v>
      </c>
      <c r="B405" s="564">
        <f t="shared" ref="B405:G405" si="130">B100</f>
        <v>603</v>
      </c>
      <c r="C405" s="564" t="str">
        <f t="shared" si="130"/>
        <v>B4</v>
      </c>
      <c r="D405" s="564">
        <f t="shared" si="130"/>
        <v>0</v>
      </c>
      <c r="E405" s="564" t="str">
        <f t="shared" si="130"/>
        <v>Antonio Rada</v>
      </c>
      <c r="F405" s="581" t="str">
        <f t="shared" si="130"/>
        <v>Mario José Márquez Rivera / Belteton Castellanos Iveth</v>
      </c>
      <c r="G405" s="566">
        <f t="shared" si="130"/>
        <v>45384</v>
      </c>
      <c r="H405" s="716">
        <f>IF(OR(status1B5!I100="",H$7="No aplica"),0,SUM('BOULEVARD 5'!$K98:K98)-$AP405)</f>
        <v>0</v>
      </c>
      <c r="I405" s="716">
        <f>IF(OR(status1B5!J100="",I$7="No aplica"),0,SUM('BOULEVARD 5'!$K98:L98)-$AP405)</f>
        <v>0</v>
      </c>
      <c r="J405" s="716">
        <f>IF(OR(status1B5!K100="",J$7="No aplica"),0,SUM('BOULEVARD 5'!$K98:M98)-$AP405)</f>
        <v>0</v>
      </c>
      <c r="K405" s="716">
        <f>IF(OR(status1B5!L100="",K$7="No aplica"),0,SUM('BOULEVARD 5'!$K98:N98)-$AP405)</f>
        <v>0</v>
      </c>
      <c r="L405" s="716">
        <f>IF(OR(status1B5!M100="",L$7="No aplica"),0,SUM('BOULEVARD 5'!$K98:O98)-$AP405)</f>
        <v>0</v>
      </c>
      <c r="M405" s="716">
        <f>IF(OR(status1B5!N100="",M$7="No aplica"),0,SUM('BOULEVARD 5'!$K98:P98)-$AP405)</f>
        <v>0</v>
      </c>
      <c r="N405" s="716">
        <f>IF(OR(status1B5!O100="",N$7="No aplica"),0,SUM('BOULEVARD 5'!$K98:Q98)-$AP405)</f>
        <v>0</v>
      </c>
      <c r="O405" s="716">
        <f>IF(OR(status1B5!P100="",O$7="No aplica"),0,SUM('BOULEVARD 5'!$K98:R98)-$AP405)</f>
        <v>0</v>
      </c>
      <c r="P405" s="716">
        <f>IF(OR(status1B5!Q100="",P$7="No aplica"),0,SUM('BOULEVARD 5'!$K98:S98)-$AP405)</f>
        <v>0</v>
      </c>
      <c r="Q405" s="716">
        <f>IF(OR(status1B5!R100="",Q$7="No aplica"),0,SUM('BOULEVARD 5'!$K98:T98)-$AP405)</f>
        <v>0</v>
      </c>
      <c r="R405" s="716">
        <f>IF(OR(status1B5!S100="",R$7="No aplica"),0,SUM('BOULEVARD 5'!$K98:U98)-$AP405)</f>
        <v>0</v>
      </c>
      <c r="S405" s="716">
        <f>IF(OR(status1B5!T100="",S$7="No aplica"),0,SUM('BOULEVARD 5'!$K98:V98)-$AP405)</f>
        <v>0</v>
      </c>
      <c r="T405" s="716">
        <f>IF(OR(status1B5!U100="",T$7="No aplica"),0,SUM('BOULEVARD 5'!$K98:W98)-$AP405)</f>
        <v>0</v>
      </c>
      <c r="U405" s="716">
        <f>IF(OR(status1B5!V100="",U$7="No aplica"),0,SUM('BOULEVARD 5'!$K98:X98)-$AP405)</f>
        <v>-82200</v>
      </c>
      <c r="V405" s="716">
        <f>IF(OR(status1B5!W100="",V$7="No aplica"),0,SUM('BOULEVARD 5'!$K98:Y98)-$AP405)</f>
        <v>-77365</v>
      </c>
      <c r="W405" s="716">
        <f>IF(OR(status1B5!X100="",W$7="No aplica"),0,SUM('BOULEVARD 5'!$K98:Z98)-$AP405)</f>
        <v>-72530</v>
      </c>
      <c r="X405" s="716">
        <f>IF(OR(status1B5!Y100="",X$7="No aplica"),0,SUM('BOULEVARD 5'!$K98:AA98)-$AP405)</f>
        <v>-67695</v>
      </c>
      <c r="Y405" s="716">
        <f>IF(OR(status1B5!Z100="",Y$7="No aplica"),0,SUM('BOULEVARD 5'!$K98:AB98)-$AP405)</f>
        <v>-62860</v>
      </c>
      <c r="Z405" s="716">
        <f>IF(OR(status1B5!AA100="",Z$7="No aplica"),0,SUM('BOULEVARD 5'!$K98:AC98)-$AP405)</f>
        <v>-58025</v>
      </c>
      <c r="AA405" s="716">
        <f>IF(OR(status1B5!AB100="",AA$7="No aplica"),0,SUM('BOULEVARD 5'!$K98:AD98)-$AP405)</f>
        <v>-53190</v>
      </c>
      <c r="AB405" s="716">
        <f>IF(OR(status1B5!AC100="",AB$7="No aplica"),0,SUM('BOULEVARD 5'!$K98:AE98)-$AP405)</f>
        <v>-48355</v>
      </c>
      <c r="AC405" s="716">
        <f>IF(OR(status1B5!AD100="",AC$7="No aplica"),0,SUM('BOULEVARD 5'!$K98:AF98)-$AP405)</f>
        <v>-43520</v>
      </c>
      <c r="AD405" s="716">
        <f>IF(OR(status1B5!AE100="",AD$7="No aplica"),0,SUM('BOULEVARD 5'!$K98:AG98)-$AP405)</f>
        <v>-38685</v>
      </c>
      <c r="AE405" s="716">
        <f>IF(OR(status1B5!AF100="",AE$7="No aplica"),0,SUM('BOULEVARD 5'!$K98:AH98)-$AP405)</f>
        <v>-38685</v>
      </c>
      <c r="AF405" s="716">
        <f>IF(OR(status1B5!AG100="",AF$7="No aplica"),0,SUM('BOULEVARD 5'!$K98:AI98)-$AP405)</f>
        <v>-29015</v>
      </c>
      <c r="AG405" s="716">
        <f>IF(OR(status1B5!AH100="",AG$7="No aplica"),0,SUM('BOULEVARD 5'!$K98:AJ98)-$AP405)</f>
        <v>-24180</v>
      </c>
      <c r="AH405" s="716">
        <f>IF(OR(status1B5!AI100="",AH$7="No aplica"),0,SUM('BOULEVARD 5'!$K98:AK98)-$AP405)</f>
        <v>-19345</v>
      </c>
      <c r="AI405" s="716">
        <f>IF(OR(status1B5!AJ100="",AI$7="No aplica"),0,SUM('BOULEVARD 5'!$K98:AL98)-$AP405)</f>
        <v>-14510</v>
      </c>
      <c r="AJ405" s="716">
        <f>IF(OR(status1B5!AK100="",AJ$7="No aplica"),0,SUM('BOULEVARD 5'!$K98:AM98)-$AP405)</f>
        <v>-9675</v>
      </c>
      <c r="AK405" s="716">
        <f>IF(OR(status1B5!AL100="",AK$7="No aplica"),0,SUM('BOULEVARD 5'!$K98:AN98)-$AP405)</f>
        <v>-7257.5</v>
      </c>
      <c r="AL405" s="716">
        <f>IF(OR(status1B5!AM100="",AL$7="No aplica"),0,SUM('BOULEVARD 5'!$K98:AO98)-$AP405)</f>
        <v>-5</v>
      </c>
      <c r="AM405" s="716">
        <f>IF(OR(status1B5!AN100="",AM$7="No aplica"),0,SUM('BOULEVARD 5'!$K98:AP98)-$AP405)</f>
        <v>4830</v>
      </c>
      <c r="AN405" s="716">
        <f>IF(OR(status1B5!AO100="",AN$7="No aplica"),0,SUM('BOULEVARD 5'!$K98:AQ98)-$AP405)</f>
        <v>0</v>
      </c>
      <c r="AO405" s="716">
        <f>IF(OR(status1B5!AP100="",AO$7="No aplica"),0,SUM('BOULEVARD 5'!$K98:AS98)-$AP405)</f>
        <v>0</v>
      </c>
      <c r="AP405" s="717">
        <f>'BOULEVARD PPTO'!BC93</f>
        <v>90200</v>
      </c>
      <c r="AQ405" s="717">
        <f>'BOULEVARD 5'!AT98</f>
        <v>104700</v>
      </c>
      <c r="AR405" s="717">
        <f t="shared" si="104"/>
        <v>14500</v>
      </c>
      <c r="AS405" s="717"/>
      <c r="AT405" s="581"/>
    </row>
    <row r="406" spans="1:46" ht="13.15" customHeight="1" outlineLevel="1" x14ac:dyDescent="0.25">
      <c r="A406" s="700">
        <f t="shared" si="102"/>
        <v>0</v>
      </c>
      <c r="B406" s="564">
        <f t="shared" ref="B406:G406" si="131">B101</f>
        <v>604</v>
      </c>
      <c r="C406" s="564" t="str">
        <f t="shared" si="131"/>
        <v>B3</v>
      </c>
      <c r="D406" s="564">
        <f t="shared" si="131"/>
        <v>0</v>
      </c>
      <c r="E406" s="564" t="str">
        <f t="shared" si="131"/>
        <v>Antonio Rada</v>
      </c>
      <c r="F406" s="581" t="str">
        <f t="shared" si="131"/>
        <v>Juan Sebastian Gaitán Serrano</v>
      </c>
      <c r="G406" s="566">
        <f t="shared" si="131"/>
        <v>45411</v>
      </c>
      <c r="H406" s="716">
        <f>IF(OR(status1B5!I101="",H$7="No aplica"),0,SUM('BOULEVARD 5'!$K99:K99)-$AP406)</f>
        <v>0</v>
      </c>
      <c r="I406" s="716">
        <f>IF(OR(status1B5!J101="",I$7="No aplica"),0,SUM('BOULEVARD 5'!$K99:L99)-$AP406)</f>
        <v>0</v>
      </c>
      <c r="J406" s="716">
        <f>IF(OR(status1B5!K101="",J$7="No aplica"),0,SUM('BOULEVARD 5'!$K99:M99)-$AP406)</f>
        <v>0</v>
      </c>
      <c r="K406" s="716">
        <f>IF(OR(status1B5!L101="",K$7="No aplica"),0,SUM('BOULEVARD 5'!$K99:N99)-$AP406)</f>
        <v>0</v>
      </c>
      <c r="L406" s="716">
        <f>IF(OR(status1B5!M101="",L$7="No aplica"),0,SUM('BOULEVARD 5'!$K99:O99)-$AP406)</f>
        <v>0</v>
      </c>
      <c r="M406" s="716">
        <f>IF(OR(status1B5!N101="",M$7="No aplica"),0,SUM('BOULEVARD 5'!$K99:P99)-$AP406)</f>
        <v>0</v>
      </c>
      <c r="N406" s="716">
        <f>IF(OR(status1B5!O101="",N$7="No aplica"),0,SUM('BOULEVARD 5'!$K99:Q99)-$AP406)</f>
        <v>0</v>
      </c>
      <c r="O406" s="716">
        <f>IF(OR(status1B5!P101="",O$7="No aplica"),0,SUM('BOULEVARD 5'!$K99:R99)-$AP406)</f>
        <v>0</v>
      </c>
      <c r="P406" s="716">
        <f>IF(OR(status1B5!Q101="",P$7="No aplica"),0,SUM('BOULEVARD 5'!$K99:S99)-$AP406)</f>
        <v>0</v>
      </c>
      <c r="Q406" s="716">
        <f>IF(OR(status1B5!R101="",Q$7="No aplica"),0,SUM('BOULEVARD 5'!$K99:T99)-$AP406)</f>
        <v>0</v>
      </c>
      <c r="R406" s="716">
        <f>IF(OR(status1B5!S101="",R$7="No aplica"),0,SUM('BOULEVARD 5'!$K99:U99)-$AP406)</f>
        <v>0</v>
      </c>
      <c r="S406" s="716">
        <f>IF(OR(status1B5!T101="",S$7="No aplica"),0,SUM('BOULEVARD 5'!$K99:V99)-$AP406)</f>
        <v>0</v>
      </c>
      <c r="T406" s="716">
        <f>IF(OR(status1B5!U101="",T$7="No aplica"),0,SUM('BOULEVARD 5'!$K99:W99)-$AP406)</f>
        <v>0</v>
      </c>
      <c r="U406" s="716">
        <f>IF(OR(status1B5!V101="",U$7="No aplica"),0,SUM('BOULEVARD 5'!$K99:X99)-$AP406)</f>
        <v>-80800</v>
      </c>
      <c r="V406" s="716">
        <f>IF(OR(status1B5!W101="",V$7="No aplica"),0,SUM('BOULEVARD 5'!$K99:Y99)-$AP406)</f>
        <v>-76047</v>
      </c>
      <c r="W406" s="716">
        <f>IF(OR(status1B5!X101="",W$7="No aplica"),0,SUM('BOULEVARD 5'!$K99:Z99)-$AP406)</f>
        <v>-71294</v>
      </c>
      <c r="X406" s="716">
        <f>IF(OR(status1B5!Y101="",X$7="No aplica"),0,SUM('BOULEVARD 5'!$K99:AA99)-$AP406)</f>
        <v>-66541</v>
      </c>
      <c r="Y406" s="716">
        <f>IF(OR(status1B5!Z101="",Y$7="No aplica"),0,SUM('BOULEVARD 5'!$K99:AB99)-$AP406)</f>
        <v>-61788</v>
      </c>
      <c r="Z406" s="716">
        <f>IF(OR(status1B5!AA101="",Z$7="No aplica"),0,SUM('BOULEVARD 5'!$K99:AC99)-$AP406)</f>
        <v>-57035</v>
      </c>
      <c r="AA406" s="716">
        <f>IF(OR(status1B5!AB101="",AA$7="No aplica"),0,SUM('BOULEVARD 5'!$K99:AD99)-$AP406)</f>
        <v>-52282</v>
      </c>
      <c r="AB406" s="716">
        <f>IF(OR(status1B5!AC101="",AB$7="No aplica"),0,SUM('BOULEVARD 5'!$K99:AE99)-$AP406)</f>
        <v>-47529</v>
      </c>
      <c r="AC406" s="716">
        <f>IF(OR(status1B5!AD101="",AC$7="No aplica"),0,SUM('BOULEVARD 5'!$K99:AF99)-$AP406)</f>
        <v>-42776</v>
      </c>
      <c r="AD406" s="716">
        <f>IF(OR(status1B5!AE101="",AD$7="No aplica"),0,SUM('BOULEVARD 5'!$K99:AG99)-$AP406)</f>
        <v>-38023</v>
      </c>
      <c r="AE406" s="716">
        <f>IF(OR(status1B5!AF101="",AE$7="No aplica"),0,SUM('BOULEVARD 5'!$K99:AH99)-$AP406)</f>
        <v>-33270</v>
      </c>
      <c r="AF406" s="716">
        <f>IF(OR(status1B5!AG101="",AF$7="No aplica"),0,SUM('BOULEVARD 5'!$K99:AI99)-$AP406)</f>
        <v>-28517</v>
      </c>
      <c r="AG406" s="716">
        <f>IF(OR(status1B5!AH101="",AG$7="No aplica"),0,SUM('BOULEVARD 5'!$K99:AJ99)-$AP406)</f>
        <v>-23764</v>
      </c>
      <c r="AH406" s="716">
        <f>IF(OR(status1B5!AI101="",AH$7="No aplica"),0,SUM('BOULEVARD 5'!$K99:AK99)-$AP406)</f>
        <v>-19011</v>
      </c>
      <c r="AI406" s="716">
        <f>IF(OR(status1B5!AJ101="",AI$7="No aplica"),0,SUM('BOULEVARD 5'!$K99:AL99)-$AP406)</f>
        <v>-14258</v>
      </c>
      <c r="AJ406" s="716">
        <f>IF(OR(status1B5!AK101="",AJ$7="No aplica"),0,SUM('BOULEVARD 5'!$K99:AM99)-$AP406)</f>
        <v>-9505</v>
      </c>
      <c r="AK406" s="716">
        <f>IF(OR(status1B5!AL101="",AK$7="No aplica"),0,SUM('BOULEVARD 5'!$K99:AN99)-$AP406)</f>
        <v>-4752</v>
      </c>
      <c r="AL406" s="716">
        <f>IF(OR(status1B5!AM101="",AL$7="No aplica"),0,SUM('BOULEVARD 5'!$K99:AO99)-$AP406)</f>
        <v>1</v>
      </c>
      <c r="AM406" s="716">
        <f>IF(OR(status1B5!AN101="",AM$7="No aplica"),0,SUM('BOULEVARD 5'!$K99:AP99)-$AP406)</f>
        <v>4754</v>
      </c>
      <c r="AN406" s="716">
        <f>IF(OR(status1B5!AO101="",AN$7="No aplica"),0,SUM('BOULEVARD 5'!$K99:AQ99)-$AP406)</f>
        <v>0</v>
      </c>
      <c r="AO406" s="716">
        <f>IF(OR(status1B5!AP101="",AO$7="No aplica"),0,SUM('BOULEVARD 5'!$K99:AS99)-$AP406)</f>
        <v>0</v>
      </c>
      <c r="AP406" s="717">
        <f>'BOULEVARD PPTO'!BC94</f>
        <v>88800</v>
      </c>
      <c r="AQ406" s="717">
        <f>'BOULEVARD 5'!AT99</f>
        <v>103400</v>
      </c>
      <c r="AR406" s="717">
        <f t="shared" si="104"/>
        <v>14600</v>
      </c>
      <c r="AS406" s="717"/>
      <c r="AT406" s="581"/>
    </row>
    <row r="407" spans="1:46" ht="13.15" customHeight="1" outlineLevel="1" x14ac:dyDescent="0.25">
      <c r="A407" s="700">
        <f t="shared" si="102"/>
        <v>0</v>
      </c>
      <c r="B407" s="564">
        <f t="shared" ref="B407:G407" si="132">B102</f>
        <v>605</v>
      </c>
      <c r="C407" s="564" t="str">
        <f t="shared" si="132"/>
        <v>D9</v>
      </c>
      <c r="D407" s="564">
        <f t="shared" si="132"/>
        <v>0</v>
      </c>
      <c r="E407" s="564" t="str">
        <f t="shared" si="132"/>
        <v>Antonio Rada</v>
      </c>
      <c r="F407" s="581" t="str">
        <f t="shared" si="132"/>
        <v>Mirna Maria Rosas Guerra</v>
      </c>
      <c r="G407" s="566">
        <f t="shared" si="132"/>
        <v>45553</v>
      </c>
      <c r="H407" s="716">
        <f>IF(OR(status1B5!I102="",H$7="No aplica"),0,SUM('BOULEVARD 5'!$K100:K100)-$AP407)</f>
        <v>0</v>
      </c>
      <c r="I407" s="716">
        <f>IF(OR(status1B5!J102="",I$7="No aplica"),0,SUM('BOULEVARD 5'!$K100:L100)-$AP407)</f>
        <v>0</v>
      </c>
      <c r="J407" s="716">
        <f>IF(OR(status1B5!K102="",J$7="No aplica"),0,SUM('BOULEVARD 5'!$K100:M100)-$AP407)</f>
        <v>0</v>
      </c>
      <c r="K407" s="716">
        <f>IF(OR(status1B5!L102="",K$7="No aplica"),0,SUM('BOULEVARD 5'!$K100:N100)-$AP407)</f>
        <v>0</v>
      </c>
      <c r="L407" s="716">
        <f>IF(OR(status1B5!M102="",L$7="No aplica"),0,SUM('BOULEVARD 5'!$K100:O100)-$AP407)</f>
        <v>0</v>
      </c>
      <c r="M407" s="716">
        <f>IF(OR(status1B5!N102="",M$7="No aplica"),0,SUM('BOULEVARD 5'!$K100:P100)-$AP407)</f>
        <v>0</v>
      </c>
      <c r="N407" s="716">
        <f>IF(OR(status1B5!O102="",N$7="No aplica"),0,SUM('BOULEVARD 5'!$K100:Q100)-$AP407)</f>
        <v>0</v>
      </c>
      <c r="O407" s="716">
        <f>IF(OR(status1B5!P102="",O$7="No aplica"),0,SUM('BOULEVARD 5'!$K100:R100)-$AP407)</f>
        <v>0</v>
      </c>
      <c r="P407" s="716">
        <f>IF(OR(status1B5!Q102="",P$7="No aplica"),0,SUM('BOULEVARD 5'!$K100:S100)-$AP407)</f>
        <v>0</v>
      </c>
      <c r="Q407" s="716">
        <f>IF(OR(status1B5!R102="",Q$7="No aplica"),0,SUM('BOULEVARD 5'!$K100:T100)-$AP407)</f>
        <v>0</v>
      </c>
      <c r="R407" s="716">
        <f>IF(OR(status1B5!S102="",R$7="No aplica"),0,SUM('BOULEVARD 5'!$K100:U100)-$AP407)</f>
        <v>0</v>
      </c>
      <c r="S407" s="716">
        <f>IF(OR(status1B5!T102="",S$7="No aplica"),0,SUM('BOULEVARD 5'!$K100:V100)-$AP407)</f>
        <v>0</v>
      </c>
      <c r="T407" s="716">
        <f>IF(OR(status1B5!U102="",T$7="No aplica"),0,SUM('BOULEVARD 5'!$K100:W100)-$AP407)</f>
        <v>0</v>
      </c>
      <c r="U407" s="716">
        <f>IF(OR(status1B5!V102="",U$7="No aplica"),0,SUM('BOULEVARD 5'!$K100:X100)-$AP407)</f>
        <v>0</v>
      </c>
      <c r="V407" s="716">
        <f>IF(OR(status1B5!W102="",V$7="No aplica"),0,SUM('BOULEVARD 5'!$K100:Y100)-$AP407)</f>
        <v>0</v>
      </c>
      <c r="W407" s="716">
        <f>IF(OR(status1B5!X102="",W$7="No aplica"),0,SUM('BOULEVARD 5'!$K100:Z100)-$AP407)</f>
        <v>0</v>
      </c>
      <c r="X407" s="716">
        <f>IF(OR(status1B5!Y102="",X$7="No aplica"),0,SUM('BOULEVARD 5'!$K100:AA100)-$AP407)</f>
        <v>0</v>
      </c>
      <c r="Y407" s="716">
        <f>IF(OR(status1B5!Z102="",Y$7="No aplica"),0,SUM('BOULEVARD 5'!$K100:AB100)-$AP407)</f>
        <v>0</v>
      </c>
      <c r="Z407" s="716">
        <f>IF(OR(status1B5!AA102="",Z$7="No aplica"),0,SUM('BOULEVARD 5'!$K100:AC100)-$AP407)</f>
        <v>-127405</v>
      </c>
      <c r="AA407" s="716">
        <f>IF(OR(status1B5!AB102="",AA$7="No aplica"),0,SUM('BOULEVARD 5'!$K100:AD100)-$AP407)</f>
        <v>-118911</v>
      </c>
      <c r="AB407" s="716">
        <f>IF(OR(status1B5!AC102="",AB$7="No aplica"),0,SUM('BOULEVARD 5'!$K100:AE100)-$AP407)</f>
        <v>-110417</v>
      </c>
      <c r="AC407" s="716">
        <f>IF(OR(status1B5!AD102="",AC$7="No aplica"),0,SUM('BOULEVARD 5'!$K100:AF100)-$AP407)</f>
        <v>-101923</v>
      </c>
      <c r="AD407" s="716">
        <f>IF(OR(status1B5!AE102="",AD$7="No aplica"),0,SUM('BOULEVARD 5'!$K100:AG100)-$AP407)</f>
        <v>-93429</v>
      </c>
      <c r="AE407" s="716">
        <f>IF(OR(status1B5!AF102="",AE$7="No aplica"),0,SUM('BOULEVARD 5'!$K100:AH100)-$AP407)</f>
        <v>-84935</v>
      </c>
      <c r="AF407" s="716">
        <f>IF(OR(status1B5!AG102="",AF$7="No aplica"),0,SUM('BOULEVARD 5'!$K100:AI100)-$AP407)</f>
        <v>-76441</v>
      </c>
      <c r="AG407" s="716">
        <f>IF(OR(status1B5!AH102="",AG$7="No aplica"),0,SUM('BOULEVARD 5'!$K100:AJ100)-$AP407)</f>
        <v>-67947</v>
      </c>
      <c r="AH407" s="716">
        <f>IF(OR(status1B5!AI102="",AH$7="No aplica"),0,SUM('BOULEVARD 5'!$K100:AK100)-$AP407)</f>
        <v>-59453</v>
      </c>
      <c r="AI407" s="716">
        <f>IF(OR(status1B5!AJ102="",AI$7="No aplica"),0,SUM('BOULEVARD 5'!$K100:AL100)-$AP407)</f>
        <v>-50959</v>
      </c>
      <c r="AJ407" s="716">
        <f>IF(OR(status1B5!AK102="",AJ$7="No aplica"),0,SUM('BOULEVARD 5'!$K100:AM100)-$AP407)</f>
        <v>-42465</v>
      </c>
      <c r="AK407" s="716">
        <f>IF(OR(status1B5!AL102="",AK$7="No aplica"),0,SUM('BOULEVARD 5'!$K100:AN100)-$AP407)</f>
        <v>-33971</v>
      </c>
      <c r="AL407" s="716">
        <f>IF(OR(status1B5!AM102="",AL$7="No aplica"),0,SUM('BOULEVARD 5'!$K100:AO100)-$AP407)</f>
        <v>-25477</v>
      </c>
      <c r="AM407" s="716">
        <f>IF(OR(status1B5!AN102="",AM$7="No aplica"),0,SUM('BOULEVARD 5'!$K100:AP100)-$AP407)</f>
        <v>-16983</v>
      </c>
      <c r="AN407" s="716">
        <f>IF(OR(status1B5!AO102="",AN$7="No aplica"),0,SUM('BOULEVARD 5'!$K100:AQ100)-$AP407)</f>
        <v>0</v>
      </c>
      <c r="AO407" s="716">
        <f>IF(OR(status1B5!AP102="",AO$7="No aplica"),0,SUM('BOULEVARD 5'!$K100:AS100)-$AP407)</f>
        <v>0</v>
      </c>
      <c r="AP407" s="717">
        <f>'BOULEVARD PPTO'!BC95</f>
        <v>137405</v>
      </c>
      <c r="AQ407" s="717">
        <f>'BOULEVARD 5'!AT100</f>
        <v>137405</v>
      </c>
      <c r="AR407" s="717">
        <f t="shared" si="104"/>
        <v>0</v>
      </c>
      <c r="AS407" s="717"/>
      <c r="AT407" s="581"/>
    </row>
    <row r="408" spans="1:46" ht="13.15" customHeight="1" outlineLevel="1" x14ac:dyDescent="0.25">
      <c r="A408" s="700">
        <f t="shared" si="102"/>
        <v>0</v>
      </c>
      <c r="B408" s="564">
        <f t="shared" ref="B408:G408" si="133">B103</f>
        <v>606</v>
      </c>
      <c r="C408" s="564" t="str">
        <f t="shared" si="133"/>
        <v>D8</v>
      </c>
      <c r="D408" s="564">
        <f t="shared" si="133"/>
        <v>0</v>
      </c>
      <c r="E408" s="564" t="str">
        <f t="shared" si="133"/>
        <v>Antonio Rada</v>
      </c>
      <c r="F408" s="581" t="str">
        <f t="shared" si="133"/>
        <v>Mar Frandi Solly Gramajo Hernandez De Calderon</v>
      </c>
      <c r="G408" s="566">
        <f t="shared" si="133"/>
        <v>45533</v>
      </c>
      <c r="H408" s="716">
        <f>IF(OR(status1B5!I103="",H$7="No aplica"),0,SUM('BOULEVARD 5'!$K101:K101)-$AP408)</f>
        <v>0</v>
      </c>
      <c r="I408" s="716">
        <f>IF(OR(status1B5!J103="",I$7="No aplica"),0,SUM('BOULEVARD 5'!$K101:L101)-$AP408)</f>
        <v>0</v>
      </c>
      <c r="J408" s="716">
        <f>IF(OR(status1B5!K103="",J$7="No aplica"),0,SUM('BOULEVARD 5'!$K101:M101)-$AP408)</f>
        <v>0</v>
      </c>
      <c r="K408" s="716">
        <f>IF(OR(status1B5!L103="",K$7="No aplica"),0,SUM('BOULEVARD 5'!$K101:N101)-$AP408)</f>
        <v>0</v>
      </c>
      <c r="L408" s="716">
        <f>IF(OR(status1B5!M103="",L$7="No aplica"),0,SUM('BOULEVARD 5'!$K101:O101)-$AP408)</f>
        <v>0</v>
      </c>
      <c r="M408" s="716">
        <f>IF(OR(status1B5!N103="",M$7="No aplica"),0,SUM('BOULEVARD 5'!$K101:P101)-$AP408)</f>
        <v>0</v>
      </c>
      <c r="N408" s="716">
        <f>IF(OR(status1B5!O103="",N$7="No aplica"),0,SUM('BOULEVARD 5'!$K101:Q101)-$AP408)</f>
        <v>0</v>
      </c>
      <c r="O408" s="716">
        <f>IF(OR(status1B5!P103="",O$7="No aplica"),0,SUM('BOULEVARD 5'!$K101:R101)-$AP408)</f>
        <v>0</v>
      </c>
      <c r="P408" s="716">
        <f>IF(OR(status1B5!Q103="",P$7="No aplica"),0,SUM('BOULEVARD 5'!$K101:S101)-$AP408)</f>
        <v>0</v>
      </c>
      <c r="Q408" s="716">
        <f>IF(OR(status1B5!R103="",Q$7="No aplica"),0,SUM('BOULEVARD 5'!$K101:T101)-$AP408)</f>
        <v>0</v>
      </c>
      <c r="R408" s="716">
        <f>IF(OR(status1B5!S103="",R$7="No aplica"),0,SUM('BOULEVARD 5'!$K101:U101)-$AP408)</f>
        <v>0</v>
      </c>
      <c r="S408" s="716">
        <f>IF(OR(status1B5!T103="",S$7="No aplica"),0,SUM('BOULEVARD 5'!$K101:V101)-$AP408)</f>
        <v>0</v>
      </c>
      <c r="T408" s="716">
        <f>IF(OR(status1B5!U103="",T$7="No aplica"),0,SUM('BOULEVARD 5'!$K101:W101)-$AP408)</f>
        <v>0</v>
      </c>
      <c r="U408" s="716">
        <f>IF(OR(status1B5!V103="",U$7="No aplica"),0,SUM('BOULEVARD 5'!$K101:X101)-$AP408)</f>
        <v>0</v>
      </c>
      <c r="V408" s="716">
        <f>IF(OR(status1B5!W103="",V$7="No aplica"),0,SUM('BOULEVARD 5'!$K101:Y101)-$AP408)</f>
        <v>0</v>
      </c>
      <c r="W408" s="716">
        <f>IF(OR(status1B5!X103="",W$7="No aplica"),0,SUM('BOULEVARD 5'!$K101:Z101)-$AP408)</f>
        <v>0</v>
      </c>
      <c r="X408" s="716">
        <f>IF(OR(status1B5!Y103="",X$7="No aplica"),0,SUM('BOULEVARD 5'!$K101:AA101)-$AP408)</f>
        <v>0</v>
      </c>
      <c r="Y408" s="716">
        <f>IF(OR(status1B5!Z103="",Y$7="No aplica"),0,SUM('BOULEVARD 5'!$K101:AB101)-$AP408)</f>
        <v>-127995</v>
      </c>
      <c r="Z408" s="716">
        <f>IF(OR(status1B5!AA103="",Z$7="No aplica"),0,SUM('BOULEVARD 5'!$K101:AC101)-$AP408)</f>
        <v>-119995</v>
      </c>
      <c r="AA408" s="716">
        <f>IF(OR(status1B5!AB103="",AA$7="No aplica"),0,SUM('BOULEVARD 5'!$K101:AD101)-$AP408)</f>
        <v>-111995</v>
      </c>
      <c r="AB408" s="716">
        <f>IF(OR(status1B5!AC103="",AB$7="No aplica"),0,SUM('BOULEVARD 5'!$K101:AE101)-$AP408)</f>
        <v>-103995</v>
      </c>
      <c r="AC408" s="716">
        <f>IF(OR(status1B5!AD103="",AC$7="No aplica"),0,SUM('BOULEVARD 5'!$K101:AF101)-$AP408)</f>
        <v>-95995</v>
      </c>
      <c r="AD408" s="716">
        <f>IF(OR(status1B5!AE103="",AD$7="No aplica"),0,SUM('BOULEVARD 5'!$K101:AG101)-$AP408)</f>
        <v>-87995</v>
      </c>
      <c r="AE408" s="716">
        <f>IF(OR(status1B5!AF103="",AE$7="No aplica"),0,SUM('BOULEVARD 5'!$K101:AH101)-$AP408)</f>
        <v>-79995</v>
      </c>
      <c r="AF408" s="716">
        <f>IF(OR(status1B5!AG103="",AF$7="No aplica"),0,SUM('BOULEVARD 5'!$K101:AI101)-$AP408)</f>
        <v>-71995</v>
      </c>
      <c r="AG408" s="716">
        <f>IF(OR(status1B5!AH103="",AG$7="No aplica"),0,SUM('BOULEVARD 5'!$K101:AJ101)-$AP408)</f>
        <v>-63995</v>
      </c>
      <c r="AH408" s="716">
        <f>IF(OR(status1B5!AI103="",AH$7="No aplica"),0,SUM('BOULEVARD 5'!$K101:AK101)-$AP408)</f>
        <v>-55995</v>
      </c>
      <c r="AI408" s="716">
        <f>IF(OR(status1B5!AJ103="",AI$7="No aplica"),0,SUM('BOULEVARD 5'!$K101:AL101)-$AP408)</f>
        <v>-47995</v>
      </c>
      <c r="AJ408" s="716">
        <f>IF(OR(status1B5!AK103="",AJ$7="No aplica"),0,SUM('BOULEVARD 5'!$K101:AM101)-$AP408)</f>
        <v>-39995</v>
      </c>
      <c r="AK408" s="716">
        <f>IF(OR(status1B5!AL103="",AK$7="No aplica"),0,SUM('BOULEVARD 5'!$K101:AN101)-$AP408)</f>
        <v>-31995</v>
      </c>
      <c r="AL408" s="716">
        <f>IF(OR(status1B5!AM103="",AL$7="No aplica"),0,SUM('BOULEVARD 5'!$K101:AO101)-$AP408)</f>
        <v>-23995</v>
      </c>
      <c r="AM408" s="716">
        <f>IF(OR(status1B5!AN103="",AM$7="No aplica"),0,SUM('BOULEVARD 5'!$K101:AP101)-$AP408)</f>
        <v>-15995</v>
      </c>
      <c r="AN408" s="716">
        <f>IF(OR(status1B5!AO103="",AN$7="No aplica"),0,SUM('BOULEVARD 5'!$K101:AQ101)-$AP408)</f>
        <v>0</v>
      </c>
      <c r="AO408" s="716">
        <f>IF(OR(status1B5!AP103="",AO$7="No aplica"),0,SUM('BOULEVARD 5'!$K101:AS101)-$AP408)</f>
        <v>0</v>
      </c>
      <c r="AP408" s="717">
        <f>'BOULEVARD PPTO'!BC96</f>
        <v>137995</v>
      </c>
      <c r="AQ408" s="717">
        <f>'BOULEVARD 5'!AT101</f>
        <v>146000</v>
      </c>
      <c r="AR408" s="717">
        <f t="shared" si="104"/>
        <v>8005</v>
      </c>
      <c r="AS408" s="717"/>
      <c r="AT408" s="581"/>
    </row>
    <row r="409" spans="1:46" ht="13.15" customHeight="1" outlineLevel="1" x14ac:dyDescent="0.25">
      <c r="A409" s="700">
        <f t="shared" si="102"/>
        <v>0</v>
      </c>
      <c r="B409" s="564">
        <f t="shared" ref="B409:G409" si="134">B104</f>
        <v>607</v>
      </c>
      <c r="C409" s="564" t="str">
        <f t="shared" si="134"/>
        <v>A12</v>
      </c>
      <c r="D409" s="564">
        <f t="shared" si="134"/>
        <v>0</v>
      </c>
      <c r="E409" s="564" t="str">
        <f t="shared" si="134"/>
        <v>Antonio Rada</v>
      </c>
      <c r="F409" s="581" t="str">
        <f t="shared" si="134"/>
        <v>Antony Williams Sajche Torres / Madelyn Kristina Sajche Torres</v>
      </c>
      <c r="G409" s="566">
        <f t="shared" si="134"/>
        <v>45769</v>
      </c>
      <c r="H409" s="716">
        <f>IF(OR(status1B5!I104="",H$7="No aplica"),0,SUM('BOULEVARD 5'!$K102:K102)-$AP409)</f>
        <v>0</v>
      </c>
      <c r="I409" s="716">
        <f>IF(OR(status1B5!J104="",I$7="No aplica"),0,SUM('BOULEVARD 5'!$K102:L102)-$AP409)</f>
        <v>0</v>
      </c>
      <c r="J409" s="716">
        <f>IF(OR(status1B5!K104="",J$7="No aplica"),0,SUM('BOULEVARD 5'!$K102:M102)-$AP409)</f>
        <v>0</v>
      </c>
      <c r="K409" s="716">
        <f>IF(OR(status1B5!L104="",K$7="No aplica"),0,SUM('BOULEVARD 5'!$K102:N102)-$AP409)</f>
        <v>0</v>
      </c>
      <c r="L409" s="716">
        <f>IF(OR(status1B5!M104="",L$7="No aplica"),0,SUM('BOULEVARD 5'!$K102:O102)-$AP409)</f>
        <v>0</v>
      </c>
      <c r="M409" s="716">
        <f>IF(OR(status1B5!N104="",M$7="No aplica"),0,SUM('BOULEVARD 5'!$K102:P102)-$AP409)</f>
        <v>0</v>
      </c>
      <c r="N409" s="716">
        <f>IF(OR(status1B5!O104="",N$7="No aplica"),0,SUM('BOULEVARD 5'!$K102:Q102)-$AP409)</f>
        <v>0</v>
      </c>
      <c r="O409" s="716">
        <f>IF(OR(status1B5!P104="",O$7="No aplica"),0,SUM('BOULEVARD 5'!$K102:R102)-$AP409)</f>
        <v>0</v>
      </c>
      <c r="P409" s="716">
        <f>IF(OR(status1B5!Q104="",P$7="No aplica"),0,SUM('BOULEVARD 5'!$K102:S102)-$AP409)</f>
        <v>0</v>
      </c>
      <c r="Q409" s="716">
        <f>IF(OR(status1B5!R104="",Q$7="No aplica"),0,SUM('BOULEVARD 5'!$K102:T102)-$AP409)</f>
        <v>0</v>
      </c>
      <c r="R409" s="716">
        <f>IF(OR(status1B5!S104="",R$7="No aplica"),0,SUM('BOULEVARD 5'!$K102:U102)-$AP409)</f>
        <v>0</v>
      </c>
      <c r="S409" s="716">
        <f>IF(OR(status1B5!T104="",S$7="No aplica"),0,SUM('BOULEVARD 5'!$K102:V102)-$AP409)</f>
        <v>0</v>
      </c>
      <c r="T409" s="716">
        <f>IF(OR(status1B5!U104="",T$7="No aplica"),0,SUM('BOULEVARD 5'!$K102:W102)-$AP409)</f>
        <v>0</v>
      </c>
      <c r="U409" s="716">
        <f>IF(OR(status1B5!V104="",U$7="No aplica"),0,SUM('BOULEVARD 5'!$K102:X102)-$AP409)</f>
        <v>0</v>
      </c>
      <c r="V409" s="716">
        <f>IF(OR(status1B5!W104="",V$7="No aplica"),0,SUM('BOULEVARD 5'!$K102:Y102)-$AP409)</f>
        <v>0</v>
      </c>
      <c r="W409" s="716">
        <f>IF(OR(status1B5!X104="",W$7="No aplica"),0,SUM('BOULEVARD 5'!$K102:Z102)-$AP409)</f>
        <v>0</v>
      </c>
      <c r="X409" s="716">
        <f>IF(OR(status1B5!Y104="",X$7="No aplica"),0,SUM('BOULEVARD 5'!$K102:AA102)-$AP409)</f>
        <v>0</v>
      </c>
      <c r="Y409" s="716">
        <f>IF(OR(status1B5!Z104="",Y$7="No aplica"),0,SUM('BOULEVARD 5'!$K102:AB102)-$AP409)</f>
        <v>0</v>
      </c>
      <c r="Z409" s="716">
        <f>IF(OR(status1B5!AA104="",Z$7="No aplica"),0,SUM('BOULEVARD 5'!$K102:AC102)-$AP409)</f>
        <v>0</v>
      </c>
      <c r="AA409" s="716">
        <f>IF(OR(status1B5!AB104="",AA$7="No aplica"),0,SUM('BOULEVARD 5'!$K102:AD102)-$AP409)</f>
        <v>0</v>
      </c>
      <c r="AB409" s="716">
        <f>IF(OR(status1B5!AC104="",AB$7="No aplica"),0,SUM('BOULEVARD 5'!$K102:AE102)-$AP409)</f>
        <v>0</v>
      </c>
      <c r="AC409" s="716">
        <f>IF(OR(status1B5!AD104="",AC$7="No aplica"),0,SUM('BOULEVARD 5'!$K102:AF102)-$AP409)</f>
        <v>0</v>
      </c>
      <c r="AD409" s="716">
        <f>IF(OR(status1B5!AE104="",AD$7="No aplica"),0,SUM('BOULEVARD 5'!$K102:AG102)-$AP409)</f>
        <v>0</v>
      </c>
      <c r="AE409" s="716">
        <f>IF(OR(status1B5!AF104="",AE$7="No aplica"),0,SUM('BOULEVARD 5'!$K102:AH102)-$AP409)</f>
        <v>0</v>
      </c>
      <c r="AF409" s="716">
        <f>IF(OR(status1B5!AG104="",AF$7="No aplica"),0,SUM('BOULEVARD 5'!$K102:AI102)-$AP409)</f>
        <v>0</v>
      </c>
      <c r="AG409" s="716">
        <f>IF(OR(status1B5!AH104="",AG$7="No aplica"),0,SUM('BOULEVARD 5'!$K102:AJ102)-$AP409)</f>
        <v>-67171</v>
      </c>
      <c r="AH409" s="716">
        <f>IF(OR(status1B5!AI104="",AH$7="No aplica"),0,SUM('BOULEVARD 5'!$K102:AK102)-$AP409)</f>
        <v>-62004</v>
      </c>
      <c r="AI409" s="716">
        <f>IF(OR(status1B5!AJ104="",AI$7="No aplica"),0,SUM('BOULEVARD 5'!$K102:AL102)-$AP409)</f>
        <v>-56837</v>
      </c>
      <c r="AJ409" s="716">
        <f>IF(OR(status1B5!AK104="",AJ$7="No aplica"),0,SUM('BOULEVARD 5'!$K102:AM102)-$AP409)</f>
        <v>-51661</v>
      </c>
      <c r="AK409" s="716">
        <f>IF(OR(status1B5!AL104="",AK$7="No aplica"),0,SUM('BOULEVARD 5'!$K102:AN102)-$AP409)</f>
        <v>-46494</v>
      </c>
      <c r="AL409" s="716">
        <f>IF(OR(status1B5!AM104="",AL$7="No aplica"),0,SUM('BOULEVARD 5'!$K102:AO102)-$AP409)</f>
        <v>-41327</v>
      </c>
      <c r="AM409" s="716">
        <f>IF(OR(status1B5!AN104="",AM$7="No aplica"),0,SUM('BOULEVARD 5'!$K102:AP102)-$AP409)</f>
        <v>-36160</v>
      </c>
      <c r="AN409" s="716">
        <f>IF(OR(status1B5!AO104="",AN$7="No aplica"),0,SUM('BOULEVARD 5'!$K102:AQ102)-$AP409)</f>
        <v>0</v>
      </c>
      <c r="AO409" s="716">
        <f>IF(OR(status1B5!AP104="",AO$7="No aplica"),0,SUM('BOULEVARD 5'!$K102:AS102)-$AP409)</f>
        <v>0</v>
      </c>
      <c r="AP409" s="717">
        <f>'BOULEVARD PPTO'!BC97</f>
        <v>77171</v>
      </c>
      <c r="AQ409" s="717">
        <f>'BOULEVARD 5'!AT102</f>
        <v>56512</v>
      </c>
      <c r="AR409" s="717">
        <f t="shared" si="104"/>
        <v>-20659</v>
      </c>
      <c r="AS409" s="717"/>
      <c r="AT409" s="581"/>
    </row>
    <row r="410" spans="1:46" ht="13.15" customHeight="1" outlineLevel="1" x14ac:dyDescent="0.25">
      <c r="A410" s="700" t="str">
        <f t="shared" si="102"/>
        <v>CE</v>
      </c>
      <c r="B410" s="708">
        <f t="shared" ref="B410:G410" si="135">B105</f>
        <v>608</v>
      </c>
      <c r="C410" s="564" t="str">
        <f t="shared" si="135"/>
        <v>C6</v>
      </c>
      <c r="D410" s="647" t="str">
        <f t="shared" si="135"/>
        <v>Plan de pagos especiales</v>
      </c>
      <c r="E410" s="564" t="str">
        <f t="shared" si="135"/>
        <v>Antonio Rada</v>
      </c>
      <c r="F410" s="581" t="str">
        <f t="shared" si="135"/>
        <v>Alfonso Videche Rodriguez</v>
      </c>
      <c r="G410" s="566">
        <f t="shared" si="135"/>
        <v>45324</v>
      </c>
      <c r="H410" s="716">
        <f>IF(OR(status1B5!I105="",H$7="No aplica"),0,SUM('BOULEVARD 5'!$K103:K103)-$AP410)</f>
        <v>0</v>
      </c>
      <c r="I410" s="716">
        <f>IF(OR(status1B5!J105="",I$7="No aplica"),0,SUM('BOULEVARD 5'!$K103:L103)-$AP410)</f>
        <v>0</v>
      </c>
      <c r="J410" s="716">
        <f>IF(OR(status1B5!K105="",J$7="No aplica"),0,SUM('BOULEVARD 5'!$K103:M103)-$AP410)</f>
        <v>0</v>
      </c>
      <c r="K410" s="716">
        <f>IF(OR(status1B5!L105="",K$7="No aplica"),0,SUM('BOULEVARD 5'!$K103:N103)-$AP410)</f>
        <v>0</v>
      </c>
      <c r="L410" s="716">
        <f>IF(OR(status1B5!M105="",L$7="No aplica"),0,SUM('BOULEVARD 5'!$K103:O103)-$AP410)</f>
        <v>0</v>
      </c>
      <c r="M410" s="716">
        <f>IF(OR(status1B5!N105="",M$7="No aplica"),0,SUM('BOULEVARD 5'!$K103:P103)-$AP410)</f>
        <v>0</v>
      </c>
      <c r="N410" s="716">
        <f>IF(OR(status1B5!O105="",N$7="No aplica"),0,SUM('BOULEVARD 5'!$K103:Q103)-$AP410)</f>
        <v>0</v>
      </c>
      <c r="O410" s="716">
        <f>IF(OR(status1B5!P105="",O$7="No aplica"),0,SUM('BOULEVARD 5'!$K103:R103)-$AP410)</f>
        <v>0</v>
      </c>
      <c r="P410" s="716">
        <f>IF(OR(status1B5!Q105="",P$7="No aplica"),0,SUM('BOULEVARD 5'!$K103:S103)-$AP410)</f>
        <v>0</v>
      </c>
      <c r="Q410" s="716">
        <f>IF(OR(status1B5!R105="",Q$7="No aplica"),0,SUM('BOULEVARD 5'!$K103:T103)-$AP410)</f>
        <v>0</v>
      </c>
      <c r="R410" s="716">
        <f>IF(OR(status1B5!S105="",R$7="No aplica"),0,SUM('BOULEVARD 5'!$K103:U103)-$AP410)</f>
        <v>0</v>
      </c>
      <c r="S410" s="716">
        <f>IF(OR(status1B5!T105="",S$7="No aplica"),0,SUM('BOULEVARD 5'!$K103:V103)-$AP410)</f>
        <v>-106393</v>
      </c>
      <c r="T410" s="716">
        <f>IF(OR(status1B5!U105="",T$7="No aplica"),0,SUM('BOULEVARD 5'!$K103:W103)-$AP410)</f>
        <v>-106393</v>
      </c>
      <c r="U410" s="716">
        <f>IF(OR(status1B5!V105="",U$7="No aplica"),0,SUM('BOULEVARD 5'!$K103:X103)-$AP410)</f>
        <v>-91393</v>
      </c>
      <c r="V410" s="716">
        <f>IF(OR(status1B5!W105="",V$7="No aplica"),0,SUM('BOULEVARD 5'!$K103:Y103)-$AP410)</f>
        <v>-91393</v>
      </c>
      <c r="W410" s="716">
        <f>IF(OR(status1B5!X105="",W$7="No aplica"),0,SUM('BOULEVARD 5'!$K103:Z103)-$AP410)</f>
        <v>-91393</v>
      </c>
      <c r="X410" s="716">
        <f>IF(OR(status1B5!Y105="",X$7="No aplica"),0,SUM('BOULEVARD 5'!$K103:AA103)-$AP410)</f>
        <v>-91393</v>
      </c>
      <c r="Y410" s="716">
        <f>IF(OR(status1B5!Z105="",Y$7="No aplica"),0,SUM('BOULEVARD 5'!$K103:AB103)-$AP410)</f>
        <v>-72393</v>
      </c>
      <c r="Z410" s="716">
        <f>IF(OR(status1B5!AA105="",Z$7="No aplica"),0,SUM('BOULEVARD 5'!$K103:AC103)-$AP410)</f>
        <v>-72393</v>
      </c>
      <c r="AA410" s="716">
        <f>IF(OR(status1B5!AB105="",AA$7="No aplica"),0,SUM('BOULEVARD 5'!$K103:AD103)-$AP410)</f>
        <v>-72393</v>
      </c>
      <c r="AB410" s="716">
        <f>IF(OR(status1B5!AC105="",AB$7="No aplica"),0,SUM('BOULEVARD 5'!$K103:AE103)-$AP410)</f>
        <v>-72393</v>
      </c>
      <c r="AC410" s="716">
        <f>IF(OR(status1B5!AD105="",AC$7="No aplica"),0,SUM('BOULEVARD 5'!$K103:AF103)-$AP410)</f>
        <v>-72393</v>
      </c>
      <c r="AD410" s="716">
        <f>IF(OR(status1B5!AE105="",AD$7="No aplica"),0,SUM('BOULEVARD 5'!$K103:AG103)-$AP410)</f>
        <v>-72393</v>
      </c>
      <c r="AE410" s="716">
        <f>IF(OR(status1B5!AF105="",AE$7="No aplica"),0,SUM('BOULEVARD 5'!$K103:AH103)-$AP410)</f>
        <v>-72393</v>
      </c>
      <c r="AF410" s="716">
        <f>IF(OR(status1B5!AG105="",AF$7="No aplica"),0,SUM('BOULEVARD 5'!$K103:AI103)-$AP410)</f>
        <v>-72393</v>
      </c>
      <c r="AG410" s="716">
        <f>IF(OR(status1B5!AH105="",AG$7="No aplica"),0,SUM('BOULEVARD 5'!$K103:AJ103)-$AP410)</f>
        <v>-33393</v>
      </c>
      <c r="AH410" s="716">
        <f>IF(OR(status1B5!AI105="",AH$7="No aplica"),0,SUM('BOULEVARD 5'!$K103:AK103)-$AP410)</f>
        <v>-33393</v>
      </c>
      <c r="AI410" s="716">
        <f>IF(OR(status1B5!AJ105="",AI$7="No aplica"),0,SUM('BOULEVARD 5'!$K103:AL103)-$AP410)</f>
        <v>-33393</v>
      </c>
      <c r="AJ410" s="716">
        <f>IF(OR(status1B5!AK105="",AJ$7="No aplica"),0,SUM('BOULEVARD 5'!$K103:AM103)-$AP410)</f>
        <v>-33393</v>
      </c>
      <c r="AK410" s="716">
        <f>IF(OR(status1B5!AL105="",AK$7="No aplica"),0,SUM('BOULEVARD 5'!$K103:AN103)-$AP410)</f>
        <v>-33393</v>
      </c>
      <c r="AL410" s="716">
        <f>IF(OR(status1B5!AM105="",AL$7="No aplica"),0,SUM('BOULEVARD 5'!$K103:AO103)-$AP410)</f>
        <v>-33393</v>
      </c>
      <c r="AM410" s="716">
        <f>IF(OR(status1B5!AN105="",AM$7="No aplica"),0,SUM('BOULEVARD 5'!$K103:AP103)-$AP410)</f>
        <v>-33393</v>
      </c>
      <c r="AN410" s="716">
        <f>IF(OR(status1B5!AO105="",AN$7="No aplica"),0,SUM('BOULEVARD 5'!$K103:AQ103)-$AP410)</f>
        <v>0</v>
      </c>
      <c r="AO410" s="716">
        <f>IF(OR(status1B5!AP105="",AO$7="No aplica"),0,SUM('BOULEVARD 5'!$K103:AS103)-$AP410)</f>
        <v>0</v>
      </c>
      <c r="AP410" s="717">
        <f>'BOULEVARD PPTO'!BC98</f>
        <v>118393</v>
      </c>
      <c r="AQ410" s="717">
        <f>'BOULEVARD 5'!AT103</f>
        <v>85000</v>
      </c>
      <c r="AR410" s="717">
        <f t="shared" si="104"/>
        <v>-33393</v>
      </c>
      <c r="AS410" s="717"/>
      <c r="AT410" s="581"/>
    </row>
    <row r="411" spans="1:46" ht="13.15" customHeight="1" outlineLevel="1" x14ac:dyDescent="0.25">
      <c r="A411" s="700">
        <f t="shared" si="102"/>
        <v>0</v>
      </c>
      <c r="B411" s="564">
        <f t="shared" ref="B411:G411" si="136">B106</f>
        <v>609</v>
      </c>
      <c r="C411" s="564" t="str">
        <f t="shared" si="136"/>
        <v>C5</v>
      </c>
      <c r="D411" s="564">
        <f t="shared" si="136"/>
        <v>0</v>
      </c>
      <c r="E411" s="564" t="str">
        <f t="shared" si="136"/>
        <v>Antonio Rada</v>
      </c>
      <c r="F411" s="581" t="str">
        <f t="shared" si="136"/>
        <v>Luis Augusto Franco Lopez</v>
      </c>
      <c r="G411" s="566">
        <f t="shared" si="136"/>
        <v>45434</v>
      </c>
      <c r="H411" s="716">
        <f>IF(OR(status1B5!I106="",H$7="No aplica"),0,SUM('BOULEVARD 5'!$K104:K104)-$AP411)</f>
        <v>0</v>
      </c>
      <c r="I411" s="716">
        <f>IF(OR(status1B5!J106="",I$7="No aplica"),0,SUM('BOULEVARD 5'!$K104:L104)-$AP411)</f>
        <v>0</v>
      </c>
      <c r="J411" s="716">
        <f>IF(OR(status1B5!K106="",J$7="No aplica"),0,SUM('BOULEVARD 5'!$K104:M104)-$AP411)</f>
        <v>0</v>
      </c>
      <c r="K411" s="716">
        <f>IF(OR(status1B5!L106="",K$7="No aplica"),0,SUM('BOULEVARD 5'!$K104:N104)-$AP411)</f>
        <v>0</v>
      </c>
      <c r="L411" s="716">
        <f>IF(OR(status1B5!M106="",L$7="No aplica"),0,SUM('BOULEVARD 5'!$K104:O104)-$AP411)</f>
        <v>0</v>
      </c>
      <c r="M411" s="716">
        <f>IF(OR(status1B5!N106="",M$7="No aplica"),0,SUM('BOULEVARD 5'!$K104:P104)-$AP411)</f>
        <v>0</v>
      </c>
      <c r="N411" s="716">
        <f>IF(OR(status1B5!O106="",N$7="No aplica"),0,SUM('BOULEVARD 5'!$K104:Q104)-$AP411)</f>
        <v>0</v>
      </c>
      <c r="O411" s="716">
        <f>IF(OR(status1B5!P106="",O$7="No aplica"),0,SUM('BOULEVARD 5'!$K104:R104)-$AP411)</f>
        <v>0</v>
      </c>
      <c r="P411" s="716">
        <f>IF(OR(status1B5!Q106="",P$7="No aplica"),0,SUM('BOULEVARD 5'!$K104:S104)-$AP411)</f>
        <v>0</v>
      </c>
      <c r="Q411" s="716">
        <f>IF(OR(status1B5!R106="",Q$7="No aplica"),0,SUM('BOULEVARD 5'!$K104:T104)-$AP411)</f>
        <v>0</v>
      </c>
      <c r="R411" s="716">
        <f>IF(OR(status1B5!S106="",R$7="No aplica"),0,SUM('BOULEVARD 5'!$K104:U104)-$AP411)</f>
        <v>0</v>
      </c>
      <c r="S411" s="716">
        <f>IF(OR(status1B5!T106="",S$7="No aplica"),0,SUM('BOULEVARD 5'!$K104:V104)-$AP411)</f>
        <v>0</v>
      </c>
      <c r="T411" s="716">
        <f>IF(OR(status1B5!U106="",T$7="No aplica"),0,SUM('BOULEVARD 5'!$K104:W104)-$AP411)</f>
        <v>0</v>
      </c>
      <c r="U411" s="716">
        <f>IF(OR(status1B5!V106="",U$7="No aplica"),0,SUM('BOULEVARD 5'!$K104:X104)-$AP411)</f>
        <v>0</v>
      </c>
      <c r="V411" s="716">
        <f>IF(OR(status1B5!W106="",V$7="No aplica"),0,SUM('BOULEVARD 5'!$K104:Y104)-$AP411)</f>
        <v>-108161.5</v>
      </c>
      <c r="W411" s="716">
        <f>IF(OR(status1B5!X106="",W$7="No aplica"),0,SUM('BOULEVARD 5'!$K104:Z104)-$AP411)</f>
        <v>-102468.5</v>
      </c>
      <c r="X411" s="716">
        <f>IF(OR(status1B5!Y106="",X$7="No aplica"),0,SUM('BOULEVARD 5'!$K104:AA104)-$AP411)</f>
        <v>-96775.5</v>
      </c>
      <c r="Y411" s="716">
        <f>IF(OR(status1B5!Z106="",Y$7="No aplica"),0,SUM('BOULEVARD 5'!$K104:AB104)-$AP411)</f>
        <v>-91082.5</v>
      </c>
      <c r="Z411" s="716">
        <f>IF(OR(status1B5!AA106="",Z$7="No aplica"),0,SUM('BOULEVARD 5'!$K104:AC104)-$AP411)</f>
        <v>-79696.5</v>
      </c>
      <c r="AA411" s="716">
        <f>IF(OR(status1B5!AB106="",AA$7="No aplica"),0,SUM('BOULEVARD 5'!$K104:AD104)-$AP411)</f>
        <v>-79696.5</v>
      </c>
      <c r="AB411" s="716">
        <f>IF(OR(status1B5!AC106="",AB$7="No aplica"),0,SUM('BOULEVARD 5'!$K104:AE104)-$AP411)</f>
        <v>-74003.5</v>
      </c>
      <c r="AC411" s="716">
        <f>IF(OR(status1B5!AD106="",AC$7="No aplica"),0,SUM('BOULEVARD 5'!$K104:AF104)-$AP411)</f>
        <v>-68310.5</v>
      </c>
      <c r="AD411" s="716">
        <f>IF(OR(status1B5!AE106="",AD$7="No aplica"),0,SUM('BOULEVARD 5'!$K104:AG104)-$AP411)</f>
        <v>-62617.5</v>
      </c>
      <c r="AE411" s="716">
        <f>IF(OR(status1B5!AF106="",AE$7="No aplica"),0,SUM('BOULEVARD 5'!$K104:AH104)-$AP411)</f>
        <v>-56924.5</v>
      </c>
      <c r="AF411" s="716">
        <f>IF(OR(status1B5!AG106="",AF$7="No aplica"),0,SUM('BOULEVARD 5'!$K104:AI104)-$AP411)</f>
        <v>-51231.5</v>
      </c>
      <c r="AG411" s="716">
        <f>IF(OR(status1B5!AH106="",AG$7="No aplica"),0,SUM('BOULEVARD 5'!$K104:AJ104)-$AP411)</f>
        <v>-45538.5</v>
      </c>
      <c r="AH411" s="716">
        <f>IF(OR(status1B5!AI106="",AH$7="No aplica"),0,SUM('BOULEVARD 5'!$K104:AK104)-$AP411)</f>
        <v>-34152.5</v>
      </c>
      <c r="AI411" s="716">
        <f>IF(OR(status1B5!AJ106="",AI$7="No aplica"),0,SUM('BOULEVARD 5'!$K104:AL104)-$AP411)</f>
        <v>-34152.5</v>
      </c>
      <c r="AJ411" s="716">
        <f>IF(OR(status1B5!AK106="",AJ$7="No aplica"),0,SUM('BOULEVARD 5'!$K104:AM104)-$AP411)</f>
        <v>-28459.5</v>
      </c>
      <c r="AK411" s="716">
        <f>IF(OR(status1B5!AL106="",AK$7="No aplica"),0,SUM('BOULEVARD 5'!$K104:AN104)-$AP411)</f>
        <v>-22766.5</v>
      </c>
      <c r="AL411" s="716">
        <f>IF(OR(status1B5!AM106="",AL$7="No aplica"),0,SUM('BOULEVARD 5'!$K104:AO104)-$AP411)</f>
        <v>-17073.5</v>
      </c>
      <c r="AM411" s="716">
        <f>IF(OR(status1B5!AN106="",AM$7="No aplica"),0,SUM('BOULEVARD 5'!$K104:AP104)-$AP411)</f>
        <v>-11380.5</v>
      </c>
      <c r="AN411" s="716">
        <f>IF(OR(status1B5!AO106="",AN$7="No aplica"),0,SUM('BOULEVARD 5'!$K104:AQ104)-$AP411)</f>
        <v>0</v>
      </c>
      <c r="AO411" s="716">
        <f>IF(OR(status1B5!AP106="",AO$7="No aplica"),0,SUM('BOULEVARD 5'!$K104:AS104)-$AP411)</f>
        <v>0</v>
      </c>
      <c r="AP411" s="717">
        <f>'BOULEVARD PPTO'!BC99</f>
        <v>118161.5</v>
      </c>
      <c r="AQ411" s="717">
        <f>'BOULEVARD 5'!AT104</f>
        <v>118167</v>
      </c>
      <c r="AR411" s="717">
        <f t="shared" si="104"/>
        <v>5.5</v>
      </c>
      <c r="AS411" s="717"/>
      <c r="AT411" s="581"/>
    </row>
    <row r="412" spans="1:46" ht="13.15" customHeight="1" outlineLevel="1" x14ac:dyDescent="0.25">
      <c r="A412" s="700">
        <f t="shared" si="102"/>
        <v>0</v>
      </c>
      <c r="B412" s="564">
        <f t="shared" ref="B412:G412" si="137">B107</f>
        <v>610</v>
      </c>
      <c r="C412" s="564" t="str">
        <f t="shared" si="137"/>
        <v>C6</v>
      </c>
      <c r="D412" s="564">
        <f t="shared" si="137"/>
        <v>0</v>
      </c>
      <c r="E412" s="564" t="str">
        <f t="shared" si="137"/>
        <v>Antonio Rada</v>
      </c>
      <c r="F412" s="581" t="str">
        <f t="shared" si="137"/>
        <v>Andrea Nathalia Molina Mendez De Velasqeuz</v>
      </c>
      <c r="G412" s="566">
        <f t="shared" si="137"/>
        <v>45351</v>
      </c>
      <c r="H412" s="716">
        <f>IF(OR(status1B5!I107="",H$7="No aplica"),0,SUM('BOULEVARD 5'!$K105:K105)-$AP412)</f>
        <v>0</v>
      </c>
      <c r="I412" s="716">
        <f>IF(OR(status1B5!J107="",I$7="No aplica"),0,SUM('BOULEVARD 5'!$K105:L105)-$AP412)</f>
        <v>0</v>
      </c>
      <c r="J412" s="716">
        <f>IF(OR(status1B5!K107="",J$7="No aplica"),0,SUM('BOULEVARD 5'!$K105:M105)-$AP412)</f>
        <v>0</v>
      </c>
      <c r="K412" s="716">
        <f>IF(OR(status1B5!L107="",K$7="No aplica"),0,SUM('BOULEVARD 5'!$K105:N105)-$AP412)</f>
        <v>0</v>
      </c>
      <c r="L412" s="716">
        <f>IF(OR(status1B5!M107="",L$7="No aplica"),0,SUM('BOULEVARD 5'!$K105:O105)-$AP412)</f>
        <v>0</v>
      </c>
      <c r="M412" s="716">
        <f>IF(OR(status1B5!N107="",M$7="No aplica"),0,SUM('BOULEVARD 5'!$K105:P105)-$AP412)</f>
        <v>0</v>
      </c>
      <c r="N412" s="716">
        <f>IF(OR(status1B5!O107="",N$7="No aplica"),0,SUM('BOULEVARD 5'!$K105:Q105)-$AP412)</f>
        <v>0</v>
      </c>
      <c r="O412" s="716">
        <f>IF(OR(status1B5!P107="",O$7="No aplica"),0,SUM('BOULEVARD 5'!$K105:R105)-$AP412)</f>
        <v>0</v>
      </c>
      <c r="P412" s="716">
        <f>IF(OR(status1B5!Q107="",P$7="No aplica"),0,SUM('BOULEVARD 5'!$K105:S105)-$AP412)</f>
        <v>0</v>
      </c>
      <c r="Q412" s="716">
        <f>IF(OR(status1B5!R107="",Q$7="No aplica"),0,SUM('BOULEVARD 5'!$K105:T105)-$AP412)</f>
        <v>0</v>
      </c>
      <c r="R412" s="716">
        <f>IF(OR(status1B5!S107="",R$7="No aplica"),0,SUM('BOULEVARD 5'!$K105:U105)-$AP412)</f>
        <v>0</v>
      </c>
      <c r="S412" s="716">
        <f>IF(OR(status1B5!T107="",S$7="No aplica"),0,SUM('BOULEVARD 5'!$K105:V105)-$AP412)</f>
        <v>-110393</v>
      </c>
      <c r="T412" s="716">
        <f>IF(OR(status1B5!U107="",T$7="No aplica"),0,SUM('BOULEVARD 5'!$K105:W105)-$AP412)</f>
        <v>-104583</v>
      </c>
      <c r="U412" s="716">
        <f>IF(OR(status1B5!V107="",U$7="No aplica"),0,SUM('BOULEVARD 5'!$K105:X105)-$AP412)</f>
        <v>-98773</v>
      </c>
      <c r="V412" s="716">
        <f>IF(OR(status1B5!W107="",V$7="No aplica"),0,SUM('BOULEVARD 5'!$K105:Y105)-$AP412)</f>
        <v>-92963</v>
      </c>
      <c r="W412" s="716">
        <f>IF(OR(status1B5!X107="",W$7="No aplica"),0,SUM('BOULEVARD 5'!$K105:Z105)-$AP412)</f>
        <v>-87153</v>
      </c>
      <c r="X412" s="716">
        <f>IF(OR(status1B5!Y107="",X$7="No aplica"),0,SUM('BOULEVARD 5'!$K105:AA105)-$AP412)</f>
        <v>-81343</v>
      </c>
      <c r="Y412" s="716">
        <f>IF(OR(status1B5!Z107="",Y$7="No aplica"),0,SUM('BOULEVARD 5'!$K105:AB105)-$AP412)</f>
        <v>-75533</v>
      </c>
      <c r="Z412" s="716">
        <f>IF(OR(status1B5!AA107="",Z$7="No aplica"),0,SUM('BOULEVARD 5'!$K105:AC105)-$AP412)</f>
        <v>-69723</v>
      </c>
      <c r="AA412" s="716">
        <f>IF(OR(status1B5!AB107="",AA$7="No aplica"),0,SUM('BOULEVARD 5'!$K105:AD105)-$AP412)</f>
        <v>-63913</v>
      </c>
      <c r="AB412" s="716">
        <f>IF(OR(status1B5!AC107="",AB$7="No aplica"),0,SUM('BOULEVARD 5'!$K105:AE105)-$AP412)</f>
        <v>-58103</v>
      </c>
      <c r="AC412" s="716">
        <f>IF(OR(status1B5!AD107="",AC$7="No aplica"),0,SUM('BOULEVARD 5'!$K105:AF105)-$AP412)</f>
        <v>-52293</v>
      </c>
      <c r="AD412" s="716">
        <f>IF(OR(status1B5!AE107="",AD$7="No aplica"),0,SUM('BOULEVARD 5'!$K105:AG105)-$AP412)</f>
        <v>-46483</v>
      </c>
      <c r="AE412" s="716">
        <f>IF(OR(status1B5!AF107="",AE$7="No aplica"),0,SUM('BOULEVARD 5'!$K105:AH105)-$AP412)</f>
        <v>-40673</v>
      </c>
      <c r="AF412" s="716">
        <f>IF(OR(status1B5!AG107="",AF$7="No aplica"),0,SUM('BOULEVARD 5'!$K105:AI105)-$AP412)</f>
        <v>-34863</v>
      </c>
      <c r="AG412" s="716">
        <f>IF(OR(status1B5!AH107="",AG$7="No aplica"),0,SUM('BOULEVARD 5'!$K105:AJ105)-$AP412)</f>
        <v>-29053</v>
      </c>
      <c r="AH412" s="716">
        <f>IF(OR(status1B5!AI107="",AH$7="No aplica"),0,SUM('BOULEVARD 5'!$K105:AK105)-$AP412)</f>
        <v>-23243</v>
      </c>
      <c r="AI412" s="716">
        <f>IF(OR(status1B5!AJ107="",AI$7="No aplica"),0,SUM('BOULEVARD 5'!$K105:AL105)-$AP412)</f>
        <v>-17433</v>
      </c>
      <c r="AJ412" s="716">
        <f>IF(OR(status1B5!AK107="",AJ$7="No aplica"),0,SUM('BOULEVARD 5'!$K105:AM105)-$AP412)</f>
        <v>-11623</v>
      </c>
      <c r="AK412" s="716">
        <f>IF(OR(status1B5!AL107="",AK$7="No aplica"),0,SUM('BOULEVARD 5'!$K105:AN105)-$AP412)</f>
        <v>-5813</v>
      </c>
      <c r="AL412" s="716">
        <f>IF(OR(status1B5!AM107="",AL$7="No aplica"),0,SUM('BOULEVARD 5'!$K105:AO105)-$AP412)</f>
        <v>-5813</v>
      </c>
      <c r="AM412" s="716">
        <f>IF(OR(status1B5!AN107="",AM$7="No aplica"),0,SUM('BOULEVARD 5'!$K105:AP105)-$AP412)</f>
        <v>0</v>
      </c>
      <c r="AN412" s="716">
        <f>IF(OR(status1B5!AO107="",AN$7="No aplica"),0,SUM('BOULEVARD 5'!$K105:AQ105)-$AP412)</f>
        <v>0</v>
      </c>
      <c r="AO412" s="716">
        <f>IF(OR(status1B5!AP107="",AO$7="No aplica"),0,SUM('BOULEVARD 5'!$K105:AS105)-$AP412)</f>
        <v>0</v>
      </c>
      <c r="AP412" s="717">
        <f>'BOULEVARD PPTO'!BC100</f>
        <v>118393</v>
      </c>
      <c r="AQ412" s="717">
        <f>'BOULEVARD 5'!AT105</f>
        <v>118393</v>
      </c>
      <c r="AR412" s="717">
        <f t="shared" si="104"/>
        <v>0</v>
      </c>
      <c r="AS412" s="717"/>
      <c r="AT412" s="581"/>
    </row>
    <row r="413" spans="1:46" ht="13.15" customHeight="1" outlineLevel="1" x14ac:dyDescent="0.25">
      <c r="A413" s="700">
        <f t="shared" si="102"/>
        <v>0</v>
      </c>
      <c r="B413" s="564">
        <f t="shared" ref="B413:G413" si="138">B108</f>
        <v>611</v>
      </c>
      <c r="C413" s="564" t="str">
        <f t="shared" si="138"/>
        <v>C5</v>
      </c>
      <c r="D413" s="564">
        <f t="shared" si="138"/>
        <v>0</v>
      </c>
      <c r="E413" s="564" t="str">
        <f t="shared" si="138"/>
        <v>Antonio Rada</v>
      </c>
      <c r="F413" s="581" t="str">
        <f t="shared" si="138"/>
        <v>Kenny Estuardo Garay Carias</v>
      </c>
      <c r="G413" s="566">
        <f t="shared" si="138"/>
        <v>45835</v>
      </c>
      <c r="H413" s="716">
        <f>IF(OR(status1B5!I108="",H$7="No aplica"),0,SUM('BOULEVARD 5'!$K106:K106)-$AP413)</f>
        <v>0</v>
      </c>
      <c r="I413" s="716">
        <f>IF(OR(status1B5!J108="",I$7="No aplica"),0,SUM('BOULEVARD 5'!$K106:L106)-$AP413)</f>
        <v>0</v>
      </c>
      <c r="J413" s="716">
        <f>IF(OR(status1B5!K108="",J$7="No aplica"),0,SUM('BOULEVARD 5'!$K106:M106)-$AP413)</f>
        <v>0</v>
      </c>
      <c r="K413" s="716">
        <f>IF(OR(status1B5!L108="",K$7="No aplica"),0,SUM('BOULEVARD 5'!$K106:N106)-$AP413)</f>
        <v>0</v>
      </c>
      <c r="L413" s="716">
        <f>IF(OR(status1B5!M108="",L$7="No aplica"),0,SUM('BOULEVARD 5'!$K106:O106)-$AP413)</f>
        <v>0</v>
      </c>
      <c r="M413" s="716">
        <f>IF(OR(status1B5!N108="",M$7="No aplica"),0,SUM('BOULEVARD 5'!$K106:P106)-$AP413)</f>
        <v>0</v>
      </c>
      <c r="N413" s="716">
        <f>IF(OR(status1B5!O108="",N$7="No aplica"),0,SUM('BOULEVARD 5'!$K106:Q106)-$AP413)</f>
        <v>0</v>
      </c>
      <c r="O413" s="716">
        <f>IF(OR(status1B5!P108="",O$7="No aplica"),0,SUM('BOULEVARD 5'!$K106:R106)-$AP413)</f>
        <v>0</v>
      </c>
      <c r="P413" s="716">
        <f>IF(OR(status1B5!Q108="",P$7="No aplica"),0,SUM('BOULEVARD 5'!$K106:S106)-$AP413)</f>
        <v>0</v>
      </c>
      <c r="Q413" s="716">
        <f>IF(OR(status1B5!R108="",Q$7="No aplica"),0,SUM('BOULEVARD 5'!$K106:T106)-$AP413)</f>
        <v>0</v>
      </c>
      <c r="R413" s="716">
        <f>IF(OR(status1B5!S108="",R$7="No aplica"),0,SUM('BOULEVARD 5'!$K106:U106)-$AP413)</f>
        <v>0</v>
      </c>
      <c r="S413" s="716">
        <f>IF(OR(status1B5!T108="",S$7="No aplica"),0,SUM('BOULEVARD 5'!$K106:V106)-$AP413)</f>
        <v>0</v>
      </c>
      <c r="T413" s="716">
        <f>IF(OR(status1B5!U108="",T$7="No aplica"),0,SUM('BOULEVARD 5'!$K106:W106)-$AP413)</f>
        <v>0</v>
      </c>
      <c r="U413" s="716">
        <f>IF(OR(status1B5!V108="",U$7="No aplica"),0,SUM('BOULEVARD 5'!$K106:X106)-$AP413)</f>
        <v>0</v>
      </c>
      <c r="V413" s="716">
        <f>IF(OR(status1B5!W108="",V$7="No aplica"),0,SUM('BOULEVARD 5'!$K106:Y106)-$AP413)</f>
        <v>0</v>
      </c>
      <c r="W413" s="716">
        <f>IF(OR(status1B5!X108="",W$7="No aplica"),0,SUM('BOULEVARD 5'!$K106:Z106)-$AP413)</f>
        <v>0</v>
      </c>
      <c r="X413" s="716">
        <f>IF(OR(status1B5!Y108="",X$7="No aplica"),0,SUM('BOULEVARD 5'!$K106:AA106)-$AP413)</f>
        <v>0</v>
      </c>
      <c r="Y413" s="716">
        <f>IF(OR(status1B5!Z108="",Y$7="No aplica"),0,SUM('BOULEVARD 5'!$K106:AB106)-$AP413)</f>
        <v>0</v>
      </c>
      <c r="Z413" s="716">
        <f>IF(OR(status1B5!AA108="",Z$7="No aplica"),0,SUM('BOULEVARD 5'!$K106:AC106)-$AP413)</f>
        <v>0</v>
      </c>
      <c r="AA413" s="716">
        <f>IF(OR(status1B5!AB108="",AA$7="No aplica"),0,SUM('BOULEVARD 5'!$K106:AD106)-$AP413)</f>
        <v>0</v>
      </c>
      <c r="AB413" s="716">
        <f>IF(OR(status1B5!AC108="",AB$7="No aplica"),0,SUM('BOULEVARD 5'!$K106:AE106)-$AP413)</f>
        <v>0</v>
      </c>
      <c r="AC413" s="716">
        <f>IF(OR(status1B5!AD108="",AC$7="No aplica"),0,SUM('BOULEVARD 5'!$K106:AF106)-$AP413)</f>
        <v>0</v>
      </c>
      <c r="AD413" s="716">
        <f>IF(OR(status1B5!AE108="",AD$7="No aplica"),0,SUM('BOULEVARD 5'!$K106:AG106)-$AP413)</f>
        <v>0</v>
      </c>
      <c r="AE413" s="716">
        <f>IF(OR(status1B5!AF108="",AE$7="No aplica"),0,SUM('BOULEVARD 5'!$K106:AH106)-$AP413)</f>
        <v>0</v>
      </c>
      <c r="AF413" s="716">
        <f>IF(OR(status1B5!AG108="",AF$7="No aplica"),0,SUM('BOULEVARD 5'!$K106:AI106)-$AP413)</f>
        <v>0</v>
      </c>
      <c r="AG413" s="716">
        <f>IF(OR(status1B5!AH108="",AG$7="No aplica"),0,SUM('BOULEVARD 5'!$K106:AJ106)-$AP413)</f>
        <v>0</v>
      </c>
      <c r="AH413" s="716">
        <f>IF(OR(status1B5!AI108="",AH$7="No aplica"),0,SUM('BOULEVARD 5'!$K106:AK106)-$AP413)</f>
        <v>0</v>
      </c>
      <c r="AI413" s="716">
        <f>IF(OR(status1B5!AJ108="",AI$7="No aplica"),0,SUM('BOULEVARD 5'!$K106:AL106)-$AP413)</f>
        <v>-256346.7</v>
      </c>
      <c r="AJ413" s="716">
        <f>IF(OR(status1B5!AK108="",AJ$7="No aplica"),0,SUM('BOULEVARD 5'!$K106:AM106)-$AP413)</f>
        <v>-235858.7</v>
      </c>
      <c r="AK413" s="716">
        <f>IF(OR(status1B5!AL108="",AK$7="No aplica"),0,SUM('BOULEVARD 5'!$K106:AN106)-$AP413)</f>
        <v>-215370.7</v>
      </c>
      <c r="AL413" s="716">
        <f>IF(OR(status1B5!AM108="",AL$7="No aplica"),0,SUM('BOULEVARD 5'!$K106:AO106)-$AP413)</f>
        <v>-194882.7</v>
      </c>
      <c r="AM413" s="716">
        <f>IF(OR(status1B5!AN108="",AM$7="No aplica"),0,SUM('BOULEVARD 5'!$K106:AP106)-$AP413)</f>
        <v>-174394.7</v>
      </c>
      <c r="AN413" s="716">
        <f>IF(OR(status1B5!AO108="",AN$7="No aplica"),0,SUM('BOULEVARD 5'!$K106:AQ106)-$AP413)</f>
        <v>0</v>
      </c>
      <c r="AO413" s="716">
        <f>IF(OR(status1B5!AP108="",AO$7="No aplica"),0,SUM('BOULEVARD 5'!$K106:AS106)-$AP413)</f>
        <v>0</v>
      </c>
      <c r="AP413" s="717">
        <f>'BOULEVARD PPTO'!BC101</f>
        <v>276346.7</v>
      </c>
      <c r="AQ413" s="717">
        <f>'BOULEVARD 5'!AT106</f>
        <v>163416</v>
      </c>
      <c r="AR413" s="717">
        <f t="shared" si="104"/>
        <v>-112930.70000000001</v>
      </c>
      <c r="AS413" s="717"/>
      <c r="AT413" s="581"/>
    </row>
    <row r="414" spans="1:46" ht="13.15" customHeight="1" outlineLevel="1" x14ac:dyDescent="0.25">
      <c r="A414" s="700">
        <f t="shared" si="102"/>
        <v>0</v>
      </c>
      <c r="B414" s="564">
        <f t="shared" ref="B414:G414" si="139">B109</f>
        <v>612</v>
      </c>
      <c r="C414" s="564" t="str">
        <f t="shared" si="139"/>
        <v>A8</v>
      </c>
      <c r="D414" s="565">
        <f t="shared" si="139"/>
        <v>0</v>
      </c>
      <c r="E414" s="564" t="str">
        <f t="shared" si="139"/>
        <v>Antonio Rada</v>
      </c>
      <c r="F414" s="581" t="str">
        <f t="shared" si="139"/>
        <v>Yonatan Morgan Acajabon</v>
      </c>
      <c r="G414" s="566">
        <f t="shared" si="139"/>
        <v>45906</v>
      </c>
      <c r="H414" s="716">
        <f>IF(OR(status1B5!I109="",H$7="No aplica"),0,SUM('BOULEVARD 5'!$K107:K107)-$AP414)</f>
        <v>0</v>
      </c>
      <c r="I414" s="716">
        <f>IF(OR(status1B5!J109="",I$7="No aplica"),0,SUM('BOULEVARD 5'!$K107:L107)-$AP414)</f>
        <v>0</v>
      </c>
      <c r="J414" s="716">
        <f>IF(OR(status1B5!K109="",J$7="No aplica"),0,SUM('BOULEVARD 5'!$K107:M107)-$AP414)</f>
        <v>0</v>
      </c>
      <c r="K414" s="716">
        <f>IF(OR(status1B5!L109="",K$7="No aplica"),0,SUM('BOULEVARD 5'!$K107:N107)-$AP414)</f>
        <v>0</v>
      </c>
      <c r="L414" s="716">
        <f>IF(OR(status1B5!M109="",L$7="No aplica"),0,SUM('BOULEVARD 5'!$K107:O107)-$AP414)</f>
        <v>0</v>
      </c>
      <c r="M414" s="716">
        <f>IF(OR(status1B5!N109="",M$7="No aplica"),0,SUM('BOULEVARD 5'!$K107:P107)-$AP414)</f>
        <v>0</v>
      </c>
      <c r="N414" s="716">
        <f>IF(OR(status1B5!O109="",N$7="No aplica"),0,SUM('BOULEVARD 5'!$K107:Q107)-$AP414)</f>
        <v>0</v>
      </c>
      <c r="O414" s="716">
        <f>IF(OR(status1B5!P109="",O$7="No aplica"),0,SUM('BOULEVARD 5'!$K107:R107)-$AP414)</f>
        <v>0</v>
      </c>
      <c r="P414" s="716">
        <f>IF(OR(status1B5!Q109="",P$7="No aplica"),0,SUM('BOULEVARD 5'!$K107:S107)-$AP414)</f>
        <v>0</v>
      </c>
      <c r="Q414" s="716">
        <f>IF(OR(status1B5!R109="",Q$7="No aplica"),0,SUM('BOULEVARD 5'!$K107:T107)-$AP414)</f>
        <v>0</v>
      </c>
      <c r="R414" s="716">
        <f>IF(OR(status1B5!S109="",R$7="No aplica"),0,SUM('BOULEVARD 5'!$K107:U107)-$AP414)</f>
        <v>0</v>
      </c>
      <c r="S414" s="716">
        <f>IF(OR(status1B5!T109="",S$7="No aplica"),0,SUM('BOULEVARD 5'!$K107:V107)-$AP414)</f>
        <v>0</v>
      </c>
      <c r="T414" s="716">
        <f>IF(OR(status1B5!U109="",T$7="No aplica"),0,SUM('BOULEVARD 5'!$K107:W107)-$AP414)</f>
        <v>0</v>
      </c>
      <c r="U414" s="716">
        <f>IF(OR(status1B5!V109="",U$7="No aplica"),0,SUM('BOULEVARD 5'!$K107:X107)-$AP414)</f>
        <v>0</v>
      </c>
      <c r="V414" s="716">
        <f>IF(OR(status1B5!W109="",V$7="No aplica"),0,SUM('BOULEVARD 5'!$K107:Y107)-$AP414)</f>
        <v>0</v>
      </c>
      <c r="W414" s="716">
        <f>IF(OR(status1B5!X109="",W$7="No aplica"),0,SUM('BOULEVARD 5'!$K107:Z107)-$AP414)</f>
        <v>0</v>
      </c>
      <c r="X414" s="716">
        <f>IF(OR(status1B5!Y109="",X$7="No aplica"),0,SUM('BOULEVARD 5'!$K107:AA107)-$AP414)</f>
        <v>0</v>
      </c>
      <c r="Y414" s="716">
        <f>IF(OR(status1B5!Z109="",Y$7="No aplica"),0,SUM('BOULEVARD 5'!$K107:AB107)-$AP414)</f>
        <v>0</v>
      </c>
      <c r="Z414" s="716">
        <f>IF(OR(status1B5!AA109="",Z$7="No aplica"),0,SUM('BOULEVARD 5'!$K107:AC107)-$AP414)</f>
        <v>0</v>
      </c>
      <c r="AA414" s="716">
        <f>IF(OR(status1B5!AB109="",AA$7="No aplica"),0,SUM('BOULEVARD 5'!$K107:AD107)-$AP414)</f>
        <v>0</v>
      </c>
      <c r="AB414" s="716">
        <f>IF(OR(status1B5!AC109="",AB$7="No aplica"),0,SUM('BOULEVARD 5'!$K107:AE107)-$AP414)</f>
        <v>0</v>
      </c>
      <c r="AC414" s="716">
        <f>IF(OR(status1B5!AD109="",AC$7="No aplica"),0,SUM('BOULEVARD 5'!$K107:AF107)-$AP414)</f>
        <v>0</v>
      </c>
      <c r="AD414" s="716">
        <f>IF(OR(status1B5!AE109="",AD$7="No aplica"),0,SUM('BOULEVARD 5'!$K107:AG107)-$AP414)</f>
        <v>0</v>
      </c>
      <c r="AE414" s="716">
        <f>IF(OR(status1B5!AF109="",AE$7="No aplica"),0,SUM('BOULEVARD 5'!$K107:AH107)-$AP414)</f>
        <v>0</v>
      </c>
      <c r="AF414" s="716">
        <f>IF(OR(status1B5!AG109="",AF$7="No aplica"),0,SUM('BOULEVARD 5'!$K107:AI107)-$AP414)</f>
        <v>0</v>
      </c>
      <c r="AG414" s="716">
        <f>IF(OR(status1B5!AH109="",AG$7="No aplica"),0,SUM('BOULEVARD 5'!$K107:AJ107)-$AP414)</f>
        <v>0</v>
      </c>
      <c r="AH414" s="716">
        <f>IF(OR(status1B5!AI109="",AH$7="No aplica"),0,SUM('BOULEVARD 5'!$K107:AK107)-$AP414)</f>
        <v>0</v>
      </c>
      <c r="AI414" s="716">
        <f>IF(OR(status1B5!AJ109="",AI$7="No aplica"),0,SUM('BOULEVARD 5'!$K107:AL107)-$AP414)</f>
        <v>0</v>
      </c>
      <c r="AJ414" s="716">
        <f>IF(OR(status1B5!AK109="",AJ$7="No aplica"),0,SUM('BOULEVARD 5'!$K107:AM107)-$AP414)</f>
        <v>0</v>
      </c>
      <c r="AK414" s="716">
        <f>IF(OR(status1B5!AL109="",AK$7="No aplica"),0,SUM('BOULEVARD 5'!$K107:AN107)-$AP414)</f>
        <v>0</v>
      </c>
      <c r="AL414" s="716">
        <f>IF(OR(status1B5!AM109="",AL$7="No aplica"),0,SUM('BOULEVARD 5'!$K107:AO107)-$AP414)</f>
        <v>-69998.660000000018</v>
      </c>
      <c r="AM414" s="716">
        <f>IF(OR(status1B5!AN109="",AM$7="No aplica"),0,SUM('BOULEVARD 5'!$K107:AP107)-$AP414)</f>
        <v>-63698.660000000018</v>
      </c>
      <c r="AN414" s="716">
        <f>IF(OR(status1B5!AO109="",AN$7="No aplica"),0,SUM('BOULEVARD 5'!$K107:AQ107)-$AP414)</f>
        <v>0</v>
      </c>
      <c r="AO414" s="716">
        <f>IF(OR(status1B5!AP109="",AO$7="No aplica"),0,SUM('BOULEVARD 5'!$K107:AS107)-$AP414)</f>
        <v>0</v>
      </c>
      <c r="AP414" s="717">
        <f>'BOULEVARD PPTO'!BC102</f>
        <v>79998.660000000018</v>
      </c>
      <c r="AQ414" s="717">
        <f>'BOULEVARD 5'!AT107</f>
        <v>28900</v>
      </c>
      <c r="AR414" s="717">
        <f t="shared" si="104"/>
        <v>-51098.660000000018</v>
      </c>
      <c r="AS414" s="717"/>
      <c r="AT414" s="581"/>
    </row>
    <row r="415" spans="1:46" ht="13.15" customHeight="1" outlineLevel="1" x14ac:dyDescent="0.25">
      <c r="A415" s="700">
        <f t="shared" si="102"/>
        <v>0</v>
      </c>
      <c r="B415" s="564">
        <f t="shared" ref="B415:G415" si="140">B110</f>
        <v>613</v>
      </c>
      <c r="C415" s="564" t="str">
        <f t="shared" si="140"/>
        <v>A2</v>
      </c>
      <c r="D415" s="564">
        <f t="shared" si="140"/>
        <v>0</v>
      </c>
      <c r="E415" s="564" t="str">
        <f t="shared" si="140"/>
        <v>Antonio Rada</v>
      </c>
      <c r="F415" s="581" t="str">
        <f t="shared" si="140"/>
        <v>Sergio Oswaldo Velasquez Moreno</v>
      </c>
      <c r="G415" s="566">
        <f t="shared" si="140"/>
        <v>45126</v>
      </c>
      <c r="H415" s="716">
        <f>IF(OR(status1B5!I110="",H$7="No aplica"),0,SUM('BOULEVARD 5'!$K108:K108)-$AP415)</f>
        <v>0</v>
      </c>
      <c r="I415" s="716">
        <f>IF(OR(status1B5!J110="",I$7="No aplica"),0,SUM('BOULEVARD 5'!$K108:L108)-$AP415)</f>
        <v>0</v>
      </c>
      <c r="J415" s="716">
        <f>IF(OR(status1B5!K110="",J$7="No aplica"),0,SUM('BOULEVARD 5'!$K108:M108)-$AP415)</f>
        <v>0</v>
      </c>
      <c r="K415" s="716">
        <f>IF(OR(status1B5!L110="",K$7="No aplica"),0,SUM('BOULEVARD 5'!$K108:N108)-$AP415)</f>
        <v>0</v>
      </c>
      <c r="L415" s="716">
        <f>IF(OR(status1B5!M110="",L$7="No aplica"),0,SUM('BOULEVARD 5'!$K108:O108)-$AP415)</f>
        <v>-62800</v>
      </c>
      <c r="M415" s="716">
        <f>IF(OR(status1B5!N110="",M$7="No aplica"),0,SUM('BOULEVARD 5'!$K108:P108)-$AP415)</f>
        <v>-60385</v>
      </c>
      <c r="N415" s="716">
        <f>IF(OR(status1B5!O110="",N$7="No aplica"),0,SUM('BOULEVARD 5'!$K108:Q108)-$AP415)</f>
        <v>-57970</v>
      </c>
      <c r="O415" s="716">
        <f>IF(OR(status1B5!P110="",O$7="No aplica"),0,SUM('BOULEVARD 5'!$K108:R108)-$AP415)</f>
        <v>-55555</v>
      </c>
      <c r="P415" s="716">
        <f>IF(OR(status1B5!Q110="",P$7="No aplica"),0,SUM('BOULEVARD 5'!$K108:S108)-$AP415)</f>
        <v>-53140</v>
      </c>
      <c r="Q415" s="716">
        <f>IF(OR(status1B5!R110="",Q$7="No aplica"),0,SUM('BOULEVARD 5'!$K108:T108)-$AP415)</f>
        <v>-50725</v>
      </c>
      <c r="R415" s="716">
        <f>IF(OR(status1B5!S110="",R$7="No aplica"),0,SUM('BOULEVARD 5'!$K108:U108)-$AP415)</f>
        <v>-48310</v>
      </c>
      <c r="S415" s="716">
        <f>IF(OR(status1B5!T110="",S$7="No aplica"),0,SUM('BOULEVARD 5'!$K108:V108)-$AP415)</f>
        <v>-45895</v>
      </c>
      <c r="T415" s="716">
        <f>IF(OR(status1B5!U110="",T$7="No aplica"),0,SUM('BOULEVARD 5'!$K108:W108)-$AP415)</f>
        <v>-43470</v>
      </c>
      <c r="U415" s="716">
        <f>IF(OR(status1B5!V110="",U$7="No aplica"),0,SUM('BOULEVARD 5'!$K108:X108)-$AP415)</f>
        <v>-41055</v>
      </c>
      <c r="V415" s="716">
        <f>IF(OR(status1B5!W110="",V$7="No aplica"),0,SUM('BOULEVARD 5'!$K108:Y108)-$AP415)</f>
        <v>-38640</v>
      </c>
      <c r="W415" s="716">
        <f>IF(OR(status1B5!X110="",W$7="No aplica"),0,SUM('BOULEVARD 5'!$K108:Z108)-$AP415)</f>
        <v>-36225</v>
      </c>
      <c r="X415" s="716">
        <f>IF(OR(status1B5!Y110="",X$7="No aplica"),0,SUM('BOULEVARD 5'!$K108:AA108)-$AP415)</f>
        <v>-33810</v>
      </c>
      <c r="Y415" s="716">
        <f>IF(OR(status1B5!Z110="",Y$7="No aplica"),0,SUM('BOULEVARD 5'!$K108:AB108)-$AP415)</f>
        <v>-31395</v>
      </c>
      <c r="Z415" s="716">
        <f>IF(OR(status1B5!AA110="",Z$7="No aplica"),0,SUM('BOULEVARD 5'!$K108:AC108)-$AP415)</f>
        <v>-28980</v>
      </c>
      <c r="AA415" s="716">
        <f>IF(OR(status1B5!AB110="",AA$7="No aplica"),0,SUM('BOULEVARD 5'!$K108:AD108)-$AP415)</f>
        <v>-26565</v>
      </c>
      <c r="AB415" s="716">
        <f>IF(OR(status1B5!AC110="",AB$7="No aplica"),0,SUM('BOULEVARD 5'!$K108:AE108)-$AP415)</f>
        <v>-26565</v>
      </c>
      <c r="AC415" s="716">
        <f>IF(OR(status1B5!AD110="",AC$7="No aplica"),0,SUM('BOULEVARD 5'!$K108:AF108)-$AP415)</f>
        <v>-24150</v>
      </c>
      <c r="AD415" s="716">
        <f>IF(OR(status1B5!AE110="",AD$7="No aplica"),0,SUM('BOULEVARD 5'!$K108:AG108)-$AP415)</f>
        <v>-21735</v>
      </c>
      <c r="AE415" s="716">
        <f>IF(OR(status1B5!AF110="",AE$7="No aplica"),0,SUM('BOULEVARD 5'!$K108:AH108)-$AP415)</f>
        <v>-19320</v>
      </c>
      <c r="AF415" s="716">
        <f>IF(OR(status1B5!AG110="",AF$7="No aplica"),0,SUM('BOULEVARD 5'!$K108:AI108)-$AP415)</f>
        <v>-16905</v>
      </c>
      <c r="AG415" s="716">
        <f>IF(OR(status1B5!AH110="",AG$7="No aplica"),0,SUM('BOULEVARD 5'!$K108:AJ108)-$AP415)</f>
        <v>-14490</v>
      </c>
      <c r="AH415" s="716">
        <f>IF(OR(status1B5!AI110="",AH$7="No aplica"),0,SUM('BOULEVARD 5'!$K108:AK108)-$AP415)</f>
        <v>-12075</v>
      </c>
      <c r="AI415" s="716">
        <f>IF(OR(status1B5!AJ110="",AI$7="No aplica"),0,SUM('BOULEVARD 5'!$K108:AL108)-$AP415)</f>
        <v>-7245</v>
      </c>
      <c r="AJ415" s="716">
        <f>IF(OR(status1B5!AK110="",AJ$7="No aplica"),0,SUM('BOULEVARD 5'!$K108:AM108)-$AP415)</f>
        <v>-4830</v>
      </c>
      <c r="AK415" s="716">
        <f>IF(OR(status1B5!AL110="",AK$7="No aplica"),0,SUM('BOULEVARD 5'!$K108:AN108)-$AP415)</f>
        <v>-2415</v>
      </c>
      <c r="AL415" s="716">
        <f>IF(OR(status1B5!AM110="",AL$7="No aplica"),0,SUM('BOULEVARD 5'!$K108:AO108)-$AP415)</f>
        <v>10</v>
      </c>
      <c r="AM415" s="716">
        <f>IF(OR(status1B5!AN110="",AM$7="No aplica"),0,SUM('BOULEVARD 5'!$K108:AP108)-$AP415)</f>
        <v>10</v>
      </c>
      <c r="AN415" s="716">
        <f>IF(OR(status1B5!AO110="",AN$7="No aplica"),0,SUM('BOULEVARD 5'!$K108:AQ108)-$AP415)</f>
        <v>0</v>
      </c>
      <c r="AO415" s="716">
        <f>IF(OR(status1B5!AP110="",AO$7="No aplica"),0,SUM('BOULEVARD 5'!$K108:AS108)-$AP415)</f>
        <v>0</v>
      </c>
      <c r="AP415" s="717">
        <f>'BOULEVARD PPTO'!BC103</f>
        <v>68800</v>
      </c>
      <c r="AQ415" s="717">
        <f>'BOULEVARD 5'!AT108</f>
        <v>68810</v>
      </c>
      <c r="AR415" s="717">
        <f t="shared" si="104"/>
        <v>10</v>
      </c>
      <c r="AS415" s="717"/>
      <c r="AT415" s="581"/>
    </row>
    <row r="416" spans="1:46" ht="13.15" customHeight="1" outlineLevel="1" x14ac:dyDescent="0.25">
      <c r="A416" s="700">
        <f t="shared" si="102"/>
        <v>0</v>
      </c>
      <c r="B416" s="564">
        <f t="shared" ref="B416:G416" si="141">B111</f>
        <v>614</v>
      </c>
      <c r="C416" s="564" t="str">
        <f t="shared" si="141"/>
        <v>E5</v>
      </c>
      <c r="D416" s="564">
        <f t="shared" si="141"/>
        <v>0</v>
      </c>
      <c r="E416" s="564" t="str">
        <f t="shared" si="141"/>
        <v>**</v>
      </c>
      <c r="F416" s="581" t="str">
        <f t="shared" si="141"/>
        <v>Thalia  Raquel Carredano</v>
      </c>
      <c r="G416" s="566">
        <f t="shared" si="141"/>
        <v>45877</v>
      </c>
      <c r="H416" s="716">
        <f>IF(OR(status1B5!I111="",H$7="No aplica"),0,SUM('BOULEVARD 5'!$K109:K109)-$AP416)</f>
        <v>0</v>
      </c>
      <c r="I416" s="716">
        <f>IF(OR(status1B5!J111="",I$7="No aplica"),0,SUM('BOULEVARD 5'!$K109:L109)-$AP416)</f>
        <v>0</v>
      </c>
      <c r="J416" s="716">
        <f>IF(OR(status1B5!K111="",J$7="No aplica"),0,SUM('BOULEVARD 5'!$K109:M109)-$AP416)</f>
        <v>0</v>
      </c>
      <c r="K416" s="716">
        <f>IF(OR(status1B5!L111="",K$7="No aplica"),0,SUM('BOULEVARD 5'!$K109:N109)-$AP416)</f>
        <v>0</v>
      </c>
      <c r="L416" s="716">
        <f>IF(OR(status1B5!M111="",L$7="No aplica"),0,SUM('BOULEVARD 5'!$K109:O109)-$AP416)</f>
        <v>0</v>
      </c>
      <c r="M416" s="716">
        <f>IF(OR(status1B5!N111="",M$7="No aplica"),0,SUM('BOULEVARD 5'!$K109:P109)-$AP416)</f>
        <v>0</v>
      </c>
      <c r="N416" s="716">
        <f>IF(OR(status1B5!O111="",N$7="No aplica"),0,SUM('BOULEVARD 5'!$K109:Q109)-$AP416)</f>
        <v>0</v>
      </c>
      <c r="O416" s="716">
        <f>IF(OR(status1B5!P111="",O$7="No aplica"),0,SUM('BOULEVARD 5'!$K109:R109)-$AP416)</f>
        <v>0</v>
      </c>
      <c r="P416" s="716">
        <f>IF(OR(status1B5!Q111="",P$7="No aplica"),0,SUM('BOULEVARD 5'!$K109:S109)-$AP416)</f>
        <v>0</v>
      </c>
      <c r="Q416" s="716">
        <f>IF(OR(status1B5!R111="",Q$7="No aplica"),0,SUM('BOULEVARD 5'!$K109:T109)-$AP416)</f>
        <v>0</v>
      </c>
      <c r="R416" s="716">
        <f>IF(OR(status1B5!S111="",R$7="No aplica"),0,SUM('BOULEVARD 5'!$K109:U109)-$AP416)</f>
        <v>0</v>
      </c>
      <c r="S416" s="716">
        <f>IF(OR(status1B5!T111="",S$7="No aplica"),0,SUM('BOULEVARD 5'!$K109:V109)-$AP416)</f>
        <v>0</v>
      </c>
      <c r="T416" s="716">
        <f>IF(OR(status1B5!U111="",T$7="No aplica"),0,SUM('BOULEVARD 5'!$K109:W109)-$AP416)</f>
        <v>0</v>
      </c>
      <c r="U416" s="716">
        <f>IF(OR(status1B5!V111="",U$7="No aplica"),0,SUM('BOULEVARD 5'!$K109:X109)-$AP416)</f>
        <v>0</v>
      </c>
      <c r="V416" s="716">
        <f>IF(OR(status1B5!W111="",V$7="No aplica"),0,SUM('BOULEVARD 5'!$K109:Y109)-$AP416)</f>
        <v>0</v>
      </c>
      <c r="W416" s="716">
        <f>IF(OR(status1B5!X111="",W$7="No aplica"),0,SUM('BOULEVARD 5'!$K109:Z109)-$AP416)</f>
        <v>0</v>
      </c>
      <c r="X416" s="716">
        <f>IF(OR(status1B5!Y111="",X$7="No aplica"),0,SUM('BOULEVARD 5'!$K109:AA109)-$AP416)</f>
        <v>0</v>
      </c>
      <c r="Y416" s="716">
        <f>IF(OR(status1B5!Z111="",Y$7="No aplica"),0,SUM('BOULEVARD 5'!$K109:AB109)-$AP416)</f>
        <v>0</v>
      </c>
      <c r="Z416" s="716">
        <f>IF(OR(status1B5!AA111="",Z$7="No aplica"),0,SUM('BOULEVARD 5'!$K109:AC109)-$AP416)</f>
        <v>0</v>
      </c>
      <c r="AA416" s="716">
        <f>IF(OR(status1B5!AB111="",AA$7="No aplica"),0,SUM('BOULEVARD 5'!$K109:AD109)-$AP416)</f>
        <v>0</v>
      </c>
      <c r="AB416" s="716">
        <f>IF(OR(status1B5!AC111="",AB$7="No aplica"),0,SUM('BOULEVARD 5'!$K109:AE109)-$AP416)</f>
        <v>0</v>
      </c>
      <c r="AC416" s="716">
        <f>IF(OR(status1B5!AD111="",AC$7="No aplica"),0,SUM('BOULEVARD 5'!$K109:AF109)-$AP416)</f>
        <v>0</v>
      </c>
      <c r="AD416" s="716">
        <f>IF(OR(status1B5!AE111="",AD$7="No aplica"),0,SUM('BOULEVARD 5'!$K109:AG109)-$AP416)</f>
        <v>0</v>
      </c>
      <c r="AE416" s="716">
        <f>IF(OR(status1B5!AF111="",AE$7="No aplica"),0,SUM('BOULEVARD 5'!$K109:AH109)-$AP416)</f>
        <v>0</v>
      </c>
      <c r="AF416" s="716">
        <f>IF(OR(status1B5!AG111="",AF$7="No aplica"),0,SUM('BOULEVARD 5'!$K109:AI109)-$AP416)</f>
        <v>0</v>
      </c>
      <c r="AG416" s="716">
        <f>IF(OR(status1B5!AH111="",AG$7="No aplica"),0,SUM('BOULEVARD 5'!$K109:AJ109)-$AP416)</f>
        <v>0</v>
      </c>
      <c r="AH416" s="716">
        <f>IF(OR(status1B5!AI111="",AH$7="No aplica"),0,SUM('BOULEVARD 5'!$K109:AK109)-$AP416)</f>
        <v>0</v>
      </c>
      <c r="AI416" s="716">
        <f>IF(OR(status1B5!AJ111="",AI$7="No aplica"),0,SUM('BOULEVARD 5'!$K109:AL109)-$AP416)</f>
        <v>0</v>
      </c>
      <c r="AJ416" s="716">
        <f>IF(OR(status1B5!AK111="",AJ$7="No aplica"),0,SUM('BOULEVARD 5'!$K109:AM109)-$AP416)</f>
        <v>0</v>
      </c>
      <c r="AK416" s="716">
        <f>IF(OR(status1B5!AL111="",AK$7="No aplica"),0,SUM('BOULEVARD 5'!$K109:AN109)-$AP416)</f>
        <v>-141908.4</v>
      </c>
      <c r="AL416" s="716">
        <f>IF(OR(status1B5!AM111="",AL$7="No aplica"),0,SUM('BOULEVARD 5'!$K109:AO109)-$AP416)</f>
        <v>-141908.4</v>
      </c>
      <c r="AM416" s="716">
        <f>IF(OR(status1B5!AN111="",AM$7="No aplica"),0,SUM('BOULEVARD 5'!$K109:AP109)-$AP416)</f>
        <v>-91908.4</v>
      </c>
      <c r="AN416" s="716">
        <f>IF(OR(status1B5!AO111="",AN$7="No aplica"),0,SUM('BOULEVARD 5'!$K109:AQ109)-$AP416)</f>
        <v>0</v>
      </c>
      <c r="AO416" s="716">
        <f>IF(OR(status1B5!AP111="",AO$7="No aplica"),0,SUM('BOULEVARD 5'!$K109:AS109)-$AP416)</f>
        <v>0</v>
      </c>
      <c r="AP416" s="717">
        <f>'BOULEVARD PPTO'!BC104</f>
        <v>151908.4</v>
      </c>
      <c r="AQ416" s="717">
        <f>'BOULEVARD 5'!AT109</f>
        <v>111057.04000000001</v>
      </c>
      <c r="AR416" s="717">
        <f t="shared" si="104"/>
        <v>-40851.359999999986</v>
      </c>
      <c r="AS416" s="717"/>
      <c r="AT416" s="581"/>
    </row>
    <row r="417" spans="1:46" ht="13.15" customHeight="1" outlineLevel="1" x14ac:dyDescent="0.25">
      <c r="A417" s="700" t="str">
        <f t="shared" si="102"/>
        <v>F&amp;F</v>
      </c>
      <c r="B417" s="704">
        <f t="shared" ref="B417:G417" si="142">B112</f>
        <v>615</v>
      </c>
      <c r="C417" s="704" t="str">
        <f t="shared" si="142"/>
        <v>A5</v>
      </c>
      <c r="D417" s="704">
        <f t="shared" si="142"/>
        <v>0</v>
      </c>
      <c r="E417" s="704" t="str">
        <f t="shared" si="142"/>
        <v>Antonio Rada</v>
      </c>
      <c r="F417" s="705" t="str">
        <f t="shared" si="142"/>
        <v>Maria De Los Angeles España Cordon</v>
      </c>
      <c r="G417" s="566">
        <f t="shared" si="142"/>
        <v>45040</v>
      </c>
      <c r="H417" s="716">
        <f>IF(OR(status1B5!I112="",H$7="No aplica"),0,SUM('BOULEVARD 5'!$K110:K110)-$AP417)</f>
        <v>0</v>
      </c>
      <c r="I417" s="716">
        <f>IF(OR(status1B5!J112="",I$7="No aplica"),0,SUM('BOULEVARD 5'!$K110:L110)-$AP417)</f>
        <v>0</v>
      </c>
      <c r="J417" s="716">
        <f>IF(OR(status1B5!K112="",J$7="No aplica"),0,SUM('BOULEVARD 5'!$K110:M110)-$AP417)</f>
        <v>0</v>
      </c>
      <c r="K417" s="716">
        <f>IF(OR(status1B5!L112="",K$7="No aplica"),0,SUM('BOULEVARD 5'!$K110:N110)-$AP417)</f>
        <v>0</v>
      </c>
      <c r="L417" s="716">
        <f>IF(OR(status1B5!M112="",L$7="No aplica"),0,SUM('BOULEVARD 5'!$K110:O110)-$AP417)</f>
        <v>0</v>
      </c>
      <c r="M417" s="716">
        <f>IF(OR(status1B5!N112="",M$7="No aplica"),0,SUM('BOULEVARD 5'!$K110:P110)-$AP417)</f>
        <v>0</v>
      </c>
      <c r="N417" s="716">
        <f>IF(OR(status1B5!O112="",N$7="No aplica"),0,SUM('BOULEVARD 5'!$K110:Q110)-$AP417)</f>
        <v>0</v>
      </c>
      <c r="O417" s="716">
        <f>IF(OR(status1B5!P112="",O$7="No aplica"),0,SUM('BOULEVARD 5'!$K110:R110)-$AP417)</f>
        <v>0</v>
      </c>
      <c r="P417" s="716">
        <f>IF(OR(status1B5!Q112="",P$7="No aplica"),0,SUM('BOULEVARD 5'!$K110:S110)-$AP417)</f>
        <v>0</v>
      </c>
      <c r="Q417" s="716">
        <f>IF(OR(status1B5!R112="",Q$7="No aplica"),0,SUM('BOULEVARD 5'!$K110:T110)-$AP417)</f>
        <v>0</v>
      </c>
      <c r="R417" s="716">
        <f>IF(OR(status1B5!S112="",R$7="No aplica"),0,SUM('BOULEVARD 5'!$K110:U110)-$AP417)</f>
        <v>0</v>
      </c>
      <c r="S417" s="716">
        <f>IF(OR(status1B5!T112="",S$7="No aplica"),0,SUM('BOULEVARD 5'!$K110:V110)-$AP417)</f>
        <v>0</v>
      </c>
      <c r="T417" s="716">
        <f>IF(OR(status1B5!U112="",T$7="No aplica"),0,SUM('BOULEVARD 5'!$K110:W110)-$AP417)</f>
        <v>0</v>
      </c>
      <c r="U417" s="716">
        <f>IF(OR(status1B5!V112="",U$7="No aplica"),0,SUM('BOULEVARD 5'!$K110:X110)-$AP417)</f>
        <v>0</v>
      </c>
      <c r="V417" s="716">
        <f>IF(OR(status1B5!W112="",V$7="No aplica"),0,SUM('BOULEVARD 5'!$K110:Y110)-$AP417)</f>
        <v>0</v>
      </c>
      <c r="W417" s="716">
        <f>IF(OR(status1B5!X112="",W$7="No aplica"),0,SUM('BOULEVARD 5'!$K110:Z110)-$AP417)</f>
        <v>0</v>
      </c>
      <c r="X417" s="716">
        <f>IF(OR(status1B5!Y112="",X$7="No aplica"),0,SUM('BOULEVARD 5'!$K110:AA110)-$AP417)</f>
        <v>0</v>
      </c>
      <c r="Y417" s="716">
        <f>IF(OR(status1B5!Z112="",Y$7="No aplica"),0,SUM('BOULEVARD 5'!$K110:AB110)-$AP417)</f>
        <v>0</v>
      </c>
      <c r="Z417" s="716">
        <f>IF(OR(status1B5!AA112="",Z$7="No aplica"),0,SUM('BOULEVARD 5'!$K110:AC110)-$AP417)</f>
        <v>0</v>
      </c>
      <c r="AA417" s="716">
        <f>IF(OR(status1B5!AB112="",AA$7="No aplica"),0,SUM('BOULEVARD 5'!$K110:AD110)-$AP417)</f>
        <v>0</v>
      </c>
      <c r="AB417" s="716">
        <f>IF(OR(status1B5!AC112="",AB$7="No aplica"),0,SUM('BOULEVARD 5'!$K110:AE110)-$AP417)</f>
        <v>0</v>
      </c>
      <c r="AC417" s="716">
        <f>IF(OR(status1B5!AD112="",AC$7="No aplica"),0,SUM('BOULEVARD 5'!$K110:AF110)-$AP417)</f>
        <v>0</v>
      </c>
      <c r="AD417" s="716">
        <f>IF(OR(status1B5!AE112="",AD$7="No aplica"),0,SUM('BOULEVARD 5'!$K110:AG110)-$AP417)</f>
        <v>0</v>
      </c>
      <c r="AE417" s="716">
        <f>IF(OR(status1B5!AF112="",AE$7="No aplica"),0,SUM('BOULEVARD 5'!$K110:AH110)-$AP417)</f>
        <v>0</v>
      </c>
      <c r="AF417" s="716">
        <f>IF(OR(status1B5!AG112="",AF$7="No aplica"),0,SUM('BOULEVARD 5'!$K110:AI110)-$AP417)</f>
        <v>0</v>
      </c>
      <c r="AG417" s="716">
        <f>IF(OR(status1B5!AH112="",AG$7="No aplica"),0,SUM('BOULEVARD 5'!$K110:AJ110)-$AP417)</f>
        <v>0</v>
      </c>
      <c r="AH417" s="716">
        <f>IF(OR(status1B5!AI112="",AH$7="No aplica"),0,SUM('BOULEVARD 5'!$K110:AK110)-$AP417)</f>
        <v>0</v>
      </c>
      <c r="AI417" s="716">
        <f>IF(OR(status1B5!AJ112="",AI$7="No aplica"),0,SUM('BOULEVARD 5'!$K110:AL110)-$AP417)</f>
        <v>0</v>
      </c>
      <c r="AJ417" s="716">
        <f>IF(OR(status1B5!AK112="",AJ$7="No aplica"),0,SUM('BOULEVARD 5'!$K110:AM110)-$AP417)</f>
        <v>0</v>
      </c>
      <c r="AK417" s="716">
        <f>IF(OR(status1B5!AL112="",AK$7="No aplica"),0,SUM('BOULEVARD 5'!$K110:AN110)-$AP417)</f>
        <v>0</v>
      </c>
      <c r="AL417" s="716">
        <f>IF(OR(status1B5!AM112="",AL$7="No aplica"),0,SUM('BOULEVARD 5'!$K110:AO110)-$AP417)</f>
        <v>0</v>
      </c>
      <c r="AM417" s="716">
        <f>IF(OR(status1B5!AN112="",AM$7="No aplica"),0,SUM('BOULEVARD 5'!$K110:AP110)-$AP417)</f>
        <v>0</v>
      </c>
      <c r="AN417" s="716">
        <f>IF(OR(status1B5!AO112="",AN$7="No aplica"),0,SUM('BOULEVARD 5'!$K110:AQ110)-$AP417)</f>
        <v>0</v>
      </c>
      <c r="AO417" s="716">
        <f>IF(OR(status1B5!AP112="",AO$7="No aplica"),0,SUM('BOULEVARD 5'!$K110:AS110)-$AP417)</f>
        <v>0</v>
      </c>
      <c r="AP417" s="717">
        <f>'BOULEVARD PPTO'!BC105</f>
        <v>61250.01</v>
      </c>
      <c r="AQ417" s="717">
        <f>'BOULEVARD 5'!AT110</f>
        <v>14000</v>
      </c>
      <c r="AR417" s="717">
        <f t="shared" si="104"/>
        <v>-47250.01</v>
      </c>
      <c r="AS417" s="717"/>
      <c r="AT417" s="581"/>
    </row>
    <row r="418" spans="1:46" ht="13.15" customHeight="1" outlineLevel="1" x14ac:dyDescent="0.25">
      <c r="A418" s="700">
        <f t="shared" si="102"/>
        <v>0</v>
      </c>
      <c r="B418" s="564">
        <f t="shared" ref="B418:G418" si="143">B113</f>
        <v>616</v>
      </c>
      <c r="C418" s="564" t="str">
        <f t="shared" si="143"/>
        <v>B4</v>
      </c>
      <c r="D418" s="564">
        <f t="shared" si="143"/>
        <v>0</v>
      </c>
      <c r="E418" s="564" t="str">
        <f t="shared" si="143"/>
        <v>Antonio Rada</v>
      </c>
      <c r="F418" s="581" t="str">
        <f t="shared" si="143"/>
        <v>Edwin Estuardo Acevedo Salguero</v>
      </c>
      <c r="G418" s="566">
        <f t="shared" si="143"/>
        <v>45359</v>
      </c>
      <c r="H418" s="716">
        <f>IF(OR(status1B5!I113="",H$7="No aplica"),0,SUM('BOULEVARD 5'!$K111:K111)-$AP418)</f>
        <v>0</v>
      </c>
      <c r="I418" s="716">
        <f>IF(OR(status1B5!J113="",I$7="No aplica"),0,SUM('BOULEVARD 5'!$K111:L111)-$AP418)</f>
        <v>0</v>
      </c>
      <c r="J418" s="716">
        <f>IF(OR(status1B5!K113="",J$7="No aplica"),0,SUM('BOULEVARD 5'!$K111:M111)-$AP418)</f>
        <v>0</v>
      </c>
      <c r="K418" s="716">
        <f>IF(OR(status1B5!L113="",K$7="No aplica"),0,SUM('BOULEVARD 5'!$K111:N111)-$AP418)</f>
        <v>0</v>
      </c>
      <c r="L418" s="716">
        <f>IF(OR(status1B5!M113="",L$7="No aplica"),0,SUM('BOULEVARD 5'!$K111:O111)-$AP418)</f>
        <v>0</v>
      </c>
      <c r="M418" s="716">
        <f>IF(OR(status1B5!N113="",M$7="No aplica"),0,SUM('BOULEVARD 5'!$K111:P111)-$AP418)</f>
        <v>0</v>
      </c>
      <c r="N418" s="716">
        <f>IF(OR(status1B5!O113="",N$7="No aplica"),0,SUM('BOULEVARD 5'!$K111:Q111)-$AP418)</f>
        <v>0</v>
      </c>
      <c r="O418" s="716">
        <f>IF(OR(status1B5!P113="",O$7="No aplica"),0,SUM('BOULEVARD 5'!$K111:R111)-$AP418)</f>
        <v>0</v>
      </c>
      <c r="P418" s="716">
        <f>IF(OR(status1B5!Q113="",P$7="No aplica"),0,SUM('BOULEVARD 5'!$K111:S111)-$AP418)</f>
        <v>0</v>
      </c>
      <c r="Q418" s="716">
        <f>IF(OR(status1B5!R113="",Q$7="No aplica"),0,SUM('BOULEVARD 5'!$K111:T111)-$AP418)</f>
        <v>0</v>
      </c>
      <c r="R418" s="716">
        <f>IF(OR(status1B5!S113="",R$7="No aplica"),0,SUM('BOULEVARD 5'!$K111:U111)-$AP418)</f>
        <v>0</v>
      </c>
      <c r="S418" s="716">
        <f>IF(OR(status1B5!T113="",S$7="No aplica"),0,SUM('BOULEVARD 5'!$K111:V111)-$AP418)</f>
        <v>0</v>
      </c>
      <c r="T418" s="716">
        <f>IF(OR(status1B5!U113="",T$7="No aplica"),0,SUM('BOULEVARD 5'!$K111:W111)-$AP418)</f>
        <v>-82200</v>
      </c>
      <c r="U418" s="716">
        <f>IF(OR(status1B5!V113="",U$7="No aplica"),0,SUM('BOULEVARD 5'!$K111:X111)-$AP418)</f>
        <v>-72200</v>
      </c>
      <c r="V418" s="716">
        <f>IF(OR(status1B5!W113="",V$7="No aplica"),0,SUM('BOULEVARD 5'!$K111:Y111)-$AP418)</f>
        <v>-72200</v>
      </c>
      <c r="W418" s="716">
        <f>IF(OR(status1B5!X113="",W$7="No aplica"),0,SUM('BOULEVARD 5'!$K111:Z111)-$AP418)</f>
        <v>-67200</v>
      </c>
      <c r="X418" s="716">
        <f>IF(OR(status1B5!Y113="",X$7="No aplica"),0,SUM('BOULEVARD 5'!$K111:AA111)-$AP418)</f>
        <v>-62200</v>
      </c>
      <c r="Y418" s="716">
        <f>IF(OR(status1B5!Z113="",Y$7="No aplica"),0,SUM('BOULEVARD 5'!$K111:AB111)-$AP418)</f>
        <v>-57200</v>
      </c>
      <c r="Z418" s="716">
        <f>IF(OR(status1B5!AA113="",Z$7="No aplica"),0,SUM('BOULEVARD 5'!$K111:AC111)-$AP418)</f>
        <v>-52200</v>
      </c>
      <c r="AA418" s="716">
        <f>IF(OR(status1B5!AB113="",AA$7="No aplica"),0,SUM('BOULEVARD 5'!$K111:AD111)-$AP418)</f>
        <v>-47200</v>
      </c>
      <c r="AB418" s="716">
        <f>IF(OR(status1B5!AC113="",AB$7="No aplica"),0,SUM('BOULEVARD 5'!$K111:AE111)-$AP418)</f>
        <v>-47200</v>
      </c>
      <c r="AC418" s="716">
        <f>IF(OR(status1B5!AD113="",AC$7="No aplica"),0,SUM('BOULEVARD 5'!$K111:AF111)-$AP418)</f>
        <v>-37200</v>
      </c>
      <c r="AD418" s="716">
        <f>IF(OR(status1B5!AE113="",AD$7="No aplica"),0,SUM('BOULEVARD 5'!$K111:AG111)-$AP418)</f>
        <v>-32200</v>
      </c>
      <c r="AE418" s="716">
        <f>IF(OR(status1B5!AF113="",AE$7="No aplica"),0,SUM('BOULEVARD 5'!$K111:AH111)-$AP418)</f>
        <v>-32200</v>
      </c>
      <c r="AF418" s="716">
        <f>IF(OR(status1B5!AG113="",AF$7="No aplica"),0,SUM('BOULEVARD 5'!$K111:AI111)-$AP418)</f>
        <v>-22200</v>
      </c>
      <c r="AG418" s="716">
        <f>IF(OR(status1B5!AH113="",AG$7="No aplica"),0,SUM('BOULEVARD 5'!$K111:AJ111)-$AP418)</f>
        <v>-17200</v>
      </c>
      <c r="AH418" s="716">
        <f>IF(OR(status1B5!AI113="",AH$7="No aplica"),0,SUM('BOULEVARD 5'!$K111:AK111)-$AP418)</f>
        <v>-12200</v>
      </c>
      <c r="AI418" s="716">
        <f>IF(OR(status1B5!AJ113="",AI$7="No aplica"),0,SUM('BOULEVARD 5'!$K111:AL111)-$AP418)</f>
        <v>-7200</v>
      </c>
      <c r="AJ418" s="716">
        <f>IF(OR(status1B5!AK113="",AJ$7="No aplica"),0,SUM('BOULEVARD 5'!$K111:AM111)-$AP418)</f>
        <v>-2200</v>
      </c>
      <c r="AK418" s="716">
        <f>IF(OR(status1B5!AL113="",AK$7="No aplica"),0,SUM('BOULEVARD 5'!$K111:AN111)-$AP418)</f>
        <v>2800</v>
      </c>
      <c r="AL418" s="716">
        <f>IF(OR(status1B5!AM113="",AL$7="No aplica"),0,SUM('BOULEVARD 5'!$K111:AO111)-$AP418)</f>
        <v>2800</v>
      </c>
      <c r="AM418" s="716">
        <f>IF(OR(status1B5!AN113="",AM$7="No aplica"),0,SUM('BOULEVARD 5'!$K111:AP111)-$AP418)</f>
        <v>12800</v>
      </c>
      <c r="AN418" s="716">
        <f>IF(OR(status1B5!AO113="",AN$7="No aplica"),0,SUM('BOULEVARD 5'!$K111:AQ111)-$AP418)</f>
        <v>0</v>
      </c>
      <c r="AO418" s="716">
        <f>IF(OR(status1B5!AP113="",AO$7="No aplica"),0,SUM('BOULEVARD 5'!$K111:AS111)-$AP418)</f>
        <v>0</v>
      </c>
      <c r="AP418" s="717">
        <f>'BOULEVARD PPTO'!BC106</f>
        <v>90200</v>
      </c>
      <c r="AQ418" s="717">
        <f>'BOULEVARD 5'!AT111</f>
        <v>113000</v>
      </c>
      <c r="AR418" s="717">
        <f t="shared" si="104"/>
        <v>22800</v>
      </c>
      <c r="AS418" s="717"/>
      <c r="AT418" s="581"/>
    </row>
    <row r="419" spans="1:46" ht="13.15" customHeight="1" outlineLevel="1" x14ac:dyDescent="0.25">
      <c r="A419" s="700">
        <f t="shared" si="102"/>
        <v>0</v>
      </c>
      <c r="B419" s="564">
        <f t="shared" ref="B419:G419" si="144">B114</f>
        <v>617</v>
      </c>
      <c r="C419" s="564" t="str">
        <f t="shared" si="144"/>
        <v>B3</v>
      </c>
      <c r="D419" s="707" t="str">
        <f t="shared" si="144"/>
        <v xml:space="preserve">FALLECIMIENTO - </v>
      </c>
      <c r="E419" s="564" t="str">
        <f t="shared" si="144"/>
        <v>Antonio Rada</v>
      </c>
      <c r="F419" s="581" t="str">
        <f t="shared" si="144"/>
        <v>Hans Christian Beeck Cazali</v>
      </c>
      <c r="G419" s="566">
        <f t="shared" si="144"/>
        <v>45419</v>
      </c>
      <c r="H419" s="716">
        <f>IF(OR(status1B5!I114="",H$7="No aplica"),0,SUM('BOULEVARD 5'!$K112:K112)-$AP419)</f>
        <v>0</v>
      </c>
      <c r="I419" s="716">
        <f>IF(OR(status1B5!J114="",I$7="No aplica"),0,SUM('BOULEVARD 5'!$K112:L112)-$AP419)</f>
        <v>0</v>
      </c>
      <c r="J419" s="716">
        <f>IF(OR(status1B5!K114="",J$7="No aplica"),0,SUM('BOULEVARD 5'!$K112:M112)-$AP419)</f>
        <v>0</v>
      </c>
      <c r="K419" s="716">
        <f>IF(OR(status1B5!L114="",K$7="No aplica"),0,SUM('BOULEVARD 5'!$K112:N112)-$AP419)</f>
        <v>0</v>
      </c>
      <c r="L419" s="716">
        <f>IF(OR(status1B5!M114="",L$7="No aplica"),0,SUM('BOULEVARD 5'!$K112:O112)-$AP419)</f>
        <v>0</v>
      </c>
      <c r="M419" s="716">
        <f>IF(OR(status1B5!N114="",M$7="No aplica"),0,SUM('BOULEVARD 5'!$K112:P112)-$AP419)</f>
        <v>0</v>
      </c>
      <c r="N419" s="716">
        <f>IF(OR(status1B5!O114="",N$7="No aplica"),0,SUM('BOULEVARD 5'!$K112:Q112)-$AP419)</f>
        <v>0</v>
      </c>
      <c r="O419" s="716">
        <f>IF(OR(status1B5!P114="",O$7="No aplica"),0,SUM('BOULEVARD 5'!$K112:R112)-$AP419)</f>
        <v>0</v>
      </c>
      <c r="P419" s="716">
        <f>IF(OR(status1B5!Q114="",P$7="No aplica"),0,SUM('BOULEVARD 5'!$K112:S112)-$AP419)</f>
        <v>0</v>
      </c>
      <c r="Q419" s="716">
        <f>IF(OR(status1B5!R114="",Q$7="No aplica"),0,SUM('BOULEVARD 5'!$K112:T112)-$AP419)</f>
        <v>0</v>
      </c>
      <c r="R419" s="716">
        <f>IF(OR(status1B5!S114="",R$7="No aplica"),0,SUM('BOULEVARD 5'!$K112:U112)-$AP419)</f>
        <v>0</v>
      </c>
      <c r="S419" s="716">
        <f>IF(OR(status1B5!T114="",S$7="No aplica"),0,SUM('BOULEVARD 5'!$K112:V112)-$AP419)</f>
        <v>0</v>
      </c>
      <c r="T419" s="716">
        <f>IF(OR(status1B5!U114="",T$7="No aplica"),0,SUM('BOULEVARD 5'!$K112:W112)-$AP419)</f>
        <v>0</v>
      </c>
      <c r="U419" s="716">
        <f>IF(OR(status1B5!V114="",U$7="No aplica"),0,SUM('BOULEVARD 5'!$K112:X112)-$AP419)</f>
        <v>0</v>
      </c>
      <c r="V419" s="716">
        <f>IF(OR(status1B5!W114="",V$7="No aplica"),0,SUM('BOULEVARD 5'!$K112:Y112)-$AP419)</f>
        <v>-76000</v>
      </c>
      <c r="W419" s="716">
        <f>IF(OR(status1B5!X114="",W$7="No aplica"),0,SUM('BOULEVARD 5'!$K112:Z112)-$AP419)</f>
        <v>-72000</v>
      </c>
      <c r="X419" s="716">
        <f>IF(OR(status1B5!Y114="",X$7="No aplica"),0,SUM('BOULEVARD 5'!$K112:AA112)-$AP419)</f>
        <v>-68000</v>
      </c>
      <c r="Y419" s="716">
        <f>IF(OR(status1B5!Z114="",Y$7="No aplica"),0,SUM('BOULEVARD 5'!$K112:AB112)-$AP419)</f>
        <v>-64000</v>
      </c>
      <c r="Z419" s="716">
        <f>IF(OR(status1B5!AA114="",Z$7="No aplica"),0,SUM('BOULEVARD 5'!$K112:AC112)-$AP419)</f>
        <v>-60000</v>
      </c>
      <c r="AA419" s="716">
        <f>IF(OR(status1B5!AB114="",AA$7="No aplica"),0,SUM('BOULEVARD 5'!$K112:AD112)-$AP419)</f>
        <v>-60000</v>
      </c>
      <c r="AB419" s="716">
        <f>IF(OR(status1B5!AC114="",AB$7="No aplica"),0,SUM('BOULEVARD 5'!$K112:AE112)-$AP419)</f>
        <v>-56000</v>
      </c>
      <c r="AC419" s="716">
        <f>IF(OR(status1B5!AD114="",AC$7="No aplica"),0,SUM('BOULEVARD 5'!$K112:AF112)-$AP419)</f>
        <v>-48000</v>
      </c>
      <c r="AD419" s="716">
        <f>IF(OR(status1B5!AE114="",AD$7="No aplica"),0,SUM('BOULEVARD 5'!$K112:AG112)-$AP419)</f>
        <v>-48000</v>
      </c>
      <c r="AE419" s="716">
        <f>IF(OR(status1B5!AF114="",AE$7="No aplica"),0,SUM('BOULEVARD 5'!$K112:AH112)-$AP419)</f>
        <v>-40000</v>
      </c>
      <c r="AF419" s="716">
        <f>IF(OR(status1B5!AG114="",AF$7="No aplica"),0,SUM('BOULEVARD 5'!$K112:AI112)-$AP419)</f>
        <v>-36000</v>
      </c>
      <c r="AG419" s="716">
        <f>IF(OR(status1B5!AH114="",AG$7="No aplica"),0,SUM('BOULEVARD 5'!$K112:AJ112)-$AP419)</f>
        <v>-36000</v>
      </c>
      <c r="AH419" s="716">
        <f>IF(OR(status1B5!AI114="",AH$7="No aplica"),0,SUM('BOULEVARD 5'!$K112:AK112)-$AP419)</f>
        <v>-36000</v>
      </c>
      <c r="AI419" s="716">
        <f>IF(OR(status1B5!AJ114="",AI$7="No aplica"),0,SUM('BOULEVARD 5'!$K112:AL112)-$AP419)</f>
        <v>-36000</v>
      </c>
      <c r="AJ419" s="716">
        <f>IF(OR(status1B5!AK114="",AJ$7="No aplica"),0,SUM('BOULEVARD 5'!$K112:AM112)-$AP419)</f>
        <v>-32000</v>
      </c>
      <c r="AK419" s="716">
        <f>IF(OR(status1B5!AL114="",AK$7="No aplica"),0,SUM('BOULEVARD 5'!$K112:AN112)-$AP419)</f>
        <v>-28000</v>
      </c>
      <c r="AL419" s="716">
        <f>IF(OR(status1B5!AM114="",AL$7="No aplica"),0,SUM('BOULEVARD 5'!$K112:AO112)-$AP419)</f>
        <v>-24000</v>
      </c>
      <c r="AM419" s="716">
        <f>IF(OR(status1B5!AN114="",AM$7="No aplica"),0,SUM('BOULEVARD 5'!$K112:AP112)-$AP419)</f>
        <v>-24000</v>
      </c>
      <c r="AN419" s="716">
        <f>IF(OR(status1B5!AO114="",AN$7="No aplica"),0,SUM('BOULEVARD 5'!$K112:AQ112)-$AP419)</f>
        <v>0</v>
      </c>
      <c r="AO419" s="716">
        <f>IF(OR(status1B5!AP114="",AO$7="No aplica"),0,SUM('BOULEVARD 5'!$K112:AS112)-$AP419)</f>
        <v>0</v>
      </c>
      <c r="AP419" s="717">
        <f>'BOULEVARD PPTO'!BC107</f>
        <v>88800</v>
      </c>
      <c r="AQ419" s="717">
        <f>'BOULEVARD 5'!AT112</f>
        <v>64800</v>
      </c>
      <c r="AR419" s="717">
        <f t="shared" si="104"/>
        <v>-24000</v>
      </c>
      <c r="AS419" s="717"/>
      <c r="AT419" s="581"/>
    </row>
    <row r="420" spans="1:46" ht="13.15" customHeight="1" outlineLevel="1" x14ac:dyDescent="0.25">
      <c r="A420" s="700">
        <f t="shared" si="102"/>
        <v>0</v>
      </c>
      <c r="B420" s="564">
        <f t="shared" ref="B420:G420" si="145">B115</f>
        <v>618</v>
      </c>
      <c r="C420" s="564" t="str">
        <f t="shared" si="145"/>
        <v>E9</v>
      </c>
      <c r="D420" s="564">
        <f t="shared" si="145"/>
        <v>0</v>
      </c>
      <c r="E420" s="564" t="str">
        <f t="shared" si="145"/>
        <v>Antonio Rada</v>
      </c>
      <c r="F420" s="581" t="str">
        <f t="shared" si="145"/>
        <v>Sergio Adolfo García Velásquez</v>
      </c>
      <c r="G420" s="566">
        <f t="shared" si="145"/>
        <v>45772</v>
      </c>
      <c r="H420" s="716">
        <f>IF(OR(status1B5!I115="",H$7="No aplica"),0,SUM('BOULEVARD 5'!$K113:K113)-$AP420)</f>
        <v>0</v>
      </c>
      <c r="I420" s="716">
        <f>IF(OR(status1B5!J115="",I$7="No aplica"),0,SUM('BOULEVARD 5'!$K113:L113)-$AP420)</f>
        <v>0</v>
      </c>
      <c r="J420" s="716">
        <f>IF(OR(status1B5!K115="",J$7="No aplica"),0,SUM('BOULEVARD 5'!$K113:M113)-$AP420)</f>
        <v>0</v>
      </c>
      <c r="K420" s="716">
        <f>IF(OR(status1B5!L115="",K$7="No aplica"),0,SUM('BOULEVARD 5'!$K113:N113)-$AP420)</f>
        <v>0</v>
      </c>
      <c r="L420" s="716">
        <f>IF(OR(status1B5!M115="",L$7="No aplica"),0,SUM('BOULEVARD 5'!$K113:O113)-$AP420)</f>
        <v>0</v>
      </c>
      <c r="M420" s="716">
        <f>IF(OR(status1B5!N115="",M$7="No aplica"),0,SUM('BOULEVARD 5'!$K113:P113)-$AP420)</f>
        <v>0</v>
      </c>
      <c r="N420" s="716">
        <f>IF(OR(status1B5!O115="",N$7="No aplica"),0,SUM('BOULEVARD 5'!$K113:Q113)-$AP420)</f>
        <v>0</v>
      </c>
      <c r="O420" s="716">
        <f>IF(OR(status1B5!P115="",O$7="No aplica"),0,SUM('BOULEVARD 5'!$K113:R113)-$AP420)</f>
        <v>0</v>
      </c>
      <c r="P420" s="716">
        <f>IF(OR(status1B5!Q115="",P$7="No aplica"),0,SUM('BOULEVARD 5'!$K113:S113)-$AP420)</f>
        <v>0</v>
      </c>
      <c r="Q420" s="716">
        <f>IF(OR(status1B5!R115="",Q$7="No aplica"),0,SUM('BOULEVARD 5'!$K113:T113)-$AP420)</f>
        <v>0</v>
      </c>
      <c r="R420" s="716">
        <f>IF(OR(status1B5!S115="",R$7="No aplica"),0,SUM('BOULEVARD 5'!$K113:U113)-$AP420)</f>
        <v>0</v>
      </c>
      <c r="S420" s="716">
        <f>IF(OR(status1B5!T115="",S$7="No aplica"),0,SUM('BOULEVARD 5'!$K113:V113)-$AP420)</f>
        <v>0</v>
      </c>
      <c r="T420" s="716">
        <f>IF(OR(status1B5!U115="",T$7="No aplica"),0,SUM('BOULEVARD 5'!$K113:W113)-$AP420)</f>
        <v>0</v>
      </c>
      <c r="U420" s="716">
        <f>IF(OR(status1B5!V115="",U$7="No aplica"),0,SUM('BOULEVARD 5'!$K113:X113)-$AP420)</f>
        <v>0</v>
      </c>
      <c r="V420" s="716">
        <f>IF(OR(status1B5!W115="",V$7="No aplica"),0,SUM('BOULEVARD 5'!$K113:Y113)-$AP420)</f>
        <v>0</v>
      </c>
      <c r="W420" s="716">
        <f>IF(OR(status1B5!X115="",W$7="No aplica"),0,SUM('BOULEVARD 5'!$K113:Z113)-$AP420)</f>
        <v>0</v>
      </c>
      <c r="X420" s="716">
        <f>IF(OR(status1B5!Y115="",X$7="No aplica"),0,SUM('BOULEVARD 5'!$K113:AA113)-$AP420)</f>
        <v>0</v>
      </c>
      <c r="Y420" s="716">
        <f>IF(OR(status1B5!Z115="",Y$7="No aplica"),0,SUM('BOULEVARD 5'!$K113:AB113)-$AP420)</f>
        <v>0</v>
      </c>
      <c r="Z420" s="716">
        <f>IF(OR(status1B5!AA115="",Z$7="No aplica"),0,SUM('BOULEVARD 5'!$K113:AC113)-$AP420)</f>
        <v>0</v>
      </c>
      <c r="AA420" s="716">
        <f>IF(OR(status1B5!AB115="",AA$7="No aplica"),0,SUM('BOULEVARD 5'!$K113:AD113)-$AP420)</f>
        <v>0</v>
      </c>
      <c r="AB420" s="716">
        <f>IF(OR(status1B5!AC115="",AB$7="No aplica"),0,SUM('BOULEVARD 5'!$K113:AE113)-$AP420)</f>
        <v>0</v>
      </c>
      <c r="AC420" s="716">
        <f>IF(OR(status1B5!AD115="",AC$7="No aplica"),0,SUM('BOULEVARD 5'!$K113:AF113)-$AP420)</f>
        <v>0</v>
      </c>
      <c r="AD420" s="716">
        <f>IF(OR(status1B5!AE115="",AD$7="No aplica"),0,SUM('BOULEVARD 5'!$K113:AG113)-$AP420)</f>
        <v>0</v>
      </c>
      <c r="AE420" s="716">
        <f>IF(OR(status1B5!AF115="",AE$7="No aplica"),0,SUM('BOULEVARD 5'!$K113:AH113)-$AP420)</f>
        <v>0</v>
      </c>
      <c r="AF420" s="716">
        <f>IF(OR(status1B5!AG115="",AF$7="No aplica"),0,SUM('BOULEVARD 5'!$K113:AI113)-$AP420)</f>
        <v>0</v>
      </c>
      <c r="AG420" s="716">
        <f>IF(OR(status1B5!AH115="",AG$7="No aplica"),0,SUM('BOULEVARD 5'!$K113:AJ113)-$AP420)</f>
        <v>-130349.44</v>
      </c>
      <c r="AH420" s="716">
        <f>IF(OR(status1B5!AI115="",AH$7="No aplica"),0,SUM('BOULEVARD 5'!$K113:AK113)-$AP420)</f>
        <v>-124349.44</v>
      </c>
      <c r="AI420" s="716">
        <f>IF(OR(status1B5!AJ115="",AI$7="No aplica"),0,SUM('BOULEVARD 5'!$K113:AL113)-$AP420)</f>
        <v>-118349.44</v>
      </c>
      <c r="AJ420" s="716">
        <f>IF(OR(status1B5!AK115="",AJ$7="No aplica"),0,SUM('BOULEVARD 5'!$K113:AM113)-$AP420)</f>
        <v>-97961.44</v>
      </c>
      <c r="AK420" s="716">
        <f>IF(OR(status1B5!AL115="",AK$7="No aplica"),0,SUM('BOULEVARD 5'!$K113:AN113)-$AP420)</f>
        <v>-91961.44</v>
      </c>
      <c r="AL420" s="716">
        <f>IF(OR(status1B5!AM115="",AL$7="No aplica"),0,SUM('BOULEVARD 5'!$K113:AO113)-$AP420)</f>
        <v>-85961.44</v>
      </c>
      <c r="AM420" s="716">
        <f>IF(OR(status1B5!AN115="",AM$7="No aplica"),0,SUM('BOULEVARD 5'!$K113:AP113)-$AP420)</f>
        <v>-79961.440000000002</v>
      </c>
      <c r="AN420" s="716">
        <f>IF(OR(status1B5!AO115="",AN$7="No aplica"),0,SUM('BOULEVARD 5'!$K113:AQ113)-$AP420)</f>
        <v>0</v>
      </c>
      <c r="AO420" s="716">
        <f>IF(OR(status1B5!AP115="",AO$7="No aplica"),0,SUM('BOULEVARD 5'!$K113:AS113)-$AP420)</f>
        <v>0</v>
      </c>
      <c r="AP420" s="717">
        <f>'BOULEVARD PPTO'!BC108</f>
        <v>150349.44</v>
      </c>
      <c r="AQ420" s="717">
        <f>'BOULEVARD 5'!AT113</f>
        <v>112368</v>
      </c>
      <c r="AR420" s="717">
        <f t="shared" si="104"/>
        <v>-37981.440000000002</v>
      </c>
      <c r="AS420" s="717"/>
      <c r="AT420" s="581"/>
    </row>
    <row r="421" spans="1:46" ht="13.15" customHeight="1" outlineLevel="1" x14ac:dyDescent="0.25">
      <c r="A421" s="700">
        <f t="shared" si="102"/>
        <v>0</v>
      </c>
      <c r="B421" s="564">
        <f t="shared" ref="B421:G421" si="146">B116</f>
        <v>619</v>
      </c>
      <c r="C421" s="564" t="str">
        <f t="shared" si="146"/>
        <v>E10</v>
      </c>
      <c r="D421" s="564">
        <f t="shared" si="146"/>
        <v>0</v>
      </c>
      <c r="E421" s="564" t="str">
        <f t="shared" si="146"/>
        <v>Sofia Paredes</v>
      </c>
      <c r="F421" s="581" t="str">
        <f t="shared" si="146"/>
        <v>José Estuardo Ordoñez Cancinos</v>
      </c>
      <c r="G421" s="566">
        <f t="shared" si="146"/>
        <v>45724</v>
      </c>
      <c r="H421" s="716">
        <f>IF(OR(status1B5!I116="",H$7="No aplica"),0,SUM('BOULEVARD 5'!$K114:K114)-$AP421)</f>
        <v>0</v>
      </c>
      <c r="I421" s="716">
        <f>IF(OR(status1B5!J116="",I$7="No aplica"),0,SUM('BOULEVARD 5'!$K114:L114)-$AP421)</f>
        <v>0</v>
      </c>
      <c r="J421" s="716">
        <f>IF(OR(status1B5!K116="",J$7="No aplica"),0,SUM('BOULEVARD 5'!$K114:M114)-$AP421)</f>
        <v>0</v>
      </c>
      <c r="K421" s="716">
        <f>IF(OR(status1B5!L116="",K$7="No aplica"),0,SUM('BOULEVARD 5'!$K114:N114)-$AP421)</f>
        <v>0</v>
      </c>
      <c r="L421" s="716">
        <f>IF(OR(status1B5!M116="",L$7="No aplica"),0,SUM('BOULEVARD 5'!$K114:O114)-$AP421)</f>
        <v>0</v>
      </c>
      <c r="M421" s="716">
        <f>IF(OR(status1B5!N116="",M$7="No aplica"),0,SUM('BOULEVARD 5'!$K114:P114)-$AP421)</f>
        <v>0</v>
      </c>
      <c r="N421" s="716">
        <f>IF(OR(status1B5!O116="",N$7="No aplica"),0,SUM('BOULEVARD 5'!$K114:Q114)-$AP421)</f>
        <v>0</v>
      </c>
      <c r="O421" s="716">
        <f>IF(OR(status1B5!P116="",O$7="No aplica"),0,SUM('BOULEVARD 5'!$K114:R114)-$AP421)</f>
        <v>0</v>
      </c>
      <c r="P421" s="716">
        <f>IF(OR(status1B5!Q116="",P$7="No aplica"),0,SUM('BOULEVARD 5'!$K114:S114)-$AP421)</f>
        <v>0</v>
      </c>
      <c r="Q421" s="716">
        <f>IF(OR(status1B5!R116="",Q$7="No aplica"),0,SUM('BOULEVARD 5'!$K114:T114)-$AP421)</f>
        <v>0</v>
      </c>
      <c r="R421" s="716">
        <f>IF(OR(status1B5!S116="",R$7="No aplica"),0,SUM('BOULEVARD 5'!$K114:U114)-$AP421)</f>
        <v>0</v>
      </c>
      <c r="S421" s="716">
        <f>IF(OR(status1B5!T116="",S$7="No aplica"),0,SUM('BOULEVARD 5'!$K114:V114)-$AP421)</f>
        <v>0</v>
      </c>
      <c r="T421" s="716">
        <f>IF(OR(status1B5!U116="",T$7="No aplica"),0,SUM('BOULEVARD 5'!$K114:W114)-$AP421)</f>
        <v>0</v>
      </c>
      <c r="U421" s="716">
        <f>IF(OR(status1B5!V116="",U$7="No aplica"),0,SUM('BOULEVARD 5'!$K114:X114)-$AP421)</f>
        <v>0</v>
      </c>
      <c r="V421" s="716">
        <f>IF(OR(status1B5!W116="",V$7="No aplica"),0,SUM('BOULEVARD 5'!$K114:Y114)-$AP421)</f>
        <v>0</v>
      </c>
      <c r="W421" s="716">
        <f>IF(OR(status1B5!X116="",W$7="No aplica"),0,SUM('BOULEVARD 5'!$K114:Z114)-$AP421)</f>
        <v>0</v>
      </c>
      <c r="X421" s="716">
        <f>IF(OR(status1B5!Y116="",X$7="No aplica"),0,SUM('BOULEVARD 5'!$K114:AA114)-$AP421)</f>
        <v>0</v>
      </c>
      <c r="Y421" s="716">
        <f>IF(OR(status1B5!Z116="",Y$7="No aplica"),0,SUM('BOULEVARD 5'!$K114:AB114)-$AP421)</f>
        <v>0</v>
      </c>
      <c r="Z421" s="716">
        <f>IF(OR(status1B5!AA116="",Z$7="No aplica"),0,SUM('BOULEVARD 5'!$K114:AC114)-$AP421)</f>
        <v>0</v>
      </c>
      <c r="AA421" s="716">
        <f>IF(OR(status1B5!AB116="",AA$7="No aplica"),0,SUM('BOULEVARD 5'!$K114:AD114)-$AP421)</f>
        <v>0</v>
      </c>
      <c r="AB421" s="716">
        <f>IF(OR(status1B5!AC116="",AB$7="No aplica"),0,SUM('BOULEVARD 5'!$K114:AE114)-$AP421)</f>
        <v>0</v>
      </c>
      <c r="AC421" s="716">
        <f>IF(OR(status1B5!AD116="",AC$7="No aplica"),0,SUM('BOULEVARD 5'!$K114:AF114)-$AP421)</f>
        <v>0</v>
      </c>
      <c r="AD421" s="716">
        <f>IF(OR(status1B5!AE116="",AD$7="No aplica"),0,SUM('BOULEVARD 5'!$K114:AG114)-$AP421)</f>
        <v>0</v>
      </c>
      <c r="AE421" s="716">
        <f>IF(OR(status1B5!AF116="",AE$7="No aplica"),0,SUM('BOULEVARD 5'!$K114:AH114)-$AP421)</f>
        <v>0</v>
      </c>
      <c r="AF421" s="716">
        <f>IF(OR(status1B5!AG116="",AF$7="No aplica"),0,SUM('BOULEVARD 5'!$K114:AI114)-$AP421)</f>
        <v>10000</v>
      </c>
      <c r="AG421" s="716">
        <f>IF(OR(status1B5!AH116="",AG$7="No aplica"),0,SUM('BOULEVARD 5'!$K114:AJ114)-$AP421)</f>
        <v>17903</v>
      </c>
      <c r="AH421" s="716">
        <f>IF(OR(status1B5!AI116="",AH$7="No aplica"),0,SUM('BOULEVARD 5'!$K114:AK114)-$AP421)</f>
        <v>30428</v>
      </c>
      <c r="AI421" s="716">
        <f>IF(OR(status1B5!AJ116="",AI$7="No aplica"),0,SUM('BOULEVARD 5'!$K114:AL114)-$AP421)</f>
        <v>40642</v>
      </c>
      <c r="AJ421" s="716">
        <f>IF(OR(status1B5!AK116="",AJ$7="No aplica"),0,SUM('BOULEVARD 5'!$K114:AM114)-$AP421)</f>
        <v>50856</v>
      </c>
      <c r="AK421" s="716">
        <f>IF(OR(status1B5!AL116="",AK$7="No aplica"),0,SUM('BOULEVARD 5'!$K114:AN114)-$AP421)</f>
        <v>50856</v>
      </c>
      <c r="AL421" s="716">
        <f>IF(OR(status1B5!AM116="",AL$7="No aplica"),0,SUM('BOULEVARD 5'!$K114:AO114)-$AP421)</f>
        <v>61070</v>
      </c>
      <c r="AM421" s="716">
        <f>IF(OR(status1B5!AN116="",AM$7="No aplica"),0,SUM('BOULEVARD 5'!$K114:AP114)-$AP421)</f>
        <v>71284</v>
      </c>
      <c r="AN421" s="716">
        <f>IF(OR(status1B5!AO116="",AN$7="No aplica"),0,SUM('BOULEVARD 5'!$K114:AQ114)-$AP421)</f>
        <v>0</v>
      </c>
      <c r="AO421" s="716">
        <f>IF(OR(status1B5!AP116="",AO$7="No aplica"),0,SUM('BOULEVARD 5'!$K114:AS114)-$AP421)</f>
        <v>0</v>
      </c>
      <c r="AP421" s="717">
        <f>'BOULEVARD PPTO'!BC109</f>
        <v>0</v>
      </c>
      <c r="AQ421" s="717">
        <f>'BOULEVARD 5'!AT114</f>
        <v>91712</v>
      </c>
      <c r="AR421" s="717">
        <f t="shared" si="104"/>
        <v>91712</v>
      </c>
      <c r="AS421" s="717"/>
      <c r="AT421" s="581"/>
    </row>
    <row r="422" spans="1:46" ht="13.15" customHeight="1" outlineLevel="1" x14ac:dyDescent="0.25">
      <c r="A422" s="700">
        <f t="shared" si="102"/>
        <v>0</v>
      </c>
      <c r="B422" s="564">
        <f t="shared" ref="B422:G422" si="147">B117</f>
        <v>701</v>
      </c>
      <c r="C422" s="564" t="str">
        <f t="shared" si="147"/>
        <v>E9</v>
      </c>
      <c r="D422" s="564">
        <f t="shared" si="147"/>
        <v>0</v>
      </c>
      <c r="E422" s="564" t="str">
        <f t="shared" si="147"/>
        <v>Antonio Rada</v>
      </c>
      <c r="F422" s="581" t="str">
        <f t="shared" si="147"/>
        <v>Luis Francisco Villatoro Quiroa</v>
      </c>
      <c r="G422" s="566">
        <f t="shared" si="147"/>
        <v>45006</v>
      </c>
      <c r="H422" s="716">
        <f>IF(OR(status1B5!I117="",H$7="No aplica"),0,SUM('BOULEVARD 5'!$K115:K115)-$AP422)</f>
        <v>-126100</v>
      </c>
      <c r="I422" s="716">
        <f>IF(OR(status1B5!J117="",I$7="No aplica"),0,SUM('BOULEVARD 5'!$K115:L115)-$AP422)</f>
        <v>-122400</v>
      </c>
      <c r="J422" s="716">
        <f>IF(OR(status1B5!K117="",J$7="No aplica"),0,SUM('BOULEVARD 5'!$K115:M115)-$AP422)</f>
        <v>-118894</v>
      </c>
      <c r="K422" s="716">
        <f>IF(OR(status1B5!L117="",K$7="No aplica"),0,SUM('BOULEVARD 5'!$K115:N115)-$AP422)</f>
        <v>-115291</v>
      </c>
      <c r="L422" s="716">
        <f>IF(OR(status1B5!M117="",L$7="No aplica"),0,SUM('BOULEVARD 5'!$K115:O115)-$AP422)</f>
        <v>-111688</v>
      </c>
      <c r="M422" s="716">
        <f>IF(OR(status1B5!N117="",M$7="No aplica"),0,SUM('BOULEVARD 5'!$K115:P115)-$AP422)</f>
        <v>-108085</v>
      </c>
      <c r="N422" s="716">
        <f>IF(OR(status1B5!O117="",N$7="No aplica"),0,SUM('BOULEVARD 5'!$K115:Q115)-$AP422)</f>
        <v>-104482</v>
      </c>
      <c r="O422" s="716">
        <f>IF(OR(status1B5!P117="",O$7="No aplica"),0,SUM('BOULEVARD 5'!$K115:R115)-$AP422)</f>
        <v>-100879</v>
      </c>
      <c r="P422" s="716">
        <f>IF(OR(status1B5!Q117="",P$7="No aplica"),0,SUM('BOULEVARD 5'!$K115:S115)-$AP422)</f>
        <v>-97276</v>
      </c>
      <c r="Q422" s="716">
        <f>IF(OR(status1B5!R117="",Q$7="No aplica"),0,SUM('BOULEVARD 5'!$K115:T115)-$AP422)</f>
        <v>-93673</v>
      </c>
      <c r="R422" s="716">
        <f>IF(OR(status1B5!S117="",R$7="No aplica"),0,SUM('BOULEVARD 5'!$K115:U115)-$AP422)</f>
        <v>-90070</v>
      </c>
      <c r="S422" s="716">
        <f>IF(OR(status1B5!T117="",S$7="No aplica"),0,SUM('BOULEVARD 5'!$K115:V115)-$AP422)</f>
        <v>-86467</v>
      </c>
      <c r="T422" s="716">
        <f>IF(OR(status1B5!U117="",T$7="No aplica"),0,SUM('BOULEVARD 5'!$K115:W115)-$AP422)</f>
        <v>-82864</v>
      </c>
      <c r="U422" s="716">
        <f>IF(OR(status1B5!V117="",U$7="No aplica"),0,SUM('BOULEVARD 5'!$K115:X115)-$AP422)</f>
        <v>-79261</v>
      </c>
      <c r="V422" s="716">
        <f>IF(OR(status1B5!W117="",V$7="No aplica"),0,SUM('BOULEVARD 5'!$K115:Y115)-$AP422)</f>
        <v>-75658</v>
      </c>
      <c r="W422" s="716">
        <f>IF(OR(status1B5!X117="",W$7="No aplica"),0,SUM('BOULEVARD 5'!$K115:Z115)-$AP422)</f>
        <v>-72055</v>
      </c>
      <c r="X422" s="716">
        <f>IF(OR(status1B5!Y117="",X$7="No aplica"),0,SUM('BOULEVARD 5'!$K115:AA115)-$AP422)</f>
        <v>-68452</v>
      </c>
      <c r="Y422" s="716">
        <f>IF(OR(status1B5!Z117="",Y$7="No aplica"),0,SUM('BOULEVARD 5'!$K115:AB115)-$AP422)</f>
        <v>-64849</v>
      </c>
      <c r="Z422" s="716">
        <f>IF(OR(status1B5!AA117="",Z$7="No aplica"),0,SUM('BOULEVARD 5'!$K115:AC115)-$AP422)</f>
        <v>-61246</v>
      </c>
      <c r="AA422" s="716">
        <f>IF(OR(status1B5!AB117="",AA$7="No aplica"),0,SUM('BOULEVARD 5'!$K115:AD115)-$AP422)</f>
        <v>-57643</v>
      </c>
      <c r="AB422" s="716">
        <f>IF(OR(status1B5!AC117="",AB$7="No aplica"),0,SUM('BOULEVARD 5'!$K115:AE115)-$AP422)</f>
        <v>-54040</v>
      </c>
      <c r="AC422" s="716">
        <f>IF(OR(status1B5!AD117="",AC$7="No aplica"),0,SUM('BOULEVARD 5'!$K115:AF115)-$AP422)</f>
        <v>-50437</v>
      </c>
      <c r="AD422" s="716">
        <f>IF(OR(status1B5!AE117="",AD$7="No aplica"),0,SUM('BOULEVARD 5'!$K115:AG115)-$AP422)</f>
        <v>-46834</v>
      </c>
      <c r="AE422" s="716">
        <f>IF(OR(status1B5!AF117="",AE$7="No aplica"),0,SUM('BOULEVARD 5'!$K115:AH115)-$AP422)</f>
        <v>-43231</v>
      </c>
      <c r="AF422" s="716">
        <f>IF(OR(status1B5!AG117="",AF$7="No aplica"),0,SUM('BOULEVARD 5'!$K115:AI115)-$AP422)</f>
        <v>-39628</v>
      </c>
      <c r="AG422" s="716">
        <f>IF(OR(status1B5!AH117="",AG$7="No aplica"),0,SUM('BOULEVARD 5'!$K115:AJ115)-$AP422)</f>
        <v>-36025</v>
      </c>
      <c r="AH422" s="716">
        <f>IF(OR(status1B5!AI117="",AH$7="No aplica"),0,SUM('BOULEVARD 5'!$K115:AK115)-$AP422)</f>
        <v>-32422</v>
      </c>
      <c r="AI422" s="716">
        <f>IF(OR(status1B5!AJ117="",AI$7="No aplica"),0,SUM('BOULEVARD 5'!$K115:AL115)-$AP422)</f>
        <v>-28819</v>
      </c>
      <c r="AJ422" s="716">
        <f>IF(OR(status1B5!AK117="",AJ$7="No aplica"),0,SUM('BOULEVARD 5'!$K115:AM115)-$AP422)</f>
        <v>-25216</v>
      </c>
      <c r="AK422" s="716">
        <f>IF(OR(status1B5!AL117="",AK$7="No aplica"),0,SUM('BOULEVARD 5'!$K115:AN115)-$AP422)</f>
        <v>-21613</v>
      </c>
      <c r="AL422" s="716">
        <f>IF(OR(status1B5!AM117="",AL$7="No aplica"),0,SUM('BOULEVARD 5'!$K115:AO115)-$AP422)</f>
        <v>-18010</v>
      </c>
      <c r="AM422" s="716">
        <f>IF(OR(status1B5!AN117="",AM$7="No aplica"),0,SUM('BOULEVARD 5'!$K115:AP115)-$AP422)</f>
        <v>-14407</v>
      </c>
      <c r="AN422" s="716">
        <f>IF(OR(status1B5!AO117="",AN$7="No aplica"),0,SUM('BOULEVARD 5'!$K115:AQ115)-$AP422)</f>
        <v>0</v>
      </c>
      <c r="AO422" s="716">
        <f>IF(OR(status1B5!AP117="",AO$7="No aplica"),0,SUM('BOULEVARD 5'!$K115:AS115)-$AP422)</f>
        <v>0</v>
      </c>
      <c r="AP422" s="717">
        <f>'BOULEVARD PPTO'!BC110</f>
        <v>132100</v>
      </c>
      <c r="AQ422" s="717">
        <f>'BOULEVARD 5'!AT115</f>
        <v>128502</v>
      </c>
      <c r="AR422" s="717">
        <f t="shared" si="104"/>
        <v>-3598</v>
      </c>
      <c r="AS422" s="717"/>
      <c r="AT422" s="581"/>
    </row>
    <row r="423" spans="1:46" ht="13.15" customHeight="1" outlineLevel="1" x14ac:dyDescent="0.25">
      <c r="A423" s="700">
        <f t="shared" si="102"/>
        <v>0</v>
      </c>
      <c r="B423" s="564">
        <f t="shared" ref="B423:G423" si="148">B118</f>
        <v>702</v>
      </c>
      <c r="C423" s="564" t="str">
        <f t="shared" si="148"/>
        <v>E10</v>
      </c>
      <c r="D423" s="564">
        <f t="shared" si="148"/>
        <v>0</v>
      </c>
      <c r="E423" s="564" t="str">
        <f t="shared" si="148"/>
        <v>Antonio Rada</v>
      </c>
      <c r="F423" s="581" t="str">
        <f t="shared" si="148"/>
        <v>Wilson Humberto Félix Reyna</v>
      </c>
      <c r="G423" s="566">
        <f t="shared" si="148"/>
        <v>45030</v>
      </c>
      <c r="H423" s="716">
        <f>IF(OR(status1B5!I118="",H$7="No aplica"),0,SUM('BOULEVARD 5'!$K116:K116)-$AP423)</f>
        <v>0</v>
      </c>
      <c r="I423" s="716">
        <f>IF(OR(status1B5!J118="",I$7="No aplica"),0,SUM('BOULEVARD 5'!$K116:L116)-$AP423)</f>
        <v>-128400</v>
      </c>
      <c r="J423" s="716">
        <f>IF(OR(status1B5!K118="",J$7="No aplica"),0,SUM('BOULEVARD 5'!$K116:M116)-$AP423)</f>
        <v>-123972</v>
      </c>
      <c r="K423" s="716">
        <f>IF(OR(status1B5!L118="",K$7="No aplica"),0,SUM('BOULEVARD 5'!$K116:N116)-$AP423)</f>
        <v>-119544</v>
      </c>
      <c r="L423" s="716">
        <f>IF(OR(status1B5!M118="",L$7="No aplica"),0,SUM('BOULEVARD 5'!$K116:O116)-$AP423)</f>
        <v>-115117</v>
      </c>
      <c r="M423" s="716">
        <f>IF(OR(status1B5!N118="",M$7="No aplica"),0,SUM('BOULEVARD 5'!$K116:P116)-$AP423)</f>
        <v>-110688</v>
      </c>
      <c r="N423" s="716">
        <f>IF(OR(status1B5!O118="",N$7="No aplica"),0,SUM('BOULEVARD 5'!$K116:Q116)-$AP423)</f>
        <v>-106260</v>
      </c>
      <c r="O423" s="716">
        <f>IF(OR(status1B5!P118="",O$7="No aplica"),0,SUM('BOULEVARD 5'!$K116:R116)-$AP423)</f>
        <v>-101832</v>
      </c>
      <c r="P423" s="716">
        <f>IF(OR(status1B5!Q118="",P$7="No aplica"),0,SUM('BOULEVARD 5'!$K116:S116)-$AP423)</f>
        <v>-97404</v>
      </c>
      <c r="Q423" s="716">
        <f>IF(OR(status1B5!R118="",Q$7="No aplica"),0,SUM('BOULEVARD 5'!$K116:T116)-$AP423)</f>
        <v>-92976</v>
      </c>
      <c r="R423" s="716">
        <f>IF(OR(status1B5!S118="",R$7="No aplica"),0,SUM('BOULEVARD 5'!$K116:U116)-$AP423)</f>
        <v>-88548</v>
      </c>
      <c r="S423" s="716">
        <f>IF(OR(status1B5!T118="",S$7="No aplica"),0,SUM('BOULEVARD 5'!$K116:V116)-$AP423)</f>
        <v>-84120</v>
      </c>
      <c r="T423" s="716">
        <f>IF(OR(status1B5!U118="",T$7="No aplica"),0,SUM('BOULEVARD 5'!$K116:W116)-$AP423)</f>
        <v>-79692</v>
      </c>
      <c r="U423" s="716">
        <f>IF(OR(status1B5!V118="",U$7="No aplica"),0,SUM('BOULEVARD 5'!$K116:X116)-$AP423)</f>
        <v>-79692</v>
      </c>
      <c r="V423" s="716">
        <f>IF(OR(status1B5!W118="",V$7="No aplica"),0,SUM('BOULEVARD 5'!$K116:Y116)-$AP423)</f>
        <v>-75264</v>
      </c>
      <c r="W423" s="716">
        <f>IF(OR(status1B5!X118="",W$7="No aplica"),0,SUM('BOULEVARD 5'!$K116:Z116)-$AP423)</f>
        <v>-70836</v>
      </c>
      <c r="X423" s="716">
        <f>IF(OR(status1B5!Y118="",X$7="No aplica"),0,SUM('BOULEVARD 5'!$K116:AA116)-$AP423)</f>
        <v>-66408</v>
      </c>
      <c r="Y423" s="716">
        <f>IF(OR(status1B5!Z118="",Y$7="No aplica"),0,SUM('BOULEVARD 5'!$K116:AB116)-$AP423)</f>
        <v>-61980</v>
      </c>
      <c r="Z423" s="716">
        <f>IF(OR(status1B5!AA118="",Z$7="No aplica"),0,SUM('BOULEVARD 5'!$K116:AC116)-$AP423)</f>
        <v>-61980</v>
      </c>
      <c r="AA423" s="716">
        <f>IF(OR(status1B5!AB118="",AA$7="No aplica"),0,SUM('BOULEVARD 5'!$K116:AD116)-$AP423)</f>
        <v>-57552</v>
      </c>
      <c r="AB423" s="716">
        <f>IF(OR(status1B5!AC118="",AB$7="No aplica"),0,SUM('BOULEVARD 5'!$K116:AE116)-$AP423)</f>
        <v>-53124</v>
      </c>
      <c r="AC423" s="716">
        <f>IF(OR(status1B5!AD118="",AC$7="No aplica"),0,SUM('BOULEVARD 5'!$K116:AF116)-$AP423)</f>
        <v>-48696</v>
      </c>
      <c r="AD423" s="716">
        <f>IF(OR(status1B5!AE118="",AD$7="No aplica"),0,SUM('BOULEVARD 5'!$K116:AG116)-$AP423)</f>
        <v>-48696</v>
      </c>
      <c r="AE423" s="716">
        <f>IF(OR(status1B5!AF118="",AE$7="No aplica"),0,SUM('BOULEVARD 5'!$K116:AH116)-$AP423)</f>
        <v>-44268</v>
      </c>
      <c r="AF423" s="716">
        <f>IF(OR(status1B5!AG118="",AF$7="No aplica"),0,SUM('BOULEVARD 5'!$K116:AI116)-$AP423)</f>
        <v>-44268</v>
      </c>
      <c r="AG423" s="716">
        <f>IF(OR(status1B5!AH118="",AG$7="No aplica"),0,SUM('BOULEVARD 5'!$K116:AJ116)-$AP423)</f>
        <v>-30984</v>
      </c>
      <c r="AH423" s="716">
        <f>IF(OR(status1B5!AI118="",AH$7="No aplica"),0,SUM('BOULEVARD 5'!$K116:AK116)-$AP423)</f>
        <v>-26556</v>
      </c>
      <c r="AI423" s="716">
        <f>IF(OR(status1B5!AJ118="",AI$7="No aplica"),0,SUM('BOULEVARD 5'!$K116:AL116)-$AP423)</f>
        <v>-22128</v>
      </c>
      <c r="AJ423" s="716">
        <f>IF(OR(status1B5!AK118="",AJ$7="No aplica"),0,SUM('BOULEVARD 5'!$K116:AM116)-$AP423)</f>
        <v>-17700</v>
      </c>
      <c r="AK423" s="716">
        <f>IF(OR(status1B5!AL118="",AK$7="No aplica"),0,SUM('BOULEVARD 5'!$K116:AN116)-$AP423)</f>
        <v>-17700</v>
      </c>
      <c r="AL423" s="716">
        <f>IF(OR(status1B5!AM118="",AL$7="No aplica"),0,SUM('BOULEVARD 5'!$K116:AO116)-$AP423)</f>
        <v>0</v>
      </c>
      <c r="AM423" s="716">
        <f>IF(OR(status1B5!AN118="",AM$7="No aplica"),0,SUM('BOULEVARD 5'!$K116:AP116)-$AP423)</f>
        <v>0</v>
      </c>
      <c r="AN423" s="716">
        <f>IF(OR(status1B5!AO118="",AN$7="No aplica"),0,SUM('BOULEVARD 5'!$K116:AQ116)-$AP423)</f>
        <v>0</v>
      </c>
      <c r="AO423" s="716">
        <f>IF(OR(status1B5!AP118="",AO$7="No aplica"),0,SUM('BOULEVARD 5'!$K116:AS116)-$AP423)</f>
        <v>0</v>
      </c>
      <c r="AP423" s="717">
        <f>'BOULEVARD PPTO'!BC111</f>
        <v>134400</v>
      </c>
      <c r="AQ423" s="717">
        <f>'BOULEVARD 5'!AT116</f>
        <v>134400</v>
      </c>
      <c r="AR423" s="717">
        <f t="shared" si="104"/>
        <v>0</v>
      </c>
      <c r="AS423" s="717"/>
      <c r="AT423" s="581"/>
    </row>
    <row r="424" spans="1:46" ht="13.15" customHeight="1" outlineLevel="1" x14ac:dyDescent="0.25">
      <c r="A424" s="700" t="str">
        <f t="shared" si="102"/>
        <v>CE</v>
      </c>
      <c r="B424" s="708">
        <f t="shared" ref="B424:G424" si="149">B119</f>
        <v>703</v>
      </c>
      <c r="C424" s="564" t="str">
        <f t="shared" si="149"/>
        <v>B4</v>
      </c>
      <c r="D424" s="647" t="str">
        <f t="shared" si="149"/>
        <v>Plan de pagos especiales</v>
      </c>
      <c r="E424" s="564" t="str">
        <f t="shared" si="149"/>
        <v>Antonio Rada</v>
      </c>
      <c r="F424" s="581" t="str">
        <f t="shared" si="149"/>
        <v>Daniel Augusto Santos Aragon</v>
      </c>
      <c r="G424" s="566">
        <f t="shared" si="149"/>
        <v>45358</v>
      </c>
      <c r="H424" s="716">
        <f>IF(OR(status1B5!I119="",H$7="No aplica"),0,SUM('BOULEVARD 5'!$K117:K117)-$AP424)</f>
        <v>0</v>
      </c>
      <c r="I424" s="716">
        <f>IF(OR(status1B5!J119="",I$7="No aplica"),0,SUM('BOULEVARD 5'!$K117:L117)-$AP424)</f>
        <v>0</v>
      </c>
      <c r="J424" s="716">
        <f>IF(OR(status1B5!K119="",J$7="No aplica"),0,SUM('BOULEVARD 5'!$K117:M117)-$AP424)</f>
        <v>0</v>
      </c>
      <c r="K424" s="716">
        <f>IF(OR(status1B5!L119="",K$7="No aplica"),0,SUM('BOULEVARD 5'!$K117:N117)-$AP424)</f>
        <v>0</v>
      </c>
      <c r="L424" s="716">
        <f>IF(OR(status1B5!M119="",L$7="No aplica"),0,SUM('BOULEVARD 5'!$K117:O117)-$AP424)</f>
        <v>0</v>
      </c>
      <c r="M424" s="716">
        <f>IF(OR(status1B5!N119="",M$7="No aplica"),0,SUM('BOULEVARD 5'!$K117:P117)-$AP424)</f>
        <v>0</v>
      </c>
      <c r="N424" s="716">
        <f>IF(OR(status1B5!O119="",N$7="No aplica"),0,SUM('BOULEVARD 5'!$K117:Q117)-$AP424)</f>
        <v>0</v>
      </c>
      <c r="O424" s="716">
        <f>IF(OR(status1B5!P119="",O$7="No aplica"),0,SUM('BOULEVARD 5'!$K117:R117)-$AP424)</f>
        <v>0</v>
      </c>
      <c r="P424" s="716">
        <f>IF(OR(status1B5!Q119="",P$7="No aplica"),0,SUM('BOULEVARD 5'!$K117:S117)-$AP424)</f>
        <v>0</v>
      </c>
      <c r="Q424" s="716">
        <f>IF(OR(status1B5!R119="",Q$7="No aplica"),0,SUM('BOULEVARD 5'!$K117:T117)-$AP424)</f>
        <v>0</v>
      </c>
      <c r="R424" s="716">
        <f>IF(OR(status1B5!S119="",R$7="No aplica"),0,SUM('BOULEVARD 5'!$K117:U117)-$AP424)</f>
        <v>0</v>
      </c>
      <c r="S424" s="716">
        <f>IF(OR(status1B5!T119="",S$7="No aplica"),0,SUM('BOULEVARD 5'!$K117:V117)-$AP424)</f>
        <v>0</v>
      </c>
      <c r="T424" s="716">
        <f>IF(OR(status1B5!U119="",T$7="No aplica"),0,SUM('BOULEVARD 5'!$K117:W117)-$AP424)</f>
        <v>-82200</v>
      </c>
      <c r="U424" s="716">
        <f>IF(OR(status1B5!V119="",U$7="No aplica"),0,SUM('BOULEVARD 5'!$K117:X117)-$AP424)</f>
        <v>-77633</v>
      </c>
      <c r="V424" s="716">
        <f>IF(OR(status1B5!W119="",V$7="No aplica"),0,SUM('BOULEVARD 5'!$K117:Y117)-$AP424)</f>
        <v>-73066</v>
      </c>
      <c r="W424" s="716">
        <f>IF(OR(status1B5!X119="",W$7="No aplica"),0,SUM('BOULEVARD 5'!$K117:Z117)-$AP424)</f>
        <v>-68499</v>
      </c>
      <c r="X424" s="716">
        <f>IF(OR(status1B5!Y119="",X$7="No aplica"),0,SUM('BOULEVARD 5'!$K117:AA117)-$AP424)</f>
        <v>-63932</v>
      </c>
      <c r="Y424" s="716">
        <f>IF(OR(status1B5!Z119="",Y$7="No aplica"),0,SUM('BOULEVARD 5'!$K117:AB117)-$AP424)</f>
        <v>-54798</v>
      </c>
      <c r="Z424" s="716">
        <f>IF(OR(status1B5!AA119="",Z$7="No aplica"),0,SUM('BOULEVARD 5'!$K117:AC117)-$AP424)</f>
        <v>-50231</v>
      </c>
      <c r="AA424" s="716">
        <f>IF(OR(status1B5!AB119="",AA$7="No aplica"),0,SUM('BOULEVARD 5'!$K117:AD117)-$AP424)</f>
        <v>-45664</v>
      </c>
      <c r="AB424" s="716">
        <f>IF(OR(status1B5!AC119="",AB$7="No aplica"),0,SUM('BOULEVARD 5'!$K117:AE117)-$AP424)</f>
        <v>-41097</v>
      </c>
      <c r="AC424" s="716">
        <f>IF(OR(status1B5!AD119="",AC$7="No aplica"),0,SUM('BOULEVARD 5'!$K117:AF117)-$AP424)</f>
        <v>-41097</v>
      </c>
      <c r="AD424" s="716">
        <f>IF(OR(status1B5!AE119="",AD$7="No aplica"),0,SUM('BOULEVARD 5'!$K117:AG117)-$AP424)</f>
        <v>-36530</v>
      </c>
      <c r="AE424" s="716">
        <f>IF(OR(status1B5!AF119="",AE$7="No aplica"),0,SUM('BOULEVARD 5'!$K117:AH117)-$AP424)</f>
        <v>-31963</v>
      </c>
      <c r="AF424" s="716">
        <f>IF(OR(status1B5!AG119="",AF$7="No aplica"),0,SUM('BOULEVARD 5'!$K117:AI117)-$AP424)</f>
        <v>-29963</v>
      </c>
      <c r="AG424" s="716">
        <f>IF(OR(status1B5!AH119="",AG$7="No aplica"),0,SUM('BOULEVARD 5'!$K117:AJ117)-$AP424)</f>
        <v>-27963</v>
      </c>
      <c r="AH424" s="716">
        <f>IF(OR(status1B5!AI119="",AH$7="No aplica"),0,SUM('BOULEVARD 5'!$K117:AK117)-$AP424)</f>
        <v>-25963</v>
      </c>
      <c r="AI424" s="716">
        <f>IF(OR(status1B5!AJ119="",AI$7="No aplica"),0,SUM('BOULEVARD 5'!$K117:AL117)-$AP424)</f>
        <v>-21963</v>
      </c>
      <c r="AJ424" s="716">
        <f>IF(OR(status1B5!AK119="",AJ$7="No aplica"),0,SUM('BOULEVARD 5'!$K117:AM117)-$AP424)</f>
        <v>-19963</v>
      </c>
      <c r="AK424" s="716">
        <f>IF(OR(status1B5!AL119="",AK$7="No aplica"),0,SUM('BOULEVARD 5'!$K117:AN117)-$AP424)</f>
        <v>-19963</v>
      </c>
      <c r="AL424" s="716">
        <f>IF(OR(status1B5!AM119="",AL$7="No aplica"),0,SUM('BOULEVARD 5'!$K117:AO117)-$AP424)</f>
        <v>-15963</v>
      </c>
      <c r="AM424" s="716">
        <f>IF(OR(status1B5!AN119="",AM$7="No aplica"),0,SUM('BOULEVARD 5'!$K117:AP117)-$AP424)</f>
        <v>-15963</v>
      </c>
      <c r="AN424" s="716">
        <f>IF(OR(status1B5!AO119="",AN$7="No aplica"),0,SUM('BOULEVARD 5'!$K117:AQ117)-$AP424)</f>
        <v>0</v>
      </c>
      <c r="AO424" s="716">
        <f>IF(OR(status1B5!AP119="",AO$7="No aplica"),0,SUM('BOULEVARD 5'!$K117:AS117)-$AP424)</f>
        <v>0</v>
      </c>
      <c r="AP424" s="717">
        <f>'BOULEVARD PPTO'!BC112</f>
        <v>90200</v>
      </c>
      <c r="AQ424" s="717">
        <f>'BOULEVARD 5'!AT117</f>
        <v>80237</v>
      </c>
      <c r="AR424" s="717">
        <f t="shared" si="104"/>
        <v>-9963</v>
      </c>
      <c r="AS424" s="717"/>
      <c r="AT424" s="581"/>
    </row>
    <row r="425" spans="1:46" ht="13.15" customHeight="1" outlineLevel="1" x14ac:dyDescent="0.25">
      <c r="A425" s="700">
        <f t="shared" si="102"/>
        <v>0</v>
      </c>
      <c r="B425" s="564">
        <f t="shared" ref="B425:G425" si="150">B120</f>
        <v>704</v>
      </c>
      <c r="C425" s="564" t="str">
        <f t="shared" si="150"/>
        <v>B3</v>
      </c>
      <c r="D425" s="564">
        <f t="shared" si="150"/>
        <v>0</v>
      </c>
      <c r="E425" s="564" t="str">
        <f t="shared" si="150"/>
        <v>Antonio Rada</v>
      </c>
      <c r="F425" s="581" t="str">
        <f t="shared" si="150"/>
        <v>Dania Dulcidia Gutierrez Villeda</v>
      </c>
      <c r="G425" s="566">
        <f t="shared" si="150"/>
        <v>45397</v>
      </c>
      <c r="H425" s="716">
        <f>IF(OR(status1B5!I120="",H$7="No aplica"),0,SUM('BOULEVARD 5'!$K118:K118)-$AP425)</f>
        <v>0</v>
      </c>
      <c r="I425" s="716">
        <f>IF(OR(status1B5!J120="",I$7="No aplica"),0,SUM('BOULEVARD 5'!$K118:L118)-$AP425)</f>
        <v>0</v>
      </c>
      <c r="J425" s="716">
        <f>IF(OR(status1B5!K120="",J$7="No aplica"),0,SUM('BOULEVARD 5'!$K118:M118)-$AP425)</f>
        <v>0</v>
      </c>
      <c r="K425" s="716">
        <f>IF(OR(status1B5!L120="",K$7="No aplica"),0,SUM('BOULEVARD 5'!$K118:N118)-$AP425)</f>
        <v>0</v>
      </c>
      <c r="L425" s="716">
        <f>IF(OR(status1B5!M120="",L$7="No aplica"),0,SUM('BOULEVARD 5'!$K118:O118)-$AP425)</f>
        <v>0</v>
      </c>
      <c r="M425" s="716">
        <f>IF(OR(status1B5!N120="",M$7="No aplica"),0,SUM('BOULEVARD 5'!$K118:P118)-$AP425)</f>
        <v>0</v>
      </c>
      <c r="N425" s="716">
        <f>IF(OR(status1B5!O120="",N$7="No aplica"),0,SUM('BOULEVARD 5'!$K118:Q118)-$AP425)</f>
        <v>0</v>
      </c>
      <c r="O425" s="716">
        <f>IF(OR(status1B5!P120="",O$7="No aplica"),0,SUM('BOULEVARD 5'!$K118:R118)-$AP425)</f>
        <v>0</v>
      </c>
      <c r="P425" s="716">
        <f>IF(OR(status1B5!Q120="",P$7="No aplica"),0,SUM('BOULEVARD 5'!$K118:S118)-$AP425)</f>
        <v>0</v>
      </c>
      <c r="Q425" s="716">
        <f>IF(OR(status1B5!R120="",Q$7="No aplica"),0,SUM('BOULEVARD 5'!$K118:T118)-$AP425)</f>
        <v>0</v>
      </c>
      <c r="R425" s="716">
        <f>IF(OR(status1B5!S120="",R$7="No aplica"),0,SUM('BOULEVARD 5'!$K118:U118)-$AP425)</f>
        <v>0</v>
      </c>
      <c r="S425" s="716">
        <f>IF(OR(status1B5!T120="",S$7="No aplica"),0,SUM('BOULEVARD 5'!$K118:V118)-$AP425)</f>
        <v>0</v>
      </c>
      <c r="T425" s="716">
        <f>IF(OR(status1B5!U120="",T$7="No aplica"),0,SUM('BOULEVARD 5'!$K118:W118)-$AP425)</f>
        <v>0</v>
      </c>
      <c r="U425" s="716">
        <f>IF(OR(status1B5!V120="",U$7="No aplica"),0,SUM('BOULEVARD 5'!$K118:X118)-$AP425)</f>
        <v>-80800</v>
      </c>
      <c r="V425" s="716">
        <f>IF(OR(status1B5!W120="",V$7="No aplica"),0,SUM('BOULEVARD 5'!$K118:Y118)-$AP425)</f>
        <v>-76047</v>
      </c>
      <c r="W425" s="716">
        <f>IF(OR(status1B5!X120="",W$7="No aplica"),0,SUM('BOULEVARD 5'!$K118:Z118)-$AP425)</f>
        <v>-71294</v>
      </c>
      <c r="X425" s="716">
        <f>IF(OR(status1B5!Y120="",X$7="No aplica"),0,SUM('BOULEVARD 5'!$K118:AA118)-$AP425)</f>
        <v>-66541</v>
      </c>
      <c r="Y425" s="716">
        <f>IF(OR(status1B5!Z120="",Y$7="No aplica"),0,SUM('BOULEVARD 5'!$K118:AB118)-$AP425)</f>
        <v>-61788</v>
      </c>
      <c r="Z425" s="716">
        <f>IF(OR(status1B5!AA120="",Z$7="No aplica"),0,SUM('BOULEVARD 5'!$K118:AC118)-$AP425)</f>
        <v>-57035</v>
      </c>
      <c r="AA425" s="716">
        <f>IF(OR(status1B5!AB120="",AA$7="No aplica"),0,SUM('BOULEVARD 5'!$K118:AD118)-$AP425)</f>
        <v>-47529</v>
      </c>
      <c r="AB425" s="716">
        <f>IF(OR(status1B5!AC120="",AB$7="No aplica"),0,SUM('BOULEVARD 5'!$K118:AE118)-$AP425)</f>
        <v>-47529</v>
      </c>
      <c r="AC425" s="716">
        <f>IF(OR(status1B5!AD120="",AC$7="No aplica"),0,SUM('BOULEVARD 5'!$K118:AF118)-$AP425)</f>
        <v>-38023</v>
      </c>
      <c r="AD425" s="716">
        <f>IF(OR(status1B5!AE120="",AD$7="No aplica"),0,SUM('BOULEVARD 5'!$K118:AG118)-$AP425)</f>
        <v>-38023</v>
      </c>
      <c r="AE425" s="716">
        <f>IF(OR(status1B5!AF120="",AE$7="No aplica"),0,SUM('BOULEVARD 5'!$K118:AH118)-$AP425)</f>
        <v>-28517</v>
      </c>
      <c r="AF425" s="716">
        <f>IF(OR(status1B5!AG120="",AF$7="No aplica"),0,SUM('BOULEVARD 5'!$K118:AI118)-$AP425)</f>
        <v>-23764</v>
      </c>
      <c r="AG425" s="716">
        <f>IF(OR(status1B5!AH120="",AG$7="No aplica"),0,SUM('BOULEVARD 5'!$K118:AJ118)-$AP425)</f>
        <v>-23764</v>
      </c>
      <c r="AH425" s="716">
        <f>IF(OR(status1B5!AI120="",AH$7="No aplica"),0,SUM('BOULEVARD 5'!$K118:AK118)-$AP425)</f>
        <v>-14258</v>
      </c>
      <c r="AI425" s="716">
        <f>IF(OR(status1B5!AJ120="",AI$7="No aplica"),0,SUM('BOULEVARD 5'!$K118:AL118)-$AP425)</f>
        <v>-14258</v>
      </c>
      <c r="AJ425" s="716">
        <f>IF(OR(status1B5!AK120="",AJ$7="No aplica"),0,SUM('BOULEVARD 5'!$K118:AM118)-$AP425)</f>
        <v>-4752</v>
      </c>
      <c r="AK425" s="716">
        <f>IF(OR(status1B5!AL120="",AK$7="No aplica"),0,SUM('BOULEVARD 5'!$K118:AN118)-$AP425)</f>
        <v>-4752</v>
      </c>
      <c r="AL425" s="716">
        <f>IF(OR(status1B5!AM120="",AL$7="No aplica"),0,SUM('BOULEVARD 5'!$K118:AO118)-$AP425)</f>
        <v>0</v>
      </c>
      <c r="AM425" s="716">
        <f>IF(OR(status1B5!AN120="",AM$7="No aplica"),0,SUM('BOULEVARD 5'!$K118:AP118)-$AP425)</f>
        <v>0</v>
      </c>
      <c r="AN425" s="716">
        <f>IF(OR(status1B5!AO120="",AN$7="No aplica"),0,SUM('BOULEVARD 5'!$K118:AQ118)-$AP425)</f>
        <v>0</v>
      </c>
      <c r="AO425" s="716">
        <f>IF(OR(status1B5!AP120="",AO$7="No aplica"),0,SUM('BOULEVARD 5'!$K118:AS118)-$AP425)</f>
        <v>0</v>
      </c>
      <c r="AP425" s="717">
        <f>'BOULEVARD PPTO'!BC113</f>
        <v>88800</v>
      </c>
      <c r="AQ425" s="717">
        <f>'BOULEVARD 5'!AT118</f>
        <v>88800</v>
      </c>
      <c r="AR425" s="717">
        <f t="shared" si="104"/>
        <v>0</v>
      </c>
      <c r="AS425" s="717"/>
      <c r="AT425" s="581"/>
    </row>
    <row r="426" spans="1:46" ht="13.15" customHeight="1" outlineLevel="1" x14ac:dyDescent="0.25">
      <c r="A426" s="700">
        <f t="shared" si="102"/>
        <v>0</v>
      </c>
      <c r="B426" s="564">
        <f t="shared" ref="B426:G426" si="151">B121</f>
        <v>705</v>
      </c>
      <c r="C426" s="564" t="str">
        <f t="shared" si="151"/>
        <v>D9</v>
      </c>
      <c r="D426" s="564">
        <f t="shared" si="151"/>
        <v>0</v>
      </c>
      <c r="E426" s="564" t="str">
        <f t="shared" si="151"/>
        <v>Antonio Rada</v>
      </c>
      <c r="F426" s="581" t="str">
        <f t="shared" si="151"/>
        <v>Ingrid Lisbeth Dubón García De Diaz</v>
      </c>
      <c r="G426" s="566">
        <f t="shared" si="151"/>
        <v>45699</v>
      </c>
      <c r="H426" s="716">
        <f>IF(OR(status1B5!I121="",H$7="No aplica"),0,SUM('BOULEVARD 5'!$K119:K119)-$AP426)</f>
        <v>0</v>
      </c>
      <c r="I426" s="716">
        <f>IF(OR(status1B5!J121="",I$7="No aplica"),0,SUM('BOULEVARD 5'!$K119:L119)-$AP426)</f>
        <v>0</v>
      </c>
      <c r="J426" s="716">
        <f>IF(OR(status1B5!K121="",J$7="No aplica"),0,SUM('BOULEVARD 5'!$K119:M119)-$AP426)</f>
        <v>0</v>
      </c>
      <c r="K426" s="716">
        <f>IF(OR(status1B5!L121="",K$7="No aplica"),0,SUM('BOULEVARD 5'!$K119:N119)-$AP426)</f>
        <v>0</v>
      </c>
      <c r="L426" s="716">
        <f>IF(OR(status1B5!M121="",L$7="No aplica"),0,SUM('BOULEVARD 5'!$K119:O119)-$AP426)</f>
        <v>0</v>
      </c>
      <c r="M426" s="716">
        <f>IF(OR(status1B5!N121="",M$7="No aplica"),0,SUM('BOULEVARD 5'!$K119:P119)-$AP426)</f>
        <v>0</v>
      </c>
      <c r="N426" s="716">
        <f>IF(OR(status1B5!O121="",N$7="No aplica"),0,SUM('BOULEVARD 5'!$K119:Q119)-$AP426)</f>
        <v>0</v>
      </c>
      <c r="O426" s="716">
        <f>IF(OR(status1B5!P121="",O$7="No aplica"),0,SUM('BOULEVARD 5'!$K119:R119)-$AP426)</f>
        <v>0</v>
      </c>
      <c r="P426" s="716">
        <f>IF(OR(status1B5!Q121="",P$7="No aplica"),0,SUM('BOULEVARD 5'!$K119:S119)-$AP426)</f>
        <v>0</v>
      </c>
      <c r="Q426" s="716">
        <f>IF(OR(status1B5!R121="",Q$7="No aplica"),0,SUM('BOULEVARD 5'!$K119:T119)-$AP426)</f>
        <v>0</v>
      </c>
      <c r="R426" s="716">
        <f>IF(OR(status1B5!S121="",R$7="No aplica"),0,SUM('BOULEVARD 5'!$K119:U119)-$AP426)</f>
        <v>0</v>
      </c>
      <c r="S426" s="716">
        <f>IF(OR(status1B5!T121="",S$7="No aplica"),0,SUM('BOULEVARD 5'!$K119:V119)-$AP426)</f>
        <v>0</v>
      </c>
      <c r="T426" s="716">
        <f>IF(OR(status1B5!U121="",T$7="No aplica"),0,SUM('BOULEVARD 5'!$K119:W119)-$AP426)</f>
        <v>0</v>
      </c>
      <c r="U426" s="716">
        <f>IF(OR(status1B5!V121="",U$7="No aplica"),0,SUM('BOULEVARD 5'!$K119:X119)-$AP426)</f>
        <v>0</v>
      </c>
      <c r="V426" s="716">
        <f>IF(OR(status1B5!W121="",V$7="No aplica"),0,SUM('BOULEVARD 5'!$K119:Y119)-$AP426)</f>
        <v>0</v>
      </c>
      <c r="W426" s="716">
        <f>IF(OR(status1B5!X121="",W$7="No aplica"),0,SUM('BOULEVARD 5'!$K119:Z119)-$AP426)</f>
        <v>0</v>
      </c>
      <c r="X426" s="716">
        <f>IF(OR(status1B5!Y121="",X$7="No aplica"),0,SUM('BOULEVARD 5'!$K119:AA119)-$AP426)</f>
        <v>0</v>
      </c>
      <c r="Y426" s="716">
        <f>IF(OR(status1B5!Z121="",Y$7="No aplica"),0,SUM('BOULEVARD 5'!$K119:AB119)-$AP426)</f>
        <v>0</v>
      </c>
      <c r="Z426" s="716">
        <f>IF(OR(status1B5!AA121="",Z$7="No aplica"),0,SUM('BOULEVARD 5'!$K119:AC119)-$AP426)</f>
        <v>0</v>
      </c>
      <c r="AA426" s="716">
        <f>IF(OR(status1B5!AB121="",AA$7="No aplica"),0,SUM('BOULEVARD 5'!$K119:AD119)-$AP426)</f>
        <v>0</v>
      </c>
      <c r="AB426" s="716">
        <f>IF(OR(status1B5!AC121="",AB$7="No aplica"),0,SUM('BOULEVARD 5'!$K119:AE119)-$AP426)</f>
        <v>0</v>
      </c>
      <c r="AC426" s="716">
        <f>IF(OR(status1B5!AD121="",AC$7="No aplica"),0,SUM('BOULEVARD 5'!$K119:AF119)-$AP426)</f>
        <v>0</v>
      </c>
      <c r="AD426" s="716">
        <f>IF(OR(status1B5!AE121="",AD$7="No aplica"),0,SUM('BOULEVARD 5'!$K119:AG119)-$AP426)</f>
        <v>0</v>
      </c>
      <c r="AE426" s="716">
        <f>IF(OR(status1B5!AF121="",AE$7="No aplica"),0,SUM('BOULEVARD 5'!$K119:AH119)-$AP426)</f>
        <v>-129701.18</v>
      </c>
      <c r="AF426" s="716">
        <f>IF(OR(status1B5!AG121="",AF$7="No aplica"),0,SUM('BOULEVARD 5'!$K119:AI119)-$AP426)</f>
        <v>-129701.18</v>
      </c>
      <c r="AG426" s="716">
        <f>IF(OR(status1B5!AH121="",AG$7="No aplica"),0,SUM('BOULEVARD 5'!$K119:AJ119)-$AP426)</f>
        <v>-112407.18</v>
      </c>
      <c r="AH426" s="716">
        <f>IF(OR(status1B5!AI121="",AH$7="No aplica"),0,SUM('BOULEVARD 5'!$K119:AK119)-$AP426)</f>
        <v>-103760.18</v>
      </c>
      <c r="AI426" s="716">
        <f>IF(OR(status1B5!AJ121="",AI$7="No aplica"),0,SUM('BOULEVARD 5'!$K119:AL119)-$AP426)</f>
        <v>-95113.18</v>
      </c>
      <c r="AJ426" s="716">
        <f>IF(OR(status1B5!AK121="",AJ$7="No aplica"),0,SUM('BOULEVARD 5'!$K119:AM119)-$AP426)</f>
        <v>-86466.18</v>
      </c>
      <c r="AK426" s="716">
        <f>IF(OR(status1B5!AL121="",AK$7="No aplica"),0,SUM('BOULEVARD 5'!$K119:AN119)-$AP426)</f>
        <v>-77819.179999999993</v>
      </c>
      <c r="AL426" s="716">
        <f>IF(OR(status1B5!AM121="",AL$7="No aplica"),0,SUM('BOULEVARD 5'!$K119:AO119)-$AP426)</f>
        <v>-69172.179999999993</v>
      </c>
      <c r="AM426" s="716">
        <f>IF(OR(status1B5!AN121="",AM$7="No aplica"),0,SUM('BOULEVARD 5'!$K119:AP119)-$AP426)</f>
        <v>-60525.179999999993</v>
      </c>
      <c r="AN426" s="716">
        <f>IF(OR(status1B5!AO121="",AN$7="No aplica"),0,SUM('BOULEVARD 5'!$K119:AQ119)-$AP426)</f>
        <v>0</v>
      </c>
      <c r="AO426" s="716">
        <f>IF(OR(status1B5!AP121="",AO$7="No aplica"),0,SUM('BOULEVARD 5'!$K119:AS119)-$AP426)</f>
        <v>0</v>
      </c>
      <c r="AP426" s="717">
        <f>'BOULEVARD PPTO'!BC114</f>
        <v>139701.18</v>
      </c>
      <c r="AQ426" s="717">
        <f>'BOULEVARD 5'!AT119</f>
        <v>96470</v>
      </c>
      <c r="AR426" s="717">
        <f t="shared" si="104"/>
        <v>-43231.179999999993</v>
      </c>
      <c r="AS426" s="717"/>
      <c r="AT426" s="581"/>
    </row>
    <row r="427" spans="1:46" ht="13.15" customHeight="1" outlineLevel="1" x14ac:dyDescent="0.25">
      <c r="A427" s="700">
        <f t="shared" si="102"/>
        <v>0</v>
      </c>
      <c r="B427" s="564">
        <f t="shared" ref="B427:G427" si="152">B122</f>
        <v>706</v>
      </c>
      <c r="C427" s="564" t="str">
        <f t="shared" si="152"/>
        <v>D8</v>
      </c>
      <c r="D427" s="564">
        <f t="shared" si="152"/>
        <v>0</v>
      </c>
      <c r="E427" s="564" t="str">
        <f t="shared" si="152"/>
        <v>Antonio Rada</v>
      </c>
      <c r="F427" s="581" t="str">
        <f t="shared" si="152"/>
        <v>Edison Gabriel Ramirez Lopez</v>
      </c>
      <c r="G427" s="566">
        <f t="shared" si="152"/>
        <v>45728</v>
      </c>
      <c r="H427" s="716">
        <f>IF(OR(status1B5!I122="",H$7="No aplica"),0,SUM('BOULEVARD 5'!$K120:K120)-$AP427)</f>
        <v>0</v>
      </c>
      <c r="I427" s="716">
        <f>IF(OR(status1B5!J122="",I$7="No aplica"),0,SUM('BOULEVARD 5'!$K120:L120)-$AP427)</f>
        <v>0</v>
      </c>
      <c r="J427" s="716">
        <f>IF(OR(status1B5!K122="",J$7="No aplica"),0,SUM('BOULEVARD 5'!$K120:M120)-$AP427)</f>
        <v>0</v>
      </c>
      <c r="K427" s="716">
        <f>IF(OR(status1B5!L122="",K$7="No aplica"),0,SUM('BOULEVARD 5'!$K120:N120)-$AP427)</f>
        <v>0</v>
      </c>
      <c r="L427" s="716">
        <f>IF(OR(status1B5!M122="",L$7="No aplica"),0,SUM('BOULEVARD 5'!$K120:O120)-$AP427)</f>
        <v>0</v>
      </c>
      <c r="M427" s="716">
        <f>IF(OR(status1B5!N122="",M$7="No aplica"),0,SUM('BOULEVARD 5'!$K120:P120)-$AP427)</f>
        <v>0</v>
      </c>
      <c r="N427" s="716">
        <f>IF(OR(status1B5!O122="",N$7="No aplica"),0,SUM('BOULEVARD 5'!$K120:Q120)-$AP427)</f>
        <v>0</v>
      </c>
      <c r="O427" s="716">
        <f>IF(OR(status1B5!P122="",O$7="No aplica"),0,SUM('BOULEVARD 5'!$K120:R120)-$AP427)</f>
        <v>0</v>
      </c>
      <c r="P427" s="716">
        <f>IF(OR(status1B5!Q122="",P$7="No aplica"),0,SUM('BOULEVARD 5'!$K120:S120)-$AP427)</f>
        <v>0</v>
      </c>
      <c r="Q427" s="716">
        <f>IF(OR(status1B5!R122="",Q$7="No aplica"),0,SUM('BOULEVARD 5'!$K120:T120)-$AP427)</f>
        <v>0</v>
      </c>
      <c r="R427" s="716">
        <f>IF(OR(status1B5!S122="",R$7="No aplica"),0,SUM('BOULEVARD 5'!$K120:U120)-$AP427)</f>
        <v>0</v>
      </c>
      <c r="S427" s="716">
        <f>IF(OR(status1B5!T122="",S$7="No aplica"),0,SUM('BOULEVARD 5'!$K120:V120)-$AP427)</f>
        <v>0</v>
      </c>
      <c r="T427" s="716">
        <f>IF(OR(status1B5!U122="",T$7="No aplica"),0,SUM('BOULEVARD 5'!$K120:W120)-$AP427)</f>
        <v>0</v>
      </c>
      <c r="U427" s="716">
        <f>IF(OR(status1B5!V122="",U$7="No aplica"),0,SUM('BOULEVARD 5'!$K120:X120)-$AP427)</f>
        <v>0</v>
      </c>
      <c r="V427" s="716">
        <f>IF(OR(status1B5!W122="",V$7="No aplica"),0,SUM('BOULEVARD 5'!$K120:Y120)-$AP427)</f>
        <v>0</v>
      </c>
      <c r="W427" s="716">
        <f>IF(OR(status1B5!X122="",W$7="No aplica"),0,SUM('BOULEVARD 5'!$K120:Z120)-$AP427)</f>
        <v>0</v>
      </c>
      <c r="X427" s="716">
        <f>IF(OR(status1B5!Y122="",X$7="No aplica"),0,SUM('BOULEVARD 5'!$K120:AA120)-$AP427)</f>
        <v>0</v>
      </c>
      <c r="Y427" s="716">
        <f>IF(OR(status1B5!Z122="",Y$7="No aplica"),0,SUM('BOULEVARD 5'!$K120:AB120)-$AP427)</f>
        <v>0</v>
      </c>
      <c r="Z427" s="716">
        <f>IF(OR(status1B5!AA122="",Z$7="No aplica"),0,SUM('BOULEVARD 5'!$K120:AC120)-$AP427)</f>
        <v>0</v>
      </c>
      <c r="AA427" s="716">
        <f>IF(OR(status1B5!AB122="",AA$7="No aplica"),0,SUM('BOULEVARD 5'!$K120:AD120)-$AP427)</f>
        <v>0</v>
      </c>
      <c r="AB427" s="716">
        <f>IF(OR(status1B5!AC122="",AB$7="No aplica"),0,SUM('BOULEVARD 5'!$K120:AE120)-$AP427)</f>
        <v>0</v>
      </c>
      <c r="AC427" s="716">
        <f>IF(OR(status1B5!AD122="",AC$7="No aplica"),0,SUM('BOULEVARD 5'!$K120:AF120)-$AP427)</f>
        <v>0</v>
      </c>
      <c r="AD427" s="716">
        <f>IF(OR(status1B5!AE122="",AD$7="No aplica"),0,SUM('BOULEVARD 5'!$K120:AG120)-$AP427)</f>
        <v>0</v>
      </c>
      <c r="AE427" s="716">
        <f>IF(OR(status1B5!AF122="",AE$7="No aplica"),0,SUM('BOULEVARD 5'!$K120:AH120)-$AP427)</f>
        <v>0</v>
      </c>
      <c r="AF427" s="716">
        <f>IF(OR(status1B5!AG122="",AF$7="No aplica"),0,SUM('BOULEVARD 5'!$K120:AI120)-$AP427)</f>
        <v>-130292.70000000001</v>
      </c>
      <c r="AG427" s="716">
        <f>IF(OR(status1B5!AH122="",AG$7="No aplica"),0,SUM('BOULEVARD 5'!$K120:AJ120)-$AP427)</f>
        <v>-120985.70000000001</v>
      </c>
      <c r="AH427" s="716">
        <f>IF(OR(status1B5!AI122="",AH$7="No aplica"),0,SUM('BOULEVARD 5'!$K120:AK120)-$AP427)</f>
        <v>-111678.70000000001</v>
      </c>
      <c r="AI427" s="716">
        <f>IF(OR(status1B5!AJ122="",AI$7="No aplica"),0,SUM('BOULEVARD 5'!$K120:AL120)-$AP427)</f>
        <v>-102371.70000000001</v>
      </c>
      <c r="AJ427" s="716">
        <f>IF(OR(status1B5!AK122="",AJ$7="No aplica"),0,SUM('BOULEVARD 5'!$K120:AM120)-$AP427)</f>
        <v>-93064.700000000012</v>
      </c>
      <c r="AK427" s="716">
        <f>IF(OR(status1B5!AL122="",AK$7="No aplica"),0,SUM('BOULEVARD 5'!$K120:AN120)-$AP427)</f>
        <v>-83757.700000000012</v>
      </c>
      <c r="AL427" s="716">
        <f>IF(OR(status1B5!AM122="",AL$7="No aplica"),0,SUM('BOULEVARD 5'!$K120:AO120)-$AP427)</f>
        <v>-74450.700000000012</v>
      </c>
      <c r="AM427" s="716">
        <f>IF(OR(status1B5!AN122="",AM$7="No aplica"),0,SUM('BOULEVARD 5'!$K120:AP120)-$AP427)</f>
        <v>-65143.700000000012</v>
      </c>
      <c r="AN427" s="716">
        <f>IF(OR(status1B5!AO122="",AN$7="No aplica"),0,SUM('BOULEVARD 5'!$K120:AQ120)-$AP427)</f>
        <v>0</v>
      </c>
      <c r="AO427" s="716">
        <f>IF(OR(status1B5!AP122="",AO$7="No aplica"),0,SUM('BOULEVARD 5'!$K120:AS120)-$AP427)</f>
        <v>0</v>
      </c>
      <c r="AP427" s="717">
        <f>'BOULEVARD PPTO'!BC115</f>
        <v>140292.70000000001</v>
      </c>
      <c r="AQ427" s="717">
        <f>'BOULEVARD 5'!AT120</f>
        <v>93763</v>
      </c>
      <c r="AR427" s="717">
        <f t="shared" si="104"/>
        <v>-46529.700000000012</v>
      </c>
      <c r="AS427" s="717"/>
      <c r="AT427" s="581"/>
    </row>
    <row r="428" spans="1:46" ht="13.15" customHeight="1" outlineLevel="1" x14ac:dyDescent="0.25">
      <c r="A428" s="700">
        <f t="shared" si="102"/>
        <v>0</v>
      </c>
      <c r="B428" s="564">
        <f t="shared" ref="B428:G428" si="153">B123</f>
        <v>707</v>
      </c>
      <c r="C428" s="564" t="str">
        <f t="shared" si="153"/>
        <v>A12</v>
      </c>
      <c r="D428" s="564">
        <f t="shared" si="153"/>
        <v>0</v>
      </c>
      <c r="E428" s="564" t="str">
        <f t="shared" si="153"/>
        <v>Sofia Paredes</v>
      </c>
      <c r="F428" s="581" t="str">
        <f t="shared" si="153"/>
        <v xml:space="preserve">Cristhian Paul Escobar Maldonado </v>
      </c>
      <c r="G428" s="566">
        <f t="shared" si="153"/>
        <v>45751</v>
      </c>
      <c r="H428" s="716">
        <f>IF(OR(status1B5!I123="",H$7="No aplica"),0,SUM('BOULEVARD 5'!$K121:K121)-$AP428)</f>
        <v>0</v>
      </c>
      <c r="I428" s="716">
        <f>IF(OR(status1B5!J123="",I$7="No aplica"),0,SUM('BOULEVARD 5'!$K121:L121)-$AP428)</f>
        <v>0</v>
      </c>
      <c r="J428" s="716">
        <f>IF(OR(status1B5!K123="",J$7="No aplica"),0,SUM('BOULEVARD 5'!$K121:M121)-$AP428)</f>
        <v>0</v>
      </c>
      <c r="K428" s="716">
        <f>IF(OR(status1B5!L123="",K$7="No aplica"),0,SUM('BOULEVARD 5'!$K121:N121)-$AP428)</f>
        <v>0</v>
      </c>
      <c r="L428" s="716">
        <f>IF(OR(status1B5!M123="",L$7="No aplica"),0,SUM('BOULEVARD 5'!$K121:O121)-$AP428)</f>
        <v>0</v>
      </c>
      <c r="M428" s="716">
        <f>IF(OR(status1B5!N123="",M$7="No aplica"),0,SUM('BOULEVARD 5'!$K121:P121)-$AP428)</f>
        <v>0</v>
      </c>
      <c r="N428" s="716">
        <f>IF(OR(status1B5!O123="",N$7="No aplica"),0,SUM('BOULEVARD 5'!$K121:Q121)-$AP428)</f>
        <v>0</v>
      </c>
      <c r="O428" s="716">
        <f>IF(OR(status1B5!P123="",O$7="No aplica"),0,SUM('BOULEVARD 5'!$K121:R121)-$AP428)</f>
        <v>0</v>
      </c>
      <c r="P428" s="716">
        <f>IF(OR(status1B5!Q123="",P$7="No aplica"),0,SUM('BOULEVARD 5'!$K121:S121)-$AP428)</f>
        <v>0</v>
      </c>
      <c r="Q428" s="716">
        <f>IF(OR(status1B5!R123="",Q$7="No aplica"),0,SUM('BOULEVARD 5'!$K121:T121)-$AP428)</f>
        <v>0</v>
      </c>
      <c r="R428" s="716">
        <f>IF(OR(status1B5!S123="",R$7="No aplica"),0,SUM('BOULEVARD 5'!$K121:U121)-$AP428)</f>
        <v>0</v>
      </c>
      <c r="S428" s="716">
        <f>IF(OR(status1B5!T123="",S$7="No aplica"),0,SUM('BOULEVARD 5'!$K121:V121)-$AP428)</f>
        <v>0</v>
      </c>
      <c r="T428" s="716">
        <f>IF(OR(status1B5!U123="",T$7="No aplica"),0,SUM('BOULEVARD 5'!$K121:W121)-$AP428)</f>
        <v>0</v>
      </c>
      <c r="U428" s="716">
        <f>IF(OR(status1B5!V123="",U$7="No aplica"),0,SUM('BOULEVARD 5'!$K121:X121)-$AP428)</f>
        <v>0</v>
      </c>
      <c r="V428" s="716">
        <f>IF(OR(status1B5!W123="",V$7="No aplica"),0,SUM('BOULEVARD 5'!$K121:Y121)-$AP428)</f>
        <v>0</v>
      </c>
      <c r="W428" s="716">
        <f>IF(OR(status1B5!X123="",W$7="No aplica"),0,SUM('BOULEVARD 5'!$K121:Z121)-$AP428)</f>
        <v>0</v>
      </c>
      <c r="X428" s="716">
        <f>IF(OR(status1B5!Y123="",X$7="No aplica"),0,SUM('BOULEVARD 5'!$K121:AA121)-$AP428)</f>
        <v>0</v>
      </c>
      <c r="Y428" s="716">
        <f>IF(OR(status1B5!Z123="",Y$7="No aplica"),0,SUM('BOULEVARD 5'!$K121:AB121)-$AP428)</f>
        <v>0</v>
      </c>
      <c r="Z428" s="716">
        <f>IF(OR(status1B5!AA123="",Z$7="No aplica"),0,SUM('BOULEVARD 5'!$K121:AC121)-$AP428)</f>
        <v>0</v>
      </c>
      <c r="AA428" s="716">
        <f>IF(OR(status1B5!AB123="",AA$7="No aplica"),0,SUM('BOULEVARD 5'!$K121:AD121)-$AP428)</f>
        <v>0</v>
      </c>
      <c r="AB428" s="716">
        <f>IF(OR(status1B5!AC123="",AB$7="No aplica"),0,SUM('BOULEVARD 5'!$K121:AE121)-$AP428)</f>
        <v>0</v>
      </c>
      <c r="AC428" s="716">
        <f>IF(OR(status1B5!AD123="",AC$7="No aplica"),0,SUM('BOULEVARD 5'!$K121:AF121)-$AP428)</f>
        <v>0</v>
      </c>
      <c r="AD428" s="716">
        <f>IF(OR(status1B5!AE123="",AD$7="No aplica"),0,SUM('BOULEVARD 5'!$K121:AG121)-$AP428)</f>
        <v>0</v>
      </c>
      <c r="AE428" s="716">
        <f>IF(OR(status1B5!AF123="",AE$7="No aplica"),0,SUM('BOULEVARD 5'!$K121:AH121)-$AP428)</f>
        <v>0</v>
      </c>
      <c r="AF428" s="716">
        <f>IF(OR(status1B5!AG123="",AF$7="No aplica"),0,SUM('BOULEVARD 5'!$K121:AI121)-$AP428)</f>
        <v>0</v>
      </c>
      <c r="AG428" s="716">
        <f>IF(OR(status1B5!AH123="",AG$7="No aplica"),0,SUM('BOULEVARD 5'!$K121:AJ121)-$AP428)</f>
        <v>-68939</v>
      </c>
      <c r="AH428" s="716">
        <f>IF(OR(status1B5!AI123="",AH$7="No aplica"),0,SUM('BOULEVARD 5'!$K121:AK121)-$AP428)</f>
        <v>-68939</v>
      </c>
      <c r="AI428" s="716">
        <f>IF(OR(status1B5!AJ123="",AI$7="No aplica"),0,SUM('BOULEVARD 5'!$K121:AL121)-$AP428)</f>
        <v>-68939</v>
      </c>
      <c r="AJ428" s="716">
        <f>IF(OR(status1B5!AK123="",AJ$7="No aplica"),0,SUM('BOULEVARD 5'!$K121:AM121)-$AP428)</f>
        <v>-58939</v>
      </c>
      <c r="AK428" s="716">
        <f>IF(OR(status1B5!AL123="",AK$7="No aplica"),0,SUM('BOULEVARD 5'!$K121:AN121)-$AP428)</f>
        <v>-53939</v>
      </c>
      <c r="AL428" s="716">
        <f>IF(OR(status1B5!AM123="",AL$7="No aplica"),0,SUM('BOULEVARD 5'!$K121:AO121)-$AP428)</f>
        <v>-48939</v>
      </c>
      <c r="AM428" s="716">
        <f>IF(OR(status1B5!AN123="",AM$7="No aplica"),0,SUM('BOULEVARD 5'!$K121:AP121)-$AP428)</f>
        <v>-43939</v>
      </c>
      <c r="AN428" s="716">
        <f>IF(OR(status1B5!AO123="",AN$7="No aplica"),0,SUM('BOULEVARD 5'!$K121:AQ121)-$AP428)</f>
        <v>0</v>
      </c>
      <c r="AO428" s="716">
        <f>IF(OR(status1B5!AP123="",AO$7="No aplica"),0,SUM('BOULEVARD 5'!$K121:AS121)-$AP428)</f>
        <v>0</v>
      </c>
      <c r="AP428" s="717">
        <f>'BOULEVARD PPTO'!BC116</f>
        <v>78939</v>
      </c>
      <c r="AQ428" s="717">
        <f>'BOULEVARD 5'!AT121</f>
        <v>50000</v>
      </c>
      <c r="AR428" s="717">
        <f t="shared" si="104"/>
        <v>-28939</v>
      </c>
      <c r="AS428" s="717"/>
      <c r="AT428" s="581"/>
    </row>
    <row r="429" spans="1:46" ht="13.15" customHeight="1" outlineLevel="1" x14ac:dyDescent="0.25">
      <c r="A429" s="700" t="str">
        <f t="shared" si="102"/>
        <v>CE</v>
      </c>
      <c r="B429" s="708">
        <f t="shared" ref="B429:G429" si="154">B124</f>
        <v>708</v>
      </c>
      <c r="C429" s="564" t="str">
        <f t="shared" si="154"/>
        <v>C6</v>
      </c>
      <c r="D429" s="647" t="str">
        <f t="shared" si="154"/>
        <v>Plan de pagos especiales</v>
      </c>
      <c r="E429" s="564" t="str">
        <f t="shared" si="154"/>
        <v>Antonio Rada</v>
      </c>
      <c r="F429" s="581" t="str">
        <f t="shared" si="154"/>
        <v>Alfonso Videche Rodriguez</v>
      </c>
      <c r="G429" s="566">
        <f t="shared" si="154"/>
        <v>45321</v>
      </c>
      <c r="H429" s="716">
        <f>IF(OR(status1B5!I124="",H$7="No aplica"),0,SUM('BOULEVARD 5'!$K122:K122)-$AP429)</f>
        <v>0</v>
      </c>
      <c r="I429" s="716">
        <f>IF(OR(status1B5!J124="",I$7="No aplica"),0,SUM('BOULEVARD 5'!$K122:L122)-$AP429)</f>
        <v>0</v>
      </c>
      <c r="J429" s="716">
        <f>IF(OR(status1B5!K124="",J$7="No aplica"),0,SUM('BOULEVARD 5'!$K122:M122)-$AP429)</f>
        <v>0</v>
      </c>
      <c r="K429" s="716">
        <f>IF(OR(status1B5!L124="",K$7="No aplica"),0,SUM('BOULEVARD 5'!$K122:N122)-$AP429)</f>
        <v>0</v>
      </c>
      <c r="L429" s="716">
        <f>IF(OR(status1B5!M124="",L$7="No aplica"),0,SUM('BOULEVARD 5'!$K122:O122)-$AP429)</f>
        <v>0</v>
      </c>
      <c r="M429" s="716">
        <f>IF(OR(status1B5!N124="",M$7="No aplica"),0,SUM('BOULEVARD 5'!$K122:P122)-$AP429)</f>
        <v>0</v>
      </c>
      <c r="N429" s="716">
        <f>IF(OR(status1B5!O124="",N$7="No aplica"),0,SUM('BOULEVARD 5'!$K122:Q122)-$AP429)</f>
        <v>0</v>
      </c>
      <c r="O429" s="716">
        <f>IF(OR(status1B5!P124="",O$7="No aplica"),0,SUM('BOULEVARD 5'!$K122:R122)-$AP429)</f>
        <v>0</v>
      </c>
      <c r="P429" s="716">
        <f>IF(OR(status1B5!Q124="",P$7="No aplica"),0,SUM('BOULEVARD 5'!$K122:S122)-$AP429)</f>
        <v>0</v>
      </c>
      <c r="Q429" s="716">
        <f>IF(OR(status1B5!R124="",Q$7="No aplica"),0,SUM('BOULEVARD 5'!$K122:T122)-$AP429)</f>
        <v>0</v>
      </c>
      <c r="R429" s="716">
        <f>IF(OR(status1B5!S124="",R$7="No aplica"),0,SUM('BOULEVARD 5'!$K122:U122)-$AP429)</f>
        <v>-110793</v>
      </c>
      <c r="S429" s="716">
        <f>IF(OR(status1B5!T124="",S$7="No aplica"),0,SUM('BOULEVARD 5'!$K122:V122)-$AP429)</f>
        <v>-106793</v>
      </c>
      <c r="T429" s="716">
        <f>IF(OR(status1B5!U124="",T$7="No aplica"),0,SUM('BOULEVARD 5'!$K122:W122)-$AP429)</f>
        <v>-106793</v>
      </c>
      <c r="U429" s="716">
        <f>IF(OR(status1B5!V124="",U$7="No aplica"),0,SUM('BOULEVARD 5'!$K122:X122)-$AP429)</f>
        <v>-91793</v>
      </c>
      <c r="V429" s="716">
        <f>IF(OR(status1B5!W124="",V$7="No aplica"),0,SUM('BOULEVARD 5'!$K122:Y122)-$AP429)</f>
        <v>-91793</v>
      </c>
      <c r="W429" s="716">
        <f>IF(OR(status1B5!X124="",W$7="No aplica"),0,SUM('BOULEVARD 5'!$K122:Z122)-$AP429)</f>
        <v>-91793</v>
      </c>
      <c r="X429" s="716">
        <f>IF(OR(status1B5!Y124="",X$7="No aplica"),0,SUM('BOULEVARD 5'!$K122:AA122)-$AP429)</f>
        <v>-91793</v>
      </c>
      <c r="Y429" s="716">
        <f>IF(OR(status1B5!Z124="",Y$7="No aplica"),0,SUM('BOULEVARD 5'!$K122:AB122)-$AP429)</f>
        <v>-72793</v>
      </c>
      <c r="Z429" s="716">
        <f>IF(OR(status1B5!AA124="",Z$7="No aplica"),0,SUM('BOULEVARD 5'!$K122:AC122)-$AP429)</f>
        <v>-72793</v>
      </c>
      <c r="AA429" s="716">
        <f>IF(OR(status1B5!AB124="",AA$7="No aplica"),0,SUM('BOULEVARD 5'!$K122:AD122)-$AP429)</f>
        <v>-72793</v>
      </c>
      <c r="AB429" s="716">
        <f>IF(OR(status1B5!AC124="",AB$7="No aplica"),0,SUM('BOULEVARD 5'!$K122:AE122)-$AP429)</f>
        <v>-72793</v>
      </c>
      <c r="AC429" s="716">
        <f>IF(OR(status1B5!AD124="",AC$7="No aplica"),0,SUM('BOULEVARD 5'!$K122:AF122)-$AP429)</f>
        <v>-72793</v>
      </c>
      <c r="AD429" s="716">
        <f>IF(OR(status1B5!AE124="",AD$7="No aplica"),0,SUM('BOULEVARD 5'!$K122:AG122)-$AP429)</f>
        <v>-72793</v>
      </c>
      <c r="AE429" s="716">
        <f>IF(OR(status1B5!AF124="",AE$7="No aplica"),0,SUM('BOULEVARD 5'!$K122:AH122)-$AP429)</f>
        <v>-72793</v>
      </c>
      <c r="AF429" s="716">
        <f>IF(OR(status1B5!AG124="",AF$7="No aplica"),0,SUM('BOULEVARD 5'!$K122:AI122)-$AP429)</f>
        <v>-72793</v>
      </c>
      <c r="AG429" s="716">
        <f>IF(OR(status1B5!AH124="",AG$7="No aplica"),0,SUM('BOULEVARD 5'!$K122:AJ122)-$AP429)</f>
        <v>-33793</v>
      </c>
      <c r="AH429" s="716">
        <f>IF(OR(status1B5!AI124="",AH$7="No aplica"),0,SUM('BOULEVARD 5'!$K122:AK122)-$AP429)</f>
        <v>-33793</v>
      </c>
      <c r="AI429" s="716">
        <f>IF(OR(status1B5!AJ124="",AI$7="No aplica"),0,SUM('BOULEVARD 5'!$K122:AL122)-$AP429)</f>
        <v>-33793</v>
      </c>
      <c r="AJ429" s="716">
        <f>IF(OR(status1B5!AK124="",AJ$7="No aplica"),0,SUM('BOULEVARD 5'!$K122:AM122)-$AP429)</f>
        <v>-33793</v>
      </c>
      <c r="AK429" s="716">
        <f>IF(OR(status1B5!AL124="",AK$7="No aplica"),0,SUM('BOULEVARD 5'!$K122:AN122)-$AP429)</f>
        <v>-33793</v>
      </c>
      <c r="AL429" s="716">
        <f>IF(OR(status1B5!AM124="",AL$7="No aplica"),0,SUM('BOULEVARD 5'!$K122:AO122)-$AP429)</f>
        <v>-33793</v>
      </c>
      <c r="AM429" s="716">
        <f>IF(OR(status1B5!AN124="",AM$7="No aplica"),0,SUM('BOULEVARD 5'!$K122:AP122)-$AP429)</f>
        <v>-33793</v>
      </c>
      <c r="AN429" s="716">
        <f>IF(OR(status1B5!AO124="",AN$7="No aplica"),0,SUM('BOULEVARD 5'!$K122:AQ122)-$AP429)</f>
        <v>0</v>
      </c>
      <c r="AO429" s="716">
        <f>IF(OR(status1B5!AP124="",AO$7="No aplica"),0,SUM('BOULEVARD 5'!$K122:AS122)-$AP429)</f>
        <v>0</v>
      </c>
      <c r="AP429" s="717">
        <f>'BOULEVARD PPTO'!BC117</f>
        <v>118393</v>
      </c>
      <c r="AQ429" s="717">
        <f>'BOULEVARD 5'!AT122</f>
        <v>84600</v>
      </c>
      <c r="AR429" s="717">
        <f t="shared" si="104"/>
        <v>-33793</v>
      </c>
      <c r="AS429" s="717"/>
      <c r="AT429" s="581"/>
    </row>
    <row r="430" spans="1:46" ht="13.15" customHeight="1" outlineLevel="1" x14ac:dyDescent="0.25">
      <c r="A430" s="700" t="str">
        <f t="shared" si="102"/>
        <v>F&amp;F</v>
      </c>
      <c r="B430" s="564">
        <f t="shared" ref="B430:G430" si="155">B125</f>
        <v>709</v>
      </c>
      <c r="C430" s="564" t="str">
        <f t="shared" si="155"/>
        <v>C5</v>
      </c>
      <c r="D430" s="564">
        <f t="shared" si="155"/>
        <v>0</v>
      </c>
      <c r="E430" s="564" t="str">
        <f t="shared" si="155"/>
        <v>Anahí Cisneros</v>
      </c>
      <c r="F430" s="581" t="str">
        <f t="shared" si="155"/>
        <v>Manuel Lizandro Ramírez Barrios</v>
      </c>
      <c r="G430" s="566">
        <f t="shared" si="155"/>
        <v>45202</v>
      </c>
      <c r="H430" s="716">
        <f>IF(OR(status1B5!I125="",H$7="No aplica"),0,SUM('BOULEVARD 5'!$K123:K123)-$AP430)</f>
        <v>0</v>
      </c>
      <c r="I430" s="716">
        <f>IF(OR(status1B5!J125="",I$7="No aplica"),0,SUM('BOULEVARD 5'!$K123:L123)-$AP430)</f>
        <v>0</v>
      </c>
      <c r="J430" s="716">
        <f>IF(OR(status1B5!K125="",J$7="No aplica"),0,SUM('BOULEVARD 5'!$K123:M123)-$AP430)</f>
        <v>0</v>
      </c>
      <c r="K430" s="716">
        <f>IF(OR(status1B5!L125="",K$7="No aplica"),0,SUM('BOULEVARD 5'!$K123:N123)-$AP430)</f>
        <v>0</v>
      </c>
      <c r="L430" s="716">
        <f>IF(OR(status1B5!M125="",L$7="No aplica"),0,SUM('BOULEVARD 5'!$K123:O123)-$AP430)</f>
        <v>0</v>
      </c>
      <c r="M430" s="716">
        <f>IF(OR(status1B5!N125="",M$7="No aplica"),0,SUM('BOULEVARD 5'!$K123:P123)-$AP430)</f>
        <v>0</v>
      </c>
      <c r="N430" s="716">
        <f>IF(OR(status1B5!O125="",N$7="No aplica"),0,SUM('BOULEVARD 5'!$K123:Q123)-$AP430)</f>
        <v>0</v>
      </c>
      <c r="O430" s="716">
        <f>IF(OR(status1B5!P125="",O$7="No aplica"),0,SUM('BOULEVARD 5'!$K123:R123)-$AP430)</f>
        <v>0</v>
      </c>
      <c r="P430" s="716">
        <f>IF(OR(status1B5!Q125="",P$7="No aplica"),0,SUM('BOULEVARD 5'!$K123:S123)-$AP430)</f>
        <v>0</v>
      </c>
      <c r="Q430" s="716">
        <f>IF(OR(status1B5!R125="",Q$7="No aplica"),0,SUM('BOULEVARD 5'!$K123:T123)-$AP430)</f>
        <v>0</v>
      </c>
      <c r="R430" s="716">
        <f>IF(OR(status1B5!S125="",R$7="No aplica"),0,SUM('BOULEVARD 5'!$K123:U123)-$AP430)</f>
        <v>0</v>
      </c>
      <c r="S430" s="716">
        <f>IF(OR(status1B5!T125="",S$7="No aplica"),0,SUM('BOULEVARD 5'!$K123:V123)-$AP430)</f>
        <v>0</v>
      </c>
      <c r="T430" s="716">
        <f>IF(OR(status1B5!U125="",T$7="No aplica"),0,SUM('BOULEVARD 5'!$K123:W123)-$AP430)</f>
        <v>0</v>
      </c>
      <c r="U430" s="716">
        <f>IF(OR(status1B5!V125="",U$7="No aplica"),0,SUM('BOULEVARD 5'!$K123:X123)-$AP430)</f>
        <v>0</v>
      </c>
      <c r="V430" s="716">
        <f>IF(OR(status1B5!W125="",V$7="No aplica"),0,SUM('BOULEVARD 5'!$K123:Y123)-$AP430)</f>
        <v>0</v>
      </c>
      <c r="W430" s="716">
        <f>IF(OR(status1B5!X125="",W$7="No aplica"),0,SUM('BOULEVARD 5'!$K123:Z123)-$AP430)</f>
        <v>0</v>
      </c>
      <c r="X430" s="716">
        <f>IF(OR(status1B5!Y125="",X$7="No aplica"),0,SUM('BOULEVARD 5'!$K123:AA123)-$AP430)</f>
        <v>0</v>
      </c>
      <c r="Y430" s="716">
        <f>IF(OR(status1B5!Z125="",Y$7="No aplica"),0,SUM('BOULEVARD 5'!$K123:AB123)-$AP430)</f>
        <v>0</v>
      </c>
      <c r="Z430" s="716">
        <f>IF(OR(status1B5!AA125="",Z$7="No aplica"),0,SUM('BOULEVARD 5'!$K123:AC123)-$AP430)</f>
        <v>0</v>
      </c>
      <c r="AA430" s="716">
        <f>IF(OR(status1B5!AB125="",AA$7="No aplica"),0,SUM('BOULEVARD 5'!$K123:AD123)-$AP430)</f>
        <v>0</v>
      </c>
      <c r="AB430" s="716">
        <f>IF(OR(status1B5!AC125="",AB$7="No aplica"),0,SUM('BOULEVARD 5'!$K123:AE123)-$AP430)</f>
        <v>0</v>
      </c>
      <c r="AC430" s="716">
        <f>IF(OR(status1B5!AD125="",AC$7="No aplica"),0,SUM('BOULEVARD 5'!$K123:AF123)-$AP430)</f>
        <v>0</v>
      </c>
      <c r="AD430" s="716">
        <f>IF(OR(status1B5!AE125="",AD$7="No aplica"),0,SUM('BOULEVARD 5'!$K123:AG123)-$AP430)</f>
        <v>0</v>
      </c>
      <c r="AE430" s="716">
        <f>IF(OR(status1B5!AF125="",AE$7="No aplica"),0,SUM('BOULEVARD 5'!$K123:AH123)-$AP430)</f>
        <v>0</v>
      </c>
      <c r="AF430" s="716">
        <f>IF(OR(status1B5!AG125="",AF$7="No aplica"),0,SUM('BOULEVARD 5'!$K123:AI123)-$AP430)</f>
        <v>0</v>
      </c>
      <c r="AG430" s="716">
        <f>IF(OR(status1B5!AH125="",AG$7="No aplica"),0,SUM('BOULEVARD 5'!$K123:AJ123)-$AP430)</f>
        <v>0</v>
      </c>
      <c r="AH430" s="716">
        <f>IF(OR(status1B5!AI125="",AH$7="No aplica"),0,SUM('BOULEVARD 5'!$K123:AK123)-$AP430)</f>
        <v>0</v>
      </c>
      <c r="AI430" s="716">
        <f>IF(OR(status1B5!AJ125="",AI$7="No aplica"),0,SUM('BOULEVARD 5'!$K123:AL123)-$AP430)</f>
        <v>0</v>
      </c>
      <c r="AJ430" s="716">
        <f>IF(OR(status1B5!AK125="",AJ$7="No aplica"),0,SUM('BOULEVARD 5'!$K123:AM123)-$AP430)</f>
        <v>0</v>
      </c>
      <c r="AK430" s="716">
        <f>IF(OR(status1B5!AL125="",AK$7="No aplica"),0,SUM('BOULEVARD 5'!$K123:AN123)-$AP430)</f>
        <v>0</v>
      </c>
      <c r="AL430" s="716">
        <f>IF(OR(status1B5!AM125="",AL$7="No aplica"),0,SUM('BOULEVARD 5'!$K123:AO123)-$AP430)</f>
        <v>0</v>
      </c>
      <c r="AM430" s="716">
        <f>IF(OR(status1B5!AN125="",AM$7="No aplica"),0,SUM('BOULEVARD 5'!$K123:AP123)-$AP430)</f>
        <v>0</v>
      </c>
      <c r="AN430" s="716">
        <f>IF(OR(status1B5!AO125="",AN$7="No aplica"),0,SUM('BOULEVARD 5'!$K123:AQ123)-$AP430)</f>
        <v>0</v>
      </c>
      <c r="AO430" s="716">
        <f>IF(OR(status1B5!AP125="",AO$7="No aplica"),0,SUM('BOULEVARD 5'!$K123:AS123)-$AP430)</f>
        <v>0</v>
      </c>
      <c r="AP430" s="717">
        <f>'BOULEVARD PPTO'!BC118</f>
        <v>0</v>
      </c>
      <c r="AQ430" s="717">
        <f>'BOULEVARD 5'!AT123</f>
        <v>95489</v>
      </c>
      <c r="AR430" s="717">
        <f t="shared" si="104"/>
        <v>95489</v>
      </c>
      <c r="AS430" s="717"/>
      <c r="AT430" s="581"/>
    </row>
    <row r="431" spans="1:46" ht="13.15" customHeight="1" outlineLevel="1" x14ac:dyDescent="0.25">
      <c r="A431" s="700" t="str">
        <f t="shared" si="102"/>
        <v>F&amp;F</v>
      </c>
      <c r="B431" s="704">
        <f t="shared" ref="B431:G431" si="156">B126</f>
        <v>710</v>
      </c>
      <c r="C431" s="704" t="str">
        <f t="shared" si="156"/>
        <v>C6</v>
      </c>
      <c r="D431" s="704">
        <f t="shared" si="156"/>
        <v>0</v>
      </c>
      <c r="E431" s="704" t="str">
        <f t="shared" si="156"/>
        <v>Brenda Búcaro</v>
      </c>
      <c r="F431" s="705" t="str">
        <f t="shared" si="156"/>
        <v>Carlos Yon (congelado estrategia comercial)</v>
      </c>
      <c r="G431" s="566">
        <f t="shared" si="156"/>
        <v>45173</v>
      </c>
      <c r="H431" s="716">
        <f>IF(OR(status1B5!I126="",H$7="No aplica"),0,SUM('BOULEVARD 5'!$K124:K124)-$AP431)</f>
        <v>0</v>
      </c>
      <c r="I431" s="716">
        <f>IF(OR(status1B5!J126="",I$7="No aplica"),0,SUM('BOULEVARD 5'!$K124:L124)-$AP431)</f>
        <v>0</v>
      </c>
      <c r="J431" s="716">
        <f>IF(OR(status1B5!K126="",J$7="No aplica"),0,SUM('BOULEVARD 5'!$K124:M124)-$AP431)</f>
        <v>0</v>
      </c>
      <c r="K431" s="716">
        <f>IF(OR(status1B5!L126="",K$7="No aplica"),0,SUM('BOULEVARD 5'!$K124:N124)-$AP431)</f>
        <v>0</v>
      </c>
      <c r="L431" s="716">
        <f>IF(OR(status1B5!M126="",L$7="No aplica"),0,SUM('BOULEVARD 5'!$K124:O124)-$AP431)</f>
        <v>0</v>
      </c>
      <c r="M431" s="716">
        <f>IF(OR(status1B5!N126="",M$7="No aplica"),0,SUM('BOULEVARD 5'!$K124:P124)-$AP431)</f>
        <v>0</v>
      </c>
      <c r="N431" s="716">
        <f>IF(OR(status1B5!O126="",N$7="No aplica"),0,SUM('BOULEVARD 5'!$K124:Q124)-$AP431)</f>
        <v>0</v>
      </c>
      <c r="O431" s="716">
        <f>IF(OR(status1B5!P126="",O$7="No aplica"),0,SUM('BOULEVARD 5'!$K124:R124)-$AP431)</f>
        <v>0</v>
      </c>
      <c r="P431" s="716">
        <f>IF(OR(status1B5!Q126="",P$7="No aplica"),0,SUM('BOULEVARD 5'!$K124:S124)-$AP431)</f>
        <v>0</v>
      </c>
      <c r="Q431" s="716">
        <f>IF(OR(status1B5!R126="",Q$7="No aplica"),0,SUM('BOULEVARD 5'!$K124:T124)-$AP431)</f>
        <v>0</v>
      </c>
      <c r="R431" s="716">
        <f>IF(OR(status1B5!S126="",R$7="No aplica"),0,SUM('BOULEVARD 5'!$K124:U124)-$AP431)</f>
        <v>0</v>
      </c>
      <c r="S431" s="716">
        <f>IF(OR(status1B5!T126="",S$7="No aplica"),0,SUM('BOULEVARD 5'!$K124:V124)-$AP431)</f>
        <v>0</v>
      </c>
      <c r="T431" s="716">
        <f>IF(OR(status1B5!U126="",T$7="No aplica"),0,SUM('BOULEVARD 5'!$K124:W124)-$AP431)</f>
        <v>0</v>
      </c>
      <c r="U431" s="716">
        <f>IF(OR(status1B5!V126="",U$7="No aplica"),0,SUM('BOULEVARD 5'!$K124:X124)-$AP431)</f>
        <v>0</v>
      </c>
      <c r="V431" s="716">
        <f>IF(OR(status1B5!W126="",V$7="No aplica"),0,SUM('BOULEVARD 5'!$K124:Y124)-$AP431)</f>
        <v>0</v>
      </c>
      <c r="W431" s="716">
        <f>IF(OR(status1B5!X126="",W$7="No aplica"),0,SUM('BOULEVARD 5'!$K124:Z124)-$AP431)</f>
        <v>0</v>
      </c>
      <c r="X431" s="716">
        <f>IF(OR(status1B5!Y126="",X$7="No aplica"),0,SUM('BOULEVARD 5'!$K124:AA124)-$AP431)</f>
        <v>0</v>
      </c>
      <c r="Y431" s="716">
        <f>IF(OR(status1B5!Z126="",Y$7="No aplica"),0,SUM('BOULEVARD 5'!$K124:AB124)-$AP431)</f>
        <v>0</v>
      </c>
      <c r="Z431" s="716">
        <f>IF(OR(status1B5!AA126="",Z$7="No aplica"),0,SUM('BOULEVARD 5'!$K124:AC124)-$AP431)</f>
        <v>0</v>
      </c>
      <c r="AA431" s="716">
        <f>IF(OR(status1B5!AB126="",AA$7="No aplica"),0,SUM('BOULEVARD 5'!$K124:AD124)-$AP431)</f>
        <v>0</v>
      </c>
      <c r="AB431" s="716">
        <f>IF(OR(status1B5!AC126="",AB$7="No aplica"),0,SUM('BOULEVARD 5'!$K124:AE124)-$AP431)</f>
        <v>0</v>
      </c>
      <c r="AC431" s="716">
        <f>IF(OR(status1B5!AD126="",AC$7="No aplica"),0,SUM('BOULEVARD 5'!$K124:AF124)-$AP431)</f>
        <v>0</v>
      </c>
      <c r="AD431" s="716">
        <f>IF(OR(status1B5!AE126="",AD$7="No aplica"),0,SUM('BOULEVARD 5'!$K124:AG124)-$AP431)</f>
        <v>0</v>
      </c>
      <c r="AE431" s="716">
        <f>IF(OR(status1B5!AF126="",AE$7="No aplica"),0,SUM('BOULEVARD 5'!$K124:AH124)-$AP431)</f>
        <v>0</v>
      </c>
      <c r="AF431" s="716">
        <f>IF(OR(status1B5!AG126="",AF$7="No aplica"),0,SUM('BOULEVARD 5'!$K124:AI124)-$AP431)</f>
        <v>0</v>
      </c>
      <c r="AG431" s="716">
        <f>IF(OR(status1B5!AH126="",AG$7="No aplica"),0,SUM('BOULEVARD 5'!$K124:AJ124)-$AP431)</f>
        <v>0</v>
      </c>
      <c r="AH431" s="716">
        <f>IF(OR(status1B5!AI126="",AH$7="No aplica"),0,SUM('BOULEVARD 5'!$K124:AK124)-$AP431)</f>
        <v>0</v>
      </c>
      <c r="AI431" s="716">
        <f>IF(OR(status1B5!AJ126="",AI$7="No aplica"),0,SUM('BOULEVARD 5'!$K124:AL124)-$AP431)</f>
        <v>0</v>
      </c>
      <c r="AJ431" s="716">
        <f>IF(OR(status1B5!AK126="",AJ$7="No aplica"),0,SUM('BOULEVARD 5'!$K124:AM124)-$AP431)</f>
        <v>0</v>
      </c>
      <c r="AK431" s="716">
        <f>IF(OR(status1B5!AL126="",AK$7="No aplica"),0,SUM('BOULEVARD 5'!$K124:AN124)-$AP431)</f>
        <v>0</v>
      </c>
      <c r="AL431" s="716">
        <f>IF(OR(status1B5!AM126="",AL$7="No aplica"),0,SUM('BOULEVARD 5'!$K124:AO124)-$AP431)</f>
        <v>0</v>
      </c>
      <c r="AM431" s="716">
        <f>IF(OR(status1B5!AN126="",AM$7="No aplica"),0,SUM('BOULEVARD 5'!$K124:AP124)-$AP431)</f>
        <v>0</v>
      </c>
      <c r="AN431" s="716">
        <f>IF(OR(status1B5!AO126="",AN$7="No aplica"),0,SUM('BOULEVARD 5'!$K124:AQ124)-$AP431)</f>
        <v>0</v>
      </c>
      <c r="AO431" s="716">
        <f>IF(OR(status1B5!AP126="",AO$7="No aplica"),0,SUM('BOULEVARD 5'!$K124:AS124)-$AP431)</f>
        <v>0</v>
      </c>
      <c r="AP431" s="717">
        <f>'BOULEVARD PPTO'!BC119</f>
        <v>0</v>
      </c>
      <c r="AQ431" s="717">
        <f>'BOULEVARD 5'!AT124</f>
        <v>468000</v>
      </c>
      <c r="AR431" s="717">
        <f t="shared" si="104"/>
        <v>468000</v>
      </c>
      <c r="AS431" s="717"/>
      <c r="AT431" s="581"/>
    </row>
    <row r="432" spans="1:46" ht="13.15" customHeight="1" outlineLevel="1" x14ac:dyDescent="0.25">
      <c r="A432" s="700">
        <f t="shared" si="102"/>
        <v>0</v>
      </c>
      <c r="B432" s="708">
        <f t="shared" ref="B432:G432" si="157">B127</f>
        <v>711</v>
      </c>
      <c r="C432" s="564" t="str">
        <f t="shared" si="157"/>
        <v>C5</v>
      </c>
      <c r="D432" s="647" t="str">
        <f t="shared" si="157"/>
        <v>Plan de pagos especiales</v>
      </c>
      <c r="E432" s="564" t="str">
        <f t="shared" si="157"/>
        <v>Diana Alvarez</v>
      </c>
      <c r="F432" s="581" t="str">
        <f t="shared" si="157"/>
        <v>Samuel David Chavez</v>
      </c>
      <c r="G432" s="566">
        <f t="shared" si="157"/>
        <v>45770</v>
      </c>
      <c r="H432" s="716">
        <f>IF(OR(status1B5!I127="",H$7="No aplica"),0,SUM('BOULEVARD 5'!$K125:K125)-$AP432)</f>
        <v>0</v>
      </c>
      <c r="I432" s="716">
        <f>IF(OR(status1B5!J127="",I$7="No aplica"),0,SUM('BOULEVARD 5'!$K125:L125)-$AP432)</f>
        <v>0</v>
      </c>
      <c r="J432" s="716">
        <f>IF(OR(status1B5!K127="",J$7="No aplica"),0,SUM('BOULEVARD 5'!$K125:M125)-$AP432)</f>
        <v>0</v>
      </c>
      <c r="K432" s="716">
        <f>IF(OR(status1B5!L127="",K$7="No aplica"),0,SUM('BOULEVARD 5'!$K125:N125)-$AP432)</f>
        <v>0</v>
      </c>
      <c r="L432" s="716">
        <f>IF(OR(status1B5!M127="",L$7="No aplica"),0,SUM('BOULEVARD 5'!$K125:O125)-$AP432)</f>
        <v>0</v>
      </c>
      <c r="M432" s="716">
        <f>IF(OR(status1B5!N127="",M$7="No aplica"),0,SUM('BOULEVARD 5'!$K125:P125)-$AP432)</f>
        <v>0</v>
      </c>
      <c r="N432" s="716">
        <f>IF(OR(status1B5!O127="",N$7="No aplica"),0,SUM('BOULEVARD 5'!$K125:Q125)-$AP432)</f>
        <v>0</v>
      </c>
      <c r="O432" s="716">
        <f>IF(OR(status1B5!P127="",O$7="No aplica"),0,SUM('BOULEVARD 5'!$K125:R125)-$AP432)</f>
        <v>0</v>
      </c>
      <c r="P432" s="716">
        <f>IF(OR(status1B5!Q127="",P$7="No aplica"),0,SUM('BOULEVARD 5'!$K125:S125)-$AP432)</f>
        <v>0</v>
      </c>
      <c r="Q432" s="716">
        <f>IF(OR(status1B5!R127="",Q$7="No aplica"),0,SUM('BOULEVARD 5'!$K125:T125)-$AP432)</f>
        <v>0</v>
      </c>
      <c r="R432" s="716">
        <f>IF(OR(status1B5!S127="",R$7="No aplica"),0,SUM('BOULEVARD 5'!$K125:U125)-$AP432)</f>
        <v>0</v>
      </c>
      <c r="S432" s="716">
        <f>IF(OR(status1B5!T127="",S$7="No aplica"),0,SUM('BOULEVARD 5'!$K125:V125)-$AP432)</f>
        <v>0</v>
      </c>
      <c r="T432" s="716">
        <f>IF(OR(status1B5!U127="",T$7="No aplica"),0,SUM('BOULEVARD 5'!$K125:W125)-$AP432)</f>
        <v>0</v>
      </c>
      <c r="U432" s="716">
        <f>IF(OR(status1B5!V127="",U$7="No aplica"),0,SUM('BOULEVARD 5'!$K125:X125)-$AP432)</f>
        <v>0</v>
      </c>
      <c r="V432" s="716">
        <f>IF(OR(status1B5!W127="",V$7="No aplica"),0,SUM('BOULEVARD 5'!$K125:Y125)-$AP432)</f>
        <v>0</v>
      </c>
      <c r="W432" s="716">
        <f>IF(OR(status1B5!X127="",W$7="No aplica"),0,SUM('BOULEVARD 5'!$K125:Z125)-$AP432)</f>
        <v>0</v>
      </c>
      <c r="X432" s="716">
        <f>IF(OR(status1B5!Y127="",X$7="No aplica"),0,SUM('BOULEVARD 5'!$K125:AA125)-$AP432)</f>
        <v>0</v>
      </c>
      <c r="Y432" s="716">
        <f>IF(OR(status1B5!Z127="",Y$7="No aplica"),0,SUM('BOULEVARD 5'!$K125:AB125)-$AP432)</f>
        <v>0</v>
      </c>
      <c r="Z432" s="716">
        <f>IF(OR(status1B5!AA127="",Z$7="No aplica"),0,SUM('BOULEVARD 5'!$K125:AC125)-$AP432)</f>
        <v>0</v>
      </c>
      <c r="AA432" s="716">
        <f>IF(OR(status1B5!AB127="",AA$7="No aplica"),0,SUM('BOULEVARD 5'!$K125:AD125)-$AP432)</f>
        <v>0</v>
      </c>
      <c r="AB432" s="716">
        <f>IF(OR(status1B5!AC127="",AB$7="No aplica"),0,SUM('BOULEVARD 5'!$K125:AE125)-$AP432)</f>
        <v>0</v>
      </c>
      <c r="AC432" s="716">
        <f>IF(OR(status1B5!AD127="",AC$7="No aplica"),0,SUM('BOULEVARD 5'!$K125:AF125)-$AP432)</f>
        <v>0</v>
      </c>
      <c r="AD432" s="716">
        <f>IF(OR(status1B5!AE127="",AD$7="No aplica"),0,SUM('BOULEVARD 5'!$K125:AG125)-$AP432)</f>
        <v>0</v>
      </c>
      <c r="AE432" s="716">
        <f>IF(OR(status1B5!AF127="",AE$7="No aplica"),0,SUM('BOULEVARD 5'!$K125:AH125)-$AP432)</f>
        <v>0</v>
      </c>
      <c r="AF432" s="716">
        <f>IF(OR(status1B5!AG127="",AF$7="No aplica"),0,SUM('BOULEVARD 5'!$K125:AI125)-$AP432)</f>
        <v>0</v>
      </c>
      <c r="AG432" s="716">
        <f>IF(OR(status1B5!AH127="",AG$7="No aplica"),0,SUM('BOULEVARD 5'!$K125:AJ125)-$AP432)</f>
        <v>-60512.47</v>
      </c>
      <c r="AH432" s="716">
        <f>IF(OR(status1B5!AI127="",AH$7="No aplica"),0,SUM('BOULEVARD 5'!$K125:AK125)-$AP432)</f>
        <v>-60512.47</v>
      </c>
      <c r="AI432" s="716">
        <f>IF(OR(status1B5!AJ127="",AI$7="No aplica"),0,SUM('BOULEVARD 5'!$K125:AL125)-$AP432)</f>
        <v>-55512.47</v>
      </c>
      <c r="AJ432" s="716">
        <f>IF(OR(status1B5!AK127="",AJ$7="No aplica"),0,SUM('BOULEVARD 5'!$K125:AM125)-$AP432)</f>
        <v>-55512.47</v>
      </c>
      <c r="AK432" s="716">
        <f>IF(OR(status1B5!AL127="",AK$7="No aplica"),0,SUM('BOULEVARD 5'!$K125:AN125)-$AP432)</f>
        <v>-55512.47</v>
      </c>
      <c r="AL432" s="716">
        <f>IF(OR(status1B5!AM127="",AL$7="No aplica"),0,SUM('BOULEVARD 5'!$K125:AO125)-$AP432)</f>
        <v>-45512.47</v>
      </c>
      <c r="AM432" s="716">
        <f>IF(OR(status1B5!AN127="",AM$7="No aplica"),0,SUM('BOULEVARD 5'!$K125:AP125)-$AP432)</f>
        <v>-45512.47</v>
      </c>
      <c r="AN432" s="716">
        <f>IF(OR(status1B5!AO127="",AN$7="No aplica"),0,SUM('BOULEVARD 5'!$K125:AQ125)-$AP432)</f>
        <v>0</v>
      </c>
      <c r="AO432" s="716">
        <f>IF(OR(status1B5!AP127="",AO$7="No aplica"),0,SUM('BOULEVARD 5'!$K125:AS125)-$AP432)</f>
        <v>0</v>
      </c>
      <c r="AP432" s="717">
        <f>'BOULEVARD PPTO'!BC120</f>
        <v>120512.47</v>
      </c>
      <c r="AQ432" s="717">
        <f>'BOULEVARD 5'!AT125</f>
        <v>75000</v>
      </c>
      <c r="AR432" s="717">
        <f t="shared" si="104"/>
        <v>-45512.47</v>
      </c>
      <c r="AS432" s="717"/>
      <c r="AT432" s="581"/>
    </row>
    <row r="433" spans="1:46" ht="13.15" customHeight="1" outlineLevel="1" x14ac:dyDescent="0.25">
      <c r="A433" s="700">
        <f t="shared" si="102"/>
        <v>0</v>
      </c>
      <c r="B433" s="564">
        <f t="shared" ref="B433:G433" si="158">B128</f>
        <v>712</v>
      </c>
      <c r="C433" s="564" t="str">
        <f t="shared" si="158"/>
        <v>A8</v>
      </c>
      <c r="D433" s="564">
        <f t="shared" si="158"/>
        <v>0</v>
      </c>
      <c r="E433" s="564" t="str">
        <f t="shared" si="158"/>
        <v>Antonio Rada</v>
      </c>
      <c r="F433" s="581" t="str">
        <f t="shared" si="158"/>
        <v>Edgar Augusto Sepúlveda Barrera</v>
      </c>
      <c r="G433" s="566">
        <f t="shared" si="158"/>
        <v>45085</v>
      </c>
      <c r="H433" s="716">
        <f>IF(OR(status1B5!I128="",H$7="No aplica"),0,SUM('BOULEVARD 5'!$K126:K126)-$AP433)</f>
        <v>0</v>
      </c>
      <c r="I433" s="716">
        <f>IF(OR(status1B5!J128="",I$7="No aplica"),0,SUM('BOULEVARD 5'!$K126:L126)-$AP433)</f>
        <v>0</v>
      </c>
      <c r="J433" s="716">
        <f>IF(OR(status1B5!K128="",J$7="No aplica"),0,SUM('BOULEVARD 5'!$K126:M126)-$AP433)</f>
        <v>0</v>
      </c>
      <c r="K433" s="716">
        <f>IF(OR(status1B5!L128="",K$7="No aplica"),0,SUM('BOULEVARD 5'!$K126:N126)-$AP433)</f>
        <v>-64400</v>
      </c>
      <c r="L433" s="716">
        <f>IF(OR(status1B5!M128="",L$7="No aplica"),0,SUM('BOULEVARD 5'!$K126:O126)-$AP433)</f>
        <v>-62015</v>
      </c>
      <c r="M433" s="716">
        <f>IF(OR(status1B5!N128="",M$7="No aplica"),0,SUM('BOULEVARD 5'!$K126:P126)-$AP433)</f>
        <v>-59630</v>
      </c>
      <c r="N433" s="716">
        <f>IF(OR(status1B5!O128="",N$7="No aplica"),0,SUM('BOULEVARD 5'!$K126:Q126)-$AP433)</f>
        <v>-57245</v>
      </c>
      <c r="O433" s="716">
        <f>IF(OR(status1B5!P128="",O$7="No aplica"),0,SUM('BOULEVARD 5'!$K126:R126)-$AP433)</f>
        <v>-54860</v>
      </c>
      <c r="P433" s="716">
        <f>IF(OR(status1B5!Q128="",P$7="No aplica"),0,SUM('BOULEVARD 5'!$K126:S126)-$AP433)</f>
        <v>-52475</v>
      </c>
      <c r="Q433" s="716">
        <f>IF(OR(status1B5!R128="",Q$7="No aplica"),0,SUM('BOULEVARD 5'!$K126:T126)-$AP433)</f>
        <v>-50090</v>
      </c>
      <c r="R433" s="716">
        <f>IF(OR(status1B5!S128="",R$7="No aplica"),0,SUM('BOULEVARD 5'!$K126:U126)-$AP433)</f>
        <v>-47705</v>
      </c>
      <c r="S433" s="716">
        <f>IF(OR(status1B5!T128="",S$7="No aplica"),0,SUM('BOULEVARD 5'!$K126:V126)-$AP433)</f>
        <v>-45320</v>
      </c>
      <c r="T433" s="716">
        <f>IF(OR(status1B5!U128="",T$7="No aplica"),0,SUM('BOULEVARD 5'!$K126:W126)-$AP433)</f>
        <v>-42935</v>
      </c>
      <c r="U433" s="716">
        <f>IF(OR(status1B5!V128="",U$7="No aplica"),0,SUM('BOULEVARD 5'!$K126:X126)-$AP433)</f>
        <v>-40550</v>
      </c>
      <c r="V433" s="716">
        <f>IF(OR(status1B5!W128="",V$7="No aplica"),0,SUM('BOULEVARD 5'!$K126:Y126)-$AP433)</f>
        <v>-38165</v>
      </c>
      <c r="W433" s="716">
        <f>IF(OR(status1B5!X128="",W$7="No aplica"),0,SUM('BOULEVARD 5'!$K126:Z126)-$AP433)</f>
        <v>-35780</v>
      </c>
      <c r="X433" s="716">
        <f>IF(OR(status1B5!Y128="",X$7="No aplica"),0,SUM('BOULEVARD 5'!$K126:AA126)-$AP433)</f>
        <v>-33395</v>
      </c>
      <c r="Y433" s="716">
        <f>IF(OR(status1B5!Z128="",Y$7="No aplica"),0,SUM('BOULEVARD 5'!$K126:AB126)-$AP433)</f>
        <v>-31010</v>
      </c>
      <c r="Z433" s="716">
        <f>IF(OR(status1B5!AA128="",Z$7="No aplica"),0,SUM('BOULEVARD 5'!$K126:AC126)-$AP433)</f>
        <v>-28625</v>
      </c>
      <c r="AA433" s="716">
        <f>IF(OR(status1B5!AB128="",AA$7="No aplica"),0,SUM('BOULEVARD 5'!$K126:AD126)-$AP433)</f>
        <v>-26240</v>
      </c>
      <c r="AB433" s="716">
        <f>IF(OR(status1B5!AC128="",AB$7="No aplica"),0,SUM('BOULEVARD 5'!$K126:AE126)-$AP433)</f>
        <v>-23855</v>
      </c>
      <c r="AC433" s="716">
        <f>IF(OR(status1B5!AD128="",AC$7="No aplica"),0,SUM('BOULEVARD 5'!$K126:AF126)-$AP433)</f>
        <v>-21470</v>
      </c>
      <c r="AD433" s="716">
        <f>IF(OR(status1B5!AE128="",AD$7="No aplica"),0,SUM('BOULEVARD 5'!$K126:AG126)-$AP433)</f>
        <v>-19085</v>
      </c>
      <c r="AE433" s="716">
        <f>IF(OR(status1B5!AF128="",AE$7="No aplica"),0,SUM('BOULEVARD 5'!$K126:AH126)-$AP433)</f>
        <v>-16700</v>
      </c>
      <c r="AF433" s="716">
        <f>IF(OR(status1B5!AG128="",AF$7="No aplica"),0,SUM('BOULEVARD 5'!$K126:AI126)-$AP433)</f>
        <v>-14315</v>
      </c>
      <c r="AG433" s="716">
        <f>IF(OR(status1B5!AH128="",AG$7="No aplica"),0,SUM('BOULEVARD 5'!$K126:AJ126)-$AP433)</f>
        <v>-11930</v>
      </c>
      <c r="AH433" s="716">
        <f>IF(OR(status1B5!AI128="",AH$7="No aplica"),0,SUM('BOULEVARD 5'!$K126:AK126)-$AP433)</f>
        <v>-9545</v>
      </c>
      <c r="AI433" s="716">
        <f>IF(OR(status1B5!AJ128="",AI$7="No aplica"),0,SUM('BOULEVARD 5'!$K126:AL126)-$AP433)</f>
        <v>-7160</v>
      </c>
      <c r="AJ433" s="716">
        <f>IF(OR(status1B5!AK128="",AJ$7="No aplica"),0,SUM('BOULEVARD 5'!$K126:AM126)-$AP433)</f>
        <v>-4775</v>
      </c>
      <c r="AK433" s="716">
        <f>IF(OR(status1B5!AL128="",AK$7="No aplica"),0,SUM('BOULEVARD 5'!$K126:AN126)-$AP433)</f>
        <v>-2390</v>
      </c>
      <c r="AL433" s="716">
        <f>IF(OR(status1B5!AM128="",AL$7="No aplica"),0,SUM('BOULEVARD 5'!$K126:AO126)-$AP433)</f>
        <v>0</v>
      </c>
      <c r="AM433" s="716">
        <f>IF(OR(status1B5!AN128="",AM$7="No aplica"),0,SUM('BOULEVARD 5'!$K126:AP126)-$AP433)</f>
        <v>0</v>
      </c>
      <c r="AN433" s="716">
        <f>IF(OR(status1B5!AO128="",AN$7="No aplica"),0,SUM('BOULEVARD 5'!$K126:AQ126)-$AP433)</f>
        <v>0</v>
      </c>
      <c r="AO433" s="716">
        <f>IF(OR(status1B5!AP128="",AO$7="No aplica"),0,SUM('BOULEVARD 5'!$K126:AS126)-$AP433)</f>
        <v>0</v>
      </c>
      <c r="AP433" s="717">
        <f>'BOULEVARD PPTO'!BC121</f>
        <v>70400</v>
      </c>
      <c r="AQ433" s="717">
        <f>'BOULEVARD 5'!AT126</f>
        <v>70400</v>
      </c>
      <c r="AR433" s="717">
        <f t="shared" si="104"/>
        <v>0</v>
      </c>
      <c r="AS433" s="717"/>
      <c r="AT433" s="581"/>
    </row>
    <row r="434" spans="1:46" ht="13.15" customHeight="1" outlineLevel="1" x14ac:dyDescent="0.25">
      <c r="A434" s="700" t="str">
        <f t="shared" si="102"/>
        <v>CE</v>
      </c>
      <c r="B434" s="708">
        <f t="shared" ref="B434:G434" si="159">B129</f>
        <v>713</v>
      </c>
      <c r="C434" s="564" t="str">
        <f t="shared" si="159"/>
        <v>A2</v>
      </c>
      <c r="D434" s="647" t="str">
        <f t="shared" si="159"/>
        <v>Plan de pagos especiales</v>
      </c>
      <c r="E434" s="564" t="str">
        <f t="shared" si="159"/>
        <v>Antonio Rada</v>
      </c>
      <c r="F434" s="581" t="str">
        <f t="shared" si="159"/>
        <v xml:space="preserve"> Luis Alejandro Pérez Ibañez</v>
      </c>
      <c r="G434" s="566">
        <f t="shared" si="159"/>
        <v>45087</v>
      </c>
      <c r="H434" s="716">
        <f>IF(OR(status1B5!I129="",H$7="No aplica"),0,SUM('BOULEVARD 5'!$K127:K127)-$AP434)</f>
        <v>0</v>
      </c>
      <c r="I434" s="716">
        <f>IF(OR(status1B5!J129="",I$7="No aplica"),0,SUM('BOULEVARD 5'!$K127:L127)-$AP434)</f>
        <v>0</v>
      </c>
      <c r="J434" s="716">
        <f>IF(OR(status1B5!K129="",J$7="No aplica"),0,SUM('BOULEVARD 5'!$K127:M127)-$AP434)</f>
        <v>0</v>
      </c>
      <c r="K434" s="716">
        <f>IF(OR(status1B5!L129="",K$7="No aplica"),0,SUM('BOULEVARD 5'!$K127:N127)-$AP434)</f>
        <v>-62800</v>
      </c>
      <c r="L434" s="716">
        <f>IF(OR(status1B5!M129="",L$7="No aplica"),0,SUM('BOULEVARD 5'!$K127:O127)-$AP434)</f>
        <v>-60474</v>
      </c>
      <c r="M434" s="716">
        <f>IF(OR(status1B5!N129="",M$7="No aplica"),0,SUM('BOULEVARD 5'!$K127:P127)-$AP434)</f>
        <v>-58148</v>
      </c>
      <c r="N434" s="716">
        <f>IF(OR(status1B5!O129="",N$7="No aplica"),0,SUM('BOULEVARD 5'!$K127:Q127)-$AP434)</f>
        <v>-55822</v>
      </c>
      <c r="O434" s="716">
        <f>IF(OR(status1B5!P129="",O$7="No aplica"),0,SUM('BOULEVARD 5'!$K127:R127)-$AP434)</f>
        <v>-53496</v>
      </c>
      <c r="P434" s="716">
        <f>IF(OR(status1B5!Q129="",P$7="No aplica"),0,SUM('BOULEVARD 5'!$K127:S127)-$AP434)</f>
        <v>-51170</v>
      </c>
      <c r="Q434" s="716">
        <f>IF(OR(status1B5!R129="",Q$7="No aplica"),0,SUM('BOULEVARD 5'!$K127:T127)-$AP434)</f>
        <v>-48844</v>
      </c>
      <c r="R434" s="716">
        <f>IF(OR(status1B5!S129="",R$7="No aplica"),0,SUM('BOULEVARD 5'!$K127:U127)-$AP434)</f>
        <v>-46518</v>
      </c>
      <c r="S434" s="716">
        <f>IF(OR(status1B5!T129="",S$7="No aplica"),0,SUM('BOULEVARD 5'!$K127:V127)-$AP434)</f>
        <v>-45355</v>
      </c>
      <c r="T434" s="716">
        <f>IF(OR(status1B5!U129="",T$7="No aplica"),0,SUM('BOULEVARD 5'!$K127:W127)-$AP434)</f>
        <v>-41867</v>
      </c>
      <c r="U434" s="716">
        <f>IF(OR(status1B5!V129="",U$7="No aplica"),0,SUM('BOULEVARD 5'!$K127:X127)-$AP434)</f>
        <v>-41867</v>
      </c>
      <c r="V434" s="716">
        <f>IF(OR(status1B5!W129="",V$7="No aplica"),0,SUM('BOULEVARD 5'!$K127:Y127)-$AP434)</f>
        <v>-39543</v>
      </c>
      <c r="W434" s="716">
        <f>IF(OR(status1B5!X129="",W$7="No aplica"),0,SUM('BOULEVARD 5'!$K127:Z127)-$AP434)</f>
        <v>-37219</v>
      </c>
      <c r="X434" s="716">
        <f>IF(OR(status1B5!Y129="",X$7="No aplica"),0,SUM('BOULEVARD 5'!$K127:AA127)-$AP434)</f>
        <v>-34895</v>
      </c>
      <c r="Y434" s="716">
        <f>IF(OR(status1B5!Z129="",Y$7="No aplica"),0,SUM('BOULEVARD 5'!$K127:AB127)-$AP434)</f>
        <v>-32571</v>
      </c>
      <c r="Z434" s="716">
        <f>IF(OR(status1B5!AA129="",Z$7="No aplica"),0,SUM('BOULEVARD 5'!$K127:AC127)-$AP434)</f>
        <v>-30247</v>
      </c>
      <c r="AA434" s="716">
        <f>IF(OR(status1B5!AB129="",AA$7="No aplica"),0,SUM('BOULEVARD 5'!$K127:AD127)-$AP434)</f>
        <v>-27923</v>
      </c>
      <c r="AB434" s="716">
        <f>IF(OR(status1B5!AC129="",AB$7="No aplica"),0,SUM('BOULEVARD 5'!$K127:AE127)-$AP434)</f>
        <v>-27923</v>
      </c>
      <c r="AC434" s="716">
        <f>IF(OR(status1B5!AD129="",AC$7="No aplica"),0,SUM('BOULEVARD 5'!$K127:AF127)-$AP434)</f>
        <v>-24499</v>
      </c>
      <c r="AD434" s="716">
        <f>IF(OR(status1B5!AE129="",AD$7="No aplica"),0,SUM('BOULEVARD 5'!$K127:AG127)-$AP434)</f>
        <v>-22175</v>
      </c>
      <c r="AE434" s="716">
        <f>IF(OR(status1B5!AF129="",AE$7="No aplica"),0,SUM('BOULEVARD 5'!$K127:AH127)-$AP434)</f>
        <v>-22175</v>
      </c>
      <c r="AF434" s="716">
        <f>IF(OR(status1B5!AG129="",AF$7="No aplica"),0,SUM('BOULEVARD 5'!$K127:AI127)-$AP434)</f>
        <v>-19841</v>
      </c>
      <c r="AG434" s="716">
        <f>IF(OR(status1B5!AH129="",AG$7="No aplica"),0,SUM('BOULEVARD 5'!$K127:AJ127)-$AP434)</f>
        <v>-17517</v>
      </c>
      <c r="AH434" s="716">
        <f>IF(OR(status1B5!AI129="",AH$7="No aplica"),0,SUM('BOULEVARD 5'!$K127:AK127)-$AP434)</f>
        <v>-15014.57</v>
      </c>
      <c r="AI434" s="716">
        <f>IF(OR(status1B5!AJ129="",AI$7="No aplica"),0,SUM('BOULEVARD 5'!$K127:AL127)-$AP434)</f>
        <v>-12512.14</v>
      </c>
      <c r="AJ434" s="716">
        <f>IF(OR(status1B5!AK129="",AJ$7="No aplica"),0,SUM('BOULEVARD 5'!$K127:AM127)-$AP434)</f>
        <v>-10009.709999999999</v>
      </c>
      <c r="AK434" s="716">
        <f>IF(OR(status1B5!AL129="",AK$7="No aplica"),0,SUM('BOULEVARD 5'!$K127:AN127)-$AP434)</f>
        <v>-7507.2799999999988</v>
      </c>
      <c r="AL434" s="716">
        <f>IF(OR(status1B5!AM129="",AL$7="No aplica"),0,SUM('BOULEVARD 5'!$K127:AO127)-$AP434)</f>
        <v>-5004.8499999999985</v>
      </c>
      <c r="AM434" s="716">
        <f>IF(OR(status1B5!AN129="",AM$7="No aplica"),0,SUM('BOULEVARD 5'!$K127:AP127)-$AP434)</f>
        <v>-5004.8499999999985</v>
      </c>
      <c r="AN434" s="716">
        <f>IF(OR(status1B5!AO129="",AN$7="No aplica"),0,SUM('BOULEVARD 5'!$K127:AQ127)-$AP434)</f>
        <v>0</v>
      </c>
      <c r="AO434" s="716">
        <f>IF(OR(status1B5!AP129="",AO$7="No aplica"),0,SUM('BOULEVARD 5'!$K127:AS127)-$AP434)</f>
        <v>0</v>
      </c>
      <c r="AP434" s="717">
        <f>'BOULEVARD PPTO'!BC122</f>
        <v>68800</v>
      </c>
      <c r="AQ434" s="717">
        <f>'BOULEVARD 5'!AT127</f>
        <v>63795.15</v>
      </c>
      <c r="AR434" s="717">
        <f t="shared" si="104"/>
        <v>-5004.8499999999985</v>
      </c>
      <c r="AS434" s="717"/>
      <c r="AT434" s="581"/>
    </row>
    <row r="435" spans="1:46" ht="13.15" customHeight="1" outlineLevel="1" x14ac:dyDescent="0.25">
      <c r="A435" s="700">
        <f t="shared" si="102"/>
        <v>0</v>
      </c>
      <c r="B435" s="564">
        <f t="shared" ref="B435:G435" si="160">B130</f>
        <v>714</v>
      </c>
      <c r="C435" s="564" t="str">
        <f t="shared" si="160"/>
        <v>E5</v>
      </c>
      <c r="D435" s="564">
        <f t="shared" si="160"/>
        <v>0</v>
      </c>
      <c r="E435" s="564" t="str">
        <f t="shared" si="160"/>
        <v>Antonio Rada</v>
      </c>
      <c r="F435" s="581" t="str">
        <f t="shared" si="160"/>
        <v>Jose Carlos Samayoa San Jose</v>
      </c>
      <c r="G435" s="566">
        <f t="shared" si="160"/>
        <v>45393</v>
      </c>
      <c r="H435" s="716">
        <f>IF(OR(status1B5!I130="",H$7="No aplica"),0,SUM('BOULEVARD 5'!$K128:K128)-$AP435)</f>
        <v>0</v>
      </c>
      <c r="I435" s="716">
        <f>IF(OR(status1B5!J130="",I$7="No aplica"),0,SUM('BOULEVARD 5'!$K128:L128)-$AP435)</f>
        <v>0</v>
      </c>
      <c r="J435" s="716">
        <f>IF(OR(status1B5!K130="",J$7="No aplica"),0,SUM('BOULEVARD 5'!$K128:M128)-$AP435)</f>
        <v>0</v>
      </c>
      <c r="K435" s="716">
        <f>IF(OR(status1B5!L130="",K$7="No aplica"),0,SUM('BOULEVARD 5'!$K128:N128)-$AP435)</f>
        <v>0</v>
      </c>
      <c r="L435" s="716">
        <f>IF(OR(status1B5!M130="",L$7="No aplica"),0,SUM('BOULEVARD 5'!$K128:O128)-$AP435)</f>
        <v>0</v>
      </c>
      <c r="M435" s="716">
        <f>IF(OR(status1B5!N130="",M$7="No aplica"),0,SUM('BOULEVARD 5'!$K128:P128)-$AP435)</f>
        <v>0</v>
      </c>
      <c r="N435" s="716">
        <f>IF(OR(status1B5!O130="",N$7="No aplica"),0,SUM('BOULEVARD 5'!$K128:Q128)-$AP435)</f>
        <v>0</v>
      </c>
      <c r="O435" s="716">
        <f>IF(OR(status1B5!P130="",O$7="No aplica"),0,SUM('BOULEVARD 5'!$K128:R128)-$AP435)</f>
        <v>0</v>
      </c>
      <c r="P435" s="716">
        <f>IF(OR(status1B5!Q130="",P$7="No aplica"),0,SUM('BOULEVARD 5'!$K128:S128)-$AP435)</f>
        <v>0</v>
      </c>
      <c r="Q435" s="716">
        <f>IF(OR(status1B5!R130="",Q$7="No aplica"),0,SUM('BOULEVARD 5'!$K128:T128)-$AP435)</f>
        <v>0</v>
      </c>
      <c r="R435" s="716">
        <f>IF(OR(status1B5!S130="",R$7="No aplica"),0,SUM('BOULEVARD 5'!$K128:U128)-$AP435)</f>
        <v>0</v>
      </c>
      <c r="S435" s="716">
        <f>IF(OR(status1B5!T130="",S$7="No aplica"),0,SUM('BOULEVARD 5'!$K128:V128)-$AP435)</f>
        <v>0</v>
      </c>
      <c r="T435" s="716">
        <f>IF(OR(status1B5!U130="",T$7="No aplica"),0,SUM('BOULEVARD 5'!$K128:W128)-$AP435)</f>
        <v>0</v>
      </c>
      <c r="U435" s="716">
        <f>IF(OR(status1B5!V130="",U$7="No aplica"),0,SUM('BOULEVARD 5'!$K128:X128)-$AP435)</f>
        <v>-135808</v>
      </c>
      <c r="V435" s="716">
        <f>IF(OR(status1B5!W130="",V$7="No aplica"),0,SUM('BOULEVARD 5'!$K128:Y128)-$AP435)</f>
        <v>-125808</v>
      </c>
      <c r="W435" s="716">
        <f>IF(OR(status1B5!X130="",W$7="No aplica"),0,SUM('BOULEVARD 5'!$K128:Z128)-$AP435)</f>
        <v>-115808</v>
      </c>
      <c r="X435" s="716">
        <f>IF(OR(status1B5!Y130="",X$7="No aplica"),0,SUM('BOULEVARD 5'!$K128:AA128)-$AP435)</f>
        <v>-105808</v>
      </c>
      <c r="Y435" s="716">
        <f>IF(OR(status1B5!Z130="",Y$7="No aplica"),0,SUM('BOULEVARD 5'!$K128:AB128)-$AP435)</f>
        <v>-95808</v>
      </c>
      <c r="Z435" s="716">
        <f>IF(OR(status1B5!AA130="",Z$7="No aplica"),0,SUM('BOULEVARD 5'!$K128:AC128)-$AP435)</f>
        <v>-85808</v>
      </c>
      <c r="AA435" s="716">
        <f>IF(OR(status1B5!AB130="",AA$7="No aplica"),0,SUM('BOULEVARD 5'!$K128:AD128)-$AP435)</f>
        <v>-75808</v>
      </c>
      <c r="AB435" s="716">
        <f>IF(OR(status1B5!AC130="",AB$7="No aplica"),0,SUM('BOULEVARD 5'!$K128:AE128)-$AP435)</f>
        <v>-55808</v>
      </c>
      <c r="AC435" s="716">
        <f>IF(OR(status1B5!AD130="",AC$7="No aplica"),0,SUM('BOULEVARD 5'!$K128:AF128)-$AP435)</f>
        <v>-55808</v>
      </c>
      <c r="AD435" s="716">
        <f>IF(OR(status1B5!AE130="",AD$7="No aplica"),0,SUM('BOULEVARD 5'!$K128:AG128)-$AP435)</f>
        <v>-45808</v>
      </c>
      <c r="AE435" s="716">
        <f>IF(OR(status1B5!AF130="",AE$7="No aplica"),0,SUM('BOULEVARD 5'!$K128:AH128)-$AP435)</f>
        <v>-35808</v>
      </c>
      <c r="AF435" s="716">
        <f>IF(OR(status1B5!AG130="",AF$7="No aplica"),0,SUM('BOULEVARD 5'!$K128:AI128)-$AP435)</f>
        <v>-10808</v>
      </c>
      <c r="AG435" s="716">
        <f>IF(OR(status1B5!AH130="",AG$7="No aplica"),0,SUM('BOULEVARD 5'!$K128:AJ128)-$AP435)</f>
        <v>-10808</v>
      </c>
      <c r="AH435" s="716">
        <f>IF(OR(status1B5!AI130="",AH$7="No aplica"),0,SUM('BOULEVARD 5'!$K128:AK128)-$AP435)</f>
        <v>19192</v>
      </c>
      <c r="AI435" s="716">
        <f>IF(OR(status1B5!AJ130="",AI$7="No aplica"),0,SUM('BOULEVARD 5'!$K128:AL128)-$AP435)</f>
        <v>19192</v>
      </c>
      <c r="AJ435" s="716">
        <f>IF(OR(status1B5!AK130="",AJ$7="No aplica"),0,SUM('BOULEVARD 5'!$K128:AM128)-$AP435)</f>
        <v>45692</v>
      </c>
      <c r="AK435" s="716">
        <f>IF(OR(status1B5!AL130="",AK$7="No aplica"),0,SUM('BOULEVARD 5'!$K128:AN128)-$AP435)</f>
        <v>65692</v>
      </c>
      <c r="AL435" s="716">
        <f>IF(OR(status1B5!AM130="",AL$7="No aplica"),0,SUM('BOULEVARD 5'!$K128:AO128)-$AP435)</f>
        <v>85692</v>
      </c>
      <c r="AM435" s="716">
        <f>IF(OR(status1B5!AN130="",AM$7="No aplica"),0,SUM('BOULEVARD 5'!$K128:AP128)-$AP435)</f>
        <v>105692</v>
      </c>
      <c r="AN435" s="716">
        <f>IF(OR(status1B5!AO130="",AN$7="No aplica"),0,SUM('BOULEVARD 5'!$K128:AQ128)-$AP435)</f>
        <v>0</v>
      </c>
      <c r="AO435" s="716">
        <f>IF(OR(status1B5!AP130="",AO$7="No aplica"),0,SUM('BOULEVARD 5'!$K128:AS128)-$AP435)</f>
        <v>0</v>
      </c>
      <c r="AP435" s="717">
        <f>'BOULEVARD PPTO'!BC123</f>
        <v>143808</v>
      </c>
      <c r="AQ435" s="717">
        <f>'BOULEVARD 5'!AT128</f>
        <v>311500</v>
      </c>
      <c r="AR435" s="717">
        <f t="shared" si="104"/>
        <v>167692</v>
      </c>
      <c r="AS435" s="717"/>
      <c r="AT435" s="581"/>
    </row>
    <row r="436" spans="1:46" ht="13.15" customHeight="1" outlineLevel="1" x14ac:dyDescent="0.25">
      <c r="A436" s="700">
        <f t="shared" si="102"/>
        <v>0</v>
      </c>
      <c r="B436" s="564">
        <f t="shared" ref="B436:G436" si="161">B131</f>
        <v>715</v>
      </c>
      <c r="C436" s="564" t="str">
        <f t="shared" si="161"/>
        <v>A5</v>
      </c>
      <c r="D436" s="564">
        <f t="shared" si="161"/>
        <v>0</v>
      </c>
      <c r="E436" s="564" t="str">
        <f t="shared" si="161"/>
        <v>Brenda Búcaro</v>
      </c>
      <c r="F436" s="581" t="str">
        <f t="shared" si="161"/>
        <v>Cynthia Marisel Coronado Monterroso</v>
      </c>
      <c r="G436" s="566">
        <f t="shared" si="161"/>
        <v>44995</v>
      </c>
      <c r="H436" s="716">
        <f>IF(OR(status1B5!I131="",H$7="No aplica"),0,SUM('BOULEVARD 5'!$K129:K129)-$AP436)</f>
        <v>-56000</v>
      </c>
      <c r="I436" s="716">
        <f>IF(OR(status1B5!J131="",I$7="No aplica"),0,SUM('BOULEVARD 5'!$K129:L129)-$AP436)</f>
        <v>-54400</v>
      </c>
      <c r="J436" s="716">
        <f>IF(OR(status1B5!K131="",J$7="No aplica"),0,SUM('BOULEVARD 5'!$K129:M129)-$AP436)</f>
        <v>-52800</v>
      </c>
      <c r="K436" s="716">
        <f>IF(OR(status1B5!L131="",K$7="No aplica"),0,SUM('BOULEVARD 5'!$K129:N129)-$AP436)</f>
        <v>-51200</v>
      </c>
      <c r="L436" s="716">
        <f>IF(OR(status1B5!M131="",L$7="No aplica"),0,SUM('BOULEVARD 5'!$K129:O129)-$AP436)</f>
        <v>-49600</v>
      </c>
      <c r="M436" s="716">
        <f>IF(OR(status1B5!N131="",M$7="No aplica"),0,SUM('BOULEVARD 5'!$K129:P129)-$AP436)</f>
        <v>-49600</v>
      </c>
      <c r="N436" s="716">
        <f>IF(OR(status1B5!O131="",N$7="No aplica"),0,SUM('BOULEVARD 5'!$K129:Q129)-$AP436)</f>
        <v>-48000</v>
      </c>
      <c r="O436" s="716">
        <f>IF(OR(status1B5!P131="",O$7="No aplica"),0,SUM('BOULEVARD 5'!$K129:R129)-$AP436)</f>
        <v>-44800</v>
      </c>
      <c r="P436" s="716">
        <f>IF(OR(status1B5!Q131="",P$7="No aplica"),0,SUM('BOULEVARD 5'!$K129:S129)-$AP436)</f>
        <v>-43200</v>
      </c>
      <c r="Q436" s="716">
        <f>IF(OR(status1B5!R131="",Q$7="No aplica"),0,SUM('BOULEVARD 5'!$K129:T129)-$AP436)</f>
        <v>-41600</v>
      </c>
      <c r="R436" s="716">
        <f>IF(OR(status1B5!S131="",R$7="No aplica"),0,SUM('BOULEVARD 5'!$K129:U129)-$AP436)</f>
        <v>-40000</v>
      </c>
      <c r="S436" s="716">
        <f>IF(OR(status1B5!T131="",S$7="No aplica"),0,SUM('BOULEVARD 5'!$K129:V129)-$AP436)</f>
        <v>-38400</v>
      </c>
      <c r="T436" s="716">
        <f>IF(OR(status1B5!U131="",T$7="No aplica"),0,SUM('BOULEVARD 5'!$K129:W129)-$AP436)</f>
        <v>-36800</v>
      </c>
      <c r="U436" s="716">
        <f>IF(OR(status1B5!V131="",U$7="No aplica"),0,SUM('BOULEVARD 5'!$K129:X129)-$AP436)</f>
        <v>-35200</v>
      </c>
      <c r="V436" s="716">
        <f>IF(OR(status1B5!W131="",V$7="No aplica"),0,SUM('BOULEVARD 5'!$K129:Y129)-$AP436)</f>
        <v>-33600</v>
      </c>
      <c r="W436" s="716">
        <f>IF(OR(status1B5!X131="",W$7="No aplica"),0,SUM('BOULEVARD 5'!$K129:Z129)-$AP436)</f>
        <v>-32000</v>
      </c>
      <c r="X436" s="716">
        <f>IF(OR(status1B5!Y131="",X$7="No aplica"),0,SUM('BOULEVARD 5'!$K129:AA129)-$AP436)</f>
        <v>-30400</v>
      </c>
      <c r="Y436" s="716">
        <f>IF(OR(status1B5!Z131="",Y$7="No aplica"),0,SUM('BOULEVARD 5'!$K129:AB129)-$AP436)</f>
        <v>-28800</v>
      </c>
      <c r="Z436" s="716">
        <f>IF(OR(status1B5!AA131="",Z$7="No aplica"),0,SUM('BOULEVARD 5'!$K129:AC129)-$AP436)</f>
        <v>-27200</v>
      </c>
      <c r="AA436" s="716">
        <f>IF(OR(status1B5!AB131="",AA$7="No aplica"),0,SUM('BOULEVARD 5'!$K129:AD129)-$AP436)</f>
        <v>-25600</v>
      </c>
      <c r="AB436" s="716">
        <f>IF(OR(status1B5!AC131="",AB$7="No aplica"),0,SUM('BOULEVARD 5'!$K129:AE129)-$AP436)</f>
        <v>-24000</v>
      </c>
      <c r="AC436" s="716">
        <f>IF(OR(status1B5!AD131="",AC$7="No aplica"),0,SUM('BOULEVARD 5'!$K129:AF129)-$AP436)</f>
        <v>-22400</v>
      </c>
      <c r="AD436" s="716">
        <f>IF(OR(status1B5!AE131="",AD$7="No aplica"),0,SUM('BOULEVARD 5'!$K129:AG129)-$AP436)</f>
        <v>-22400</v>
      </c>
      <c r="AE436" s="716">
        <f>IF(OR(status1B5!AF131="",AE$7="No aplica"),0,SUM('BOULEVARD 5'!$K129:AH129)-$AP436)</f>
        <v>-19200</v>
      </c>
      <c r="AF436" s="716">
        <f>IF(OR(status1B5!AG131="",AF$7="No aplica"),0,SUM('BOULEVARD 5'!$K129:AI129)-$AP436)</f>
        <v>-17600</v>
      </c>
      <c r="AG436" s="716">
        <f>IF(OR(status1B5!AH131="",AG$7="No aplica"),0,SUM('BOULEVARD 5'!$K129:AJ129)-$AP436)</f>
        <v>-16000</v>
      </c>
      <c r="AH436" s="716">
        <f>IF(OR(status1B5!AI131="",AH$7="No aplica"),0,SUM('BOULEVARD 5'!$K129:AK129)-$AP436)</f>
        <v>-14400</v>
      </c>
      <c r="AI436" s="716">
        <f>IF(OR(status1B5!AJ131="",AI$7="No aplica"),0,SUM('BOULEVARD 5'!$K129:AL129)-$AP436)</f>
        <v>-12800</v>
      </c>
      <c r="AJ436" s="716">
        <f>IF(OR(status1B5!AK131="",AJ$7="No aplica"),0,SUM('BOULEVARD 5'!$K129:AM129)-$AP436)</f>
        <v>-11200</v>
      </c>
      <c r="AK436" s="716">
        <f>IF(OR(status1B5!AL131="",AK$7="No aplica"),0,SUM('BOULEVARD 5'!$K129:AN129)-$AP436)</f>
        <v>-9600</v>
      </c>
      <c r="AL436" s="716">
        <f>IF(OR(status1B5!AM131="",AL$7="No aplica"),0,SUM('BOULEVARD 5'!$K129:AO129)-$AP436)</f>
        <v>-8000</v>
      </c>
      <c r="AM436" s="716">
        <f>IF(OR(status1B5!AN131="",AM$7="No aplica"),0,SUM('BOULEVARD 5'!$K129:AP129)-$AP436)</f>
        <v>-8000</v>
      </c>
      <c r="AN436" s="716">
        <f>IF(OR(status1B5!AO131="",AN$7="No aplica"),0,SUM('BOULEVARD 5'!$K129:AQ129)-$AP436)</f>
        <v>0</v>
      </c>
      <c r="AO436" s="716">
        <f>IF(OR(status1B5!AP131="",AO$7="No aplica"),0,SUM('BOULEVARD 5'!$K129:AS129)-$AP436)</f>
        <v>0</v>
      </c>
      <c r="AP436" s="717">
        <f>'BOULEVARD PPTO'!BC124</f>
        <v>62000</v>
      </c>
      <c r="AQ436" s="717">
        <f>'BOULEVARD 5'!AT129</f>
        <v>55600</v>
      </c>
      <c r="AR436" s="717">
        <f t="shared" si="104"/>
        <v>-6400</v>
      </c>
      <c r="AS436" s="717"/>
      <c r="AT436" s="581"/>
    </row>
    <row r="437" spans="1:46" ht="13.15" customHeight="1" outlineLevel="1" x14ac:dyDescent="0.25">
      <c r="A437" s="700">
        <f t="shared" si="102"/>
        <v>0</v>
      </c>
      <c r="B437" s="564">
        <f t="shared" ref="B437:G437" si="162">B132</f>
        <v>716</v>
      </c>
      <c r="C437" s="564" t="str">
        <f t="shared" si="162"/>
        <v>B4</v>
      </c>
      <c r="D437" s="564">
        <f t="shared" si="162"/>
        <v>0</v>
      </c>
      <c r="E437" s="564" t="str">
        <f t="shared" si="162"/>
        <v>Antonio Rada</v>
      </c>
      <c r="F437" s="581" t="str">
        <f t="shared" si="162"/>
        <v>Lisvet  Maricelasance Alvarez De Giron</v>
      </c>
      <c r="G437" s="566">
        <f t="shared" si="162"/>
        <v>45306</v>
      </c>
      <c r="H437" s="716">
        <f>IF(OR(status1B5!I132="",H$7="No aplica"),0,SUM('BOULEVARD 5'!$K130:K130)-$AP437)</f>
        <v>0</v>
      </c>
      <c r="I437" s="716">
        <f>IF(OR(status1B5!J132="",I$7="No aplica"),0,SUM('BOULEVARD 5'!$K130:L130)-$AP437)</f>
        <v>0</v>
      </c>
      <c r="J437" s="716">
        <f>IF(OR(status1B5!K132="",J$7="No aplica"),0,SUM('BOULEVARD 5'!$K130:M130)-$AP437)</f>
        <v>0</v>
      </c>
      <c r="K437" s="716">
        <f>IF(OR(status1B5!L132="",K$7="No aplica"),0,SUM('BOULEVARD 5'!$K130:N130)-$AP437)</f>
        <v>0</v>
      </c>
      <c r="L437" s="716">
        <f>IF(OR(status1B5!M132="",L$7="No aplica"),0,SUM('BOULEVARD 5'!$K130:O130)-$AP437)</f>
        <v>0</v>
      </c>
      <c r="M437" s="716">
        <f>IF(OR(status1B5!N132="",M$7="No aplica"),0,SUM('BOULEVARD 5'!$K130:P130)-$AP437)</f>
        <v>0</v>
      </c>
      <c r="N437" s="716">
        <f>IF(OR(status1B5!O132="",N$7="No aplica"),0,SUM('BOULEVARD 5'!$K130:Q130)-$AP437)</f>
        <v>0</v>
      </c>
      <c r="O437" s="716">
        <f>IF(OR(status1B5!P132="",O$7="No aplica"),0,SUM('BOULEVARD 5'!$K130:R130)-$AP437)</f>
        <v>0</v>
      </c>
      <c r="P437" s="716">
        <f>IF(OR(status1B5!Q132="",P$7="No aplica"),0,SUM('BOULEVARD 5'!$K130:S130)-$AP437)</f>
        <v>0</v>
      </c>
      <c r="Q437" s="716">
        <f>IF(OR(status1B5!R132="",Q$7="No aplica"),0,SUM('BOULEVARD 5'!$K130:T130)-$AP437)</f>
        <v>0</v>
      </c>
      <c r="R437" s="716">
        <f>IF(OR(status1B5!S132="",R$7="No aplica"),0,SUM('BOULEVARD 5'!$K130:U130)-$AP437)</f>
        <v>-82200</v>
      </c>
      <c r="S437" s="716">
        <f>IF(OR(status1B5!T132="",S$7="No aplica"),0,SUM('BOULEVARD 5'!$K130:V130)-$AP437)</f>
        <v>-78090</v>
      </c>
      <c r="T437" s="716">
        <f>IF(OR(status1B5!U132="",T$7="No aplica"),0,SUM('BOULEVARD 5'!$K130:W130)-$AP437)</f>
        <v>-73980</v>
      </c>
      <c r="U437" s="716">
        <f>IF(OR(status1B5!V132="",U$7="No aplica"),0,SUM('BOULEVARD 5'!$K130:X130)-$AP437)</f>
        <v>-69870</v>
      </c>
      <c r="V437" s="716">
        <f>IF(OR(status1B5!W132="",V$7="No aplica"),0,SUM('BOULEVARD 5'!$K130:Y130)-$AP437)</f>
        <v>-65760</v>
      </c>
      <c r="W437" s="716">
        <f>IF(OR(status1B5!X132="",W$7="No aplica"),0,SUM('BOULEVARD 5'!$K130:Z130)-$AP437)</f>
        <v>-61650</v>
      </c>
      <c r="X437" s="716">
        <f>IF(OR(status1B5!Y132="",X$7="No aplica"),0,SUM('BOULEVARD 5'!$K130:AA130)-$AP437)</f>
        <v>-57550</v>
      </c>
      <c r="Y437" s="716">
        <f>IF(OR(status1B5!Z132="",Y$7="No aplica"),0,SUM('BOULEVARD 5'!$K130:AB130)-$AP437)</f>
        <v>-53450</v>
      </c>
      <c r="Z437" s="716">
        <f>IF(OR(status1B5!AA132="",Z$7="No aplica"),0,SUM('BOULEVARD 5'!$K130:AC130)-$AP437)</f>
        <v>-49350</v>
      </c>
      <c r="AA437" s="716">
        <f>IF(OR(status1B5!AB132="",AA$7="No aplica"),0,SUM('BOULEVARD 5'!$K130:AD130)-$AP437)</f>
        <v>-45250</v>
      </c>
      <c r="AB437" s="716">
        <f>IF(OR(status1B5!AC132="",AB$7="No aplica"),0,SUM('BOULEVARD 5'!$K130:AE130)-$AP437)</f>
        <v>-41150</v>
      </c>
      <c r="AC437" s="716">
        <f>IF(OR(status1B5!AD132="",AC$7="No aplica"),0,SUM('BOULEVARD 5'!$K130:AF130)-$AP437)</f>
        <v>-41150</v>
      </c>
      <c r="AD437" s="716">
        <f>IF(OR(status1B5!AE132="",AD$7="No aplica"),0,SUM('BOULEVARD 5'!$K130:AG130)-$AP437)</f>
        <v>-37050</v>
      </c>
      <c r="AE437" s="716">
        <f>IF(OR(status1B5!AF132="",AE$7="No aplica"),0,SUM('BOULEVARD 5'!$K130:AH130)-$AP437)</f>
        <v>-32950</v>
      </c>
      <c r="AF437" s="716">
        <f>IF(OR(status1B5!AG132="",AF$7="No aplica"),0,SUM('BOULEVARD 5'!$K130:AI130)-$AP437)</f>
        <v>-24750</v>
      </c>
      <c r="AG437" s="716">
        <f>IF(OR(status1B5!AH132="",AG$7="No aplica"),0,SUM('BOULEVARD 5'!$K130:AJ130)-$AP437)</f>
        <v>-20650</v>
      </c>
      <c r="AH437" s="716">
        <f>IF(OR(status1B5!AI132="",AH$7="No aplica"),0,SUM('BOULEVARD 5'!$K130:AK130)-$AP437)</f>
        <v>-16550</v>
      </c>
      <c r="AI437" s="716">
        <f>IF(OR(status1B5!AJ132="",AI$7="No aplica"),0,SUM('BOULEVARD 5'!$K130:AL130)-$AP437)</f>
        <v>-16550</v>
      </c>
      <c r="AJ437" s="716">
        <f>IF(OR(status1B5!AK132="",AJ$7="No aplica"),0,SUM('BOULEVARD 5'!$K130:AM130)-$AP437)</f>
        <v>-16550</v>
      </c>
      <c r="AK437" s="716">
        <f>IF(OR(status1B5!AL132="",AK$7="No aplica"),0,SUM('BOULEVARD 5'!$K130:AN130)-$AP437)</f>
        <v>-16550</v>
      </c>
      <c r="AL437" s="716">
        <f>IF(OR(status1B5!AM132="",AL$7="No aplica"),0,SUM('BOULEVARD 5'!$K130:AO130)-$AP437)</f>
        <v>0</v>
      </c>
      <c r="AM437" s="716">
        <f>IF(OR(status1B5!AN132="",AM$7="No aplica"),0,SUM('BOULEVARD 5'!$K130:AP130)-$AP437)</f>
        <v>0</v>
      </c>
      <c r="AN437" s="716">
        <f>IF(OR(status1B5!AO132="",AN$7="No aplica"),0,SUM('BOULEVARD 5'!$K130:AQ130)-$AP437)</f>
        <v>0</v>
      </c>
      <c r="AO437" s="716">
        <f>IF(OR(status1B5!AP132="",AO$7="No aplica"),0,SUM('BOULEVARD 5'!$K130:AS130)-$AP437)</f>
        <v>0</v>
      </c>
      <c r="AP437" s="717">
        <f>'BOULEVARD PPTO'!BC125</f>
        <v>90200</v>
      </c>
      <c r="AQ437" s="717">
        <f>'BOULEVARD 5'!AT130</f>
        <v>90200</v>
      </c>
      <c r="AR437" s="717">
        <f t="shared" si="104"/>
        <v>0</v>
      </c>
      <c r="AS437" s="717"/>
      <c r="AT437" s="581"/>
    </row>
    <row r="438" spans="1:46" ht="13.15" customHeight="1" outlineLevel="1" x14ac:dyDescent="0.25">
      <c r="A438" s="700">
        <f t="shared" si="102"/>
        <v>0</v>
      </c>
      <c r="B438" s="564">
        <f t="shared" ref="B438:G438" si="163">B133</f>
        <v>717</v>
      </c>
      <c r="C438" s="564" t="str">
        <f t="shared" si="163"/>
        <v>B3</v>
      </c>
      <c r="D438" s="564">
        <f t="shared" si="163"/>
        <v>0</v>
      </c>
      <c r="E438" s="564" t="str">
        <f t="shared" si="163"/>
        <v>Antonio Rada</v>
      </c>
      <c r="F438" s="581" t="str">
        <f t="shared" si="163"/>
        <v>Jorge Estuardo Díaz Durán Baldetti</v>
      </c>
      <c r="G438" s="566">
        <f t="shared" si="163"/>
        <v>45412</v>
      </c>
      <c r="H438" s="716">
        <f>IF(OR(status1B5!I133="",H$7="No aplica"),0,SUM('BOULEVARD 5'!$K131:K131)-$AP438)</f>
        <v>0</v>
      </c>
      <c r="I438" s="716">
        <f>IF(OR(status1B5!J133="",I$7="No aplica"),0,SUM('BOULEVARD 5'!$K131:L131)-$AP438)</f>
        <v>0</v>
      </c>
      <c r="J438" s="716">
        <f>IF(OR(status1B5!K133="",J$7="No aplica"),0,SUM('BOULEVARD 5'!$K131:M131)-$AP438)</f>
        <v>0</v>
      </c>
      <c r="K438" s="716">
        <f>IF(OR(status1B5!L133="",K$7="No aplica"),0,SUM('BOULEVARD 5'!$K131:N131)-$AP438)</f>
        <v>0</v>
      </c>
      <c r="L438" s="716">
        <f>IF(OR(status1B5!M133="",L$7="No aplica"),0,SUM('BOULEVARD 5'!$K131:O131)-$AP438)</f>
        <v>0</v>
      </c>
      <c r="M438" s="716">
        <f>IF(OR(status1B5!N133="",M$7="No aplica"),0,SUM('BOULEVARD 5'!$K131:P131)-$AP438)</f>
        <v>0</v>
      </c>
      <c r="N438" s="716">
        <f>IF(OR(status1B5!O133="",N$7="No aplica"),0,SUM('BOULEVARD 5'!$K131:Q131)-$AP438)</f>
        <v>0</v>
      </c>
      <c r="O438" s="716">
        <f>IF(OR(status1B5!P133="",O$7="No aplica"),0,SUM('BOULEVARD 5'!$K131:R131)-$AP438)</f>
        <v>0</v>
      </c>
      <c r="P438" s="716">
        <f>IF(OR(status1B5!Q133="",P$7="No aplica"),0,SUM('BOULEVARD 5'!$K131:S131)-$AP438)</f>
        <v>0</v>
      </c>
      <c r="Q438" s="716">
        <f>IF(OR(status1B5!R133="",Q$7="No aplica"),0,SUM('BOULEVARD 5'!$K131:T131)-$AP438)</f>
        <v>0</v>
      </c>
      <c r="R438" s="716">
        <f>IF(OR(status1B5!S133="",R$7="No aplica"),0,SUM('BOULEVARD 5'!$K131:U131)-$AP438)</f>
        <v>0</v>
      </c>
      <c r="S438" s="716">
        <f>IF(OR(status1B5!T133="",S$7="No aplica"),0,SUM('BOULEVARD 5'!$K131:V131)-$AP438)</f>
        <v>0</v>
      </c>
      <c r="T438" s="716">
        <f>IF(OR(status1B5!U133="",T$7="No aplica"),0,SUM('BOULEVARD 5'!$K131:W131)-$AP438)</f>
        <v>0</v>
      </c>
      <c r="U438" s="716">
        <f>IF(OR(status1B5!V133="",U$7="No aplica"),0,SUM('BOULEVARD 5'!$K131:X131)-$AP438)</f>
        <v>-80800</v>
      </c>
      <c r="V438" s="716">
        <f>IF(OR(status1B5!W133="",V$7="No aplica"),0,SUM('BOULEVARD 5'!$K131:Y131)-$AP438)</f>
        <v>-80800</v>
      </c>
      <c r="W438" s="716">
        <f>IF(OR(status1B5!X133="",W$7="No aplica"),0,SUM('BOULEVARD 5'!$K131:Z131)-$AP438)</f>
        <v>-80800</v>
      </c>
      <c r="X438" s="716">
        <f>IF(OR(status1B5!Y133="",X$7="No aplica"),0,SUM('BOULEVARD 5'!$K131:AA131)-$AP438)</f>
        <v>-76760</v>
      </c>
      <c r="Y438" s="716">
        <f>IF(OR(status1B5!Z133="",Y$7="No aplica"),0,SUM('BOULEVARD 5'!$K131:AB131)-$AP438)</f>
        <v>-72720</v>
      </c>
      <c r="Z438" s="716">
        <f>IF(OR(status1B5!AA133="",Z$7="No aplica"),0,SUM('BOULEVARD 5'!$K131:AC131)-$AP438)</f>
        <v>-68680</v>
      </c>
      <c r="AA438" s="716">
        <f>IF(OR(status1B5!AB133="",AA$7="No aplica"),0,SUM('BOULEVARD 5'!$K131:AD131)-$AP438)</f>
        <v>-64640</v>
      </c>
      <c r="AB438" s="716">
        <f>IF(OR(status1B5!AC133="",AB$7="No aplica"),0,SUM('BOULEVARD 5'!$K131:AE131)-$AP438)</f>
        <v>-60600</v>
      </c>
      <c r="AC438" s="716">
        <f>IF(OR(status1B5!AD133="",AC$7="No aplica"),0,SUM('BOULEVARD 5'!$K131:AF131)-$AP438)</f>
        <v>-56560</v>
      </c>
      <c r="AD438" s="716">
        <f>IF(OR(status1B5!AE133="",AD$7="No aplica"),0,SUM('BOULEVARD 5'!$K131:AG131)-$AP438)</f>
        <v>-52520</v>
      </c>
      <c r="AE438" s="716">
        <f>IF(OR(status1B5!AF133="",AE$7="No aplica"),0,SUM('BOULEVARD 5'!$K131:AH131)-$AP438)</f>
        <v>-48480</v>
      </c>
      <c r="AF438" s="716">
        <f>IF(OR(status1B5!AG133="",AF$7="No aplica"),0,SUM('BOULEVARD 5'!$K131:AI131)-$AP438)</f>
        <v>-44440</v>
      </c>
      <c r="AG438" s="716">
        <f>IF(OR(status1B5!AH133="",AG$7="No aplica"),0,SUM('BOULEVARD 5'!$K131:AJ131)-$AP438)</f>
        <v>-40400</v>
      </c>
      <c r="AH438" s="716">
        <f>IF(OR(status1B5!AI133="",AH$7="No aplica"),0,SUM('BOULEVARD 5'!$K131:AK131)-$AP438)</f>
        <v>-36360</v>
      </c>
      <c r="AI438" s="716">
        <f>IF(OR(status1B5!AJ133="",AI$7="No aplica"),0,SUM('BOULEVARD 5'!$K131:AL131)-$AP438)</f>
        <v>-32320</v>
      </c>
      <c r="AJ438" s="716">
        <f>IF(OR(status1B5!AK133="",AJ$7="No aplica"),0,SUM('BOULEVARD 5'!$K131:AM131)-$AP438)</f>
        <v>-28280</v>
      </c>
      <c r="AK438" s="716">
        <f>IF(OR(status1B5!AL133="",AK$7="No aplica"),0,SUM('BOULEVARD 5'!$K131:AN131)-$AP438)</f>
        <v>-24240</v>
      </c>
      <c r="AL438" s="716">
        <f>IF(OR(status1B5!AM133="",AL$7="No aplica"),0,SUM('BOULEVARD 5'!$K131:AO131)-$AP438)</f>
        <v>-20200</v>
      </c>
      <c r="AM438" s="716">
        <f>IF(OR(status1B5!AN133="",AM$7="No aplica"),0,SUM('BOULEVARD 5'!$K131:AP131)-$AP438)</f>
        <v>-16160</v>
      </c>
      <c r="AN438" s="716">
        <f>IF(OR(status1B5!AO133="",AN$7="No aplica"),0,SUM('BOULEVARD 5'!$K131:AQ131)-$AP438)</f>
        <v>0</v>
      </c>
      <c r="AO438" s="716">
        <f>IF(OR(status1B5!AP133="",AO$7="No aplica"),0,SUM('BOULEVARD 5'!$K131:AS131)-$AP438)</f>
        <v>0</v>
      </c>
      <c r="AP438" s="717">
        <f>'BOULEVARD PPTO'!BC126</f>
        <v>88800</v>
      </c>
      <c r="AQ438" s="717">
        <f>'BOULEVARD 5'!AT131</f>
        <v>125960</v>
      </c>
      <c r="AR438" s="717">
        <f t="shared" si="104"/>
        <v>37160</v>
      </c>
      <c r="AS438" s="717"/>
      <c r="AT438" s="581"/>
    </row>
    <row r="439" spans="1:46" ht="13.15" customHeight="1" outlineLevel="1" x14ac:dyDescent="0.25">
      <c r="A439" s="700">
        <f t="shared" si="102"/>
        <v>0</v>
      </c>
      <c r="B439" s="564">
        <f t="shared" ref="B439:G439" si="164">B134</f>
        <v>718</v>
      </c>
      <c r="C439" s="564" t="str">
        <f t="shared" si="164"/>
        <v>E9</v>
      </c>
      <c r="D439" s="564">
        <f t="shared" si="164"/>
        <v>0</v>
      </c>
      <c r="E439" s="564" t="str">
        <f t="shared" si="164"/>
        <v>Mario Rodriguez</v>
      </c>
      <c r="F439" s="581" t="str">
        <f t="shared" si="164"/>
        <v>Julio Fernando Flores Interiano</v>
      </c>
      <c r="G439" s="566">
        <f t="shared" si="164"/>
        <v>45902</v>
      </c>
      <c r="H439" s="716">
        <f>IF(OR(status1B5!I134="",H$7="No aplica"),0,SUM('BOULEVARD 5'!$K132:K132)-$AP439)</f>
        <v>0</v>
      </c>
      <c r="I439" s="716">
        <f>IF(OR(status1B5!J134="",I$7="No aplica"),0,SUM('BOULEVARD 5'!$K132:L132)-$AP439)</f>
        <v>0</v>
      </c>
      <c r="J439" s="716">
        <f>IF(OR(status1B5!K134="",J$7="No aplica"),0,SUM('BOULEVARD 5'!$K132:M132)-$AP439)</f>
        <v>0</v>
      </c>
      <c r="K439" s="716">
        <f>IF(OR(status1B5!L134="",K$7="No aplica"),0,SUM('BOULEVARD 5'!$K132:N132)-$AP439)</f>
        <v>0</v>
      </c>
      <c r="L439" s="716">
        <f>IF(OR(status1B5!M134="",L$7="No aplica"),0,SUM('BOULEVARD 5'!$K132:O132)-$AP439)</f>
        <v>0</v>
      </c>
      <c r="M439" s="716">
        <f>IF(OR(status1B5!N134="",M$7="No aplica"),0,SUM('BOULEVARD 5'!$K132:P132)-$AP439)</f>
        <v>0</v>
      </c>
      <c r="N439" s="716">
        <f>IF(OR(status1B5!O134="",N$7="No aplica"),0,SUM('BOULEVARD 5'!$K132:Q132)-$AP439)</f>
        <v>0</v>
      </c>
      <c r="O439" s="716">
        <f>IF(OR(status1B5!P134="",O$7="No aplica"),0,SUM('BOULEVARD 5'!$K132:R132)-$AP439)</f>
        <v>0</v>
      </c>
      <c r="P439" s="716">
        <f>IF(OR(status1B5!Q134="",P$7="No aplica"),0,SUM('BOULEVARD 5'!$K132:S132)-$AP439)</f>
        <v>0</v>
      </c>
      <c r="Q439" s="716">
        <f>IF(OR(status1B5!R134="",Q$7="No aplica"),0,SUM('BOULEVARD 5'!$K132:T132)-$AP439)</f>
        <v>0</v>
      </c>
      <c r="R439" s="716">
        <f>IF(OR(status1B5!S134="",R$7="No aplica"),0,SUM('BOULEVARD 5'!$K132:U132)-$AP439)</f>
        <v>0</v>
      </c>
      <c r="S439" s="716">
        <f>IF(OR(status1B5!T134="",S$7="No aplica"),0,SUM('BOULEVARD 5'!$K132:V132)-$AP439)</f>
        <v>0</v>
      </c>
      <c r="T439" s="716">
        <f>IF(OR(status1B5!U134="",T$7="No aplica"),0,SUM('BOULEVARD 5'!$K132:W132)-$AP439)</f>
        <v>0</v>
      </c>
      <c r="U439" s="716">
        <f>IF(OR(status1B5!V134="",U$7="No aplica"),0,SUM('BOULEVARD 5'!$K132:X132)-$AP439)</f>
        <v>0</v>
      </c>
      <c r="V439" s="716">
        <f>IF(OR(status1B5!W134="",V$7="No aplica"),0,SUM('BOULEVARD 5'!$K132:Y132)-$AP439)</f>
        <v>0</v>
      </c>
      <c r="W439" s="716">
        <f>IF(OR(status1B5!X134="",W$7="No aplica"),0,SUM('BOULEVARD 5'!$K132:Z132)-$AP439)</f>
        <v>0</v>
      </c>
      <c r="X439" s="716">
        <f>IF(OR(status1B5!Y134="",X$7="No aplica"),0,SUM('BOULEVARD 5'!$K132:AA132)-$AP439)</f>
        <v>0</v>
      </c>
      <c r="Y439" s="716">
        <f>IF(OR(status1B5!Z134="",Y$7="No aplica"),0,SUM('BOULEVARD 5'!$K132:AB132)-$AP439)</f>
        <v>0</v>
      </c>
      <c r="Z439" s="716">
        <f>IF(OR(status1B5!AA134="",Z$7="No aplica"),0,SUM('BOULEVARD 5'!$K132:AC132)-$AP439)</f>
        <v>0</v>
      </c>
      <c r="AA439" s="716">
        <f>IF(OR(status1B5!AB134="",AA$7="No aplica"),0,SUM('BOULEVARD 5'!$K132:AD132)-$AP439)</f>
        <v>0</v>
      </c>
      <c r="AB439" s="716">
        <f>IF(OR(status1B5!AC134="",AB$7="No aplica"),0,SUM('BOULEVARD 5'!$K132:AE132)-$AP439)</f>
        <v>0</v>
      </c>
      <c r="AC439" s="716">
        <f>IF(OR(status1B5!AD134="",AC$7="No aplica"),0,SUM('BOULEVARD 5'!$K132:AF132)-$AP439)</f>
        <v>0</v>
      </c>
      <c r="AD439" s="716">
        <f>IF(OR(status1B5!AE134="",AD$7="No aplica"),0,SUM('BOULEVARD 5'!$K132:AG132)-$AP439)</f>
        <v>0</v>
      </c>
      <c r="AE439" s="716">
        <f>IF(OR(status1B5!AF134="",AE$7="No aplica"),0,SUM('BOULEVARD 5'!$K132:AH132)-$AP439)</f>
        <v>0</v>
      </c>
      <c r="AF439" s="716">
        <f>IF(OR(status1B5!AG134="",AF$7="No aplica"),0,SUM('BOULEVARD 5'!$K132:AI132)-$AP439)</f>
        <v>0</v>
      </c>
      <c r="AG439" s="716">
        <f>IF(OR(status1B5!AH134="",AG$7="No aplica"),0,SUM('BOULEVARD 5'!$K132:AJ132)-$AP439)</f>
        <v>0</v>
      </c>
      <c r="AH439" s="716">
        <f>IF(OR(status1B5!AI134="",AH$7="No aplica"),0,SUM('BOULEVARD 5'!$K132:AK132)-$AP439)</f>
        <v>0</v>
      </c>
      <c r="AI439" s="716">
        <f>IF(OR(status1B5!AJ134="",AI$7="No aplica"),0,SUM('BOULEVARD 5'!$K132:AL132)-$AP439)</f>
        <v>0</v>
      </c>
      <c r="AJ439" s="716">
        <f>IF(OR(status1B5!AK134="",AJ$7="No aplica"),0,SUM('BOULEVARD 5'!$K132:AM132)-$AP439)</f>
        <v>0</v>
      </c>
      <c r="AK439" s="716">
        <f>IF(OR(status1B5!AL134="",AK$7="No aplica"),0,SUM('BOULEVARD 5'!$K132:AN132)-$AP439)</f>
        <v>0</v>
      </c>
      <c r="AL439" s="716">
        <f>IF(OR(status1B5!AM134="",AL$7="No aplica"),0,SUM('BOULEVARD 5'!$K132:AO132)-$AP439)</f>
        <v>10000</v>
      </c>
      <c r="AM439" s="716">
        <f>IF(OR(status1B5!AN134="",AM$7="No aplica"),0,SUM('BOULEVARD 5'!$K132:AP132)-$AP439)</f>
        <v>10000</v>
      </c>
      <c r="AN439" s="716">
        <f>IF(OR(status1B5!AO134="",AN$7="No aplica"),0,SUM('BOULEVARD 5'!$K132:AQ132)-$AP439)</f>
        <v>0</v>
      </c>
      <c r="AO439" s="716">
        <f>IF(OR(status1B5!AP134="",AO$7="No aplica"),0,SUM('BOULEVARD 5'!$K132:AS132)-$AP439)</f>
        <v>0</v>
      </c>
      <c r="AP439" s="717">
        <f>'BOULEVARD PPTO'!BC127</f>
        <v>0</v>
      </c>
      <c r="AQ439" s="717">
        <f>'BOULEVARD 5'!AT132</f>
        <v>10000</v>
      </c>
      <c r="AR439" s="717">
        <f t="shared" si="104"/>
        <v>10000</v>
      </c>
      <c r="AS439" s="717"/>
      <c r="AT439" s="581"/>
    </row>
    <row r="440" spans="1:46" ht="13.15" customHeight="1" outlineLevel="1" x14ac:dyDescent="0.25">
      <c r="A440" s="700">
        <f t="shared" si="102"/>
        <v>0</v>
      </c>
      <c r="B440" s="564">
        <f t="shared" ref="B440:G440" si="165">B135</f>
        <v>719</v>
      </c>
      <c r="C440" s="564" t="str">
        <f t="shared" si="165"/>
        <v>E10</v>
      </c>
      <c r="D440" s="564">
        <f t="shared" si="165"/>
        <v>0</v>
      </c>
      <c r="E440" s="564" t="str">
        <f t="shared" si="165"/>
        <v>Junta Directiva</v>
      </c>
      <c r="F440" s="581" t="str">
        <f t="shared" si="165"/>
        <v>(congelado estrategia comercial) / Mario Flores</v>
      </c>
      <c r="G440" s="566">
        <f t="shared" si="165"/>
        <v>45904</v>
      </c>
      <c r="H440" s="716">
        <f>IF(OR(status1B5!I135="",H$7="No aplica"),0,SUM('BOULEVARD 5'!$K133:K133)-$AP440)</f>
        <v>0</v>
      </c>
      <c r="I440" s="716">
        <f>IF(OR(status1B5!J135="",I$7="No aplica"),0,SUM('BOULEVARD 5'!$K133:L133)-$AP440)</f>
        <v>0</v>
      </c>
      <c r="J440" s="716">
        <f>IF(OR(status1B5!K135="",J$7="No aplica"),0,SUM('BOULEVARD 5'!$K133:M133)-$AP440)</f>
        <v>0</v>
      </c>
      <c r="K440" s="716">
        <f>IF(OR(status1B5!L135="",K$7="No aplica"),0,SUM('BOULEVARD 5'!$K133:N133)-$AP440)</f>
        <v>0</v>
      </c>
      <c r="L440" s="716">
        <f>IF(OR(status1B5!M135="",L$7="No aplica"),0,SUM('BOULEVARD 5'!$K133:O133)-$AP440)</f>
        <v>0</v>
      </c>
      <c r="M440" s="716">
        <f>IF(OR(status1B5!N135="",M$7="No aplica"),0,SUM('BOULEVARD 5'!$K133:P133)-$AP440)</f>
        <v>0</v>
      </c>
      <c r="N440" s="716">
        <f>IF(OR(status1B5!O135="",N$7="No aplica"),0,SUM('BOULEVARD 5'!$K133:Q133)-$AP440)</f>
        <v>0</v>
      </c>
      <c r="O440" s="716">
        <f>IF(OR(status1B5!P135="",O$7="No aplica"),0,SUM('BOULEVARD 5'!$K133:R133)-$AP440)</f>
        <v>0</v>
      </c>
      <c r="P440" s="716">
        <f>IF(OR(status1B5!Q135="",P$7="No aplica"),0,SUM('BOULEVARD 5'!$K133:S133)-$AP440)</f>
        <v>0</v>
      </c>
      <c r="Q440" s="716">
        <f>IF(OR(status1B5!R135="",Q$7="No aplica"),0,SUM('BOULEVARD 5'!$K133:T133)-$AP440)</f>
        <v>0</v>
      </c>
      <c r="R440" s="716">
        <f>IF(OR(status1B5!S135="",R$7="No aplica"),0,SUM('BOULEVARD 5'!$K133:U133)-$AP440)</f>
        <v>0</v>
      </c>
      <c r="S440" s="716">
        <f>IF(OR(status1B5!T135="",S$7="No aplica"),0,SUM('BOULEVARD 5'!$K133:V133)-$AP440)</f>
        <v>0</v>
      </c>
      <c r="T440" s="716">
        <f>IF(OR(status1B5!U135="",T$7="No aplica"),0,SUM('BOULEVARD 5'!$K133:W133)-$AP440)</f>
        <v>0</v>
      </c>
      <c r="U440" s="716">
        <f>IF(OR(status1B5!V135="",U$7="No aplica"),0,SUM('BOULEVARD 5'!$K133:X133)-$AP440)</f>
        <v>0</v>
      </c>
      <c r="V440" s="716">
        <f>IF(OR(status1B5!W135="",V$7="No aplica"),0,SUM('BOULEVARD 5'!$K133:Y133)-$AP440)</f>
        <v>0</v>
      </c>
      <c r="W440" s="716">
        <f>IF(OR(status1B5!X135="",W$7="No aplica"),0,SUM('BOULEVARD 5'!$K133:Z133)-$AP440)</f>
        <v>0</v>
      </c>
      <c r="X440" s="716">
        <f>IF(OR(status1B5!Y135="",X$7="No aplica"),0,SUM('BOULEVARD 5'!$K133:AA133)-$AP440)</f>
        <v>0</v>
      </c>
      <c r="Y440" s="716">
        <f>IF(OR(status1B5!Z135="",Y$7="No aplica"),0,SUM('BOULEVARD 5'!$K133:AB133)-$AP440)</f>
        <v>0</v>
      </c>
      <c r="Z440" s="716">
        <f>IF(OR(status1B5!AA135="",Z$7="No aplica"),0,SUM('BOULEVARD 5'!$K133:AC133)-$AP440)</f>
        <v>0</v>
      </c>
      <c r="AA440" s="716">
        <f>IF(OR(status1B5!AB135="",AA$7="No aplica"),0,SUM('BOULEVARD 5'!$K133:AD133)-$AP440)</f>
        <v>0</v>
      </c>
      <c r="AB440" s="716">
        <f>IF(OR(status1B5!AC135="",AB$7="No aplica"),0,SUM('BOULEVARD 5'!$K133:AE133)-$AP440)</f>
        <v>0</v>
      </c>
      <c r="AC440" s="716">
        <f>IF(OR(status1B5!AD135="",AC$7="No aplica"),0,SUM('BOULEVARD 5'!$K133:AF133)-$AP440)</f>
        <v>0</v>
      </c>
      <c r="AD440" s="716">
        <f>IF(OR(status1B5!AE135="",AD$7="No aplica"),0,SUM('BOULEVARD 5'!$K133:AG133)-$AP440)</f>
        <v>0</v>
      </c>
      <c r="AE440" s="716">
        <f>IF(OR(status1B5!AF135="",AE$7="No aplica"),0,SUM('BOULEVARD 5'!$K133:AH133)-$AP440)</f>
        <v>0</v>
      </c>
      <c r="AF440" s="716">
        <f>IF(OR(status1B5!AG135="",AF$7="No aplica"),0,SUM('BOULEVARD 5'!$K133:AI133)-$AP440)</f>
        <v>0</v>
      </c>
      <c r="AG440" s="716">
        <f>IF(OR(status1B5!AH135="",AG$7="No aplica"),0,SUM('BOULEVARD 5'!$K133:AJ133)-$AP440)</f>
        <v>0</v>
      </c>
      <c r="AH440" s="716">
        <f>IF(OR(status1B5!AI135="",AH$7="No aplica"),0,SUM('BOULEVARD 5'!$K133:AK133)-$AP440)</f>
        <v>0</v>
      </c>
      <c r="AI440" s="716">
        <f>IF(OR(status1B5!AJ135="",AI$7="No aplica"),0,SUM('BOULEVARD 5'!$K133:AL133)-$AP440)</f>
        <v>0</v>
      </c>
      <c r="AJ440" s="716">
        <f>IF(OR(status1B5!AK135="",AJ$7="No aplica"),0,SUM('BOULEVARD 5'!$K133:AM133)-$AP440)</f>
        <v>0</v>
      </c>
      <c r="AK440" s="716">
        <f>IF(OR(status1B5!AL135="",AK$7="No aplica"),0,SUM('BOULEVARD 5'!$K133:AN133)-$AP440)</f>
        <v>0</v>
      </c>
      <c r="AL440" s="716">
        <f>IF(OR(status1B5!AM135="",AL$7="No aplica"),0,SUM('BOULEVARD 5'!$K133:AO133)-$AP440)</f>
        <v>0</v>
      </c>
      <c r="AM440" s="716">
        <f>IF(OR(status1B5!AN135="",AM$7="No aplica"),0,SUM('BOULEVARD 5'!$K133:AP133)-$AP440)</f>
        <v>0</v>
      </c>
      <c r="AN440" s="716">
        <f>IF(OR(status1B5!AO135="",AN$7="No aplica"),0,SUM('BOULEVARD 5'!$K133:AQ133)-$AP440)</f>
        <v>0</v>
      </c>
      <c r="AO440" s="716">
        <f>IF(OR(status1B5!AP135="",AO$7="No aplica"),0,SUM('BOULEVARD 5'!$K133:AS133)-$AP440)</f>
        <v>0</v>
      </c>
      <c r="AP440" s="717">
        <f>'BOULEVARD PPTO'!BC128</f>
        <v>0</v>
      </c>
      <c r="AQ440" s="717">
        <f>'BOULEVARD 5'!AT133</f>
        <v>0</v>
      </c>
      <c r="AR440" s="717">
        <f t="shared" si="104"/>
        <v>0</v>
      </c>
      <c r="AS440" s="717"/>
      <c r="AT440" s="581"/>
    </row>
    <row r="441" spans="1:46" ht="13.15" customHeight="1" outlineLevel="1" x14ac:dyDescent="0.25">
      <c r="A441" s="700">
        <f t="shared" si="102"/>
        <v>0</v>
      </c>
      <c r="B441" s="564">
        <f t="shared" ref="B441:G441" si="166">B136</f>
        <v>801</v>
      </c>
      <c r="C441" s="564" t="str">
        <f t="shared" si="166"/>
        <v>C4</v>
      </c>
      <c r="D441" s="564">
        <f t="shared" si="166"/>
        <v>0</v>
      </c>
      <c r="E441" s="564" t="str">
        <f t="shared" si="166"/>
        <v>Antonio Rada</v>
      </c>
      <c r="F441" s="581" t="str">
        <f t="shared" si="166"/>
        <v>Pablo Jose Juarez Pereira</v>
      </c>
      <c r="G441" s="566">
        <f t="shared" si="166"/>
        <v>45132</v>
      </c>
      <c r="H441" s="716">
        <f>IF(OR(status1B5!I136="",H$7="No aplica"),0,SUM('BOULEVARD 5'!$K134:K134)-$AP441)</f>
        <v>0</v>
      </c>
      <c r="I441" s="716">
        <f>IF(OR(status1B5!J136="",I$7="No aplica"),0,SUM('BOULEVARD 5'!$K134:L134)-$AP441)</f>
        <v>0</v>
      </c>
      <c r="J441" s="716">
        <f>IF(OR(status1B5!K136="",J$7="No aplica"),0,SUM('BOULEVARD 5'!$K134:M134)-$AP441)</f>
        <v>0</v>
      </c>
      <c r="K441" s="716">
        <f>IF(OR(status1B5!L136="",K$7="No aplica"),0,SUM('BOULEVARD 5'!$K134:N134)-$AP441)</f>
        <v>0</v>
      </c>
      <c r="L441" s="716">
        <f>IF(OR(status1B5!M136="",L$7="No aplica"),0,SUM('BOULEVARD 5'!$K134:O134)-$AP441)</f>
        <v>-109200</v>
      </c>
      <c r="M441" s="716">
        <f>IF(OR(status1B5!N136="",M$7="No aplica"),0,SUM('BOULEVARD 5'!$K134:P134)-$AP441)</f>
        <v>-105000</v>
      </c>
      <c r="N441" s="716">
        <f>IF(OR(status1B5!O136="",N$7="No aplica"),0,SUM('BOULEVARD 5'!$K134:Q134)-$AP441)</f>
        <v>-100800</v>
      </c>
      <c r="O441" s="716">
        <f>IF(OR(status1B5!P136="",O$7="No aplica"),0,SUM('BOULEVARD 5'!$K134:R134)-$AP441)</f>
        <v>-96600</v>
      </c>
      <c r="P441" s="716">
        <f>IF(OR(status1B5!Q136="",P$7="No aplica"),0,SUM('BOULEVARD 5'!$K134:S134)-$AP441)</f>
        <v>-92400</v>
      </c>
      <c r="Q441" s="716">
        <f>IF(OR(status1B5!R136="",Q$7="No aplica"),0,SUM('BOULEVARD 5'!$K134:T134)-$AP441)</f>
        <v>-88200</v>
      </c>
      <c r="R441" s="716">
        <f>IF(OR(status1B5!S136="",R$7="No aplica"),0,SUM('BOULEVARD 5'!$K134:U134)-$AP441)</f>
        <v>-84000</v>
      </c>
      <c r="S441" s="716">
        <f>IF(OR(status1B5!T136="",S$7="No aplica"),0,SUM('BOULEVARD 5'!$K134:V134)-$AP441)</f>
        <v>-75600</v>
      </c>
      <c r="T441" s="716">
        <f>IF(OR(status1B5!U136="",T$7="No aplica"),0,SUM('BOULEVARD 5'!$K134:W134)-$AP441)</f>
        <v>-75600</v>
      </c>
      <c r="U441" s="716">
        <f>IF(OR(status1B5!V136="",U$7="No aplica"),0,SUM('BOULEVARD 5'!$K134:X134)-$AP441)</f>
        <v>-71400</v>
      </c>
      <c r="V441" s="716">
        <f>IF(OR(status1B5!W136="",V$7="No aplica"),0,SUM('BOULEVARD 5'!$K134:Y134)-$AP441)</f>
        <v>-67200</v>
      </c>
      <c r="W441" s="716">
        <f>IF(OR(status1B5!X136="",W$7="No aplica"),0,SUM('BOULEVARD 5'!$K134:Z134)-$AP441)</f>
        <v>-67200</v>
      </c>
      <c r="X441" s="716">
        <f>IF(OR(status1B5!Y136="",X$7="No aplica"),0,SUM('BOULEVARD 5'!$K134:AA134)-$AP441)</f>
        <v>-63000</v>
      </c>
      <c r="Y441" s="716">
        <f>IF(OR(status1B5!Z136="",Y$7="No aplica"),0,SUM('BOULEVARD 5'!$K134:AB134)-$AP441)</f>
        <v>-54600</v>
      </c>
      <c r="Z441" s="716">
        <f>IF(OR(status1B5!AA136="",Z$7="No aplica"),0,SUM('BOULEVARD 5'!$K134:AC134)-$AP441)</f>
        <v>-54600</v>
      </c>
      <c r="AA441" s="716">
        <f>IF(OR(status1B5!AB136="",AA$7="No aplica"),0,SUM('BOULEVARD 5'!$K134:AD134)-$AP441)</f>
        <v>-46200</v>
      </c>
      <c r="AB441" s="716">
        <f>IF(OR(status1B5!AC136="",AB$7="No aplica"),0,SUM('BOULEVARD 5'!$K134:AE134)-$AP441)</f>
        <v>-42000</v>
      </c>
      <c r="AC441" s="716">
        <f>IF(OR(status1B5!AD136="",AC$7="No aplica"),0,SUM('BOULEVARD 5'!$K134:AF134)-$AP441)</f>
        <v>-42000</v>
      </c>
      <c r="AD441" s="716">
        <f>IF(OR(status1B5!AE136="",AD$7="No aplica"),0,SUM('BOULEVARD 5'!$K134:AG134)-$AP441)</f>
        <v>-37800</v>
      </c>
      <c r="AE441" s="716">
        <f>IF(OR(status1B5!AF136="",AE$7="No aplica"),0,SUM('BOULEVARD 5'!$K134:AH134)-$AP441)</f>
        <v>-29400</v>
      </c>
      <c r="AF441" s="716">
        <f>IF(OR(status1B5!AG136="",AF$7="No aplica"),0,SUM('BOULEVARD 5'!$K134:AI134)-$AP441)</f>
        <v>-21000</v>
      </c>
      <c r="AG441" s="716">
        <f>IF(OR(status1B5!AH136="",AG$7="No aplica"),0,SUM('BOULEVARD 5'!$K134:AJ134)-$AP441)</f>
        <v>-21000</v>
      </c>
      <c r="AH441" s="716">
        <f>IF(OR(status1B5!AI136="",AH$7="No aplica"),0,SUM('BOULEVARD 5'!$K134:AK134)-$AP441)</f>
        <v>-16800</v>
      </c>
      <c r="AI441" s="716">
        <f>IF(OR(status1B5!AJ136="",AI$7="No aplica"),0,SUM('BOULEVARD 5'!$K134:AL134)-$AP441)</f>
        <v>-16800</v>
      </c>
      <c r="AJ441" s="716">
        <f>IF(OR(status1B5!AK136="",AJ$7="No aplica"),0,SUM('BOULEVARD 5'!$K134:AM134)-$AP441)</f>
        <v>-8400</v>
      </c>
      <c r="AK441" s="716">
        <f>IF(OR(status1B5!AL136="",AK$7="No aplica"),0,SUM('BOULEVARD 5'!$K134:AN134)-$AP441)</f>
        <v>0</v>
      </c>
      <c r="AL441" s="716">
        <f>IF(OR(status1B5!AM136="",AL$7="No aplica"),0,SUM('BOULEVARD 5'!$K134:AO134)-$AP441)</f>
        <v>0</v>
      </c>
      <c r="AM441" s="716">
        <f>IF(OR(status1B5!AN136="",AM$7="No aplica"),0,SUM('BOULEVARD 5'!$K134:AP134)-$AP441)</f>
        <v>0</v>
      </c>
      <c r="AN441" s="716">
        <f>IF(OR(status1B5!AO136="",AN$7="No aplica"),0,SUM('BOULEVARD 5'!$K134:AQ134)-$AP441)</f>
        <v>0</v>
      </c>
      <c r="AO441" s="716">
        <f>IF(OR(status1B5!AP136="",AO$7="No aplica"),0,SUM('BOULEVARD 5'!$K134:AS134)-$AP441)</f>
        <v>0</v>
      </c>
      <c r="AP441" s="717">
        <f>'BOULEVARD PPTO'!BC129</f>
        <v>115200</v>
      </c>
      <c r="AQ441" s="717">
        <f>'BOULEVARD 5'!AT134</f>
        <v>115200</v>
      </c>
      <c r="AR441" s="717">
        <f t="shared" si="104"/>
        <v>0</v>
      </c>
      <c r="AS441" s="717"/>
      <c r="AT441" s="581"/>
    </row>
    <row r="442" spans="1:46" ht="13.15" customHeight="1" outlineLevel="1" x14ac:dyDescent="0.25">
      <c r="A442" s="700">
        <f t="shared" si="102"/>
        <v>0</v>
      </c>
      <c r="B442" s="564">
        <f t="shared" ref="B442:G442" si="167">B137</f>
        <v>802</v>
      </c>
      <c r="C442" s="564" t="str">
        <f t="shared" si="167"/>
        <v>C1</v>
      </c>
      <c r="D442" s="564">
        <f t="shared" si="167"/>
        <v>0</v>
      </c>
      <c r="E442" s="564" t="str">
        <f t="shared" si="167"/>
        <v>Brenda Búcaro</v>
      </c>
      <c r="F442" s="581" t="str">
        <f t="shared" si="167"/>
        <v>Carmen Julia Soto Baechli De Hicks</v>
      </c>
      <c r="G442" s="566">
        <f t="shared" si="167"/>
        <v>45087</v>
      </c>
      <c r="H442" s="716">
        <f>IF(OR(status1B5!I137="",H$7="No aplica"),0,SUM('BOULEVARD 5'!$K135:K135)-$AP442)</f>
        <v>0</v>
      </c>
      <c r="I442" s="716">
        <f>IF(OR(status1B5!J137="",I$7="No aplica"),0,SUM('BOULEVARD 5'!$K135:L135)-$AP442)</f>
        <v>0</v>
      </c>
      <c r="J442" s="716">
        <f>IF(OR(status1B5!K137="",J$7="No aplica"),0,SUM('BOULEVARD 5'!$K135:M135)-$AP442)</f>
        <v>0</v>
      </c>
      <c r="K442" s="716">
        <f>IF(OR(status1B5!L137="",K$7="No aplica"),0,SUM('BOULEVARD 5'!$K135:N135)-$AP442)</f>
        <v>-110700</v>
      </c>
      <c r="L442" s="716">
        <f>IF(OR(status1B5!M137="",L$7="No aplica"),0,SUM('BOULEVARD 5'!$K135:O135)-$AP442)</f>
        <v>-110700</v>
      </c>
      <c r="M442" s="716">
        <f>IF(OR(status1B5!N137="",M$7="No aplica"),0,SUM('BOULEVARD 5'!$K135:P135)-$AP442)</f>
        <v>-102500</v>
      </c>
      <c r="N442" s="716">
        <f>IF(OR(status1B5!O137="",N$7="No aplica"),0,SUM('BOULEVARD 5'!$K135:Q135)-$AP442)</f>
        <v>-98400</v>
      </c>
      <c r="O442" s="716">
        <f>IF(OR(status1B5!P137="",O$7="No aplica"),0,SUM('BOULEVARD 5'!$K135:R135)-$AP442)</f>
        <v>-94300</v>
      </c>
      <c r="P442" s="716">
        <f>IF(OR(status1B5!Q137="",P$7="No aplica"),0,SUM('BOULEVARD 5'!$K135:S135)-$AP442)</f>
        <v>-90200</v>
      </c>
      <c r="Q442" s="716">
        <f>IF(OR(status1B5!R137="",Q$7="No aplica"),0,SUM('BOULEVARD 5'!$K135:T135)-$AP442)</f>
        <v>-86100</v>
      </c>
      <c r="R442" s="716">
        <f>IF(OR(status1B5!S137="",R$7="No aplica"),0,SUM('BOULEVARD 5'!$K135:U135)-$AP442)</f>
        <v>-82000</v>
      </c>
      <c r="S442" s="716">
        <f>IF(OR(status1B5!T137="",S$7="No aplica"),0,SUM('BOULEVARD 5'!$K135:V135)-$AP442)</f>
        <v>-77900</v>
      </c>
      <c r="T442" s="716">
        <f>IF(OR(status1B5!U137="",T$7="No aplica"),0,SUM('BOULEVARD 5'!$K135:W135)-$AP442)</f>
        <v>-73800</v>
      </c>
      <c r="U442" s="716">
        <f>IF(OR(status1B5!V137="",U$7="No aplica"),0,SUM('BOULEVARD 5'!$K135:X135)-$AP442)</f>
        <v>-69700</v>
      </c>
      <c r="V442" s="716">
        <f>IF(OR(status1B5!W137="",V$7="No aplica"),0,SUM('BOULEVARD 5'!$K135:Y135)-$AP442)</f>
        <v>-65600</v>
      </c>
      <c r="W442" s="716">
        <f>IF(OR(status1B5!X137="",W$7="No aplica"),0,SUM('BOULEVARD 5'!$K135:Z135)-$AP442)</f>
        <v>-61500</v>
      </c>
      <c r="X442" s="716">
        <f>IF(OR(status1B5!Y137="",X$7="No aplica"),0,SUM('BOULEVARD 5'!$K135:AA135)-$AP442)</f>
        <v>-57400</v>
      </c>
      <c r="Y442" s="716">
        <f>IF(OR(status1B5!Z137="",Y$7="No aplica"),0,SUM('BOULEVARD 5'!$K135:AB135)-$AP442)</f>
        <v>-53300</v>
      </c>
      <c r="Z442" s="716">
        <f>IF(OR(status1B5!AA137="",Z$7="No aplica"),0,SUM('BOULEVARD 5'!$K135:AC135)-$AP442)</f>
        <v>-49200</v>
      </c>
      <c r="AA442" s="716">
        <f>IF(OR(status1B5!AB137="",AA$7="No aplica"),0,SUM('BOULEVARD 5'!$K135:AD135)-$AP442)</f>
        <v>-45100</v>
      </c>
      <c r="AB442" s="716">
        <f>IF(OR(status1B5!AC137="",AB$7="No aplica"),0,SUM('BOULEVARD 5'!$K135:AE135)-$AP442)</f>
        <v>-41000</v>
      </c>
      <c r="AC442" s="716">
        <f>IF(OR(status1B5!AD137="",AC$7="No aplica"),0,SUM('BOULEVARD 5'!$K135:AF135)-$AP442)</f>
        <v>-36900</v>
      </c>
      <c r="AD442" s="716">
        <f>IF(OR(status1B5!AE137="",AD$7="No aplica"),0,SUM('BOULEVARD 5'!$K135:AG135)-$AP442)</f>
        <v>-32800</v>
      </c>
      <c r="AE442" s="716">
        <f>IF(OR(status1B5!AF137="",AE$7="No aplica"),0,SUM('BOULEVARD 5'!$K135:AH135)-$AP442)</f>
        <v>-28700</v>
      </c>
      <c r="AF442" s="716">
        <f>IF(OR(status1B5!AG137="",AF$7="No aplica"),0,SUM('BOULEVARD 5'!$K135:AI135)-$AP442)</f>
        <v>-24600</v>
      </c>
      <c r="AG442" s="716">
        <f>IF(OR(status1B5!AH137="",AG$7="No aplica"),0,SUM('BOULEVARD 5'!$K135:AJ135)-$AP442)</f>
        <v>-20500</v>
      </c>
      <c r="AH442" s="716">
        <f>IF(OR(status1B5!AI137="",AH$7="No aplica"),0,SUM('BOULEVARD 5'!$K135:AK135)-$AP442)</f>
        <v>-16400</v>
      </c>
      <c r="AI442" s="716">
        <f>IF(OR(status1B5!AJ137="",AI$7="No aplica"),0,SUM('BOULEVARD 5'!$K135:AL135)-$AP442)</f>
        <v>-12300</v>
      </c>
      <c r="AJ442" s="716">
        <f>IF(OR(status1B5!AK137="",AJ$7="No aplica"),0,SUM('BOULEVARD 5'!$K135:AM135)-$AP442)</f>
        <v>-8200</v>
      </c>
      <c r="AK442" s="716">
        <f>IF(OR(status1B5!AL137="",AK$7="No aplica"),0,SUM('BOULEVARD 5'!$K135:AN135)-$AP442)</f>
        <v>-4100</v>
      </c>
      <c r="AL442" s="716">
        <f>IF(OR(status1B5!AM137="",AL$7="No aplica"),0,SUM('BOULEVARD 5'!$K135:AO135)-$AP442)</f>
        <v>0</v>
      </c>
      <c r="AM442" s="716">
        <f>IF(OR(status1B5!AN137="",AM$7="No aplica"),0,SUM('BOULEVARD 5'!$K135:AP135)-$AP442)</f>
        <v>4100</v>
      </c>
      <c r="AN442" s="716">
        <f>IF(OR(status1B5!AO137="",AN$7="No aplica"),0,SUM('BOULEVARD 5'!$K135:AQ135)-$AP442)</f>
        <v>0</v>
      </c>
      <c r="AO442" s="716">
        <f>IF(OR(status1B5!AP137="",AO$7="No aplica"),0,SUM('BOULEVARD 5'!$K135:AS135)-$AP442)</f>
        <v>0</v>
      </c>
      <c r="AP442" s="717">
        <f>'BOULEVARD PPTO'!BC130</f>
        <v>116700</v>
      </c>
      <c r="AQ442" s="717">
        <f>'BOULEVARD 5'!AT135</f>
        <v>133100</v>
      </c>
      <c r="AR442" s="717">
        <f t="shared" si="104"/>
        <v>16400</v>
      </c>
      <c r="AS442" s="717"/>
      <c r="AT442" s="581"/>
    </row>
    <row r="443" spans="1:46" ht="13.15" customHeight="1" outlineLevel="1" x14ac:dyDescent="0.25">
      <c r="A443" s="700">
        <f t="shared" ref="A443:A506" si="168">A138</f>
        <v>0</v>
      </c>
      <c r="B443" s="564">
        <f t="shared" ref="B443:G443" si="169">B138</f>
        <v>803</v>
      </c>
      <c r="C443" s="564" t="str">
        <f t="shared" si="169"/>
        <v>A8</v>
      </c>
      <c r="D443" s="564">
        <f t="shared" si="169"/>
        <v>0</v>
      </c>
      <c r="E443" s="564" t="str">
        <f t="shared" si="169"/>
        <v>Brenda Búcaro</v>
      </c>
      <c r="F443" s="581" t="str">
        <f t="shared" si="169"/>
        <v>Mauricio Antonio Leon Tres</v>
      </c>
      <c r="G443" s="566">
        <f t="shared" si="169"/>
        <v>45007</v>
      </c>
      <c r="H443" s="716">
        <f>IF(OR(status1B5!I138="",H$7="No aplica"),0,SUM('BOULEVARD 5'!$K136:K136)-$AP443)</f>
        <v>-60100</v>
      </c>
      <c r="I443" s="716">
        <f>IF(OR(status1B5!J138="",I$7="No aplica"),0,SUM('BOULEVARD 5'!$K136:L136)-$AP443)</f>
        <v>-58375</v>
      </c>
      <c r="J443" s="716">
        <f>IF(OR(status1B5!K138="",J$7="No aplica"),0,SUM('BOULEVARD 5'!$K136:M136)-$AP443)</f>
        <v>-56650</v>
      </c>
      <c r="K443" s="716">
        <f>IF(OR(status1B5!L138="",K$7="No aplica"),0,SUM('BOULEVARD 5'!$K136:N136)-$AP443)</f>
        <v>-54925</v>
      </c>
      <c r="L443" s="716">
        <f>IF(OR(status1B5!M138="",L$7="No aplica"),0,SUM('BOULEVARD 5'!$K136:O136)-$AP443)</f>
        <v>-53225</v>
      </c>
      <c r="M443" s="716">
        <f>IF(OR(status1B5!N138="",M$7="No aplica"),0,SUM('BOULEVARD 5'!$K136:P136)-$AP443)</f>
        <v>-51525</v>
      </c>
      <c r="N443" s="716">
        <f>IF(OR(status1B5!O138="",N$7="No aplica"),0,SUM('BOULEVARD 5'!$K136:Q136)-$AP443)</f>
        <v>-49825</v>
      </c>
      <c r="O443" s="716">
        <f>IF(OR(status1B5!P138="",O$7="No aplica"),0,SUM('BOULEVARD 5'!$K136:R136)-$AP443)</f>
        <v>-48125</v>
      </c>
      <c r="P443" s="716">
        <f>IF(OR(status1B5!Q138="",P$7="No aplica"),0,SUM('BOULEVARD 5'!$K136:S136)-$AP443)</f>
        <v>-46425</v>
      </c>
      <c r="Q443" s="716">
        <f>IF(OR(status1B5!R138="",Q$7="No aplica"),0,SUM('BOULEVARD 5'!$K136:T136)-$AP443)</f>
        <v>-44725</v>
      </c>
      <c r="R443" s="716">
        <f>IF(OR(status1B5!S138="",R$7="No aplica"),0,SUM('BOULEVARD 5'!$K136:U136)-$AP443)</f>
        <v>-43025</v>
      </c>
      <c r="S443" s="716">
        <f>IF(OR(status1B5!T138="",S$7="No aplica"),0,SUM('BOULEVARD 5'!$K136:V136)-$AP443)</f>
        <v>-41325</v>
      </c>
      <c r="T443" s="716">
        <f>IF(OR(status1B5!U138="",T$7="No aplica"),0,SUM('BOULEVARD 5'!$K136:W136)-$AP443)</f>
        <v>-39625</v>
      </c>
      <c r="U443" s="716">
        <f>IF(OR(status1B5!V138="",U$7="No aplica"),0,SUM('BOULEVARD 5'!$K136:X136)-$AP443)</f>
        <v>-37925</v>
      </c>
      <c r="V443" s="716">
        <f>IF(OR(status1B5!W138="",V$7="No aplica"),0,SUM('BOULEVARD 5'!$K136:Y136)-$AP443)</f>
        <v>-37925</v>
      </c>
      <c r="W443" s="716">
        <f>IF(OR(status1B5!X138="",W$7="No aplica"),0,SUM('BOULEVARD 5'!$K136:Z136)-$AP443)</f>
        <v>-36225</v>
      </c>
      <c r="X443" s="716">
        <f>IF(OR(status1B5!Y138="",X$7="No aplica"),0,SUM('BOULEVARD 5'!$K136:AA136)-$AP443)</f>
        <v>-32825</v>
      </c>
      <c r="Y443" s="716">
        <f>IF(OR(status1B5!Z138="",Y$7="No aplica"),0,SUM('BOULEVARD 5'!$K136:AB136)-$AP443)</f>
        <v>-31125</v>
      </c>
      <c r="Z443" s="716">
        <f>IF(OR(status1B5!AA138="",Z$7="No aplica"),0,SUM('BOULEVARD 5'!$K136:AC136)-$AP443)</f>
        <v>-29425</v>
      </c>
      <c r="AA443" s="716">
        <f>IF(OR(status1B5!AB138="",AA$7="No aplica"),0,SUM('BOULEVARD 5'!$K136:AD136)-$AP443)</f>
        <v>-27725</v>
      </c>
      <c r="AB443" s="716">
        <f>IF(OR(status1B5!AC138="",AB$7="No aplica"),0,SUM('BOULEVARD 5'!$K136:AE136)-$AP443)</f>
        <v>-26025</v>
      </c>
      <c r="AC443" s="716">
        <f>IF(OR(status1B5!AD138="",AC$7="No aplica"),0,SUM('BOULEVARD 5'!$K136:AF136)-$AP443)</f>
        <v>-26025</v>
      </c>
      <c r="AD443" s="716">
        <f>IF(OR(status1B5!AE138="",AD$7="No aplica"),0,SUM('BOULEVARD 5'!$K136:AG136)-$AP443)</f>
        <v>-24325</v>
      </c>
      <c r="AE443" s="716">
        <f>IF(OR(status1B5!AF138="",AE$7="No aplica"),0,SUM('BOULEVARD 5'!$K136:AH136)-$AP443)</f>
        <v>-22625</v>
      </c>
      <c r="AF443" s="716">
        <f>IF(OR(status1B5!AG138="",AF$7="No aplica"),0,SUM('BOULEVARD 5'!$K136:AI136)-$AP443)</f>
        <v>-19225</v>
      </c>
      <c r="AG443" s="716">
        <f>IF(OR(status1B5!AH138="",AG$7="No aplica"),0,SUM('BOULEVARD 5'!$K136:AJ136)-$AP443)</f>
        <v>-17525</v>
      </c>
      <c r="AH443" s="716">
        <f>IF(OR(status1B5!AI138="",AH$7="No aplica"),0,SUM('BOULEVARD 5'!$K136:AK136)-$AP443)</f>
        <v>-17525</v>
      </c>
      <c r="AI443" s="716">
        <f>IF(OR(status1B5!AJ138="",AI$7="No aplica"),0,SUM('BOULEVARD 5'!$K136:AL136)-$AP443)</f>
        <v>-14125</v>
      </c>
      <c r="AJ443" s="716">
        <f>IF(OR(status1B5!AK138="",AJ$7="No aplica"),0,SUM('BOULEVARD 5'!$K136:AM136)-$AP443)</f>
        <v>-14125</v>
      </c>
      <c r="AK443" s="716">
        <f>IF(OR(status1B5!AL138="",AK$7="No aplica"),0,SUM('BOULEVARD 5'!$K136:AN136)-$AP443)</f>
        <v>-10725</v>
      </c>
      <c r="AL443" s="716">
        <f>IF(OR(status1B5!AM138="",AL$7="No aplica"),0,SUM('BOULEVARD 5'!$K136:AO136)-$AP443)</f>
        <v>-9025</v>
      </c>
      <c r="AM443" s="716">
        <f>IF(OR(status1B5!AN138="",AM$7="No aplica"),0,SUM('BOULEVARD 5'!$K136:AP136)-$AP443)</f>
        <v>-9025</v>
      </c>
      <c r="AN443" s="716">
        <f>IF(OR(status1B5!AO138="",AN$7="No aplica"),0,SUM('BOULEVARD 5'!$K136:AQ136)-$AP443)</f>
        <v>0</v>
      </c>
      <c r="AO443" s="716">
        <f>IF(OR(status1B5!AP138="",AO$7="No aplica"),0,SUM('BOULEVARD 5'!$K136:AS136)-$AP443)</f>
        <v>0</v>
      </c>
      <c r="AP443" s="717">
        <f>'BOULEVARD PPTO'!BC131</f>
        <v>66100</v>
      </c>
      <c r="AQ443" s="717">
        <f>'BOULEVARD 5'!AT136</f>
        <v>60475</v>
      </c>
      <c r="AR443" s="717">
        <f t="shared" ref="AR443:AR506" si="170">AQ443-AP443</f>
        <v>-5625</v>
      </c>
      <c r="AS443" s="717"/>
      <c r="AT443" s="581"/>
    </row>
    <row r="444" spans="1:46" ht="13.15" customHeight="1" outlineLevel="1" x14ac:dyDescent="0.25">
      <c r="A444" s="700">
        <f t="shared" si="168"/>
        <v>0</v>
      </c>
      <c r="B444" s="564">
        <f t="shared" ref="B444:G444" si="171">B139</f>
        <v>804</v>
      </c>
      <c r="C444" s="564" t="str">
        <f t="shared" si="171"/>
        <v>A1</v>
      </c>
      <c r="D444" s="564">
        <f t="shared" si="171"/>
        <v>0</v>
      </c>
      <c r="E444" s="564" t="str">
        <f t="shared" si="171"/>
        <v>Brenda Búcaro</v>
      </c>
      <c r="F444" s="581" t="str">
        <f t="shared" si="171"/>
        <v>Victor Hugo Caceres Morales</v>
      </c>
      <c r="G444" s="566">
        <f t="shared" si="171"/>
        <v>45090</v>
      </c>
      <c r="H444" s="716">
        <f>IF(OR(status1B5!I139="",H$7="No aplica"),0,SUM('BOULEVARD 5'!$K137:K137)-$AP444)</f>
        <v>0</v>
      </c>
      <c r="I444" s="716">
        <f>IF(OR(status1B5!J139="",I$7="No aplica"),0,SUM('BOULEVARD 5'!$K137:L137)-$AP444)</f>
        <v>0</v>
      </c>
      <c r="J444" s="716">
        <f>IF(OR(status1B5!K139="",J$7="No aplica"),0,SUM('BOULEVARD 5'!$K137:M137)-$AP444)</f>
        <v>0</v>
      </c>
      <c r="K444" s="716">
        <f>IF(OR(status1B5!L139="",K$7="No aplica"),0,SUM('BOULEVARD 5'!$K137:N137)-$AP444)</f>
        <v>-64300</v>
      </c>
      <c r="L444" s="716">
        <f>IF(OR(status1B5!M139="",L$7="No aplica"),0,SUM('BOULEVARD 5'!$K137:O137)-$AP444)</f>
        <v>-62800</v>
      </c>
      <c r="M444" s="716">
        <f>IF(OR(status1B5!N139="",M$7="No aplica"),0,SUM('BOULEVARD 5'!$K137:P137)-$AP444)</f>
        <v>-61300</v>
      </c>
      <c r="N444" s="716">
        <f>IF(OR(status1B5!O139="",N$7="No aplica"),0,SUM('BOULEVARD 5'!$K137:Q137)-$AP444)</f>
        <v>-59800</v>
      </c>
      <c r="O444" s="716">
        <f>IF(OR(status1B5!P139="",O$7="No aplica"),0,SUM('BOULEVARD 5'!$K137:R137)-$AP444)</f>
        <v>-58300</v>
      </c>
      <c r="P444" s="716">
        <f>IF(OR(status1B5!Q139="",P$7="No aplica"),0,SUM('BOULEVARD 5'!$K137:S137)-$AP444)</f>
        <v>-58300</v>
      </c>
      <c r="Q444" s="716">
        <f>IF(OR(status1B5!R139="",Q$7="No aplica"),0,SUM('BOULEVARD 5'!$K137:T137)-$AP444)</f>
        <v>-56800</v>
      </c>
      <c r="R444" s="716">
        <f>IF(OR(status1B5!S139="",R$7="No aplica"),0,SUM('BOULEVARD 5'!$K137:U137)-$AP444)</f>
        <v>-55300</v>
      </c>
      <c r="S444" s="716">
        <f>IF(OR(status1B5!T139="",S$7="No aplica"),0,SUM('BOULEVARD 5'!$K137:V137)-$AP444)</f>
        <v>-53800</v>
      </c>
      <c r="T444" s="716">
        <f>IF(OR(status1B5!U139="",T$7="No aplica"),0,SUM('BOULEVARD 5'!$K137:W137)-$AP444)</f>
        <v>-52300</v>
      </c>
      <c r="U444" s="716">
        <f>IF(OR(status1B5!V139="",U$7="No aplica"),0,SUM('BOULEVARD 5'!$K137:X137)-$AP444)</f>
        <v>-50800</v>
      </c>
      <c r="V444" s="716">
        <f>IF(OR(status1B5!W139="",V$7="No aplica"),0,SUM('BOULEVARD 5'!$K137:Y137)-$AP444)</f>
        <v>-47800</v>
      </c>
      <c r="W444" s="716">
        <f>IF(OR(status1B5!X139="",W$7="No aplica"),0,SUM('BOULEVARD 5'!$K137:Z137)-$AP444)</f>
        <v>-47800</v>
      </c>
      <c r="X444" s="716">
        <f>IF(OR(status1B5!Y139="",X$7="No aplica"),0,SUM('BOULEVARD 5'!$K137:AA137)-$AP444)</f>
        <v>-46300</v>
      </c>
      <c r="Y444" s="716">
        <f>IF(OR(status1B5!Z139="",Y$7="No aplica"),0,SUM('BOULEVARD 5'!$K137:AB137)-$AP444)</f>
        <v>-43300</v>
      </c>
      <c r="Z444" s="716">
        <f>IF(OR(status1B5!AA139="",Z$7="No aplica"),0,SUM('BOULEVARD 5'!$K137:AC137)-$AP444)</f>
        <v>-41800</v>
      </c>
      <c r="AA444" s="716">
        <f>IF(OR(status1B5!AB139="",AA$7="No aplica"),0,SUM('BOULEVARD 5'!$K137:AD137)-$AP444)</f>
        <v>-40300</v>
      </c>
      <c r="AB444" s="716">
        <f>IF(OR(status1B5!AC139="",AB$7="No aplica"),0,SUM('BOULEVARD 5'!$K137:AE137)-$AP444)</f>
        <v>-38800</v>
      </c>
      <c r="AC444" s="716">
        <f>IF(OR(status1B5!AD139="",AC$7="No aplica"),0,SUM('BOULEVARD 5'!$K137:AF137)-$AP444)</f>
        <v>-37300</v>
      </c>
      <c r="AD444" s="716">
        <f>IF(OR(status1B5!AE139="",AD$7="No aplica"),0,SUM('BOULEVARD 5'!$K137:AG137)-$AP444)</f>
        <v>-35800</v>
      </c>
      <c r="AE444" s="716">
        <f>IF(OR(status1B5!AF139="",AE$7="No aplica"),0,SUM('BOULEVARD 5'!$K137:AH137)-$AP444)</f>
        <v>-34300</v>
      </c>
      <c r="AF444" s="716">
        <f>IF(OR(status1B5!AG139="",AF$7="No aplica"),0,SUM('BOULEVARD 5'!$K137:AI137)-$AP444)</f>
        <v>-32800</v>
      </c>
      <c r="AG444" s="716">
        <f>IF(OR(status1B5!AH139="",AG$7="No aplica"),0,SUM('BOULEVARD 5'!$K137:AJ137)-$AP444)</f>
        <v>-26300</v>
      </c>
      <c r="AH444" s="716">
        <f>IF(OR(status1B5!AI139="",AH$7="No aplica"),0,SUM('BOULEVARD 5'!$K137:AK137)-$AP444)</f>
        <v>-24800</v>
      </c>
      <c r="AI444" s="716">
        <f>IF(OR(status1B5!AJ139="",AI$7="No aplica"),0,SUM('BOULEVARD 5'!$K137:AL137)-$AP444)</f>
        <v>-23300</v>
      </c>
      <c r="AJ444" s="716">
        <f>IF(OR(status1B5!AK139="",AJ$7="No aplica"),0,SUM('BOULEVARD 5'!$K137:AM137)-$AP444)</f>
        <v>-21800</v>
      </c>
      <c r="AK444" s="716">
        <f>IF(OR(status1B5!AL139="",AK$7="No aplica"),0,SUM('BOULEVARD 5'!$K137:AN137)-$AP444)</f>
        <v>-20300</v>
      </c>
      <c r="AL444" s="716">
        <f>IF(OR(status1B5!AM139="",AL$7="No aplica"),0,SUM('BOULEVARD 5'!$K137:AO137)-$AP444)</f>
        <v>-20300</v>
      </c>
      <c r="AM444" s="716">
        <f>IF(OR(status1B5!AN139="",AM$7="No aplica"),0,SUM('BOULEVARD 5'!$K137:AP137)-$AP444)</f>
        <v>-17300</v>
      </c>
      <c r="AN444" s="716">
        <f>IF(OR(status1B5!AO139="",AN$7="No aplica"),0,SUM('BOULEVARD 5'!$K137:AQ137)-$AP444)</f>
        <v>0</v>
      </c>
      <c r="AO444" s="716">
        <f>IF(OR(status1B5!AP139="",AO$7="No aplica"),0,SUM('BOULEVARD 5'!$K137:AS137)-$AP444)</f>
        <v>0</v>
      </c>
      <c r="AP444" s="717">
        <f>'BOULEVARD PPTO'!BC132</f>
        <v>70300</v>
      </c>
      <c r="AQ444" s="717">
        <f>'BOULEVARD 5'!AT137</f>
        <v>57500</v>
      </c>
      <c r="AR444" s="717">
        <f t="shared" si="170"/>
        <v>-12800</v>
      </c>
      <c r="AS444" s="717"/>
      <c r="AT444" s="581"/>
    </row>
    <row r="445" spans="1:46" ht="13.15" customHeight="1" outlineLevel="1" x14ac:dyDescent="0.25">
      <c r="A445" s="700" t="str">
        <f t="shared" si="168"/>
        <v>CE</v>
      </c>
      <c r="B445" s="708">
        <f t="shared" ref="B445:G445" si="172">B140</f>
        <v>805</v>
      </c>
      <c r="C445" s="564" t="str">
        <f t="shared" si="172"/>
        <v>B5</v>
      </c>
      <c r="D445" s="707" t="str">
        <f t="shared" si="172"/>
        <v>ENGANCHE CANCELADO</v>
      </c>
      <c r="E445" s="564" t="str">
        <f t="shared" si="172"/>
        <v>Antonio Rada</v>
      </c>
      <c r="F445" s="581" t="str">
        <f t="shared" si="172"/>
        <v>Celia Julissa Flores Dávila De Gonzalez</v>
      </c>
      <c r="G445" s="566">
        <f t="shared" si="172"/>
        <v>45420</v>
      </c>
      <c r="H445" s="716">
        <f>IF(OR(status1B5!I140="",H$7="No aplica"),0,SUM('BOULEVARD 5'!$K138:K138)-$AP445)</f>
        <v>0</v>
      </c>
      <c r="I445" s="716">
        <f>IF(OR(status1B5!J140="",I$7="No aplica"),0,SUM('BOULEVARD 5'!$K138:L138)-$AP445)</f>
        <v>0</v>
      </c>
      <c r="J445" s="716">
        <f>IF(OR(status1B5!K140="",J$7="No aplica"),0,SUM('BOULEVARD 5'!$K138:M138)-$AP445)</f>
        <v>0</v>
      </c>
      <c r="K445" s="716">
        <f>IF(OR(status1B5!L140="",K$7="No aplica"),0,SUM('BOULEVARD 5'!$K138:N138)-$AP445)</f>
        <v>0</v>
      </c>
      <c r="L445" s="716">
        <f>IF(OR(status1B5!M140="",L$7="No aplica"),0,SUM('BOULEVARD 5'!$K138:O138)-$AP445)</f>
        <v>0</v>
      </c>
      <c r="M445" s="716">
        <f>IF(OR(status1B5!N140="",M$7="No aplica"),0,SUM('BOULEVARD 5'!$K138:P138)-$AP445)</f>
        <v>0</v>
      </c>
      <c r="N445" s="716">
        <f>IF(OR(status1B5!O140="",N$7="No aplica"),0,SUM('BOULEVARD 5'!$K138:Q138)-$AP445)</f>
        <v>0</v>
      </c>
      <c r="O445" s="716">
        <f>IF(OR(status1B5!P140="",O$7="No aplica"),0,SUM('BOULEVARD 5'!$K138:R138)-$AP445)</f>
        <v>0</v>
      </c>
      <c r="P445" s="716">
        <f>IF(OR(status1B5!Q140="",P$7="No aplica"),0,SUM('BOULEVARD 5'!$K138:S138)-$AP445)</f>
        <v>0</v>
      </c>
      <c r="Q445" s="716">
        <f>IF(OR(status1B5!R140="",Q$7="No aplica"),0,SUM('BOULEVARD 5'!$K138:T138)-$AP445)</f>
        <v>0</v>
      </c>
      <c r="R445" s="716">
        <f>IF(OR(status1B5!S140="",R$7="No aplica"),0,SUM('BOULEVARD 5'!$K138:U138)-$AP445)</f>
        <v>0</v>
      </c>
      <c r="S445" s="716">
        <f>IF(OR(status1B5!T140="",S$7="No aplica"),0,SUM('BOULEVARD 5'!$K138:V138)-$AP445)</f>
        <v>0</v>
      </c>
      <c r="T445" s="716">
        <f>IF(OR(status1B5!U140="",T$7="No aplica"),0,SUM('BOULEVARD 5'!$K138:W138)-$AP445)</f>
        <v>0</v>
      </c>
      <c r="U445" s="716">
        <f>IF(OR(status1B5!V140="",U$7="No aplica"),0,SUM('BOULEVARD 5'!$K138:X138)-$AP445)</f>
        <v>0</v>
      </c>
      <c r="V445" s="716">
        <f>IF(OR(status1B5!W140="",V$7="No aplica"),0,SUM('BOULEVARD 5'!$K138:Y138)-$AP445)</f>
        <v>-86200</v>
      </c>
      <c r="W445" s="716">
        <f>IF(OR(status1B5!X140="",W$7="No aplica"),0,SUM('BOULEVARD 5'!$K138:Z138)-$AP445)</f>
        <v>-81663</v>
      </c>
      <c r="X445" s="716">
        <f>IF(OR(status1B5!Y140="",X$7="No aplica"),0,SUM('BOULEVARD 5'!$K138:AA138)-$AP445)</f>
        <v>-81663</v>
      </c>
      <c r="Y445" s="716">
        <f>IF(OR(status1B5!Z140="",Y$7="No aplica"),0,SUM('BOULEVARD 5'!$K138:AB138)-$AP445)</f>
        <v>-2549.9499999999971</v>
      </c>
      <c r="Z445" s="716">
        <f>IF(OR(status1B5!AA140="",Z$7="No aplica"),0,SUM('BOULEVARD 5'!$K138:AC138)-$AP445)</f>
        <v>-2549.9499999999971</v>
      </c>
      <c r="AA445" s="716">
        <f>IF(OR(status1B5!AB140="",AA$7="No aplica"),0,SUM('BOULEVARD 5'!$K138:AD138)-$AP445)</f>
        <v>-2549.9499999999971</v>
      </c>
      <c r="AB445" s="716">
        <f>IF(OR(status1B5!AC140="",AB$7="No aplica"),0,SUM('BOULEVARD 5'!$K138:AE138)-$AP445)</f>
        <v>-2549.9499999999971</v>
      </c>
      <c r="AC445" s="716">
        <f>IF(OR(status1B5!AD140="",AC$7="No aplica"),0,SUM('BOULEVARD 5'!$K138:AF138)-$AP445)</f>
        <v>-2549.9499999999971</v>
      </c>
      <c r="AD445" s="716">
        <f>IF(OR(status1B5!AE140="",AD$7="No aplica"),0,SUM('BOULEVARD 5'!$K138:AG138)-$AP445)</f>
        <v>-2549.9499999999971</v>
      </c>
      <c r="AE445" s="716">
        <f>IF(OR(status1B5!AF140="",AE$7="No aplica"),0,SUM('BOULEVARD 5'!$K138:AH138)-$AP445)</f>
        <v>-2549.9499999999971</v>
      </c>
      <c r="AF445" s="716">
        <f>IF(OR(status1B5!AG140="",AF$7="No aplica"),0,SUM('BOULEVARD 5'!$K138:AI138)-$AP445)</f>
        <v>-2549.9499999999971</v>
      </c>
      <c r="AG445" s="716">
        <f>IF(OR(status1B5!AH140="",AG$7="No aplica"),0,SUM('BOULEVARD 5'!$K138:AJ138)-$AP445)</f>
        <v>-2549.9499999999971</v>
      </c>
      <c r="AH445" s="716">
        <f>IF(OR(status1B5!AI140="",AH$7="No aplica"),0,SUM('BOULEVARD 5'!$K138:AK138)-$AP445)</f>
        <v>-2549.9499999999971</v>
      </c>
      <c r="AI445" s="716">
        <f>IF(OR(status1B5!AJ140="",AI$7="No aplica"),0,SUM('BOULEVARD 5'!$K138:AL138)-$AP445)</f>
        <v>-2549.9499999999971</v>
      </c>
      <c r="AJ445" s="716">
        <f>IF(OR(status1B5!AK140="",AJ$7="No aplica"),0,SUM('BOULEVARD 5'!$K138:AM138)-$AP445)</f>
        <v>-2549.9499999999971</v>
      </c>
      <c r="AK445" s="716">
        <f>IF(OR(status1B5!AL140="",AK$7="No aplica"),0,SUM('BOULEVARD 5'!$K138:AN138)-$AP445)</f>
        <v>-2549.9499999999971</v>
      </c>
      <c r="AL445" s="716">
        <f>IF(OR(status1B5!AM140="",AL$7="No aplica"),0,SUM('BOULEVARD 5'!$K138:AO138)-$AP445)</f>
        <v>-2549.9499999999971</v>
      </c>
      <c r="AM445" s="716">
        <f>IF(OR(status1B5!AN140="",AM$7="No aplica"),0,SUM('BOULEVARD 5'!$K138:AP138)-$AP445)</f>
        <v>-2549.9499999999971</v>
      </c>
      <c r="AN445" s="716">
        <f>IF(OR(status1B5!AO140="",AN$7="No aplica"),0,SUM('BOULEVARD 5'!$K138:AQ138)-$AP445)</f>
        <v>0</v>
      </c>
      <c r="AO445" s="716">
        <f>IF(OR(status1B5!AP140="",AO$7="No aplica"),0,SUM('BOULEVARD 5'!$K138:AS138)-$AP445)</f>
        <v>0</v>
      </c>
      <c r="AP445" s="717">
        <f>'BOULEVARD PPTO'!BC133</f>
        <v>94200</v>
      </c>
      <c r="AQ445" s="717">
        <f>'BOULEVARD 5'!AT138</f>
        <v>91650.05</v>
      </c>
      <c r="AR445" s="717">
        <f t="shared" si="170"/>
        <v>-2549.9499999999971</v>
      </c>
      <c r="AS445" s="717"/>
      <c r="AT445" s="581"/>
    </row>
    <row r="446" spans="1:46" ht="13.15" customHeight="1" outlineLevel="1" x14ac:dyDescent="0.25">
      <c r="A446" s="700">
        <f t="shared" si="168"/>
        <v>0</v>
      </c>
      <c r="B446" s="564">
        <f t="shared" ref="B446:G446" si="173">B141</f>
        <v>806</v>
      </c>
      <c r="C446" s="564" t="str">
        <f t="shared" si="173"/>
        <v>B8</v>
      </c>
      <c r="D446" s="564">
        <f t="shared" si="173"/>
        <v>0</v>
      </c>
      <c r="E446" s="564" t="str">
        <f t="shared" si="173"/>
        <v>Antonio Rada</v>
      </c>
      <c r="F446" s="581" t="str">
        <f t="shared" si="173"/>
        <v>Rodolfo Morales Muñoz</v>
      </c>
      <c r="G446" s="566">
        <f t="shared" si="173"/>
        <v>45547</v>
      </c>
      <c r="H446" s="716">
        <f>IF(OR(status1B5!I141="",H$7="No aplica"),0,SUM('BOULEVARD 5'!$K139:K139)-$AP446)</f>
        <v>0</v>
      </c>
      <c r="I446" s="716">
        <f>IF(OR(status1B5!J141="",I$7="No aplica"),0,SUM('BOULEVARD 5'!$K139:L139)-$AP446)</f>
        <v>0</v>
      </c>
      <c r="J446" s="716">
        <f>IF(OR(status1B5!K141="",J$7="No aplica"),0,SUM('BOULEVARD 5'!$K139:M139)-$AP446)</f>
        <v>0</v>
      </c>
      <c r="K446" s="716">
        <f>IF(OR(status1B5!L141="",K$7="No aplica"),0,SUM('BOULEVARD 5'!$K139:N139)-$AP446)</f>
        <v>0</v>
      </c>
      <c r="L446" s="716">
        <f>IF(OR(status1B5!M141="",L$7="No aplica"),0,SUM('BOULEVARD 5'!$K139:O139)-$AP446)</f>
        <v>0</v>
      </c>
      <c r="M446" s="716">
        <f>IF(OR(status1B5!N141="",M$7="No aplica"),0,SUM('BOULEVARD 5'!$K139:P139)-$AP446)</f>
        <v>0</v>
      </c>
      <c r="N446" s="716">
        <f>IF(OR(status1B5!O141="",N$7="No aplica"),0,SUM('BOULEVARD 5'!$K139:Q139)-$AP446)</f>
        <v>0</v>
      </c>
      <c r="O446" s="716">
        <f>IF(OR(status1B5!P141="",O$7="No aplica"),0,SUM('BOULEVARD 5'!$K139:R139)-$AP446)</f>
        <v>0</v>
      </c>
      <c r="P446" s="716">
        <f>IF(OR(status1B5!Q141="",P$7="No aplica"),0,SUM('BOULEVARD 5'!$K139:S139)-$AP446)</f>
        <v>0</v>
      </c>
      <c r="Q446" s="716">
        <f>IF(OR(status1B5!R141="",Q$7="No aplica"),0,SUM('BOULEVARD 5'!$K139:T139)-$AP446)</f>
        <v>0</v>
      </c>
      <c r="R446" s="716">
        <f>IF(OR(status1B5!S141="",R$7="No aplica"),0,SUM('BOULEVARD 5'!$K139:U139)-$AP446)</f>
        <v>0</v>
      </c>
      <c r="S446" s="716">
        <f>IF(OR(status1B5!T141="",S$7="No aplica"),0,SUM('BOULEVARD 5'!$K139:V139)-$AP446)</f>
        <v>0</v>
      </c>
      <c r="T446" s="716">
        <f>IF(OR(status1B5!U141="",T$7="No aplica"),0,SUM('BOULEVARD 5'!$K139:W139)-$AP446)</f>
        <v>0</v>
      </c>
      <c r="U446" s="716">
        <f>IF(OR(status1B5!V141="",U$7="No aplica"),0,SUM('BOULEVARD 5'!$K139:X139)-$AP446)</f>
        <v>0</v>
      </c>
      <c r="V446" s="716">
        <f>IF(OR(status1B5!W141="",V$7="No aplica"),0,SUM('BOULEVARD 5'!$K139:Y139)-$AP446)</f>
        <v>0</v>
      </c>
      <c r="W446" s="716">
        <f>IF(OR(status1B5!X141="",W$7="No aplica"),0,SUM('BOULEVARD 5'!$K139:Z139)-$AP446)</f>
        <v>0</v>
      </c>
      <c r="X446" s="716">
        <f>IF(OR(status1B5!Y141="",X$7="No aplica"),0,SUM('BOULEVARD 5'!$K139:AA139)-$AP446)</f>
        <v>0</v>
      </c>
      <c r="Y446" s="716">
        <f>IF(OR(status1B5!Z141="",Y$7="No aplica"),0,SUM('BOULEVARD 5'!$K139:AB139)-$AP446)</f>
        <v>0</v>
      </c>
      <c r="Z446" s="716">
        <f>IF(OR(status1B5!AA141="",Z$7="No aplica"),0,SUM('BOULEVARD 5'!$K139:AC139)-$AP446)</f>
        <v>-98465</v>
      </c>
      <c r="AA446" s="716">
        <f>IF(OR(status1B5!AB141="",AA$7="No aplica"),0,SUM('BOULEVARD 5'!$K139:AD139)-$AP446)</f>
        <v>-91901</v>
      </c>
      <c r="AB446" s="716">
        <f>IF(OR(status1B5!AC141="",AB$7="No aplica"),0,SUM('BOULEVARD 5'!$K139:AE139)-$AP446)</f>
        <v>-85337</v>
      </c>
      <c r="AC446" s="716">
        <f>IF(OR(status1B5!AD141="",AC$7="No aplica"),0,SUM('BOULEVARD 5'!$K139:AF139)-$AP446)</f>
        <v>-78773</v>
      </c>
      <c r="AD446" s="716">
        <f>IF(OR(status1B5!AE141="",AD$7="No aplica"),0,SUM('BOULEVARD 5'!$K139:AG139)-$AP446)</f>
        <v>-72209</v>
      </c>
      <c r="AE446" s="716">
        <f>IF(OR(status1B5!AF141="",AE$7="No aplica"),0,SUM('BOULEVARD 5'!$K139:AH139)-$AP446)</f>
        <v>-65645</v>
      </c>
      <c r="AF446" s="716">
        <f>IF(OR(status1B5!AG141="",AF$7="No aplica"),0,SUM('BOULEVARD 5'!$K139:AI139)-$AP446)</f>
        <v>-59081</v>
      </c>
      <c r="AG446" s="716">
        <f>IF(OR(status1B5!AH141="",AG$7="No aplica"),0,SUM('BOULEVARD 5'!$K139:AJ139)-$AP446)</f>
        <v>-52517</v>
      </c>
      <c r="AH446" s="716">
        <f>IF(OR(status1B5!AI141="",AH$7="No aplica"),0,SUM('BOULEVARD 5'!$K139:AK139)-$AP446)</f>
        <v>-45953</v>
      </c>
      <c r="AI446" s="716">
        <f>IF(OR(status1B5!AJ141="",AI$7="No aplica"),0,SUM('BOULEVARD 5'!$K139:AL139)-$AP446)</f>
        <v>-39389</v>
      </c>
      <c r="AJ446" s="716">
        <f>IF(OR(status1B5!AK141="",AJ$7="No aplica"),0,SUM('BOULEVARD 5'!$K139:AM139)-$AP446)</f>
        <v>-32825</v>
      </c>
      <c r="AK446" s="716">
        <f>IF(OR(status1B5!AL141="",AK$7="No aplica"),0,SUM('BOULEVARD 5'!$K139:AN139)-$AP446)</f>
        <v>-26261</v>
      </c>
      <c r="AL446" s="716">
        <f>IF(OR(status1B5!AM141="",AL$7="No aplica"),0,SUM('BOULEVARD 5'!$K139:AO139)-$AP446)</f>
        <v>-19697</v>
      </c>
      <c r="AM446" s="716">
        <f>IF(OR(status1B5!AN141="",AM$7="No aplica"),0,SUM('BOULEVARD 5'!$K139:AP139)-$AP446)</f>
        <v>-13133</v>
      </c>
      <c r="AN446" s="716">
        <f>IF(OR(status1B5!AO141="",AN$7="No aplica"),0,SUM('BOULEVARD 5'!$K139:AQ139)-$AP446)</f>
        <v>0</v>
      </c>
      <c r="AO446" s="716">
        <f>IF(OR(status1B5!AP141="",AO$7="No aplica"),0,SUM('BOULEVARD 5'!$K139:AS139)-$AP446)</f>
        <v>0</v>
      </c>
      <c r="AP446" s="717">
        <f>'BOULEVARD PPTO'!BC134</f>
        <v>108465</v>
      </c>
      <c r="AQ446" s="717">
        <f>'BOULEVARD 5'!AT139</f>
        <v>101896</v>
      </c>
      <c r="AR446" s="717">
        <f t="shared" si="170"/>
        <v>-6569</v>
      </c>
      <c r="AS446" s="717"/>
      <c r="AT446" s="581"/>
    </row>
    <row r="447" spans="1:46" ht="13.15" customHeight="1" outlineLevel="1" x14ac:dyDescent="0.25">
      <c r="A447" s="700">
        <f t="shared" si="168"/>
        <v>0</v>
      </c>
      <c r="B447" s="564">
        <f t="shared" ref="B447:G447" si="174">B142</f>
        <v>807</v>
      </c>
      <c r="C447" s="564" t="str">
        <f t="shared" si="174"/>
        <v>B4</v>
      </c>
      <c r="D447" s="564">
        <f t="shared" si="174"/>
        <v>0</v>
      </c>
      <c r="E447" s="564" t="str">
        <f t="shared" si="174"/>
        <v>Antonio Rada</v>
      </c>
      <c r="F447" s="581" t="str">
        <f t="shared" si="174"/>
        <v>Eswin Raul Morales Lopez</v>
      </c>
      <c r="G447" s="566">
        <f t="shared" si="174"/>
        <v>45260</v>
      </c>
      <c r="H447" s="716">
        <f>IF(OR(status1B5!I142="",H$7="No aplica"),0,SUM('BOULEVARD 5'!$K140:K140)-$AP447)</f>
        <v>0</v>
      </c>
      <c r="I447" s="716">
        <f>IF(OR(status1B5!J142="",I$7="No aplica"),0,SUM('BOULEVARD 5'!$K140:L140)-$AP447)</f>
        <v>0</v>
      </c>
      <c r="J447" s="716">
        <f>IF(OR(status1B5!K142="",J$7="No aplica"),0,SUM('BOULEVARD 5'!$K140:M140)-$AP447)</f>
        <v>0</v>
      </c>
      <c r="K447" s="716">
        <f>IF(OR(status1B5!L142="",K$7="No aplica"),0,SUM('BOULEVARD 5'!$K140:N140)-$AP447)</f>
        <v>0</v>
      </c>
      <c r="L447" s="716">
        <f>IF(OR(status1B5!M142="",L$7="No aplica"),0,SUM('BOULEVARD 5'!$K140:O140)-$AP447)</f>
        <v>0</v>
      </c>
      <c r="M447" s="716">
        <f>IF(OR(status1B5!N142="",M$7="No aplica"),0,SUM('BOULEVARD 5'!$K140:P140)-$AP447)</f>
        <v>0</v>
      </c>
      <c r="N447" s="716">
        <f>IF(OR(status1B5!O142="",N$7="No aplica"),0,SUM('BOULEVARD 5'!$K140:Q140)-$AP447)</f>
        <v>0</v>
      </c>
      <c r="O447" s="716">
        <f>IF(OR(status1B5!P142="",O$7="No aplica"),0,SUM('BOULEVARD 5'!$K140:R140)-$AP447)</f>
        <v>0</v>
      </c>
      <c r="P447" s="716">
        <f>IF(OR(status1B5!Q142="",P$7="No aplica"),0,SUM('BOULEVARD 5'!$K140:S140)-$AP447)</f>
        <v>-84700</v>
      </c>
      <c r="Q447" s="716">
        <f>IF(OR(status1B5!R142="",Q$7="No aplica"),0,SUM('BOULEVARD 5'!$K140:T140)-$AP447)</f>
        <v>-84700</v>
      </c>
      <c r="R447" s="716">
        <f>IF(OR(status1B5!S142="",R$7="No aplica"),0,SUM('BOULEVARD 5'!$K140:U140)-$AP447)</f>
        <v>-79700</v>
      </c>
      <c r="S447" s="716">
        <f>IF(OR(status1B5!T142="",S$7="No aplica"),0,SUM('BOULEVARD 5'!$K140:V140)-$AP447)</f>
        <v>-77200</v>
      </c>
      <c r="T447" s="716">
        <f>IF(OR(status1B5!U142="",T$7="No aplica"),0,SUM('BOULEVARD 5'!$K140:W140)-$AP447)</f>
        <v>-77200</v>
      </c>
      <c r="U447" s="716">
        <f>IF(OR(status1B5!V142="",U$7="No aplica"),0,SUM('BOULEVARD 5'!$K140:X140)-$AP447)</f>
        <v>-72200</v>
      </c>
      <c r="V447" s="716">
        <f>IF(OR(status1B5!W142="",V$7="No aplica"),0,SUM('BOULEVARD 5'!$K140:Y140)-$AP447)</f>
        <v>-69700</v>
      </c>
      <c r="W447" s="716">
        <f>IF(OR(status1B5!X142="",W$7="No aplica"),0,SUM('BOULEVARD 5'!$K140:Z140)-$AP447)</f>
        <v>-69700</v>
      </c>
      <c r="X447" s="716">
        <f>IF(OR(status1B5!Y142="",X$7="No aplica"),0,SUM('BOULEVARD 5'!$K140:AA140)-$AP447)</f>
        <v>-55200</v>
      </c>
      <c r="Y447" s="716">
        <f>IF(OR(status1B5!Z142="",Y$7="No aplica"),0,SUM('BOULEVARD 5'!$K140:AB140)-$AP447)</f>
        <v>-52700</v>
      </c>
      <c r="Z447" s="716">
        <f>IF(OR(status1B5!AA142="",Z$7="No aplica"),0,SUM('BOULEVARD 5'!$K140:AC140)-$AP447)</f>
        <v>-50200</v>
      </c>
      <c r="AA447" s="716">
        <f>IF(OR(status1B5!AB142="",AA$7="No aplica"),0,SUM('BOULEVARD 5'!$K140:AD140)-$AP447)</f>
        <v>-47700</v>
      </c>
      <c r="AB447" s="716">
        <f>IF(OR(status1B5!AC142="",AB$7="No aplica"),0,SUM('BOULEVARD 5'!$K140:AE140)-$AP447)</f>
        <v>-45200</v>
      </c>
      <c r="AC447" s="716">
        <f>IF(OR(status1B5!AD142="",AC$7="No aplica"),0,SUM('BOULEVARD 5'!$K140:AF140)-$AP447)</f>
        <v>-45200</v>
      </c>
      <c r="AD447" s="716">
        <f>IF(OR(status1B5!AE142="",AD$7="No aplica"),0,SUM('BOULEVARD 5'!$K140:AG140)-$AP447)</f>
        <v>-33200</v>
      </c>
      <c r="AE447" s="716">
        <f>IF(OR(status1B5!AF142="",AE$7="No aplica"),0,SUM('BOULEVARD 5'!$K140:AH140)-$AP447)</f>
        <v>-33200</v>
      </c>
      <c r="AF447" s="716">
        <f>IF(OR(status1B5!AG142="",AF$7="No aplica"),0,SUM('BOULEVARD 5'!$K140:AI140)-$AP447)</f>
        <v>-30700</v>
      </c>
      <c r="AG447" s="716">
        <f>IF(OR(status1B5!AH142="",AG$7="No aplica"),0,SUM('BOULEVARD 5'!$K140:AJ140)-$AP447)</f>
        <v>-25700</v>
      </c>
      <c r="AH447" s="716">
        <f>IF(OR(status1B5!AI142="",AH$7="No aplica"),0,SUM('BOULEVARD 5'!$K140:AK140)-$AP447)</f>
        <v>-23200</v>
      </c>
      <c r="AI447" s="716">
        <f>IF(OR(status1B5!AJ142="",AI$7="No aplica"),0,SUM('BOULEVARD 5'!$K140:AL140)-$AP447)</f>
        <v>-23200</v>
      </c>
      <c r="AJ447" s="716">
        <f>IF(OR(status1B5!AK142="",AJ$7="No aplica"),0,SUM('BOULEVARD 5'!$K140:AM140)-$AP447)</f>
        <v>-8700</v>
      </c>
      <c r="AK447" s="716">
        <f>IF(OR(status1B5!AL142="",AK$7="No aplica"),0,SUM('BOULEVARD 5'!$K140:AN140)-$AP447)</f>
        <v>-6200</v>
      </c>
      <c r="AL447" s="716">
        <f>IF(OR(status1B5!AM142="",AL$7="No aplica"),0,SUM('BOULEVARD 5'!$K140:AO140)-$AP447)</f>
        <v>-6200</v>
      </c>
      <c r="AM447" s="716">
        <f>IF(OR(status1B5!AN142="",AM$7="No aplica"),0,SUM('BOULEVARD 5'!$K140:AP140)-$AP447)</f>
        <v>-700</v>
      </c>
      <c r="AN447" s="716">
        <f>IF(OR(status1B5!AO142="",AN$7="No aplica"),0,SUM('BOULEVARD 5'!$K140:AQ140)-$AP447)</f>
        <v>0</v>
      </c>
      <c r="AO447" s="716">
        <f>IF(OR(status1B5!AP142="",AO$7="No aplica"),0,SUM('BOULEVARD 5'!$K140:AS140)-$AP447)</f>
        <v>0</v>
      </c>
      <c r="AP447" s="717">
        <f>'BOULEVARD PPTO'!BC135</f>
        <v>90200</v>
      </c>
      <c r="AQ447" s="717">
        <f>'BOULEVARD 5'!AT140</f>
        <v>90400</v>
      </c>
      <c r="AR447" s="717">
        <f t="shared" si="170"/>
        <v>200</v>
      </c>
      <c r="AS447" s="717"/>
      <c r="AT447" s="581"/>
    </row>
    <row r="448" spans="1:46" ht="13.15" customHeight="1" outlineLevel="1" x14ac:dyDescent="0.25">
      <c r="A448" s="700">
        <f t="shared" si="168"/>
        <v>0</v>
      </c>
      <c r="B448" s="564">
        <f t="shared" ref="B448:G448" si="175">B143</f>
        <v>808</v>
      </c>
      <c r="C448" s="564" t="str">
        <f t="shared" si="175"/>
        <v>B3</v>
      </c>
      <c r="D448" s="564">
        <f t="shared" si="175"/>
        <v>0</v>
      </c>
      <c r="E448" s="564" t="str">
        <f t="shared" si="175"/>
        <v>Antonio Rada</v>
      </c>
      <c r="F448" s="581" t="str">
        <f t="shared" si="175"/>
        <v>Gualberto Alonso Salazar Trejo</v>
      </c>
      <c r="G448" s="566">
        <f t="shared" si="175"/>
        <v>45356</v>
      </c>
      <c r="H448" s="716">
        <f>IF(OR(status1B5!I143="",H$7="No aplica"),0,SUM('BOULEVARD 5'!$K141:K141)-$AP448)</f>
        <v>0</v>
      </c>
      <c r="I448" s="716">
        <f>IF(OR(status1B5!J143="",I$7="No aplica"),0,SUM('BOULEVARD 5'!$K141:L141)-$AP448)</f>
        <v>0</v>
      </c>
      <c r="J448" s="716">
        <f>IF(OR(status1B5!K143="",J$7="No aplica"),0,SUM('BOULEVARD 5'!$K141:M141)-$AP448)</f>
        <v>0</v>
      </c>
      <c r="K448" s="716">
        <f>IF(OR(status1B5!L143="",K$7="No aplica"),0,SUM('BOULEVARD 5'!$K141:N141)-$AP448)</f>
        <v>0</v>
      </c>
      <c r="L448" s="716">
        <f>IF(OR(status1B5!M143="",L$7="No aplica"),0,SUM('BOULEVARD 5'!$K141:O141)-$AP448)</f>
        <v>0</v>
      </c>
      <c r="M448" s="716">
        <f>IF(OR(status1B5!N143="",M$7="No aplica"),0,SUM('BOULEVARD 5'!$K141:P141)-$AP448)</f>
        <v>0</v>
      </c>
      <c r="N448" s="716">
        <f>IF(OR(status1B5!O143="",N$7="No aplica"),0,SUM('BOULEVARD 5'!$K141:Q141)-$AP448)</f>
        <v>0</v>
      </c>
      <c r="O448" s="716">
        <f>IF(OR(status1B5!P143="",O$7="No aplica"),0,SUM('BOULEVARD 5'!$K141:R141)-$AP448)</f>
        <v>0</v>
      </c>
      <c r="P448" s="716">
        <f>IF(OR(status1B5!Q143="",P$7="No aplica"),0,SUM('BOULEVARD 5'!$K141:S141)-$AP448)</f>
        <v>0</v>
      </c>
      <c r="Q448" s="716">
        <f>IF(OR(status1B5!R143="",Q$7="No aplica"),0,SUM('BOULEVARD 5'!$K141:T141)-$AP448)</f>
        <v>0</v>
      </c>
      <c r="R448" s="716">
        <f>IF(OR(status1B5!S143="",R$7="No aplica"),0,SUM('BOULEVARD 5'!$K141:U141)-$AP448)</f>
        <v>0</v>
      </c>
      <c r="S448" s="716">
        <f>IF(OR(status1B5!T143="",S$7="No aplica"),0,SUM('BOULEVARD 5'!$K141:V141)-$AP448)</f>
        <v>0</v>
      </c>
      <c r="T448" s="716">
        <f>IF(OR(status1B5!U143="",T$7="No aplica"),0,SUM('BOULEVARD 5'!$K141:W141)-$AP448)</f>
        <v>-80800</v>
      </c>
      <c r="U448" s="716">
        <f>IF(OR(status1B5!V143="",U$7="No aplica"),0,SUM('BOULEVARD 5'!$K141:X141)-$AP448)</f>
        <v>-76314</v>
      </c>
      <c r="V448" s="716">
        <f>IF(OR(status1B5!W143="",V$7="No aplica"),0,SUM('BOULEVARD 5'!$K141:Y141)-$AP448)</f>
        <v>-71828</v>
      </c>
      <c r="W448" s="716">
        <f>IF(OR(status1B5!X143="",W$7="No aplica"),0,SUM('BOULEVARD 5'!$K141:Z141)-$AP448)</f>
        <v>-67342</v>
      </c>
      <c r="X448" s="716">
        <f>IF(OR(status1B5!Y143="",X$7="No aplica"),0,SUM('BOULEVARD 5'!$K141:AA141)-$AP448)</f>
        <v>-62856</v>
      </c>
      <c r="Y448" s="716">
        <f>IF(OR(status1B5!Z143="",Y$7="No aplica"),0,SUM('BOULEVARD 5'!$K141:AB141)-$AP448)</f>
        <v>-58370</v>
      </c>
      <c r="Z448" s="716">
        <f>IF(OR(status1B5!AA143="",Z$7="No aplica"),0,SUM('BOULEVARD 5'!$K141:AC141)-$AP448)</f>
        <v>-53884</v>
      </c>
      <c r="AA448" s="716">
        <f>IF(OR(status1B5!AB143="",AA$7="No aplica"),0,SUM('BOULEVARD 5'!$K141:AD141)-$AP448)</f>
        <v>-49398</v>
      </c>
      <c r="AB448" s="716">
        <f>IF(OR(status1B5!AC143="",AB$7="No aplica"),0,SUM('BOULEVARD 5'!$K141:AE141)-$AP448)</f>
        <v>-44912</v>
      </c>
      <c r="AC448" s="716">
        <f>IF(OR(status1B5!AD143="",AC$7="No aplica"),0,SUM('BOULEVARD 5'!$K141:AF141)-$AP448)</f>
        <v>-40426</v>
      </c>
      <c r="AD448" s="716">
        <f>IF(OR(status1B5!AE143="",AD$7="No aplica"),0,SUM('BOULEVARD 5'!$K141:AG141)-$AP448)</f>
        <v>-35940.44</v>
      </c>
      <c r="AE448" s="716">
        <f>IF(OR(status1B5!AF143="",AE$7="No aplica"),0,SUM('BOULEVARD 5'!$K141:AH141)-$AP448)</f>
        <v>-31454.440000000002</v>
      </c>
      <c r="AF448" s="716">
        <f>IF(OR(status1B5!AG143="",AF$7="No aplica"),0,SUM('BOULEVARD 5'!$K141:AI141)-$AP448)</f>
        <v>-26968.440000000002</v>
      </c>
      <c r="AG448" s="716">
        <f>IF(OR(status1B5!AH143="",AG$7="No aplica"),0,SUM('BOULEVARD 5'!$K141:AJ141)-$AP448)</f>
        <v>-22482.440000000002</v>
      </c>
      <c r="AH448" s="716">
        <f>IF(OR(status1B5!AI143="",AH$7="No aplica"),0,SUM('BOULEVARD 5'!$K141:AK141)-$AP448)</f>
        <v>-17996.440000000002</v>
      </c>
      <c r="AI448" s="716">
        <f>IF(OR(status1B5!AJ143="",AI$7="No aplica"),0,SUM('BOULEVARD 5'!$K141:AL141)-$AP448)</f>
        <v>-13510.440000000002</v>
      </c>
      <c r="AJ448" s="716">
        <f>IF(OR(status1B5!AK143="",AJ$7="No aplica"),0,SUM('BOULEVARD 5'!$K141:AM141)-$AP448)</f>
        <v>-9024.4400000000023</v>
      </c>
      <c r="AK448" s="716">
        <f>IF(OR(status1B5!AL143="",AK$7="No aplica"),0,SUM('BOULEVARD 5'!$K141:AN141)-$AP448)</f>
        <v>-4538.4400000000023</v>
      </c>
      <c r="AL448" s="716">
        <f>IF(OR(status1B5!AM143="",AL$7="No aplica"),0,SUM('BOULEVARD 5'!$K141:AO141)-$AP448)</f>
        <v>0</v>
      </c>
      <c r="AM448" s="716">
        <f>IF(OR(status1B5!AN143="",AM$7="No aplica"),0,SUM('BOULEVARD 5'!$K141:AP141)-$AP448)</f>
        <v>0</v>
      </c>
      <c r="AN448" s="716">
        <f>IF(OR(status1B5!AO143="",AN$7="No aplica"),0,SUM('BOULEVARD 5'!$K141:AQ141)-$AP448)</f>
        <v>0</v>
      </c>
      <c r="AO448" s="716">
        <f>IF(OR(status1B5!AP143="",AO$7="No aplica"),0,SUM('BOULEVARD 5'!$K141:AS141)-$AP448)</f>
        <v>0</v>
      </c>
      <c r="AP448" s="717">
        <f>'BOULEVARD PPTO'!BC136</f>
        <v>88800</v>
      </c>
      <c r="AQ448" s="717">
        <f>'BOULEVARD 5'!AT141</f>
        <v>88800</v>
      </c>
      <c r="AR448" s="717">
        <f t="shared" si="170"/>
        <v>0</v>
      </c>
      <c r="AS448" s="717"/>
      <c r="AT448" s="581"/>
    </row>
    <row r="449" spans="1:46" ht="13.15" customHeight="1" outlineLevel="1" x14ac:dyDescent="0.25">
      <c r="A449" s="700">
        <f t="shared" si="168"/>
        <v>0</v>
      </c>
      <c r="B449" s="564">
        <f t="shared" ref="B449:G449" si="176">B144</f>
        <v>809</v>
      </c>
      <c r="C449" s="564" t="str">
        <f t="shared" si="176"/>
        <v>E1</v>
      </c>
      <c r="D449" s="564">
        <f t="shared" si="176"/>
        <v>0</v>
      </c>
      <c r="E449" s="564" t="str">
        <f t="shared" si="176"/>
        <v>Antonio Rada</v>
      </c>
      <c r="F449" s="581" t="str">
        <f t="shared" si="176"/>
        <v>Mildred Maritza Monterroso Montenegro De Santizo</v>
      </c>
      <c r="G449" s="566">
        <f t="shared" si="176"/>
        <v>45353</v>
      </c>
      <c r="H449" s="716">
        <f>IF(OR(status1B5!I144="",H$7="No aplica"),0,SUM('BOULEVARD 5'!$K142:K142)-$AP449)</f>
        <v>0</v>
      </c>
      <c r="I449" s="716">
        <f>IF(OR(status1B5!J144="",I$7="No aplica"),0,SUM('BOULEVARD 5'!$K142:L142)-$AP449)</f>
        <v>0</v>
      </c>
      <c r="J449" s="716">
        <f>IF(OR(status1B5!K144="",J$7="No aplica"),0,SUM('BOULEVARD 5'!$K142:M142)-$AP449)</f>
        <v>0</v>
      </c>
      <c r="K449" s="716">
        <f>IF(OR(status1B5!L144="",K$7="No aplica"),0,SUM('BOULEVARD 5'!$K142:N142)-$AP449)</f>
        <v>0</v>
      </c>
      <c r="L449" s="716">
        <f>IF(OR(status1B5!M144="",L$7="No aplica"),0,SUM('BOULEVARD 5'!$K142:O142)-$AP449)</f>
        <v>0</v>
      </c>
      <c r="M449" s="716">
        <f>IF(OR(status1B5!N144="",M$7="No aplica"),0,SUM('BOULEVARD 5'!$K142:P142)-$AP449)</f>
        <v>0</v>
      </c>
      <c r="N449" s="716">
        <f>IF(OR(status1B5!O144="",N$7="No aplica"),0,SUM('BOULEVARD 5'!$K142:Q142)-$AP449)</f>
        <v>0</v>
      </c>
      <c r="O449" s="716">
        <f>IF(OR(status1B5!P144="",O$7="No aplica"),0,SUM('BOULEVARD 5'!$K142:R142)-$AP449)</f>
        <v>0</v>
      </c>
      <c r="P449" s="716">
        <f>IF(OR(status1B5!Q144="",P$7="No aplica"),0,SUM('BOULEVARD 5'!$K142:S142)-$AP449)</f>
        <v>0</v>
      </c>
      <c r="Q449" s="716">
        <f>IF(OR(status1B5!R144="",Q$7="No aplica"),0,SUM('BOULEVARD 5'!$K142:T142)-$AP449)</f>
        <v>0</v>
      </c>
      <c r="R449" s="716">
        <f>IF(OR(status1B5!S144="",R$7="No aplica"),0,SUM('BOULEVARD 5'!$K142:U142)-$AP449)</f>
        <v>0</v>
      </c>
      <c r="S449" s="716">
        <f>IF(OR(status1B5!T144="",S$7="No aplica"),0,SUM('BOULEVARD 5'!$K142:V142)-$AP449)</f>
        <v>0</v>
      </c>
      <c r="T449" s="716">
        <f>IF(OR(status1B5!U144="",T$7="No aplica"),0,SUM('BOULEVARD 5'!$K142:W142)-$AP449)</f>
        <v>-131100</v>
      </c>
      <c r="U449" s="716">
        <f>IF(OR(status1B5!V144="",U$7="No aplica"),0,SUM('BOULEVARD 5'!$K142:X142)-$AP449)</f>
        <v>-123817</v>
      </c>
      <c r="V449" s="716">
        <f>IF(OR(status1B5!W144="",V$7="No aplica"),0,SUM('BOULEVARD 5'!$K142:Y142)-$AP449)</f>
        <v>-116534</v>
      </c>
      <c r="W449" s="716">
        <f>IF(OR(status1B5!X144="",W$7="No aplica"),0,SUM('BOULEVARD 5'!$K142:Z142)-$AP449)</f>
        <v>-109251</v>
      </c>
      <c r="X449" s="716">
        <f>IF(OR(status1B5!Y144="",X$7="No aplica"),0,SUM('BOULEVARD 5'!$K142:AA142)-$AP449)</f>
        <v>-101968</v>
      </c>
      <c r="Y449" s="716">
        <f>IF(OR(status1B5!Z144="",Y$7="No aplica"),0,SUM('BOULEVARD 5'!$K142:AB142)-$AP449)</f>
        <v>-94685</v>
      </c>
      <c r="Z449" s="716">
        <f>IF(OR(status1B5!AA144="",Z$7="No aplica"),0,SUM('BOULEVARD 5'!$K142:AC142)-$AP449)</f>
        <v>-87402</v>
      </c>
      <c r="AA449" s="716">
        <f>IF(OR(status1B5!AB144="",AA$7="No aplica"),0,SUM('BOULEVARD 5'!$K142:AD142)-$AP449)</f>
        <v>-80119</v>
      </c>
      <c r="AB449" s="716">
        <f>IF(OR(status1B5!AC144="",AB$7="No aplica"),0,SUM('BOULEVARD 5'!$K142:AE142)-$AP449)</f>
        <v>-72836</v>
      </c>
      <c r="AC449" s="716">
        <f>IF(OR(status1B5!AD144="",AC$7="No aplica"),0,SUM('BOULEVARD 5'!$K142:AF142)-$AP449)</f>
        <v>-65553</v>
      </c>
      <c r="AD449" s="716">
        <f>IF(OR(status1B5!AE144="",AD$7="No aplica"),0,SUM('BOULEVARD 5'!$K142:AG142)-$AP449)</f>
        <v>-58270</v>
      </c>
      <c r="AE449" s="716">
        <f>IF(OR(status1B5!AF144="",AE$7="No aplica"),0,SUM('BOULEVARD 5'!$K142:AH142)-$AP449)</f>
        <v>-58270</v>
      </c>
      <c r="AF449" s="716">
        <f>IF(OR(status1B5!AG144="",AF$7="No aplica"),0,SUM('BOULEVARD 5'!$K142:AI142)-$AP449)</f>
        <v>-43704</v>
      </c>
      <c r="AG449" s="716">
        <f>IF(OR(status1B5!AH144="",AG$7="No aplica"),0,SUM('BOULEVARD 5'!$K142:AJ142)-$AP449)</f>
        <v>-36421</v>
      </c>
      <c r="AH449" s="716">
        <f>IF(OR(status1B5!AI144="",AH$7="No aplica"),0,SUM('BOULEVARD 5'!$K142:AK142)-$AP449)</f>
        <v>-29138</v>
      </c>
      <c r="AI449" s="716">
        <f>IF(OR(status1B5!AJ144="",AI$7="No aplica"),0,SUM('BOULEVARD 5'!$K142:AL142)-$AP449)</f>
        <v>-29138</v>
      </c>
      <c r="AJ449" s="716">
        <f>IF(OR(status1B5!AK144="",AJ$7="No aplica"),0,SUM('BOULEVARD 5'!$K142:AM142)-$AP449)</f>
        <v>-14572</v>
      </c>
      <c r="AK449" s="716">
        <f>IF(OR(status1B5!AL144="",AK$7="No aplica"),0,SUM('BOULEVARD 5'!$K142:AN142)-$AP449)</f>
        <v>-14572</v>
      </c>
      <c r="AL449" s="716">
        <f>IF(OR(status1B5!AM144="",AL$7="No aplica"),0,SUM('BOULEVARD 5'!$K142:AO142)-$AP449)</f>
        <v>-7289</v>
      </c>
      <c r="AM449" s="716">
        <f>IF(OR(status1B5!AN144="",AM$7="No aplica"),0,SUM('BOULEVARD 5'!$K142:AP142)-$AP449)</f>
        <v>-6</v>
      </c>
      <c r="AN449" s="716">
        <f>IF(OR(status1B5!AO144="",AN$7="No aplica"),0,SUM('BOULEVARD 5'!$K142:AQ142)-$AP449)</f>
        <v>0</v>
      </c>
      <c r="AO449" s="716">
        <f>IF(OR(status1B5!AP144="",AO$7="No aplica"),0,SUM('BOULEVARD 5'!$K142:AS142)-$AP449)</f>
        <v>0</v>
      </c>
      <c r="AP449" s="717">
        <f>'BOULEVARD PPTO'!BC137</f>
        <v>139100</v>
      </c>
      <c r="AQ449" s="717">
        <f>'BOULEVARD 5'!AT142</f>
        <v>139100</v>
      </c>
      <c r="AR449" s="717">
        <f t="shared" si="170"/>
        <v>0</v>
      </c>
      <c r="AS449" s="717"/>
      <c r="AT449" s="581"/>
    </row>
    <row r="450" spans="1:46" ht="13.15" customHeight="1" outlineLevel="1" x14ac:dyDescent="0.25">
      <c r="A450" s="700">
        <f t="shared" si="168"/>
        <v>0</v>
      </c>
      <c r="B450" s="564">
        <f t="shared" ref="B450:G450" si="177">B145</f>
        <v>810</v>
      </c>
      <c r="C450" s="564" t="str">
        <f t="shared" si="177"/>
        <v>A4</v>
      </c>
      <c r="D450" s="564">
        <f t="shared" si="177"/>
        <v>0</v>
      </c>
      <c r="E450" s="564" t="str">
        <f t="shared" si="177"/>
        <v>Brenda Búcaro</v>
      </c>
      <c r="F450" s="581" t="str">
        <f t="shared" si="177"/>
        <v>Sebastián Aristondo Barillas</v>
      </c>
      <c r="G450" s="566">
        <f t="shared" si="177"/>
        <v>45099</v>
      </c>
      <c r="H450" s="716">
        <f>IF(OR(status1B5!I145="",H$7="No aplica"),0,SUM('BOULEVARD 5'!$K143:K143)-$AP450)</f>
        <v>0</v>
      </c>
      <c r="I450" s="716">
        <f>IF(OR(status1B5!J145="",I$7="No aplica"),0,SUM('BOULEVARD 5'!$K143:L143)-$AP450)</f>
        <v>0</v>
      </c>
      <c r="J450" s="716">
        <f>IF(OR(status1B5!K145="",J$7="No aplica"),0,SUM('BOULEVARD 5'!$K143:M143)-$AP450)</f>
        <v>0</v>
      </c>
      <c r="K450" s="716">
        <f>IF(OR(status1B5!L145="",K$7="No aplica"),0,SUM('BOULEVARD 5'!$K143:N143)-$AP450)</f>
        <v>-64000</v>
      </c>
      <c r="L450" s="716">
        <f>IF(OR(status1B5!M145="",L$7="No aplica"),0,SUM('BOULEVARD 5'!$K143:O143)-$AP450)</f>
        <v>-62400</v>
      </c>
      <c r="M450" s="716">
        <f>IF(OR(status1B5!N145="",M$7="No aplica"),0,SUM('BOULEVARD 5'!$K143:P143)-$AP450)</f>
        <v>-60800</v>
      </c>
      <c r="N450" s="716">
        <f>IF(OR(status1B5!O145="",N$7="No aplica"),0,SUM('BOULEVARD 5'!$K143:Q143)-$AP450)</f>
        <v>-59200</v>
      </c>
      <c r="O450" s="716">
        <f>IF(OR(status1B5!P145="",O$7="No aplica"),0,SUM('BOULEVARD 5'!$K143:R143)-$AP450)</f>
        <v>-57600</v>
      </c>
      <c r="P450" s="716">
        <f>IF(OR(status1B5!Q145="",P$7="No aplica"),0,SUM('BOULEVARD 5'!$K143:S143)-$AP450)</f>
        <v>-56000</v>
      </c>
      <c r="Q450" s="716">
        <f>IF(OR(status1B5!R145="",Q$7="No aplica"),0,SUM('BOULEVARD 5'!$K143:T143)-$AP450)</f>
        <v>-56000</v>
      </c>
      <c r="R450" s="716">
        <f>IF(OR(status1B5!S145="",R$7="No aplica"),0,SUM('BOULEVARD 5'!$K143:U143)-$AP450)</f>
        <v>-50000</v>
      </c>
      <c r="S450" s="716">
        <f>IF(OR(status1B5!T145="",S$7="No aplica"),0,SUM('BOULEVARD 5'!$K143:V143)-$AP450)</f>
        <v>-50000</v>
      </c>
      <c r="T450" s="716">
        <f>IF(OR(status1B5!U145="",T$7="No aplica"),0,SUM('BOULEVARD 5'!$K143:W143)-$AP450)</f>
        <v>-50000</v>
      </c>
      <c r="U450" s="716">
        <f>IF(OR(status1B5!V145="",U$7="No aplica"),0,SUM('BOULEVARD 5'!$K143:X143)-$AP450)</f>
        <v>-46800</v>
      </c>
      <c r="V450" s="716">
        <f>IF(OR(status1B5!W145="",V$7="No aplica"),0,SUM('BOULEVARD 5'!$K143:Y143)-$AP450)</f>
        <v>-45200</v>
      </c>
      <c r="W450" s="716">
        <f>IF(OR(status1B5!X145="",W$7="No aplica"),0,SUM('BOULEVARD 5'!$K143:Z143)-$AP450)</f>
        <v>-45200</v>
      </c>
      <c r="X450" s="716">
        <f>IF(OR(status1B5!Y145="",X$7="No aplica"),0,SUM('BOULEVARD 5'!$K143:AA143)-$AP450)</f>
        <v>-39200</v>
      </c>
      <c r="Y450" s="716">
        <f>IF(OR(status1B5!Z145="",Y$7="No aplica"),0,SUM('BOULEVARD 5'!$K143:AB143)-$AP450)</f>
        <v>-37600</v>
      </c>
      <c r="Z450" s="716">
        <f>IF(OR(status1B5!AA145="",Z$7="No aplica"),0,SUM('BOULEVARD 5'!$K143:AC143)-$AP450)</f>
        <v>-36000</v>
      </c>
      <c r="AA450" s="716">
        <f>IF(OR(status1B5!AB145="",AA$7="No aplica"),0,SUM('BOULEVARD 5'!$K143:AD143)-$AP450)</f>
        <v>-36000</v>
      </c>
      <c r="AB450" s="716">
        <f>IF(OR(status1B5!AC145="",AB$7="No aplica"),0,SUM('BOULEVARD 5'!$K143:AE143)-$AP450)</f>
        <v>-34400</v>
      </c>
      <c r="AC450" s="716">
        <f>IF(OR(status1B5!AD145="",AC$7="No aplica"),0,SUM('BOULEVARD 5'!$K143:AF143)-$AP450)</f>
        <v>-34400</v>
      </c>
      <c r="AD450" s="716">
        <f>IF(OR(status1B5!AE145="",AD$7="No aplica"),0,SUM('BOULEVARD 5'!$K143:AG143)-$AP450)</f>
        <v>-34400</v>
      </c>
      <c r="AE450" s="716">
        <f>IF(OR(status1B5!AF145="",AE$7="No aplica"),0,SUM('BOULEVARD 5'!$K143:AH143)-$AP450)</f>
        <v>-31200</v>
      </c>
      <c r="AF450" s="716">
        <f>IF(OR(status1B5!AG145="",AF$7="No aplica"),0,SUM('BOULEVARD 5'!$K143:AI143)-$AP450)</f>
        <v>-29600</v>
      </c>
      <c r="AG450" s="716">
        <f>IF(OR(status1B5!AH145="",AG$7="No aplica"),0,SUM('BOULEVARD 5'!$K143:AJ143)-$AP450)</f>
        <v>-22000</v>
      </c>
      <c r="AH450" s="716">
        <f>IF(OR(status1B5!AI145="",AH$7="No aplica"),0,SUM('BOULEVARD 5'!$K143:AK143)-$AP450)</f>
        <v>-20400</v>
      </c>
      <c r="AI450" s="716">
        <f>IF(OR(status1B5!AJ145="",AI$7="No aplica"),0,SUM('BOULEVARD 5'!$K143:AL143)-$AP450)</f>
        <v>-18800</v>
      </c>
      <c r="AJ450" s="716">
        <f>IF(OR(status1B5!AK145="",AJ$7="No aplica"),0,SUM('BOULEVARD 5'!$K143:AM143)-$AP450)</f>
        <v>-12800</v>
      </c>
      <c r="AK450" s="716">
        <f>IF(OR(status1B5!AL145="",AK$7="No aplica"),0,SUM('BOULEVARD 5'!$K143:AN143)-$AP450)</f>
        <v>-12800</v>
      </c>
      <c r="AL450" s="716">
        <f>IF(OR(status1B5!AM145="",AL$7="No aplica"),0,SUM('BOULEVARD 5'!$K143:AO143)-$AP450)</f>
        <v>-11200</v>
      </c>
      <c r="AM450" s="716">
        <f>IF(OR(status1B5!AN145="",AM$7="No aplica"),0,SUM('BOULEVARD 5'!$K143:AP143)-$AP450)</f>
        <v>-9600</v>
      </c>
      <c r="AN450" s="716">
        <f>IF(OR(status1B5!AO145="",AN$7="No aplica"),0,SUM('BOULEVARD 5'!$K143:AQ143)-$AP450)</f>
        <v>0</v>
      </c>
      <c r="AO450" s="716">
        <f>IF(OR(status1B5!AP145="",AO$7="No aplica"),0,SUM('BOULEVARD 5'!$K143:AS143)-$AP450)</f>
        <v>0</v>
      </c>
      <c r="AP450" s="717">
        <f>'BOULEVARD PPTO'!BC138</f>
        <v>70000</v>
      </c>
      <c r="AQ450" s="717">
        <f>'BOULEVARD 5'!AT143</f>
        <v>62000</v>
      </c>
      <c r="AR450" s="717">
        <f t="shared" si="170"/>
        <v>-8000</v>
      </c>
      <c r="AS450" s="717"/>
      <c r="AT450" s="581"/>
    </row>
    <row r="451" spans="1:46" ht="13.15" customHeight="1" outlineLevel="1" x14ac:dyDescent="0.25">
      <c r="A451" s="700" t="str">
        <f t="shared" si="168"/>
        <v>CE</v>
      </c>
      <c r="B451" s="708">
        <f t="shared" ref="B451:G451" si="178">B146</f>
        <v>811</v>
      </c>
      <c r="C451" s="564" t="str">
        <f t="shared" si="178"/>
        <v>B7</v>
      </c>
      <c r="D451" s="707" t="str">
        <f t="shared" si="178"/>
        <v>ENGANCHE CANCELADO</v>
      </c>
      <c r="E451" s="564" t="str">
        <f t="shared" si="178"/>
        <v>Antonio Rada</v>
      </c>
      <c r="F451" s="581" t="str">
        <f t="shared" si="178"/>
        <v>Rosa Gilda Tuchan Valle De Gonzalez</v>
      </c>
      <c r="G451" s="566">
        <f t="shared" si="178"/>
        <v>45485</v>
      </c>
      <c r="H451" s="716">
        <f>IF(OR(status1B5!I146="",H$7="No aplica"),0,SUM('BOULEVARD 5'!$K144:K144)-$AP451)</f>
        <v>0</v>
      </c>
      <c r="I451" s="716">
        <f>IF(OR(status1B5!J146="",I$7="No aplica"),0,SUM('BOULEVARD 5'!$K144:L144)-$AP451)</f>
        <v>0</v>
      </c>
      <c r="J451" s="716">
        <f>IF(OR(status1B5!K146="",J$7="No aplica"),0,SUM('BOULEVARD 5'!$K144:M144)-$AP451)</f>
        <v>0</v>
      </c>
      <c r="K451" s="716">
        <f>IF(OR(status1B5!L146="",K$7="No aplica"),0,SUM('BOULEVARD 5'!$K144:N144)-$AP451)</f>
        <v>0</v>
      </c>
      <c r="L451" s="716">
        <f>IF(OR(status1B5!M146="",L$7="No aplica"),0,SUM('BOULEVARD 5'!$K144:O144)-$AP451)</f>
        <v>0</v>
      </c>
      <c r="M451" s="716">
        <f>IF(OR(status1B5!N146="",M$7="No aplica"),0,SUM('BOULEVARD 5'!$K144:P144)-$AP451)</f>
        <v>0</v>
      </c>
      <c r="N451" s="716">
        <f>IF(OR(status1B5!O146="",N$7="No aplica"),0,SUM('BOULEVARD 5'!$K144:Q144)-$AP451)</f>
        <v>0</v>
      </c>
      <c r="O451" s="716">
        <f>IF(OR(status1B5!P146="",O$7="No aplica"),0,SUM('BOULEVARD 5'!$K144:R144)-$AP451)</f>
        <v>0</v>
      </c>
      <c r="P451" s="716">
        <f>IF(OR(status1B5!Q146="",P$7="No aplica"),0,SUM('BOULEVARD 5'!$K144:S144)-$AP451)</f>
        <v>0</v>
      </c>
      <c r="Q451" s="716">
        <f>IF(OR(status1B5!R146="",Q$7="No aplica"),0,SUM('BOULEVARD 5'!$K144:T144)-$AP451)</f>
        <v>0</v>
      </c>
      <c r="R451" s="716">
        <f>IF(OR(status1B5!S146="",R$7="No aplica"),0,SUM('BOULEVARD 5'!$K144:U144)-$AP451)</f>
        <v>0</v>
      </c>
      <c r="S451" s="716">
        <f>IF(OR(status1B5!T146="",S$7="No aplica"),0,SUM('BOULEVARD 5'!$K144:V144)-$AP451)</f>
        <v>0</v>
      </c>
      <c r="T451" s="716">
        <f>IF(OR(status1B5!U146="",T$7="No aplica"),0,SUM('BOULEVARD 5'!$K144:W144)-$AP451)</f>
        <v>0</v>
      </c>
      <c r="U451" s="716">
        <f>IF(OR(status1B5!V146="",U$7="No aplica"),0,SUM('BOULEVARD 5'!$K144:X144)-$AP451)</f>
        <v>0</v>
      </c>
      <c r="V451" s="716">
        <f>IF(OR(status1B5!W146="",V$7="No aplica"),0,SUM('BOULEVARD 5'!$K144:Y144)-$AP451)</f>
        <v>0</v>
      </c>
      <c r="W451" s="716">
        <f>IF(OR(status1B5!X146="",W$7="No aplica"),0,SUM('BOULEVARD 5'!$K144:Z144)-$AP451)</f>
        <v>0</v>
      </c>
      <c r="X451" s="716">
        <f>IF(OR(status1B5!Y146="",X$7="No aplica"),0,SUM('BOULEVARD 5'!$K144:AA144)-$AP451)</f>
        <v>-854446.02</v>
      </c>
      <c r="Y451" s="716">
        <f>IF(OR(status1B5!Z146="",Y$7="No aplica"),0,SUM('BOULEVARD 5'!$K144:AB144)-$AP451)</f>
        <v>-854446.02</v>
      </c>
      <c r="Z451" s="716">
        <f>IF(OR(status1B5!AA146="",Z$7="No aplica"),0,SUM('BOULEVARD 5'!$K144:AC144)-$AP451)</f>
        <v>-854446.02</v>
      </c>
      <c r="AA451" s="716">
        <f>IF(OR(status1B5!AB146="",AA$7="No aplica"),0,SUM('BOULEVARD 5'!$K144:AD144)-$AP451)</f>
        <v>0</v>
      </c>
      <c r="AB451" s="716">
        <f>IF(OR(status1B5!AC146="",AB$7="No aplica"),0,SUM('BOULEVARD 5'!$K144:AE144)-$AP451)</f>
        <v>0</v>
      </c>
      <c r="AC451" s="716">
        <f>IF(OR(status1B5!AD146="",AC$7="No aplica"),0,SUM('BOULEVARD 5'!$K144:AF144)-$AP451)</f>
        <v>0</v>
      </c>
      <c r="AD451" s="716">
        <f>IF(OR(status1B5!AE146="",AD$7="No aplica"),0,SUM('BOULEVARD 5'!$K144:AG144)-$AP451)</f>
        <v>0</v>
      </c>
      <c r="AE451" s="716">
        <f>IF(OR(status1B5!AF146="",AE$7="No aplica"),0,SUM('BOULEVARD 5'!$K144:AH144)-$AP451)</f>
        <v>0</v>
      </c>
      <c r="AF451" s="716">
        <f>IF(OR(status1B5!AG146="",AF$7="No aplica"),0,SUM('BOULEVARD 5'!$K144:AI144)-$AP451)</f>
        <v>0</v>
      </c>
      <c r="AG451" s="716">
        <f>IF(OR(status1B5!AH146="",AG$7="No aplica"),0,SUM('BOULEVARD 5'!$K144:AJ144)-$AP451)</f>
        <v>0</v>
      </c>
      <c r="AH451" s="716">
        <f>IF(OR(status1B5!AI146="",AH$7="No aplica"),0,SUM('BOULEVARD 5'!$K144:AK144)-$AP451)</f>
        <v>0</v>
      </c>
      <c r="AI451" s="716">
        <f>IF(OR(status1B5!AJ146="",AI$7="No aplica"),0,SUM('BOULEVARD 5'!$K144:AL144)-$AP451)</f>
        <v>0</v>
      </c>
      <c r="AJ451" s="716">
        <f>IF(OR(status1B5!AK146="",AJ$7="No aplica"),0,SUM('BOULEVARD 5'!$K144:AM144)-$AP451)</f>
        <v>0</v>
      </c>
      <c r="AK451" s="716">
        <f>IF(OR(status1B5!AL146="",AK$7="No aplica"),0,SUM('BOULEVARD 5'!$K144:AN144)-$AP451)</f>
        <v>0</v>
      </c>
      <c r="AL451" s="716">
        <f>IF(OR(status1B5!AM146="",AL$7="No aplica"),0,SUM('BOULEVARD 5'!$K144:AO144)-$AP451)</f>
        <v>0</v>
      </c>
      <c r="AM451" s="716">
        <f>IF(OR(status1B5!AN146="",AM$7="No aplica"),0,SUM('BOULEVARD 5'!$K144:AP144)-$AP451)</f>
        <v>0</v>
      </c>
      <c r="AN451" s="716">
        <f>IF(OR(status1B5!AO146="",AN$7="No aplica"),0,SUM('BOULEVARD 5'!$K144:AQ144)-$AP451)</f>
        <v>0</v>
      </c>
      <c r="AO451" s="716">
        <f>IF(OR(status1B5!AP146="",AO$7="No aplica"),0,SUM('BOULEVARD 5'!$K144:AS144)-$AP451)</f>
        <v>0</v>
      </c>
      <c r="AP451" s="717">
        <f>'BOULEVARD PPTO'!BC139</f>
        <v>864446.02</v>
      </c>
      <c r="AQ451" s="717">
        <f>'BOULEVARD 5'!AT144</f>
        <v>864446.02</v>
      </c>
      <c r="AR451" s="717">
        <f t="shared" si="170"/>
        <v>0</v>
      </c>
      <c r="AS451" s="717"/>
      <c r="AT451" s="581"/>
    </row>
    <row r="452" spans="1:46" ht="13.15" customHeight="1" outlineLevel="1" x14ac:dyDescent="0.25">
      <c r="A452" s="700" t="str">
        <f t="shared" si="168"/>
        <v>CE</v>
      </c>
      <c r="B452" s="708">
        <f t="shared" ref="B452:G452" si="179">B147</f>
        <v>812</v>
      </c>
      <c r="C452" s="564" t="str">
        <f t="shared" si="179"/>
        <v>B2</v>
      </c>
      <c r="D452" s="707" t="str">
        <f t="shared" si="179"/>
        <v>ENGANCHE CANCELADO</v>
      </c>
      <c r="E452" s="564" t="str">
        <f t="shared" si="179"/>
        <v>Antonio Rada</v>
      </c>
      <c r="F452" s="581" t="str">
        <f t="shared" si="179"/>
        <v>Juan Pablo Gonzalez Tuchan</v>
      </c>
      <c r="G452" s="566">
        <f t="shared" si="179"/>
        <v>45503</v>
      </c>
      <c r="H452" s="716">
        <f>IF(OR(status1B5!I147="",H$7="No aplica"),0,SUM('BOULEVARD 5'!$K145:K145)-$AP452)</f>
        <v>0</v>
      </c>
      <c r="I452" s="716">
        <f>IF(OR(status1B5!J147="",I$7="No aplica"),0,SUM('BOULEVARD 5'!$K145:L145)-$AP452)</f>
        <v>0</v>
      </c>
      <c r="J452" s="716">
        <f>IF(OR(status1B5!K147="",J$7="No aplica"),0,SUM('BOULEVARD 5'!$K145:M145)-$AP452)</f>
        <v>0</v>
      </c>
      <c r="K452" s="716">
        <f>IF(OR(status1B5!L147="",K$7="No aplica"),0,SUM('BOULEVARD 5'!$K145:N145)-$AP452)</f>
        <v>0</v>
      </c>
      <c r="L452" s="716">
        <f>IF(OR(status1B5!M147="",L$7="No aplica"),0,SUM('BOULEVARD 5'!$K145:O145)-$AP452)</f>
        <v>0</v>
      </c>
      <c r="M452" s="716">
        <f>IF(OR(status1B5!N147="",M$7="No aplica"),0,SUM('BOULEVARD 5'!$K145:P145)-$AP452)</f>
        <v>0</v>
      </c>
      <c r="N452" s="716">
        <f>IF(OR(status1B5!O147="",N$7="No aplica"),0,SUM('BOULEVARD 5'!$K145:Q145)-$AP452)</f>
        <v>0</v>
      </c>
      <c r="O452" s="716">
        <f>IF(OR(status1B5!P147="",O$7="No aplica"),0,SUM('BOULEVARD 5'!$K145:R145)-$AP452)</f>
        <v>0</v>
      </c>
      <c r="P452" s="716">
        <f>IF(OR(status1B5!Q147="",P$7="No aplica"),0,SUM('BOULEVARD 5'!$K145:S145)-$AP452)</f>
        <v>0</v>
      </c>
      <c r="Q452" s="716">
        <f>IF(OR(status1B5!R147="",Q$7="No aplica"),0,SUM('BOULEVARD 5'!$K145:T145)-$AP452)</f>
        <v>0</v>
      </c>
      <c r="R452" s="716">
        <f>IF(OR(status1B5!S147="",R$7="No aplica"),0,SUM('BOULEVARD 5'!$K145:U145)-$AP452)</f>
        <v>0</v>
      </c>
      <c r="S452" s="716">
        <f>IF(OR(status1B5!T147="",S$7="No aplica"),0,SUM('BOULEVARD 5'!$K145:V145)-$AP452)</f>
        <v>0</v>
      </c>
      <c r="T452" s="716">
        <f>IF(OR(status1B5!U147="",T$7="No aplica"),0,SUM('BOULEVARD 5'!$K145:W145)-$AP452)</f>
        <v>0</v>
      </c>
      <c r="U452" s="716">
        <f>IF(OR(status1B5!V147="",U$7="No aplica"),0,SUM('BOULEVARD 5'!$K145:X145)-$AP452)</f>
        <v>0</v>
      </c>
      <c r="V452" s="716">
        <f>IF(OR(status1B5!W147="",V$7="No aplica"),0,SUM('BOULEVARD 5'!$K145:Y145)-$AP452)</f>
        <v>0</v>
      </c>
      <c r="W452" s="716">
        <f>IF(OR(status1B5!X147="",W$7="No aplica"),0,SUM('BOULEVARD 5'!$K145:Z145)-$AP452)</f>
        <v>0</v>
      </c>
      <c r="X452" s="716">
        <f>IF(OR(status1B5!Y147="",X$7="No aplica"),0,SUM('BOULEVARD 5'!$K145:AA145)-$AP452)</f>
        <v>-84167.1</v>
      </c>
      <c r="Y452" s="716">
        <f>IF(OR(status1B5!Z147="",Y$7="No aplica"),0,SUM('BOULEVARD 5'!$K145:AB145)-$AP452)</f>
        <v>-84167.1</v>
      </c>
      <c r="Z452" s="716">
        <f>IF(OR(status1B5!AA147="",Z$7="No aplica"),0,SUM('BOULEVARD 5'!$K145:AC145)-$AP452)</f>
        <v>-20.389999999999418</v>
      </c>
      <c r="AA452" s="716">
        <f>IF(OR(status1B5!AB147="",AA$7="No aplica"),0,SUM('BOULEVARD 5'!$K145:AD145)-$AP452)</f>
        <v>-20.389999999999418</v>
      </c>
      <c r="AB452" s="716">
        <f>IF(OR(status1B5!AC147="",AB$7="No aplica"),0,SUM('BOULEVARD 5'!$K145:AE145)-$AP452)</f>
        <v>-20.389999999999418</v>
      </c>
      <c r="AC452" s="716">
        <f>IF(OR(status1B5!AD147="",AC$7="No aplica"),0,SUM('BOULEVARD 5'!$K145:AF145)-$AP452)</f>
        <v>-20.389999999999418</v>
      </c>
      <c r="AD452" s="716">
        <f>IF(OR(status1B5!AE147="",AD$7="No aplica"),0,SUM('BOULEVARD 5'!$K145:AG145)-$AP452)</f>
        <v>-20.389999999999418</v>
      </c>
      <c r="AE452" s="716">
        <f>IF(OR(status1B5!AF147="",AE$7="No aplica"),0,SUM('BOULEVARD 5'!$K145:AH145)-$AP452)</f>
        <v>-20.389999999999418</v>
      </c>
      <c r="AF452" s="716">
        <f>IF(OR(status1B5!AG147="",AF$7="No aplica"),0,SUM('BOULEVARD 5'!$K145:AI145)-$AP452)</f>
        <v>-20.389999999999418</v>
      </c>
      <c r="AG452" s="716">
        <f>IF(OR(status1B5!AH147="",AG$7="No aplica"),0,SUM('BOULEVARD 5'!$K145:AJ145)-$AP452)</f>
        <v>-20.389999999999418</v>
      </c>
      <c r="AH452" s="716">
        <f>IF(OR(status1B5!AI147="",AH$7="No aplica"),0,SUM('BOULEVARD 5'!$K145:AK145)-$AP452)</f>
        <v>-20.389999999999418</v>
      </c>
      <c r="AI452" s="716">
        <f>IF(OR(status1B5!AJ147="",AI$7="No aplica"),0,SUM('BOULEVARD 5'!$K145:AL145)-$AP452)</f>
        <v>-20.389999999999418</v>
      </c>
      <c r="AJ452" s="716">
        <f>IF(OR(status1B5!AK147="",AJ$7="No aplica"),0,SUM('BOULEVARD 5'!$K145:AM145)-$AP452)</f>
        <v>-20.389999999999418</v>
      </c>
      <c r="AK452" s="716">
        <f>IF(OR(status1B5!AL147="",AK$7="No aplica"),0,SUM('BOULEVARD 5'!$K145:AN145)-$AP452)</f>
        <v>-20.389999999999418</v>
      </c>
      <c r="AL452" s="716">
        <f>IF(OR(status1B5!AM147="",AL$7="No aplica"),0,SUM('BOULEVARD 5'!$K145:AO145)-$AP452)</f>
        <v>-20.389999999999418</v>
      </c>
      <c r="AM452" s="716">
        <f>IF(OR(status1B5!AN147="",AM$7="No aplica"),0,SUM('BOULEVARD 5'!$K145:AP145)-$AP452)</f>
        <v>-20.389999999999418</v>
      </c>
      <c r="AN452" s="716">
        <f>IF(OR(status1B5!AO147="",AN$7="No aplica"),0,SUM('BOULEVARD 5'!$K145:AQ145)-$AP452)</f>
        <v>0</v>
      </c>
      <c r="AO452" s="716">
        <f>IF(OR(status1B5!AP147="",AO$7="No aplica"),0,SUM('BOULEVARD 5'!$K145:AS145)-$AP452)</f>
        <v>0</v>
      </c>
      <c r="AP452" s="717">
        <f>'BOULEVARD PPTO'!BC140</f>
        <v>94167.1</v>
      </c>
      <c r="AQ452" s="717">
        <f>'BOULEVARD 5'!AT145</f>
        <v>94146.71</v>
      </c>
      <c r="AR452" s="717">
        <f t="shared" si="170"/>
        <v>-20.389999999999418</v>
      </c>
      <c r="AS452" s="717"/>
      <c r="AT452" s="581"/>
    </row>
    <row r="453" spans="1:46" ht="13.15" customHeight="1" outlineLevel="1" x14ac:dyDescent="0.25">
      <c r="A453" s="700">
        <f t="shared" si="168"/>
        <v>0</v>
      </c>
      <c r="B453" s="564">
        <f t="shared" ref="B453:G453" si="180">B148</f>
        <v>813</v>
      </c>
      <c r="C453" s="564" t="str">
        <f t="shared" si="180"/>
        <v>B6</v>
      </c>
      <c r="D453" s="564">
        <f t="shared" si="180"/>
        <v>0</v>
      </c>
      <c r="E453" s="564" t="str">
        <f t="shared" si="180"/>
        <v>Antonio Rada</v>
      </c>
      <c r="F453" s="581" t="str">
        <f t="shared" si="180"/>
        <v>Industrias Danico, S.A. /  Pedro Cordón}</v>
      </c>
      <c r="G453" s="566">
        <f t="shared" si="180"/>
        <v>45426</v>
      </c>
      <c r="H453" s="716">
        <f>IF(OR(status1B5!I148="",H$7="No aplica"),0,SUM('BOULEVARD 5'!$K146:K146)-$AP453)</f>
        <v>0</v>
      </c>
      <c r="I453" s="716">
        <f>IF(OR(status1B5!J148="",I$7="No aplica"),0,SUM('BOULEVARD 5'!$K146:L146)-$AP453)</f>
        <v>0</v>
      </c>
      <c r="J453" s="716">
        <f>IF(OR(status1B5!K148="",J$7="No aplica"),0,SUM('BOULEVARD 5'!$K146:M146)-$AP453)</f>
        <v>0</v>
      </c>
      <c r="K453" s="716">
        <f>IF(OR(status1B5!L148="",K$7="No aplica"),0,SUM('BOULEVARD 5'!$K146:N146)-$AP453)</f>
        <v>0</v>
      </c>
      <c r="L453" s="716">
        <f>IF(OR(status1B5!M148="",L$7="No aplica"),0,SUM('BOULEVARD 5'!$K146:O146)-$AP453)</f>
        <v>0</v>
      </c>
      <c r="M453" s="716">
        <f>IF(OR(status1B5!N148="",M$7="No aplica"),0,SUM('BOULEVARD 5'!$K146:P146)-$AP453)</f>
        <v>0</v>
      </c>
      <c r="N453" s="716">
        <f>IF(OR(status1B5!O148="",N$7="No aplica"),0,SUM('BOULEVARD 5'!$K146:Q146)-$AP453)</f>
        <v>0</v>
      </c>
      <c r="O453" s="716">
        <f>IF(OR(status1B5!P148="",O$7="No aplica"),0,SUM('BOULEVARD 5'!$K146:R146)-$AP453)</f>
        <v>0</v>
      </c>
      <c r="P453" s="716">
        <f>IF(OR(status1B5!Q148="",P$7="No aplica"),0,SUM('BOULEVARD 5'!$K146:S146)-$AP453)</f>
        <v>0</v>
      </c>
      <c r="Q453" s="716">
        <f>IF(OR(status1B5!R148="",Q$7="No aplica"),0,SUM('BOULEVARD 5'!$K146:T146)-$AP453)</f>
        <v>0</v>
      </c>
      <c r="R453" s="716">
        <f>IF(OR(status1B5!S148="",R$7="No aplica"),0,SUM('BOULEVARD 5'!$K146:U146)-$AP453)</f>
        <v>0</v>
      </c>
      <c r="S453" s="716">
        <f>IF(OR(status1B5!T148="",S$7="No aplica"),0,SUM('BOULEVARD 5'!$K146:V146)-$AP453)</f>
        <v>0</v>
      </c>
      <c r="T453" s="716">
        <f>IF(OR(status1B5!U148="",T$7="No aplica"),0,SUM('BOULEVARD 5'!$K146:W146)-$AP453)</f>
        <v>0</v>
      </c>
      <c r="U453" s="716">
        <f>IF(OR(status1B5!V148="",U$7="No aplica"),0,SUM('BOULEVARD 5'!$K146:X146)-$AP453)</f>
        <v>0</v>
      </c>
      <c r="V453" s="716">
        <f>IF(OR(status1B5!W148="",V$7="No aplica"),0,SUM('BOULEVARD 5'!$K146:Y146)-$AP453)</f>
        <v>-81640</v>
      </c>
      <c r="W453" s="716">
        <f>IF(OR(status1B5!X148="",W$7="No aplica"),0,SUM('BOULEVARD 5'!$K146:Z146)-$AP453)</f>
        <v>-81640</v>
      </c>
      <c r="X453" s="716">
        <f>IF(OR(status1B5!Y148="",X$7="No aplica"),0,SUM('BOULEVARD 5'!$K146:AA146)-$AP453)</f>
        <v>-81640</v>
      </c>
      <c r="Y453" s="716">
        <f>IF(OR(status1B5!Z148="",Y$7="No aplica"),0,SUM('BOULEVARD 5'!$K146:AB146)-$AP453)</f>
        <v>-69394</v>
      </c>
      <c r="Z453" s="716">
        <f>IF(OR(status1B5!AA148="",Z$7="No aplica"),0,SUM('BOULEVARD 5'!$K146:AC146)-$AP453)</f>
        <v>-69394</v>
      </c>
      <c r="AA453" s="716">
        <f>IF(OR(status1B5!AB148="",AA$7="No aplica"),0,SUM('BOULEVARD 5'!$K146:AD146)-$AP453)</f>
        <v>-61230</v>
      </c>
      <c r="AB453" s="716">
        <f>IF(OR(status1B5!AC148="",AB$7="No aplica"),0,SUM('BOULEVARD 5'!$K146:AE146)-$AP453)</f>
        <v>-61230</v>
      </c>
      <c r="AC453" s="716">
        <f>IF(OR(status1B5!AD148="",AC$7="No aplica"),0,SUM('BOULEVARD 5'!$K146:AF146)-$AP453)</f>
        <v>-61230</v>
      </c>
      <c r="AD453" s="716">
        <f>IF(OR(status1B5!AE148="",AD$7="No aplica"),0,SUM('BOULEVARD 5'!$K146:AG146)-$AP453)</f>
        <v>-53066</v>
      </c>
      <c r="AE453" s="716">
        <f>IF(OR(status1B5!AF148="",AE$7="No aplica"),0,SUM('BOULEVARD 5'!$K146:AH146)-$AP453)</f>
        <v>-53066</v>
      </c>
      <c r="AF453" s="716">
        <f>IF(OR(status1B5!AG148="",AF$7="No aplica"),0,SUM('BOULEVARD 5'!$K146:AI146)-$AP453)</f>
        <v>-44902</v>
      </c>
      <c r="AG453" s="716">
        <f>IF(OR(status1B5!AH148="",AG$7="No aplica"),0,SUM('BOULEVARD 5'!$K146:AJ146)-$AP453)</f>
        <v>-44902</v>
      </c>
      <c r="AH453" s="716">
        <f>IF(OR(status1B5!AI148="",AH$7="No aplica"),0,SUM('BOULEVARD 5'!$K146:AK146)-$AP453)</f>
        <v>-36738</v>
      </c>
      <c r="AI453" s="716">
        <f>IF(OR(status1B5!AJ148="",AI$7="No aplica"),0,SUM('BOULEVARD 5'!$K146:AL146)-$AP453)</f>
        <v>-36738</v>
      </c>
      <c r="AJ453" s="716">
        <f>IF(OR(status1B5!AK148="",AJ$7="No aplica"),0,SUM('BOULEVARD 5'!$K146:AM146)-$AP453)</f>
        <v>-36738</v>
      </c>
      <c r="AK453" s="716">
        <f>IF(OR(status1B5!AL148="",AK$7="No aplica"),0,SUM('BOULEVARD 5'!$K146:AN146)-$AP453)</f>
        <v>-24492</v>
      </c>
      <c r="AL453" s="716">
        <f>IF(OR(status1B5!AM148="",AL$7="No aplica"),0,SUM('BOULEVARD 5'!$K146:AO146)-$AP453)</f>
        <v>-24492</v>
      </c>
      <c r="AM453" s="716">
        <f>IF(OR(status1B5!AN148="",AM$7="No aplica"),0,SUM('BOULEVARD 5'!$K146:AP146)-$AP453)</f>
        <v>-12246</v>
      </c>
      <c r="AN453" s="716">
        <f>IF(OR(status1B5!AO148="",AN$7="No aplica"),0,SUM('BOULEVARD 5'!$K146:AQ146)-$AP453)</f>
        <v>0</v>
      </c>
      <c r="AO453" s="716">
        <f>IF(OR(status1B5!AP148="",AO$7="No aplica"),0,SUM('BOULEVARD 5'!$K146:AS146)-$AP453)</f>
        <v>0</v>
      </c>
      <c r="AP453" s="717">
        <f>'BOULEVARD PPTO'!BC141</f>
        <v>89640</v>
      </c>
      <c r="AQ453" s="717">
        <f>'BOULEVARD 5'!AT146</f>
        <v>77394</v>
      </c>
      <c r="AR453" s="717">
        <f t="shared" si="170"/>
        <v>-12246</v>
      </c>
      <c r="AS453" s="717"/>
      <c r="AT453" s="581"/>
    </row>
    <row r="454" spans="1:46" ht="13.15" customHeight="1" outlineLevel="1" x14ac:dyDescent="0.25">
      <c r="A454" s="700">
        <f t="shared" si="168"/>
        <v>0</v>
      </c>
      <c r="B454" s="564">
        <f t="shared" ref="B454:G454" si="181">B149</f>
        <v>814</v>
      </c>
      <c r="C454" s="564" t="str">
        <f t="shared" si="181"/>
        <v>B1</v>
      </c>
      <c r="D454" s="564">
        <f t="shared" si="181"/>
        <v>0</v>
      </c>
      <c r="E454" s="564" t="str">
        <f t="shared" si="181"/>
        <v>Antonio Rada</v>
      </c>
      <c r="F454" s="581" t="str">
        <f t="shared" si="181"/>
        <v>Enma Suselly Lopez Muy</v>
      </c>
      <c r="G454" s="566">
        <f t="shared" si="181"/>
        <v>45250</v>
      </c>
      <c r="H454" s="716">
        <f>IF(OR(status1B5!I149="",H$7="No aplica"),0,SUM('BOULEVARD 5'!$K147:K147)-$AP454)</f>
        <v>0</v>
      </c>
      <c r="I454" s="716">
        <f>IF(OR(status1B5!J149="",I$7="No aplica"),0,SUM('BOULEVARD 5'!$K147:L147)-$AP454)</f>
        <v>0</v>
      </c>
      <c r="J454" s="716">
        <f>IF(OR(status1B5!K149="",J$7="No aplica"),0,SUM('BOULEVARD 5'!$K147:M147)-$AP454)</f>
        <v>0</v>
      </c>
      <c r="K454" s="716">
        <f>IF(OR(status1B5!L149="",K$7="No aplica"),0,SUM('BOULEVARD 5'!$K147:N147)-$AP454)</f>
        <v>0</v>
      </c>
      <c r="L454" s="716">
        <f>IF(OR(status1B5!M149="",L$7="No aplica"),0,SUM('BOULEVARD 5'!$K147:O147)-$AP454)</f>
        <v>0</v>
      </c>
      <c r="M454" s="716">
        <f>IF(OR(status1B5!N149="",M$7="No aplica"),0,SUM('BOULEVARD 5'!$K147:P147)-$AP454)</f>
        <v>0</v>
      </c>
      <c r="N454" s="716">
        <f>IF(OR(status1B5!O149="",N$7="No aplica"),0,SUM('BOULEVARD 5'!$K147:Q147)-$AP454)</f>
        <v>0</v>
      </c>
      <c r="O454" s="716">
        <f>IF(OR(status1B5!P149="",O$7="No aplica"),0,SUM('BOULEVARD 5'!$K147:R147)-$AP454)</f>
        <v>0</v>
      </c>
      <c r="P454" s="716">
        <f>IF(OR(status1B5!Q149="",P$7="No aplica"),0,SUM('BOULEVARD 5'!$K147:S147)-$AP454)</f>
        <v>-82900</v>
      </c>
      <c r="Q454" s="716">
        <f>IF(OR(status1B5!R149="",Q$7="No aplica"),0,SUM('BOULEVARD 5'!$K147:T147)-$AP454)</f>
        <v>-79135</v>
      </c>
      <c r="R454" s="716">
        <f>IF(OR(status1B5!S149="",R$7="No aplica"),0,SUM('BOULEVARD 5'!$K147:U147)-$AP454)</f>
        <v>-75370</v>
      </c>
      <c r="S454" s="716">
        <f>IF(OR(status1B5!T149="",S$7="No aplica"),0,SUM('BOULEVARD 5'!$K147:V147)-$AP454)</f>
        <v>-71605</v>
      </c>
      <c r="T454" s="716">
        <f>IF(OR(status1B5!U149="",T$7="No aplica"),0,SUM('BOULEVARD 5'!$K147:W147)-$AP454)</f>
        <v>-67840</v>
      </c>
      <c r="U454" s="716">
        <f>IF(OR(status1B5!V149="",U$7="No aplica"),0,SUM('BOULEVARD 5'!$K147:X147)-$AP454)</f>
        <v>-64075</v>
      </c>
      <c r="V454" s="716">
        <f>IF(OR(status1B5!W149="",V$7="No aplica"),0,SUM('BOULEVARD 5'!$K147:Y147)-$AP454)</f>
        <v>-60310</v>
      </c>
      <c r="W454" s="716">
        <f>IF(OR(status1B5!X149="",W$7="No aplica"),0,SUM('BOULEVARD 5'!$K147:Z147)-$AP454)</f>
        <v>-56545</v>
      </c>
      <c r="X454" s="716">
        <f>IF(OR(status1B5!Y149="",X$7="No aplica"),0,SUM('BOULEVARD 5'!$K147:AA147)-$AP454)</f>
        <v>-52780</v>
      </c>
      <c r="Y454" s="716">
        <f>IF(OR(status1B5!Z149="",Y$7="No aplica"),0,SUM('BOULEVARD 5'!$K147:AB147)-$AP454)</f>
        <v>-49015</v>
      </c>
      <c r="Z454" s="716">
        <f>IF(OR(status1B5!AA149="",Z$7="No aplica"),0,SUM('BOULEVARD 5'!$K147:AC147)-$AP454)</f>
        <v>-45250</v>
      </c>
      <c r="AA454" s="716">
        <f>IF(OR(status1B5!AB149="",AA$7="No aplica"),0,SUM('BOULEVARD 5'!$K147:AD147)-$AP454)</f>
        <v>-45250</v>
      </c>
      <c r="AB454" s="716">
        <f>IF(OR(status1B5!AC149="",AB$7="No aplica"),0,SUM('BOULEVARD 5'!$K147:AE147)-$AP454)</f>
        <v>-41485</v>
      </c>
      <c r="AC454" s="716">
        <f>IF(OR(status1B5!AD149="",AC$7="No aplica"),0,SUM('BOULEVARD 5'!$K147:AF147)-$AP454)</f>
        <v>-37720</v>
      </c>
      <c r="AD454" s="716">
        <f>IF(OR(status1B5!AE149="",AD$7="No aplica"),0,SUM('BOULEVARD 5'!$K147:AG147)-$AP454)</f>
        <v>-33955</v>
      </c>
      <c r="AE454" s="716">
        <f>IF(OR(status1B5!AF149="",AE$7="No aplica"),0,SUM('BOULEVARD 5'!$K147:AH147)-$AP454)</f>
        <v>-30190</v>
      </c>
      <c r="AF454" s="716">
        <f>IF(OR(status1B5!AG149="",AF$7="No aplica"),0,SUM('BOULEVARD 5'!$K147:AI147)-$AP454)</f>
        <v>-26425</v>
      </c>
      <c r="AG454" s="716">
        <f>IF(OR(status1B5!AH149="",AG$7="No aplica"),0,SUM('BOULEVARD 5'!$K147:AJ147)-$AP454)</f>
        <v>-18895</v>
      </c>
      <c r="AH454" s="716">
        <f>IF(OR(status1B5!AI149="",AH$7="No aplica"),0,SUM('BOULEVARD 5'!$K147:AK147)-$AP454)</f>
        <v>-15130</v>
      </c>
      <c r="AI454" s="716">
        <f>IF(OR(status1B5!AJ149="",AI$7="No aplica"),0,SUM('BOULEVARD 5'!$K147:AL147)-$AP454)</f>
        <v>-11365</v>
      </c>
      <c r="AJ454" s="716">
        <f>IF(OR(status1B5!AK149="",AJ$7="No aplica"),0,SUM('BOULEVARD 5'!$K147:AM147)-$AP454)</f>
        <v>-7600</v>
      </c>
      <c r="AK454" s="716">
        <f>IF(OR(status1B5!AL149="",AK$7="No aplica"),0,SUM('BOULEVARD 5'!$K147:AN147)-$AP454)</f>
        <v>-3835</v>
      </c>
      <c r="AL454" s="716">
        <f>IF(OR(status1B5!AM149="",AL$7="No aplica"),0,SUM('BOULEVARD 5'!$K147:AO147)-$AP454)</f>
        <v>-3835</v>
      </c>
      <c r="AM454" s="716">
        <f>IF(OR(status1B5!AN149="",AM$7="No aplica"),0,SUM('BOULEVARD 5'!$K147:AP147)-$AP454)</f>
        <v>-3835</v>
      </c>
      <c r="AN454" s="716">
        <f>IF(OR(status1B5!AO149="",AN$7="No aplica"),0,SUM('BOULEVARD 5'!$K147:AQ147)-$AP454)</f>
        <v>0</v>
      </c>
      <c r="AO454" s="716">
        <f>IF(OR(status1B5!AP149="",AO$7="No aplica"),0,SUM('BOULEVARD 5'!$K147:AS147)-$AP454)</f>
        <v>0</v>
      </c>
      <c r="AP454" s="717">
        <f>'BOULEVARD PPTO'!BC142</f>
        <v>88400</v>
      </c>
      <c r="AQ454" s="717">
        <f>'BOULEVARD 5'!AT147</f>
        <v>84565</v>
      </c>
      <c r="AR454" s="717">
        <f t="shared" si="170"/>
        <v>-3835</v>
      </c>
      <c r="AS454" s="717"/>
      <c r="AT454" s="581"/>
    </row>
    <row r="455" spans="1:46" ht="13.15" customHeight="1" outlineLevel="1" x14ac:dyDescent="0.25">
      <c r="A455" s="700">
        <f t="shared" si="168"/>
        <v>0</v>
      </c>
      <c r="B455" s="564">
        <f t="shared" ref="B455:G455" si="182">B150</f>
        <v>815</v>
      </c>
      <c r="C455" s="564" t="str">
        <f t="shared" si="182"/>
        <v>E2</v>
      </c>
      <c r="D455" s="564">
        <f t="shared" si="182"/>
        <v>0</v>
      </c>
      <c r="E455" s="564" t="str">
        <f t="shared" si="182"/>
        <v>Antonio Rada</v>
      </c>
      <c r="F455" s="581" t="str">
        <f t="shared" si="182"/>
        <v>Leonora Elizabeth Cordon Arrivillaga</v>
      </c>
      <c r="G455" s="566">
        <f t="shared" si="182"/>
        <v>45342</v>
      </c>
      <c r="H455" s="716">
        <f>IF(OR(status1B5!I150="",H$7="No aplica"),0,SUM('BOULEVARD 5'!$K148:K148)-$AP455)</f>
        <v>0</v>
      </c>
      <c r="I455" s="716">
        <f>IF(OR(status1B5!J150="",I$7="No aplica"),0,SUM('BOULEVARD 5'!$K148:L148)-$AP455)</f>
        <v>0</v>
      </c>
      <c r="J455" s="716">
        <f>IF(OR(status1B5!K150="",J$7="No aplica"),0,SUM('BOULEVARD 5'!$K148:M148)-$AP455)</f>
        <v>0</v>
      </c>
      <c r="K455" s="716">
        <f>IF(OR(status1B5!L150="",K$7="No aplica"),0,SUM('BOULEVARD 5'!$K148:N148)-$AP455)</f>
        <v>0</v>
      </c>
      <c r="L455" s="716">
        <f>IF(OR(status1B5!M150="",L$7="No aplica"),0,SUM('BOULEVARD 5'!$K148:O148)-$AP455)</f>
        <v>0</v>
      </c>
      <c r="M455" s="716">
        <f>IF(OR(status1B5!N150="",M$7="No aplica"),0,SUM('BOULEVARD 5'!$K148:P148)-$AP455)</f>
        <v>0</v>
      </c>
      <c r="N455" s="716">
        <f>IF(OR(status1B5!O150="",N$7="No aplica"),0,SUM('BOULEVARD 5'!$K148:Q148)-$AP455)</f>
        <v>0</v>
      </c>
      <c r="O455" s="716">
        <f>IF(OR(status1B5!P150="",O$7="No aplica"),0,SUM('BOULEVARD 5'!$K148:R148)-$AP455)</f>
        <v>0</v>
      </c>
      <c r="P455" s="716">
        <f>IF(OR(status1B5!Q150="",P$7="No aplica"),0,SUM('BOULEVARD 5'!$K148:S148)-$AP455)</f>
        <v>0</v>
      </c>
      <c r="Q455" s="716">
        <f>IF(OR(status1B5!R150="",Q$7="No aplica"),0,SUM('BOULEVARD 5'!$K148:T148)-$AP455)</f>
        <v>0</v>
      </c>
      <c r="R455" s="716">
        <f>IF(OR(status1B5!S150="",R$7="No aplica"),0,SUM('BOULEVARD 5'!$K148:U148)-$AP455)</f>
        <v>0</v>
      </c>
      <c r="S455" s="716">
        <f>IF(OR(status1B5!T150="",S$7="No aplica"),0,SUM('BOULEVARD 5'!$K148:V148)-$AP455)</f>
        <v>-138400</v>
      </c>
      <c r="T455" s="716">
        <f>IF(OR(status1B5!U150="",T$7="No aplica"),0,SUM('BOULEVARD 5'!$K148:W148)-$AP455)</f>
        <v>-131116</v>
      </c>
      <c r="U455" s="716">
        <f>IF(OR(status1B5!V150="",U$7="No aplica"),0,SUM('BOULEVARD 5'!$K148:X148)-$AP455)</f>
        <v>-123832</v>
      </c>
      <c r="V455" s="716">
        <f>IF(OR(status1B5!W150="",V$7="No aplica"),0,SUM('BOULEVARD 5'!$K148:Y148)-$AP455)</f>
        <v>-116548</v>
      </c>
      <c r="W455" s="716">
        <f>IF(OR(status1B5!X150="",W$7="No aplica"),0,SUM('BOULEVARD 5'!$K148:Z148)-$AP455)</f>
        <v>-109264</v>
      </c>
      <c r="X455" s="716">
        <f>IF(OR(status1B5!Y150="",X$7="No aplica"),0,SUM('BOULEVARD 5'!$K148:AA148)-$AP455)</f>
        <v>-101980</v>
      </c>
      <c r="Y455" s="716">
        <f>IF(OR(status1B5!Z150="",Y$7="No aplica"),0,SUM('BOULEVARD 5'!$K148:AB148)-$AP455)</f>
        <v>-94696</v>
      </c>
      <c r="Z455" s="716">
        <f>IF(OR(status1B5!AA150="",Z$7="No aplica"),0,SUM('BOULEVARD 5'!$K148:AC148)-$AP455)</f>
        <v>-87412</v>
      </c>
      <c r="AA455" s="716">
        <f>IF(OR(status1B5!AB150="",AA$7="No aplica"),0,SUM('BOULEVARD 5'!$K148:AD148)-$AP455)</f>
        <v>-80128</v>
      </c>
      <c r="AB455" s="716">
        <f>IF(OR(status1B5!AC150="",AB$7="No aplica"),0,SUM('BOULEVARD 5'!$K148:AE148)-$AP455)</f>
        <v>-72844</v>
      </c>
      <c r="AC455" s="716">
        <f>IF(OR(status1B5!AD150="",AC$7="No aplica"),0,SUM('BOULEVARD 5'!$K148:AF148)-$AP455)</f>
        <v>-65560</v>
      </c>
      <c r="AD455" s="716">
        <f>IF(OR(status1B5!AE150="",AD$7="No aplica"),0,SUM('BOULEVARD 5'!$K148:AG148)-$AP455)</f>
        <v>-58276</v>
      </c>
      <c r="AE455" s="716">
        <f>IF(OR(status1B5!AF150="",AE$7="No aplica"),0,SUM('BOULEVARD 5'!$K148:AH148)-$AP455)</f>
        <v>-50992</v>
      </c>
      <c r="AF455" s="716">
        <f>IF(OR(status1B5!AG150="",AF$7="No aplica"),0,SUM('BOULEVARD 5'!$K148:AI148)-$AP455)</f>
        <v>-43708</v>
      </c>
      <c r="AG455" s="716">
        <f>IF(OR(status1B5!AH150="",AG$7="No aplica"),0,SUM('BOULEVARD 5'!$K148:AJ148)-$AP455)</f>
        <v>-36424</v>
      </c>
      <c r="AH455" s="716">
        <f>IF(OR(status1B5!AI150="",AH$7="No aplica"),0,SUM('BOULEVARD 5'!$K148:AK148)-$AP455)</f>
        <v>-29140</v>
      </c>
      <c r="AI455" s="716">
        <f>IF(OR(status1B5!AJ150="",AI$7="No aplica"),0,SUM('BOULEVARD 5'!$K148:AL148)-$AP455)</f>
        <v>-21856</v>
      </c>
      <c r="AJ455" s="716">
        <f>IF(OR(status1B5!AK150="",AJ$7="No aplica"),0,SUM('BOULEVARD 5'!$K148:AM148)-$AP455)</f>
        <v>-14572</v>
      </c>
      <c r="AK455" s="716">
        <f>IF(OR(status1B5!AL150="",AK$7="No aplica"),0,SUM('BOULEVARD 5'!$K148:AN148)-$AP455)</f>
        <v>-7288</v>
      </c>
      <c r="AL455" s="716">
        <f>IF(OR(status1B5!AM150="",AL$7="No aplica"),0,SUM('BOULEVARD 5'!$K148:AO148)-$AP455)</f>
        <v>-4</v>
      </c>
      <c r="AM455" s="716">
        <f>IF(OR(status1B5!AN150="",AM$7="No aplica"),0,SUM('BOULEVARD 5'!$K148:AP148)-$AP455)</f>
        <v>7280</v>
      </c>
      <c r="AN455" s="716">
        <f>IF(OR(status1B5!AO150="",AN$7="No aplica"),0,SUM('BOULEVARD 5'!$K148:AQ148)-$AP455)</f>
        <v>0</v>
      </c>
      <c r="AO455" s="716">
        <f>IF(OR(status1B5!AP150="",AO$7="No aplica"),0,SUM('BOULEVARD 5'!$K148:AS148)-$AP455)</f>
        <v>0</v>
      </c>
      <c r="AP455" s="717">
        <f>'BOULEVARD PPTO'!BC143</f>
        <v>146400</v>
      </c>
      <c r="AQ455" s="717">
        <f>'BOULEVARD 5'!AT148</f>
        <v>168248</v>
      </c>
      <c r="AR455" s="717">
        <f t="shared" si="170"/>
        <v>21848</v>
      </c>
      <c r="AS455" s="717"/>
      <c r="AT455" s="581"/>
    </row>
    <row r="456" spans="1:46" ht="13.15" customHeight="1" outlineLevel="1" x14ac:dyDescent="0.25">
      <c r="A456" s="700">
        <f t="shared" si="168"/>
        <v>0</v>
      </c>
      <c r="B456" s="564">
        <f t="shared" ref="B456:G456" si="183">B151</f>
        <v>816</v>
      </c>
      <c r="C456" s="564" t="str">
        <f t="shared" si="183"/>
        <v>A2</v>
      </c>
      <c r="D456" s="564">
        <f t="shared" si="183"/>
        <v>0</v>
      </c>
      <c r="E456" s="564" t="str">
        <f t="shared" si="183"/>
        <v>Brenda Búcaro</v>
      </c>
      <c r="F456" s="581" t="str">
        <f t="shared" si="183"/>
        <v>Coasa, S.A.</v>
      </c>
      <c r="G456" s="566">
        <f t="shared" si="183"/>
        <v>45016</v>
      </c>
      <c r="H456" s="716">
        <f>IF(OR(status1B5!I151="",H$7="No aplica"),0,SUM('BOULEVARD 5'!$K149:K149)-$AP456)</f>
        <v>-59200</v>
      </c>
      <c r="I456" s="716">
        <f>IF(OR(status1B5!J151="",I$7="No aplica"),0,SUM('BOULEVARD 5'!$K149:L149)-$AP456)</f>
        <v>-57500</v>
      </c>
      <c r="J456" s="716">
        <f>IF(OR(status1B5!K151="",J$7="No aplica"),0,SUM('BOULEVARD 5'!$K149:M149)-$AP456)</f>
        <v>-55800</v>
      </c>
      <c r="K456" s="716">
        <f>IF(OR(status1B5!L151="",K$7="No aplica"),0,SUM('BOULEVARD 5'!$K149:N149)-$AP456)</f>
        <v>-54100</v>
      </c>
      <c r="L456" s="716">
        <f>IF(OR(status1B5!M151="",L$7="No aplica"),0,SUM('BOULEVARD 5'!$K149:O149)-$AP456)</f>
        <v>-52400</v>
      </c>
      <c r="M456" s="716">
        <f>IF(OR(status1B5!N151="",M$7="No aplica"),0,SUM('BOULEVARD 5'!$K149:P149)-$AP456)</f>
        <v>-50700</v>
      </c>
      <c r="N456" s="716">
        <f>IF(OR(status1B5!O151="",N$7="No aplica"),0,SUM('BOULEVARD 5'!$K149:Q149)-$AP456)</f>
        <v>-49000</v>
      </c>
      <c r="O456" s="716">
        <f>IF(OR(status1B5!P151="",O$7="No aplica"),0,SUM('BOULEVARD 5'!$K149:R149)-$AP456)</f>
        <v>-47300</v>
      </c>
      <c r="P456" s="716">
        <f>IF(OR(status1B5!Q151="",P$7="No aplica"),0,SUM('BOULEVARD 5'!$K149:S149)-$AP456)</f>
        <v>-45600</v>
      </c>
      <c r="Q456" s="716">
        <f>IF(OR(status1B5!R151="",Q$7="No aplica"),0,SUM('BOULEVARD 5'!$K149:T149)-$AP456)</f>
        <v>-43900</v>
      </c>
      <c r="R456" s="716">
        <f>IF(OR(status1B5!S151="",R$7="No aplica"),0,SUM('BOULEVARD 5'!$K149:U149)-$AP456)</f>
        <v>-42200</v>
      </c>
      <c r="S456" s="716">
        <f>IF(OR(status1B5!T151="",S$7="No aplica"),0,SUM('BOULEVARD 5'!$K149:V149)-$AP456)</f>
        <v>-40500</v>
      </c>
      <c r="T456" s="716">
        <f>IF(OR(status1B5!U151="",T$7="No aplica"),0,SUM('BOULEVARD 5'!$K149:W149)-$AP456)</f>
        <v>-38800</v>
      </c>
      <c r="U456" s="716">
        <f>IF(OR(status1B5!V151="",U$7="No aplica"),0,SUM('BOULEVARD 5'!$K149:X149)-$AP456)</f>
        <v>-37100</v>
      </c>
      <c r="V456" s="716">
        <f>IF(OR(status1B5!W151="",V$7="No aplica"),0,SUM('BOULEVARD 5'!$K149:Y149)-$AP456)</f>
        <v>-35400</v>
      </c>
      <c r="W456" s="716">
        <f>IF(OR(status1B5!X151="",W$7="No aplica"),0,SUM('BOULEVARD 5'!$K149:Z149)-$AP456)</f>
        <v>-33700</v>
      </c>
      <c r="X456" s="716">
        <f>IF(OR(status1B5!Y151="",X$7="No aplica"),0,SUM('BOULEVARD 5'!$K149:AA149)-$AP456)</f>
        <v>-32000</v>
      </c>
      <c r="Y456" s="716">
        <f>IF(OR(status1B5!Z151="",Y$7="No aplica"),0,SUM('BOULEVARD 5'!$K149:AB149)-$AP456)</f>
        <v>-30300</v>
      </c>
      <c r="Z456" s="716">
        <f>IF(OR(status1B5!AA151="",Z$7="No aplica"),0,SUM('BOULEVARD 5'!$K149:AC149)-$AP456)</f>
        <v>-28600</v>
      </c>
      <c r="AA456" s="716">
        <f>IF(OR(status1B5!AB151="",AA$7="No aplica"),0,SUM('BOULEVARD 5'!$K149:AD149)-$AP456)</f>
        <v>-26900</v>
      </c>
      <c r="AB456" s="716">
        <f>IF(OR(status1B5!AC151="",AB$7="No aplica"),0,SUM('BOULEVARD 5'!$K149:AE149)-$AP456)</f>
        <v>-25200</v>
      </c>
      <c r="AC456" s="716">
        <f>IF(OR(status1B5!AD151="",AC$7="No aplica"),0,SUM('BOULEVARD 5'!$K149:AF149)-$AP456)</f>
        <v>-23500</v>
      </c>
      <c r="AD456" s="716">
        <f>IF(OR(status1B5!AE151="",AD$7="No aplica"),0,SUM('BOULEVARD 5'!$K149:AG149)-$AP456)</f>
        <v>-21800</v>
      </c>
      <c r="AE456" s="716">
        <f>IF(OR(status1B5!AF151="",AE$7="No aplica"),0,SUM('BOULEVARD 5'!$K149:AH149)-$AP456)</f>
        <v>-20100</v>
      </c>
      <c r="AF456" s="716">
        <f>IF(OR(status1B5!AG151="",AF$7="No aplica"),0,SUM('BOULEVARD 5'!$K149:AI149)-$AP456)</f>
        <v>-18400</v>
      </c>
      <c r="AG456" s="716">
        <f>IF(OR(status1B5!AH151="",AG$7="No aplica"),0,SUM('BOULEVARD 5'!$K149:AJ149)-$AP456)</f>
        <v>-16700</v>
      </c>
      <c r="AH456" s="716">
        <f>IF(OR(status1B5!AI151="",AH$7="No aplica"),0,SUM('BOULEVARD 5'!$K149:AK149)-$AP456)</f>
        <v>-13300</v>
      </c>
      <c r="AI456" s="716">
        <f>IF(OR(status1B5!AJ151="",AI$7="No aplica"),0,SUM('BOULEVARD 5'!$K149:AL149)-$AP456)</f>
        <v>-13300</v>
      </c>
      <c r="AJ456" s="716">
        <f>IF(OR(status1B5!AK151="",AJ$7="No aplica"),0,SUM('BOULEVARD 5'!$K149:AM149)-$AP456)</f>
        <v>-11600</v>
      </c>
      <c r="AK456" s="716">
        <f>IF(OR(status1B5!AL151="",AK$7="No aplica"),0,SUM('BOULEVARD 5'!$K149:AN149)-$AP456)</f>
        <v>-9900</v>
      </c>
      <c r="AL456" s="716">
        <f>IF(OR(status1B5!AM151="",AL$7="No aplica"),0,SUM('BOULEVARD 5'!$K149:AO149)-$AP456)</f>
        <v>-8200</v>
      </c>
      <c r="AM456" s="716">
        <f>IF(OR(status1B5!AN151="",AM$7="No aplica"),0,SUM('BOULEVARD 5'!$K149:AP149)-$AP456)</f>
        <v>-6500</v>
      </c>
      <c r="AN456" s="716">
        <f>IF(OR(status1B5!AO151="",AN$7="No aplica"),0,SUM('BOULEVARD 5'!$K149:AQ149)-$AP456)</f>
        <v>0</v>
      </c>
      <c r="AO456" s="716">
        <f>IF(OR(status1B5!AP151="",AO$7="No aplica"),0,SUM('BOULEVARD 5'!$K149:AS149)-$AP456)</f>
        <v>0</v>
      </c>
      <c r="AP456" s="717">
        <f>'BOULEVARD PPTO'!BC144</f>
        <v>65200</v>
      </c>
      <c r="AQ456" s="717">
        <f>'BOULEVARD 5'!AT149</f>
        <v>63800</v>
      </c>
      <c r="AR456" s="717">
        <f t="shared" si="170"/>
        <v>-1400</v>
      </c>
      <c r="AS456" s="717"/>
      <c r="AT456" s="581"/>
    </row>
    <row r="457" spans="1:46" ht="13.15" customHeight="1" outlineLevel="1" x14ac:dyDescent="0.25">
      <c r="A457" s="700">
        <f t="shared" si="168"/>
        <v>0</v>
      </c>
      <c r="B457" s="564">
        <f t="shared" ref="B457:G457" si="184">B152</f>
        <v>817</v>
      </c>
      <c r="C457" s="564" t="str">
        <f t="shared" si="184"/>
        <v>A6</v>
      </c>
      <c r="D457" s="564">
        <f t="shared" si="184"/>
        <v>0</v>
      </c>
      <c r="E457" s="564" t="str">
        <f t="shared" si="184"/>
        <v>Brenda Búcaro</v>
      </c>
      <c r="F457" s="581" t="str">
        <f t="shared" si="184"/>
        <v xml:space="preserve"> Juan Antonio Escobedo Del Cid</v>
      </c>
      <c r="G457" s="566">
        <f t="shared" si="184"/>
        <v>45027</v>
      </c>
      <c r="H457" s="716">
        <f>IF(OR(status1B5!I152="",H$7="No aplica"),0,SUM('BOULEVARD 5'!$K150:K150)-$AP457)</f>
        <v>0</v>
      </c>
      <c r="I457" s="716">
        <f>IF(OR(status1B5!J152="",I$7="No aplica"),0,SUM('BOULEVARD 5'!$K150:L150)-$AP457)</f>
        <v>-59732.3</v>
      </c>
      <c r="J457" s="716">
        <f>IF(OR(status1B5!K152="",J$7="No aplica"),0,SUM('BOULEVARD 5'!$K150:M150)-$AP457)</f>
        <v>-59732.3</v>
      </c>
      <c r="K457" s="716">
        <f>IF(OR(status1B5!L152="",K$7="No aplica"),0,SUM('BOULEVARD 5'!$K150:N150)-$AP457)</f>
        <v>-58232.3</v>
      </c>
      <c r="L457" s="716">
        <f>IF(OR(status1B5!M152="",L$7="No aplica"),0,SUM('BOULEVARD 5'!$K150:O150)-$AP457)</f>
        <v>-55232.3</v>
      </c>
      <c r="M457" s="716">
        <f>IF(OR(status1B5!N152="",M$7="No aplica"),0,SUM('BOULEVARD 5'!$K150:P150)-$AP457)</f>
        <v>-53732.3</v>
      </c>
      <c r="N457" s="716">
        <f>IF(OR(status1B5!O152="",N$7="No aplica"),0,SUM('BOULEVARD 5'!$K150:Q150)-$AP457)</f>
        <v>-52232.3</v>
      </c>
      <c r="O457" s="716">
        <f>IF(OR(status1B5!P152="",O$7="No aplica"),0,SUM('BOULEVARD 5'!$K150:R150)-$AP457)</f>
        <v>-50732.3</v>
      </c>
      <c r="P457" s="716">
        <f>IF(OR(status1B5!Q152="",P$7="No aplica"),0,SUM('BOULEVARD 5'!$K150:S150)-$AP457)</f>
        <v>-50732.3</v>
      </c>
      <c r="Q457" s="716">
        <f>IF(OR(status1B5!R152="",Q$7="No aplica"),0,SUM('BOULEVARD 5'!$K150:T150)-$AP457)</f>
        <v>-46232.3</v>
      </c>
      <c r="R457" s="716">
        <f>IF(OR(status1B5!S152="",R$7="No aplica"),0,SUM('BOULEVARD 5'!$K150:U150)-$AP457)</f>
        <v>-46232.3</v>
      </c>
      <c r="S457" s="716">
        <f>IF(OR(status1B5!T152="",S$7="No aplica"),0,SUM('BOULEVARD 5'!$K150:V150)-$AP457)</f>
        <v>-44732.3</v>
      </c>
      <c r="T457" s="716">
        <f>IF(OR(status1B5!U152="",T$7="No aplica"),0,SUM('BOULEVARD 5'!$K150:W150)-$AP457)</f>
        <v>-43232.3</v>
      </c>
      <c r="U457" s="716">
        <f>IF(OR(status1B5!V152="",U$7="No aplica"),0,SUM('BOULEVARD 5'!$K150:X150)-$AP457)</f>
        <v>-40232.300000000003</v>
      </c>
      <c r="V457" s="716">
        <f>IF(OR(status1B5!W152="",V$7="No aplica"),0,SUM('BOULEVARD 5'!$K150:Y150)-$AP457)</f>
        <v>-38732.300000000003</v>
      </c>
      <c r="W457" s="716">
        <f>IF(OR(status1B5!X152="",W$7="No aplica"),0,SUM('BOULEVARD 5'!$K150:Z150)-$AP457)</f>
        <v>-38732.300000000003</v>
      </c>
      <c r="X457" s="716">
        <f>IF(OR(status1B5!Y152="",X$7="No aplica"),0,SUM('BOULEVARD 5'!$K150:AA150)-$AP457)</f>
        <v>-37232.300000000003</v>
      </c>
      <c r="Y457" s="716">
        <f>IF(OR(status1B5!Z152="",Y$7="No aplica"),0,SUM('BOULEVARD 5'!$K150:AB150)-$AP457)</f>
        <v>-35732.300000000003</v>
      </c>
      <c r="Z457" s="716">
        <f>IF(OR(status1B5!AA152="",Z$7="No aplica"),0,SUM('BOULEVARD 5'!$K150:AC150)-$AP457)</f>
        <v>-34232.300000000003</v>
      </c>
      <c r="AA457" s="716">
        <f>IF(OR(status1B5!AB152="",AA$7="No aplica"),0,SUM('BOULEVARD 5'!$K150:AD150)-$AP457)</f>
        <v>-34232.300000000003</v>
      </c>
      <c r="AB457" s="716">
        <f>IF(OR(status1B5!AC152="",AB$7="No aplica"),0,SUM('BOULEVARD 5'!$K150:AE150)-$AP457)</f>
        <v>-32732.300000000003</v>
      </c>
      <c r="AC457" s="716">
        <f>IF(OR(status1B5!AD152="",AC$7="No aplica"),0,SUM('BOULEVARD 5'!$K150:AF150)-$AP457)</f>
        <v>-31232.300000000003</v>
      </c>
      <c r="AD457" s="716">
        <f>IF(OR(status1B5!AE152="",AD$7="No aplica"),0,SUM('BOULEVARD 5'!$K150:AG150)-$AP457)</f>
        <v>-29732.300000000003</v>
      </c>
      <c r="AE457" s="716">
        <f>IF(OR(status1B5!AF152="",AE$7="No aplica"),0,SUM('BOULEVARD 5'!$K150:AH150)-$AP457)</f>
        <v>-28232.300000000003</v>
      </c>
      <c r="AF457" s="716">
        <f>IF(OR(status1B5!AG152="",AF$7="No aplica"),0,SUM('BOULEVARD 5'!$K150:AI150)-$AP457)</f>
        <v>-26732.300000000003</v>
      </c>
      <c r="AG457" s="716">
        <f>IF(OR(status1B5!AH152="",AG$7="No aplica"),0,SUM('BOULEVARD 5'!$K150:AJ150)-$AP457)</f>
        <v>-23732.300000000003</v>
      </c>
      <c r="AH457" s="716">
        <f>IF(OR(status1B5!AI152="",AH$7="No aplica"),0,SUM('BOULEVARD 5'!$K150:AK150)-$AP457)</f>
        <v>-23732.300000000003</v>
      </c>
      <c r="AI457" s="716">
        <f>IF(OR(status1B5!AJ152="",AI$7="No aplica"),0,SUM('BOULEVARD 5'!$K150:AL150)-$AP457)</f>
        <v>-22232.300000000003</v>
      </c>
      <c r="AJ457" s="716">
        <f>IF(OR(status1B5!AK152="",AJ$7="No aplica"),0,SUM('BOULEVARD 5'!$K150:AM150)-$AP457)</f>
        <v>-20732.300000000003</v>
      </c>
      <c r="AK457" s="716">
        <f>IF(OR(status1B5!AL152="",AK$7="No aplica"),0,SUM('BOULEVARD 5'!$K150:AN150)-$AP457)</f>
        <v>-19232.300000000003</v>
      </c>
      <c r="AL457" s="716">
        <f>IF(OR(status1B5!AM152="",AL$7="No aplica"),0,SUM('BOULEVARD 5'!$K150:AO150)-$AP457)</f>
        <v>-17732.300000000003</v>
      </c>
      <c r="AM457" s="716">
        <f>IF(OR(status1B5!AN152="",AM$7="No aplica"),0,SUM('BOULEVARD 5'!$K150:AP150)-$AP457)</f>
        <v>-16232.300000000003</v>
      </c>
      <c r="AN457" s="716">
        <f>IF(OR(status1B5!AO152="",AN$7="No aplica"),0,SUM('BOULEVARD 5'!$K150:AQ150)-$AP457)</f>
        <v>0</v>
      </c>
      <c r="AO457" s="716">
        <f>IF(OR(status1B5!AP152="",AO$7="No aplica"),0,SUM('BOULEVARD 5'!$K150:AS150)-$AP457)</f>
        <v>0</v>
      </c>
      <c r="AP457" s="717">
        <f>'BOULEVARD PPTO'!BC145</f>
        <v>65732.3</v>
      </c>
      <c r="AQ457" s="717">
        <f>'BOULEVARD 5'!AT150</f>
        <v>54000</v>
      </c>
      <c r="AR457" s="717">
        <f t="shared" si="170"/>
        <v>-11732.300000000003</v>
      </c>
      <c r="AS457" s="717"/>
      <c r="AT457" s="581"/>
    </row>
    <row r="458" spans="1:46" ht="13.15" customHeight="1" outlineLevel="1" x14ac:dyDescent="0.25">
      <c r="A458" s="700">
        <f t="shared" si="168"/>
        <v>0</v>
      </c>
      <c r="B458" s="564">
        <f t="shared" ref="B458:G458" si="185">B153</f>
        <v>818</v>
      </c>
      <c r="C458" s="564" t="str">
        <f t="shared" si="185"/>
        <v>A3</v>
      </c>
      <c r="D458" s="564">
        <f t="shared" si="185"/>
        <v>0</v>
      </c>
      <c r="E458" s="564" t="str">
        <f t="shared" si="185"/>
        <v>Brenda Búcaro</v>
      </c>
      <c r="F458" s="581" t="str">
        <f t="shared" si="185"/>
        <v>Astrid Pamela Chew Chávez De Letona</v>
      </c>
      <c r="G458" s="566">
        <f t="shared" si="185"/>
        <v>45125</v>
      </c>
      <c r="H458" s="716">
        <f>IF(OR(status1B5!I153="",H$7="No aplica"),0,SUM('BOULEVARD 5'!$K151:K151)-$AP458)</f>
        <v>0</v>
      </c>
      <c r="I458" s="716">
        <f>IF(OR(status1B5!J153="",I$7="No aplica"),0,SUM('BOULEVARD 5'!$K151:L151)-$AP458)</f>
        <v>0</v>
      </c>
      <c r="J458" s="716">
        <f>IF(OR(status1B5!K153="",J$7="No aplica"),0,SUM('BOULEVARD 5'!$K151:M151)-$AP458)</f>
        <v>0</v>
      </c>
      <c r="K458" s="716">
        <f>IF(OR(status1B5!L153="",K$7="No aplica"),0,SUM('BOULEVARD 5'!$K151:N151)-$AP458)</f>
        <v>0</v>
      </c>
      <c r="L458" s="716">
        <f>IF(OR(status1B5!M153="",L$7="No aplica"),0,SUM('BOULEVARD 5'!$K151:O151)-$AP458)</f>
        <v>-64400</v>
      </c>
      <c r="M458" s="716">
        <f>IF(OR(status1B5!N153="",M$7="No aplica"),0,SUM('BOULEVARD 5'!$K151:P151)-$AP458)</f>
        <v>-61923</v>
      </c>
      <c r="N458" s="716">
        <f>IF(OR(status1B5!O153="",N$7="No aplica"),0,SUM('BOULEVARD 5'!$K151:Q151)-$AP458)</f>
        <v>-59446</v>
      </c>
      <c r="O458" s="716">
        <f>IF(OR(status1B5!P153="",O$7="No aplica"),0,SUM('BOULEVARD 5'!$K151:R151)-$AP458)</f>
        <v>-56969</v>
      </c>
      <c r="P458" s="716">
        <f>IF(OR(status1B5!Q153="",P$7="No aplica"),0,SUM('BOULEVARD 5'!$K151:S151)-$AP458)</f>
        <v>-54492</v>
      </c>
      <c r="Q458" s="716">
        <f>IF(OR(status1B5!R153="",Q$7="No aplica"),0,SUM('BOULEVARD 5'!$K151:T151)-$AP458)</f>
        <v>-52015</v>
      </c>
      <c r="R458" s="716">
        <f>IF(OR(status1B5!S153="",R$7="No aplica"),0,SUM('BOULEVARD 5'!$K151:U151)-$AP458)</f>
        <v>-49538</v>
      </c>
      <c r="S458" s="716">
        <f>IF(OR(status1B5!T153="",S$7="No aplica"),0,SUM('BOULEVARD 5'!$K151:V151)-$AP458)</f>
        <v>-47061</v>
      </c>
      <c r="T458" s="716">
        <f>IF(OR(status1B5!U153="",T$7="No aplica"),0,SUM('BOULEVARD 5'!$K151:W151)-$AP458)</f>
        <v>-44584</v>
      </c>
      <c r="U458" s="716">
        <f>IF(OR(status1B5!V153="",U$7="No aplica"),0,SUM('BOULEVARD 5'!$K151:X151)-$AP458)</f>
        <v>-42107</v>
      </c>
      <c r="V458" s="716">
        <f>IF(OR(status1B5!W153="",V$7="No aplica"),0,SUM('BOULEVARD 5'!$K151:Y151)-$AP458)</f>
        <v>-39630</v>
      </c>
      <c r="W458" s="716">
        <f>IF(OR(status1B5!X153="",W$7="No aplica"),0,SUM('BOULEVARD 5'!$K151:Z151)-$AP458)</f>
        <v>-37153</v>
      </c>
      <c r="X458" s="716">
        <f>IF(OR(status1B5!Y153="",X$7="No aplica"),0,SUM('BOULEVARD 5'!$K151:AA151)-$AP458)</f>
        <v>-34676</v>
      </c>
      <c r="Y458" s="716">
        <f>IF(OR(status1B5!Z153="",Y$7="No aplica"),0,SUM('BOULEVARD 5'!$K151:AB151)-$AP458)</f>
        <v>-32199</v>
      </c>
      <c r="Z458" s="716">
        <f>IF(OR(status1B5!AA153="",Z$7="No aplica"),0,SUM('BOULEVARD 5'!$K151:AC151)-$AP458)</f>
        <v>-29722</v>
      </c>
      <c r="AA458" s="716">
        <f>IF(OR(status1B5!AB153="",AA$7="No aplica"),0,SUM('BOULEVARD 5'!$K151:AD151)-$AP458)</f>
        <v>-27245</v>
      </c>
      <c r="AB458" s="716">
        <f>IF(OR(status1B5!AC153="",AB$7="No aplica"),0,SUM('BOULEVARD 5'!$K151:AE151)-$AP458)</f>
        <v>-24768</v>
      </c>
      <c r="AC458" s="716">
        <f>IF(OR(status1B5!AD153="",AC$7="No aplica"),0,SUM('BOULEVARD 5'!$K151:AF151)-$AP458)</f>
        <v>-22291</v>
      </c>
      <c r="AD458" s="716">
        <f>IF(OR(status1B5!AE153="",AD$7="No aplica"),0,SUM('BOULEVARD 5'!$K151:AG151)-$AP458)</f>
        <v>-19814</v>
      </c>
      <c r="AE458" s="716">
        <f>IF(OR(status1B5!AF153="",AE$7="No aplica"),0,SUM('BOULEVARD 5'!$K151:AH151)-$AP458)</f>
        <v>-17337</v>
      </c>
      <c r="AF458" s="716">
        <f>IF(OR(status1B5!AG153="",AF$7="No aplica"),0,SUM('BOULEVARD 5'!$K151:AI151)-$AP458)</f>
        <v>-14860</v>
      </c>
      <c r="AG458" s="716">
        <f>IF(OR(status1B5!AH153="",AG$7="No aplica"),0,SUM('BOULEVARD 5'!$K151:AJ151)-$AP458)</f>
        <v>-12383</v>
      </c>
      <c r="AH458" s="716">
        <f>IF(OR(status1B5!AI153="",AH$7="No aplica"),0,SUM('BOULEVARD 5'!$K151:AK151)-$AP458)</f>
        <v>-9906</v>
      </c>
      <c r="AI458" s="716">
        <f>IF(OR(status1B5!AJ153="",AI$7="No aplica"),0,SUM('BOULEVARD 5'!$K151:AL151)-$AP458)</f>
        <v>-7429</v>
      </c>
      <c r="AJ458" s="716">
        <f>IF(OR(status1B5!AK153="",AJ$7="No aplica"),0,SUM('BOULEVARD 5'!$K151:AM151)-$AP458)</f>
        <v>-4952</v>
      </c>
      <c r="AK458" s="716">
        <f>IF(OR(status1B5!AL153="",AK$7="No aplica"),0,SUM('BOULEVARD 5'!$K151:AN151)-$AP458)</f>
        <v>-2475</v>
      </c>
      <c r="AL458" s="716">
        <f>IF(OR(status1B5!AM153="",AL$7="No aplica"),0,SUM('BOULEVARD 5'!$K151:AO151)-$AP458)</f>
        <v>2</v>
      </c>
      <c r="AM458" s="716">
        <f>IF(OR(status1B5!AN153="",AM$7="No aplica"),0,SUM('BOULEVARD 5'!$K151:AP151)-$AP458)</f>
        <v>2</v>
      </c>
      <c r="AN458" s="716">
        <f>IF(OR(status1B5!AO153="",AN$7="No aplica"),0,SUM('BOULEVARD 5'!$K151:AQ151)-$AP458)</f>
        <v>0</v>
      </c>
      <c r="AO458" s="716">
        <f>IF(OR(status1B5!AP153="",AO$7="No aplica"),0,SUM('BOULEVARD 5'!$K151:AS151)-$AP458)</f>
        <v>0</v>
      </c>
      <c r="AP458" s="717">
        <f>'BOULEVARD PPTO'!BC146</f>
        <v>70400</v>
      </c>
      <c r="AQ458" s="717">
        <f>'BOULEVARD 5'!AT151</f>
        <v>70402</v>
      </c>
      <c r="AR458" s="717">
        <f t="shared" si="170"/>
        <v>2</v>
      </c>
      <c r="AS458" s="717"/>
      <c r="AT458" s="581"/>
    </row>
    <row r="459" spans="1:46" ht="13.15" customHeight="1" outlineLevel="1" x14ac:dyDescent="0.25">
      <c r="A459" s="700">
        <f t="shared" si="168"/>
        <v>0</v>
      </c>
      <c r="B459" s="564">
        <f t="shared" ref="B459:G459" si="186">B154</f>
        <v>819</v>
      </c>
      <c r="C459" s="564" t="str">
        <f t="shared" si="186"/>
        <v>C3</v>
      </c>
      <c r="D459" s="564">
        <f t="shared" si="186"/>
        <v>0</v>
      </c>
      <c r="E459" s="564" t="str">
        <f t="shared" si="186"/>
        <v>Brenda Búcaro</v>
      </c>
      <c r="F459" s="581" t="str">
        <f t="shared" si="186"/>
        <v>Edvin Eduardo Sajquim Sajquim</v>
      </c>
      <c r="G459" s="566">
        <f t="shared" si="186"/>
        <v>45075</v>
      </c>
      <c r="H459" s="716">
        <f>IF(OR(status1B5!I154="",H$7="No aplica"),0,SUM('BOULEVARD 5'!$K152:K152)-$AP459)</f>
        <v>0</v>
      </c>
      <c r="I459" s="716">
        <f>IF(OR(status1B5!J154="",I$7="No aplica"),0,SUM('BOULEVARD 5'!$K152:L152)-$AP459)</f>
        <v>0</v>
      </c>
      <c r="J459" s="716">
        <f>IF(OR(status1B5!K154="",J$7="No aplica"),0,SUM('BOULEVARD 5'!$K152:M152)-$AP459)</f>
        <v>-90800</v>
      </c>
      <c r="K459" s="716">
        <f>IF(OR(status1B5!L154="",K$7="No aplica"),0,SUM('BOULEVARD 5'!$K152:N152)-$AP459)</f>
        <v>-90800</v>
      </c>
      <c r="L459" s="716">
        <f>IF(OR(status1B5!M154="",L$7="No aplica"),0,SUM('BOULEVARD 5'!$K152:O152)-$AP459)</f>
        <v>-84400</v>
      </c>
      <c r="M459" s="716">
        <f>IF(OR(status1B5!N154="",M$7="No aplica"),0,SUM('BOULEVARD 5'!$K152:P152)-$AP459)</f>
        <v>-81200</v>
      </c>
      <c r="N459" s="716">
        <f>IF(OR(status1B5!O154="",N$7="No aplica"),0,SUM('BOULEVARD 5'!$K152:Q152)-$AP459)</f>
        <v>-78000</v>
      </c>
      <c r="O459" s="716">
        <f>IF(OR(status1B5!P154="",O$7="No aplica"),0,SUM('BOULEVARD 5'!$K152:R152)-$AP459)</f>
        <v>-74800</v>
      </c>
      <c r="P459" s="716">
        <f>IF(OR(status1B5!Q154="",P$7="No aplica"),0,SUM('BOULEVARD 5'!$K152:S152)-$AP459)</f>
        <v>-71600</v>
      </c>
      <c r="Q459" s="716">
        <f>IF(OR(status1B5!R154="",Q$7="No aplica"),0,SUM('BOULEVARD 5'!$K152:T152)-$AP459)</f>
        <v>-68400</v>
      </c>
      <c r="R459" s="716">
        <f>IF(OR(status1B5!S154="",R$7="No aplica"),0,SUM('BOULEVARD 5'!$K152:U152)-$AP459)</f>
        <v>-65200</v>
      </c>
      <c r="S459" s="716">
        <f>IF(OR(status1B5!T154="",S$7="No aplica"),0,SUM('BOULEVARD 5'!$K152:V152)-$AP459)</f>
        <v>-62000</v>
      </c>
      <c r="T459" s="716">
        <f>IF(OR(status1B5!U154="",T$7="No aplica"),0,SUM('BOULEVARD 5'!$K152:W152)-$AP459)</f>
        <v>-58800</v>
      </c>
      <c r="U459" s="716">
        <f>IF(OR(status1B5!V154="",U$7="No aplica"),0,SUM('BOULEVARD 5'!$K152:X152)-$AP459)</f>
        <v>-55600</v>
      </c>
      <c r="V459" s="716">
        <f>IF(OR(status1B5!W154="",V$7="No aplica"),0,SUM('BOULEVARD 5'!$K152:Y152)-$AP459)</f>
        <v>-52400</v>
      </c>
      <c r="W459" s="716">
        <f>IF(OR(status1B5!X154="",W$7="No aplica"),0,SUM('BOULEVARD 5'!$K152:Z152)-$AP459)</f>
        <v>-49200</v>
      </c>
      <c r="X459" s="716">
        <f>IF(OR(status1B5!Y154="",X$7="No aplica"),0,SUM('BOULEVARD 5'!$K152:AA152)-$AP459)</f>
        <v>-46000</v>
      </c>
      <c r="Y459" s="716">
        <f>IF(OR(status1B5!Z154="",Y$7="No aplica"),0,SUM('BOULEVARD 5'!$K152:AB152)-$AP459)</f>
        <v>-42800</v>
      </c>
      <c r="Z459" s="716">
        <f>IF(OR(status1B5!AA154="",Z$7="No aplica"),0,SUM('BOULEVARD 5'!$K152:AC152)-$AP459)</f>
        <v>-39600</v>
      </c>
      <c r="AA459" s="716">
        <f>IF(OR(status1B5!AB154="",AA$7="No aplica"),0,SUM('BOULEVARD 5'!$K152:AD152)-$AP459)</f>
        <v>-36400</v>
      </c>
      <c r="AB459" s="716">
        <f>IF(OR(status1B5!AC154="",AB$7="No aplica"),0,SUM('BOULEVARD 5'!$K152:AE152)-$AP459)</f>
        <v>-33200</v>
      </c>
      <c r="AC459" s="716">
        <f>IF(OR(status1B5!AD154="",AC$7="No aplica"),0,SUM('BOULEVARD 5'!$K152:AF152)-$AP459)</f>
        <v>-30000</v>
      </c>
      <c r="AD459" s="716">
        <f>IF(OR(status1B5!AE154="",AD$7="No aplica"),0,SUM('BOULEVARD 5'!$K152:AG152)-$AP459)</f>
        <v>-26800</v>
      </c>
      <c r="AE459" s="716">
        <f>IF(OR(status1B5!AF154="",AE$7="No aplica"),0,SUM('BOULEVARD 5'!$K152:AH152)-$AP459)</f>
        <v>-23600</v>
      </c>
      <c r="AF459" s="716">
        <f>IF(OR(status1B5!AG154="",AF$7="No aplica"),0,SUM('BOULEVARD 5'!$K152:AI152)-$AP459)</f>
        <v>-20400</v>
      </c>
      <c r="AG459" s="716">
        <f>IF(OR(status1B5!AH154="",AG$7="No aplica"),0,SUM('BOULEVARD 5'!$K152:AJ152)-$AP459)</f>
        <v>-17200</v>
      </c>
      <c r="AH459" s="716">
        <f>IF(OR(status1B5!AI154="",AH$7="No aplica"),0,SUM('BOULEVARD 5'!$K152:AK152)-$AP459)</f>
        <v>-14000</v>
      </c>
      <c r="AI459" s="716">
        <f>IF(OR(status1B5!AJ154="",AI$7="No aplica"),0,SUM('BOULEVARD 5'!$K152:AL152)-$AP459)</f>
        <v>-10800</v>
      </c>
      <c r="AJ459" s="716">
        <f>IF(OR(status1B5!AK154="",AJ$7="No aplica"),0,SUM('BOULEVARD 5'!$K152:AM152)-$AP459)</f>
        <v>-7600</v>
      </c>
      <c r="AK459" s="716">
        <f>IF(OR(status1B5!AL154="",AK$7="No aplica"),0,SUM('BOULEVARD 5'!$K152:AN152)-$AP459)</f>
        <v>-4400</v>
      </c>
      <c r="AL459" s="716">
        <f>IF(OR(status1B5!AM154="",AL$7="No aplica"),0,SUM('BOULEVARD 5'!$K152:AO152)-$AP459)</f>
        <v>-1200</v>
      </c>
      <c r="AM459" s="716">
        <f>IF(OR(status1B5!AN154="",AM$7="No aplica"),0,SUM('BOULEVARD 5'!$K152:AP152)-$AP459)</f>
        <v>2000</v>
      </c>
      <c r="AN459" s="716">
        <f>IF(OR(status1B5!AO154="",AN$7="No aplica"),0,SUM('BOULEVARD 5'!$K152:AQ152)-$AP459)</f>
        <v>0</v>
      </c>
      <c r="AO459" s="716">
        <f>IF(OR(status1B5!AP154="",AO$7="No aplica"),0,SUM('BOULEVARD 5'!$K152:AS152)-$AP459)</f>
        <v>0</v>
      </c>
      <c r="AP459" s="717">
        <f>'BOULEVARD PPTO'!BC147</f>
        <v>96800</v>
      </c>
      <c r="AQ459" s="717">
        <f>'BOULEVARD 5'!AT152</f>
        <v>108400</v>
      </c>
      <c r="AR459" s="717">
        <f t="shared" si="170"/>
        <v>11600</v>
      </c>
      <c r="AS459" s="717"/>
      <c r="AT459" s="581"/>
    </row>
    <row r="460" spans="1:46" ht="13.15" customHeight="1" outlineLevel="1" x14ac:dyDescent="0.25">
      <c r="A460" s="700">
        <f t="shared" si="168"/>
        <v>0</v>
      </c>
      <c r="B460" s="564">
        <f t="shared" ref="B460:G460" si="187">B155</f>
        <v>820</v>
      </c>
      <c r="C460" s="564" t="str">
        <f t="shared" si="187"/>
        <v>C2</v>
      </c>
      <c r="D460" s="564">
        <f t="shared" si="187"/>
        <v>0</v>
      </c>
      <c r="E460" s="564" t="str">
        <f t="shared" si="187"/>
        <v>Antonio Rada</v>
      </c>
      <c r="F460" s="581" t="str">
        <f t="shared" si="187"/>
        <v>Maria Eugenia Ortiz Uck</v>
      </c>
      <c r="G460" s="566">
        <f t="shared" si="187"/>
        <v>45304</v>
      </c>
      <c r="H460" s="716">
        <f>IF(OR(status1B5!I155="",H$7="No aplica"),0,SUM('BOULEVARD 5'!$K153:K153)-$AP460)</f>
        <v>0</v>
      </c>
      <c r="I460" s="716">
        <f>IF(OR(status1B5!J155="",I$7="No aplica"),0,SUM('BOULEVARD 5'!$K153:L153)-$AP460)</f>
        <v>0</v>
      </c>
      <c r="J460" s="716">
        <f>IF(OR(status1B5!K155="",J$7="No aplica"),0,SUM('BOULEVARD 5'!$K153:M153)-$AP460)</f>
        <v>0</v>
      </c>
      <c r="K460" s="716">
        <f>IF(OR(status1B5!L155="",K$7="No aplica"),0,SUM('BOULEVARD 5'!$K153:N153)-$AP460)</f>
        <v>0</v>
      </c>
      <c r="L460" s="716">
        <f>IF(OR(status1B5!M155="",L$7="No aplica"),0,SUM('BOULEVARD 5'!$K153:O153)-$AP460)</f>
        <v>0</v>
      </c>
      <c r="M460" s="716">
        <f>IF(OR(status1B5!N155="",M$7="No aplica"),0,SUM('BOULEVARD 5'!$K153:P153)-$AP460)</f>
        <v>0</v>
      </c>
      <c r="N460" s="716">
        <f>IF(OR(status1B5!O155="",N$7="No aplica"),0,SUM('BOULEVARD 5'!$K153:Q153)-$AP460)</f>
        <v>0</v>
      </c>
      <c r="O460" s="716">
        <f>IF(OR(status1B5!P155="",O$7="No aplica"),0,SUM('BOULEVARD 5'!$K153:R153)-$AP460)</f>
        <v>0</v>
      </c>
      <c r="P460" s="716">
        <f>IF(OR(status1B5!Q155="",P$7="No aplica"),0,SUM('BOULEVARD 5'!$K153:S153)-$AP460)</f>
        <v>0</v>
      </c>
      <c r="Q460" s="716">
        <f>IF(OR(status1B5!R155="",Q$7="No aplica"),0,SUM('BOULEVARD 5'!$K153:T153)-$AP460)</f>
        <v>0</v>
      </c>
      <c r="R460" s="716">
        <f>IF(OR(status1B5!S155="",R$7="No aplica"),0,SUM('BOULEVARD 5'!$K153:U153)-$AP460)</f>
        <v>-91132.5</v>
      </c>
      <c r="S460" s="716">
        <f>IF(OR(status1B5!T155="",S$7="No aplica"),0,SUM('BOULEVARD 5'!$K153:V153)-$AP460)</f>
        <v>-86575.5</v>
      </c>
      <c r="T460" s="716">
        <f>IF(OR(status1B5!U155="",T$7="No aplica"),0,SUM('BOULEVARD 5'!$K153:W153)-$AP460)</f>
        <v>-82018.5</v>
      </c>
      <c r="U460" s="716">
        <f>IF(OR(status1B5!V155="",U$7="No aplica"),0,SUM('BOULEVARD 5'!$K153:X153)-$AP460)</f>
        <v>-77461.5</v>
      </c>
      <c r="V460" s="716">
        <f>IF(OR(status1B5!W155="",V$7="No aplica"),0,SUM('BOULEVARD 5'!$K153:Y153)-$AP460)</f>
        <v>-72904.5</v>
      </c>
      <c r="W460" s="716">
        <f>IF(OR(status1B5!X155="",W$7="No aplica"),0,SUM('BOULEVARD 5'!$K153:Z153)-$AP460)</f>
        <v>-68347.5</v>
      </c>
      <c r="X460" s="716">
        <f>IF(OR(status1B5!Y155="",X$7="No aplica"),0,SUM('BOULEVARD 5'!$K153:AA153)-$AP460)</f>
        <v>-63790.5</v>
      </c>
      <c r="Y460" s="716">
        <f>IF(OR(status1B5!Z155="",Y$7="No aplica"),0,SUM('BOULEVARD 5'!$K153:AB153)-$AP460)</f>
        <v>-59233.5</v>
      </c>
      <c r="Z460" s="716">
        <f>IF(OR(status1B5!AA155="",Z$7="No aplica"),0,SUM('BOULEVARD 5'!$K153:AC153)-$AP460)</f>
        <v>-54676.5</v>
      </c>
      <c r="AA460" s="716">
        <f>IF(OR(status1B5!AB155="",AA$7="No aplica"),0,SUM('BOULEVARD 5'!$K153:AD153)-$AP460)</f>
        <v>-50119.5</v>
      </c>
      <c r="AB460" s="716">
        <f>IF(OR(status1B5!AC155="",AB$7="No aplica"),0,SUM('BOULEVARD 5'!$K153:AE153)-$AP460)</f>
        <v>-45562.5</v>
      </c>
      <c r="AC460" s="716">
        <f>IF(OR(status1B5!AD155="",AC$7="No aplica"),0,SUM('BOULEVARD 5'!$K153:AF153)-$AP460)</f>
        <v>-41005.5</v>
      </c>
      <c r="AD460" s="716">
        <f>IF(OR(status1B5!AE155="",AD$7="No aplica"),0,SUM('BOULEVARD 5'!$K153:AG153)-$AP460)</f>
        <v>-36448.5</v>
      </c>
      <c r="AE460" s="716">
        <f>IF(OR(status1B5!AF155="",AE$7="No aplica"),0,SUM('BOULEVARD 5'!$K153:AH153)-$AP460)</f>
        <v>-31891.5</v>
      </c>
      <c r="AF460" s="716">
        <f>IF(OR(status1B5!AG155="",AF$7="No aplica"),0,SUM('BOULEVARD 5'!$K153:AI153)-$AP460)</f>
        <v>-27334.5</v>
      </c>
      <c r="AG460" s="716">
        <f>IF(OR(status1B5!AH155="",AG$7="No aplica"),0,SUM('BOULEVARD 5'!$K153:AJ153)-$AP460)</f>
        <v>-22777.5</v>
      </c>
      <c r="AH460" s="716">
        <f>IF(OR(status1B5!AI155="",AH$7="No aplica"),0,SUM('BOULEVARD 5'!$K153:AK153)-$AP460)</f>
        <v>-18220.5</v>
      </c>
      <c r="AI460" s="716">
        <f>IF(OR(status1B5!AJ155="",AI$7="No aplica"),0,SUM('BOULEVARD 5'!$K153:AL153)-$AP460)</f>
        <v>-13663.5</v>
      </c>
      <c r="AJ460" s="716">
        <f>IF(OR(status1B5!AK155="",AJ$7="No aplica"),0,SUM('BOULEVARD 5'!$K153:AM153)-$AP460)</f>
        <v>-9106.5</v>
      </c>
      <c r="AK460" s="716">
        <f>IF(OR(status1B5!AL155="",AK$7="No aplica"),0,SUM('BOULEVARD 5'!$K153:AN153)-$AP460)</f>
        <v>-4549.5</v>
      </c>
      <c r="AL460" s="716">
        <f>IF(OR(status1B5!AM155="",AL$7="No aplica"),0,SUM('BOULEVARD 5'!$K153:AO153)-$AP460)</f>
        <v>0</v>
      </c>
      <c r="AM460" s="716">
        <f>IF(OR(status1B5!AN155="",AM$7="No aplica"),0,SUM('BOULEVARD 5'!$K153:AP153)-$AP460)</f>
        <v>0</v>
      </c>
      <c r="AN460" s="716">
        <f>IF(OR(status1B5!AO155="",AN$7="No aplica"),0,SUM('BOULEVARD 5'!$K153:AQ153)-$AP460)</f>
        <v>0</v>
      </c>
      <c r="AO460" s="716">
        <f>IF(OR(status1B5!AP155="",AO$7="No aplica"),0,SUM('BOULEVARD 5'!$K153:AS153)-$AP460)</f>
        <v>0</v>
      </c>
      <c r="AP460" s="717">
        <f>'BOULEVARD PPTO'!BC148</f>
        <v>99132.5</v>
      </c>
      <c r="AQ460" s="717">
        <f>'BOULEVARD 5'!AT153</f>
        <v>99132.5</v>
      </c>
      <c r="AR460" s="717">
        <f t="shared" si="170"/>
        <v>0</v>
      </c>
      <c r="AS460" s="717"/>
      <c r="AT460" s="581"/>
    </row>
    <row r="461" spans="1:46" ht="13.15" customHeight="1" outlineLevel="1" x14ac:dyDescent="0.25">
      <c r="A461" s="700" t="str">
        <f t="shared" si="168"/>
        <v>F&amp;F</v>
      </c>
      <c r="B461" s="704">
        <f t="shared" ref="B461:G461" si="188">B156</f>
        <v>901</v>
      </c>
      <c r="C461" s="704" t="str">
        <f t="shared" si="188"/>
        <v>C4</v>
      </c>
      <c r="D461" s="704">
        <f t="shared" si="188"/>
        <v>0</v>
      </c>
      <c r="E461" s="704" t="str">
        <f t="shared" si="188"/>
        <v>Antonio Rada</v>
      </c>
      <c r="F461" s="705" t="str">
        <f t="shared" si="188"/>
        <v>Monica Arimany Monzon</v>
      </c>
      <c r="G461" s="566">
        <f t="shared" si="188"/>
        <v>45012</v>
      </c>
      <c r="H461" s="716">
        <f>IF(OR(status1B5!I156="",H$7="No aplica"),0,SUM('BOULEVARD 5'!$K154:K154)-$AP461)</f>
        <v>0</v>
      </c>
      <c r="I461" s="716">
        <f>IF(OR(status1B5!J156="",I$7="No aplica"),0,SUM('BOULEVARD 5'!$K154:L154)-$AP461)</f>
        <v>0</v>
      </c>
      <c r="J461" s="716">
        <f>IF(OR(status1B5!K156="",J$7="No aplica"),0,SUM('BOULEVARD 5'!$K154:M154)-$AP461)</f>
        <v>0</v>
      </c>
      <c r="K461" s="716">
        <f>IF(OR(status1B5!L156="",K$7="No aplica"),0,SUM('BOULEVARD 5'!$K154:N154)-$AP461)</f>
        <v>0</v>
      </c>
      <c r="L461" s="716">
        <f>IF(OR(status1B5!M156="",L$7="No aplica"),0,SUM('BOULEVARD 5'!$K154:O154)-$AP461)</f>
        <v>0</v>
      </c>
      <c r="M461" s="716">
        <f>IF(OR(status1B5!N156="",M$7="No aplica"),0,SUM('BOULEVARD 5'!$K154:P154)-$AP461)</f>
        <v>0</v>
      </c>
      <c r="N461" s="716">
        <f>IF(OR(status1B5!O156="",N$7="No aplica"),0,SUM('BOULEVARD 5'!$K154:Q154)-$AP461)</f>
        <v>0</v>
      </c>
      <c r="O461" s="716">
        <f>IF(OR(status1B5!P156="",O$7="No aplica"),0,SUM('BOULEVARD 5'!$K154:R154)-$AP461)</f>
        <v>0</v>
      </c>
      <c r="P461" s="716">
        <f>IF(OR(status1B5!Q156="",P$7="No aplica"),0,SUM('BOULEVARD 5'!$K154:S154)-$AP461)</f>
        <v>0</v>
      </c>
      <c r="Q461" s="716">
        <f>IF(OR(status1B5!R156="",Q$7="No aplica"),0,SUM('BOULEVARD 5'!$K154:T154)-$AP461)</f>
        <v>0</v>
      </c>
      <c r="R461" s="716">
        <f>IF(OR(status1B5!S156="",R$7="No aplica"),0,SUM('BOULEVARD 5'!$K154:U154)-$AP461)</f>
        <v>0</v>
      </c>
      <c r="S461" s="716">
        <f>IF(OR(status1B5!T156="",S$7="No aplica"),0,SUM('BOULEVARD 5'!$K154:V154)-$AP461)</f>
        <v>0</v>
      </c>
      <c r="T461" s="716">
        <f>IF(OR(status1B5!U156="",T$7="No aplica"),0,SUM('BOULEVARD 5'!$K154:W154)-$AP461)</f>
        <v>0</v>
      </c>
      <c r="U461" s="716">
        <f>IF(OR(status1B5!V156="",U$7="No aplica"),0,SUM('BOULEVARD 5'!$K154:X154)-$AP461)</f>
        <v>0</v>
      </c>
      <c r="V461" s="716">
        <f>IF(OR(status1B5!W156="",V$7="No aplica"),0,SUM('BOULEVARD 5'!$K154:Y154)-$AP461)</f>
        <v>0</v>
      </c>
      <c r="W461" s="716">
        <f>IF(OR(status1B5!X156="",W$7="No aplica"),0,SUM('BOULEVARD 5'!$K154:Z154)-$AP461)</f>
        <v>0</v>
      </c>
      <c r="X461" s="716">
        <f>IF(OR(status1B5!Y156="",X$7="No aplica"),0,SUM('BOULEVARD 5'!$K154:AA154)-$AP461)</f>
        <v>0</v>
      </c>
      <c r="Y461" s="716">
        <f>IF(OR(status1B5!Z156="",Y$7="No aplica"),0,SUM('BOULEVARD 5'!$K154:AB154)-$AP461)</f>
        <v>0</v>
      </c>
      <c r="Z461" s="716">
        <f>IF(OR(status1B5!AA156="",Z$7="No aplica"),0,SUM('BOULEVARD 5'!$K154:AC154)-$AP461)</f>
        <v>0</v>
      </c>
      <c r="AA461" s="716">
        <f>IF(OR(status1B5!AB156="",AA$7="No aplica"),0,SUM('BOULEVARD 5'!$K154:AD154)-$AP461)</f>
        <v>0</v>
      </c>
      <c r="AB461" s="716">
        <f>IF(OR(status1B5!AC156="",AB$7="No aplica"),0,SUM('BOULEVARD 5'!$K154:AE154)-$AP461)</f>
        <v>0</v>
      </c>
      <c r="AC461" s="716">
        <f>IF(OR(status1B5!AD156="",AC$7="No aplica"),0,SUM('BOULEVARD 5'!$K154:AF154)-$AP461)</f>
        <v>0</v>
      </c>
      <c r="AD461" s="716">
        <f>IF(OR(status1B5!AE156="",AD$7="No aplica"),0,SUM('BOULEVARD 5'!$K154:AG154)-$AP461)</f>
        <v>0</v>
      </c>
      <c r="AE461" s="716">
        <f>IF(OR(status1B5!AF156="",AE$7="No aplica"),0,SUM('BOULEVARD 5'!$K154:AH154)-$AP461)</f>
        <v>0</v>
      </c>
      <c r="AF461" s="716">
        <f>IF(OR(status1B5!AG156="",AF$7="No aplica"),0,SUM('BOULEVARD 5'!$K154:AI154)-$AP461)</f>
        <v>0</v>
      </c>
      <c r="AG461" s="716">
        <f>IF(OR(status1B5!AH156="",AG$7="No aplica"),0,SUM('BOULEVARD 5'!$K154:AJ154)-$AP461)</f>
        <v>0</v>
      </c>
      <c r="AH461" s="716">
        <f>IF(OR(status1B5!AI156="",AH$7="No aplica"),0,SUM('BOULEVARD 5'!$K154:AK154)-$AP461)</f>
        <v>0</v>
      </c>
      <c r="AI461" s="716">
        <f>IF(OR(status1B5!AJ156="",AI$7="No aplica"),0,SUM('BOULEVARD 5'!$K154:AL154)-$AP461)</f>
        <v>0</v>
      </c>
      <c r="AJ461" s="716">
        <f>IF(OR(status1B5!AK156="",AJ$7="No aplica"),0,SUM('BOULEVARD 5'!$K154:AM154)-$AP461)</f>
        <v>0</v>
      </c>
      <c r="AK461" s="716">
        <f>IF(OR(status1B5!AL156="",AK$7="No aplica"),0,SUM('BOULEVARD 5'!$K154:AN154)-$AP461)</f>
        <v>0</v>
      </c>
      <c r="AL461" s="716">
        <f>IF(OR(status1B5!AM156="",AL$7="No aplica"),0,SUM('BOULEVARD 5'!$K154:AO154)-$AP461)</f>
        <v>0</v>
      </c>
      <c r="AM461" s="716">
        <f>IF(OR(status1B5!AN156="",AM$7="No aplica"),0,SUM('BOULEVARD 5'!$K154:AP154)-$AP461)</f>
        <v>0</v>
      </c>
      <c r="AN461" s="716">
        <f>IF(OR(status1B5!AO156="",AN$7="No aplica"),0,SUM('BOULEVARD 5'!$K154:AQ154)-$AP461)</f>
        <v>0</v>
      </c>
      <c r="AO461" s="716">
        <f>IF(OR(status1B5!AP156="",AO$7="No aplica"),0,SUM('BOULEVARD 5'!$K154:AS154)-$AP461)</f>
        <v>0</v>
      </c>
      <c r="AP461" s="717">
        <f>'BOULEVARD PPTO'!BC149</f>
        <v>108762.84</v>
      </c>
      <c r="AQ461" s="717">
        <f>'BOULEVARD 5'!AT154</f>
        <v>73528</v>
      </c>
      <c r="AR461" s="717">
        <f t="shared" si="170"/>
        <v>-35234.839999999997</v>
      </c>
      <c r="AS461" s="717"/>
      <c r="AT461" s="581"/>
    </row>
    <row r="462" spans="1:46" ht="13.15" customHeight="1" outlineLevel="1" x14ac:dyDescent="0.25">
      <c r="A462" s="700" t="str">
        <f t="shared" si="168"/>
        <v>CE</v>
      </c>
      <c r="B462" s="708">
        <f t="shared" ref="B462:G462" si="189">B157</f>
        <v>902</v>
      </c>
      <c r="C462" s="564" t="str">
        <f t="shared" si="189"/>
        <v>C1</v>
      </c>
      <c r="D462" s="707" t="str">
        <f t="shared" si="189"/>
        <v>ENGANCHE CANCELADO</v>
      </c>
      <c r="E462" s="564" t="str">
        <f t="shared" si="189"/>
        <v>Antonio Rada</v>
      </c>
      <c r="F462" s="581" t="str">
        <f t="shared" si="189"/>
        <v>Waldir Edenilson Contreras Pedroza</v>
      </c>
      <c r="G462" s="566">
        <f t="shared" si="189"/>
        <v>45306</v>
      </c>
      <c r="H462" s="716">
        <f>IF(OR(status1B5!I157="",H$7="No aplica"),0,SUM('BOULEVARD 5'!$K155:K155)-$AP462)</f>
        <v>0</v>
      </c>
      <c r="I462" s="716">
        <f>IF(OR(status1B5!J157="",I$7="No aplica"),0,SUM('BOULEVARD 5'!$K155:L155)-$AP462)</f>
        <v>0</v>
      </c>
      <c r="J462" s="716">
        <f>IF(OR(status1B5!K157="",J$7="No aplica"),0,SUM('BOULEVARD 5'!$K155:M155)-$AP462)</f>
        <v>0</v>
      </c>
      <c r="K462" s="716">
        <f>IF(OR(status1B5!L157="",K$7="No aplica"),0,SUM('BOULEVARD 5'!$K155:N155)-$AP462)</f>
        <v>0</v>
      </c>
      <c r="L462" s="716">
        <f>IF(OR(status1B5!M157="",L$7="No aplica"),0,SUM('BOULEVARD 5'!$K155:O155)-$AP462)</f>
        <v>0</v>
      </c>
      <c r="M462" s="716">
        <f>IF(OR(status1B5!N157="",M$7="No aplica"),0,SUM('BOULEVARD 5'!$K155:P155)-$AP462)</f>
        <v>0</v>
      </c>
      <c r="N462" s="716">
        <f>IF(OR(status1B5!O157="",N$7="No aplica"),0,SUM('BOULEVARD 5'!$K155:Q155)-$AP462)</f>
        <v>0</v>
      </c>
      <c r="O462" s="716">
        <f>IF(OR(status1B5!P157="",O$7="No aplica"),0,SUM('BOULEVARD 5'!$K155:R155)-$AP462)</f>
        <v>0</v>
      </c>
      <c r="P462" s="716">
        <f>IF(OR(status1B5!Q157="",P$7="No aplica"),0,SUM('BOULEVARD 5'!$K155:S155)-$AP462)</f>
        <v>0</v>
      </c>
      <c r="Q462" s="716">
        <f>IF(OR(status1B5!R157="",Q$7="No aplica"),0,SUM('BOULEVARD 5'!$K155:T155)-$AP462)</f>
        <v>0</v>
      </c>
      <c r="R462" s="716">
        <f>IF(OR(status1B5!S157="",R$7="No aplica"),0,SUM('BOULEVARD 5'!$K155:U155)-$AP462)</f>
        <v>-111670</v>
      </c>
      <c r="S462" s="716">
        <f>IF(OR(status1B5!T157="",S$7="No aplica"),0,SUM('BOULEVARD 5'!$K155:V155)-$AP462)</f>
        <v>-101670</v>
      </c>
      <c r="T462" s="716">
        <f>IF(OR(status1B5!U157="",T$7="No aplica"),0,SUM('BOULEVARD 5'!$K155:W155)-$AP462)</f>
        <v>-91670</v>
      </c>
      <c r="U462" s="716">
        <f>IF(OR(status1B5!V157="",U$7="No aplica"),0,SUM('BOULEVARD 5'!$K155:X155)-$AP462)</f>
        <v>-84670</v>
      </c>
      <c r="V462" s="716">
        <f>IF(OR(status1B5!W157="",V$7="No aplica"),0,SUM('BOULEVARD 5'!$K155:Y155)-$AP462)</f>
        <v>-74670</v>
      </c>
      <c r="W462" s="716">
        <f>IF(OR(status1B5!X157="",W$7="No aplica"),0,SUM('BOULEVARD 5'!$K155:Z155)-$AP462)</f>
        <v>-64670</v>
      </c>
      <c r="X462" s="716">
        <f>IF(OR(status1B5!Y157="",X$7="No aplica"),0,SUM('BOULEVARD 5'!$K155:AA155)-$AP462)</f>
        <v>-54670</v>
      </c>
      <c r="Y462" s="716">
        <f>IF(OR(status1B5!Z157="",Y$7="No aplica"),0,SUM('BOULEVARD 5'!$K155:AB155)-$AP462)</f>
        <v>-44670</v>
      </c>
      <c r="Z462" s="716">
        <f>IF(OR(status1B5!AA157="",Z$7="No aplica"),0,SUM('BOULEVARD 5'!$K155:AC155)-$AP462)</f>
        <v>-39670</v>
      </c>
      <c r="AA462" s="716">
        <f>IF(OR(status1B5!AB157="",AA$7="No aplica"),0,SUM('BOULEVARD 5'!$K155:AD155)-$AP462)</f>
        <v>-29670</v>
      </c>
      <c r="AB462" s="716">
        <f>IF(OR(status1B5!AC157="",AB$7="No aplica"),0,SUM('BOULEVARD 5'!$K155:AE155)-$AP462)</f>
        <v>-24670</v>
      </c>
      <c r="AC462" s="716">
        <f>IF(OR(status1B5!AD157="",AC$7="No aplica"),0,SUM('BOULEVARD 5'!$K155:AF155)-$AP462)</f>
        <v>-19670</v>
      </c>
      <c r="AD462" s="716">
        <f>IF(OR(status1B5!AE157="",AD$7="No aplica"),0,SUM('BOULEVARD 5'!$K155:AG155)-$AP462)</f>
        <v>-14670</v>
      </c>
      <c r="AE462" s="716">
        <f>IF(OR(status1B5!AF157="",AE$7="No aplica"),0,SUM('BOULEVARD 5'!$K155:AH155)-$AP462)</f>
        <v>-9670</v>
      </c>
      <c r="AF462" s="716">
        <f>IF(OR(status1B5!AG157="",AF$7="No aplica"),0,SUM('BOULEVARD 5'!$K155:AI155)-$AP462)</f>
        <v>-4670</v>
      </c>
      <c r="AG462" s="716">
        <f>IF(OR(status1B5!AH157="",AG$7="No aplica"),0,SUM('BOULEVARD 5'!$K155:AJ155)-$AP462)</f>
        <v>330</v>
      </c>
      <c r="AH462" s="716">
        <f>IF(OR(status1B5!AI157="",AH$7="No aplica"),0,SUM('BOULEVARD 5'!$K155:AK155)-$AP462)</f>
        <v>330</v>
      </c>
      <c r="AI462" s="716">
        <f>IF(OR(status1B5!AJ157="",AI$7="No aplica"),0,SUM('BOULEVARD 5'!$K155:AL155)-$AP462)</f>
        <v>330</v>
      </c>
      <c r="AJ462" s="716">
        <f>IF(OR(status1B5!AK157="",AJ$7="No aplica"),0,SUM('BOULEVARD 5'!$K155:AM155)-$AP462)</f>
        <v>330</v>
      </c>
      <c r="AK462" s="716">
        <f>IF(OR(status1B5!AL157="",AK$7="No aplica"),0,SUM('BOULEVARD 5'!$K155:AN155)-$AP462)</f>
        <v>330</v>
      </c>
      <c r="AL462" s="716">
        <f>IF(OR(status1B5!AM157="",AL$7="No aplica"),0,SUM('BOULEVARD 5'!$K155:AO155)-$AP462)</f>
        <v>330</v>
      </c>
      <c r="AM462" s="716">
        <f>IF(OR(status1B5!AN157="",AM$7="No aplica"),0,SUM('BOULEVARD 5'!$K155:AP155)-$AP462)</f>
        <v>330</v>
      </c>
      <c r="AN462" s="716">
        <f>IF(OR(status1B5!AO157="",AN$7="No aplica"),0,SUM('BOULEVARD 5'!$K155:AQ155)-$AP462)</f>
        <v>0</v>
      </c>
      <c r="AO462" s="716">
        <f>IF(OR(status1B5!AP157="",AO$7="No aplica"),0,SUM('BOULEVARD 5'!$K155:AS155)-$AP462)</f>
        <v>0</v>
      </c>
      <c r="AP462" s="717">
        <f>'BOULEVARD PPTO'!BC150</f>
        <v>119670</v>
      </c>
      <c r="AQ462" s="717">
        <f>'BOULEVARD 5'!AT155</f>
        <v>120000</v>
      </c>
      <c r="AR462" s="717">
        <f t="shared" si="170"/>
        <v>330</v>
      </c>
      <c r="AS462" s="717"/>
      <c r="AT462" s="581"/>
    </row>
    <row r="463" spans="1:46" ht="13.15" customHeight="1" outlineLevel="1" x14ac:dyDescent="0.25">
      <c r="A463" s="700">
        <f t="shared" si="168"/>
        <v>0</v>
      </c>
      <c r="B463" s="564">
        <f t="shared" ref="B463:G463" si="190">B158</f>
        <v>903</v>
      </c>
      <c r="C463" s="564" t="str">
        <f t="shared" si="190"/>
        <v>A8</v>
      </c>
      <c r="D463" s="564">
        <f t="shared" si="190"/>
        <v>0</v>
      </c>
      <c r="E463" s="564" t="str">
        <f t="shared" si="190"/>
        <v>Jose Franco</v>
      </c>
      <c r="F463" s="581" t="str">
        <f t="shared" si="190"/>
        <v>Vivian Arely Carranza León De Acevedo</v>
      </c>
      <c r="G463" s="566">
        <f t="shared" si="190"/>
        <v>45065</v>
      </c>
      <c r="H463" s="716">
        <f>IF(OR(status1B5!I158="",H$7="No aplica"),0,SUM('BOULEVARD 5'!$K156:K156)-$AP463)</f>
        <v>0</v>
      </c>
      <c r="I463" s="716">
        <f>IF(OR(status1B5!J158="",I$7="No aplica"),0,SUM('BOULEVARD 5'!$K156:L156)-$AP463)</f>
        <v>0</v>
      </c>
      <c r="J463" s="716">
        <f>IF(OR(status1B5!K158="",J$7="No aplica"),0,SUM('BOULEVARD 5'!$K156:M156)-$AP463)</f>
        <v>-64400</v>
      </c>
      <c r="K463" s="716">
        <f>IF(OR(status1B5!L158="",K$7="No aplica"),0,SUM('BOULEVARD 5'!$K156:N156)-$AP463)</f>
        <v>-62100</v>
      </c>
      <c r="L463" s="716">
        <f>IF(OR(status1B5!M158="",L$7="No aplica"),0,SUM('BOULEVARD 5'!$K156:O156)-$AP463)</f>
        <v>-59800</v>
      </c>
      <c r="M463" s="716">
        <f>IF(OR(status1B5!N158="",M$7="No aplica"),0,SUM('BOULEVARD 5'!$K156:P156)-$AP463)</f>
        <v>-57500</v>
      </c>
      <c r="N463" s="716">
        <f>IF(OR(status1B5!O158="",N$7="No aplica"),0,SUM('BOULEVARD 5'!$K156:Q156)-$AP463)</f>
        <v>-55200</v>
      </c>
      <c r="O463" s="716">
        <f>IF(OR(status1B5!P158="",O$7="No aplica"),0,SUM('BOULEVARD 5'!$K156:R156)-$AP463)</f>
        <v>-52900</v>
      </c>
      <c r="P463" s="716">
        <f>IF(OR(status1B5!Q158="",P$7="No aplica"),0,SUM('BOULEVARD 5'!$K156:S156)-$AP463)</f>
        <v>-50600</v>
      </c>
      <c r="Q463" s="716">
        <f>IF(OR(status1B5!R158="",Q$7="No aplica"),0,SUM('BOULEVARD 5'!$K156:T156)-$AP463)</f>
        <v>-46000</v>
      </c>
      <c r="R463" s="716">
        <f>IF(OR(status1B5!S158="",R$7="No aplica"),0,SUM('BOULEVARD 5'!$K156:U156)-$AP463)</f>
        <v>-46000</v>
      </c>
      <c r="S463" s="716">
        <f>IF(OR(status1B5!T158="",S$7="No aplica"),0,SUM('BOULEVARD 5'!$K156:V156)-$AP463)</f>
        <v>-41400</v>
      </c>
      <c r="T463" s="716">
        <f>IF(OR(status1B5!U158="",T$7="No aplica"),0,SUM('BOULEVARD 5'!$K156:W156)-$AP463)</f>
        <v>-41400</v>
      </c>
      <c r="U463" s="716">
        <f>IF(OR(status1B5!V158="",U$7="No aplica"),0,SUM('BOULEVARD 5'!$K156:X156)-$AP463)</f>
        <v>-36800</v>
      </c>
      <c r="V463" s="716">
        <f>IF(OR(status1B5!W158="",V$7="No aplica"),0,SUM('BOULEVARD 5'!$K156:Y156)-$AP463)</f>
        <v>-36800</v>
      </c>
      <c r="W463" s="716">
        <f>IF(OR(status1B5!X158="",W$7="No aplica"),0,SUM('BOULEVARD 5'!$K156:Z156)-$AP463)</f>
        <v>-36800</v>
      </c>
      <c r="X463" s="716">
        <f>IF(OR(status1B5!Y158="",X$7="No aplica"),0,SUM('BOULEVARD 5'!$K156:AA156)-$AP463)</f>
        <v>-32200</v>
      </c>
      <c r="Y463" s="716">
        <f>IF(OR(status1B5!Z158="",Y$7="No aplica"),0,SUM('BOULEVARD 5'!$K156:AB156)-$AP463)</f>
        <v>-27600</v>
      </c>
      <c r="Z463" s="716">
        <f>IF(OR(status1B5!AA158="",Z$7="No aplica"),0,SUM('BOULEVARD 5'!$K156:AC156)-$AP463)</f>
        <v>-27600</v>
      </c>
      <c r="AA463" s="716">
        <f>IF(OR(status1B5!AB158="",AA$7="No aplica"),0,SUM('BOULEVARD 5'!$K156:AD156)-$AP463)</f>
        <v>-27600</v>
      </c>
      <c r="AB463" s="716">
        <f>IF(OR(status1B5!AC158="",AB$7="No aplica"),0,SUM('BOULEVARD 5'!$K156:AE156)-$AP463)</f>
        <v>-23000</v>
      </c>
      <c r="AC463" s="716">
        <f>IF(OR(status1B5!AD158="",AC$7="No aplica"),0,SUM('BOULEVARD 5'!$K156:AF156)-$AP463)</f>
        <v>-23000</v>
      </c>
      <c r="AD463" s="716">
        <f>IF(OR(status1B5!AE158="",AD$7="No aplica"),0,SUM('BOULEVARD 5'!$K156:AG156)-$AP463)</f>
        <v>-18400</v>
      </c>
      <c r="AE463" s="716">
        <f>IF(OR(status1B5!AF158="",AE$7="No aplica"),0,SUM('BOULEVARD 5'!$K156:AH156)-$AP463)</f>
        <v>-16100</v>
      </c>
      <c r="AF463" s="716">
        <f>IF(OR(status1B5!AG158="",AF$7="No aplica"),0,SUM('BOULEVARD 5'!$K156:AI156)-$AP463)</f>
        <v>-11500</v>
      </c>
      <c r="AG463" s="716">
        <f>IF(OR(status1B5!AH158="",AG$7="No aplica"),0,SUM('BOULEVARD 5'!$K156:AJ156)-$AP463)</f>
        <v>-6900</v>
      </c>
      <c r="AH463" s="716">
        <f>IF(OR(status1B5!AI158="",AH$7="No aplica"),0,SUM('BOULEVARD 5'!$K156:AK156)-$AP463)</f>
        <v>-4600</v>
      </c>
      <c r="AI463" s="716">
        <f>IF(OR(status1B5!AJ158="",AI$7="No aplica"),0,SUM('BOULEVARD 5'!$K156:AL156)-$AP463)</f>
        <v>-4600</v>
      </c>
      <c r="AJ463" s="716">
        <f>IF(OR(status1B5!AK158="",AJ$7="No aplica"),0,SUM('BOULEVARD 5'!$K156:AM156)-$AP463)</f>
        <v>0</v>
      </c>
      <c r="AK463" s="716">
        <f>IF(OR(status1B5!AL158="",AK$7="No aplica"),0,SUM('BOULEVARD 5'!$K156:AN156)-$AP463)</f>
        <v>0</v>
      </c>
      <c r="AL463" s="716">
        <f>IF(OR(status1B5!AM158="",AL$7="No aplica"),0,SUM('BOULEVARD 5'!$K156:AO156)-$AP463)</f>
        <v>4600</v>
      </c>
      <c r="AM463" s="716">
        <f>IF(OR(status1B5!AN158="",AM$7="No aplica"),0,SUM('BOULEVARD 5'!$K156:AP156)-$AP463)</f>
        <v>4600</v>
      </c>
      <c r="AN463" s="716">
        <f>IF(OR(status1B5!AO158="",AN$7="No aplica"),0,SUM('BOULEVARD 5'!$K156:AQ156)-$AP463)</f>
        <v>0</v>
      </c>
      <c r="AO463" s="716">
        <f>IF(OR(status1B5!AP158="",AO$7="No aplica"),0,SUM('BOULEVARD 5'!$K156:AS156)-$AP463)</f>
        <v>0</v>
      </c>
      <c r="AP463" s="717">
        <f>'BOULEVARD PPTO'!BC151</f>
        <v>70400</v>
      </c>
      <c r="AQ463" s="717">
        <f>'BOULEVARD 5'!AT156</f>
        <v>75000</v>
      </c>
      <c r="AR463" s="717">
        <f t="shared" si="170"/>
        <v>4600</v>
      </c>
      <c r="AS463" s="717"/>
      <c r="AT463" s="581"/>
    </row>
    <row r="464" spans="1:46" ht="13.15" customHeight="1" outlineLevel="1" x14ac:dyDescent="0.25">
      <c r="A464" s="700">
        <f t="shared" si="168"/>
        <v>0</v>
      </c>
      <c r="B464" s="564">
        <f t="shared" ref="B464:G464" si="191">B159</f>
        <v>904</v>
      </c>
      <c r="C464" s="564" t="str">
        <f t="shared" si="191"/>
        <v>A1</v>
      </c>
      <c r="D464" s="564">
        <f t="shared" si="191"/>
        <v>0</v>
      </c>
      <c r="E464" s="564" t="str">
        <f t="shared" si="191"/>
        <v>Jose Franco</v>
      </c>
      <c r="F464" s="581" t="str">
        <f t="shared" si="191"/>
        <v>Juan José Silva Pacheco</v>
      </c>
      <c r="G464" s="566">
        <f t="shared" si="191"/>
        <v>45062</v>
      </c>
      <c r="H464" s="716">
        <f>IF(OR(status1B5!I159="",H$7="No aplica"),0,SUM('BOULEVARD 5'!$K157:K157)-$AP464)</f>
        <v>0</v>
      </c>
      <c r="I464" s="716">
        <f>IF(OR(status1B5!J159="",I$7="No aplica"),0,SUM('BOULEVARD 5'!$K157:L157)-$AP464)</f>
        <v>0</v>
      </c>
      <c r="J464" s="716">
        <f>IF(OR(status1B5!K159="",J$7="No aplica"),0,SUM('BOULEVARD 5'!$K157:M157)-$AP464)</f>
        <v>-63669.08</v>
      </c>
      <c r="K464" s="716">
        <f>IF(OR(status1B5!L159="",K$7="No aplica"),0,SUM('BOULEVARD 5'!$K157:N157)-$AP464)</f>
        <v>-61373.08</v>
      </c>
      <c r="L464" s="716">
        <f>IF(OR(status1B5!M159="",L$7="No aplica"),0,SUM('BOULEVARD 5'!$K157:O157)-$AP464)</f>
        <v>-59099.08</v>
      </c>
      <c r="M464" s="716">
        <f>IF(OR(status1B5!N159="",M$7="No aplica"),0,SUM('BOULEVARD 5'!$K157:P157)-$AP464)</f>
        <v>-56825.08</v>
      </c>
      <c r="N464" s="716">
        <f>IF(OR(status1B5!O159="",N$7="No aplica"),0,SUM('BOULEVARD 5'!$K157:Q157)-$AP464)</f>
        <v>-54551.08</v>
      </c>
      <c r="O464" s="716">
        <f>IF(OR(status1B5!P159="",O$7="No aplica"),0,SUM('BOULEVARD 5'!$K157:R157)-$AP464)</f>
        <v>-52277.08</v>
      </c>
      <c r="P464" s="716">
        <f>IF(OR(status1B5!Q159="",P$7="No aplica"),0,SUM('BOULEVARD 5'!$K157:S157)-$AP464)</f>
        <v>-50003.08</v>
      </c>
      <c r="Q464" s="716">
        <f>IF(OR(status1B5!R159="",Q$7="No aplica"),0,SUM('BOULEVARD 5'!$K157:T157)-$AP464)</f>
        <v>-47709.08</v>
      </c>
      <c r="R464" s="716">
        <f>IF(OR(status1B5!S159="",R$7="No aplica"),0,SUM('BOULEVARD 5'!$K157:U157)-$AP464)</f>
        <v>-45415.08</v>
      </c>
      <c r="S464" s="716">
        <f>IF(OR(status1B5!T159="",S$7="No aplica"),0,SUM('BOULEVARD 5'!$K157:V157)-$AP464)</f>
        <v>-43141.08</v>
      </c>
      <c r="T464" s="716">
        <f>IF(OR(status1B5!U159="",T$7="No aplica"),0,SUM('BOULEVARD 5'!$K157:W157)-$AP464)</f>
        <v>-40867.08</v>
      </c>
      <c r="U464" s="716">
        <f>IF(OR(status1B5!V159="",U$7="No aplica"),0,SUM('BOULEVARD 5'!$K157:X157)-$AP464)</f>
        <v>-38593.08</v>
      </c>
      <c r="V464" s="716">
        <f>IF(OR(status1B5!W159="",V$7="No aplica"),0,SUM('BOULEVARD 5'!$K157:Y157)-$AP464)</f>
        <v>-36319.08</v>
      </c>
      <c r="W464" s="716">
        <f>IF(OR(status1B5!X159="",W$7="No aplica"),0,SUM('BOULEVARD 5'!$K157:Z157)-$AP464)</f>
        <v>-34045.08</v>
      </c>
      <c r="X464" s="716">
        <f>IF(OR(status1B5!Y159="",X$7="No aplica"),0,SUM('BOULEVARD 5'!$K157:AA157)-$AP464)</f>
        <v>-31771.08</v>
      </c>
      <c r="Y464" s="716">
        <f>IF(OR(status1B5!Z159="",Y$7="No aplica"),0,SUM('BOULEVARD 5'!$K157:AB157)-$AP464)</f>
        <v>-29497.08</v>
      </c>
      <c r="Z464" s="716">
        <f>IF(OR(status1B5!AA159="",Z$7="No aplica"),0,SUM('BOULEVARD 5'!$K157:AC157)-$AP464)</f>
        <v>-27223.08</v>
      </c>
      <c r="AA464" s="716">
        <f>IF(OR(status1B5!AB159="",AA$7="No aplica"),0,SUM('BOULEVARD 5'!$K157:AD157)-$AP464)</f>
        <v>-24949.08</v>
      </c>
      <c r="AB464" s="716">
        <f>IF(OR(status1B5!AC159="",AB$7="No aplica"),0,SUM('BOULEVARD 5'!$K157:AE157)-$AP464)</f>
        <v>-22675.08</v>
      </c>
      <c r="AC464" s="716">
        <f>IF(OR(status1B5!AD159="",AC$7="No aplica"),0,SUM('BOULEVARD 5'!$K157:AF157)-$AP464)</f>
        <v>-20401.080000000002</v>
      </c>
      <c r="AD464" s="716">
        <f>IF(OR(status1B5!AE159="",AD$7="No aplica"),0,SUM('BOULEVARD 5'!$K157:AG157)-$AP464)</f>
        <v>-18127.080000000002</v>
      </c>
      <c r="AE464" s="716">
        <f>IF(OR(status1B5!AF159="",AE$7="No aplica"),0,SUM('BOULEVARD 5'!$K157:AH157)-$AP464)</f>
        <v>-15853.080000000002</v>
      </c>
      <c r="AF464" s="716">
        <f>IF(OR(status1B5!AG159="",AF$7="No aplica"),0,SUM('BOULEVARD 5'!$K157:AI157)-$AP464)</f>
        <v>-13579.080000000002</v>
      </c>
      <c r="AG464" s="716">
        <f>IF(OR(status1B5!AH159="",AG$7="No aplica"),0,SUM('BOULEVARD 5'!$K157:AJ157)-$AP464)</f>
        <v>-11305.080000000002</v>
      </c>
      <c r="AH464" s="716">
        <f>IF(OR(status1B5!AI159="",AH$7="No aplica"),0,SUM('BOULEVARD 5'!$K157:AK157)-$AP464)</f>
        <v>-9031.0800000000017</v>
      </c>
      <c r="AI464" s="716">
        <f>IF(OR(status1B5!AJ159="",AI$7="No aplica"),0,SUM('BOULEVARD 5'!$K157:AL157)-$AP464)</f>
        <v>-6757.0800000000017</v>
      </c>
      <c r="AJ464" s="716">
        <f>IF(OR(status1B5!AK159="",AJ$7="No aplica"),0,SUM('BOULEVARD 5'!$K157:AM157)-$AP464)</f>
        <v>-4483.0800000000017</v>
      </c>
      <c r="AK464" s="716">
        <f>IF(OR(status1B5!AL159="",AK$7="No aplica"),0,SUM('BOULEVARD 5'!$K157:AN157)-$AP464)</f>
        <v>44.919999999998254</v>
      </c>
      <c r="AL464" s="716">
        <f>IF(OR(status1B5!AM159="",AL$7="No aplica"),0,SUM('BOULEVARD 5'!$K157:AO157)-$AP464)</f>
        <v>2316</v>
      </c>
      <c r="AM464" s="716">
        <f>IF(OR(status1B5!AN159="",AM$7="No aplica"),0,SUM('BOULEVARD 5'!$K157:AP157)-$AP464)</f>
        <v>2316</v>
      </c>
      <c r="AN464" s="716">
        <f>IF(OR(status1B5!AO159="",AN$7="No aplica"),0,SUM('BOULEVARD 5'!$K157:AQ157)-$AP464)</f>
        <v>0</v>
      </c>
      <c r="AO464" s="716">
        <f>IF(OR(status1B5!AP159="",AO$7="No aplica"),0,SUM('BOULEVARD 5'!$K157:AS157)-$AP464)</f>
        <v>0</v>
      </c>
      <c r="AP464" s="717">
        <f>'BOULEVARD PPTO'!BC152</f>
        <v>69669.08</v>
      </c>
      <c r="AQ464" s="717">
        <f>'BOULEVARD 5'!AT157</f>
        <v>71985.08</v>
      </c>
      <c r="AR464" s="717">
        <f t="shared" si="170"/>
        <v>2316</v>
      </c>
      <c r="AS464" s="717"/>
      <c r="AT464" s="581"/>
    </row>
    <row r="465" spans="1:46" ht="13.15" customHeight="1" outlineLevel="1" x14ac:dyDescent="0.25">
      <c r="A465" s="700">
        <f t="shared" si="168"/>
        <v>0</v>
      </c>
      <c r="B465" s="564">
        <f t="shared" ref="B465:G465" si="192">B160</f>
        <v>905</v>
      </c>
      <c r="C465" s="564" t="str">
        <f t="shared" si="192"/>
        <v>B5</v>
      </c>
      <c r="D465" s="564">
        <f t="shared" si="192"/>
        <v>0</v>
      </c>
      <c r="E465" s="564" t="str">
        <f t="shared" si="192"/>
        <v>Antonio Rada</v>
      </c>
      <c r="F465" s="581" t="str">
        <f t="shared" si="192"/>
        <v>Roberto Andres Hernandez Benavides</v>
      </c>
      <c r="G465" s="566">
        <f t="shared" si="192"/>
        <v>45473</v>
      </c>
      <c r="H465" s="716">
        <f>IF(OR(status1B5!I160="",H$7="No aplica"),0,SUM('BOULEVARD 5'!$K158:K158)-$AP465)</f>
        <v>0</v>
      </c>
      <c r="I465" s="716">
        <f>IF(OR(status1B5!J160="",I$7="No aplica"),0,SUM('BOULEVARD 5'!$K158:L158)-$AP465)</f>
        <v>0</v>
      </c>
      <c r="J465" s="716">
        <f>IF(OR(status1B5!K160="",J$7="No aplica"),0,SUM('BOULEVARD 5'!$K158:M158)-$AP465)</f>
        <v>0</v>
      </c>
      <c r="K465" s="716">
        <f>IF(OR(status1B5!L160="",K$7="No aplica"),0,SUM('BOULEVARD 5'!$K158:N158)-$AP465)</f>
        <v>0</v>
      </c>
      <c r="L465" s="716">
        <f>IF(OR(status1B5!M160="",L$7="No aplica"),0,SUM('BOULEVARD 5'!$K158:O158)-$AP465)</f>
        <v>0</v>
      </c>
      <c r="M465" s="716">
        <f>IF(OR(status1B5!N160="",M$7="No aplica"),0,SUM('BOULEVARD 5'!$K158:P158)-$AP465)</f>
        <v>0</v>
      </c>
      <c r="N465" s="716">
        <f>IF(OR(status1B5!O160="",N$7="No aplica"),0,SUM('BOULEVARD 5'!$K158:Q158)-$AP465)</f>
        <v>0</v>
      </c>
      <c r="O465" s="716">
        <f>IF(OR(status1B5!P160="",O$7="No aplica"),0,SUM('BOULEVARD 5'!$K158:R158)-$AP465)</f>
        <v>0</v>
      </c>
      <c r="P465" s="716">
        <f>IF(OR(status1B5!Q160="",P$7="No aplica"),0,SUM('BOULEVARD 5'!$K158:S158)-$AP465)</f>
        <v>0</v>
      </c>
      <c r="Q465" s="716">
        <f>IF(OR(status1B5!R160="",Q$7="No aplica"),0,SUM('BOULEVARD 5'!$K158:T158)-$AP465)</f>
        <v>0</v>
      </c>
      <c r="R465" s="716">
        <f>IF(OR(status1B5!S160="",R$7="No aplica"),0,SUM('BOULEVARD 5'!$K158:U158)-$AP465)</f>
        <v>0</v>
      </c>
      <c r="S465" s="716">
        <f>IF(OR(status1B5!T160="",S$7="No aplica"),0,SUM('BOULEVARD 5'!$K158:V158)-$AP465)</f>
        <v>0</v>
      </c>
      <c r="T465" s="716">
        <f>IF(OR(status1B5!U160="",T$7="No aplica"),0,SUM('BOULEVARD 5'!$K158:W158)-$AP465)</f>
        <v>0</v>
      </c>
      <c r="U465" s="716">
        <f>IF(OR(status1B5!V160="",U$7="No aplica"),0,SUM('BOULEVARD 5'!$K158:X158)-$AP465)</f>
        <v>0</v>
      </c>
      <c r="V465" s="716">
        <f>IF(OR(status1B5!W160="",V$7="No aplica"),0,SUM('BOULEVARD 5'!$K158:Y158)-$AP465)</f>
        <v>0</v>
      </c>
      <c r="W465" s="716">
        <f>IF(OR(status1B5!X160="",W$7="No aplica"),0,SUM('BOULEVARD 5'!$K158:Z158)-$AP465)</f>
        <v>-89200</v>
      </c>
      <c r="X465" s="716">
        <f>IF(OR(status1B5!Y160="",X$7="No aplica"),0,SUM('BOULEVARD 5'!$K158:AA158)-$AP465)</f>
        <v>-84200</v>
      </c>
      <c r="Y465" s="716">
        <f>IF(OR(status1B5!Z160="",Y$7="No aplica"),0,SUM('BOULEVARD 5'!$K158:AB158)-$AP465)</f>
        <v>-80424</v>
      </c>
      <c r="Z465" s="716">
        <f>IF(OR(status1B5!AA160="",Z$7="No aplica"),0,SUM('BOULEVARD 5'!$K158:AC158)-$AP465)</f>
        <v>-76648</v>
      </c>
      <c r="AA465" s="716">
        <f>IF(OR(status1B5!AB160="",AA$7="No aplica"),0,SUM('BOULEVARD 5'!$K158:AD158)-$AP465)</f>
        <v>-72872</v>
      </c>
      <c r="AB465" s="716">
        <f>IF(OR(status1B5!AC160="",AB$7="No aplica"),0,SUM('BOULEVARD 5'!$K158:AE158)-$AP465)</f>
        <v>-69096</v>
      </c>
      <c r="AC465" s="716">
        <f>IF(OR(status1B5!AD160="",AC$7="No aplica"),0,SUM('BOULEVARD 5'!$K158:AF158)-$AP465)</f>
        <v>-65321</v>
      </c>
      <c r="AD465" s="716">
        <f>IF(OR(status1B5!AE160="",AD$7="No aplica"),0,SUM('BOULEVARD 5'!$K158:AG158)-$AP465)</f>
        <v>-61546</v>
      </c>
      <c r="AE465" s="716">
        <f>IF(OR(status1B5!AF160="",AE$7="No aplica"),0,SUM('BOULEVARD 5'!$K158:AH158)-$AP465)</f>
        <v>-57771</v>
      </c>
      <c r="AF465" s="716">
        <f>IF(OR(status1B5!AG160="",AF$7="No aplica"),0,SUM('BOULEVARD 5'!$K158:AI158)-$AP465)</f>
        <v>-53996</v>
      </c>
      <c r="AG465" s="716">
        <f>IF(OR(status1B5!AH160="",AG$7="No aplica"),0,SUM('BOULEVARD 5'!$K158:AJ158)-$AP465)</f>
        <v>-50221</v>
      </c>
      <c r="AH465" s="716">
        <f>IF(OR(status1B5!AI160="",AH$7="No aplica"),0,SUM('BOULEVARD 5'!$K158:AK158)-$AP465)</f>
        <v>-46446</v>
      </c>
      <c r="AI465" s="716">
        <f>IF(OR(status1B5!AJ160="",AI$7="No aplica"),0,SUM('BOULEVARD 5'!$K158:AL158)-$AP465)</f>
        <v>-42671</v>
      </c>
      <c r="AJ465" s="716">
        <f>IF(OR(status1B5!AK160="",AJ$7="No aplica"),0,SUM('BOULEVARD 5'!$K158:AM158)-$AP465)</f>
        <v>-22671</v>
      </c>
      <c r="AK465" s="716">
        <f>IF(OR(status1B5!AL160="",AK$7="No aplica"),0,SUM('BOULEVARD 5'!$K158:AN158)-$AP465)</f>
        <v>-18896</v>
      </c>
      <c r="AL465" s="716">
        <f>IF(OR(status1B5!AM160="",AL$7="No aplica"),0,SUM('BOULEVARD 5'!$K158:AO158)-$AP465)</f>
        <v>-15121</v>
      </c>
      <c r="AM465" s="716">
        <f>IF(OR(status1B5!AN160="",AM$7="No aplica"),0,SUM('BOULEVARD 5'!$K158:AP158)-$AP465)</f>
        <v>-11346</v>
      </c>
      <c r="AN465" s="716">
        <f>IF(OR(status1B5!AO160="",AN$7="No aplica"),0,SUM('BOULEVARD 5'!$K158:AQ158)-$AP465)</f>
        <v>0</v>
      </c>
      <c r="AO465" s="716">
        <f>IF(OR(status1B5!AP160="",AO$7="No aplica"),0,SUM('BOULEVARD 5'!$K158:AS158)-$AP465)</f>
        <v>0</v>
      </c>
      <c r="AP465" s="717">
        <f>'BOULEVARD PPTO'!BC153</f>
        <v>94200</v>
      </c>
      <c r="AQ465" s="717">
        <f>'BOULEVARD 5'!AT158</f>
        <v>94200</v>
      </c>
      <c r="AR465" s="717">
        <f t="shared" si="170"/>
        <v>0</v>
      </c>
      <c r="AS465" s="717"/>
      <c r="AT465" s="581"/>
    </row>
    <row r="466" spans="1:46" ht="13.15" customHeight="1" outlineLevel="1" x14ac:dyDescent="0.25">
      <c r="A466" s="700">
        <f t="shared" si="168"/>
        <v>0</v>
      </c>
      <c r="B466" s="564">
        <f t="shared" ref="B466:G466" si="193">B161</f>
        <v>906</v>
      </c>
      <c r="C466" s="564" t="str">
        <f t="shared" si="193"/>
        <v>B8</v>
      </c>
      <c r="D466" s="564">
        <f t="shared" si="193"/>
        <v>0</v>
      </c>
      <c r="E466" s="564" t="str">
        <f t="shared" si="193"/>
        <v>Erwin Cardona</v>
      </c>
      <c r="F466" s="581" t="str">
        <f t="shared" si="193"/>
        <v>Nery Adolfo Ortíz Alvarez</v>
      </c>
      <c r="G466" s="566">
        <f t="shared" si="193"/>
        <v>46000</v>
      </c>
      <c r="H466" s="716">
        <f>IF(OR(status1B5!I161="",H$7="No aplica"),0,SUM('BOULEVARD 5'!$K159:K159)-$AP466)</f>
        <v>0</v>
      </c>
      <c r="I466" s="716">
        <f>IF(OR(status1B5!J161="",I$7="No aplica"),0,SUM('BOULEVARD 5'!$K159:L159)-$AP466)</f>
        <v>0</v>
      </c>
      <c r="J466" s="716">
        <f>IF(OR(status1B5!K161="",J$7="No aplica"),0,SUM('BOULEVARD 5'!$K159:M159)-$AP466)</f>
        <v>0</v>
      </c>
      <c r="K466" s="716">
        <f>IF(OR(status1B5!L161="",K$7="No aplica"),0,SUM('BOULEVARD 5'!$K159:N159)-$AP466)</f>
        <v>0</v>
      </c>
      <c r="L466" s="716">
        <f>IF(OR(status1B5!M161="",L$7="No aplica"),0,SUM('BOULEVARD 5'!$K159:O159)-$AP466)</f>
        <v>0</v>
      </c>
      <c r="M466" s="716">
        <f>IF(OR(status1B5!N161="",M$7="No aplica"),0,SUM('BOULEVARD 5'!$K159:P159)-$AP466)</f>
        <v>0</v>
      </c>
      <c r="N466" s="716">
        <f>IF(OR(status1B5!O161="",N$7="No aplica"),0,SUM('BOULEVARD 5'!$K159:Q159)-$AP466)</f>
        <v>0</v>
      </c>
      <c r="O466" s="716">
        <f>IF(OR(status1B5!P161="",O$7="No aplica"),0,SUM('BOULEVARD 5'!$K159:R159)-$AP466)</f>
        <v>0</v>
      </c>
      <c r="P466" s="716">
        <f>IF(OR(status1B5!Q161="",P$7="No aplica"),0,SUM('BOULEVARD 5'!$K159:S159)-$AP466)</f>
        <v>0</v>
      </c>
      <c r="Q466" s="716">
        <f>IF(OR(status1B5!R161="",Q$7="No aplica"),0,SUM('BOULEVARD 5'!$K159:T159)-$AP466)</f>
        <v>0</v>
      </c>
      <c r="R466" s="716">
        <f>IF(OR(status1B5!S161="",R$7="No aplica"),0,SUM('BOULEVARD 5'!$K159:U159)-$AP466)</f>
        <v>0</v>
      </c>
      <c r="S466" s="716">
        <f>IF(OR(status1B5!T161="",S$7="No aplica"),0,SUM('BOULEVARD 5'!$K159:V159)-$AP466)</f>
        <v>0</v>
      </c>
      <c r="T466" s="716">
        <f>IF(OR(status1B5!U161="",T$7="No aplica"),0,SUM('BOULEVARD 5'!$K159:W159)-$AP466)</f>
        <v>0</v>
      </c>
      <c r="U466" s="716">
        <f>IF(OR(status1B5!V161="",U$7="No aplica"),0,SUM('BOULEVARD 5'!$K159:X159)-$AP466)</f>
        <v>0</v>
      </c>
      <c r="V466" s="716">
        <f>IF(OR(status1B5!W161="",V$7="No aplica"),0,SUM('BOULEVARD 5'!$K159:Y159)-$AP466)</f>
        <v>0</v>
      </c>
      <c r="W466" s="716">
        <f>IF(OR(status1B5!X161="",W$7="No aplica"),0,SUM('BOULEVARD 5'!$K159:Z159)-$AP466)</f>
        <v>0</v>
      </c>
      <c r="X466" s="716">
        <f>IF(OR(status1B5!Y161="",X$7="No aplica"),0,SUM('BOULEVARD 5'!$K159:AA159)-$AP466)</f>
        <v>0</v>
      </c>
      <c r="Y466" s="716">
        <f>IF(OR(status1B5!Z161="",Y$7="No aplica"),0,SUM('BOULEVARD 5'!$K159:AB159)-$AP466)</f>
        <v>0</v>
      </c>
      <c r="Z466" s="716">
        <f>IF(OR(status1B5!AA161="",Z$7="No aplica"),0,SUM('BOULEVARD 5'!$K159:AC159)-$AP466)</f>
        <v>0</v>
      </c>
      <c r="AA466" s="716">
        <f>IF(OR(status1B5!AB161="",AA$7="No aplica"),0,SUM('BOULEVARD 5'!$K159:AD159)-$AP466)</f>
        <v>0</v>
      </c>
      <c r="AB466" s="716">
        <f>IF(OR(status1B5!AC161="",AB$7="No aplica"),0,SUM('BOULEVARD 5'!$K159:AE159)-$AP466)</f>
        <v>0</v>
      </c>
      <c r="AC466" s="716">
        <f>IF(OR(status1B5!AD161="",AC$7="No aplica"),0,SUM('BOULEVARD 5'!$K159:AF159)-$AP466)</f>
        <v>0</v>
      </c>
      <c r="AD466" s="716">
        <f>IF(OR(status1B5!AE161="",AD$7="No aplica"),0,SUM('BOULEVARD 5'!$K159:AG159)-$AP466)</f>
        <v>0</v>
      </c>
      <c r="AE466" s="716">
        <f>IF(OR(status1B5!AF161="",AE$7="No aplica"),0,SUM('BOULEVARD 5'!$K159:AH159)-$AP466)</f>
        <v>0</v>
      </c>
      <c r="AF466" s="716">
        <f>IF(OR(status1B5!AG161="",AF$7="No aplica"),0,SUM('BOULEVARD 5'!$K159:AI159)-$AP466)</f>
        <v>0</v>
      </c>
      <c r="AG466" s="716">
        <f>IF(OR(status1B5!AH161="",AG$7="No aplica"),0,SUM('BOULEVARD 5'!$K159:AJ159)-$AP466)</f>
        <v>0</v>
      </c>
      <c r="AH466" s="716">
        <f>IF(OR(status1B5!AI161="",AH$7="No aplica"),0,SUM('BOULEVARD 5'!$K159:AK159)-$AP466)</f>
        <v>0</v>
      </c>
      <c r="AI466" s="716">
        <f>IF(OR(status1B5!AJ161="",AI$7="No aplica"),0,SUM('BOULEVARD 5'!$K159:AL159)-$AP466)</f>
        <v>0</v>
      </c>
      <c r="AJ466" s="716">
        <f>IF(OR(status1B5!AK161="",AJ$7="No aplica"),0,SUM('BOULEVARD 5'!$K159:AM159)-$AP466)</f>
        <v>0</v>
      </c>
      <c r="AK466" s="716">
        <f>IF(OR(status1B5!AL161="",AK$7="No aplica"),0,SUM('BOULEVARD 5'!$K159:AN159)-$AP466)</f>
        <v>0</v>
      </c>
      <c r="AL466" s="716">
        <f>IF(OR(status1B5!AM161="",AL$7="No aplica"),0,SUM('BOULEVARD 5'!$K159:AO159)-$AP466)</f>
        <v>0</v>
      </c>
      <c r="AM466" s="716">
        <f>IF(OR(status1B5!AN161="",AM$7="No aplica"),0,SUM('BOULEVARD 5'!$K159:AP159)-$AP466)</f>
        <v>0</v>
      </c>
      <c r="AN466" s="716">
        <f>IF(OR(status1B5!AO161="",AN$7="No aplica"),0,SUM('BOULEVARD 5'!$K159:AQ159)-$AP466)</f>
        <v>0</v>
      </c>
      <c r="AO466" s="716">
        <f>IF(OR(status1B5!AP161="",AO$7="No aplica"),0,SUM('BOULEVARD 5'!$K159:AS159)-$AP466)</f>
        <v>0</v>
      </c>
      <c r="AP466" s="717">
        <f>'BOULEVARD PPTO'!BC154</f>
        <v>110344.58</v>
      </c>
      <c r="AQ466" s="717">
        <f>'BOULEVARD 5'!AT159</f>
        <v>10000</v>
      </c>
      <c r="AR466" s="717">
        <f t="shared" si="170"/>
        <v>-100344.58</v>
      </c>
      <c r="AS466" s="717"/>
      <c r="AT466" s="581"/>
    </row>
    <row r="467" spans="1:46" ht="13.15" customHeight="1" outlineLevel="1" x14ac:dyDescent="0.25">
      <c r="A467" s="700" t="str">
        <f t="shared" si="168"/>
        <v>CE</v>
      </c>
      <c r="B467" s="708">
        <f t="shared" ref="B467:G467" si="194">B162</f>
        <v>907</v>
      </c>
      <c r="C467" s="564" t="str">
        <f t="shared" si="194"/>
        <v>B4</v>
      </c>
      <c r="D467" s="647" t="str">
        <f t="shared" si="194"/>
        <v>Plan de pagos especiales, paga en agosto</v>
      </c>
      <c r="E467" s="564" t="str">
        <f t="shared" si="194"/>
        <v>Brenda Búcaro</v>
      </c>
      <c r="F467" s="581" t="str">
        <f t="shared" si="194"/>
        <v>Stephanie Herrera</v>
      </c>
      <c r="G467" s="566">
        <f t="shared" si="194"/>
        <v>45169</v>
      </c>
      <c r="H467" s="716">
        <f>IF(OR(status1B5!I162="",H$7="No aplica"),0,SUM('BOULEVARD 5'!$K160:K160)-$AP467)</f>
        <v>0</v>
      </c>
      <c r="I467" s="716">
        <f>IF(OR(status1B5!J162="",I$7="No aplica"),0,SUM('BOULEVARD 5'!$K160:L160)-$AP467)</f>
        <v>0</v>
      </c>
      <c r="J467" s="716">
        <f>IF(OR(status1B5!K162="",J$7="No aplica"),0,SUM('BOULEVARD 5'!$K160:M160)-$AP467)</f>
        <v>0</v>
      </c>
      <c r="K467" s="716">
        <f>IF(OR(status1B5!L162="",K$7="No aplica"),0,SUM('BOULEVARD 5'!$K160:N160)-$AP467)</f>
        <v>0</v>
      </c>
      <c r="L467" s="716">
        <f>IF(OR(status1B5!M162="",L$7="No aplica"),0,SUM('BOULEVARD 5'!$K160:O160)-$AP467)</f>
        <v>0</v>
      </c>
      <c r="M467" s="716">
        <f>IF(OR(status1B5!N162="",M$7="No aplica"),0,SUM('BOULEVARD 5'!$K160:P160)-$AP467)</f>
        <v>-80200</v>
      </c>
      <c r="N467" s="716">
        <f>IF(OR(status1B5!O162="",N$7="No aplica"),0,SUM('BOULEVARD 5'!$K160:Q160)-$AP467)</f>
        <v>-80200</v>
      </c>
      <c r="O467" s="716">
        <f>IF(OR(status1B5!P162="",O$7="No aplica"),0,SUM('BOULEVARD 5'!$K160:R160)-$AP467)</f>
        <v>-80200</v>
      </c>
      <c r="P467" s="716">
        <f>IF(OR(status1B5!Q162="",P$7="No aplica"),0,SUM('BOULEVARD 5'!$K160:S160)-$AP467)</f>
        <v>-80200</v>
      </c>
      <c r="Q467" s="716">
        <f>IF(OR(status1B5!R162="",Q$7="No aplica"),0,SUM('BOULEVARD 5'!$K160:T160)-$AP467)</f>
        <v>-80200</v>
      </c>
      <c r="R467" s="716">
        <f>IF(OR(status1B5!S162="",R$7="No aplica"),0,SUM('BOULEVARD 5'!$K160:U160)-$AP467)</f>
        <v>-80200</v>
      </c>
      <c r="S467" s="716">
        <f>IF(OR(status1B5!T162="",S$7="No aplica"),0,SUM('BOULEVARD 5'!$K160:V160)-$AP467)</f>
        <v>-59700</v>
      </c>
      <c r="T467" s="716">
        <f>IF(OR(status1B5!U162="",T$7="No aplica"),0,SUM('BOULEVARD 5'!$K160:W160)-$AP467)</f>
        <v>-59700</v>
      </c>
      <c r="U467" s="716">
        <f>IF(OR(status1B5!V162="",U$7="No aplica"),0,SUM('BOULEVARD 5'!$K160:X160)-$AP467)</f>
        <v>-59700</v>
      </c>
      <c r="V467" s="716">
        <f>IF(OR(status1B5!W162="",V$7="No aplica"),0,SUM('BOULEVARD 5'!$K160:Y160)-$AP467)</f>
        <v>-59700</v>
      </c>
      <c r="W467" s="716">
        <f>IF(OR(status1B5!X162="",W$7="No aplica"),0,SUM('BOULEVARD 5'!$K160:Z160)-$AP467)</f>
        <v>-59700</v>
      </c>
      <c r="X467" s="716">
        <f>IF(OR(status1B5!Y162="",X$7="No aplica"),0,SUM('BOULEVARD 5'!$K160:AA160)-$AP467)</f>
        <v>-59700</v>
      </c>
      <c r="Y467" s="716">
        <f>IF(OR(status1B5!Z162="",Y$7="No aplica"),0,SUM('BOULEVARD 5'!$K160:AB160)-$AP467)</f>
        <v>-59700</v>
      </c>
      <c r="Z467" s="716">
        <f>IF(OR(status1B5!AA162="",Z$7="No aplica"),0,SUM('BOULEVARD 5'!$K160:AC160)-$AP467)</f>
        <v>-39200</v>
      </c>
      <c r="AA467" s="716">
        <f>IF(OR(status1B5!AB162="",AA$7="No aplica"),0,SUM('BOULEVARD 5'!$K160:AD160)-$AP467)</f>
        <v>-39200</v>
      </c>
      <c r="AB467" s="716">
        <f>IF(OR(status1B5!AC162="",AB$7="No aplica"),0,SUM('BOULEVARD 5'!$K160:AE160)-$AP467)</f>
        <v>-39200</v>
      </c>
      <c r="AC467" s="716">
        <f>IF(OR(status1B5!AD162="",AC$7="No aplica"),0,SUM('BOULEVARD 5'!$K160:AF160)-$AP467)</f>
        <v>-39200</v>
      </c>
      <c r="AD467" s="716">
        <f>IF(OR(status1B5!AE162="",AD$7="No aplica"),0,SUM('BOULEVARD 5'!$K160:AG160)-$AP467)</f>
        <v>-39200</v>
      </c>
      <c r="AE467" s="716">
        <f>IF(OR(status1B5!AF162="",AE$7="No aplica"),0,SUM('BOULEVARD 5'!$K160:AH160)-$AP467)</f>
        <v>-18700</v>
      </c>
      <c r="AF467" s="716">
        <f>IF(OR(status1B5!AG162="",AF$7="No aplica"),0,SUM('BOULEVARD 5'!$K160:AI160)-$AP467)</f>
        <v>-18700</v>
      </c>
      <c r="AG467" s="716">
        <f>IF(OR(status1B5!AH162="",AG$7="No aplica"),0,SUM('BOULEVARD 5'!$K160:AJ160)-$AP467)</f>
        <v>-18700</v>
      </c>
      <c r="AH467" s="716">
        <f>IF(OR(status1B5!AI162="",AH$7="No aplica"),0,SUM('BOULEVARD 5'!$K160:AK160)-$AP467)</f>
        <v>-18700</v>
      </c>
      <c r="AI467" s="716">
        <f>IF(OR(status1B5!AJ162="",AI$7="No aplica"),0,SUM('BOULEVARD 5'!$K160:AL160)-$AP467)</f>
        <v>-18700</v>
      </c>
      <c r="AJ467" s="716">
        <f>IF(OR(status1B5!AK162="",AJ$7="No aplica"),0,SUM('BOULEVARD 5'!$K160:AM160)-$AP467)</f>
        <v>-18700</v>
      </c>
      <c r="AK467" s="716">
        <f>IF(OR(status1B5!AL162="",AK$7="No aplica"),0,SUM('BOULEVARD 5'!$K160:AN160)-$AP467)</f>
        <v>-18700</v>
      </c>
      <c r="AL467" s="716">
        <f>IF(OR(status1B5!AM162="",AL$7="No aplica"),0,SUM('BOULEVARD 5'!$K160:AO160)-$AP467)</f>
        <v>1800</v>
      </c>
      <c r="AM467" s="716">
        <f>IF(OR(status1B5!AN162="",AM$7="No aplica"),0,SUM('BOULEVARD 5'!$K160:AP160)-$AP467)</f>
        <v>1800</v>
      </c>
      <c r="AN467" s="716">
        <f>IF(OR(status1B5!AO162="",AN$7="No aplica"),0,SUM('BOULEVARD 5'!$K160:AQ160)-$AP467)</f>
        <v>0</v>
      </c>
      <c r="AO467" s="716">
        <f>IF(OR(status1B5!AP162="",AO$7="No aplica"),0,SUM('BOULEVARD 5'!$K160:AS160)-$AP467)</f>
        <v>0</v>
      </c>
      <c r="AP467" s="717">
        <f>'BOULEVARD PPTO'!BC155</f>
        <v>90200</v>
      </c>
      <c r="AQ467" s="717">
        <f>'BOULEVARD 5'!AT160</f>
        <v>92000</v>
      </c>
      <c r="AR467" s="717">
        <f t="shared" si="170"/>
        <v>1800</v>
      </c>
      <c r="AS467" s="717"/>
      <c r="AT467" s="581"/>
    </row>
    <row r="468" spans="1:46" ht="13.15" customHeight="1" outlineLevel="1" x14ac:dyDescent="0.25">
      <c r="A468" s="700">
        <f t="shared" si="168"/>
        <v>0</v>
      </c>
      <c r="B468" s="564">
        <f t="shared" ref="B468:G468" si="195">B163</f>
        <v>908</v>
      </c>
      <c r="C468" s="564" t="str">
        <f t="shared" si="195"/>
        <v>B3</v>
      </c>
      <c r="D468" s="564">
        <f t="shared" si="195"/>
        <v>0</v>
      </c>
      <c r="E468" s="564" t="str">
        <f t="shared" si="195"/>
        <v>Antonio Rada</v>
      </c>
      <c r="F468" s="581" t="str">
        <f t="shared" si="195"/>
        <v>Jorge Pablo Gonzalez Oordoñez</v>
      </c>
      <c r="G468" s="566">
        <f t="shared" si="195"/>
        <v>45316</v>
      </c>
      <c r="H468" s="716">
        <f>IF(OR(status1B5!I163="",H$7="No aplica"),0,SUM('BOULEVARD 5'!$K161:K161)-$AP468)</f>
        <v>0</v>
      </c>
      <c r="I468" s="716">
        <f>IF(OR(status1B5!J163="",I$7="No aplica"),0,SUM('BOULEVARD 5'!$K161:L161)-$AP468)</f>
        <v>0</v>
      </c>
      <c r="J468" s="716">
        <f>IF(OR(status1B5!K163="",J$7="No aplica"),0,SUM('BOULEVARD 5'!$K161:M161)-$AP468)</f>
        <v>0</v>
      </c>
      <c r="K468" s="716">
        <f>IF(OR(status1B5!L163="",K$7="No aplica"),0,SUM('BOULEVARD 5'!$K161:N161)-$AP468)</f>
        <v>0</v>
      </c>
      <c r="L468" s="716">
        <f>IF(OR(status1B5!M163="",L$7="No aplica"),0,SUM('BOULEVARD 5'!$K161:O161)-$AP468)</f>
        <v>0</v>
      </c>
      <c r="M468" s="716">
        <f>IF(OR(status1B5!N163="",M$7="No aplica"),0,SUM('BOULEVARD 5'!$K161:P161)-$AP468)</f>
        <v>0</v>
      </c>
      <c r="N468" s="716">
        <f>IF(OR(status1B5!O163="",N$7="No aplica"),0,SUM('BOULEVARD 5'!$K161:Q161)-$AP468)</f>
        <v>0</v>
      </c>
      <c r="O468" s="716">
        <f>IF(OR(status1B5!P163="",O$7="No aplica"),0,SUM('BOULEVARD 5'!$K161:R161)-$AP468)</f>
        <v>0</v>
      </c>
      <c r="P468" s="716">
        <f>IF(OR(status1B5!Q163="",P$7="No aplica"),0,SUM('BOULEVARD 5'!$K161:S161)-$AP468)</f>
        <v>0</v>
      </c>
      <c r="Q468" s="716">
        <f>IF(OR(status1B5!R163="",Q$7="No aplica"),0,SUM('BOULEVARD 5'!$K161:T161)-$AP468)</f>
        <v>0</v>
      </c>
      <c r="R468" s="716">
        <f>IF(OR(status1B5!S163="",R$7="No aplica"),0,SUM('BOULEVARD 5'!$K161:U161)-$AP468)</f>
        <v>-80800</v>
      </c>
      <c r="S468" s="716">
        <f>IF(OR(status1B5!T163="",S$7="No aplica"),0,SUM('BOULEVARD 5'!$K161:V161)-$AP468)</f>
        <v>-76760</v>
      </c>
      <c r="T468" s="716">
        <f>IF(OR(status1B5!U163="",T$7="No aplica"),0,SUM('BOULEVARD 5'!$K161:W161)-$AP468)</f>
        <v>-76760</v>
      </c>
      <c r="U468" s="716">
        <f>IF(OR(status1B5!V163="",U$7="No aplica"),0,SUM('BOULEVARD 5'!$K161:X161)-$AP468)</f>
        <v>-68680</v>
      </c>
      <c r="V468" s="716">
        <f>IF(OR(status1B5!W163="",V$7="No aplica"),0,SUM('BOULEVARD 5'!$K161:Y161)-$AP468)</f>
        <v>-64640</v>
      </c>
      <c r="W468" s="716">
        <f>IF(OR(status1B5!X163="",W$7="No aplica"),0,SUM('BOULEVARD 5'!$K161:Z161)-$AP468)</f>
        <v>-60600</v>
      </c>
      <c r="X468" s="716">
        <f>IF(OR(status1B5!Y163="",X$7="No aplica"),0,SUM('BOULEVARD 5'!$K161:AA161)-$AP468)</f>
        <v>-60600</v>
      </c>
      <c r="Y468" s="716">
        <f>IF(OR(status1B5!Z163="",Y$7="No aplica"),0,SUM('BOULEVARD 5'!$K161:AB161)-$AP468)</f>
        <v>-52520</v>
      </c>
      <c r="Z468" s="716">
        <f>IF(OR(status1B5!AA163="",Z$7="No aplica"),0,SUM('BOULEVARD 5'!$K161:AC161)-$AP468)</f>
        <v>-52520</v>
      </c>
      <c r="AA468" s="716">
        <f>IF(OR(status1B5!AB163="",AA$7="No aplica"),0,SUM('BOULEVARD 5'!$K161:AD161)-$AP468)</f>
        <v>-44440</v>
      </c>
      <c r="AB468" s="716">
        <f>IF(OR(status1B5!AC163="",AB$7="No aplica"),0,SUM('BOULEVARD 5'!$K161:AE161)-$AP468)</f>
        <v>-44440</v>
      </c>
      <c r="AC468" s="716">
        <f>IF(OR(status1B5!AD163="",AC$7="No aplica"),0,SUM('BOULEVARD 5'!$K161:AF161)-$AP468)</f>
        <v>-40400</v>
      </c>
      <c r="AD468" s="716">
        <f>IF(OR(status1B5!AE163="",AD$7="No aplica"),0,SUM('BOULEVARD 5'!$K161:AG161)-$AP468)</f>
        <v>-40400</v>
      </c>
      <c r="AE468" s="716">
        <f>IF(OR(status1B5!AF163="",AE$7="No aplica"),0,SUM('BOULEVARD 5'!$K161:AH161)-$AP468)</f>
        <v>-36360</v>
      </c>
      <c r="AF468" s="716">
        <f>IF(OR(status1B5!AG163="",AF$7="No aplica"),0,SUM('BOULEVARD 5'!$K161:AI161)-$AP468)</f>
        <v>-28280</v>
      </c>
      <c r="AG468" s="716">
        <f>IF(OR(status1B5!AH163="",AG$7="No aplica"),0,SUM('BOULEVARD 5'!$K161:AJ161)-$AP468)</f>
        <v>-20200</v>
      </c>
      <c r="AH468" s="716">
        <f>IF(OR(status1B5!AI163="",AH$7="No aplica"),0,SUM('BOULEVARD 5'!$K161:AK161)-$AP468)</f>
        <v>-16160</v>
      </c>
      <c r="AI468" s="716">
        <f>IF(OR(status1B5!AJ163="",AI$7="No aplica"),0,SUM('BOULEVARD 5'!$K161:AL161)-$AP468)</f>
        <v>-12120</v>
      </c>
      <c r="AJ468" s="716">
        <f>IF(OR(status1B5!AK163="",AJ$7="No aplica"),0,SUM('BOULEVARD 5'!$K161:AM161)-$AP468)</f>
        <v>-8080</v>
      </c>
      <c r="AK468" s="716">
        <f>IF(OR(status1B5!AL163="",AK$7="No aplica"),0,SUM('BOULEVARD 5'!$K161:AN161)-$AP468)</f>
        <v>-4040</v>
      </c>
      <c r="AL468" s="716">
        <f>IF(OR(status1B5!AM163="",AL$7="No aplica"),0,SUM('BOULEVARD 5'!$K161:AO161)-$AP468)</f>
        <v>0</v>
      </c>
      <c r="AM468" s="716">
        <f>IF(OR(status1B5!AN163="",AM$7="No aplica"),0,SUM('BOULEVARD 5'!$K161:AP161)-$AP468)</f>
        <v>0</v>
      </c>
      <c r="AN468" s="716">
        <f>IF(OR(status1B5!AO163="",AN$7="No aplica"),0,SUM('BOULEVARD 5'!$K161:AQ161)-$AP468)</f>
        <v>0</v>
      </c>
      <c r="AO468" s="716">
        <f>IF(OR(status1B5!AP163="",AO$7="No aplica"),0,SUM('BOULEVARD 5'!$K161:AS161)-$AP468)</f>
        <v>0</v>
      </c>
      <c r="AP468" s="717">
        <f>'BOULEVARD PPTO'!BC156</f>
        <v>88800</v>
      </c>
      <c r="AQ468" s="717">
        <f>'BOULEVARD 5'!AT161</f>
        <v>88800</v>
      </c>
      <c r="AR468" s="717">
        <f t="shared" si="170"/>
        <v>0</v>
      </c>
      <c r="AS468" s="717"/>
      <c r="AT468" s="581"/>
    </row>
    <row r="469" spans="1:46" ht="13.15" customHeight="1" outlineLevel="1" x14ac:dyDescent="0.25">
      <c r="A469" s="700">
        <f t="shared" si="168"/>
        <v>0</v>
      </c>
      <c r="B469" s="564">
        <f t="shared" ref="B469:G469" si="196">B164</f>
        <v>909</v>
      </c>
      <c r="C469" s="564" t="str">
        <f t="shared" si="196"/>
        <v>E8</v>
      </c>
      <c r="D469" s="564">
        <f t="shared" si="196"/>
        <v>0</v>
      </c>
      <c r="E469" s="564" t="str">
        <f t="shared" si="196"/>
        <v>Brenda Búcaro</v>
      </c>
      <c r="F469" s="581" t="str">
        <f t="shared" si="196"/>
        <v>Alba Lucila Martinez Tobar</v>
      </c>
      <c r="G469" s="566">
        <f t="shared" si="196"/>
        <v>45118</v>
      </c>
      <c r="H469" s="716">
        <f>IF(OR(status1B5!I164="",H$7="No aplica"),0,SUM('BOULEVARD 5'!$K162:K162)-$AP469)</f>
        <v>0</v>
      </c>
      <c r="I469" s="716">
        <f>IF(OR(status1B5!J164="",I$7="No aplica"),0,SUM('BOULEVARD 5'!$K162:L162)-$AP469)</f>
        <v>0</v>
      </c>
      <c r="J469" s="716">
        <f>IF(OR(status1B5!K164="",J$7="No aplica"),0,SUM('BOULEVARD 5'!$K162:M162)-$AP469)</f>
        <v>0</v>
      </c>
      <c r="K469" s="716">
        <f>IF(OR(status1B5!L164="",K$7="No aplica"),0,SUM('BOULEVARD 5'!$K162:N162)-$AP469)</f>
        <v>0</v>
      </c>
      <c r="L469" s="716">
        <f>IF(OR(status1B5!M164="",L$7="No aplica"),0,SUM('BOULEVARD 5'!$K162:O162)-$AP469)</f>
        <v>-132300</v>
      </c>
      <c r="M469" s="716">
        <f>IF(OR(status1B5!N164="",M$7="No aplica"),0,SUM('BOULEVARD 5'!$K162:P162)-$AP469)</f>
        <v>-132300</v>
      </c>
      <c r="N469" s="716">
        <f>IF(OR(status1B5!O164="",N$7="No aplica"),0,SUM('BOULEVARD 5'!$K162:Q162)-$AP469)</f>
        <v>-122300</v>
      </c>
      <c r="O469" s="716">
        <f>IF(OR(status1B5!P164="",O$7="No aplica"),0,SUM('BOULEVARD 5'!$K162:R162)-$AP469)</f>
        <v>-117300</v>
      </c>
      <c r="P469" s="716">
        <f>IF(OR(status1B5!Q164="",P$7="No aplica"),0,SUM('BOULEVARD 5'!$K162:S162)-$AP469)</f>
        <v>-117300</v>
      </c>
      <c r="Q469" s="716">
        <f>IF(OR(status1B5!R164="",Q$7="No aplica"),0,SUM('BOULEVARD 5'!$K162:T162)-$AP469)</f>
        <v>-107300</v>
      </c>
      <c r="R469" s="716">
        <f>IF(OR(status1B5!S164="",R$7="No aplica"),0,SUM('BOULEVARD 5'!$K162:U162)-$AP469)</f>
        <v>-102300</v>
      </c>
      <c r="S469" s="716">
        <f>IF(OR(status1B5!T164="",S$7="No aplica"),0,SUM('BOULEVARD 5'!$K162:V162)-$AP469)</f>
        <v>-97300</v>
      </c>
      <c r="T469" s="716">
        <f>IF(OR(status1B5!U164="",T$7="No aplica"),0,SUM('BOULEVARD 5'!$K162:W162)-$AP469)</f>
        <v>-92300</v>
      </c>
      <c r="U469" s="716">
        <f>IF(OR(status1B5!V164="",U$7="No aplica"),0,SUM('BOULEVARD 5'!$K162:X162)-$AP469)</f>
        <v>-87300</v>
      </c>
      <c r="V469" s="716">
        <f>IF(OR(status1B5!W164="",V$7="No aplica"),0,SUM('BOULEVARD 5'!$K162:Y162)-$AP469)</f>
        <v>-82300</v>
      </c>
      <c r="W469" s="716">
        <f>IF(OR(status1B5!X164="",W$7="No aplica"),0,SUM('BOULEVARD 5'!$K162:Z162)-$AP469)</f>
        <v>-77300</v>
      </c>
      <c r="X469" s="716">
        <f>IF(OR(status1B5!Y164="",X$7="No aplica"),0,SUM('BOULEVARD 5'!$K162:AA162)-$AP469)</f>
        <v>-77300</v>
      </c>
      <c r="Y469" s="716">
        <f>IF(OR(status1B5!Z164="",Y$7="No aplica"),0,SUM('BOULEVARD 5'!$K162:AB162)-$AP469)</f>
        <v>-67300</v>
      </c>
      <c r="Z469" s="716">
        <f>IF(OR(status1B5!AA164="",Z$7="No aplica"),0,SUM('BOULEVARD 5'!$K162:AC162)-$AP469)</f>
        <v>-67300</v>
      </c>
      <c r="AA469" s="716">
        <f>IF(OR(status1B5!AB164="",AA$7="No aplica"),0,SUM('BOULEVARD 5'!$K162:AD162)-$AP469)</f>
        <v>-57300</v>
      </c>
      <c r="AB469" s="716">
        <f>IF(OR(status1B5!AC164="",AB$7="No aplica"),0,SUM('BOULEVARD 5'!$K162:AE162)-$AP469)</f>
        <v>-57300</v>
      </c>
      <c r="AC469" s="716">
        <f>IF(OR(status1B5!AD164="",AC$7="No aplica"),0,SUM('BOULEVARD 5'!$K162:AF162)-$AP469)</f>
        <v>-57300</v>
      </c>
      <c r="AD469" s="716">
        <f>IF(OR(status1B5!AE164="",AD$7="No aplica"),0,SUM('BOULEVARD 5'!$K162:AG162)-$AP469)</f>
        <v>-52300</v>
      </c>
      <c r="AE469" s="716">
        <f>IF(OR(status1B5!AF164="",AE$7="No aplica"),0,SUM('BOULEVARD 5'!$K162:AH162)-$AP469)</f>
        <v>-42300</v>
      </c>
      <c r="AF469" s="716">
        <f>IF(OR(status1B5!AG164="",AF$7="No aplica"),0,SUM('BOULEVARD 5'!$K162:AI162)-$AP469)</f>
        <v>-42300</v>
      </c>
      <c r="AG469" s="716">
        <f>IF(OR(status1B5!AH164="",AG$7="No aplica"),0,SUM('BOULEVARD 5'!$K162:AJ162)-$AP469)</f>
        <v>-27300</v>
      </c>
      <c r="AH469" s="716">
        <f>IF(OR(status1B5!AI164="",AH$7="No aplica"),0,SUM('BOULEVARD 5'!$K162:AK162)-$AP469)</f>
        <v>-27300</v>
      </c>
      <c r="AI469" s="716">
        <f>IF(OR(status1B5!AJ164="",AI$7="No aplica"),0,SUM('BOULEVARD 5'!$K162:AL162)-$AP469)</f>
        <v>-17300</v>
      </c>
      <c r="AJ469" s="716">
        <f>IF(OR(status1B5!AK164="",AJ$7="No aplica"),0,SUM('BOULEVARD 5'!$K162:AM162)-$AP469)</f>
        <v>-17300</v>
      </c>
      <c r="AK469" s="716">
        <f>IF(OR(status1B5!AL164="",AK$7="No aplica"),0,SUM('BOULEVARD 5'!$K162:AN162)-$AP469)</f>
        <v>-12300</v>
      </c>
      <c r="AL469" s="716">
        <f>IF(OR(status1B5!AM164="",AL$7="No aplica"),0,SUM('BOULEVARD 5'!$K162:AO162)-$AP469)</f>
        <v>-12300</v>
      </c>
      <c r="AM469" s="716">
        <f>IF(OR(status1B5!AN164="",AM$7="No aplica"),0,SUM('BOULEVARD 5'!$K162:AP162)-$AP469)</f>
        <v>-12300</v>
      </c>
      <c r="AN469" s="716">
        <f>IF(OR(status1B5!AO164="",AN$7="No aplica"),0,SUM('BOULEVARD 5'!$K162:AQ162)-$AP469)</f>
        <v>0</v>
      </c>
      <c r="AO469" s="716">
        <f>IF(OR(status1B5!AP164="",AO$7="No aplica"),0,SUM('BOULEVARD 5'!$K162:AS162)-$AP469)</f>
        <v>0</v>
      </c>
      <c r="AP469" s="717">
        <f>'BOULEVARD PPTO'!BC157</f>
        <v>138300</v>
      </c>
      <c r="AQ469" s="717">
        <f>'BOULEVARD 5'!AT162</f>
        <v>133300</v>
      </c>
      <c r="AR469" s="717">
        <f t="shared" si="170"/>
        <v>-5000</v>
      </c>
      <c r="AS469" s="717"/>
      <c r="AT469" s="581"/>
    </row>
    <row r="470" spans="1:46" ht="13.15" customHeight="1" outlineLevel="1" x14ac:dyDescent="0.25">
      <c r="A470" s="700">
        <f t="shared" si="168"/>
        <v>0</v>
      </c>
      <c r="B470" s="564">
        <f t="shared" ref="B470:G470" si="197">B165</f>
        <v>910</v>
      </c>
      <c r="C470" s="564" t="str">
        <f t="shared" si="197"/>
        <v>A10</v>
      </c>
      <c r="D470" s="564">
        <f t="shared" si="197"/>
        <v>0</v>
      </c>
      <c r="E470" s="564" t="str">
        <f t="shared" si="197"/>
        <v/>
      </c>
      <c r="F470" s="581" t="str">
        <f t="shared" si="197"/>
        <v/>
      </c>
      <c r="G470" s="566" t="str">
        <f t="shared" si="197"/>
        <v/>
      </c>
      <c r="H470" s="716">
        <f>IF(OR(status1B5!I165="",H$7="No aplica"),0,SUM('BOULEVARD 5'!$K163:K163)-$AP470)</f>
        <v>0</v>
      </c>
      <c r="I470" s="716">
        <f>IF(OR(status1B5!J165="",I$7="No aplica"),0,SUM('BOULEVARD 5'!$K163:L163)-$AP470)</f>
        <v>0</v>
      </c>
      <c r="J470" s="716">
        <f>IF(OR(status1B5!K165="",J$7="No aplica"),0,SUM('BOULEVARD 5'!$K163:M163)-$AP470)</f>
        <v>0</v>
      </c>
      <c r="K470" s="716">
        <f>IF(OR(status1B5!L165="",K$7="No aplica"),0,SUM('BOULEVARD 5'!$K163:N163)-$AP470)</f>
        <v>0</v>
      </c>
      <c r="L470" s="716">
        <f>IF(OR(status1B5!M165="",L$7="No aplica"),0,SUM('BOULEVARD 5'!$K163:O163)-$AP470)</f>
        <v>0</v>
      </c>
      <c r="M470" s="716">
        <f>IF(OR(status1B5!N165="",M$7="No aplica"),0,SUM('BOULEVARD 5'!$K163:P163)-$AP470)</f>
        <v>0</v>
      </c>
      <c r="N470" s="716">
        <f>IF(OR(status1B5!O165="",N$7="No aplica"),0,SUM('BOULEVARD 5'!$K163:Q163)-$AP470)</f>
        <v>0</v>
      </c>
      <c r="O470" s="716">
        <f>IF(OR(status1B5!P165="",O$7="No aplica"),0,SUM('BOULEVARD 5'!$K163:R163)-$AP470)</f>
        <v>0</v>
      </c>
      <c r="P470" s="716">
        <f>IF(OR(status1B5!Q165="",P$7="No aplica"),0,SUM('BOULEVARD 5'!$K163:S163)-$AP470)</f>
        <v>0</v>
      </c>
      <c r="Q470" s="716">
        <f>IF(OR(status1B5!R165="",Q$7="No aplica"),0,SUM('BOULEVARD 5'!$K163:T163)-$AP470)</f>
        <v>0</v>
      </c>
      <c r="R470" s="716">
        <f>IF(OR(status1B5!S165="",R$7="No aplica"),0,SUM('BOULEVARD 5'!$K163:U163)-$AP470)</f>
        <v>0</v>
      </c>
      <c r="S470" s="716">
        <f>IF(OR(status1B5!T165="",S$7="No aplica"),0,SUM('BOULEVARD 5'!$K163:V163)-$AP470)</f>
        <v>0</v>
      </c>
      <c r="T470" s="716">
        <f>IF(OR(status1B5!U165="",T$7="No aplica"),0,SUM('BOULEVARD 5'!$K163:W163)-$AP470)</f>
        <v>0</v>
      </c>
      <c r="U470" s="716">
        <f>IF(OR(status1B5!V165="",U$7="No aplica"),0,SUM('BOULEVARD 5'!$K163:X163)-$AP470)</f>
        <v>0</v>
      </c>
      <c r="V470" s="716">
        <f>IF(OR(status1B5!W165="",V$7="No aplica"),0,SUM('BOULEVARD 5'!$K163:Y163)-$AP470)</f>
        <v>0</v>
      </c>
      <c r="W470" s="716">
        <f>IF(OR(status1B5!X165="",W$7="No aplica"),0,SUM('BOULEVARD 5'!$K163:Z163)-$AP470)</f>
        <v>0</v>
      </c>
      <c r="X470" s="716">
        <f>IF(OR(status1B5!Y165="",X$7="No aplica"),0,SUM('BOULEVARD 5'!$K163:AA163)-$AP470)</f>
        <v>0</v>
      </c>
      <c r="Y470" s="716">
        <f>IF(OR(status1B5!Z165="",Y$7="No aplica"),0,SUM('BOULEVARD 5'!$K163:AB163)-$AP470)</f>
        <v>0</v>
      </c>
      <c r="Z470" s="716">
        <f>IF(OR(status1B5!AA165="",Z$7="No aplica"),0,SUM('BOULEVARD 5'!$K163:AC163)-$AP470)</f>
        <v>0</v>
      </c>
      <c r="AA470" s="716">
        <f>IF(OR(status1B5!AB165="",AA$7="No aplica"),0,SUM('BOULEVARD 5'!$K163:AD163)-$AP470)</f>
        <v>0</v>
      </c>
      <c r="AB470" s="716">
        <f>IF(OR(status1B5!AC165="",AB$7="No aplica"),0,SUM('BOULEVARD 5'!$K163:AE163)-$AP470)</f>
        <v>0</v>
      </c>
      <c r="AC470" s="716">
        <f>IF(OR(status1B5!AD165="",AC$7="No aplica"),0,SUM('BOULEVARD 5'!$K163:AF163)-$AP470)</f>
        <v>0</v>
      </c>
      <c r="AD470" s="716">
        <f>IF(OR(status1B5!AE165="",AD$7="No aplica"),0,SUM('BOULEVARD 5'!$K163:AG163)-$AP470)</f>
        <v>0</v>
      </c>
      <c r="AE470" s="716">
        <f>IF(OR(status1B5!AF165="",AE$7="No aplica"),0,SUM('BOULEVARD 5'!$K163:AH163)-$AP470)</f>
        <v>0</v>
      </c>
      <c r="AF470" s="716">
        <f>IF(OR(status1B5!AG165="",AF$7="No aplica"),0,SUM('BOULEVARD 5'!$K163:AI163)-$AP470)</f>
        <v>0</v>
      </c>
      <c r="AG470" s="716">
        <f>IF(OR(status1B5!AH165="",AG$7="No aplica"),0,SUM('BOULEVARD 5'!$K163:AJ163)-$AP470)</f>
        <v>0</v>
      </c>
      <c r="AH470" s="716">
        <f>IF(OR(status1B5!AI165="",AH$7="No aplica"),0,SUM('BOULEVARD 5'!$K163:AK163)-$AP470)</f>
        <v>0</v>
      </c>
      <c r="AI470" s="716">
        <f>IF(OR(status1B5!AJ165="",AI$7="No aplica"),0,SUM('BOULEVARD 5'!$K163:AL163)-$AP470)</f>
        <v>0</v>
      </c>
      <c r="AJ470" s="716">
        <f>IF(OR(status1B5!AK165="",AJ$7="No aplica"),0,SUM('BOULEVARD 5'!$K163:AM163)-$AP470)</f>
        <v>0</v>
      </c>
      <c r="AK470" s="716">
        <f>IF(OR(status1B5!AL165="",AK$7="No aplica"),0,SUM('BOULEVARD 5'!$K163:AN163)-$AP470)</f>
        <v>0</v>
      </c>
      <c r="AL470" s="716">
        <f>IF(OR(status1B5!AM165="",AL$7="No aplica"),0,SUM('BOULEVARD 5'!$K163:AO163)-$AP470)</f>
        <v>0</v>
      </c>
      <c r="AM470" s="716">
        <f>IF(OR(status1B5!AN165="",AM$7="No aplica"),0,SUM('BOULEVARD 5'!$K163:AP163)-$AP470)</f>
        <v>0</v>
      </c>
      <c r="AN470" s="716">
        <f>IF(OR(status1B5!AO165="",AN$7="No aplica"),0,SUM('BOULEVARD 5'!$K163:AQ163)-$AP470)</f>
        <v>0</v>
      </c>
      <c r="AO470" s="716">
        <f>IF(OR(status1B5!AP165="",AO$7="No aplica"),0,SUM('BOULEVARD 5'!$K163:AS163)-$AP470)</f>
        <v>0</v>
      </c>
      <c r="AP470" s="717">
        <f>'BOULEVARD PPTO'!BC158</f>
        <v>0</v>
      </c>
      <c r="AQ470" s="717">
        <f>'BOULEVARD 5'!AT163</f>
        <v>0</v>
      </c>
      <c r="AR470" s="717">
        <f t="shared" si="170"/>
        <v>0</v>
      </c>
      <c r="AS470" s="717"/>
      <c r="AT470" s="581"/>
    </row>
    <row r="471" spans="1:46" ht="13.15" customHeight="1" outlineLevel="1" x14ac:dyDescent="0.25">
      <c r="A471" s="700">
        <f t="shared" si="168"/>
        <v>0</v>
      </c>
      <c r="B471" s="564">
        <f t="shared" ref="B471:G471" si="198">B166</f>
        <v>911</v>
      </c>
      <c r="C471" s="564" t="str">
        <f t="shared" si="198"/>
        <v>C10</v>
      </c>
      <c r="D471" s="564">
        <f t="shared" si="198"/>
        <v>0</v>
      </c>
      <c r="E471" s="564" t="str">
        <f t="shared" si="198"/>
        <v>Brenda Búcaro</v>
      </c>
      <c r="F471" s="581" t="str">
        <f t="shared" si="198"/>
        <v>Mario Alberto Maldonado Recinos</v>
      </c>
      <c r="G471" s="566">
        <f t="shared" si="198"/>
        <v>45185</v>
      </c>
      <c r="H471" s="716">
        <f>IF(OR(status1B5!I166="",H$7="No aplica"),0,SUM('BOULEVARD 5'!$K164:K164)-$AP471)</f>
        <v>0</v>
      </c>
      <c r="I471" s="716">
        <f>IF(OR(status1B5!J166="",I$7="No aplica"),0,SUM('BOULEVARD 5'!$K164:L164)-$AP471)</f>
        <v>0</v>
      </c>
      <c r="J471" s="716">
        <f>IF(OR(status1B5!K166="",J$7="No aplica"),0,SUM('BOULEVARD 5'!$K164:M164)-$AP471)</f>
        <v>0</v>
      </c>
      <c r="K471" s="716">
        <f>IF(OR(status1B5!L166="",K$7="No aplica"),0,SUM('BOULEVARD 5'!$K164:N164)-$AP471)</f>
        <v>0</v>
      </c>
      <c r="L471" s="716">
        <f>IF(OR(status1B5!M166="",L$7="No aplica"),0,SUM('BOULEVARD 5'!$K164:O164)-$AP471)</f>
        <v>0</v>
      </c>
      <c r="M471" s="716">
        <f>IF(OR(status1B5!N166="",M$7="No aplica"),0,SUM('BOULEVARD 5'!$K164:P164)-$AP471)</f>
        <v>0</v>
      </c>
      <c r="N471" s="716">
        <f>IF(OR(status1B5!O166="",N$7="No aplica"),0,SUM('BOULEVARD 5'!$K164:Q164)-$AP471)</f>
        <v>-97267.5</v>
      </c>
      <c r="O471" s="716">
        <f>IF(OR(status1B5!P166="",O$7="No aplica"),0,SUM('BOULEVARD 5'!$K164:R164)-$AP471)</f>
        <v>-93214.5</v>
      </c>
      <c r="P471" s="716">
        <f>IF(OR(status1B5!Q166="",P$7="No aplica"),0,SUM('BOULEVARD 5'!$K164:S164)-$AP471)</f>
        <v>-89161.5</v>
      </c>
      <c r="Q471" s="716">
        <f>IF(OR(status1B5!R166="",Q$7="No aplica"),0,SUM('BOULEVARD 5'!$K164:T164)-$AP471)</f>
        <v>-85108.5</v>
      </c>
      <c r="R471" s="716">
        <f>IF(OR(status1B5!S166="",R$7="No aplica"),0,SUM('BOULEVARD 5'!$K164:U164)-$AP471)</f>
        <v>-81055.5</v>
      </c>
      <c r="S471" s="716">
        <f>IF(OR(status1B5!T166="",S$7="No aplica"),0,SUM('BOULEVARD 5'!$K164:V164)-$AP471)</f>
        <v>-77002.5</v>
      </c>
      <c r="T471" s="716">
        <f>IF(OR(status1B5!U166="",T$7="No aplica"),0,SUM('BOULEVARD 5'!$K164:W164)-$AP471)</f>
        <v>-72949.5</v>
      </c>
      <c r="U471" s="716">
        <f>IF(OR(status1B5!V166="",U$7="No aplica"),0,SUM('BOULEVARD 5'!$K164:X164)-$AP471)</f>
        <v>-68896.5</v>
      </c>
      <c r="V471" s="716">
        <f>IF(OR(status1B5!W166="",V$7="No aplica"),0,SUM('BOULEVARD 5'!$K164:Y164)-$AP471)</f>
        <v>-64843.5</v>
      </c>
      <c r="W471" s="716">
        <f>IF(OR(status1B5!X166="",W$7="No aplica"),0,SUM('BOULEVARD 5'!$K164:Z164)-$AP471)</f>
        <v>-60790.5</v>
      </c>
      <c r="X471" s="716">
        <f>IF(OR(status1B5!Y166="",X$7="No aplica"),0,SUM('BOULEVARD 5'!$K164:AA164)-$AP471)</f>
        <v>-56737.5</v>
      </c>
      <c r="Y471" s="716">
        <f>IF(OR(status1B5!Z166="",Y$7="No aplica"),0,SUM('BOULEVARD 5'!$K164:AB164)-$AP471)</f>
        <v>-52684.5</v>
      </c>
      <c r="Z471" s="716">
        <f>IF(OR(status1B5!AA166="",Z$7="No aplica"),0,SUM('BOULEVARD 5'!$K164:AC164)-$AP471)</f>
        <v>-48631.5</v>
      </c>
      <c r="AA471" s="716">
        <f>IF(OR(status1B5!AB166="",AA$7="No aplica"),0,SUM('BOULEVARD 5'!$K164:AD164)-$AP471)</f>
        <v>-44578.5</v>
      </c>
      <c r="AB471" s="716">
        <f>IF(OR(status1B5!AC166="",AB$7="No aplica"),0,SUM('BOULEVARD 5'!$K164:AE164)-$AP471)</f>
        <v>-40525.5</v>
      </c>
      <c r="AC471" s="716">
        <f>IF(OR(status1B5!AD166="",AC$7="No aplica"),0,SUM('BOULEVARD 5'!$K164:AF164)-$AP471)</f>
        <v>-36472.5</v>
      </c>
      <c r="AD471" s="716">
        <f>IF(OR(status1B5!AE166="",AD$7="No aplica"),0,SUM('BOULEVARD 5'!$K164:AG164)-$AP471)</f>
        <v>-32419.5</v>
      </c>
      <c r="AE471" s="716">
        <f>IF(OR(status1B5!AF166="",AE$7="No aplica"),0,SUM('BOULEVARD 5'!$K164:AH164)-$AP471)</f>
        <v>-28366.5</v>
      </c>
      <c r="AF471" s="716">
        <f>IF(OR(status1B5!AG166="",AF$7="No aplica"),0,SUM('BOULEVARD 5'!$K164:AI164)-$AP471)</f>
        <v>-24312.5</v>
      </c>
      <c r="AG471" s="716">
        <f>IF(OR(status1B5!AH166="",AG$7="No aplica"),0,SUM('BOULEVARD 5'!$K164:AJ164)-$AP471)</f>
        <v>-20259.5</v>
      </c>
      <c r="AH471" s="716">
        <f>IF(OR(status1B5!AI166="",AH$7="No aplica"),0,SUM('BOULEVARD 5'!$K164:AK164)-$AP471)</f>
        <v>-16206.5</v>
      </c>
      <c r="AI471" s="716">
        <f>IF(OR(status1B5!AJ166="",AI$7="No aplica"),0,SUM('BOULEVARD 5'!$K164:AL164)-$AP471)</f>
        <v>-12153.5</v>
      </c>
      <c r="AJ471" s="716">
        <f>IF(OR(status1B5!AK166="",AJ$7="No aplica"),0,SUM('BOULEVARD 5'!$K164:AM164)-$AP471)</f>
        <v>-8100.5</v>
      </c>
      <c r="AK471" s="716">
        <f>IF(OR(status1B5!AL166="",AK$7="No aplica"),0,SUM('BOULEVARD 5'!$K164:AN164)-$AP471)</f>
        <v>-4047.5</v>
      </c>
      <c r="AL471" s="716">
        <f>IF(OR(status1B5!AM166="",AL$7="No aplica"),0,SUM('BOULEVARD 5'!$K164:AO164)-$AP471)</f>
        <v>5.5</v>
      </c>
      <c r="AM471" s="716">
        <f>IF(OR(status1B5!AN166="",AM$7="No aplica"),0,SUM('BOULEVARD 5'!$K164:AP164)-$AP471)</f>
        <v>5005.5</v>
      </c>
      <c r="AN471" s="716">
        <f>IF(OR(status1B5!AO166="",AN$7="No aplica"),0,SUM('BOULEVARD 5'!$K164:AQ164)-$AP471)</f>
        <v>0</v>
      </c>
      <c r="AO471" s="716">
        <f>IF(OR(status1B5!AP166="",AO$7="No aplica"),0,SUM('BOULEVARD 5'!$K164:AS164)-$AP471)</f>
        <v>0</v>
      </c>
      <c r="AP471" s="717">
        <f>'BOULEVARD PPTO'!BC159</f>
        <v>105267.5</v>
      </c>
      <c r="AQ471" s="717">
        <f>'BOULEVARD 5'!AT164</f>
        <v>125273</v>
      </c>
      <c r="AR471" s="717">
        <f t="shared" si="170"/>
        <v>20005.5</v>
      </c>
      <c r="AS471" s="717"/>
      <c r="AT471" s="581"/>
    </row>
    <row r="472" spans="1:46" ht="13.15" customHeight="1" outlineLevel="1" x14ac:dyDescent="0.25">
      <c r="A472" s="700" t="str">
        <f t="shared" si="168"/>
        <v>F&amp;F</v>
      </c>
      <c r="B472" s="704">
        <f t="shared" ref="B472:G472" si="199">B167</f>
        <v>912</v>
      </c>
      <c r="C472" s="704" t="str">
        <f t="shared" si="199"/>
        <v>C7</v>
      </c>
      <c r="D472" s="704">
        <f t="shared" si="199"/>
        <v>0</v>
      </c>
      <c r="E472" s="704" t="str">
        <f t="shared" si="199"/>
        <v>Ronaldo</v>
      </c>
      <c r="F472" s="705" t="str">
        <f t="shared" si="199"/>
        <v>Iurix, S.A</v>
      </c>
      <c r="G472" s="566">
        <f t="shared" si="199"/>
        <v>45300</v>
      </c>
      <c r="H472" s="716">
        <f>IF(OR(status1B5!I167="",H$7="No aplica"),0,SUM('BOULEVARD 5'!$K165:K165)-$AP472)</f>
        <v>0</v>
      </c>
      <c r="I472" s="716">
        <f>IF(OR(status1B5!J167="",I$7="No aplica"),0,SUM('BOULEVARD 5'!$K165:L165)-$AP472)</f>
        <v>0</v>
      </c>
      <c r="J472" s="716">
        <f>IF(OR(status1B5!K167="",J$7="No aplica"),0,SUM('BOULEVARD 5'!$K165:M165)-$AP472)</f>
        <v>0</v>
      </c>
      <c r="K472" s="716">
        <f>IF(OR(status1B5!L167="",K$7="No aplica"),0,SUM('BOULEVARD 5'!$K165:N165)-$AP472)</f>
        <v>0</v>
      </c>
      <c r="L472" s="716">
        <f>IF(OR(status1B5!M167="",L$7="No aplica"),0,SUM('BOULEVARD 5'!$K165:O165)-$AP472)</f>
        <v>0</v>
      </c>
      <c r="M472" s="716">
        <f>IF(OR(status1B5!N167="",M$7="No aplica"),0,SUM('BOULEVARD 5'!$K165:P165)-$AP472)</f>
        <v>0</v>
      </c>
      <c r="N472" s="716">
        <f>IF(OR(status1B5!O167="",N$7="No aplica"),0,SUM('BOULEVARD 5'!$K165:Q165)-$AP472)</f>
        <v>0</v>
      </c>
      <c r="O472" s="716">
        <f>IF(OR(status1B5!P167="",O$7="No aplica"),0,SUM('BOULEVARD 5'!$K165:R165)-$AP472)</f>
        <v>0</v>
      </c>
      <c r="P472" s="716">
        <f>IF(OR(status1B5!Q167="",P$7="No aplica"),0,SUM('BOULEVARD 5'!$K165:S165)-$AP472)</f>
        <v>0</v>
      </c>
      <c r="Q472" s="716">
        <f>IF(OR(status1B5!R167="",Q$7="No aplica"),0,SUM('BOULEVARD 5'!$K165:T165)-$AP472)</f>
        <v>0</v>
      </c>
      <c r="R472" s="716">
        <f>IF(OR(status1B5!S167="",R$7="No aplica"),0,SUM('BOULEVARD 5'!$K165:U165)-$AP472)</f>
        <v>0</v>
      </c>
      <c r="S472" s="716">
        <f>IF(OR(status1B5!T167="",S$7="No aplica"),0,SUM('BOULEVARD 5'!$K165:V165)-$AP472)</f>
        <v>0</v>
      </c>
      <c r="T472" s="716">
        <f>IF(OR(status1B5!U167="",T$7="No aplica"),0,SUM('BOULEVARD 5'!$K165:W165)-$AP472)</f>
        <v>0</v>
      </c>
      <c r="U472" s="716">
        <f>IF(OR(status1B5!V167="",U$7="No aplica"),0,SUM('BOULEVARD 5'!$K165:X165)-$AP472)</f>
        <v>0</v>
      </c>
      <c r="V472" s="716">
        <f>IF(OR(status1B5!W167="",V$7="No aplica"),0,SUM('BOULEVARD 5'!$K165:Y165)-$AP472)</f>
        <v>0</v>
      </c>
      <c r="W472" s="716">
        <f>IF(OR(status1B5!X167="",W$7="No aplica"),0,SUM('BOULEVARD 5'!$K165:Z165)-$AP472)</f>
        <v>0</v>
      </c>
      <c r="X472" s="716">
        <f>IF(OR(status1B5!Y167="",X$7="No aplica"),0,SUM('BOULEVARD 5'!$K165:AA165)-$AP472)</f>
        <v>0</v>
      </c>
      <c r="Y472" s="716">
        <f>IF(OR(status1B5!Z167="",Y$7="No aplica"),0,SUM('BOULEVARD 5'!$K165:AB165)-$AP472)</f>
        <v>0</v>
      </c>
      <c r="Z472" s="716">
        <f>IF(OR(status1B5!AA167="",Z$7="No aplica"),0,SUM('BOULEVARD 5'!$K165:AC165)-$AP472)</f>
        <v>0</v>
      </c>
      <c r="AA472" s="716">
        <f>IF(OR(status1B5!AB167="",AA$7="No aplica"),0,SUM('BOULEVARD 5'!$K165:AD165)-$AP472)</f>
        <v>0</v>
      </c>
      <c r="AB472" s="716">
        <f>IF(OR(status1B5!AC167="",AB$7="No aplica"),0,SUM('BOULEVARD 5'!$K165:AE165)-$AP472)</f>
        <v>0</v>
      </c>
      <c r="AC472" s="716">
        <f>IF(OR(status1B5!AD167="",AC$7="No aplica"),0,SUM('BOULEVARD 5'!$K165:AF165)-$AP472)</f>
        <v>0</v>
      </c>
      <c r="AD472" s="716">
        <f>IF(OR(status1B5!AE167="",AD$7="No aplica"),0,SUM('BOULEVARD 5'!$K165:AG165)-$AP472)</f>
        <v>0</v>
      </c>
      <c r="AE472" s="716">
        <f>IF(OR(status1B5!AF167="",AE$7="No aplica"),0,SUM('BOULEVARD 5'!$K165:AH165)-$AP472)</f>
        <v>0</v>
      </c>
      <c r="AF472" s="716">
        <f>IF(OR(status1B5!AG167="",AF$7="No aplica"),0,SUM('BOULEVARD 5'!$K165:AI165)-$AP472)</f>
        <v>0</v>
      </c>
      <c r="AG472" s="716">
        <f>IF(OR(status1B5!AH167="",AG$7="No aplica"),0,SUM('BOULEVARD 5'!$K165:AJ165)-$AP472)</f>
        <v>0</v>
      </c>
      <c r="AH472" s="716">
        <f>IF(OR(status1B5!AI167="",AH$7="No aplica"),0,SUM('BOULEVARD 5'!$K165:AK165)-$AP472)</f>
        <v>0</v>
      </c>
      <c r="AI472" s="716">
        <f>IF(OR(status1B5!AJ167="",AI$7="No aplica"),0,SUM('BOULEVARD 5'!$K165:AL165)-$AP472)</f>
        <v>0</v>
      </c>
      <c r="AJ472" s="716">
        <f>IF(OR(status1B5!AK167="",AJ$7="No aplica"),0,SUM('BOULEVARD 5'!$K165:AM165)-$AP472)</f>
        <v>0</v>
      </c>
      <c r="AK472" s="716">
        <f>IF(OR(status1B5!AL167="",AK$7="No aplica"),0,SUM('BOULEVARD 5'!$K165:AN165)-$AP472)</f>
        <v>0</v>
      </c>
      <c r="AL472" s="716">
        <f>IF(OR(status1B5!AM167="",AL$7="No aplica"),0,SUM('BOULEVARD 5'!$K165:AO165)-$AP472)</f>
        <v>0</v>
      </c>
      <c r="AM472" s="716">
        <f>IF(OR(status1B5!AN167="",AM$7="No aplica"),0,SUM('BOULEVARD 5'!$K165:AP165)-$AP472)</f>
        <v>0</v>
      </c>
      <c r="AN472" s="716">
        <f>IF(OR(status1B5!AO167="",AN$7="No aplica"),0,SUM('BOULEVARD 5'!$K165:AQ165)-$AP472)</f>
        <v>0</v>
      </c>
      <c r="AO472" s="716">
        <f>IF(OR(status1B5!AP167="",AO$7="No aplica"),0,SUM('BOULEVARD 5'!$K165:AS165)-$AP472)</f>
        <v>0</v>
      </c>
      <c r="AP472" s="717">
        <f>'BOULEVARD PPTO'!BC160</f>
        <v>97380</v>
      </c>
      <c r="AQ472" s="717">
        <f>'BOULEVARD 5'!AT165</f>
        <v>0</v>
      </c>
      <c r="AR472" s="717">
        <f t="shared" si="170"/>
        <v>-97380</v>
      </c>
      <c r="AS472" s="717"/>
      <c r="AT472" s="581"/>
    </row>
    <row r="473" spans="1:46" ht="13.15" customHeight="1" outlineLevel="1" x14ac:dyDescent="0.25">
      <c r="A473" s="700">
        <f t="shared" si="168"/>
        <v>0</v>
      </c>
      <c r="B473" s="564">
        <f t="shared" ref="B473:G473" si="200">B168</f>
        <v>913</v>
      </c>
      <c r="C473" s="564" t="str">
        <f t="shared" si="200"/>
        <v>B6</v>
      </c>
      <c r="D473" s="564">
        <f t="shared" si="200"/>
        <v>0</v>
      </c>
      <c r="E473" s="564" t="str">
        <f t="shared" si="200"/>
        <v>Antonio Rada</v>
      </c>
      <c r="F473" s="581" t="str">
        <f t="shared" si="200"/>
        <v>Wender Josue Bailon Campos</v>
      </c>
      <c r="G473" s="566">
        <f t="shared" si="200"/>
        <v>45404</v>
      </c>
      <c r="H473" s="716">
        <f>IF(OR(status1B5!I168="",H$7="No aplica"),0,SUM('BOULEVARD 5'!$K166:K166)-$AP473)</f>
        <v>0</v>
      </c>
      <c r="I473" s="716">
        <f>IF(OR(status1B5!J168="",I$7="No aplica"),0,SUM('BOULEVARD 5'!$K166:L166)-$AP473)</f>
        <v>0</v>
      </c>
      <c r="J473" s="716">
        <f>IF(OR(status1B5!K168="",J$7="No aplica"),0,SUM('BOULEVARD 5'!$K166:M166)-$AP473)</f>
        <v>0</v>
      </c>
      <c r="K473" s="716">
        <f>IF(OR(status1B5!L168="",K$7="No aplica"),0,SUM('BOULEVARD 5'!$K166:N166)-$AP473)</f>
        <v>0</v>
      </c>
      <c r="L473" s="716">
        <f>IF(OR(status1B5!M168="",L$7="No aplica"),0,SUM('BOULEVARD 5'!$K166:O166)-$AP473)</f>
        <v>0</v>
      </c>
      <c r="M473" s="716">
        <f>IF(OR(status1B5!N168="",M$7="No aplica"),0,SUM('BOULEVARD 5'!$K166:P166)-$AP473)</f>
        <v>0</v>
      </c>
      <c r="N473" s="716">
        <f>IF(OR(status1B5!O168="",N$7="No aplica"),0,SUM('BOULEVARD 5'!$K166:Q166)-$AP473)</f>
        <v>0</v>
      </c>
      <c r="O473" s="716">
        <f>IF(OR(status1B5!P168="",O$7="No aplica"),0,SUM('BOULEVARD 5'!$K166:R166)-$AP473)</f>
        <v>0</v>
      </c>
      <c r="P473" s="716">
        <f>IF(OR(status1B5!Q168="",P$7="No aplica"),0,SUM('BOULEVARD 5'!$K166:S166)-$AP473)</f>
        <v>0</v>
      </c>
      <c r="Q473" s="716">
        <f>IF(OR(status1B5!R168="",Q$7="No aplica"),0,SUM('BOULEVARD 5'!$K166:T166)-$AP473)</f>
        <v>0</v>
      </c>
      <c r="R473" s="716">
        <f>IF(OR(status1B5!S168="",R$7="No aplica"),0,SUM('BOULEVARD 5'!$K166:U166)-$AP473)</f>
        <v>0</v>
      </c>
      <c r="S473" s="716">
        <f>IF(OR(status1B5!T168="",S$7="No aplica"),0,SUM('BOULEVARD 5'!$K166:V166)-$AP473)</f>
        <v>0</v>
      </c>
      <c r="T473" s="716">
        <f>IF(OR(status1B5!U168="",T$7="No aplica"),0,SUM('BOULEVARD 5'!$K166:W166)-$AP473)</f>
        <v>0</v>
      </c>
      <c r="U473" s="716">
        <f>IF(OR(status1B5!V168="",U$7="No aplica"),0,SUM('BOULEVARD 5'!$K166:X166)-$AP473)</f>
        <v>-82400</v>
      </c>
      <c r="V473" s="716">
        <f>IF(OR(status1B5!W168="",V$7="No aplica"),0,SUM('BOULEVARD 5'!$K166:Y166)-$AP473)</f>
        <v>-77555</v>
      </c>
      <c r="W473" s="716">
        <f>IF(OR(status1B5!X168="",W$7="No aplica"),0,SUM('BOULEVARD 5'!$K166:Z166)-$AP473)</f>
        <v>-72710</v>
      </c>
      <c r="X473" s="716">
        <f>IF(OR(status1B5!Y168="",X$7="No aplica"),0,SUM('BOULEVARD 5'!$K166:AA166)-$AP473)</f>
        <v>-67865</v>
      </c>
      <c r="Y473" s="716">
        <f>IF(OR(status1B5!Z168="",Y$7="No aplica"),0,SUM('BOULEVARD 5'!$K166:AB166)-$AP473)</f>
        <v>-63020</v>
      </c>
      <c r="Z473" s="716">
        <f>IF(OR(status1B5!AA168="",Z$7="No aplica"),0,SUM('BOULEVARD 5'!$K166:AC166)-$AP473)</f>
        <v>-58175</v>
      </c>
      <c r="AA473" s="716">
        <f>IF(OR(status1B5!AB168="",AA$7="No aplica"),0,SUM('BOULEVARD 5'!$K166:AD166)-$AP473)</f>
        <v>-53330</v>
      </c>
      <c r="AB473" s="716">
        <f>IF(OR(status1B5!AC168="",AB$7="No aplica"),0,SUM('BOULEVARD 5'!$K166:AE166)-$AP473)</f>
        <v>-48485</v>
      </c>
      <c r="AC473" s="716">
        <f>IF(OR(status1B5!AD168="",AC$7="No aplica"),0,SUM('BOULEVARD 5'!$K166:AF166)-$AP473)</f>
        <v>-43640</v>
      </c>
      <c r="AD473" s="716">
        <f>IF(OR(status1B5!AE168="",AD$7="No aplica"),0,SUM('BOULEVARD 5'!$K166:AG166)-$AP473)</f>
        <v>-38795</v>
      </c>
      <c r="AE473" s="716">
        <f>IF(OR(status1B5!AF168="",AE$7="No aplica"),0,SUM('BOULEVARD 5'!$K166:AH166)-$AP473)</f>
        <v>-33950</v>
      </c>
      <c r="AF473" s="716">
        <f>IF(OR(status1B5!AG168="",AF$7="No aplica"),0,SUM('BOULEVARD 5'!$K166:AI166)-$AP473)</f>
        <v>-29105</v>
      </c>
      <c r="AG473" s="716">
        <f>IF(OR(status1B5!AH168="",AG$7="No aplica"),0,SUM('BOULEVARD 5'!$K166:AJ166)-$AP473)</f>
        <v>-24260</v>
      </c>
      <c r="AH473" s="716">
        <f>IF(OR(status1B5!AI168="",AH$7="No aplica"),0,SUM('BOULEVARD 5'!$K166:AK166)-$AP473)</f>
        <v>-14570</v>
      </c>
      <c r="AI473" s="716">
        <f>IF(OR(status1B5!AJ168="",AI$7="No aplica"),0,SUM('BOULEVARD 5'!$K166:AL166)-$AP473)</f>
        <v>-14570</v>
      </c>
      <c r="AJ473" s="716">
        <f>IF(OR(status1B5!AK168="",AJ$7="No aplica"),0,SUM('BOULEVARD 5'!$K166:AM166)-$AP473)</f>
        <v>-9725</v>
      </c>
      <c r="AK473" s="716">
        <f>IF(OR(status1B5!AL168="",AK$7="No aplica"),0,SUM('BOULEVARD 5'!$K166:AN166)-$AP473)</f>
        <v>-4880</v>
      </c>
      <c r="AL473" s="716">
        <f>IF(OR(status1B5!AM168="",AL$7="No aplica"),0,SUM('BOULEVARD 5'!$K166:AO166)-$AP473)</f>
        <v>-35</v>
      </c>
      <c r="AM473" s="716">
        <f>IF(OR(status1B5!AN168="",AM$7="No aplica"),0,SUM('BOULEVARD 5'!$K166:AP166)-$AP473)</f>
        <v>-35</v>
      </c>
      <c r="AN473" s="716">
        <f>IF(OR(status1B5!AO168="",AN$7="No aplica"),0,SUM('BOULEVARD 5'!$K166:AQ166)-$AP473)</f>
        <v>0</v>
      </c>
      <c r="AO473" s="716">
        <f>IF(OR(status1B5!AP168="",AO$7="No aplica"),0,SUM('BOULEVARD 5'!$K166:AS166)-$AP473)</f>
        <v>0</v>
      </c>
      <c r="AP473" s="717">
        <f>'BOULEVARD PPTO'!BC161</f>
        <v>90400</v>
      </c>
      <c r="AQ473" s="717">
        <f>'BOULEVARD 5'!AT166</f>
        <v>90365</v>
      </c>
      <c r="AR473" s="717">
        <f t="shared" si="170"/>
        <v>-35</v>
      </c>
      <c r="AS473" s="717"/>
      <c r="AT473" s="581"/>
    </row>
    <row r="474" spans="1:46" ht="13.15" customHeight="1" outlineLevel="1" x14ac:dyDescent="0.25">
      <c r="A474" s="700">
        <f t="shared" si="168"/>
        <v>0</v>
      </c>
      <c r="B474" s="564">
        <f t="shared" ref="B474:G474" si="201">B169</f>
        <v>914</v>
      </c>
      <c r="C474" s="564" t="str">
        <f t="shared" si="201"/>
        <v>B1</v>
      </c>
      <c r="D474" s="564">
        <f t="shared" si="201"/>
        <v>0</v>
      </c>
      <c r="E474" s="564" t="str">
        <f t="shared" si="201"/>
        <v>Antonio Rada</v>
      </c>
      <c r="F474" s="581" t="str">
        <f t="shared" si="201"/>
        <v>Rebecca Gonzalez Ordoñez</v>
      </c>
      <c r="G474" s="566">
        <f t="shared" si="201"/>
        <v>45320</v>
      </c>
      <c r="H474" s="716">
        <f>IF(OR(status1B5!I169="",H$7="No aplica"),0,SUM('BOULEVARD 5'!$K167:K167)-$AP474)</f>
        <v>0</v>
      </c>
      <c r="I474" s="716">
        <f>IF(OR(status1B5!J169="",I$7="No aplica"),0,SUM('BOULEVARD 5'!$K167:L167)-$AP474)</f>
        <v>0</v>
      </c>
      <c r="J474" s="716">
        <f>IF(OR(status1B5!K169="",J$7="No aplica"),0,SUM('BOULEVARD 5'!$K167:M167)-$AP474)</f>
        <v>0</v>
      </c>
      <c r="K474" s="716">
        <f>IF(OR(status1B5!L169="",K$7="No aplica"),0,SUM('BOULEVARD 5'!$K167:N167)-$AP474)</f>
        <v>0</v>
      </c>
      <c r="L474" s="716">
        <f>IF(OR(status1B5!M169="",L$7="No aplica"),0,SUM('BOULEVARD 5'!$K167:O167)-$AP474)</f>
        <v>0</v>
      </c>
      <c r="M474" s="716">
        <f>IF(OR(status1B5!N169="",M$7="No aplica"),0,SUM('BOULEVARD 5'!$K167:P167)-$AP474)</f>
        <v>0</v>
      </c>
      <c r="N474" s="716">
        <f>IF(OR(status1B5!O169="",N$7="No aplica"),0,SUM('BOULEVARD 5'!$K167:Q167)-$AP474)</f>
        <v>0</v>
      </c>
      <c r="O474" s="716">
        <f>IF(OR(status1B5!P169="",O$7="No aplica"),0,SUM('BOULEVARD 5'!$K167:R167)-$AP474)</f>
        <v>0</v>
      </c>
      <c r="P474" s="716">
        <f>IF(OR(status1B5!Q169="",P$7="No aplica"),0,SUM('BOULEVARD 5'!$K167:S167)-$AP474)</f>
        <v>0</v>
      </c>
      <c r="Q474" s="716">
        <f>IF(OR(status1B5!R169="",Q$7="No aplica"),0,SUM('BOULEVARD 5'!$K167:T167)-$AP474)</f>
        <v>0</v>
      </c>
      <c r="R474" s="716">
        <f>IF(OR(status1B5!S169="",R$7="No aplica"),0,SUM('BOULEVARD 5'!$K167:U167)-$AP474)</f>
        <v>-74400</v>
      </c>
      <c r="S474" s="716">
        <f>IF(OR(status1B5!T169="",S$7="No aplica"),0,SUM('BOULEVARD 5'!$K167:V167)-$AP474)</f>
        <v>-70380</v>
      </c>
      <c r="T474" s="716">
        <f>IF(OR(status1B5!U169="",T$7="No aplica"),0,SUM('BOULEVARD 5'!$K167:W167)-$AP474)</f>
        <v>-70380</v>
      </c>
      <c r="U474" s="716">
        <f>IF(OR(status1B5!V169="",U$7="No aplica"),0,SUM('BOULEVARD 5'!$K167:X167)-$AP474)</f>
        <v>-62340</v>
      </c>
      <c r="V474" s="716">
        <f>IF(OR(status1B5!W169="",V$7="No aplica"),0,SUM('BOULEVARD 5'!$K167:Y167)-$AP474)</f>
        <v>-58320</v>
      </c>
      <c r="W474" s="716">
        <f>IF(OR(status1B5!X169="",W$7="No aplica"),0,SUM('BOULEVARD 5'!$K167:Z167)-$AP474)</f>
        <v>-54300</v>
      </c>
      <c r="X474" s="716">
        <f>IF(OR(status1B5!Y169="",X$7="No aplica"),0,SUM('BOULEVARD 5'!$K167:AA167)-$AP474)</f>
        <v>-54300</v>
      </c>
      <c r="Y474" s="716">
        <f>IF(OR(status1B5!Z169="",Y$7="No aplica"),0,SUM('BOULEVARD 5'!$K167:AB167)-$AP474)</f>
        <v>-46260</v>
      </c>
      <c r="Z474" s="716">
        <f>IF(OR(status1B5!AA169="",Z$7="No aplica"),0,SUM('BOULEVARD 5'!$K167:AC167)-$AP474)</f>
        <v>-46260</v>
      </c>
      <c r="AA474" s="716">
        <f>IF(OR(status1B5!AB169="",AA$7="No aplica"),0,SUM('BOULEVARD 5'!$K167:AD167)-$AP474)</f>
        <v>-38220</v>
      </c>
      <c r="AB474" s="716">
        <f>IF(OR(status1B5!AC169="",AB$7="No aplica"),0,SUM('BOULEVARD 5'!$K167:AE167)-$AP474)</f>
        <v>-38220</v>
      </c>
      <c r="AC474" s="716">
        <f>IF(OR(status1B5!AD169="",AC$7="No aplica"),0,SUM('BOULEVARD 5'!$K167:AF167)-$AP474)</f>
        <v>-34200</v>
      </c>
      <c r="AD474" s="716">
        <f>IF(OR(status1B5!AE169="",AD$7="No aplica"),0,SUM('BOULEVARD 5'!$K167:AG167)-$AP474)</f>
        <v>-34200</v>
      </c>
      <c r="AE474" s="716">
        <f>IF(OR(status1B5!AF169="",AE$7="No aplica"),0,SUM('BOULEVARD 5'!$K167:AH167)-$AP474)</f>
        <v>-30160</v>
      </c>
      <c r="AF474" s="716">
        <f>IF(OR(status1B5!AG169="",AF$7="No aplica"),0,SUM('BOULEVARD 5'!$K167:AI167)-$AP474)</f>
        <v>-22120</v>
      </c>
      <c r="AG474" s="716">
        <f>IF(OR(status1B5!AH169="",AG$7="No aplica"),0,SUM('BOULEVARD 5'!$K167:AJ167)-$AP474)</f>
        <v>-14080</v>
      </c>
      <c r="AH474" s="716">
        <f>IF(OR(status1B5!AI169="",AH$7="No aplica"),0,SUM('BOULEVARD 5'!$K167:AK167)-$AP474)</f>
        <v>-10060</v>
      </c>
      <c r="AI474" s="716">
        <f>IF(OR(status1B5!AJ169="",AI$7="No aplica"),0,SUM('BOULEVARD 5'!$K167:AL167)-$AP474)</f>
        <v>-6040</v>
      </c>
      <c r="AJ474" s="716">
        <f>IF(OR(status1B5!AK169="",AJ$7="No aplica"),0,SUM('BOULEVARD 5'!$K167:AM167)-$AP474)</f>
        <v>-2020</v>
      </c>
      <c r="AK474" s="716">
        <f>IF(OR(status1B5!AL169="",AK$7="No aplica"),0,SUM('BOULEVARD 5'!$K167:AN167)-$AP474)</f>
        <v>2000</v>
      </c>
      <c r="AL474" s="716">
        <f>IF(OR(status1B5!AM169="",AL$7="No aplica"),0,SUM('BOULEVARD 5'!$K167:AO167)-$AP474)</f>
        <v>6020</v>
      </c>
      <c r="AM474" s="716">
        <f>IF(OR(status1B5!AN169="",AM$7="No aplica"),0,SUM('BOULEVARD 5'!$K167:AP167)-$AP474)</f>
        <v>6020</v>
      </c>
      <c r="AN474" s="716">
        <f>IF(OR(status1B5!AO169="",AN$7="No aplica"),0,SUM('BOULEVARD 5'!$K167:AQ167)-$AP474)</f>
        <v>0</v>
      </c>
      <c r="AO474" s="716">
        <f>IF(OR(status1B5!AP169="",AO$7="No aplica"),0,SUM('BOULEVARD 5'!$K167:AS167)-$AP474)</f>
        <v>0</v>
      </c>
      <c r="AP474" s="717">
        <f>'BOULEVARD PPTO'!BC162</f>
        <v>88400</v>
      </c>
      <c r="AQ474" s="717">
        <f>'BOULEVARD 5'!AT167</f>
        <v>94420</v>
      </c>
      <c r="AR474" s="717">
        <f t="shared" si="170"/>
        <v>6020</v>
      </c>
      <c r="AS474" s="717"/>
      <c r="AT474" s="581"/>
    </row>
    <row r="475" spans="1:46" ht="13.15" customHeight="1" outlineLevel="1" x14ac:dyDescent="0.25">
      <c r="A475" s="700">
        <f t="shared" si="168"/>
        <v>0</v>
      </c>
      <c r="B475" s="564">
        <f t="shared" ref="B475:G475" si="202">B170</f>
        <v>915</v>
      </c>
      <c r="C475" s="564" t="str">
        <f t="shared" si="202"/>
        <v>E2</v>
      </c>
      <c r="D475" s="564">
        <f t="shared" si="202"/>
        <v>0</v>
      </c>
      <c r="E475" s="564" t="str">
        <f t="shared" si="202"/>
        <v>Brenda Búcaro</v>
      </c>
      <c r="F475" s="581" t="str">
        <f t="shared" si="202"/>
        <v>Marcela Alejandra Castro Marcía</v>
      </c>
      <c r="G475" s="566">
        <f t="shared" si="202"/>
        <v>45197</v>
      </c>
      <c r="H475" s="716">
        <f>IF(OR(status1B5!I170="",H$7="No aplica"),0,SUM('BOULEVARD 5'!$K168:K168)-$AP475)</f>
        <v>0</v>
      </c>
      <c r="I475" s="716">
        <f>IF(OR(status1B5!J170="",I$7="No aplica"),0,SUM('BOULEVARD 5'!$K168:L168)-$AP475)</f>
        <v>0</v>
      </c>
      <c r="J475" s="716">
        <f>IF(OR(status1B5!K170="",J$7="No aplica"),0,SUM('BOULEVARD 5'!$K168:M168)-$AP475)</f>
        <v>0</v>
      </c>
      <c r="K475" s="716">
        <f>IF(OR(status1B5!L170="",K$7="No aplica"),0,SUM('BOULEVARD 5'!$K168:N168)-$AP475)</f>
        <v>0</v>
      </c>
      <c r="L475" s="716">
        <f>IF(OR(status1B5!M170="",L$7="No aplica"),0,SUM('BOULEVARD 5'!$K168:O168)-$AP475)</f>
        <v>0</v>
      </c>
      <c r="M475" s="716">
        <f>IF(OR(status1B5!N170="",M$7="No aplica"),0,SUM('BOULEVARD 5'!$K168:P168)-$AP475)</f>
        <v>0</v>
      </c>
      <c r="N475" s="716">
        <f>IF(OR(status1B5!O170="",N$7="No aplica"),0,SUM('BOULEVARD 5'!$K168:Q168)-$AP475)</f>
        <v>-124997.44</v>
      </c>
      <c r="O475" s="716">
        <f>IF(OR(status1B5!P170="",O$7="No aplica"),0,SUM('BOULEVARD 5'!$K168:R168)-$AP475)</f>
        <v>-119789.44</v>
      </c>
      <c r="P475" s="716">
        <f>IF(OR(status1B5!Q170="",P$7="No aplica"),0,SUM('BOULEVARD 5'!$K168:S168)-$AP475)</f>
        <v>-114581.44</v>
      </c>
      <c r="Q475" s="716">
        <f>IF(OR(status1B5!R170="",Q$7="No aplica"),0,SUM('BOULEVARD 5'!$K168:T168)-$AP475)</f>
        <v>-109373.44</v>
      </c>
      <c r="R475" s="716">
        <f>IF(OR(status1B5!S170="",R$7="No aplica"),0,SUM('BOULEVARD 5'!$K168:U168)-$AP475)</f>
        <v>-104165.44</v>
      </c>
      <c r="S475" s="716">
        <f>IF(OR(status1B5!T170="",S$7="No aplica"),0,SUM('BOULEVARD 5'!$K168:V168)-$AP475)</f>
        <v>-98957.440000000002</v>
      </c>
      <c r="T475" s="716">
        <f>IF(OR(status1B5!U170="",T$7="No aplica"),0,SUM('BOULEVARD 5'!$K168:W168)-$AP475)</f>
        <v>-93749.440000000002</v>
      </c>
      <c r="U475" s="716">
        <f>IF(OR(status1B5!V170="",U$7="No aplica"),0,SUM('BOULEVARD 5'!$K168:X168)-$AP475)</f>
        <v>-88541.440000000002</v>
      </c>
      <c r="V475" s="716">
        <f>IF(OR(status1B5!W170="",V$7="No aplica"),0,SUM('BOULEVARD 5'!$K168:Y168)-$AP475)</f>
        <v>-88541.440000000002</v>
      </c>
      <c r="W475" s="716">
        <f>IF(OR(status1B5!X170="",W$7="No aplica"),0,SUM('BOULEVARD 5'!$K168:Z168)-$AP475)</f>
        <v>-78125.440000000002</v>
      </c>
      <c r="X475" s="716">
        <f>IF(OR(status1B5!Y170="",X$7="No aplica"),0,SUM('BOULEVARD 5'!$K168:AA168)-$AP475)</f>
        <v>-72917.440000000002</v>
      </c>
      <c r="Y475" s="716">
        <f>IF(OR(status1B5!Z170="",Y$7="No aplica"),0,SUM('BOULEVARD 5'!$K168:AB168)-$AP475)</f>
        <v>-67709.440000000002</v>
      </c>
      <c r="Z475" s="716">
        <f>IF(OR(status1B5!AA170="",Z$7="No aplica"),0,SUM('BOULEVARD 5'!$K168:AC168)-$AP475)</f>
        <v>-62501.440000000002</v>
      </c>
      <c r="AA475" s="716">
        <f>IF(OR(status1B5!AB170="",AA$7="No aplica"),0,SUM('BOULEVARD 5'!$K168:AD168)-$AP475)</f>
        <v>-62501.440000000002</v>
      </c>
      <c r="AB475" s="716">
        <f>IF(OR(status1B5!AC170="",AB$7="No aplica"),0,SUM('BOULEVARD 5'!$K168:AE168)-$AP475)</f>
        <v>-57293.440000000002</v>
      </c>
      <c r="AC475" s="716">
        <f>IF(OR(status1B5!AD170="",AC$7="No aplica"),0,SUM('BOULEVARD 5'!$K168:AF168)-$AP475)</f>
        <v>-46877.440000000002</v>
      </c>
      <c r="AD475" s="716">
        <f>IF(OR(status1B5!AE170="",AD$7="No aplica"),0,SUM('BOULEVARD 5'!$K168:AG168)-$AP475)</f>
        <v>-46877.440000000002</v>
      </c>
      <c r="AE475" s="716">
        <f>IF(OR(status1B5!AF170="",AE$7="No aplica"),0,SUM('BOULEVARD 5'!$K168:AH168)-$AP475)</f>
        <v>-41669.440000000002</v>
      </c>
      <c r="AF475" s="716">
        <f>IF(OR(status1B5!AG170="",AF$7="No aplica"),0,SUM('BOULEVARD 5'!$K168:AI168)-$AP475)</f>
        <v>-31253.440000000002</v>
      </c>
      <c r="AG475" s="716">
        <f>IF(OR(status1B5!AH170="",AG$7="No aplica"),0,SUM('BOULEVARD 5'!$K168:AJ168)-$AP475)</f>
        <v>-31253.440000000002</v>
      </c>
      <c r="AH475" s="716">
        <f>IF(OR(status1B5!AI170="",AH$7="No aplica"),0,SUM('BOULEVARD 5'!$K168:AK168)-$AP475)</f>
        <v>-20837.440000000002</v>
      </c>
      <c r="AI475" s="716">
        <f>IF(OR(status1B5!AJ170="",AI$7="No aplica"),0,SUM('BOULEVARD 5'!$K168:AL168)-$AP475)</f>
        <v>-15629.440000000002</v>
      </c>
      <c r="AJ475" s="716">
        <f>IF(OR(status1B5!AK170="",AJ$7="No aplica"),0,SUM('BOULEVARD 5'!$K168:AM168)-$AP475)</f>
        <v>-10421.440000000002</v>
      </c>
      <c r="AK475" s="716">
        <f>IF(OR(status1B5!AL170="",AK$7="No aplica"),0,SUM('BOULEVARD 5'!$K168:AN168)-$AP475)</f>
        <v>-10421.440000000002</v>
      </c>
      <c r="AL475" s="716">
        <f>IF(OR(status1B5!AM170="",AL$7="No aplica"),0,SUM('BOULEVARD 5'!$K168:AO168)-$AP475)</f>
        <v>-5213.4400000000023</v>
      </c>
      <c r="AM475" s="716">
        <f>IF(OR(status1B5!AN170="",AM$7="No aplica"),0,SUM('BOULEVARD 5'!$K168:AP168)-$AP475)</f>
        <v>-0.44000000000232831</v>
      </c>
      <c r="AN475" s="716">
        <f>IF(OR(status1B5!AO170="",AN$7="No aplica"),0,SUM('BOULEVARD 5'!$K168:AQ168)-$AP475)</f>
        <v>0</v>
      </c>
      <c r="AO475" s="716">
        <f>IF(OR(status1B5!AP170="",AO$7="No aplica"),0,SUM('BOULEVARD 5'!$K168:AS168)-$AP475)</f>
        <v>0</v>
      </c>
      <c r="AP475" s="717">
        <f>'BOULEVARD PPTO'!BC163</f>
        <v>130997.44</v>
      </c>
      <c r="AQ475" s="717">
        <f>'BOULEVARD 5'!AT168</f>
        <v>130997</v>
      </c>
      <c r="AR475" s="717">
        <f t="shared" si="170"/>
        <v>-0.44000000000232831</v>
      </c>
      <c r="AS475" s="717"/>
      <c r="AT475" s="581"/>
    </row>
    <row r="476" spans="1:46" ht="13.15" customHeight="1" outlineLevel="1" x14ac:dyDescent="0.25">
      <c r="A476" s="700">
        <f t="shared" si="168"/>
        <v>0</v>
      </c>
      <c r="B476" s="564">
        <f t="shared" ref="B476:G476" si="203">B171</f>
        <v>916</v>
      </c>
      <c r="C476" s="564" t="str">
        <f t="shared" si="203"/>
        <v>A2</v>
      </c>
      <c r="D476" s="564">
        <f t="shared" si="203"/>
        <v>0</v>
      </c>
      <c r="E476" s="564" t="str">
        <f t="shared" si="203"/>
        <v>Brenda Búcaro</v>
      </c>
      <c r="F476" s="581" t="str">
        <f t="shared" si="203"/>
        <v>José Fernando Cordón Almengor</v>
      </c>
      <c r="G476" s="566">
        <f t="shared" si="203"/>
        <v>45049</v>
      </c>
      <c r="H476" s="716">
        <f>IF(OR(status1B5!I171="",H$7="No aplica"),0,SUM('BOULEVARD 5'!$K169:K169)-$AP476)</f>
        <v>0</v>
      </c>
      <c r="I476" s="716">
        <f>IF(OR(status1B5!J171="",I$7="No aplica"),0,SUM('BOULEVARD 5'!$K169:L169)-$AP476)</f>
        <v>0</v>
      </c>
      <c r="J476" s="716">
        <f>IF(OR(status1B5!K171="",J$7="No aplica"),0,SUM('BOULEVARD 5'!$K169:M169)-$AP476)</f>
        <v>-60550</v>
      </c>
      <c r="K476" s="716">
        <f>IF(OR(status1B5!L171="",K$7="No aplica"),0,SUM('BOULEVARD 5'!$K169:N169)-$AP476)</f>
        <v>-60550</v>
      </c>
      <c r="L476" s="716">
        <f>IF(OR(status1B5!M171="",L$7="No aplica"),0,SUM('BOULEVARD 5'!$K169:O169)-$AP476)</f>
        <v>-58300</v>
      </c>
      <c r="M476" s="716">
        <f>IF(OR(status1B5!N171="",M$7="No aplica"),0,SUM('BOULEVARD 5'!$K169:P169)-$AP476)</f>
        <v>-56050</v>
      </c>
      <c r="N476" s="716">
        <f>IF(OR(status1B5!O171="",N$7="No aplica"),0,SUM('BOULEVARD 5'!$K169:Q169)-$AP476)</f>
        <v>-53800</v>
      </c>
      <c r="O476" s="716">
        <f>IF(OR(status1B5!P171="",O$7="No aplica"),0,SUM('BOULEVARD 5'!$K169:R169)-$AP476)</f>
        <v>-51550</v>
      </c>
      <c r="P476" s="716">
        <f>IF(OR(status1B5!Q171="",P$7="No aplica"),0,SUM('BOULEVARD 5'!$K169:S169)-$AP476)</f>
        <v>-49300</v>
      </c>
      <c r="Q476" s="716">
        <f>IF(OR(status1B5!R171="",Q$7="No aplica"),0,SUM('BOULEVARD 5'!$K169:T169)-$AP476)</f>
        <v>-47050</v>
      </c>
      <c r="R476" s="716">
        <f>IF(OR(status1B5!S171="",R$7="No aplica"),0,SUM('BOULEVARD 5'!$K169:U169)-$AP476)</f>
        <v>-44800</v>
      </c>
      <c r="S476" s="716">
        <f>IF(OR(status1B5!T171="",S$7="No aplica"),0,SUM('BOULEVARD 5'!$K169:V169)-$AP476)</f>
        <v>-42550</v>
      </c>
      <c r="T476" s="716">
        <f>IF(OR(status1B5!U171="",T$7="No aplica"),0,SUM('BOULEVARD 5'!$K169:W169)-$AP476)</f>
        <v>-40300</v>
      </c>
      <c r="U476" s="716">
        <f>IF(OR(status1B5!V171="",U$7="No aplica"),0,SUM('BOULEVARD 5'!$K169:X169)-$AP476)</f>
        <v>-38050</v>
      </c>
      <c r="V476" s="716">
        <f>IF(OR(status1B5!W171="",V$7="No aplica"),0,SUM('BOULEVARD 5'!$K169:Y169)-$AP476)</f>
        <v>-35800</v>
      </c>
      <c r="W476" s="716">
        <f>IF(OR(status1B5!X171="",W$7="No aplica"),0,SUM('BOULEVARD 5'!$K169:Z169)-$AP476)</f>
        <v>-33550</v>
      </c>
      <c r="X476" s="716">
        <f>IF(OR(status1B5!Y171="",X$7="No aplica"),0,SUM('BOULEVARD 5'!$K169:AA169)-$AP476)</f>
        <v>-33550</v>
      </c>
      <c r="Y476" s="716">
        <f>IF(OR(status1B5!Z171="",Y$7="No aplica"),0,SUM('BOULEVARD 5'!$K169:AB169)-$AP476)</f>
        <v>-29050</v>
      </c>
      <c r="Z476" s="716">
        <f>IF(OR(status1B5!AA171="",Z$7="No aplica"),0,SUM('BOULEVARD 5'!$K169:AC169)-$AP476)</f>
        <v>-26800</v>
      </c>
      <c r="AA476" s="716">
        <f>IF(OR(status1B5!AB171="",AA$7="No aplica"),0,SUM('BOULEVARD 5'!$K169:AD169)-$AP476)</f>
        <v>-24550</v>
      </c>
      <c r="AB476" s="716">
        <f>IF(OR(status1B5!AC171="",AB$7="No aplica"),0,SUM('BOULEVARD 5'!$K169:AE169)-$AP476)</f>
        <v>-22300</v>
      </c>
      <c r="AC476" s="716">
        <f>IF(OR(status1B5!AD171="",AC$7="No aplica"),0,SUM('BOULEVARD 5'!$K169:AF169)-$AP476)</f>
        <v>-20050</v>
      </c>
      <c r="AD476" s="716">
        <f>IF(OR(status1B5!AE171="",AD$7="No aplica"),0,SUM('BOULEVARD 5'!$K169:AG169)-$AP476)</f>
        <v>-17800</v>
      </c>
      <c r="AE476" s="716">
        <f>IF(OR(status1B5!AF171="",AE$7="No aplica"),0,SUM('BOULEVARD 5'!$K169:AH169)-$AP476)</f>
        <v>-17800</v>
      </c>
      <c r="AF476" s="716">
        <f>IF(OR(status1B5!AG171="",AF$7="No aplica"),0,SUM('BOULEVARD 5'!$K169:AI169)-$AP476)</f>
        <v>-13300</v>
      </c>
      <c r="AG476" s="716">
        <f>IF(OR(status1B5!AH171="",AG$7="No aplica"),0,SUM('BOULEVARD 5'!$K169:AJ169)-$AP476)</f>
        <v>-11050</v>
      </c>
      <c r="AH476" s="716">
        <f>IF(OR(status1B5!AI171="",AH$7="No aplica"),0,SUM('BOULEVARD 5'!$K169:AK169)-$AP476)</f>
        <v>-8800</v>
      </c>
      <c r="AI476" s="716">
        <f>IF(OR(status1B5!AJ171="",AI$7="No aplica"),0,SUM('BOULEVARD 5'!$K169:AL169)-$AP476)</f>
        <v>-6550</v>
      </c>
      <c r="AJ476" s="716">
        <f>IF(OR(status1B5!AK171="",AJ$7="No aplica"),0,SUM('BOULEVARD 5'!$K169:AM169)-$AP476)</f>
        <v>-4300</v>
      </c>
      <c r="AK476" s="716">
        <f>IF(OR(status1B5!AL171="",AK$7="No aplica"),0,SUM('BOULEVARD 5'!$K169:AN169)-$AP476)</f>
        <v>-2050</v>
      </c>
      <c r="AL476" s="716">
        <f>IF(OR(status1B5!AM171="",AL$7="No aplica"),0,SUM('BOULEVARD 5'!$K169:AO169)-$AP476)</f>
        <v>200</v>
      </c>
      <c r="AM476" s="716">
        <f>IF(OR(status1B5!AN171="",AM$7="No aplica"),0,SUM('BOULEVARD 5'!$K169:AP169)-$AP476)</f>
        <v>2450</v>
      </c>
      <c r="AN476" s="716">
        <f>IF(OR(status1B5!AO171="",AN$7="No aplica"),0,SUM('BOULEVARD 5'!$K169:AQ169)-$AP476)</f>
        <v>0</v>
      </c>
      <c r="AO476" s="716">
        <f>IF(OR(status1B5!AP171="",AO$7="No aplica"),0,SUM('BOULEVARD 5'!$K169:AS169)-$AP476)</f>
        <v>0</v>
      </c>
      <c r="AP476" s="717">
        <f>'BOULEVARD PPTO'!BC164</f>
        <v>68800</v>
      </c>
      <c r="AQ476" s="717">
        <f>'BOULEVARD 5'!AT169</f>
        <v>73500</v>
      </c>
      <c r="AR476" s="717">
        <f t="shared" si="170"/>
        <v>4700</v>
      </c>
      <c r="AS476" s="717"/>
      <c r="AT476" s="581"/>
    </row>
    <row r="477" spans="1:46" ht="13.15" customHeight="1" outlineLevel="1" x14ac:dyDescent="0.25">
      <c r="A477" s="700">
        <f t="shared" si="168"/>
        <v>0</v>
      </c>
      <c r="B477" s="564">
        <f t="shared" ref="B477:G477" si="204">B172</f>
        <v>917</v>
      </c>
      <c r="C477" s="564" t="str">
        <f t="shared" si="204"/>
        <v>A6</v>
      </c>
      <c r="D477" s="564">
        <f t="shared" si="204"/>
        <v>0</v>
      </c>
      <c r="E477" s="564" t="str">
        <f t="shared" si="204"/>
        <v>Brenda Búcaro</v>
      </c>
      <c r="F477" s="581" t="str">
        <f t="shared" si="204"/>
        <v>Jessica María Ramirez Girard</v>
      </c>
      <c r="G477" s="566">
        <f t="shared" si="204"/>
        <v>45068</v>
      </c>
      <c r="H477" s="716">
        <f>IF(OR(status1B5!I172="",H$7="No aplica"),0,SUM('BOULEVARD 5'!$K170:K170)-$AP477)</f>
        <v>0</v>
      </c>
      <c r="I477" s="716">
        <f>IF(OR(status1B5!J172="",I$7="No aplica"),0,SUM('BOULEVARD 5'!$K170:L170)-$AP477)</f>
        <v>0</v>
      </c>
      <c r="J477" s="716">
        <f>IF(OR(status1B5!K172="",J$7="No aplica"),0,SUM('BOULEVARD 5'!$K170:M170)-$AP477)</f>
        <v>-64000</v>
      </c>
      <c r="K477" s="716">
        <f>IF(OR(status1B5!L172="",K$7="No aplica"),0,SUM('BOULEVARD 5'!$K170:N170)-$AP477)</f>
        <v>-61750</v>
      </c>
      <c r="L477" s="716">
        <f>IF(OR(status1B5!M172="",L$7="No aplica"),0,SUM('BOULEVARD 5'!$K170:O170)-$AP477)</f>
        <v>-59500</v>
      </c>
      <c r="M477" s="716">
        <f>IF(OR(status1B5!N172="",M$7="No aplica"),0,SUM('BOULEVARD 5'!$K170:P170)-$AP477)</f>
        <v>-57250</v>
      </c>
      <c r="N477" s="716">
        <f>IF(OR(status1B5!O172="",N$7="No aplica"),0,SUM('BOULEVARD 5'!$K170:Q170)-$AP477)</f>
        <v>-55000</v>
      </c>
      <c r="O477" s="716">
        <f>IF(OR(status1B5!P172="",O$7="No aplica"),0,SUM('BOULEVARD 5'!$K170:R170)-$AP477)</f>
        <v>-52750</v>
      </c>
      <c r="P477" s="716">
        <f>IF(OR(status1B5!Q172="",P$7="No aplica"),0,SUM('BOULEVARD 5'!$K170:S170)-$AP477)</f>
        <v>-50500</v>
      </c>
      <c r="Q477" s="716">
        <f>IF(OR(status1B5!R172="",Q$7="No aplica"),0,SUM('BOULEVARD 5'!$K170:T170)-$AP477)</f>
        <v>-48250</v>
      </c>
      <c r="R477" s="716">
        <f>IF(OR(status1B5!S172="",R$7="No aplica"),0,SUM('BOULEVARD 5'!$K170:U170)-$AP477)</f>
        <v>-46000</v>
      </c>
      <c r="S477" s="716">
        <f>IF(OR(status1B5!T172="",S$7="No aplica"),0,SUM('BOULEVARD 5'!$K170:V170)-$AP477)</f>
        <v>-43750</v>
      </c>
      <c r="T477" s="716">
        <f>IF(OR(status1B5!U172="",T$7="No aplica"),0,SUM('BOULEVARD 5'!$K170:W170)-$AP477)</f>
        <v>-41500</v>
      </c>
      <c r="U477" s="716">
        <f>IF(OR(status1B5!V172="",U$7="No aplica"),0,SUM('BOULEVARD 5'!$K170:X170)-$AP477)</f>
        <v>-39250</v>
      </c>
      <c r="V477" s="716">
        <f>IF(OR(status1B5!W172="",V$7="No aplica"),0,SUM('BOULEVARD 5'!$K170:Y170)-$AP477)</f>
        <v>-37000</v>
      </c>
      <c r="W477" s="716">
        <f>IF(OR(status1B5!X172="",W$7="No aplica"),0,SUM('BOULEVARD 5'!$K170:Z170)-$AP477)</f>
        <v>-34750</v>
      </c>
      <c r="X477" s="716">
        <f>IF(OR(status1B5!Y172="",X$7="No aplica"),0,SUM('BOULEVARD 5'!$K170:AA170)-$AP477)</f>
        <v>-32500</v>
      </c>
      <c r="Y477" s="716">
        <f>IF(OR(status1B5!Z172="",Y$7="No aplica"),0,SUM('BOULEVARD 5'!$K170:AB170)-$AP477)</f>
        <v>-30250</v>
      </c>
      <c r="Z477" s="716">
        <f>IF(OR(status1B5!AA172="",Z$7="No aplica"),0,SUM('BOULEVARD 5'!$K170:AC170)-$AP477)</f>
        <v>-28000</v>
      </c>
      <c r="AA477" s="716">
        <f>IF(OR(status1B5!AB172="",AA$7="No aplica"),0,SUM('BOULEVARD 5'!$K170:AD170)-$AP477)</f>
        <v>-25750</v>
      </c>
      <c r="AB477" s="716">
        <f>IF(OR(status1B5!AC172="",AB$7="No aplica"),0,SUM('BOULEVARD 5'!$K170:AE170)-$AP477)</f>
        <v>-23500</v>
      </c>
      <c r="AC477" s="716">
        <f>IF(OR(status1B5!AD172="",AC$7="No aplica"),0,SUM('BOULEVARD 5'!$K170:AF170)-$AP477)</f>
        <v>-21250</v>
      </c>
      <c r="AD477" s="716">
        <f>IF(OR(status1B5!AE172="",AD$7="No aplica"),0,SUM('BOULEVARD 5'!$K170:AG170)-$AP477)</f>
        <v>-19000</v>
      </c>
      <c r="AE477" s="716">
        <f>IF(OR(status1B5!AF172="",AE$7="No aplica"),0,SUM('BOULEVARD 5'!$K170:AH170)-$AP477)</f>
        <v>-16750</v>
      </c>
      <c r="AF477" s="716">
        <f>IF(OR(status1B5!AG172="",AF$7="No aplica"),0,SUM('BOULEVARD 5'!$K170:AI170)-$AP477)</f>
        <v>-14500</v>
      </c>
      <c r="AG477" s="716">
        <f>IF(OR(status1B5!AH172="",AG$7="No aplica"),0,SUM('BOULEVARD 5'!$K170:AJ170)-$AP477)</f>
        <v>-12250</v>
      </c>
      <c r="AH477" s="716">
        <f>IF(OR(status1B5!AI172="",AH$7="No aplica"),0,SUM('BOULEVARD 5'!$K170:AK170)-$AP477)</f>
        <v>-10000</v>
      </c>
      <c r="AI477" s="716">
        <f>IF(OR(status1B5!AJ172="",AI$7="No aplica"),0,SUM('BOULEVARD 5'!$K170:AL170)-$AP477)</f>
        <v>-7750</v>
      </c>
      <c r="AJ477" s="716">
        <f>IF(OR(status1B5!AK172="",AJ$7="No aplica"),0,SUM('BOULEVARD 5'!$K170:AM170)-$AP477)</f>
        <v>-5500</v>
      </c>
      <c r="AK477" s="716">
        <f>IF(OR(status1B5!AL172="",AK$7="No aplica"),0,SUM('BOULEVARD 5'!$K170:AN170)-$AP477)</f>
        <v>-3250</v>
      </c>
      <c r="AL477" s="716">
        <f>IF(OR(status1B5!AM172="",AL$7="No aplica"),0,SUM('BOULEVARD 5'!$K170:AO170)-$AP477)</f>
        <v>0</v>
      </c>
      <c r="AM477" s="716">
        <f>IF(OR(status1B5!AN172="",AM$7="No aplica"),0,SUM('BOULEVARD 5'!$K170:AP170)-$AP477)</f>
        <v>0</v>
      </c>
      <c r="AN477" s="716">
        <f>IF(OR(status1B5!AO172="",AN$7="No aplica"),0,SUM('BOULEVARD 5'!$K170:AQ170)-$AP477)</f>
        <v>0</v>
      </c>
      <c r="AO477" s="716">
        <f>IF(OR(status1B5!AP172="",AO$7="No aplica"),0,SUM('BOULEVARD 5'!$K170:AS170)-$AP477)</f>
        <v>0</v>
      </c>
      <c r="AP477" s="717">
        <f>'BOULEVARD PPTO'!BC165</f>
        <v>70000</v>
      </c>
      <c r="AQ477" s="717">
        <f>'BOULEVARD 5'!AT170</f>
        <v>70000</v>
      </c>
      <c r="AR477" s="717">
        <f t="shared" si="170"/>
        <v>0</v>
      </c>
      <c r="AS477" s="717"/>
      <c r="AT477" s="581"/>
    </row>
    <row r="478" spans="1:46" ht="13.15" customHeight="1" outlineLevel="1" x14ac:dyDescent="0.25">
      <c r="A478" s="700">
        <f t="shared" si="168"/>
        <v>0</v>
      </c>
      <c r="B478" s="564">
        <f t="shared" ref="B478:G478" si="205">B173</f>
        <v>918</v>
      </c>
      <c r="C478" s="564" t="str">
        <f t="shared" si="205"/>
        <v>A3</v>
      </c>
      <c r="D478" s="564">
        <f t="shared" si="205"/>
        <v>0</v>
      </c>
      <c r="E478" s="564" t="str">
        <f t="shared" si="205"/>
        <v>Antonio Rada</v>
      </c>
      <c r="F478" s="581" t="str">
        <f t="shared" si="205"/>
        <v>Astrid Maricel De León Ramírez</v>
      </c>
      <c r="G478" s="566">
        <f t="shared" si="205"/>
        <v>45128</v>
      </c>
      <c r="H478" s="716">
        <f>IF(OR(status1B5!I173="",H$7="No aplica"),0,SUM('BOULEVARD 5'!$K171:K171)-$AP478)</f>
        <v>0</v>
      </c>
      <c r="I478" s="716">
        <f>IF(OR(status1B5!J173="",I$7="No aplica"),0,SUM('BOULEVARD 5'!$K171:L171)-$AP478)</f>
        <v>0</v>
      </c>
      <c r="J478" s="716">
        <f>IF(OR(status1B5!K173="",J$7="No aplica"),0,SUM('BOULEVARD 5'!$K171:M171)-$AP478)</f>
        <v>0</v>
      </c>
      <c r="K478" s="716">
        <f>IF(OR(status1B5!L173="",K$7="No aplica"),0,SUM('BOULEVARD 5'!$K171:N171)-$AP478)</f>
        <v>0</v>
      </c>
      <c r="L478" s="716">
        <f>IF(OR(status1B5!M173="",L$7="No aplica"),0,SUM('BOULEVARD 5'!$K171:O171)-$AP478)</f>
        <v>-64400</v>
      </c>
      <c r="M478" s="716">
        <f>IF(OR(status1B5!N173="",M$7="No aplica"),0,SUM('BOULEVARD 5'!$K171:P171)-$AP478)</f>
        <v>-61923</v>
      </c>
      <c r="N478" s="716">
        <f>IF(OR(status1B5!O173="",N$7="No aplica"),0,SUM('BOULEVARD 5'!$K171:Q171)-$AP478)</f>
        <v>-59446</v>
      </c>
      <c r="O478" s="716">
        <f>IF(OR(status1B5!P173="",O$7="No aplica"),0,SUM('BOULEVARD 5'!$K171:R171)-$AP478)</f>
        <v>-56969</v>
      </c>
      <c r="P478" s="716">
        <f>IF(OR(status1B5!Q173="",P$7="No aplica"),0,SUM('BOULEVARD 5'!$K171:S171)-$AP478)</f>
        <v>-54492</v>
      </c>
      <c r="Q478" s="716">
        <f>IF(OR(status1B5!R173="",Q$7="No aplica"),0,SUM('BOULEVARD 5'!$K171:T171)-$AP478)</f>
        <v>-49538</v>
      </c>
      <c r="R478" s="716">
        <f>IF(OR(status1B5!S173="",R$7="No aplica"),0,SUM('BOULEVARD 5'!$K171:U171)-$AP478)</f>
        <v>-49538</v>
      </c>
      <c r="S478" s="716">
        <f>IF(OR(status1B5!T173="",S$7="No aplica"),0,SUM('BOULEVARD 5'!$K171:V171)-$AP478)</f>
        <v>-47061</v>
      </c>
      <c r="T478" s="716">
        <f>IF(OR(status1B5!U173="",T$7="No aplica"),0,SUM('BOULEVARD 5'!$K171:W171)-$AP478)</f>
        <v>-44584</v>
      </c>
      <c r="U478" s="716">
        <f>IF(OR(status1B5!V173="",U$7="No aplica"),0,SUM('BOULEVARD 5'!$K171:X171)-$AP478)</f>
        <v>-42107</v>
      </c>
      <c r="V478" s="716">
        <f>IF(OR(status1B5!W173="",V$7="No aplica"),0,SUM('BOULEVARD 5'!$K171:Y171)-$AP478)</f>
        <v>-37153</v>
      </c>
      <c r="W478" s="716">
        <f>IF(OR(status1B5!X173="",W$7="No aplica"),0,SUM('BOULEVARD 5'!$K171:Z171)-$AP478)</f>
        <v>-37153</v>
      </c>
      <c r="X478" s="716">
        <f>IF(OR(status1B5!Y173="",X$7="No aplica"),0,SUM('BOULEVARD 5'!$K171:AA171)-$AP478)</f>
        <v>-34676</v>
      </c>
      <c r="Y478" s="716">
        <f>IF(OR(status1B5!Z173="",Y$7="No aplica"),0,SUM('BOULEVARD 5'!$K171:AB171)-$AP478)</f>
        <v>-32199</v>
      </c>
      <c r="Z478" s="716">
        <f>IF(OR(status1B5!AA173="",Z$7="No aplica"),0,SUM('BOULEVARD 5'!$K171:AC171)-$AP478)</f>
        <v>-29722</v>
      </c>
      <c r="AA478" s="716">
        <f>IF(OR(status1B5!AB173="",AA$7="No aplica"),0,SUM('BOULEVARD 5'!$K171:AD171)-$AP478)</f>
        <v>-27245</v>
      </c>
      <c r="AB478" s="716">
        <f>IF(OR(status1B5!AC173="",AB$7="No aplica"),0,SUM('BOULEVARD 5'!$K171:AE171)-$AP478)</f>
        <v>-24768</v>
      </c>
      <c r="AC478" s="716">
        <f>IF(OR(status1B5!AD173="",AC$7="No aplica"),0,SUM('BOULEVARD 5'!$K171:AF171)-$AP478)</f>
        <v>-22291</v>
      </c>
      <c r="AD478" s="716">
        <f>IF(OR(status1B5!AE173="",AD$7="No aplica"),0,SUM('BOULEVARD 5'!$K171:AG171)-$AP478)</f>
        <v>-19814</v>
      </c>
      <c r="AE478" s="716">
        <f>IF(OR(status1B5!AF173="",AE$7="No aplica"),0,SUM('BOULEVARD 5'!$K171:AH171)-$AP478)</f>
        <v>-17337</v>
      </c>
      <c r="AF478" s="716">
        <f>IF(OR(status1B5!AG173="",AF$7="No aplica"),0,SUM('BOULEVARD 5'!$K171:AI171)-$AP478)</f>
        <v>-17337</v>
      </c>
      <c r="AG478" s="716">
        <f>IF(OR(status1B5!AH173="",AG$7="No aplica"),0,SUM('BOULEVARD 5'!$K171:AJ171)-$AP478)</f>
        <v>-14860</v>
      </c>
      <c r="AH478" s="716">
        <f>IF(OR(status1B5!AI173="",AH$7="No aplica"),0,SUM('BOULEVARD 5'!$K171:AK171)-$AP478)</f>
        <v>-9906</v>
      </c>
      <c r="AI478" s="716">
        <f>IF(OR(status1B5!AJ173="",AI$7="No aplica"),0,SUM('BOULEVARD 5'!$K171:AL171)-$AP478)</f>
        <v>-7429</v>
      </c>
      <c r="AJ478" s="716">
        <f>IF(OR(status1B5!AK173="",AJ$7="No aplica"),0,SUM('BOULEVARD 5'!$K171:AM171)-$AP478)</f>
        <v>-7429</v>
      </c>
      <c r="AK478" s="716">
        <f>IF(OR(status1B5!AL173="",AK$7="No aplica"),0,SUM('BOULEVARD 5'!$K171:AN171)-$AP478)</f>
        <v>-4952</v>
      </c>
      <c r="AL478" s="716">
        <f>IF(OR(status1B5!AM173="",AL$7="No aplica"),0,SUM('BOULEVARD 5'!$K171:AO171)-$AP478)</f>
        <v>-2475</v>
      </c>
      <c r="AM478" s="716">
        <f>IF(OR(status1B5!AN173="",AM$7="No aplica"),0,SUM('BOULEVARD 5'!$K171:AP171)-$AP478)</f>
        <v>-1475</v>
      </c>
      <c r="AN478" s="716">
        <f>IF(OR(status1B5!AO173="",AN$7="No aplica"),0,SUM('BOULEVARD 5'!$K171:AQ171)-$AP478)</f>
        <v>0</v>
      </c>
      <c r="AO478" s="716">
        <f>IF(OR(status1B5!AP173="",AO$7="No aplica"),0,SUM('BOULEVARD 5'!$K171:AS171)-$AP478)</f>
        <v>0</v>
      </c>
      <c r="AP478" s="717">
        <f>'BOULEVARD PPTO'!BC166</f>
        <v>70400</v>
      </c>
      <c r="AQ478" s="717">
        <f>'BOULEVARD 5'!AT171</f>
        <v>70430</v>
      </c>
      <c r="AR478" s="717">
        <f t="shared" si="170"/>
        <v>30</v>
      </c>
      <c r="AS478" s="717"/>
      <c r="AT478" s="581"/>
    </row>
    <row r="479" spans="1:46" ht="13.15" customHeight="1" outlineLevel="1" x14ac:dyDescent="0.25">
      <c r="A479" s="700">
        <f t="shared" si="168"/>
        <v>0</v>
      </c>
      <c r="B479" s="564">
        <f t="shared" ref="B479:G479" si="206">B174</f>
        <v>919</v>
      </c>
      <c r="C479" s="564" t="str">
        <f t="shared" si="206"/>
        <v>C3</v>
      </c>
      <c r="D479" s="564">
        <f t="shared" si="206"/>
        <v>0</v>
      </c>
      <c r="E479" s="564" t="str">
        <f t="shared" si="206"/>
        <v>Brenda Búcaro</v>
      </c>
      <c r="F479" s="581" t="str">
        <f t="shared" si="206"/>
        <v>Ana Lucrecia Rangel Aquino</v>
      </c>
      <c r="G479" s="566">
        <f t="shared" si="206"/>
        <v>45016</v>
      </c>
      <c r="H479" s="716">
        <f>IF(OR(status1B5!I174="",H$7="No aplica"),0,SUM('BOULEVARD 5'!$K172:K172)-$AP479)</f>
        <v>-86200</v>
      </c>
      <c r="I479" s="716">
        <f>IF(OR(status1B5!J174="",I$7="No aplica"),0,SUM('BOULEVARD 5'!$K172:L172)-$AP479)</f>
        <v>-83735</v>
      </c>
      <c r="J479" s="716">
        <f>IF(OR(status1B5!K174="",J$7="No aplica"),0,SUM('BOULEVARD 5'!$K172:M172)-$AP479)</f>
        <v>-83735</v>
      </c>
      <c r="K479" s="716">
        <f>IF(OR(status1B5!L174="",K$7="No aplica"),0,SUM('BOULEVARD 5'!$K172:N172)-$AP479)</f>
        <v>-78805</v>
      </c>
      <c r="L479" s="716">
        <f>IF(OR(status1B5!M174="",L$7="No aplica"),0,SUM('BOULEVARD 5'!$K172:O172)-$AP479)</f>
        <v>-76340</v>
      </c>
      <c r="M479" s="716">
        <f>IF(OR(status1B5!N174="",M$7="No aplica"),0,SUM('BOULEVARD 5'!$K172:P172)-$AP479)</f>
        <v>-73875</v>
      </c>
      <c r="N479" s="716">
        <f>IF(OR(status1B5!O174="",N$7="No aplica"),0,SUM('BOULEVARD 5'!$K172:Q172)-$AP479)</f>
        <v>-71410</v>
      </c>
      <c r="O479" s="716">
        <f>IF(OR(status1B5!P174="",O$7="No aplica"),0,SUM('BOULEVARD 5'!$K172:R172)-$AP479)</f>
        <v>-68945</v>
      </c>
      <c r="P479" s="716">
        <f>IF(OR(status1B5!Q174="",P$7="No aplica"),0,SUM('BOULEVARD 5'!$K172:S172)-$AP479)</f>
        <v>-68945</v>
      </c>
      <c r="Q479" s="716">
        <f>IF(OR(status1B5!R174="",Q$7="No aplica"),0,SUM('BOULEVARD 5'!$K172:T172)-$AP479)</f>
        <v>-66480</v>
      </c>
      <c r="R479" s="716">
        <f>IF(OR(status1B5!S174="",R$7="No aplica"),0,SUM('BOULEVARD 5'!$K172:U172)-$AP479)</f>
        <v>-66480</v>
      </c>
      <c r="S479" s="716">
        <f>IF(OR(status1B5!T174="",S$7="No aplica"),0,SUM('BOULEVARD 5'!$K172:V172)-$AP479)</f>
        <v>-64015</v>
      </c>
      <c r="T479" s="716">
        <f>IF(OR(status1B5!U174="",T$7="No aplica"),0,SUM('BOULEVARD 5'!$K172:W172)-$AP479)</f>
        <v>-59085</v>
      </c>
      <c r="U479" s="716">
        <f>IF(OR(status1B5!V174="",U$7="No aplica"),0,SUM('BOULEVARD 5'!$K172:X172)-$AP479)</f>
        <v>-54155</v>
      </c>
      <c r="V479" s="716">
        <f>IF(OR(status1B5!W174="",V$7="No aplica"),0,SUM('BOULEVARD 5'!$K172:Y172)-$AP479)</f>
        <v>-51690</v>
      </c>
      <c r="W479" s="716">
        <f>IF(OR(status1B5!X174="",W$7="No aplica"),0,SUM('BOULEVARD 5'!$K172:Z172)-$AP479)</f>
        <v>-51690</v>
      </c>
      <c r="X479" s="716">
        <f>IF(OR(status1B5!Y174="",X$7="No aplica"),0,SUM('BOULEVARD 5'!$K172:AA172)-$AP479)</f>
        <v>-49225</v>
      </c>
      <c r="Y479" s="716">
        <f>IF(OR(status1B5!Z174="",Y$7="No aplica"),0,SUM('BOULEVARD 5'!$K172:AB172)-$AP479)</f>
        <v>-44295</v>
      </c>
      <c r="Z479" s="716">
        <f>IF(OR(status1B5!AA174="",Z$7="No aplica"),0,SUM('BOULEVARD 5'!$K172:AC172)-$AP479)</f>
        <v>-44295</v>
      </c>
      <c r="AA479" s="716">
        <f>IF(OR(status1B5!AB174="",AA$7="No aplica"),0,SUM('BOULEVARD 5'!$K172:AD172)-$AP479)</f>
        <v>-41830</v>
      </c>
      <c r="AB479" s="716">
        <f>IF(OR(status1B5!AC174="",AB$7="No aplica"),0,SUM('BOULEVARD 5'!$K172:AE172)-$AP479)</f>
        <v>-41830</v>
      </c>
      <c r="AC479" s="716">
        <f>IF(OR(status1B5!AD174="",AC$7="No aplica"),0,SUM('BOULEVARD 5'!$K172:AF172)-$AP479)</f>
        <v>-41830</v>
      </c>
      <c r="AD479" s="716">
        <f>IF(OR(status1B5!AE174="",AD$7="No aplica"),0,SUM('BOULEVARD 5'!$K172:AG172)-$AP479)</f>
        <v>-41830</v>
      </c>
      <c r="AE479" s="716">
        <f>IF(OR(status1B5!AF174="",AE$7="No aplica"),0,SUM('BOULEVARD 5'!$K172:AH172)-$AP479)</f>
        <v>-27040</v>
      </c>
      <c r="AF479" s="716">
        <f>IF(OR(status1B5!AG174="",AF$7="No aplica"),0,SUM('BOULEVARD 5'!$K172:AI172)-$AP479)</f>
        <v>-27040</v>
      </c>
      <c r="AG479" s="716">
        <f>IF(OR(status1B5!AH174="",AG$7="No aplica"),0,SUM('BOULEVARD 5'!$K172:AJ172)-$AP479)</f>
        <v>-24575</v>
      </c>
      <c r="AH479" s="716">
        <f>IF(OR(status1B5!AI174="",AH$7="No aplica"),0,SUM('BOULEVARD 5'!$K172:AK172)-$AP479)</f>
        <v>-22110</v>
      </c>
      <c r="AI479" s="716">
        <f>IF(OR(status1B5!AJ174="",AI$7="No aplica"),0,SUM('BOULEVARD 5'!$K172:AL172)-$AP479)</f>
        <v>-19645</v>
      </c>
      <c r="AJ479" s="716">
        <f>IF(OR(status1B5!AK174="",AJ$7="No aplica"),0,SUM('BOULEVARD 5'!$K172:AM172)-$AP479)</f>
        <v>-19645</v>
      </c>
      <c r="AK479" s="716">
        <f>IF(OR(status1B5!AL174="",AK$7="No aplica"),0,SUM('BOULEVARD 5'!$K172:AN172)-$AP479)</f>
        <v>-17180</v>
      </c>
      <c r="AL479" s="716">
        <f>IF(OR(status1B5!AM174="",AL$7="No aplica"),0,SUM('BOULEVARD 5'!$K172:AO172)-$AP479)</f>
        <v>-14715</v>
      </c>
      <c r="AM479" s="716">
        <f>IF(OR(status1B5!AN174="",AM$7="No aplica"),0,SUM('BOULEVARD 5'!$K172:AP172)-$AP479)</f>
        <v>-14715</v>
      </c>
      <c r="AN479" s="716">
        <f>IF(OR(status1B5!AO174="",AN$7="No aplica"),0,SUM('BOULEVARD 5'!$K172:AQ172)-$AP479)</f>
        <v>0</v>
      </c>
      <c r="AO479" s="716">
        <f>IF(OR(status1B5!AP174="",AO$7="No aplica"),0,SUM('BOULEVARD 5'!$K172:AS172)-$AP479)</f>
        <v>0</v>
      </c>
      <c r="AP479" s="717">
        <f>'BOULEVARD PPTO'!BC167</f>
        <v>92200</v>
      </c>
      <c r="AQ479" s="717">
        <f>'BOULEVARD 5'!AT172</f>
        <v>77485</v>
      </c>
      <c r="AR479" s="717">
        <f t="shared" si="170"/>
        <v>-14715</v>
      </c>
      <c r="AS479" s="717"/>
      <c r="AT479" s="581"/>
    </row>
    <row r="480" spans="1:46" ht="13.15" customHeight="1" outlineLevel="1" x14ac:dyDescent="0.25">
      <c r="A480" s="700" t="str">
        <f t="shared" si="168"/>
        <v>F&amp;F</v>
      </c>
      <c r="B480" s="704">
        <f t="shared" ref="B480:G480" si="207">B175</f>
        <v>920</v>
      </c>
      <c r="C480" s="704" t="str">
        <f t="shared" si="207"/>
        <v>C2</v>
      </c>
      <c r="D480" s="704">
        <f t="shared" si="207"/>
        <v>0</v>
      </c>
      <c r="E480" s="704" t="str">
        <f t="shared" si="207"/>
        <v>Ronaldo</v>
      </c>
      <c r="F480" s="705" t="str">
        <f t="shared" si="207"/>
        <v>Iurix, S.A</v>
      </c>
      <c r="G480" s="566">
        <f t="shared" si="207"/>
        <v>45300</v>
      </c>
      <c r="H480" s="716">
        <f>IF(OR(status1B5!I175="",H$7="No aplica"),0,SUM('BOULEVARD 5'!$K173:K173)-$AP480)</f>
        <v>0</v>
      </c>
      <c r="I480" s="716">
        <f>IF(OR(status1B5!J175="",I$7="No aplica"),0,SUM('BOULEVARD 5'!$K173:L173)-$AP480)</f>
        <v>0</v>
      </c>
      <c r="J480" s="716">
        <f>IF(OR(status1B5!K175="",J$7="No aplica"),0,SUM('BOULEVARD 5'!$K173:M173)-$AP480)</f>
        <v>0</v>
      </c>
      <c r="K480" s="716">
        <f>IF(OR(status1B5!L175="",K$7="No aplica"),0,SUM('BOULEVARD 5'!$K173:N173)-$AP480)</f>
        <v>0</v>
      </c>
      <c r="L480" s="716">
        <f>IF(OR(status1B5!M175="",L$7="No aplica"),0,SUM('BOULEVARD 5'!$K173:O173)-$AP480)</f>
        <v>0</v>
      </c>
      <c r="M480" s="716">
        <f>IF(OR(status1B5!N175="",M$7="No aplica"),0,SUM('BOULEVARD 5'!$K173:P173)-$AP480)</f>
        <v>0</v>
      </c>
      <c r="N480" s="716">
        <f>IF(OR(status1B5!O175="",N$7="No aplica"),0,SUM('BOULEVARD 5'!$K173:Q173)-$AP480)</f>
        <v>0</v>
      </c>
      <c r="O480" s="716">
        <f>IF(OR(status1B5!P175="",O$7="No aplica"),0,SUM('BOULEVARD 5'!$K173:R173)-$AP480)</f>
        <v>0</v>
      </c>
      <c r="P480" s="716">
        <f>IF(OR(status1B5!Q175="",P$7="No aplica"),0,SUM('BOULEVARD 5'!$K173:S173)-$AP480)</f>
        <v>0</v>
      </c>
      <c r="Q480" s="716">
        <f>IF(OR(status1B5!R175="",Q$7="No aplica"),0,SUM('BOULEVARD 5'!$K173:T173)-$AP480)</f>
        <v>0</v>
      </c>
      <c r="R480" s="716">
        <f>IF(OR(status1B5!S175="",R$7="No aplica"),0,SUM('BOULEVARD 5'!$K173:U173)-$AP480)</f>
        <v>0</v>
      </c>
      <c r="S480" s="716">
        <f>IF(OR(status1B5!T175="",S$7="No aplica"),0,SUM('BOULEVARD 5'!$K173:V173)-$AP480)</f>
        <v>0</v>
      </c>
      <c r="T480" s="716">
        <f>IF(OR(status1B5!U175="",T$7="No aplica"),0,SUM('BOULEVARD 5'!$K173:W173)-$AP480)</f>
        <v>0</v>
      </c>
      <c r="U480" s="716">
        <f>IF(OR(status1B5!V175="",U$7="No aplica"),0,SUM('BOULEVARD 5'!$K173:X173)-$AP480)</f>
        <v>0</v>
      </c>
      <c r="V480" s="716">
        <f>IF(OR(status1B5!W175="",V$7="No aplica"),0,SUM('BOULEVARD 5'!$K173:Y173)-$AP480)</f>
        <v>0</v>
      </c>
      <c r="W480" s="716">
        <f>IF(OR(status1B5!X175="",W$7="No aplica"),0,SUM('BOULEVARD 5'!$K173:Z173)-$AP480)</f>
        <v>0</v>
      </c>
      <c r="X480" s="716">
        <f>IF(OR(status1B5!Y175="",X$7="No aplica"),0,SUM('BOULEVARD 5'!$K173:AA173)-$AP480)</f>
        <v>0</v>
      </c>
      <c r="Y480" s="716">
        <f>IF(OR(status1B5!Z175="",Y$7="No aplica"),0,SUM('BOULEVARD 5'!$K173:AB173)-$AP480)</f>
        <v>0</v>
      </c>
      <c r="Z480" s="716">
        <f>IF(OR(status1B5!AA175="",Z$7="No aplica"),0,SUM('BOULEVARD 5'!$K173:AC173)-$AP480)</f>
        <v>0</v>
      </c>
      <c r="AA480" s="716">
        <f>IF(OR(status1B5!AB175="",AA$7="No aplica"),0,SUM('BOULEVARD 5'!$K173:AD173)-$AP480)</f>
        <v>0</v>
      </c>
      <c r="AB480" s="716">
        <f>IF(OR(status1B5!AC175="",AB$7="No aplica"),0,SUM('BOULEVARD 5'!$K173:AE173)-$AP480)</f>
        <v>0</v>
      </c>
      <c r="AC480" s="716">
        <f>IF(OR(status1B5!AD175="",AC$7="No aplica"),0,SUM('BOULEVARD 5'!$K173:AF173)-$AP480)</f>
        <v>0</v>
      </c>
      <c r="AD480" s="716">
        <f>IF(OR(status1B5!AE175="",AD$7="No aplica"),0,SUM('BOULEVARD 5'!$K173:AG173)-$AP480)</f>
        <v>0</v>
      </c>
      <c r="AE480" s="716">
        <f>IF(OR(status1B5!AF175="",AE$7="No aplica"),0,SUM('BOULEVARD 5'!$K173:AH173)-$AP480)</f>
        <v>0</v>
      </c>
      <c r="AF480" s="716">
        <f>IF(OR(status1B5!AG175="",AF$7="No aplica"),0,SUM('BOULEVARD 5'!$K173:AI173)-$AP480)</f>
        <v>0</v>
      </c>
      <c r="AG480" s="716">
        <f>IF(OR(status1B5!AH175="",AG$7="No aplica"),0,SUM('BOULEVARD 5'!$K173:AJ173)-$AP480)</f>
        <v>0</v>
      </c>
      <c r="AH480" s="716">
        <f>IF(OR(status1B5!AI175="",AH$7="No aplica"),0,SUM('BOULEVARD 5'!$K173:AK173)-$AP480)</f>
        <v>0</v>
      </c>
      <c r="AI480" s="716">
        <f>IF(OR(status1B5!AJ175="",AI$7="No aplica"),0,SUM('BOULEVARD 5'!$K173:AL173)-$AP480)</f>
        <v>0</v>
      </c>
      <c r="AJ480" s="716">
        <f>IF(OR(status1B5!AK175="",AJ$7="No aplica"),0,SUM('BOULEVARD 5'!$K173:AM173)-$AP480)</f>
        <v>0</v>
      </c>
      <c r="AK480" s="716">
        <f>IF(OR(status1B5!AL175="",AK$7="No aplica"),0,SUM('BOULEVARD 5'!$K173:AN173)-$AP480)</f>
        <v>0</v>
      </c>
      <c r="AL480" s="716">
        <f>IF(OR(status1B5!AM175="",AL$7="No aplica"),0,SUM('BOULEVARD 5'!$K173:AO173)-$AP480)</f>
        <v>0</v>
      </c>
      <c r="AM480" s="716">
        <f>IF(OR(status1B5!AN175="",AM$7="No aplica"),0,SUM('BOULEVARD 5'!$K173:AP173)-$AP480)</f>
        <v>0</v>
      </c>
      <c r="AN480" s="716">
        <f>IF(OR(status1B5!AO175="",AN$7="No aplica"),0,SUM('BOULEVARD 5'!$K173:AQ173)-$AP480)</f>
        <v>0</v>
      </c>
      <c r="AO480" s="716">
        <f>IF(OR(status1B5!AP175="",AO$7="No aplica"),0,SUM('BOULEVARD 5'!$K173:AS173)-$AP480)</f>
        <v>0</v>
      </c>
      <c r="AP480" s="717">
        <f>'BOULEVARD PPTO'!BC168</f>
        <v>92899.999999999956</v>
      </c>
      <c r="AQ480" s="717">
        <f>'BOULEVARD 5'!AT173</f>
        <v>0</v>
      </c>
      <c r="AR480" s="717">
        <f t="shared" si="170"/>
        <v>-92899.999999999956</v>
      </c>
      <c r="AS480" s="717"/>
      <c r="AT480" s="581"/>
    </row>
    <row r="481" spans="1:46" ht="13.15" customHeight="1" outlineLevel="1" x14ac:dyDescent="0.25">
      <c r="A481" s="700">
        <f t="shared" si="168"/>
        <v>0</v>
      </c>
      <c r="B481" s="564">
        <f t="shared" ref="B481:G481" si="208">B176</f>
        <v>1001</v>
      </c>
      <c r="C481" s="564" t="str">
        <f t="shared" si="208"/>
        <v>C4</v>
      </c>
      <c r="D481" s="564">
        <f t="shared" si="208"/>
        <v>0</v>
      </c>
      <c r="E481" s="564" t="str">
        <f t="shared" si="208"/>
        <v>Antonio Rada</v>
      </c>
      <c r="F481" s="581" t="str">
        <f t="shared" si="208"/>
        <v xml:space="preserve"> Zonia Beariz Hernandez Herrera</v>
      </c>
      <c r="G481" s="566">
        <f t="shared" si="208"/>
        <v>45027</v>
      </c>
      <c r="H481" s="716">
        <f>IF(OR(status1B5!I176="",H$7="No aplica"),0,SUM('BOULEVARD 5'!$K174:K174)-$AP481)</f>
        <v>0</v>
      </c>
      <c r="I481" s="716">
        <f>IF(OR(status1B5!J176="",I$7="No aplica"),0,SUM('BOULEVARD 5'!$K174:L174)-$AP481)</f>
        <v>-103800</v>
      </c>
      <c r="J481" s="716">
        <f>IF(OR(status1B5!K176="",J$7="No aplica"),0,SUM('BOULEVARD 5'!$K174:M174)-$AP481)</f>
        <v>-100221</v>
      </c>
      <c r="K481" s="716">
        <f>IF(OR(status1B5!L176="",K$7="No aplica"),0,SUM('BOULEVARD 5'!$K174:N174)-$AP481)</f>
        <v>-96642</v>
      </c>
      <c r="L481" s="716">
        <f>IF(OR(status1B5!M176="",L$7="No aplica"),0,SUM('BOULEVARD 5'!$K174:O174)-$AP481)</f>
        <v>-93063</v>
      </c>
      <c r="M481" s="716">
        <f>IF(OR(status1B5!N176="",M$7="No aplica"),0,SUM('BOULEVARD 5'!$K174:P174)-$AP481)</f>
        <v>-89484</v>
      </c>
      <c r="N481" s="716">
        <f>IF(OR(status1B5!O176="",N$7="No aplica"),0,SUM('BOULEVARD 5'!$K174:Q174)-$AP481)</f>
        <v>-85905</v>
      </c>
      <c r="O481" s="716">
        <f>IF(OR(status1B5!P176="",O$7="No aplica"),0,SUM('BOULEVARD 5'!$K174:R174)-$AP481)</f>
        <v>-82326</v>
      </c>
      <c r="P481" s="716">
        <f>IF(OR(status1B5!Q176="",P$7="No aplica"),0,SUM('BOULEVARD 5'!$K174:S174)-$AP481)</f>
        <v>-78747</v>
      </c>
      <c r="Q481" s="716">
        <f>IF(OR(status1B5!R176="",Q$7="No aplica"),0,SUM('BOULEVARD 5'!$K174:T174)-$AP481)</f>
        <v>-75168</v>
      </c>
      <c r="R481" s="716">
        <f>IF(OR(status1B5!S176="",R$7="No aplica"),0,SUM('BOULEVARD 5'!$K174:U174)-$AP481)</f>
        <v>-71589</v>
      </c>
      <c r="S481" s="716">
        <f>IF(OR(status1B5!T176="",S$7="No aplica"),0,SUM('BOULEVARD 5'!$K174:V174)-$AP481)</f>
        <v>-68010</v>
      </c>
      <c r="T481" s="716">
        <f>IF(OR(status1B5!U176="",T$7="No aplica"),0,SUM('BOULEVARD 5'!$K174:W174)-$AP481)</f>
        <v>-64431</v>
      </c>
      <c r="U481" s="716">
        <f>IF(OR(status1B5!V176="",U$7="No aplica"),0,SUM('BOULEVARD 5'!$K174:X174)-$AP481)</f>
        <v>-60852</v>
      </c>
      <c r="V481" s="716">
        <f>IF(OR(status1B5!W176="",V$7="No aplica"),0,SUM('BOULEVARD 5'!$K174:Y174)-$AP481)</f>
        <v>-57273</v>
      </c>
      <c r="W481" s="716">
        <f>IF(OR(status1B5!X176="",W$7="No aplica"),0,SUM('BOULEVARD 5'!$K174:Z174)-$AP481)</f>
        <v>-53694</v>
      </c>
      <c r="X481" s="716">
        <f>IF(OR(status1B5!Y176="",X$7="No aplica"),0,SUM('BOULEVARD 5'!$K174:AA174)-$AP481)</f>
        <v>-50115</v>
      </c>
      <c r="Y481" s="716">
        <f>IF(OR(status1B5!Z176="",Y$7="No aplica"),0,SUM('BOULEVARD 5'!$K174:AB174)-$AP481)</f>
        <v>-46536</v>
      </c>
      <c r="Z481" s="716">
        <f>IF(OR(status1B5!AA176="",Z$7="No aplica"),0,SUM('BOULEVARD 5'!$K174:AC174)-$AP481)</f>
        <v>-42957</v>
      </c>
      <c r="AA481" s="716">
        <f>IF(OR(status1B5!AB176="",AA$7="No aplica"),0,SUM('BOULEVARD 5'!$K174:AD174)-$AP481)</f>
        <v>-39378</v>
      </c>
      <c r="AB481" s="716">
        <f>IF(OR(status1B5!AC176="",AB$7="No aplica"),0,SUM('BOULEVARD 5'!$K174:AE174)-$AP481)</f>
        <v>-35799</v>
      </c>
      <c r="AC481" s="716">
        <f>IF(OR(status1B5!AD176="",AC$7="No aplica"),0,SUM('BOULEVARD 5'!$K174:AF174)-$AP481)</f>
        <v>-32220</v>
      </c>
      <c r="AD481" s="716">
        <f>IF(OR(status1B5!AE176="",AD$7="No aplica"),0,SUM('BOULEVARD 5'!$K174:AG174)-$AP481)</f>
        <v>-28641</v>
      </c>
      <c r="AE481" s="716">
        <f>IF(OR(status1B5!AF176="",AE$7="No aplica"),0,SUM('BOULEVARD 5'!$K174:AH174)-$AP481)</f>
        <v>-25062</v>
      </c>
      <c r="AF481" s="716">
        <f>IF(OR(status1B5!AG176="",AF$7="No aplica"),0,SUM('BOULEVARD 5'!$K174:AI174)-$AP481)</f>
        <v>-21483</v>
      </c>
      <c r="AG481" s="716">
        <f>IF(OR(status1B5!AH176="",AG$7="No aplica"),0,SUM('BOULEVARD 5'!$K174:AJ174)-$AP481)</f>
        <v>-17904</v>
      </c>
      <c r="AH481" s="716">
        <f>IF(OR(status1B5!AI176="",AH$7="No aplica"),0,SUM('BOULEVARD 5'!$K174:AK174)-$AP481)</f>
        <v>-17904</v>
      </c>
      <c r="AI481" s="716">
        <f>IF(OR(status1B5!AJ176="",AI$7="No aplica"),0,SUM('BOULEVARD 5'!$K174:AL174)-$AP481)</f>
        <v>-14325</v>
      </c>
      <c r="AJ481" s="716">
        <f>IF(OR(status1B5!AK176="",AJ$7="No aplica"),0,SUM('BOULEVARD 5'!$K174:AM174)-$AP481)</f>
        <v>-14325</v>
      </c>
      <c r="AK481" s="716">
        <f>IF(OR(status1B5!AL176="",AK$7="No aplica"),0,SUM('BOULEVARD 5'!$K174:AN174)-$AP481)</f>
        <v>-14325</v>
      </c>
      <c r="AL481" s="716">
        <f>IF(OR(status1B5!AM176="",AL$7="No aplica"),0,SUM('BOULEVARD 5'!$K174:AO174)-$AP481)</f>
        <v>-10746</v>
      </c>
      <c r="AM481" s="716">
        <f>IF(OR(status1B5!AN176="",AM$7="No aplica"),0,SUM('BOULEVARD 5'!$K174:AP174)-$AP481)</f>
        <v>-10746</v>
      </c>
      <c r="AN481" s="716">
        <f>IF(OR(status1B5!AO176="",AN$7="No aplica"),0,SUM('BOULEVARD 5'!$K174:AQ174)-$AP481)</f>
        <v>0</v>
      </c>
      <c r="AO481" s="716">
        <f>IF(OR(status1B5!AP176="",AO$7="No aplica"),0,SUM('BOULEVARD 5'!$K174:AS174)-$AP481)</f>
        <v>0</v>
      </c>
      <c r="AP481" s="717">
        <f>'BOULEVARD PPTO'!BC169</f>
        <v>109800</v>
      </c>
      <c r="AQ481" s="717">
        <f>'BOULEVARD 5'!AT174</f>
        <v>99054</v>
      </c>
      <c r="AR481" s="717">
        <f t="shared" si="170"/>
        <v>-10746</v>
      </c>
      <c r="AS481" s="717"/>
      <c r="AT481" s="581"/>
    </row>
    <row r="482" spans="1:46" ht="13.15" customHeight="1" outlineLevel="1" x14ac:dyDescent="0.25">
      <c r="A482" s="700">
        <f t="shared" si="168"/>
        <v>0</v>
      </c>
      <c r="B482" s="564">
        <f t="shared" ref="B482:G482" si="209">B177</f>
        <v>1002</v>
      </c>
      <c r="C482" s="564" t="str">
        <f t="shared" si="209"/>
        <v>C1</v>
      </c>
      <c r="D482" s="564">
        <f t="shared" si="209"/>
        <v>0</v>
      </c>
      <c r="E482" s="564" t="str">
        <f t="shared" si="209"/>
        <v>Antonio Rada</v>
      </c>
      <c r="F482" s="581" t="str">
        <f t="shared" si="209"/>
        <v>Evelin Yadira Orellana Ordoñez</v>
      </c>
      <c r="G482" s="566">
        <f t="shared" si="209"/>
        <v>45008</v>
      </c>
      <c r="H482" s="716">
        <f>IF(OR(status1B5!I177="",H$7="No aplica"),0,SUM('BOULEVARD 5'!$K175:K175)-$AP482)</f>
        <v>-210000</v>
      </c>
      <c r="I482" s="716">
        <f>IF(OR(status1B5!J177="",I$7="No aplica"),0,SUM('BOULEVARD 5'!$K175:L175)-$AP482)</f>
        <v>-210000</v>
      </c>
      <c r="J482" s="716">
        <f>IF(OR(status1B5!K177="",J$7="No aplica"),0,SUM('BOULEVARD 5'!$K175:M175)-$AP482)</f>
        <v>-198000</v>
      </c>
      <c r="K482" s="716">
        <f>IF(OR(status1B5!L177="",K$7="No aplica"),0,SUM('BOULEVARD 5'!$K175:N175)-$AP482)</f>
        <v>-192000</v>
      </c>
      <c r="L482" s="716">
        <f>IF(OR(status1B5!M177="",L$7="No aplica"),0,SUM('BOULEVARD 5'!$K175:O175)-$AP482)</f>
        <v>-186000</v>
      </c>
      <c r="M482" s="716">
        <f>IF(OR(status1B5!N177="",M$7="No aplica"),0,SUM('BOULEVARD 5'!$K175:P175)-$AP482)</f>
        <v>-180000</v>
      </c>
      <c r="N482" s="716">
        <f>IF(OR(status1B5!O177="",N$7="No aplica"),0,SUM('BOULEVARD 5'!$K175:Q175)-$AP482)</f>
        <v>-174000</v>
      </c>
      <c r="O482" s="716">
        <f>IF(OR(status1B5!P177="",O$7="No aplica"),0,SUM('BOULEVARD 5'!$K175:R175)-$AP482)</f>
        <v>-168000</v>
      </c>
      <c r="P482" s="716">
        <f>IF(OR(status1B5!Q177="",P$7="No aplica"),0,SUM('BOULEVARD 5'!$K175:S175)-$AP482)</f>
        <v>-162000</v>
      </c>
      <c r="Q482" s="716">
        <f>IF(OR(status1B5!R177="",Q$7="No aplica"),0,SUM('BOULEVARD 5'!$K175:T175)-$AP482)</f>
        <v>-156000</v>
      </c>
      <c r="R482" s="716">
        <f>IF(OR(status1B5!S177="",R$7="No aplica"),0,SUM('BOULEVARD 5'!$K175:U175)-$AP482)</f>
        <v>-150000</v>
      </c>
      <c r="S482" s="716">
        <f>IF(OR(status1B5!T177="",S$7="No aplica"),0,SUM('BOULEVARD 5'!$K175:V175)-$AP482)</f>
        <v>-144000</v>
      </c>
      <c r="T482" s="716">
        <f>IF(OR(status1B5!U177="",T$7="No aplica"),0,SUM('BOULEVARD 5'!$K175:W175)-$AP482)</f>
        <v>-144000</v>
      </c>
      <c r="U482" s="716">
        <f>IF(OR(status1B5!V177="",U$7="No aplica"),0,SUM('BOULEVARD 5'!$K175:X175)-$AP482)</f>
        <v>-144000</v>
      </c>
      <c r="V482" s="716">
        <f>IF(OR(status1B5!W177="",V$7="No aplica"),0,SUM('BOULEVARD 5'!$K175:Y175)-$AP482)</f>
        <v>-126000</v>
      </c>
      <c r="W482" s="716">
        <f>IF(OR(status1B5!X177="",W$7="No aplica"),0,SUM('BOULEVARD 5'!$K175:Z175)-$AP482)</f>
        <v>-120000</v>
      </c>
      <c r="X482" s="716">
        <f>IF(OR(status1B5!Y177="",X$7="No aplica"),0,SUM('BOULEVARD 5'!$K175:AA175)-$AP482)</f>
        <v>-120000</v>
      </c>
      <c r="Y482" s="716">
        <f>IF(OR(status1B5!Z177="",Y$7="No aplica"),0,SUM('BOULEVARD 5'!$K175:AB175)-$AP482)</f>
        <v>-114000</v>
      </c>
      <c r="Z482" s="716">
        <f>IF(OR(status1B5!AA177="",Z$7="No aplica"),0,SUM('BOULEVARD 5'!$K175:AC175)-$AP482)</f>
        <v>-108000</v>
      </c>
      <c r="AA482" s="716">
        <f>IF(OR(status1B5!AB177="",AA$7="No aplica"),0,SUM('BOULEVARD 5'!$K175:AD175)-$AP482)</f>
        <v>-102000</v>
      </c>
      <c r="AB482" s="716">
        <f>IF(OR(status1B5!AC177="",AB$7="No aplica"),0,SUM('BOULEVARD 5'!$K175:AE175)-$AP482)</f>
        <v>-96000</v>
      </c>
      <c r="AC482" s="716">
        <f>IF(OR(status1B5!AD177="",AC$7="No aplica"),0,SUM('BOULEVARD 5'!$K175:AF175)-$AP482)</f>
        <v>-90000</v>
      </c>
      <c r="AD482" s="716">
        <f>IF(OR(status1B5!AE177="",AD$7="No aplica"),0,SUM('BOULEVARD 5'!$K175:AG175)-$AP482)</f>
        <v>-84000</v>
      </c>
      <c r="AE482" s="716">
        <f>IF(OR(status1B5!AF177="",AE$7="No aplica"),0,SUM('BOULEVARD 5'!$K175:AH175)-$AP482)</f>
        <v>-78000</v>
      </c>
      <c r="AF482" s="716">
        <f>IF(OR(status1B5!AG177="",AF$7="No aplica"),0,SUM('BOULEVARD 5'!$K175:AI175)-$AP482)</f>
        <v>-72000</v>
      </c>
      <c r="AG482" s="716">
        <f>IF(OR(status1B5!AH177="",AG$7="No aplica"),0,SUM('BOULEVARD 5'!$K175:AJ175)-$AP482)</f>
        <v>-60000</v>
      </c>
      <c r="AH482" s="716">
        <f>IF(OR(status1B5!AI177="",AH$7="No aplica"),0,SUM('BOULEVARD 5'!$K175:AK175)-$AP482)</f>
        <v>-54000</v>
      </c>
      <c r="AI482" s="716">
        <f>IF(OR(status1B5!AJ177="",AI$7="No aplica"),0,SUM('BOULEVARD 5'!$K175:AL175)-$AP482)</f>
        <v>-48000</v>
      </c>
      <c r="AJ482" s="716">
        <f>IF(OR(status1B5!AK177="",AJ$7="No aplica"),0,SUM('BOULEVARD 5'!$K175:AM175)-$AP482)</f>
        <v>-42000</v>
      </c>
      <c r="AK482" s="716">
        <f>IF(OR(status1B5!AL177="",AK$7="No aplica"),0,SUM('BOULEVARD 5'!$K175:AN175)-$AP482)</f>
        <v>-36000</v>
      </c>
      <c r="AL482" s="716">
        <f>IF(OR(status1B5!AM177="",AL$7="No aplica"),0,SUM('BOULEVARD 5'!$K175:AO175)-$AP482)</f>
        <v>-30000</v>
      </c>
      <c r="AM482" s="716">
        <f>IF(OR(status1B5!AN177="",AM$7="No aplica"),0,SUM('BOULEVARD 5'!$K175:AP175)-$AP482)</f>
        <v>-24000</v>
      </c>
      <c r="AN482" s="716">
        <f>IF(OR(status1B5!AO177="",AN$7="No aplica"),0,SUM('BOULEVARD 5'!$K175:AQ175)-$AP482)</f>
        <v>0</v>
      </c>
      <c r="AO482" s="716">
        <f>IF(OR(status1B5!AP177="",AO$7="No aplica"),0,SUM('BOULEVARD 5'!$K175:AS175)-$AP482)</f>
        <v>0</v>
      </c>
      <c r="AP482" s="717">
        <f>'BOULEVARD PPTO'!BC170</f>
        <v>216000</v>
      </c>
      <c r="AQ482" s="717">
        <f>'BOULEVARD 5'!AT175</f>
        <v>204000</v>
      </c>
      <c r="AR482" s="717">
        <f t="shared" si="170"/>
        <v>-12000</v>
      </c>
      <c r="AS482" s="717"/>
      <c r="AT482" s="581"/>
    </row>
    <row r="483" spans="1:46" ht="13.15" customHeight="1" outlineLevel="1" x14ac:dyDescent="0.25">
      <c r="A483" s="700">
        <f t="shared" si="168"/>
        <v>0</v>
      </c>
      <c r="B483" s="564">
        <f t="shared" ref="B483:G483" si="210">B178</f>
        <v>1003</v>
      </c>
      <c r="C483" s="564" t="str">
        <f t="shared" si="210"/>
        <v>A8</v>
      </c>
      <c r="D483" s="564">
        <f t="shared" si="210"/>
        <v>0</v>
      </c>
      <c r="E483" s="564" t="str">
        <f t="shared" si="210"/>
        <v>Antonio Rada</v>
      </c>
      <c r="F483" s="581" t="str">
        <f t="shared" si="210"/>
        <v>Eduar Reginaldo Colindres Estrada</v>
      </c>
      <c r="G483" s="566">
        <f t="shared" si="210"/>
        <v>45072</v>
      </c>
      <c r="H483" s="716">
        <f>IF(OR(status1B5!I178="",H$7="No aplica"),0,SUM('BOULEVARD 5'!$K176:K176)-$AP483)</f>
        <v>0</v>
      </c>
      <c r="I483" s="716">
        <f>IF(OR(status1B5!J178="",I$7="No aplica"),0,SUM('BOULEVARD 5'!$K176:L176)-$AP483)</f>
        <v>0</v>
      </c>
      <c r="J483" s="716">
        <f>IF(OR(status1B5!K178="",J$7="No aplica"),0,SUM('BOULEVARD 5'!$K176:M176)-$AP483)</f>
        <v>-64400</v>
      </c>
      <c r="K483" s="716">
        <f>IF(OR(status1B5!L178="",K$7="No aplica"),0,SUM('BOULEVARD 5'!$K176:N176)-$AP483)</f>
        <v>-62100</v>
      </c>
      <c r="L483" s="716">
        <f>IF(OR(status1B5!M178="",L$7="No aplica"),0,SUM('BOULEVARD 5'!$K176:O176)-$AP483)</f>
        <v>-59800</v>
      </c>
      <c r="M483" s="716">
        <f>IF(OR(status1B5!N178="",M$7="No aplica"),0,SUM('BOULEVARD 5'!$K176:P176)-$AP483)</f>
        <v>-57500</v>
      </c>
      <c r="N483" s="716">
        <f>IF(OR(status1B5!O178="",N$7="No aplica"),0,SUM('BOULEVARD 5'!$K176:Q176)-$AP483)</f>
        <v>-55200</v>
      </c>
      <c r="O483" s="716">
        <f>IF(OR(status1B5!P178="",O$7="No aplica"),0,SUM('BOULEVARD 5'!$K176:R176)-$AP483)</f>
        <v>-52900</v>
      </c>
      <c r="P483" s="716">
        <f>IF(OR(status1B5!Q178="",P$7="No aplica"),0,SUM('BOULEVARD 5'!$K176:S176)-$AP483)</f>
        <v>-52900</v>
      </c>
      <c r="Q483" s="716">
        <f>IF(OR(status1B5!R178="",Q$7="No aplica"),0,SUM('BOULEVARD 5'!$K176:T176)-$AP483)</f>
        <v>-50600</v>
      </c>
      <c r="R483" s="716">
        <f>IF(OR(status1B5!S178="",R$7="No aplica"),0,SUM('BOULEVARD 5'!$K176:U176)-$AP483)</f>
        <v>-46000</v>
      </c>
      <c r="S483" s="716">
        <f>IF(OR(status1B5!T178="",S$7="No aplica"),0,SUM('BOULEVARD 5'!$K176:V176)-$AP483)</f>
        <v>-46000</v>
      </c>
      <c r="T483" s="716">
        <f>IF(OR(status1B5!U178="",T$7="No aplica"),0,SUM('BOULEVARD 5'!$K176:W176)-$AP483)</f>
        <v>-41400</v>
      </c>
      <c r="U483" s="716">
        <f>IF(OR(status1B5!V178="",U$7="No aplica"),0,SUM('BOULEVARD 5'!$K176:X176)-$AP483)</f>
        <v>-39100</v>
      </c>
      <c r="V483" s="716">
        <f>IF(OR(status1B5!W178="",V$7="No aplica"),0,SUM('BOULEVARD 5'!$K176:Y176)-$AP483)</f>
        <v>-39100</v>
      </c>
      <c r="W483" s="716">
        <f>IF(OR(status1B5!X178="",W$7="No aplica"),0,SUM('BOULEVARD 5'!$K176:Z176)-$AP483)</f>
        <v>-36800</v>
      </c>
      <c r="X483" s="716">
        <f>IF(OR(status1B5!Y178="",X$7="No aplica"),0,SUM('BOULEVARD 5'!$K176:AA176)-$AP483)</f>
        <v>-34500</v>
      </c>
      <c r="Y483" s="716">
        <f>IF(OR(status1B5!Z178="",Y$7="No aplica"),0,SUM('BOULEVARD 5'!$K176:AB176)-$AP483)</f>
        <v>-29900</v>
      </c>
      <c r="Z483" s="716">
        <f>IF(OR(status1B5!AA178="",Z$7="No aplica"),0,SUM('BOULEVARD 5'!$K176:AC176)-$AP483)</f>
        <v>-29900</v>
      </c>
      <c r="AA483" s="716">
        <f>IF(OR(status1B5!AB178="",AA$7="No aplica"),0,SUM('BOULEVARD 5'!$K176:AD176)-$AP483)</f>
        <v>-25300</v>
      </c>
      <c r="AB483" s="716">
        <f>IF(OR(status1B5!AC178="",AB$7="No aplica"),0,SUM('BOULEVARD 5'!$K176:AE176)-$AP483)</f>
        <v>-25300</v>
      </c>
      <c r="AC483" s="716">
        <f>IF(OR(status1B5!AD178="",AC$7="No aplica"),0,SUM('BOULEVARD 5'!$K176:AF176)-$AP483)</f>
        <v>-25300</v>
      </c>
      <c r="AD483" s="716">
        <f>IF(OR(status1B5!AE178="",AD$7="No aplica"),0,SUM('BOULEVARD 5'!$K176:AG176)-$AP483)</f>
        <v>-25300</v>
      </c>
      <c r="AE483" s="716">
        <f>IF(OR(status1B5!AF178="",AE$7="No aplica"),0,SUM('BOULEVARD 5'!$K176:AH176)-$AP483)</f>
        <v>-15700</v>
      </c>
      <c r="AF483" s="716">
        <f>IF(OR(status1B5!AG178="",AF$7="No aplica"),0,SUM('BOULEVARD 5'!$K176:AI176)-$AP483)</f>
        <v>-15700</v>
      </c>
      <c r="AG483" s="716">
        <f>IF(OR(status1B5!AH178="",AG$7="No aplica"),0,SUM('BOULEVARD 5'!$K176:AJ176)-$AP483)</f>
        <v>-10900</v>
      </c>
      <c r="AH483" s="716">
        <f>IF(OR(status1B5!AI178="",AH$7="No aplica"),0,SUM('BOULEVARD 5'!$K176:AK176)-$AP483)</f>
        <v>-8500</v>
      </c>
      <c r="AI483" s="716">
        <f>IF(OR(status1B5!AJ178="",AI$7="No aplica"),0,SUM('BOULEVARD 5'!$K176:AL176)-$AP483)</f>
        <v>-8500</v>
      </c>
      <c r="AJ483" s="716">
        <f>IF(OR(status1B5!AK178="",AJ$7="No aplica"),0,SUM('BOULEVARD 5'!$K176:AM176)-$AP483)</f>
        <v>-8500</v>
      </c>
      <c r="AK483" s="716">
        <f>IF(OR(status1B5!AL178="",AK$7="No aplica"),0,SUM('BOULEVARD 5'!$K176:AN176)-$AP483)</f>
        <v>-3700</v>
      </c>
      <c r="AL483" s="716">
        <f>IF(OR(status1B5!AM178="",AL$7="No aplica"),0,SUM('BOULEVARD 5'!$K176:AO176)-$AP483)</f>
        <v>-1300</v>
      </c>
      <c r="AM483" s="716">
        <f>IF(OR(status1B5!AN178="",AM$7="No aplica"),0,SUM('BOULEVARD 5'!$K176:AP176)-$AP483)</f>
        <v>-1300</v>
      </c>
      <c r="AN483" s="716">
        <f>IF(OR(status1B5!AO178="",AN$7="No aplica"),0,SUM('BOULEVARD 5'!$K176:AQ176)-$AP483)</f>
        <v>0</v>
      </c>
      <c r="AO483" s="716">
        <f>IF(OR(status1B5!AP178="",AO$7="No aplica"),0,SUM('BOULEVARD 5'!$K176:AS176)-$AP483)</f>
        <v>0</v>
      </c>
      <c r="AP483" s="717">
        <f>'BOULEVARD PPTO'!BC171</f>
        <v>70400</v>
      </c>
      <c r="AQ483" s="717">
        <f>'BOULEVARD 5'!AT176</f>
        <v>78700</v>
      </c>
      <c r="AR483" s="717">
        <f t="shared" si="170"/>
        <v>8300</v>
      </c>
      <c r="AS483" s="717"/>
      <c r="AT483" s="581"/>
    </row>
    <row r="484" spans="1:46" ht="13.15" customHeight="1" outlineLevel="1" x14ac:dyDescent="0.25">
      <c r="A484" s="700">
        <f t="shared" si="168"/>
        <v>0</v>
      </c>
      <c r="B484" s="564">
        <f t="shared" ref="B484:G484" si="211">B179</f>
        <v>1004</v>
      </c>
      <c r="C484" s="564" t="str">
        <f t="shared" si="211"/>
        <v>A1</v>
      </c>
      <c r="D484" s="564">
        <f t="shared" si="211"/>
        <v>0</v>
      </c>
      <c r="E484" s="564" t="str">
        <f t="shared" si="211"/>
        <v>Jose Franco</v>
      </c>
      <c r="F484" s="581" t="str">
        <f t="shared" si="211"/>
        <v xml:space="preserve"> Jorge Silva Sagastume</v>
      </c>
      <c r="G484" s="566">
        <f t="shared" si="211"/>
        <v>45062</v>
      </c>
      <c r="H484" s="716">
        <f>IF(OR(status1B5!I179="",H$7="No aplica"),0,SUM('BOULEVARD 5'!$K177:K177)-$AP484)</f>
        <v>0</v>
      </c>
      <c r="I484" s="716">
        <f>IF(OR(status1B5!J179="",I$7="No aplica"),0,SUM('BOULEVARD 5'!$K177:L177)-$AP484)</f>
        <v>0</v>
      </c>
      <c r="J484" s="716">
        <f>IF(OR(status1B5!K179="",J$7="No aplica"),0,SUM('BOULEVARD 5'!$K177:M177)-$AP484)</f>
        <v>-63669.08</v>
      </c>
      <c r="K484" s="716">
        <f>IF(OR(status1B5!L179="",K$7="No aplica"),0,SUM('BOULEVARD 5'!$K177:N177)-$AP484)</f>
        <v>-61394.080000000002</v>
      </c>
      <c r="L484" s="716">
        <f>IF(OR(status1B5!M179="",L$7="No aplica"),0,SUM('BOULEVARD 5'!$K177:O177)-$AP484)</f>
        <v>-59120.08</v>
      </c>
      <c r="M484" s="716">
        <f>IF(OR(status1B5!N179="",M$7="No aplica"),0,SUM('BOULEVARD 5'!$K177:P177)-$AP484)</f>
        <v>-56846.080000000002</v>
      </c>
      <c r="N484" s="716">
        <f>IF(OR(status1B5!O179="",N$7="No aplica"),0,SUM('BOULEVARD 5'!$K177:Q177)-$AP484)</f>
        <v>-54572.08</v>
      </c>
      <c r="O484" s="716">
        <f>IF(OR(status1B5!P179="",O$7="No aplica"),0,SUM('BOULEVARD 5'!$K177:R177)-$AP484)</f>
        <v>-52298.080000000002</v>
      </c>
      <c r="P484" s="716">
        <f>IF(OR(status1B5!Q179="",P$7="No aplica"),0,SUM('BOULEVARD 5'!$K177:S177)-$AP484)</f>
        <v>-50024.08</v>
      </c>
      <c r="Q484" s="716">
        <f>IF(OR(status1B5!R179="",Q$7="No aplica"),0,SUM('BOULEVARD 5'!$K177:T177)-$AP484)</f>
        <v>-47750.080000000002</v>
      </c>
      <c r="R484" s="716">
        <f>IF(OR(status1B5!S179="",R$7="No aplica"),0,SUM('BOULEVARD 5'!$K177:U177)-$AP484)</f>
        <v>-45476.08</v>
      </c>
      <c r="S484" s="716">
        <f>IF(OR(status1B5!T179="",S$7="No aplica"),0,SUM('BOULEVARD 5'!$K177:V177)-$AP484)</f>
        <v>-43202.080000000002</v>
      </c>
      <c r="T484" s="716">
        <f>IF(OR(status1B5!U179="",T$7="No aplica"),0,SUM('BOULEVARD 5'!$K177:W177)-$AP484)</f>
        <v>-40928.080000000002</v>
      </c>
      <c r="U484" s="716">
        <f>IF(OR(status1B5!V179="",U$7="No aplica"),0,SUM('BOULEVARD 5'!$K177:X177)-$AP484)</f>
        <v>-38654.080000000002</v>
      </c>
      <c r="V484" s="716">
        <f>IF(OR(status1B5!W179="",V$7="No aplica"),0,SUM('BOULEVARD 5'!$K177:Y177)-$AP484)</f>
        <v>-36380.080000000002</v>
      </c>
      <c r="W484" s="716">
        <f>IF(OR(status1B5!X179="",W$7="No aplica"),0,SUM('BOULEVARD 5'!$K177:Z177)-$AP484)</f>
        <v>-34106.080000000002</v>
      </c>
      <c r="X484" s="716">
        <f>IF(OR(status1B5!Y179="",X$7="No aplica"),0,SUM('BOULEVARD 5'!$K177:AA177)-$AP484)</f>
        <v>-31832.080000000002</v>
      </c>
      <c r="Y484" s="716">
        <f>IF(OR(status1B5!Z179="",Y$7="No aplica"),0,SUM('BOULEVARD 5'!$K177:AB177)-$AP484)</f>
        <v>-29558.080000000002</v>
      </c>
      <c r="Z484" s="716">
        <f>IF(OR(status1B5!AA179="",Z$7="No aplica"),0,SUM('BOULEVARD 5'!$K177:AC177)-$AP484)</f>
        <v>-27284.080000000002</v>
      </c>
      <c r="AA484" s="716">
        <f>IF(OR(status1B5!AB179="",AA$7="No aplica"),0,SUM('BOULEVARD 5'!$K177:AD177)-$AP484)</f>
        <v>-25010.080000000002</v>
      </c>
      <c r="AB484" s="716">
        <f>IF(OR(status1B5!AC179="",AB$7="No aplica"),0,SUM('BOULEVARD 5'!$K177:AE177)-$AP484)</f>
        <v>-22736.080000000002</v>
      </c>
      <c r="AC484" s="716">
        <f>IF(OR(status1B5!AD179="",AC$7="No aplica"),0,SUM('BOULEVARD 5'!$K177:AF177)-$AP484)</f>
        <v>-20462.080000000002</v>
      </c>
      <c r="AD484" s="716">
        <f>IF(OR(status1B5!AE179="",AD$7="No aplica"),0,SUM('BOULEVARD 5'!$K177:AG177)-$AP484)</f>
        <v>-18188.080000000002</v>
      </c>
      <c r="AE484" s="716">
        <f>IF(OR(status1B5!AF179="",AE$7="No aplica"),0,SUM('BOULEVARD 5'!$K177:AH177)-$AP484)</f>
        <v>-15914.080000000002</v>
      </c>
      <c r="AF484" s="716">
        <f>IF(OR(status1B5!AG179="",AF$7="No aplica"),0,SUM('BOULEVARD 5'!$K177:AI177)-$AP484)</f>
        <v>-13640.080000000002</v>
      </c>
      <c r="AG484" s="716">
        <f>IF(OR(status1B5!AH179="",AG$7="No aplica"),0,SUM('BOULEVARD 5'!$K177:AJ177)-$AP484)</f>
        <v>-11366.080000000002</v>
      </c>
      <c r="AH484" s="716">
        <f>IF(OR(status1B5!AI179="",AH$7="No aplica"),0,SUM('BOULEVARD 5'!$K177:AK177)-$AP484)</f>
        <v>-9092.0800000000017</v>
      </c>
      <c r="AI484" s="716">
        <f>IF(OR(status1B5!AJ179="",AI$7="No aplica"),0,SUM('BOULEVARD 5'!$K177:AL177)-$AP484)</f>
        <v>-6818.0800000000017</v>
      </c>
      <c r="AJ484" s="716">
        <f>IF(OR(status1B5!AK179="",AJ$7="No aplica"),0,SUM('BOULEVARD 5'!$K177:AM177)-$AP484)</f>
        <v>-4544.0800000000017</v>
      </c>
      <c r="AK484" s="716">
        <f>IF(OR(status1B5!AL179="",AK$7="No aplica"),0,SUM('BOULEVARD 5'!$K177:AN177)-$AP484)</f>
        <v>-2270.0800000000017</v>
      </c>
      <c r="AL484" s="716">
        <f>IF(OR(status1B5!AM179="",AL$7="No aplica"),0,SUM('BOULEVARD 5'!$K177:AO177)-$AP484)</f>
        <v>1</v>
      </c>
      <c r="AM484" s="716">
        <f>IF(OR(status1B5!AN179="",AM$7="No aplica"),0,SUM('BOULEVARD 5'!$K177:AP177)-$AP484)</f>
        <v>1</v>
      </c>
      <c r="AN484" s="716">
        <f>IF(OR(status1B5!AO179="",AN$7="No aplica"),0,SUM('BOULEVARD 5'!$K177:AQ177)-$AP484)</f>
        <v>0</v>
      </c>
      <c r="AO484" s="716">
        <f>IF(OR(status1B5!AP179="",AO$7="No aplica"),0,SUM('BOULEVARD 5'!$K177:AS177)-$AP484)</f>
        <v>0</v>
      </c>
      <c r="AP484" s="717">
        <f>'BOULEVARD PPTO'!BC172</f>
        <v>69669.08</v>
      </c>
      <c r="AQ484" s="717">
        <f>'BOULEVARD 5'!AT177</f>
        <v>69670.080000000002</v>
      </c>
      <c r="AR484" s="717">
        <f t="shared" si="170"/>
        <v>1</v>
      </c>
      <c r="AS484" s="717"/>
      <c r="AT484" s="581"/>
    </row>
    <row r="485" spans="1:46" ht="13.15" customHeight="1" outlineLevel="1" x14ac:dyDescent="0.25">
      <c r="A485" s="700">
        <f t="shared" si="168"/>
        <v>0</v>
      </c>
      <c r="B485" s="564">
        <f t="shared" ref="B485:G485" si="212">B180</f>
        <v>1005</v>
      </c>
      <c r="C485" s="564" t="str">
        <f t="shared" si="212"/>
        <v>B5</v>
      </c>
      <c r="D485" s="564">
        <f t="shared" si="212"/>
        <v>0</v>
      </c>
      <c r="E485" s="564" t="str">
        <f t="shared" si="212"/>
        <v>Brenda Búcaro</v>
      </c>
      <c r="F485" s="581" t="str">
        <f t="shared" si="212"/>
        <v>Barbara Elizabeth Ixmucane Zapeta Albanés</v>
      </c>
      <c r="G485" s="566">
        <f t="shared" si="212"/>
        <v>45113</v>
      </c>
      <c r="H485" s="716">
        <f>IF(OR(status1B5!I180="",H$7="No aplica"),0,SUM('BOULEVARD 5'!$K178:K178)-$AP485)</f>
        <v>0</v>
      </c>
      <c r="I485" s="716">
        <f>IF(OR(status1B5!J180="",I$7="No aplica"),0,SUM('BOULEVARD 5'!$K178:L178)-$AP485)</f>
        <v>0</v>
      </c>
      <c r="J485" s="716">
        <f>IF(OR(status1B5!K180="",J$7="No aplica"),0,SUM('BOULEVARD 5'!$K178:M178)-$AP485)</f>
        <v>0</v>
      </c>
      <c r="K485" s="716">
        <f>IF(OR(status1B5!L180="",K$7="No aplica"),0,SUM('BOULEVARD 5'!$K178:N178)-$AP485)</f>
        <v>0</v>
      </c>
      <c r="L485" s="716">
        <f>IF(OR(status1B5!M180="",L$7="No aplica"),0,SUM('BOULEVARD 5'!$K178:O178)-$AP485)</f>
        <v>-88200</v>
      </c>
      <c r="M485" s="716">
        <f>IF(OR(status1B5!N180="",M$7="No aplica"),0,SUM('BOULEVARD 5'!$K178:P178)-$AP485)</f>
        <v>-84933</v>
      </c>
      <c r="N485" s="716">
        <f>IF(OR(status1B5!O180="",N$7="No aplica"),0,SUM('BOULEVARD 5'!$K178:Q178)-$AP485)</f>
        <v>-81666</v>
      </c>
      <c r="O485" s="716">
        <f>IF(OR(status1B5!P180="",O$7="No aplica"),0,SUM('BOULEVARD 5'!$K178:R178)-$AP485)</f>
        <v>-78399</v>
      </c>
      <c r="P485" s="716">
        <f>IF(OR(status1B5!Q180="",P$7="No aplica"),0,SUM('BOULEVARD 5'!$K178:S178)-$AP485)</f>
        <v>-75132</v>
      </c>
      <c r="Q485" s="716">
        <f>IF(OR(status1B5!R180="",Q$7="No aplica"),0,SUM('BOULEVARD 5'!$K178:T178)-$AP485)</f>
        <v>-71865</v>
      </c>
      <c r="R485" s="716">
        <f>IF(OR(status1B5!S180="",R$7="No aplica"),0,SUM('BOULEVARD 5'!$K178:U178)-$AP485)</f>
        <v>-68598</v>
      </c>
      <c r="S485" s="716">
        <f>IF(OR(status1B5!T180="",S$7="No aplica"),0,SUM('BOULEVARD 5'!$K178:V178)-$AP485)</f>
        <v>-65331</v>
      </c>
      <c r="T485" s="716">
        <f>IF(OR(status1B5!U180="",T$7="No aplica"),0,SUM('BOULEVARD 5'!$K178:W178)-$AP485)</f>
        <v>-62064</v>
      </c>
      <c r="U485" s="716">
        <f>IF(OR(status1B5!V180="",U$7="No aplica"),0,SUM('BOULEVARD 5'!$K178:X178)-$AP485)</f>
        <v>-58797</v>
      </c>
      <c r="V485" s="716">
        <f>IF(OR(status1B5!W180="",V$7="No aplica"),0,SUM('BOULEVARD 5'!$K178:Y178)-$AP485)</f>
        <v>-55530</v>
      </c>
      <c r="W485" s="716">
        <f>IF(OR(status1B5!X180="",W$7="No aplica"),0,SUM('BOULEVARD 5'!$K178:Z178)-$AP485)</f>
        <v>-52263</v>
      </c>
      <c r="X485" s="716">
        <f>IF(OR(status1B5!Y180="",X$7="No aplica"),0,SUM('BOULEVARD 5'!$K178:AA178)-$AP485)</f>
        <v>-48996</v>
      </c>
      <c r="Y485" s="716">
        <f>IF(OR(status1B5!Z180="",Y$7="No aplica"),0,SUM('BOULEVARD 5'!$K178:AB178)-$AP485)</f>
        <v>-45729</v>
      </c>
      <c r="Z485" s="716">
        <f>IF(OR(status1B5!AA180="",Z$7="No aplica"),0,SUM('BOULEVARD 5'!$K178:AC178)-$AP485)</f>
        <v>-42462</v>
      </c>
      <c r="AA485" s="716">
        <f>IF(OR(status1B5!AB180="",AA$7="No aplica"),0,SUM('BOULEVARD 5'!$K178:AD178)-$AP485)</f>
        <v>-39195</v>
      </c>
      <c r="AB485" s="716">
        <f>IF(OR(status1B5!AC180="",AB$7="No aplica"),0,SUM('BOULEVARD 5'!$K178:AE178)-$AP485)</f>
        <v>-35928</v>
      </c>
      <c r="AC485" s="716">
        <f>IF(OR(status1B5!AD180="",AC$7="No aplica"),0,SUM('BOULEVARD 5'!$K178:AF178)-$AP485)</f>
        <v>-32661</v>
      </c>
      <c r="AD485" s="716">
        <f>IF(OR(status1B5!AE180="",AD$7="No aplica"),0,SUM('BOULEVARD 5'!$K178:AG178)-$AP485)</f>
        <v>-29394</v>
      </c>
      <c r="AE485" s="716">
        <f>IF(OR(status1B5!AF180="",AE$7="No aplica"),0,SUM('BOULEVARD 5'!$K178:AH178)-$AP485)</f>
        <v>-26127</v>
      </c>
      <c r="AF485" s="716">
        <f>IF(OR(status1B5!AG180="",AF$7="No aplica"),0,SUM('BOULEVARD 5'!$K178:AI178)-$AP485)</f>
        <v>-22860</v>
      </c>
      <c r="AG485" s="716">
        <f>IF(OR(status1B5!AH180="",AG$7="No aplica"),0,SUM('BOULEVARD 5'!$K178:AJ178)-$AP485)</f>
        <v>-19593</v>
      </c>
      <c r="AH485" s="716">
        <f>IF(OR(status1B5!AI180="",AH$7="No aplica"),0,SUM('BOULEVARD 5'!$K178:AK178)-$AP485)</f>
        <v>-16326</v>
      </c>
      <c r="AI485" s="716">
        <f>IF(OR(status1B5!AJ180="",AI$7="No aplica"),0,SUM('BOULEVARD 5'!$K178:AL178)-$AP485)</f>
        <v>-13059</v>
      </c>
      <c r="AJ485" s="716">
        <f>IF(OR(status1B5!AK180="",AJ$7="No aplica"),0,SUM('BOULEVARD 5'!$K178:AM178)-$AP485)</f>
        <v>-9792</v>
      </c>
      <c r="AK485" s="716">
        <f>IF(OR(status1B5!AL180="",AK$7="No aplica"),0,SUM('BOULEVARD 5'!$K178:AN178)-$AP485)</f>
        <v>-6525</v>
      </c>
      <c r="AL485" s="716">
        <f>IF(OR(status1B5!AM180="",AL$7="No aplica"),0,SUM('BOULEVARD 5'!$K178:AO178)-$AP485)</f>
        <v>-6525</v>
      </c>
      <c r="AM485" s="716">
        <f>IF(OR(status1B5!AN180="",AM$7="No aplica"),0,SUM('BOULEVARD 5'!$K178:AP178)-$AP485)</f>
        <v>-6525</v>
      </c>
      <c r="AN485" s="716">
        <f>IF(OR(status1B5!AO180="",AN$7="No aplica"),0,SUM('BOULEVARD 5'!$K178:AQ178)-$AP485)</f>
        <v>0</v>
      </c>
      <c r="AO485" s="716">
        <f>IF(OR(status1B5!AP180="",AO$7="No aplica"),0,SUM('BOULEVARD 5'!$K178:AS178)-$AP485)</f>
        <v>0</v>
      </c>
      <c r="AP485" s="717">
        <f>'BOULEVARD PPTO'!BC173</f>
        <v>94200</v>
      </c>
      <c r="AQ485" s="717">
        <f>'BOULEVARD 5'!AT178</f>
        <v>87675</v>
      </c>
      <c r="AR485" s="717">
        <f t="shared" si="170"/>
        <v>-6525</v>
      </c>
      <c r="AS485" s="717"/>
      <c r="AT485" s="581"/>
    </row>
    <row r="486" spans="1:46" ht="13.15" customHeight="1" outlineLevel="1" x14ac:dyDescent="0.25">
      <c r="A486" s="700">
        <f t="shared" si="168"/>
        <v>0</v>
      </c>
      <c r="B486" s="564">
        <f t="shared" ref="B486:G486" si="213">B181</f>
        <v>1006</v>
      </c>
      <c r="C486" s="564" t="str">
        <f t="shared" si="213"/>
        <v>B8</v>
      </c>
      <c r="D486" s="564">
        <f t="shared" si="213"/>
        <v>0</v>
      </c>
      <c r="E486" s="564" t="str">
        <f t="shared" si="213"/>
        <v>Antonio Rada</v>
      </c>
      <c r="F486" s="581" t="str">
        <f t="shared" si="213"/>
        <v>Diana Marisol Donis Cú</v>
      </c>
      <c r="G486" s="566">
        <f t="shared" si="213"/>
        <v>45343</v>
      </c>
      <c r="H486" s="716">
        <f>IF(OR(status1B5!I181="",H$7="No aplica"),0,SUM('BOULEVARD 5'!$K179:K179)-$AP486)</f>
        <v>0</v>
      </c>
      <c r="I486" s="716">
        <f>IF(OR(status1B5!J181="",I$7="No aplica"),0,SUM('BOULEVARD 5'!$K179:L179)-$AP486)</f>
        <v>0</v>
      </c>
      <c r="J486" s="716">
        <f>IF(OR(status1B5!K181="",J$7="No aplica"),0,SUM('BOULEVARD 5'!$K179:M179)-$AP486)</f>
        <v>0</v>
      </c>
      <c r="K486" s="716">
        <f>IF(OR(status1B5!L181="",K$7="No aplica"),0,SUM('BOULEVARD 5'!$K179:N179)-$AP486)</f>
        <v>0</v>
      </c>
      <c r="L486" s="716">
        <f>IF(OR(status1B5!M181="",L$7="No aplica"),0,SUM('BOULEVARD 5'!$K179:O179)-$AP486)</f>
        <v>0</v>
      </c>
      <c r="M486" s="716">
        <f>IF(OR(status1B5!N181="",M$7="No aplica"),0,SUM('BOULEVARD 5'!$K179:P179)-$AP486)</f>
        <v>0</v>
      </c>
      <c r="N486" s="716">
        <f>IF(OR(status1B5!O181="",N$7="No aplica"),0,SUM('BOULEVARD 5'!$K179:Q179)-$AP486)</f>
        <v>0</v>
      </c>
      <c r="O486" s="716">
        <f>IF(OR(status1B5!P181="",O$7="No aplica"),0,SUM('BOULEVARD 5'!$K179:R179)-$AP486)</f>
        <v>0</v>
      </c>
      <c r="P486" s="716">
        <f>IF(OR(status1B5!Q181="",P$7="No aplica"),0,SUM('BOULEVARD 5'!$K179:S179)-$AP486)</f>
        <v>0</v>
      </c>
      <c r="Q486" s="716">
        <f>IF(OR(status1B5!R181="",Q$7="No aplica"),0,SUM('BOULEVARD 5'!$K179:T179)-$AP486)</f>
        <v>0</v>
      </c>
      <c r="R486" s="716">
        <f>IF(OR(status1B5!S181="",R$7="No aplica"),0,SUM('BOULEVARD 5'!$K179:U179)-$AP486)</f>
        <v>0</v>
      </c>
      <c r="S486" s="716">
        <f>IF(OR(status1B5!T181="",S$7="No aplica"),0,SUM('BOULEVARD 5'!$K179:V179)-$AP486)</f>
        <v>-86400</v>
      </c>
      <c r="T486" s="716">
        <f>IF(OR(status1B5!U181="",T$7="No aplica"),0,SUM('BOULEVARD 5'!$K179:W179)-$AP486)</f>
        <v>-86400</v>
      </c>
      <c r="U486" s="716">
        <f>IF(OR(status1B5!V181="",U$7="No aplica"),0,SUM('BOULEVARD 5'!$K179:X179)-$AP486)</f>
        <v>-77306</v>
      </c>
      <c r="V486" s="716">
        <f>IF(OR(status1B5!W181="",V$7="No aplica"),0,SUM('BOULEVARD 5'!$K179:Y179)-$AP486)</f>
        <v>-77306</v>
      </c>
      <c r="W486" s="716">
        <f>IF(OR(status1B5!X181="",W$7="No aplica"),0,SUM('BOULEVARD 5'!$K179:Z179)-$AP486)</f>
        <v>-77306</v>
      </c>
      <c r="X486" s="716">
        <f>IF(OR(status1B5!Y181="",X$7="No aplica"),0,SUM('BOULEVARD 5'!$K179:AA179)-$AP486)</f>
        <v>-63665</v>
      </c>
      <c r="Y486" s="716">
        <f>IF(OR(status1B5!Z181="",Y$7="No aplica"),0,SUM('BOULEVARD 5'!$K179:AB179)-$AP486)</f>
        <v>-63665</v>
      </c>
      <c r="Z486" s="716">
        <f>IF(OR(status1B5!AA181="",Z$7="No aplica"),0,SUM('BOULEVARD 5'!$K179:AC179)-$AP486)</f>
        <v>-63665</v>
      </c>
      <c r="AA486" s="716">
        <f>IF(OR(status1B5!AB181="",AA$7="No aplica"),0,SUM('BOULEVARD 5'!$K179:AD179)-$AP486)</f>
        <v>-63665</v>
      </c>
      <c r="AB486" s="716">
        <f>IF(OR(status1B5!AC181="",AB$7="No aplica"),0,SUM('BOULEVARD 5'!$K179:AE179)-$AP486)</f>
        <v>-63665</v>
      </c>
      <c r="AC486" s="716">
        <f>IF(OR(status1B5!AD181="",AC$7="No aplica"),0,SUM('BOULEVARD 5'!$K179:AF179)-$AP486)</f>
        <v>-45477</v>
      </c>
      <c r="AD486" s="716">
        <f>IF(OR(status1B5!AE181="",AD$7="No aplica"),0,SUM('BOULEVARD 5'!$K179:AG179)-$AP486)</f>
        <v>-45477</v>
      </c>
      <c r="AE486" s="716">
        <f>IF(OR(status1B5!AF181="",AE$7="No aplica"),0,SUM('BOULEVARD 5'!$K179:AH179)-$AP486)</f>
        <v>-45477</v>
      </c>
      <c r="AF486" s="716">
        <f>IF(OR(status1B5!AG181="",AF$7="No aplica"),0,SUM('BOULEVARD 5'!$K179:AI179)-$AP486)</f>
        <v>-45477</v>
      </c>
      <c r="AG486" s="716">
        <f>IF(OR(status1B5!AH181="",AG$7="No aplica"),0,SUM('BOULEVARD 5'!$K179:AJ179)-$AP486)</f>
        <v>-22742</v>
      </c>
      <c r="AH486" s="716">
        <f>IF(OR(status1B5!AI181="",AH$7="No aplica"),0,SUM('BOULEVARD 5'!$K179:AK179)-$AP486)</f>
        <v>-22742</v>
      </c>
      <c r="AI486" s="716">
        <f>IF(OR(status1B5!AJ181="",AI$7="No aplica"),0,SUM('BOULEVARD 5'!$K179:AL179)-$AP486)</f>
        <v>-22742</v>
      </c>
      <c r="AJ486" s="716">
        <f>IF(OR(status1B5!AK181="",AJ$7="No aplica"),0,SUM('BOULEVARD 5'!$K179:AM179)-$AP486)</f>
        <v>-22742</v>
      </c>
      <c r="AK486" s="716">
        <f>IF(OR(status1B5!AL181="",AK$7="No aplica"),0,SUM('BOULEVARD 5'!$K179:AN179)-$AP486)</f>
        <v>-22742</v>
      </c>
      <c r="AL486" s="716">
        <f>IF(OR(status1B5!AM181="",AL$7="No aplica"),0,SUM('BOULEVARD 5'!$K179:AO179)-$AP486)</f>
        <v>0</v>
      </c>
      <c r="AM486" s="716">
        <f>IF(OR(status1B5!AN181="",AM$7="No aplica"),0,SUM('BOULEVARD 5'!$K179:AP179)-$AP486)</f>
        <v>0</v>
      </c>
      <c r="AN486" s="716">
        <f>IF(OR(status1B5!AO181="",AN$7="No aplica"),0,SUM('BOULEVARD 5'!$K179:AQ179)-$AP486)</f>
        <v>0</v>
      </c>
      <c r="AO486" s="716">
        <f>IF(OR(status1B5!AP181="",AO$7="No aplica"),0,SUM('BOULEVARD 5'!$K179:AS179)-$AP486)</f>
        <v>0</v>
      </c>
      <c r="AP486" s="717">
        <f>'BOULEVARD PPTO'!BC174</f>
        <v>94400</v>
      </c>
      <c r="AQ486" s="717">
        <f>'BOULEVARD 5'!AT179</f>
        <v>94400</v>
      </c>
      <c r="AR486" s="717">
        <f t="shared" si="170"/>
        <v>0</v>
      </c>
      <c r="AS486" s="717"/>
      <c r="AT486" s="581"/>
    </row>
    <row r="487" spans="1:46" ht="13.15" customHeight="1" outlineLevel="1" x14ac:dyDescent="0.25">
      <c r="A487" s="700">
        <f t="shared" si="168"/>
        <v>0</v>
      </c>
      <c r="B487" s="564">
        <f t="shared" ref="B487:G487" si="214">B182</f>
        <v>1007</v>
      </c>
      <c r="C487" s="564" t="str">
        <f t="shared" si="214"/>
        <v>B4</v>
      </c>
      <c r="D487" s="564">
        <f t="shared" si="214"/>
        <v>0</v>
      </c>
      <c r="E487" s="564" t="str">
        <f t="shared" si="214"/>
        <v>Brenda Búcaro</v>
      </c>
      <c r="F487" s="581" t="str">
        <f t="shared" si="214"/>
        <v>Marcela Alejandra Castro Marcía</v>
      </c>
      <c r="G487" s="566">
        <f t="shared" si="214"/>
        <v>45173</v>
      </c>
      <c r="H487" s="716">
        <f>IF(OR(status1B5!I182="",H$7="No aplica"),0,SUM('BOULEVARD 5'!$K180:K180)-$AP487)</f>
        <v>0</v>
      </c>
      <c r="I487" s="716">
        <f>IF(OR(status1B5!J182="",I$7="No aplica"),0,SUM('BOULEVARD 5'!$K180:L180)-$AP487)</f>
        <v>0</v>
      </c>
      <c r="J487" s="716">
        <f>IF(OR(status1B5!K182="",J$7="No aplica"),0,SUM('BOULEVARD 5'!$K180:M180)-$AP487)</f>
        <v>0</v>
      </c>
      <c r="K487" s="716">
        <f>IF(OR(status1B5!L182="",K$7="No aplica"),0,SUM('BOULEVARD 5'!$K180:N180)-$AP487)</f>
        <v>0</v>
      </c>
      <c r="L487" s="716">
        <f>IF(OR(status1B5!M182="",L$7="No aplica"),0,SUM('BOULEVARD 5'!$K180:O180)-$AP487)</f>
        <v>0</v>
      </c>
      <c r="M487" s="716">
        <f>IF(OR(status1B5!N182="",M$7="No aplica"),0,SUM('BOULEVARD 5'!$K180:P180)-$AP487)</f>
        <v>0</v>
      </c>
      <c r="N487" s="716">
        <f>IF(OR(status1B5!O182="",N$7="No aplica"),0,SUM('BOULEVARD 5'!$K180:Q180)-$AP487)</f>
        <v>-84200</v>
      </c>
      <c r="O487" s="716">
        <f>IF(OR(status1B5!P182="",O$7="No aplica"),0,SUM('BOULEVARD 5'!$K180:R180)-$AP487)</f>
        <v>-80832</v>
      </c>
      <c r="P487" s="716">
        <f>IF(OR(status1B5!Q182="",P$7="No aplica"),0,SUM('BOULEVARD 5'!$K180:S180)-$AP487)</f>
        <v>-77464</v>
      </c>
      <c r="Q487" s="716">
        <f>IF(OR(status1B5!R182="",Q$7="No aplica"),0,SUM('BOULEVARD 5'!$K180:T180)-$AP487)</f>
        <v>-74096</v>
      </c>
      <c r="R487" s="716">
        <f>IF(OR(status1B5!S182="",R$7="No aplica"),0,SUM('BOULEVARD 5'!$K180:U180)-$AP487)</f>
        <v>-70728</v>
      </c>
      <c r="S487" s="716">
        <f>IF(OR(status1B5!T182="",S$7="No aplica"),0,SUM('BOULEVARD 5'!$K180:V180)-$AP487)</f>
        <v>-67360</v>
      </c>
      <c r="T487" s="716">
        <f>IF(OR(status1B5!U182="",T$7="No aplica"),0,SUM('BOULEVARD 5'!$K180:W180)-$AP487)</f>
        <v>-63992</v>
      </c>
      <c r="U487" s="716">
        <f>IF(OR(status1B5!V182="",U$7="No aplica"),0,SUM('BOULEVARD 5'!$K180:X180)-$AP487)</f>
        <v>-60624</v>
      </c>
      <c r="V487" s="716">
        <f>IF(OR(status1B5!W182="",V$7="No aplica"),0,SUM('BOULEVARD 5'!$K180:Y180)-$AP487)</f>
        <v>-60624</v>
      </c>
      <c r="W487" s="716">
        <f>IF(OR(status1B5!X182="",W$7="No aplica"),0,SUM('BOULEVARD 5'!$K180:Z180)-$AP487)</f>
        <v>-53888</v>
      </c>
      <c r="X487" s="716">
        <f>IF(OR(status1B5!Y182="",X$7="No aplica"),0,SUM('BOULEVARD 5'!$K180:AA180)-$AP487)</f>
        <v>-53888</v>
      </c>
      <c r="Y487" s="716">
        <f>IF(OR(status1B5!Z182="",Y$7="No aplica"),0,SUM('BOULEVARD 5'!$K180:AB180)-$AP487)</f>
        <v>-47152</v>
      </c>
      <c r="Z487" s="716">
        <f>IF(OR(status1B5!AA182="",Z$7="No aplica"),0,SUM('BOULEVARD 5'!$K180:AC180)-$AP487)</f>
        <v>-43784</v>
      </c>
      <c r="AA487" s="716">
        <f>IF(OR(status1B5!AB182="",AA$7="No aplica"),0,SUM('BOULEVARD 5'!$K180:AD180)-$AP487)</f>
        <v>-43784</v>
      </c>
      <c r="AB487" s="716">
        <f>IF(OR(status1B5!AC182="",AB$7="No aplica"),0,SUM('BOULEVARD 5'!$K180:AE180)-$AP487)</f>
        <v>-40416</v>
      </c>
      <c r="AC487" s="716">
        <f>IF(OR(status1B5!AD182="",AC$7="No aplica"),0,SUM('BOULEVARD 5'!$K180:AF180)-$AP487)</f>
        <v>-33680</v>
      </c>
      <c r="AD487" s="716">
        <f>IF(OR(status1B5!AE182="",AD$7="No aplica"),0,SUM('BOULEVARD 5'!$K180:AG180)-$AP487)</f>
        <v>-33680</v>
      </c>
      <c r="AE487" s="716">
        <f>IF(OR(status1B5!AF182="",AE$7="No aplica"),0,SUM('BOULEVARD 5'!$K180:AH180)-$AP487)</f>
        <v>-30312</v>
      </c>
      <c r="AF487" s="716">
        <f>IF(OR(status1B5!AG182="",AF$7="No aplica"),0,SUM('BOULEVARD 5'!$K180:AI180)-$AP487)</f>
        <v>-26944</v>
      </c>
      <c r="AG487" s="716">
        <f>IF(OR(status1B5!AH182="",AG$7="No aplica"),0,SUM('BOULEVARD 5'!$K180:AJ180)-$AP487)</f>
        <v>-26944</v>
      </c>
      <c r="AH487" s="716">
        <f>IF(OR(status1B5!AI182="",AH$7="No aplica"),0,SUM('BOULEVARD 5'!$K180:AK180)-$AP487)</f>
        <v>-16840</v>
      </c>
      <c r="AI487" s="716">
        <f>IF(OR(status1B5!AJ182="",AI$7="No aplica"),0,SUM('BOULEVARD 5'!$K180:AL180)-$AP487)</f>
        <v>-13472</v>
      </c>
      <c r="AJ487" s="716">
        <f>IF(OR(status1B5!AK182="",AJ$7="No aplica"),0,SUM('BOULEVARD 5'!$K180:AM180)-$AP487)</f>
        <v>-10104</v>
      </c>
      <c r="AK487" s="716">
        <f>IF(OR(status1B5!AL182="",AK$7="No aplica"),0,SUM('BOULEVARD 5'!$K180:AN180)-$AP487)</f>
        <v>-10104</v>
      </c>
      <c r="AL487" s="716">
        <f>IF(OR(status1B5!AM182="",AL$7="No aplica"),0,SUM('BOULEVARD 5'!$K180:AO180)-$AP487)</f>
        <v>-6736</v>
      </c>
      <c r="AM487" s="716">
        <f>IF(OR(status1B5!AN182="",AM$7="No aplica"),0,SUM('BOULEVARD 5'!$K180:AP180)-$AP487)</f>
        <v>-2736</v>
      </c>
      <c r="AN487" s="716">
        <f>IF(OR(status1B5!AO182="",AN$7="No aplica"),0,SUM('BOULEVARD 5'!$K180:AQ180)-$AP487)</f>
        <v>0</v>
      </c>
      <c r="AO487" s="716">
        <f>IF(OR(status1B5!AP182="",AO$7="No aplica"),0,SUM('BOULEVARD 5'!$K180:AS180)-$AP487)</f>
        <v>0</v>
      </c>
      <c r="AP487" s="717">
        <f>'BOULEVARD PPTO'!BC175</f>
        <v>90200</v>
      </c>
      <c r="AQ487" s="717">
        <f>'BOULEVARD 5'!AT180</f>
        <v>90200</v>
      </c>
      <c r="AR487" s="717">
        <f t="shared" si="170"/>
        <v>0</v>
      </c>
      <c r="AS487" s="717"/>
      <c r="AT487" s="581"/>
    </row>
    <row r="488" spans="1:46" ht="13.15" customHeight="1" outlineLevel="1" x14ac:dyDescent="0.25">
      <c r="A488" s="700" t="str">
        <f t="shared" si="168"/>
        <v>F&amp;F</v>
      </c>
      <c r="B488" s="704">
        <f t="shared" ref="B488:G488" si="215">B183</f>
        <v>1008</v>
      </c>
      <c r="C488" s="704" t="str">
        <f t="shared" si="215"/>
        <v>B3</v>
      </c>
      <c r="D488" s="704">
        <f t="shared" si="215"/>
        <v>0</v>
      </c>
      <c r="E488" s="704" t="str">
        <f t="shared" si="215"/>
        <v>Antonio Rada</v>
      </c>
      <c r="F488" s="705" t="str">
        <f t="shared" si="215"/>
        <v>Jorge Roberto Arimany Comas</v>
      </c>
      <c r="G488" s="566">
        <f t="shared" si="215"/>
        <v>45401</v>
      </c>
      <c r="H488" s="716">
        <f>IF(OR(status1B5!I183="",H$7="No aplica"),0,SUM('BOULEVARD 5'!$K181:K181)-$AP488)</f>
        <v>0</v>
      </c>
      <c r="I488" s="716">
        <f>IF(OR(status1B5!J183="",I$7="No aplica"),0,SUM('BOULEVARD 5'!$K181:L181)-$AP488)</f>
        <v>0</v>
      </c>
      <c r="J488" s="716">
        <f>IF(OR(status1B5!K183="",J$7="No aplica"),0,SUM('BOULEVARD 5'!$K181:M181)-$AP488)</f>
        <v>0</v>
      </c>
      <c r="K488" s="716">
        <f>IF(OR(status1B5!L183="",K$7="No aplica"),0,SUM('BOULEVARD 5'!$K181:N181)-$AP488)</f>
        <v>0</v>
      </c>
      <c r="L488" s="716">
        <f>IF(OR(status1B5!M183="",L$7="No aplica"),0,SUM('BOULEVARD 5'!$K181:O181)-$AP488)</f>
        <v>0</v>
      </c>
      <c r="M488" s="716">
        <f>IF(OR(status1B5!N183="",M$7="No aplica"),0,SUM('BOULEVARD 5'!$K181:P181)-$AP488)</f>
        <v>0</v>
      </c>
      <c r="N488" s="716">
        <f>IF(OR(status1B5!O183="",N$7="No aplica"),0,SUM('BOULEVARD 5'!$K181:Q181)-$AP488)</f>
        <v>0</v>
      </c>
      <c r="O488" s="716">
        <f>IF(OR(status1B5!P183="",O$7="No aplica"),0,SUM('BOULEVARD 5'!$K181:R181)-$AP488)</f>
        <v>0</v>
      </c>
      <c r="P488" s="716">
        <f>IF(OR(status1B5!Q183="",P$7="No aplica"),0,SUM('BOULEVARD 5'!$K181:S181)-$AP488)</f>
        <v>0</v>
      </c>
      <c r="Q488" s="716">
        <f>IF(OR(status1B5!R183="",Q$7="No aplica"),0,SUM('BOULEVARD 5'!$K181:T181)-$AP488)</f>
        <v>0</v>
      </c>
      <c r="R488" s="716">
        <f>IF(OR(status1B5!S183="",R$7="No aplica"),0,SUM('BOULEVARD 5'!$K181:U181)-$AP488)</f>
        <v>0</v>
      </c>
      <c r="S488" s="716">
        <f>IF(OR(status1B5!T183="",S$7="No aplica"),0,SUM('BOULEVARD 5'!$K181:V181)-$AP488)</f>
        <v>0</v>
      </c>
      <c r="T488" s="716">
        <f>IF(OR(status1B5!U183="",T$7="No aplica"),0,SUM('BOULEVARD 5'!$K181:W181)-$AP488)</f>
        <v>0</v>
      </c>
      <c r="U488" s="716">
        <f>IF(OR(status1B5!V183="",U$7="No aplica"),0,SUM('BOULEVARD 5'!$K181:X181)-$AP488)</f>
        <v>0</v>
      </c>
      <c r="V488" s="716">
        <f>IF(OR(status1B5!W183="",V$7="No aplica"),0,SUM('BOULEVARD 5'!$K181:Y181)-$AP488)</f>
        <v>0</v>
      </c>
      <c r="W488" s="716">
        <f>IF(OR(status1B5!X183="",W$7="No aplica"),0,SUM('BOULEVARD 5'!$K181:Z181)-$AP488)</f>
        <v>0</v>
      </c>
      <c r="X488" s="716">
        <f>IF(OR(status1B5!Y183="",X$7="No aplica"),0,SUM('BOULEVARD 5'!$K181:AA181)-$AP488)</f>
        <v>0</v>
      </c>
      <c r="Y488" s="716">
        <f>IF(OR(status1B5!Z183="",Y$7="No aplica"),0,SUM('BOULEVARD 5'!$K181:AB181)-$AP488)</f>
        <v>0</v>
      </c>
      <c r="Z488" s="716">
        <f>IF(OR(status1B5!AA183="",Z$7="No aplica"),0,SUM('BOULEVARD 5'!$K181:AC181)-$AP488)</f>
        <v>0</v>
      </c>
      <c r="AA488" s="716">
        <f>IF(OR(status1B5!AB183="",AA$7="No aplica"),0,SUM('BOULEVARD 5'!$K181:AD181)-$AP488)</f>
        <v>0</v>
      </c>
      <c r="AB488" s="716">
        <f>IF(OR(status1B5!AC183="",AB$7="No aplica"),0,SUM('BOULEVARD 5'!$K181:AE181)-$AP488)</f>
        <v>0</v>
      </c>
      <c r="AC488" s="716">
        <f>IF(OR(status1B5!AD183="",AC$7="No aplica"),0,SUM('BOULEVARD 5'!$K181:AF181)-$AP488)</f>
        <v>0</v>
      </c>
      <c r="AD488" s="716">
        <f>IF(OR(status1B5!AE183="",AD$7="No aplica"),0,SUM('BOULEVARD 5'!$K181:AG181)-$AP488)</f>
        <v>0</v>
      </c>
      <c r="AE488" s="716">
        <f>IF(OR(status1B5!AF183="",AE$7="No aplica"),0,SUM('BOULEVARD 5'!$K181:AH181)-$AP488)</f>
        <v>0</v>
      </c>
      <c r="AF488" s="716">
        <f>IF(OR(status1B5!AG183="",AF$7="No aplica"),0,SUM('BOULEVARD 5'!$K181:AI181)-$AP488)</f>
        <v>0</v>
      </c>
      <c r="AG488" s="716">
        <f>IF(OR(status1B5!AH183="",AG$7="No aplica"),0,SUM('BOULEVARD 5'!$K181:AJ181)-$AP488)</f>
        <v>0</v>
      </c>
      <c r="AH488" s="716">
        <f>IF(OR(status1B5!AI183="",AH$7="No aplica"),0,SUM('BOULEVARD 5'!$K181:AK181)-$AP488)</f>
        <v>0</v>
      </c>
      <c r="AI488" s="716">
        <f>IF(OR(status1B5!AJ183="",AI$7="No aplica"),0,SUM('BOULEVARD 5'!$K181:AL181)-$AP488)</f>
        <v>0</v>
      </c>
      <c r="AJ488" s="716">
        <f>IF(OR(status1B5!AK183="",AJ$7="No aplica"),0,SUM('BOULEVARD 5'!$K181:AM181)-$AP488)</f>
        <v>0</v>
      </c>
      <c r="AK488" s="716">
        <f>IF(OR(status1B5!AL183="",AK$7="No aplica"),0,SUM('BOULEVARD 5'!$K181:AN181)-$AP488)</f>
        <v>0</v>
      </c>
      <c r="AL488" s="716">
        <f>IF(OR(status1B5!AM183="",AL$7="No aplica"),0,SUM('BOULEVARD 5'!$K181:AO181)-$AP488)</f>
        <v>0</v>
      </c>
      <c r="AM488" s="716">
        <f>IF(OR(status1B5!AN183="",AM$7="No aplica"),0,SUM('BOULEVARD 5'!$K181:AP181)-$AP488)</f>
        <v>0</v>
      </c>
      <c r="AN488" s="716">
        <f>IF(OR(status1B5!AO183="",AN$7="No aplica"),0,SUM('BOULEVARD 5'!$K181:AQ181)-$AP488)</f>
        <v>0</v>
      </c>
      <c r="AO488" s="716">
        <f>IF(OR(status1B5!AP183="",AO$7="No aplica"),0,SUM('BOULEVARD 5'!$K181:AS181)-$AP488)</f>
        <v>0</v>
      </c>
      <c r="AP488" s="717">
        <f>'BOULEVARD PPTO'!BC176</f>
        <v>84510</v>
      </c>
      <c r="AQ488" s="717">
        <f>'BOULEVARD 5'!AT181</f>
        <v>8000</v>
      </c>
      <c r="AR488" s="717">
        <f t="shared" si="170"/>
        <v>-76510</v>
      </c>
      <c r="AS488" s="717"/>
      <c r="AT488" s="581"/>
    </row>
    <row r="489" spans="1:46" ht="13.15" customHeight="1" outlineLevel="1" x14ac:dyDescent="0.25">
      <c r="A489" s="700">
        <f t="shared" si="168"/>
        <v>0</v>
      </c>
      <c r="B489" s="564">
        <f t="shared" ref="B489:G489" si="216">B184</f>
        <v>1009</v>
      </c>
      <c r="C489" s="564" t="str">
        <f t="shared" si="216"/>
        <v>E8</v>
      </c>
      <c r="D489" s="564">
        <f t="shared" si="216"/>
        <v>0</v>
      </c>
      <c r="E489" s="712" t="str">
        <f t="shared" si="216"/>
        <v>Diana Alvarez</v>
      </c>
      <c r="F489" s="581" t="str">
        <f t="shared" si="216"/>
        <v xml:space="preserve">Augusto Alejandro Salazar Alecio Y Yosseline Yanira Moscoso Hidalgo </v>
      </c>
      <c r="G489" s="566">
        <f t="shared" si="216"/>
        <v>45602</v>
      </c>
      <c r="H489" s="716">
        <f>IF(OR(status1B5!I184="",H$7="No aplica"),0,SUM('BOULEVARD 5'!$K182:K182)-$AP489)</f>
        <v>0</v>
      </c>
      <c r="I489" s="716">
        <f>IF(OR(status1B5!J184="",I$7="No aplica"),0,SUM('BOULEVARD 5'!$K182:L182)-$AP489)</f>
        <v>0</v>
      </c>
      <c r="J489" s="716">
        <f>IF(OR(status1B5!K184="",J$7="No aplica"),0,SUM('BOULEVARD 5'!$K182:M182)-$AP489)</f>
        <v>0</v>
      </c>
      <c r="K489" s="716">
        <f>IF(OR(status1B5!L184="",K$7="No aplica"),0,SUM('BOULEVARD 5'!$K182:N182)-$AP489)</f>
        <v>0</v>
      </c>
      <c r="L489" s="716">
        <f>IF(OR(status1B5!M184="",L$7="No aplica"),0,SUM('BOULEVARD 5'!$K182:O182)-$AP489)</f>
        <v>0</v>
      </c>
      <c r="M489" s="716">
        <f>IF(OR(status1B5!N184="",M$7="No aplica"),0,SUM('BOULEVARD 5'!$K182:P182)-$AP489)</f>
        <v>0</v>
      </c>
      <c r="N489" s="716">
        <f>IF(OR(status1B5!O184="",N$7="No aplica"),0,SUM('BOULEVARD 5'!$K182:Q182)-$AP489)</f>
        <v>0</v>
      </c>
      <c r="O489" s="716">
        <f>IF(OR(status1B5!P184="",O$7="No aplica"),0,SUM('BOULEVARD 5'!$K182:R182)-$AP489)</f>
        <v>0</v>
      </c>
      <c r="P489" s="716">
        <f>IF(OR(status1B5!Q184="",P$7="No aplica"),0,SUM('BOULEVARD 5'!$K182:S182)-$AP489)</f>
        <v>0</v>
      </c>
      <c r="Q489" s="716">
        <f>IF(OR(status1B5!R184="",Q$7="No aplica"),0,SUM('BOULEVARD 5'!$K182:T182)-$AP489)</f>
        <v>0</v>
      </c>
      <c r="R489" s="716">
        <f>IF(OR(status1B5!S184="",R$7="No aplica"),0,SUM('BOULEVARD 5'!$K182:U182)-$AP489)</f>
        <v>0</v>
      </c>
      <c r="S489" s="716">
        <f>IF(OR(status1B5!T184="",S$7="No aplica"),0,SUM('BOULEVARD 5'!$K182:V182)-$AP489)</f>
        <v>0</v>
      </c>
      <c r="T489" s="716">
        <f>IF(OR(status1B5!U184="",T$7="No aplica"),0,SUM('BOULEVARD 5'!$K182:W182)-$AP489)</f>
        <v>0</v>
      </c>
      <c r="U489" s="716">
        <f>IF(OR(status1B5!V184="",U$7="No aplica"),0,SUM('BOULEVARD 5'!$K182:X182)-$AP489)</f>
        <v>0</v>
      </c>
      <c r="V489" s="716">
        <f>IF(OR(status1B5!W184="",V$7="No aplica"),0,SUM('BOULEVARD 5'!$K182:Y182)-$AP489)</f>
        <v>0</v>
      </c>
      <c r="W489" s="716">
        <f>IF(OR(status1B5!X184="",W$7="No aplica"),0,SUM('BOULEVARD 5'!$K182:Z182)-$AP489)</f>
        <v>0</v>
      </c>
      <c r="X489" s="716">
        <f>IF(OR(status1B5!Y184="",X$7="No aplica"),0,SUM('BOULEVARD 5'!$K182:AA182)-$AP489)</f>
        <v>0</v>
      </c>
      <c r="Y489" s="716">
        <f>IF(OR(status1B5!Z184="",Y$7="No aplica"),0,SUM('BOULEVARD 5'!$K182:AB182)-$AP489)</f>
        <v>0</v>
      </c>
      <c r="Z489" s="716">
        <f>IF(OR(status1B5!AA184="",Z$7="No aplica"),0,SUM('BOULEVARD 5'!$K182:AC182)-$AP489)</f>
        <v>0</v>
      </c>
      <c r="AA489" s="716">
        <f>IF(OR(status1B5!AB184="",AA$7="No aplica"),0,SUM('BOULEVARD 5'!$K182:AD182)-$AP489)</f>
        <v>0</v>
      </c>
      <c r="AB489" s="716">
        <f>IF(OR(status1B5!AC184="",AB$7="No aplica"),0,SUM('BOULEVARD 5'!$K182:AE182)-$AP489)</f>
        <v>-142084.48000000001</v>
      </c>
      <c r="AC489" s="716">
        <f>IF(OR(status1B5!AD184="",AC$7="No aplica"),0,SUM('BOULEVARD 5'!$K182:AF182)-$AP489)</f>
        <v>-134084.48000000001</v>
      </c>
      <c r="AD489" s="716">
        <f>IF(OR(status1B5!AE184="",AD$7="No aplica"),0,SUM('BOULEVARD 5'!$K182:AG182)-$AP489)</f>
        <v>-126084.48000000001</v>
      </c>
      <c r="AE489" s="716">
        <f>IF(OR(status1B5!AF184="",AE$7="No aplica"),0,SUM('BOULEVARD 5'!$K182:AH182)-$AP489)</f>
        <v>-118084.48000000001</v>
      </c>
      <c r="AF489" s="716">
        <f>IF(OR(status1B5!AG184="",AF$7="No aplica"),0,SUM('BOULEVARD 5'!$K182:AI182)-$AP489)</f>
        <v>-110084.48000000001</v>
      </c>
      <c r="AG489" s="716">
        <f>IF(OR(status1B5!AH184="",AG$7="No aplica"),0,SUM('BOULEVARD 5'!$K182:AJ182)-$AP489)</f>
        <v>-102084.48000000001</v>
      </c>
      <c r="AH489" s="716">
        <f>IF(OR(status1B5!AI184="",AH$7="No aplica"),0,SUM('BOULEVARD 5'!$K182:AK182)-$AP489)</f>
        <v>-94084.48000000001</v>
      </c>
      <c r="AI489" s="716">
        <f>IF(OR(status1B5!AJ184="",AI$7="No aplica"),0,SUM('BOULEVARD 5'!$K182:AL182)-$AP489)</f>
        <v>-86084.48000000001</v>
      </c>
      <c r="AJ489" s="716">
        <f>IF(OR(status1B5!AK184="",AJ$7="No aplica"),0,SUM('BOULEVARD 5'!$K182:AM182)-$AP489)</f>
        <v>-78084.48000000001</v>
      </c>
      <c r="AK489" s="716">
        <f>IF(OR(status1B5!AL184="",AK$7="No aplica"),0,SUM('BOULEVARD 5'!$K182:AN182)-$AP489)</f>
        <v>-70084.48000000001</v>
      </c>
      <c r="AL489" s="716">
        <f>IF(OR(status1B5!AM184="",AL$7="No aplica"),0,SUM('BOULEVARD 5'!$K182:AO182)-$AP489)</f>
        <v>-62084.48000000001</v>
      </c>
      <c r="AM489" s="716">
        <f>IF(OR(status1B5!AN184="",AM$7="No aplica"),0,SUM('BOULEVARD 5'!$K182:AP182)-$AP489)</f>
        <v>-54084.48000000001</v>
      </c>
      <c r="AN489" s="716">
        <f>IF(OR(status1B5!AO184="",AN$7="No aplica"),0,SUM('BOULEVARD 5'!$K182:AQ182)-$AP489)</f>
        <v>0</v>
      </c>
      <c r="AO489" s="716">
        <f>IF(OR(status1B5!AP184="",AO$7="No aplica"),0,SUM('BOULEVARD 5'!$K182:AS182)-$AP489)</f>
        <v>0</v>
      </c>
      <c r="AP489" s="717">
        <f>'BOULEVARD PPTO'!BC177</f>
        <v>152084.48000000001</v>
      </c>
      <c r="AQ489" s="717">
        <f>'BOULEVARD 5'!AT182</f>
        <v>122000</v>
      </c>
      <c r="AR489" s="717">
        <f t="shared" si="170"/>
        <v>-30084.48000000001</v>
      </c>
      <c r="AS489" s="717"/>
      <c r="AT489" s="581"/>
    </row>
    <row r="490" spans="1:46" ht="13.15" customHeight="1" outlineLevel="1" x14ac:dyDescent="0.25">
      <c r="A490" s="700">
        <f t="shared" si="168"/>
        <v>0</v>
      </c>
      <c r="B490" s="564">
        <f t="shared" ref="B490:G490" si="217">B185</f>
        <v>1010</v>
      </c>
      <c r="C490" s="564" t="str">
        <f t="shared" si="217"/>
        <v>A10</v>
      </c>
      <c r="D490" s="564">
        <f t="shared" si="217"/>
        <v>0</v>
      </c>
      <c r="E490" s="564" t="str">
        <f t="shared" si="217"/>
        <v>Antonio Rada</v>
      </c>
      <c r="F490" s="581" t="str">
        <f t="shared" si="217"/>
        <v>Allan Donaldo Lapop Cárdenas</v>
      </c>
      <c r="G490" s="566">
        <f t="shared" si="217"/>
        <v>45165</v>
      </c>
      <c r="H490" s="716">
        <f>IF(OR(status1B5!I185="",H$7="No aplica"),0,SUM('BOULEVARD 5'!$K183:K183)-$AP490)</f>
        <v>0</v>
      </c>
      <c r="I490" s="716">
        <f>IF(OR(status1B5!J185="",I$7="No aplica"),0,SUM('BOULEVARD 5'!$K183:L183)-$AP490)</f>
        <v>0</v>
      </c>
      <c r="J490" s="716">
        <f>IF(OR(status1B5!K185="",J$7="No aplica"),0,SUM('BOULEVARD 5'!$K183:M183)-$AP490)</f>
        <v>0</v>
      </c>
      <c r="K490" s="716">
        <f>IF(OR(status1B5!L185="",K$7="No aplica"),0,SUM('BOULEVARD 5'!$K183:N183)-$AP490)</f>
        <v>0</v>
      </c>
      <c r="L490" s="716">
        <f>IF(OR(status1B5!M185="",L$7="No aplica"),0,SUM('BOULEVARD 5'!$K183:O183)-$AP490)</f>
        <v>0</v>
      </c>
      <c r="M490" s="716">
        <f>IF(OR(status1B5!N185="",M$7="No aplica"),0,SUM('BOULEVARD 5'!$K183:P183)-$AP490)</f>
        <v>-78900</v>
      </c>
      <c r="N490" s="716">
        <f>IF(OR(status1B5!O185="",N$7="No aplica"),0,SUM('BOULEVARD 5'!$K183:Q183)-$AP490)</f>
        <v>-75744</v>
      </c>
      <c r="O490" s="716">
        <f>IF(OR(status1B5!P185="",O$7="No aplica"),0,SUM('BOULEVARD 5'!$K183:R183)-$AP490)</f>
        <v>-72588</v>
      </c>
      <c r="P490" s="716">
        <f>IF(OR(status1B5!Q185="",P$7="No aplica"),0,SUM('BOULEVARD 5'!$K183:S183)-$AP490)</f>
        <v>-69432</v>
      </c>
      <c r="Q490" s="716">
        <f>IF(OR(status1B5!R185="",Q$7="No aplica"),0,SUM('BOULEVARD 5'!$K183:T183)-$AP490)</f>
        <v>-66276</v>
      </c>
      <c r="R490" s="716">
        <f>IF(OR(status1B5!S185="",R$7="No aplica"),0,SUM('BOULEVARD 5'!$K183:U183)-$AP490)</f>
        <v>-63120</v>
      </c>
      <c r="S490" s="716">
        <f>IF(OR(status1B5!T185="",S$7="No aplica"),0,SUM('BOULEVARD 5'!$K183:V183)-$AP490)</f>
        <v>-59964</v>
      </c>
      <c r="T490" s="716">
        <f>IF(OR(status1B5!U185="",T$7="No aplica"),0,SUM('BOULEVARD 5'!$K183:W183)-$AP490)</f>
        <v>-56808</v>
      </c>
      <c r="U490" s="716">
        <f>IF(OR(status1B5!V185="",U$7="No aplica"),0,SUM('BOULEVARD 5'!$K183:X183)-$AP490)</f>
        <v>-53652</v>
      </c>
      <c r="V490" s="716">
        <f>IF(OR(status1B5!W185="",V$7="No aplica"),0,SUM('BOULEVARD 5'!$K183:Y183)-$AP490)</f>
        <v>-50496</v>
      </c>
      <c r="W490" s="716">
        <f>IF(OR(status1B5!X185="",W$7="No aplica"),0,SUM('BOULEVARD 5'!$K183:Z183)-$AP490)</f>
        <v>-46996</v>
      </c>
      <c r="X490" s="716">
        <f>IF(OR(status1B5!Y185="",X$7="No aplica"),0,SUM('BOULEVARD 5'!$K183:AA183)-$AP490)</f>
        <v>-41996</v>
      </c>
      <c r="Y490" s="716">
        <f>IF(OR(status1B5!Z185="",Y$7="No aplica"),0,SUM('BOULEVARD 5'!$K183:AB183)-$AP490)</f>
        <v>-38840</v>
      </c>
      <c r="Z490" s="716">
        <f>IF(OR(status1B5!AA185="",Z$7="No aplica"),0,SUM('BOULEVARD 5'!$K183:AC183)-$AP490)</f>
        <v>-34840</v>
      </c>
      <c r="AA490" s="716">
        <f>IF(OR(status1B5!AB185="",AA$7="No aplica"),0,SUM('BOULEVARD 5'!$K183:AD183)-$AP490)</f>
        <v>-29840</v>
      </c>
      <c r="AB490" s="716">
        <f>IF(OR(status1B5!AC185="",AB$7="No aplica"),0,SUM('BOULEVARD 5'!$K183:AE183)-$AP490)</f>
        <v>-26640</v>
      </c>
      <c r="AC490" s="716">
        <f>IF(OR(status1B5!AD185="",AC$7="No aplica"),0,SUM('BOULEVARD 5'!$K183:AF183)-$AP490)</f>
        <v>-21400</v>
      </c>
      <c r="AD490" s="716">
        <f>IF(OR(status1B5!AE185="",AD$7="No aplica"),0,SUM('BOULEVARD 5'!$K183:AG183)-$AP490)</f>
        <v>-16900</v>
      </c>
      <c r="AE490" s="716">
        <f>IF(OR(status1B5!AF185="",AE$7="No aplica"),0,SUM('BOULEVARD 5'!$K183:AH183)-$AP490)</f>
        <v>-11900</v>
      </c>
      <c r="AF490" s="716">
        <f>IF(OR(status1B5!AG185="",AF$7="No aplica"),0,SUM('BOULEVARD 5'!$K183:AI183)-$AP490)</f>
        <v>-6900</v>
      </c>
      <c r="AG490" s="716">
        <f>IF(OR(status1B5!AH185="",AG$7="No aplica"),0,SUM('BOULEVARD 5'!$K183:AJ183)-$AP490)</f>
        <v>-3700</v>
      </c>
      <c r="AH490" s="716">
        <f>IF(OR(status1B5!AI185="",AH$7="No aplica"),0,SUM('BOULEVARD 5'!$K183:AK183)-$AP490)</f>
        <v>-500</v>
      </c>
      <c r="AI490" s="716">
        <f>IF(OR(status1B5!AJ185="",AI$7="No aplica"),0,SUM('BOULEVARD 5'!$K183:AL183)-$AP490)</f>
        <v>4500</v>
      </c>
      <c r="AJ490" s="716">
        <f>IF(OR(status1B5!AK185="",AJ$7="No aplica"),0,SUM('BOULEVARD 5'!$K183:AM183)-$AP490)</f>
        <v>9000</v>
      </c>
      <c r="AK490" s="716">
        <f>IF(OR(status1B5!AL185="",AK$7="No aplica"),0,SUM('BOULEVARD 5'!$K183:AN183)-$AP490)</f>
        <v>12500</v>
      </c>
      <c r="AL490" s="716">
        <f>IF(OR(status1B5!AM185="",AL$7="No aplica"),0,SUM('BOULEVARD 5'!$K183:AO183)-$AP490)</f>
        <v>12500</v>
      </c>
      <c r="AM490" s="716">
        <f>IF(OR(status1B5!AN185="",AM$7="No aplica"),0,SUM('BOULEVARD 5'!$K183:AP183)-$AP490)</f>
        <v>16000</v>
      </c>
      <c r="AN490" s="716">
        <f>IF(OR(status1B5!AO185="",AN$7="No aplica"),0,SUM('BOULEVARD 5'!$K183:AQ183)-$AP490)</f>
        <v>0</v>
      </c>
      <c r="AO490" s="716">
        <f>IF(OR(status1B5!AP185="",AO$7="No aplica"),0,SUM('BOULEVARD 5'!$K183:AS183)-$AP490)</f>
        <v>0</v>
      </c>
      <c r="AP490" s="717">
        <f>'BOULEVARD PPTO'!BC178</f>
        <v>84900</v>
      </c>
      <c r="AQ490" s="717">
        <f>'BOULEVARD 5'!AT183</f>
        <v>100900</v>
      </c>
      <c r="AR490" s="717">
        <f t="shared" si="170"/>
        <v>16000</v>
      </c>
      <c r="AS490" s="717"/>
      <c r="AT490" s="581"/>
    </row>
    <row r="491" spans="1:46" ht="13.15" customHeight="1" outlineLevel="1" x14ac:dyDescent="0.25">
      <c r="A491" s="700">
        <f t="shared" si="168"/>
        <v>0</v>
      </c>
      <c r="B491" s="564">
        <f t="shared" ref="B491:G491" si="218">B186</f>
        <v>1011</v>
      </c>
      <c r="C491" s="564" t="str">
        <f t="shared" si="218"/>
        <v>C10</v>
      </c>
      <c r="D491" s="564">
        <f t="shared" si="218"/>
        <v>0</v>
      </c>
      <c r="E491" s="564" t="str">
        <f t="shared" si="218"/>
        <v>Brenda Búcaro</v>
      </c>
      <c r="F491" s="581" t="str">
        <f t="shared" si="218"/>
        <v>Sebastian Gutierrez Ruiz</v>
      </c>
      <c r="G491" s="566">
        <f t="shared" si="218"/>
        <v>45016</v>
      </c>
      <c r="H491" s="716">
        <f>IF(OR(status1B5!I186="",H$7="No aplica"),0,SUM('BOULEVARD 5'!$K184:K184)-$AP491)</f>
        <v>-107225</v>
      </c>
      <c r="I491" s="716">
        <f>IF(OR(status1B5!J186="",I$7="No aplica"),0,SUM('BOULEVARD 5'!$K184:L184)-$AP491)</f>
        <v>-104170</v>
      </c>
      <c r="J491" s="716">
        <f>IF(OR(status1B5!K186="",J$7="No aplica"),0,SUM('BOULEVARD 5'!$K184:M184)-$AP491)</f>
        <v>-101115</v>
      </c>
      <c r="K491" s="716">
        <f>IF(OR(status1B5!L186="",K$7="No aplica"),0,SUM('BOULEVARD 5'!$K184:N184)-$AP491)</f>
        <v>-98060</v>
      </c>
      <c r="L491" s="716">
        <f>IF(OR(status1B5!M186="",L$7="No aplica"),0,SUM('BOULEVARD 5'!$K184:O184)-$AP491)</f>
        <v>-95005</v>
      </c>
      <c r="M491" s="716">
        <f>IF(OR(status1B5!N186="",M$7="No aplica"),0,SUM('BOULEVARD 5'!$K184:P184)-$AP491)</f>
        <v>-91950</v>
      </c>
      <c r="N491" s="716">
        <f>IF(OR(status1B5!O186="",N$7="No aplica"),0,SUM('BOULEVARD 5'!$K184:Q184)-$AP491)</f>
        <v>-88895</v>
      </c>
      <c r="O491" s="716">
        <f>IF(OR(status1B5!P186="",O$7="No aplica"),0,SUM('BOULEVARD 5'!$K184:R184)-$AP491)</f>
        <v>-85840</v>
      </c>
      <c r="P491" s="716">
        <f>IF(OR(status1B5!Q186="",P$7="No aplica"),0,SUM('BOULEVARD 5'!$K184:S184)-$AP491)</f>
        <v>-82785</v>
      </c>
      <c r="Q491" s="716">
        <f>IF(OR(status1B5!R186="",Q$7="No aplica"),0,SUM('BOULEVARD 5'!$K184:T184)-$AP491)</f>
        <v>-79730</v>
      </c>
      <c r="R491" s="716">
        <f>IF(OR(status1B5!S186="",R$7="No aplica"),0,SUM('BOULEVARD 5'!$K184:U184)-$AP491)</f>
        <v>-76675</v>
      </c>
      <c r="S491" s="716">
        <f>IF(OR(status1B5!T186="",S$7="No aplica"),0,SUM('BOULEVARD 5'!$K184:V184)-$AP491)</f>
        <v>-73620</v>
      </c>
      <c r="T491" s="716">
        <f>IF(OR(status1B5!U186="",T$7="No aplica"),0,SUM('BOULEVARD 5'!$K184:W184)-$AP491)</f>
        <v>-70565</v>
      </c>
      <c r="U491" s="716">
        <f>IF(OR(status1B5!V186="",U$7="No aplica"),0,SUM('BOULEVARD 5'!$K184:X184)-$AP491)</f>
        <v>-67510</v>
      </c>
      <c r="V491" s="716">
        <f>IF(OR(status1B5!W186="",V$7="No aplica"),0,SUM('BOULEVARD 5'!$K184:Y184)-$AP491)</f>
        <v>-64455</v>
      </c>
      <c r="W491" s="716">
        <f>IF(OR(status1B5!X186="",W$7="No aplica"),0,SUM('BOULEVARD 5'!$K184:Z184)-$AP491)</f>
        <v>-61400</v>
      </c>
      <c r="X491" s="716">
        <f>IF(OR(status1B5!Y186="",X$7="No aplica"),0,SUM('BOULEVARD 5'!$K184:AA184)-$AP491)</f>
        <v>-58345</v>
      </c>
      <c r="Y491" s="716">
        <f>IF(OR(status1B5!Z186="",Y$7="No aplica"),0,SUM('BOULEVARD 5'!$K184:AB184)-$AP491)</f>
        <v>-55290</v>
      </c>
      <c r="Z491" s="716">
        <f>IF(OR(status1B5!AA186="",Z$7="No aplica"),0,SUM('BOULEVARD 5'!$K184:AC184)-$AP491)</f>
        <v>-52235</v>
      </c>
      <c r="AA491" s="716">
        <f>IF(OR(status1B5!AB186="",AA$7="No aplica"),0,SUM('BOULEVARD 5'!$K184:AD184)-$AP491)</f>
        <v>-49180</v>
      </c>
      <c r="AB491" s="716">
        <f>IF(OR(status1B5!AC186="",AB$7="No aplica"),0,SUM('BOULEVARD 5'!$K184:AE184)-$AP491)</f>
        <v>-49180</v>
      </c>
      <c r="AC491" s="716">
        <f>IF(OR(status1B5!AD186="",AC$7="No aplica"),0,SUM('BOULEVARD 5'!$K184:AF184)-$AP491)</f>
        <v>-46125</v>
      </c>
      <c r="AD491" s="716">
        <f>IF(OR(status1B5!AE186="",AD$7="No aplica"),0,SUM('BOULEVARD 5'!$K184:AG184)-$AP491)</f>
        <v>-43070</v>
      </c>
      <c r="AE491" s="716">
        <f>IF(OR(status1B5!AF186="",AE$7="No aplica"),0,SUM('BOULEVARD 5'!$K184:AH184)-$AP491)</f>
        <v>-40015</v>
      </c>
      <c r="AF491" s="716">
        <f>IF(OR(status1B5!AG186="",AF$7="No aplica"),0,SUM('BOULEVARD 5'!$K184:AI184)-$AP491)</f>
        <v>-36960</v>
      </c>
      <c r="AG491" s="716">
        <f>IF(OR(status1B5!AH186="",AG$7="No aplica"),0,SUM('BOULEVARD 5'!$K184:AJ184)-$AP491)</f>
        <v>-33905</v>
      </c>
      <c r="AH491" s="716">
        <f>IF(OR(status1B5!AI186="",AH$7="No aplica"),0,SUM('BOULEVARD 5'!$K184:AK184)-$AP491)</f>
        <v>-30850</v>
      </c>
      <c r="AI491" s="716">
        <f>IF(OR(status1B5!AJ186="",AI$7="No aplica"),0,SUM('BOULEVARD 5'!$K184:AL184)-$AP491)</f>
        <v>-27795</v>
      </c>
      <c r="AJ491" s="716">
        <f>IF(OR(status1B5!AK186="",AJ$7="No aplica"),0,SUM('BOULEVARD 5'!$K184:AM184)-$AP491)</f>
        <v>-24740</v>
      </c>
      <c r="AK491" s="716">
        <f>IF(OR(status1B5!AL186="",AK$7="No aplica"),0,SUM('BOULEVARD 5'!$K184:AN184)-$AP491)</f>
        <v>-24740</v>
      </c>
      <c r="AL491" s="716">
        <f>IF(OR(status1B5!AM186="",AL$7="No aplica"),0,SUM('BOULEVARD 5'!$K184:AO184)-$AP491)</f>
        <v>-24740</v>
      </c>
      <c r="AM491" s="716">
        <f>IF(OR(status1B5!AN186="",AM$7="No aplica"),0,SUM('BOULEVARD 5'!$K184:AP184)-$AP491)</f>
        <v>-24740</v>
      </c>
      <c r="AN491" s="716">
        <f>IF(OR(status1B5!AO186="",AN$7="No aplica"),0,SUM('BOULEVARD 5'!$K184:AQ184)-$AP491)</f>
        <v>0</v>
      </c>
      <c r="AO491" s="716">
        <f>IF(OR(status1B5!AP186="",AO$7="No aplica"),0,SUM('BOULEVARD 5'!$K184:AS184)-$AP491)</f>
        <v>0</v>
      </c>
      <c r="AP491" s="717">
        <f>'BOULEVARD PPTO'!BC179</f>
        <v>113225</v>
      </c>
      <c r="AQ491" s="717">
        <f>'BOULEVARD 5'!AT184</f>
        <v>88485</v>
      </c>
      <c r="AR491" s="717">
        <f t="shared" si="170"/>
        <v>-24740</v>
      </c>
      <c r="AS491" s="717"/>
      <c r="AT491" s="581"/>
    </row>
    <row r="492" spans="1:46" ht="13.15" customHeight="1" outlineLevel="1" x14ac:dyDescent="0.25">
      <c r="A492" s="700" t="str">
        <f t="shared" si="168"/>
        <v>F&amp;F</v>
      </c>
      <c r="B492" s="704">
        <f t="shared" ref="B492:G492" si="219">B187</f>
        <v>1012</v>
      </c>
      <c r="C492" s="704" t="str">
        <f t="shared" si="219"/>
        <v>C7</v>
      </c>
      <c r="D492" s="704">
        <f t="shared" si="219"/>
        <v>0</v>
      </c>
      <c r="E492" s="704" t="str">
        <f t="shared" si="219"/>
        <v>Ronaldo</v>
      </c>
      <c r="F492" s="705" t="str">
        <f t="shared" si="219"/>
        <v>Iurix, S.A</v>
      </c>
      <c r="G492" s="566">
        <f t="shared" si="219"/>
        <v>45300</v>
      </c>
      <c r="H492" s="716">
        <f>IF(OR(status1B5!I187="",H$7="No aplica"),0,SUM('BOULEVARD 5'!$K185:K185)-$AP492)</f>
        <v>0</v>
      </c>
      <c r="I492" s="716">
        <f>IF(OR(status1B5!J187="",I$7="No aplica"),0,SUM('BOULEVARD 5'!$K185:L185)-$AP492)</f>
        <v>0</v>
      </c>
      <c r="J492" s="716">
        <f>IF(OR(status1B5!K187="",J$7="No aplica"),0,SUM('BOULEVARD 5'!$K185:M185)-$AP492)</f>
        <v>0</v>
      </c>
      <c r="K492" s="716">
        <f>IF(OR(status1B5!L187="",K$7="No aplica"),0,SUM('BOULEVARD 5'!$K185:N185)-$AP492)</f>
        <v>0</v>
      </c>
      <c r="L492" s="716">
        <f>IF(OR(status1B5!M187="",L$7="No aplica"),0,SUM('BOULEVARD 5'!$K185:O185)-$AP492)</f>
        <v>0</v>
      </c>
      <c r="M492" s="716">
        <f>IF(OR(status1B5!N187="",M$7="No aplica"),0,SUM('BOULEVARD 5'!$K185:P185)-$AP492)</f>
        <v>0</v>
      </c>
      <c r="N492" s="716">
        <f>IF(OR(status1B5!O187="",N$7="No aplica"),0,SUM('BOULEVARD 5'!$K185:Q185)-$AP492)</f>
        <v>0</v>
      </c>
      <c r="O492" s="716">
        <f>IF(OR(status1B5!P187="",O$7="No aplica"),0,SUM('BOULEVARD 5'!$K185:R185)-$AP492)</f>
        <v>0</v>
      </c>
      <c r="P492" s="716">
        <f>IF(OR(status1B5!Q187="",P$7="No aplica"),0,SUM('BOULEVARD 5'!$K185:S185)-$AP492)</f>
        <v>0</v>
      </c>
      <c r="Q492" s="716">
        <f>IF(OR(status1B5!R187="",Q$7="No aplica"),0,SUM('BOULEVARD 5'!$K185:T185)-$AP492)</f>
        <v>0</v>
      </c>
      <c r="R492" s="716">
        <f>IF(OR(status1B5!S187="",R$7="No aplica"),0,SUM('BOULEVARD 5'!$K185:U185)-$AP492)</f>
        <v>0</v>
      </c>
      <c r="S492" s="716">
        <f>IF(OR(status1B5!T187="",S$7="No aplica"),0,SUM('BOULEVARD 5'!$K185:V185)-$AP492)</f>
        <v>0</v>
      </c>
      <c r="T492" s="716">
        <f>IF(OR(status1B5!U187="",T$7="No aplica"),0,SUM('BOULEVARD 5'!$K185:W185)-$AP492)</f>
        <v>0</v>
      </c>
      <c r="U492" s="716">
        <f>IF(OR(status1B5!V187="",U$7="No aplica"),0,SUM('BOULEVARD 5'!$K185:X185)-$AP492)</f>
        <v>0</v>
      </c>
      <c r="V492" s="716">
        <f>IF(OR(status1B5!W187="",V$7="No aplica"),0,SUM('BOULEVARD 5'!$K185:Y185)-$AP492)</f>
        <v>0</v>
      </c>
      <c r="W492" s="716">
        <f>IF(OR(status1B5!X187="",W$7="No aplica"),0,SUM('BOULEVARD 5'!$K185:Z185)-$AP492)</f>
        <v>0</v>
      </c>
      <c r="X492" s="716">
        <f>IF(OR(status1B5!Y187="",X$7="No aplica"),0,SUM('BOULEVARD 5'!$K185:AA185)-$AP492)</f>
        <v>0</v>
      </c>
      <c r="Y492" s="716">
        <f>IF(OR(status1B5!Z187="",Y$7="No aplica"),0,SUM('BOULEVARD 5'!$K185:AB185)-$AP492)</f>
        <v>0</v>
      </c>
      <c r="Z492" s="716">
        <f>IF(OR(status1B5!AA187="",Z$7="No aplica"),0,SUM('BOULEVARD 5'!$K185:AC185)-$AP492)</f>
        <v>0</v>
      </c>
      <c r="AA492" s="716">
        <f>IF(OR(status1B5!AB187="",AA$7="No aplica"),0,SUM('BOULEVARD 5'!$K185:AD185)-$AP492)</f>
        <v>0</v>
      </c>
      <c r="AB492" s="716">
        <f>IF(OR(status1B5!AC187="",AB$7="No aplica"),0,SUM('BOULEVARD 5'!$K185:AE185)-$AP492)</f>
        <v>0</v>
      </c>
      <c r="AC492" s="716">
        <f>IF(OR(status1B5!AD187="",AC$7="No aplica"),0,SUM('BOULEVARD 5'!$K185:AF185)-$AP492)</f>
        <v>0</v>
      </c>
      <c r="AD492" s="716">
        <f>IF(OR(status1B5!AE187="",AD$7="No aplica"),0,SUM('BOULEVARD 5'!$K185:AG185)-$AP492)</f>
        <v>0</v>
      </c>
      <c r="AE492" s="716">
        <f>IF(OR(status1B5!AF187="",AE$7="No aplica"),0,SUM('BOULEVARD 5'!$K185:AH185)-$AP492)</f>
        <v>0</v>
      </c>
      <c r="AF492" s="716">
        <f>IF(OR(status1B5!AG187="",AF$7="No aplica"),0,SUM('BOULEVARD 5'!$K185:AI185)-$AP492)</f>
        <v>0</v>
      </c>
      <c r="AG492" s="716">
        <f>IF(OR(status1B5!AH187="",AG$7="No aplica"),0,SUM('BOULEVARD 5'!$K185:AJ185)-$AP492)</f>
        <v>0</v>
      </c>
      <c r="AH492" s="716">
        <f>IF(OR(status1B5!AI187="",AH$7="No aplica"),0,SUM('BOULEVARD 5'!$K185:AK185)-$AP492)</f>
        <v>0</v>
      </c>
      <c r="AI492" s="716">
        <f>IF(OR(status1B5!AJ187="",AI$7="No aplica"),0,SUM('BOULEVARD 5'!$K185:AL185)-$AP492)</f>
        <v>0</v>
      </c>
      <c r="AJ492" s="716">
        <f>IF(OR(status1B5!AK187="",AJ$7="No aplica"),0,SUM('BOULEVARD 5'!$K185:AM185)-$AP492)</f>
        <v>0</v>
      </c>
      <c r="AK492" s="716">
        <f>IF(OR(status1B5!AL187="",AK$7="No aplica"),0,SUM('BOULEVARD 5'!$K185:AN185)-$AP492)</f>
        <v>0</v>
      </c>
      <c r="AL492" s="716">
        <f>IF(OR(status1B5!AM187="",AL$7="No aplica"),0,SUM('BOULEVARD 5'!$K185:AO185)-$AP492)</f>
        <v>0</v>
      </c>
      <c r="AM492" s="716">
        <f>IF(OR(status1B5!AN187="",AM$7="No aplica"),0,SUM('BOULEVARD 5'!$K185:AP185)-$AP492)</f>
        <v>0</v>
      </c>
      <c r="AN492" s="716">
        <f>IF(OR(status1B5!AO187="",AN$7="No aplica"),0,SUM('BOULEVARD 5'!$K185:AQ185)-$AP492)</f>
        <v>0</v>
      </c>
      <c r="AO492" s="716">
        <f>IF(OR(status1B5!AP187="",AO$7="No aplica"),0,SUM('BOULEVARD 5'!$K185:AS185)-$AP492)</f>
        <v>0</v>
      </c>
      <c r="AP492" s="717">
        <f>'BOULEVARD PPTO'!BC180</f>
        <v>97380</v>
      </c>
      <c r="AQ492" s="717">
        <f>'BOULEVARD 5'!AT185</f>
        <v>0</v>
      </c>
      <c r="AR492" s="717">
        <f t="shared" si="170"/>
        <v>-97380</v>
      </c>
      <c r="AS492" s="717"/>
      <c r="AT492" s="581"/>
    </row>
    <row r="493" spans="1:46" ht="13.15" customHeight="1" outlineLevel="1" x14ac:dyDescent="0.25">
      <c r="A493" s="700">
        <f t="shared" si="168"/>
        <v>0</v>
      </c>
      <c r="B493" s="564">
        <f t="shared" ref="B493:G493" si="220">B188</f>
        <v>1013</v>
      </c>
      <c r="C493" s="564" t="str">
        <f t="shared" si="220"/>
        <v>B6</v>
      </c>
      <c r="D493" s="564">
        <f t="shared" si="220"/>
        <v>0</v>
      </c>
      <c r="E493" s="564" t="str">
        <f t="shared" si="220"/>
        <v>Brenda Búcaro</v>
      </c>
      <c r="F493" s="581" t="str">
        <f t="shared" si="220"/>
        <v>Byron Nehemías Ortega Ruiz</v>
      </c>
      <c r="G493" s="566">
        <f t="shared" si="220"/>
        <v>45181</v>
      </c>
      <c r="H493" s="716">
        <f>IF(OR(status1B5!I188="",H$7="No aplica"),0,SUM('BOULEVARD 5'!$K186:K186)-$AP493)</f>
        <v>0</v>
      </c>
      <c r="I493" s="716">
        <f>IF(OR(status1B5!J188="",I$7="No aplica"),0,SUM('BOULEVARD 5'!$K186:L186)-$AP493)</f>
        <v>0</v>
      </c>
      <c r="J493" s="716">
        <f>IF(OR(status1B5!K188="",J$7="No aplica"),0,SUM('BOULEVARD 5'!$K186:M186)-$AP493)</f>
        <v>0</v>
      </c>
      <c r="K493" s="716">
        <f>IF(OR(status1B5!L188="",K$7="No aplica"),0,SUM('BOULEVARD 5'!$K186:N186)-$AP493)</f>
        <v>0</v>
      </c>
      <c r="L493" s="716">
        <f>IF(OR(status1B5!M188="",L$7="No aplica"),0,SUM('BOULEVARD 5'!$K186:O186)-$AP493)</f>
        <v>0</v>
      </c>
      <c r="M493" s="716">
        <f>IF(OR(status1B5!N188="",M$7="No aplica"),0,SUM('BOULEVARD 5'!$K186:P186)-$AP493)</f>
        <v>0</v>
      </c>
      <c r="N493" s="716">
        <f>IF(OR(status1B5!O188="",N$7="No aplica"),0,SUM('BOULEVARD 5'!$K186:Q186)-$AP493)</f>
        <v>-84400</v>
      </c>
      <c r="O493" s="716">
        <f>IF(OR(status1B5!P188="",O$7="No aplica"),0,SUM('BOULEVARD 5'!$K186:R186)-$AP493)</f>
        <v>-80883</v>
      </c>
      <c r="P493" s="716">
        <f>IF(OR(status1B5!Q188="",P$7="No aplica"),0,SUM('BOULEVARD 5'!$K186:S186)-$AP493)</f>
        <v>-80883</v>
      </c>
      <c r="Q493" s="716">
        <f>IF(OR(status1B5!R188="",Q$7="No aplica"),0,SUM('BOULEVARD 5'!$K186:T186)-$AP493)</f>
        <v>-77366</v>
      </c>
      <c r="R493" s="716">
        <f>IF(OR(status1B5!S188="",R$7="No aplica"),0,SUM('BOULEVARD 5'!$K186:U186)-$AP493)</f>
        <v>-77366</v>
      </c>
      <c r="S493" s="716">
        <f>IF(OR(status1B5!T188="",S$7="No aplica"),0,SUM('BOULEVARD 5'!$K186:V186)-$AP493)</f>
        <v>-73849</v>
      </c>
      <c r="T493" s="716">
        <f>IF(OR(status1B5!U188="",T$7="No aplica"),0,SUM('BOULEVARD 5'!$K186:W186)-$AP493)</f>
        <v>-73849</v>
      </c>
      <c r="U493" s="716">
        <f>IF(OR(status1B5!V188="",U$7="No aplica"),0,SUM('BOULEVARD 5'!$K186:X186)-$AP493)</f>
        <v>-70332</v>
      </c>
      <c r="V493" s="716">
        <f>IF(OR(status1B5!W188="",V$7="No aplica"),0,SUM('BOULEVARD 5'!$K186:Y186)-$AP493)</f>
        <v>-63298</v>
      </c>
      <c r="W493" s="716">
        <f>IF(OR(status1B5!X188="",W$7="No aplica"),0,SUM('BOULEVARD 5'!$K186:Z186)-$AP493)</f>
        <v>-59781</v>
      </c>
      <c r="X493" s="716">
        <f>IF(OR(status1B5!Y188="",X$7="No aplica"),0,SUM('BOULEVARD 5'!$K186:AA186)-$AP493)</f>
        <v>-52747</v>
      </c>
      <c r="Y493" s="716">
        <f>IF(OR(status1B5!Z188="",Y$7="No aplica"),0,SUM('BOULEVARD 5'!$K186:AB186)-$AP493)</f>
        <v>-52747</v>
      </c>
      <c r="Z493" s="716">
        <f>IF(OR(status1B5!AA188="",Z$7="No aplica"),0,SUM('BOULEVARD 5'!$K186:AC186)-$AP493)</f>
        <v>-49230</v>
      </c>
      <c r="AA493" s="716">
        <f>IF(OR(status1B5!AB188="",AA$7="No aplica"),0,SUM('BOULEVARD 5'!$K186:AD186)-$AP493)</f>
        <v>-45713</v>
      </c>
      <c r="AB493" s="716">
        <f>IF(OR(status1B5!AC188="",AB$7="No aplica"),0,SUM('BOULEVARD 5'!$K186:AE186)-$AP493)</f>
        <v>-42196</v>
      </c>
      <c r="AC493" s="716">
        <f>IF(OR(status1B5!AD188="",AC$7="No aplica"),0,SUM('BOULEVARD 5'!$K186:AF186)-$AP493)</f>
        <v>-38679</v>
      </c>
      <c r="AD493" s="716">
        <f>IF(OR(status1B5!AE188="",AD$7="No aplica"),0,SUM('BOULEVARD 5'!$K186:AG186)-$AP493)</f>
        <v>-38679</v>
      </c>
      <c r="AE493" s="716">
        <f>IF(OR(status1B5!AF188="",AE$7="No aplica"),0,SUM('BOULEVARD 5'!$K186:AH186)-$AP493)</f>
        <v>-38679</v>
      </c>
      <c r="AF493" s="716">
        <f>IF(OR(status1B5!AG188="",AF$7="No aplica"),0,SUM('BOULEVARD 5'!$K186:AI186)-$AP493)</f>
        <v>-31645</v>
      </c>
      <c r="AG493" s="716">
        <f>IF(OR(status1B5!AH188="",AG$7="No aplica"),0,SUM('BOULEVARD 5'!$K186:AJ186)-$AP493)</f>
        <v>-21094</v>
      </c>
      <c r="AH493" s="716">
        <f>IF(OR(status1B5!AI188="",AH$7="No aplica"),0,SUM('BOULEVARD 5'!$K186:AK186)-$AP493)</f>
        <v>-17577</v>
      </c>
      <c r="AI493" s="716">
        <f>IF(OR(status1B5!AJ188="",AI$7="No aplica"),0,SUM('BOULEVARD 5'!$K186:AL186)-$AP493)</f>
        <v>-14060</v>
      </c>
      <c r="AJ493" s="716">
        <f>IF(OR(status1B5!AK188="",AJ$7="No aplica"),0,SUM('BOULEVARD 5'!$K186:AM186)-$AP493)</f>
        <v>-7026</v>
      </c>
      <c r="AK493" s="716">
        <f>IF(OR(status1B5!AL188="",AK$7="No aplica"),0,SUM('BOULEVARD 5'!$K186:AN186)-$AP493)</f>
        <v>-7026</v>
      </c>
      <c r="AL493" s="716">
        <f>IF(OR(status1B5!AM188="",AL$7="No aplica"),0,SUM('BOULEVARD 5'!$K186:AO186)-$AP493)</f>
        <v>-7026</v>
      </c>
      <c r="AM493" s="716">
        <f>IF(OR(status1B5!AN188="",AM$7="No aplica"),0,SUM('BOULEVARD 5'!$K186:AP186)-$AP493)</f>
        <v>8</v>
      </c>
      <c r="AN493" s="716">
        <f>IF(OR(status1B5!AO188="",AN$7="No aplica"),0,SUM('BOULEVARD 5'!$K186:AQ186)-$AP493)</f>
        <v>0</v>
      </c>
      <c r="AO493" s="716">
        <f>IF(OR(status1B5!AP188="",AO$7="No aplica"),0,SUM('BOULEVARD 5'!$K186:AS186)-$AP493)</f>
        <v>0</v>
      </c>
      <c r="AP493" s="717">
        <f>'BOULEVARD PPTO'!BC181</f>
        <v>90400</v>
      </c>
      <c r="AQ493" s="717">
        <f>'BOULEVARD 5'!AT186</f>
        <v>90408</v>
      </c>
      <c r="AR493" s="717">
        <f t="shared" si="170"/>
        <v>8</v>
      </c>
      <c r="AS493" s="717"/>
      <c r="AT493" s="581"/>
    </row>
    <row r="494" spans="1:46" ht="13.15" customHeight="1" outlineLevel="1" x14ac:dyDescent="0.25">
      <c r="A494" s="700">
        <f t="shared" si="168"/>
        <v>0</v>
      </c>
      <c r="B494" s="564">
        <f t="shared" ref="B494:G494" si="221">B189</f>
        <v>1014</v>
      </c>
      <c r="C494" s="564" t="str">
        <f t="shared" si="221"/>
        <v>B1</v>
      </c>
      <c r="D494" s="564">
        <f t="shared" si="221"/>
        <v>0</v>
      </c>
      <c r="E494" s="564" t="str">
        <f t="shared" si="221"/>
        <v>Antonio Rada</v>
      </c>
      <c r="F494" s="581" t="str">
        <f t="shared" si="221"/>
        <v>Jorge Antonio Reyes Ochoa</v>
      </c>
      <c r="G494" s="566">
        <f t="shared" si="221"/>
        <v>45088</v>
      </c>
      <c r="H494" s="716">
        <f>IF(OR(status1B5!I189="",H$7="No aplica"),0,SUM('BOULEVARD 5'!$K187:K187)-$AP494)</f>
        <v>0</v>
      </c>
      <c r="I494" s="716">
        <f>IF(OR(status1B5!J189="",I$7="No aplica"),0,SUM('BOULEVARD 5'!$K187:L187)-$AP494)</f>
        <v>0</v>
      </c>
      <c r="J494" s="716">
        <f>IF(OR(status1B5!K189="",J$7="No aplica"),0,SUM('BOULEVARD 5'!$K187:M187)-$AP494)</f>
        <v>0</v>
      </c>
      <c r="K494" s="716">
        <f>IF(OR(status1B5!L189="",K$7="No aplica"),0,SUM('BOULEVARD 5'!$K187:N187)-$AP494)</f>
        <v>-82400</v>
      </c>
      <c r="L494" s="716">
        <f>IF(OR(status1B5!M189="",L$7="No aplica"),0,SUM('BOULEVARD 5'!$K187:O187)-$AP494)</f>
        <v>-79348</v>
      </c>
      <c r="M494" s="716">
        <f>IF(OR(status1B5!N189="",M$7="No aplica"),0,SUM('BOULEVARD 5'!$K187:P187)-$AP494)</f>
        <v>-76296</v>
      </c>
      <c r="N494" s="716">
        <f>IF(OR(status1B5!O189="",N$7="No aplica"),0,SUM('BOULEVARD 5'!$K187:Q187)-$AP494)</f>
        <v>-73244</v>
      </c>
      <c r="O494" s="716">
        <f>IF(OR(status1B5!P189="",O$7="No aplica"),0,SUM('BOULEVARD 5'!$K187:R187)-$AP494)</f>
        <v>-70192</v>
      </c>
      <c r="P494" s="716">
        <f>IF(OR(status1B5!Q189="",P$7="No aplica"),0,SUM('BOULEVARD 5'!$K187:S187)-$AP494)</f>
        <v>-70192</v>
      </c>
      <c r="Q494" s="716">
        <f>IF(OR(status1B5!R189="",Q$7="No aplica"),0,SUM('BOULEVARD 5'!$K187:T187)-$AP494)</f>
        <v>-67140</v>
      </c>
      <c r="R494" s="716">
        <f>IF(OR(status1B5!S189="",R$7="No aplica"),0,SUM('BOULEVARD 5'!$K187:U187)-$AP494)</f>
        <v>-64088</v>
      </c>
      <c r="S494" s="716">
        <f>IF(OR(status1B5!T189="",S$7="No aplica"),0,SUM('BOULEVARD 5'!$K187:V187)-$AP494)</f>
        <v>-61036</v>
      </c>
      <c r="T494" s="716">
        <f>IF(OR(status1B5!U189="",T$7="No aplica"),0,SUM('BOULEVARD 5'!$K187:W187)-$AP494)</f>
        <v>-61036</v>
      </c>
      <c r="U494" s="716">
        <f>IF(OR(status1B5!V189="",U$7="No aplica"),0,SUM('BOULEVARD 5'!$K187:X187)-$AP494)</f>
        <v>-54932</v>
      </c>
      <c r="V494" s="716">
        <f>IF(OR(status1B5!W189="",V$7="No aplica"),0,SUM('BOULEVARD 5'!$K187:Y187)-$AP494)</f>
        <v>-54932</v>
      </c>
      <c r="W494" s="716">
        <f>IF(OR(status1B5!X189="",W$7="No aplica"),0,SUM('BOULEVARD 5'!$K187:Z187)-$AP494)</f>
        <v>-51880</v>
      </c>
      <c r="X494" s="716">
        <f>IF(OR(status1B5!Y189="",X$7="No aplica"),0,SUM('BOULEVARD 5'!$K187:AA187)-$AP494)</f>
        <v>-45776</v>
      </c>
      <c r="Y494" s="716">
        <f>IF(OR(status1B5!Z189="",Y$7="No aplica"),0,SUM('BOULEVARD 5'!$K187:AB187)-$AP494)</f>
        <v>-45776</v>
      </c>
      <c r="Z494" s="716">
        <f>IF(OR(status1B5!AA189="",Z$7="No aplica"),0,SUM('BOULEVARD 5'!$K187:AC187)-$AP494)</f>
        <v>-42724</v>
      </c>
      <c r="AA494" s="716">
        <f>IF(OR(status1B5!AB189="",AA$7="No aplica"),0,SUM('BOULEVARD 5'!$K187:AD187)-$AP494)</f>
        <v>-36620</v>
      </c>
      <c r="AB494" s="716">
        <f>IF(OR(status1B5!AC189="",AB$7="No aplica"),0,SUM('BOULEVARD 5'!$K187:AE187)-$AP494)</f>
        <v>-33568</v>
      </c>
      <c r="AC494" s="716">
        <f>IF(OR(status1B5!AD189="",AC$7="No aplica"),0,SUM('BOULEVARD 5'!$K187:AF187)-$AP494)</f>
        <v>-33568</v>
      </c>
      <c r="AD494" s="716">
        <f>IF(OR(status1B5!AE189="",AD$7="No aplica"),0,SUM('BOULEVARD 5'!$K187:AG187)-$AP494)</f>
        <v>-30516</v>
      </c>
      <c r="AE494" s="716">
        <f>IF(OR(status1B5!AF189="",AE$7="No aplica"),0,SUM('BOULEVARD 5'!$K187:AH187)-$AP494)</f>
        <v>-30516</v>
      </c>
      <c r="AF494" s="716">
        <f>IF(OR(status1B5!AG189="",AF$7="No aplica"),0,SUM('BOULEVARD 5'!$K187:AI187)-$AP494)</f>
        <v>-27464</v>
      </c>
      <c r="AG494" s="716">
        <f>IF(OR(status1B5!AH189="",AG$7="No aplica"),0,SUM('BOULEVARD 5'!$K187:AJ187)-$AP494)</f>
        <v>-21360</v>
      </c>
      <c r="AH494" s="716">
        <f>IF(OR(status1B5!AI189="",AH$7="No aplica"),0,SUM('BOULEVARD 5'!$K187:AK187)-$AP494)</f>
        <v>-15256</v>
      </c>
      <c r="AI494" s="716">
        <f>IF(OR(status1B5!AJ189="",AI$7="No aplica"),0,SUM('BOULEVARD 5'!$K187:AL187)-$AP494)</f>
        <v>-15256</v>
      </c>
      <c r="AJ494" s="716">
        <f>IF(OR(status1B5!AK189="",AJ$7="No aplica"),0,SUM('BOULEVARD 5'!$K187:AM187)-$AP494)</f>
        <v>-9152</v>
      </c>
      <c r="AK494" s="716">
        <f>IF(OR(status1B5!AL189="",AK$7="No aplica"),0,SUM('BOULEVARD 5'!$K187:AN187)-$AP494)</f>
        <v>-9152</v>
      </c>
      <c r="AL494" s="716">
        <f>IF(OR(status1B5!AM189="",AL$7="No aplica"),0,SUM('BOULEVARD 5'!$K187:AO187)-$AP494)</f>
        <v>-3048</v>
      </c>
      <c r="AM494" s="716">
        <f>IF(OR(status1B5!AN189="",AM$7="No aplica"),0,SUM('BOULEVARD 5'!$K187:AP187)-$AP494)</f>
        <v>0</v>
      </c>
      <c r="AN494" s="716">
        <f>IF(OR(status1B5!AO189="",AN$7="No aplica"),0,SUM('BOULEVARD 5'!$K187:AQ187)-$AP494)</f>
        <v>0</v>
      </c>
      <c r="AO494" s="716">
        <f>IF(OR(status1B5!AP189="",AO$7="No aplica"),0,SUM('BOULEVARD 5'!$K187:AS187)-$AP494)</f>
        <v>0</v>
      </c>
      <c r="AP494" s="717">
        <f>'BOULEVARD PPTO'!BC182</f>
        <v>88400</v>
      </c>
      <c r="AQ494" s="717">
        <f>'BOULEVARD 5'!AT187</f>
        <v>88400</v>
      </c>
      <c r="AR494" s="717">
        <f t="shared" si="170"/>
        <v>0</v>
      </c>
      <c r="AS494" s="717"/>
      <c r="AT494" s="581"/>
    </row>
    <row r="495" spans="1:46" ht="13.15" customHeight="1" outlineLevel="1" x14ac:dyDescent="0.25">
      <c r="A495" s="700">
        <f t="shared" si="168"/>
        <v>0</v>
      </c>
      <c r="B495" s="564">
        <f t="shared" ref="B495:G495" si="222">B190</f>
        <v>1015</v>
      </c>
      <c r="C495" s="564" t="str">
        <f t="shared" si="222"/>
        <v>E2</v>
      </c>
      <c r="D495" s="564">
        <f t="shared" si="222"/>
        <v>0</v>
      </c>
      <c r="E495" s="564" t="str">
        <f t="shared" si="222"/>
        <v>Antonio Rada</v>
      </c>
      <c r="F495" s="581" t="str">
        <f t="shared" si="222"/>
        <v>Pedro Luis Artero Bran</v>
      </c>
      <c r="G495" s="566">
        <f t="shared" si="222"/>
        <v>45035</v>
      </c>
      <c r="H495" s="716">
        <f>IF(OR(status1B5!I190="",H$7="No aplica"),0,SUM('BOULEVARD 5'!$K188:K188)-$AP495)</f>
        <v>0</v>
      </c>
      <c r="I495" s="716">
        <f>IF(OR(status1B5!J190="",I$7="No aplica"),0,SUM('BOULEVARD 5'!$K188:L188)-$AP495)</f>
        <v>-127360</v>
      </c>
      <c r="J495" s="716">
        <f>IF(OR(status1B5!K190="",J$7="No aplica"),0,SUM('BOULEVARD 5'!$K188:M188)-$AP495)</f>
        <v>-122967</v>
      </c>
      <c r="K495" s="716">
        <f>IF(OR(status1B5!L190="",K$7="No aplica"),0,SUM('BOULEVARD 5'!$K188:N188)-$AP495)</f>
        <v>-118574</v>
      </c>
      <c r="L495" s="716">
        <f>IF(OR(status1B5!M190="",L$7="No aplica"),0,SUM('BOULEVARD 5'!$K188:O188)-$AP495)</f>
        <v>-114181</v>
      </c>
      <c r="M495" s="716">
        <f>IF(OR(status1B5!N190="",M$7="No aplica"),0,SUM('BOULEVARD 5'!$K188:P188)-$AP495)</f>
        <v>-109788</v>
      </c>
      <c r="N495" s="716">
        <f>IF(OR(status1B5!O190="",N$7="No aplica"),0,SUM('BOULEVARD 5'!$K188:Q188)-$AP495)</f>
        <v>-105395</v>
      </c>
      <c r="O495" s="716">
        <f>IF(OR(status1B5!P190="",O$7="No aplica"),0,SUM('BOULEVARD 5'!$K188:R188)-$AP495)</f>
        <v>-101002</v>
      </c>
      <c r="P495" s="716">
        <f>IF(OR(status1B5!Q190="",P$7="No aplica"),0,SUM('BOULEVARD 5'!$K188:S188)-$AP495)</f>
        <v>-96609</v>
      </c>
      <c r="Q495" s="716">
        <f>IF(OR(status1B5!R190="",Q$7="No aplica"),0,SUM('BOULEVARD 5'!$K188:T188)-$AP495)</f>
        <v>-92216</v>
      </c>
      <c r="R495" s="716">
        <f>IF(OR(status1B5!S190="",R$7="No aplica"),0,SUM('BOULEVARD 5'!$K188:U188)-$AP495)</f>
        <v>-87823</v>
      </c>
      <c r="S495" s="716">
        <f>IF(OR(status1B5!T190="",S$7="No aplica"),0,SUM('BOULEVARD 5'!$K188:V188)-$AP495)</f>
        <v>-83430</v>
      </c>
      <c r="T495" s="716">
        <f>IF(OR(status1B5!U190="",T$7="No aplica"),0,SUM('BOULEVARD 5'!$K188:W188)-$AP495)</f>
        <v>-79037</v>
      </c>
      <c r="U495" s="716">
        <f>IF(OR(status1B5!V190="",U$7="No aplica"),0,SUM('BOULEVARD 5'!$K188:X188)-$AP495)</f>
        <v>-74644</v>
      </c>
      <c r="V495" s="716">
        <f>IF(OR(status1B5!W190="",V$7="No aplica"),0,SUM('BOULEVARD 5'!$K188:Y188)-$AP495)</f>
        <v>-70251</v>
      </c>
      <c r="W495" s="716">
        <f>IF(OR(status1B5!X190="",W$7="No aplica"),0,SUM('BOULEVARD 5'!$K188:Z188)-$AP495)</f>
        <v>-65858</v>
      </c>
      <c r="X495" s="716">
        <f>IF(OR(status1B5!Y190="",X$7="No aplica"),0,SUM('BOULEVARD 5'!$K188:AA188)-$AP495)</f>
        <v>-61465</v>
      </c>
      <c r="Y495" s="716">
        <f>IF(OR(status1B5!Z190="",Y$7="No aplica"),0,SUM('BOULEVARD 5'!$K188:AB188)-$AP495)</f>
        <v>-57072</v>
      </c>
      <c r="Z495" s="716">
        <f>IF(OR(status1B5!AA190="",Z$7="No aplica"),0,SUM('BOULEVARD 5'!$K188:AC188)-$AP495)</f>
        <v>-52679</v>
      </c>
      <c r="AA495" s="716">
        <f>IF(OR(status1B5!AB190="",AA$7="No aplica"),0,SUM('BOULEVARD 5'!$K188:AD188)-$AP495)</f>
        <v>-48286</v>
      </c>
      <c r="AB495" s="716">
        <f>IF(OR(status1B5!AC190="",AB$7="No aplica"),0,SUM('BOULEVARD 5'!$K188:AE188)-$AP495)</f>
        <v>-43893</v>
      </c>
      <c r="AC495" s="716">
        <f>IF(OR(status1B5!AD190="",AC$7="No aplica"),0,SUM('BOULEVARD 5'!$K188:AF188)-$AP495)</f>
        <v>-39500</v>
      </c>
      <c r="AD495" s="716">
        <f>IF(OR(status1B5!AE190="",AD$7="No aplica"),0,SUM('BOULEVARD 5'!$K188:AG188)-$AP495)</f>
        <v>-35107</v>
      </c>
      <c r="AE495" s="716">
        <f>IF(OR(status1B5!AF190="",AE$7="No aplica"),0,SUM('BOULEVARD 5'!$K188:AH188)-$AP495)</f>
        <v>-30714</v>
      </c>
      <c r="AF495" s="716">
        <f>IF(OR(status1B5!AG190="",AF$7="No aplica"),0,SUM('BOULEVARD 5'!$K188:AI188)-$AP495)</f>
        <v>-26321</v>
      </c>
      <c r="AG495" s="716">
        <f>IF(OR(status1B5!AH190="",AG$7="No aplica"),0,SUM('BOULEVARD 5'!$K188:AJ188)-$AP495)</f>
        <v>-21928</v>
      </c>
      <c r="AH495" s="716">
        <f>IF(OR(status1B5!AI190="",AH$7="No aplica"),0,SUM('BOULEVARD 5'!$K188:AK188)-$AP495)</f>
        <v>-17535</v>
      </c>
      <c r="AI495" s="716">
        <f>IF(OR(status1B5!AJ190="",AI$7="No aplica"),0,SUM('BOULEVARD 5'!$K188:AL188)-$AP495)</f>
        <v>-13142</v>
      </c>
      <c r="AJ495" s="716">
        <f>IF(OR(status1B5!AK190="",AJ$7="No aplica"),0,SUM('BOULEVARD 5'!$K188:AM188)-$AP495)</f>
        <v>-8749</v>
      </c>
      <c r="AK495" s="716">
        <f>IF(OR(status1B5!AL190="",AK$7="No aplica"),0,SUM('BOULEVARD 5'!$K188:AN188)-$AP495)</f>
        <v>-4356</v>
      </c>
      <c r="AL495" s="716">
        <f>IF(OR(status1B5!AM190="",AL$7="No aplica"),0,SUM('BOULEVARD 5'!$K188:AO188)-$AP495)</f>
        <v>37</v>
      </c>
      <c r="AM495" s="716">
        <f>IF(OR(status1B5!AN190="",AM$7="No aplica"),0,SUM('BOULEVARD 5'!$K188:AP188)-$AP495)</f>
        <v>5037</v>
      </c>
      <c r="AN495" s="716">
        <f>IF(OR(status1B5!AO190="",AN$7="No aplica"),0,SUM('BOULEVARD 5'!$K188:AQ188)-$AP495)</f>
        <v>0</v>
      </c>
      <c r="AO495" s="716">
        <f>IF(OR(status1B5!AP190="",AO$7="No aplica"),0,SUM('BOULEVARD 5'!$K188:AS188)-$AP495)</f>
        <v>0</v>
      </c>
      <c r="AP495" s="717">
        <f>'BOULEVARD PPTO'!BC183</f>
        <v>133360</v>
      </c>
      <c r="AQ495" s="717">
        <f>'BOULEVARD 5'!AT188</f>
        <v>153397</v>
      </c>
      <c r="AR495" s="717">
        <f t="shared" si="170"/>
        <v>20037</v>
      </c>
      <c r="AS495" s="717"/>
      <c r="AT495" s="581"/>
    </row>
    <row r="496" spans="1:46" ht="13.15" customHeight="1" outlineLevel="1" x14ac:dyDescent="0.25">
      <c r="A496" s="700" t="str">
        <f t="shared" si="168"/>
        <v>CE</v>
      </c>
      <c r="B496" s="564">
        <f t="shared" ref="B496:G496" si="223">B191</f>
        <v>1016</v>
      </c>
      <c r="C496" s="564" t="str">
        <f t="shared" si="223"/>
        <v>A2</v>
      </c>
      <c r="D496" s="647" t="str">
        <f t="shared" si="223"/>
        <v>Plan de pagos especiales</v>
      </c>
      <c r="E496" s="564" t="str">
        <f t="shared" si="223"/>
        <v>Brenda Búcaro</v>
      </c>
      <c r="F496" s="581" t="str">
        <f t="shared" si="223"/>
        <v>Sergio Enrique Bolaños López</v>
      </c>
      <c r="G496" s="566">
        <f t="shared" si="223"/>
        <v>45032</v>
      </c>
      <c r="H496" s="716">
        <f>IF(OR(status1B5!I191="",H$7="No aplica"),0,SUM('BOULEVARD 5'!$K189:K189)-$AP496)</f>
        <v>0</v>
      </c>
      <c r="I496" s="716">
        <f>IF(OR(status1B5!J191="",I$7="No aplica"),0,SUM('BOULEVARD 5'!$K189:L189)-$AP496)</f>
        <v>-59200</v>
      </c>
      <c r="J496" s="716">
        <f>IF(OR(status1B5!K191="",J$7="No aplica"),0,SUM('BOULEVARD 5'!$K189:M189)-$AP496)</f>
        <v>-59200</v>
      </c>
      <c r="K496" s="716">
        <f>IF(OR(status1B5!L191="",K$7="No aplica"),0,SUM('BOULEVARD 5'!$K189:N189)-$AP496)</f>
        <v>-59200</v>
      </c>
      <c r="L496" s="716">
        <f>IF(OR(status1B5!M191="",L$7="No aplica"),0,SUM('BOULEVARD 5'!$K189:O189)-$AP496)</f>
        <v>-57200</v>
      </c>
      <c r="M496" s="716">
        <f>IF(OR(status1B5!N191="",M$7="No aplica"),0,SUM('BOULEVARD 5'!$K189:P189)-$AP496)</f>
        <v>-55200</v>
      </c>
      <c r="N496" s="716">
        <f>IF(OR(status1B5!O191="",N$7="No aplica"),0,SUM('BOULEVARD 5'!$K189:Q189)-$AP496)</f>
        <v>-55200</v>
      </c>
      <c r="O496" s="716">
        <f>IF(OR(status1B5!P191="",O$7="No aplica"),0,SUM('BOULEVARD 5'!$K189:R189)-$AP496)</f>
        <v>-55200</v>
      </c>
      <c r="P496" s="716">
        <f>IF(OR(status1B5!Q191="",P$7="No aplica"),0,SUM('BOULEVARD 5'!$K189:S189)-$AP496)</f>
        <v>-55200</v>
      </c>
      <c r="Q496" s="716">
        <f>IF(OR(status1B5!R191="",Q$7="No aplica"),0,SUM('BOULEVARD 5'!$K189:T189)-$AP496)</f>
        <v>-55200</v>
      </c>
      <c r="R496" s="716">
        <f>IF(OR(status1B5!S191="",R$7="No aplica"),0,SUM('BOULEVARD 5'!$K189:U189)-$AP496)</f>
        <v>-49200</v>
      </c>
      <c r="S496" s="716">
        <f>IF(OR(status1B5!T191="",S$7="No aplica"),0,SUM('BOULEVARD 5'!$K189:V189)-$AP496)</f>
        <v>-47200</v>
      </c>
      <c r="T496" s="716">
        <f>IF(OR(status1B5!U191="",T$7="No aplica"),0,SUM('BOULEVARD 5'!$K189:W189)-$AP496)</f>
        <v>-47200</v>
      </c>
      <c r="U496" s="716">
        <f>IF(OR(status1B5!V191="",U$7="No aplica"),0,SUM('BOULEVARD 5'!$K189:X189)-$AP496)</f>
        <v>-43200</v>
      </c>
      <c r="V496" s="716">
        <f>IF(OR(status1B5!W191="",V$7="No aplica"),0,SUM('BOULEVARD 5'!$K189:Y189)-$AP496)</f>
        <v>-39200</v>
      </c>
      <c r="W496" s="716">
        <f>IF(OR(status1B5!X191="",W$7="No aplica"),0,SUM('BOULEVARD 5'!$K189:Z189)-$AP496)</f>
        <v>-39200</v>
      </c>
      <c r="X496" s="716">
        <f>IF(OR(status1B5!Y191="",X$7="No aplica"),0,SUM('BOULEVARD 5'!$K189:AA189)-$AP496)</f>
        <v>-37200</v>
      </c>
      <c r="Y496" s="716">
        <f>IF(OR(status1B5!Z191="",Y$7="No aplica"),0,SUM('BOULEVARD 5'!$K189:AB189)-$AP496)</f>
        <v>-35200</v>
      </c>
      <c r="Z496" s="716">
        <f>IF(OR(status1B5!AA191="",Z$7="No aplica"),0,SUM('BOULEVARD 5'!$K189:AC189)-$AP496)</f>
        <v>-35200</v>
      </c>
      <c r="AA496" s="716">
        <f>IF(OR(status1B5!AB191="",AA$7="No aplica"),0,SUM('BOULEVARD 5'!$K189:AD189)-$AP496)</f>
        <v>-33200</v>
      </c>
      <c r="AB496" s="716">
        <f>IF(OR(status1B5!AC191="",AB$7="No aplica"),0,SUM('BOULEVARD 5'!$K189:AE189)-$AP496)</f>
        <v>-33200</v>
      </c>
      <c r="AC496" s="716">
        <f>IF(OR(status1B5!AD191="",AC$7="No aplica"),0,SUM('BOULEVARD 5'!$K189:AF189)-$AP496)</f>
        <v>-33200</v>
      </c>
      <c r="AD496" s="716">
        <f>IF(OR(status1B5!AE191="",AD$7="No aplica"),0,SUM('BOULEVARD 5'!$K189:AG189)-$AP496)</f>
        <v>-31200</v>
      </c>
      <c r="AE496" s="716">
        <f>IF(OR(status1B5!AF191="",AE$7="No aplica"),0,SUM('BOULEVARD 5'!$K189:AH189)-$AP496)</f>
        <v>-29200</v>
      </c>
      <c r="AF496" s="716">
        <f>IF(OR(status1B5!AG191="",AF$7="No aplica"),0,SUM('BOULEVARD 5'!$K189:AI189)-$AP496)</f>
        <v>-24200</v>
      </c>
      <c r="AG496" s="716">
        <f>IF(OR(status1B5!AH191="",AG$7="No aplica"),0,SUM('BOULEVARD 5'!$K189:AJ189)-$AP496)</f>
        <v>-24200</v>
      </c>
      <c r="AH496" s="716">
        <f>IF(OR(status1B5!AI191="",AH$7="No aplica"),0,SUM('BOULEVARD 5'!$K189:AK189)-$AP496)</f>
        <v>-21174</v>
      </c>
      <c r="AI496" s="716">
        <f>IF(OR(status1B5!AJ191="",AI$7="No aplica"),0,SUM('BOULEVARD 5'!$K189:AL189)-$AP496)</f>
        <v>-21174</v>
      </c>
      <c r="AJ496" s="716">
        <f>IF(OR(status1B5!AK191="",AJ$7="No aplica"),0,SUM('BOULEVARD 5'!$K189:AM189)-$AP496)</f>
        <v>-18148</v>
      </c>
      <c r="AK496" s="716">
        <f>IF(OR(status1B5!AL191="",AK$7="No aplica"),0,SUM('BOULEVARD 5'!$K189:AN189)-$AP496)</f>
        <v>-18148</v>
      </c>
      <c r="AL496" s="716">
        <f>IF(OR(status1B5!AM191="",AL$7="No aplica"),0,SUM('BOULEVARD 5'!$K189:AO189)-$AP496)</f>
        <v>-18148</v>
      </c>
      <c r="AM496" s="716">
        <f>IF(OR(status1B5!AN191="",AM$7="No aplica"),0,SUM('BOULEVARD 5'!$K189:AP189)-$AP496)</f>
        <v>-18148</v>
      </c>
      <c r="AN496" s="716">
        <f>IF(OR(status1B5!AO191="",AN$7="No aplica"),0,SUM('BOULEVARD 5'!$K189:AQ189)-$AP496)</f>
        <v>0</v>
      </c>
      <c r="AO496" s="716">
        <f>IF(OR(status1B5!AP191="",AO$7="No aplica"),0,SUM('BOULEVARD 5'!$K189:AS189)-$AP496)</f>
        <v>0</v>
      </c>
      <c r="AP496" s="717">
        <f>'BOULEVARD PPTO'!BC184</f>
        <v>65200</v>
      </c>
      <c r="AQ496" s="717">
        <f>'BOULEVARD 5'!AT189</f>
        <v>51591</v>
      </c>
      <c r="AR496" s="717">
        <f t="shared" si="170"/>
        <v>-13609</v>
      </c>
      <c r="AS496" s="717"/>
      <c r="AT496" s="581"/>
    </row>
    <row r="497" spans="1:46" ht="13.15" customHeight="1" outlineLevel="1" x14ac:dyDescent="0.25">
      <c r="A497" s="700" t="str">
        <f t="shared" si="168"/>
        <v>CE</v>
      </c>
      <c r="B497" s="564">
        <f t="shared" ref="B497:G497" si="224">B192</f>
        <v>1017</v>
      </c>
      <c r="C497" s="564" t="str">
        <f t="shared" si="224"/>
        <v>A6</v>
      </c>
      <c r="D497" s="647" t="str">
        <f t="shared" si="224"/>
        <v>Plan de pagos especiales</v>
      </c>
      <c r="E497" s="564" t="str">
        <f t="shared" si="224"/>
        <v>Brenda Búcaro</v>
      </c>
      <c r="F497" s="581" t="str">
        <f t="shared" si="224"/>
        <v>Irene Alejandra Reyes Guzmán</v>
      </c>
      <c r="G497" s="566">
        <f t="shared" si="224"/>
        <v>45032</v>
      </c>
      <c r="H497" s="716">
        <f>IF(OR(status1B5!I192="",H$7="No aplica"),0,SUM('BOULEVARD 5'!$K190:K190)-$AP497)</f>
        <v>0</v>
      </c>
      <c r="I497" s="716">
        <f>IF(OR(status1B5!J192="",I$7="No aplica"),0,SUM('BOULEVARD 5'!$K190:L190)-$AP497)</f>
        <v>-60400</v>
      </c>
      <c r="J497" s="716">
        <f>IF(OR(status1B5!K192="",J$7="No aplica"),0,SUM('BOULEVARD 5'!$K190:M190)-$AP497)</f>
        <v>-60400</v>
      </c>
      <c r="K497" s="716">
        <f>IF(OR(status1B5!L192="",K$7="No aplica"),0,SUM('BOULEVARD 5'!$K190:N190)-$AP497)</f>
        <v>-60400</v>
      </c>
      <c r="L497" s="716">
        <f>IF(OR(status1B5!M192="",L$7="No aplica"),0,SUM('BOULEVARD 5'!$K190:O190)-$AP497)</f>
        <v>-56400</v>
      </c>
      <c r="M497" s="716">
        <f>IF(OR(status1B5!N192="",M$7="No aplica"),0,SUM('BOULEVARD 5'!$K190:P190)-$AP497)</f>
        <v>-56400</v>
      </c>
      <c r="N497" s="716">
        <f>IF(OR(status1B5!O192="",N$7="No aplica"),0,SUM('BOULEVARD 5'!$K190:Q190)-$AP497)</f>
        <v>-56400</v>
      </c>
      <c r="O497" s="716">
        <f>IF(OR(status1B5!P192="",O$7="No aplica"),0,SUM('BOULEVARD 5'!$K190:R190)-$AP497)</f>
        <v>-56400</v>
      </c>
      <c r="P497" s="716">
        <f>IF(OR(status1B5!Q192="",P$7="No aplica"),0,SUM('BOULEVARD 5'!$K190:S190)-$AP497)</f>
        <v>-54400</v>
      </c>
      <c r="Q497" s="716">
        <f>IF(OR(status1B5!R192="",Q$7="No aplica"),0,SUM('BOULEVARD 5'!$K190:T190)-$AP497)</f>
        <v>-52400</v>
      </c>
      <c r="R497" s="716">
        <f>IF(OR(status1B5!S192="",R$7="No aplica"),0,SUM('BOULEVARD 5'!$K190:U190)-$AP497)</f>
        <v>-50400</v>
      </c>
      <c r="S497" s="716">
        <f>IF(OR(status1B5!T192="",S$7="No aplica"),0,SUM('BOULEVARD 5'!$K190:V190)-$AP497)</f>
        <v>-50400</v>
      </c>
      <c r="T497" s="716">
        <f>IF(OR(status1B5!U192="",T$7="No aplica"),0,SUM('BOULEVARD 5'!$K190:W190)-$AP497)</f>
        <v>-50400</v>
      </c>
      <c r="U497" s="716">
        <f>IF(OR(status1B5!V192="",U$7="No aplica"),0,SUM('BOULEVARD 5'!$K190:X190)-$AP497)</f>
        <v>-48400</v>
      </c>
      <c r="V497" s="716">
        <f>IF(OR(status1B5!W192="",V$7="No aplica"),0,SUM('BOULEVARD 5'!$K190:Y190)-$AP497)</f>
        <v>-46400</v>
      </c>
      <c r="W497" s="716">
        <f>IF(OR(status1B5!X192="",W$7="No aplica"),0,SUM('BOULEVARD 5'!$K190:Z190)-$AP497)</f>
        <v>-44400</v>
      </c>
      <c r="X497" s="716">
        <f>IF(OR(status1B5!Y192="",X$7="No aplica"),0,SUM('BOULEVARD 5'!$K190:AA190)-$AP497)</f>
        <v>-38400</v>
      </c>
      <c r="Y497" s="716">
        <f>IF(OR(status1B5!Z192="",Y$7="No aplica"),0,SUM('BOULEVARD 5'!$K190:AB190)-$AP497)</f>
        <v>-36400</v>
      </c>
      <c r="Z497" s="716">
        <f>IF(OR(status1B5!AA192="",Z$7="No aplica"),0,SUM('BOULEVARD 5'!$K190:AC190)-$AP497)</f>
        <v>-36400</v>
      </c>
      <c r="AA497" s="716">
        <f>IF(OR(status1B5!AB192="",AA$7="No aplica"),0,SUM('BOULEVARD 5'!$K190:AD190)-$AP497)</f>
        <v>-34400</v>
      </c>
      <c r="AB497" s="716">
        <f>IF(OR(status1B5!AC192="",AB$7="No aplica"),0,SUM('BOULEVARD 5'!$K190:AE190)-$AP497)</f>
        <v>-34400</v>
      </c>
      <c r="AC497" s="716">
        <f>IF(OR(status1B5!AD192="",AC$7="No aplica"),0,SUM('BOULEVARD 5'!$K190:AF190)-$AP497)</f>
        <v>-34400</v>
      </c>
      <c r="AD497" s="716">
        <f>IF(OR(status1B5!AE192="",AD$7="No aplica"),0,SUM('BOULEVARD 5'!$K190:AG190)-$AP497)</f>
        <v>-32400</v>
      </c>
      <c r="AE497" s="716">
        <f>IF(OR(status1B5!AF192="",AE$7="No aplica"),0,SUM('BOULEVARD 5'!$K190:AH190)-$AP497)</f>
        <v>-30400</v>
      </c>
      <c r="AF497" s="716">
        <f>IF(OR(status1B5!AG192="",AF$7="No aplica"),0,SUM('BOULEVARD 5'!$K190:AI190)-$AP497)</f>
        <v>-30400</v>
      </c>
      <c r="AG497" s="716">
        <f>IF(OR(status1B5!AH192="",AG$7="No aplica"),0,SUM('BOULEVARD 5'!$K190:AJ190)-$AP497)</f>
        <v>-26400</v>
      </c>
      <c r="AH497" s="716">
        <f>IF(OR(status1B5!AI192="",AH$7="No aplica"),0,SUM('BOULEVARD 5'!$K190:AK190)-$AP497)</f>
        <v>-24400</v>
      </c>
      <c r="AI497" s="716">
        <f>IF(OR(status1B5!AJ192="",AI$7="No aplica"),0,SUM('BOULEVARD 5'!$K190:AL190)-$AP497)</f>
        <v>-22750</v>
      </c>
      <c r="AJ497" s="716">
        <f>IF(OR(status1B5!AK192="",AJ$7="No aplica"),0,SUM('BOULEVARD 5'!$K190:AM190)-$AP497)</f>
        <v>-22750</v>
      </c>
      <c r="AK497" s="716">
        <f>IF(OR(status1B5!AL192="",AK$7="No aplica"),0,SUM('BOULEVARD 5'!$K190:AN190)-$AP497)</f>
        <v>-21100</v>
      </c>
      <c r="AL497" s="716">
        <f>IF(OR(status1B5!AM192="",AL$7="No aplica"),0,SUM('BOULEVARD 5'!$K190:AO190)-$AP497)</f>
        <v>-21100</v>
      </c>
      <c r="AM497" s="716">
        <f>IF(OR(status1B5!AN192="",AM$7="No aplica"),0,SUM('BOULEVARD 5'!$K190:AP190)-$AP497)</f>
        <v>-21100</v>
      </c>
      <c r="AN497" s="716">
        <f>IF(OR(status1B5!AO192="",AN$7="No aplica"),0,SUM('BOULEVARD 5'!$K190:AQ190)-$AP497)</f>
        <v>0</v>
      </c>
      <c r="AO497" s="716">
        <f>IF(OR(status1B5!AP192="",AO$7="No aplica"),0,SUM('BOULEVARD 5'!$K190:AS190)-$AP497)</f>
        <v>0</v>
      </c>
      <c r="AP497" s="717">
        <f>'BOULEVARD PPTO'!BC185</f>
        <v>66400</v>
      </c>
      <c r="AQ497" s="717">
        <f>'BOULEVARD 5'!AT190</f>
        <v>46950</v>
      </c>
      <c r="AR497" s="717">
        <f t="shared" si="170"/>
        <v>-19450</v>
      </c>
      <c r="AS497" s="717"/>
      <c r="AT497" s="581"/>
    </row>
    <row r="498" spans="1:46" ht="13.15" customHeight="1" outlineLevel="1" x14ac:dyDescent="0.25">
      <c r="A498" s="700" t="str">
        <f t="shared" si="168"/>
        <v>CE</v>
      </c>
      <c r="B498" s="708">
        <f t="shared" ref="B498:G498" si="225">B193</f>
        <v>1018</v>
      </c>
      <c r="C498" s="564" t="str">
        <f t="shared" si="225"/>
        <v>A3</v>
      </c>
      <c r="D498" s="707" t="str">
        <f t="shared" si="225"/>
        <v>ENGANCHE CANCELADO</v>
      </c>
      <c r="E498" s="564" t="str">
        <f t="shared" si="225"/>
        <v>Antonio Rada</v>
      </c>
      <c r="F498" s="581" t="str">
        <f t="shared" si="225"/>
        <v>Corporacion Fb Sociedad Anonima</v>
      </c>
      <c r="G498" s="566">
        <f t="shared" si="225"/>
        <v>45141</v>
      </c>
      <c r="H498" s="716">
        <f>IF(OR(status1B5!I193="",H$7="No aplica"),0,SUM('BOULEVARD 5'!$K191:K191)-$AP498)</f>
        <v>0</v>
      </c>
      <c r="I498" s="716">
        <f>IF(OR(status1B5!J193="",I$7="No aplica"),0,SUM('BOULEVARD 5'!$K191:L191)-$AP498)</f>
        <v>0</v>
      </c>
      <c r="J498" s="716">
        <f>IF(OR(status1B5!K193="",J$7="No aplica"),0,SUM('BOULEVARD 5'!$K191:M191)-$AP498)</f>
        <v>0</v>
      </c>
      <c r="K498" s="716">
        <f>IF(OR(status1B5!L193="",K$7="No aplica"),0,SUM('BOULEVARD 5'!$K191:N191)-$AP498)</f>
        <v>0</v>
      </c>
      <c r="L498" s="716">
        <f>IF(OR(status1B5!M193="",L$7="No aplica"),0,SUM('BOULEVARD 5'!$K191:O191)-$AP498)</f>
        <v>0</v>
      </c>
      <c r="M498" s="716">
        <f>IF(OR(status1B5!N193="",M$7="No aplica"),0,SUM('BOULEVARD 5'!$K191:P191)-$AP498)</f>
        <v>-63127.17</v>
      </c>
      <c r="N498" s="716">
        <f>IF(OR(status1B5!O193="",N$7="No aplica"),0,SUM('BOULEVARD 5'!$K191:Q191)-$AP498)</f>
        <v>0</v>
      </c>
      <c r="O498" s="716">
        <f>IF(OR(status1B5!P193="",O$7="No aplica"),0,SUM('BOULEVARD 5'!$K191:R191)-$AP498)</f>
        <v>0</v>
      </c>
      <c r="P498" s="716">
        <f>IF(OR(status1B5!Q193="",P$7="No aplica"),0,SUM('BOULEVARD 5'!$K191:S191)-$AP498)</f>
        <v>0</v>
      </c>
      <c r="Q498" s="716">
        <f>IF(OR(status1B5!R193="",Q$7="No aplica"),0,SUM('BOULEVARD 5'!$K191:T191)-$AP498)</f>
        <v>0</v>
      </c>
      <c r="R498" s="716">
        <f>IF(OR(status1B5!S193="",R$7="No aplica"),0,SUM('BOULEVARD 5'!$K191:U191)-$AP498)</f>
        <v>0</v>
      </c>
      <c r="S498" s="716">
        <f>IF(OR(status1B5!T193="",S$7="No aplica"),0,SUM('BOULEVARD 5'!$K191:V191)-$AP498)</f>
        <v>0</v>
      </c>
      <c r="T498" s="716">
        <f>IF(OR(status1B5!U193="",T$7="No aplica"),0,SUM('BOULEVARD 5'!$K191:W191)-$AP498)</f>
        <v>0</v>
      </c>
      <c r="U498" s="716">
        <f>IF(OR(status1B5!V193="",U$7="No aplica"),0,SUM('BOULEVARD 5'!$K191:X191)-$AP498)</f>
        <v>0</v>
      </c>
      <c r="V498" s="716">
        <f>IF(OR(status1B5!W193="",V$7="No aplica"),0,SUM('BOULEVARD 5'!$K191:Y191)-$AP498)</f>
        <v>0</v>
      </c>
      <c r="W498" s="716">
        <f>IF(OR(status1B5!X193="",W$7="No aplica"),0,SUM('BOULEVARD 5'!$K191:Z191)-$AP498)</f>
        <v>0</v>
      </c>
      <c r="X498" s="716">
        <f>IF(OR(status1B5!Y193="",X$7="No aplica"),0,SUM('BOULEVARD 5'!$K191:AA191)-$AP498)</f>
        <v>0</v>
      </c>
      <c r="Y498" s="716">
        <f>IF(OR(status1B5!Z193="",Y$7="No aplica"),0,SUM('BOULEVARD 5'!$K191:AB191)-$AP498)</f>
        <v>0</v>
      </c>
      <c r="Z498" s="716">
        <f>IF(OR(status1B5!AA193="",Z$7="No aplica"),0,SUM('BOULEVARD 5'!$K191:AC191)-$AP498)</f>
        <v>0</v>
      </c>
      <c r="AA498" s="716">
        <f>IF(OR(status1B5!AB193="",AA$7="No aplica"),0,SUM('BOULEVARD 5'!$K191:AD191)-$AP498)</f>
        <v>0</v>
      </c>
      <c r="AB498" s="716">
        <f>IF(OR(status1B5!AC193="",AB$7="No aplica"),0,SUM('BOULEVARD 5'!$K191:AE191)-$AP498)</f>
        <v>0</v>
      </c>
      <c r="AC498" s="716">
        <f>IF(OR(status1B5!AD193="",AC$7="No aplica"),0,SUM('BOULEVARD 5'!$K191:AF191)-$AP498)</f>
        <v>0</v>
      </c>
      <c r="AD498" s="716">
        <f>IF(OR(status1B5!AE193="",AD$7="No aplica"),0,SUM('BOULEVARD 5'!$K191:AG191)-$AP498)</f>
        <v>0</v>
      </c>
      <c r="AE498" s="716">
        <f>IF(OR(status1B5!AF193="",AE$7="No aplica"),0,SUM('BOULEVARD 5'!$K191:AH191)-$AP498)</f>
        <v>0</v>
      </c>
      <c r="AF498" s="716">
        <f>IF(OR(status1B5!AG193="",AF$7="No aplica"),0,SUM('BOULEVARD 5'!$K191:AI191)-$AP498)</f>
        <v>0</v>
      </c>
      <c r="AG498" s="716">
        <f>IF(OR(status1B5!AH193="",AG$7="No aplica"),0,SUM('BOULEVARD 5'!$K191:AJ191)-$AP498)</f>
        <v>0</v>
      </c>
      <c r="AH498" s="716">
        <f>IF(OR(status1B5!AI193="",AH$7="No aplica"),0,SUM('BOULEVARD 5'!$K191:AK191)-$AP498)</f>
        <v>0</v>
      </c>
      <c r="AI498" s="716">
        <f>IF(OR(status1B5!AJ193="",AI$7="No aplica"),0,SUM('BOULEVARD 5'!$K191:AL191)-$AP498)</f>
        <v>0</v>
      </c>
      <c r="AJ498" s="716">
        <f>IF(OR(status1B5!AK193="",AJ$7="No aplica"),0,SUM('BOULEVARD 5'!$K191:AM191)-$AP498)</f>
        <v>0</v>
      </c>
      <c r="AK498" s="716">
        <f>IF(OR(status1B5!AL193="",AK$7="No aplica"),0,SUM('BOULEVARD 5'!$K191:AN191)-$AP498)</f>
        <v>0</v>
      </c>
      <c r="AL498" s="716">
        <f>IF(OR(status1B5!AM193="",AL$7="No aplica"),0,SUM('BOULEVARD 5'!$K191:AO191)-$AP498)</f>
        <v>0</v>
      </c>
      <c r="AM498" s="716">
        <f>IF(OR(status1B5!AN193="",AM$7="No aplica"),0,SUM('BOULEVARD 5'!$K191:AP191)-$AP498)</f>
        <v>0</v>
      </c>
      <c r="AN498" s="716">
        <f>IF(OR(status1B5!AO193="",AN$7="No aplica"),0,SUM('BOULEVARD 5'!$K191:AQ191)-$AP498)</f>
        <v>0</v>
      </c>
      <c r="AO498" s="716">
        <f>IF(OR(status1B5!AP193="",AO$7="No aplica"),0,SUM('BOULEVARD 5'!$K191:AS191)-$AP498)</f>
        <v>0</v>
      </c>
      <c r="AP498" s="717">
        <f>'BOULEVARD PPTO'!BC186</f>
        <v>69127.17</v>
      </c>
      <c r="AQ498" s="717">
        <f>'BOULEVARD 5'!AT191</f>
        <v>69127.17</v>
      </c>
      <c r="AR498" s="717">
        <f t="shared" si="170"/>
        <v>0</v>
      </c>
      <c r="AS498" s="717"/>
      <c r="AT498" s="581"/>
    </row>
    <row r="499" spans="1:46" ht="13.15" customHeight="1" outlineLevel="1" x14ac:dyDescent="0.25">
      <c r="A499" s="700">
        <f t="shared" si="168"/>
        <v>0</v>
      </c>
      <c r="B499" s="564">
        <f t="shared" ref="B499:G499" si="226">B194</f>
        <v>1019</v>
      </c>
      <c r="C499" s="564" t="str">
        <f t="shared" si="226"/>
        <v>C3</v>
      </c>
      <c r="D499" s="564">
        <f t="shared" si="226"/>
        <v>0</v>
      </c>
      <c r="E499" s="564" t="str">
        <f t="shared" si="226"/>
        <v>Mario Rodriguez</v>
      </c>
      <c r="F499" s="581" t="str">
        <f t="shared" si="226"/>
        <v>Gloria Fernanda Moran Guevara</v>
      </c>
      <c r="G499" s="566">
        <f t="shared" si="226"/>
        <v>45894</v>
      </c>
      <c r="H499" s="716">
        <f>IF(OR(status1B5!I194="",H$7="No aplica"),0,SUM('BOULEVARD 5'!$K192:K192)-$AP499)</f>
        <v>0</v>
      </c>
      <c r="I499" s="716">
        <f>IF(OR(status1B5!J194="",I$7="No aplica"),0,SUM('BOULEVARD 5'!$K192:L192)-$AP499)</f>
        <v>0</v>
      </c>
      <c r="J499" s="716">
        <f>IF(OR(status1B5!K194="",J$7="No aplica"),0,SUM('BOULEVARD 5'!$K192:M192)-$AP499)</f>
        <v>0</v>
      </c>
      <c r="K499" s="716">
        <f>IF(OR(status1B5!L194="",K$7="No aplica"),0,SUM('BOULEVARD 5'!$K192:N192)-$AP499)</f>
        <v>0</v>
      </c>
      <c r="L499" s="716">
        <f>IF(OR(status1B5!M194="",L$7="No aplica"),0,SUM('BOULEVARD 5'!$K192:O192)-$AP499)</f>
        <v>0</v>
      </c>
      <c r="M499" s="716">
        <f>IF(OR(status1B5!N194="",M$7="No aplica"),0,SUM('BOULEVARD 5'!$K192:P192)-$AP499)</f>
        <v>0</v>
      </c>
      <c r="N499" s="716">
        <f>IF(OR(status1B5!O194="",N$7="No aplica"),0,SUM('BOULEVARD 5'!$K192:Q192)-$AP499)</f>
        <v>0</v>
      </c>
      <c r="O499" s="716">
        <f>IF(OR(status1B5!P194="",O$7="No aplica"),0,SUM('BOULEVARD 5'!$K192:R192)-$AP499)</f>
        <v>0</v>
      </c>
      <c r="P499" s="716">
        <f>IF(OR(status1B5!Q194="",P$7="No aplica"),0,SUM('BOULEVARD 5'!$K192:S192)-$AP499)</f>
        <v>0</v>
      </c>
      <c r="Q499" s="716">
        <f>IF(OR(status1B5!R194="",Q$7="No aplica"),0,SUM('BOULEVARD 5'!$K192:T192)-$AP499)</f>
        <v>0</v>
      </c>
      <c r="R499" s="716">
        <f>IF(OR(status1B5!S194="",R$7="No aplica"),0,SUM('BOULEVARD 5'!$K192:U192)-$AP499)</f>
        <v>0</v>
      </c>
      <c r="S499" s="716">
        <f>IF(OR(status1B5!T194="",S$7="No aplica"),0,SUM('BOULEVARD 5'!$K192:V192)-$AP499)</f>
        <v>0</v>
      </c>
      <c r="T499" s="716">
        <f>IF(OR(status1B5!U194="",T$7="No aplica"),0,SUM('BOULEVARD 5'!$K192:W192)-$AP499)</f>
        <v>0</v>
      </c>
      <c r="U499" s="716">
        <f>IF(OR(status1B5!V194="",U$7="No aplica"),0,SUM('BOULEVARD 5'!$K192:X192)-$AP499)</f>
        <v>0</v>
      </c>
      <c r="V499" s="716">
        <f>IF(OR(status1B5!W194="",V$7="No aplica"),0,SUM('BOULEVARD 5'!$K192:Y192)-$AP499)</f>
        <v>0</v>
      </c>
      <c r="W499" s="716">
        <f>IF(OR(status1B5!X194="",W$7="No aplica"),0,SUM('BOULEVARD 5'!$K192:Z192)-$AP499)</f>
        <v>0</v>
      </c>
      <c r="X499" s="716">
        <f>IF(OR(status1B5!Y194="",X$7="No aplica"),0,SUM('BOULEVARD 5'!$K192:AA192)-$AP499)</f>
        <v>0</v>
      </c>
      <c r="Y499" s="716">
        <f>IF(OR(status1B5!Z194="",Y$7="No aplica"),0,SUM('BOULEVARD 5'!$K192:AB192)-$AP499)</f>
        <v>0</v>
      </c>
      <c r="Z499" s="716">
        <f>IF(OR(status1B5!AA194="",Z$7="No aplica"),0,SUM('BOULEVARD 5'!$K192:AC192)-$AP499)</f>
        <v>0</v>
      </c>
      <c r="AA499" s="716">
        <f>IF(OR(status1B5!AB194="",AA$7="No aplica"),0,SUM('BOULEVARD 5'!$K192:AD192)-$AP499)</f>
        <v>0</v>
      </c>
      <c r="AB499" s="716">
        <f>IF(OR(status1B5!AC194="",AB$7="No aplica"),0,SUM('BOULEVARD 5'!$K192:AE192)-$AP499)</f>
        <v>0</v>
      </c>
      <c r="AC499" s="716">
        <f>IF(OR(status1B5!AD194="",AC$7="No aplica"),0,SUM('BOULEVARD 5'!$K192:AF192)-$AP499)</f>
        <v>0</v>
      </c>
      <c r="AD499" s="716">
        <f>IF(OR(status1B5!AE194="",AD$7="No aplica"),0,SUM('BOULEVARD 5'!$K192:AG192)-$AP499)</f>
        <v>0</v>
      </c>
      <c r="AE499" s="716">
        <f>IF(OR(status1B5!AF194="",AE$7="No aplica"),0,SUM('BOULEVARD 5'!$K192:AH192)-$AP499)</f>
        <v>0</v>
      </c>
      <c r="AF499" s="716">
        <f>IF(OR(status1B5!AG194="",AF$7="No aplica"),0,SUM('BOULEVARD 5'!$K192:AI192)-$AP499)</f>
        <v>0</v>
      </c>
      <c r="AG499" s="716">
        <f>IF(OR(status1B5!AH194="",AG$7="No aplica"),0,SUM('BOULEVARD 5'!$K192:AJ192)-$AP499)</f>
        <v>0</v>
      </c>
      <c r="AH499" s="716">
        <f>IF(OR(status1B5!AI194="",AH$7="No aplica"),0,SUM('BOULEVARD 5'!$K192:AK192)-$AP499)</f>
        <v>0</v>
      </c>
      <c r="AI499" s="716">
        <f>IF(OR(status1B5!AJ194="",AI$7="No aplica"),0,SUM('BOULEVARD 5'!$K192:AL192)-$AP499)</f>
        <v>0</v>
      </c>
      <c r="AJ499" s="716">
        <f>IF(OR(status1B5!AK194="",AJ$7="No aplica"),0,SUM('BOULEVARD 5'!$K192:AM192)-$AP499)</f>
        <v>0</v>
      </c>
      <c r="AK499" s="716">
        <f>IF(OR(status1B5!AL194="",AK$7="No aplica"),0,SUM('BOULEVARD 5'!$K192:AN192)-$AP499)</f>
        <v>-87500</v>
      </c>
      <c r="AL499" s="716">
        <f>IF(OR(status1B5!AM194="",AL$7="No aplica"),0,SUM('BOULEVARD 5'!$K192:AO192)-$AP499)</f>
        <v>-87500</v>
      </c>
      <c r="AM499" s="716">
        <f>IF(OR(status1B5!AN194="",AM$7="No aplica"),0,SUM('BOULEVARD 5'!$K192:AP192)-$AP499)</f>
        <v>-87500</v>
      </c>
      <c r="AN499" s="716">
        <f>IF(OR(status1B5!AO194="",AN$7="No aplica"),0,SUM('BOULEVARD 5'!$K192:AQ192)-$AP499)</f>
        <v>0</v>
      </c>
      <c r="AO499" s="716">
        <f>IF(OR(status1B5!AP194="",AO$7="No aplica"),0,SUM('BOULEVARD 5'!$K192:AS192)-$AP499)</f>
        <v>0</v>
      </c>
      <c r="AP499" s="717">
        <f>'BOULEVARD PPTO'!BC187</f>
        <v>97500</v>
      </c>
      <c r="AQ499" s="717">
        <f>'BOULEVARD 5'!AT192</f>
        <v>35000</v>
      </c>
      <c r="AR499" s="717">
        <f t="shared" si="170"/>
        <v>-62500</v>
      </c>
      <c r="AS499" s="717"/>
      <c r="AT499" s="581"/>
    </row>
    <row r="500" spans="1:46" ht="13.15" customHeight="1" outlineLevel="1" x14ac:dyDescent="0.25">
      <c r="A500" s="700">
        <f t="shared" si="168"/>
        <v>0</v>
      </c>
      <c r="B500" s="564">
        <f t="shared" ref="B500:G500" si="227">B195</f>
        <v>1020</v>
      </c>
      <c r="C500" s="564" t="str">
        <f t="shared" si="227"/>
        <v>C2</v>
      </c>
      <c r="D500" s="564">
        <f t="shared" si="227"/>
        <v>0</v>
      </c>
      <c r="E500" s="564" t="str">
        <f t="shared" si="227"/>
        <v>Erwin Cardona</v>
      </c>
      <c r="F500" s="581" t="str">
        <f t="shared" si="227"/>
        <v>Bernerd Alexandro Godínez López</v>
      </c>
      <c r="G500" s="566">
        <f t="shared" si="227"/>
        <v>45985</v>
      </c>
      <c r="H500" s="716">
        <f>IF(OR(status1B5!I195="",H$7="No aplica"),0,SUM('BOULEVARD 5'!$K193:K193)-$AP500)</f>
        <v>0</v>
      </c>
      <c r="I500" s="716">
        <f>IF(OR(status1B5!J195="",I$7="No aplica"),0,SUM('BOULEVARD 5'!$K193:L193)-$AP500)</f>
        <v>0</v>
      </c>
      <c r="J500" s="716">
        <f>IF(OR(status1B5!K195="",J$7="No aplica"),0,SUM('BOULEVARD 5'!$K193:M193)-$AP500)</f>
        <v>0</v>
      </c>
      <c r="K500" s="716">
        <f>IF(OR(status1B5!L195="",K$7="No aplica"),0,SUM('BOULEVARD 5'!$K193:N193)-$AP500)</f>
        <v>0</v>
      </c>
      <c r="L500" s="716">
        <f>IF(OR(status1B5!M195="",L$7="No aplica"),0,SUM('BOULEVARD 5'!$K193:O193)-$AP500)</f>
        <v>0</v>
      </c>
      <c r="M500" s="716">
        <f>IF(OR(status1B5!N195="",M$7="No aplica"),0,SUM('BOULEVARD 5'!$K193:P193)-$AP500)</f>
        <v>0</v>
      </c>
      <c r="N500" s="716">
        <f>IF(OR(status1B5!O195="",N$7="No aplica"),0,SUM('BOULEVARD 5'!$K193:Q193)-$AP500)</f>
        <v>0</v>
      </c>
      <c r="O500" s="716">
        <f>IF(OR(status1B5!P195="",O$7="No aplica"),0,SUM('BOULEVARD 5'!$K193:R193)-$AP500)</f>
        <v>0</v>
      </c>
      <c r="P500" s="716">
        <f>IF(OR(status1B5!Q195="",P$7="No aplica"),0,SUM('BOULEVARD 5'!$K193:S193)-$AP500)</f>
        <v>0</v>
      </c>
      <c r="Q500" s="716">
        <f>IF(OR(status1B5!R195="",Q$7="No aplica"),0,SUM('BOULEVARD 5'!$K193:T193)-$AP500)</f>
        <v>0</v>
      </c>
      <c r="R500" s="716">
        <f>IF(OR(status1B5!S195="",R$7="No aplica"),0,SUM('BOULEVARD 5'!$K193:U193)-$AP500)</f>
        <v>0</v>
      </c>
      <c r="S500" s="716">
        <f>IF(OR(status1B5!T195="",S$7="No aplica"),0,SUM('BOULEVARD 5'!$K193:V193)-$AP500)</f>
        <v>0</v>
      </c>
      <c r="T500" s="716">
        <f>IF(OR(status1B5!U195="",T$7="No aplica"),0,SUM('BOULEVARD 5'!$K193:W193)-$AP500)</f>
        <v>0</v>
      </c>
      <c r="U500" s="716">
        <f>IF(OR(status1B5!V195="",U$7="No aplica"),0,SUM('BOULEVARD 5'!$K193:X193)-$AP500)</f>
        <v>0</v>
      </c>
      <c r="V500" s="716">
        <f>IF(OR(status1B5!W195="",V$7="No aplica"),0,SUM('BOULEVARD 5'!$K193:Y193)-$AP500)</f>
        <v>0</v>
      </c>
      <c r="W500" s="716">
        <f>IF(OR(status1B5!X195="",W$7="No aplica"),0,SUM('BOULEVARD 5'!$K193:Z193)-$AP500)</f>
        <v>0</v>
      </c>
      <c r="X500" s="716">
        <f>IF(OR(status1B5!Y195="",X$7="No aplica"),0,SUM('BOULEVARD 5'!$K193:AA193)-$AP500)</f>
        <v>0</v>
      </c>
      <c r="Y500" s="716">
        <f>IF(OR(status1B5!Z195="",Y$7="No aplica"),0,SUM('BOULEVARD 5'!$K193:AB193)-$AP500)</f>
        <v>0</v>
      </c>
      <c r="Z500" s="716">
        <f>IF(OR(status1B5!AA195="",Z$7="No aplica"),0,SUM('BOULEVARD 5'!$K193:AC193)-$AP500)</f>
        <v>0</v>
      </c>
      <c r="AA500" s="716">
        <f>IF(OR(status1B5!AB195="",AA$7="No aplica"),0,SUM('BOULEVARD 5'!$K193:AD193)-$AP500)</f>
        <v>0</v>
      </c>
      <c r="AB500" s="716">
        <f>IF(OR(status1B5!AC195="",AB$7="No aplica"),0,SUM('BOULEVARD 5'!$K193:AE193)-$AP500)</f>
        <v>0</v>
      </c>
      <c r="AC500" s="716">
        <f>IF(OR(status1B5!AD195="",AC$7="No aplica"),0,SUM('BOULEVARD 5'!$K193:AF193)-$AP500)</f>
        <v>0</v>
      </c>
      <c r="AD500" s="716">
        <f>IF(OR(status1B5!AE195="",AD$7="No aplica"),0,SUM('BOULEVARD 5'!$K193:AG193)-$AP500)</f>
        <v>0</v>
      </c>
      <c r="AE500" s="716">
        <f>IF(OR(status1B5!AF195="",AE$7="No aplica"),0,SUM('BOULEVARD 5'!$K193:AH193)-$AP500)</f>
        <v>0</v>
      </c>
      <c r="AF500" s="716">
        <f>IF(OR(status1B5!AG195="",AF$7="No aplica"),0,SUM('BOULEVARD 5'!$K193:AI193)-$AP500)</f>
        <v>0</v>
      </c>
      <c r="AG500" s="716">
        <f>IF(OR(status1B5!AH195="",AG$7="No aplica"),0,SUM('BOULEVARD 5'!$K193:AJ193)-$AP500)</f>
        <v>0</v>
      </c>
      <c r="AH500" s="716">
        <f>IF(OR(status1B5!AI195="",AH$7="No aplica"),0,SUM('BOULEVARD 5'!$K193:AK193)-$AP500)</f>
        <v>0</v>
      </c>
      <c r="AI500" s="716">
        <f>IF(OR(status1B5!AJ195="",AI$7="No aplica"),0,SUM('BOULEVARD 5'!$K193:AL193)-$AP500)</f>
        <v>0</v>
      </c>
      <c r="AJ500" s="716">
        <f>IF(OR(status1B5!AK195="",AJ$7="No aplica"),0,SUM('BOULEVARD 5'!$K193:AM193)-$AP500)</f>
        <v>0</v>
      </c>
      <c r="AK500" s="716">
        <f>IF(OR(status1B5!AL195="",AK$7="No aplica"),0,SUM('BOULEVARD 5'!$K193:AN193)-$AP500)</f>
        <v>0</v>
      </c>
      <c r="AL500" s="716">
        <f>IF(OR(status1B5!AM195="",AL$7="No aplica"),0,SUM('BOULEVARD 5'!$K193:AO193)-$AP500)</f>
        <v>0</v>
      </c>
      <c r="AM500" s="716">
        <f>IF(OR(status1B5!AN195="",AM$7="No aplica"),0,SUM('BOULEVARD 5'!$K193:AP193)-$AP500)</f>
        <v>0</v>
      </c>
      <c r="AN500" s="716">
        <f>IF(OR(status1B5!AO195="",AN$7="No aplica"),0,SUM('BOULEVARD 5'!$K193:AQ193)-$AP500)</f>
        <v>0</v>
      </c>
      <c r="AO500" s="716">
        <f>IF(OR(status1B5!AP195="",AO$7="No aplica"),0,SUM('BOULEVARD 5'!$K193:AS193)-$AP500)</f>
        <v>0</v>
      </c>
      <c r="AP500" s="717">
        <f>'BOULEVARD PPTO'!BC188</f>
        <v>0</v>
      </c>
      <c r="AQ500" s="717">
        <f>'BOULEVARD 5'!AT193</f>
        <v>57000</v>
      </c>
      <c r="AR500" s="717">
        <f t="shared" si="170"/>
        <v>57000</v>
      </c>
      <c r="AS500" s="717"/>
      <c r="AT500" s="581"/>
    </row>
    <row r="501" spans="1:46" ht="13.15" customHeight="1" outlineLevel="1" x14ac:dyDescent="0.25">
      <c r="A501" s="700">
        <f t="shared" si="168"/>
        <v>0</v>
      </c>
      <c r="B501" s="564">
        <f t="shared" ref="B501:G501" si="228">B196</f>
        <v>1101</v>
      </c>
      <c r="C501" s="564" t="str">
        <f t="shared" si="228"/>
        <v>D10</v>
      </c>
      <c r="D501" s="564">
        <f t="shared" si="228"/>
        <v>0</v>
      </c>
      <c r="E501" s="564" t="str">
        <f t="shared" si="228"/>
        <v>Antonio Rada</v>
      </c>
      <c r="F501" s="581" t="str">
        <f t="shared" si="228"/>
        <v>Maria Fernanda Contreras Lopez</v>
      </c>
      <c r="G501" s="566">
        <f t="shared" si="228"/>
        <v>45374</v>
      </c>
      <c r="H501" s="716">
        <f>IF(OR(status1B5!I196="",H$7="No aplica"),0,SUM('BOULEVARD 5'!$K194:K194)-$AP501)</f>
        <v>0</v>
      </c>
      <c r="I501" s="716">
        <f>IF(OR(status1B5!J196="",I$7="No aplica"),0,SUM('BOULEVARD 5'!$K194:L194)-$AP501)</f>
        <v>0</v>
      </c>
      <c r="J501" s="716">
        <f>IF(OR(status1B5!K196="",J$7="No aplica"),0,SUM('BOULEVARD 5'!$K194:M194)-$AP501)</f>
        <v>0</v>
      </c>
      <c r="K501" s="716">
        <f>IF(OR(status1B5!L196="",K$7="No aplica"),0,SUM('BOULEVARD 5'!$K194:N194)-$AP501)</f>
        <v>0</v>
      </c>
      <c r="L501" s="716">
        <f>IF(OR(status1B5!M196="",L$7="No aplica"),0,SUM('BOULEVARD 5'!$K194:O194)-$AP501)</f>
        <v>0</v>
      </c>
      <c r="M501" s="716">
        <f>IF(OR(status1B5!N196="",M$7="No aplica"),0,SUM('BOULEVARD 5'!$K194:P194)-$AP501)</f>
        <v>0</v>
      </c>
      <c r="N501" s="716">
        <f>IF(OR(status1B5!O196="",N$7="No aplica"),0,SUM('BOULEVARD 5'!$K194:Q194)-$AP501)</f>
        <v>0</v>
      </c>
      <c r="O501" s="716">
        <f>IF(OR(status1B5!P196="",O$7="No aplica"),0,SUM('BOULEVARD 5'!$K194:R194)-$AP501)</f>
        <v>0</v>
      </c>
      <c r="P501" s="716">
        <f>IF(OR(status1B5!Q196="",P$7="No aplica"),0,SUM('BOULEVARD 5'!$K194:S194)-$AP501)</f>
        <v>0</v>
      </c>
      <c r="Q501" s="716">
        <f>IF(OR(status1B5!R196="",Q$7="No aplica"),0,SUM('BOULEVARD 5'!$K194:T194)-$AP501)</f>
        <v>0</v>
      </c>
      <c r="R501" s="716">
        <f>IF(OR(status1B5!S196="",R$7="No aplica"),0,SUM('BOULEVARD 5'!$K194:U194)-$AP501)</f>
        <v>0</v>
      </c>
      <c r="S501" s="716">
        <f>IF(OR(status1B5!T196="",S$7="No aplica"),0,SUM('BOULEVARD 5'!$K194:V194)-$AP501)</f>
        <v>0</v>
      </c>
      <c r="T501" s="716">
        <f>IF(OR(status1B5!U196="",T$7="No aplica"),0,SUM('BOULEVARD 5'!$K194:W194)-$AP501)</f>
        <v>-109700</v>
      </c>
      <c r="U501" s="716">
        <f>IF(OR(status1B5!V196="",U$7="No aplica"),0,SUM('BOULEVARD 5'!$K194:X194)-$AP501)</f>
        <v>-103606</v>
      </c>
      <c r="V501" s="716">
        <f>IF(OR(status1B5!W196="",V$7="No aplica"),0,SUM('BOULEVARD 5'!$K194:Y194)-$AP501)</f>
        <v>-97512</v>
      </c>
      <c r="W501" s="716">
        <f>IF(OR(status1B5!X196="",W$7="No aplica"),0,SUM('BOULEVARD 5'!$K194:Z194)-$AP501)</f>
        <v>-91418</v>
      </c>
      <c r="X501" s="716">
        <f>IF(OR(status1B5!Y196="",X$7="No aplica"),0,SUM('BOULEVARD 5'!$K194:AA194)-$AP501)</f>
        <v>-85324</v>
      </c>
      <c r="Y501" s="716">
        <f>IF(OR(status1B5!Z196="",Y$7="No aplica"),0,SUM('BOULEVARD 5'!$K194:AB194)-$AP501)</f>
        <v>-79230</v>
      </c>
      <c r="Z501" s="716">
        <f>IF(OR(status1B5!AA196="",Z$7="No aplica"),0,SUM('BOULEVARD 5'!$K194:AC194)-$AP501)</f>
        <v>-73136</v>
      </c>
      <c r="AA501" s="716">
        <f>IF(OR(status1B5!AB196="",AA$7="No aplica"),0,SUM('BOULEVARD 5'!$K194:AD194)-$AP501)</f>
        <v>-67042</v>
      </c>
      <c r="AB501" s="716">
        <f>IF(OR(status1B5!AC196="",AB$7="No aplica"),0,SUM('BOULEVARD 5'!$K194:AE194)-$AP501)</f>
        <v>-60948</v>
      </c>
      <c r="AC501" s="716">
        <f>IF(OR(status1B5!AD196="",AC$7="No aplica"),0,SUM('BOULEVARD 5'!$K194:AF194)-$AP501)</f>
        <v>-54854</v>
      </c>
      <c r="AD501" s="716">
        <f>IF(OR(status1B5!AE196="",AD$7="No aplica"),0,SUM('BOULEVARD 5'!$K194:AG194)-$AP501)</f>
        <v>-48760</v>
      </c>
      <c r="AE501" s="716">
        <f>IF(OR(status1B5!AF196="",AE$7="No aplica"),0,SUM('BOULEVARD 5'!$K194:AH194)-$AP501)</f>
        <v>-42666</v>
      </c>
      <c r="AF501" s="716">
        <f>IF(OR(status1B5!AG196="",AF$7="No aplica"),0,SUM('BOULEVARD 5'!$K194:AI194)-$AP501)</f>
        <v>-36572</v>
      </c>
      <c r="AG501" s="716">
        <f>IF(OR(status1B5!AH196="",AG$7="No aplica"),0,SUM('BOULEVARD 5'!$K194:AJ194)-$AP501)</f>
        <v>-30478</v>
      </c>
      <c r="AH501" s="716">
        <f>IF(OR(status1B5!AI196="",AH$7="No aplica"),0,SUM('BOULEVARD 5'!$K194:AK194)-$AP501)</f>
        <v>-24384</v>
      </c>
      <c r="AI501" s="716">
        <f>IF(OR(status1B5!AJ196="",AI$7="No aplica"),0,SUM('BOULEVARD 5'!$K194:AL194)-$AP501)</f>
        <v>-18290</v>
      </c>
      <c r="AJ501" s="716">
        <f>IF(OR(status1B5!AK196="",AJ$7="No aplica"),0,SUM('BOULEVARD 5'!$K194:AM194)-$AP501)</f>
        <v>-12196</v>
      </c>
      <c r="AK501" s="716">
        <f>IF(OR(status1B5!AL196="",AK$7="No aplica"),0,SUM('BOULEVARD 5'!$K194:AN194)-$AP501)</f>
        <v>-6102</v>
      </c>
      <c r="AL501" s="716">
        <f>IF(OR(status1B5!AM196="",AL$7="No aplica"),0,SUM('BOULEVARD 5'!$K194:AO194)-$AP501)</f>
        <v>0</v>
      </c>
      <c r="AM501" s="716">
        <f>IF(OR(status1B5!AN196="",AM$7="No aplica"),0,SUM('BOULEVARD 5'!$K194:AP194)-$AP501)</f>
        <v>0</v>
      </c>
      <c r="AN501" s="716">
        <f>IF(OR(status1B5!AO196="",AN$7="No aplica"),0,SUM('BOULEVARD 5'!$K194:AQ194)-$AP501)</f>
        <v>0</v>
      </c>
      <c r="AO501" s="716">
        <f>IF(OR(status1B5!AP196="",AO$7="No aplica"),0,SUM('BOULEVARD 5'!$K194:AS194)-$AP501)</f>
        <v>0</v>
      </c>
      <c r="AP501" s="717">
        <f>'BOULEVARD PPTO'!BC189</f>
        <v>117700</v>
      </c>
      <c r="AQ501" s="717">
        <f>'BOULEVARD 5'!AT194</f>
        <v>117700</v>
      </c>
      <c r="AR501" s="717">
        <f t="shared" si="170"/>
        <v>0</v>
      </c>
      <c r="AS501" s="717"/>
      <c r="AT501" s="581"/>
    </row>
    <row r="502" spans="1:46" ht="13.15" customHeight="1" outlineLevel="1" x14ac:dyDescent="0.25">
      <c r="A502" s="700">
        <f t="shared" si="168"/>
        <v>0</v>
      </c>
      <c r="B502" s="564">
        <f t="shared" ref="B502:G502" si="229">B197</f>
        <v>1102</v>
      </c>
      <c r="C502" s="564" t="str">
        <f t="shared" si="229"/>
        <v>D11</v>
      </c>
      <c r="D502" s="564">
        <f t="shared" si="229"/>
        <v>0</v>
      </c>
      <c r="E502" s="564" t="str">
        <f t="shared" si="229"/>
        <v>Antonio Rada</v>
      </c>
      <c r="F502" s="581" t="str">
        <f t="shared" si="229"/>
        <v>Luis Alberto Lopez Velasquez</v>
      </c>
      <c r="G502" s="566">
        <f t="shared" si="229"/>
        <v>45016</v>
      </c>
      <c r="H502" s="716">
        <f>IF(OR(status1B5!I197="",H$7="No aplica"),0,SUM('BOULEVARD 5'!$K195:K195)-$AP502)</f>
        <v>-109300</v>
      </c>
      <c r="I502" s="716">
        <f>IF(OR(status1B5!J197="",I$7="No aplica"),0,SUM('BOULEVARD 5'!$K195:L195)-$AP502)</f>
        <v>-109300</v>
      </c>
      <c r="J502" s="716">
        <f>IF(OR(status1B5!K197="",J$7="No aplica"),0,SUM('BOULEVARD 5'!$K195:M195)-$AP502)</f>
        <v>-106085</v>
      </c>
      <c r="K502" s="716">
        <f>IF(OR(status1B5!L197="",K$7="No aplica"),0,SUM('BOULEVARD 5'!$K195:N195)-$AP502)</f>
        <v>-102870</v>
      </c>
      <c r="L502" s="716">
        <f>IF(OR(status1B5!M197="",L$7="No aplica"),0,SUM('BOULEVARD 5'!$K195:O195)-$AP502)</f>
        <v>-99655</v>
      </c>
      <c r="M502" s="716">
        <f>IF(OR(status1B5!N197="",M$7="No aplica"),0,SUM('BOULEVARD 5'!$K195:P195)-$AP502)</f>
        <v>-96440</v>
      </c>
      <c r="N502" s="716">
        <f>IF(OR(status1B5!O197="",N$7="No aplica"),0,SUM('BOULEVARD 5'!$K195:Q195)-$AP502)</f>
        <v>-93225</v>
      </c>
      <c r="O502" s="716">
        <f>IF(OR(status1B5!P197="",O$7="No aplica"),0,SUM('BOULEVARD 5'!$K195:R195)-$AP502)</f>
        <v>-90010</v>
      </c>
      <c r="P502" s="716">
        <f>IF(OR(status1B5!Q197="",P$7="No aplica"),0,SUM('BOULEVARD 5'!$K195:S195)-$AP502)</f>
        <v>-86795</v>
      </c>
      <c r="Q502" s="716">
        <f>IF(OR(status1B5!R197="",Q$7="No aplica"),0,SUM('BOULEVARD 5'!$K195:T195)-$AP502)</f>
        <v>-83580</v>
      </c>
      <c r="R502" s="716">
        <f>IF(OR(status1B5!S197="",R$7="No aplica"),0,SUM('BOULEVARD 5'!$K195:U195)-$AP502)</f>
        <v>-80365</v>
      </c>
      <c r="S502" s="716">
        <f>IF(OR(status1B5!T197="",S$7="No aplica"),0,SUM('BOULEVARD 5'!$K195:V195)-$AP502)</f>
        <v>-77150</v>
      </c>
      <c r="T502" s="716">
        <f>IF(OR(status1B5!U197="",T$7="No aplica"),0,SUM('BOULEVARD 5'!$K195:W195)-$AP502)</f>
        <v>-73935</v>
      </c>
      <c r="U502" s="716">
        <f>IF(OR(status1B5!V197="",U$7="No aplica"),0,SUM('BOULEVARD 5'!$K195:X195)-$AP502)</f>
        <v>-70720</v>
      </c>
      <c r="V502" s="716">
        <f>IF(OR(status1B5!W197="",V$7="No aplica"),0,SUM('BOULEVARD 5'!$K195:Y195)-$AP502)</f>
        <v>-67505</v>
      </c>
      <c r="W502" s="716">
        <f>IF(OR(status1B5!X197="",W$7="No aplica"),0,SUM('BOULEVARD 5'!$K195:Z195)-$AP502)</f>
        <v>-64290</v>
      </c>
      <c r="X502" s="716">
        <f>IF(OR(status1B5!Y197="",X$7="No aplica"),0,SUM('BOULEVARD 5'!$K195:AA195)-$AP502)</f>
        <v>-61075</v>
      </c>
      <c r="Y502" s="716">
        <f>IF(OR(status1B5!Z197="",Y$7="No aplica"),0,SUM('BOULEVARD 5'!$K195:AB195)-$AP502)</f>
        <v>-57860</v>
      </c>
      <c r="Z502" s="716">
        <f>IF(OR(status1B5!AA197="",Z$7="No aplica"),0,SUM('BOULEVARD 5'!$K195:AC195)-$AP502)</f>
        <v>-54645</v>
      </c>
      <c r="AA502" s="716">
        <f>IF(OR(status1B5!AB197="",AA$7="No aplica"),0,SUM('BOULEVARD 5'!$K195:AD195)-$AP502)</f>
        <v>-51430</v>
      </c>
      <c r="AB502" s="716">
        <f>IF(OR(status1B5!AC197="",AB$7="No aplica"),0,SUM('BOULEVARD 5'!$K195:AE195)-$AP502)</f>
        <v>-48215</v>
      </c>
      <c r="AC502" s="716">
        <f>IF(OR(status1B5!AD197="",AC$7="No aplica"),0,SUM('BOULEVARD 5'!$K195:AF195)-$AP502)</f>
        <v>-45000</v>
      </c>
      <c r="AD502" s="716">
        <f>IF(OR(status1B5!AE197="",AD$7="No aplica"),0,SUM('BOULEVARD 5'!$K195:AG195)-$AP502)</f>
        <v>-41785</v>
      </c>
      <c r="AE502" s="716">
        <f>IF(OR(status1B5!AF197="",AE$7="No aplica"),0,SUM('BOULEVARD 5'!$K195:AH195)-$AP502)</f>
        <v>-38570</v>
      </c>
      <c r="AF502" s="716">
        <f>IF(OR(status1B5!AG197="",AF$7="No aplica"),0,SUM('BOULEVARD 5'!$K195:AI195)-$AP502)</f>
        <v>-35355</v>
      </c>
      <c r="AG502" s="716">
        <f>IF(OR(status1B5!AH197="",AG$7="No aplica"),0,SUM('BOULEVARD 5'!$K195:AJ195)-$AP502)</f>
        <v>-32140</v>
      </c>
      <c r="AH502" s="716">
        <f>IF(OR(status1B5!AI197="",AH$7="No aplica"),0,SUM('BOULEVARD 5'!$K195:AK195)-$AP502)</f>
        <v>-28925</v>
      </c>
      <c r="AI502" s="716">
        <f>IF(OR(status1B5!AJ197="",AI$7="No aplica"),0,SUM('BOULEVARD 5'!$K195:AL195)-$AP502)</f>
        <v>-25710</v>
      </c>
      <c r="AJ502" s="716">
        <f>IF(OR(status1B5!AK197="",AJ$7="No aplica"),0,SUM('BOULEVARD 5'!$K195:AM195)-$AP502)</f>
        <v>-22495</v>
      </c>
      <c r="AK502" s="716">
        <f>IF(OR(status1B5!AL197="",AK$7="No aplica"),0,SUM('BOULEVARD 5'!$K195:AN195)-$AP502)</f>
        <v>-19280</v>
      </c>
      <c r="AL502" s="716">
        <f>IF(OR(status1B5!AM197="",AL$7="No aplica"),0,SUM('BOULEVARD 5'!$K195:AO195)-$AP502)</f>
        <v>-16065</v>
      </c>
      <c r="AM502" s="716">
        <f>IF(OR(status1B5!AN197="",AM$7="No aplica"),0,SUM('BOULEVARD 5'!$K195:AP195)-$AP502)</f>
        <v>-12850</v>
      </c>
      <c r="AN502" s="716">
        <f>IF(OR(status1B5!AO197="",AN$7="No aplica"),0,SUM('BOULEVARD 5'!$K195:AQ195)-$AP502)</f>
        <v>0</v>
      </c>
      <c r="AO502" s="716">
        <f>IF(OR(status1B5!AP197="",AO$7="No aplica"),0,SUM('BOULEVARD 5'!$K195:AS195)-$AP502)</f>
        <v>0</v>
      </c>
      <c r="AP502" s="717">
        <f>'BOULEVARD PPTO'!BC190</f>
        <v>115300</v>
      </c>
      <c r="AQ502" s="717">
        <f>'BOULEVARD 5'!AT195</f>
        <v>112095</v>
      </c>
      <c r="AR502" s="717">
        <f t="shared" si="170"/>
        <v>-3205</v>
      </c>
      <c r="AS502" s="717"/>
      <c r="AT502" s="581"/>
    </row>
    <row r="503" spans="1:46" ht="13.15" customHeight="1" outlineLevel="1" x14ac:dyDescent="0.25">
      <c r="A503" s="700">
        <f t="shared" si="168"/>
        <v>0</v>
      </c>
      <c r="B503" s="564">
        <f t="shared" ref="B503:G503" si="230">B198</f>
        <v>1103</v>
      </c>
      <c r="C503" s="564" t="str">
        <f t="shared" si="230"/>
        <v>B4</v>
      </c>
      <c r="D503" s="564">
        <f t="shared" si="230"/>
        <v>0</v>
      </c>
      <c r="E503" s="564" t="str">
        <f t="shared" si="230"/>
        <v>Antonio Rada</v>
      </c>
      <c r="F503" s="581" t="str">
        <f t="shared" si="230"/>
        <v xml:space="preserve"> Samuel Hiram Salazar Say</v>
      </c>
      <c r="G503" s="566">
        <f t="shared" si="230"/>
        <v>45071</v>
      </c>
      <c r="H503" s="716">
        <f>IF(OR(status1B5!I198="",H$7="No aplica"),0,SUM('BOULEVARD 5'!$K196:K196)-$AP503)</f>
        <v>0</v>
      </c>
      <c r="I503" s="716">
        <f>IF(OR(status1B5!J198="",I$7="No aplica"),0,SUM('BOULEVARD 5'!$K196:L196)-$AP503)</f>
        <v>0</v>
      </c>
      <c r="J503" s="716">
        <f>IF(OR(status1B5!K198="",J$7="No aplica"),0,SUM('BOULEVARD 5'!$K196:M196)-$AP503)</f>
        <v>-174300</v>
      </c>
      <c r="K503" s="716">
        <f>IF(OR(status1B5!L198="",K$7="No aplica"),0,SUM('BOULEVARD 5'!$K196:N196)-$AP503)</f>
        <v>-168075</v>
      </c>
      <c r="L503" s="716">
        <f>IF(OR(status1B5!M198="",L$7="No aplica"),0,SUM('BOULEVARD 5'!$K196:O196)-$AP503)</f>
        <v>-161850</v>
      </c>
      <c r="M503" s="716">
        <f>IF(OR(status1B5!N198="",M$7="No aplica"),0,SUM('BOULEVARD 5'!$K196:P196)-$AP503)</f>
        <v>-155625</v>
      </c>
      <c r="N503" s="716">
        <f>IF(OR(status1B5!O198="",N$7="No aplica"),0,SUM('BOULEVARD 5'!$K196:Q196)-$AP503)</f>
        <v>-149400</v>
      </c>
      <c r="O503" s="716">
        <f>IF(OR(status1B5!P198="",O$7="No aplica"),0,SUM('BOULEVARD 5'!$K196:R196)-$AP503)</f>
        <v>-143175</v>
      </c>
      <c r="P503" s="716">
        <f>IF(OR(status1B5!Q198="",P$7="No aplica"),0,SUM('BOULEVARD 5'!$K196:S196)-$AP503)</f>
        <v>-136950</v>
      </c>
      <c r="Q503" s="716">
        <f>IF(OR(status1B5!R198="",Q$7="No aplica"),0,SUM('BOULEVARD 5'!$K196:T196)-$AP503)</f>
        <v>-130725</v>
      </c>
      <c r="R503" s="716">
        <f>IF(OR(status1B5!S198="",R$7="No aplica"),0,SUM('BOULEVARD 5'!$K196:U196)-$AP503)</f>
        <v>-124500</v>
      </c>
      <c r="S503" s="716">
        <f>IF(OR(status1B5!T198="",S$7="No aplica"),0,SUM('BOULEVARD 5'!$K196:V196)-$AP503)</f>
        <v>-118275</v>
      </c>
      <c r="T503" s="716">
        <f>IF(OR(status1B5!U198="",T$7="No aplica"),0,SUM('BOULEVARD 5'!$K196:W196)-$AP503)</f>
        <v>-112050</v>
      </c>
      <c r="U503" s="716">
        <f>IF(OR(status1B5!V198="",U$7="No aplica"),0,SUM('BOULEVARD 5'!$K196:X196)-$AP503)</f>
        <v>-105825</v>
      </c>
      <c r="V503" s="716">
        <f>IF(OR(status1B5!W198="",V$7="No aplica"),0,SUM('BOULEVARD 5'!$K196:Y196)-$AP503)</f>
        <v>-99600</v>
      </c>
      <c r="W503" s="716">
        <f>IF(OR(status1B5!X198="",W$7="No aplica"),0,SUM('BOULEVARD 5'!$K196:Z196)-$AP503)</f>
        <v>-93375</v>
      </c>
      <c r="X503" s="716">
        <f>IF(OR(status1B5!Y198="",X$7="No aplica"),0,SUM('BOULEVARD 5'!$K196:AA196)-$AP503)</f>
        <v>-87150</v>
      </c>
      <c r="Y503" s="716">
        <f>IF(OR(status1B5!Z198="",Y$7="No aplica"),0,SUM('BOULEVARD 5'!$K196:AB196)-$AP503)</f>
        <v>-80925</v>
      </c>
      <c r="Z503" s="716">
        <f>IF(OR(status1B5!AA198="",Z$7="No aplica"),0,SUM('BOULEVARD 5'!$K196:AC196)-$AP503)</f>
        <v>-74700</v>
      </c>
      <c r="AA503" s="716">
        <f>IF(OR(status1B5!AB198="",AA$7="No aplica"),0,SUM('BOULEVARD 5'!$K196:AD196)-$AP503)</f>
        <v>-68475</v>
      </c>
      <c r="AB503" s="716">
        <f>IF(OR(status1B5!AC198="",AB$7="No aplica"),0,SUM('BOULEVARD 5'!$K196:AE196)-$AP503)</f>
        <v>-62250</v>
      </c>
      <c r="AC503" s="716">
        <f>IF(OR(status1B5!AD198="",AC$7="No aplica"),0,SUM('BOULEVARD 5'!$K196:AF196)-$AP503)</f>
        <v>-56025</v>
      </c>
      <c r="AD503" s="716">
        <f>IF(OR(status1B5!AE198="",AD$7="No aplica"),0,SUM('BOULEVARD 5'!$K196:AG196)-$AP503)</f>
        <v>-49800</v>
      </c>
      <c r="AE503" s="716">
        <f>IF(OR(status1B5!AF198="",AE$7="No aplica"),0,SUM('BOULEVARD 5'!$K196:AH196)-$AP503)</f>
        <v>-43575</v>
      </c>
      <c r="AF503" s="716">
        <f>IF(OR(status1B5!AG198="",AF$7="No aplica"),0,SUM('BOULEVARD 5'!$K196:AI196)-$AP503)</f>
        <v>-37350</v>
      </c>
      <c r="AG503" s="716">
        <f>IF(OR(status1B5!AH198="",AG$7="No aplica"),0,SUM('BOULEVARD 5'!$K196:AJ196)-$AP503)</f>
        <v>-31125</v>
      </c>
      <c r="AH503" s="716">
        <f>IF(OR(status1B5!AI198="",AH$7="No aplica"),0,SUM('BOULEVARD 5'!$K196:AK196)-$AP503)</f>
        <v>-24900</v>
      </c>
      <c r="AI503" s="716">
        <f>IF(OR(status1B5!AJ198="",AI$7="No aplica"),0,SUM('BOULEVARD 5'!$K196:AL196)-$AP503)</f>
        <v>-18675</v>
      </c>
      <c r="AJ503" s="716">
        <f>IF(OR(status1B5!AK198="",AJ$7="No aplica"),0,SUM('BOULEVARD 5'!$K196:AM196)-$AP503)</f>
        <v>-12450</v>
      </c>
      <c r="AK503" s="716">
        <f>IF(OR(status1B5!AL198="",AK$7="No aplica"),0,SUM('BOULEVARD 5'!$K196:AN196)-$AP503)</f>
        <v>-6225</v>
      </c>
      <c r="AL503" s="716">
        <f>IF(OR(status1B5!AM198="",AL$7="No aplica"),0,SUM('BOULEVARD 5'!$K196:AO196)-$AP503)</f>
        <v>0</v>
      </c>
      <c r="AM503" s="716">
        <f>IF(OR(status1B5!AN198="",AM$7="No aplica"),0,SUM('BOULEVARD 5'!$K196:AP196)-$AP503)</f>
        <v>6225</v>
      </c>
      <c r="AN503" s="716">
        <f>IF(OR(status1B5!AO198="",AN$7="No aplica"),0,SUM('BOULEVARD 5'!$K196:AQ196)-$AP503)</f>
        <v>0</v>
      </c>
      <c r="AO503" s="716">
        <f>IF(OR(status1B5!AP198="",AO$7="No aplica"),0,SUM('BOULEVARD 5'!$K196:AS196)-$AP503)</f>
        <v>0</v>
      </c>
      <c r="AP503" s="717">
        <f>'BOULEVARD PPTO'!BC191</f>
        <v>180300</v>
      </c>
      <c r="AQ503" s="717">
        <f>'BOULEVARD 5'!AT196</f>
        <v>205200</v>
      </c>
      <c r="AR503" s="717">
        <f t="shared" si="170"/>
        <v>24900</v>
      </c>
      <c r="AS503" s="717"/>
      <c r="AT503" s="581"/>
    </row>
    <row r="504" spans="1:46" ht="13.15" customHeight="1" outlineLevel="1" x14ac:dyDescent="0.25">
      <c r="A504" s="700">
        <f t="shared" si="168"/>
        <v>0</v>
      </c>
      <c r="B504" s="564">
        <f t="shared" ref="B504:G504" si="231">B199</f>
        <v>1104</v>
      </c>
      <c r="C504" s="564" t="str">
        <f t="shared" si="231"/>
        <v>B3</v>
      </c>
      <c r="D504" s="564">
        <f t="shared" si="231"/>
        <v>0</v>
      </c>
      <c r="E504" s="564" t="str">
        <f t="shared" si="231"/>
        <v>Antonio Rada</v>
      </c>
      <c r="F504" s="581" t="str">
        <f t="shared" si="231"/>
        <v>Denisse Hortencia Alarcon Diaz</v>
      </c>
      <c r="G504" s="566">
        <f t="shared" si="231"/>
        <v>45343</v>
      </c>
      <c r="H504" s="716">
        <f>IF(OR(status1B5!I199="",H$7="No aplica"),0,SUM('BOULEVARD 5'!$K197:K197)-$AP504)</f>
        <v>0</v>
      </c>
      <c r="I504" s="716">
        <f>IF(OR(status1B5!J199="",I$7="No aplica"),0,SUM('BOULEVARD 5'!$K197:L197)-$AP504)</f>
        <v>0</v>
      </c>
      <c r="J504" s="716">
        <f>IF(OR(status1B5!K199="",J$7="No aplica"),0,SUM('BOULEVARD 5'!$K197:M197)-$AP504)</f>
        <v>0</v>
      </c>
      <c r="K504" s="716">
        <f>IF(OR(status1B5!L199="",K$7="No aplica"),0,SUM('BOULEVARD 5'!$K197:N197)-$AP504)</f>
        <v>0</v>
      </c>
      <c r="L504" s="716">
        <f>IF(OR(status1B5!M199="",L$7="No aplica"),0,SUM('BOULEVARD 5'!$K197:O197)-$AP504)</f>
        <v>0</v>
      </c>
      <c r="M504" s="716">
        <f>IF(OR(status1B5!N199="",M$7="No aplica"),0,SUM('BOULEVARD 5'!$K197:P197)-$AP504)</f>
        <v>0</v>
      </c>
      <c r="N504" s="716">
        <f>IF(OR(status1B5!O199="",N$7="No aplica"),0,SUM('BOULEVARD 5'!$K197:Q197)-$AP504)</f>
        <v>0</v>
      </c>
      <c r="O504" s="716">
        <f>IF(OR(status1B5!P199="",O$7="No aplica"),0,SUM('BOULEVARD 5'!$K197:R197)-$AP504)</f>
        <v>0</v>
      </c>
      <c r="P504" s="716">
        <f>IF(OR(status1B5!Q199="",P$7="No aplica"),0,SUM('BOULEVARD 5'!$K197:S197)-$AP504)</f>
        <v>0</v>
      </c>
      <c r="Q504" s="716">
        <f>IF(OR(status1B5!R199="",Q$7="No aplica"),0,SUM('BOULEVARD 5'!$K197:T197)-$AP504)</f>
        <v>0</v>
      </c>
      <c r="R504" s="716">
        <f>IF(OR(status1B5!S199="",R$7="No aplica"),0,SUM('BOULEVARD 5'!$K197:U197)-$AP504)</f>
        <v>0</v>
      </c>
      <c r="S504" s="716">
        <f>IF(OR(status1B5!T199="",S$7="No aplica"),0,SUM('BOULEVARD 5'!$K197:V197)-$AP504)</f>
        <v>-80800</v>
      </c>
      <c r="T504" s="716">
        <f>IF(OR(status1B5!U199="",T$7="No aplica"),0,SUM('BOULEVARD 5'!$K197:W197)-$AP504)</f>
        <v>-76547</v>
      </c>
      <c r="U504" s="716">
        <f>IF(OR(status1B5!V199="",U$7="No aplica"),0,SUM('BOULEVARD 5'!$K197:X197)-$AP504)</f>
        <v>-72294</v>
      </c>
      <c r="V504" s="716">
        <f>IF(OR(status1B5!W199="",V$7="No aplica"),0,SUM('BOULEVARD 5'!$K197:Y197)-$AP504)</f>
        <v>-68041</v>
      </c>
      <c r="W504" s="716">
        <f>IF(OR(status1B5!X199="",W$7="No aplica"),0,SUM('BOULEVARD 5'!$K197:Z197)-$AP504)</f>
        <v>-63788</v>
      </c>
      <c r="X504" s="716">
        <f>IF(OR(status1B5!Y199="",X$7="No aplica"),0,SUM('BOULEVARD 5'!$K197:AA197)-$AP504)</f>
        <v>-59535</v>
      </c>
      <c r="Y504" s="716">
        <f>IF(OR(status1B5!Z199="",Y$7="No aplica"),0,SUM('BOULEVARD 5'!$K197:AB197)-$AP504)</f>
        <v>-55282</v>
      </c>
      <c r="Z504" s="716">
        <f>IF(OR(status1B5!AA199="",Z$7="No aplica"),0,SUM('BOULEVARD 5'!$K197:AC197)-$AP504)</f>
        <v>-51029</v>
      </c>
      <c r="AA504" s="716">
        <f>IF(OR(status1B5!AB199="",AA$7="No aplica"),0,SUM('BOULEVARD 5'!$K197:AD197)-$AP504)</f>
        <v>-46776</v>
      </c>
      <c r="AB504" s="716">
        <f>IF(OR(status1B5!AC199="",AB$7="No aplica"),0,SUM('BOULEVARD 5'!$K197:AE197)-$AP504)</f>
        <v>-42523</v>
      </c>
      <c r="AC504" s="716">
        <f>IF(OR(status1B5!AD199="",AC$7="No aplica"),0,SUM('BOULEVARD 5'!$K197:AF197)-$AP504)</f>
        <v>-38270</v>
      </c>
      <c r="AD504" s="716">
        <f>IF(OR(status1B5!AE199="",AD$7="No aplica"),0,SUM('BOULEVARD 5'!$K197:AG197)-$AP504)</f>
        <v>-34017</v>
      </c>
      <c r="AE504" s="716">
        <f>IF(OR(status1B5!AF199="",AE$7="No aplica"),0,SUM('BOULEVARD 5'!$K197:AH197)-$AP504)</f>
        <v>-29764</v>
      </c>
      <c r="AF504" s="716">
        <f>IF(OR(status1B5!AG199="",AF$7="No aplica"),0,SUM('BOULEVARD 5'!$K197:AI197)-$AP504)</f>
        <v>-25511</v>
      </c>
      <c r="AG504" s="716">
        <f>IF(OR(status1B5!AH199="",AG$7="No aplica"),0,SUM('BOULEVARD 5'!$K197:AJ197)-$AP504)</f>
        <v>-21258</v>
      </c>
      <c r="AH504" s="716">
        <f>IF(OR(status1B5!AI199="",AH$7="No aplica"),0,SUM('BOULEVARD 5'!$K197:AK197)-$AP504)</f>
        <v>-17005</v>
      </c>
      <c r="AI504" s="716">
        <f>IF(OR(status1B5!AJ199="",AI$7="No aplica"),0,SUM('BOULEVARD 5'!$K197:AL197)-$AP504)</f>
        <v>-12752</v>
      </c>
      <c r="AJ504" s="716">
        <f>IF(OR(status1B5!AK199="",AJ$7="No aplica"),0,SUM('BOULEVARD 5'!$K197:AM197)-$AP504)</f>
        <v>-8499</v>
      </c>
      <c r="AK504" s="716">
        <f>IF(OR(status1B5!AL199="",AK$7="No aplica"),0,SUM('BOULEVARD 5'!$K197:AN197)-$AP504)</f>
        <v>-4246</v>
      </c>
      <c r="AL504" s="716">
        <f>IF(OR(status1B5!AM199="",AL$7="No aplica"),0,SUM('BOULEVARD 5'!$K197:AO197)-$AP504)</f>
        <v>7</v>
      </c>
      <c r="AM504" s="716">
        <f>IF(OR(status1B5!AN199="",AM$7="No aplica"),0,SUM('BOULEVARD 5'!$K197:AP197)-$AP504)</f>
        <v>4260</v>
      </c>
      <c r="AN504" s="716">
        <f>IF(OR(status1B5!AO199="",AN$7="No aplica"),0,SUM('BOULEVARD 5'!$K197:AQ197)-$AP504)</f>
        <v>0</v>
      </c>
      <c r="AO504" s="716">
        <f>IF(OR(status1B5!AP199="",AO$7="No aplica"),0,SUM('BOULEVARD 5'!$K197:AS197)-$AP504)</f>
        <v>0</v>
      </c>
      <c r="AP504" s="717">
        <f>'BOULEVARD PPTO'!BC192</f>
        <v>88800</v>
      </c>
      <c r="AQ504" s="717">
        <f>'BOULEVARD 5'!AT197</f>
        <v>97313</v>
      </c>
      <c r="AR504" s="717">
        <f t="shared" si="170"/>
        <v>8513</v>
      </c>
      <c r="AS504" s="717"/>
      <c r="AT504" s="581"/>
    </row>
    <row r="505" spans="1:46" ht="13.15" customHeight="1" outlineLevel="1" x14ac:dyDescent="0.25">
      <c r="A505" s="700">
        <f t="shared" si="168"/>
        <v>0</v>
      </c>
      <c r="B505" s="564">
        <f t="shared" ref="B505:G505" si="232">B200</f>
        <v>1105</v>
      </c>
      <c r="C505" s="564" t="str">
        <f t="shared" si="232"/>
        <v>A6</v>
      </c>
      <c r="D505" s="564">
        <f t="shared" si="232"/>
        <v>0</v>
      </c>
      <c r="E505" s="564" t="str">
        <f t="shared" si="232"/>
        <v>Brenda Búcaro</v>
      </c>
      <c r="F505" s="581" t="str">
        <f t="shared" si="232"/>
        <v>Luis Pedro Escobedo De Cid</v>
      </c>
      <c r="G505" s="566">
        <f t="shared" si="232"/>
        <v>45012</v>
      </c>
      <c r="H505" s="716">
        <f>IF(OR(status1B5!I200="",H$7="No aplica"),0,SUM('BOULEVARD 5'!$K198:K198)-$AP505)</f>
        <v>-22892.699999999997</v>
      </c>
      <c r="I505" s="716">
        <f>IF(OR(status1B5!J200="",I$7="No aplica"),0,SUM('BOULEVARD 5'!$K198:L198)-$AP505)</f>
        <v>-21892.699999999997</v>
      </c>
      <c r="J505" s="716">
        <f>IF(OR(status1B5!K200="",J$7="No aplica"),0,SUM('BOULEVARD 5'!$K198:M198)-$AP505)</f>
        <v>-20892.699999999997</v>
      </c>
      <c r="K505" s="716">
        <f>IF(OR(status1B5!L200="",K$7="No aplica"),0,SUM('BOULEVARD 5'!$K198:N198)-$AP505)</f>
        <v>-20892.699999999997</v>
      </c>
      <c r="L505" s="716">
        <f>IF(OR(status1B5!M200="",L$7="No aplica"),0,SUM('BOULEVARD 5'!$K198:O198)-$AP505)</f>
        <v>-18892.699999999997</v>
      </c>
      <c r="M505" s="716">
        <f>IF(OR(status1B5!N200="",M$7="No aplica"),0,SUM('BOULEVARD 5'!$K198:P198)-$AP505)</f>
        <v>-16892.699999999997</v>
      </c>
      <c r="N505" s="716">
        <f>IF(OR(status1B5!O200="",N$7="No aplica"),0,SUM('BOULEVARD 5'!$K198:Q198)-$AP505)</f>
        <v>-15892.699999999997</v>
      </c>
      <c r="O505" s="716">
        <f>IF(OR(status1B5!P200="",O$7="No aplica"),0,SUM('BOULEVARD 5'!$K198:R198)-$AP505)</f>
        <v>-14892.699999999997</v>
      </c>
      <c r="P505" s="716">
        <f>IF(OR(status1B5!Q200="",P$7="No aplica"),0,SUM('BOULEVARD 5'!$K198:S198)-$AP505)</f>
        <v>-13892.699999999997</v>
      </c>
      <c r="Q505" s="716">
        <f>IF(OR(status1B5!R200="",Q$7="No aplica"),0,SUM('BOULEVARD 5'!$K198:T198)-$AP505)</f>
        <v>-12892.699999999997</v>
      </c>
      <c r="R505" s="716">
        <f>IF(OR(status1B5!S200="",R$7="No aplica"),0,SUM('BOULEVARD 5'!$K198:U198)-$AP505)</f>
        <v>-12892.699999999997</v>
      </c>
      <c r="S505" s="716">
        <f>IF(OR(status1B5!T200="",S$7="No aplica"),0,SUM('BOULEVARD 5'!$K198:V198)-$AP505)</f>
        <v>-11892.699999999997</v>
      </c>
      <c r="T505" s="716">
        <f>IF(OR(status1B5!U200="",T$7="No aplica"),0,SUM('BOULEVARD 5'!$K198:W198)-$AP505)</f>
        <v>-11892.699999999997</v>
      </c>
      <c r="U505" s="716">
        <f>IF(OR(status1B5!V200="",U$7="No aplica"),0,SUM('BOULEVARD 5'!$K198:X198)-$AP505)</f>
        <v>-9892.6999999999971</v>
      </c>
      <c r="V505" s="716">
        <f>IF(OR(status1B5!W200="",V$7="No aplica"),0,SUM('BOULEVARD 5'!$K198:Y198)-$AP505)</f>
        <v>-9892.6999999999971</v>
      </c>
      <c r="W505" s="716">
        <f>IF(OR(status1B5!X200="",W$7="No aplica"),0,SUM('BOULEVARD 5'!$K198:Z198)-$AP505)</f>
        <v>-8892.6999999999971</v>
      </c>
      <c r="X505" s="716">
        <f>IF(OR(status1B5!Y200="",X$7="No aplica"),0,SUM('BOULEVARD 5'!$K198:AA198)-$AP505)</f>
        <v>-7892.6999999999971</v>
      </c>
      <c r="Y505" s="716">
        <f>IF(OR(status1B5!Z200="",Y$7="No aplica"),0,SUM('BOULEVARD 5'!$K198:AB198)-$AP505)</f>
        <v>-6892.6999999999971</v>
      </c>
      <c r="Z505" s="716">
        <f>IF(OR(status1B5!AA200="",Z$7="No aplica"),0,SUM('BOULEVARD 5'!$K198:AC198)-$AP505)</f>
        <v>-5892.6999999999971</v>
      </c>
      <c r="AA505" s="716">
        <f>IF(OR(status1B5!AB200="",AA$7="No aplica"),0,SUM('BOULEVARD 5'!$K198:AD198)-$AP505)</f>
        <v>-4892.6999999999971</v>
      </c>
      <c r="AB505" s="716">
        <f>IF(OR(status1B5!AC200="",AB$7="No aplica"),0,SUM('BOULEVARD 5'!$K198:AE198)-$AP505)</f>
        <v>-3892.6999999999971</v>
      </c>
      <c r="AC505" s="716">
        <f>IF(OR(status1B5!AD200="",AC$7="No aplica"),0,SUM('BOULEVARD 5'!$K198:AF198)-$AP505)</f>
        <v>-2892.6999999999971</v>
      </c>
      <c r="AD505" s="716">
        <f>IF(OR(status1B5!AE200="",AD$7="No aplica"),0,SUM('BOULEVARD 5'!$K198:AG198)-$AP505)</f>
        <v>-1892.6999999999971</v>
      </c>
      <c r="AE505" s="716">
        <f>IF(OR(status1B5!AF200="",AE$7="No aplica"),0,SUM('BOULEVARD 5'!$K198:AH198)-$AP505)</f>
        <v>-892.69999999999709</v>
      </c>
      <c r="AF505" s="716">
        <f>IF(OR(status1B5!AG200="",AF$7="No aplica"),0,SUM('BOULEVARD 5'!$K198:AI198)-$AP505)</f>
        <v>107.30000000000291</v>
      </c>
      <c r="AG505" s="716">
        <f>IF(OR(status1B5!AH200="",AG$7="No aplica"),0,SUM('BOULEVARD 5'!$K198:AJ198)-$AP505)</f>
        <v>107.30000000000291</v>
      </c>
      <c r="AH505" s="716">
        <f>IF(OR(status1B5!AI200="",AH$7="No aplica"),0,SUM('BOULEVARD 5'!$K198:AK198)-$AP505)</f>
        <v>107.30000000000291</v>
      </c>
      <c r="AI505" s="716">
        <f>IF(OR(status1B5!AJ200="",AI$7="No aplica"),0,SUM('BOULEVARD 5'!$K198:AL198)-$AP505)</f>
        <v>107.30000000000291</v>
      </c>
      <c r="AJ505" s="716">
        <f>IF(OR(status1B5!AK200="",AJ$7="No aplica"),0,SUM('BOULEVARD 5'!$K198:AM198)-$AP505)</f>
        <v>107.30000000000291</v>
      </c>
      <c r="AK505" s="716">
        <f>IF(OR(status1B5!AL200="",AK$7="No aplica"),0,SUM('BOULEVARD 5'!$K198:AN198)-$AP505)</f>
        <v>107.30000000000291</v>
      </c>
      <c r="AL505" s="716">
        <f>IF(OR(status1B5!AM200="",AL$7="No aplica"),0,SUM('BOULEVARD 5'!$K198:AO198)-$AP505)</f>
        <v>107.30000000000291</v>
      </c>
      <c r="AM505" s="716">
        <f>IF(OR(status1B5!AN200="",AM$7="No aplica"),0,SUM('BOULEVARD 5'!$K198:AP198)-$AP505)</f>
        <v>107.30000000000291</v>
      </c>
      <c r="AN505" s="716">
        <f>IF(OR(status1B5!AO200="",AN$7="No aplica"),0,SUM('BOULEVARD 5'!$K198:AQ198)-$AP505)</f>
        <v>0</v>
      </c>
      <c r="AO505" s="716">
        <f>IF(OR(status1B5!AP200="",AO$7="No aplica"),0,SUM('BOULEVARD 5'!$K198:AS198)-$AP505)</f>
        <v>0</v>
      </c>
      <c r="AP505" s="717">
        <f>'BOULEVARD PPTO'!BC193</f>
        <v>65892.7</v>
      </c>
      <c r="AQ505" s="717">
        <f>'BOULEVARD 5'!AT198</f>
        <v>66000</v>
      </c>
      <c r="AR505" s="717">
        <f t="shared" si="170"/>
        <v>107.30000000000291</v>
      </c>
      <c r="AS505" s="717"/>
      <c r="AT505" s="581"/>
    </row>
    <row r="506" spans="1:46" ht="13.15" customHeight="1" outlineLevel="1" x14ac:dyDescent="0.25">
      <c r="A506" s="700">
        <f t="shared" si="168"/>
        <v>0</v>
      </c>
      <c r="B506" s="564">
        <f t="shared" ref="B506:G506" si="233">B201</f>
        <v>1106</v>
      </c>
      <c r="C506" s="564" t="str">
        <f t="shared" si="233"/>
        <v>A4</v>
      </c>
      <c r="D506" s="564">
        <f t="shared" si="233"/>
        <v>0</v>
      </c>
      <c r="E506" s="564" t="str">
        <f t="shared" si="233"/>
        <v>Antonio Rada</v>
      </c>
      <c r="F506" s="581" t="str">
        <f t="shared" si="233"/>
        <v>Emerson Emanuel Menendez Rodas</v>
      </c>
      <c r="G506" s="566">
        <f t="shared" si="233"/>
        <v>45043</v>
      </c>
      <c r="H506" s="716">
        <f>IF(OR(status1B5!I201="",H$7="No aplica"),0,SUM('BOULEVARD 5'!$K199:K199)-$AP506)</f>
        <v>0</v>
      </c>
      <c r="I506" s="716">
        <f>IF(OR(status1B5!J201="",I$7="No aplica"),0,SUM('BOULEVARD 5'!$K199:L199)-$AP506)</f>
        <v>-54200</v>
      </c>
      <c r="J506" s="716">
        <f>IF(OR(status1B5!K201="",J$7="No aplica"),0,SUM('BOULEVARD 5'!$K199:M199)-$AP506)</f>
        <v>-52331</v>
      </c>
      <c r="K506" s="716">
        <f>IF(OR(status1B5!L201="",K$7="No aplica"),0,SUM('BOULEVARD 5'!$K199:N199)-$AP506)</f>
        <v>-50462</v>
      </c>
      <c r="L506" s="716">
        <f>IF(OR(status1B5!M201="",L$7="No aplica"),0,SUM('BOULEVARD 5'!$K199:O199)-$AP506)</f>
        <v>-48593</v>
      </c>
      <c r="M506" s="716">
        <f>IF(OR(status1B5!N201="",M$7="No aplica"),0,SUM('BOULEVARD 5'!$K199:P199)-$AP506)</f>
        <v>-46724</v>
      </c>
      <c r="N506" s="716">
        <f>IF(OR(status1B5!O201="",N$7="No aplica"),0,SUM('BOULEVARD 5'!$K199:Q199)-$AP506)</f>
        <v>-44855</v>
      </c>
      <c r="O506" s="716">
        <f>IF(OR(status1B5!P201="",O$7="No aplica"),0,SUM('BOULEVARD 5'!$K199:R199)-$AP506)</f>
        <v>-42986</v>
      </c>
      <c r="P506" s="716">
        <f>IF(OR(status1B5!Q201="",P$7="No aplica"),0,SUM('BOULEVARD 5'!$K199:S199)-$AP506)</f>
        <v>-41117</v>
      </c>
      <c r="Q506" s="716">
        <f>IF(OR(status1B5!R201="",Q$7="No aplica"),0,SUM('BOULEVARD 5'!$K199:T199)-$AP506)</f>
        <v>-39248</v>
      </c>
      <c r="R506" s="716">
        <f>IF(OR(status1B5!S201="",R$7="No aplica"),0,SUM('BOULEVARD 5'!$K199:U199)-$AP506)</f>
        <v>-37379</v>
      </c>
      <c r="S506" s="716">
        <f>IF(OR(status1B5!T201="",S$7="No aplica"),0,SUM('BOULEVARD 5'!$K199:V199)-$AP506)</f>
        <v>-35510</v>
      </c>
      <c r="T506" s="716">
        <f>IF(OR(status1B5!U201="",T$7="No aplica"),0,SUM('BOULEVARD 5'!$K199:W199)-$AP506)</f>
        <v>-33641</v>
      </c>
      <c r="U506" s="716">
        <f>IF(OR(status1B5!V201="",U$7="No aplica"),0,SUM('BOULEVARD 5'!$K199:X199)-$AP506)</f>
        <v>-31772</v>
      </c>
      <c r="V506" s="716">
        <f>IF(OR(status1B5!W201="",V$7="No aplica"),0,SUM('BOULEVARD 5'!$K199:Y199)-$AP506)</f>
        <v>-29903</v>
      </c>
      <c r="W506" s="716">
        <f>IF(OR(status1B5!X201="",W$7="No aplica"),0,SUM('BOULEVARD 5'!$K199:Z199)-$AP506)</f>
        <v>-28034</v>
      </c>
      <c r="X506" s="716">
        <f>IF(OR(status1B5!Y201="",X$7="No aplica"),0,SUM('BOULEVARD 5'!$K199:AA199)-$AP506)</f>
        <v>-26165</v>
      </c>
      <c r="Y506" s="716">
        <f>IF(OR(status1B5!Z201="",Y$7="No aplica"),0,SUM('BOULEVARD 5'!$K199:AB199)-$AP506)</f>
        <v>-24296</v>
      </c>
      <c r="Z506" s="716">
        <f>IF(OR(status1B5!AA201="",Z$7="No aplica"),0,SUM('BOULEVARD 5'!$K199:AC199)-$AP506)</f>
        <v>-22427</v>
      </c>
      <c r="AA506" s="716">
        <f>IF(OR(status1B5!AB201="",AA$7="No aplica"),0,SUM('BOULEVARD 5'!$K199:AD199)-$AP506)</f>
        <v>-20558</v>
      </c>
      <c r="AB506" s="716">
        <f>IF(OR(status1B5!AC201="",AB$7="No aplica"),0,SUM('BOULEVARD 5'!$K199:AE199)-$AP506)</f>
        <v>-18689</v>
      </c>
      <c r="AC506" s="716">
        <f>IF(OR(status1B5!AD201="",AC$7="No aplica"),0,SUM('BOULEVARD 5'!$K199:AF199)-$AP506)</f>
        <v>-16820</v>
      </c>
      <c r="AD506" s="716">
        <f>IF(OR(status1B5!AE201="",AD$7="No aplica"),0,SUM('BOULEVARD 5'!$K199:AG199)-$AP506)</f>
        <v>-16820</v>
      </c>
      <c r="AE506" s="716">
        <f>IF(OR(status1B5!AF201="",AE$7="No aplica"),0,SUM('BOULEVARD 5'!$K199:AH199)-$AP506)</f>
        <v>-13082</v>
      </c>
      <c r="AF506" s="716">
        <f>IF(OR(status1B5!AG201="",AF$7="No aplica"),0,SUM('BOULEVARD 5'!$K199:AI199)-$AP506)</f>
        <v>-11213</v>
      </c>
      <c r="AG506" s="716">
        <f>IF(OR(status1B5!AH201="",AG$7="No aplica"),0,SUM('BOULEVARD 5'!$K199:AJ199)-$AP506)</f>
        <v>-9344</v>
      </c>
      <c r="AH506" s="716">
        <f>IF(OR(status1B5!AI201="",AH$7="No aplica"),0,SUM('BOULEVARD 5'!$K199:AK199)-$AP506)</f>
        <v>-7475</v>
      </c>
      <c r="AI506" s="716">
        <f>IF(OR(status1B5!AJ201="",AI$7="No aplica"),0,SUM('BOULEVARD 5'!$K199:AL199)-$AP506)</f>
        <v>-7475</v>
      </c>
      <c r="AJ506" s="716">
        <f>IF(OR(status1B5!AK201="",AJ$7="No aplica"),0,SUM('BOULEVARD 5'!$K199:AM199)-$AP506)</f>
        <v>-3737</v>
      </c>
      <c r="AK506" s="716">
        <f>IF(OR(status1B5!AL201="",AK$7="No aplica"),0,SUM('BOULEVARD 5'!$K199:AN199)-$AP506)</f>
        <v>-1868</v>
      </c>
      <c r="AL506" s="716">
        <f>IF(OR(status1B5!AM201="",AL$7="No aplica"),0,SUM('BOULEVARD 5'!$K199:AO199)-$AP506)</f>
        <v>0</v>
      </c>
      <c r="AM506" s="716">
        <f>IF(OR(status1B5!AN201="",AM$7="No aplica"),0,SUM('BOULEVARD 5'!$K199:AP199)-$AP506)</f>
        <v>0</v>
      </c>
      <c r="AN506" s="716">
        <f>IF(OR(status1B5!AO201="",AN$7="No aplica"),0,SUM('BOULEVARD 5'!$K199:AQ199)-$AP506)</f>
        <v>0</v>
      </c>
      <c r="AO506" s="716">
        <f>IF(OR(status1B5!AP201="",AO$7="No aplica"),0,SUM('BOULEVARD 5'!$K199:AS199)-$AP506)</f>
        <v>0</v>
      </c>
      <c r="AP506" s="717">
        <f>'BOULEVARD PPTO'!BC194</f>
        <v>66200</v>
      </c>
      <c r="AQ506" s="717">
        <f>'BOULEVARD 5'!AT199</f>
        <v>66200</v>
      </c>
      <c r="AR506" s="717">
        <f t="shared" si="170"/>
        <v>0</v>
      </c>
      <c r="AS506" s="717"/>
      <c r="AT506" s="581"/>
    </row>
    <row r="507" spans="1:46" ht="13.15" customHeight="1" outlineLevel="1" x14ac:dyDescent="0.25">
      <c r="A507" s="700" t="str">
        <f t="shared" ref="A507:A570" si="234">A202</f>
        <v>F&amp;F</v>
      </c>
      <c r="B507" s="704">
        <f t="shared" ref="B507:G507" si="235">B202</f>
        <v>1107</v>
      </c>
      <c r="C507" s="704" t="str">
        <f t="shared" si="235"/>
        <v>A12</v>
      </c>
      <c r="D507" s="704">
        <f t="shared" si="235"/>
        <v>0</v>
      </c>
      <c r="E507" s="704" t="str">
        <f t="shared" si="235"/>
        <v>Ronaldo</v>
      </c>
      <c r="F507" s="705" t="str">
        <f t="shared" si="235"/>
        <v>International Coffee Industry, S.A</v>
      </c>
      <c r="G507" s="566">
        <f t="shared" si="235"/>
        <v>45300</v>
      </c>
      <c r="H507" s="716">
        <f>IF(OR(status1B5!I202="",H$7="No aplica"),0,SUM('BOULEVARD 5'!$K200:K200)-$AP507)</f>
        <v>0</v>
      </c>
      <c r="I507" s="716">
        <f>IF(OR(status1B5!J202="",I$7="No aplica"),0,SUM('BOULEVARD 5'!$K200:L200)-$AP507)</f>
        <v>0</v>
      </c>
      <c r="J507" s="716">
        <f>IF(OR(status1B5!K202="",J$7="No aplica"),0,SUM('BOULEVARD 5'!$K200:M200)-$AP507)</f>
        <v>0</v>
      </c>
      <c r="K507" s="716">
        <f>IF(OR(status1B5!L202="",K$7="No aplica"),0,SUM('BOULEVARD 5'!$K200:N200)-$AP507)</f>
        <v>0</v>
      </c>
      <c r="L507" s="716">
        <f>IF(OR(status1B5!M202="",L$7="No aplica"),0,SUM('BOULEVARD 5'!$K200:O200)-$AP507)</f>
        <v>0</v>
      </c>
      <c r="M507" s="716">
        <f>IF(OR(status1B5!N202="",M$7="No aplica"),0,SUM('BOULEVARD 5'!$K200:P200)-$AP507)</f>
        <v>0</v>
      </c>
      <c r="N507" s="716">
        <f>IF(OR(status1B5!O202="",N$7="No aplica"),0,SUM('BOULEVARD 5'!$K200:Q200)-$AP507)</f>
        <v>0</v>
      </c>
      <c r="O507" s="716">
        <f>IF(OR(status1B5!P202="",O$7="No aplica"),0,SUM('BOULEVARD 5'!$K200:R200)-$AP507)</f>
        <v>0</v>
      </c>
      <c r="P507" s="716">
        <f>IF(OR(status1B5!Q202="",P$7="No aplica"),0,SUM('BOULEVARD 5'!$K200:S200)-$AP507)</f>
        <v>0</v>
      </c>
      <c r="Q507" s="716">
        <f>IF(OR(status1B5!R202="",Q$7="No aplica"),0,SUM('BOULEVARD 5'!$K200:T200)-$AP507)</f>
        <v>0</v>
      </c>
      <c r="R507" s="716">
        <f>IF(OR(status1B5!S202="",R$7="No aplica"),0,SUM('BOULEVARD 5'!$K200:U200)-$AP507)</f>
        <v>0</v>
      </c>
      <c r="S507" s="716">
        <f>IF(OR(status1B5!T202="",S$7="No aplica"),0,SUM('BOULEVARD 5'!$K200:V200)-$AP507)</f>
        <v>0</v>
      </c>
      <c r="T507" s="716">
        <f>IF(OR(status1B5!U202="",T$7="No aplica"),0,SUM('BOULEVARD 5'!$K200:W200)-$AP507)</f>
        <v>0</v>
      </c>
      <c r="U507" s="716">
        <f>IF(OR(status1B5!V202="",U$7="No aplica"),0,SUM('BOULEVARD 5'!$K200:X200)-$AP507)</f>
        <v>0</v>
      </c>
      <c r="V507" s="716">
        <f>IF(OR(status1B5!W202="",V$7="No aplica"),0,SUM('BOULEVARD 5'!$K200:Y200)-$AP507)</f>
        <v>0</v>
      </c>
      <c r="W507" s="716">
        <f>IF(OR(status1B5!X202="",W$7="No aplica"),0,SUM('BOULEVARD 5'!$K200:Z200)-$AP507)</f>
        <v>0</v>
      </c>
      <c r="X507" s="716">
        <f>IF(OR(status1B5!Y202="",X$7="No aplica"),0,SUM('BOULEVARD 5'!$K200:AA200)-$AP507)</f>
        <v>0</v>
      </c>
      <c r="Y507" s="716">
        <f>IF(OR(status1B5!Z202="",Y$7="No aplica"),0,SUM('BOULEVARD 5'!$K200:AB200)-$AP507)</f>
        <v>0</v>
      </c>
      <c r="Z507" s="716">
        <f>IF(OR(status1B5!AA202="",Z$7="No aplica"),0,SUM('BOULEVARD 5'!$K200:AC200)-$AP507)</f>
        <v>0</v>
      </c>
      <c r="AA507" s="716">
        <f>IF(OR(status1B5!AB202="",AA$7="No aplica"),0,SUM('BOULEVARD 5'!$K200:AD200)-$AP507)</f>
        <v>0</v>
      </c>
      <c r="AB507" s="716">
        <f>IF(OR(status1B5!AC202="",AB$7="No aplica"),0,SUM('BOULEVARD 5'!$K200:AE200)-$AP507)</f>
        <v>0</v>
      </c>
      <c r="AC507" s="716">
        <f>IF(OR(status1B5!AD202="",AC$7="No aplica"),0,SUM('BOULEVARD 5'!$K200:AF200)-$AP507)</f>
        <v>0</v>
      </c>
      <c r="AD507" s="716">
        <f>IF(OR(status1B5!AE202="",AD$7="No aplica"),0,SUM('BOULEVARD 5'!$K200:AG200)-$AP507)</f>
        <v>0</v>
      </c>
      <c r="AE507" s="716">
        <f>IF(OR(status1B5!AF202="",AE$7="No aplica"),0,SUM('BOULEVARD 5'!$K200:AH200)-$AP507)</f>
        <v>0</v>
      </c>
      <c r="AF507" s="716">
        <f>IF(OR(status1B5!AG202="",AF$7="No aplica"),0,SUM('BOULEVARD 5'!$K200:AI200)-$AP507)</f>
        <v>0</v>
      </c>
      <c r="AG507" s="716">
        <f>IF(OR(status1B5!AH202="",AG$7="No aplica"),0,SUM('BOULEVARD 5'!$K200:AJ200)-$AP507)</f>
        <v>0</v>
      </c>
      <c r="AH507" s="716">
        <f>IF(OR(status1B5!AI202="",AH$7="No aplica"),0,SUM('BOULEVARD 5'!$K200:AK200)-$AP507)</f>
        <v>0</v>
      </c>
      <c r="AI507" s="716">
        <f>IF(OR(status1B5!AJ202="",AI$7="No aplica"),0,SUM('BOULEVARD 5'!$K200:AL200)-$AP507)</f>
        <v>0</v>
      </c>
      <c r="AJ507" s="716">
        <f>IF(OR(status1B5!AK202="",AJ$7="No aplica"),0,SUM('BOULEVARD 5'!$K200:AM200)-$AP507)</f>
        <v>0</v>
      </c>
      <c r="AK507" s="716">
        <f>IF(OR(status1B5!AL202="",AK$7="No aplica"),0,SUM('BOULEVARD 5'!$K200:AN200)-$AP507)</f>
        <v>0</v>
      </c>
      <c r="AL507" s="716">
        <f>IF(OR(status1B5!AM202="",AL$7="No aplica"),0,SUM('BOULEVARD 5'!$K200:AO200)-$AP507)</f>
        <v>0</v>
      </c>
      <c r="AM507" s="716">
        <f>IF(OR(status1B5!AN202="",AM$7="No aplica"),0,SUM('BOULEVARD 5'!$K200:AP200)-$AP507)</f>
        <v>0</v>
      </c>
      <c r="AN507" s="716">
        <f>IF(OR(status1B5!AO202="",AN$7="No aplica"),0,SUM('BOULEVARD 5'!$K200:AQ200)-$AP507)</f>
        <v>0</v>
      </c>
      <c r="AO507" s="716">
        <f>IF(OR(status1B5!AP202="",AO$7="No aplica"),0,SUM('BOULEVARD 5'!$K200:AS200)-$AP507)</f>
        <v>0</v>
      </c>
      <c r="AP507" s="717">
        <f>'BOULEVARD PPTO'!BC195</f>
        <v>68520</v>
      </c>
      <c r="AQ507" s="717">
        <f>'BOULEVARD 5'!AT200</f>
        <v>0</v>
      </c>
      <c r="AR507" s="717">
        <f t="shared" ref="AR507:AR570" si="236">AQ507-AP507</f>
        <v>-68520</v>
      </c>
      <c r="AS507" s="717"/>
      <c r="AT507" s="581"/>
    </row>
    <row r="508" spans="1:46" ht="13.15" customHeight="1" outlineLevel="1" x14ac:dyDescent="0.25">
      <c r="A508" s="700">
        <f t="shared" si="234"/>
        <v>0</v>
      </c>
      <c r="B508" s="564">
        <f t="shared" ref="B508:G508" si="237">B203</f>
        <v>1108</v>
      </c>
      <c r="C508" s="564" t="str">
        <f t="shared" si="237"/>
        <v>C6</v>
      </c>
      <c r="D508" s="564">
        <f t="shared" si="237"/>
        <v>0</v>
      </c>
      <c r="E508" s="564" t="str">
        <f t="shared" si="237"/>
        <v>Brenda Búcaro</v>
      </c>
      <c r="F508" s="581" t="str">
        <f t="shared" si="237"/>
        <v>Denis Orlando Coto Zelaya</v>
      </c>
      <c r="G508" s="566">
        <f t="shared" si="237"/>
        <v>45013</v>
      </c>
      <c r="H508" s="716">
        <f>IF(OR(status1B5!I203="",H$7="No aplica"),0,SUM('BOULEVARD 5'!$K201:K201)-$AP508)</f>
        <v>0</v>
      </c>
      <c r="I508" s="716">
        <f>IF(OR(status1B5!J203="",I$7="No aplica"),0,SUM('BOULEVARD 5'!$K201:L201)-$AP508)</f>
        <v>0</v>
      </c>
      <c r="J508" s="716">
        <f>IF(OR(status1B5!K203="",J$7="No aplica"),0,SUM('BOULEVARD 5'!$K201:M201)-$AP508)</f>
        <v>0</v>
      </c>
      <c r="K508" s="716">
        <f>IF(OR(status1B5!L203="",K$7="No aplica"),0,SUM('BOULEVARD 5'!$K201:N201)-$AP508)</f>
        <v>0</v>
      </c>
      <c r="L508" s="716">
        <f>IF(OR(status1B5!M203="",L$7="No aplica"),0,SUM('BOULEVARD 5'!$K201:O201)-$AP508)</f>
        <v>0</v>
      </c>
      <c r="M508" s="716">
        <f>IF(OR(status1B5!N203="",M$7="No aplica"),0,SUM('BOULEVARD 5'!$K201:P201)-$AP508)</f>
        <v>0</v>
      </c>
      <c r="N508" s="716">
        <f>IF(OR(status1B5!O203="",N$7="No aplica"),0,SUM('BOULEVARD 5'!$K201:Q201)-$AP508)</f>
        <v>0</v>
      </c>
      <c r="O508" s="716">
        <f>IF(OR(status1B5!P203="",O$7="No aplica"),0,SUM('BOULEVARD 5'!$K201:R201)-$AP508)</f>
        <v>0</v>
      </c>
      <c r="P508" s="716">
        <f>IF(OR(status1B5!Q203="",P$7="No aplica"),0,SUM('BOULEVARD 5'!$K201:S201)-$AP508)</f>
        <v>0</v>
      </c>
      <c r="Q508" s="716">
        <f>IF(OR(status1B5!R203="",Q$7="No aplica"),0,SUM('BOULEVARD 5'!$K201:T201)-$AP508)</f>
        <v>0</v>
      </c>
      <c r="R508" s="716">
        <f>IF(OR(status1B5!S203="",R$7="No aplica"),0,SUM('BOULEVARD 5'!$K201:U201)-$AP508)</f>
        <v>0</v>
      </c>
      <c r="S508" s="716">
        <f>IF(OR(status1B5!T203="",S$7="No aplica"),0,SUM('BOULEVARD 5'!$K201:V201)-$AP508)</f>
        <v>0</v>
      </c>
      <c r="T508" s="716">
        <f>IF(OR(status1B5!U203="",T$7="No aplica"),0,SUM('BOULEVARD 5'!$K201:W201)-$AP508)</f>
        <v>0</v>
      </c>
      <c r="U508" s="716">
        <f>IF(OR(status1B5!V203="",U$7="No aplica"),0,SUM('BOULEVARD 5'!$K201:X201)-$AP508)</f>
        <v>0</v>
      </c>
      <c r="V508" s="716">
        <f>IF(OR(status1B5!W203="",V$7="No aplica"),0,SUM('BOULEVARD 5'!$K201:Y201)-$AP508)</f>
        <v>0</v>
      </c>
      <c r="W508" s="716">
        <f>IF(OR(status1B5!X203="",W$7="No aplica"),0,SUM('BOULEVARD 5'!$K201:Z201)-$AP508)</f>
        <v>0</v>
      </c>
      <c r="X508" s="716">
        <f>IF(OR(status1B5!Y203="",X$7="No aplica"),0,SUM('BOULEVARD 5'!$K201:AA201)-$AP508)</f>
        <v>0</v>
      </c>
      <c r="Y508" s="716">
        <f>IF(OR(status1B5!Z203="",Y$7="No aplica"),0,SUM('BOULEVARD 5'!$K201:AB201)-$AP508)</f>
        <v>0</v>
      </c>
      <c r="Z508" s="716">
        <f>IF(OR(status1B5!AA203="",Z$7="No aplica"),0,SUM('BOULEVARD 5'!$K201:AC201)-$AP508)</f>
        <v>0</v>
      </c>
      <c r="AA508" s="716">
        <f>IF(OR(status1B5!AB203="",AA$7="No aplica"),0,SUM('BOULEVARD 5'!$K201:AD201)-$AP508)</f>
        <v>0</v>
      </c>
      <c r="AB508" s="716">
        <f>IF(OR(status1B5!AC203="",AB$7="No aplica"),0,SUM('BOULEVARD 5'!$K201:AE201)-$AP508)</f>
        <v>0</v>
      </c>
      <c r="AC508" s="716">
        <f>IF(OR(status1B5!AD203="",AC$7="No aplica"),0,SUM('BOULEVARD 5'!$K201:AF201)-$AP508)</f>
        <v>0</v>
      </c>
      <c r="AD508" s="716">
        <f>IF(OR(status1B5!AE203="",AD$7="No aplica"),0,SUM('BOULEVARD 5'!$K201:AG201)-$AP508)</f>
        <v>0</v>
      </c>
      <c r="AE508" s="716">
        <f>IF(OR(status1B5!AF203="",AE$7="No aplica"),0,SUM('BOULEVARD 5'!$K201:AH201)-$AP508)</f>
        <v>0</v>
      </c>
      <c r="AF508" s="716">
        <f>IF(OR(status1B5!AG203="",AF$7="No aplica"),0,SUM('BOULEVARD 5'!$K201:AI201)-$AP508)</f>
        <v>0</v>
      </c>
      <c r="AG508" s="716">
        <f>IF(OR(status1B5!AH203="",AG$7="No aplica"),0,SUM('BOULEVARD 5'!$K201:AJ201)-$AP508)</f>
        <v>0</v>
      </c>
      <c r="AH508" s="716">
        <f>IF(OR(status1B5!AI203="",AH$7="No aplica"),0,SUM('BOULEVARD 5'!$K201:AK201)-$AP508)</f>
        <v>0</v>
      </c>
      <c r="AI508" s="716">
        <f>IF(OR(status1B5!AJ203="",AI$7="No aplica"),0,SUM('BOULEVARD 5'!$K201:AL201)-$AP508)</f>
        <v>0</v>
      </c>
      <c r="AJ508" s="716">
        <f>IF(OR(status1B5!AK203="",AJ$7="No aplica"),0,SUM('BOULEVARD 5'!$K201:AM201)-$AP508)</f>
        <v>0</v>
      </c>
      <c r="AK508" s="716">
        <f>IF(OR(status1B5!AL203="",AK$7="No aplica"),0,SUM('BOULEVARD 5'!$K201:AN201)-$AP508)</f>
        <v>0</v>
      </c>
      <c r="AL508" s="716">
        <f>IF(OR(status1B5!AM203="",AL$7="No aplica"),0,SUM('BOULEVARD 5'!$K201:AO201)-$AP508)</f>
        <v>0</v>
      </c>
      <c r="AM508" s="716">
        <f>IF(OR(status1B5!AN203="",AM$7="No aplica"),0,SUM('BOULEVARD 5'!$K201:AP201)-$AP508)</f>
        <v>30000</v>
      </c>
      <c r="AN508" s="716">
        <f>IF(OR(status1B5!AO203="",AN$7="No aplica"),0,SUM('BOULEVARD 5'!$K201:AQ201)-$AP508)</f>
        <v>0</v>
      </c>
      <c r="AO508" s="716">
        <f>IF(OR(status1B5!AP203="",AO$7="No aplica"),0,SUM('BOULEVARD 5'!$K201:AS201)-$AP508)</f>
        <v>0</v>
      </c>
      <c r="AP508" s="717">
        <f>'BOULEVARD PPTO'!BC196</f>
        <v>0</v>
      </c>
      <c r="AQ508" s="717">
        <f>'BOULEVARD 5'!AT201</f>
        <v>50000</v>
      </c>
      <c r="AR508" s="717">
        <f t="shared" si="236"/>
        <v>50000</v>
      </c>
      <c r="AS508" s="717"/>
      <c r="AT508" s="581"/>
    </row>
    <row r="509" spans="1:46" ht="13.15" customHeight="1" outlineLevel="1" x14ac:dyDescent="0.25">
      <c r="A509" s="700">
        <f t="shared" si="234"/>
        <v>0</v>
      </c>
      <c r="B509" s="564">
        <f t="shared" ref="B509:G509" si="238">B204</f>
        <v>1109</v>
      </c>
      <c r="C509" s="564" t="str">
        <f t="shared" si="238"/>
        <v>C5</v>
      </c>
      <c r="D509" s="564">
        <f t="shared" si="238"/>
        <v>0</v>
      </c>
      <c r="E509" s="564" t="str">
        <f t="shared" si="238"/>
        <v>Antonio Rada</v>
      </c>
      <c r="F509" s="581" t="str">
        <f t="shared" si="238"/>
        <v>Fausto Norberth Mendez Melgar</v>
      </c>
      <c r="G509" s="566">
        <f t="shared" si="238"/>
        <v>45263</v>
      </c>
      <c r="H509" s="716">
        <f>IF(OR(status1B5!I204="",H$7="No aplica"),0,SUM('BOULEVARD 5'!$K202:K202)-$AP509)</f>
        <v>0</v>
      </c>
      <c r="I509" s="716">
        <f>IF(OR(status1B5!J204="",I$7="No aplica"),0,SUM('BOULEVARD 5'!$K202:L202)-$AP509)</f>
        <v>0</v>
      </c>
      <c r="J509" s="716">
        <f>IF(OR(status1B5!K204="",J$7="No aplica"),0,SUM('BOULEVARD 5'!$K202:M202)-$AP509)</f>
        <v>0</v>
      </c>
      <c r="K509" s="716">
        <f>IF(OR(status1B5!L204="",K$7="No aplica"),0,SUM('BOULEVARD 5'!$K202:N202)-$AP509)</f>
        <v>0</v>
      </c>
      <c r="L509" s="716">
        <f>IF(OR(status1B5!M204="",L$7="No aplica"),0,SUM('BOULEVARD 5'!$K202:O202)-$AP509)</f>
        <v>0</v>
      </c>
      <c r="M509" s="716">
        <f>IF(OR(status1B5!N204="",M$7="No aplica"),0,SUM('BOULEVARD 5'!$K202:P202)-$AP509)</f>
        <v>0</v>
      </c>
      <c r="N509" s="716">
        <f>IF(OR(status1B5!O204="",N$7="No aplica"),0,SUM('BOULEVARD 5'!$K202:Q202)-$AP509)</f>
        <v>0</v>
      </c>
      <c r="O509" s="716">
        <f>IF(OR(status1B5!P204="",O$7="No aplica"),0,SUM('BOULEVARD 5'!$K202:R202)-$AP509)</f>
        <v>0</v>
      </c>
      <c r="P509" s="716">
        <f>IF(OR(status1B5!Q204="",P$7="No aplica"),0,SUM('BOULEVARD 5'!$K202:S202)-$AP509)</f>
        <v>0</v>
      </c>
      <c r="Q509" s="716">
        <f>IF(OR(status1B5!R204="",Q$7="No aplica"),0,SUM('BOULEVARD 5'!$K202:T202)-$AP509)</f>
        <v>-112785.73</v>
      </c>
      <c r="R509" s="716">
        <f>IF(OR(status1B5!S204="",R$7="No aplica"),0,SUM('BOULEVARD 5'!$K202:U202)-$AP509)</f>
        <v>-107414.73</v>
      </c>
      <c r="S509" s="716">
        <f>IF(OR(status1B5!T204="",S$7="No aplica"),0,SUM('BOULEVARD 5'!$K202:V202)-$AP509)</f>
        <v>-102043.73</v>
      </c>
      <c r="T509" s="716">
        <f>IF(OR(status1B5!U204="",T$7="No aplica"),0,SUM('BOULEVARD 5'!$K202:W202)-$AP509)</f>
        <v>-96672.73</v>
      </c>
      <c r="U509" s="716">
        <f>IF(OR(status1B5!V204="",U$7="No aplica"),0,SUM('BOULEVARD 5'!$K202:X202)-$AP509)</f>
        <v>-91301.73</v>
      </c>
      <c r="V509" s="716">
        <f>IF(OR(status1B5!W204="",V$7="No aplica"),0,SUM('BOULEVARD 5'!$K202:Y202)-$AP509)</f>
        <v>-85930.73</v>
      </c>
      <c r="W509" s="716">
        <f>IF(OR(status1B5!X204="",W$7="No aplica"),0,SUM('BOULEVARD 5'!$K202:Z202)-$AP509)</f>
        <v>-80559.73</v>
      </c>
      <c r="X509" s="716">
        <f>IF(OR(status1B5!Y204="",X$7="No aplica"),0,SUM('BOULEVARD 5'!$K202:AA202)-$AP509)</f>
        <v>-75188.73</v>
      </c>
      <c r="Y509" s="716">
        <f>IF(OR(status1B5!Z204="",Y$7="No aplica"),0,SUM('BOULEVARD 5'!$K202:AB202)-$AP509)</f>
        <v>-69817.73</v>
      </c>
      <c r="Z509" s="716">
        <f>IF(OR(status1B5!AA204="",Z$7="No aplica"),0,SUM('BOULEVARD 5'!$K202:AC202)-$AP509)</f>
        <v>-64446.729999999996</v>
      </c>
      <c r="AA509" s="716">
        <f>IF(OR(status1B5!AB204="",AA$7="No aplica"),0,SUM('BOULEVARD 5'!$K202:AD202)-$AP509)</f>
        <v>-59075.729999999996</v>
      </c>
      <c r="AB509" s="716">
        <f>IF(OR(status1B5!AC204="",AB$7="No aplica"),0,SUM('BOULEVARD 5'!$K202:AE202)-$AP509)</f>
        <v>-53704.729999999996</v>
      </c>
      <c r="AC509" s="716">
        <f>IF(OR(status1B5!AD204="",AC$7="No aplica"),0,SUM('BOULEVARD 5'!$K202:AF202)-$AP509)</f>
        <v>-48333.729999999996</v>
      </c>
      <c r="AD509" s="716">
        <f>IF(OR(status1B5!AE204="",AD$7="No aplica"),0,SUM('BOULEVARD 5'!$K202:AG202)-$AP509)</f>
        <v>-42962.729999999996</v>
      </c>
      <c r="AE509" s="716">
        <f>IF(OR(status1B5!AF204="",AE$7="No aplica"),0,SUM('BOULEVARD 5'!$K202:AH202)-$AP509)</f>
        <v>-37591.729999999996</v>
      </c>
      <c r="AF509" s="716">
        <f>IF(OR(status1B5!AG204="",AF$7="No aplica"),0,SUM('BOULEVARD 5'!$K202:AI202)-$AP509)</f>
        <v>-32220.729999999996</v>
      </c>
      <c r="AG509" s="716">
        <f>IF(OR(status1B5!AH204="",AG$7="No aplica"),0,SUM('BOULEVARD 5'!$K202:AJ202)-$AP509)</f>
        <v>-26849.729999999996</v>
      </c>
      <c r="AH509" s="716">
        <f>IF(OR(status1B5!AI204="",AH$7="No aplica"),0,SUM('BOULEVARD 5'!$K202:AK202)-$AP509)</f>
        <v>-21478.729999999996</v>
      </c>
      <c r="AI509" s="716">
        <f>IF(OR(status1B5!AJ204="",AI$7="No aplica"),0,SUM('BOULEVARD 5'!$K202:AL202)-$AP509)</f>
        <v>-16107.729999999996</v>
      </c>
      <c r="AJ509" s="716">
        <f>IF(OR(status1B5!AK204="",AJ$7="No aplica"),0,SUM('BOULEVARD 5'!$K202:AM202)-$AP509)</f>
        <v>33892.270000000004</v>
      </c>
      <c r="AK509" s="716">
        <f>IF(OR(status1B5!AL204="",AK$7="No aplica"),0,SUM('BOULEVARD 5'!$K202:AN202)-$AP509)</f>
        <v>33892.270000000004</v>
      </c>
      <c r="AL509" s="716">
        <f>IF(OR(status1B5!AM204="",AL$7="No aplica"),0,SUM('BOULEVARD 5'!$K202:AO202)-$AP509)</f>
        <v>33892.270000000004</v>
      </c>
      <c r="AM509" s="716">
        <f>IF(OR(status1B5!AN204="",AM$7="No aplica"),0,SUM('BOULEVARD 5'!$K202:AP202)-$AP509)</f>
        <v>33892.270000000004</v>
      </c>
      <c r="AN509" s="716">
        <f>IF(OR(status1B5!AO204="",AN$7="No aplica"),0,SUM('BOULEVARD 5'!$K202:AQ202)-$AP509)</f>
        <v>0</v>
      </c>
      <c r="AO509" s="716">
        <f>IF(OR(status1B5!AP204="",AO$7="No aplica"),0,SUM('BOULEVARD 5'!$K202:AS202)-$AP509)</f>
        <v>0</v>
      </c>
      <c r="AP509" s="717">
        <f>'BOULEVARD PPTO'!BC197</f>
        <v>118285.73</v>
      </c>
      <c r="AQ509" s="717">
        <f>'BOULEVARD 5'!AT202</f>
        <v>152178</v>
      </c>
      <c r="AR509" s="717">
        <f t="shared" si="236"/>
        <v>33892.270000000004</v>
      </c>
      <c r="AS509" s="717"/>
      <c r="AT509" s="581"/>
    </row>
    <row r="510" spans="1:46" ht="13.15" customHeight="1" outlineLevel="1" x14ac:dyDescent="0.25">
      <c r="A510" s="700">
        <f t="shared" si="234"/>
        <v>0</v>
      </c>
      <c r="B510" s="564">
        <f t="shared" ref="B510:G510" si="239">B205</f>
        <v>1110</v>
      </c>
      <c r="C510" s="564" t="str">
        <f t="shared" si="239"/>
        <v>C6</v>
      </c>
      <c r="D510" s="564">
        <f t="shared" si="239"/>
        <v>0</v>
      </c>
      <c r="E510" s="564" t="str">
        <f t="shared" si="239"/>
        <v>Antonio Rada</v>
      </c>
      <c r="F510" s="581" t="str">
        <f t="shared" si="239"/>
        <v>Juan Carlos Lantzendorffer Haas</v>
      </c>
      <c r="G510" s="566">
        <f t="shared" si="239"/>
        <v>45143</v>
      </c>
      <c r="H510" s="716">
        <f>IF(OR(status1B5!I205="",H$7="No aplica"),0,SUM('BOULEVARD 5'!$K203:K203)-$AP510)</f>
        <v>0</v>
      </c>
      <c r="I510" s="716">
        <f>IF(OR(status1B5!J205="",I$7="No aplica"),0,SUM('BOULEVARD 5'!$K203:L203)-$AP510)</f>
        <v>0</v>
      </c>
      <c r="J510" s="716">
        <f>IF(OR(status1B5!K205="",J$7="No aplica"),0,SUM('BOULEVARD 5'!$K203:M203)-$AP510)</f>
        <v>0</v>
      </c>
      <c r="K510" s="716">
        <f>IF(OR(status1B5!L205="",K$7="No aplica"),0,SUM('BOULEVARD 5'!$K203:N203)-$AP510)</f>
        <v>0</v>
      </c>
      <c r="L510" s="716">
        <f>IF(OR(status1B5!M205="",L$7="No aplica"),0,SUM('BOULEVARD 5'!$K203:O203)-$AP510)</f>
        <v>0</v>
      </c>
      <c r="M510" s="716">
        <f>IF(OR(status1B5!N205="",M$7="No aplica"),0,SUM('BOULEVARD 5'!$K203:P203)-$AP510)</f>
        <v>-110700</v>
      </c>
      <c r="N510" s="716">
        <f>IF(OR(status1B5!O205="",N$7="No aplica"),0,SUM('BOULEVARD 5'!$K203:Q203)-$AP510)</f>
        <v>-106746</v>
      </c>
      <c r="O510" s="716">
        <f>IF(OR(status1B5!P205="",O$7="No aplica"),0,SUM('BOULEVARD 5'!$K203:R203)-$AP510)</f>
        <v>-102792</v>
      </c>
      <c r="P510" s="716">
        <f>IF(OR(status1B5!Q205="",P$7="No aplica"),0,SUM('BOULEVARD 5'!$K203:S203)-$AP510)</f>
        <v>-98838</v>
      </c>
      <c r="Q510" s="716">
        <f>IF(OR(status1B5!R205="",Q$7="No aplica"),0,SUM('BOULEVARD 5'!$K203:T203)-$AP510)</f>
        <v>-94884</v>
      </c>
      <c r="R510" s="716">
        <f>IF(OR(status1B5!S205="",R$7="No aplica"),0,SUM('BOULEVARD 5'!$K203:U203)-$AP510)</f>
        <v>-90930</v>
      </c>
      <c r="S510" s="716">
        <f>IF(OR(status1B5!T205="",S$7="No aplica"),0,SUM('BOULEVARD 5'!$K203:V203)-$AP510)</f>
        <v>-86976</v>
      </c>
      <c r="T510" s="716">
        <f>IF(OR(status1B5!U205="",T$7="No aplica"),0,SUM('BOULEVARD 5'!$K203:W203)-$AP510)</f>
        <v>-83022</v>
      </c>
      <c r="U510" s="716">
        <f>IF(OR(status1B5!V205="",U$7="No aplica"),0,SUM('BOULEVARD 5'!$K203:X203)-$AP510)</f>
        <v>-83022</v>
      </c>
      <c r="V510" s="716">
        <f>IF(OR(status1B5!W205="",V$7="No aplica"),0,SUM('BOULEVARD 5'!$K203:Y203)-$AP510)</f>
        <v>-79068</v>
      </c>
      <c r="W510" s="716">
        <f>IF(OR(status1B5!X205="",W$7="No aplica"),0,SUM('BOULEVARD 5'!$K203:Z203)-$AP510)</f>
        <v>-75114</v>
      </c>
      <c r="X510" s="716">
        <f>IF(OR(status1B5!Y205="",X$7="No aplica"),0,SUM('BOULEVARD 5'!$K203:AA203)-$AP510)</f>
        <v>-71160</v>
      </c>
      <c r="Y510" s="716">
        <f>IF(OR(status1B5!Z205="",Y$7="No aplica"),0,SUM('BOULEVARD 5'!$K203:AB203)-$AP510)</f>
        <v>-63252</v>
      </c>
      <c r="Z510" s="716">
        <f>IF(OR(status1B5!AA205="",Z$7="No aplica"),0,SUM('BOULEVARD 5'!$K203:AC203)-$AP510)</f>
        <v>-63252</v>
      </c>
      <c r="AA510" s="716">
        <f>IF(OR(status1B5!AB205="",AA$7="No aplica"),0,SUM('BOULEVARD 5'!$K203:AD203)-$AP510)</f>
        <v>-59298</v>
      </c>
      <c r="AB510" s="716">
        <f>IF(OR(status1B5!AC205="",AB$7="No aplica"),0,SUM('BOULEVARD 5'!$K203:AE203)-$AP510)</f>
        <v>-59298</v>
      </c>
      <c r="AC510" s="716">
        <f>IF(OR(status1B5!AD205="",AC$7="No aplica"),0,SUM('BOULEVARD 5'!$K203:AF203)-$AP510)</f>
        <v>-55344</v>
      </c>
      <c r="AD510" s="716">
        <f>IF(OR(status1B5!AE205="",AD$7="No aplica"),0,SUM('BOULEVARD 5'!$K203:AG203)-$AP510)</f>
        <v>-55344</v>
      </c>
      <c r="AE510" s="716">
        <f>IF(OR(status1B5!AF205="",AE$7="No aplica"),0,SUM('BOULEVARD 5'!$K203:AH203)-$AP510)</f>
        <v>-39528</v>
      </c>
      <c r="AF510" s="716">
        <f>IF(OR(status1B5!AG205="",AF$7="No aplica"),0,SUM('BOULEVARD 5'!$K203:AI203)-$AP510)</f>
        <v>-39528</v>
      </c>
      <c r="AG510" s="716">
        <f>IF(OR(status1B5!AH205="",AG$7="No aplica"),0,SUM('BOULEVARD 5'!$K203:AJ203)-$AP510)</f>
        <v>-31620</v>
      </c>
      <c r="AH510" s="716">
        <f>IF(OR(status1B5!AI205="",AH$7="No aplica"),0,SUM('BOULEVARD 5'!$K203:AK203)-$AP510)</f>
        <v>-31620</v>
      </c>
      <c r="AI510" s="716">
        <f>IF(OR(status1B5!AJ205="",AI$7="No aplica"),0,SUM('BOULEVARD 5'!$K203:AL203)-$AP510)</f>
        <v>-23712</v>
      </c>
      <c r="AJ510" s="716">
        <f>IF(OR(status1B5!AK205="",AJ$7="No aplica"),0,SUM('BOULEVARD 5'!$K203:AM203)-$AP510)</f>
        <v>-19758</v>
      </c>
      <c r="AK510" s="716">
        <f>IF(OR(status1B5!AL205="",AK$7="No aplica"),0,SUM('BOULEVARD 5'!$K203:AN203)-$AP510)</f>
        <v>-19758</v>
      </c>
      <c r="AL510" s="716">
        <f>IF(OR(status1B5!AM205="",AL$7="No aplica"),0,SUM('BOULEVARD 5'!$K203:AO203)-$AP510)</f>
        <v>-11850</v>
      </c>
      <c r="AM510" s="716">
        <f>IF(OR(status1B5!AN205="",AM$7="No aplica"),0,SUM('BOULEVARD 5'!$K203:AP203)-$AP510)</f>
        <v>-7896</v>
      </c>
      <c r="AN510" s="716">
        <f>IF(OR(status1B5!AO205="",AN$7="No aplica"),0,SUM('BOULEVARD 5'!$K203:AQ203)-$AP510)</f>
        <v>0</v>
      </c>
      <c r="AO510" s="716">
        <f>IF(OR(status1B5!AP205="",AO$7="No aplica"),0,SUM('BOULEVARD 5'!$K203:AS203)-$AP510)</f>
        <v>0</v>
      </c>
      <c r="AP510" s="717">
        <f>'BOULEVARD PPTO'!BC198</f>
        <v>116700</v>
      </c>
      <c r="AQ510" s="717">
        <f>'BOULEVARD 5'!AT203</f>
        <v>116700</v>
      </c>
      <c r="AR510" s="717">
        <f t="shared" si="236"/>
        <v>0</v>
      </c>
      <c r="AS510" s="717"/>
      <c r="AT510" s="581"/>
    </row>
    <row r="511" spans="1:46" ht="13.15" customHeight="1" outlineLevel="1" x14ac:dyDescent="0.25">
      <c r="A511" s="700">
        <f t="shared" si="234"/>
        <v>0</v>
      </c>
      <c r="B511" s="564">
        <f t="shared" ref="B511:G511" si="240">B206</f>
        <v>1111</v>
      </c>
      <c r="C511" s="564" t="str">
        <f t="shared" si="240"/>
        <v>C5</v>
      </c>
      <c r="D511" s="564">
        <f t="shared" si="240"/>
        <v>0</v>
      </c>
      <c r="E511" s="564" t="str">
        <f t="shared" si="240"/>
        <v>Antonio Rada</v>
      </c>
      <c r="F511" s="581" t="str">
        <f t="shared" si="240"/>
        <v>Erika Ruth Castro Juarez</v>
      </c>
      <c r="G511" s="566">
        <f t="shared" si="240"/>
        <v>45329</v>
      </c>
      <c r="H511" s="716">
        <f>IF(OR(status1B5!I206="",H$7="No aplica"),0,SUM('BOULEVARD 5'!$K204:K204)-$AP511)</f>
        <v>0</v>
      </c>
      <c r="I511" s="716">
        <f>IF(OR(status1B5!J206="",I$7="No aplica"),0,SUM('BOULEVARD 5'!$K204:L204)-$AP511)</f>
        <v>0</v>
      </c>
      <c r="J511" s="716">
        <f>IF(OR(status1B5!K206="",J$7="No aplica"),0,SUM('BOULEVARD 5'!$K204:M204)-$AP511)</f>
        <v>0</v>
      </c>
      <c r="K511" s="716">
        <f>IF(OR(status1B5!L206="",K$7="No aplica"),0,SUM('BOULEVARD 5'!$K204:N204)-$AP511)</f>
        <v>0</v>
      </c>
      <c r="L511" s="716">
        <f>IF(OR(status1B5!M206="",L$7="No aplica"),0,SUM('BOULEVARD 5'!$K204:O204)-$AP511)</f>
        <v>0</v>
      </c>
      <c r="M511" s="716">
        <f>IF(OR(status1B5!N206="",M$7="No aplica"),0,SUM('BOULEVARD 5'!$K204:P204)-$AP511)</f>
        <v>0</v>
      </c>
      <c r="N511" s="716">
        <f>IF(OR(status1B5!O206="",N$7="No aplica"),0,SUM('BOULEVARD 5'!$K204:Q204)-$AP511)</f>
        <v>0</v>
      </c>
      <c r="O511" s="716">
        <f>IF(OR(status1B5!P206="",O$7="No aplica"),0,SUM('BOULEVARD 5'!$K204:R204)-$AP511)</f>
        <v>0</v>
      </c>
      <c r="P511" s="716">
        <f>IF(OR(status1B5!Q206="",P$7="No aplica"),0,SUM('BOULEVARD 5'!$K204:S204)-$AP511)</f>
        <v>0</v>
      </c>
      <c r="Q511" s="716">
        <f>IF(OR(status1B5!R206="",Q$7="No aplica"),0,SUM('BOULEVARD 5'!$K204:T204)-$AP511)</f>
        <v>0</v>
      </c>
      <c r="R511" s="716">
        <f>IF(OR(status1B5!S206="",R$7="No aplica"),0,SUM('BOULEVARD 5'!$K204:U204)-$AP511)</f>
        <v>0</v>
      </c>
      <c r="S511" s="716">
        <f>IF(OR(status1B5!T206="",S$7="No aplica"),0,SUM('BOULEVARD 5'!$K204:V204)-$AP511)</f>
        <v>-111402.5</v>
      </c>
      <c r="T511" s="716">
        <f>IF(OR(status1B5!U206="",T$7="No aplica"),0,SUM('BOULEVARD 5'!$K204:W204)-$AP511)</f>
        <v>-105543.5</v>
      </c>
      <c r="U511" s="716">
        <f>IF(OR(status1B5!V206="",U$7="No aplica"),0,SUM('BOULEVARD 5'!$K204:X204)-$AP511)</f>
        <v>-99684.5</v>
      </c>
      <c r="V511" s="716">
        <f>IF(OR(status1B5!W206="",V$7="No aplica"),0,SUM('BOULEVARD 5'!$K204:Y204)-$AP511)</f>
        <v>-93825.5</v>
      </c>
      <c r="W511" s="716">
        <f>IF(OR(status1B5!X206="",W$7="No aplica"),0,SUM('BOULEVARD 5'!$K204:Z204)-$AP511)</f>
        <v>-87966.5</v>
      </c>
      <c r="X511" s="716">
        <f>IF(OR(status1B5!Y206="",X$7="No aplica"),0,SUM('BOULEVARD 5'!$K204:AA204)-$AP511)</f>
        <v>-82107.5</v>
      </c>
      <c r="Y511" s="716">
        <f>IF(OR(status1B5!Z206="",Y$7="No aplica"),0,SUM('BOULEVARD 5'!$K204:AB204)-$AP511)</f>
        <v>-76248.5</v>
      </c>
      <c r="Z511" s="716">
        <f>IF(OR(status1B5!AA206="",Z$7="No aplica"),0,SUM('BOULEVARD 5'!$K204:AC204)-$AP511)</f>
        <v>-70389.5</v>
      </c>
      <c r="AA511" s="716">
        <f>IF(OR(status1B5!AB206="",AA$7="No aplica"),0,SUM('BOULEVARD 5'!$K204:AD204)-$AP511)</f>
        <v>-64530.5</v>
      </c>
      <c r="AB511" s="716">
        <f>IF(OR(status1B5!AC206="",AB$7="No aplica"),0,SUM('BOULEVARD 5'!$K204:AE204)-$AP511)</f>
        <v>-58671.5</v>
      </c>
      <c r="AC511" s="716">
        <f>IF(OR(status1B5!AD206="",AC$7="No aplica"),0,SUM('BOULEVARD 5'!$K204:AF204)-$AP511)</f>
        <v>-52812.5</v>
      </c>
      <c r="AD511" s="716">
        <f>IF(OR(status1B5!AE206="",AD$7="No aplica"),0,SUM('BOULEVARD 5'!$K204:AG204)-$AP511)</f>
        <v>-46953.5</v>
      </c>
      <c r="AE511" s="716">
        <f>IF(OR(status1B5!AF206="",AE$7="No aplica"),0,SUM('BOULEVARD 5'!$K204:AH204)-$AP511)</f>
        <v>-41094.5</v>
      </c>
      <c r="AF511" s="716">
        <f>IF(OR(status1B5!AG206="",AF$7="No aplica"),0,SUM('BOULEVARD 5'!$K204:AI204)-$AP511)</f>
        <v>-35235.5</v>
      </c>
      <c r="AG511" s="716">
        <f>IF(OR(status1B5!AH206="",AG$7="No aplica"),0,SUM('BOULEVARD 5'!$K204:AJ204)-$AP511)</f>
        <v>-29376.5</v>
      </c>
      <c r="AH511" s="716">
        <f>IF(OR(status1B5!AI206="",AH$7="No aplica"),0,SUM('BOULEVARD 5'!$K204:AK204)-$AP511)</f>
        <v>-23517.5</v>
      </c>
      <c r="AI511" s="716">
        <f>IF(OR(status1B5!AJ206="",AI$7="No aplica"),0,SUM('BOULEVARD 5'!$K204:AL204)-$AP511)</f>
        <v>-17658.5</v>
      </c>
      <c r="AJ511" s="716">
        <f>IF(OR(status1B5!AK206="",AJ$7="No aplica"),0,SUM('BOULEVARD 5'!$K204:AM204)-$AP511)</f>
        <v>-11799.5</v>
      </c>
      <c r="AK511" s="716">
        <f>IF(OR(status1B5!AL206="",AK$7="No aplica"),0,SUM('BOULEVARD 5'!$K204:AN204)-$AP511)</f>
        <v>-5940.5</v>
      </c>
      <c r="AL511" s="716">
        <f>IF(OR(status1B5!AM206="",AL$7="No aplica"),0,SUM('BOULEVARD 5'!$K204:AO204)-$AP511)</f>
        <v>-81.5</v>
      </c>
      <c r="AM511" s="716">
        <f>IF(OR(status1B5!AN206="",AM$7="No aplica"),0,SUM('BOULEVARD 5'!$K204:AP204)-$AP511)</f>
        <v>-81.5</v>
      </c>
      <c r="AN511" s="716">
        <f>IF(OR(status1B5!AO206="",AN$7="No aplica"),0,SUM('BOULEVARD 5'!$K204:AQ204)-$AP511)</f>
        <v>0</v>
      </c>
      <c r="AO511" s="716">
        <f>IF(OR(status1B5!AP206="",AO$7="No aplica"),0,SUM('BOULEVARD 5'!$K204:AS204)-$AP511)</f>
        <v>0</v>
      </c>
      <c r="AP511" s="717">
        <f>'BOULEVARD PPTO'!BC199</f>
        <v>119402.5</v>
      </c>
      <c r="AQ511" s="717">
        <f>'BOULEVARD 5'!AT204</f>
        <v>119321</v>
      </c>
      <c r="AR511" s="717">
        <f t="shared" si="236"/>
        <v>-81.5</v>
      </c>
      <c r="AS511" s="717"/>
      <c r="AT511" s="581"/>
    </row>
    <row r="512" spans="1:46" ht="13.15" customHeight="1" outlineLevel="1" x14ac:dyDescent="0.25">
      <c r="A512" s="700">
        <f t="shared" si="234"/>
        <v>0</v>
      </c>
      <c r="B512" s="564">
        <f t="shared" ref="B512:G512" si="241">B207</f>
        <v>1112</v>
      </c>
      <c r="C512" s="564" t="str">
        <f t="shared" si="241"/>
        <v>A8</v>
      </c>
      <c r="D512" s="564">
        <f t="shared" si="241"/>
        <v>0</v>
      </c>
      <c r="E512" s="564" t="str">
        <f t="shared" si="241"/>
        <v>Antonio Rada</v>
      </c>
      <c r="F512" s="581" t="str">
        <f t="shared" si="241"/>
        <v>Grupo Sak Y Sak, S.A.</v>
      </c>
      <c r="G512" s="566">
        <f t="shared" si="241"/>
        <v>45083</v>
      </c>
      <c r="H512" s="716">
        <f>IF(OR(status1B5!I207="",H$7="No aplica"),0,SUM('BOULEVARD 5'!$K205:K205)-$AP512)</f>
        <v>0</v>
      </c>
      <c r="I512" s="716">
        <f>IF(OR(status1B5!J207="",I$7="No aplica"),0,SUM('BOULEVARD 5'!$K205:L205)-$AP512)</f>
        <v>0</v>
      </c>
      <c r="J512" s="716">
        <f>IF(OR(status1B5!K207="",J$7="No aplica"),0,SUM('BOULEVARD 5'!$K205:M205)-$AP512)</f>
        <v>0</v>
      </c>
      <c r="K512" s="716">
        <f>IF(OR(status1B5!L207="",K$7="No aplica"),0,SUM('BOULEVARD 5'!$K205:N205)-$AP512)</f>
        <v>-615564.44999999995</v>
      </c>
      <c r="L512" s="716">
        <f>IF(OR(status1B5!M207="",L$7="No aplica"),0,SUM('BOULEVARD 5'!$K205:O205)-$AP512)</f>
        <v>-592765.44999999995</v>
      </c>
      <c r="M512" s="716">
        <f>IF(OR(status1B5!N207="",M$7="No aplica"),0,SUM('BOULEVARD 5'!$K205:P205)-$AP512)</f>
        <v>-569966.44999999995</v>
      </c>
      <c r="N512" s="716">
        <f>IF(OR(status1B5!O207="",N$7="No aplica"),0,SUM('BOULEVARD 5'!$K205:Q205)-$AP512)</f>
        <v>-547167.44999999995</v>
      </c>
      <c r="O512" s="716">
        <f>IF(OR(status1B5!P207="",O$7="No aplica"),0,SUM('BOULEVARD 5'!$K205:R205)-$AP512)</f>
        <v>-524368.44999999995</v>
      </c>
      <c r="P512" s="716">
        <f>IF(OR(status1B5!Q207="",P$7="No aplica"),0,SUM('BOULEVARD 5'!$K205:S205)-$AP512)</f>
        <v>-501569.44999999995</v>
      </c>
      <c r="Q512" s="716">
        <f>IF(OR(status1B5!R207="",Q$7="No aplica"),0,SUM('BOULEVARD 5'!$K205:T205)-$AP512)</f>
        <v>-478770.44999999995</v>
      </c>
      <c r="R512" s="716">
        <f>IF(OR(status1B5!S207="",R$7="No aplica"),0,SUM('BOULEVARD 5'!$K205:U205)-$AP512)</f>
        <v>-455971.44999999995</v>
      </c>
      <c r="S512" s="716">
        <f>IF(OR(status1B5!T207="",S$7="No aplica"),0,SUM('BOULEVARD 5'!$K205:V205)-$AP512)</f>
        <v>-433172.44999999995</v>
      </c>
      <c r="T512" s="716">
        <f>IF(OR(status1B5!U207="",T$7="No aplica"),0,SUM('BOULEVARD 5'!$K205:W205)-$AP512)</f>
        <v>-410373.44999999995</v>
      </c>
      <c r="U512" s="716">
        <f>IF(OR(status1B5!V207="",U$7="No aplica"),0,SUM('BOULEVARD 5'!$K205:X205)-$AP512)</f>
        <v>-410373.44999999995</v>
      </c>
      <c r="V512" s="716">
        <f>IF(OR(status1B5!W207="",V$7="No aplica"),0,SUM('BOULEVARD 5'!$K205:Y205)-$AP512)</f>
        <v>-410373.44999999995</v>
      </c>
      <c r="W512" s="716">
        <f>IF(OR(status1B5!X207="",W$7="No aplica"),0,SUM('BOULEVARD 5'!$K205:Z205)-$AP512)</f>
        <v>-364775.44999999995</v>
      </c>
      <c r="X512" s="716">
        <f>IF(OR(status1B5!Y207="",X$7="No aplica"),0,SUM('BOULEVARD 5'!$K205:AA205)-$AP512)</f>
        <v>-341976.44999999995</v>
      </c>
      <c r="Y512" s="716">
        <f>IF(OR(status1B5!Z207="",Y$7="No aplica"),0,SUM('BOULEVARD 5'!$K205:AB205)-$AP512)</f>
        <v>-319177.44999999995</v>
      </c>
      <c r="Z512" s="716">
        <f>IF(OR(status1B5!AA207="",Z$7="No aplica"),0,SUM('BOULEVARD 5'!$K205:AC205)-$AP512)</f>
        <v>-296378.44999999995</v>
      </c>
      <c r="AA512" s="716">
        <f>IF(OR(status1B5!AB207="",AA$7="No aplica"),0,SUM('BOULEVARD 5'!$K205:AD205)-$AP512)</f>
        <v>-273579.44999999995</v>
      </c>
      <c r="AB512" s="716">
        <f>IF(OR(status1B5!AC207="",AB$7="No aplica"),0,SUM('BOULEVARD 5'!$K205:AE205)-$AP512)</f>
        <v>-250780.44999999995</v>
      </c>
      <c r="AC512" s="716">
        <f>IF(OR(status1B5!AD207="",AC$7="No aplica"),0,SUM('BOULEVARD 5'!$K205:AF205)-$AP512)</f>
        <v>-227981.44999999995</v>
      </c>
      <c r="AD512" s="716">
        <f>IF(OR(status1B5!AE207="",AD$7="No aplica"),0,SUM('BOULEVARD 5'!$K205:AG205)-$AP512)</f>
        <v>-205182.44999999995</v>
      </c>
      <c r="AE512" s="716">
        <f>IF(OR(status1B5!AF207="",AE$7="No aplica"),0,SUM('BOULEVARD 5'!$K205:AH205)-$AP512)</f>
        <v>-182383.44999999995</v>
      </c>
      <c r="AF512" s="716">
        <f>IF(OR(status1B5!AG207="",AF$7="No aplica"),0,SUM('BOULEVARD 5'!$K205:AI205)-$AP512)</f>
        <v>-182383.44999999995</v>
      </c>
      <c r="AG512" s="716">
        <f>IF(OR(status1B5!AH207="",AG$7="No aplica"),0,SUM('BOULEVARD 5'!$K205:AJ205)-$AP512)</f>
        <v>-159584.44999999995</v>
      </c>
      <c r="AH512" s="716">
        <f>IF(OR(status1B5!AI207="",AH$7="No aplica"),0,SUM('BOULEVARD 5'!$K205:AK205)-$AP512)</f>
        <v>-113986.44999999995</v>
      </c>
      <c r="AI512" s="716">
        <f>IF(OR(status1B5!AJ207="",AI$7="No aplica"),0,SUM('BOULEVARD 5'!$K205:AL205)-$AP512)</f>
        <v>-91187.449999999953</v>
      </c>
      <c r="AJ512" s="716">
        <f>IF(OR(status1B5!AK207="",AJ$7="No aplica"),0,SUM('BOULEVARD 5'!$K205:AM205)-$AP512)</f>
        <v>-68388.449999999953</v>
      </c>
      <c r="AK512" s="716">
        <f>IF(OR(status1B5!AL207="",AK$7="No aplica"),0,SUM('BOULEVARD 5'!$K205:AN205)-$AP512)</f>
        <v>-45589.449999999953</v>
      </c>
      <c r="AL512" s="716">
        <f>IF(OR(status1B5!AM207="",AL$7="No aplica"),0,SUM('BOULEVARD 5'!$K205:AO205)-$AP512)</f>
        <v>-22790.449999999953</v>
      </c>
      <c r="AM512" s="716">
        <f>IF(OR(status1B5!AN207="",AM$7="No aplica"),0,SUM('BOULEVARD 5'!$K205:AP205)-$AP512)</f>
        <v>-22790.449999999953</v>
      </c>
      <c r="AN512" s="716">
        <f>IF(OR(status1B5!AO207="",AN$7="No aplica"),0,SUM('BOULEVARD 5'!$K205:AQ205)-$AP512)</f>
        <v>0</v>
      </c>
      <c r="AO512" s="716">
        <f>IF(OR(status1B5!AP207="",AO$7="No aplica"),0,SUM('BOULEVARD 5'!$K205:AS205)-$AP512)</f>
        <v>0</v>
      </c>
      <c r="AP512" s="717">
        <f>'BOULEVARD PPTO'!BC200</f>
        <v>690627.16999999993</v>
      </c>
      <c r="AQ512" s="717">
        <f>'BOULEVARD 5'!AT205</f>
        <v>667836.72</v>
      </c>
      <c r="AR512" s="717">
        <f t="shared" si="236"/>
        <v>-22790.449999999953</v>
      </c>
      <c r="AS512" s="717"/>
      <c r="AT512" s="581"/>
    </row>
    <row r="513" spans="1:46" ht="13.15" customHeight="1" outlineLevel="1" x14ac:dyDescent="0.25">
      <c r="A513" s="700">
        <f t="shared" si="234"/>
        <v>0</v>
      </c>
      <c r="B513" s="564">
        <f t="shared" ref="B513:G513" si="242">B208</f>
        <v>1113</v>
      </c>
      <c r="C513" s="564" t="str">
        <f t="shared" si="242"/>
        <v>A2</v>
      </c>
      <c r="D513" s="564">
        <f t="shared" si="242"/>
        <v>0</v>
      </c>
      <c r="E513" s="564" t="str">
        <f t="shared" si="242"/>
        <v>Jose Franco</v>
      </c>
      <c r="F513" s="581" t="str">
        <f t="shared" si="242"/>
        <v>Marcas &amp; Secretos, S.A.</v>
      </c>
      <c r="G513" s="566">
        <f t="shared" si="242"/>
        <v>45021</v>
      </c>
      <c r="H513" s="716">
        <f>IF(OR(status1B5!I208="",H$7="No aplica"),0,SUM('BOULEVARD 5'!$K206:K206)-$AP513)</f>
        <v>0</v>
      </c>
      <c r="I513" s="716">
        <f>IF(OR(status1B5!J208="",I$7="No aplica"),0,SUM('BOULEVARD 5'!$K206:L206)-$AP513)</f>
        <v>-58639</v>
      </c>
      <c r="J513" s="716">
        <f>IF(OR(status1B5!K208="",J$7="No aplica"),0,SUM('BOULEVARD 5'!$K206:M206)-$AP513)</f>
        <v>-56639</v>
      </c>
      <c r="K513" s="716">
        <f>IF(OR(status1B5!L208="",K$7="No aplica"),0,SUM('BOULEVARD 5'!$K206:N206)-$AP513)</f>
        <v>-54639</v>
      </c>
      <c r="L513" s="716">
        <f>IF(OR(status1B5!M208="",L$7="No aplica"),0,SUM('BOULEVARD 5'!$K206:O206)-$AP513)</f>
        <v>-52639</v>
      </c>
      <c r="M513" s="716">
        <f>IF(OR(status1B5!N208="",M$7="No aplica"),0,SUM('BOULEVARD 5'!$K206:P206)-$AP513)</f>
        <v>-50639</v>
      </c>
      <c r="N513" s="716">
        <f>IF(OR(status1B5!O208="",N$7="No aplica"),0,SUM('BOULEVARD 5'!$K206:Q206)-$AP513)</f>
        <v>-48639</v>
      </c>
      <c r="O513" s="716">
        <f>IF(OR(status1B5!P208="",O$7="No aplica"),0,SUM('BOULEVARD 5'!$K206:R206)-$AP513)</f>
        <v>-46639</v>
      </c>
      <c r="P513" s="716">
        <f>IF(OR(status1B5!Q208="",P$7="No aplica"),0,SUM('BOULEVARD 5'!$K206:S206)-$AP513)</f>
        <v>-44639</v>
      </c>
      <c r="Q513" s="716">
        <f>IF(OR(status1B5!R208="",Q$7="No aplica"),0,SUM('BOULEVARD 5'!$K206:T206)-$AP513)</f>
        <v>-42639</v>
      </c>
      <c r="R513" s="716">
        <f>IF(OR(status1B5!S208="",R$7="No aplica"),0,SUM('BOULEVARD 5'!$K206:U206)-$AP513)</f>
        <v>-40639</v>
      </c>
      <c r="S513" s="716">
        <f>IF(OR(status1B5!T208="",S$7="No aplica"),0,SUM('BOULEVARD 5'!$K206:V206)-$AP513)</f>
        <v>-38639</v>
      </c>
      <c r="T513" s="716">
        <f>IF(OR(status1B5!U208="",T$7="No aplica"),0,SUM('BOULEVARD 5'!$K206:W206)-$AP513)</f>
        <v>-36639</v>
      </c>
      <c r="U513" s="716">
        <f>IF(OR(status1B5!V208="",U$7="No aplica"),0,SUM('BOULEVARD 5'!$K206:X206)-$AP513)</f>
        <v>-34639</v>
      </c>
      <c r="V513" s="716">
        <f>IF(OR(status1B5!W208="",V$7="No aplica"),0,SUM('BOULEVARD 5'!$K206:Y206)-$AP513)</f>
        <v>-32639</v>
      </c>
      <c r="W513" s="716">
        <f>IF(OR(status1B5!X208="",W$7="No aplica"),0,SUM('BOULEVARD 5'!$K206:Z206)-$AP513)</f>
        <v>-30639</v>
      </c>
      <c r="X513" s="716">
        <f>IF(OR(status1B5!Y208="",X$7="No aplica"),0,SUM('BOULEVARD 5'!$K206:AA206)-$AP513)</f>
        <v>-28639</v>
      </c>
      <c r="Y513" s="716">
        <f>IF(OR(status1B5!Z208="",Y$7="No aplica"),0,SUM('BOULEVARD 5'!$K206:AB206)-$AP513)</f>
        <v>-28639</v>
      </c>
      <c r="Z513" s="716">
        <f>IF(OR(status1B5!AA208="",Z$7="No aplica"),0,SUM('BOULEVARD 5'!$K206:AC206)-$AP513)</f>
        <v>-24639</v>
      </c>
      <c r="AA513" s="716">
        <f>IF(OR(status1B5!AB208="",AA$7="No aplica"),0,SUM('BOULEVARD 5'!$K206:AD206)-$AP513)</f>
        <v>-22639</v>
      </c>
      <c r="AB513" s="716">
        <f>IF(OR(status1B5!AC208="",AB$7="No aplica"),0,SUM('BOULEVARD 5'!$K206:AE206)-$AP513)</f>
        <v>-20639</v>
      </c>
      <c r="AC513" s="716">
        <f>IF(OR(status1B5!AD208="",AC$7="No aplica"),0,SUM('BOULEVARD 5'!$K206:AF206)-$AP513)</f>
        <v>-18639</v>
      </c>
      <c r="AD513" s="716">
        <f>IF(OR(status1B5!AE208="",AD$7="No aplica"),0,SUM('BOULEVARD 5'!$K206:AG206)-$AP513)</f>
        <v>-18639</v>
      </c>
      <c r="AE513" s="716">
        <f>IF(OR(status1B5!AF208="",AE$7="No aplica"),0,SUM('BOULEVARD 5'!$K206:AH206)-$AP513)</f>
        <v>-14639</v>
      </c>
      <c r="AF513" s="716">
        <f>IF(OR(status1B5!AG208="",AF$7="No aplica"),0,SUM('BOULEVARD 5'!$K206:AI206)-$AP513)</f>
        <v>-12639</v>
      </c>
      <c r="AG513" s="716">
        <f>IF(OR(status1B5!AH208="",AG$7="No aplica"),0,SUM('BOULEVARD 5'!$K206:AJ206)-$AP513)</f>
        <v>-10639</v>
      </c>
      <c r="AH513" s="716">
        <f>IF(OR(status1B5!AI208="",AH$7="No aplica"),0,SUM('BOULEVARD 5'!$K206:AK206)-$AP513)</f>
        <v>-8639</v>
      </c>
      <c r="AI513" s="716">
        <f>IF(OR(status1B5!AJ208="",AI$7="No aplica"),0,SUM('BOULEVARD 5'!$K206:AL206)-$AP513)</f>
        <v>-6639</v>
      </c>
      <c r="AJ513" s="716">
        <f>IF(OR(status1B5!AK208="",AJ$7="No aplica"),0,SUM('BOULEVARD 5'!$K206:AM206)-$AP513)</f>
        <v>-4639</v>
      </c>
      <c r="AK513" s="716">
        <f>IF(OR(status1B5!AL208="",AK$7="No aplica"),0,SUM('BOULEVARD 5'!$K206:AN206)-$AP513)</f>
        <v>-2639</v>
      </c>
      <c r="AL513" s="716">
        <f>IF(OR(status1B5!AM208="",AL$7="No aplica"),0,SUM('BOULEVARD 5'!$K206:AO206)-$AP513)</f>
        <v>0</v>
      </c>
      <c r="AM513" s="716">
        <f>IF(OR(status1B5!AN208="",AM$7="No aplica"),0,SUM('BOULEVARD 5'!$K206:AP206)-$AP513)</f>
        <v>0</v>
      </c>
      <c r="AN513" s="716">
        <f>IF(OR(status1B5!AO208="",AN$7="No aplica"),0,SUM('BOULEVARD 5'!$K206:AQ206)-$AP513)</f>
        <v>0</v>
      </c>
      <c r="AO513" s="716">
        <f>IF(OR(status1B5!AP208="",AO$7="No aplica"),0,SUM('BOULEVARD 5'!$K206:AS206)-$AP513)</f>
        <v>0</v>
      </c>
      <c r="AP513" s="717">
        <f>'BOULEVARD PPTO'!BC201</f>
        <v>64639</v>
      </c>
      <c r="AQ513" s="717">
        <f>'BOULEVARD 5'!AT206</f>
        <v>64639</v>
      </c>
      <c r="AR513" s="717">
        <f t="shared" si="236"/>
        <v>0</v>
      </c>
      <c r="AS513" s="717"/>
      <c r="AT513" s="581"/>
    </row>
    <row r="514" spans="1:46" ht="13.15" customHeight="1" outlineLevel="1" x14ac:dyDescent="0.25">
      <c r="A514" s="700">
        <f t="shared" si="234"/>
        <v>0</v>
      </c>
      <c r="B514" s="564">
        <f t="shared" ref="B514:G514" si="243">B209</f>
        <v>1114</v>
      </c>
      <c r="C514" s="564" t="str">
        <f t="shared" si="243"/>
        <v>A11</v>
      </c>
      <c r="D514" s="564">
        <f t="shared" si="243"/>
        <v>0</v>
      </c>
      <c r="E514" s="564" t="str">
        <f t="shared" si="243"/>
        <v>Antonio Rada</v>
      </c>
      <c r="F514" s="581" t="str">
        <f t="shared" si="243"/>
        <v>Clara Hilda Maria Falla Bianchi De Cruz-Gomar</v>
      </c>
      <c r="G514" s="566">
        <f t="shared" si="243"/>
        <v>45440</v>
      </c>
      <c r="H514" s="716">
        <f>IF(OR(status1B5!I209="",H$7="No aplica"),0,SUM('BOULEVARD 5'!$K207:K207)-$AP514)</f>
        <v>0</v>
      </c>
      <c r="I514" s="716">
        <f>IF(OR(status1B5!J209="",I$7="No aplica"),0,SUM('BOULEVARD 5'!$K207:L207)-$AP514)</f>
        <v>0</v>
      </c>
      <c r="J514" s="716">
        <f>IF(OR(status1B5!K209="",J$7="No aplica"),0,SUM('BOULEVARD 5'!$K207:M207)-$AP514)</f>
        <v>0</v>
      </c>
      <c r="K514" s="716">
        <f>IF(OR(status1B5!L209="",K$7="No aplica"),0,SUM('BOULEVARD 5'!$K207:N207)-$AP514)</f>
        <v>0</v>
      </c>
      <c r="L514" s="716">
        <f>IF(OR(status1B5!M209="",L$7="No aplica"),0,SUM('BOULEVARD 5'!$K207:O207)-$AP514)</f>
        <v>0</v>
      </c>
      <c r="M514" s="716">
        <f>IF(OR(status1B5!N209="",M$7="No aplica"),0,SUM('BOULEVARD 5'!$K207:P207)-$AP514)</f>
        <v>0</v>
      </c>
      <c r="N514" s="716">
        <f>IF(OR(status1B5!O209="",N$7="No aplica"),0,SUM('BOULEVARD 5'!$K207:Q207)-$AP514)</f>
        <v>0</v>
      </c>
      <c r="O514" s="716">
        <f>IF(OR(status1B5!P209="",O$7="No aplica"),0,SUM('BOULEVARD 5'!$K207:R207)-$AP514)</f>
        <v>0</v>
      </c>
      <c r="P514" s="716">
        <f>IF(OR(status1B5!Q209="",P$7="No aplica"),0,SUM('BOULEVARD 5'!$K207:S207)-$AP514)</f>
        <v>0</v>
      </c>
      <c r="Q514" s="716">
        <f>IF(OR(status1B5!R209="",Q$7="No aplica"),0,SUM('BOULEVARD 5'!$K207:T207)-$AP514)</f>
        <v>0</v>
      </c>
      <c r="R514" s="716">
        <f>IF(OR(status1B5!S209="",R$7="No aplica"),0,SUM('BOULEVARD 5'!$K207:U207)-$AP514)</f>
        <v>0</v>
      </c>
      <c r="S514" s="716">
        <f>IF(OR(status1B5!T209="",S$7="No aplica"),0,SUM('BOULEVARD 5'!$K207:V207)-$AP514)</f>
        <v>0</v>
      </c>
      <c r="T514" s="716">
        <f>IF(OR(status1B5!U209="",T$7="No aplica"),0,SUM('BOULEVARD 5'!$K207:W207)-$AP514)</f>
        <v>0</v>
      </c>
      <c r="U514" s="716">
        <f>IF(OR(status1B5!V209="",U$7="No aplica"),0,SUM('BOULEVARD 5'!$K207:X207)-$AP514)</f>
        <v>0</v>
      </c>
      <c r="V514" s="716">
        <f>IF(OR(status1B5!W209="",V$7="No aplica"),0,SUM('BOULEVARD 5'!$K207:Y207)-$AP514)</f>
        <v>-77354.52</v>
      </c>
      <c r="W514" s="716">
        <f>IF(OR(status1B5!X209="",W$7="No aplica"),0,SUM('BOULEVARD 5'!$K207:Z207)-$AP514)</f>
        <v>-77354.52</v>
      </c>
      <c r="X514" s="716">
        <f>IF(OR(status1B5!Y209="",X$7="No aplica"),0,SUM('BOULEVARD 5'!$K207:AA207)-$AP514)</f>
        <v>-69986.52</v>
      </c>
      <c r="Y514" s="716">
        <f>IF(OR(status1B5!Z209="",Y$7="No aplica"),0,SUM('BOULEVARD 5'!$K207:AB207)-$AP514)</f>
        <v>-62618.520000000004</v>
      </c>
      <c r="Z514" s="716">
        <f>IF(OR(status1B5!AA209="",Z$7="No aplica"),0,SUM('BOULEVARD 5'!$K207:AC207)-$AP514)</f>
        <v>-62618.520000000004</v>
      </c>
      <c r="AA514" s="716">
        <f>IF(OR(status1B5!AB209="",AA$7="No aplica"),0,SUM('BOULEVARD 5'!$K207:AD207)-$AP514)</f>
        <v>-58934.520000000004</v>
      </c>
      <c r="AB514" s="716">
        <f>IF(OR(status1B5!AC209="",AB$7="No aplica"),0,SUM('BOULEVARD 5'!$K207:AE207)-$AP514)</f>
        <v>-51566.520000000004</v>
      </c>
      <c r="AC514" s="716">
        <f>IF(OR(status1B5!AD209="",AC$7="No aplica"),0,SUM('BOULEVARD 5'!$K207:AF207)-$AP514)</f>
        <v>-51566.520000000004</v>
      </c>
      <c r="AD514" s="716">
        <f>IF(OR(status1B5!AE209="",AD$7="No aplica"),0,SUM('BOULEVARD 5'!$K207:AG207)-$AP514)</f>
        <v>-44198.520000000004</v>
      </c>
      <c r="AE514" s="716">
        <f>IF(OR(status1B5!AF209="",AE$7="No aplica"),0,SUM('BOULEVARD 5'!$K207:AH207)-$AP514)</f>
        <v>-44198.520000000004</v>
      </c>
      <c r="AF514" s="716">
        <f>IF(OR(status1B5!AG209="",AF$7="No aplica"),0,SUM('BOULEVARD 5'!$K207:AI207)-$AP514)</f>
        <v>-40514.520000000004</v>
      </c>
      <c r="AG514" s="716">
        <f>IF(OR(status1B5!AH209="",AG$7="No aplica"),0,SUM('BOULEVARD 5'!$K207:AJ207)-$AP514)</f>
        <v>-36514.520000000004</v>
      </c>
      <c r="AH514" s="716">
        <f>IF(OR(status1B5!AI209="",AH$7="No aplica"),0,SUM('BOULEVARD 5'!$K207:AK207)-$AP514)</f>
        <v>-32514.520000000004</v>
      </c>
      <c r="AI514" s="716">
        <f>IF(OR(status1B5!AJ209="",AI$7="No aplica"),0,SUM('BOULEVARD 5'!$K207:AL207)-$AP514)</f>
        <v>-32514.520000000004</v>
      </c>
      <c r="AJ514" s="716">
        <f>IF(OR(status1B5!AK209="",AJ$7="No aplica"),0,SUM('BOULEVARD 5'!$K207:AM207)-$AP514)</f>
        <v>-32514.520000000004</v>
      </c>
      <c r="AK514" s="716">
        <f>IF(OR(status1B5!AL209="",AK$7="No aplica"),0,SUM('BOULEVARD 5'!$K207:AN207)-$AP514)</f>
        <v>-32514.520000000004</v>
      </c>
      <c r="AL514" s="716">
        <f>IF(OR(status1B5!AM209="",AL$7="No aplica"),0,SUM('BOULEVARD 5'!$K207:AO207)-$AP514)</f>
        <v>-28514.520000000004</v>
      </c>
      <c r="AM514" s="716">
        <f>IF(OR(status1B5!AN209="",AM$7="No aplica"),0,SUM('BOULEVARD 5'!$K207:AP207)-$AP514)</f>
        <v>-28514.520000000004</v>
      </c>
      <c r="AN514" s="716">
        <f>IF(OR(status1B5!AO209="",AN$7="No aplica"),0,SUM('BOULEVARD 5'!$K207:AQ207)-$AP514)</f>
        <v>0</v>
      </c>
      <c r="AO514" s="716">
        <f>IF(OR(status1B5!AP209="",AO$7="No aplica"),0,SUM('BOULEVARD 5'!$K207:AS207)-$AP514)</f>
        <v>0</v>
      </c>
      <c r="AP514" s="717">
        <f>'BOULEVARD PPTO'!BC202</f>
        <v>85354.52</v>
      </c>
      <c r="AQ514" s="717">
        <f>'BOULEVARD 5'!AT207</f>
        <v>61340</v>
      </c>
      <c r="AR514" s="717">
        <f t="shared" si="236"/>
        <v>-24014.520000000004</v>
      </c>
      <c r="AS514" s="717"/>
      <c r="AT514" s="581"/>
    </row>
    <row r="515" spans="1:46" ht="13.15" customHeight="1" outlineLevel="1" x14ac:dyDescent="0.25">
      <c r="A515" s="700">
        <f t="shared" si="234"/>
        <v>0</v>
      </c>
      <c r="B515" s="564">
        <f t="shared" ref="B515:G515" si="244">B210</f>
        <v>1115</v>
      </c>
      <c r="C515" s="564" t="str">
        <f t="shared" si="244"/>
        <v>B4</v>
      </c>
      <c r="D515" s="564">
        <f t="shared" si="244"/>
        <v>0</v>
      </c>
      <c r="E515" s="564" t="str">
        <f t="shared" si="244"/>
        <v>Antonio Rada</v>
      </c>
      <c r="F515" s="581" t="str">
        <f t="shared" si="244"/>
        <v>Eddy Francisco Mac-Intosh López</v>
      </c>
      <c r="G515" s="566">
        <f t="shared" si="244"/>
        <v>45755</v>
      </c>
      <c r="H515" s="716">
        <f>IF(OR(status1B5!I210="",H$7="No aplica"),0,SUM('BOULEVARD 5'!$K208:K208)-$AP515)</f>
        <v>0</v>
      </c>
      <c r="I515" s="716">
        <f>IF(OR(status1B5!J210="",I$7="No aplica"),0,SUM('BOULEVARD 5'!$K208:L208)-$AP515)</f>
        <v>0</v>
      </c>
      <c r="J515" s="716">
        <f>IF(OR(status1B5!K210="",J$7="No aplica"),0,SUM('BOULEVARD 5'!$K208:M208)-$AP515)</f>
        <v>0</v>
      </c>
      <c r="K515" s="716">
        <f>IF(OR(status1B5!L210="",K$7="No aplica"),0,SUM('BOULEVARD 5'!$K208:N208)-$AP515)</f>
        <v>0</v>
      </c>
      <c r="L515" s="716">
        <f>IF(OR(status1B5!M210="",L$7="No aplica"),0,SUM('BOULEVARD 5'!$K208:O208)-$AP515)</f>
        <v>0</v>
      </c>
      <c r="M515" s="716">
        <f>IF(OR(status1B5!N210="",M$7="No aplica"),0,SUM('BOULEVARD 5'!$K208:P208)-$AP515)</f>
        <v>0</v>
      </c>
      <c r="N515" s="716">
        <f>IF(OR(status1B5!O210="",N$7="No aplica"),0,SUM('BOULEVARD 5'!$K208:Q208)-$AP515)</f>
        <v>0</v>
      </c>
      <c r="O515" s="716">
        <f>IF(OR(status1B5!P210="",O$7="No aplica"),0,SUM('BOULEVARD 5'!$K208:R208)-$AP515)</f>
        <v>0</v>
      </c>
      <c r="P515" s="716">
        <f>IF(OR(status1B5!Q210="",P$7="No aplica"),0,SUM('BOULEVARD 5'!$K208:S208)-$AP515)</f>
        <v>0</v>
      </c>
      <c r="Q515" s="716">
        <f>IF(OR(status1B5!R210="",Q$7="No aplica"),0,SUM('BOULEVARD 5'!$K208:T208)-$AP515)</f>
        <v>0</v>
      </c>
      <c r="R515" s="716">
        <f>IF(OR(status1B5!S210="",R$7="No aplica"),0,SUM('BOULEVARD 5'!$K208:U208)-$AP515)</f>
        <v>0</v>
      </c>
      <c r="S515" s="716">
        <f>IF(OR(status1B5!T210="",S$7="No aplica"),0,SUM('BOULEVARD 5'!$K208:V208)-$AP515)</f>
        <v>0</v>
      </c>
      <c r="T515" s="716">
        <f>IF(OR(status1B5!U210="",T$7="No aplica"),0,SUM('BOULEVARD 5'!$K208:W208)-$AP515)</f>
        <v>0</v>
      </c>
      <c r="U515" s="716">
        <f>IF(OR(status1B5!V210="",U$7="No aplica"),0,SUM('BOULEVARD 5'!$K208:X208)-$AP515)</f>
        <v>0</v>
      </c>
      <c r="V515" s="716">
        <f>IF(OR(status1B5!W210="",V$7="No aplica"),0,SUM('BOULEVARD 5'!$K208:Y208)-$AP515)</f>
        <v>0</v>
      </c>
      <c r="W515" s="716">
        <f>IF(OR(status1B5!X210="",W$7="No aplica"),0,SUM('BOULEVARD 5'!$K208:Z208)-$AP515)</f>
        <v>0</v>
      </c>
      <c r="X515" s="716">
        <f>IF(OR(status1B5!Y210="",X$7="No aplica"),0,SUM('BOULEVARD 5'!$K208:AA208)-$AP515)</f>
        <v>0</v>
      </c>
      <c r="Y515" s="716">
        <f>IF(OR(status1B5!Z210="",Y$7="No aplica"),0,SUM('BOULEVARD 5'!$K208:AB208)-$AP515)</f>
        <v>0</v>
      </c>
      <c r="Z515" s="716">
        <f>IF(OR(status1B5!AA210="",Z$7="No aplica"),0,SUM('BOULEVARD 5'!$K208:AC208)-$AP515)</f>
        <v>0</v>
      </c>
      <c r="AA515" s="716">
        <f>IF(OR(status1B5!AB210="",AA$7="No aplica"),0,SUM('BOULEVARD 5'!$K208:AD208)-$AP515)</f>
        <v>0</v>
      </c>
      <c r="AB515" s="716">
        <f>IF(OR(status1B5!AC210="",AB$7="No aplica"),0,SUM('BOULEVARD 5'!$K208:AE208)-$AP515)</f>
        <v>0</v>
      </c>
      <c r="AC515" s="716">
        <f>IF(OR(status1B5!AD210="",AC$7="No aplica"),0,SUM('BOULEVARD 5'!$K208:AF208)-$AP515)</f>
        <v>0</v>
      </c>
      <c r="AD515" s="716">
        <f>IF(OR(status1B5!AE210="",AD$7="No aplica"),0,SUM('BOULEVARD 5'!$K208:AG208)-$AP515)</f>
        <v>0</v>
      </c>
      <c r="AE515" s="716">
        <f>IF(OR(status1B5!AF210="",AE$7="No aplica"),0,SUM('BOULEVARD 5'!$K208:AH208)-$AP515)</f>
        <v>0</v>
      </c>
      <c r="AF515" s="716">
        <f>IF(OR(status1B5!AG210="",AF$7="No aplica"),0,SUM('BOULEVARD 5'!$K208:AI208)-$AP515)</f>
        <v>0</v>
      </c>
      <c r="AG515" s="716">
        <f>IF(OR(status1B5!AH210="",AG$7="No aplica"),0,SUM('BOULEVARD 5'!$K208:AJ208)-$AP515)</f>
        <v>-104330.2</v>
      </c>
      <c r="AH515" s="716">
        <f>IF(OR(status1B5!AI210="",AH$7="No aplica"),0,SUM('BOULEVARD 5'!$K208:AK208)-$AP515)</f>
        <v>-96305.2</v>
      </c>
      <c r="AI515" s="716">
        <f>IF(OR(status1B5!AJ210="",AI$7="No aplica"),0,SUM('BOULEVARD 5'!$K208:AL208)-$AP515)</f>
        <v>-88280.2</v>
      </c>
      <c r="AJ515" s="716">
        <f>IF(OR(status1B5!AK210="",AJ$7="No aplica"),0,SUM('BOULEVARD 5'!$K208:AM208)-$AP515)</f>
        <v>-80255.199999999997</v>
      </c>
      <c r="AK515" s="716">
        <f>IF(OR(status1B5!AL210="",AK$7="No aplica"),0,SUM('BOULEVARD 5'!$K208:AN208)-$AP515)</f>
        <v>-72230.2</v>
      </c>
      <c r="AL515" s="716">
        <f>IF(OR(status1B5!AM210="",AL$7="No aplica"),0,SUM('BOULEVARD 5'!$K208:AO208)-$AP515)</f>
        <v>-64205.2</v>
      </c>
      <c r="AM515" s="716">
        <f>IF(OR(status1B5!AN210="",AM$7="No aplica"),0,SUM('BOULEVARD 5'!$K208:AP208)-$AP515)</f>
        <v>-56180.2</v>
      </c>
      <c r="AN515" s="716">
        <f>IF(OR(status1B5!AO210="",AN$7="No aplica"),0,SUM('BOULEVARD 5'!$K208:AQ208)-$AP515)</f>
        <v>0</v>
      </c>
      <c r="AO515" s="716">
        <f>IF(OR(status1B5!AP210="",AO$7="No aplica"),0,SUM('BOULEVARD 5'!$K208:AS208)-$AP515)</f>
        <v>0</v>
      </c>
      <c r="AP515" s="717">
        <f>'BOULEVARD PPTO'!BC203</f>
        <v>114330.2</v>
      </c>
      <c r="AQ515" s="717">
        <f>'BOULEVARD 5'!AT208</f>
        <v>82225</v>
      </c>
      <c r="AR515" s="717">
        <f t="shared" si="236"/>
        <v>-32105.199999999997</v>
      </c>
      <c r="AS515" s="717"/>
      <c r="AT515" s="581"/>
    </row>
    <row r="516" spans="1:46" ht="13.15" customHeight="1" outlineLevel="1" x14ac:dyDescent="0.25">
      <c r="A516" s="700" t="str">
        <f t="shared" si="234"/>
        <v>CE</v>
      </c>
      <c r="B516" s="564">
        <f t="shared" ref="B516:G516" si="245">B211</f>
        <v>1116</v>
      </c>
      <c r="C516" s="564" t="str">
        <f t="shared" si="245"/>
        <v>B3</v>
      </c>
      <c r="D516" s="647" t="str">
        <f t="shared" si="245"/>
        <v>Plan de pagos especiales</v>
      </c>
      <c r="E516" s="564" t="str">
        <f t="shared" si="245"/>
        <v>Antonio Rada</v>
      </c>
      <c r="F516" s="581" t="str">
        <f t="shared" si="245"/>
        <v>Francisco Javier Arriaza Reyes</v>
      </c>
      <c r="G516" s="566">
        <f t="shared" si="245"/>
        <v>45337</v>
      </c>
      <c r="H516" s="716">
        <f>IF(OR(status1B5!I211="",H$7="No aplica"),0,SUM('BOULEVARD 5'!$K209:K209)-$AP516)</f>
        <v>0</v>
      </c>
      <c r="I516" s="716">
        <f>IF(OR(status1B5!J211="",I$7="No aplica"),0,SUM('BOULEVARD 5'!$K209:L209)-$AP516)</f>
        <v>0</v>
      </c>
      <c r="J516" s="716">
        <f>IF(OR(status1B5!K211="",J$7="No aplica"),0,SUM('BOULEVARD 5'!$K209:M209)-$AP516)</f>
        <v>0</v>
      </c>
      <c r="K516" s="716">
        <f>IF(OR(status1B5!L211="",K$7="No aplica"),0,SUM('BOULEVARD 5'!$K209:N209)-$AP516)</f>
        <v>0</v>
      </c>
      <c r="L516" s="716">
        <f>IF(OR(status1B5!M211="",L$7="No aplica"),0,SUM('BOULEVARD 5'!$K209:O209)-$AP516)</f>
        <v>0</v>
      </c>
      <c r="M516" s="716">
        <f>IF(OR(status1B5!N211="",M$7="No aplica"),0,SUM('BOULEVARD 5'!$K209:P209)-$AP516)</f>
        <v>0</v>
      </c>
      <c r="N516" s="716">
        <f>IF(OR(status1B5!O211="",N$7="No aplica"),0,SUM('BOULEVARD 5'!$K209:Q209)-$AP516)</f>
        <v>0</v>
      </c>
      <c r="O516" s="716">
        <f>IF(OR(status1B5!P211="",O$7="No aplica"),0,SUM('BOULEVARD 5'!$K209:R209)-$AP516)</f>
        <v>0</v>
      </c>
      <c r="P516" s="716">
        <f>IF(OR(status1B5!Q211="",P$7="No aplica"),0,SUM('BOULEVARD 5'!$K209:S209)-$AP516)</f>
        <v>0</v>
      </c>
      <c r="Q516" s="716">
        <f>IF(OR(status1B5!R211="",Q$7="No aplica"),0,SUM('BOULEVARD 5'!$K209:T209)-$AP516)</f>
        <v>0</v>
      </c>
      <c r="R516" s="716">
        <f>IF(OR(status1B5!S211="",R$7="No aplica"),0,SUM('BOULEVARD 5'!$K209:U209)-$AP516)</f>
        <v>0</v>
      </c>
      <c r="S516" s="716">
        <f>IF(OR(status1B5!T211="",S$7="No aplica"),0,SUM('BOULEVARD 5'!$K209:V209)-$AP516)</f>
        <v>-80800</v>
      </c>
      <c r="T516" s="716">
        <f>IF(OR(status1B5!U211="",T$7="No aplica"),0,SUM('BOULEVARD 5'!$K209:W209)-$AP516)</f>
        <v>-76547</v>
      </c>
      <c r="U516" s="716">
        <f>IF(OR(status1B5!V211="",U$7="No aplica"),0,SUM('BOULEVARD 5'!$K209:X209)-$AP516)</f>
        <v>-72294</v>
      </c>
      <c r="V516" s="716">
        <f>IF(OR(status1B5!W211="",V$7="No aplica"),0,SUM('BOULEVARD 5'!$K209:Y209)-$AP516)</f>
        <v>-68041</v>
      </c>
      <c r="W516" s="716">
        <f>IF(OR(status1B5!X211="",W$7="No aplica"),0,SUM('BOULEVARD 5'!$K209:Z209)-$AP516)</f>
        <v>-63788</v>
      </c>
      <c r="X516" s="716">
        <f>IF(OR(status1B5!Y211="",X$7="No aplica"),0,SUM('BOULEVARD 5'!$K209:AA209)-$AP516)</f>
        <v>-59535</v>
      </c>
      <c r="Y516" s="716">
        <f>IF(OR(status1B5!Z211="",Y$7="No aplica"),0,SUM('BOULEVARD 5'!$K209:AB209)-$AP516)</f>
        <v>-55282</v>
      </c>
      <c r="Z516" s="716">
        <f>IF(OR(status1B5!AA211="",Z$7="No aplica"),0,SUM('BOULEVARD 5'!$K209:AC209)-$AP516)</f>
        <v>-55282</v>
      </c>
      <c r="AA516" s="716">
        <f>IF(OR(status1B5!AB211="",AA$7="No aplica"),0,SUM('BOULEVARD 5'!$K209:AD209)-$AP516)</f>
        <v>-55282</v>
      </c>
      <c r="AB516" s="716">
        <f>IF(OR(status1B5!AC211="",AB$7="No aplica"),0,SUM('BOULEVARD 5'!$K209:AE209)-$AP516)</f>
        <v>-55282</v>
      </c>
      <c r="AC516" s="716">
        <f>IF(OR(status1B5!AD211="",AC$7="No aplica"),0,SUM('BOULEVARD 5'!$K209:AF209)-$AP516)</f>
        <v>-55282</v>
      </c>
      <c r="AD516" s="716">
        <f>IF(OR(status1B5!AE211="",AD$7="No aplica"),0,SUM('BOULEVARD 5'!$K209:AG209)-$AP516)</f>
        <v>-55282</v>
      </c>
      <c r="AE516" s="716">
        <f>IF(OR(status1B5!AF211="",AE$7="No aplica"),0,SUM('BOULEVARD 5'!$K209:AH209)-$AP516)</f>
        <v>-55282</v>
      </c>
      <c r="AF516" s="716">
        <f>IF(OR(status1B5!AG211="",AF$7="No aplica"),0,SUM('BOULEVARD 5'!$K209:AI209)-$AP516)</f>
        <v>-45282</v>
      </c>
      <c r="AG516" s="716">
        <f>IF(OR(status1B5!AH211="",AG$7="No aplica"),0,SUM('BOULEVARD 5'!$K209:AJ209)-$AP516)</f>
        <v>-45282</v>
      </c>
      <c r="AH516" s="716">
        <f>IF(OR(status1B5!AI211="",AH$7="No aplica"),0,SUM('BOULEVARD 5'!$K209:AK209)-$AP516)</f>
        <v>-45282</v>
      </c>
      <c r="AI516" s="716">
        <f>IF(OR(status1B5!AJ211="",AI$7="No aplica"),0,SUM('BOULEVARD 5'!$K209:AL209)-$AP516)</f>
        <v>-37782</v>
      </c>
      <c r="AJ516" s="716">
        <f>IF(OR(status1B5!AK211="",AJ$7="No aplica"),0,SUM('BOULEVARD 5'!$K209:AM209)-$AP516)</f>
        <v>-32782</v>
      </c>
      <c r="AK516" s="716">
        <f>IF(OR(status1B5!AL211="",AK$7="No aplica"),0,SUM('BOULEVARD 5'!$K209:AN209)-$AP516)</f>
        <v>-32782</v>
      </c>
      <c r="AL516" s="716">
        <f>IF(OR(status1B5!AM211="",AL$7="No aplica"),0,SUM('BOULEVARD 5'!$K209:AO209)-$AP516)</f>
        <v>-32782</v>
      </c>
      <c r="AM516" s="716">
        <f>IF(OR(status1B5!AN211="",AM$7="No aplica"),0,SUM('BOULEVARD 5'!$K209:AP209)-$AP516)</f>
        <v>-32782</v>
      </c>
      <c r="AN516" s="716">
        <f>IF(OR(status1B5!AO211="",AN$7="No aplica"),0,SUM('BOULEVARD 5'!$K209:AQ209)-$AP516)</f>
        <v>0</v>
      </c>
      <c r="AO516" s="716">
        <f>IF(OR(status1B5!AP211="",AO$7="No aplica"),0,SUM('BOULEVARD 5'!$K209:AS209)-$AP516)</f>
        <v>0</v>
      </c>
      <c r="AP516" s="717">
        <f>'BOULEVARD PPTO'!BC204</f>
        <v>88800</v>
      </c>
      <c r="AQ516" s="717">
        <f>'BOULEVARD 5'!AT209</f>
        <v>66018</v>
      </c>
      <c r="AR516" s="717">
        <f t="shared" si="236"/>
        <v>-22782</v>
      </c>
      <c r="AS516" s="717"/>
      <c r="AT516" s="581"/>
    </row>
    <row r="517" spans="1:46" ht="13.15" customHeight="1" outlineLevel="1" x14ac:dyDescent="0.25">
      <c r="A517" s="700">
        <f t="shared" si="234"/>
        <v>0</v>
      </c>
      <c r="B517" s="564">
        <f t="shared" ref="B517:G517" si="246">B212</f>
        <v>1117</v>
      </c>
      <c r="C517" s="564" t="str">
        <f t="shared" si="246"/>
        <v>D10</v>
      </c>
      <c r="D517" s="564">
        <f t="shared" si="246"/>
        <v>0</v>
      </c>
      <c r="E517" s="564" t="str">
        <f t="shared" si="246"/>
        <v>Antonio Rada</v>
      </c>
      <c r="F517" s="581" t="str">
        <f t="shared" si="246"/>
        <v>Jerson Leonel Chavez Martinez</v>
      </c>
      <c r="G517" s="566">
        <f t="shared" si="246"/>
        <v>45274</v>
      </c>
      <c r="H517" s="716">
        <f>IF(OR(status1B5!I212="",H$7="No aplica"),0,SUM('BOULEVARD 5'!$K210:K210)-$AP517)</f>
        <v>0</v>
      </c>
      <c r="I517" s="716">
        <f>IF(OR(status1B5!J212="",I$7="No aplica"),0,SUM('BOULEVARD 5'!$K210:L210)-$AP517)</f>
        <v>0</v>
      </c>
      <c r="J517" s="716">
        <f>IF(OR(status1B5!K212="",J$7="No aplica"),0,SUM('BOULEVARD 5'!$K210:M210)-$AP517)</f>
        <v>0</v>
      </c>
      <c r="K517" s="716">
        <f>IF(OR(status1B5!L212="",K$7="No aplica"),0,SUM('BOULEVARD 5'!$K210:N210)-$AP517)</f>
        <v>0</v>
      </c>
      <c r="L517" s="716">
        <f>IF(OR(status1B5!M212="",L$7="No aplica"),0,SUM('BOULEVARD 5'!$K210:O210)-$AP517)</f>
        <v>0</v>
      </c>
      <c r="M517" s="716">
        <f>IF(OR(status1B5!N212="",M$7="No aplica"),0,SUM('BOULEVARD 5'!$K210:P210)-$AP517)</f>
        <v>0</v>
      </c>
      <c r="N517" s="716">
        <f>IF(OR(status1B5!O212="",N$7="No aplica"),0,SUM('BOULEVARD 5'!$K210:Q210)-$AP517)</f>
        <v>0</v>
      </c>
      <c r="O517" s="716">
        <f>IF(OR(status1B5!P212="",O$7="No aplica"),0,SUM('BOULEVARD 5'!$K210:R210)-$AP517)</f>
        <v>0</v>
      </c>
      <c r="P517" s="716">
        <f>IF(OR(status1B5!Q212="",P$7="No aplica"),0,SUM('BOULEVARD 5'!$K210:S210)-$AP517)</f>
        <v>0</v>
      </c>
      <c r="Q517" s="716">
        <f>IF(OR(status1B5!R212="",Q$7="No aplica"),0,SUM('BOULEVARD 5'!$K210:T210)-$AP517)</f>
        <v>-111134.22</v>
      </c>
      <c r="R517" s="716">
        <f>IF(OR(status1B5!S212="",R$7="No aplica"),0,SUM('BOULEVARD 5'!$K210:U210)-$AP517)</f>
        <v>-105842.22</v>
      </c>
      <c r="S517" s="716">
        <f>IF(OR(status1B5!T212="",S$7="No aplica"),0,SUM('BOULEVARD 5'!$K210:V210)-$AP517)</f>
        <v>-100550.22</v>
      </c>
      <c r="T517" s="716">
        <f>IF(OR(status1B5!U212="",T$7="No aplica"),0,SUM('BOULEVARD 5'!$K210:W210)-$AP517)</f>
        <v>-95258.22</v>
      </c>
      <c r="U517" s="716">
        <f>IF(OR(status1B5!V212="",U$7="No aplica"),0,SUM('BOULEVARD 5'!$K210:X210)-$AP517)</f>
        <v>-89966.22</v>
      </c>
      <c r="V517" s="716">
        <f>IF(OR(status1B5!W212="",V$7="No aplica"),0,SUM('BOULEVARD 5'!$K210:Y210)-$AP517)</f>
        <v>-84674.22</v>
      </c>
      <c r="W517" s="716">
        <f>IF(OR(status1B5!X212="",W$7="No aplica"),0,SUM('BOULEVARD 5'!$K210:Z210)-$AP517)</f>
        <v>-84674.22</v>
      </c>
      <c r="X517" s="716">
        <f>IF(OR(status1B5!Y212="",X$7="No aplica"),0,SUM('BOULEVARD 5'!$K210:AA210)-$AP517)</f>
        <v>-74090.22</v>
      </c>
      <c r="Y517" s="716">
        <f>IF(OR(status1B5!Z212="",Y$7="No aplica"),0,SUM('BOULEVARD 5'!$K210:AB210)-$AP517)</f>
        <v>-68798.22</v>
      </c>
      <c r="Z517" s="716">
        <f>IF(OR(status1B5!AA212="",Z$7="No aplica"),0,SUM('BOULEVARD 5'!$K210:AC210)-$AP517)</f>
        <v>-63506.22</v>
      </c>
      <c r="AA517" s="716">
        <f>IF(OR(status1B5!AB212="",AA$7="No aplica"),0,SUM('BOULEVARD 5'!$K210:AD210)-$AP517)</f>
        <v>-58214.22</v>
      </c>
      <c r="AB517" s="716">
        <f>IF(OR(status1B5!AC212="",AB$7="No aplica"),0,SUM('BOULEVARD 5'!$K210:AE210)-$AP517)</f>
        <v>-58214.22</v>
      </c>
      <c r="AC517" s="716">
        <f>IF(OR(status1B5!AD212="",AC$7="No aplica"),0,SUM('BOULEVARD 5'!$K210:AF210)-$AP517)</f>
        <v>-47630.22</v>
      </c>
      <c r="AD517" s="716">
        <f>IF(OR(status1B5!AE212="",AD$7="No aplica"),0,SUM('BOULEVARD 5'!$K210:AG210)-$AP517)</f>
        <v>-42338.22</v>
      </c>
      <c r="AE517" s="716">
        <f>IF(OR(status1B5!AF212="",AE$7="No aplica"),0,SUM('BOULEVARD 5'!$K210:AH210)-$AP517)</f>
        <v>-42338.22</v>
      </c>
      <c r="AF517" s="716">
        <f>IF(OR(status1B5!AG212="",AF$7="No aplica"),0,SUM('BOULEVARD 5'!$K210:AI210)-$AP517)</f>
        <v>-31754.22</v>
      </c>
      <c r="AG517" s="716">
        <f>IF(OR(status1B5!AH212="",AG$7="No aplica"),0,SUM('BOULEVARD 5'!$K210:AJ210)-$AP517)</f>
        <v>-26462.22</v>
      </c>
      <c r="AH517" s="716">
        <f>IF(OR(status1B5!AI212="",AH$7="No aplica"),0,SUM('BOULEVARD 5'!$K210:AK210)-$AP517)</f>
        <v>-21170.22</v>
      </c>
      <c r="AI517" s="716">
        <f>IF(OR(status1B5!AJ212="",AI$7="No aplica"),0,SUM('BOULEVARD 5'!$K210:AL210)-$AP517)</f>
        <v>-15878.220000000001</v>
      </c>
      <c r="AJ517" s="716">
        <f>IF(OR(status1B5!AK212="",AJ$7="No aplica"),0,SUM('BOULEVARD 5'!$K210:AM210)-$AP517)</f>
        <v>-10586.220000000001</v>
      </c>
      <c r="AK517" s="716">
        <f>IF(OR(status1B5!AL212="",AK$7="No aplica"),0,SUM('BOULEVARD 5'!$K210:AN210)-$AP517)</f>
        <v>-5294.2200000000012</v>
      </c>
      <c r="AL517" s="716">
        <f>IF(OR(status1B5!AM212="",AL$7="No aplica"),0,SUM('BOULEVARD 5'!$K210:AO210)-$AP517)</f>
        <v>-2.2200000000011642</v>
      </c>
      <c r="AM517" s="716">
        <f>IF(OR(status1B5!AN212="",AM$7="No aplica"),0,SUM('BOULEVARD 5'!$K210:AP210)-$AP517)</f>
        <v>300</v>
      </c>
      <c r="AN517" s="716">
        <f>IF(OR(status1B5!AO212="",AN$7="No aplica"),0,SUM('BOULEVARD 5'!$K210:AQ210)-$AP517)</f>
        <v>0</v>
      </c>
      <c r="AO517" s="716">
        <f>IF(OR(status1B5!AP212="",AO$7="No aplica"),0,SUM('BOULEVARD 5'!$K210:AS210)-$AP517)</f>
        <v>0</v>
      </c>
      <c r="AP517" s="717">
        <f>'BOULEVARD PPTO'!BC205</f>
        <v>116634.22</v>
      </c>
      <c r="AQ517" s="717">
        <f>'BOULEVARD 5'!AT210</f>
        <v>116934.22</v>
      </c>
      <c r="AR517" s="717">
        <f t="shared" si="236"/>
        <v>300</v>
      </c>
      <c r="AS517" s="717"/>
      <c r="AT517" s="581"/>
    </row>
    <row r="518" spans="1:46" ht="13.15" customHeight="1" outlineLevel="1" x14ac:dyDescent="0.25">
      <c r="A518" s="700">
        <f t="shared" si="234"/>
        <v>0</v>
      </c>
      <c r="B518" s="564">
        <f t="shared" ref="B518:G518" si="247">B213</f>
        <v>1118</v>
      </c>
      <c r="C518" s="564" t="str">
        <f t="shared" si="247"/>
        <v>D11</v>
      </c>
      <c r="D518" s="564">
        <f t="shared" si="247"/>
        <v>0</v>
      </c>
      <c r="E518" s="564" t="str">
        <f t="shared" si="247"/>
        <v>Antonio Rada</v>
      </c>
      <c r="F518" s="581" t="str">
        <f t="shared" si="247"/>
        <v>José Raúl Velasco Ferrigno</v>
      </c>
      <c r="G518" s="566">
        <f t="shared" si="247"/>
        <v>45463</v>
      </c>
      <c r="H518" s="716">
        <f>IF(OR(status1B5!I213="",H$7="No aplica"),0,SUM('BOULEVARD 5'!$K211:K211)-$AP518)</f>
        <v>0</v>
      </c>
      <c r="I518" s="716">
        <f>IF(OR(status1B5!J213="",I$7="No aplica"),0,SUM('BOULEVARD 5'!$K211:L211)-$AP518)</f>
        <v>0</v>
      </c>
      <c r="J518" s="716">
        <f>IF(OR(status1B5!K213="",J$7="No aplica"),0,SUM('BOULEVARD 5'!$K211:M211)-$AP518)</f>
        <v>0</v>
      </c>
      <c r="K518" s="716">
        <f>IF(OR(status1B5!L213="",K$7="No aplica"),0,SUM('BOULEVARD 5'!$K211:N211)-$AP518)</f>
        <v>0</v>
      </c>
      <c r="L518" s="716">
        <f>IF(OR(status1B5!M213="",L$7="No aplica"),0,SUM('BOULEVARD 5'!$K211:O211)-$AP518)</f>
        <v>0</v>
      </c>
      <c r="M518" s="716">
        <f>IF(OR(status1B5!N213="",M$7="No aplica"),0,SUM('BOULEVARD 5'!$K211:P211)-$AP518)</f>
        <v>0</v>
      </c>
      <c r="N518" s="716">
        <f>IF(OR(status1B5!O213="",N$7="No aplica"),0,SUM('BOULEVARD 5'!$K211:Q211)-$AP518)</f>
        <v>0</v>
      </c>
      <c r="O518" s="716">
        <f>IF(OR(status1B5!P213="",O$7="No aplica"),0,SUM('BOULEVARD 5'!$K211:R211)-$AP518)</f>
        <v>0</v>
      </c>
      <c r="P518" s="716">
        <f>IF(OR(status1B5!Q213="",P$7="No aplica"),0,SUM('BOULEVARD 5'!$K211:S211)-$AP518)</f>
        <v>0</v>
      </c>
      <c r="Q518" s="716">
        <f>IF(OR(status1B5!R213="",Q$7="No aplica"),0,SUM('BOULEVARD 5'!$K211:T211)-$AP518)</f>
        <v>0</v>
      </c>
      <c r="R518" s="716">
        <f>IF(OR(status1B5!S213="",R$7="No aplica"),0,SUM('BOULEVARD 5'!$K211:U211)-$AP518)</f>
        <v>0</v>
      </c>
      <c r="S518" s="716">
        <f>IF(OR(status1B5!T213="",S$7="No aplica"),0,SUM('BOULEVARD 5'!$K211:V211)-$AP518)</f>
        <v>0</v>
      </c>
      <c r="T518" s="716">
        <f>IF(OR(status1B5!U213="",T$7="No aplica"),0,SUM('BOULEVARD 5'!$K211:W211)-$AP518)</f>
        <v>0</v>
      </c>
      <c r="U518" s="716">
        <f>IF(OR(status1B5!V213="",U$7="No aplica"),0,SUM('BOULEVARD 5'!$K211:X211)-$AP518)</f>
        <v>0</v>
      </c>
      <c r="V518" s="716">
        <f>IF(OR(status1B5!W213="",V$7="No aplica"),0,SUM('BOULEVARD 5'!$K211:Y211)-$AP518)</f>
        <v>0</v>
      </c>
      <c r="W518" s="716">
        <f>IF(OR(status1B5!X213="",W$7="No aplica"),0,SUM('BOULEVARD 5'!$K211:Z211)-$AP518)</f>
        <v>-108100</v>
      </c>
      <c r="X518" s="716">
        <f>IF(OR(status1B5!Y213="",X$7="No aplica"),0,SUM('BOULEVARD 5'!$K211:AA211)-$AP518)</f>
        <v>-102094</v>
      </c>
      <c r="Y518" s="716">
        <f>IF(OR(status1B5!Z213="",Y$7="No aplica"),0,SUM('BOULEVARD 5'!$K211:AB211)-$AP518)</f>
        <v>-96088</v>
      </c>
      <c r="Z518" s="716">
        <f>IF(OR(status1B5!AA213="",Z$7="No aplica"),0,SUM('BOULEVARD 5'!$K211:AC211)-$AP518)</f>
        <v>-90082</v>
      </c>
      <c r="AA518" s="716">
        <f>IF(OR(status1B5!AB213="",AA$7="No aplica"),0,SUM('BOULEVARD 5'!$K211:AD211)-$AP518)</f>
        <v>-84076</v>
      </c>
      <c r="AB518" s="716">
        <f>IF(OR(status1B5!AC213="",AB$7="No aplica"),0,SUM('BOULEVARD 5'!$K211:AE211)-$AP518)</f>
        <v>-78070</v>
      </c>
      <c r="AC518" s="716">
        <f>IF(OR(status1B5!AD213="",AC$7="No aplica"),0,SUM('BOULEVARD 5'!$K211:AF211)-$AP518)</f>
        <v>-72064</v>
      </c>
      <c r="AD518" s="716">
        <f>IF(OR(status1B5!AE213="",AD$7="No aplica"),0,SUM('BOULEVARD 5'!$K211:AG211)-$AP518)</f>
        <v>-66058</v>
      </c>
      <c r="AE518" s="716">
        <f>IF(OR(status1B5!AF213="",AE$7="No aplica"),0,SUM('BOULEVARD 5'!$K211:AH211)-$AP518)</f>
        <v>-60052</v>
      </c>
      <c r="AF518" s="716">
        <f>IF(OR(status1B5!AG213="",AF$7="No aplica"),0,SUM('BOULEVARD 5'!$K211:AI211)-$AP518)</f>
        <v>-54046</v>
      </c>
      <c r="AG518" s="716">
        <f>IF(OR(status1B5!AH213="",AG$7="No aplica"),0,SUM('BOULEVARD 5'!$K211:AJ211)-$AP518)</f>
        <v>-48040</v>
      </c>
      <c r="AH518" s="716">
        <f>IF(OR(status1B5!AI213="",AH$7="No aplica"),0,SUM('BOULEVARD 5'!$K211:AK211)-$AP518)</f>
        <v>-42034</v>
      </c>
      <c r="AI518" s="716">
        <f>IF(OR(status1B5!AJ213="",AI$7="No aplica"),0,SUM('BOULEVARD 5'!$K211:AL211)-$AP518)</f>
        <v>-36028</v>
      </c>
      <c r="AJ518" s="716">
        <f>IF(OR(status1B5!AK213="",AJ$7="No aplica"),0,SUM('BOULEVARD 5'!$K211:AM211)-$AP518)</f>
        <v>-30022</v>
      </c>
      <c r="AK518" s="716">
        <f>IF(OR(status1B5!AL213="",AK$7="No aplica"),0,SUM('BOULEVARD 5'!$K211:AN211)-$AP518)</f>
        <v>-24016</v>
      </c>
      <c r="AL518" s="716">
        <f>IF(OR(status1B5!AM213="",AL$7="No aplica"),0,SUM('BOULEVARD 5'!$K211:AO211)-$AP518)</f>
        <v>-18010</v>
      </c>
      <c r="AM518" s="716">
        <f>IF(OR(status1B5!AN213="",AM$7="No aplica"),0,SUM('BOULEVARD 5'!$K211:AP211)-$AP518)</f>
        <v>-12004</v>
      </c>
      <c r="AN518" s="716">
        <f>IF(OR(status1B5!AO213="",AN$7="No aplica"),0,SUM('BOULEVARD 5'!$K211:AQ211)-$AP518)</f>
        <v>0</v>
      </c>
      <c r="AO518" s="716">
        <f>IF(OR(status1B5!AP213="",AO$7="No aplica"),0,SUM('BOULEVARD 5'!$K211:AS211)-$AP518)</f>
        <v>0</v>
      </c>
      <c r="AP518" s="717">
        <f>'BOULEVARD PPTO'!BC206</f>
        <v>118100</v>
      </c>
      <c r="AQ518" s="717">
        <f>'BOULEVARD 5'!AT211</f>
        <v>116634.22</v>
      </c>
      <c r="AR518" s="717">
        <f t="shared" si="236"/>
        <v>-1465.7799999999988</v>
      </c>
      <c r="AS518" s="717"/>
      <c r="AT518" s="581"/>
    </row>
    <row r="519" spans="1:46" ht="13.15" customHeight="1" outlineLevel="1" x14ac:dyDescent="0.25">
      <c r="A519" s="700">
        <f t="shared" si="234"/>
        <v>0</v>
      </c>
      <c r="B519" s="564">
        <f t="shared" ref="B519:G519" si="248">B214</f>
        <v>1201</v>
      </c>
      <c r="C519" s="564" t="str">
        <f t="shared" si="248"/>
        <v>D4</v>
      </c>
      <c r="D519" s="564">
        <f t="shared" si="248"/>
        <v>0</v>
      </c>
      <c r="E519" s="564" t="str">
        <f t="shared" si="248"/>
        <v>Antonio Rada</v>
      </c>
      <c r="F519" s="581" t="str">
        <f t="shared" si="248"/>
        <v>Rogelio Alejandro Ochoa Hernandez</v>
      </c>
      <c r="G519" s="566">
        <f t="shared" si="248"/>
        <v>45461</v>
      </c>
      <c r="H519" s="716">
        <f>IF(OR(status1B5!I214="",H$7="No aplica"),0,SUM('BOULEVARD 5'!$K212:K212)-$AP519)</f>
        <v>0</v>
      </c>
      <c r="I519" s="716">
        <f>IF(OR(status1B5!J214="",I$7="No aplica"),0,SUM('BOULEVARD 5'!$K212:L212)-$AP519)</f>
        <v>0</v>
      </c>
      <c r="J519" s="716">
        <f>IF(OR(status1B5!K214="",J$7="No aplica"),0,SUM('BOULEVARD 5'!$K212:M212)-$AP519)</f>
        <v>0</v>
      </c>
      <c r="K519" s="716">
        <f>IF(OR(status1B5!L214="",K$7="No aplica"),0,SUM('BOULEVARD 5'!$K212:N212)-$AP519)</f>
        <v>0</v>
      </c>
      <c r="L519" s="716">
        <f>IF(OR(status1B5!M214="",L$7="No aplica"),0,SUM('BOULEVARD 5'!$K212:O212)-$AP519)</f>
        <v>0</v>
      </c>
      <c r="M519" s="716">
        <f>IF(OR(status1B5!N214="",M$7="No aplica"),0,SUM('BOULEVARD 5'!$K212:P212)-$AP519)</f>
        <v>0</v>
      </c>
      <c r="N519" s="716">
        <f>IF(OR(status1B5!O214="",N$7="No aplica"),0,SUM('BOULEVARD 5'!$K212:Q212)-$AP519)</f>
        <v>0</v>
      </c>
      <c r="O519" s="716">
        <f>IF(OR(status1B5!P214="",O$7="No aplica"),0,SUM('BOULEVARD 5'!$K212:R212)-$AP519)</f>
        <v>0</v>
      </c>
      <c r="P519" s="716">
        <f>IF(OR(status1B5!Q214="",P$7="No aplica"),0,SUM('BOULEVARD 5'!$K212:S212)-$AP519)</f>
        <v>0</v>
      </c>
      <c r="Q519" s="716">
        <f>IF(OR(status1B5!R214="",Q$7="No aplica"),0,SUM('BOULEVARD 5'!$K212:T212)-$AP519)</f>
        <v>0</v>
      </c>
      <c r="R519" s="716">
        <f>IF(OR(status1B5!S214="",R$7="No aplica"),0,SUM('BOULEVARD 5'!$K212:U212)-$AP519)</f>
        <v>0</v>
      </c>
      <c r="S519" s="716">
        <f>IF(OR(status1B5!T214="",S$7="No aplica"),0,SUM('BOULEVARD 5'!$K212:V212)-$AP519)</f>
        <v>0</v>
      </c>
      <c r="T519" s="716">
        <f>IF(OR(status1B5!U214="",T$7="No aplica"),0,SUM('BOULEVARD 5'!$K212:W212)-$AP519)</f>
        <v>0</v>
      </c>
      <c r="U519" s="716">
        <f>IF(OR(status1B5!V214="",U$7="No aplica"),0,SUM('BOULEVARD 5'!$K212:X212)-$AP519)</f>
        <v>0</v>
      </c>
      <c r="V519" s="716">
        <f>IF(OR(status1B5!W214="",V$7="No aplica"),0,SUM('BOULEVARD 5'!$K212:Y212)-$AP519)</f>
        <v>0</v>
      </c>
      <c r="W519" s="716">
        <f>IF(OR(status1B5!X214="",W$7="No aplica"),0,SUM('BOULEVARD 5'!$K212:Z212)-$AP519)</f>
        <v>-115400</v>
      </c>
      <c r="X519" s="716">
        <f>IF(OR(status1B5!Y214="",X$7="No aplica"),0,SUM('BOULEVARD 5'!$K212:AA212)-$AP519)</f>
        <v>-108900</v>
      </c>
      <c r="Y519" s="716">
        <f>IF(OR(status1B5!Z214="",Y$7="No aplica"),0,SUM('BOULEVARD 5'!$K212:AB212)-$AP519)</f>
        <v>-102400</v>
      </c>
      <c r="Z519" s="716">
        <f>IF(OR(status1B5!AA214="",Z$7="No aplica"),0,SUM('BOULEVARD 5'!$K212:AC212)-$AP519)</f>
        <v>-95900</v>
      </c>
      <c r="AA519" s="716">
        <f>IF(OR(status1B5!AB214="",AA$7="No aplica"),0,SUM('BOULEVARD 5'!$K212:AD212)-$AP519)</f>
        <v>-89400</v>
      </c>
      <c r="AB519" s="716">
        <f>IF(OR(status1B5!AC214="",AB$7="No aplica"),0,SUM('BOULEVARD 5'!$K212:AE212)-$AP519)</f>
        <v>-89400</v>
      </c>
      <c r="AC519" s="716">
        <f>IF(OR(status1B5!AD214="",AC$7="No aplica"),0,SUM('BOULEVARD 5'!$K212:AF212)-$AP519)</f>
        <v>-82900</v>
      </c>
      <c r="AD519" s="716">
        <f>IF(OR(status1B5!AE214="",AD$7="No aplica"),0,SUM('BOULEVARD 5'!$K212:AG212)-$AP519)</f>
        <v>-76400</v>
      </c>
      <c r="AE519" s="716">
        <f>IF(OR(status1B5!AF214="",AE$7="No aplica"),0,SUM('BOULEVARD 5'!$K212:AH212)-$AP519)</f>
        <v>-69900</v>
      </c>
      <c r="AF519" s="716">
        <f>IF(OR(status1B5!AG214="",AF$7="No aplica"),0,SUM('BOULEVARD 5'!$K212:AI212)-$AP519)</f>
        <v>-69900</v>
      </c>
      <c r="AG519" s="716">
        <f>IF(OR(status1B5!AH214="",AG$7="No aplica"),0,SUM('BOULEVARD 5'!$K212:AJ212)-$AP519)</f>
        <v>-56900</v>
      </c>
      <c r="AH519" s="716">
        <f>IF(OR(status1B5!AI214="",AH$7="No aplica"),0,SUM('BOULEVARD 5'!$K212:AK212)-$AP519)</f>
        <v>-50400</v>
      </c>
      <c r="AI519" s="716">
        <f>IF(OR(status1B5!AJ214="",AI$7="No aplica"),0,SUM('BOULEVARD 5'!$K212:AL212)-$AP519)</f>
        <v>-43900</v>
      </c>
      <c r="AJ519" s="716">
        <f>IF(OR(status1B5!AK214="",AJ$7="No aplica"),0,SUM('BOULEVARD 5'!$K212:AM212)-$AP519)</f>
        <v>-37400</v>
      </c>
      <c r="AK519" s="716">
        <f>IF(OR(status1B5!AL214="",AK$7="No aplica"),0,SUM('BOULEVARD 5'!$K212:AN212)-$AP519)</f>
        <v>-30900</v>
      </c>
      <c r="AL519" s="716">
        <f>IF(OR(status1B5!AM214="",AL$7="No aplica"),0,SUM('BOULEVARD 5'!$K212:AO212)-$AP519)</f>
        <v>-24400</v>
      </c>
      <c r="AM519" s="716">
        <f>IF(OR(status1B5!AN214="",AM$7="No aplica"),0,SUM('BOULEVARD 5'!$K212:AP212)-$AP519)</f>
        <v>-24400</v>
      </c>
      <c r="AN519" s="716">
        <f>IF(OR(status1B5!AO214="",AN$7="No aplica"),0,SUM('BOULEVARD 5'!$K212:AQ212)-$AP519)</f>
        <v>0</v>
      </c>
      <c r="AO519" s="716">
        <f>IF(OR(status1B5!AP214="",AO$7="No aplica"),0,SUM('BOULEVARD 5'!$K212:AS212)-$AP519)</f>
        <v>0</v>
      </c>
      <c r="AP519" s="717">
        <f>'BOULEVARD PPTO'!BC207</f>
        <v>125400</v>
      </c>
      <c r="AQ519" s="717">
        <f>'BOULEVARD 5'!AT212</f>
        <v>101000</v>
      </c>
      <c r="AR519" s="717">
        <f t="shared" si="236"/>
        <v>-24400</v>
      </c>
      <c r="AS519" s="717"/>
      <c r="AT519" s="581"/>
    </row>
    <row r="520" spans="1:46" ht="13.15" customHeight="1" outlineLevel="1" x14ac:dyDescent="0.25">
      <c r="A520" s="700">
        <f t="shared" si="234"/>
        <v>0</v>
      </c>
      <c r="B520" s="564">
        <f t="shared" ref="B520:G520" si="249">B215</f>
        <v>1202</v>
      </c>
      <c r="C520" s="564" t="str">
        <f t="shared" si="249"/>
        <v>D1</v>
      </c>
      <c r="D520" s="564">
        <f t="shared" si="249"/>
        <v>0</v>
      </c>
      <c r="E520" s="564" t="str">
        <f t="shared" si="249"/>
        <v>Antonio Rada</v>
      </c>
      <c r="F520" s="581" t="str">
        <f t="shared" si="249"/>
        <v>Edwin Steven Quiroa Sitamul</v>
      </c>
      <c r="G520" s="566">
        <f t="shared" si="249"/>
        <v>45350</v>
      </c>
      <c r="H520" s="716">
        <f>IF(OR(status1B5!I215="",H$7="No aplica"),0,SUM('BOULEVARD 5'!$K213:K213)-$AP520)</f>
        <v>0</v>
      </c>
      <c r="I520" s="716">
        <f>IF(OR(status1B5!J215="",I$7="No aplica"),0,SUM('BOULEVARD 5'!$K213:L213)-$AP520)</f>
        <v>0</v>
      </c>
      <c r="J520" s="716">
        <f>IF(OR(status1B5!K215="",J$7="No aplica"),0,SUM('BOULEVARD 5'!$K213:M213)-$AP520)</f>
        <v>0</v>
      </c>
      <c r="K520" s="716">
        <f>IF(OR(status1B5!L215="",K$7="No aplica"),0,SUM('BOULEVARD 5'!$K213:N213)-$AP520)</f>
        <v>0</v>
      </c>
      <c r="L520" s="716">
        <f>IF(OR(status1B5!M215="",L$7="No aplica"),0,SUM('BOULEVARD 5'!$K213:O213)-$AP520)</f>
        <v>0</v>
      </c>
      <c r="M520" s="716">
        <f>IF(OR(status1B5!N215="",M$7="No aplica"),0,SUM('BOULEVARD 5'!$K213:P213)-$AP520)</f>
        <v>0</v>
      </c>
      <c r="N520" s="716">
        <f>IF(OR(status1B5!O215="",N$7="No aplica"),0,SUM('BOULEVARD 5'!$K213:Q213)-$AP520)</f>
        <v>0</v>
      </c>
      <c r="O520" s="716">
        <f>IF(OR(status1B5!P215="",O$7="No aplica"),0,SUM('BOULEVARD 5'!$K213:R213)-$AP520)</f>
        <v>0</v>
      </c>
      <c r="P520" s="716">
        <f>IF(OR(status1B5!Q215="",P$7="No aplica"),0,SUM('BOULEVARD 5'!$K213:S213)-$AP520)</f>
        <v>0</v>
      </c>
      <c r="Q520" s="716">
        <f>IF(OR(status1B5!R215="",Q$7="No aplica"),0,SUM('BOULEVARD 5'!$K213:T213)-$AP520)</f>
        <v>0</v>
      </c>
      <c r="R520" s="716">
        <f>IF(OR(status1B5!S215="",R$7="No aplica"),0,SUM('BOULEVARD 5'!$K213:U213)-$AP520)</f>
        <v>0</v>
      </c>
      <c r="S520" s="716">
        <f>IF(OR(status1B5!T215="",S$7="No aplica"),0,SUM('BOULEVARD 5'!$K213:V213)-$AP520)</f>
        <v>-118600</v>
      </c>
      <c r="T520" s="716">
        <f>IF(OR(status1B5!U215="",T$7="No aplica"),0,SUM('BOULEVARD 5'!$K213:W213)-$AP520)</f>
        <v>-112358</v>
      </c>
      <c r="U520" s="716">
        <f>IF(OR(status1B5!V215="",U$7="No aplica"),0,SUM('BOULEVARD 5'!$K213:X213)-$AP520)</f>
        <v>-106116</v>
      </c>
      <c r="V520" s="716">
        <f>IF(OR(status1B5!W215="",V$7="No aplica"),0,SUM('BOULEVARD 5'!$K213:Y213)-$AP520)</f>
        <v>-99874</v>
      </c>
      <c r="W520" s="716">
        <f>IF(OR(status1B5!X215="",W$7="No aplica"),0,SUM('BOULEVARD 5'!$K213:Z213)-$AP520)</f>
        <v>-93632</v>
      </c>
      <c r="X520" s="716">
        <f>IF(OR(status1B5!Y215="",X$7="No aplica"),0,SUM('BOULEVARD 5'!$K213:AA213)-$AP520)</f>
        <v>-87390</v>
      </c>
      <c r="Y520" s="716">
        <f>IF(OR(status1B5!Z215="",Y$7="No aplica"),0,SUM('BOULEVARD 5'!$K213:AB213)-$AP520)</f>
        <v>-81148</v>
      </c>
      <c r="Z520" s="716">
        <f>IF(OR(status1B5!AA215="",Z$7="No aplica"),0,SUM('BOULEVARD 5'!$K213:AC213)-$AP520)</f>
        <v>-74906</v>
      </c>
      <c r="AA520" s="716">
        <f>IF(OR(status1B5!AB215="",AA$7="No aplica"),0,SUM('BOULEVARD 5'!$K213:AD213)-$AP520)</f>
        <v>-68664</v>
      </c>
      <c r="AB520" s="716">
        <f>IF(OR(status1B5!AC215="",AB$7="No aplica"),0,SUM('BOULEVARD 5'!$K213:AE213)-$AP520)</f>
        <v>-62422</v>
      </c>
      <c r="AC520" s="716">
        <f>IF(OR(status1B5!AD215="",AC$7="No aplica"),0,SUM('BOULEVARD 5'!$K213:AF213)-$AP520)</f>
        <v>-56180</v>
      </c>
      <c r="AD520" s="716">
        <f>IF(OR(status1B5!AE215="",AD$7="No aplica"),0,SUM('BOULEVARD 5'!$K213:AG213)-$AP520)</f>
        <v>-49938</v>
      </c>
      <c r="AE520" s="716">
        <f>IF(OR(status1B5!AF215="",AE$7="No aplica"),0,SUM('BOULEVARD 5'!$K213:AH213)-$AP520)</f>
        <v>-43696</v>
      </c>
      <c r="AF520" s="716">
        <f>IF(OR(status1B5!AG215="",AF$7="No aplica"),0,SUM('BOULEVARD 5'!$K213:AI213)-$AP520)</f>
        <v>-37454</v>
      </c>
      <c r="AG520" s="716">
        <f>IF(OR(status1B5!AH215="",AG$7="No aplica"),0,SUM('BOULEVARD 5'!$K213:AJ213)-$AP520)</f>
        <v>-31212</v>
      </c>
      <c r="AH520" s="716">
        <f>IF(OR(status1B5!AI215="",AH$7="No aplica"),0,SUM('BOULEVARD 5'!$K213:AK213)-$AP520)</f>
        <v>-24970</v>
      </c>
      <c r="AI520" s="716">
        <f>IF(OR(status1B5!AJ215="",AI$7="No aplica"),0,SUM('BOULEVARD 5'!$K213:AL213)-$AP520)</f>
        <v>-18728</v>
      </c>
      <c r="AJ520" s="716">
        <f>IF(OR(status1B5!AK215="",AJ$7="No aplica"),0,SUM('BOULEVARD 5'!$K213:AM213)-$AP520)</f>
        <v>-12486</v>
      </c>
      <c r="AK520" s="716">
        <f>IF(OR(status1B5!AL215="",AK$7="No aplica"),0,SUM('BOULEVARD 5'!$K213:AN213)-$AP520)</f>
        <v>-6244</v>
      </c>
      <c r="AL520" s="716">
        <f>IF(OR(status1B5!AM215="",AL$7="No aplica"),0,SUM('BOULEVARD 5'!$K213:AO213)-$AP520)</f>
        <v>0</v>
      </c>
      <c r="AM520" s="716">
        <f>IF(OR(status1B5!AN215="",AM$7="No aplica"),0,SUM('BOULEVARD 5'!$K213:AP213)-$AP520)</f>
        <v>0</v>
      </c>
      <c r="AN520" s="716">
        <f>IF(OR(status1B5!AO215="",AN$7="No aplica"),0,SUM('BOULEVARD 5'!$K213:AQ213)-$AP520)</f>
        <v>0</v>
      </c>
      <c r="AO520" s="716">
        <f>IF(OR(status1B5!AP215="",AO$7="No aplica"),0,SUM('BOULEVARD 5'!$K213:AS213)-$AP520)</f>
        <v>0</v>
      </c>
      <c r="AP520" s="717">
        <f>'BOULEVARD PPTO'!BC208</f>
        <v>126600</v>
      </c>
      <c r="AQ520" s="717">
        <f>'BOULEVARD 5'!AT213</f>
        <v>126600</v>
      </c>
      <c r="AR520" s="717">
        <f t="shared" si="236"/>
        <v>0</v>
      </c>
      <c r="AS520" s="717"/>
      <c r="AT520" s="581"/>
    </row>
    <row r="521" spans="1:46" ht="13.15" customHeight="1" outlineLevel="1" x14ac:dyDescent="0.25">
      <c r="A521" s="700">
        <f t="shared" si="234"/>
        <v>0</v>
      </c>
      <c r="B521" s="564">
        <f t="shared" ref="B521:G521" si="250">B216</f>
        <v>1203</v>
      </c>
      <c r="C521" s="564" t="str">
        <f t="shared" si="250"/>
        <v>B4</v>
      </c>
      <c r="D521" s="564">
        <f t="shared" si="250"/>
        <v>0</v>
      </c>
      <c r="E521" s="564" t="str">
        <f t="shared" si="250"/>
        <v>Antonio Rada</v>
      </c>
      <c r="F521" s="581" t="str">
        <f t="shared" si="250"/>
        <v>Allan Vinicio Velásquez León</v>
      </c>
      <c r="G521" s="566">
        <f t="shared" si="250"/>
        <v>45165</v>
      </c>
      <c r="H521" s="716">
        <f>IF(OR(status1B5!I216="",H$7="No aplica"),0,SUM('BOULEVARD 5'!$K214:K214)-$AP521)</f>
        <v>0</v>
      </c>
      <c r="I521" s="716">
        <f>IF(OR(status1B5!J216="",I$7="No aplica"),0,SUM('BOULEVARD 5'!$K214:L214)-$AP521)</f>
        <v>0</v>
      </c>
      <c r="J521" s="716">
        <f>IF(OR(status1B5!K216="",J$7="No aplica"),0,SUM('BOULEVARD 5'!$K214:M214)-$AP521)</f>
        <v>0</v>
      </c>
      <c r="K521" s="716">
        <f>IF(OR(status1B5!L216="",K$7="No aplica"),0,SUM('BOULEVARD 5'!$K214:N214)-$AP521)</f>
        <v>0</v>
      </c>
      <c r="L521" s="716">
        <f>IF(OR(status1B5!M216="",L$7="No aplica"),0,SUM('BOULEVARD 5'!$K214:O214)-$AP521)</f>
        <v>0</v>
      </c>
      <c r="M521" s="716">
        <f>IF(OR(status1B5!N216="",M$7="No aplica"),0,SUM('BOULEVARD 5'!$K214:P214)-$AP521)</f>
        <v>-84200</v>
      </c>
      <c r="N521" s="716">
        <f>IF(OR(status1B5!O216="",N$7="No aplica"),0,SUM('BOULEVARD 5'!$K214:Q214)-$AP521)</f>
        <v>-80570</v>
      </c>
      <c r="O521" s="716">
        <f>IF(OR(status1B5!P216="",O$7="No aplica"),0,SUM('BOULEVARD 5'!$K214:R214)-$AP521)</f>
        <v>-76940</v>
      </c>
      <c r="P521" s="716">
        <f>IF(OR(status1B5!Q216="",P$7="No aplica"),0,SUM('BOULEVARD 5'!$K214:S214)-$AP521)</f>
        <v>-76940</v>
      </c>
      <c r="Q521" s="716">
        <f>IF(OR(status1B5!R216="",Q$7="No aplica"),0,SUM('BOULEVARD 5'!$K214:T214)-$AP521)</f>
        <v>-69680</v>
      </c>
      <c r="R521" s="716">
        <f>IF(OR(status1B5!S216="",R$7="No aplica"),0,SUM('BOULEVARD 5'!$K214:U214)-$AP521)</f>
        <v>-66050</v>
      </c>
      <c r="S521" s="716">
        <f>IF(OR(status1B5!T216="",S$7="No aplica"),0,SUM('BOULEVARD 5'!$K214:V214)-$AP521)</f>
        <v>-66050</v>
      </c>
      <c r="T521" s="716">
        <f>IF(OR(status1B5!U216="",T$7="No aplica"),0,SUM('BOULEVARD 5'!$K214:W214)-$AP521)</f>
        <v>-62420</v>
      </c>
      <c r="U521" s="716">
        <f>IF(OR(status1B5!V216="",U$7="No aplica"),0,SUM('BOULEVARD 5'!$K214:X214)-$AP521)</f>
        <v>-55160</v>
      </c>
      <c r="V521" s="716">
        <f>IF(OR(status1B5!W216="",V$7="No aplica"),0,SUM('BOULEVARD 5'!$K214:Y214)-$AP521)</f>
        <v>-55160</v>
      </c>
      <c r="W521" s="716">
        <f>IF(OR(status1B5!X216="",W$7="No aplica"),0,SUM('BOULEVARD 5'!$K214:Z214)-$AP521)</f>
        <v>-47900</v>
      </c>
      <c r="X521" s="716">
        <f>IF(OR(status1B5!Y216="",X$7="No aplica"),0,SUM('BOULEVARD 5'!$K214:AA214)-$AP521)</f>
        <v>-47900</v>
      </c>
      <c r="Y521" s="716">
        <f>IF(OR(status1B5!Z216="",Y$7="No aplica"),0,SUM('BOULEVARD 5'!$K214:AB214)-$AP521)</f>
        <v>-47900</v>
      </c>
      <c r="Z521" s="716">
        <f>IF(OR(status1B5!AA216="",Z$7="No aplica"),0,SUM('BOULEVARD 5'!$K214:AC214)-$AP521)</f>
        <v>-44270</v>
      </c>
      <c r="AA521" s="716">
        <f>IF(OR(status1B5!AB216="",AA$7="No aplica"),0,SUM('BOULEVARD 5'!$K214:AD214)-$AP521)</f>
        <v>-40640</v>
      </c>
      <c r="AB521" s="716">
        <f>IF(OR(status1B5!AC216="",AB$7="No aplica"),0,SUM('BOULEVARD 5'!$K214:AE214)-$AP521)</f>
        <v>-33380</v>
      </c>
      <c r="AC521" s="716">
        <f>IF(OR(status1B5!AD216="",AC$7="No aplica"),0,SUM('BOULEVARD 5'!$K214:AF214)-$AP521)</f>
        <v>-33380</v>
      </c>
      <c r="AD521" s="716">
        <f>IF(OR(status1B5!AE216="",AD$7="No aplica"),0,SUM('BOULEVARD 5'!$K214:AG214)-$AP521)</f>
        <v>-33380</v>
      </c>
      <c r="AE521" s="716">
        <f>IF(OR(status1B5!AF216="",AE$7="No aplica"),0,SUM('BOULEVARD 5'!$K214:AH214)-$AP521)</f>
        <v>-22490</v>
      </c>
      <c r="AF521" s="716">
        <f>IF(OR(status1B5!AG216="",AF$7="No aplica"),0,SUM('BOULEVARD 5'!$K214:AI214)-$AP521)</f>
        <v>-22490</v>
      </c>
      <c r="AG521" s="716">
        <f>IF(OR(status1B5!AH216="",AG$7="No aplica"),0,SUM('BOULEVARD 5'!$K214:AJ214)-$AP521)</f>
        <v>-11600</v>
      </c>
      <c r="AH521" s="716">
        <f>IF(OR(status1B5!AI216="",AH$7="No aplica"),0,SUM('BOULEVARD 5'!$K214:AK214)-$AP521)</f>
        <v>-11600</v>
      </c>
      <c r="AI521" s="716">
        <f>IF(OR(status1B5!AJ216="",AI$7="No aplica"),0,SUM('BOULEVARD 5'!$K214:AL214)-$AP521)</f>
        <v>-4340</v>
      </c>
      <c r="AJ521" s="716">
        <f>IF(OR(status1B5!AK216="",AJ$7="No aplica"),0,SUM('BOULEVARD 5'!$K214:AM214)-$AP521)</f>
        <v>-4340</v>
      </c>
      <c r="AK521" s="716">
        <f>IF(OR(status1B5!AL216="",AK$7="No aplica"),0,SUM('BOULEVARD 5'!$K214:AN214)-$AP521)</f>
        <v>-4340</v>
      </c>
      <c r="AL521" s="716">
        <f>IF(OR(status1B5!AM216="",AL$7="No aplica"),0,SUM('BOULEVARD 5'!$K214:AO214)-$AP521)</f>
        <v>90</v>
      </c>
      <c r="AM521" s="716">
        <f>IF(OR(status1B5!AN216="",AM$7="No aplica"),0,SUM('BOULEVARD 5'!$K214:AP214)-$AP521)</f>
        <v>90</v>
      </c>
      <c r="AN521" s="716">
        <f>IF(OR(status1B5!AO216="",AN$7="No aplica"),0,SUM('BOULEVARD 5'!$K214:AQ214)-$AP521)</f>
        <v>0</v>
      </c>
      <c r="AO521" s="716">
        <f>IF(OR(status1B5!AP216="",AO$7="No aplica"),0,SUM('BOULEVARD 5'!$K214:AS214)-$AP521)</f>
        <v>0</v>
      </c>
      <c r="AP521" s="717">
        <f>'BOULEVARD PPTO'!BC209</f>
        <v>90200</v>
      </c>
      <c r="AQ521" s="717">
        <f>'BOULEVARD 5'!AT214</f>
        <v>90380</v>
      </c>
      <c r="AR521" s="717">
        <f t="shared" si="236"/>
        <v>180</v>
      </c>
      <c r="AS521" s="717"/>
      <c r="AT521" s="581"/>
    </row>
    <row r="522" spans="1:46" ht="13.15" customHeight="1" outlineLevel="1" x14ac:dyDescent="0.25">
      <c r="A522" s="700">
        <f t="shared" si="234"/>
        <v>0</v>
      </c>
      <c r="B522" s="564">
        <f t="shared" ref="B522:G522" si="251">B217</f>
        <v>1204</v>
      </c>
      <c r="C522" s="564" t="str">
        <f t="shared" si="251"/>
        <v>B3</v>
      </c>
      <c r="D522" s="564">
        <f t="shared" si="251"/>
        <v>0</v>
      </c>
      <c r="E522" s="564" t="str">
        <f t="shared" si="251"/>
        <v>Antonio Rada</v>
      </c>
      <c r="F522" s="581" t="str">
        <f t="shared" si="251"/>
        <v>Josselin Alejandra Turcios Orantes</v>
      </c>
      <c r="G522" s="566">
        <f t="shared" si="251"/>
        <v>45336</v>
      </c>
      <c r="H522" s="716">
        <f>IF(OR(status1B5!I217="",H$7="No aplica"),0,SUM('BOULEVARD 5'!$K215:K215)-$AP522)</f>
        <v>0</v>
      </c>
      <c r="I522" s="716">
        <f>IF(OR(status1B5!J217="",I$7="No aplica"),0,SUM('BOULEVARD 5'!$K215:L215)-$AP522)</f>
        <v>0</v>
      </c>
      <c r="J522" s="716">
        <f>IF(OR(status1B5!K217="",J$7="No aplica"),0,SUM('BOULEVARD 5'!$K215:M215)-$AP522)</f>
        <v>0</v>
      </c>
      <c r="K522" s="716">
        <f>IF(OR(status1B5!L217="",K$7="No aplica"),0,SUM('BOULEVARD 5'!$K215:N215)-$AP522)</f>
        <v>0</v>
      </c>
      <c r="L522" s="716">
        <f>IF(OR(status1B5!M217="",L$7="No aplica"),0,SUM('BOULEVARD 5'!$K215:O215)-$AP522)</f>
        <v>0</v>
      </c>
      <c r="M522" s="716">
        <f>IF(OR(status1B5!N217="",M$7="No aplica"),0,SUM('BOULEVARD 5'!$K215:P215)-$AP522)</f>
        <v>0</v>
      </c>
      <c r="N522" s="716">
        <f>IF(OR(status1B5!O217="",N$7="No aplica"),0,SUM('BOULEVARD 5'!$K215:Q215)-$AP522)</f>
        <v>0</v>
      </c>
      <c r="O522" s="716">
        <f>IF(OR(status1B5!P217="",O$7="No aplica"),0,SUM('BOULEVARD 5'!$K215:R215)-$AP522)</f>
        <v>0</v>
      </c>
      <c r="P522" s="716">
        <f>IF(OR(status1B5!Q217="",P$7="No aplica"),0,SUM('BOULEVARD 5'!$K215:S215)-$AP522)</f>
        <v>0</v>
      </c>
      <c r="Q522" s="716">
        <f>IF(OR(status1B5!R217="",Q$7="No aplica"),0,SUM('BOULEVARD 5'!$K215:T215)-$AP522)</f>
        <v>0</v>
      </c>
      <c r="R522" s="716">
        <f>IF(OR(status1B5!S217="",R$7="No aplica"),0,SUM('BOULEVARD 5'!$K215:U215)-$AP522)</f>
        <v>0</v>
      </c>
      <c r="S522" s="716">
        <f>IF(OR(status1B5!T217="",S$7="No aplica"),0,SUM('BOULEVARD 5'!$K215:V215)-$AP522)</f>
        <v>-80800</v>
      </c>
      <c r="T522" s="716">
        <f>IF(OR(status1B5!U217="",T$7="No aplica"),0,SUM('BOULEVARD 5'!$K215:W215)-$AP522)</f>
        <v>-76547</v>
      </c>
      <c r="U522" s="716">
        <f>IF(OR(status1B5!V217="",U$7="No aplica"),0,SUM('BOULEVARD 5'!$K215:X215)-$AP522)</f>
        <v>-72294</v>
      </c>
      <c r="V522" s="716">
        <f>IF(OR(status1B5!W217="",V$7="No aplica"),0,SUM('BOULEVARD 5'!$K215:Y215)-$AP522)</f>
        <v>-68041</v>
      </c>
      <c r="W522" s="716">
        <f>IF(OR(status1B5!X217="",W$7="No aplica"),0,SUM('BOULEVARD 5'!$K215:Z215)-$AP522)</f>
        <v>-63788</v>
      </c>
      <c r="X522" s="716">
        <f>IF(OR(status1B5!Y217="",X$7="No aplica"),0,SUM('BOULEVARD 5'!$K215:AA215)-$AP522)</f>
        <v>-59535</v>
      </c>
      <c r="Y522" s="716">
        <f>IF(OR(status1B5!Z217="",Y$7="No aplica"),0,SUM('BOULEVARD 5'!$K215:AB215)-$AP522)</f>
        <v>-55282</v>
      </c>
      <c r="Z522" s="716">
        <f>IF(OR(status1B5!AA217="",Z$7="No aplica"),0,SUM('BOULEVARD 5'!$K215:AC215)-$AP522)</f>
        <v>-51029</v>
      </c>
      <c r="AA522" s="716">
        <f>IF(OR(status1B5!AB217="",AA$7="No aplica"),0,SUM('BOULEVARD 5'!$K215:AD215)-$AP522)</f>
        <v>-46776</v>
      </c>
      <c r="AB522" s="716">
        <f>IF(OR(status1B5!AC217="",AB$7="No aplica"),0,SUM('BOULEVARD 5'!$K215:AE215)-$AP522)</f>
        <v>-42523</v>
      </c>
      <c r="AC522" s="716">
        <f>IF(OR(status1B5!AD217="",AC$7="No aplica"),0,SUM('BOULEVARD 5'!$K215:AF215)-$AP522)</f>
        <v>-38270</v>
      </c>
      <c r="AD522" s="716">
        <f>IF(OR(status1B5!AE217="",AD$7="No aplica"),0,SUM('BOULEVARD 5'!$K215:AG215)-$AP522)</f>
        <v>-34017</v>
      </c>
      <c r="AE522" s="716">
        <f>IF(OR(status1B5!AF217="",AE$7="No aplica"),0,SUM('BOULEVARD 5'!$K215:AH215)-$AP522)</f>
        <v>-29764</v>
      </c>
      <c r="AF522" s="716">
        <f>IF(OR(status1B5!AG217="",AF$7="No aplica"),0,SUM('BOULEVARD 5'!$K215:AI215)-$AP522)</f>
        <v>-25511</v>
      </c>
      <c r="AG522" s="716">
        <f>IF(OR(status1B5!AH217="",AG$7="No aplica"),0,SUM('BOULEVARD 5'!$K215:AJ215)-$AP522)</f>
        <v>-21258</v>
      </c>
      <c r="AH522" s="716">
        <f>IF(OR(status1B5!AI217="",AH$7="No aplica"),0,SUM('BOULEVARD 5'!$K215:AK215)-$AP522)</f>
        <v>-17005</v>
      </c>
      <c r="AI522" s="716">
        <f>IF(OR(status1B5!AJ217="",AI$7="No aplica"),0,SUM('BOULEVARD 5'!$K215:AL215)-$AP522)</f>
        <v>-12752</v>
      </c>
      <c r="AJ522" s="716">
        <f>IF(OR(status1B5!AK217="",AJ$7="No aplica"),0,SUM('BOULEVARD 5'!$K215:AM215)-$AP522)</f>
        <v>-8499</v>
      </c>
      <c r="AK522" s="716">
        <f>IF(OR(status1B5!AL217="",AK$7="No aplica"),0,SUM('BOULEVARD 5'!$K215:AN215)-$AP522)</f>
        <v>-4246</v>
      </c>
      <c r="AL522" s="716">
        <f>IF(OR(status1B5!AM217="",AL$7="No aplica"),0,SUM('BOULEVARD 5'!$K215:AO215)-$AP522)</f>
        <v>0</v>
      </c>
      <c r="AM522" s="716">
        <f>IF(OR(status1B5!AN217="",AM$7="No aplica"),0,SUM('BOULEVARD 5'!$K215:AP215)-$AP522)</f>
        <v>0</v>
      </c>
      <c r="AN522" s="716">
        <f>IF(OR(status1B5!AO217="",AN$7="No aplica"),0,SUM('BOULEVARD 5'!$K215:AQ215)-$AP522)</f>
        <v>0</v>
      </c>
      <c r="AO522" s="716">
        <f>IF(OR(status1B5!AP217="",AO$7="No aplica"),0,SUM('BOULEVARD 5'!$K215:AS215)-$AP522)</f>
        <v>0</v>
      </c>
      <c r="AP522" s="717">
        <f>'BOULEVARD PPTO'!BC210</f>
        <v>88800</v>
      </c>
      <c r="AQ522" s="717">
        <f>'BOULEVARD 5'!AT215</f>
        <v>88800</v>
      </c>
      <c r="AR522" s="717">
        <f t="shared" si="236"/>
        <v>0</v>
      </c>
      <c r="AS522" s="717"/>
      <c r="AT522" s="581"/>
    </row>
    <row r="523" spans="1:46" ht="13.15" customHeight="1" outlineLevel="1" x14ac:dyDescent="0.25">
      <c r="A523" s="700">
        <f t="shared" si="234"/>
        <v>0</v>
      </c>
      <c r="B523" s="564">
        <f t="shared" ref="B523:G523" si="252">B218</f>
        <v>1205</v>
      </c>
      <c r="C523" s="564" t="str">
        <f t="shared" si="252"/>
        <v>A6</v>
      </c>
      <c r="D523" s="564">
        <f t="shared" si="252"/>
        <v>0</v>
      </c>
      <c r="E523" s="564" t="str">
        <f t="shared" si="252"/>
        <v>Antonio Rada</v>
      </c>
      <c r="F523" s="581" t="str">
        <f t="shared" si="252"/>
        <v>Andrea Nicole Mansilla Fuentes</v>
      </c>
      <c r="G523" s="566">
        <f t="shared" si="252"/>
        <v>45010</v>
      </c>
      <c r="H523" s="716">
        <f>IF(OR(status1B5!I218="",H$7="No aplica"),0,SUM('BOULEVARD 5'!$K216:K216)-$AP523)</f>
        <v>-60400</v>
      </c>
      <c r="I523" s="716">
        <f>IF(OR(status1B5!J218="",I$7="No aplica"),0,SUM('BOULEVARD 5'!$K216:L216)-$AP523)</f>
        <v>-58674</v>
      </c>
      <c r="J523" s="716">
        <f>IF(OR(status1B5!K218="",J$7="No aplica"),0,SUM('BOULEVARD 5'!$K216:M216)-$AP523)</f>
        <v>-56948</v>
      </c>
      <c r="K523" s="716">
        <f>IF(OR(status1B5!L218="",K$7="No aplica"),0,SUM('BOULEVARD 5'!$K216:N216)-$AP523)</f>
        <v>-55222</v>
      </c>
      <c r="L523" s="716">
        <f>IF(OR(status1B5!M218="",L$7="No aplica"),0,SUM('BOULEVARD 5'!$K216:O216)-$AP523)</f>
        <v>-53496</v>
      </c>
      <c r="M523" s="716">
        <f>IF(OR(status1B5!N218="",M$7="No aplica"),0,SUM('BOULEVARD 5'!$K216:P216)-$AP523)</f>
        <v>-51770</v>
      </c>
      <c r="N523" s="716">
        <f>IF(OR(status1B5!O218="",N$7="No aplica"),0,SUM('BOULEVARD 5'!$K216:Q216)-$AP523)</f>
        <v>-50044</v>
      </c>
      <c r="O523" s="716">
        <f>IF(OR(status1B5!P218="",O$7="No aplica"),0,SUM('BOULEVARD 5'!$K216:R216)-$AP523)</f>
        <v>-48314</v>
      </c>
      <c r="P523" s="716">
        <f>IF(OR(status1B5!Q218="",P$7="No aplica"),0,SUM('BOULEVARD 5'!$K216:S216)-$AP523)</f>
        <v>-46584</v>
      </c>
      <c r="Q523" s="716">
        <f>IF(OR(status1B5!R218="",Q$7="No aplica"),0,SUM('BOULEVARD 5'!$K216:T216)-$AP523)</f>
        <v>-46584</v>
      </c>
      <c r="R523" s="716">
        <f>IF(OR(status1B5!S218="",R$7="No aplica"),0,SUM('BOULEVARD 5'!$K216:U216)-$AP523)</f>
        <v>-43134</v>
      </c>
      <c r="S523" s="716">
        <f>IF(OR(status1B5!T218="",S$7="No aplica"),0,SUM('BOULEVARD 5'!$K216:V216)-$AP523)</f>
        <v>-43134</v>
      </c>
      <c r="T523" s="716">
        <f>IF(OR(status1B5!U218="",T$7="No aplica"),0,SUM('BOULEVARD 5'!$K216:W216)-$AP523)</f>
        <v>-39634</v>
      </c>
      <c r="U523" s="716">
        <f>IF(OR(status1B5!V218="",U$7="No aplica"),0,SUM('BOULEVARD 5'!$K216:X216)-$AP523)</f>
        <v>-37134</v>
      </c>
      <c r="V523" s="716">
        <f>IF(OR(status1B5!W218="",V$7="No aplica"),0,SUM('BOULEVARD 5'!$K216:Y216)-$AP523)</f>
        <v>-35334</v>
      </c>
      <c r="W523" s="716">
        <f>IF(OR(status1B5!X218="",W$7="No aplica"),0,SUM('BOULEVARD 5'!$K216:Z216)-$AP523)</f>
        <v>-33534</v>
      </c>
      <c r="X523" s="716">
        <f>IF(OR(status1B5!Y218="",X$7="No aplica"),0,SUM('BOULEVARD 5'!$K216:AA216)-$AP523)</f>
        <v>-31734</v>
      </c>
      <c r="Y523" s="716">
        <f>IF(OR(status1B5!Z218="",Y$7="No aplica"),0,SUM('BOULEVARD 5'!$K216:AB216)-$AP523)</f>
        <v>-29834</v>
      </c>
      <c r="Z523" s="716">
        <f>IF(OR(status1B5!AA218="",Z$7="No aplica"),0,SUM('BOULEVARD 5'!$K216:AC216)-$AP523)</f>
        <v>-28034</v>
      </c>
      <c r="AA523" s="716">
        <f>IF(OR(status1B5!AB218="",AA$7="No aplica"),0,SUM('BOULEVARD 5'!$K216:AD216)-$AP523)</f>
        <v>-28034</v>
      </c>
      <c r="AB523" s="716">
        <f>IF(OR(status1B5!AC218="",AB$7="No aplica"),0,SUM('BOULEVARD 5'!$K216:AE216)-$AP523)</f>
        <v>-26234</v>
      </c>
      <c r="AC523" s="716">
        <f>IF(OR(status1B5!AD218="",AC$7="No aplica"),0,SUM('BOULEVARD 5'!$K216:AF216)-$AP523)</f>
        <v>-22634</v>
      </c>
      <c r="AD523" s="716">
        <f>IF(OR(status1B5!AE218="",AD$7="No aplica"),0,SUM('BOULEVARD 5'!$K216:AG216)-$AP523)</f>
        <v>-22634</v>
      </c>
      <c r="AE523" s="716">
        <f>IF(OR(status1B5!AF218="",AE$7="No aplica"),0,SUM('BOULEVARD 5'!$K216:AH216)-$AP523)</f>
        <v>-20834</v>
      </c>
      <c r="AF523" s="716">
        <f>IF(OR(status1B5!AG218="",AF$7="No aplica"),0,SUM('BOULEVARD 5'!$K216:AI216)-$AP523)</f>
        <v>-19034</v>
      </c>
      <c r="AG523" s="716">
        <f>IF(OR(status1B5!AH218="",AG$7="No aplica"),0,SUM('BOULEVARD 5'!$K216:AJ216)-$AP523)</f>
        <v>-19034</v>
      </c>
      <c r="AH523" s="716">
        <f>IF(OR(status1B5!AI218="",AH$7="No aplica"),0,SUM('BOULEVARD 5'!$K216:AK216)-$AP523)</f>
        <v>-17034</v>
      </c>
      <c r="AI523" s="716">
        <f>IF(OR(status1B5!AJ218="",AI$7="No aplica"),0,SUM('BOULEVARD 5'!$K216:AL216)-$AP523)</f>
        <v>-17034</v>
      </c>
      <c r="AJ523" s="716">
        <f>IF(OR(status1B5!AK218="",AJ$7="No aplica"),0,SUM('BOULEVARD 5'!$K216:AM216)-$AP523)</f>
        <v>-15234</v>
      </c>
      <c r="AK523" s="716">
        <f>IF(OR(status1B5!AL218="",AK$7="No aplica"),0,SUM('BOULEVARD 5'!$K216:AN216)-$AP523)</f>
        <v>-13434</v>
      </c>
      <c r="AL523" s="716">
        <f>IF(OR(status1B5!AM218="",AL$7="No aplica"),0,SUM('BOULEVARD 5'!$K216:AO216)-$AP523)</f>
        <v>-9834</v>
      </c>
      <c r="AM523" s="716">
        <f>IF(OR(status1B5!AN218="",AM$7="No aplica"),0,SUM('BOULEVARD 5'!$K216:AP216)-$AP523)</f>
        <v>-9834</v>
      </c>
      <c r="AN523" s="716">
        <f>IF(OR(status1B5!AO218="",AN$7="No aplica"),0,SUM('BOULEVARD 5'!$K216:AQ216)-$AP523)</f>
        <v>0</v>
      </c>
      <c r="AO523" s="716">
        <f>IF(OR(status1B5!AP218="",AO$7="No aplica"),0,SUM('BOULEVARD 5'!$K216:AS216)-$AP523)</f>
        <v>0</v>
      </c>
      <c r="AP523" s="717">
        <f>'BOULEVARD PPTO'!BC211</f>
        <v>66400</v>
      </c>
      <c r="AQ523" s="717">
        <f>'BOULEVARD 5'!AT216</f>
        <v>58366</v>
      </c>
      <c r="AR523" s="717">
        <f t="shared" si="236"/>
        <v>-8034</v>
      </c>
      <c r="AS523" s="717"/>
      <c r="AT523" s="581"/>
    </row>
    <row r="524" spans="1:46" ht="13.15" customHeight="1" outlineLevel="1" x14ac:dyDescent="0.25">
      <c r="A524" s="700">
        <f t="shared" si="234"/>
        <v>0</v>
      </c>
      <c r="B524" s="564">
        <f t="shared" ref="B524:G524" si="253">B219</f>
        <v>1206</v>
      </c>
      <c r="C524" s="564" t="str">
        <f t="shared" si="253"/>
        <v>A4</v>
      </c>
      <c r="D524" s="564">
        <f t="shared" si="253"/>
        <v>0</v>
      </c>
      <c r="E524" s="564" t="str">
        <f t="shared" si="253"/>
        <v>Jose Franco</v>
      </c>
      <c r="F524" s="581" t="str">
        <f t="shared" si="253"/>
        <v>Juan José Silva Pacheco</v>
      </c>
      <c r="G524" s="566">
        <f t="shared" si="253"/>
        <v>45062</v>
      </c>
      <c r="H524" s="716">
        <f>IF(OR(status1B5!I219="",H$7="No aplica"),0,SUM('BOULEVARD 5'!$K217:K217)-$AP524)</f>
        <v>0</v>
      </c>
      <c r="I524" s="716">
        <f>IF(OR(status1B5!J219="",I$7="No aplica"),0,SUM('BOULEVARD 5'!$K217:L217)-$AP524)</f>
        <v>0</v>
      </c>
      <c r="J524" s="716">
        <f>IF(OR(status1B5!K219="",J$7="No aplica"),0,SUM('BOULEVARD 5'!$K217:M217)-$AP524)</f>
        <v>-63118.490000000005</v>
      </c>
      <c r="K524" s="716">
        <f>IF(OR(status1B5!L219="",K$7="No aplica"),0,SUM('BOULEVARD 5'!$K217:N217)-$AP524)</f>
        <v>-60864.490000000005</v>
      </c>
      <c r="L524" s="716">
        <f>IF(OR(status1B5!M219="",L$7="No aplica"),0,SUM('BOULEVARD 5'!$K217:O217)-$AP524)</f>
        <v>-58610.490000000005</v>
      </c>
      <c r="M524" s="716">
        <f>IF(OR(status1B5!N219="",M$7="No aplica"),0,SUM('BOULEVARD 5'!$K217:P217)-$AP524)</f>
        <v>-56356.490000000005</v>
      </c>
      <c r="N524" s="716">
        <f>IF(OR(status1B5!O219="",N$7="No aplica"),0,SUM('BOULEVARD 5'!$K217:Q217)-$AP524)</f>
        <v>-54102.490000000005</v>
      </c>
      <c r="O524" s="716">
        <f>IF(OR(status1B5!P219="",O$7="No aplica"),0,SUM('BOULEVARD 5'!$K217:R217)-$AP524)</f>
        <v>-51848.490000000005</v>
      </c>
      <c r="P524" s="716">
        <f>IF(OR(status1B5!Q219="",P$7="No aplica"),0,SUM('BOULEVARD 5'!$K217:S217)-$AP524)</f>
        <v>-49594.490000000005</v>
      </c>
      <c r="Q524" s="716">
        <f>IF(OR(status1B5!R219="",Q$7="No aplica"),0,SUM('BOULEVARD 5'!$K217:T217)-$AP524)</f>
        <v>-47340.490000000005</v>
      </c>
      <c r="R524" s="716">
        <f>IF(OR(status1B5!S219="",R$7="No aplica"),0,SUM('BOULEVARD 5'!$K217:U217)-$AP524)</f>
        <v>-45086.490000000005</v>
      </c>
      <c r="S524" s="716">
        <f>IF(OR(status1B5!T219="",S$7="No aplica"),0,SUM('BOULEVARD 5'!$K217:V217)-$AP524)</f>
        <v>-42832.490000000005</v>
      </c>
      <c r="T524" s="716">
        <f>IF(OR(status1B5!U219="",T$7="No aplica"),0,SUM('BOULEVARD 5'!$K217:W217)-$AP524)</f>
        <v>-40578.490000000005</v>
      </c>
      <c r="U524" s="716">
        <f>IF(OR(status1B5!V219="",U$7="No aplica"),0,SUM('BOULEVARD 5'!$K217:X217)-$AP524)</f>
        <v>-38324.490000000005</v>
      </c>
      <c r="V524" s="716">
        <f>IF(OR(status1B5!W219="",V$7="No aplica"),0,SUM('BOULEVARD 5'!$K217:Y217)-$AP524)</f>
        <v>-36070.490000000005</v>
      </c>
      <c r="W524" s="716">
        <f>IF(OR(status1B5!X219="",W$7="No aplica"),0,SUM('BOULEVARD 5'!$K217:Z217)-$AP524)</f>
        <v>-33816.490000000005</v>
      </c>
      <c r="X524" s="716">
        <f>IF(OR(status1B5!Y219="",X$7="No aplica"),0,SUM('BOULEVARD 5'!$K217:AA217)-$AP524)</f>
        <v>-31562.490000000005</v>
      </c>
      <c r="Y524" s="716">
        <f>IF(OR(status1B5!Z219="",Y$7="No aplica"),0,SUM('BOULEVARD 5'!$K217:AB217)-$AP524)</f>
        <v>-29308.490000000005</v>
      </c>
      <c r="Z524" s="716">
        <f>IF(OR(status1B5!AA219="",Z$7="No aplica"),0,SUM('BOULEVARD 5'!$K217:AC217)-$AP524)</f>
        <v>-27054.490000000005</v>
      </c>
      <c r="AA524" s="716">
        <f>IF(OR(status1B5!AB219="",AA$7="No aplica"),0,SUM('BOULEVARD 5'!$K217:AD217)-$AP524)</f>
        <v>-24800.490000000005</v>
      </c>
      <c r="AB524" s="716">
        <f>IF(OR(status1B5!AC219="",AB$7="No aplica"),0,SUM('BOULEVARD 5'!$K217:AE217)-$AP524)</f>
        <v>-22546.490000000005</v>
      </c>
      <c r="AC524" s="716">
        <f>IF(OR(status1B5!AD219="",AC$7="No aplica"),0,SUM('BOULEVARD 5'!$K217:AF217)-$AP524)</f>
        <v>-20292.490000000005</v>
      </c>
      <c r="AD524" s="716">
        <f>IF(OR(status1B5!AE219="",AD$7="No aplica"),0,SUM('BOULEVARD 5'!$K217:AG217)-$AP524)</f>
        <v>-18038.490000000005</v>
      </c>
      <c r="AE524" s="716">
        <f>IF(OR(status1B5!AF219="",AE$7="No aplica"),0,SUM('BOULEVARD 5'!$K217:AH217)-$AP524)</f>
        <v>-15784.490000000005</v>
      </c>
      <c r="AF524" s="716">
        <f>IF(OR(status1B5!AG219="",AF$7="No aplica"),0,SUM('BOULEVARD 5'!$K217:AI217)-$AP524)</f>
        <v>-13530.490000000005</v>
      </c>
      <c r="AG524" s="716">
        <f>IF(OR(status1B5!AH219="",AG$7="No aplica"),0,SUM('BOULEVARD 5'!$K217:AJ217)-$AP524)</f>
        <v>-11276.490000000005</v>
      </c>
      <c r="AH524" s="716">
        <f>IF(OR(status1B5!AI219="",AH$7="No aplica"),0,SUM('BOULEVARD 5'!$K217:AK217)-$AP524)</f>
        <v>-9022.4900000000052</v>
      </c>
      <c r="AI524" s="716">
        <f>IF(OR(status1B5!AJ219="",AI$7="No aplica"),0,SUM('BOULEVARD 5'!$K217:AL217)-$AP524)</f>
        <v>-6768.4900000000052</v>
      </c>
      <c r="AJ524" s="716">
        <f>IF(OR(status1B5!AK219="",AJ$7="No aplica"),0,SUM('BOULEVARD 5'!$K217:AM217)-$AP524)</f>
        <v>-4514.4900000000052</v>
      </c>
      <c r="AK524" s="716">
        <f>IF(OR(status1B5!AL219="",AK$7="No aplica"),0,SUM('BOULEVARD 5'!$K217:AN217)-$AP524)</f>
        <v>-4514.4900000000052</v>
      </c>
      <c r="AL524" s="716">
        <f>IF(OR(status1B5!AM219="",AL$7="No aplica"),0,SUM('BOULEVARD 5'!$K217:AO217)-$AP524)</f>
        <v>-2254</v>
      </c>
      <c r="AM524" s="716">
        <f>IF(OR(status1B5!AN219="",AM$7="No aplica"),0,SUM('BOULEVARD 5'!$K217:AP217)-$AP524)</f>
        <v>-2254</v>
      </c>
      <c r="AN524" s="716">
        <f>IF(OR(status1B5!AO219="",AN$7="No aplica"),0,SUM('BOULEVARD 5'!$K217:AQ217)-$AP524)</f>
        <v>0</v>
      </c>
      <c r="AO524" s="716">
        <f>IF(OR(status1B5!AP219="",AO$7="No aplica"),0,SUM('BOULEVARD 5'!$K217:AS217)-$AP524)</f>
        <v>0</v>
      </c>
      <c r="AP524" s="717">
        <f>'BOULEVARD PPTO'!BC212</f>
        <v>69118.490000000005</v>
      </c>
      <c r="AQ524" s="717">
        <f>'BOULEVARD 5'!AT217</f>
        <v>66864.490000000005</v>
      </c>
      <c r="AR524" s="717">
        <f t="shared" si="236"/>
        <v>-2254</v>
      </c>
      <c r="AS524" s="717"/>
      <c r="AT524" s="581"/>
    </row>
    <row r="525" spans="1:46" ht="13.15" customHeight="1" outlineLevel="1" x14ac:dyDescent="0.25">
      <c r="A525" s="700" t="str">
        <f t="shared" si="234"/>
        <v>F&amp;F</v>
      </c>
      <c r="B525" s="704">
        <f t="shared" ref="B525:G525" si="254">B220</f>
        <v>1207</v>
      </c>
      <c r="C525" s="704" t="str">
        <f t="shared" si="254"/>
        <v>A12</v>
      </c>
      <c r="D525" s="704">
        <f t="shared" si="254"/>
        <v>0</v>
      </c>
      <c r="E525" s="704" t="str">
        <f t="shared" si="254"/>
        <v>Jose Franco</v>
      </c>
      <c r="F525" s="705" t="str">
        <f t="shared" si="254"/>
        <v>David Arimany Monzón</v>
      </c>
      <c r="G525" s="566">
        <f t="shared" si="254"/>
        <v>45012</v>
      </c>
      <c r="H525" s="716">
        <f>IF(OR(status1B5!I220="",H$7="No aplica"),0,SUM('BOULEVARD 5'!$K218:K218)-$AP525)</f>
        <v>0</v>
      </c>
      <c r="I525" s="716">
        <f>IF(OR(status1B5!J220="",I$7="No aplica"),0,SUM('BOULEVARD 5'!$K218:L218)-$AP525)</f>
        <v>0</v>
      </c>
      <c r="J525" s="716">
        <f>IF(OR(status1B5!K220="",J$7="No aplica"),0,SUM('BOULEVARD 5'!$K218:M218)-$AP525)</f>
        <v>0</v>
      </c>
      <c r="K525" s="716">
        <f>IF(OR(status1B5!L220="",K$7="No aplica"),0,SUM('BOULEVARD 5'!$K218:N218)-$AP525)</f>
        <v>0</v>
      </c>
      <c r="L525" s="716">
        <f>IF(OR(status1B5!M220="",L$7="No aplica"),0,SUM('BOULEVARD 5'!$K218:O218)-$AP525)</f>
        <v>0</v>
      </c>
      <c r="M525" s="716">
        <f>IF(OR(status1B5!N220="",M$7="No aplica"),0,SUM('BOULEVARD 5'!$K218:P218)-$AP525)</f>
        <v>0</v>
      </c>
      <c r="N525" s="716">
        <f>IF(OR(status1B5!O220="",N$7="No aplica"),0,SUM('BOULEVARD 5'!$K218:Q218)-$AP525)</f>
        <v>0</v>
      </c>
      <c r="O525" s="716">
        <f>IF(OR(status1B5!P220="",O$7="No aplica"),0,SUM('BOULEVARD 5'!$K218:R218)-$AP525)</f>
        <v>0</v>
      </c>
      <c r="P525" s="716">
        <f>IF(OR(status1B5!Q220="",P$7="No aplica"),0,SUM('BOULEVARD 5'!$K218:S218)-$AP525)</f>
        <v>0</v>
      </c>
      <c r="Q525" s="716">
        <f>IF(OR(status1B5!R220="",Q$7="No aplica"),0,SUM('BOULEVARD 5'!$K218:T218)-$AP525)</f>
        <v>0</v>
      </c>
      <c r="R525" s="716">
        <f>IF(OR(status1B5!S220="",R$7="No aplica"),0,SUM('BOULEVARD 5'!$K218:U218)-$AP525)</f>
        <v>0</v>
      </c>
      <c r="S525" s="716">
        <f>IF(OR(status1B5!T220="",S$7="No aplica"),0,SUM('BOULEVARD 5'!$K218:V218)-$AP525)</f>
        <v>0</v>
      </c>
      <c r="T525" s="716">
        <f>IF(OR(status1B5!U220="",T$7="No aplica"),0,SUM('BOULEVARD 5'!$K218:W218)-$AP525)</f>
        <v>0</v>
      </c>
      <c r="U525" s="716">
        <f>IF(OR(status1B5!V220="",U$7="No aplica"),0,SUM('BOULEVARD 5'!$K218:X218)-$AP525)</f>
        <v>0</v>
      </c>
      <c r="V525" s="716">
        <f>IF(OR(status1B5!W220="",V$7="No aplica"),0,SUM('BOULEVARD 5'!$K218:Y218)-$AP525)</f>
        <v>0</v>
      </c>
      <c r="W525" s="716">
        <f>IF(OR(status1B5!X220="",W$7="No aplica"),0,SUM('BOULEVARD 5'!$K218:Z218)-$AP525)</f>
        <v>0</v>
      </c>
      <c r="X525" s="716">
        <f>IF(OR(status1B5!Y220="",X$7="No aplica"),0,SUM('BOULEVARD 5'!$K218:AA218)-$AP525)</f>
        <v>0</v>
      </c>
      <c r="Y525" s="716">
        <f>IF(OR(status1B5!Z220="",Y$7="No aplica"),0,SUM('BOULEVARD 5'!$K218:AB218)-$AP525)</f>
        <v>0</v>
      </c>
      <c r="Z525" s="716">
        <f>IF(OR(status1B5!AA220="",Z$7="No aplica"),0,SUM('BOULEVARD 5'!$K218:AC218)-$AP525)</f>
        <v>0</v>
      </c>
      <c r="AA525" s="716">
        <f>IF(OR(status1B5!AB220="",AA$7="No aplica"),0,SUM('BOULEVARD 5'!$K218:AD218)-$AP525)</f>
        <v>0</v>
      </c>
      <c r="AB525" s="716">
        <f>IF(OR(status1B5!AC220="",AB$7="No aplica"),0,SUM('BOULEVARD 5'!$K218:AE218)-$AP525)</f>
        <v>0</v>
      </c>
      <c r="AC525" s="716">
        <f>IF(OR(status1B5!AD220="",AC$7="No aplica"),0,SUM('BOULEVARD 5'!$K218:AF218)-$AP525)</f>
        <v>0</v>
      </c>
      <c r="AD525" s="716">
        <f>IF(OR(status1B5!AE220="",AD$7="No aplica"),0,SUM('BOULEVARD 5'!$K218:AG218)-$AP525)</f>
        <v>0</v>
      </c>
      <c r="AE525" s="716">
        <f>IF(OR(status1B5!AF220="",AE$7="No aplica"),0,SUM('BOULEVARD 5'!$K218:AH218)-$AP525)</f>
        <v>0</v>
      </c>
      <c r="AF525" s="716">
        <f>IF(OR(status1B5!AG220="",AF$7="No aplica"),0,SUM('BOULEVARD 5'!$K218:AI218)-$AP525)</f>
        <v>0</v>
      </c>
      <c r="AG525" s="716">
        <f>IF(OR(status1B5!AH220="",AG$7="No aplica"),0,SUM('BOULEVARD 5'!$K218:AJ218)-$AP525)</f>
        <v>0</v>
      </c>
      <c r="AH525" s="716">
        <f>IF(OR(status1B5!AI220="",AH$7="No aplica"),0,SUM('BOULEVARD 5'!$K218:AK218)-$AP525)</f>
        <v>0</v>
      </c>
      <c r="AI525" s="716">
        <f>IF(OR(status1B5!AJ220="",AI$7="No aplica"),0,SUM('BOULEVARD 5'!$K218:AL218)-$AP525)</f>
        <v>0</v>
      </c>
      <c r="AJ525" s="716">
        <f>IF(OR(status1B5!AK220="",AJ$7="No aplica"),0,SUM('BOULEVARD 5'!$K218:AM218)-$AP525)</f>
        <v>0</v>
      </c>
      <c r="AK525" s="716">
        <f>IF(OR(status1B5!AL220="",AK$7="No aplica"),0,SUM('BOULEVARD 5'!$K218:AN218)-$AP525)</f>
        <v>0</v>
      </c>
      <c r="AL525" s="716">
        <f>IF(OR(status1B5!AM220="",AL$7="No aplica"),0,SUM('BOULEVARD 5'!$K218:AO218)-$AP525)</f>
        <v>0</v>
      </c>
      <c r="AM525" s="716">
        <f>IF(OR(status1B5!AN220="",AM$7="No aplica"),0,SUM('BOULEVARD 5'!$K218:AP218)-$AP525)</f>
        <v>0</v>
      </c>
      <c r="AN525" s="716">
        <f>IF(OR(status1B5!AO220="",AN$7="No aplica"),0,SUM('BOULEVARD 5'!$K218:AQ218)-$AP525)</f>
        <v>0</v>
      </c>
      <c r="AO525" s="716">
        <f>IF(OR(status1B5!AP220="",AO$7="No aplica"),0,SUM('BOULEVARD 5'!$K218:AS218)-$AP525)</f>
        <v>0</v>
      </c>
      <c r="AP525" s="717">
        <f>'BOULEVARD PPTO'!BC213</f>
        <v>67932</v>
      </c>
      <c r="AQ525" s="717">
        <f>'BOULEVARD 5'!AT218</f>
        <v>31500</v>
      </c>
      <c r="AR525" s="717">
        <f t="shared" si="236"/>
        <v>-36432</v>
      </c>
      <c r="AS525" s="717"/>
      <c r="AT525" s="581"/>
    </row>
    <row r="526" spans="1:46" ht="13.15" customHeight="1" outlineLevel="1" x14ac:dyDescent="0.25">
      <c r="A526" s="700">
        <f t="shared" si="234"/>
        <v>0</v>
      </c>
      <c r="B526" s="564">
        <f t="shared" ref="B526:G526" si="255">B221</f>
        <v>1208</v>
      </c>
      <c r="C526" s="564" t="str">
        <f t="shared" si="255"/>
        <v>C6</v>
      </c>
      <c r="D526" s="564">
        <f t="shared" si="255"/>
        <v>0</v>
      </c>
      <c r="E526" s="564" t="str">
        <f t="shared" si="255"/>
        <v>Antonio Rada</v>
      </c>
      <c r="F526" s="581" t="str">
        <f t="shared" si="255"/>
        <v>Jmx Inversiones Sociedad Anonima</v>
      </c>
      <c r="G526" s="566">
        <f t="shared" si="255"/>
        <v>45031</v>
      </c>
      <c r="H526" s="716">
        <f>IF(OR(status1B5!I221="",H$7="No aplica"),0,SUM('BOULEVARD 5'!$K219:K219)-$AP526)</f>
        <v>0</v>
      </c>
      <c r="I526" s="716">
        <f>IF(OR(status1B5!J221="",I$7="No aplica"),0,SUM('BOULEVARD 5'!$K219:L219)-$AP526)</f>
        <v>-105100</v>
      </c>
      <c r="J526" s="716">
        <f>IF(OR(status1B5!K221="",J$7="No aplica"),0,SUM('BOULEVARD 5'!$K219:M219)-$AP526)</f>
        <v>-101476</v>
      </c>
      <c r="K526" s="716">
        <f>IF(OR(status1B5!L221="",K$7="No aplica"),0,SUM('BOULEVARD 5'!$K219:N219)-$AP526)</f>
        <v>-97852</v>
      </c>
      <c r="L526" s="716">
        <f>IF(OR(status1B5!M221="",L$7="No aplica"),0,SUM('BOULEVARD 5'!$K219:O219)-$AP526)</f>
        <v>-94228</v>
      </c>
      <c r="M526" s="716">
        <f>IF(OR(status1B5!N221="",M$7="No aplica"),0,SUM('BOULEVARD 5'!$K219:P219)-$AP526)</f>
        <v>-90604</v>
      </c>
      <c r="N526" s="716">
        <f>IF(OR(status1B5!O221="",N$7="No aplica"),0,SUM('BOULEVARD 5'!$K219:Q219)-$AP526)</f>
        <v>-86980</v>
      </c>
      <c r="O526" s="716">
        <f>IF(OR(status1B5!P221="",O$7="No aplica"),0,SUM('BOULEVARD 5'!$K219:R219)-$AP526)</f>
        <v>-83356</v>
      </c>
      <c r="P526" s="716">
        <f>IF(OR(status1B5!Q221="",P$7="No aplica"),0,SUM('BOULEVARD 5'!$K219:S219)-$AP526)</f>
        <v>-79732</v>
      </c>
      <c r="Q526" s="716">
        <f>IF(OR(status1B5!R221="",Q$7="No aplica"),0,SUM('BOULEVARD 5'!$K219:T219)-$AP526)</f>
        <v>-76108</v>
      </c>
      <c r="R526" s="716">
        <f>IF(OR(status1B5!S221="",R$7="No aplica"),0,SUM('BOULEVARD 5'!$K219:U219)-$AP526)</f>
        <v>-72484</v>
      </c>
      <c r="S526" s="716">
        <f>IF(OR(status1B5!T221="",S$7="No aplica"),0,SUM('BOULEVARD 5'!$K219:V219)-$AP526)</f>
        <v>-68860</v>
      </c>
      <c r="T526" s="716">
        <f>IF(OR(status1B5!U221="",T$7="No aplica"),0,SUM('BOULEVARD 5'!$K219:W219)-$AP526)</f>
        <v>-65236</v>
      </c>
      <c r="U526" s="716">
        <f>IF(OR(status1B5!V221="",U$7="No aplica"),0,SUM('BOULEVARD 5'!$K219:X219)-$AP526)</f>
        <v>-61612</v>
      </c>
      <c r="V526" s="716">
        <f>IF(OR(status1B5!W221="",V$7="No aplica"),0,SUM('BOULEVARD 5'!$K219:Y219)-$AP526)</f>
        <v>-57988</v>
      </c>
      <c r="W526" s="716">
        <f>IF(OR(status1B5!X221="",W$7="No aplica"),0,SUM('BOULEVARD 5'!$K219:Z219)-$AP526)</f>
        <v>-57988</v>
      </c>
      <c r="X526" s="716">
        <f>IF(OR(status1B5!Y221="",X$7="No aplica"),0,SUM('BOULEVARD 5'!$K219:AA219)-$AP526)</f>
        <v>-50740</v>
      </c>
      <c r="Y526" s="716">
        <f>IF(OR(status1B5!Z221="",Y$7="No aplica"),0,SUM('BOULEVARD 5'!$K219:AB219)-$AP526)</f>
        <v>-50740</v>
      </c>
      <c r="Z526" s="716">
        <f>IF(OR(status1B5!AA221="",Z$7="No aplica"),0,SUM('BOULEVARD 5'!$K219:AC219)-$AP526)</f>
        <v>-50740</v>
      </c>
      <c r="AA526" s="716">
        <f>IF(OR(status1B5!AB221="",AA$7="No aplica"),0,SUM('BOULEVARD 5'!$K219:AD219)-$AP526)</f>
        <v>-43492</v>
      </c>
      <c r="AB526" s="716">
        <f>IF(OR(status1B5!AC221="",AB$7="No aplica"),0,SUM('BOULEVARD 5'!$K219:AE219)-$AP526)</f>
        <v>-36244</v>
      </c>
      <c r="AC526" s="716">
        <f>IF(OR(status1B5!AD221="",AC$7="No aplica"),0,SUM('BOULEVARD 5'!$K219:AF219)-$AP526)</f>
        <v>-32620</v>
      </c>
      <c r="AD526" s="716">
        <f>IF(OR(status1B5!AE221="",AD$7="No aplica"),0,SUM('BOULEVARD 5'!$K219:AG219)-$AP526)</f>
        <v>-28996</v>
      </c>
      <c r="AE526" s="716">
        <f>IF(OR(status1B5!AF221="",AE$7="No aplica"),0,SUM('BOULEVARD 5'!$K219:AH219)-$AP526)</f>
        <v>-25372</v>
      </c>
      <c r="AF526" s="716">
        <f>IF(OR(status1B5!AG221="",AF$7="No aplica"),0,SUM('BOULEVARD 5'!$K219:AI219)-$AP526)</f>
        <v>-21748</v>
      </c>
      <c r="AG526" s="716">
        <f>IF(OR(status1B5!AH221="",AG$7="No aplica"),0,SUM('BOULEVARD 5'!$K219:AJ219)-$AP526)</f>
        <v>-18124</v>
      </c>
      <c r="AH526" s="716">
        <f>IF(OR(status1B5!AI221="",AH$7="No aplica"),0,SUM('BOULEVARD 5'!$K219:AK219)-$AP526)</f>
        <v>-14500</v>
      </c>
      <c r="AI526" s="716">
        <f>IF(OR(status1B5!AJ221="",AI$7="No aplica"),0,SUM('BOULEVARD 5'!$K219:AL219)-$AP526)</f>
        <v>-10876</v>
      </c>
      <c r="AJ526" s="716">
        <f>IF(OR(status1B5!AK221="",AJ$7="No aplica"),0,SUM('BOULEVARD 5'!$K219:AM219)-$AP526)</f>
        <v>-3366</v>
      </c>
      <c r="AK526" s="716">
        <f>IF(OR(status1B5!AL221="",AK$7="No aplica"),0,SUM('BOULEVARD 5'!$K219:AN219)-$AP526)</f>
        <v>-3366</v>
      </c>
      <c r="AL526" s="716">
        <f>IF(OR(status1B5!AM221="",AL$7="No aplica"),0,SUM('BOULEVARD 5'!$K219:AO219)-$AP526)</f>
        <v>0</v>
      </c>
      <c r="AM526" s="716">
        <f>IF(OR(status1B5!AN221="",AM$7="No aplica"),0,SUM('BOULEVARD 5'!$K219:AP219)-$AP526)</f>
        <v>0</v>
      </c>
      <c r="AN526" s="716">
        <f>IF(OR(status1B5!AO221="",AN$7="No aplica"),0,SUM('BOULEVARD 5'!$K219:AQ219)-$AP526)</f>
        <v>0</v>
      </c>
      <c r="AO526" s="716">
        <f>IF(OR(status1B5!AP221="",AO$7="No aplica"),0,SUM('BOULEVARD 5'!$K219:AS219)-$AP526)</f>
        <v>0</v>
      </c>
      <c r="AP526" s="717">
        <f>'BOULEVARD PPTO'!BC214</f>
        <v>111100</v>
      </c>
      <c r="AQ526" s="717">
        <f>'BOULEVARD 5'!AT219</f>
        <v>111100</v>
      </c>
      <c r="AR526" s="717">
        <f t="shared" si="236"/>
        <v>0</v>
      </c>
      <c r="AS526" s="717"/>
      <c r="AT526" s="581"/>
    </row>
    <row r="527" spans="1:46" ht="13.15" customHeight="1" outlineLevel="1" x14ac:dyDescent="0.25">
      <c r="A527" s="700">
        <f t="shared" si="234"/>
        <v>0</v>
      </c>
      <c r="B527" s="564">
        <f t="shared" ref="B527:G527" si="256">B222</f>
        <v>1209</v>
      </c>
      <c r="C527" s="564" t="str">
        <f t="shared" si="256"/>
        <v>C5</v>
      </c>
      <c r="D527" s="564">
        <f t="shared" si="256"/>
        <v>0</v>
      </c>
      <c r="E527" s="564" t="str">
        <f t="shared" si="256"/>
        <v>Antonio Rada</v>
      </c>
      <c r="F527" s="581" t="str">
        <f t="shared" si="256"/>
        <v>Gilda Elena Siekavizza Castillo / Jose Pablo Pineda Bran</v>
      </c>
      <c r="G527" s="566">
        <f t="shared" si="256"/>
        <v>45013</v>
      </c>
      <c r="H527" s="716">
        <f>IF(OR(status1B5!I222="",H$7="No aplica"),0,SUM('BOULEVARD 5'!$K220:K220)-$AP527)</f>
        <v>-104900</v>
      </c>
      <c r="I527" s="716">
        <f>IF(OR(status1B5!J222="",I$7="No aplica"),0,SUM('BOULEVARD 5'!$K220:L220)-$AP527)</f>
        <v>-101903</v>
      </c>
      <c r="J527" s="716">
        <f>IF(OR(status1B5!K222="",J$7="No aplica"),0,SUM('BOULEVARD 5'!$K220:M220)-$AP527)</f>
        <v>-98906</v>
      </c>
      <c r="K527" s="716">
        <f>IF(OR(status1B5!L222="",K$7="No aplica"),0,SUM('BOULEVARD 5'!$K220:N220)-$AP527)</f>
        <v>-95909</v>
      </c>
      <c r="L527" s="716">
        <f>IF(OR(status1B5!M222="",L$7="No aplica"),0,SUM('BOULEVARD 5'!$K220:O220)-$AP527)</f>
        <v>-92912</v>
      </c>
      <c r="M527" s="716">
        <f>IF(OR(status1B5!N222="",M$7="No aplica"),0,SUM('BOULEVARD 5'!$K220:P220)-$AP527)</f>
        <v>-89915</v>
      </c>
      <c r="N527" s="716">
        <f>IF(OR(status1B5!O222="",N$7="No aplica"),0,SUM('BOULEVARD 5'!$K220:Q220)-$AP527)</f>
        <v>-86918</v>
      </c>
      <c r="O527" s="716">
        <f>IF(OR(status1B5!P222="",O$7="No aplica"),0,SUM('BOULEVARD 5'!$K220:R220)-$AP527)</f>
        <v>-83921</v>
      </c>
      <c r="P527" s="716">
        <f>IF(OR(status1B5!Q222="",P$7="No aplica"),0,SUM('BOULEVARD 5'!$K220:S220)-$AP527)</f>
        <v>-80924</v>
      </c>
      <c r="Q527" s="716">
        <f>IF(OR(status1B5!R222="",Q$7="No aplica"),0,SUM('BOULEVARD 5'!$K220:T220)-$AP527)</f>
        <v>-77927</v>
      </c>
      <c r="R527" s="716">
        <f>IF(OR(status1B5!S222="",R$7="No aplica"),0,SUM('BOULEVARD 5'!$K220:U220)-$AP527)</f>
        <v>-74930</v>
      </c>
      <c r="S527" s="716">
        <f>IF(OR(status1B5!T222="",S$7="No aplica"),0,SUM('BOULEVARD 5'!$K220:V220)-$AP527)</f>
        <v>-71933</v>
      </c>
      <c r="T527" s="716">
        <f>IF(OR(status1B5!U222="",T$7="No aplica"),0,SUM('BOULEVARD 5'!$K220:W220)-$AP527)</f>
        <v>-68936</v>
      </c>
      <c r="U527" s="716">
        <f>IF(OR(status1B5!V222="",U$7="No aplica"),0,SUM('BOULEVARD 5'!$K220:X220)-$AP527)</f>
        <v>-65939</v>
      </c>
      <c r="V527" s="716">
        <f>IF(OR(status1B5!W222="",V$7="No aplica"),0,SUM('BOULEVARD 5'!$K220:Y220)-$AP527)</f>
        <v>-62942</v>
      </c>
      <c r="W527" s="716">
        <f>IF(OR(status1B5!X222="",W$7="No aplica"),0,SUM('BOULEVARD 5'!$K220:Z220)-$AP527)</f>
        <v>-59945</v>
      </c>
      <c r="X527" s="716">
        <f>IF(OR(status1B5!Y222="",X$7="No aplica"),0,SUM('BOULEVARD 5'!$K220:AA220)-$AP527)</f>
        <v>-56948</v>
      </c>
      <c r="Y527" s="716">
        <f>IF(OR(status1B5!Z222="",Y$7="No aplica"),0,SUM('BOULEVARD 5'!$K220:AB220)-$AP527)</f>
        <v>-53951</v>
      </c>
      <c r="Z527" s="716">
        <f>IF(OR(status1B5!AA222="",Z$7="No aplica"),0,SUM('BOULEVARD 5'!$K220:AC220)-$AP527)</f>
        <v>-50954</v>
      </c>
      <c r="AA527" s="716">
        <f>IF(OR(status1B5!AB222="",AA$7="No aplica"),0,SUM('BOULEVARD 5'!$K220:AD220)-$AP527)</f>
        <v>-47957</v>
      </c>
      <c r="AB527" s="716">
        <f>IF(OR(status1B5!AC222="",AB$7="No aplica"),0,SUM('BOULEVARD 5'!$K220:AE220)-$AP527)</f>
        <v>-44960</v>
      </c>
      <c r="AC527" s="716">
        <f>IF(OR(status1B5!AD222="",AC$7="No aplica"),0,SUM('BOULEVARD 5'!$K220:AF220)-$AP527)</f>
        <v>-41963</v>
      </c>
      <c r="AD527" s="716">
        <f>IF(OR(status1B5!AE222="",AD$7="No aplica"),0,SUM('BOULEVARD 5'!$K220:AG220)-$AP527)</f>
        <v>-38966</v>
      </c>
      <c r="AE527" s="716">
        <f>IF(OR(status1B5!AF222="",AE$7="No aplica"),0,SUM('BOULEVARD 5'!$K220:AH220)-$AP527)</f>
        <v>-35969</v>
      </c>
      <c r="AF527" s="716">
        <f>IF(OR(status1B5!AG222="",AF$7="No aplica"),0,SUM('BOULEVARD 5'!$K220:AI220)-$AP527)</f>
        <v>-32972</v>
      </c>
      <c r="AG527" s="716">
        <f>IF(OR(status1B5!AH222="",AG$7="No aplica"),0,SUM('BOULEVARD 5'!$K220:AJ220)-$AP527)</f>
        <v>-29975</v>
      </c>
      <c r="AH527" s="716">
        <f>IF(OR(status1B5!AI222="",AH$7="No aplica"),0,SUM('BOULEVARD 5'!$K220:AK220)-$AP527)</f>
        <v>-26978</v>
      </c>
      <c r="AI527" s="716">
        <f>IF(OR(status1B5!AJ222="",AI$7="No aplica"),0,SUM('BOULEVARD 5'!$K220:AL220)-$AP527)</f>
        <v>-23981</v>
      </c>
      <c r="AJ527" s="716">
        <f>IF(OR(status1B5!AK222="",AJ$7="No aplica"),0,SUM('BOULEVARD 5'!$K220:AM220)-$AP527)</f>
        <v>-20984</v>
      </c>
      <c r="AK527" s="716">
        <f>IF(OR(status1B5!AL222="",AK$7="No aplica"),0,SUM('BOULEVARD 5'!$K220:AN220)-$AP527)</f>
        <v>-17987</v>
      </c>
      <c r="AL527" s="716">
        <f>IF(OR(status1B5!AM222="",AL$7="No aplica"),0,SUM('BOULEVARD 5'!$K220:AO220)-$AP527)</f>
        <v>-14990</v>
      </c>
      <c r="AM527" s="716">
        <f>IF(OR(status1B5!AN222="",AM$7="No aplica"),0,SUM('BOULEVARD 5'!$K220:AP220)-$AP527)</f>
        <v>-11993</v>
      </c>
      <c r="AN527" s="716">
        <f>IF(OR(status1B5!AO222="",AN$7="No aplica"),0,SUM('BOULEVARD 5'!$K220:AQ220)-$AP527)</f>
        <v>0</v>
      </c>
      <c r="AO527" s="716">
        <f>IF(OR(status1B5!AP222="",AO$7="No aplica"),0,SUM('BOULEVARD 5'!$K220:AS220)-$AP527)</f>
        <v>0</v>
      </c>
      <c r="AP527" s="717">
        <f>'BOULEVARD PPTO'!BC215</f>
        <v>110900</v>
      </c>
      <c r="AQ527" s="717">
        <f>'BOULEVARD 5'!AT220</f>
        <v>107898</v>
      </c>
      <c r="AR527" s="717">
        <f t="shared" si="236"/>
        <v>-3002</v>
      </c>
      <c r="AS527" s="717"/>
      <c r="AT527" s="581"/>
    </row>
    <row r="528" spans="1:46" ht="13.15" customHeight="1" outlineLevel="1" x14ac:dyDescent="0.25">
      <c r="A528" s="700">
        <f t="shared" si="234"/>
        <v>0</v>
      </c>
      <c r="B528" s="564">
        <f t="shared" ref="B528:G528" si="257">B223</f>
        <v>1210</v>
      </c>
      <c r="C528" s="564" t="str">
        <f t="shared" si="257"/>
        <v>C6</v>
      </c>
      <c r="D528" s="564">
        <f t="shared" si="257"/>
        <v>0</v>
      </c>
      <c r="E528" s="564" t="str">
        <f t="shared" si="257"/>
        <v>Antonio Rada</v>
      </c>
      <c r="F528" s="581" t="str">
        <f t="shared" si="257"/>
        <v>Jmx Inversiones Sociedad Anonima</v>
      </c>
      <c r="G528" s="566">
        <f t="shared" si="257"/>
        <v>45031</v>
      </c>
      <c r="H528" s="716">
        <f>IF(OR(status1B5!I223="",H$7="No aplica"),0,SUM('BOULEVARD 5'!$K221:K221)-$AP528)</f>
        <v>0</v>
      </c>
      <c r="I528" s="716">
        <f>IF(OR(status1B5!J223="",I$7="No aplica"),0,SUM('BOULEVARD 5'!$K221:L221)-$AP528)</f>
        <v>-105100</v>
      </c>
      <c r="J528" s="716">
        <f>IF(OR(status1B5!K223="",J$7="No aplica"),0,SUM('BOULEVARD 5'!$K221:M221)-$AP528)</f>
        <v>-101476</v>
      </c>
      <c r="K528" s="716">
        <f>IF(OR(status1B5!L223="",K$7="No aplica"),0,SUM('BOULEVARD 5'!$K221:N221)-$AP528)</f>
        <v>-97852</v>
      </c>
      <c r="L528" s="716">
        <f>IF(OR(status1B5!M223="",L$7="No aplica"),0,SUM('BOULEVARD 5'!$K221:O221)-$AP528)</f>
        <v>-94228</v>
      </c>
      <c r="M528" s="716">
        <f>IF(OR(status1B5!N223="",M$7="No aplica"),0,SUM('BOULEVARD 5'!$K221:P221)-$AP528)</f>
        <v>-90604</v>
      </c>
      <c r="N528" s="716">
        <f>IF(OR(status1B5!O223="",N$7="No aplica"),0,SUM('BOULEVARD 5'!$K221:Q221)-$AP528)</f>
        <v>-86980</v>
      </c>
      <c r="O528" s="716">
        <f>IF(OR(status1B5!P223="",O$7="No aplica"),0,SUM('BOULEVARD 5'!$K221:R221)-$AP528)</f>
        <v>-83356</v>
      </c>
      <c r="P528" s="716">
        <f>IF(OR(status1B5!Q223="",P$7="No aplica"),0,SUM('BOULEVARD 5'!$K221:S221)-$AP528)</f>
        <v>-79732</v>
      </c>
      <c r="Q528" s="716">
        <f>IF(OR(status1B5!R223="",Q$7="No aplica"),0,SUM('BOULEVARD 5'!$K221:T221)-$AP528)</f>
        <v>-76108</v>
      </c>
      <c r="R528" s="716">
        <f>IF(OR(status1B5!S223="",R$7="No aplica"),0,SUM('BOULEVARD 5'!$K221:U221)-$AP528)</f>
        <v>-72484</v>
      </c>
      <c r="S528" s="716">
        <f>IF(OR(status1B5!T223="",S$7="No aplica"),0,SUM('BOULEVARD 5'!$K221:V221)-$AP528)</f>
        <v>-68860</v>
      </c>
      <c r="T528" s="716">
        <f>IF(OR(status1B5!U223="",T$7="No aplica"),0,SUM('BOULEVARD 5'!$K221:W221)-$AP528)</f>
        <v>-65236</v>
      </c>
      <c r="U528" s="716">
        <f>IF(OR(status1B5!V223="",U$7="No aplica"),0,SUM('BOULEVARD 5'!$K221:X221)-$AP528)</f>
        <v>-61612</v>
      </c>
      <c r="V528" s="716">
        <f>IF(OR(status1B5!W223="",V$7="No aplica"),0,SUM('BOULEVARD 5'!$K221:Y221)-$AP528)</f>
        <v>-57988</v>
      </c>
      <c r="W528" s="716">
        <f>IF(OR(status1B5!X223="",W$7="No aplica"),0,SUM('BOULEVARD 5'!$K221:Z221)-$AP528)</f>
        <v>-57988</v>
      </c>
      <c r="X528" s="716">
        <f>IF(OR(status1B5!Y223="",X$7="No aplica"),0,SUM('BOULEVARD 5'!$K221:AA221)-$AP528)</f>
        <v>-50740</v>
      </c>
      <c r="Y528" s="716">
        <f>IF(OR(status1B5!Z223="",Y$7="No aplica"),0,SUM('BOULEVARD 5'!$K221:AB221)-$AP528)</f>
        <v>-50740</v>
      </c>
      <c r="Z528" s="716">
        <f>IF(OR(status1B5!AA223="",Z$7="No aplica"),0,SUM('BOULEVARD 5'!$K221:AC221)-$AP528)</f>
        <v>-50740</v>
      </c>
      <c r="AA528" s="716">
        <f>IF(OR(status1B5!AB223="",AA$7="No aplica"),0,SUM('BOULEVARD 5'!$K221:AD221)-$AP528)</f>
        <v>-43492</v>
      </c>
      <c r="AB528" s="716">
        <f>IF(OR(status1B5!AC223="",AB$7="No aplica"),0,SUM('BOULEVARD 5'!$K221:AE221)-$AP528)</f>
        <v>-36244</v>
      </c>
      <c r="AC528" s="716">
        <f>IF(OR(status1B5!AD223="",AC$7="No aplica"),0,SUM('BOULEVARD 5'!$K221:AF221)-$AP528)</f>
        <v>-32620</v>
      </c>
      <c r="AD528" s="716">
        <f>IF(OR(status1B5!AE223="",AD$7="No aplica"),0,SUM('BOULEVARD 5'!$K221:AG221)-$AP528)</f>
        <v>-28996</v>
      </c>
      <c r="AE528" s="716">
        <f>IF(OR(status1B5!AF223="",AE$7="No aplica"),0,SUM('BOULEVARD 5'!$K221:AH221)-$AP528)</f>
        <v>-25372</v>
      </c>
      <c r="AF528" s="716">
        <f>IF(OR(status1B5!AG223="",AF$7="No aplica"),0,SUM('BOULEVARD 5'!$K221:AI221)-$AP528)</f>
        <v>-21748</v>
      </c>
      <c r="AG528" s="716">
        <f>IF(OR(status1B5!AH223="",AG$7="No aplica"),0,SUM('BOULEVARD 5'!$K221:AJ221)-$AP528)</f>
        <v>-18124</v>
      </c>
      <c r="AH528" s="716">
        <f>IF(OR(status1B5!AI223="",AH$7="No aplica"),0,SUM('BOULEVARD 5'!$K221:AK221)-$AP528)</f>
        <v>-14500</v>
      </c>
      <c r="AI528" s="716">
        <f>IF(OR(status1B5!AJ223="",AI$7="No aplica"),0,SUM('BOULEVARD 5'!$K221:AL221)-$AP528)</f>
        <v>-10876</v>
      </c>
      <c r="AJ528" s="716">
        <f>IF(OR(status1B5!AK223="",AJ$7="No aplica"),0,SUM('BOULEVARD 5'!$K221:AM221)-$AP528)</f>
        <v>-3366</v>
      </c>
      <c r="AK528" s="716">
        <f>IF(OR(status1B5!AL223="",AK$7="No aplica"),0,SUM('BOULEVARD 5'!$K221:AN221)-$AP528)</f>
        <v>-3366</v>
      </c>
      <c r="AL528" s="716">
        <f>IF(OR(status1B5!AM223="",AL$7="No aplica"),0,SUM('BOULEVARD 5'!$K221:AO221)-$AP528)</f>
        <v>0</v>
      </c>
      <c r="AM528" s="716">
        <f>IF(OR(status1B5!AN223="",AM$7="No aplica"),0,SUM('BOULEVARD 5'!$K221:AP221)-$AP528)</f>
        <v>0</v>
      </c>
      <c r="AN528" s="716">
        <f>IF(OR(status1B5!AO223="",AN$7="No aplica"),0,SUM('BOULEVARD 5'!$K221:AQ221)-$AP528)</f>
        <v>0</v>
      </c>
      <c r="AO528" s="716">
        <f>IF(OR(status1B5!AP223="",AO$7="No aplica"),0,SUM('BOULEVARD 5'!$K221:AS221)-$AP528)</f>
        <v>0</v>
      </c>
      <c r="AP528" s="717">
        <f>'BOULEVARD PPTO'!BC216</f>
        <v>111100</v>
      </c>
      <c r="AQ528" s="717">
        <f>'BOULEVARD 5'!AT221</f>
        <v>111100</v>
      </c>
      <c r="AR528" s="717">
        <f t="shared" si="236"/>
        <v>0</v>
      </c>
      <c r="AS528" s="717"/>
      <c r="AT528" s="581"/>
    </row>
    <row r="529" spans="1:47" ht="13.15" customHeight="1" outlineLevel="1" x14ac:dyDescent="0.25">
      <c r="A529" s="700">
        <f t="shared" si="234"/>
        <v>0</v>
      </c>
      <c r="B529" s="564">
        <f t="shared" ref="B529:G529" si="258">B224</f>
        <v>1211</v>
      </c>
      <c r="C529" s="564" t="str">
        <f t="shared" si="258"/>
        <v>C5</v>
      </c>
      <c r="D529" s="564">
        <f t="shared" si="258"/>
        <v>0</v>
      </c>
      <c r="E529" s="564" t="str">
        <f t="shared" si="258"/>
        <v>Antonio Rada</v>
      </c>
      <c r="F529" s="581" t="str">
        <f t="shared" si="258"/>
        <v>Jorge Daniel Baca Chiroy</v>
      </c>
      <c r="G529" s="566">
        <f t="shared" si="258"/>
        <v>45258</v>
      </c>
      <c r="H529" s="716">
        <f>IF(OR(status1B5!I224="",H$7="No aplica"),0,SUM('BOULEVARD 5'!$K222:K222)-$AP529)</f>
        <v>0</v>
      </c>
      <c r="I529" s="716">
        <f>IF(OR(status1B5!J224="",I$7="No aplica"),0,SUM('BOULEVARD 5'!$K222:L222)-$AP529)</f>
        <v>0</v>
      </c>
      <c r="J529" s="716">
        <f>IF(OR(status1B5!K224="",J$7="No aplica"),0,SUM('BOULEVARD 5'!$K222:M222)-$AP529)</f>
        <v>0</v>
      </c>
      <c r="K529" s="716">
        <f>IF(OR(status1B5!L224="",K$7="No aplica"),0,SUM('BOULEVARD 5'!$K222:N222)-$AP529)</f>
        <v>0</v>
      </c>
      <c r="L529" s="716">
        <f>IF(OR(status1B5!M224="",L$7="No aplica"),0,SUM('BOULEVARD 5'!$K222:O222)-$AP529)</f>
        <v>0</v>
      </c>
      <c r="M529" s="716">
        <f>IF(OR(status1B5!N224="",M$7="No aplica"),0,SUM('BOULEVARD 5'!$K222:P222)-$AP529)</f>
        <v>0</v>
      </c>
      <c r="N529" s="716">
        <f>IF(OR(status1B5!O224="",N$7="No aplica"),0,SUM('BOULEVARD 5'!$K222:Q222)-$AP529)</f>
        <v>0</v>
      </c>
      <c r="O529" s="716">
        <f>IF(OR(status1B5!P224="",O$7="No aplica"),0,SUM('BOULEVARD 5'!$K222:R222)-$AP529)</f>
        <v>0</v>
      </c>
      <c r="P529" s="716">
        <f>IF(OR(status1B5!Q224="",P$7="No aplica"),0,SUM('BOULEVARD 5'!$K222:S222)-$AP529)</f>
        <v>-113902.5</v>
      </c>
      <c r="Q529" s="716">
        <f>IF(OR(status1B5!R224="",Q$7="No aplica"),0,SUM('BOULEVARD 5'!$K222:T222)-$AP529)</f>
        <v>-108728.5</v>
      </c>
      <c r="R529" s="716">
        <f>IF(OR(status1B5!S224="",R$7="No aplica"),0,SUM('BOULEVARD 5'!$K222:U222)-$AP529)</f>
        <v>-103554.5</v>
      </c>
      <c r="S529" s="716">
        <f>IF(OR(status1B5!T224="",S$7="No aplica"),0,SUM('BOULEVARD 5'!$K222:V222)-$AP529)</f>
        <v>-103554.5</v>
      </c>
      <c r="T529" s="716">
        <f>IF(OR(status1B5!U224="",T$7="No aplica"),0,SUM('BOULEVARD 5'!$K222:W222)-$AP529)</f>
        <v>-103554.5</v>
      </c>
      <c r="U529" s="716">
        <f>IF(OR(status1B5!V224="",U$7="No aplica"),0,SUM('BOULEVARD 5'!$K222:X222)-$AP529)</f>
        <v>-103554.5</v>
      </c>
      <c r="V529" s="716">
        <f>IF(OR(status1B5!W224="",V$7="No aplica"),0,SUM('BOULEVARD 5'!$K222:Y222)-$AP529)</f>
        <v>-103554.5</v>
      </c>
      <c r="W529" s="716">
        <f>IF(OR(status1B5!X224="",W$7="No aplica"),0,SUM('BOULEVARD 5'!$K222:Z222)-$AP529)</f>
        <v>-93206.5</v>
      </c>
      <c r="X529" s="716">
        <f>IF(OR(status1B5!Y224="",X$7="No aplica"),0,SUM('BOULEVARD 5'!$K222:AA222)-$AP529)</f>
        <v>-93206.5</v>
      </c>
      <c r="Y529" s="716">
        <f>IF(OR(status1B5!Z224="",Y$7="No aplica"),0,SUM('BOULEVARD 5'!$K222:AB222)-$AP529)</f>
        <v>-93206.5</v>
      </c>
      <c r="Z529" s="716">
        <f>IF(OR(status1B5!AA224="",Z$7="No aplica"),0,SUM('BOULEVARD 5'!$K222:AC222)-$AP529)</f>
        <v>-82852.5</v>
      </c>
      <c r="AA529" s="716">
        <f>IF(OR(status1B5!AB224="",AA$7="No aplica"),0,SUM('BOULEVARD 5'!$K222:AD222)-$AP529)</f>
        <v>-82852.5</v>
      </c>
      <c r="AB529" s="716">
        <f>IF(OR(status1B5!AC224="",AB$7="No aplica"),0,SUM('BOULEVARD 5'!$K222:AE222)-$AP529)</f>
        <v>-72498.5</v>
      </c>
      <c r="AC529" s="716">
        <f>IF(OR(status1B5!AD224="",AC$7="No aplica"),0,SUM('BOULEVARD 5'!$K222:AF222)-$AP529)</f>
        <v>-72498.5</v>
      </c>
      <c r="AD529" s="716">
        <f>IF(OR(status1B5!AE224="",AD$7="No aplica"),0,SUM('BOULEVARD 5'!$K222:AG222)-$AP529)</f>
        <v>-72498.5</v>
      </c>
      <c r="AE529" s="716">
        <f>IF(OR(status1B5!AF224="",AE$7="No aplica"),0,SUM('BOULEVARD 5'!$K222:AH222)-$AP529)</f>
        <v>-36259.5</v>
      </c>
      <c r="AF529" s="716">
        <f>IF(OR(status1B5!AG224="",AF$7="No aplica"),0,SUM('BOULEVARD 5'!$K222:AI222)-$AP529)</f>
        <v>-36259.5</v>
      </c>
      <c r="AG529" s="716">
        <f>IF(OR(status1B5!AH224="",AG$7="No aplica"),0,SUM('BOULEVARD 5'!$K222:AJ222)-$AP529)</f>
        <v>-25893.5</v>
      </c>
      <c r="AH529" s="716">
        <f>IF(OR(status1B5!AI224="",AH$7="No aplica"),0,SUM('BOULEVARD 5'!$K222:AK222)-$AP529)</f>
        <v>-20719.5</v>
      </c>
      <c r="AI529" s="716">
        <f>IF(OR(status1B5!AJ224="",AI$7="No aplica"),0,SUM('BOULEVARD 5'!$K222:AL222)-$AP529)</f>
        <v>0</v>
      </c>
      <c r="AJ529" s="716">
        <f>IF(OR(status1B5!AK224="",AJ$7="No aplica"),0,SUM('BOULEVARD 5'!$K222:AM222)-$AP529)</f>
        <v>0</v>
      </c>
      <c r="AK529" s="716">
        <f>IF(OR(status1B5!AL224="",AK$7="No aplica"),0,SUM('BOULEVARD 5'!$K222:AN222)-$AP529)</f>
        <v>0</v>
      </c>
      <c r="AL529" s="716">
        <f>IF(OR(status1B5!AM224="",AL$7="No aplica"),0,SUM('BOULEVARD 5'!$K222:AO222)-$AP529)</f>
        <v>0</v>
      </c>
      <c r="AM529" s="716">
        <f>IF(OR(status1B5!AN224="",AM$7="No aplica"),0,SUM('BOULEVARD 5'!$K222:AP222)-$AP529)</f>
        <v>0</v>
      </c>
      <c r="AN529" s="716">
        <f>IF(OR(status1B5!AO224="",AN$7="No aplica"),0,SUM('BOULEVARD 5'!$K222:AQ222)-$AP529)</f>
        <v>0</v>
      </c>
      <c r="AO529" s="716">
        <f>IF(OR(status1B5!AP224="",AO$7="No aplica"),0,SUM('BOULEVARD 5'!$K222:AS222)-$AP529)</f>
        <v>0</v>
      </c>
      <c r="AP529" s="717">
        <f>'BOULEVARD PPTO'!BC217</f>
        <v>119402.5</v>
      </c>
      <c r="AQ529" s="717">
        <f>'BOULEVARD 5'!AT222</f>
        <v>119402.5</v>
      </c>
      <c r="AR529" s="717">
        <f t="shared" si="236"/>
        <v>0</v>
      </c>
      <c r="AS529" s="717"/>
      <c r="AT529" s="581"/>
      <c r="AU529" s="429" t="s">
        <v>848</v>
      </c>
    </row>
    <row r="530" spans="1:47" ht="13.15" customHeight="1" outlineLevel="1" x14ac:dyDescent="0.25">
      <c r="A530" s="700" t="str">
        <f t="shared" si="234"/>
        <v>CE</v>
      </c>
      <c r="B530" s="564">
        <f t="shared" ref="B530:G530" si="259">B225</f>
        <v>1212</v>
      </c>
      <c r="C530" s="564" t="str">
        <f t="shared" si="259"/>
        <v>A8</v>
      </c>
      <c r="D530" s="647" t="str">
        <f t="shared" si="259"/>
        <v>Plan de pagos especiales</v>
      </c>
      <c r="E530" s="564" t="str">
        <f t="shared" si="259"/>
        <v>Brenda Búcaro</v>
      </c>
      <c r="F530" s="581" t="str">
        <f t="shared" si="259"/>
        <v>Sergio Enrique Bolaños López</v>
      </c>
      <c r="G530" s="566">
        <f t="shared" si="259"/>
        <v>45123</v>
      </c>
      <c r="H530" s="716">
        <f>IF(OR(status1B5!I225="",H$7="No aplica"),0,SUM('BOULEVARD 5'!$K223:K223)-$AP530)</f>
        <v>0</v>
      </c>
      <c r="I530" s="716">
        <f>IF(OR(status1B5!J225="",I$7="No aplica"),0,SUM('BOULEVARD 5'!$K223:L223)-$AP530)</f>
        <v>0</v>
      </c>
      <c r="J530" s="716">
        <f>IF(OR(status1B5!K225="",J$7="No aplica"),0,SUM('BOULEVARD 5'!$K223:M223)-$AP530)</f>
        <v>0</v>
      </c>
      <c r="K530" s="716">
        <f>IF(OR(status1B5!L225="",K$7="No aplica"),0,SUM('BOULEVARD 5'!$K223:N223)-$AP530)</f>
        <v>0</v>
      </c>
      <c r="L530" s="716">
        <f>IF(OR(status1B5!M225="",L$7="No aplica"),0,SUM('BOULEVARD 5'!$K223:O223)-$AP530)</f>
        <v>-58700</v>
      </c>
      <c r="M530" s="716">
        <f>IF(OR(status1B5!N225="",M$7="No aplica"),0,SUM('BOULEVARD 5'!$K223:P223)-$AP530)</f>
        <v>-56700</v>
      </c>
      <c r="N530" s="716">
        <f>IF(OR(status1B5!O225="",N$7="No aplica"),0,SUM('BOULEVARD 5'!$K223:Q223)-$AP530)</f>
        <v>-56700</v>
      </c>
      <c r="O530" s="716">
        <f>IF(OR(status1B5!P225="",O$7="No aplica"),0,SUM('BOULEVARD 5'!$K223:R223)-$AP530)</f>
        <v>-52700</v>
      </c>
      <c r="P530" s="716">
        <f>IF(OR(status1B5!Q225="",P$7="No aplica"),0,SUM('BOULEVARD 5'!$K223:S223)-$AP530)</f>
        <v>-52700</v>
      </c>
      <c r="Q530" s="716">
        <f>IF(OR(status1B5!R225="",Q$7="No aplica"),0,SUM('BOULEVARD 5'!$K223:T223)-$AP530)</f>
        <v>-52700</v>
      </c>
      <c r="R530" s="716">
        <f>IF(OR(status1B5!S225="",R$7="No aplica"),0,SUM('BOULEVARD 5'!$K223:U223)-$AP530)</f>
        <v>-50700</v>
      </c>
      <c r="S530" s="716">
        <f>IF(OR(status1B5!T225="",S$7="No aplica"),0,SUM('BOULEVARD 5'!$K223:V223)-$AP530)</f>
        <v>-48700</v>
      </c>
      <c r="T530" s="716">
        <f>IF(OR(status1B5!U225="",T$7="No aplica"),0,SUM('BOULEVARD 5'!$K223:W223)-$AP530)</f>
        <v>-48700</v>
      </c>
      <c r="U530" s="716">
        <f>IF(OR(status1B5!V225="",U$7="No aplica"),0,SUM('BOULEVARD 5'!$K223:X223)-$AP530)</f>
        <v>-44700</v>
      </c>
      <c r="V530" s="716">
        <f>IF(OR(status1B5!W225="",V$7="No aplica"),0,SUM('BOULEVARD 5'!$K223:Y223)-$AP530)</f>
        <v>-40700</v>
      </c>
      <c r="W530" s="716">
        <f>IF(OR(status1B5!X225="",W$7="No aplica"),0,SUM('BOULEVARD 5'!$K223:Z223)-$AP530)</f>
        <v>-40700</v>
      </c>
      <c r="X530" s="716">
        <f>IF(OR(status1B5!Y225="",X$7="No aplica"),0,SUM('BOULEVARD 5'!$K223:AA223)-$AP530)</f>
        <v>-38700</v>
      </c>
      <c r="Y530" s="716">
        <f>IF(OR(status1B5!Z225="",Y$7="No aplica"),0,SUM('BOULEVARD 5'!$K223:AB223)-$AP530)</f>
        <v>-36700</v>
      </c>
      <c r="Z530" s="716">
        <f>IF(OR(status1B5!AA225="",Z$7="No aplica"),0,SUM('BOULEVARD 5'!$K223:AC223)-$AP530)</f>
        <v>-36700</v>
      </c>
      <c r="AA530" s="716">
        <f>IF(OR(status1B5!AB225="",AA$7="No aplica"),0,SUM('BOULEVARD 5'!$K223:AD223)-$AP530)</f>
        <v>-34700</v>
      </c>
      <c r="AB530" s="716">
        <f>IF(OR(status1B5!AC225="",AB$7="No aplica"),0,SUM('BOULEVARD 5'!$K223:AE223)-$AP530)</f>
        <v>-34700</v>
      </c>
      <c r="AC530" s="716">
        <f>IF(OR(status1B5!AD225="",AC$7="No aplica"),0,SUM('BOULEVARD 5'!$K223:AF223)-$AP530)</f>
        <v>-34700</v>
      </c>
      <c r="AD530" s="716">
        <f>IF(OR(status1B5!AE225="",AD$7="No aplica"),0,SUM('BOULEVARD 5'!$K223:AG223)-$AP530)</f>
        <v>-32700</v>
      </c>
      <c r="AE530" s="716">
        <f>IF(OR(status1B5!AF225="",AE$7="No aplica"),0,SUM('BOULEVARD 5'!$K223:AH223)-$AP530)</f>
        <v>-30700</v>
      </c>
      <c r="AF530" s="716">
        <f>IF(OR(status1B5!AG225="",AF$7="No aplica"),0,SUM('BOULEVARD 5'!$K223:AI223)-$AP530)</f>
        <v>-25700</v>
      </c>
      <c r="AG530" s="716">
        <f>IF(OR(status1B5!AH225="",AG$7="No aplica"),0,SUM('BOULEVARD 5'!$K223:AJ223)-$AP530)</f>
        <v>-25700</v>
      </c>
      <c r="AH530" s="716">
        <f>IF(OR(status1B5!AI225="",AH$7="No aplica"),0,SUM('BOULEVARD 5'!$K223:AK223)-$AP530)</f>
        <v>-22488</v>
      </c>
      <c r="AI530" s="716">
        <f>IF(OR(status1B5!AJ225="",AI$7="No aplica"),0,SUM('BOULEVARD 5'!$K223:AL223)-$AP530)</f>
        <v>-22488</v>
      </c>
      <c r="AJ530" s="716">
        <f>IF(OR(status1B5!AK225="",AJ$7="No aplica"),0,SUM('BOULEVARD 5'!$K223:AM223)-$AP530)</f>
        <v>-19276</v>
      </c>
      <c r="AK530" s="716">
        <f>IF(OR(status1B5!AL225="",AK$7="No aplica"),0,SUM('BOULEVARD 5'!$K223:AN223)-$AP530)</f>
        <v>-19276</v>
      </c>
      <c r="AL530" s="716">
        <f>IF(OR(status1B5!AM225="",AL$7="No aplica"),0,SUM('BOULEVARD 5'!$K223:AO223)-$AP530)</f>
        <v>-19276</v>
      </c>
      <c r="AM530" s="716">
        <f>IF(OR(status1B5!AN225="",AM$7="No aplica"),0,SUM('BOULEVARD 5'!$K223:AP223)-$AP530)</f>
        <v>-19276</v>
      </c>
      <c r="AN530" s="716">
        <f>IF(OR(status1B5!AO225="",AN$7="No aplica"),0,SUM('BOULEVARD 5'!$K223:AQ223)-$AP530)</f>
        <v>0</v>
      </c>
      <c r="AO530" s="716">
        <f>IF(OR(status1B5!AP225="",AO$7="No aplica"),0,SUM('BOULEVARD 5'!$K223:AS223)-$AP530)</f>
        <v>0</v>
      </c>
      <c r="AP530" s="717">
        <f>'BOULEVARD PPTO'!BC218</f>
        <v>66700</v>
      </c>
      <c r="AQ530" s="717">
        <f>'BOULEVARD 5'!AT223</f>
        <v>47424</v>
      </c>
      <c r="AR530" s="717">
        <f t="shared" si="236"/>
        <v>-19276</v>
      </c>
      <c r="AS530" s="717"/>
      <c r="AT530" s="581"/>
    </row>
    <row r="531" spans="1:47" ht="13.15" customHeight="1" outlineLevel="1" x14ac:dyDescent="0.25">
      <c r="A531" s="700">
        <f t="shared" si="234"/>
        <v>0</v>
      </c>
      <c r="B531" s="564">
        <f t="shared" ref="B531:G531" si="260">B226</f>
        <v>1213</v>
      </c>
      <c r="C531" s="564" t="str">
        <f t="shared" si="260"/>
        <v>A2</v>
      </c>
      <c r="D531" s="564">
        <f t="shared" si="260"/>
        <v>0</v>
      </c>
      <c r="E531" s="564" t="str">
        <f t="shared" si="260"/>
        <v>Jose Franco</v>
      </c>
      <c r="F531" s="581" t="str">
        <f t="shared" si="260"/>
        <v>Marcas &amp; Secretos, S.A.</v>
      </c>
      <c r="G531" s="566">
        <f t="shared" si="260"/>
        <v>45021</v>
      </c>
      <c r="H531" s="716">
        <f>IF(OR(status1B5!I226="",H$7="No aplica"),0,SUM('BOULEVARD 5'!$K224:K224)-$AP531)</f>
        <v>0</v>
      </c>
      <c r="I531" s="716">
        <f>IF(OR(status1B5!J226="",I$7="No aplica"),0,SUM('BOULEVARD 5'!$K224:L224)-$AP531)</f>
        <v>-58639</v>
      </c>
      <c r="J531" s="716">
        <f>IF(OR(status1B5!K226="",J$7="No aplica"),0,SUM('BOULEVARD 5'!$K224:M224)-$AP531)</f>
        <v>-56639</v>
      </c>
      <c r="K531" s="716">
        <f>IF(OR(status1B5!L226="",K$7="No aplica"),0,SUM('BOULEVARD 5'!$K224:N224)-$AP531)</f>
        <v>-54639</v>
      </c>
      <c r="L531" s="716">
        <f>IF(OR(status1B5!M226="",L$7="No aplica"),0,SUM('BOULEVARD 5'!$K224:O224)-$AP531)</f>
        <v>-52639</v>
      </c>
      <c r="M531" s="716">
        <f>IF(OR(status1B5!N226="",M$7="No aplica"),0,SUM('BOULEVARD 5'!$K224:P224)-$AP531)</f>
        <v>-50639</v>
      </c>
      <c r="N531" s="716">
        <f>IF(OR(status1B5!O226="",N$7="No aplica"),0,SUM('BOULEVARD 5'!$K224:Q224)-$AP531)</f>
        <v>-48639</v>
      </c>
      <c r="O531" s="716">
        <f>IF(OR(status1B5!P226="",O$7="No aplica"),0,SUM('BOULEVARD 5'!$K224:R224)-$AP531)</f>
        <v>-46639</v>
      </c>
      <c r="P531" s="716">
        <f>IF(OR(status1B5!Q226="",P$7="No aplica"),0,SUM('BOULEVARD 5'!$K224:S224)-$AP531)</f>
        <v>-44639</v>
      </c>
      <c r="Q531" s="716">
        <f>IF(OR(status1B5!R226="",Q$7="No aplica"),0,SUM('BOULEVARD 5'!$K224:T224)-$AP531)</f>
        <v>-42639</v>
      </c>
      <c r="R531" s="716">
        <f>IF(OR(status1B5!S226="",R$7="No aplica"),0,SUM('BOULEVARD 5'!$K224:U224)-$AP531)</f>
        <v>-40639</v>
      </c>
      <c r="S531" s="716">
        <f>IF(OR(status1B5!T226="",S$7="No aplica"),0,SUM('BOULEVARD 5'!$K224:V224)-$AP531)</f>
        <v>-38639</v>
      </c>
      <c r="T531" s="716">
        <f>IF(OR(status1B5!U226="",T$7="No aplica"),0,SUM('BOULEVARD 5'!$K224:W224)-$AP531)</f>
        <v>-36639</v>
      </c>
      <c r="U531" s="716">
        <f>IF(OR(status1B5!V226="",U$7="No aplica"),0,SUM('BOULEVARD 5'!$K224:X224)-$AP531)</f>
        <v>-34639</v>
      </c>
      <c r="V531" s="716">
        <f>IF(OR(status1B5!W226="",V$7="No aplica"),0,SUM('BOULEVARD 5'!$K224:Y224)-$AP531)</f>
        <v>-32639</v>
      </c>
      <c r="W531" s="716">
        <f>IF(OR(status1B5!X226="",W$7="No aplica"),0,SUM('BOULEVARD 5'!$K224:Z224)-$AP531)</f>
        <v>-30639</v>
      </c>
      <c r="X531" s="716">
        <f>IF(OR(status1B5!Y226="",X$7="No aplica"),0,SUM('BOULEVARD 5'!$K224:AA224)-$AP531)</f>
        <v>-28639</v>
      </c>
      <c r="Y531" s="716">
        <f>IF(OR(status1B5!Z226="",Y$7="No aplica"),0,SUM('BOULEVARD 5'!$K224:AB224)-$AP531)</f>
        <v>-28639</v>
      </c>
      <c r="Z531" s="716">
        <f>IF(OR(status1B5!AA226="",Z$7="No aplica"),0,SUM('BOULEVARD 5'!$K224:AC224)-$AP531)</f>
        <v>-24639</v>
      </c>
      <c r="AA531" s="716">
        <f>IF(OR(status1B5!AB226="",AA$7="No aplica"),0,SUM('BOULEVARD 5'!$K224:AD224)-$AP531)</f>
        <v>-22639</v>
      </c>
      <c r="AB531" s="716">
        <f>IF(OR(status1B5!AC226="",AB$7="No aplica"),0,SUM('BOULEVARD 5'!$K224:AE224)-$AP531)</f>
        <v>-20639</v>
      </c>
      <c r="AC531" s="716">
        <f>IF(OR(status1B5!AD226="",AC$7="No aplica"),0,SUM('BOULEVARD 5'!$K224:AF224)-$AP531)</f>
        <v>-18639</v>
      </c>
      <c r="AD531" s="716">
        <f>IF(OR(status1B5!AE226="",AD$7="No aplica"),0,SUM('BOULEVARD 5'!$K224:AG224)-$AP531)</f>
        <v>-18639</v>
      </c>
      <c r="AE531" s="716">
        <f>IF(OR(status1B5!AF226="",AE$7="No aplica"),0,SUM('BOULEVARD 5'!$K224:AH224)-$AP531)</f>
        <v>-14639</v>
      </c>
      <c r="AF531" s="716">
        <f>IF(OR(status1B5!AG226="",AF$7="No aplica"),0,SUM('BOULEVARD 5'!$K224:AI224)-$AP531)</f>
        <v>-12639</v>
      </c>
      <c r="AG531" s="716">
        <f>IF(OR(status1B5!AH226="",AG$7="No aplica"),0,SUM('BOULEVARD 5'!$K224:AJ224)-$AP531)</f>
        <v>-10639</v>
      </c>
      <c r="AH531" s="716">
        <f>IF(OR(status1B5!AI226="",AH$7="No aplica"),0,SUM('BOULEVARD 5'!$K224:AK224)-$AP531)</f>
        <v>-8639</v>
      </c>
      <c r="AI531" s="716">
        <f>IF(OR(status1B5!AJ226="",AI$7="No aplica"),0,SUM('BOULEVARD 5'!$K224:AL224)-$AP531)</f>
        <v>-6639</v>
      </c>
      <c r="AJ531" s="716">
        <f>IF(OR(status1B5!AK226="",AJ$7="No aplica"),0,SUM('BOULEVARD 5'!$K224:AM224)-$AP531)</f>
        <v>-4639</v>
      </c>
      <c r="AK531" s="716">
        <f>IF(OR(status1B5!AL226="",AK$7="No aplica"),0,SUM('BOULEVARD 5'!$K224:AN224)-$AP531)</f>
        <v>-2639</v>
      </c>
      <c r="AL531" s="716">
        <f>IF(OR(status1B5!AM226="",AL$7="No aplica"),0,SUM('BOULEVARD 5'!$K224:AO224)-$AP531)</f>
        <v>0</v>
      </c>
      <c r="AM531" s="716">
        <f>IF(OR(status1B5!AN226="",AM$7="No aplica"),0,SUM('BOULEVARD 5'!$K224:AP224)-$AP531)</f>
        <v>0</v>
      </c>
      <c r="AN531" s="716">
        <f>IF(OR(status1B5!AO226="",AN$7="No aplica"),0,SUM('BOULEVARD 5'!$K224:AQ224)-$AP531)</f>
        <v>0</v>
      </c>
      <c r="AO531" s="716">
        <f>IF(OR(status1B5!AP226="",AO$7="No aplica"),0,SUM('BOULEVARD 5'!$K224:AS224)-$AP531)</f>
        <v>0</v>
      </c>
      <c r="AP531" s="717">
        <f>'BOULEVARD PPTO'!BC219</f>
        <v>64639</v>
      </c>
      <c r="AQ531" s="717">
        <f>'BOULEVARD 5'!AT224</f>
        <v>64639</v>
      </c>
      <c r="AR531" s="717">
        <f t="shared" si="236"/>
        <v>0</v>
      </c>
      <c r="AS531" s="717"/>
      <c r="AT531" s="581"/>
    </row>
    <row r="532" spans="1:47" ht="13.15" customHeight="1" outlineLevel="1" x14ac:dyDescent="0.25">
      <c r="A532" s="700">
        <f t="shared" si="234"/>
        <v>0</v>
      </c>
      <c r="B532" s="564">
        <f t="shared" ref="B532:G532" si="261">B227</f>
        <v>1214</v>
      </c>
      <c r="C532" s="564" t="str">
        <f t="shared" si="261"/>
        <v>A11</v>
      </c>
      <c r="D532" s="564">
        <f t="shared" si="261"/>
        <v>0</v>
      </c>
      <c r="E532" s="564" t="str">
        <f t="shared" si="261"/>
        <v>Jose Franco</v>
      </c>
      <c r="F532" s="581" t="str">
        <f t="shared" si="261"/>
        <v>Manuel Armando Fletes Ordoñez</v>
      </c>
      <c r="G532" s="566">
        <f t="shared" si="261"/>
        <v>45082</v>
      </c>
      <c r="H532" s="716">
        <f>IF(OR(status1B5!I227="",H$7="No aplica"),0,SUM('BOULEVARD 5'!$K225:K225)-$AP532)</f>
        <v>0</v>
      </c>
      <c r="I532" s="716">
        <f>IF(OR(status1B5!J227="",I$7="No aplica"),0,SUM('BOULEVARD 5'!$K225:L225)-$AP532)</f>
        <v>0</v>
      </c>
      <c r="J532" s="716">
        <f>IF(OR(status1B5!K227="",J$7="No aplica"),0,SUM('BOULEVARD 5'!$K225:M225)-$AP532)</f>
        <v>0</v>
      </c>
      <c r="K532" s="716">
        <f>IF(OR(status1B5!L227="",K$7="No aplica"),0,SUM('BOULEVARD 5'!$K225:N225)-$AP532)</f>
        <v>-72700</v>
      </c>
      <c r="L532" s="716">
        <f>IF(OR(status1B5!M227="",L$7="No aplica"),0,SUM('BOULEVARD 5'!$K225:O225)-$AP532)</f>
        <v>-70000</v>
      </c>
      <c r="M532" s="716">
        <f>IF(OR(status1B5!N227="",M$7="No aplica"),0,SUM('BOULEVARD 5'!$K225:P225)-$AP532)</f>
        <v>-67300</v>
      </c>
      <c r="N532" s="716">
        <f>IF(OR(status1B5!O227="",N$7="No aplica"),0,SUM('BOULEVARD 5'!$K225:Q225)-$AP532)</f>
        <v>-64600</v>
      </c>
      <c r="O532" s="716">
        <f>IF(OR(status1B5!P227="",O$7="No aplica"),0,SUM('BOULEVARD 5'!$K225:R225)-$AP532)</f>
        <v>-61900</v>
      </c>
      <c r="P532" s="716">
        <f>IF(OR(status1B5!Q227="",P$7="No aplica"),0,SUM('BOULEVARD 5'!$K225:S225)-$AP532)</f>
        <v>-59200</v>
      </c>
      <c r="Q532" s="716">
        <f>IF(OR(status1B5!R227="",Q$7="No aplica"),0,SUM('BOULEVARD 5'!$K225:T225)-$AP532)</f>
        <v>-56500</v>
      </c>
      <c r="R532" s="716">
        <f>IF(OR(status1B5!S227="",R$7="No aplica"),0,SUM('BOULEVARD 5'!$K225:U225)-$AP532)</f>
        <v>-53800</v>
      </c>
      <c r="S532" s="716">
        <f>IF(OR(status1B5!T227="",S$7="No aplica"),0,SUM('BOULEVARD 5'!$K225:V225)-$AP532)</f>
        <v>-51100</v>
      </c>
      <c r="T532" s="716">
        <f>IF(OR(status1B5!U227="",T$7="No aplica"),0,SUM('BOULEVARD 5'!$K225:W225)-$AP532)</f>
        <v>-48400</v>
      </c>
      <c r="U532" s="716">
        <f>IF(OR(status1B5!V227="",U$7="No aplica"),0,SUM('BOULEVARD 5'!$K225:X225)-$AP532)</f>
        <v>-45700</v>
      </c>
      <c r="V532" s="716">
        <f>IF(OR(status1B5!W227="",V$7="No aplica"),0,SUM('BOULEVARD 5'!$K225:Y225)-$AP532)</f>
        <v>-43000</v>
      </c>
      <c r="W532" s="716">
        <f>IF(OR(status1B5!X227="",W$7="No aplica"),0,SUM('BOULEVARD 5'!$K225:Z225)-$AP532)</f>
        <v>-40300</v>
      </c>
      <c r="X532" s="716">
        <f>IF(OR(status1B5!Y227="",X$7="No aplica"),0,SUM('BOULEVARD 5'!$K225:AA225)-$AP532)</f>
        <v>-37600</v>
      </c>
      <c r="Y532" s="716">
        <f>IF(OR(status1B5!Z227="",Y$7="No aplica"),0,SUM('BOULEVARD 5'!$K225:AB225)-$AP532)</f>
        <v>-34900</v>
      </c>
      <c r="Z532" s="716">
        <f>IF(OR(status1B5!AA227="",Z$7="No aplica"),0,SUM('BOULEVARD 5'!$K225:AC225)-$AP532)</f>
        <v>-32200</v>
      </c>
      <c r="AA532" s="716">
        <f>IF(OR(status1B5!AB227="",AA$7="No aplica"),0,SUM('BOULEVARD 5'!$K225:AD225)-$AP532)</f>
        <v>-29500</v>
      </c>
      <c r="AB532" s="716">
        <f>IF(OR(status1B5!AC227="",AB$7="No aplica"),0,SUM('BOULEVARD 5'!$K225:AE225)-$AP532)</f>
        <v>-26800</v>
      </c>
      <c r="AC532" s="716">
        <f>IF(OR(status1B5!AD227="",AC$7="No aplica"),0,SUM('BOULEVARD 5'!$K225:AF225)-$AP532)</f>
        <v>-24100</v>
      </c>
      <c r="AD532" s="716">
        <f>IF(OR(status1B5!AE227="",AD$7="No aplica"),0,SUM('BOULEVARD 5'!$K225:AG225)-$AP532)</f>
        <v>-21400</v>
      </c>
      <c r="AE532" s="716">
        <f>IF(OR(status1B5!AF227="",AE$7="No aplica"),0,SUM('BOULEVARD 5'!$K225:AH225)-$AP532)</f>
        <v>-18700</v>
      </c>
      <c r="AF532" s="716">
        <f>IF(OR(status1B5!AG227="",AF$7="No aplica"),0,SUM('BOULEVARD 5'!$K225:AI225)-$AP532)</f>
        <v>-16000</v>
      </c>
      <c r="AG532" s="716">
        <f>IF(OR(status1B5!AH227="",AG$7="No aplica"),0,SUM('BOULEVARD 5'!$K225:AJ225)-$AP532)</f>
        <v>-13300</v>
      </c>
      <c r="AH532" s="716">
        <f>IF(OR(status1B5!AI227="",AH$7="No aplica"),0,SUM('BOULEVARD 5'!$K225:AK225)-$AP532)</f>
        <v>36700</v>
      </c>
      <c r="AI532" s="716">
        <f>IF(OR(status1B5!AJ227="",AI$7="No aplica"),0,SUM('BOULEVARD 5'!$K225:AL225)-$AP532)</f>
        <v>86700</v>
      </c>
      <c r="AJ532" s="716">
        <f>IF(OR(status1B5!AK227="",AJ$7="No aplica"),0,SUM('BOULEVARD 5'!$K225:AM225)-$AP532)</f>
        <v>121700</v>
      </c>
      <c r="AK532" s="716">
        <f>IF(OR(status1B5!AL227="",AK$7="No aplica"),0,SUM('BOULEVARD 5'!$K225:AN225)-$AP532)</f>
        <v>171700</v>
      </c>
      <c r="AL532" s="716">
        <f>IF(OR(status1B5!AM227="",AL$7="No aplica"),0,SUM('BOULEVARD 5'!$K225:AO225)-$AP532)</f>
        <v>196700</v>
      </c>
      <c r="AM532" s="716">
        <f>IF(OR(status1B5!AN227="",AM$7="No aplica"),0,SUM('BOULEVARD 5'!$K225:AP225)-$AP532)</f>
        <v>205700</v>
      </c>
      <c r="AN532" s="716">
        <f>IF(OR(status1B5!AO227="",AN$7="No aplica"),0,SUM('BOULEVARD 5'!$K225:AQ225)-$AP532)</f>
        <v>0</v>
      </c>
      <c r="AO532" s="716">
        <f>IF(OR(status1B5!AP227="",AO$7="No aplica"),0,SUM('BOULEVARD 5'!$K225:AS225)-$AP532)</f>
        <v>0</v>
      </c>
      <c r="AP532" s="717">
        <f>'BOULEVARD PPTO'!BC220</f>
        <v>78700</v>
      </c>
      <c r="AQ532" s="717">
        <f>'BOULEVARD 5'!AT225</f>
        <v>313900</v>
      </c>
      <c r="AR532" s="717">
        <f t="shared" si="236"/>
        <v>235200</v>
      </c>
      <c r="AS532" s="717"/>
      <c r="AT532" s="581"/>
    </row>
    <row r="533" spans="1:47" ht="13.15" customHeight="1" outlineLevel="1" x14ac:dyDescent="0.25">
      <c r="A533" s="700">
        <f t="shared" si="234"/>
        <v>0</v>
      </c>
      <c r="B533" s="564">
        <f t="shared" ref="B533:G533" si="262">B228</f>
        <v>1215</v>
      </c>
      <c r="C533" s="564" t="str">
        <f t="shared" si="262"/>
        <v>B4</v>
      </c>
      <c r="D533" s="564">
        <f t="shared" si="262"/>
        <v>0</v>
      </c>
      <c r="E533" s="564" t="str">
        <f t="shared" si="262"/>
        <v>Antonio Rada</v>
      </c>
      <c r="F533" s="581" t="str">
        <f t="shared" si="262"/>
        <v xml:space="preserve"> Jose Javier Hernandez Juarez</v>
      </c>
      <c r="G533" s="566">
        <f t="shared" si="262"/>
        <v>45027</v>
      </c>
      <c r="H533" s="716">
        <f>IF(OR(status1B5!I228="",H$7="No aplica"),0,SUM('BOULEVARD 5'!$K226:K226)-$AP533)</f>
        <v>0</v>
      </c>
      <c r="I533" s="716">
        <f>IF(OR(status1B5!J228="",I$7="No aplica"),0,SUM('BOULEVARD 5'!$K226:L226)-$AP533)</f>
        <v>-79900</v>
      </c>
      <c r="J533" s="716">
        <f>IF(OR(status1B5!K228="",J$7="No aplica"),0,SUM('BOULEVARD 5'!$K226:M226)-$AP533)</f>
        <v>-77145</v>
      </c>
      <c r="K533" s="716">
        <f>IF(OR(status1B5!L228="",K$7="No aplica"),0,SUM('BOULEVARD 5'!$K226:N226)-$AP533)</f>
        <v>-74390</v>
      </c>
      <c r="L533" s="716">
        <f>IF(OR(status1B5!M228="",L$7="No aplica"),0,SUM('BOULEVARD 5'!$K226:O226)-$AP533)</f>
        <v>-71635</v>
      </c>
      <c r="M533" s="716">
        <f>IF(OR(status1B5!N228="",M$7="No aplica"),0,SUM('BOULEVARD 5'!$K226:P226)-$AP533)</f>
        <v>-68880</v>
      </c>
      <c r="N533" s="716">
        <f>IF(OR(status1B5!O228="",N$7="No aplica"),0,SUM('BOULEVARD 5'!$K226:Q226)-$AP533)</f>
        <v>-66125</v>
      </c>
      <c r="O533" s="716">
        <f>IF(OR(status1B5!P228="",O$7="No aplica"),0,SUM('BOULEVARD 5'!$K226:R226)-$AP533)</f>
        <v>-63370</v>
      </c>
      <c r="P533" s="716">
        <f>IF(OR(status1B5!Q228="",P$7="No aplica"),0,SUM('BOULEVARD 5'!$K226:S226)-$AP533)</f>
        <v>-60615</v>
      </c>
      <c r="Q533" s="716">
        <f>IF(OR(status1B5!R228="",Q$7="No aplica"),0,SUM('BOULEVARD 5'!$K226:T226)-$AP533)</f>
        <v>-57860</v>
      </c>
      <c r="R533" s="716">
        <f>IF(OR(status1B5!S228="",R$7="No aplica"),0,SUM('BOULEVARD 5'!$K226:U226)-$AP533)</f>
        <v>-55105</v>
      </c>
      <c r="S533" s="716">
        <f>IF(OR(status1B5!T228="",S$7="No aplica"),0,SUM('BOULEVARD 5'!$K226:V226)-$AP533)</f>
        <v>-52350</v>
      </c>
      <c r="T533" s="716">
        <f>IF(OR(status1B5!U228="",T$7="No aplica"),0,SUM('BOULEVARD 5'!$K226:W226)-$AP533)</f>
        <v>-49595</v>
      </c>
      <c r="U533" s="716">
        <f>IF(OR(status1B5!V228="",U$7="No aplica"),0,SUM('BOULEVARD 5'!$K226:X226)-$AP533)</f>
        <v>-46840</v>
      </c>
      <c r="V533" s="716">
        <f>IF(OR(status1B5!W228="",V$7="No aplica"),0,SUM('BOULEVARD 5'!$K226:Y226)-$AP533)</f>
        <v>-44085</v>
      </c>
      <c r="W533" s="716">
        <f>IF(OR(status1B5!X228="",W$7="No aplica"),0,SUM('BOULEVARD 5'!$K226:Z226)-$AP533)</f>
        <v>-41330</v>
      </c>
      <c r="X533" s="716">
        <f>IF(OR(status1B5!Y228="",X$7="No aplica"),0,SUM('BOULEVARD 5'!$K226:AA226)-$AP533)</f>
        <v>-14575</v>
      </c>
      <c r="Y533" s="716">
        <f>IF(OR(status1B5!Z228="",Y$7="No aplica"),0,SUM('BOULEVARD 5'!$K226:AB226)-$AP533)</f>
        <v>-11075</v>
      </c>
      <c r="Z533" s="716">
        <f>IF(OR(status1B5!AA228="",Z$7="No aplica"),0,SUM('BOULEVARD 5'!$K226:AC226)-$AP533)</f>
        <v>-7575</v>
      </c>
      <c r="AA533" s="716">
        <f>IF(OR(status1B5!AB228="",AA$7="No aplica"),0,SUM('BOULEVARD 5'!$K226:AD226)-$AP533)</f>
        <v>-4075</v>
      </c>
      <c r="AB533" s="716">
        <f>IF(OR(status1B5!AC228="",AB$7="No aplica"),0,SUM('BOULEVARD 5'!$K226:AE226)-$AP533)</f>
        <v>-575</v>
      </c>
      <c r="AC533" s="716">
        <f>IF(OR(status1B5!AD228="",AC$7="No aplica"),0,SUM('BOULEVARD 5'!$K226:AF226)-$AP533)</f>
        <v>2925</v>
      </c>
      <c r="AD533" s="716">
        <f>IF(OR(status1B5!AE228="",AD$7="No aplica"),0,SUM('BOULEVARD 5'!$K226:AG226)-$AP533)</f>
        <v>6425</v>
      </c>
      <c r="AE533" s="716">
        <f>IF(OR(status1B5!AF228="",AE$7="No aplica"),0,SUM('BOULEVARD 5'!$K226:AH226)-$AP533)</f>
        <v>9925</v>
      </c>
      <c r="AF533" s="716">
        <f>IF(OR(status1B5!AG228="",AF$7="No aplica"),0,SUM('BOULEVARD 5'!$K226:AI226)-$AP533)</f>
        <v>13425</v>
      </c>
      <c r="AG533" s="716">
        <f>IF(OR(status1B5!AH228="",AG$7="No aplica"),0,SUM('BOULEVARD 5'!$K226:AJ226)-$AP533)</f>
        <v>16925</v>
      </c>
      <c r="AH533" s="716">
        <f>IF(OR(status1B5!AI228="",AH$7="No aplica"),0,SUM('BOULEVARD 5'!$K226:AK226)-$AP533)</f>
        <v>20425</v>
      </c>
      <c r="AI533" s="716">
        <f>IF(OR(status1B5!AJ228="",AI$7="No aplica"),0,SUM('BOULEVARD 5'!$K226:AL226)-$AP533)</f>
        <v>23925</v>
      </c>
      <c r="AJ533" s="716">
        <f>IF(OR(status1B5!AK228="",AJ$7="No aplica"),0,SUM('BOULEVARD 5'!$K226:AM226)-$AP533)</f>
        <v>27425</v>
      </c>
      <c r="AK533" s="716">
        <f>IF(OR(status1B5!AL228="",AK$7="No aplica"),0,SUM('BOULEVARD 5'!$K226:AN226)-$AP533)</f>
        <v>30925</v>
      </c>
      <c r="AL533" s="716">
        <f>IF(OR(status1B5!AM228="",AL$7="No aplica"),0,SUM('BOULEVARD 5'!$K226:AO226)-$AP533)</f>
        <v>30925</v>
      </c>
      <c r="AM533" s="716">
        <f>IF(OR(status1B5!AN228="",AM$7="No aplica"),0,SUM('BOULEVARD 5'!$K226:AP226)-$AP533)</f>
        <v>34425</v>
      </c>
      <c r="AN533" s="716">
        <f>IF(OR(status1B5!AO228="",AN$7="No aplica"),0,SUM('BOULEVARD 5'!$K226:AQ226)-$AP533)</f>
        <v>0</v>
      </c>
      <c r="AO533" s="716">
        <f>IF(OR(status1B5!AP228="",AO$7="No aplica"),0,SUM('BOULEVARD 5'!$K226:AS226)-$AP533)</f>
        <v>0</v>
      </c>
      <c r="AP533" s="717">
        <f>'BOULEVARD PPTO'!BC221</f>
        <v>85900</v>
      </c>
      <c r="AQ533" s="717">
        <f>'BOULEVARD 5'!AT226</f>
        <v>134825</v>
      </c>
      <c r="AR533" s="717">
        <f t="shared" si="236"/>
        <v>48925</v>
      </c>
      <c r="AS533" s="717"/>
      <c r="AT533" s="581"/>
    </row>
    <row r="534" spans="1:47" ht="13.15" customHeight="1" outlineLevel="1" x14ac:dyDescent="0.25">
      <c r="A534" s="700">
        <f t="shared" si="234"/>
        <v>0</v>
      </c>
      <c r="B534" s="713">
        <f t="shared" ref="B534:G534" si="263">B229</f>
        <v>1216</v>
      </c>
      <c r="C534" s="565" t="str">
        <f t="shared" si="263"/>
        <v>B3</v>
      </c>
      <c r="D534" s="565">
        <f t="shared" si="263"/>
        <v>0</v>
      </c>
      <c r="E534" s="564" t="str">
        <f t="shared" si="263"/>
        <v>Anahí Cisneros</v>
      </c>
      <c r="F534" s="563" t="str">
        <f t="shared" si="263"/>
        <v>Alan Gonzalez Choc</v>
      </c>
      <c r="G534" s="566">
        <f t="shared" si="263"/>
        <v>45856</v>
      </c>
      <c r="H534" s="716">
        <f>IF(OR(status1B5!I229="",H$7="No aplica"),0,SUM('BOULEVARD 5'!$K227:K227)-$AP534)</f>
        <v>0</v>
      </c>
      <c r="I534" s="716">
        <f>IF(OR(status1B5!J229="",I$7="No aplica"),0,SUM('BOULEVARD 5'!$K227:L227)-$AP534)</f>
        <v>0</v>
      </c>
      <c r="J534" s="716">
        <f>IF(OR(status1B5!K229="",J$7="No aplica"),0,SUM('BOULEVARD 5'!$K227:M227)-$AP534)</f>
        <v>0</v>
      </c>
      <c r="K534" s="716">
        <f>IF(OR(status1B5!L229="",K$7="No aplica"),0,SUM('BOULEVARD 5'!$K227:N227)-$AP534)</f>
        <v>0</v>
      </c>
      <c r="L534" s="716">
        <f>IF(OR(status1B5!M229="",L$7="No aplica"),0,SUM('BOULEVARD 5'!$K227:O227)-$AP534)</f>
        <v>0</v>
      </c>
      <c r="M534" s="716">
        <f>IF(OR(status1B5!N229="",M$7="No aplica"),0,SUM('BOULEVARD 5'!$K227:P227)-$AP534)</f>
        <v>0</v>
      </c>
      <c r="N534" s="716">
        <f>IF(OR(status1B5!O229="",N$7="No aplica"),0,SUM('BOULEVARD 5'!$K227:Q227)-$AP534)</f>
        <v>0</v>
      </c>
      <c r="O534" s="716">
        <f>IF(OR(status1B5!P229="",O$7="No aplica"),0,SUM('BOULEVARD 5'!$K227:R227)-$AP534)</f>
        <v>0</v>
      </c>
      <c r="P534" s="716">
        <f>IF(OR(status1B5!Q229="",P$7="No aplica"),0,SUM('BOULEVARD 5'!$K227:S227)-$AP534)</f>
        <v>0</v>
      </c>
      <c r="Q534" s="716">
        <f>IF(OR(status1B5!R229="",Q$7="No aplica"),0,SUM('BOULEVARD 5'!$K227:T227)-$AP534)</f>
        <v>0</v>
      </c>
      <c r="R534" s="716">
        <f>IF(OR(status1B5!S229="",R$7="No aplica"),0,SUM('BOULEVARD 5'!$K227:U227)-$AP534)</f>
        <v>0</v>
      </c>
      <c r="S534" s="716">
        <f>IF(OR(status1B5!T229="",S$7="No aplica"),0,SUM('BOULEVARD 5'!$K227:V227)-$AP534)</f>
        <v>0</v>
      </c>
      <c r="T534" s="716">
        <f>IF(OR(status1B5!U229="",T$7="No aplica"),0,SUM('BOULEVARD 5'!$K227:W227)-$AP534)</f>
        <v>0</v>
      </c>
      <c r="U534" s="716">
        <f>IF(OR(status1B5!V229="",U$7="No aplica"),0,SUM('BOULEVARD 5'!$K227:X227)-$AP534)</f>
        <v>0</v>
      </c>
      <c r="V534" s="716">
        <f>IF(OR(status1B5!W229="",V$7="No aplica"),0,SUM('BOULEVARD 5'!$K227:Y227)-$AP534)</f>
        <v>0</v>
      </c>
      <c r="W534" s="716">
        <f>IF(OR(status1B5!X229="",W$7="No aplica"),0,SUM('BOULEVARD 5'!$K227:Z227)-$AP534)</f>
        <v>0</v>
      </c>
      <c r="X534" s="716">
        <f>IF(OR(status1B5!Y229="",X$7="No aplica"),0,SUM('BOULEVARD 5'!$K227:AA227)-$AP534)</f>
        <v>0</v>
      </c>
      <c r="Y534" s="716">
        <f>IF(OR(status1B5!Z229="",Y$7="No aplica"),0,SUM('BOULEVARD 5'!$K227:AB227)-$AP534)</f>
        <v>0</v>
      </c>
      <c r="Z534" s="716">
        <f>IF(OR(status1B5!AA229="",Z$7="No aplica"),0,SUM('BOULEVARD 5'!$K227:AC227)-$AP534)</f>
        <v>0</v>
      </c>
      <c r="AA534" s="716">
        <f>IF(OR(status1B5!AB229="",AA$7="No aplica"),0,SUM('BOULEVARD 5'!$K227:AD227)-$AP534)</f>
        <v>0</v>
      </c>
      <c r="AB534" s="716">
        <f>IF(OR(status1B5!AC229="",AB$7="No aplica"),0,SUM('BOULEVARD 5'!$K227:AE227)-$AP534)</f>
        <v>0</v>
      </c>
      <c r="AC534" s="716">
        <f>IF(OR(status1B5!AD229="",AC$7="No aplica"),0,SUM('BOULEVARD 5'!$K227:AF227)-$AP534)</f>
        <v>0</v>
      </c>
      <c r="AD534" s="716">
        <f>IF(OR(status1B5!AE229="",AD$7="No aplica"),0,SUM('BOULEVARD 5'!$K227:AG227)-$AP534)</f>
        <v>0</v>
      </c>
      <c r="AE534" s="716">
        <f>IF(OR(status1B5!AF229="",AE$7="No aplica"),0,SUM('BOULEVARD 5'!$K227:AH227)-$AP534)</f>
        <v>0</v>
      </c>
      <c r="AF534" s="716">
        <f>IF(OR(status1B5!AG229="",AF$7="No aplica"),0,SUM('BOULEVARD 5'!$K227:AI227)-$AP534)</f>
        <v>0</v>
      </c>
      <c r="AG534" s="716">
        <f>IF(OR(status1B5!AH229="",AG$7="No aplica"),0,SUM('BOULEVARD 5'!$K227:AJ227)-$AP534)</f>
        <v>0</v>
      </c>
      <c r="AH534" s="716">
        <f>IF(OR(status1B5!AI229="",AH$7="No aplica"),0,SUM('BOULEVARD 5'!$K227:AK227)-$AP534)</f>
        <v>0</v>
      </c>
      <c r="AI534" s="716">
        <f>IF(OR(status1B5!AJ229="",AI$7="No aplica"),0,SUM('BOULEVARD 5'!$K227:AL227)-$AP534)</f>
        <v>0</v>
      </c>
      <c r="AJ534" s="716">
        <f>IF(OR(status1B5!AK229="",AJ$7="No aplica"),0,SUM('BOULEVARD 5'!$K227:AM227)-$AP534)</f>
        <v>-529578.07000000007</v>
      </c>
      <c r="AK534" s="716">
        <f>IF(OR(status1B5!AL229="",AK$7="No aplica"),0,SUM('BOULEVARD 5'!$K227:AN227)-$AP534)</f>
        <v>-529578.07000000007</v>
      </c>
      <c r="AL534" s="716">
        <f>IF(OR(status1B5!AM229="",AL$7="No aplica"),0,SUM('BOULEVARD 5'!$K227:AO227)-$AP534)</f>
        <v>-469031.07000000007</v>
      </c>
      <c r="AM534" s="716">
        <f>IF(OR(status1B5!AN229="",AM$7="No aplica"),0,SUM('BOULEVARD 5'!$K227:AP227)-$AP534)</f>
        <v>-437931.07000000007</v>
      </c>
      <c r="AN534" s="716">
        <f>IF(OR(status1B5!AO229="",AN$7="No aplica"),0,SUM('BOULEVARD 5'!$K227:AQ227)-$AP534)</f>
        <v>0</v>
      </c>
      <c r="AO534" s="716">
        <f>IF(OR(status1B5!AP229="",AO$7="No aplica"),0,SUM('BOULEVARD 5'!$K227:AS227)-$AP534)</f>
        <v>0</v>
      </c>
      <c r="AP534" s="717">
        <f>'BOULEVARD PPTO'!BC222</f>
        <v>1049156.1500000001</v>
      </c>
      <c r="AQ534" s="717">
        <f>'BOULEVARD 5'!AT227</f>
        <v>704525.08000000007</v>
      </c>
      <c r="AR534" s="717">
        <f t="shared" si="236"/>
        <v>-344631.07000000007</v>
      </c>
      <c r="AS534" s="717"/>
      <c r="AT534" s="581"/>
    </row>
    <row r="535" spans="1:47" ht="13.15" customHeight="1" outlineLevel="1" x14ac:dyDescent="0.25">
      <c r="A535" s="700">
        <f t="shared" si="234"/>
        <v>0</v>
      </c>
      <c r="B535" s="564">
        <f t="shared" ref="B535:G535" si="264">B230</f>
        <v>1217</v>
      </c>
      <c r="C535" s="564" t="str">
        <f t="shared" si="264"/>
        <v>D4</v>
      </c>
      <c r="D535" s="564">
        <f t="shared" si="264"/>
        <v>0</v>
      </c>
      <c r="E535" s="564" t="str">
        <f t="shared" si="264"/>
        <v>Antonio Rada</v>
      </c>
      <c r="F535" s="581" t="str">
        <f t="shared" si="264"/>
        <v>Irene Noemy Santisteban Chiguil</v>
      </c>
      <c r="G535" s="566">
        <f t="shared" si="264"/>
        <v>45391</v>
      </c>
      <c r="H535" s="716">
        <f>IF(OR(status1B5!I230="",H$7="No aplica"),0,SUM('BOULEVARD 5'!$K228:K228)-$AP535)</f>
        <v>0</v>
      </c>
      <c r="I535" s="716">
        <f>IF(OR(status1B5!J230="",I$7="No aplica"),0,SUM('BOULEVARD 5'!$K228:L228)-$AP535)</f>
        <v>0</v>
      </c>
      <c r="J535" s="716">
        <f>IF(OR(status1B5!K230="",J$7="No aplica"),0,SUM('BOULEVARD 5'!$K228:M228)-$AP535)</f>
        <v>0</v>
      </c>
      <c r="K535" s="716">
        <f>IF(OR(status1B5!L230="",K$7="No aplica"),0,SUM('BOULEVARD 5'!$K228:N228)-$AP535)</f>
        <v>0</v>
      </c>
      <c r="L535" s="716">
        <f>IF(OR(status1B5!M230="",L$7="No aplica"),0,SUM('BOULEVARD 5'!$K228:O228)-$AP535)</f>
        <v>0</v>
      </c>
      <c r="M535" s="716">
        <f>IF(OR(status1B5!N230="",M$7="No aplica"),0,SUM('BOULEVARD 5'!$K228:P228)-$AP535)</f>
        <v>0</v>
      </c>
      <c r="N535" s="716">
        <f>IF(OR(status1B5!O230="",N$7="No aplica"),0,SUM('BOULEVARD 5'!$K228:Q228)-$AP535)</f>
        <v>0</v>
      </c>
      <c r="O535" s="716">
        <f>IF(OR(status1B5!P230="",O$7="No aplica"),0,SUM('BOULEVARD 5'!$K228:R228)-$AP535)</f>
        <v>0</v>
      </c>
      <c r="P535" s="716">
        <f>IF(OR(status1B5!Q230="",P$7="No aplica"),0,SUM('BOULEVARD 5'!$K228:S228)-$AP535)</f>
        <v>0</v>
      </c>
      <c r="Q535" s="716">
        <f>IF(OR(status1B5!R230="",Q$7="No aplica"),0,SUM('BOULEVARD 5'!$K228:T228)-$AP535)</f>
        <v>0</v>
      </c>
      <c r="R535" s="716">
        <f>IF(OR(status1B5!S230="",R$7="No aplica"),0,SUM('BOULEVARD 5'!$K228:U228)-$AP535)</f>
        <v>0</v>
      </c>
      <c r="S535" s="716">
        <f>IF(OR(status1B5!T230="",S$7="No aplica"),0,SUM('BOULEVARD 5'!$K228:V228)-$AP535)</f>
        <v>0</v>
      </c>
      <c r="T535" s="716">
        <f>IF(OR(status1B5!U230="",T$7="No aplica"),0,SUM('BOULEVARD 5'!$K228:W228)-$AP535)</f>
        <v>0</v>
      </c>
      <c r="U535" s="716">
        <f>IF(OR(status1B5!V230="",U$7="No aplica"),0,SUM('BOULEVARD 5'!$K228:X228)-$AP535)</f>
        <v>-117400</v>
      </c>
      <c r="V535" s="716">
        <f>IF(OR(status1B5!W230="",V$7="No aplica"),0,SUM('BOULEVARD 5'!$K228:Y228)-$AP535)</f>
        <v>-110496</v>
      </c>
      <c r="W535" s="716">
        <f>IF(OR(status1B5!X230="",W$7="No aplica"),0,SUM('BOULEVARD 5'!$K228:Z228)-$AP535)</f>
        <v>-103592</v>
      </c>
      <c r="X535" s="716">
        <f>IF(OR(status1B5!Y230="",X$7="No aplica"),0,SUM('BOULEVARD 5'!$K228:AA228)-$AP535)</f>
        <v>-96688</v>
      </c>
      <c r="Y535" s="716">
        <f>IF(OR(status1B5!Z230="",Y$7="No aplica"),0,SUM('BOULEVARD 5'!$K228:AB228)-$AP535)</f>
        <v>-89784</v>
      </c>
      <c r="Z535" s="716">
        <f>IF(OR(status1B5!AA230="",Z$7="No aplica"),0,SUM('BOULEVARD 5'!$K228:AC228)-$AP535)</f>
        <v>-82880</v>
      </c>
      <c r="AA535" s="716">
        <f>IF(OR(status1B5!AB230="",AA$7="No aplica"),0,SUM('BOULEVARD 5'!$K228:AD228)-$AP535)</f>
        <v>-75976</v>
      </c>
      <c r="AB535" s="716">
        <f>IF(OR(status1B5!AC230="",AB$7="No aplica"),0,SUM('BOULEVARD 5'!$K228:AE228)-$AP535)</f>
        <v>-69072</v>
      </c>
      <c r="AC535" s="716">
        <f>IF(OR(status1B5!AD230="",AC$7="No aplica"),0,SUM('BOULEVARD 5'!$K228:AF228)-$AP535)</f>
        <v>-62168</v>
      </c>
      <c r="AD535" s="716">
        <f>IF(OR(status1B5!AE230="",AD$7="No aplica"),0,SUM('BOULEVARD 5'!$K228:AG228)-$AP535)</f>
        <v>-55264</v>
      </c>
      <c r="AE535" s="716">
        <f>IF(OR(status1B5!AF230="",AE$7="No aplica"),0,SUM('BOULEVARD 5'!$K228:AH228)-$AP535)</f>
        <v>-48360</v>
      </c>
      <c r="AF535" s="716">
        <f>IF(OR(status1B5!AG230="",AF$7="No aplica"),0,SUM('BOULEVARD 5'!$K228:AI228)-$AP535)</f>
        <v>-41456</v>
      </c>
      <c r="AG535" s="716">
        <f>IF(OR(status1B5!AH230="",AG$7="No aplica"),0,SUM('BOULEVARD 5'!$K228:AJ228)-$AP535)</f>
        <v>-34552</v>
      </c>
      <c r="AH535" s="716">
        <f>IF(OR(status1B5!AI230="",AH$7="No aplica"),0,SUM('BOULEVARD 5'!$K228:AK228)-$AP535)</f>
        <v>-27648</v>
      </c>
      <c r="AI535" s="716">
        <f>IF(OR(status1B5!AJ230="",AI$7="No aplica"),0,SUM('BOULEVARD 5'!$K228:AL228)-$AP535)</f>
        <v>-20744</v>
      </c>
      <c r="AJ535" s="716">
        <f>IF(OR(status1B5!AK230="",AJ$7="No aplica"),0,SUM('BOULEVARD 5'!$K228:AM228)-$AP535)</f>
        <v>-13840</v>
      </c>
      <c r="AK535" s="716">
        <f>IF(OR(status1B5!AL230="",AK$7="No aplica"),0,SUM('BOULEVARD 5'!$K228:AN228)-$AP535)</f>
        <v>-6936</v>
      </c>
      <c r="AL535" s="716">
        <f>IF(OR(status1B5!AM230="",AL$7="No aplica"),0,SUM('BOULEVARD 5'!$K228:AO228)-$AP535)</f>
        <v>0</v>
      </c>
      <c r="AM535" s="716">
        <f>IF(OR(status1B5!AN230="",AM$7="No aplica"),0,SUM('BOULEVARD 5'!$K228:AP228)-$AP535)</f>
        <v>0</v>
      </c>
      <c r="AN535" s="716">
        <f>IF(OR(status1B5!AO230="",AN$7="No aplica"),0,SUM('BOULEVARD 5'!$K228:AQ228)-$AP535)</f>
        <v>0</v>
      </c>
      <c r="AO535" s="716">
        <f>IF(OR(status1B5!AP230="",AO$7="No aplica"),0,SUM('BOULEVARD 5'!$K228:AS228)-$AP535)</f>
        <v>0</v>
      </c>
      <c r="AP535" s="717">
        <f>'BOULEVARD PPTO'!BC223</f>
        <v>125400</v>
      </c>
      <c r="AQ535" s="717">
        <f>'BOULEVARD 5'!AT228</f>
        <v>125400</v>
      </c>
      <c r="AR535" s="717">
        <f t="shared" si="236"/>
        <v>0</v>
      </c>
      <c r="AS535" s="717"/>
      <c r="AT535" s="581"/>
    </row>
    <row r="536" spans="1:47" ht="13.15" customHeight="1" outlineLevel="1" x14ac:dyDescent="0.25">
      <c r="A536" s="700">
        <f t="shared" si="234"/>
        <v>0</v>
      </c>
      <c r="B536" s="564">
        <f t="shared" ref="B536:G536" si="265">B231</f>
        <v>1218</v>
      </c>
      <c r="C536" s="564" t="str">
        <f t="shared" si="265"/>
        <v>D1</v>
      </c>
      <c r="D536" s="564">
        <f t="shared" si="265"/>
        <v>0</v>
      </c>
      <c r="E536" s="564" t="str">
        <f t="shared" si="265"/>
        <v>Diana Alvarez</v>
      </c>
      <c r="F536" s="581" t="str">
        <f t="shared" si="265"/>
        <v>Hector Ricardo Echeverria  Mendez</v>
      </c>
      <c r="G536" s="566">
        <f t="shared" si="265"/>
        <v>45614</v>
      </c>
      <c r="H536" s="716">
        <f>IF(OR(status1B5!I231="",H$7="No aplica"),0,SUM('BOULEVARD 5'!$K229:K229)-$AP536)</f>
        <v>0</v>
      </c>
      <c r="I536" s="716">
        <f>IF(OR(status1B5!J231="",I$7="No aplica"),0,SUM('BOULEVARD 5'!$K229:L229)-$AP536)</f>
        <v>0</v>
      </c>
      <c r="J536" s="716">
        <f>IF(OR(status1B5!K231="",J$7="No aplica"),0,SUM('BOULEVARD 5'!$K229:M229)-$AP536)</f>
        <v>0</v>
      </c>
      <c r="K536" s="716">
        <f>IF(OR(status1B5!L231="",K$7="No aplica"),0,SUM('BOULEVARD 5'!$K229:N229)-$AP536)</f>
        <v>0</v>
      </c>
      <c r="L536" s="716">
        <f>IF(OR(status1B5!M231="",L$7="No aplica"),0,SUM('BOULEVARD 5'!$K229:O229)-$AP536)</f>
        <v>0</v>
      </c>
      <c r="M536" s="716">
        <f>IF(OR(status1B5!N231="",M$7="No aplica"),0,SUM('BOULEVARD 5'!$K229:P229)-$AP536)</f>
        <v>0</v>
      </c>
      <c r="N536" s="716">
        <f>IF(OR(status1B5!O231="",N$7="No aplica"),0,SUM('BOULEVARD 5'!$K229:Q229)-$AP536)</f>
        <v>0</v>
      </c>
      <c r="O536" s="716">
        <f>IF(OR(status1B5!P231="",O$7="No aplica"),0,SUM('BOULEVARD 5'!$K229:R229)-$AP536)</f>
        <v>0</v>
      </c>
      <c r="P536" s="716">
        <f>IF(OR(status1B5!Q231="",P$7="No aplica"),0,SUM('BOULEVARD 5'!$K229:S229)-$AP536)</f>
        <v>0</v>
      </c>
      <c r="Q536" s="716">
        <f>IF(OR(status1B5!R231="",Q$7="No aplica"),0,SUM('BOULEVARD 5'!$K229:T229)-$AP536)</f>
        <v>0</v>
      </c>
      <c r="R536" s="716">
        <f>IF(OR(status1B5!S231="",R$7="No aplica"),0,SUM('BOULEVARD 5'!$K229:U229)-$AP536)</f>
        <v>0</v>
      </c>
      <c r="S536" s="716">
        <f>IF(OR(status1B5!T231="",S$7="No aplica"),0,SUM('BOULEVARD 5'!$K229:V229)-$AP536)</f>
        <v>0</v>
      </c>
      <c r="T536" s="716">
        <f>IF(OR(status1B5!U231="",T$7="No aplica"),0,SUM('BOULEVARD 5'!$K229:W229)-$AP536)</f>
        <v>0</v>
      </c>
      <c r="U536" s="716">
        <f>IF(OR(status1B5!V231="",U$7="No aplica"),0,SUM('BOULEVARD 5'!$K229:X229)-$AP536)</f>
        <v>0</v>
      </c>
      <c r="V536" s="716">
        <f>IF(OR(status1B5!W231="",V$7="No aplica"),0,SUM('BOULEVARD 5'!$K229:Y229)-$AP536)</f>
        <v>0</v>
      </c>
      <c r="W536" s="716">
        <f>IF(OR(status1B5!X231="",W$7="No aplica"),0,SUM('BOULEVARD 5'!$K229:Z229)-$AP536)</f>
        <v>0</v>
      </c>
      <c r="X536" s="716">
        <f>IF(OR(status1B5!Y231="",X$7="No aplica"),0,SUM('BOULEVARD 5'!$K229:AA229)-$AP536)</f>
        <v>0</v>
      </c>
      <c r="Y536" s="716">
        <f>IF(OR(status1B5!Z231="",Y$7="No aplica"),0,SUM('BOULEVARD 5'!$K229:AB229)-$AP536)</f>
        <v>0</v>
      </c>
      <c r="Z536" s="716">
        <f>IF(OR(status1B5!AA231="",Z$7="No aplica"),0,SUM('BOULEVARD 5'!$K229:AC229)-$AP536)</f>
        <v>0</v>
      </c>
      <c r="AA536" s="716">
        <f>IF(OR(status1B5!AB231="",AA$7="No aplica"),0,SUM('BOULEVARD 5'!$K229:AD229)-$AP536)</f>
        <v>0</v>
      </c>
      <c r="AB536" s="716">
        <f>IF(OR(status1B5!AC231="",AB$7="No aplica"),0,SUM('BOULEVARD 5'!$K229:AE229)-$AP536)</f>
        <v>-125092.54999999999</v>
      </c>
      <c r="AC536" s="716">
        <f>IF(OR(status1B5!AD231="",AC$7="No aplica"),0,SUM('BOULEVARD 5'!$K229:AF229)-$AP536)</f>
        <v>-125092.54999999999</v>
      </c>
      <c r="AD536" s="716">
        <f>IF(OR(status1B5!AE231="",AD$7="No aplica"),0,SUM('BOULEVARD 5'!$K229:AG229)-$AP536)</f>
        <v>-125092.54999999999</v>
      </c>
      <c r="AE536" s="716">
        <f>IF(OR(status1B5!AF231="",AE$7="No aplica"),0,SUM('BOULEVARD 5'!$K229:AH229)-$AP536)</f>
        <v>-125092.54999999999</v>
      </c>
      <c r="AF536" s="716">
        <f>IF(OR(status1B5!AG231="",AF$7="No aplica"),0,SUM('BOULEVARD 5'!$K229:AI229)-$AP536)</f>
        <v>-90342.549999999988</v>
      </c>
      <c r="AG536" s="716">
        <f>IF(OR(status1B5!AH231="",AG$7="No aplica"),0,SUM('BOULEVARD 5'!$K229:AJ229)-$AP536)</f>
        <v>-90342.549999999988</v>
      </c>
      <c r="AH536" s="716">
        <f>IF(OR(status1B5!AI231="",AH$7="No aplica"),0,SUM('BOULEVARD 5'!$K229:AK229)-$AP536)</f>
        <v>-83392.549999999988</v>
      </c>
      <c r="AI536" s="716">
        <f>IF(OR(status1B5!AJ231="",AI$7="No aplica"),0,SUM('BOULEVARD 5'!$K229:AL229)-$AP536)</f>
        <v>-76442.549999999988</v>
      </c>
      <c r="AJ536" s="716">
        <f>IF(OR(status1B5!AK231="",AJ$7="No aplica"),0,SUM('BOULEVARD 5'!$K229:AM229)-$AP536)</f>
        <v>-69492.549999999988</v>
      </c>
      <c r="AK536" s="716">
        <f>IF(OR(status1B5!AL231="",AK$7="No aplica"),0,SUM('BOULEVARD 5'!$K229:AN229)-$AP536)</f>
        <v>-62542.549999999988</v>
      </c>
      <c r="AL536" s="716">
        <f>IF(OR(status1B5!AM231="",AL$7="No aplica"),0,SUM('BOULEVARD 5'!$K229:AO229)-$AP536)</f>
        <v>-55592.549999999988</v>
      </c>
      <c r="AM536" s="716">
        <f>IF(OR(status1B5!AN231="",AM$7="No aplica"),0,SUM('BOULEVARD 5'!$K229:AP229)-$AP536)</f>
        <v>-55592.549999999988</v>
      </c>
      <c r="AN536" s="716">
        <f>IF(OR(status1B5!AO231="",AN$7="No aplica"),0,SUM('BOULEVARD 5'!$K229:AQ229)-$AP536)</f>
        <v>0</v>
      </c>
      <c r="AO536" s="716">
        <f>IF(OR(status1B5!AP231="",AO$7="No aplica"),0,SUM('BOULEVARD 5'!$K229:AS229)-$AP536)</f>
        <v>0</v>
      </c>
      <c r="AP536" s="717">
        <f>'BOULEVARD PPTO'!BC224</f>
        <v>135092.54999999999</v>
      </c>
      <c r="AQ536" s="717">
        <f>'BOULEVARD 5'!AT229</f>
        <v>93400</v>
      </c>
      <c r="AR536" s="717">
        <f t="shared" si="236"/>
        <v>-41692.549999999988</v>
      </c>
      <c r="AS536" s="717"/>
      <c r="AT536" s="581"/>
    </row>
    <row r="537" spans="1:47" ht="13.15" customHeight="1" outlineLevel="1" x14ac:dyDescent="0.25">
      <c r="A537" s="700">
        <f t="shared" si="234"/>
        <v>0</v>
      </c>
      <c r="B537" s="564">
        <f t="shared" ref="B537:G537" si="266">B232</f>
        <v>1301</v>
      </c>
      <c r="C537" s="564" t="str">
        <f t="shared" si="266"/>
        <v>D4</v>
      </c>
      <c r="D537" s="564">
        <f t="shared" si="266"/>
        <v>0</v>
      </c>
      <c r="E537" s="564" t="str">
        <f t="shared" si="266"/>
        <v>Antonio Rada</v>
      </c>
      <c r="F537" s="581" t="str">
        <f t="shared" si="266"/>
        <v>Raul Eliazar Lemus Garza</v>
      </c>
      <c r="G537" s="566">
        <f t="shared" si="266"/>
        <v>45456</v>
      </c>
      <c r="H537" s="716">
        <f>IF(OR(status1B5!I232="",H$7="No aplica"),0,SUM('BOULEVARD 5'!$K230:K230)-$AP537)</f>
        <v>0</v>
      </c>
      <c r="I537" s="716">
        <f>IF(OR(status1B5!J232="",I$7="No aplica"),0,SUM('BOULEVARD 5'!$K230:L230)-$AP537)</f>
        <v>0</v>
      </c>
      <c r="J537" s="716">
        <f>IF(OR(status1B5!K232="",J$7="No aplica"),0,SUM('BOULEVARD 5'!$K230:M230)-$AP537)</f>
        <v>0</v>
      </c>
      <c r="K537" s="716">
        <f>IF(OR(status1B5!L232="",K$7="No aplica"),0,SUM('BOULEVARD 5'!$K230:N230)-$AP537)</f>
        <v>0</v>
      </c>
      <c r="L537" s="716">
        <f>IF(OR(status1B5!M232="",L$7="No aplica"),0,SUM('BOULEVARD 5'!$K230:O230)-$AP537)</f>
        <v>0</v>
      </c>
      <c r="M537" s="716">
        <f>IF(OR(status1B5!N232="",M$7="No aplica"),0,SUM('BOULEVARD 5'!$K230:P230)-$AP537)</f>
        <v>0</v>
      </c>
      <c r="N537" s="716">
        <f>IF(OR(status1B5!O232="",N$7="No aplica"),0,SUM('BOULEVARD 5'!$K230:Q230)-$AP537)</f>
        <v>0</v>
      </c>
      <c r="O537" s="716">
        <f>IF(OR(status1B5!P232="",O$7="No aplica"),0,SUM('BOULEVARD 5'!$K230:R230)-$AP537)</f>
        <v>0</v>
      </c>
      <c r="P537" s="716">
        <f>IF(OR(status1B5!Q232="",P$7="No aplica"),0,SUM('BOULEVARD 5'!$K230:S230)-$AP537)</f>
        <v>0</v>
      </c>
      <c r="Q537" s="716">
        <f>IF(OR(status1B5!R232="",Q$7="No aplica"),0,SUM('BOULEVARD 5'!$K230:T230)-$AP537)</f>
        <v>0</v>
      </c>
      <c r="R537" s="716">
        <f>IF(OR(status1B5!S232="",R$7="No aplica"),0,SUM('BOULEVARD 5'!$K230:U230)-$AP537)</f>
        <v>0</v>
      </c>
      <c r="S537" s="716">
        <f>IF(OR(status1B5!T232="",S$7="No aplica"),0,SUM('BOULEVARD 5'!$K230:V230)-$AP537)</f>
        <v>0</v>
      </c>
      <c r="T537" s="716">
        <f>IF(OR(status1B5!U232="",T$7="No aplica"),0,SUM('BOULEVARD 5'!$K230:W230)-$AP537)</f>
        <v>0</v>
      </c>
      <c r="U537" s="716">
        <f>IF(OR(status1B5!V232="",U$7="No aplica"),0,SUM('BOULEVARD 5'!$K230:X230)-$AP537)</f>
        <v>0</v>
      </c>
      <c r="V537" s="716">
        <f>IF(OR(status1B5!W232="",V$7="No aplica"),0,SUM('BOULEVARD 5'!$K230:Y230)-$AP537)</f>
        <v>0</v>
      </c>
      <c r="W537" s="716">
        <f>IF(OR(status1B5!X232="",W$7="No aplica"),0,SUM('BOULEVARD 5'!$K230:Z230)-$AP537)</f>
        <v>-115400</v>
      </c>
      <c r="X537" s="716">
        <f>IF(OR(status1B5!Y232="",X$7="No aplica"),0,SUM('BOULEVARD 5'!$K230:AA230)-$AP537)</f>
        <v>-108989</v>
      </c>
      <c r="Y537" s="716">
        <f>IF(OR(status1B5!Z232="",Y$7="No aplica"),0,SUM('BOULEVARD 5'!$K230:AB230)-$AP537)</f>
        <v>-102578</v>
      </c>
      <c r="Z537" s="716">
        <f>IF(OR(status1B5!AA232="",Z$7="No aplica"),0,SUM('BOULEVARD 5'!$K230:AC230)-$AP537)</f>
        <v>-96167</v>
      </c>
      <c r="AA537" s="716">
        <f>IF(OR(status1B5!AB232="",AA$7="No aplica"),0,SUM('BOULEVARD 5'!$K230:AD230)-$AP537)</f>
        <v>-89756</v>
      </c>
      <c r="AB537" s="716">
        <f>IF(OR(status1B5!AC232="",AB$7="No aplica"),0,SUM('BOULEVARD 5'!$K230:AE230)-$AP537)</f>
        <v>-83345</v>
      </c>
      <c r="AC537" s="716">
        <f>IF(OR(status1B5!AD232="",AC$7="No aplica"),0,SUM('BOULEVARD 5'!$K230:AF230)-$AP537)</f>
        <v>-76934</v>
      </c>
      <c r="AD537" s="716">
        <f>IF(OR(status1B5!AE232="",AD$7="No aplica"),0,SUM('BOULEVARD 5'!$K230:AG230)-$AP537)</f>
        <v>-70523</v>
      </c>
      <c r="AE537" s="716">
        <f>IF(OR(status1B5!AF232="",AE$7="No aplica"),0,SUM('BOULEVARD 5'!$K230:AH230)-$AP537)</f>
        <v>-64112</v>
      </c>
      <c r="AF537" s="716">
        <f>IF(OR(status1B5!AG232="",AF$7="No aplica"),0,SUM('BOULEVARD 5'!$K230:AI230)-$AP537)</f>
        <v>-57701</v>
      </c>
      <c r="AG537" s="716">
        <f>IF(OR(status1B5!AH232="",AG$7="No aplica"),0,SUM('BOULEVARD 5'!$K230:AJ230)-$AP537)</f>
        <v>-51290</v>
      </c>
      <c r="AH537" s="716">
        <f>IF(OR(status1B5!AI232="",AH$7="No aplica"),0,SUM('BOULEVARD 5'!$K230:AK230)-$AP537)</f>
        <v>-44879</v>
      </c>
      <c r="AI537" s="716">
        <f>IF(OR(status1B5!AJ232="",AI$7="No aplica"),0,SUM('BOULEVARD 5'!$K230:AL230)-$AP537)</f>
        <v>-38468</v>
      </c>
      <c r="AJ537" s="716">
        <f>IF(OR(status1B5!AK232="",AJ$7="No aplica"),0,SUM('BOULEVARD 5'!$K230:AM230)-$AP537)</f>
        <v>-32057</v>
      </c>
      <c r="AK537" s="716">
        <f>IF(OR(status1B5!AL232="",AK$7="No aplica"),0,SUM('BOULEVARD 5'!$K230:AN230)-$AP537)</f>
        <v>-25646</v>
      </c>
      <c r="AL537" s="716">
        <f>IF(OR(status1B5!AM232="",AL$7="No aplica"),0,SUM('BOULEVARD 5'!$K230:AO230)-$AP537)</f>
        <v>-19235</v>
      </c>
      <c r="AM537" s="716">
        <f>IF(OR(status1B5!AN232="",AM$7="No aplica"),0,SUM('BOULEVARD 5'!$K230:AP230)-$AP537)</f>
        <v>-12824</v>
      </c>
      <c r="AN537" s="716">
        <f>IF(OR(status1B5!AO232="",AN$7="No aplica"),0,SUM('BOULEVARD 5'!$K230:AQ230)-$AP537)</f>
        <v>0</v>
      </c>
      <c r="AO537" s="716">
        <f>IF(OR(status1B5!AP232="",AO$7="No aplica"),0,SUM('BOULEVARD 5'!$K230:AS230)-$AP537)</f>
        <v>0</v>
      </c>
      <c r="AP537" s="717">
        <f>'BOULEVARD PPTO'!BC225</f>
        <v>125400</v>
      </c>
      <c r="AQ537" s="717">
        <f>'BOULEVARD 5'!AT230</f>
        <v>125400</v>
      </c>
      <c r="AR537" s="717">
        <f t="shared" si="236"/>
        <v>0</v>
      </c>
      <c r="AS537" s="717"/>
      <c r="AT537" s="581"/>
    </row>
    <row r="538" spans="1:47" ht="13.15" customHeight="1" outlineLevel="1" x14ac:dyDescent="0.25">
      <c r="A538" s="700">
        <f t="shared" si="234"/>
        <v>0</v>
      </c>
      <c r="B538" s="564">
        <f t="shared" ref="B538:G538" si="267">B233</f>
        <v>1302</v>
      </c>
      <c r="C538" s="564" t="str">
        <f t="shared" si="267"/>
        <v>D1</v>
      </c>
      <c r="D538" s="564">
        <f t="shared" si="267"/>
        <v>0</v>
      </c>
      <c r="E538" s="564" t="str">
        <f t="shared" si="267"/>
        <v>Antonio Rada</v>
      </c>
      <c r="F538" s="581" t="str">
        <f t="shared" si="267"/>
        <v>Rodolfo Godoy Lemus</v>
      </c>
      <c r="G538" s="566">
        <f t="shared" si="267"/>
        <v>45609</v>
      </c>
      <c r="H538" s="716">
        <f>IF(OR(status1B5!I233="",H$7="No aplica"),0,SUM('BOULEVARD 5'!$K231:K231)-$AP538)</f>
        <v>0</v>
      </c>
      <c r="I538" s="716">
        <f>IF(OR(status1B5!J233="",I$7="No aplica"),0,SUM('BOULEVARD 5'!$K231:L231)-$AP538)</f>
        <v>0</v>
      </c>
      <c r="J538" s="716">
        <f>IF(OR(status1B5!K233="",J$7="No aplica"),0,SUM('BOULEVARD 5'!$K231:M231)-$AP538)</f>
        <v>0</v>
      </c>
      <c r="K538" s="716">
        <f>IF(OR(status1B5!L233="",K$7="No aplica"),0,SUM('BOULEVARD 5'!$K231:N231)-$AP538)</f>
        <v>0</v>
      </c>
      <c r="L538" s="716">
        <f>IF(OR(status1B5!M233="",L$7="No aplica"),0,SUM('BOULEVARD 5'!$K231:O231)-$AP538)</f>
        <v>0</v>
      </c>
      <c r="M538" s="716">
        <f>IF(OR(status1B5!N233="",M$7="No aplica"),0,SUM('BOULEVARD 5'!$K231:P231)-$AP538)</f>
        <v>0</v>
      </c>
      <c r="N538" s="716">
        <f>IF(OR(status1B5!O233="",N$7="No aplica"),0,SUM('BOULEVARD 5'!$K231:Q231)-$AP538)</f>
        <v>0</v>
      </c>
      <c r="O538" s="716">
        <f>IF(OR(status1B5!P233="",O$7="No aplica"),0,SUM('BOULEVARD 5'!$K231:R231)-$AP538)</f>
        <v>0</v>
      </c>
      <c r="P538" s="716">
        <f>IF(OR(status1B5!Q233="",P$7="No aplica"),0,SUM('BOULEVARD 5'!$K231:S231)-$AP538)</f>
        <v>0</v>
      </c>
      <c r="Q538" s="716">
        <f>IF(OR(status1B5!R233="",Q$7="No aplica"),0,SUM('BOULEVARD 5'!$K231:T231)-$AP538)</f>
        <v>0</v>
      </c>
      <c r="R538" s="716">
        <f>IF(OR(status1B5!S233="",R$7="No aplica"),0,SUM('BOULEVARD 5'!$K231:U231)-$AP538)</f>
        <v>0</v>
      </c>
      <c r="S538" s="716">
        <f>IF(OR(status1B5!T233="",S$7="No aplica"),0,SUM('BOULEVARD 5'!$K231:V231)-$AP538)</f>
        <v>0</v>
      </c>
      <c r="T538" s="716">
        <f>IF(OR(status1B5!U233="",T$7="No aplica"),0,SUM('BOULEVARD 5'!$K231:W231)-$AP538)</f>
        <v>0</v>
      </c>
      <c r="U538" s="716">
        <f>IF(OR(status1B5!V233="",U$7="No aplica"),0,SUM('BOULEVARD 5'!$K231:X231)-$AP538)</f>
        <v>0</v>
      </c>
      <c r="V538" s="716">
        <f>IF(OR(status1B5!W233="",V$7="No aplica"),0,SUM('BOULEVARD 5'!$K231:Y231)-$AP538)</f>
        <v>0</v>
      </c>
      <c r="W538" s="716">
        <f>IF(OR(status1B5!X233="",W$7="No aplica"),0,SUM('BOULEVARD 5'!$K231:Z231)-$AP538)</f>
        <v>0</v>
      </c>
      <c r="X538" s="716">
        <f>IF(OR(status1B5!Y233="",X$7="No aplica"),0,SUM('BOULEVARD 5'!$K231:AA231)-$AP538)</f>
        <v>0</v>
      </c>
      <c r="Y538" s="716">
        <f>IF(OR(status1B5!Z233="",Y$7="No aplica"),0,SUM('BOULEVARD 5'!$K231:AB231)-$AP538)</f>
        <v>0</v>
      </c>
      <c r="Z538" s="716">
        <f>IF(OR(status1B5!AA233="",Z$7="No aplica"),0,SUM('BOULEVARD 5'!$K231:AC231)-$AP538)</f>
        <v>0</v>
      </c>
      <c r="AA538" s="716">
        <f>IF(OR(status1B5!AB233="",AA$7="No aplica"),0,SUM('BOULEVARD 5'!$K231:AD231)-$AP538)</f>
        <v>0</v>
      </c>
      <c r="AB538" s="716">
        <f>IF(OR(status1B5!AC233="",AB$7="No aplica"),0,SUM('BOULEVARD 5'!$K231:AE231)-$AP538)</f>
        <v>-125125.53</v>
      </c>
      <c r="AC538" s="716">
        <f>IF(OR(status1B5!AD233="",AC$7="No aplica"),0,SUM('BOULEVARD 5'!$K231:AF231)-$AP538)</f>
        <v>-125125.53</v>
      </c>
      <c r="AD538" s="716">
        <f>IF(OR(status1B5!AE233="",AD$7="No aplica"),0,SUM('BOULEVARD 5'!$K231:AG231)-$AP538)</f>
        <v>-125125.53</v>
      </c>
      <c r="AE538" s="716">
        <f>IF(OR(status1B5!AF233="",AE$7="No aplica"),0,SUM('BOULEVARD 5'!$K231:AH231)-$AP538)</f>
        <v>-118174.53</v>
      </c>
      <c r="AF538" s="716">
        <f>IF(OR(status1B5!AG233="",AF$7="No aplica"),0,SUM('BOULEVARD 5'!$K231:AI231)-$AP538)</f>
        <v>-111224.53</v>
      </c>
      <c r="AG538" s="716">
        <f>IF(OR(status1B5!AH233="",AG$7="No aplica"),0,SUM('BOULEVARD 5'!$K231:AJ231)-$AP538)</f>
        <v>-111224.53</v>
      </c>
      <c r="AH538" s="716">
        <f>IF(OR(status1B5!AI233="",AH$7="No aplica"),0,SUM('BOULEVARD 5'!$K231:AK231)-$AP538)</f>
        <v>-69518.53</v>
      </c>
      <c r="AI538" s="716">
        <f>IF(OR(status1B5!AJ233="",AI$7="No aplica"),0,SUM('BOULEVARD 5'!$K231:AL231)-$AP538)</f>
        <v>-69518.53</v>
      </c>
      <c r="AJ538" s="716">
        <f>IF(OR(status1B5!AK233="",AJ$7="No aplica"),0,SUM('BOULEVARD 5'!$K231:AM231)-$AP538)</f>
        <v>-62567.53</v>
      </c>
      <c r="AK538" s="716">
        <f>IF(OR(status1B5!AL233="",AK$7="No aplica"),0,SUM('BOULEVARD 5'!$K231:AN231)-$AP538)</f>
        <v>-62567.53</v>
      </c>
      <c r="AL538" s="716">
        <f>IF(OR(status1B5!AM233="",AL$7="No aplica"),0,SUM('BOULEVARD 5'!$K231:AO231)-$AP538)</f>
        <v>-55616.53</v>
      </c>
      <c r="AM538" s="716">
        <f>IF(OR(status1B5!AN233="",AM$7="No aplica"),0,SUM('BOULEVARD 5'!$K231:AP231)-$AP538)</f>
        <v>-41714.53</v>
      </c>
      <c r="AN538" s="716">
        <f>IF(OR(status1B5!AO233="",AN$7="No aplica"),0,SUM('BOULEVARD 5'!$K231:AQ231)-$AP538)</f>
        <v>0</v>
      </c>
      <c r="AO538" s="716">
        <f>IF(OR(status1B5!AP233="",AO$7="No aplica"),0,SUM('BOULEVARD 5'!$K231:AS231)-$AP538)</f>
        <v>0</v>
      </c>
      <c r="AP538" s="717">
        <f>'BOULEVARD PPTO'!BC226</f>
        <v>135125.53</v>
      </c>
      <c r="AQ538" s="717">
        <f>'BOULEVARD 5'!AT231</f>
        <v>107313</v>
      </c>
      <c r="AR538" s="717">
        <f t="shared" si="236"/>
        <v>-27812.53</v>
      </c>
      <c r="AS538" s="717"/>
      <c r="AT538" s="581"/>
    </row>
    <row r="539" spans="1:47" ht="13.15" customHeight="1" outlineLevel="1" x14ac:dyDescent="0.25">
      <c r="A539" s="700">
        <f t="shared" si="234"/>
        <v>0</v>
      </c>
      <c r="B539" s="564">
        <f t="shared" ref="B539:G539" si="268">B234</f>
        <v>1303</v>
      </c>
      <c r="C539" s="564" t="str">
        <f t="shared" si="268"/>
        <v>B4</v>
      </c>
      <c r="D539" s="564">
        <f t="shared" si="268"/>
        <v>0</v>
      </c>
      <c r="E539" s="564" t="str">
        <f t="shared" si="268"/>
        <v>Antonio Rada</v>
      </c>
      <c r="F539" s="581" t="str">
        <f t="shared" si="268"/>
        <v>Ricardo Fernando Linares Perez</v>
      </c>
      <c r="G539" s="566">
        <f t="shared" si="268"/>
        <v>45144</v>
      </c>
      <c r="H539" s="716">
        <f>IF(OR(status1B5!I234="",H$7="No aplica"),0,SUM('BOULEVARD 5'!$K232:K232)-$AP539)</f>
        <v>0</v>
      </c>
      <c r="I539" s="716">
        <f>IF(OR(status1B5!J234="",I$7="No aplica"),0,SUM('BOULEVARD 5'!$K232:L232)-$AP539)</f>
        <v>0</v>
      </c>
      <c r="J539" s="716">
        <f>IF(OR(status1B5!K234="",J$7="No aplica"),0,SUM('BOULEVARD 5'!$K232:M232)-$AP539)</f>
        <v>0</v>
      </c>
      <c r="K539" s="716">
        <f>IF(OR(status1B5!L234="",K$7="No aplica"),0,SUM('BOULEVARD 5'!$K232:N232)-$AP539)</f>
        <v>0</v>
      </c>
      <c r="L539" s="716">
        <f>IF(OR(status1B5!M234="",L$7="No aplica"),0,SUM('BOULEVARD 5'!$K232:O232)-$AP539)</f>
        <v>0</v>
      </c>
      <c r="M539" s="716">
        <f>IF(OR(status1B5!N234="",M$7="No aplica"),0,SUM('BOULEVARD 5'!$K232:P232)-$AP539)</f>
        <v>-84200</v>
      </c>
      <c r="N539" s="716">
        <f>IF(OR(status1B5!O234="",N$7="No aplica"),0,SUM('BOULEVARD 5'!$K232:Q232)-$AP539)</f>
        <v>-80832</v>
      </c>
      <c r="O539" s="716">
        <f>IF(OR(status1B5!P234="",O$7="No aplica"),0,SUM('BOULEVARD 5'!$K232:R232)-$AP539)</f>
        <v>-77464</v>
      </c>
      <c r="P539" s="716">
        <f>IF(OR(status1B5!Q234="",P$7="No aplica"),0,SUM('BOULEVARD 5'!$K232:S232)-$AP539)</f>
        <v>-74096</v>
      </c>
      <c r="Q539" s="716">
        <f>IF(OR(status1B5!R234="",Q$7="No aplica"),0,SUM('BOULEVARD 5'!$K232:T232)-$AP539)</f>
        <v>-70728</v>
      </c>
      <c r="R539" s="716">
        <f>IF(OR(status1B5!S234="",R$7="No aplica"),0,SUM('BOULEVARD 5'!$K232:U232)-$AP539)</f>
        <v>-67360</v>
      </c>
      <c r="S539" s="716">
        <f>IF(OR(status1B5!T234="",S$7="No aplica"),0,SUM('BOULEVARD 5'!$K232:V232)-$AP539)</f>
        <v>-63992</v>
      </c>
      <c r="T539" s="716">
        <f>IF(OR(status1B5!U234="",T$7="No aplica"),0,SUM('BOULEVARD 5'!$K232:W232)-$AP539)</f>
        <v>-60624</v>
      </c>
      <c r="U539" s="716">
        <f>IF(OR(status1B5!V234="",U$7="No aplica"),0,SUM('BOULEVARD 5'!$K232:X232)-$AP539)</f>
        <v>-57256</v>
      </c>
      <c r="V539" s="716">
        <f>IF(OR(status1B5!W234="",V$7="No aplica"),0,SUM('BOULEVARD 5'!$K232:Y232)-$AP539)</f>
        <v>-53888</v>
      </c>
      <c r="W539" s="716">
        <f>IF(OR(status1B5!X234="",W$7="No aplica"),0,SUM('BOULEVARD 5'!$K232:Z232)-$AP539)</f>
        <v>-50520</v>
      </c>
      <c r="X539" s="716">
        <f>IF(OR(status1B5!Y234="",X$7="No aplica"),0,SUM('BOULEVARD 5'!$K232:AA232)-$AP539)</f>
        <v>-47152</v>
      </c>
      <c r="Y539" s="716">
        <f>IF(OR(status1B5!Z234="",Y$7="No aplica"),0,SUM('BOULEVARD 5'!$K232:AB232)-$AP539)</f>
        <v>-43784</v>
      </c>
      <c r="Z539" s="716">
        <f>IF(OR(status1B5!AA234="",Z$7="No aplica"),0,SUM('BOULEVARD 5'!$K232:AC232)-$AP539)</f>
        <v>-40416</v>
      </c>
      <c r="AA539" s="716">
        <f>IF(OR(status1B5!AB234="",AA$7="No aplica"),0,SUM('BOULEVARD 5'!$K232:AD232)-$AP539)</f>
        <v>-37048</v>
      </c>
      <c r="AB539" s="716">
        <f>IF(OR(status1B5!AC234="",AB$7="No aplica"),0,SUM('BOULEVARD 5'!$K232:AE232)-$AP539)</f>
        <v>-33680</v>
      </c>
      <c r="AC539" s="716">
        <f>IF(OR(status1B5!AD234="",AC$7="No aplica"),0,SUM('BOULEVARD 5'!$K232:AF232)-$AP539)</f>
        <v>-30312</v>
      </c>
      <c r="AD539" s="716">
        <f>IF(OR(status1B5!AE234="",AD$7="No aplica"),0,SUM('BOULEVARD 5'!$K232:AG232)-$AP539)</f>
        <v>-26944</v>
      </c>
      <c r="AE539" s="716">
        <f>IF(OR(status1B5!AF234="",AE$7="No aplica"),0,SUM('BOULEVARD 5'!$K232:AH232)-$AP539)</f>
        <v>-23576</v>
      </c>
      <c r="AF539" s="716">
        <f>IF(OR(status1B5!AG234="",AF$7="No aplica"),0,SUM('BOULEVARD 5'!$K232:AI232)-$AP539)</f>
        <v>-20208</v>
      </c>
      <c r="AG539" s="716">
        <f>IF(OR(status1B5!AH234="",AG$7="No aplica"),0,SUM('BOULEVARD 5'!$K232:AJ232)-$AP539)</f>
        <v>-16840</v>
      </c>
      <c r="AH539" s="716">
        <f>IF(OR(status1B5!AI234="",AH$7="No aplica"),0,SUM('BOULEVARD 5'!$K232:AK232)-$AP539)</f>
        <v>-13472</v>
      </c>
      <c r="AI539" s="716">
        <f>IF(OR(status1B5!AJ234="",AI$7="No aplica"),0,SUM('BOULEVARD 5'!$K232:AL232)-$AP539)</f>
        <v>-13472</v>
      </c>
      <c r="AJ539" s="716">
        <f>IF(OR(status1B5!AK234="",AJ$7="No aplica"),0,SUM('BOULEVARD 5'!$K232:AM232)-$AP539)</f>
        <v>-6736</v>
      </c>
      <c r="AK539" s="716">
        <f>IF(OR(status1B5!AL234="",AK$7="No aplica"),0,SUM('BOULEVARD 5'!$K232:AN232)-$AP539)</f>
        <v>-3368</v>
      </c>
      <c r="AL539" s="716">
        <f>IF(OR(status1B5!AM234="",AL$7="No aplica"),0,SUM('BOULEVARD 5'!$K232:AO232)-$AP539)</f>
        <v>0</v>
      </c>
      <c r="AM539" s="716">
        <f>IF(OR(status1B5!AN234="",AM$7="No aplica"),0,SUM('BOULEVARD 5'!$K232:AP232)-$AP539)</f>
        <v>0</v>
      </c>
      <c r="AN539" s="716">
        <f>IF(OR(status1B5!AO234="",AN$7="No aplica"),0,SUM('BOULEVARD 5'!$K232:AQ232)-$AP539)</f>
        <v>0</v>
      </c>
      <c r="AO539" s="716">
        <f>IF(OR(status1B5!AP234="",AO$7="No aplica"),0,SUM('BOULEVARD 5'!$K232:AS232)-$AP539)</f>
        <v>0</v>
      </c>
      <c r="AP539" s="717">
        <f>'BOULEVARD PPTO'!BC227</f>
        <v>90200</v>
      </c>
      <c r="AQ539" s="717">
        <f>'BOULEVARD 5'!AT232</f>
        <v>90200</v>
      </c>
      <c r="AR539" s="717">
        <f t="shared" si="236"/>
        <v>0</v>
      </c>
      <c r="AS539" s="717"/>
      <c r="AT539" s="581"/>
    </row>
    <row r="540" spans="1:47" ht="13.15" customHeight="1" outlineLevel="1" x14ac:dyDescent="0.25">
      <c r="A540" s="700">
        <f t="shared" si="234"/>
        <v>0</v>
      </c>
      <c r="B540" s="564">
        <f t="shared" ref="B540:G540" si="269">B235</f>
        <v>1304</v>
      </c>
      <c r="C540" s="564" t="str">
        <f t="shared" si="269"/>
        <v>B3</v>
      </c>
      <c r="D540" s="564">
        <f t="shared" si="269"/>
        <v>0</v>
      </c>
      <c r="E540" s="564" t="str">
        <f t="shared" si="269"/>
        <v>Antonio Rada</v>
      </c>
      <c r="F540" s="581" t="str">
        <f t="shared" si="269"/>
        <v>Shirley Hilene Recinos</v>
      </c>
      <c r="G540" s="566">
        <f t="shared" si="269"/>
        <v>45223</v>
      </c>
      <c r="H540" s="716">
        <f>IF(OR(status1B5!I235="",H$7="No aplica"),0,SUM('BOULEVARD 5'!$K233:K233)-$AP540)</f>
        <v>0</v>
      </c>
      <c r="I540" s="716">
        <f>IF(OR(status1B5!J235="",I$7="No aplica"),0,SUM('BOULEVARD 5'!$K233:L233)-$AP540)</f>
        <v>0</v>
      </c>
      <c r="J540" s="716">
        <f>IF(OR(status1B5!K235="",J$7="No aplica"),0,SUM('BOULEVARD 5'!$K233:M233)-$AP540)</f>
        <v>0</v>
      </c>
      <c r="K540" s="716">
        <f>IF(OR(status1B5!L235="",K$7="No aplica"),0,SUM('BOULEVARD 5'!$K233:N233)-$AP540)</f>
        <v>0</v>
      </c>
      <c r="L540" s="716">
        <f>IF(OR(status1B5!M235="",L$7="No aplica"),0,SUM('BOULEVARD 5'!$K233:O233)-$AP540)</f>
        <v>0</v>
      </c>
      <c r="M540" s="716">
        <f>IF(OR(status1B5!N235="",M$7="No aplica"),0,SUM('BOULEVARD 5'!$K233:P233)-$AP540)</f>
        <v>0</v>
      </c>
      <c r="N540" s="716">
        <f>IF(OR(status1B5!O235="",N$7="No aplica"),0,SUM('BOULEVARD 5'!$K233:Q233)-$AP540)</f>
        <v>0</v>
      </c>
      <c r="O540" s="716">
        <f>IF(OR(status1B5!P235="",O$7="No aplica"),0,SUM('BOULEVARD 5'!$K233:R233)-$AP540)</f>
        <v>-83981.06</v>
      </c>
      <c r="P540" s="716">
        <f>IF(OR(status1B5!Q235="",P$7="No aplica"),0,SUM('BOULEVARD 5'!$K233:S233)-$AP540)</f>
        <v>-80330.06</v>
      </c>
      <c r="Q540" s="716">
        <f>IF(OR(status1B5!R235="",Q$7="No aplica"),0,SUM('BOULEVARD 5'!$K233:T233)-$AP540)</f>
        <v>-76679.06</v>
      </c>
      <c r="R540" s="716">
        <f>IF(OR(status1B5!S235="",R$7="No aplica"),0,SUM('BOULEVARD 5'!$K233:U233)-$AP540)</f>
        <v>-73028.06</v>
      </c>
      <c r="S540" s="716">
        <f>IF(OR(status1B5!T235="",S$7="No aplica"),0,SUM('BOULEVARD 5'!$K233:V233)-$AP540)</f>
        <v>-69377.06</v>
      </c>
      <c r="T540" s="716">
        <f>IF(OR(status1B5!U235="",T$7="No aplica"),0,SUM('BOULEVARD 5'!$K233:W233)-$AP540)</f>
        <v>-69377.06</v>
      </c>
      <c r="U540" s="716">
        <f>IF(OR(status1B5!V235="",U$7="No aplica"),0,SUM('BOULEVARD 5'!$K233:X233)-$AP540)</f>
        <v>-62075.06</v>
      </c>
      <c r="V540" s="716">
        <f>IF(OR(status1B5!W235="",V$7="No aplica"),0,SUM('BOULEVARD 5'!$K233:Y233)-$AP540)</f>
        <v>-62075.06</v>
      </c>
      <c r="W540" s="716">
        <f>IF(OR(status1B5!X235="",W$7="No aplica"),0,SUM('BOULEVARD 5'!$K233:Z233)-$AP540)</f>
        <v>-58424.06</v>
      </c>
      <c r="X540" s="716">
        <f>IF(OR(status1B5!Y235="",X$7="No aplica"),0,SUM('BOULEVARD 5'!$K233:AA233)-$AP540)</f>
        <v>-51122.06</v>
      </c>
      <c r="Y540" s="716">
        <f>IF(OR(status1B5!Z235="",Y$7="No aplica"),0,SUM('BOULEVARD 5'!$K233:AB233)-$AP540)</f>
        <v>-47471.06</v>
      </c>
      <c r="Z540" s="716">
        <f>IF(OR(status1B5!AA235="",Z$7="No aplica"),0,SUM('BOULEVARD 5'!$K233:AC233)-$AP540)</f>
        <v>-43820.06</v>
      </c>
      <c r="AA540" s="716">
        <f>IF(OR(status1B5!AB235="",AA$7="No aplica"),0,SUM('BOULEVARD 5'!$K233:AD233)-$AP540)</f>
        <v>-40169.06</v>
      </c>
      <c r="AB540" s="716">
        <f>IF(OR(status1B5!AC235="",AB$7="No aplica"),0,SUM('BOULEVARD 5'!$K233:AE233)-$AP540)</f>
        <v>-36518.06</v>
      </c>
      <c r="AC540" s="716">
        <f>IF(OR(status1B5!AD235="",AC$7="No aplica"),0,SUM('BOULEVARD 5'!$K233:AF233)-$AP540)</f>
        <v>-32867.06</v>
      </c>
      <c r="AD540" s="716">
        <f>IF(OR(status1B5!AE235="",AD$7="No aplica"),0,SUM('BOULEVARD 5'!$K233:AG233)-$AP540)</f>
        <v>-32867.06</v>
      </c>
      <c r="AE540" s="716">
        <f>IF(OR(status1B5!AF235="",AE$7="No aplica"),0,SUM('BOULEVARD 5'!$K233:AH233)-$AP540)</f>
        <v>-25565.059999999998</v>
      </c>
      <c r="AF540" s="716">
        <f>IF(OR(status1B5!AG235="",AF$7="No aplica"),0,SUM('BOULEVARD 5'!$K233:AI233)-$AP540)</f>
        <v>-21914.059999999998</v>
      </c>
      <c r="AG540" s="716">
        <f>IF(OR(status1B5!AH235="",AG$7="No aplica"),0,SUM('BOULEVARD 5'!$K233:AJ233)-$AP540)</f>
        <v>-18263.059999999998</v>
      </c>
      <c r="AH540" s="716">
        <f>IF(OR(status1B5!AI235="",AH$7="No aplica"),0,SUM('BOULEVARD 5'!$K233:AK233)-$AP540)</f>
        <v>-14612.059999999998</v>
      </c>
      <c r="AI540" s="716">
        <f>IF(OR(status1B5!AJ235="",AI$7="No aplica"),0,SUM('BOULEVARD 5'!$K233:AL233)-$AP540)</f>
        <v>-10961.059999999998</v>
      </c>
      <c r="AJ540" s="716">
        <f>IF(OR(status1B5!AK235="",AJ$7="No aplica"),0,SUM('BOULEVARD 5'!$K233:AM233)-$AP540)</f>
        <v>-7310.0599999999977</v>
      </c>
      <c r="AK540" s="716">
        <f>IF(OR(status1B5!AL235="",AK$7="No aplica"),0,SUM('BOULEVARD 5'!$K233:AN233)-$AP540)</f>
        <v>-3659.0599999999977</v>
      </c>
      <c r="AL540" s="716">
        <f>IF(OR(status1B5!AM235="",AL$7="No aplica"),0,SUM('BOULEVARD 5'!$K233:AO233)-$AP540)</f>
        <v>0</v>
      </c>
      <c r="AM540" s="716">
        <f>IF(OR(status1B5!AN235="",AM$7="No aplica"),0,SUM('BOULEVARD 5'!$K233:AP233)-$AP540)</f>
        <v>0</v>
      </c>
      <c r="AN540" s="716">
        <f>IF(OR(status1B5!AO235="",AN$7="No aplica"),0,SUM('BOULEVARD 5'!$K233:AQ233)-$AP540)</f>
        <v>0</v>
      </c>
      <c r="AO540" s="716">
        <f>IF(OR(status1B5!AP235="",AO$7="No aplica"),0,SUM('BOULEVARD 5'!$K233:AS233)-$AP540)</f>
        <v>0</v>
      </c>
      <c r="AP540" s="717">
        <f>'BOULEVARD PPTO'!BC228</f>
        <v>87981.06</v>
      </c>
      <c r="AQ540" s="717">
        <f>'BOULEVARD 5'!AT233</f>
        <v>87981.06</v>
      </c>
      <c r="AR540" s="717">
        <f t="shared" si="236"/>
        <v>0</v>
      </c>
      <c r="AS540" s="717"/>
      <c r="AT540" s="581"/>
    </row>
    <row r="541" spans="1:47" ht="13.15" customHeight="1" outlineLevel="1" x14ac:dyDescent="0.25">
      <c r="A541" s="700">
        <f t="shared" si="234"/>
        <v>0</v>
      </c>
      <c r="B541" s="564">
        <f t="shared" ref="B541:G541" si="270">B236</f>
        <v>1305</v>
      </c>
      <c r="C541" s="564" t="str">
        <f t="shared" si="270"/>
        <v>A6</v>
      </c>
      <c r="D541" s="564">
        <f t="shared" si="270"/>
        <v>0</v>
      </c>
      <c r="E541" s="564" t="str">
        <f t="shared" si="270"/>
        <v>Antonio Rada</v>
      </c>
      <c r="F541" s="581" t="str">
        <f t="shared" si="270"/>
        <v>Jose Salvador Franco Rosales</v>
      </c>
      <c r="G541" s="566">
        <f t="shared" si="270"/>
        <v>45779</v>
      </c>
      <c r="H541" s="716">
        <f>IF(OR(status1B5!I236="",H$7="No aplica"),0,SUM('BOULEVARD 5'!$K234:K234)-$AP541)</f>
        <v>0</v>
      </c>
      <c r="I541" s="716">
        <f>IF(OR(status1B5!J236="",I$7="No aplica"),0,SUM('BOULEVARD 5'!$K234:L234)-$AP541)</f>
        <v>0</v>
      </c>
      <c r="J541" s="716">
        <f>IF(OR(status1B5!K236="",J$7="No aplica"),0,SUM('BOULEVARD 5'!$K234:M234)-$AP541)</f>
        <v>0</v>
      </c>
      <c r="K541" s="716">
        <f>IF(OR(status1B5!L236="",K$7="No aplica"),0,SUM('BOULEVARD 5'!$K234:N234)-$AP541)</f>
        <v>0</v>
      </c>
      <c r="L541" s="716">
        <f>IF(OR(status1B5!M236="",L$7="No aplica"),0,SUM('BOULEVARD 5'!$K234:O234)-$AP541)</f>
        <v>0</v>
      </c>
      <c r="M541" s="716">
        <f>IF(OR(status1B5!N236="",M$7="No aplica"),0,SUM('BOULEVARD 5'!$K234:P234)-$AP541)</f>
        <v>0</v>
      </c>
      <c r="N541" s="716">
        <f>IF(OR(status1B5!O236="",N$7="No aplica"),0,SUM('BOULEVARD 5'!$K234:Q234)-$AP541)</f>
        <v>0</v>
      </c>
      <c r="O541" s="716">
        <f>IF(OR(status1B5!P236="",O$7="No aplica"),0,SUM('BOULEVARD 5'!$K234:R234)-$AP541)</f>
        <v>0</v>
      </c>
      <c r="P541" s="716">
        <f>IF(OR(status1B5!Q236="",P$7="No aplica"),0,SUM('BOULEVARD 5'!$K234:S234)-$AP541)</f>
        <v>0</v>
      </c>
      <c r="Q541" s="716">
        <f>IF(OR(status1B5!R236="",Q$7="No aplica"),0,SUM('BOULEVARD 5'!$K234:T234)-$AP541)</f>
        <v>0</v>
      </c>
      <c r="R541" s="716">
        <f>IF(OR(status1B5!S236="",R$7="No aplica"),0,SUM('BOULEVARD 5'!$K234:U234)-$AP541)</f>
        <v>0</v>
      </c>
      <c r="S541" s="716">
        <f>IF(OR(status1B5!T236="",S$7="No aplica"),0,SUM('BOULEVARD 5'!$K234:V234)-$AP541)</f>
        <v>0</v>
      </c>
      <c r="T541" s="716">
        <f>IF(OR(status1B5!U236="",T$7="No aplica"),0,SUM('BOULEVARD 5'!$K234:W234)-$AP541)</f>
        <v>0</v>
      </c>
      <c r="U541" s="716">
        <f>IF(OR(status1B5!V236="",U$7="No aplica"),0,SUM('BOULEVARD 5'!$K234:X234)-$AP541)</f>
        <v>0</v>
      </c>
      <c r="V541" s="716">
        <f>IF(OR(status1B5!W236="",V$7="No aplica"),0,SUM('BOULEVARD 5'!$K234:Y234)-$AP541)</f>
        <v>0</v>
      </c>
      <c r="W541" s="716">
        <f>IF(OR(status1B5!X236="",W$7="No aplica"),0,SUM('BOULEVARD 5'!$K234:Z234)-$AP541)</f>
        <v>0</v>
      </c>
      <c r="X541" s="716">
        <f>IF(OR(status1B5!Y236="",X$7="No aplica"),0,SUM('BOULEVARD 5'!$K234:AA234)-$AP541)</f>
        <v>0</v>
      </c>
      <c r="Y541" s="716">
        <f>IF(OR(status1B5!Z236="",Y$7="No aplica"),0,SUM('BOULEVARD 5'!$K234:AB234)-$AP541)</f>
        <v>0</v>
      </c>
      <c r="Z541" s="716">
        <f>IF(OR(status1B5!AA236="",Z$7="No aplica"),0,SUM('BOULEVARD 5'!$K234:AC234)-$AP541)</f>
        <v>0</v>
      </c>
      <c r="AA541" s="716">
        <f>IF(OR(status1B5!AB236="",AA$7="No aplica"),0,SUM('BOULEVARD 5'!$K234:AD234)-$AP541)</f>
        <v>0</v>
      </c>
      <c r="AB541" s="716">
        <f>IF(OR(status1B5!AC236="",AB$7="No aplica"),0,SUM('BOULEVARD 5'!$K234:AE234)-$AP541)</f>
        <v>0</v>
      </c>
      <c r="AC541" s="716">
        <f>IF(OR(status1B5!AD236="",AC$7="No aplica"),0,SUM('BOULEVARD 5'!$K234:AF234)-$AP541)</f>
        <v>0</v>
      </c>
      <c r="AD541" s="716">
        <f>IF(OR(status1B5!AE236="",AD$7="No aplica"),0,SUM('BOULEVARD 5'!$K234:AG234)-$AP541)</f>
        <v>0</v>
      </c>
      <c r="AE541" s="716">
        <f>IF(OR(status1B5!AF236="",AE$7="No aplica"),0,SUM('BOULEVARD 5'!$K234:AH234)-$AP541)</f>
        <v>0</v>
      </c>
      <c r="AF541" s="716">
        <f>IF(OR(status1B5!AG236="",AF$7="No aplica"),0,SUM('BOULEVARD 5'!$K234:AI234)-$AP541)</f>
        <v>0</v>
      </c>
      <c r="AG541" s="716">
        <f>IF(OR(status1B5!AH236="",AG$7="No aplica"),0,SUM('BOULEVARD 5'!$K234:AJ234)-$AP541)</f>
        <v>0</v>
      </c>
      <c r="AH541" s="716">
        <f>IF(OR(status1B5!AI236="",AH$7="No aplica"),0,SUM('BOULEVARD 5'!$K234:AK234)-$AP541)</f>
        <v>-56400</v>
      </c>
      <c r="AI541" s="716">
        <f>IF(OR(status1B5!AJ236="",AI$7="No aplica"),0,SUM('BOULEVARD 5'!$K234:AL234)-$AP541)</f>
        <v>-50783</v>
      </c>
      <c r="AJ541" s="716">
        <f>IF(OR(status1B5!AK236="",AJ$7="No aplica"),0,SUM('BOULEVARD 5'!$K234:AM234)-$AP541)</f>
        <v>-45166</v>
      </c>
      <c r="AK541" s="716">
        <f>IF(OR(status1B5!AL236="",AK$7="No aplica"),0,SUM('BOULEVARD 5'!$K234:AN234)-$AP541)</f>
        <v>-39549</v>
      </c>
      <c r="AL541" s="716">
        <f>IF(OR(status1B5!AM236="",AL$7="No aplica"),0,SUM('BOULEVARD 5'!$K234:AO234)-$AP541)</f>
        <v>-33932</v>
      </c>
      <c r="AM541" s="716">
        <f>IF(OR(status1B5!AN236="",AM$7="No aplica"),0,SUM('BOULEVARD 5'!$K234:AP234)-$AP541)</f>
        <v>-28315</v>
      </c>
      <c r="AN541" s="716">
        <f>IF(OR(status1B5!AO236="",AN$7="No aplica"),0,SUM('BOULEVARD 5'!$K234:AQ234)-$AP541)</f>
        <v>0</v>
      </c>
      <c r="AO541" s="716">
        <f>IF(OR(status1B5!AP236="",AO$7="No aplica"),0,SUM('BOULEVARD 5'!$K234:AS234)-$AP541)</f>
        <v>0</v>
      </c>
      <c r="AP541" s="717">
        <f>'BOULEVARD PPTO'!BC229</f>
        <v>66400</v>
      </c>
      <c r="AQ541" s="717">
        <f>'BOULEVARD 5'!AT234</f>
        <v>54936</v>
      </c>
      <c r="AR541" s="717">
        <f t="shared" si="236"/>
        <v>-11464</v>
      </c>
      <c r="AS541" s="717"/>
      <c r="AT541" s="581"/>
    </row>
    <row r="542" spans="1:47" ht="13.15" customHeight="1" outlineLevel="1" x14ac:dyDescent="0.25">
      <c r="A542" s="700">
        <f t="shared" si="234"/>
        <v>0</v>
      </c>
      <c r="B542" s="564">
        <f t="shared" ref="B542:G542" si="271">B237</f>
        <v>1306</v>
      </c>
      <c r="C542" s="564" t="str">
        <f t="shared" si="271"/>
        <v>A4</v>
      </c>
      <c r="D542" s="564">
        <f t="shared" si="271"/>
        <v>0</v>
      </c>
      <c r="E542" s="564" t="str">
        <f t="shared" si="271"/>
        <v>Brenda Búcaro</v>
      </c>
      <c r="F542" s="581" t="str">
        <f t="shared" si="271"/>
        <v xml:space="preserve"> Barbara Elizabeth Barrientos Valenzuela</v>
      </c>
      <c r="G542" s="566">
        <f t="shared" si="271"/>
        <v>45054</v>
      </c>
      <c r="H542" s="716">
        <f>IF(OR(status1B5!I237="",H$7="No aplica"),0,SUM('BOULEVARD 5'!$K235:K235)-$AP542)</f>
        <v>0</v>
      </c>
      <c r="I542" s="716">
        <f>IF(OR(status1B5!J237="",I$7="No aplica"),0,SUM('BOULEVARD 5'!$K235:L235)-$AP542)</f>
        <v>0</v>
      </c>
      <c r="J542" s="716">
        <f>IF(OR(status1B5!K237="",J$7="No aplica"),0,SUM('BOULEVARD 5'!$K235:M235)-$AP542)</f>
        <v>-63800</v>
      </c>
      <c r="K542" s="716">
        <f>IF(OR(status1B5!L237="",K$7="No aplica"),0,SUM('BOULEVARD 5'!$K235:N235)-$AP542)</f>
        <v>-61550</v>
      </c>
      <c r="L542" s="716">
        <f>IF(OR(status1B5!M237="",L$7="No aplica"),0,SUM('BOULEVARD 5'!$K235:O235)-$AP542)</f>
        <v>-59300</v>
      </c>
      <c r="M542" s="716">
        <f>IF(OR(status1B5!N237="",M$7="No aplica"),0,SUM('BOULEVARD 5'!$K235:P235)-$AP542)</f>
        <v>-57050</v>
      </c>
      <c r="N542" s="716">
        <f>IF(OR(status1B5!O237="",N$7="No aplica"),0,SUM('BOULEVARD 5'!$K235:Q235)-$AP542)</f>
        <v>-54800</v>
      </c>
      <c r="O542" s="716">
        <f>IF(OR(status1B5!P237="",O$7="No aplica"),0,SUM('BOULEVARD 5'!$K235:R235)-$AP542)</f>
        <v>-54800</v>
      </c>
      <c r="P542" s="716">
        <f>IF(OR(status1B5!Q237="",P$7="No aplica"),0,SUM('BOULEVARD 5'!$K235:S235)-$AP542)</f>
        <v>-52550</v>
      </c>
      <c r="Q542" s="716">
        <f>IF(OR(status1B5!R237="",Q$7="No aplica"),0,SUM('BOULEVARD 5'!$K235:T235)-$AP542)</f>
        <v>-50300</v>
      </c>
      <c r="R542" s="716">
        <f>IF(OR(status1B5!S237="",R$7="No aplica"),0,SUM('BOULEVARD 5'!$K235:U235)-$AP542)</f>
        <v>-48050</v>
      </c>
      <c r="S542" s="716">
        <f>IF(OR(status1B5!T237="",S$7="No aplica"),0,SUM('BOULEVARD 5'!$K235:V235)-$AP542)</f>
        <v>-45800</v>
      </c>
      <c r="T542" s="716">
        <f>IF(OR(status1B5!U237="",T$7="No aplica"),0,SUM('BOULEVARD 5'!$K235:W235)-$AP542)</f>
        <v>-43550</v>
      </c>
      <c r="U542" s="716">
        <f>IF(OR(status1B5!V237="",U$7="No aplica"),0,SUM('BOULEVARD 5'!$K235:X235)-$AP542)</f>
        <v>-41300</v>
      </c>
      <c r="V542" s="716">
        <f>IF(OR(status1B5!W237="",V$7="No aplica"),0,SUM('BOULEVARD 5'!$K235:Y235)-$AP542)</f>
        <v>-36800</v>
      </c>
      <c r="W542" s="716">
        <f>IF(OR(status1B5!X237="",W$7="No aplica"),0,SUM('BOULEVARD 5'!$K235:Z235)-$AP542)</f>
        <v>-36800</v>
      </c>
      <c r="X542" s="716">
        <f>IF(OR(status1B5!Y237="",X$7="No aplica"),0,SUM('BOULEVARD 5'!$K235:AA235)-$AP542)</f>
        <v>-34550</v>
      </c>
      <c r="Y542" s="716">
        <f>IF(OR(status1B5!Z237="",Y$7="No aplica"),0,SUM('BOULEVARD 5'!$K235:AB235)-$AP542)</f>
        <v>-32300</v>
      </c>
      <c r="Z542" s="716">
        <f>IF(OR(status1B5!AA237="",Z$7="No aplica"),0,SUM('BOULEVARD 5'!$K235:AC235)-$AP542)</f>
        <v>-30050</v>
      </c>
      <c r="AA542" s="716">
        <f>IF(OR(status1B5!AB237="",AA$7="No aplica"),0,SUM('BOULEVARD 5'!$K235:AD235)-$AP542)</f>
        <v>-27800</v>
      </c>
      <c r="AB542" s="716">
        <f>IF(OR(status1B5!AC237="",AB$7="No aplica"),0,SUM('BOULEVARD 5'!$K235:AE235)-$AP542)</f>
        <v>-25550</v>
      </c>
      <c r="AC542" s="716">
        <f>IF(OR(status1B5!AD237="",AC$7="No aplica"),0,SUM('BOULEVARD 5'!$K235:AF235)-$AP542)</f>
        <v>-23300</v>
      </c>
      <c r="AD542" s="716">
        <f>IF(OR(status1B5!AE237="",AD$7="No aplica"),0,SUM('BOULEVARD 5'!$K235:AG235)-$AP542)</f>
        <v>-21050</v>
      </c>
      <c r="AE542" s="716">
        <f>IF(OR(status1B5!AF237="",AE$7="No aplica"),0,SUM('BOULEVARD 5'!$K235:AH235)-$AP542)</f>
        <v>-16550</v>
      </c>
      <c r="AF542" s="716">
        <f>IF(OR(status1B5!AG237="",AF$7="No aplica"),0,SUM('BOULEVARD 5'!$K235:AI235)-$AP542)</f>
        <v>-14300</v>
      </c>
      <c r="AG542" s="716">
        <f>IF(OR(status1B5!AH237="",AG$7="No aplica"),0,SUM('BOULEVARD 5'!$K235:AJ235)-$AP542)</f>
        <v>-12050</v>
      </c>
      <c r="AH542" s="716">
        <f>IF(OR(status1B5!AI237="",AH$7="No aplica"),0,SUM('BOULEVARD 5'!$K235:AK235)-$AP542)</f>
        <v>-9800</v>
      </c>
      <c r="AI542" s="716">
        <f>IF(OR(status1B5!AJ237="",AI$7="No aplica"),0,SUM('BOULEVARD 5'!$K235:AL235)-$AP542)</f>
        <v>-9800</v>
      </c>
      <c r="AJ542" s="716">
        <f>IF(OR(status1B5!AK237="",AJ$7="No aplica"),0,SUM('BOULEVARD 5'!$K235:AM235)-$AP542)</f>
        <v>-5300</v>
      </c>
      <c r="AK542" s="716">
        <f>IF(OR(status1B5!AL237="",AK$7="No aplica"),0,SUM('BOULEVARD 5'!$K235:AN235)-$AP542)</f>
        <v>-5300</v>
      </c>
      <c r="AL542" s="716">
        <f>IF(OR(status1B5!AM237="",AL$7="No aplica"),0,SUM('BOULEVARD 5'!$K235:AO235)-$AP542)</f>
        <v>-2800</v>
      </c>
      <c r="AM542" s="716">
        <f>IF(OR(status1B5!AN237="",AM$7="No aplica"),0,SUM('BOULEVARD 5'!$K235:AP235)-$AP542)</f>
        <v>-2800</v>
      </c>
      <c r="AN542" s="716">
        <f>IF(OR(status1B5!AO237="",AN$7="No aplica"),0,SUM('BOULEVARD 5'!$K235:AQ235)-$AP542)</f>
        <v>0</v>
      </c>
      <c r="AO542" s="716">
        <f>IF(OR(status1B5!AP237="",AO$7="No aplica"),0,SUM('BOULEVARD 5'!$K235:AS235)-$AP542)</f>
        <v>0</v>
      </c>
      <c r="AP542" s="717">
        <f>'BOULEVARD PPTO'!BC230</f>
        <v>69800</v>
      </c>
      <c r="AQ542" s="717">
        <f>'BOULEVARD 5'!AT235</f>
        <v>82534</v>
      </c>
      <c r="AR542" s="717">
        <f t="shared" si="236"/>
        <v>12734</v>
      </c>
      <c r="AS542" s="717"/>
      <c r="AT542" s="581"/>
    </row>
    <row r="543" spans="1:47" ht="13.15" customHeight="1" outlineLevel="1" x14ac:dyDescent="0.25">
      <c r="A543" s="700" t="str">
        <f t="shared" si="234"/>
        <v>F&amp;F</v>
      </c>
      <c r="B543" s="704">
        <f t="shared" ref="B543:G543" si="272">B238</f>
        <v>1307</v>
      </c>
      <c r="C543" s="704" t="str">
        <f t="shared" si="272"/>
        <v>A12</v>
      </c>
      <c r="D543" s="704">
        <f t="shared" si="272"/>
        <v>0</v>
      </c>
      <c r="E543" s="704" t="str">
        <f t="shared" si="272"/>
        <v>Jose Franco</v>
      </c>
      <c r="F543" s="705" t="str">
        <f t="shared" si="272"/>
        <v>Fernando José Franco Jiménez</v>
      </c>
      <c r="G543" s="566">
        <f t="shared" si="272"/>
        <v>45016</v>
      </c>
      <c r="H543" s="716">
        <f>IF(OR(status1B5!I238="",H$7="No aplica"),0,SUM('BOULEVARD 5'!$K236:K236)-$AP543)</f>
        <v>0</v>
      </c>
      <c r="I543" s="716">
        <f>IF(OR(status1B5!J238="",I$7="No aplica"),0,SUM('BOULEVARD 5'!$K236:L236)-$AP543)</f>
        <v>0</v>
      </c>
      <c r="J543" s="716">
        <f>IF(OR(status1B5!K238="",J$7="No aplica"),0,SUM('BOULEVARD 5'!$K236:M236)-$AP543)</f>
        <v>0</v>
      </c>
      <c r="K543" s="716">
        <f>IF(OR(status1B5!L238="",K$7="No aplica"),0,SUM('BOULEVARD 5'!$K236:N236)-$AP543)</f>
        <v>0</v>
      </c>
      <c r="L543" s="716">
        <f>IF(OR(status1B5!M238="",L$7="No aplica"),0,SUM('BOULEVARD 5'!$K236:O236)-$AP543)</f>
        <v>0</v>
      </c>
      <c r="M543" s="716">
        <f>IF(OR(status1B5!N238="",M$7="No aplica"),0,SUM('BOULEVARD 5'!$K236:P236)-$AP543)</f>
        <v>0</v>
      </c>
      <c r="N543" s="716">
        <f>IF(OR(status1B5!O238="",N$7="No aplica"),0,SUM('BOULEVARD 5'!$K236:Q236)-$AP543)</f>
        <v>0</v>
      </c>
      <c r="O543" s="716">
        <f>IF(OR(status1B5!P238="",O$7="No aplica"),0,SUM('BOULEVARD 5'!$K236:R236)-$AP543)</f>
        <v>0</v>
      </c>
      <c r="P543" s="716">
        <f>IF(OR(status1B5!Q238="",P$7="No aplica"),0,SUM('BOULEVARD 5'!$K236:S236)-$AP543)</f>
        <v>0</v>
      </c>
      <c r="Q543" s="716">
        <f>IF(OR(status1B5!R238="",Q$7="No aplica"),0,SUM('BOULEVARD 5'!$K236:T236)-$AP543)</f>
        <v>0</v>
      </c>
      <c r="R543" s="716">
        <f>IF(OR(status1B5!S238="",R$7="No aplica"),0,SUM('BOULEVARD 5'!$K236:U236)-$AP543)</f>
        <v>0</v>
      </c>
      <c r="S543" s="716">
        <f>IF(OR(status1B5!T238="",S$7="No aplica"),0,SUM('BOULEVARD 5'!$K236:V236)-$AP543)</f>
        <v>0</v>
      </c>
      <c r="T543" s="716">
        <f>IF(OR(status1B5!U238="",T$7="No aplica"),0,SUM('BOULEVARD 5'!$K236:W236)-$AP543)</f>
        <v>0</v>
      </c>
      <c r="U543" s="716">
        <f>IF(OR(status1B5!V238="",U$7="No aplica"),0,SUM('BOULEVARD 5'!$K236:X236)-$AP543)</f>
        <v>0</v>
      </c>
      <c r="V543" s="716">
        <f>IF(OR(status1B5!W238="",V$7="No aplica"),0,SUM('BOULEVARD 5'!$K236:Y236)-$AP543)</f>
        <v>0</v>
      </c>
      <c r="W543" s="716">
        <f>IF(OR(status1B5!X238="",W$7="No aplica"),0,SUM('BOULEVARD 5'!$K236:Z236)-$AP543)</f>
        <v>0</v>
      </c>
      <c r="X543" s="716">
        <f>IF(OR(status1B5!Y238="",X$7="No aplica"),0,SUM('BOULEVARD 5'!$K236:AA236)-$AP543)</f>
        <v>0</v>
      </c>
      <c r="Y543" s="716">
        <f>IF(OR(status1B5!Z238="",Y$7="No aplica"),0,SUM('BOULEVARD 5'!$K236:AB236)-$AP543)</f>
        <v>0</v>
      </c>
      <c r="Z543" s="716">
        <f>IF(OR(status1B5!AA238="",Z$7="No aplica"),0,SUM('BOULEVARD 5'!$K236:AC236)-$AP543)</f>
        <v>0</v>
      </c>
      <c r="AA543" s="716">
        <f>IF(OR(status1B5!AB238="",AA$7="No aplica"),0,SUM('BOULEVARD 5'!$K236:AD236)-$AP543)</f>
        <v>0</v>
      </c>
      <c r="AB543" s="716">
        <f>IF(OR(status1B5!AC238="",AB$7="No aplica"),0,SUM('BOULEVARD 5'!$K236:AE236)-$AP543)</f>
        <v>0</v>
      </c>
      <c r="AC543" s="716">
        <f>IF(OR(status1B5!AD238="",AC$7="No aplica"),0,SUM('BOULEVARD 5'!$K236:AF236)-$AP543)</f>
        <v>0</v>
      </c>
      <c r="AD543" s="716">
        <f>IF(OR(status1B5!AE238="",AD$7="No aplica"),0,SUM('BOULEVARD 5'!$K236:AG236)-$AP543)</f>
        <v>0</v>
      </c>
      <c r="AE543" s="716">
        <f>IF(OR(status1B5!AF238="",AE$7="No aplica"),0,SUM('BOULEVARD 5'!$K236:AH236)-$AP543)</f>
        <v>0</v>
      </c>
      <c r="AF543" s="716">
        <f>IF(OR(status1B5!AG238="",AF$7="No aplica"),0,SUM('BOULEVARD 5'!$K236:AI236)-$AP543)</f>
        <v>0</v>
      </c>
      <c r="AG543" s="716">
        <f>IF(OR(status1B5!AH238="",AG$7="No aplica"),0,SUM('BOULEVARD 5'!$K236:AJ236)-$AP543)</f>
        <v>0</v>
      </c>
      <c r="AH543" s="716">
        <f>IF(OR(status1B5!AI238="",AH$7="No aplica"),0,SUM('BOULEVARD 5'!$K236:AK236)-$AP543)</f>
        <v>0</v>
      </c>
      <c r="AI543" s="716">
        <f>IF(OR(status1B5!AJ238="",AI$7="No aplica"),0,SUM('BOULEVARD 5'!$K236:AL236)-$AP543)</f>
        <v>0</v>
      </c>
      <c r="AJ543" s="716">
        <f>IF(OR(status1B5!AK238="",AJ$7="No aplica"),0,SUM('BOULEVARD 5'!$K236:AM236)-$AP543)</f>
        <v>0</v>
      </c>
      <c r="AK543" s="716">
        <f>IF(OR(status1B5!AL238="",AK$7="No aplica"),0,SUM('BOULEVARD 5'!$K236:AN236)-$AP543)</f>
        <v>0</v>
      </c>
      <c r="AL543" s="716">
        <f>IF(OR(status1B5!AM238="",AL$7="No aplica"),0,SUM('BOULEVARD 5'!$K236:AO236)-$AP543)</f>
        <v>0</v>
      </c>
      <c r="AM543" s="716">
        <f>IF(OR(status1B5!AN238="",AM$7="No aplica"),0,SUM('BOULEVARD 5'!$K236:AP236)-$AP543)</f>
        <v>0</v>
      </c>
      <c r="AN543" s="716">
        <f>IF(OR(status1B5!AO238="",AN$7="No aplica"),0,SUM('BOULEVARD 5'!$K236:AQ236)-$AP543)</f>
        <v>0</v>
      </c>
      <c r="AO543" s="716">
        <f>IF(OR(status1B5!AP238="",AO$7="No aplica"),0,SUM('BOULEVARD 5'!$K236:AS236)-$AP543)</f>
        <v>0</v>
      </c>
      <c r="AP543" s="717">
        <f>'BOULEVARD PPTO'!BC231</f>
        <v>67932</v>
      </c>
      <c r="AQ543" s="717">
        <f>'BOULEVARD 5'!AT236</f>
        <v>8800</v>
      </c>
      <c r="AR543" s="717">
        <f t="shared" si="236"/>
        <v>-59132</v>
      </c>
      <c r="AS543" s="717"/>
      <c r="AT543" s="581"/>
    </row>
    <row r="544" spans="1:47" ht="13.15" customHeight="1" outlineLevel="1" x14ac:dyDescent="0.25">
      <c r="A544" s="700">
        <f t="shared" si="234"/>
        <v>0</v>
      </c>
      <c r="B544" s="564">
        <f t="shared" ref="B544:G544" si="273">B239</f>
        <v>1308</v>
      </c>
      <c r="C544" s="564" t="str">
        <f t="shared" si="273"/>
        <v>C6</v>
      </c>
      <c r="D544" s="564">
        <f t="shared" si="273"/>
        <v>0</v>
      </c>
      <c r="E544" s="564" t="str">
        <f t="shared" si="273"/>
        <v>Antonio Rada</v>
      </c>
      <c r="F544" s="581" t="str">
        <f t="shared" si="273"/>
        <v>Gerson Alexander Urias Marquez</v>
      </c>
      <c r="G544" s="566">
        <f t="shared" si="273"/>
        <v>45230</v>
      </c>
      <c r="H544" s="716">
        <f>IF(OR(status1B5!I239="",H$7="No aplica"),0,SUM('BOULEVARD 5'!$K237:K237)-$AP544)</f>
        <v>0</v>
      </c>
      <c r="I544" s="716">
        <f>IF(OR(status1B5!J239="",I$7="No aplica"),0,SUM('BOULEVARD 5'!$K237:L237)-$AP544)</f>
        <v>0</v>
      </c>
      <c r="J544" s="716">
        <f>IF(OR(status1B5!K239="",J$7="No aplica"),0,SUM('BOULEVARD 5'!$K237:M237)-$AP544)</f>
        <v>0</v>
      </c>
      <c r="K544" s="716">
        <f>IF(OR(status1B5!L239="",K$7="No aplica"),0,SUM('BOULEVARD 5'!$K237:N237)-$AP544)</f>
        <v>0</v>
      </c>
      <c r="L544" s="716">
        <f>IF(OR(status1B5!M239="",L$7="No aplica"),0,SUM('BOULEVARD 5'!$K237:O237)-$AP544)</f>
        <v>0</v>
      </c>
      <c r="M544" s="716">
        <f>IF(OR(status1B5!N239="",M$7="No aplica"),0,SUM('BOULEVARD 5'!$K237:P237)-$AP544)</f>
        <v>0</v>
      </c>
      <c r="N544" s="716">
        <f>IF(OR(status1B5!O239="",N$7="No aplica"),0,SUM('BOULEVARD 5'!$K237:Q237)-$AP544)</f>
        <v>0</v>
      </c>
      <c r="O544" s="716">
        <f>IF(OR(status1B5!P239="",O$7="No aplica"),0,SUM('BOULEVARD 5'!$K237:R237)-$AP544)</f>
        <v>-110393</v>
      </c>
      <c r="P544" s="716">
        <f>IF(OR(status1B5!Q239="",P$7="No aplica"),0,SUM('BOULEVARD 5'!$K237:S237)-$AP544)</f>
        <v>-105593</v>
      </c>
      <c r="Q544" s="716">
        <f>IF(OR(status1B5!R239="",Q$7="No aplica"),0,SUM('BOULEVARD 5'!$K237:T237)-$AP544)</f>
        <v>-100793</v>
      </c>
      <c r="R544" s="716">
        <f>IF(OR(status1B5!S239="",R$7="No aplica"),0,SUM('BOULEVARD 5'!$K237:U237)-$AP544)</f>
        <v>-95993</v>
      </c>
      <c r="S544" s="716">
        <f>IF(OR(status1B5!T239="",S$7="No aplica"),0,SUM('BOULEVARD 5'!$K237:V237)-$AP544)</f>
        <v>-91193</v>
      </c>
      <c r="T544" s="716">
        <f>IF(OR(status1B5!U239="",T$7="No aplica"),0,SUM('BOULEVARD 5'!$K237:W237)-$AP544)</f>
        <v>-86393</v>
      </c>
      <c r="U544" s="716">
        <f>IF(OR(status1B5!V239="",U$7="No aplica"),0,SUM('BOULEVARD 5'!$K237:X237)-$AP544)</f>
        <v>-81593</v>
      </c>
      <c r="V544" s="716">
        <f>IF(OR(status1B5!W239="",V$7="No aplica"),0,SUM('BOULEVARD 5'!$K237:Y237)-$AP544)</f>
        <v>-76793</v>
      </c>
      <c r="W544" s="716">
        <f>IF(OR(status1B5!X239="",W$7="No aplica"),0,SUM('BOULEVARD 5'!$K237:Z237)-$AP544)</f>
        <v>-71993</v>
      </c>
      <c r="X544" s="716">
        <f>IF(OR(status1B5!Y239="",X$7="No aplica"),0,SUM('BOULEVARD 5'!$K237:AA237)-$AP544)</f>
        <v>-67193</v>
      </c>
      <c r="Y544" s="716">
        <f>IF(OR(status1B5!Z239="",Y$7="No aplica"),0,SUM('BOULEVARD 5'!$K237:AB237)-$AP544)</f>
        <v>-62393</v>
      </c>
      <c r="Z544" s="716">
        <f>IF(OR(status1B5!AA239="",Z$7="No aplica"),0,SUM('BOULEVARD 5'!$K237:AC237)-$AP544)</f>
        <v>-57593</v>
      </c>
      <c r="AA544" s="716">
        <f>IF(OR(status1B5!AB239="",AA$7="No aplica"),0,SUM('BOULEVARD 5'!$K237:AD237)-$AP544)</f>
        <v>-52793</v>
      </c>
      <c r="AB544" s="716">
        <f>IF(OR(status1B5!AC239="",AB$7="No aplica"),0,SUM('BOULEVARD 5'!$K237:AE237)-$AP544)</f>
        <v>-47993</v>
      </c>
      <c r="AC544" s="716">
        <f>IF(OR(status1B5!AD239="",AC$7="No aplica"),0,SUM('BOULEVARD 5'!$K237:AF237)-$AP544)</f>
        <v>-47993</v>
      </c>
      <c r="AD544" s="716">
        <f>IF(OR(status1B5!AE239="",AD$7="No aplica"),0,SUM('BOULEVARD 5'!$K237:AG237)-$AP544)</f>
        <v>-38393</v>
      </c>
      <c r="AE544" s="716">
        <f>IF(OR(status1B5!AF239="",AE$7="No aplica"),0,SUM('BOULEVARD 5'!$K237:AH237)-$AP544)</f>
        <v>-33593</v>
      </c>
      <c r="AF544" s="716">
        <f>IF(OR(status1B5!AG239="",AF$7="No aplica"),0,SUM('BOULEVARD 5'!$K237:AI237)-$AP544)</f>
        <v>-28793</v>
      </c>
      <c r="AG544" s="716">
        <f>IF(OR(status1B5!AH239="",AG$7="No aplica"),0,SUM('BOULEVARD 5'!$K237:AJ237)-$AP544)</f>
        <v>-23993</v>
      </c>
      <c r="AH544" s="716">
        <f>IF(OR(status1B5!AI239="",AH$7="No aplica"),0,SUM('BOULEVARD 5'!$K237:AK237)-$AP544)</f>
        <v>-19193</v>
      </c>
      <c r="AI544" s="716">
        <f>IF(OR(status1B5!AJ239="",AI$7="No aplica"),0,SUM('BOULEVARD 5'!$K237:AL237)-$AP544)</f>
        <v>-14393</v>
      </c>
      <c r="AJ544" s="716">
        <f>IF(OR(status1B5!AK239="",AJ$7="No aplica"),0,SUM('BOULEVARD 5'!$K237:AM237)-$AP544)</f>
        <v>-9593</v>
      </c>
      <c r="AK544" s="716">
        <f>IF(OR(status1B5!AL239="",AK$7="No aplica"),0,SUM('BOULEVARD 5'!$K237:AN237)-$AP544)</f>
        <v>-4793</v>
      </c>
      <c r="AL544" s="716">
        <f>IF(OR(status1B5!AM239="",AL$7="No aplica"),0,SUM('BOULEVARD 5'!$K237:AO237)-$AP544)</f>
        <v>7</v>
      </c>
      <c r="AM544" s="716">
        <f>IF(OR(status1B5!AN239="",AM$7="No aplica"),0,SUM('BOULEVARD 5'!$K237:AP237)-$AP544)</f>
        <v>7</v>
      </c>
      <c r="AN544" s="716">
        <f>IF(OR(status1B5!AO239="",AN$7="No aplica"),0,SUM('BOULEVARD 5'!$K237:AQ237)-$AP544)</f>
        <v>0</v>
      </c>
      <c r="AO544" s="716">
        <f>IF(OR(status1B5!AP239="",AO$7="No aplica"),0,SUM('BOULEVARD 5'!$K237:AS237)-$AP544)</f>
        <v>0</v>
      </c>
      <c r="AP544" s="717">
        <f>'BOULEVARD PPTO'!BC232</f>
        <v>118393</v>
      </c>
      <c r="AQ544" s="717">
        <f>'BOULEVARD 5'!AT237</f>
        <v>118400</v>
      </c>
      <c r="AR544" s="717">
        <f t="shared" si="236"/>
        <v>7</v>
      </c>
      <c r="AS544" s="717"/>
      <c r="AT544" s="581"/>
    </row>
    <row r="545" spans="1:46" ht="13.15" customHeight="1" outlineLevel="1" x14ac:dyDescent="0.25">
      <c r="A545" s="700">
        <f t="shared" si="234"/>
        <v>0</v>
      </c>
      <c r="B545" s="564">
        <f t="shared" ref="B545:G545" si="274">B240</f>
        <v>1309</v>
      </c>
      <c r="C545" s="564" t="str">
        <f t="shared" si="274"/>
        <v>C5</v>
      </c>
      <c r="D545" s="564">
        <f t="shared" si="274"/>
        <v>0</v>
      </c>
      <c r="E545" s="564" t="str">
        <f t="shared" si="274"/>
        <v/>
      </c>
      <c r="F545" s="581" t="str">
        <f t="shared" si="274"/>
        <v/>
      </c>
      <c r="G545" s="566" t="str">
        <f t="shared" si="274"/>
        <v/>
      </c>
      <c r="H545" s="716">
        <f>IF(OR(status1B5!I240="",H$7="No aplica"),0,SUM('BOULEVARD 5'!$K238:K238)-$AP545)</f>
        <v>0</v>
      </c>
      <c r="I545" s="716">
        <f>IF(OR(status1B5!J240="",I$7="No aplica"),0,SUM('BOULEVARD 5'!$K238:L238)-$AP545)</f>
        <v>0</v>
      </c>
      <c r="J545" s="716">
        <f>IF(OR(status1B5!K240="",J$7="No aplica"),0,SUM('BOULEVARD 5'!$K238:M238)-$AP545)</f>
        <v>0</v>
      </c>
      <c r="K545" s="716">
        <f>IF(OR(status1B5!L240="",K$7="No aplica"),0,SUM('BOULEVARD 5'!$K238:N238)-$AP545)</f>
        <v>0</v>
      </c>
      <c r="L545" s="716">
        <f>IF(OR(status1B5!M240="",L$7="No aplica"),0,SUM('BOULEVARD 5'!$K238:O238)-$AP545)</f>
        <v>0</v>
      </c>
      <c r="M545" s="716">
        <f>IF(OR(status1B5!N240="",M$7="No aplica"),0,SUM('BOULEVARD 5'!$K238:P238)-$AP545)</f>
        <v>0</v>
      </c>
      <c r="N545" s="716">
        <f>IF(OR(status1B5!O240="",N$7="No aplica"),0,SUM('BOULEVARD 5'!$K238:Q238)-$AP545)</f>
        <v>0</v>
      </c>
      <c r="O545" s="716">
        <f>IF(OR(status1B5!P240="",O$7="No aplica"),0,SUM('BOULEVARD 5'!$K238:R238)-$AP545)</f>
        <v>0</v>
      </c>
      <c r="P545" s="716">
        <f>IF(OR(status1B5!Q240="",P$7="No aplica"),0,SUM('BOULEVARD 5'!$K238:S238)-$AP545)</f>
        <v>0</v>
      </c>
      <c r="Q545" s="716">
        <f>IF(OR(status1B5!R240="",Q$7="No aplica"),0,SUM('BOULEVARD 5'!$K238:T238)-$AP545)</f>
        <v>0</v>
      </c>
      <c r="R545" s="716">
        <f>IF(OR(status1B5!S240="",R$7="No aplica"),0,SUM('BOULEVARD 5'!$K238:U238)-$AP545)</f>
        <v>0</v>
      </c>
      <c r="S545" s="716">
        <f>IF(OR(status1B5!T240="",S$7="No aplica"),0,SUM('BOULEVARD 5'!$K238:V238)-$AP545)</f>
        <v>0</v>
      </c>
      <c r="T545" s="716">
        <f>IF(OR(status1B5!U240="",T$7="No aplica"),0,SUM('BOULEVARD 5'!$K238:W238)-$AP545)</f>
        <v>0</v>
      </c>
      <c r="U545" s="716">
        <f>IF(OR(status1B5!V240="",U$7="No aplica"),0,SUM('BOULEVARD 5'!$K238:X238)-$AP545)</f>
        <v>0</v>
      </c>
      <c r="V545" s="716">
        <f>IF(OR(status1B5!W240="",V$7="No aplica"),0,SUM('BOULEVARD 5'!$K238:Y238)-$AP545)</f>
        <v>0</v>
      </c>
      <c r="W545" s="716">
        <f>IF(OR(status1B5!X240="",W$7="No aplica"),0,SUM('BOULEVARD 5'!$K238:Z238)-$AP545)</f>
        <v>0</v>
      </c>
      <c r="X545" s="716">
        <f>IF(OR(status1B5!Y240="",X$7="No aplica"),0,SUM('BOULEVARD 5'!$K238:AA238)-$AP545)</f>
        <v>0</v>
      </c>
      <c r="Y545" s="716">
        <f>IF(OR(status1B5!Z240="",Y$7="No aplica"),0,SUM('BOULEVARD 5'!$K238:AB238)-$AP545)</f>
        <v>0</v>
      </c>
      <c r="Z545" s="716">
        <f>IF(OR(status1B5!AA240="",Z$7="No aplica"),0,SUM('BOULEVARD 5'!$K238:AC238)-$AP545)</f>
        <v>0</v>
      </c>
      <c r="AA545" s="716">
        <f>IF(OR(status1B5!AB240="",AA$7="No aplica"),0,SUM('BOULEVARD 5'!$K238:AD238)-$AP545)</f>
        <v>0</v>
      </c>
      <c r="AB545" s="716">
        <f>IF(OR(status1B5!AC240="",AB$7="No aplica"),0,SUM('BOULEVARD 5'!$K238:AE238)-$AP545)</f>
        <v>0</v>
      </c>
      <c r="AC545" s="716">
        <f>IF(OR(status1B5!AD240="",AC$7="No aplica"),0,SUM('BOULEVARD 5'!$K238:AF238)-$AP545)</f>
        <v>0</v>
      </c>
      <c r="AD545" s="716">
        <f>IF(OR(status1B5!AE240="",AD$7="No aplica"),0,SUM('BOULEVARD 5'!$K238:AG238)-$AP545)</f>
        <v>0</v>
      </c>
      <c r="AE545" s="716">
        <f>IF(OR(status1B5!AF240="",AE$7="No aplica"),0,SUM('BOULEVARD 5'!$K238:AH238)-$AP545)</f>
        <v>0</v>
      </c>
      <c r="AF545" s="716">
        <f>IF(OR(status1B5!AG240="",AF$7="No aplica"),0,SUM('BOULEVARD 5'!$K238:AI238)-$AP545)</f>
        <v>0</v>
      </c>
      <c r="AG545" s="716">
        <f>IF(OR(status1B5!AH240="",AG$7="No aplica"),0,SUM('BOULEVARD 5'!$K238:AJ238)-$AP545)</f>
        <v>0</v>
      </c>
      <c r="AH545" s="716">
        <f>IF(OR(status1B5!AI240="",AH$7="No aplica"),0,SUM('BOULEVARD 5'!$K238:AK238)-$AP545)</f>
        <v>0</v>
      </c>
      <c r="AI545" s="716">
        <f>IF(OR(status1B5!AJ240="",AI$7="No aplica"),0,SUM('BOULEVARD 5'!$K238:AL238)-$AP545)</f>
        <v>0</v>
      </c>
      <c r="AJ545" s="716">
        <f>IF(OR(status1B5!AK240="",AJ$7="No aplica"),0,SUM('BOULEVARD 5'!$K238:AM238)-$AP545)</f>
        <v>0</v>
      </c>
      <c r="AK545" s="716">
        <f>IF(OR(status1B5!AL240="",AK$7="No aplica"),0,SUM('BOULEVARD 5'!$K238:AN238)-$AP545)</f>
        <v>0</v>
      </c>
      <c r="AL545" s="716">
        <f>IF(OR(status1B5!AM240="",AL$7="No aplica"),0,SUM('BOULEVARD 5'!$K238:AO238)-$AP545)</f>
        <v>0</v>
      </c>
      <c r="AM545" s="716">
        <f>IF(OR(status1B5!AN240="",AM$7="No aplica"),0,SUM('BOULEVARD 5'!$K238:AP238)-$AP545)</f>
        <v>0</v>
      </c>
      <c r="AN545" s="716">
        <f>IF(OR(status1B5!AO240="",AN$7="No aplica"),0,SUM('BOULEVARD 5'!$K238:AQ238)-$AP545)</f>
        <v>0</v>
      </c>
      <c r="AO545" s="716">
        <f>IF(OR(status1B5!AP240="",AO$7="No aplica"),0,SUM('BOULEVARD 5'!$K238:AS238)-$AP545)</f>
        <v>0</v>
      </c>
      <c r="AP545" s="717">
        <f>'BOULEVARD PPTO'!BC233</f>
        <v>0</v>
      </c>
      <c r="AQ545" s="717">
        <f>'BOULEVARD 5'!AT238</f>
        <v>0</v>
      </c>
      <c r="AR545" s="717">
        <f t="shared" si="236"/>
        <v>0</v>
      </c>
      <c r="AS545" s="717"/>
      <c r="AT545" s="581"/>
    </row>
    <row r="546" spans="1:46" ht="13.15" customHeight="1" outlineLevel="1" x14ac:dyDescent="0.25">
      <c r="A546" s="700">
        <f t="shared" si="234"/>
        <v>0</v>
      </c>
      <c r="B546" s="564">
        <f t="shared" ref="B546:G546" si="275">B241</f>
        <v>1310</v>
      </c>
      <c r="C546" s="564" t="str">
        <f t="shared" si="275"/>
        <v>C6</v>
      </c>
      <c r="D546" s="564">
        <f t="shared" si="275"/>
        <v>0</v>
      </c>
      <c r="E546" s="564" t="str">
        <f t="shared" si="275"/>
        <v>Jose Franco</v>
      </c>
      <c r="F546" s="581" t="str">
        <f t="shared" si="275"/>
        <v xml:space="preserve"> Raúl Cabrera Galindo</v>
      </c>
      <c r="G546" s="566">
        <f t="shared" si="275"/>
        <v>45012</v>
      </c>
      <c r="H546" s="716">
        <f>IF(OR(status1B5!I241="",H$7="No aplica"),0,SUM('BOULEVARD 5'!$K239:K239)-$AP546)</f>
        <v>-105100</v>
      </c>
      <c r="I546" s="716">
        <f>IF(OR(status1B5!J241="",I$7="No aplica"),0,SUM('BOULEVARD 5'!$K239:L239)-$AP546)</f>
        <v>-102100</v>
      </c>
      <c r="J546" s="716">
        <f>IF(OR(status1B5!K241="",J$7="No aplica"),0,SUM('BOULEVARD 5'!$K239:M239)-$AP546)</f>
        <v>-99100</v>
      </c>
      <c r="K546" s="716">
        <f>IF(OR(status1B5!L241="",K$7="No aplica"),0,SUM('BOULEVARD 5'!$K239:N239)-$AP546)</f>
        <v>-96100</v>
      </c>
      <c r="L546" s="716">
        <f>IF(OR(status1B5!M241="",L$7="No aplica"),0,SUM('BOULEVARD 5'!$K239:O239)-$AP546)</f>
        <v>-93100</v>
      </c>
      <c r="M546" s="716">
        <f>IF(OR(status1B5!N241="",M$7="No aplica"),0,SUM('BOULEVARD 5'!$K239:P239)-$AP546)</f>
        <v>-90100</v>
      </c>
      <c r="N546" s="716">
        <f>IF(OR(status1B5!O241="",N$7="No aplica"),0,SUM('BOULEVARD 5'!$K239:Q239)-$AP546)</f>
        <v>-87100</v>
      </c>
      <c r="O546" s="716">
        <f>IF(OR(status1B5!P241="",O$7="No aplica"),0,SUM('BOULEVARD 5'!$K239:R239)-$AP546)</f>
        <v>-84100</v>
      </c>
      <c r="P546" s="716">
        <f>IF(OR(status1B5!Q241="",P$7="No aplica"),0,SUM('BOULEVARD 5'!$K239:S239)-$AP546)</f>
        <v>-81100</v>
      </c>
      <c r="Q546" s="716">
        <f>IF(OR(status1B5!R241="",Q$7="No aplica"),0,SUM('BOULEVARD 5'!$K239:T239)-$AP546)</f>
        <v>-78100</v>
      </c>
      <c r="R546" s="716">
        <f>IF(OR(status1B5!S241="",R$7="No aplica"),0,SUM('BOULEVARD 5'!$K239:U239)-$AP546)</f>
        <v>-75100</v>
      </c>
      <c r="S546" s="716">
        <f>IF(OR(status1B5!T241="",S$7="No aplica"),0,SUM('BOULEVARD 5'!$K239:V239)-$AP546)</f>
        <v>-72100</v>
      </c>
      <c r="T546" s="716">
        <f>IF(OR(status1B5!U241="",T$7="No aplica"),0,SUM('BOULEVARD 5'!$K239:W239)-$AP546)</f>
        <v>-69100</v>
      </c>
      <c r="U546" s="716">
        <f>IF(OR(status1B5!V241="",U$7="No aplica"),0,SUM('BOULEVARD 5'!$K239:X239)-$AP546)</f>
        <v>-66100</v>
      </c>
      <c r="V546" s="716">
        <f>IF(OR(status1B5!W241="",V$7="No aplica"),0,SUM('BOULEVARD 5'!$K239:Y239)-$AP546)</f>
        <v>-63100</v>
      </c>
      <c r="W546" s="716">
        <f>IF(OR(status1B5!X241="",W$7="No aplica"),0,SUM('BOULEVARD 5'!$K239:Z239)-$AP546)</f>
        <v>-60100</v>
      </c>
      <c r="X546" s="716">
        <f>IF(OR(status1B5!Y241="",X$7="No aplica"),0,SUM('BOULEVARD 5'!$K239:AA239)-$AP546)</f>
        <v>-57100</v>
      </c>
      <c r="Y546" s="716">
        <f>IF(OR(status1B5!Z241="",Y$7="No aplica"),0,SUM('BOULEVARD 5'!$K239:AB239)-$AP546)</f>
        <v>-54100</v>
      </c>
      <c r="Z546" s="716">
        <f>IF(OR(status1B5!AA241="",Z$7="No aplica"),0,SUM('BOULEVARD 5'!$K239:AC239)-$AP546)</f>
        <v>-51100</v>
      </c>
      <c r="AA546" s="716">
        <f>IF(OR(status1B5!AB241="",AA$7="No aplica"),0,SUM('BOULEVARD 5'!$K239:AD239)-$AP546)</f>
        <v>-48100</v>
      </c>
      <c r="AB546" s="716">
        <f>IF(OR(status1B5!AC241="",AB$7="No aplica"),0,SUM('BOULEVARD 5'!$K239:AE239)-$AP546)</f>
        <v>-45100</v>
      </c>
      <c r="AC546" s="716">
        <f>IF(OR(status1B5!AD241="",AC$7="No aplica"),0,SUM('BOULEVARD 5'!$K239:AF239)-$AP546)</f>
        <v>-42100</v>
      </c>
      <c r="AD546" s="716">
        <f>IF(OR(status1B5!AE241="",AD$7="No aplica"),0,SUM('BOULEVARD 5'!$K239:AG239)-$AP546)</f>
        <v>-39100</v>
      </c>
      <c r="AE546" s="716">
        <f>IF(OR(status1B5!AF241="",AE$7="No aplica"),0,SUM('BOULEVARD 5'!$K239:AH239)-$AP546)</f>
        <v>-36100</v>
      </c>
      <c r="AF546" s="716">
        <f>IF(OR(status1B5!AG241="",AF$7="No aplica"),0,SUM('BOULEVARD 5'!$K239:AI239)-$AP546)</f>
        <v>-33100</v>
      </c>
      <c r="AG546" s="716">
        <f>IF(OR(status1B5!AH241="",AG$7="No aplica"),0,SUM('BOULEVARD 5'!$K239:AJ239)-$AP546)</f>
        <v>-30100</v>
      </c>
      <c r="AH546" s="716">
        <f>IF(OR(status1B5!AI241="",AH$7="No aplica"),0,SUM('BOULEVARD 5'!$K239:AK239)-$AP546)</f>
        <v>-27100</v>
      </c>
      <c r="AI546" s="716">
        <f>IF(OR(status1B5!AJ241="",AI$7="No aplica"),0,SUM('BOULEVARD 5'!$K239:AL239)-$AP546)</f>
        <v>-27100</v>
      </c>
      <c r="AJ546" s="716">
        <f>IF(OR(status1B5!AK241="",AJ$7="No aplica"),0,SUM('BOULEVARD 5'!$K239:AM239)-$AP546)</f>
        <v>-21100</v>
      </c>
      <c r="AK546" s="716">
        <f>IF(OR(status1B5!AL241="",AK$7="No aplica"),0,SUM('BOULEVARD 5'!$K239:AN239)-$AP546)</f>
        <v>-18100</v>
      </c>
      <c r="AL546" s="716">
        <f>IF(OR(status1B5!AM241="",AL$7="No aplica"),0,SUM('BOULEVARD 5'!$K239:AO239)-$AP546)</f>
        <v>-15100</v>
      </c>
      <c r="AM546" s="716">
        <f>IF(OR(status1B5!AN241="",AM$7="No aplica"),0,SUM('BOULEVARD 5'!$K239:AP239)-$AP546)</f>
        <v>-12100</v>
      </c>
      <c r="AN546" s="716">
        <f>IF(OR(status1B5!AO241="",AN$7="No aplica"),0,SUM('BOULEVARD 5'!$K239:AQ239)-$AP546)</f>
        <v>0</v>
      </c>
      <c r="AO546" s="716">
        <f>IF(OR(status1B5!AP241="",AO$7="No aplica"),0,SUM('BOULEVARD 5'!$K239:AS239)-$AP546)</f>
        <v>0</v>
      </c>
      <c r="AP546" s="717">
        <f>'BOULEVARD PPTO'!BC234</f>
        <v>111100</v>
      </c>
      <c r="AQ546" s="717">
        <f>'BOULEVARD 5'!AT239</f>
        <v>108000</v>
      </c>
      <c r="AR546" s="717">
        <f t="shared" si="236"/>
        <v>-3100</v>
      </c>
      <c r="AS546" s="717"/>
      <c r="AT546" s="581"/>
    </row>
    <row r="547" spans="1:46" ht="13.15" customHeight="1" outlineLevel="1" x14ac:dyDescent="0.25">
      <c r="A547" s="700">
        <f t="shared" si="234"/>
        <v>0</v>
      </c>
      <c r="B547" s="564">
        <f t="shared" ref="B547:G547" si="276">B242</f>
        <v>1311</v>
      </c>
      <c r="C547" s="564" t="str">
        <f t="shared" si="276"/>
        <v>C5</v>
      </c>
      <c r="D547" s="564">
        <f t="shared" si="276"/>
        <v>0</v>
      </c>
      <c r="E547" s="564" t="str">
        <f t="shared" si="276"/>
        <v>Antonio Rada</v>
      </c>
      <c r="F547" s="581" t="str">
        <f t="shared" si="276"/>
        <v>Luis Gabriel Garrido Blanco</v>
      </c>
      <c r="G547" s="566">
        <f t="shared" si="276"/>
        <v>45202</v>
      </c>
      <c r="H547" s="716">
        <f>IF(OR(status1B5!I242="",H$7="No aplica"),0,SUM('BOULEVARD 5'!$K240:K240)-$AP547)</f>
        <v>0</v>
      </c>
      <c r="I547" s="716">
        <f>IF(OR(status1B5!J242="",I$7="No aplica"),0,SUM('BOULEVARD 5'!$K240:L240)-$AP547)</f>
        <v>0</v>
      </c>
      <c r="J547" s="716">
        <f>IF(OR(status1B5!K242="",J$7="No aplica"),0,SUM('BOULEVARD 5'!$K240:M240)-$AP547)</f>
        <v>0</v>
      </c>
      <c r="K547" s="716">
        <f>IF(OR(status1B5!L242="",K$7="No aplica"),0,SUM('BOULEVARD 5'!$K240:N240)-$AP547)</f>
        <v>0</v>
      </c>
      <c r="L547" s="716">
        <f>IF(OR(status1B5!M242="",L$7="No aplica"),0,SUM('BOULEVARD 5'!$K240:O240)-$AP547)</f>
        <v>0</v>
      </c>
      <c r="M547" s="716">
        <f>IF(OR(status1B5!N242="",M$7="No aplica"),0,SUM('BOULEVARD 5'!$K240:P240)-$AP547)</f>
        <v>0</v>
      </c>
      <c r="N547" s="716">
        <f>IF(OR(status1B5!O242="",N$7="No aplica"),0,SUM('BOULEVARD 5'!$K240:Q240)-$AP547)</f>
        <v>0</v>
      </c>
      <c r="O547" s="716">
        <f>IF(OR(status1B5!P242="",O$7="No aplica"),0,SUM('BOULEVARD 5'!$K240:R240)-$AP547)</f>
        <v>-94201</v>
      </c>
      <c r="P547" s="716">
        <f>IF(OR(status1B5!Q242="",P$7="No aplica"),0,SUM('BOULEVARD 5'!$K240:S240)-$AP547)</f>
        <v>-90105</v>
      </c>
      <c r="Q547" s="716">
        <f>IF(OR(status1B5!R242="",Q$7="No aplica"),0,SUM('BOULEVARD 5'!$K240:T240)-$AP547)</f>
        <v>-86009</v>
      </c>
      <c r="R547" s="716">
        <f>IF(OR(status1B5!S242="",R$7="No aplica"),0,SUM('BOULEVARD 5'!$K240:U240)-$AP547)</f>
        <v>-81913</v>
      </c>
      <c r="S547" s="716">
        <f>IF(OR(status1B5!T242="",S$7="No aplica"),0,SUM('BOULEVARD 5'!$K240:V240)-$AP547)</f>
        <v>-77817</v>
      </c>
      <c r="T547" s="716">
        <f>IF(OR(status1B5!U242="",T$7="No aplica"),0,SUM('BOULEVARD 5'!$K240:W240)-$AP547)</f>
        <v>-77817</v>
      </c>
      <c r="U547" s="716">
        <f>IF(OR(status1B5!V242="",U$7="No aplica"),0,SUM('BOULEVARD 5'!$K240:X240)-$AP547)</f>
        <v>-69625</v>
      </c>
      <c r="V547" s="716">
        <f>IF(OR(status1B5!W242="",V$7="No aplica"),0,SUM('BOULEVARD 5'!$K240:Y240)-$AP547)</f>
        <v>-65529</v>
      </c>
      <c r="W547" s="716">
        <f>IF(OR(status1B5!X242="",W$7="No aplica"),0,SUM('BOULEVARD 5'!$K240:Z240)-$AP547)</f>
        <v>-61433</v>
      </c>
      <c r="X547" s="716">
        <f>IF(OR(status1B5!Y242="",X$7="No aplica"),0,SUM('BOULEVARD 5'!$K240:AA240)-$AP547)</f>
        <v>-61433</v>
      </c>
      <c r="Y547" s="716">
        <f>IF(OR(status1B5!Z242="",Y$7="No aplica"),0,SUM('BOULEVARD 5'!$K240:AB240)-$AP547)</f>
        <v>-53241</v>
      </c>
      <c r="Z547" s="716">
        <f>IF(OR(status1B5!AA242="",Z$7="No aplica"),0,SUM('BOULEVARD 5'!$K240:AC240)-$AP547)</f>
        <v>-53241</v>
      </c>
      <c r="AA547" s="716">
        <f>IF(OR(status1B5!AB242="",AA$7="No aplica"),0,SUM('BOULEVARD 5'!$K240:AD240)-$AP547)</f>
        <v>-45049</v>
      </c>
      <c r="AB547" s="716">
        <f>IF(OR(status1B5!AC242="",AB$7="No aplica"),0,SUM('BOULEVARD 5'!$K240:AE240)-$AP547)</f>
        <v>-40953</v>
      </c>
      <c r="AC547" s="716">
        <f>IF(OR(status1B5!AD242="",AC$7="No aplica"),0,SUM('BOULEVARD 5'!$K240:AF240)-$AP547)</f>
        <v>-36857</v>
      </c>
      <c r="AD547" s="716">
        <f>IF(OR(status1B5!AE242="",AD$7="No aplica"),0,SUM('BOULEVARD 5'!$K240:AG240)-$AP547)</f>
        <v>-36857</v>
      </c>
      <c r="AE547" s="716">
        <f>IF(OR(status1B5!AF242="",AE$7="No aplica"),0,SUM('BOULEVARD 5'!$K240:AH240)-$AP547)</f>
        <v>-28665</v>
      </c>
      <c r="AF547" s="716">
        <f>IF(OR(status1B5!AG242="",AF$7="No aplica"),0,SUM('BOULEVARD 5'!$K240:AI240)-$AP547)</f>
        <v>-28665</v>
      </c>
      <c r="AG547" s="716">
        <f>IF(OR(status1B5!AH242="",AG$7="No aplica"),0,SUM('BOULEVARD 5'!$K240:AJ240)-$AP547)</f>
        <v>-20473</v>
      </c>
      <c r="AH547" s="716">
        <f>IF(OR(status1B5!AI242="",AH$7="No aplica"),0,SUM('BOULEVARD 5'!$K240:AK240)-$AP547)</f>
        <v>-16377</v>
      </c>
      <c r="AI547" s="716">
        <f>IF(OR(status1B5!AJ242="",AI$7="No aplica"),0,SUM('BOULEVARD 5'!$K240:AL240)-$AP547)</f>
        <v>-16377</v>
      </c>
      <c r="AJ547" s="716">
        <f>IF(OR(status1B5!AK242="",AJ$7="No aplica"),0,SUM('BOULEVARD 5'!$K240:AM240)-$AP547)</f>
        <v>-12281</v>
      </c>
      <c r="AK547" s="716">
        <f>IF(OR(status1B5!AL242="",AK$7="No aplica"),0,SUM('BOULEVARD 5'!$K240:AN240)-$AP547)</f>
        <v>-8185</v>
      </c>
      <c r="AL547" s="716">
        <f>IF(OR(status1B5!AM242="",AL$7="No aplica"),0,SUM('BOULEVARD 5'!$K240:AO240)-$AP547)</f>
        <v>-4089</v>
      </c>
      <c r="AM547" s="716">
        <f>IF(OR(status1B5!AN242="",AM$7="No aplica"),0,SUM('BOULEVARD 5'!$K240:AP240)-$AP547)</f>
        <v>4103</v>
      </c>
      <c r="AN547" s="716">
        <f>IF(OR(status1B5!AO242="",AN$7="No aplica"),0,SUM('BOULEVARD 5'!$K240:AQ240)-$AP547)</f>
        <v>0</v>
      </c>
      <c r="AO547" s="716">
        <f>IF(OR(status1B5!AP242="",AO$7="No aplica"),0,SUM('BOULEVARD 5'!$K240:AS240)-$AP547)</f>
        <v>0</v>
      </c>
      <c r="AP547" s="717">
        <f>'BOULEVARD PPTO'!BC235</f>
        <v>102201</v>
      </c>
      <c r="AQ547" s="717">
        <f>'BOULEVARD 5'!AT240</f>
        <v>114496</v>
      </c>
      <c r="AR547" s="717">
        <f t="shared" si="236"/>
        <v>12295</v>
      </c>
      <c r="AS547" s="717"/>
      <c r="AT547" s="581"/>
    </row>
    <row r="548" spans="1:46" ht="13.15" customHeight="1" outlineLevel="1" x14ac:dyDescent="0.25">
      <c r="A548" s="700">
        <f t="shared" si="234"/>
        <v>0</v>
      </c>
      <c r="B548" s="564">
        <f t="shared" ref="B548:G548" si="277">B243</f>
        <v>1312</v>
      </c>
      <c r="C548" s="564" t="str">
        <f t="shared" si="277"/>
        <v>A8</v>
      </c>
      <c r="D548" s="564">
        <f t="shared" si="277"/>
        <v>0</v>
      </c>
      <c r="E548" s="564" t="str">
        <f t="shared" si="277"/>
        <v>Brenda Búcaro</v>
      </c>
      <c r="F548" s="581" t="str">
        <f t="shared" si="277"/>
        <v>Arturo Alfredo Monzón López</v>
      </c>
      <c r="G548" s="566">
        <f t="shared" si="277"/>
        <v>45034</v>
      </c>
      <c r="H548" s="716">
        <f>IF(OR(status1B5!I243="",H$7="No aplica"),0,SUM('BOULEVARD 5'!$K241:K241)-$AP548)</f>
        <v>0</v>
      </c>
      <c r="I548" s="716">
        <f>IF(OR(status1B5!J243="",I$7="No aplica"),0,SUM('BOULEVARD 5'!$K241:L241)-$AP548)</f>
        <v>-60700</v>
      </c>
      <c r="J548" s="716">
        <f>IF(OR(status1B5!K243="",J$7="No aplica"),0,SUM('BOULEVARD 5'!$K241:M241)-$AP548)</f>
        <v>-58700</v>
      </c>
      <c r="K548" s="716">
        <f>IF(OR(status1B5!L243="",K$7="No aplica"),0,SUM('BOULEVARD 5'!$K241:N241)-$AP548)</f>
        <v>-56700</v>
      </c>
      <c r="L548" s="716">
        <f>IF(OR(status1B5!M243="",L$7="No aplica"),0,SUM('BOULEVARD 5'!$K241:O241)-$AP548)</f>
        <v>-54700</v>
      </c>
      <c r="M548" s="716">
        <f>IF(OR(status1B5!N243="",M$7="No aplica"),0,SUM('BOULEVARD 5'!$K241:P241)-$AP548)</f>
        <v>-52700</v>
      </c>
      <c r="N548" s="716">
        <f>IF(OR(status1B5!O243="",N$7="No aplica"),0,SUM('BOULEVARD 5'!$K241:Q241)-$AP548)</f>
        <v>-50700</v>
      </c>
      <c r="O548" s="716">
        <f>IF(OR(status1B5!P243="",O$7="No aplica"),0,SUM('BOULEVARD 5'!$K241:R241)-$AP548)</f>
        <v>-48700</v>
      </c>
      <c r="P548" s="716">
        <f>IF(OR(status1B5!Q243="",P$7="No aplica"),0,SUM('BOULEVARD 5'!$K241:S241)-$AP548)</f>
        <v>-48700</v>
      </c>
      <c r="Q548" s="716">
        <f>IF(OR(status1B5!R243="",Q$7="No aplica"),0,SUM('BOULEVARD 5'!$K241:T241)-$AP548)</f>
        <v>-48700</v>
      </c>
      <c r="R548" s="716">
        <f>IF(OR(status1B5!S243="",R$7="No aplica"),0,SUM('BOULEVARD 5'!$K241:U241)-$AP548)</f>
        <v>-48700</v>
      </c>
      <c r="S548" s="716">
        <f>IF(OR(status1B5!T243="",S$7="No aplica"),0,SUM('BOULEVARD 5'!$K241:V241)-$AP548)</f>
        <v>-46700</v>
      </c>
      <c r="T548" s="716">
        <f>IF(OR(status1B5!U243="",T$7="No aplica"),0,SUM('BOULEVARD 5'!$K241:W241)-$AP548)</f>
        <v>-46700</v>
      </c>
      <c r="U548" s="716">
        <f>IF(OR(status1B5!V243="",U$7="No aplica"),0,SUM('BOULEVARD 5'!$K241:X241)-$AP548)</f>
        <v>-44700</v>
      </c>
      <c r="V548" s="716">
        <f>IF(OR(status1B5!W243="",V$7="No aplica"),0,SUM('BOULEVARD 5'!$K241:Y241)-$AP548)</f>
        <v>-42700</v>
      </c>
      <c r="W548" s="716">
        <f>IF(OR(status1B5!X243="",W$7="No aplica"),0,SUM('BOULEVARD 5'!$K241:Z241)-$AP548)</f>
        <v>-38700</v>
      </c>
      <c r="X548" s="716">
        <f>IF(OR(status1B5!Y243="",X$7="No aplica"),0,SUM('BOULEVARD 5'!$K241:AA241)-$AP548)</f>
        <v>-32700</v>
      </c>
      <c r="Y548" s="716">
        <f>IF(OR(status1B5!Z243="",Y$7="No aplica"),0,SUM('BOULEVARD 5'!$K241:AB241)-$AP548)</f>
        <v>-30700</v>
      </c>
      <c r="Z548" s="716">
        <f>IF(OR(status1B5!AA243="",Z$7="No aplica"),0,SUM('BOULEVARD 5'!$K241:AC241)-$AP548)</f>
        <v>-28700</v>
      </c>
      <c r="AA548" s="716">
        <f>IF(OR(status1B5!AB243="",AA$7="No aplica"),0,SUM('BOULEVARD 5'!$K241:AD241)-$AP548)</f>
        <v>-26700</v>
      </c>
      <c r="AB548" s="716">
        <f>IF(OR(status1B5!AC243="",AB$7="No aplica"),0,SUM('BOULEVARD 5'!$K241:AE241)-$AP548)</f>
        <v>-24700</v>
      </c>
      <c r="AC548" s="716">
        <f>IF(OR(status1B5!AD243="",AC$7="No aplica"),0,SUM('BOULEVARD 5'!$K241:AF241)-$AP548)</f>
        <v>-22700</v>
      </c>
      <c r="AD548" s="716">
        <f>IF(OR(status1B5!AE243="",AD$7="No aplica"),0,SUM('BOULEVARD 5'!$K241:AG241)-$AP548)</f>
        <v>-18700</v>
      </c>
      <c r="AE548" s="716">
        <f>IF(OR(status1B5!AF243="",AE$7="No aplica"),0,SUM('BOULEVARD 5'!$K241:AH241)-$AP548)</f>
        <v>-16700</v>
      </c>
      <c r="AF548" s="716">
        <f>IF(OR(status1B5!AG243="",AF$7="No aplica"),0,SUM('BOULEVARD 5'!$K241:AI241)-$AP548)</f>
        <v>-14700</v>
      </c>
      <c r="AG548" s="716">
        <f>IF(OR(status1B5!AH243="",AG$7="No aplica"),0,SUM('BOULEVARD 5'!$K241:AJ241)-$AP548)</f>
        <v>-14700</v>
      </c>
      <c r="AH548" s="716">
        <f>IF(OR(status1B5!AI243="",AH$7="No aplica"),0,SUM('BOULEVARD 5'!$K241:AK241)-$AP548)</f>
        <v>-12700</v>
      </c>
      <c r="AI548" s="716">
        <f>IF(OR(status1B5!AJ243="",AI$7="No aplica"),0,SUM('BOULEVARD 5'!$K241:AL241)-$AP548)</f>
        <v>-10700</v>
      </c>
      <c r="AJ548" s="716">
        <f>IF(OR(status1B5!AK243="",AJ$7="No aplica"),0,SUM('BOULEVARD 5'!$K241:AM241)-$AP548)</f>
        <v>-10700</v>
      </c>
      <c r="AK548" s="716">
        <f>IF(OR(status1B5!AL243="",AK$7="No aplica"),0,SUM('BOULEVARD 5'!$K241:AN241)-$AP548)</f>
        <v>-8700</v>
      </c>
      <c r="AL548" s="716">
        <f>IF(OR(status1B5!AM243="",AL$7="No aplica"),0,SUM('BOULEVARD 5'!$K241:AO241)-$AP548)</f>
        <v>-6700</v>
      </c>
      <c r="AM548" s="716">
        <f>IF(OR(status1B5!AN243="",AM$7="No aplica"),0,SUM('BOULEVARD 5'!$K241:AP241)-$AP548)</f>
        <v>-6700</v>
      </c>
      <c r="AN548" s="716">
        <f>IF(OR(status1B5!AO243="",AN$7="No aplica"),0,SUM('BOULEVARD 5'!$K241:AQ241)-$AP548)</f>
        <v>0</v>
      </c>
      <c r="AO548" s="716">
        <f>IF(OR(status1B5!AP243="",AO$7="No aplica"),0,SUM('BOULEVARD 5'!$K241:AS241)-$AP548)</f>
        <v>0</v>
      </c>
      <c r="AP548" s="717">
        <f>'BOULEVARD PPTO'!BC236</f>
        <v>66700</v>
      </c>
      <c r="AQ548" s="717">
        <f>'BOULEVARD 5'!AT241</f>
        <v>66000</v>
      </c>
      <c r="AR548" s="717">
        <f t="shared" si="236"/>
        <v>-700</v>
      </c>
      <c r="AS548" s="717"/>
      <c r="AT548" s="581"/>
    </row>
    <row r="549" spans="1:46" ht="13.15" customHeight="1" outlineLevel="1" x14ac:dyDescent="0.25">
      <c r="A549" s="700">
        <f t="shared" si="234"/>
        <v>0</v>
      </c>
      <c r="B549" s="564">
        <f t="shared" ref="B549:G549" si="278">B244</f>
        <v>1313</v>
      </c>
      <c r="C549" s="564" t="str">
        <f t="shared" si="278"/>
        <v>A2</v>
      </c>
      <c r="D549" s="564">
        <f t="shared" si="278"/>
        <v>0</v>
      </c>
      <c r="E549" s="564" t="str">
        <f t="shared" si="278"/>
        <v>Jose Franco</v>
      </c>
      <c r="F549" s="581" t="str">
        <f t="shared" si="278"/>
        <v>Marcas &amp; Secretos, S.A.</v>
      </c>
      <c r="G549" s="566">
        <f t="shared" si="278"/>
        <v>45021</v>
      </c>
      <c r="H549" s="716">
        <f>IF(OR(status1B5!I244="",H$7="No aplica"),0,SUM('BOULEVARD 5'!$K242:K242)-$AP549)</f>
        <v>0</v>
      </c>
      <c r="I549" s="716">
        <f>IF(OR(status1B5!J244="",I$7="No aplica"),0,SUM('BOULEVARD 5'!$K242:L242)-$AP549)</f>
        <v>-58639</v>
      </c>
      <c r="J549" s="716">
        <f>IF(OR(status1B5!K244="",J$7="No aplica"),0,SUM('BOULEVARD 5'!$K242:M242)-$AP549)</f>
        <v>-56639</v>
      </c>
      <c r="K549" s="716">
        <f>IF(OR(status1B5!L244="",K$7="No aplica"),0,SUM('BOULEVARD 5'!$K242:N242)-$AP549)</f>
        <v>-54639</v>
      </c>
      <c r="L549" s="716">
        <f>IF(OR(status1B5!M244="",L$7="No aplica"),0,SUM('BOULEVARD 5'!$K242:O242)-$AP549)</f>
        <v>-52639</v>
      </c>
      <c r="M549" s="716">
        <f>IF(OR(status1B5!N244="",M$7="No aplica"),0,SUM('BOULEVARD 5'!$K242:P242)-$AP549)</f>
        <v>-50639</v>
      </c>
      <c r="N549" s="716">
        <f>IF(OR(status1B5!O244="",N$7="No aplica"),0,SUM('BOULEVARD 5'!$K242:Q242)-$AP549)</f>
        <v>-48639</v>
      </c>
      <c r="O549" s="716">
        <f>IF(OR(status1B5!P244="",O$7="No aplica"),0,SUM('BOULEVARD 5'!$K242:R242)-$AP549)</f>
        <v>-46639</v>
      </c>
      <c r="P549" s="716">
        <f>IF(OR(status1B5!Q244="",P$7="No aplica"),0,SUM('BOULEVARD 5'!$K242:S242)-$AP549)</f>
        <v>-44639</v>
      </c>
      <c r="Q549" s="716">
        <f>IF(OR(status1B5!R244="",Q$7="No aplica"),0,SUM('BOULEVARD 5'!$K242:T242)-$AP549)</f>
        <v>-42639</v>
      </c>
      <c r="R549" s="716">
        <f>IF(OR(status1B5!S244="",R$7="No aplica"),0,SUM('BOULEVARD 5'!$K242:U242)-$AP549)</f>
        <v>-40639</v>
      </c>
      <c r="S549" s="716">
        <f>IF(OR(status1B5!T244="",S$7="No aplica"),0,SUM('BOULEVARD 5'!$K242:V242)-$AP549)</f>
        <v>-38639</v>
      </c>
      <c r="T549" s="716">
        <f>IF(OR(status1B5!U244="",T$7="No aplica"),0,SUM('BOULEVARD 5'!$K242:W242)-$AP549)</f>
        <v>-36639</v>
      </c>
      <c r="U549" s="716">
        <f>IF(OR(status1B5!V244="",U$7="No aplica"),0,SUM('BOULEVARD 5'!$K242:X242)-$AP549)</f>
        <v>-34639</v>
      </c>
      <c r="V549" s="716">
        <f>IF(OR(status1B5!W244="",V$7="No aplica"),0,SUM('BOULEVARD 5'!$K242:Y242)-$AP549)</f>
        <v>-32639</v>
      </c>
      <c r="W549" s="716">
        <f>IF(OR(status1B5!X244="",W$7="No aplica"),0,SUM('BOULEVARD 5'!$K242:Z242)-$AP549)</f>
        <v>-30639</v>
      </c>
      <c r="X549" s="716">
        <f>IF(OR(status1B5!Y244="",X$7="No aplica"),0,SUM('BOULEVARD 5'!$K242:AA242)-$AP549)</f>
        <v>-28639</v>
      </c>
      <c r="Y549" s="716">
        <f>IF(OR(status1B5!Z244="",Y$7="No aplica"),0,SUM('BOULEVARD 5'!$K242:AB242)-$AP549)</f>
        <v>-28639</v>
      </c>
      <c r="Z549" s="716">
        <f>IF(OR(status1B5!AA244="",Z$7="No aplica"),0,SUM('BOULEVARD 5'!$K242:AC242)-$AP549)</f>
        <v>-24639</v>
      </c>
      <c r="AA549" s="716">
        <f>IF(OR(status1B5!AB244="",AA$7="No aplica"),0,SUM('BOULEVARD 5'!$K242:AD242)-$AP549)</f>
        <v>-22639</v>
      </c>
      <c r="AB549" s="716">
        <f>IF(OR(status1B5!AC244="",AB$7="No aplica"),0,SUM('BOULEVARD 5'!$K242:AE242)-$AP549)</f>
        <v>-20639</v>
      </c>
      <c r="AC549" s="716">
        <f>IF(OR(status1B5!AD244="",AC$7="No aplica"),0,SUM('BOULEVARD 5'!$K242:AF242)-$AP549)</f>
        <v>-18639</v>
      </c>
      <c r="AD549" s="716">
        <f>IF(OR(status1B5!AE244="",AD$7="No aplica"),0,SUM('BOULEVARD 5'!$K242:AG242)-$AP549)</f>
        <v>-18639</v>
      </c>
      <c r="AE549" s="716">
        <f>IF(OR(status1B5!AF244="",AE$7="No aplica"),0,SUM('BOULEVARD 5'!$K242:AH242)-$AP549)</f>
        <v>-14639</v>
      </c>
      <c r="AF549" s="716">
        <f>IF(OR(status1B5!AG244="",AF$7="No aplica"),0,SUM('BOULEVARD 5'!$K242:AI242)-$AP549)</f>
        <v>-12639</v>
      </c>
      <c r="AG549" s="716">
        <f>IF(OR(status1B5!AH244="",AG$7="No aplica"),0,SUM('BOULEVARD 5'!$K242:AJ242)-$AP549)</f>
        <v>-10639</v>
      </c>
      <c r="AH549" s="716">
        <f>IF(OR(status1B5!AI244="",AH$7="No aplica"),0,SUM('BOULEVARD 5'!$K242:AK242)-$AP549)</f>
        <v>-8639</v>
      </c>
      <c r="AI549" s="716">
        <f>IF(OR(status1B5!AJ244="",AI$7="No aplica"),0,SUM('BOULEVARD 5'!$K242:AL242)-$AP549)</f>
        <v>-6639</v>
      </c>
      <c r="AJ549" s="716">
        <f>IF(OR(status1B5!AK244="",AJ$7="No aplica"),0,SUM('BOULEVARD 5'!$K242:AM242)-$AP549)</f>
        <v>-4639</v>
      </c>
      <c r="AK549" s="716">
        <f>IF(OR(status1B5!AL244="",AK$7="No aplica"),0,SUM('BOULEVARD 5'!$K242:AN242)-$AP549)</f>
        <v>-2639</v>
      </c>
      <c r="AL549" s="716">
        <f>IF(OR(status1B5!AM244="",AL$7="No aplica"),0,SUM('BOULEVARD 5'!$K242:AO242)-$AP549)</f>
        <v>0</v>
      </c>
      <c r="AM549" s="716">
        <f>IF(OR(status1B5!AN244="",AM$7="No aplica"),0,SUM('BOULEVARD 5'!$K242:AP242)-$AP549)</f>
        <v>0</v>
      </c>
      <c r="AN549" s="716">
        <f>IF(OR(status1B5!AO244="",AN$7="No aplica"),0,SUM('BOULEVARD 5'!$K242:AQ242)-$AP549)</f>
        <v>0</v>
      </c>
      <c r="AO549" s="716">
        <f>IF(OR(status1B5!AP244="",AO$7="No aplica"),0,SUM('BOULEVARD 5'!$K242:AS242)-$AP549)</f>
        <v>0</v>
      </c>
      <c r="AP549" s="717">
        <f>'BOULEVARD PPTO'!BC237</f>
        <v>64639</v>
      </c>
      <c r="AQ549" s="717">
        <f>'BOULEVARD 5'!AT242</f>
        <v>64639</v>
      </c>
      <c r="AR549" s="717">
        <f t="shared" si="236"/>
        <v>0</v>
      </c>
      <c r="AS549" s="717"/>
      <c r="AT549" s="581"/>
    </row>
    <row r="550" spans="1:46" ht="13.15" customHeight="1" outlineLevel="1" x14ac:dyDescent="0.25">
      <c r="A550" s="700">
        <f t="shared" si="234"/>
        <v>0</v>
      </c>
      <c r="B550" s="564">
        <f t="shared" ref="B550:G550" si="279">B245</f>
        <v>1314</v>
      </c>
      <c r="C550" s="564" t="str">
        <f t="shared" si="279"/>
        <v>A11</v>
      </c>
      <c r="D550" s="564">
        <f t="shared" si="279"/>
        <v>0</v>
      </c>
      <c r="E550" s="564" t="str">
        <f t="shared" si="279"/>
        <v>Brenda Búcaro</v>
      </c>
      <c r="F550" s="581" t="str">
        <f t="shared" si="279"/>
        <v>Sidney Alexander Osorio Montufar</v>
      </c>
      <c r="G550" s="566">
        <f t="shared" si="279"/>
        <v>45005</v>
      </c>
      <c r="H550" s="716">
        <f>IF(OR(status1B5!I245="",H$7="No aplica"),0,SUM('BOULEVARD 5'!$K243:K243)-$AP550)</f>
        <v>-65600</v>
      </c>
      <c r="I550" s="716">
        <f>IF(OR(status1B5!J245="",I$7="No aplica"),0,SUM('BOULEVARD 5'!$K243:L243)-$AP550)</f>
        <v>-64300</v>
      </c>
      <c r="J550" s="716">
        <f>IF(OR(status1B5!K245="",J$7="No aplica"),0,SUM('BOULEVARD 5'!$K243:M243)-$AP550)</f>
        <v>-63000</v>
      </c>
      <c r="K550" s="716">
        <f>IF(OR(status1B5!L245="",K$7="No aplica"),0,SUM('BOULEVARD 5'!$K243:N243)-$AP550)</f>
        <v>-61700</v>
      </c>
      <c r="L550" s="716">
        <f>IF(OR(status1B5!M245="",L$7="No aplica"),0,SUM('BOULEVARD 5'!$K243:O243)-$AP550)</f>
        <v>-60400</v>
      </c>
      <c r="M550" s="716">
        <f>IF(OR(status1B5!N245="",M$7="No aplica"),0,SUM('BOULEVARD 5'!$K243:P243)-$AP550)</f>
        <v>-59100</v>
      </c>
      <c r="N550" s="716">
        <f>IF(OR(status1B5!O245="",N$7="No aplica"),0,SUM('BOULEVARD 5'!$K243:Q243)-$AP550)</f>
        <v>-57800</v>
      </c>
      <c r="O550" s="716">
        <f>IF(OR(status1B5!P245="",O$7="No aplica"),0,SUM('BOULEVARD 5'!$K243:R243)-$AP550)</f>
        <v>-56500</v>
      </c>
      <c r="P550" s="716">
        <f>IF(OR(status1B5!Q245="",P$7="No aplica"),0,SUM('BOULEVARD 5'!$K243:S243)-$AP550)</f>
        <v>-55200</v>
      </c>
      <c r="Q550" s="716">
        <f>IF(OR(status1B5!R245="",Q$7="No aplica"),0,SUM('BOULEVARD 5'!$K243:T243)-$AP550)</f>
        <v>-53900</v>
      </c>
      <c r="R550" s="716">
        <f>IF(OR(status1B5!S245="",R$7="No aplica"),0,SUM('BOULEVARD 5'!$K243:U243)-$AP550)</f>
        <v>-52600</v>
      </c>
      <c r="S550" s="716">
        <f>IF(OR(status1B5!T245="",S$7="No aplica"),0,SUM('BOULEVARD 5'!$K243:V243)-$AP550)</f>
        <v>-51300</v>
      </c>
      <c r="T550" s="716">
        <f>IF(OR(status1B5!U245="",T$7="No aplica"),0,SUM('BOULEVARD 5'!$K243:W243)-$AP550)</f>
        <v>-50000</v>
      </c>
      <c r="U550" s="716">
        <f>IF(OR(status1B5!V245="",U$7="No aplica"),0,SUM('BOULEVARD 5'!$K243:X243)-$AP550)</f>
        <v>-48700</v>
      </c>
      <c r="V550" s="716">
        <f>IF(OR(status1B5!W245="",V$7="No aplica"),0,SUM('BOULEVARD 5'!$K243:Y243)-$AP550)</f>
        <v>-47400</v>
      </c>
      <c r="W550" s="716">
        <f>IF(OR(status1B5!X245="",W$7="No aplica"),0,SUM('BOULEVARD 5'!$K243:Z243)-$AP550)</f>
        <v>-46100</v>
      </c>
      <c r="X550" s="716">
        <f>IF(OR(status1B5!Y245="",X$7="No aplica"),0,SUM('BOULEVARD 5'!$K243:AA243)-$AP550)</f>
        <v>-44800</v>
      </c>
      <c r="Y550" s="716">
        <f>IF(OR(status1B5!Z245="",Y$7="No aplica"),0,SUM('BOULEVARD 5'!$K243:AB243)-$AP550)</f>
        <v>-43500</v>
      </c>
      <c r="Z550" s="716">
        <f>IF(OR(status1B5!AA245="",Z$7="No aplica"),0,SUM('BOULEVARD 5'!$K243:AC243)-$AP550)</f>
        <v>-42200</v>
      </c>
      <c r="AA550" s="716">
        <f>IF(OR(status1B5!AB245="",AA$7="No aplica"),0,SUM('BOULEVARD 5'!$K243:AD243)-$AP550)</f>
        <v>-40900</v>
      </c>
      <c r="AB550" s="716">
        <f>IF(OR(status1B5!AC245="",AB$7="No aplica"),0,SUM('BOULEVARD 5'!$K243:AE243)-$AP550)</f>
        <v>-39600</v>
      </c>
      <c r="AC550" s="716">
        <f>IF(OR(status1B5!AD245="",AC$7="No aplica"),0,SUM('BOULEVARD 5'!$K243:AF243)-$AP550)</f>
        <v>-38300</v>
      </c>
      <c r="AD550" s="716">
        <f>IF(OR(status1B5!AE245="",AD$7="No aplica"),0,SUM('BOULEVARD 5'!$K243:AG243)-$AP550)</f>
        <v>-37000</v>
      </c>
      <c r="AE550" s="716">
        <f>IF(OR(status1B5!AF245="",AE$7="No aplica"),0,SUM('BOULEVARD 5'!$K243:AH243)-$AP550)</f>
        <v>-35700</v>
      </c>
      <c r="AF550" s="716">
        <f>IF(OR(status1B5!AG245="",AF$7="No aplica"),0,SUM('BOULEVARD 5'!$K243:AI243)-$AP550)</f>
        <v>-34400</v>
      </c>
      <c r="AG550" s="716">
        <f>IF(OR(status1B5!AH245="",AG$7="No aplica"),0,SUM('BOULEVARD 5'!$K243:AJ243)-$AP550)</f>
        <v>-33100</v>
      </c>
      <c r="AH550" s="716">
        <f>IF(OR(status1B5!AI245="",AH$7="No aplica"),0,SUM('BOULEVARD 5'!$K243:AK243)-$AP550)</f>
        <v>-31800</v>
      </c>
      <c r="AI550" s="716">
        <f>IF(OR(status1B5!AJ245="",AI$7="No aplica"),0,SUM('BOULEVARD 5'!$K243:AL243)-$AP550)</f>
        <v>-30500</v>
      </c>
      <c r="AJ550" s="716">
        <f>IF(OR(status1B5!AK245="",AJ$7="No aplica"),0,SUM('BOULEVARD 5'!$K243:AM243)-$AP550)</f>
        <v>-29200</v>
      </c>
      <c r="AK550" s="716">
        <f>IF(OR(status1B5!AL245="",AK$7="No aplica"),0,SUM('BOULEVARD 5'!$K243:AN243)-$AP550)</f>
        <v>-27900</v>
      </c>
      <c r="AL550" s="716">
        <f>IF(OR(status1B5!AM245="",AL$7="No aplica"),0,SUM('BOULEVARD 5'!$K243:AO243)-$AP550)</f>
        <v>-26600</v>
      </c>
      <c r="AM550" s="716">
        <f>IF(OR(status1B5!AN245="",AM$7="No aplica"),0,SUM('BOULEVARD 5'!$K243:AP243)-$AP550)</f>
        <v>-25300</v>
      </c>
      <c r="AN550" s="716">
        <f>IF(OR(status1B5!AO245="",AN$7="No aplica"),0,SUM('BOULEVARD 5'!$K243:AQ243)-$AP550)</f>
        <v>0</v>
      </c>
      <c r="AO550" s="716">
        <f>IF(OR(status1B5!AP245="",AO$7="No aplica"),0,SUM('BOULEVARD 5'!$K243:AS243)-$AP550)</f>
        <v>0</v>
      </c>
      <c r="AP550" s="717">
        <f>'BOULEVARD PPTO'!BC238</f>
        <v>71600</v>
      </c>
      <c r="AQ550" s="717">
        <f>'BOULEVARD 5'!AT243</f>
        <v>50200</v>
      </c>
      <c r="AR550" s="717">
        <f t="shared" si="236"/>
        <v>-21400</v>
      </c>
      <c r="AS550" s="717"/>
      <c r="AT550" s="581"/>
    </row>
    <row r="551" spans="1:46" ht="13.15" customHeight="1" outlineLevel="1" x14ac:dyDescent="0.25">
      <c r="A551" s="700">
        <f t="shared" si="234"/>
        <v>0</v>
      </c>
      <c r="B551" s="713">
        <f t="shared" ref="B551:G551" si="280">B246</f>
        <v>1315</v>
      </c>
      <c r="C551" s="565" t="str">
        <f t="shared" si="280"/>
        <v>B4</v>
      </c>
      <c r="D551" s="565">
        <f t="shared" si="280"/>
        <v>0</v>
      </c>
      <c r="E551" s="564" t="str">
        <f t="shared" si="280"/>
        <v>Anahí Cisneros</v>
      </c>
      <c r="F551" s="563" t="str">
        <f t="shared" si="280"/>
        <v>Alan Gonzalez Choc</v>
      </c>
      <c r="G551" s="566">
        <f t="shared" si="280"/>
        <v>45856</v>
      </c>
      <c r="H551" s="716">
        <f>IF(OR(status1B5!I246="",H$7="No aplica"),0,SUM('BOULEVARD 5'!$K244:K244)-$AP551)</f>
        <v>0</v>
      </c>
      <c r="I551" s="716">
        <f>IF(OR(status1B5!J246="",I$7="No aplica"),0,SUM('BOULEVARD 5'!$K244:L244)-$AP551)</f>
        <v>0</v>
      </c>
      <c r="J551" s="716">
        <f>IF(OR(status1B5!K246="",J$7="No aplica"),0,SUM('BOULEVARD 5'!$K244:M244)-$AP551)</f>
        <v>0</v>
      </c>
      <c r="K551" s="716">
        <f>IF(OR(status1B5!L246="",K$7="No aplica"),0,SUM('BOULEVARD 5'!$K244:N244)-$AP551)</f>
        <v>0</v>
      </c>
      <c r="L551" s="716">
        <f>IF(OR(status1B5!M246="",L$7="No aplica"),0,SUM('BOULEVARD 5'!$K244:O244)-$AP551)</f>
        <v>0</v>
      </c>
      <c r="M551" s="716">
        <f>IF(OR(status1B5!N246="",M$7="No aplica"),0,SUM('BOULEVARD 5'!$K244:P244)-$AP551)</f>
        <v>0</v>
      </c>
      <c r="N551" s="716">
        <f>IF(OR(status1B5!O246="",N$7="No aplica"),0,SUM('BOULEVARD 5'!$K244:Q244)-$AP551)</f>
        <v>0</v>
      </c>
      <c r="O551" s="716">
        <f>IF(OR(status1B5!P246="",O$7="No aplica"),0,SUM('BOULEVARD 5'!$K244:R244)-$AP551)</f>
        <v>0</v>
      </c>
      <c r="P551" s="716">
        <f>IF(OR(status1B5!Q246="",P$7="No aplica"),0,SUM('BOULEVARD 5'!$K244:S244)-$AP551)</f>
        <v>0</v>
      </c>
      <c r="Q551" s="716">
        <f>IF(OR(status1B5!R246="",Q$7="No aplica"),0,SUM('BOULEVARD 5'!$K244:T244)-$AP551)</f>
        <v>0</v>
      </c>
      <c r="R551" s="716">
        <f>IF(OR(status1B5!S246="",R$7="No aplica"),0,SUM('BOULEVARD 5'!$K244:U244)-$AP551)</f>
        <v>0</v>
      </c>
      <c r="S551" s="716">
        <f>IF(OR(status1B5!T246="",S$7="No aplica"),0,SUM('BOULEVARD 5'!$K244:V244)-$AP551)</f>
        <v>0</v>
      </c>
      <c r="T551" s="716">
        <f>IF(OR(status1B5!U246="",T$7="No aplica"),0,SUM('BOULEVARD 5'!$K244:W244)-$AP551)</f>
        <v>0</v>
      </c>
      <c r="U551" s="716">
        <f>IF(OR(status1B5!V246="",U$7="No aplica"),0,SUM('BOULEVARD 5'!$K244:X244)-$AP551)</f>
        <v>0</v>
      </c>
      <c r="V551" s="716">
        <f>IF(OR(status1B5!W246="",V$7="No aplica"),0,SUM('BOULEVARD 5'!$K244:Y244)-$AP551)</f>
        <v>0</v>
      </c>
      <c r="W551" s="716">
        <f>IF(OR(status1B5!X246="",W$7="No aplica"),0,SUM('BOULEVARD 5'!$K244:Z244)-$AP551)</f>
        <v>0</v>
      </c>
      <c r="X551" s="716">
        <f>IF(OR(status1B5!Y246="",X$7="No aplica"),0,SUM('BOULEVARD 5'!$K244:AA244)-$AP551)</f>
        <v>0</v>
      </c>
      <c r="Y551" s="716">
        <f>IF(OR(status1B5!Z246="",Y$7="No aplica"),0,SUM('BOULEVARD 5'!$K244:AB244)-$AP551)</f>
        <v>0</v>
      </c>
      <c r="Z551" s="716">
        <f>IF(OR(status1B5!AA246="",Z$7="No aplica"),0,SUM('BOULEVARD 5'!$K244:AC244)-$AP551)</f>
        <v>0</v>
      </c>
      <c r="AA551" s="716">
        <f>IF(OR(status1B5!AB246="",AA$7="No aplica"),0,SUM('BOULEVARD 5'!$K244:AD244)-$AP551)</f>
        <v>0</v>
      </c>
      <c r="AB551" s="716">
        <f>IF(OR(status1B5!AC246="",AB$7="No aplica"),0,SUM('BOULEVARD 5'!$K244:AE244)-$AP551)</f>
        <v>0</v>
      </c>
      <c r="AC551" s="716">
        <f>IF(OR(status1B5!AD246="",AC$7="No aplica"),0,SUM('BOULEVARD 5'!$K244:AF244)-$AP551)</f>
        <v>0</v>
      </c>
      <c r="AD551" s="716">
        <f>IF(OR(status1B5!AE246="",AD$7="No aplica"),0,SUM('BOULEVARD 5'!$K244:AG244)-$AP551)</f>
        <v>0</v>
      </c>
      <c r="AE551" s="716">
        <f>IF(OR(status1B5!AF246="",AE$7="No aplica"),0,SUM('BOULEVARD 5'!$K244:AH244)-$AP551)</f>
        <v>0</v>
      </c>
      <c r="AF551" s="716">
        <f>IF(OR(status1B5!AG246="",AF$7="No aplica"),0,SUM('BOULEVARD 5'!$K244:AI244)-$AP551)</f>
        <v>0</v>
      </c>
      <c r="AG551" s="716">
        <f>IF(OR(status1B5!AH246="",AG$7="No aplica"),0,SUM('BOULEVARD 5'!$K244:AJ244)-$AP551)</f>
        <v>0</v>
      </c>
      <c r="AH551" s="716">
        <f>IF(OR(status1B5!AI246="",AH$7="No aplica"),0,SUM('BOULEVARD 5'!$K244:AK244)-$AP551)</f>
        <v>0</v>
      </c>
      <c r="AI551" s="716">
        <f>IF(OR(status1B5!AJ246="",AI$7="No aplica"),0,SUM('BOULEVARD 5'!$K244:AL244)-$AP551)</f>
        <v>0</v>
      </c>
      <c r="AJ551" s="716">
        <f>IF(OR(status1B5!AK246="",AJ$7="No aplica"),0,SUM('BOULEVARD 5'!$K244:AM244)-$AP551)</f>
        <v>-536137</v>
      </c>
      <c r="AK551" s="716">
        <f>IF(OR(status1B5!AL246="",AK$7="No aplica"),0,SUM('BOULEVARD 5'!$K244:AN244)-$AP551)</f>
        <v>-536137</v>
      </c>
      <c r="AL551" s="716">
        <f>IF(OR(status1B5!AM246="",AL$7="No aplica"),0,SUM('BOULEVARD 5'!$K244:AO244)-$AP551)</f>
        <v>-504037</v>
      </c>
      <c r="AM551" s="716">
        <f>IF(OR(status1B5!AN246="",AM$7="No aplica"),0,SUM('BOULEVARD 5'!$K244:AP244)-$AP551)</f>
        <v>-471937</v>
      </c>
      <c r="AN551" s="716">
        <f>IF(OR(status1B5!AO246="",AN$7="No aplica"),0,SUM('BOULEVARD 5'!$K244:AQ244)-$AP551)</f>
        <v>0</v>
      </c>
      <c r="AO551" s="716">
        <f>IF(OR(status1B5!AP246="",AO$7="No aplica"),0,SUM('BOULEVARD 5'!$K244:AS244)-$AP551)</f>
        <v>0</v>
      </c>
      <c r="AP551" s="717">
        <f>'BOULEVARD PPTO'!BC239</f>
        <v>1072273.99</v>
      </c>
      <c r="AQ551" s="717">
        <f>'BOULEVARD 5'!AT244</f>
        <v>696636.99</v>
      </c>
      <c r="AR551" s="717">
        <f t="shared" si="236"/>
        <v>-375637</v>
      </c>
      <c r="AS551" s="717"/>
      <c r="AT551" s="581"/>
    </row>
    <row r="552" spans="1:46" ht="13.15" customHeight="1" outlineLevel="1" x14ac:dyDescent="0.25">
      <c r="A552" s="700">
        <f t="shared" si="234"/>
        <v>0</v>
      </c>
      <c r="B552" s="564">
        <f t="shared" ref="B552:G552" si="281">B247</f>
        <v>1316</v>
      </c>
      <c r="C552" s="564" t="str">
        <f t="shared" si="281"/>
        <v>B3</v>
      </c>
      <c r="D552" s="564">
        <f t="shared" si="281"/>
        <v>0</v>
      </c>
      <c r="E552" s="564" t="str">
        <f t="shared" si="281"/>
        <v>Antonio Rada</v>
      </c>
      <c r="F552" s="581" t="str">
        <f t="shared" si="281"/>
        <v>Juan Ernesto Vossberg Ordoñez / Sumilab</v>
      </c>
      <c r="G552" s="566">
        <f t="shared" si="281"/>
        <v>45232</v>
      </c>
      <c r="H552" s="716">
        <f>IF(OR(status1B5!I247="",H$7="No aplica"),0,SUM('BOULEVARD 5'!$K245:K245)-$AP552)</f>
        <v>0</v>
      </c>
      <c r="I552" s="716">
        <f>IF(OR(status1B5!J247="",I$7="No aplica"),0,SUM('BOULEVARD 5'!$K245:L245)-$AP552)</f>
        <v>0</v>
      </c>
      <c r="J552" s="716">
        <f>IF(OR(status1B5!K247="",J$7="No aplica"),0,SUM('BOULEVARD 5'!$K245:M245)-$AP552)</f>
        <v>0</v>
      </c>
      <c r="K552" s="716">
        <f>IF(OR(status1B5!L247="",K$7="No aplica"),0,SUM('BOULEVARD 5'!$K245:N245)-$AP552)</f>
        <v>0</v>
      </c>
      <c r="L552" s="716">
        <f>IF(OR(status1B5!M247="",L$7="No aplica"),0,SUM('BOULEVARD 5'!$K245:O245)-$AP552)</f>
        <v>0</v>
      </c>
      <c r="M552" s="716">
        <f>IF(OR(status1B5!N247="",M$7="No aplica"),0,SUM('BOULEVARD 5'!$K245:P245)-$AP552)</f>
        <v>0</v>
      </c>
      <c r="N552" s="716">
        <f>IF(OR(status1B5!O247="",N$7="No aplica"),0,SUM('BOULEVARD 5'!$K245:Q245)-$AP552)</f>
        <v>0</v>
      </c>
      <c r="O552" s="716">
        <f>IF(OR(status1B5!P247="",O$7="No aplica"),0,SUM('BOULEVARD 5'!$K245:R245)-$AP552)</f>
        <v>0</v>
      </c>
      <c r="P552" s="716">
        <f>IF(OR(status1B5!Q247="",P$7="No aplica"),0,SUM('BOULEVARD 5'!$K245:S245)-$AP552)</f>
        <v>-79981.06</v>
      </c>
      <c r="Q552" s="716">
        <f>IF(OR(status1B5!R247="",Q$7="No aplica"),0,SUM('BOULEVARD 5'!$K245:T245)-$AP552)</f>
        <v>-76345.06</v>
      </c>
      <c r="R552" s="716">
        <f>IF(OR(status1B5!S247="",R$7="No aplica"),0,SUM('BOULEVARD 5'!$K245:U245)-$AP552)</f>
        <v>-72709.06</v>
      </c>
      <c r="S552" s="716">
        <f>IF(OR(status1B5!T247="",S$7="No aplica"),0,SUM('BOULEVARD 5'!$K245:V245)-$AP552)</f>
        <v>-69073.06</v>
      </c>
      <c r="T552" s="716">
        <f>IF(OR(status1B5!U247="",T$7="No aplica"),0,SUM('BOULEVARD 5'!$K245:W245)-$AP552)</f>
        <v>-69073.06</v>
      </c>
      <c r="U552" s="716">
        <f>IF(OR(status1B5!V247="",U$7="No aplica"),0,SUM('BOULEVARD 5'!$K245:X245)-$AP552)</f>
        <v>-61801.06</v>
      </c>
      <c r="V552" s="716">
        <f>IF(OR(status1B5!W247="",V$7="No aplica"),0,SUM('BOULEVARD 5'!$K245:Y245)-$AP552)</f>
        <v>-61801.06</v>
      </c>
      <c r="W552" s="716">
        <f>IF(OR(status1B5!X247="",W$7="No aplica"),0,SUM('BOULEVARD 5'!$K245:Z245)-$AP552)</f>
        <v>-61801.06</v>
      </c>
      <c r="X552" s="716">
        <f>IF(OR(status1B5!Y247="",X$7="No aplica"),0,SUM('BOULEVARD 5'!$K245:AA245)-$AP552)</f>
        <v>-61801.06</v>
      </c>
      <c r="Y552" s="716">
        <f>IF(OR(status1B5!Z247="",Y$7="No aplica"),0,SUM('BOULEVARD 5'!$K245:AB245)-$AP552)</f>
        <v>-54529.06</v>
      </c>
      <c r="Z552" s="716">
        <f>IF(OR(status1B5!AA247="",Z$7="No aplica"),0,SUM('BOULEVARD 5'!$K245:AC245)-$AP552)</f>
        <v>-39985.06</v>
      </c>
      <c r="AA552" s="716">
        <f>IF(OR(status1B5!AB247="",AA$7="No aplica"),0,SUM('BOULEVARD 5'!$K245:AD245)-$AP552)</f>
        <v>-32713.059999999998</v>
      </c>
      <c r="AB552" s="716">
        <f>IF(OR(status1B5!AC247="",AB$7="No aplica"),0,SUM('BOULEVARD 5'!$K245:AE245)-$AP552)</f>
        <v>-25441.059999999998</v>
      </c>
      <c r="AC552" s="716">
        <f>IF(OR(status1B5!AD247="",AC$7="No aplica"),0,SUM('BOULEVARD 5'!$K245:AF245)-$AP552)</f>
        <v>-25441.059999999998</v>
      </c>
      <c r="AD552" s="716">
        <f>IF(OR(status1B5!AE247="",AD$7="No aplica"),0,SUM('BOULEVARD 5'!$K245:AG245)-$AP552)</f>
        <v>-25441.059999999998</v>
      </c>
      <c r="AE552" s="716">
        <f>IF(OR(status1B5!AF247="",AE$7="No aplica"),0,SUM('BOULEVARD 5'!$K245:AH245)-$AP552)</f>
        <v>-25441.059999999998</v>
      </c>
      <c r="AF552" s="716">
        <f>IF(OR(status1B5!AG247="",AF$7="No aplica"),0,SUM('BOULEVARD 5'!$K245:AI245)-$AP552)</f>
        <v>-21805.059999999998</v>
      </c>
      <c r="AG552" s="716">
        <f>IF(OR(status1B5!AH247="",AG$7="No aplica"),0,SUM('BOULEVARD 5'!$K245:AJ245)-$AP552)</f>
        <v>-18169.059999999998</v>
      </c>
      <c r="AH552" s="716">
        <f>IF(OR(status1B5!AI247="",AH$7="No aplica"),0,SUM('BOULEVARD 5'!$K245:AK245)-$AP552)</f>
        <v>-14533.059999999998</v>
      </c>
      <c r="AI552" s="716">
        <f>IF(OR(status1B5!AJ247="",AI$7="No aplica"),0,SUM('BOULEVARD 5'!$K245:AL245)-$AP552)</f>
        <v>-10897.059999999998</v>
      </c>
      <c r="AJ552" s="716">
        <f>IF(OR(status1B5!AK247="",AJ$7="No aplica"),0,SUM('BOULEVARD 5'!$K245:AM245)-$AP552)</f>
        <v>-7261.0599999999977</v>
      </c>
      <c r="AK552" s="716">
        <f>IF(OR(status1B5!AL247="",AK$7="No aplica"),0,SUM('BOULEVARD 5'!$K245:AN245)-$AP552)</f>
        <v>-3625.0599999999977</v>
      </c>
      <c r="AL552" s="716">
        <f>IF(OR(status1B5!AM247="",AL$7="No aplica"),0,SUM('BOULEVARD 5'!$K245:AO245)-$AP552)</f>
        <v>-3625.0599999999977</v>
      </c>
      <c r="AM552" s="716">
        <f>IF(OR(status1B5!AN247="",AM$7="No aplica"),0,SUM('BOULEVARD 5'!$K245:AP245)-$AP552)</f>
        <v>-3625.0599999999977</v>
      </c>
      <c r="AN552" s="716">
        <f>IF(OR(status1B5!AO247="",AN$7="No aplica"),0,SUM('BOULEVARD 5'!$K245:AQ245)-$AP552)</f>
        <v>0</v>
      </c>
      <c r="AO552" s="716">
        <f>IF(OR(status1B5!AP247="",AO$7="No aplica"),0,SUM('BOULEVARD 5'!$K245:AS245)-$AP552)</f>
        <v>0</v>
      </c>
      <c r="AP552" s="717">
        <f>'BOULEVARD PPTO'!BC240</f>
        <v>87981.06</v>
      </c>
      <c r="AQ552" s="717">
        <f>'BOULEVARD 5'!AT245</f>
        <v>84356</v>
      </c>
      <c r="AR552" s="717">
        <f t="shared" si="236"/>
        <v>-3625.0599999999977</v>
      </c>
      <c r="AS552" s="717"/>
      <c r="AT552" s="581"/>
    </row>
    <row r="553" spans="1:46" ht="13.15" customHeight="1" outlineLevel="1" x14ac:dyDescent="0.25">
      <c r="A553" s="700">
        <f t="shared" si="234"/>
        <v>0</v>
      </c>
      <c r="B553" s="564">
        <f t="shared" ref="B553:G553" si="282">B248</f>
        <v>1317</v>
      </c>
      <c r="C553" s="564" t="str">
        <f t="shared" si="282"/>
        <v>D4</v>
      </c>
      <c r="D553" s="564">
        <f t="shared" si="282"/>
        <v>0</v>
      </c>
      <c r="E553" s="564" t="str">
        <f t="shared" si="282"/>
        <v>Antonio Rada</v>
      </c>
      <c r="F553" s="581" t="str">
        <f t="shared" si="282"/>
        <v>Marcos David Boror Alpirez</v>
      </c>
      <c r="G553" s="566">
        <f t="shared" si="282"/>
        <v>45525</v>
      </c>
      <c r="H553" s="716">
        <f>IF(OR(status1B5!I248="",H$7="No aplica"),0,SUM('BOULEVARD 5'!$K246:K246)-$AP553)</f>
        <v>0</v>
      </c>
      <c r="I553" s="716">
        <f>IF(OR(status1B5!J248="",I$7="No aplica"),0,SUM('BOULEVARD 5'!$K246:L246)-$AP553)</f>
        <v>0</v>
      </c>
      <c r="J553" s="716">
        <f>IF(OR(status1B5!K248="",J$7="No aplica"),0,SUM('BOULEVARD 5'!$K246:M246)-$AP553)</f>
        <v>0</v>
      </c>
      <c r="K553" s="716">
        <f>IF(OR(status1B5!L248="",K$7="No aplica"),0,SUM('BOULEVARD 5'!$K246:N246)-$AP553)</f>
        <v>0</v>
      </c>
      <c r="L553" s="716">
        <f>IF(OR(status1B5!M248="",L$7="No aplica"),0,SUM('BOULEVARD 5'!$K246:O246)-$AP553)</f>
        <v>0</v>
      </c>
      <c r="M553" s="716">
        <f>IF(OR(status1B5!N248="",M$7="No aplica"),0,SUM('BOULEVARD 5'!$K246:P246)-$AP553)</f>
        <v>0</v>
      </c>
      <c r="N553" s="716">
        <f>IF(OR(status1B5!O248="",N$7="No aplica"),0,SUM('BOULEVARD 5'!$K246:Q246)-$AP553)</f>
        <v>0</v>
      </c>
      <c r="O553" s="716">
        <f>IF(OR(status1B5!P248="",O$7="No aplica"),0,SUM('BOULEVARD 5'!$K246:R246)-$AP553)</f>
        <v>0</v>
      </c>
      <c r="P553" s="716">
        <f>IF(OR(status1B5!Q248="",P$7="No aplica"),0,SUM('BOULEVARD 5'!$K246:S246)-$AP553)</f>
        <v>0</v>
      </c>
      <c r="Q553" s="716">
        <f>IF(OR(status1B5!R248="",Q$7="No aplica"),0,SUM('BOULEVARD 5'!$K246:T246)-$AP553)</f>
        <v>0</v>
      </c>
      <c r="R553" s="716">
        <f>IF(OR(status1B5!S248="",R$7="No aplica"),0,SUM('BOULEVARD 5'!$K246:U246)-$AP553)</f>
        <v>0</v>
      </c>
      <c r="S553" s="716">
        <f>IF(OR(status1B5!T248="",S$7="No aplica"),0,SUM('BOULEVARD 5'!$K246:V246)-$AP553)</f>
        <v>0</v>
      </c>
      <c r="T553" s="716">
        <f>IF(OR(status1B5!U248="",T$7="No aplica"),0,SUM('BOULEVARD 5'!$K246:W246)-$AP553)</f>
        <v>0</v>
      </c>
      <c r="U553" s="716">
        <f>IF(OR(status1B5!V248="",U$7="No aplica"),0,SUM('BOULEVARD 5'!$K246:X246)-$AP553)</f>
        <v>0</v>
      </c>
      <c r="V553" s="716">
        <f>IF(OR(status1B5!W248="",V$7="No aplica"),0,SUM('BOULEVARD 5'!$K246:Y246)-$AP553)</f>
        <v>0</v>
      </c>
      <c r="W553" s="716">
        <f>IF(OR(status1B5!X248="",W$7="No aplica"),0,SUM('BOULEVARD 5'!$K246:Z246)-$AP553)</f>
        <v>0</v>
      </c>
      <c r="X553" s="716">
        <f>IF(OR(status1B5!Y248="",X$7="No aplica"),0,SUM('BOULEVARD 5'!$K246:AA246)-$AP553)</f>
        <v>0</v>
      </c>
      <c r="Y553" s="716">
        <f>IF(OR(status1B5!Z248="",Y$7="No aplica"),0,SUM('BOULEVARD 5'!$K246:AB246)-$AP553)</f>
        <v>-121685</v>
      </c>
      <c r="Z553" s="716">
        <f>IF(OR(status1B5!AA248="",Z$7="No aplica"),0,SUM('BOULEVARD 5'!$K246:AC246)-$AP553)</f>
        <v>-114083</v>
      </c>
      <c r="AA553" s="716">
        <f>IF(OR(status1B5!AB248="",AA$7="No aplica"),0,SUM('BOULEVARD 5'!$K246:AD246)-$AP553)</f>
        <v>-106481</v>
      </c>
      <c r="AB553" s="716">
        <f>IF(OR(status1B5!AC248="",AB$7="No aplica"),0,SUM('BOULEVARD 5'!$K246:AE246)-$AP553)</f>
        <v>-98879</v>
      </c>
      <c r="AC553" s="716">
        <f>IF(OR(status1B5!AD248="",AC$7="No aplica"),0,SUM('BOULEVARD 5'!$K246:AF246)-$AP553)</f>
        <v>-91265</v>
      </c>
      <c r="AD553" s="716">
        <f>IF(OR(status1B5!AE248="",AD$7="No aplica"),0,SUM('BOULEVARD 5'!$K246:AG246)-$AP553)</f>
        <v>-83660</v>
      </c>
      <c r="AE553" s="716">
        <f>IF(OR(status1B5!AF248="",AE$7="No aplica"),0,SUM('BOULEVARD 5'!$K246:AH246)-$AP553)</f>
        <v>-76055</v>
      </c>
      <c r="AF553" s="716">
        <f>IF(OR(status1B5!AG248="",AF$7="No aplica"),0,SUM('BOULEVARD 5'!$K246:AI246)-$AP553)</f>
        <v>-68450</v>
      </c>
      <c r="AG553" s="716">
        <f>IF(OR(status1B5!AH248="",AG$7="No aplica"),0,SUM('BOULEVARD 5'!$K246:AJ246)-$AP553)</f>
        <v>-60845</v>
      </c>
      <c r="AH553" s="716">
        <f>IF(OR(status1B5!AI248="",AH$7="No aplica"),0,SUM('BOULEVARD 5'!$K246:AK246)-$AP553)</f>
        <v>-53240</v>
      </c>
      <c r="AI553" s="716">
        <f>IF(OR(status1B5!AJ248="",AI$7="No aplica"),0,SUM('BOULEVARD 5'!$K246:AL246)-$AP553)</f>
        <v>-45635</v>
      </c>
      <c r="AJ553" s="716">
        <f>IF(OR(status1B5!AK248="",AJ$7="No aplica"),0,SUM('BOULEVARD 5'!$K246:AM246)-$AP553)</f>
        <v>-38030</v>
      </c>
      <c r="AK553" s="716">
        <f>IF(OR(status1B5!AL248="",AK$7="No aplica"),0,SUM('BOULEVARD 5'!$K246:AN246)-$AP553)</f>
        <v>-30425</v>
      </c>
      <c r="AL553" s="716">
        <f>IF(OR(status1B5!AM248="",AL$7="No aplica"),0,SUM('BOULEVARD 5'!$K246:AO246)-$AP553)</f>
        <v>-22820</v>
      </c>
      <c r="AM553" s="716">
        <f>IF(OR(status1B5!AN248="",AM$7="No aplica"),0,SUM('BOULEVARD 5'!$K246:AP246)-$AP553)</f>
        <v>-15215</v>
      </c>
      <c r="AN553" s="716">
        <f>IF(OR(status1B5!AO248="",AN$7="No aplica"),0,SUM('BOULEVARD 5'!$K246:AQ246)-$AP553)</f>
        <v>0</v>
      </c>
      <c r="AO553" s="716">
        <f>IF(OR(status1B5!AP248="",AO$7="No aplica"),0,SUM('BOULEVARD 5'!$K246:AS246)-$AP553)</f>
        <v>0</v>
      </c>
      <c r="AP553" s="717">
        <f>'BOULEVARD PPTO'!BC241</f>
        <v>131685</v>
      </c>
      <c r="AQ553" s="717">
        <f>'BOULEVARD 5'!AT246</f>
        <v>139285</v>
      </c>
      <c r="AR553" s="717">
        <f t="shared" si="236"/>
        <v>7600</v>
      </c>
      <c r="AS553" s="717"/>
      <c r="AT553" s="581"/>
    </row>
    <row r="554" spans="1:46" ht="13.15" customHeight="1" outlineLevel="1" x14ac:dyDescent="0.25">
      <c r="A554" s="700">
        <f t="shared" si="234"/>
        <v>0</v>
      </c>
      <c r="B554" s="564">
        <f t="shared" ref="B554:G554" si="283">B249</f>
        <v>1318</v>
      </c>
      <c r="C554" s="564" t="str">
        <f t="shared" si="283"/>
        <v>D1</v>
      </c>
      <c r="D554" s="564">
        <f t="shared" si="283"/>
        <v>0</v>
      </c>
      <c r="E554" s="564" t="str">
        <f t="shared" si="283"/>
        <v/>
      </c>
      <c r="F554" s="581" t="str">
        <f t="shared" si="283"/>
        <v>Jose Alejandro Abalony Rojas</v>
      </c>
      <c r="G554" s="566">
        <f t="shared" si="283"/>
        <v>45993</v>
      </c>
      <c r="H554" s="716">
        <f>IF(OR(status1B5!I249="",H$7="No aplica"),0,SUM('BOULEVARD 5'!$K247:K247)-$AP554)</f>
        <v>0</v>
      </c>
      <c r="I554" s="716">
        <f>IF(OR(status1B5!J249="",I$7="No aplica"),0,SUM('BOULEVARD 5'!$K247:L247)-$AP554)</f>
        <v>0</v>
      </c>
      <c r="J554" s="716">
        <f>IF(OR(status1B5!K249="",J$7="No aplica"),0,SUM('BOULEVARD 5'!$K247:M247)-$AP554)</f>
        <v>0</v>
      </c>
      <c r="K554" s="716">
        <f>IF(OR(status1B5!L249="",K$7="No aplica"),0,SUM('BOULEVARD 5'!$K247:N247)-$AP554)</f>
        <v>0</v>
      </c>
      <c r="L554" s="716">
        <f>IF(OR(status1B5!M249="",L$7="No aplica"),0,SUM('BOULEVARD 5'!$K247:O247)-$AP554)</f>
        <v>0</v>
      </c>
      <c r="M554" s="716">
        <f>IF(OR(status1B5!N249="",M$7="No aplica"),0,SUM('BOULEVARD 5'!$K247:P247)-$AP554)</f>
        <v>0</v>
      </c>
      <c r="N554" s="716">
        <f>IF(OR(status1B5!O249="",N$7="No aplica"),0,SUM('BOULEVARD 5'!$K247:Q247)-$AP554)</f>
        <v>0</v>
      </c>
      <c r="O554" s="716">
        <f>IF(OR(status1B5!P249="",O$7="No aplica"),0,SUM('BOULEVARD 5'!$K247:R247)-$AP554)</f>
        <v>0</v>
      </c>
      <c r="P554" s="716">
        <f>IF(OR(status1B5!Q249="",P$7="No aplica"),0,SUM('BOULEVARD 5'!$K247:S247)-$AP554)</f>
        <v>0</v>
      </c>
      <c r="Q554" s="716">
        <f>IF(OR(status1B5!R249="",Q$7="No aplica"),0,SUM('BOULEVARD 5'!$K247:T247)-$AP554)</f>
        <v>0</v>
      </c>
      <c r="R554" s="716">
        <f>IF(OR(status1B5!S249="",R$7="No aplica"),0,SUM('BOULEVARD 5'!$K247:U247)-$AP554)</f>
        <v>0</v>
      </c>
      <c r="S554" s="716">
        <f>IF(OR(status1B5!T249="",S$7="No aplica"),0,SUM('BOULEVARD 5'!$K247:V247)-$AP554)</f>
        <v>0</v>
      </c>
      <c r="T554" s="716">
        <f>IF(OR(status1B5!U249="",T$7="No aplica"),0,SUM('BOULEVARD 5'!$K247:W247)-$AP554)</f>
        <v>0</v>
      </c>
      <c r="U554" s="716">
        <f>IF(OR(status1B5!V249="",U$7="No aplica"),0,SUM('BOULEVARD 5'!$K247:X247)-$AP554)</f>
        <v>0</v>
      </c>
      <c r="V554" s="716">
        <f>IF(OR(status1B5!W249="",V$7="No aplica"),0,SUM('BOULEVARD 5'!$K247:Y247)-$AP554)</f>
        <v>0</v>
      </c>
      <c r="W554" s="716">
        <f>IF(OR(status1B5!X249="",W$7="No aplica"),0,SUM('BOULEVARD 5'!$K247:Z247)-$AP554)</f>
        <v>0</v>
      </c>
      <c r="X554" s="716">
        <f>IF(OR(status1B5!Y249="",X$7="No aplica"),0,SUM('BOULEVARD 5'!$K247:AA247)-$AP554)</f>
        <v>0</v>
      </c>
      <c r="Y554" s="716">
        <f>IF(OR(status1B5!Z249="",Y$7="No aplica"),0,SUM('BOULEVARD 5'!$K247:AB247)-$AP554)</f>
        <v>0</v>
      </c>
      <c r="Z554" s="716">
        <f>IF(OR(status1B5!AA249="",Z$7="No aplica"),0,SUM('BOULEVARD 5'!$K247:AC247)-$AP554)</f>
        <v>0</v>
      </c>
      <c r="AA554" s="716">
        <f>IF(OR(status1B5!AB249="",AA$7="No aplica"),0,SUM('BOULEVARD 5'!$K247:AD247)-$AP554)</f>
        <v>0</v>
      </c>
      <c r="AB554" s="716">
        <f>IF(OR(status1B5!AC249="",AB$7="No aplica"),0,SUM('BOULEVARD 5'!$K247:AE247)-$AP554)</f>
        <v>0</v>
      </c>
      <c r="AC554" s="716">
        <f>IF(OR(status1B5!AD249="",AC$7="No aplica"),0,SUM('BOULEVARD 5'!$K247:AF247)-$AP554)</f>
        <v>0</v>
      </c>
      <c r="AD554" s="716">
        <f>IF(OR(status1B5!AE249="",AD$7="No aplica"),0,SUM('BOULEVARD 5'!$K247:AG247)-$AP554)</f>
        <v>0</v>
      </c>
      <c r="AE554" s="716">
        <f>IF(OR(status1B5!AF249="",AE$7="No aplica"),0,SUM('BOULEVARD 5'!$K247:AH247)-$AP554)</f>
        <v>0</v>
      </c>
      <c r="AF554" s="716">
        <f>IF(OR(status1B5!AG249="",AF$7="No aplica"),0,SUM('BOULEVARD 5'!$K247:AI247)-$AP554)</f>
        <v>0</v>
      </c>
      <c r="AG554" s="716">
        <f>IF(OR(status1B5!AH249="",AG$7="No aplica"),0,SUM('BOULEVARD 5'!$K247:AJ247)-$AP554)</f>
        <v>0</v>
      </c>
      <c r="AH554" s="716">
        <f>IF(OR(status1B5!AI249="",AH$7="No aplica"),0,SUM('BOULEVARD 5'!$K247:AK247)-$AP554)</f>
        <v>0</v>
      </c>
      <c r="AI554" s="716">
        <f>IF(OR(status1B5!AJ249="",AI$7="No aplica"),0,SUM('BOULEVARD 5'!$K247:AL247)-$AP554)</f>
        <v>0</v>
      </c>
      <c r="AJ554" s="716">
        <f>IF(OR(status1B5!AK249="",AJ$7="No aplica"),0,SUM('BOULEVARD 5'!$K247:AM247)-$AP554)</f>
        <v>0</v>
      </c>
      <c r="AK554" s="716">
        <f>IF(OR(status1B5!AL249="",AK$7="No aplica"),0,SUM('BOULEVARD 5'!$K247:AN247)-$AP554)</f>
        <v>0</v>
      </c>
      <c r="AL554" s="716">
        <f>IF(OR(status1B5!AM249="",AL$7="No aplica"),0,SUM('BOULEVARD 5'!$K247:AO247)-$AP554)</f>
        <v>0</v>
      </c>
      <c r="AM554" s="716">
        <f>IF(OR(status1B5!AN249="",AM$7="No aplica"),0,SUM('BOULEVARD 5'!$K247:AP247)-$AP554)</f>
        <v>0</v>
      </c>
      <c r="AN554" s="716">
        <f>IF(OR(status1B5!AO249="",AN$7="No aplica"),0,SUM('BOULEVARD 5'!$K247:AQ247)-$AP554)</f>
        <v>0</v>
      </c>
      <c r="AO554" s="716">
        <f>IF(OR(status1B5!AP249="",AO$7="No aplica"),0,SUM('BOULEVARD 5'!$K247:AS247)-$AP554)</f>
        <v>0</v>
      </c>
      <c r="AP554" s="717">
        <f>'BOULEVARD PPTO'!BC242</f>
        <v>0</v>
      </c>
      <c r="AQ554" s="717">
        <f>'BOULEVARD 5'!AT247</f>
        <v>235672</v>
      </c>
      <c r="AR554" s="717">
        <f t="shared" si="236"/>
        <v>235672</v>
      </c>
      <c r="AS554" s="717"/>
      <c r="AT554" s="581"/>
    </row>
    <row r="555" spans="1:46" ht="13.15" customHeight="1" outlineLevel="1" x14ac:dyDescent="0.25">
      <c r="A555" s="700">
        <f t="shared" si="234"/>
        <v>0</v>
      </c>
      <c r="B555" s="564">
        <f t="shared" ref="B555:G555" si="284">B250</f>
        <v>1401</v>
      </c>
      <c r="C555" s="564" t="str">
        <f t="shared" si="284"/>
        <v>D12</v>
      </c>
      <c r="D555" s="564">
        <f t="shared" si="284"/>
        <v>0</v>
      </c>
      <c r="E555" s="564" t="str">
        <f t="shared" si="284"/>
        <v>Brenda Búcaro</v>
      </c>
      <c r="F555" s="581" t="str">
        <f t="shared" si="284"/>
        <v>Fernando García Coronado</v>
      </c>
      <c r="G555" s="566">
        <f t="shared" si="284"/>
        <v>45158</v>
      </c>
      <c r="H555" s="716">
        <f>IF(OR(status1B5!I250="",H$7="No aplica"),0,SUM('BOULEVARD 5'!$K248:K248)-$AP555)</f>
        <v>0</v>
      </c>
      <c r="I555" s="716">
        <f>IF(OR(status1B5!J250="",I$7="No aplica"),0,SUM('BOULEVARD 5'!$K248:L248)-$AP555)</f>
        <v>0</v>
      </c>
      <c r="J555" s="716">
        <f>IF(OR(status1B5!K250="",J$7="No aplica"),0,SUM('BOULEVARD 5'!$K248:M248)-$AP555)</f>
        <v>0</v>
      </c>
      <c r="K555" s="716">
        <f>IF(OR(status1B5!L250="",K$7="No aplica"),0,SUM('BOULEVARD 5'!$K248:N248)-$AP555)</f>
        <v>0</v>
      </c>
      <c r="L555" s="716">
        <f>IF(OR(status1B5!M250="",L$7="No aplica"),0,SUM('BOULEVARD 5'!$K248:O248)-$AP555)</f>
        <v>0</v>
      </c>
      <c r="M555" s="716">
        <f>IF(OR(status1B5!N250="",M$7="No aplica"),0,SUM('BOULEVARD 5'!$K248:P248)-$AP555)</f>
        <v>-111300</v>
      </c>
      <c r="N555" s="716">
        <f>IF(OR(status1B5!O250="",N$7="No aplica"),0,SUM('BOULEVARD 5'!$K248:Q248)-$AP555)</f>
        <v>-106300</v>
      </c>
      <c r="O555" s="716">
        <f>IF(OR(status1B5!P250="",O$7="No aplica"),0,SUM('BOULEVARD 5'!$K248:R248)-$AP555)</f>
        <v>-101300</v>
      </c>
      <c r="P555" s="716">
        <f>IF(OR(status1B5!Q250="",P$7="No aplica"),0,SUM('BOULEVARD 5'!$K248:S248)-$AP555)</f>
        <v>-96300</v>
      </c>
      <c r="Q555" s="716">
        <f>IF(OR(status1B5!R250="",Q$7="No aplica"),0,SUM('BOULEVARD 5'!$K248:T248)-$AP555)</f>
        <v>-91300</v>
      </c>
      <c r="R555" s="716">
        <f>IF(OR(status1B5!S250="",R$7="No aplica"),0,SUM('BOULEVARD 5'!$K248:U248)-$AP555)</f>
        <v>-85300</v>
      </c>
      <c r="S555" s="716">
        <f>IF(OR(status1B5!T250="",S$7="No aplica"),0,SUM('BOULEVARD 5'!$K248:V248)-$AP555)</f>
        <v>-80300</v>
      </c>
      <c r="T555" s="716">
        <f>IF(OR(status1B5!U250="",T$7="No aplica"),0,SUM('BOULEVARD 5'!$K248:W248)-$AP555)</f>
        <v>-75300</v>
      </c>
      <c r="U555" s="716">
        <f>IF(OR(status1B5!V250="",U$7="No aplica"),0,SUM('BOULEVARD 5'!$K248:X248)-$AP555)</f>
        <v>-70300</v>
      </c>
      <c r="V555" s="716">
        <f>IF(OR(status1B5!W250="",V$7="No aplica"),0,SUM('BOULEVARD 5'!$K248:Y248)-$AP555)</f>
        <v>-65300</v>
      </c>
      <c r="W555" s="716">
        <f>IF(OR(status1B5!X250="",W$7="No aplica"),0,SUM('BOULEVARD 5'!$K248:Z248)-$AP555)</f>
        <v>-60300</v>
      </c>
      <c r="X555" s="716">
        <f>IF(OR(status1B5!Y250="",X$7="No aplica"),0,SUM('BOULEVARD 5'!$K248:AA248)-$AP555)</f>
        <v>-55300</v>
      </c>
      <c r="Y555" s="716">
        <f>IF(OR(status1B5!Z250="",Y$7="No aplica"),0,SUM('BOULEVARD 5'!$K248:AB248)-$AP555)</f>
        <v>-55300</v>
      </c>
      <c r="Z555" s="716">
        <f>IF(OR(status1B5!AA250="",Z$7="No aplica"),0,SUM('BOULEVARD 5'!$K248:AC248)-$AP555)</f>
        <v>-48300</v>
      </c>
      <c r="AA555" s="716">
        <f>IF(OR(status1B5!AB250="",AA$7="No aplica"),0,SUM('BOULEVARD 5'!$K248:AD248)-$AP555)</f>
        <v>-43300</v>
      </c>
      <c r="AB555" s="716">
        <f>IF(OR(status1B5!AC250="",AB$7="No aplica"),0,SUM('BOULEVARD 5'!$K248:AE248)-$AP555)</f>
        <v>-33300</v>
      </c>
      <c r="AC555" s="716">
        <f>IF(OR(status1B5!AD250="",AC$7="No aplica"),0,SUM('BOULEVARD 5'!$K248:AF248)-$AP555)</f>
        <v>-28300</v>
      </c>
      <c r="AD555" s="716">
        <f>IF(OR(status1B5!AE250="",AD$7="No aplica"),0,SUM('BOULEVARD 5'!$K248:AG248)-$AP555)</f>
        <v>-23300</v>
      </c>
      <c r="AE555" s="716">
        <f>IF(OR(status1B5!AF250="",AE$7="No aplica"),0,SUM('BOULEVARD 5'!$K248:AH248)-$AP555)</f>
        <v>-18300</v>
      </c>
      <c r="AF555" s="716">
        <f>IF(OR(status1B5!AG250="",AF$7="No aplica"),0,SUM('BOULEVARD 5'!$K248:AI248)-$AP555)</f>
        <v>-18300</v>
      </c>
      <c r="AG555" s="716">
        <f>IF(OR(status1B5!AH250="",AG$7="No aplica"),0,SUM('BOULEVARD 5'!$K248:AJ248)-$AP555)</f>
        <v>-8300</v>
      </c>
      <c r="AH555" s="716">
        <f>IF(OR(status1B5!AI250="",AH$7="No aplica"),0,SUM('BOULEVARD 5'!$K248:AK248)-$AP555)</f>
        <v>-3300</v>
      </c>
      <c r="AI555" s="716">
        <f>IF(OR(status1B5!AJ250="",AI$7="No aplica"),0,SUM('BOULEVARD 5'!$K248:AL248)-$AP555)</f>
        <v>1700</v>
      </c>
      <c r="AJ555" s="716">
        <f>IF(OR(status1B5!AK250="",AJ$7="No aplica"),0,SUM('BOULEVARD 5'!$K248:AM248)-$AP555)</f>
        <v>1700</v>
      </c>
      <c r="AK555" s="716">
        <f>IF(OR(status1B5!AL250="",AK$7="No aplica"),0,SUM('BOULEVARD 5'!$K248:AN248)-$AP555)</f>
        <v>11700</v>
      </c>
      <c r="AL555" s="716">
        <f>IF(OR(status1B5!AM250="",AL$7="No aplica"),0,SUM('BOULEVARD 5'!$K248:AO248)-$AP555)</f>
        <v>11700</v>
      </c>
      <c r="AM555" s="716">
        <f>IF(OR(status1B5!AN250="",AM$7="No aplica"),0,SUM('BOULEVARD 5'!$K248:AP248)-$AP555)</f>
        <v>11700</v>
      </c>
      <c r="AN555" s="716">
        <f>IF(OR(status1B5!AO250="",AN$7="No aplica"),0,SUM('BOULEVARD 5'!$K248:AQ248)-$AP555)</f>
        <v>0</v>
      </c>
      <c r="AO555" s="716">
        <f>IF(OR(status1B5!AP250="",AO$7="No aplica"),0,SUM('BOULEVARD 5'!$K248:AS248)-$AP555)</f>
        <v>0</v>
      </c>
      <c r="AP555" s="717">
        <f>'BOULEVARD PPTO'!BC243</f>
        <v>117300</v>
      </c>
      <c r="AQ555" s="717">
        <f>'BOULEVARD 5'!AT248</f>
        <v>129000</v>
      </c>
      <c r="AR555" s="717">
        <f t="shared" si="236"/>
        <v>11700</v>
      </c>
      <c r="AS555" s="717"/>
      <c r="AT555" s="581"/>
    </row>
    <row r="556" spans="1:46" ht="13.15" customHeight="1" outlineLevel="1" x14ac:dyDescent="0.25">
      <c r="A556" s="700">
        <f t="shared" si="234"/>
        <v>0</v>
      </c>
      <c r="B556" s="564">
        <f t="shared" ref="B556:G556" si="285">B251</f>
        <v>1402</v>
      </c>
      <c r="C556" s="564" t="str">
        <f t="shared" si="285"/>
        <v>D13</v>
      </c>
      <c r="D556" s="564">
        <f t="shared" si="285"/>
        <v>0</v>
      </c>
      <c r="E556" s="564" t="str">
        <f t="shared" si="285"/>
        <v>Antonio Rada</v>
      </c>
      <c r="F556" s="581" t="str">
        <f t="shared" si="285"/>
        <v>Marlen Fabiola Izaguirre Navas</v>
      </c>
      <c r="G556" s="566">
        <f t="shared" si="285"/>
        <v>45572</v>
      </c>
      <c r="H556" s="716">
        <f>IF(OR(status1B5!I251="",H$7="No aplica"),0,SUM('BOULEVARD 5'!$K249:K249)-$AP556)</f>
        <v>0</v>
      </c>
      <c r="I556" s="716">
        <f>IF(OR(status1B5!J251="",I$7="No aplica"),0,SUM('BOULEVARD 5'!$K249:L249)-$AP556)</f>
        <v>0</v>
      </c>
      <c r="J556" s="716">
        <f>IF(OR(status1B5!K251="",J$7="No aplica"),0,SUM('BOULEVARD 5'!$K249:M249)-$AP556)</f>
        <v>0</v>
      </c>
      <c r="K556" s="716">
        <f>IF(OR(status1B5!L251="",K$7="No aplica"),0,SUM('BOULEVARD 5'!$K249:N249)-$AP556)</f>
        <v>0</v>
      </c>
      <c r="L556" s="716">
        <f>IF(OR(status1B5!M251="",L$7="No aplica"),0,SUM('BOULEVARD 5'!$K249:O249)-$AP556)</f>
        <v>0</v>
      </c>
      <c r="M556" s="716">
        <f>IF(OR(status1B5!N251="",M$7="No aplica"),0,SUM('BOULEVARD 5'!$K249:P249)-$AP556)</f>
        <v>0</v>
      </c>
      <c r="N556" s="716">
        <f>IF(OR(status1B5!O251="",N$7="No aplica"),0,SUM('BOULEVARD 5'!$K249:Q249)-$AP556)</f>
        <v>0</v>
      </c>
      <c r="O556" s="716">
        <f>IF(OR(status1B5!P251="",O$7="No aplica"),0,SUM('BOULEVARD 5'!$K249:R249)-$AP556)</f>
        <v>0</v>
      </c>
      <c r="P556" s="716">
        <f>IF(OR(status1B5!Q251="",P$7="No aplica"),0,SUM('BOULEVARD 5'!$K249:S249)-$AP556)</f>
        <v>0</v>
      </c>
      <c r="Q556" s="716">
        <f>IF(OR(status1B5!R251="",Q$7="No aplica"),0,SUM('BOULEVARD 5'!$K249:T249)-$AP556)</f>
        <v>0</v>
      </c>
      <c r="R556" s="716">
        <f>IF(OR(status1B5!S251="",R$7="No aplica"),0,SUM('BOULEVARD 5'!$K249:U249)-$AP556)</f>
        <v>0</v>
      </c>
      <c r="S556" s="716">
        <f>IF(OR(status1B5!T251="",S$7="No aplica"),0,SUM('BOULEVARD 5'!$K249:V249)-$AP556)</f>
        <v>0</v>
      </c>
      <c r="T556" s="716">
        <f>IF(OR(status1B5!U251="",T$7="No aplica"),0,SUM('BOULEVARD 5'!$K249:W249)-$AP556)</f>
        <v>0</v>
      </c>
      <c r="U556" s="716">
        <f>IF(OR(status1B5!V251="",U$7="No aplica"),0,SUM('BOULEVARD 5'!$K249:X249)-$AP556)</f>
        <v>0</v>
      </c>
      <c r="V556" s="716">
        <f>IF(OR(status1B5!W251="",V$7="No aplica"),0,SUM('BOULEVARD 5'!$K249:Y249)-$AP556)</f>
        <v>0</v>
      </c>
      <c r="W556" s="716">
        <f>IF(OR(status1B5!X251="",W$7="No aplica"),0,SUM('BOULEVARD 5'!$K249:Z249)-$AP556)</f>
        <v>0</v>
      </c>
      <c r="X556" s="716">
        <f>IF(OR(status1B5!Y251="",X$7="No aplica"),0,SUM('BOULEVARD 5'!$K249:AA249)-$AP556)</f>
        <v>0</v>
      </c>
      <c r="Y556" s="716">
        <f>IF(OR(status1B5!Z251="",Y$7="No aplica"),0,SUM('BOULEVARD 5'!$K249:AB249)-$AP556)</f>
        <v>0</v>
      </c>
      <c r="Z556" s="716">
        <f>IF(OR(status1B5!AA251="",Z$7="No aplica"),0,SUM('BOULEVARD 5'!$K249:AC249)-$AP556)</f>
        <v>0</v>
      </c>
      <c r="AA556" s="716">
        <f>IF(OR(status1B5!AB251="",AA$7="No aplica"),0,SUM('BOULEVARD 5'!$K249:AD249)-$AP556)</f>
        <v>-115220</v>
      </c>
      <c r="AB556" s="716">
        <f>IF(OR(status1B5!AC251="",AB$7="No aplica"),0,SUM('BOULEVARD 5'!$K249:AE249)-$AP556)</f>
        <v>-106990</v>
      </c>
      <c r="AC556" s="716">
        <f>IF(OR(status1B5!AD251="",AC$7="No aplica"),0,SUM('BOULEVARD 5'!$K249:AF249)-$AP556)</f>
        <v>-98760</v>
      </c>
      <c r="AD556" s="716">
        <f>IF(OR(status1B5!AE251="",AD$7="No aplica"),0,SUM('BOULEVARD 5'!$K249:AG249)-$AP556)</f>
        <v>-90530</v>
      </c>
      <c r="AE556" s="716">
        <f>IF(OR(status1B5!AF251="",AE$7="No aplica"),0,SUM('BOULEVARD 5'!$K249:AH249)-$AP556)</f>
        <v>-82300</v>
      </c>
      <c r="AF556" s="716">
        <f>IF(OR(status1B5!AG251="",AF$7="No aplica"),0,SUM('BOULEVARD 5'!$K249:AI249)-$AP556)</f>
        <v>-74070</v>
      </c>
      <c r="AG556" s="716">
        <f>IF(OR(status1B5!AH251="",AG$7="No aplica"),0,SUM('BOULEVARD 5'!$K249:AJ249)-$AP556)</f>
        <v>-65840</v>
      </c>
      <c r="AH556" s="716">
        <f>IF(OR(status1B5!AI251="",AH$7="No aplica"),0,SUM('BOULEVARD 5'!$K249:AK249)-$AP556)</f>
        <v>-57610</v>
      </c>
      <c r="AI556" s="716">
        <f>IF(OR(status1B5!AJ251="",AI$7="No aplica"),0,SUM('BOULEVARD 5'!$K249:AL249)-$AP556)</f>
        <v>-49380</v>
      </c>
      <c r="AJ556" s="716">
        <f>IF(OR(status1B5!AK251="",AJ$7="No aplica"),0,SUM('BOULEVARD 5'!$K249:AM249)-$AP556)</f>
        <v>-41150</v>
      </c>
      <c r="AK556" s="716">
        <f>IF(OR(status1B5!AL251="",AK$7="No aplica"),0,SUM('BOULEVARD 5'!$K249:AN249)-$AP556)</f>
        <v>-32920</v>
      </c>
      <c r="AL556" s="716">
        <f>IF(OR(status1B5!AM251="",AL$7="No aplica"),0,SUM('BOULEVARD 5'!$K249:AO249)-$AP556)</f>
        <v>-24690</v>
      </c>
      <c r="AM556" s="716">
        <f>IF(OR(status1B5!AN251="",AM$7="No aplica"),0,SUM('BOULEVARD 5'!$K249:AP249)-$AP556)</f>
        <v>-16460</v>
      </c>
      <c r="AN556" s="716">
        <f>IF(OR(status1B5!AO251="",AN$7="No aplica"),0,SUM('BOULEVARD 5'!$K249:AQ249)-$AP556)</f>
        <v>0</v>
      </c>
      <c r="AO556" s="716">
        <f>IF(OR(status1B5!AP251="",AO$7="No aplica"),0,SUM('BOULEVARD 5'!$K249:AS249)-$AP556)</f>
        <v>0</v>
      </c>
      <c r="AP556" s="717">
        <f>'BOULEVARD PPTO'!BC244</f>
        <v>125220</v>
      </c>
      <c r="AQ556" s="717">
        <f>'BOULEVARD 5'!AT249</f>
        <v>125220</v>
      </c>
      <c r="AR556" s="717">
        <f t="shared" si="236"/>
        <v>0</v>
      </c>
      <c r="AS556" s="717"/>
      <c r="AT556" s="581"/>
    </row>
    <row r="557" spans="1:46" ht="13.15" customHeight="1" outlineLevel="1" x14ac:dyDescent="0.25">
      <c r="A557" s="700" t="str">
        <f t="shared" si="234"/>
        <v>F&amp;F</v>
      </c>
      <c r="B557" s="704">
        <f t="shared" ref="B557:G557" si="286">B252</f>
        <v>1403</v>
      </c>
      <c r="C557" s="704" t="str">
        <f t="shared" si="286"/>
        <v>B6</v>
      </c>
      <c r="D557" s="704">
        <f t="shared" si="286"/>
        <v>0</v>
      </c>
      <c r="E557" s="704" t="str">
        <f t="shared" si="286"/>
        <v>Antonio Rada</v>
      </c>
      <c r="F557" s="705" t="str">
        <f t="shared" si="286"/>
        <v>Maria Mercedes Lizarralde Mc Allister</v>
      </c>
      <c r="G557" s="566">
        <f t="shared" si="286"/>
        <v>45012</v>
      </c>
      <c r="H557" s="716">
        <f>IF(OR(status1B5!I252="",H$7="No aplica"),0,SUM('BOULEVARD 5'!$K250:K250)-$AP557)</f>
        <v>0</v>
      </c>
      <c r="I557" s="716">
        <f>IF(OR(status1B5!J252="",I$7="No aplica"),0,SUM('BOULEVARD 5'!$K250:L250)-$AP557)</f>
        <v>0</v>
      </c>
      <c r="J557" s="716">
        <f>IF(OR(status1B5!K252="",J$7="No aplica"),0,SUM('BOULEVARD 5'!$K250:M250)-$AP557)</f>
        <v>0</v>
      </c>
      <c r="K557" s="716">
        <f>IF(OR(status1B5!L252="",K$7="No aplica"),0,SUM('BOULEVARD 5'!$K250:N250)-$AP557)</f>
        <v>0</v>
      </c>
      <c r="L557" s="716">
        <f>IF(OR(status1B5!M252="",L$7="No aplica"),0,SUM('BOULEVARD 5'!$K250:O250)-$AP557)</f>
        <v>0</v>
      </c>
      <c r="M557" s="716">
        <f>IF(OR(status1B5!N252="",M$7="No aplica"),0,SUM('BOULEVARD 5'!$K250:P250)-$AP557)</f>
        <v>0</v>
      </c>
      <c r="N557" s="716">
        <f>IF(OR(status1B5!O252="",N$7="No aplica"),0,SUM('BOULEVARD 5'!$K250:Q250)-$AP557)</f>
        <v>0</v>
      </c>
      <c r="O557" s="716">
        <f>IF(OR(status1B5!P252="",O$7="No aplica"),0,SUM('BOULEVARD 5'!$K250:R250)-$AP557)</f>
        <v>0</v>
      </c>
      <c r="P557" s="716">
        <f>IF(OR(status1B5!Q252="",P$7="No aplica"),0,SUM('BOULEVARD 5'!$K250:S250)-$AP557)</f>
        <v>0</v>
      </c>
      <c r="Q557" s="716">
        <f>IF(OR(status1B5!R252="",Q$7="No aplica"),0,SUM('BOULEVARD 5'!$K250:T250)-$AP557)</f>
        <v>0</v>
      </c>
      <c r="R557" s="716">
        <f>IF(OR(status1B5!S252="",R$7="No aplica"),0,SUM('BOULEVARD 5'!$K250:U250)-$AP557)</f>
        <v>0</v>
      </c>
      <c r="S557" s="716">
        <f>IF(OR(status1B5!T252="",S$7="No aplica"),0,SUM('BOULEVARD 5'!$K250:V250)-$AP557)</f>
        <v>0</v>
      </c>
      <c r="T557" s="716">
        <f>IF(OR(status1B5!U252="",T$7="No aplica"),0,SUM('BOULEVARD 5'!$K250:W250)-$AP557)</f>
        <v>0</v>
      </c>
      <c r="U557" s="716">
        <f>IF(OR(status1B5!V252="",U$7="No aplica"),0,SUM('BOULEVARD 5'!$K250:X250)-$AP557)</f>
        <v>0</v>
      </c>
      <c r="V557" s="716">
        <f>IF(OR(status1B5!W252="",V$7="No aplica"),0,SUM('BOULEVARD 5'!$K250:Y250)-$AP557)</f>
        <v>0</v>
      </c>
      <c r="W557" s="716">
        <f>IF(OR(status1B5!X252="",W$7="No aplica"),0,SUM('BOULEVARD 5'!$K250:Z250)-$AP557)</f>
        <v>0</v>
      </c>
      <c r="X557" s="716">
        <f>IF(OR(status1B5!Y252="",X$7="No aplica"),0,SUM('BOULEVARD 5'!$K250:AA250)-$AP557)</f>
        <v>0</v>
      </c>
      <c r="Y557" s="716">
        <f>IF(OR(status1B5!Z252="",Y$7="No aplica"),0,SUM('BOULEVARD 5'!$K250:AB250)-$AP557)</f>
        <v>0</v>
      </c>
      <c r="Z557" s="716">
        <f>IF(OR(status1B5!AA252="",Z$7="No aplica"),0,SUM('BOULEVARD 5'!$K250:AC250)-$AP557)</f>
        <v>0</v>
      </c>
      <c r="AA557" s="716">
        <f>IF(OR(status1B5!AB252="",AA$7="No aplica"),0,SUM('BOULEVARD 5'!$K250:AD250)-$AP557)</f>
        <v>0</v>
      </c>
      <c r="AB557" s="716">
        <f>IF(OR(status1B5!AC252="",AB$7="No aplica"),0,SUM('BOULEVARD 5'!$K250:AE250)-$AP557)</f>
        <v>0</v>
      </c>
      <c r="AC557" s="716">
        <f>IF(OR(status1B5!AD252="",AC$7="No aplica"),0,SUM('BOULEVARD 5'!$K250:AF250)-$AP557)</f>
        <v>0</v>
      </c>
      <c r="AD557" s="716">
        <f>IF(OR(status1B5!AE252="",AD$7="No aplica"),0,SUM('BOULEVARD 5'!$K250:AG250)-$AP557)</f>
        <v>0</v>
      </c>
      <c r="AE557" s="716">
        <f>IF(OR(status1B5!AF252="",AE$7="No aplica"),0,SUM('BOULEVARD 5'!$K250:AH250)-$AP557)</f>
        <v>0</v>
      </c>
      <c r="AF557" s="716">
        <f>IF(OR(status1B5!AG252="",AF$7="No aplica"),0,SUM('BOULEVARD 5'!$K250:AI250)-$AP557)</f>
        <v>0</v>
      </c>
      <c r="AG557" s="716">
        <f>IF(OR(status1B5!AH252="",AG$7="No aplica"),0,SUM('BOULEVARD 5'!$K250:AJ250)-$AP557)</f>
        <v>0</v>
      </c>
      <c r="AH557" s="716">
        <f>IF(OR(status1B5!AI252="",AH$7="No aplica"),0,SUM('BOULEVARD 5'!$K250:AK250)-$AP557)</f>
        <v>0</v>
      </c>
      <c r="AI557" s="716">
        <f>IF(OR(status1B5!AJ252="",AI$7="No aplica"),0,SUM('BOULEVARD 5'!$K250:AL250)-$AP557)</f>
        <v>0</v>
      </c>
      <c r="AJ557" s="716">
        <f>IF(OR(status1B5!AK252="",AJ$7="No aplica"),0,SUM('BOULEVARD 5'!$K250:AM250)-$AP557)</f>
        <v>0</v>
      </c>
      <c r="AK557" s="716">
        <f>IF(OR(status1B5!AL252="",AK$7="No aplica"),0,SUM('BOULEVARD 5'!$K250:AN250)-$AP557)</f>
        <v>0</v>
      </c>
      <c r="AL557" s="716">
        <f>IF(OR(status1B5!AM252="",AL$7="No aplica"),0,SUM('BOULEVARD 5'!$K250:AO250)-$AP557)</f>
        <v>0</v>
      </c>
      <c r="AM557" s="716">
        <f>IF(OR(status1B5!AN252="",AM$7="No aplica"),0,SUM('BOULEVARD 5'!$K250:AP250)-$AP557)</f>
        <v>0</v>
      </c>
      <c r="AN557" s="716">
        <f>IF(OR(status1B5!AO252="",AN$7="No aplica"),0,SUM('BOULEVARD 5'!$K250:AQ250)-$AP557)</f>
        <v>0</v>
      </c>
      <c r="AO557" s="716">
        <f>IF(OR(status1B5!AP252="",AO$7="No aplica"),0,SUM('BOULEVARD 5'!$K250:AS250)-$AP557)</f>
        <v>0</v>
      </c>
      <c r="AP557" s="717">
        <f>'BOULEVARD PPTO'!BC245</f>
        <v>85327.54</v>
      </c>
      <c r="AQ557" s="717">
        <f>'BOULEVARD 5'!AT250</f>
        <v>30926</v>
      </c>
      <c r="AR557" s="717">
        <f t="shared" si="236"/>
        <v>-54401.539999999994</v>
      </c>
      <c r="AS557" s="717"/>
      <c r="AT557" s="581"/>
    </row>
    <row r="558" spans="1:46" ht="13.15" customHeight="1" outlineLevel="1" x14ac:dyDescent="0.25">
      <c r="A558" s="700">
        <f t="shared" si="234"/>
        <v>0</v>
      </c>
      <c r="B558" s="564">
        <f t="shared" ref="B558:G558" si="287">B253</f>
        <v>1404</v>
      </c>
      <c r="C558" s="564" t="str">
        <f t="shared" si="287"/>
        <v>B1</v>
      </c>
      <c r="D558" s="564">
        <f t="shared" si="287"/>
        <v>0</v>
      </c>
      <c r="E558" s="564" t="str">
        <f t="shared" si="287"/>
        <v>Jose Franco</v>
      </c>
      <c r="F558" s="581" t="str">
        <f t="shared" si="287"/>
        <v>Diego Eduardo Roman Hazard</v>
      </c>
      <c r="G558" s="566">
        <f t="shared" si="287"/>
        <v>45012</v>
      </c>
      <c r="H558" s="716">
        <f>IF(OR(status1B5!I253="",H$7="No aplica"),0,SUM('BOULEVARD 5'!$K251:K251)-$AP558)</f>
        <v>-163971</v>
      </c>
      <c r="I558" s="716">
        <f>IF(OR(status1B5!J253="",I$7="No aplica"),0,SUM('BOULEVARD 5'!$K251:L251)-$AP558)</f>
        <v>-159371</v>
      </c>
      <c r="J558" s="716">
        <f>IF(OR(status1B5!K253="",J$7="No aplica"),0,SUM('BOULEVARD 5'!$K251:M251)-$AP558)</f>
        <v>-154771</v>
      </c>
      <c r="K558" s="716">
        <f>IF(OR(status1B5!L253="",K$7="No aplica"),0,SUM('BOULEVARD 5'!$K251:N251)-$AP558)</f>
        <v>-150171</v>
      </c>
      <c r="L558" s="716">
        <f>IF(OR(status1B5!M253="",L$7="No aplica"),0,SUM('BOULEVARD 5'!$K251:O251)-$AP558)</f>
        <v>-145571</v>
      </c>
      <c r="M558" s="716">
        <f>IF(OR(status1B5!N253="",M$7="No aplica"),0,SUM('BOULEVARD 5'!$K251:P251)-$AP558)</f>
        <v>-140971</v>
      </c>
      <c r="N558" s="716">
        <f>IF(OR(status1B5!O253="",N$7="No aplica"),0,SUM('BOULEVARD 5'!$K251:Q251)-$AP558)</f>
        <v>-136371</v>
      </c>
      <c r="O558" s="716">
        <f>IF(OR(status1B5!P253="",O$7="No aplica"),0,SUM('BOULEVARD 5'!$K251:R251)-$AP558)</f>
        <v>-131771</v>
      </c>
      <c r="P558" s="716">
        <f>IF(OR(status1B5!Q253="",P$7="No aplica"),0,SUM('BOULEVARD 5'!$K251:S251)-$AP558)</f>
        <v>-127171</v>
      </c>
      <c r="Q558" s="716">
        <f>IF(OR(status1B5!R253="",Q$7="No aplica"),0,SUM('BOULEVARD 5'!$K251:T251)-$AP558)</f>
        <v>-122571</v>
      </c>
      <c r="R558" s="716">
        <f>IF(OR(status1B5!S253="",R$7="No aplica"),0,SUM('BOULEVARD 5'!$K251:U251)-$AP558)</f>
        <v>-117971</v>
      </c>
      <c r="S558" s="716">
        <f>IF(OR(status1B5!T253="",S$7="No aplica"),0,SUM('BOULEVARD 5'!$K251:V251)-$AP558)</f>
        <v>-113371</v>
      </c>
      <c r="T558" s="716">
        <f>IF(OR(status1B5!U253="",T$7="No aplica"),0,SUM('BOULEVARD 5'!$K251:W251)-$AP558)</f>
        <v>-108771</v>
      </c>
      <c r="U558" s="716">
        <f>IF(OR(status1B5!V253="",U$7="No aplica"),0,SUM('BOULEVARD 5'!$K251:X251)-$AP558)</f>
        <v>-104171</v>
      </c>
      <c r="V558" s="716">
        <f>IF(OR(status1B5!W253="",V$7="No aplica"),0,SUM('BOULEVARD 5'!$K251:Y251)-$AP558)</f>
        <v>-99571</v>
      </c>
      <c r="W558" s="716">
        <f>IF(OR(status1B5!X253="",W$7="No aplica"),0,SUM('BOULEVARD 5'!$K251:Z251)-$AP558)</f>
        <v>-94971</v>
      </c>
      <c r="X558" s="716">
        <f>IF(OR(status1B5!Y253="",X$7="No aplica"),0,SUM('BOULEVARD 5'!$K251:AA251)-$AP558)</f>
        <v>-90371</v>
      </c>
      <c r="Y558" s="716">
        <f>IF(OR(status1B5!Z253="",Y$7="No aplica"),0,SUM('BOULEVARD 5'!$K251:AB251)-$AP558)</f>
        <v>-90371</v>
      </c>
      <c r="Z558" s="716">
        <f>IF(OR(status1B5!AA253="",Z$7="No aplica"),0,SUM('BOULEVARD 5'!$K251:AC251)-$AP558)</f>
        <v>-81171</v>
      </c>
      <c r="AA558" s="716">
        <f>IF(OR(status1B5!AB253="",AA$7="No aplica"),0,SUM('BOULEVARD 5'!$K251:AD251)-$AP558)</f>
        <v>-76571</v>
      </c>
      <c r="AB558" s="716">
        <f>IF(OR(status1B5!AC253="",AB$7="No aplica"),0,SUM('BOULEVARD 5'!$K251:AE251)-$AP558)</f>
        <v>-71971</v>
      </c>
      <c r="AC558" s="716">
        <f>IF(OR(status1B5!AD253="",AC$7="No aplica"),0,SUM('BOULEVARD 5'!$K251:AF251)-$AP558)</f>
        <v>-67371</v>
      </c>
      <c r="AD558" s="716">
        <f>IF(OR(status1B5!AE253="",AD$7="No aplica"),0,SUM('BOULEVARD 5'!$K251:AG251)-$AP558)</f>
        <v>-62771</v>
      </c>
      <c r="AE558" s="716">
        <f>IF(OR(status1B5!AF253="",AE$7="No aplica"),0,SUM('BOULEVARD 5'!$K251:AH251)-$AP558)</f>
        <v>-58171</v>
      </c>
      <c r="AF558" s="716">
        <f>IF(OR(status1B5!AG253="",AF$7="No aplica"),0,SUM('BOULEVARD 5'!$K251:AI251)-$AP558)</f>
        <v>-53571</v>
      </c>
      <c r="AG558" s="716">
        <f>IF(OR(status1B5!AH253="",AG$7="No aplica"),0,SUM('BOULEVARD 5'!$K251:AJ251)-$AP558)</f>
        <v>-49571</v>
      </c>
      <c r="AH558" s="716">
        <f>IF(OR(status1B5!AI253="",AH$7="No aplica"),0,SUM('BOULEVARD 5'!$K251:AK251)-$AP558)</f>
        <v>-49571</v>
      </c>
      <c r="AI558" s="716">
        <f>IF(OR(status1B5!AJ253="",AI$7="No aplica"),0,SUM('BOULEVARD 5'!$K251:AL251)-$AP558)</f>
        <v>-39971</v>
      </c>
      <c r="AJ558" s="716">
        <f>IF(OR(status1B5!AK253="",AJ$7="No aplica"),0,SUM('BOULEVARD 5'!$K251:AM251)-$AP558)</f>
        <v>-39971</v>
      </c>
      <c r="AK558" s="716">
        <f>IF(OR(status1B5!AL253="",AK$7="No aplica"),0,SUM('BOULEVARD 5'!$K251:AN251)-$AP558)</f>
        <v>-30371</v>
      </c>
      <c r="AL558" s="716">
        <f>IF(OR(status1B5!AM253="",AL$7="No aplica"),0,SUM('BOULEVARD 5'!$K251:AO251)-$AP558)</f>
        <v>-30371</v>
      </c>
      <c r="AM558" s="716">
        <f>IF(OR(status1B5!AN253="",AM$7="No aplica"),0,SUM('BOULEVARD 5'!$K251:AP251)-$AP558)</f>
        <v>-30371</v>
      </c>
      <c r="AN558" s="716">
        <f>IF(OR(status1B5!AO253="",AN$7="No aplica"),0,SUM('BOULEVARD 5'!$K251:AQ251)-$AP558)</f>
        <v>0</v>
      </c>
      <c r="AO558" s="716">
        <f>IF(OR(status1B5!AP253="",AO$7="No aplica"),0,SUM('BOULEVARD 5'!$K251:AS251)-$AP558)</f>
        <v>0</v>
      </c>
      <c r="AP558" s="717">
        <f>'BOULEVARD PPTO'!BC246</f>
        <v>169971</v>
      </c>
      <c r="AQ558" s="717">
        <f>'BOULEVARD 5'!AT251</f>
        <v>139600</v>
      </c>
      <c r="AR558" s="717">
        <f t="shared" si="236"/>
        <v>-30371</v>
      </c>
      <c r="AS558" s="717"/>
      <c r="AT558" s="581"/>
    </row>
    <row r="559" spans="1:46" ht="13.15" customHeight="1" outlineLevel="1" x14ac:dyDescent="0.25">
      <c r="A559" s="700" t="str">
        <f t="shared" si="234"/>
        <v>CE</v>
      </c>
      <c r="B559" s="708">
        <f t="shared" ref="B559:G559" si="288">B254</f>
        <v>1405</v>
      </c>
      <c r="C559" s="564" t="str">
        <f t="shared" si="288"/>
        <v>E2</v>
      </c>
      <c r="D559" s="707" t="str">
        <f t="shared" si="288"/>
        <v>ENGANCHE CANCELADO</v>
      </c>
      <c r="E559" s="564" t="str">
        <f t="shared" si="288"/>
        <v>Antonio Rada</v>
      </c>
      <c r="F559" s="581" t="str">
        <f t="shared" si="288"/>
        <v>Victor Leonel Orozco Lopez</v>
      </c>
      <c r="G559" s="566">
        <f t="shared" si="288"/>
        <v>45034</v>
      </c>
      <c r="H559" s="716">
        <f>IF(OR(status1B5!I254="",H$7="No aplica"),0,SUM('BOULEVARD 5'!$K252:K252)-$AP559)</f>
        <v>0</v>
      </c>
      <c r="I559" s="716">
        <f>IF(OR(status1B5!J254="",I$7="No aplica"),0,SUM('BOULEVARD 5'!$K252:L252)-$AP559)</f>
        <v>-124100</v>
      </c>
      <c r="J559" s="716">
        <f>IF(OR(status1B5!K254="",J$7="No aplica"),0,SUM('BOULEVARD 5'!$K252:M252)-$AP559)</f>
        <v>-119821</v>
      </c>
      <c r="K559" s="716">
        <f>IF(OR(status1B5!L254="",K$7="No aplica"),0,SUM('BOULEVARD 5'!$K252:N252)-$AP559)</f>
        <v>-115542</v>
      </c>
      <c r="L559" s="716">
        <f>IF(OR(status1B5!M254="",L$7="No aplica"),0,SUM('BOULEVARD 5'!$K252:O252)-$AP559)</f>
        <v>-111263</v>
      </c>
      <c r="M559" s="716">
        <f>IF(OR(status1B5!N254="",M$7="No aplica"),0,SUM('BOULEVARD 5'!$K252:P252)-$AP559)</f>
        <v>-106984</v>
      </c>
      <c r="N559" s="716">
        <f>IF(OR(status1B5!O254="",N$7="No aplica"),0,SUM('BOULEVARD 5'!$K252:Q252)-$AP559)</f>
        <v>-102705</v>
      </c>
      <c r="O559" s="716">
        <f>IF(OR(status1B5!P254="",O$7="No aplica"),0,SUM('BOULEVARD 5'!$K252:R252)-$AP559)</f>
        <v>-98426</v>
      </c>
      <c r="P559" s="716">
        <f>IF(OR(status1B5!Q254="",P$7="No aplica"),0,SUM('BOULEVARD 5'!$K252:S252)-$AP559)</f>
        <v>-94147</v>
      </c>
      <c r="Q559" s="716">
        <f>IF(OR(status1B5!R254="",Q$7="No aplica"),0,SUM('BOULEVARD 5'!$K252:T252)-$AP559)</f>
        <v>-89868</v>
      </c>
      <c r="R559" s="716">
        <f>IF(OR(status1B5!S254="",R$7="No aplica"),0,SUM('BOULEVARD 5'!$K252:U252)-$AP559)</f>
        <v>-85589</v>
      </c>
      <c r="S559" s="716">
        <f>IF(OR(status1B5!T254="",S$7="No aplica"),0,SUM('BOULEVARD 5'!$K252:V252)-$AP559)</f>
        <v>-81310</v>
      </c>
      <c r="T559" s="716">
        <f>IF(OR(status1B5!U254="",T$7="No aplica"),0,SUM('BOULEVARD 5'!$K252:W252)-$AP559)</f>
        <v>-77031</v>
      </c>
      <c r="U559" s="716">
        <f>IF(OR(status1B5!V254="",U$7="No aplica"),0,SUM('BOULEVARD 5'!$K252:X252)-$AP559)</f>
        <v>-72752</v>
      </c>
      <c r="V559" s="716">
        <f>IF(OR(status1B5!W254="",V$7="No aplica"),0,SUM('BOULEVARD 5'!$K252:Y252)-$AP559)</f>
        <v>-68473</v>
      </c>
      <c r="W559" s="716">
        <f>IF(OR(status1B5!X254="",W$7="No aplica"),0,SUM('BOULEVARD 5'!$K252:Z252)-$AP559)</f>
        <v>-64194</v>
      </c>
      <c r="X559" s="716">
        <f>IF(OR(status1B5!Y254="",X$7="No aplica"),0,SUM('BOULEVARD 5'!$K252:AA252)-$AP559)</f>
        <v>-59915</v>
      </c>
      <c r="Y559" s="716">
        <f>IF(OR(status1B5!Z254="",Y$7="No aplica"),0,SUM('BOULEVARD 5'!$K252:AB252)-$AP559)</f>
        <v>-55636</v>
      </c>
      <c r="Z559" s="716">
        <f>IF(OR(status1B5!AA254="",Z$7="No aplica"),0,SUM('BOULEVARD 5'!$K252:AC252)-$AP559)</f>
        <v>-51357</v>
      </c>
      <c r="AA559" s="716">
        <f>IF(OR(status1B5!AB254="",AA$7="No aplica"),0,SUM('BOULEVARD 5'!$K252:AD252)-$AP559)</f>
        <v>-47078</v>
      </c>
      <c r="AB559" s="716">
        <f>IF(OR(status1B5!AC254="",AB$7="No aplica"),0,SUM('BOULEVARD 5'!$K252:AE252)-$AP559)</f>
        <v>-42799</v>
      </c>
      <c r="AC559" s="716">
        <f>IF(OR(status1B5!AD254="",AC$7="No aplica"),0,SUM('BOULEVARD 5'!$K252:AF252)-$AP559)</f>
        <v>-38520</v>
      </c>
      <c r="AD559" s="716">
        <f>IF(OR(status1B5!AE254="",AD$7="No aplica"),0,SUM('BOULEVARD 5'!$K252:AG252)-$AP559)</f>
        <v>-34241</v>
      </c>
      <c r="AE559" s="716">
        <f>IF(OR(status1B5!AF254="",AE$7="No aplica"),0,SUM('BOULEVARD 5'!$K252:AH252)-$AP559)</f>
        <v>-29962</v>
      </c>
      <c r="AF559" s="716">
        <f>IF(OR(status1B5!AG254="",AF$7="No aplica"),0,SUM('BOULEVARD 5'!$K252:AI252)-$AP559)</f>
        <v>0</v>
      </c>
      <c r="AG559" s="716">
        <f>IF(OR(status1B5!AH254="",AG$7="No aplica"),0,SUM('BOULEVARD 5'!$K252:AJ252)-$AP559)</f>
        <v>0</v>
      </c>
      <c r="AH559" s="716">
        <f>IF(OR(status1B5!AI254="",AH$7="No aplica"),0,SUM('BOULEVARD 5'!$K252:AK252)-$AP559)</f>
        <v>0</v>
      </c>
      <c r="AI559" s="716">
        <f>IF(OR(status1B5!AJ254="",AI$7="No aplica"),0,SUM('BOULEVARD 5'!$K252:AL252)-$AP559)</f>
        <v>0</v>
      </c>
      <c r="AJ559" s="716">
        <f>IF(OR(status1B5!AK254="",AJ$7="No aplica"),0,SUM('BOULEVARD 5'!$K252:AM252)-$AP559)</f>
        <v>0</v>
      </c>
      <c r="AK559" s="716">
        <f>IF(OR(status1B5!AL254="",AK$7="No aplica"),0,SUM('BOULEVARD 5'!$K252:AN252)-$AP559)</f>
        <v>0</v>
      </c>
      <c r="AL559" s="716">
        <f>IF(OR(status1B5!AM254="",AL$7="No aplica"),0,SUM('BOULEVARD 5'!$K252:AO252)-$AP559)</f>
        <v>0</v>
      </c>
      <c r="AM559" s="716">
        <f>IF(OR(status1B5!AN254="",AM$7="No aplica"),0,SUM('BOULEVARD 5'!$K252:AP252)-$AP559)</f>
        <v>0</v>
      </c>
      <c r="AN559" s="716">
        <f>IF(OR(status1B5!AO254="",AN$7="No aplica"),0,SUM('BOULEVARD 5'!$K252:AQ252)-$AP559)</f>
        <v>0</v>
      </c>
      <c r="AO559" s="716">
        <f>IF(OR(status1B5!AP254="",AO$7="No aplica"),0,SUM('BOULEVARD 5'!$K252:AS252)-$AP559)</f>
        <v>0</v>
      </c>
      <c r="AP559" s="717">
        <f>'BOULEVARD PPTO'!BC247</f>
        <v>130100</v>
      </c>
      <c r="AQ559" s="717">
        <f>'BOULEVARD 5'!AT252</f>
        <v>130100</v>
      </c>
      <c r="AR559" s="717">
        <f t="shared" si="236"/>
        <v>0</v>
      </c>
      <c r="AS559" s="717"/>
      <c r="AT559" s="581"/>
    </row>
    <row r="560" spans="1:46" ht="13.15" customHeight="1" outlineLevel="1" x14ac:dyDescent="0.25">
      <c r="A560" s="700">
        <f t="shared" si="234"/>
        <v>0</v>
      </c>
      <c r="B560" s="564">
        <f t="shared" ref="B560:G560" si="289">B255</f>
        <v>1406</v>
      </c>
      <c r="C560" s="564" t="str">
        <f t="shared" si="289"/>
        <v>A2</v>
      </c>
      <c r="D560" s="564">
        <f t="shared" si="289"/>
        <v>0</v>
      </c>
      <c r="E560" s="564" t="str">
        <f t="shared" si="289"/>
        <v>Jose Franco</v>
      </c>
      <c r="F560" s="581" t="str">
        <f t="shared" si="289"/>
        <v xml:space="preserve"> Jonatan Hans Donis Montenegro</v>
      </c>
      <c r="G560" s="566">
        <f t="shared" si="289"/>
        <v>45012</v>
      </c>
      <c r="H560" s="716">
        <f>IF(OR(status1B5!I255="",H$7="No aplica"),0,SUM('BOULEVARD 5'!$K253:K253)-$AP560)</f>
        <v>-59200</v>
      </c>
      <c r="I560" s="716">
        <f>IF(OR(status1B5!J255="",I$7="No aplica"),0,SUM('BOULEVARD 5'!$K253:L253)-$AP560)</f>
        <v>-57510</v>
      </c>
      <c r="J560" s="716">
        <f>IF(OR(status1B5!K255="",J$7="No aplica"),0,SUM('BOULEVARD 5'!$K253:M253)-$AP560)</f>
        <v>-55820</v>
      </c>
      <c r="K560" s="716">
        <f>IF(OR(status1B5!L255="",K$7="No aplica"),0,SUM('BOULEVARD 5'!$K253:N253)-$AP560)</f>
        <v>-54130</v>
      </c>
      <c r="L560" s="716">
        <f>IF(OR(status1B5!M255="",L$7="No aplica"),0,SUM('BOULEVARD 5'!$K253:O253)-$AP560)</f>
        <v>-52440</v>
      </c>
      <c r="M560" s="716">
        <f>IF(OR(status1B5!N255="",M$7="No aplica"),0,SUM('BOULEVARD 5'!$K253:P253)-$AP560)</f>
        <v>-50750</v>
      </c>
      <c r="N560" s="716">
        <f>IF(OR(status1B5!O255="",N$7="No aplica"),0,SUM('BOULEVARD 5'!$K253:Q253)-$AP560)</f>
        <v>-49060</v>
      </c>
      <c r="O560" s="716">
        <f>IF(OR(status1B5!P255="",O$7="No aplica"),0,SUM('BOULEVARD 5'!$K253:R253)-$AP560)</f>
        <v>-47370</v>
      </c>
      <c r="P560" s="716">
        <f>IF(OR(status1B5!Q255="",P$7="No aplica"),0,SUM('BOULEVARD 5'!$K253:S253)-$AP560)</f>
        <v>-45680</v>
      </c>
      <c r="Q560" s="716">
        <f>IF(OR(status1B5!R255="",Q$7="No aplica"),0,SUM('BOULEVARD 5'!$K253:T253)-$AP560)</f>
        <v>-43990</v>
      </c>
      <c r="R560" s="716">
        <f>IF(OR(status1B5!S255="",R$7="No aplica"),0,SUM('BOULEVARD 5'!$K253:U253)-$AP560)</f>
        <v>-42300</v>
      </c>
      <c r="S560" s="716">
        <f>IF(OR(status1B5!T255="",S$7="No aplica"),0,SUM('BOULEVARD 5'!$K253:V253)-$AP560)</f>
        <v>-40610</v>
      </c>
      <c r="T560" s="716">
        <f>IF(OR(status1B5!U255="",T$7="No aplica"),0,SUM('BOULEVARD 5'!$K253:W253)-$AP560)</f>
        <v>-38920</v>
      </c>
      <c r="U560" s="716">
        <f>IF(OR(status1B5!V255="",U$7="No aplica"),0,SUM('BOULEVARD 5'!$K253:X253)-$AP560)</f>
        <v>-37230</v>
      </c>
      <c r="V560" s="716">
        <f>IF(OR(status1B5!W255="",V$7="No aplica"),0,SUM('BOULEVARD 5'!$K253:Y253)-$AP560)</f>
        <v>-35540</v>
      </c>
      <c r="W560" s="716">
        <f>IF(OR(status1B5!X255="",W$7="No aplica"),0,SUM('BOULEVARD 5'!$K253:Z253)-$AP560)</f>
        <v>-33850</v>
      </c>
      <c r="X560" s="716">
        <f>IF(OR(status1B5!Y255="",X$7="No aplica"),0,SUM('BOULEVARD 5'!$K253:AA253)-$AP560)</f>
        <v>-32160</v>
      </c>
      <c r="Y560" s="716">
        <f>IF(OR(status1B5!Z255="",Y$7="No aplica"),0,SUM('BOULEVARD 5'!$K253:AB253)-$AP560)</f>
        <v>-30470</v>
      </c>
      <c r="Z560" s="716">
        <f>IF(OR(status1B5!AA255="",Z$7="No aplica"),0,SUM('BOULEVARD 5'!$K253:AC253)-$AP560)</f>
        <v>-28780</v>
      </c>
      <c r="AA560" s="716">
        <f>IF(OR(status1B5!AB255="",AA$7="No aplica"),0,SUM('BOULEVARD 5'!$K253:AD253)-$AP560)</f>
        <v>-27090</v>
      </c>
      <c r="AB560" s="716">
        <f>IF(OR(status1B5!AC255="",AB$7="No aplica"),0,SUM('BOULEVARD 5'!$K253:AE253)-$AP560)</f>
        <v>-25400</v>
      </c>
      <c r="AC560" s="716">
        <f>IF(OR(status1B5!AD255="",AC$7="No aplica"),0,SUM('BOULEVARD 5'!$K253:AF253)-$AP560)</f>
        <v>-23710</v>
      </c>
      <c r="AD560" s="716">
        <f>IF(OR(status1B5!AE255="",AD$7="No aplica"),0,SUM('BOULEVARD 5'!$K253:AG253)-$AP560)</f>
        <v>-22020</v>
      </c>
      <c r="AE560" s="716">
        <f>IF(OR(status1B5!AF255="",AE$7="No aplica"),0,SUM('BOULEVARD 5'!$K253:AH253)-$AP560)</f>
        <v>-20330</v>
      </c>
      <c r="AF560" s="716">
        <f>IF(OR(status1B5!AG255="",AF$7="No aplica"),0,SUM('BOULEVARD 5'!$K253:AI253)-$AP560)</f>
        <v>-18640</v>
      </c>
      <c r="AG560" s="716">
        <f>IF(OR(status1B5!AH255="",AG$7="No aplica"),0,SUM('BOULEVARD 5'!$K253:AJ253)-$AP560)</f>
        <v>-16950</v>
      </c>
      <c r="AH560" s="716">
        <f>IF(OR(status1B5!AI255="",AH$7="No aplica"),0,SUM('BOULEVARD 5'!$K253:AK253)-$AP560)</f>
        <v>-15260</v>
      </c>
      <c r="AI560" s="716">
        <f>IF(OR(status1B5!AJ255="",AI$7="No aplica"),0,SUM('BOULEVARD 5'!$K253:AL253)-$AP560)</f>
        <v>-13570</v>
      </c>
      <c r="AJ560" s="716">
        <f>IF(OR(status1B5!AK255="",AJ$7="No aplica"),0,SUM('BOULEVARD 5'!$K253:AM253)-$AP560)</f>
        <v>-11880</v>
      </c>
      <c r="AK560" s="716">
        <f>IF(OR(status1B5!AL255="",AK$7="No aplica"),0,SUM('BOULEVARD 5'!$K253:AN253)-$AP560)</f>
        <v>-10190</v>
      </c>
      <c r="AL560" s="716">
        <f>IF(OR(status1B5!AM255="",AL$7="No aplica"),0,SUM('BOULEVARD 5'!$K253:AO253)-$AP560)</f>
        <v>-8500</v>
      </c>
      <c r="AM560" s="716">
        <f>IF(OR(status1B5!AN255="",AM$7="No aplica"),0,SUM('BOULEVARD 5'!$K253:AP253)-$AP560)</f>
        <v>-6810</v>
      </c>
      <c r="AN560" s="716">
        <f>IF(OR(status1B5!AO255="",AN$7="No aplica"),0,SUM('BOULEVARD 5'!$K253:AQ253)-$AP560)</f>
        <v>0</v>
      </c>
      <c r="AO560" s="716">
        <f>IF(OR(status1B5!AP255="",AO$7="No aplica"),0,SUM('BOULEVARD 5'!$K253:AS253)-$AP560)</f>
        <v>0</v>
      </c>
      <c r="AP560" s="717">
        <f>'BOULEVARD PPTO'!BC248</f>
        <v>65200</v>
      </c>
      <c r="AQ560" s="717">
        <f>'BOULEVARD 5'!AT253</f>
        <v>60080</v>
      </c>
      <c r="AR560" s="717">
        <f t="shared" si="236"/>
        <v>-5120</v>
      </c>
      <c r="AS560" s="717"/>
      <c r="AT560" s="581"/>
    </row>
    <row r="561" spans="1:46" ht="13.15" customHeight="1" outlineLevel="1" x14ac:dyDescent="0.25">
      <c r="A561" s="700" t="str">
        <f t="shared" si="234"/>
        <v>F&amp;F</v>
      </c>
      <c r="B561" s="704">
        <f t="shared" ref="B561:G561" si="290">B256</f>
        <v>1407</v>
      </c>
      <c r="C561" s="704" t="str">
        <f t="shared" si="290"/>
        <v>B5</v>
      </c>
      <c r="D561" s="704">
        <f t="shared" si="290"/>
        <v>0</v>
      </c>
      <c r="E561" s="704" t="str">
        <f t="shared" si="290"/>
        <v>Ronaldo</v>
      </c>
      <c r="F561" s="705" t="str">
        <f t="shared" si="290"/>
        <v>José Herrera Pérez</v>
      </c>
      <c r="G561" s="566">
        <f t="shared" si="290"/>
        <v>45336</v>
      </c>
      <c r="H561" s="716">
        <f>IF(OR(status1B5!I256="",H$7="No aplica"),0,SUM('BOULEVARD 5'!$K254:K254)-$AP561)</f>
        <v>0</v>
      </c>
      <c r="I561" s="716">
        <f>IF(OR(status1B5!J256="",I$7="No aplica"),0,SUM('BOULEVARD 5'!$K254:L254)-$AP561)</f>
        <v>0</v>
      </c>
      <c r="J561" s="716">
        <f>IF(OR(status1B5!K256="",J$7="No aplica"),0,SUM('BOULEVARD 5'!$K254:M254)-$AP561)</f>
        <v>0</v>
      </c>
      <c r="K561" s="716">
        <f>IF(OR(status1B5!L256="",K$7="No aplica"),0,SUM('BOULEVARD 5'!$K254:N254)-$AP561)</f>
        <v>0</v>
      </c>
      <c r="L561" s="716">
        <f>IF(OR(status1B5!M256="",L$7="No aplica"),0,SUM('BOULEVARD 5'!$K254:O254)-$AP561)</f>
        <v>0</v>
      </c>
      <c r="M561" s="716">
        <f>IF(OR(status1B5!N256="",M$7="No aplica"),0,SUM('BOULEVARD 5'!$K254:P254)-$AP561)</f>
        <v>0</v>
      </c>
      <c r="N561" s="716">
        <f>IF(OR(status1B5!O256="",N$7="No aplica"),0,SUM('BOULEVARD 5'!$K254:Q254)-$AP561)</f>
        <v>0</v>
      </c>
      <c r="O561" s="716">
        <f>IF(OR(status1B5!P256="",O$7="No aplica"),0,SUM('BOULEVARD 5'!$K254:R254)-$AP561)</f>
        <v>0</v>
      </c>
      <c r="P561" s="716">
        <f>IF(OR(status1B5!Q256="",P$7="No aplica"),0,SUM('BOULEVARD 5'!$K254:S254)-$AP561)</f>
        <v>0</v>
      </c>
      <c r="Q561" s="716">
        <f>IF(OR(status1B5!R256="",Q$7="No aplica"),0,SUM('BOULEVARD 5'!$K254:T254)-$AP561)</f>
        <v>0</v>
      </c>
      <c r="R561" s="716">
        <f>IF(OR(status1B5!S256="",R$7="No aplica"),0,SUM('BOULEVARD 5'!$K254:U254)-$AP561)</f>
        <v>0</v>
      </c>
      <c r="S561" s="716">
        <f>IF(OR(status1B5!T256="",S$7="No aplica"),0,SUM('BOULEVARD 5'!$K254:V254)-$AP561)</f>
        <v>0</v>
      </c>
      <c r="T561" s="716">
        <f>IF(OR(status1B5!U256="",T$7="No aplica"),0,SUM('BOULEVARD 5'!$K254:W254)-$AP561)</f>
        <v>0</v>
      </c>
      <c r="U561" s="716">
        <f>IF(OR(status1B5!V256="",U$7="No aplica"),0,SUM('BOULEVARD 5'!$K254:X254)-$AP561)</f>
        <v>0</v>
      </c>
      <c r="V561" s="716">
        <f>IF(OR(status1B5!W256="",V$7="No aplica"),0,SUM('BOULEVARD 5'!$K254:Y254)-$AP561)</f>
        <v>0</v>
      </c>
      <c r="W561" s="716">
        <f>IF(OR(status1B5!X256="",W$7="No aplica"),0,SUM('BOULEVARD 5'!$K254:Z254)-$AP561)</f>
        <v>0</v>
      </c>
      <c r="X561" s="716">
        <f>IF(OR(status1B5!Y256="",X$7="No aplica"),0,SUM('BOULEVARD 5'!$K254:AA254)-$AP561)</f>
        <v>0</v>
      </c>
      <c r="Y561" s="716">
        <f>IF(OR(status1B5!Z256="",Y$7="No aplica"),0,SUM('BOULEVARD 5'!$K254:AB254)-$AP561)</f>
        <v>0</v>
      </c>
      <c r="Z561" s="716">
        <f>IF(OR(status1B5!AA256="",Z$7="No aplica"),0,SUM('BOULEVARD 5'!$K254:AC254)-$AP561)</f>
        <v>0</v>
      </c>
      <c r="AA561" s="716">
        <f>IF(OR(status1B5!AB256="",AA$7="No aplica"),0,SUM('BOULEVARD 5'!$K254:AD254)-$AP561)</f>
        <v>0</v>
      </c>
      <c r="AB561" s="716">
        <f>IF(OR(status1B5!AC256="",AB$7="No aplica"),0,SUM('BOULEVARD 5'!$K254:AE254)-$AP561)</f>
        <v>0</v>
      </c>
      <c r="AC561" s="716">
        <f>IF(OR(status1B5!AD256="",AC$7="No aplica"),0,SUM('BOULEVARD 5'!$K254:AF254)-$AP561)</f>
        <v>0</v>
      </c>
      <c r="AD561" s="716">
        <f>IF(OR(status1B5!AE256="",AD$7="No aplica"),0,SUM('BOULEVARD 5'!$K254:AG254)-$AP561)</f>
        <v>0</v>
      </c>
      <c r="AE561" s="716">
        <f>IF(OR(status1B5!AF256="",AE$7="No aplica"),0,SUM('BOULEVARD 5'!$K254:AH254)-$AP561)</f>
        <v>0</v>
      </c>
      <c r="AF561" s="716">
        <f>IF(OR(status1B5!AG256="",AF$7="No aplica"),0,SUM('BOULEVARD 5'!$K254:AI254)-$AP561)</f>
        <v>0</v>
      </c>
      <c r="AG561" s="716">
        <f>IF(OR(status1B5!AH256="",AG$7="No aplica"),0,SUM('BOULEVARD 5'!$K254:AJ254)-$AP561)</f>
        <v>0</v>
      </c>
      <c r="AH561" s="716">
        <f>IF(OR(status1B5!AI256="",AH$7="No aplica"),0,SUM('BOULEVARD 5'!$K254:AK254)-$AP561)</f>
        <v>0</v>
      </c>
      <c r="AI561" s="716">
        <f>IF(OR(status1B5!AJ256="",AI$7="No aplica"),0,SUM('BOULEVARD 5'!$K254:AL254)-$AP561)</f>
        <v>0</v>
      </c>
      <c r="AJ561" s="716">
        <f>IF(OR(status1B5!AK256="",AJ$7="No aplica"),0,SUM('BOULEVARD 5'!$K254:AM254)-$AP561)</f>
        <v>0</v>
      </c>
      <c r="AK561" s="716">
        <f>IF(OR(status1B5!AL256="",AK$7="No aplica"),0,SUM('BOULEVARD 5'!$K254:AN254)-$AP561)</f>
        <v>0</v>
      </c>
      <c r="AL561" s="716">
        <f>IF(OR(status1B5!AM256="",AL$7="No aplica"),0,SUM('BOULEVARD 5'!$K254:AO254)-$AP561)</f>
        <v>0</v>
      </c>
      <c r="AM561" s="716">
        <f>IF(OR(status1B5!AN256="",AM$7="No aplica"),0,SUM('BOULEVARD 5'!$K254:AP254)-$AP561)</f>
        <v>0</v>
      </c>
      <c r="AN561" s="716">
        <f>IF(OR(status1B5!AO256="",AN$7="No aplica"),0,SUM('BOULEVARD 5'!$K254:AQ254)-$AP561)</f>
        <v>0</v>
      </c>
      <c r="AO561" s="716">
        <f>IF(OR(status1B5!AP256="",AO$7="No aplica"),0,SUM('BOULEVARD 5'!$K254:AS254)-$AP561)</f>
        <v>0</v>
      </c>
      <c r="AP561" s="717">
        <f>'BOULEVARD PPTO'!BC249</f>
        <v>107410</v>
      </c>
      <c r="AQ561" s="717">
        <f>'BOULEVARD 5'!AT254</f>
        <v>107410</v>
      </c>
      <c r="AR561" s="717">
        <f t="shared" si="236"/>
        <v>0</v>
      </c>
      <c r="AS561" s="717"/>
      <c r="AT561" s="581"/>
    </row>
    <row r="562" spans="1:46" ht="13.15" customHeight="1" outlineLevel="1" x14ac:dyDescent="0.25">
      <c r="A562" s="700">
        <f t="shared" si="234"/>
        <v>0</v>
      </c>
      <c r="B562" s="564">
        <f t="shared" ref="B562:G562" si="291">B257</f>
        <v>1408</v>
      </c>
      <c r="C562" s="564" t="str">
        <f t="shared" si="291"/>
        <v>B8</v>
      </c>
      <c r="D562" s="564">
        <f t="shared" si="291"/>
        <v>0</v>
      </c>
      <c r="E562" s="564" t="str">
        <f t="shared" si="291"/>
        <v>Erwin Cardona</v>
      </c>
      <c r="F562" s="581" t="str">
        <f t="shared" si="291"/>
        <v>GUILLERMO ALFREDO SAENZ DE TEJADA VILLEDA</v>
      </c>
      <c r="G562" s="566">
        <f t="shared" si="291"/>
        <v>46027</v>
      </c>
      <c r="H562" s="716">
        <f>IF(OR(status1B5!I257="",H$7="No aplica"),0,SUM('BOULEVARD 5'!$K255:K255)-$AP562)</f>
        <v>0</v>
      </c>
      <c r="I562" s="716">
        <f>IF(OR(status1B5!J257="",I$7="No aplica"),0,SUM('BOULEVARD 5'!$K255:L255)-$AP562)</f>
        <v>0</v>
      </c>
      <c r="J562" s="716">
        <f>IF(OR(status1B5!K257="",J$7="No aplica"),0,SUM('BOULEVARD 5'!$K255:M255)-$AP562)</f>
        <v>0</v>
      </c>
      <c r="K562" s="716">
        <f>IF(OR(status1B5!L257="",K$7="No aplica"),0,SUM('BOULEVARD 5'!$K255:N255)-$AP562)</f>
        <v>0</v>
      </c>
      <c r="L562" s="716">
        <f>IF(OR(status1B5!M257="",L$7="No aplica"),0,SUM('BOULEVARD 5'!$K255:O255)-$AP562)</f>
        <v>0</v>
      </c>
      <c r="M562" s="716">
        <f>IF(OR(status1B5!N257="",M$7="No aplica"),0,SUM('BOULEVARD 5'!$K255:P255)-$AP562)</f>
        <v>0</v>
      </c>
      <c r="N562" s="716">
        <f>IF(OR(status1B5!O257="",N$7="No aplica"),0,SUM('BOULEVARD 5'!$K255:Q255)-$AP562)</f>
        <v>0</v>
      </c>
      <c r="O562" s="716">
        <f>IF(OR(status1B5!P257="",O$7="No aplica"),0,SUM('BOULEVARD 5'!$K255:R255)-$AP562)</f>
        <v>0</v>
      </c>
      <c r="P562" s="716">
        <f>IF(OR(status1B5!Q257="",P$7="No aplica"),0,SUM('BOULEVARD 5'!$K255:S255)-$AP562)</f>
        <v>0</v>
      </c>
      <c r="Q562" s="716">
        <f>IF(OR(status1B5!R257="",Q$7="No aplica"),0,SUM('BOULEVARD 5'!$K255:T255)-$AP562)</f>
        <v>0</v>
      </c>
      <c r="R562" s="716">
        <f>IF(OR(status1B5!S257="",R$7="No aplica"),0,SUM('BOULEVARD 5'!$K255:U255)-$AP562)</f>
        <v>0</v>
      </c>
      <c r="S562" s="716">
        <f>IF(OR(status1B5!T257="",S$7="No aplica"),0,SUM('BOULEVARD 5'!$K255:V255)-$AP562)</f>
        <v>0</v>
      </c>
      <c r="T562" s="716">
        <f>IF(OR(status1B5!U257="",T$7="No aplica"),0,SUM('BOULEVARD 5'!$K255:W255)-$AP562)</f>
        <v>0</v>
      </c>
      <c r="U562" s="716">
        <f>IF(OR(status1B5!V257="",U$7="No aplica"),0,SUM('BOULEVARD 5'!$K255:X255)-$AP562)</f>
        <v>0</v>
      </c>
      <c r="V562" s="716">
        <f>IF(OR(status1B5!W257="",V$7="No aplica"),0,SUM('BOULEVARD 5'!$K255:Y255)-$AP562)</f>
        <v>0</v>
      </c>
      <c r="W562" s="716">
        <f>IF(OR(status1B5!X257="",W$7="No aplica"),0,SUM('BOULEVARD 5'!$K255:Z255)-$AP562)</f>
        <v>0</v>
      </c>
      <c r="X562" s="716">
        <f>IF(OR(status1B5!Y257="",X$7="No aplica"),0,SUM('BOULEVARD 5'!$K255:AA255)-$AP562)</f>
        <v>0</v>
      </c>
      <c r="Y562" s="716">
        <f>IF(OR(status1B5!Z257="",Y$7="No aplica"),0,SUM('BOULEVARD 5'!$K255:AB255)-$AP562)</f>
        <v>0</v>
      </c>
      <c r="Z562" s="716">
        <f>IF(OR(status1B5!AA257="",Z$7="No aplica"),0,SUM('BOULEVARD 5'!$K255:AC255)-$AP562)</f>
        <v>0</v>
      </c>
      <c r="AA562" s="716">
        <f>IF(OR(status1B5!AB257="",AA$7="No aplica"),0,SUM('BOULEVARD 5'!$K255:AD255)-$AP562)</f>
        <v>0</v>
      </c>
      <c r="AB562" s="716">
        <f>IF(OR(status1B5!AC257="",AB$7="No aplica"),0,SUM('BOULEVARD 5'!$K255:AE255)-$AP562)</f>
        <v>0</v>
      </c>
      <c r="AC562" s="716">
        <f>IF(OR(status1B5!AD257="",AC$7="No aplica"),0,SUM('BOULEVARD 5'!$K255:AF255)-$AP562)</f>
        <v>0</v>
      </c>
      <c r="AD562" s="716">
        <f>IF(OR(status1B5!AE257="",AD$7="No aplica"),0,SUM('BOULEVARD 5'!$K255:AG255)-$AP562)</f>
        <v>0</v>
      </c>
      <c r="AE562" s="716">
        <f>IF(OR(status1B5!AF257="",AE$7="No aplica"),0,SUM('BOULEVARD 5'!$K255:AH255)-$AP562)</f>
        <v>0</v>
      </c>
      <c r="AF562" s="716">
        <f>IF(OR(status1B5!AG257="",AF$7="No aplica"),0,SUM('BOULEVARD 5'!$K255:AI255)-$AP562)</f>
        <v>0</v>
      </c>
      <c r="AG562" s="716">
        <f>IF(OR(status1B5!AH257="",AG$7="No aplica"),0,SUM('BOULEVARD 5'!$K255:AJ255)-$AP562)</f>
        <v>0</v>
      </c>
      <c r="AH562" s="716">
        <f>IF(OR(status1B5!AI257="",AH$7="No aplica"),0,SUM('BOULEVARD 5'!$K255:AK255)-$AP562)</f>
        <v>0</v>
      </c>
      <c r="AI562" s="716">
        <f>IF(OR(status1B5!AJ257="",AI$7="No aplica"),0,SUM('BOULEVARD 5'!$K255:AL255)-$AP562)</f>
        <v>0</v>
      </c>
      <c r="AJ562" s="716">
        <f>IF(OR(status1B5!AK257="",AJ$7="No aplica"),0,SUM('BOULEVARD 5'!$K255:AM255)-$AP562)</f>
        <v>0</v>
      </c>
      <c r="AK562" s="716">
        <f>IF(OR(status1B5!AL257="",AK$7="No aplica"),0,SUM('BOULEVARD 5'!$K255:AN255)-$AP562)</f>
        <v>0</v>
      </c>
      <c r="AL562" s="716">
        <f>IF(OR(status1B5!AM257="",AL$7="No aplica"),0,SUM('BOULEVARD 5'!$K255:AO255)-$AP562)</f>
        <v>0</v>
      </c>
      <c r="AM562" s="716">
        <f>IF(OR(status1B5!AN257="",AM$7="No aplica"),0,SUM('BOULEVARD 5'!$K255:AP255)-$AP562)</f>
        <v>0</v>
      </c>
      <c r="AN562" s="716">
        <f>IF(OR(status1B5!AO257="",AN$7="No aplica"),0,SUM('BOULEVARD 5'!$K255:AQ255)-$AP562)</f>
        <v>0</v>
      </c>
      <c r="AO562" s="716">
        <f>IF(OR(status1B5!AP257="",AO$7="No aplica"),0,SUM('BOULEVARD 5'!$K255:AS255)-$AP562)</f>
        <v>0</v>
      </c>
      <c r="AP562" s="717">
        <f>'BOULEVARD PPTO'!BC250</f>
        <v>0</v>
      </c>
      <c r="AQ562" s="717">
        <f>'BOULEVARD 5'!AT255</f>
        <v>9489.2900000000009</v>
      </c>
      <c r="AR562" s="717">
        <f t="shared" si="236"/>
        <v>9489.2900000000009</v>
      </c>
      <c r="AS562" s="717"/>
      <c r="AT562" s="581"/>
    </row>
    <row r="563" spans="1:46" ht="13.15" customHeight="1" outlineLevel="1" x14ac:dyDescent="0.25">
      <c r="A563" s="700" t="str">
        <f t="shared" si="234"/>
        <v>F&amp;F</v>
      </c>
      <c r="B563" s="704">
        <f t="shared" ref="B563:G563" si="292">B258</f>
        <v>1409</v>
      </c>
      <c r="C563" s="704" t="str">
        <f t="shared" si="292"/>
        <v>B4</v>
      </c>
      <c r="D563" s="704">
        <f t="shared" si="292"/>
        <v>0</v>
      </c>
      <c r="E563" s="704" t="str">
        <f t="shared" si="292"/>
        <v>Ronaldo</v>
      </c>
      <c r="F563" s="705" t="str">
        <f t="shared" si="292"/>
        <v>International Coffee Industry, S.A</v>
      </c>
      <c r="G563" s="566">
        <f t="shared" si="292"/>
        <v>45300</v>
      </c>
      <c r="H563" s="716">
        <f>IF(OR(status1B5!I258="",H$7="No aplica"),0,SUM('BOULEVARD 5'!$K256:K256)-$AP563)</f>
        <v>0</v>
      </c>
      <c r="I563" s="716">
        <f>IF(OR(status1B5!J258="",I$7="No aplica"),0,SUM('BOULEVARD 5'!$K256:L256)-$AP563)</f>
        <v>0</v>
      </c>
      <c r="J563" s="716">
        <f>IF(OR(status1B5!K258="",J$7="No aplica"),0,SUM('BOULEVARD 5'!$K256:M256)-$AP563)</f>
        <v>0</v>
      </c>
      <c r="K563" s="716">
        <f>IF(OR(status1B5!L258="",K$7="No aplica"),0,SUM('BOULEVARD 5'!$K256:N256)-$AP563)</f>
        <v>0</v>
      </c>
      <c r="L563" s="716">
        <f>IF(OR(status1B5!M258="",L$7="No aplica"),0,SUM('BOULEVARD 5'!$K256:O256)-$AP563)</f>
        <v>0</v>
      </c>
      <c r="M563" s="716">
        <f>IF(OR(status1B5!N258="",M$7="No aplica"),0,SUM('BOULEVARD 5'!$K256:P256)-$AP563)</f>
        <v>0</v>
      </c>
      <c r="N563" s="716">
        <f>IF(OR(status1B5!O258="",N$7="No aplica"),0,SUM('BOULEVARD 5'!$K256:Q256)-$AP563)</f>
        <v>0</v>
      </c>
      <c r="O563" s="716">
        <f>IF(OR(status1B5!P258="",O$7="No aplica"),0,SUM('BOULEVARD 5'!$K256:R256)-$AP563)</f>
        <v>0</v>
      </c>
      <c r="P563" s="716">
        <f>IF(OR(status1B5!Q258="",P$7="No aplica"),0,SUM('BOULEVARD 5'!$K256:S256)-$AP563)</f>
        <v>0</v>
      </c>
      <c r="Q563" s="716">
        <f>IF(OR(status1B5!R258="",Q$7="No aplica"),0,SUM('BOULEVARD 5'!$K256:T256)-$AP563)</f>
        <v>0</v>
      </c>
      <c r="R563" s="716">
        <f>IF(OR(status1B5!S258="",R$7="No aplica"),0,SUM('BOULEVARD 5'!$K256:U256)-$AP563)</f>
        <v>0</v>
      </c>
      <c r="S563" s="716">
        <f>IF(OR(status1B5!T258="",S$7="No aplica"),0,SUM('BOULEVARD 5'!$K256:V256)-$AP563)</f>
        <v>0</v>
      </c>
      <c r="T563" s="716">
        <f>IF(OR(status1B5!U258="",T$7="No aplica"),0,SUM('BOULEVARD 5'!$K256:W256)-$AP563)</f>
        <v>0</v>
      </c>
      <c r="U563" s="716">
        <f>IF(OR(status1B5!V258="",U$7="No aplica"),0,SUM('BOULEVARD 5'!$K256:X256)-$AP563)</f>
        <v>0</v>
      </c>
      <c r="V563" s="716">
        <f>IF(OR(status1B5!W258="",V$7="No aplica"),0,SUM('BOULEVARD 5'!$K256:Y256)-$AP563)</f>
        <v>0</v>
      </c>
      <c r="W563" s="716">
        <f>IF(OR(status1B5!X258="",W$7="No aplica"),0,SUM('BOULEVARD 5'!$K256:Z256)-$AP563)</f>
        <v>0</v>
      </c>
      <c r="X563" s="716">
        <f>IF(OR(status1B5!Y258="",X$7="No aplica"),0,SUM('BOULEVARD 5'!$K256:AA256)-$AP563)</f>
        <v>0</v>
      </c>
      <c r="Y563" s="716">
        <f>IF(OR(status1B5!Z258="",Y$7="No aplica"),0,SUM('BOULEVARD 5'!$K256:AB256)-$AP563)</f>
        <v>0</v>
      </c>
      <c r="Z563" s="716">
        <f>IF(OR(status1B5!AA258="",Z$7="No aplica"),0,SUM('BOULEVARD 5'!$K256:AC256)-$AP563)</f>
        <v>0</v>
      </c>
      <c r="AA563" s="716">
        <f>IF(OR(status1B5!AB258="",AA$7="No aplica"),0,SUM('BOULEVARD 5'!$K256:AD256)-$AP563)</f>
        <v>0</v>
      </c>
      <c r="AB563" s="716">
        <f>IF(OR(status1B5!AC258="",AB$7="No aplica"),0,SUM('BOULEVARD 5'!$K256:AE256)-$AP563)</f>
        <v>0</v>
      </c>
      <c r="AC563" s="716">
        <f>IF(OR(status1B5!AD258="",AC$7="No aplica"),0,SUM('BOULEVARD 5'!$K256:AF256)-$AP563)</f>
        <v>0</v>
      </c>
      <c r="AD563" s="716">
        <f>IF(OR(status1B5!AE258="",AD$7="No aplica"),0,SUM('BOULEVARD 5'!$K256:AG256)-$AP563)</f>
        <v>0</v>
      </c>
      <c r="AE563" s="716">
        <f>IF(OR(status1B5!AF258="",AE$7="No aplica"),0,SUM('BOULEVARD 5'!$K256:AH256)-$AP563)</f>
        <v>0</v>
      </c>
      <c r="AF563" s="716">
        <f>IF(OR(status1B5!AG258="",AF$7="No aplica"),0,SUM('BOULEVARD 5'!$K256:AI256)-$AP563)</f>
        <v>0</v>
      </c>
      <c r="AG563" s="716">
        <f>IF(OR(status1B5!AH258="",AG$7="No aplica"),0,SUM('BOULEVARD 5'!$K256:AJ256)-$AP563)</f>
        <v>0</v>
      </c>
      <c r="AH563" s="716">
        <f>IF(OR(status1B5!AI258="",AH$7="No aplica"),0,SUM('BOULEVARD 5'!$K256:AK256)-$AP563)</f>
        <v>0</v>
      </c>
      <c r="AI563" s="716">
        <f>IF(OR(status1B5!AJ258="",AI$7="No aplica"),0,SUM('BOULEVARD 5'!$K256:AL256)-$AP563)</f>
        <v>0</v>
      </c>
      <c r="AJ563" s="716">
        <f>IF(OR(status1B5!AK258="",AJ$7="No aplica"),0,SUM('BOULEVARD 5'!$K256:AM256)-$AP563)</f>
        <v>0</v>
      </c>
      <c r="AK563" s="716">
        <f>IF(OR(status1B5!AL258="",AK$7="No aplica"),0,SUM('BOULEVARD 5'!$K256:AN256)-$AP563)</f>
        <v>0</v>
      </c>
      <c r="AL563" s="716">
        <f>IF(OR(status1B5!AM258="",AL$7="No aplica"),0,SUM('BOULEVARD 5'!$K256:AO256)-$AP563)</f>
        <v>0</v>
      </c>
      <c r="AM563" s="716">
        <f>IF(OR(status1B5!AN258="",AM$7="No aplica"),0,SUM('BOULEVARD 5'!$K256:AP256)-$AP563)</f>
        <v>0</v>
      </c>
      <c r="AN563" s="716">
        <f>IF(OR(status1B5!AO258="",AN$7="No aplica"),0,SUM('BOULEVARD 5'!$K256:AQ256)-$AP563)</f>
        <v>0</v>
      </c>
      <c r="AO563" s="716">
        <f>IF(OR(status1B5!AP258="",AO$7="No aplica"),0,SUM('BOULEVARD 5'!$K256:AS256)-$AP563)</f>
        <v>0</v>
      </c>
      <c r="AP563" s="717">
        <f>'BOULEVARD PPTO'!BC251</f>
        <v>85840</v>
      </c>
      <c r="AQ563" s="717">
        <f>'BOULEVARD 5'!AT256</f>
        <v>0</v>
      </c>
      <c r="AR563" s="717">
        <f t="shared" si="236"/>
        <v>-85840</v>
      </c>
      <c r="AS563" s="717"/>
      <c r="AT563" s="581"/>
    </row>
    <row r="564" spans="1:46" ht="13.15" customHeight="1" outlineLevel="1" x14ac:dyDescent="0.25">
      <c r="A564" s="700" t="str">
        <f t="shared" si="234"/>
        <v>CE</v>
      </c>
      <c r="B564" s="564">
        <f t="shared" ref="B564:G564" si="293">B259</f>
        <v>1410</v>
      </c>
      <c r="C564" s="564" t="str">
        <f t="shared" si="293"/>
        <v>B3</v>
      </c>
      <c r="D564" s="647" t="str">
        <f t="shared" si="293"/>
        <v>Plan de pagos especiales</v>
      </c>
      <c r="E564" s="564" t="str">
        <f t="shared" si="293"/>
        <v>Antonio Rada</v>
      </c>
      <c r="F564" s="581" t="str">
        <f t="shared" si="293"/>
        <v>Selvin Ramiro Gamez Perez</v>
      </c>
      <c r="G564" s="566">
        <f t="shared" si="293"/>
        <v>45327</v>
      </c>
      <c r="H564" s="716">
        <f>IF(OR(status1B5!I259="",H$7="No aplica"),0,SUM('BOULEVARD 5'!$K257:K257)-$AP564)</f>
        <v>0</v>
      </c>
      <c r="I564" s="716">
        <f>IF(OR(status1B5!J259="",I$7="No aplica"),0,SUM('BOULEVARD 5'!$K257:L257)-$AP564)</f>
        <v>0</v>
      </c>
      <c r="J564" s="716">
        <f>IF(OR(status1B5!K259="",J$7="No aplica"),0,SUM('BOULEVARD 5'!$K257:M257)-$AP564)</f>
        <v>0</v>
      </c>
      <c r="K564" s="716">
        <f>IF(OR(status1B5!L259="",K$7="No aplica"),0,SUM('BOULEVARD 5'!$K257:N257)-$AP564)</f>
        <v>0</v>
      </c>
      <c r="L564" s="716">
        <f>IF(OR(status1B5!M259="",L$7="No aplica"),0,SUM('BOULEVARD 5'!$K257:O257)-$AP564)</f>
        <v>0</v>
      </c>
      <c r="M564" s="716">
        <f>IF(OR(status1B5!N259="",M$7="No aplica"),0,SUM('BOULEVARD 5'!$K257:P257)-$AP564)</f>
        <v>0</v>
      </c>
      <c r="N564" s="716">
        <f>IF(OR(status1B5!O259="",N$7="No aplica"),0,SUM('BOULEVARD 5'!$K257:Q257)-$AP564)</f>
        <v>0</v>
      </c>
      <c r="O564" s="716">
        <f>IF(OR(status1B5!P259="",O$7="No aplica"),0,SUM('BOULEVARD 5'!$K257:R257)-$AP564)</f>
        <v>0</v>
      </c>
      <c r="P564" s="716">
        <f>IF(OR(status1B5!Q259="",P$7="No aplica"),0,SUM('BOULEVARD 5'!$K257:S257)-$AP564)</f>
        <v>0</v>
      </c>
      <c r="Q564" s="716">
        <f>IF(OR(status1B5!R259="",Q$7="No aplica"),0,SUM('BOULEVARD 5'!$K257:T257)-$AP564)</f>
        <v>0</v>
      </c>
      <c r="R564" s="716">
        <f>IF(OR(status1B5!S259="",R$7="No aplica"),0,SUM('BOULEVARD 5'!$K257:U257)-$AP564)</f>
        <v>0</v>
      </c>
      <c r="S564" s="716">
        <f>IF(OR(status1B5!T259="",S$7="No aplica"),0,SUM('BOULEVARD 5'!$K257:V257)-$AP564)</f>
        <v>-80800</v>
      </c>
      <c r="T564" s="716">
        <f>IF(OR(status1B5!U259="",T$7="No aplica"),0,SUM('BOULEVARD 5'!$K257:W257)-$AP564)</f>
        <v>-80800</v>
      </c>
      <c r="U564" s="716">
        <f>IF(OR(status1B5!V259="",U$7="No aplica"),0,SUM('BOULEVARD 5'!$K257:X257)-$AP564)</f>
        <v>-80800</v>
      </c>
      <c r="V564" s="716">
        <f>IF(OR(status1B5!W259="",V$7="No aplica"),0,SUM('BOULEVARD 5'!$K257:Y257)-$AP564)</f>
        <v>-75800</v>
      </c>
      <c r="W564" s="716">
        <f>IF(OR(status1B5!X259="",W$7="No aplica"),0,SUM('BOULEVARD 5'!$K257:Z257)-$AP564)</f>
        <v>-75800</v>
      </c>
      <c r="X564" s="716">
        <f>IF(OR(status1B5!Y259="",X$7="No aplica"),0,SUM('BOULEVARD 5'!$K257:AA257)-$AP564)</f>
        <v>-70800</v>
      </c>
      <c r="Y564" s="716">
        <f>IF(OR(status1B5!Z259="",Y$7="No aplica"),0,SUM('BOULEVARD 5'!$K257:AB257)-$AP564)</f>
        <v>-65800</v>
      </c>
      <c r="Z564" s="716">
        <f>IF(OR(status1B5!AA259="",Z$7="No aplica"),0,SUM('BOULEVARD 5'!$K257:AC257)-$AP564)</f>
        <v>-60800</v>
      </c>
      <c r="AA564" s="716">
        <f>IF(OR(status1B5!AB259="",AA$7="No aplica"),0,SUM('BOULEVARD 5'!$K257:AD257)-$AP564)</f>
        <v>-60800</v>
      </c>
      <c r="AB564" s="716">
        <f>IF(OR(status1B5!AC259="",AB$7="No aplica"),0,SUM('BOULEVARD 5'!$K257:AE257)-$AP564)</f>
        <v>-55800</v>
      </c>
      <c r="AC564" s="716">
        <f>IF(OR(status1B5!AD259="",AC$7="No aplica"),0,SUM('BOULEVARD 5'!$K257:AF257)-$AP564)</f>
        <v>-50800</v>
      </c>
      <c r="AD564" s="716">
        <f>IF(OR(status1B5!AE259="",AD$7="No aplica"),0,SUM('BOULEVARD 5'!$K257:AG257)-$AP564)</f>
        <v>-45800</v>
      </c>
      <c r="AE564" s="716">
        <f>IF(OR(status1B5!AF259="",AE$7="No aplica"),0,SUM('BOULEVARD 5'!$K257:AH257)-$AP564)</f>
        <v>-45800</v>
      </c>
      <c r="AF564" s="716">
        <f>IF(OR(status1B5!AG259="",AF$7="No aplica"),0,SUM('BOULEVARD 5'!$K257:AI257)-$AP564)</f>
        <v>-40800</v>
      </c>
      <c r="AG564" s="716">
        <f>IF(OR(status1B5!AH259="",AG$7="No aplica"),0,SUM('BOULEVARD 5'!$K257:AJ257)-$AP564)</f>
        <v>-35800</v>
      </c>
      <c r="AH564" s="716">
        <f>IF(OR(status1B5!AI259="",AH$7="No aplica"),0,SUM('BOULEVARD 5'!$K257:AK257)-$AP564)</f>
        <v>-25800</v>
      </c>
      <c r="AI564" s="716">
        <f>IF(OR(status1B5!AJ259="",AI$7="No aplica"),0,SUM('BOULEVARD 5'!$K257:AL257)-$AP564)</f>
        <v>-20800</v>
      </c>
      <c r="AJ564" s="716">
        <f>IF(OR(status1B5!AK259="",AJ$7="No aplica"),0,SUM('BOULEVARD 5'!$K257:AM257)-$AP564)</f>
        <v>-15800</v>
      </c>
      <c r="AK564" s="716">
        <f>IF(OR(status1B5!AL259="",AK$7="No aplica"),0,SUM('BOULEVARD 5'!$K257:AN257)-$AP564)</f>
        <v>-15800</v>
      </c>
      <c r="AL564" s="716">
        <f>IF(OR(status1B5!AM259="",AL$7="No aplica"),0,SUM('BOULEVARD 5'!$K257:AO257)-$AP564)</f>
        <v>-15800</v>
      </c>
      <c r="AM564" s="716">
        <f>IF(OR(status1B5!AN259="",AM$7="No aplica"),0,SUM('BOULEVARD 5'!$K257:AP257)-$AP564)</f>
        <v>-5800</v>
      </c>
      <c r="AN564" s="716">
        <f>IF(OR(status1B5!AO259="",AN$7="No aplica"),0,SUM('BOULEVARD 5'!$K257:AQ257)-$AP564)</f>
        <v>0</v>
      </c>
      <c r="AO564" s="716">
        <f>IF(OR(status1B5!AP259="",AO$7="No aplica"),0,SUM('BOULEVARD 5'!$K257:AS257)-$AP564)</f>
        <v>0</v>
      </c>
      <c r="AP564" s="717">
        <f>'BOULEVARD PPTO'!BC252</f>
        <v>88800</v>
      </c>
      <c r="AQ564" s="717">
        <f>'BOULEVARD 5'!AT257</f>
        <v>88800</v>
      </c>
      <c r="AR564" s="717">
        <f t="shared" si="236"/>
        <v>0</v>
      </c>
      <c r="AS564" s="717"/>
      <c r="AT564" s="581"/>
    </row>
    <row r="565" spans="1:46" ht="13.15" customHeight="1" outlineLevel="1" x14ac:dyDescent="0.25">
      <c r="A565" s="700">
        <f t="shared" si="234"/>
        <v>0</v>
      </c>
      <c r="B565" s="564">
        <f t="shared" ref="B565:G565" si="294">B260</f>
        <v>1411</v>
      </c>
      <c r="C565" s="564" t="str">
        <f t="shared" si="294"/>
        <v>E8</v>
      </c>
      <c r="D565" s="564">
        <f t="shared" si="294"/>
        <v>0</v>
      </c>
      <c r="E565" s="564" t="str">
        <f t="shared" si="294"/>
        <v>Antonio Rada</v>
      </c>
      <c r="F565" s="581" t="str">
        <f t="shared" si="294"/>
        <v>Julio Cesar Morales Díaz</v>
      </c>
      <c r="G565" s="566">
        <f t="shared" si="294"/>
        <v>45096</v>
      </c>
      <c r="H565" s="716">
        <f>IF(OR(status1B5!I260="",H$7="No aplica"),0,SUM('BOULEVARD 5'!$K258:K258)-$AP565)</f>
        <v>0</v>
      </c>
      <c r="I565" s="716">
        <f>IF(OR(status1B5!J260="",I$7="No aplica"),0,SUM('BOULEVARD 5'!$K258:L258)-$AP565)</f>
        <v>0</v>
      </c>
      <c r="J565" s="716">
        <f>IF(OR(status1B5!K260="",J$7="No aplica"),0,SUM('BOULEVARD 5'!$K258:M258)-$AP565)</f>
        <v>0</v>
      </c>
      <c r="K565" s="716">
        <f>IF(OR(status1B5!L260="",K$7="No aplica"),0,SUM('BOULEVARD 5'!$K258:N258)-$AP565)</f>
        <v>-132300</v>
      </c>
      <c r="L565" s="716">
        <f>IF(OR(status1B5!M260="",L$7="No aplica"),0,SUM('BOULEVARD 5'!$K258:O258)-$AP565)</f>
        <v>-127400</v>
      </c>
      <c r="M565" s="716">
        <f>IF(OR(status1B5!N260="",M$7="No aplica"),0,SUM('BOULEVARD 5'!$K258:P258)-$AP565)</f>
        <v>-122500</v>
      </c>
      <c r="N565" s="716">
        <f>IF(OR(status1B5!O260="",N$7="No aplica"),0,SUM('BOULEVARD 5'!$K258:Q258)-$AP565)</f>
        <v>-117600</v>
      </c>
      <c r="O565" s="716">
        <f>IF(OR(status1B5!P260="",O$7="No aplica"),0,SUM('BOULEVARD 5'!$K258:R258)-$AP565)</f>
        <v>-117600</v>
      </c>
      <c r="P565" s="716">
        <f>IF(OR(status1B5!Q260="",P$7="No aplica"),0,SUM('BOULEVARD 5'!$K258:S258)-$AP565)</f>
        <v>-107800</v>
      </c>
      <c r="Q565" s="716">
        <f>IF(OR(status1B5!R260="",Q$7="No aplica"),0,SUM('BOULEVARD 5'!$K258:T258)-$AP565)</f>
        <v>-107800</v>
      </c>
      <c r="R565" s="716">
        <f>IF(OR(status1B5!S260="",R$7="No aplica"),0,SUM('BOULEVARD 5'!$K258:U258)-$AP565)</f>
        <v>-98000</v>
      </c>
      <c r="S565" s="716">
        <f>IF(OR(status1B5!T260="",S$7="No aplica"),0,SUM('BOULEVARD 5'!$K258:V258)-$AP565)</f>
        <v>-98000</v>
      </c>
      <c r="T565" s="716">
        <f>IF(OR(status1B5!U260="",T$7="No aplica"),0,SUM('BOULEVARD 5'!$K258:W258)-$AP565)</f>
        <v>-93100</v>
      </c>
      <c r="U565" s="716">
        <f>IF(OR(status1B5!V260="",U$7="No aplica"),0,SUM('BOULEVARD 5'!$K258:X258)-$AP565)</f>
        <v>-88200</v>
      </c>
      <c r="V565" s="716">
        <f>IF(OR(status1B5!W260="",V$7="No aplica"),0,SUM('BOULEVARD 5'!$K258:Y258)-$AP565)</f>
        <v>-78400</v>
      </c>
      <c r="W565" s="716">
        <f>IF(OR(status1B5!X260="",W$7="No aplica"),0,SUM('BOULEVARD 5'!$K258:Z258)-$AP565)</f>
        <v>-78400</v>
      </c>
      <c r="X565" s="716">
        <f>IF(OR(status1B5!Y260="",X$7="No aplica"),0,SUM('BOULEVARD 5'!$K258:AA258)-$AP565)</f>
        <v>-73500</v>
      </c>
      <c r="Y565" s="716">
        <f>IF(OR(status1B5!Z260="",Y$7="No aplica"),0,SUM('BOULEVARD 5'!$K258:AB258)-$AP565)</f>
        <v>-63700</v>
      </c>
      <c r="Z565" s="716">
        <f>IF(OR(status1B5!AA260="",Z$7="No aplica"),0,SUM('BOULEVARD 5'!$K258:AC258)-$AP565)</f>
        <v>-63700</v>
      </c>
      <c r="AA565" s="716">
        <f>IF(OR(status1B5!AB260="",AA$7="No aplica"),0,SUM('BOULEVARD 5'!$K258:AD258)-$AP565)</f>
        <v>-58800</v>
      </c>
      <c r="AB565" s="716">
        <f>IF(OR(status1B5!AC260="",AB$7="No aplica"),0,SUM('BOULEVARD 5'!$K258:AE258)-$AP565)</f>
        <v>-53900</v>
      </c>
      <c r="AC565" s="716">
        <f>IF(OR(status1B5!AD260="",AC$7="No aplica"),0,SUM('BOULEVARD 5'!$K258:AF258)-$AP565)</f>
        <v>-49000</v>
      </c>
      <c r="AD565" s="716">
        <f>IF(OR(status1B5!AE260="",AD$7="No aplica"),0,SUM('BOULEVARD 5'!$K258:AG258)-$AP565)</f>
        <v>-44100</v>
      </c>
      <c r="AE565" s="716">
        <f>IF(OR(status1B5!AF260="",AE$7="No aplica"),0,SUM('BOULEVARD 5'!$K258:AH258)-$AP565)</f>
        <v>-39200</v>
      </c>
      <c r="AF565" s="716">
        <f>IF(OR(status1B5!AG260="",AF$7="No aplica"),0,SUM('BOULEVARD 5'!$K258:AI258)-$AP565)</f>
        <v>-34300</v>
      </c>
      <c r="AG565" s="716">
        <f>IF(OR(status1B5!AH260="",AG$7="No aplica"),0,SUM('BOULEVARD 5'!$K258:AJ258)-$AP565)</f>
        <v>-29400</v>
      </c>
      <c r="AH565" s="716">
        <f>IF(OR(status1B5!AI260="",AH$7="No aplica"),0,SUM('BOULEVARD 5'!$K258:AK258)-$AP565)</f>
        <v>-19600</v>
      </c>
      <c r="AI565" s="716">
        <f>IF(OR(status1B5!AJ260="",AI$7="No aplica"),0,SUM('BOULEVARD 5'!$K258:AL258)-$AP565)</f>
        <v>-14700</v>
      </c>
      <c r="AJ565" s="716">
        <f>IF(OR(status1B5!AK260="",AJ$7="No aplica"),0,SUM('BOULEVARD 5'!$K258:AM258)-$AP565)</f>
        <v>-9800</v>
      </c>
      <c r="AK565" s="716">
        <f>IF(OR(status1B5!AL260="",AK$7="No aplica"),0,SUM('BOULEVARD 5'!$K258:AN258)-$AP565)</f>
        <v>-4900</v>
      </c>
      <c r="AL565" s="716">
        <f>IF(OR(status1B5!AM260="",AL$7="No aplica"),0,SUM('BOULEVARD 5'!$K258:AO258)-$AP565)</f>
        <v>0</v>
      </c>
      <c r="AM565" s="716">
        <f>IF(OR(status1B5!AN260="",AM$7="No aplica"),0,SUM('BOULEVARD 5'!$K258:AP258)-$AP565)</f>
        <v>0</v>
      </c>
      <c r="AN565" s="716">
        <f>IF(OR(status1B5!AO260="",AN$7="No aplica"),0,SUM('BOULEVARD 5'!$K258:AQ258)-$AP565)</f>
        <v>0</v>
      </c>
      <c r="AO565" s="716">
        <f>IF(OR(status1B5!AP260="",AO$7="No aplica"),0,SUM('BOULEVARD 5'!$K258:AS258)-$AP565)</f>
        <v>0</v>
      </c>
      <c r="AP565" s="717">
        <f>'BOULEVARD PPTO'!BC253</f>
        <v>138300</v>
      </c>
      <c r="AQ565" s="717">
        <f>'BOULEVARD 5'!AT258</f>
        <v>138300</v>
      </c>
      <c r="AR565" s="717">
        <f t="shared" si="236"/>
        <v>0</v>
      </c>
      <c r="AS565" s="717"/>
      <c r="AT565" s="581"/>
    </row>
    <row r="566" spans="1:46" ht="13.15" customHeight="1" outlineLevel="1" x14ac:dyDescent="0.25">
      <c r="A566" s="700">
        <f t="shared" si="234"/>
        <v>0</v>
      </c>
      <c r="B566" s="564">
        <f t="shared" ref="B566:G566" si="295">B261</f>
        <v>1412</v>
      </c>
      <c r="C566" s="564" t="str">
        <f t="shared" si="295"/>
        <v>A4</v>
      </c>
      <c r="D566" s="564">
        <f t="shared" si="295"/>
        <v>0</v>
      </c>
      <c r="E566" s="564" t="str">
        <f t="shared" si="295"/>
        <v>Brenda Búcaro</v>
      </c>
      <c r="F566" s="581" t="str">
        <f t="shared" si="295"/>
        <v>Javier Andrés Soto Coronado</v>
      </c>
      <c r="G566" s="566">
        <f t="shared" si="295"/>
        <v>45044</v>
      </c>
      <c r="H566" s="716">
        <f>IF(OR(status1B5!I261="",H$7="No aplica"),0,SUM('BOULEVARD 5'!$K259:K259)-$AP566)</f>
        <v>0</v>
      </c>
      <c r="I566" s="716">
        <f>IF(OR(status1B5!J261="",I$7="No aplica"),0,SUM('BOULEVARD 5'!$K259:L259)-$AP566)</f>
        <v>-60200</v>
      </c>
      <c r="J566" s="716">
        <f>IF(OR(status1B5!K261="",J$7="No aplica"),0,SUM('BOULEVARD 5'!$K259:M259)-$AP566)</f>
        <v>-58450</v>
      </c>
      <c r="K566" s="716">
        <f>IF(OR(status1B5!L261="",K$7="No aplica"),0,SUM('BOULEVARD 5'!$K259:N259)-$AP566)</f>
        <v>-56700</v>
      </c>
      <c r="L566" s="716">
        <f>IF(OR(status1B5!M261="",L$7="No aplica"),0,SUM('BOULEVARD 5'!$K259:O259)-$AP566)</f>
        <v>-54950</v>
      </c>
      <c r="M566" s="716">
        <f>IF(OR(status1B5!N261="",M$7="No aplica"),0,SUM('BOULEVARD 5'!$K259:P259)-$AP566)</f>
        <v>-53200</v>
      </c>
      <c r="N566" s="716">
        <f>IF(OR(status1B5!O261="",N$7="No aplica"),0,SUM('BOULEVARD 5'!$K259:Q259)-$AP566)</f>
        <v>-51450</v>
      </c>
      <c r="O566" s="716">
        <f>IF(OR(status1B5!P261="",O$7="No aplica"),0,SUM('BOULEVARD 5'!$K259:R259)-$AP566)</f>
        <v>-49700</v>
      </c>
      <c r="P566" s="716">
        <f>IF(OR(status1B5!Q261="",P$7="No aplica"),0,SUM('BOULEVARD 5'!$K259:S259)-$AP566)</f>
        <v>-47950</v>
      </c>
      <c r="Q566" s="716">
        <f>IF(OR(status1B5!R261="",Q$7="No aplica"),0,SUM('BOULEVARD 5'!$K259:T259)-$AP566)</f>
        <v>-46200</v>
      </c>
      <c r="R566" s="716">
        <f>IF(OR(status1B5!S261="",R$7="No aplica"),0,SUM('BOULEVARD 5'!$K259:U259)-$AP566)</f>
        <v>-44450</v>
      </c>
      <c r="S566" s="716">
        <f>IF(OR(status1B5!T261="",S$7="No aplica"),0,SUM('BOULEVARD 5'!$K259:V259)-$AP566)</f>
        <v>-42700</v>
      </c>
      <c r="T566" s="716">
        <f>IF(OR(status1B5!U261="",T$7="No aplica"),0,SUM('BOULEVARD 5'!$K259:W259)-$AP566)</f>
        <v>-40950</v>
      </c>
      <c r="U566" s="716">
        <f>IF(OR(status1B5!V261="",U$7="No aplica"),0,SUM('BOULEVARD 5'!$K259:X259)-$AP566)</f>
        <v>-39200</v>
      </c>
      <c r="V566" s="716">
        <f>IF(OR(status1B5!W261="",V$7="No aplica"),0,SUM('BOULEVARD 5'!$K259:Y259)-$AP566)</f>
        <v>-37450</v>
      </c>
      <c r="W566" s="716">
        <f>IF(OR(status1B5!X261="",W$7="No aplica"),0,SUM('BOULEVARD 5'!$K259:Z259)-$AP566)</f>
        <v>-35700</v>
      </c>
      <c r="X566" s="716">
        <f>IF(OR(status1B5!Y261="",X$7="No aplica"),0,SUM('BOULEVARD 5'!$K259:AA259)-$AP566)</f>
        <v>-33950</v>
      </c>
      <c r="Y566" s="716">
        <f>IF(OR(status1B5!Z261="",Y$7="No aplica"),0,SUM('BOULEVARD 5'!$K259:AB259)-$AP566)</f>
        <v>-32200</v>
      </c>
      <c r="Z566" s="716">
        <f>IF(OR(status1B5!AA261="",Z$7="No aplica"),0,SUM('BOULEVARD 5'!$K259:AC259)-$AP566)</f>
        <v>-30450</v>
      </c>
      <c r="AA566" s="716">
        <f>IF(OR(status1B5!AB261="",AA$7="No aplica"),0,SUM('BOULEVARD 5'!$K259:AD259)-$AP566)</f>
        <v>-28700</v>
      </c>
      <c r="AB566" s="716">
        <f>IF(OR(status1B5!AC261="",AB$7="No aplica"),0,SUM('BOULEVARD 5'!$K259:AE259)-$AP566)</f>
        <v>-26950</v>
      </c>
      <c r="AC566" s="716">
        <f>IF(OR(status1B5!AD261="",AC$7="No aplica"),0,SUM('BOULEVARD 5'!$K259:AF259)-$AP566)</f>
        <v>-25200</v>
      </c>
      <c r="AD566" s="716">
        <f>IF(OR(status1B5!AE261="",AD$7="No aplica"),0,SUM('BOULEVARD 5'!$K259:AG259)-$AP566)</f>
        <v>-25200</v>
      </c>
      <c r="AE566" s="716">
        <f>IF(OR(status1B5!AF261="",AE$7="No aplica"),0,SUM('BOULEVARD 5'!$K259:AH259)-$AP566)</f>
        <v>-21700</v>
      </c>
      <c r="AF566" s="716">
        <f>IF(OR(status1B5!AG261="",AF$7="No aplica"),0,SUM('BOULEVARD 5'!$K259:AI259)-$AP566)</f>
        <v>-19950</v>
      </c>
      <c r="AG566" s="716">
        <f>IF(OR(status1B5!AH261="",AG$7="No aplica"),0,SUM('BOULEVARD 5'!$K259:AJ259)-$AP566)</f>
        <v>-18200</v>
      </c>
      <c r="AH566" s="716">
        <f>IF(OR(status1B5!AI261="",AH$7="No aplica"),0,SUM('BOULEVARD 5'!$K259:AK259)-$AP566)</f>
        <v>-16450</v>
      </c>
      <c r="AI566" s="716">
        <f>IF(OR(status1B5!AJ261="",AI$7="No aplica"),0,SUM('BOULEVARD 5'!$K259:AL259)-$AP566)</f>
        <v>-14700</v>
      </c>
      <c r="AJ566" s="716">
        <f>IF(OR(status1B5!AK261="",AJ$7="No aplica"),0,SUM('BOULEVARD 5'!$K259:AM259)-$AP566)</f>
        <v>-12950</v>
      </c>
      <c r="AK566" s="716">
        <f>IF(OR(status1B5!AL261="",AK$7="No aplica"),0,SUM('BOULEVARD 5'!$K259:AN259)-$AP566)</f>
        <v>-11200</v>
      </c>
      <c r="AL566" s="716">
        <f>IF(OR(status1B5!AM261="",AL$7="No aplica"),0,SUM('BOULEVARD 5'!$K259:AO259)-$AP566)</f>
        <v>-9450</v>
      </c>
      <c r="AM566" s="716">
        <f>IF(OR(status1B5!AN261="",AM$7="No aplica"),0,SUM('BOULEVARD 5'!$K259:AP259)-$AP566)</f>
        <v>-9450</v>
      </c>
      <c r="AN566" s="716">
        <f>IF(OR(status1B5!AO261="",AN$7="No aplica"),0,SUM('BOULEVARD 5'!$K259:AQ259)-$AP566)</f>
        <v>0</v>
      </c>
      <c r="AO566" s="716">
        <f>IF(OR(status1B5!AP261="",AO$7="No aplica"),0,SUM('BOULEVARD 5'!$K259:AS259)-$AP566)</f>
        <v>0</v>
      </c>
      <c r="AP566" s="717">
        <f>'BOULEVARD PPTO'!BC254</f>
        <v>66200</v>
      </c>
      <c r="AQ566" s="717">
        <f>'BOULEVARD 5'!AT259</f>
        <v>58500</v>
      </c>
      <c r="AR566" s="717">
        <f t="shared" si="236"/>
        <v>-7700</v>
      </c>
      <c r="AS566" s="717"/>
      <c r="AT566" s="581"/>
    </row>
    <row r="567" spans="1:46" ht="13.15" customHeight="1" outlineLevel="1" x14ac:dyDescent="0.25">
      <c r="A567" s="700">
        <f t="shared" si="234"/>
        <v>0</v>
      </c>
      <c r="B567" s="714">
        <f t="shared" ref="B567:G567" si="296">B262</f>
        <v>1501</v>
      </c>
      <c r="C567" s="714" t="str">
        <f t="shared" si="296"/>
        <v>D3</v>
      </c>
      <c r="D567" s="714">
        <f t="shared" si="296"/>
        <v>0</v>
      </c>
      <c r="E567" s="714" t="str">
        <f t="shared" si="296"/>
        <v>Erwin Cardona</v>
      </c>
      <c r="F567" s="715" t="str">
        <f t="shared" si="296"/>
        <v>Corporacion G&amp;G Sociedad Anonima</v>
      </c>
      <c r="G567" s="566">
        <f t="shared" si="296"/>
        <v>45987</v>
      </c>
      <c r="H567" s="716">
        <f>IF(OR(status1B5!I262="",H$7="No aplica"),0,SUM('BOULEVARD 5'!$K260:K260)-$AP567)</f>
        <v>0</v>
      </c>
      <c r="I567" s="716">
        <f>IF(OR(status1B5!J262="",I$7="No aplica"),0,SUM('BOULEVARD 5'!$K260:L260)-$AP567)</f>
        <v>0</v>
      </c>
      <c r="J567" s="716">
        <f>IF(OR(status1B5!K262="",J$7="No aplica"),0,SUM('BOULEVARD 5'!$K260:M260)-$AP567)</f>
        <v>0</v>
      </c>
      <c r="K567" s="716">
        <f>IF(OR(status1B5!L262="",K$7="No aplica"),0,SUM('BOULEVARD 5'!$K260:N260)-$AP567)</f>
        <v>0</v>
      </c>
      <c r="L567" s="716">
        <f>IF(OR(status1B5!M262="",L$7="No aplica"),0,SUM('BOULEVARD 5'!$K260:O260)-$AP567)</f>
        <v>0</v>
      </c>
      <c r="M567" s="716">
        <f>IF(OR(status1B5!N262="",M$7="No aplica"),0,SUM('BOULEVARD 5'!$K260:P260)-$AP567)</f>
        <v>0</v>
      </c>
      <c r="N567" s="716">
        <f>IF(OR(status1B5!O262="",N$7="No aplica"),0,SUM('BOULEVARD 5'!$K260:Q260)-$AP567)</f>
        <v>0</v>
      </c>
      <c r="O567" s="716">
        <f>IF(OR(status1B5!P262="",O$7="No aplica"),0,SUM('BOULEVARD 5'!$K260:R260)-$AP567)</f>
        <v>0</v>
      </c>
      <c r="P567" s="716">
        <f>IF(OR(status1B5!Q262="",P$7="No aplica"),0,SUM('BOULEVARD 5'!$K260:S260)-$AP567)</f>
        <v>0</v>
      </c>
      <c r="Q567" s="716">
        <f>IF(OR(status1B5!R262="",Q$7="No aplica"),0,SUM('BOULEVARD 5'!$K260:T260)-$AP567)</f>
        <v>0</v>
      </c>
      <c r="R567" s="716">
        <f>IF(OR(status1B5!S262="",R$7="No aplica"),0,SUM('BOULEVARD 5'!$K260:U260)-$AP567)</f>
        <v>0</v>
      </c>
      <c r="S567" s="716">
        <f>IF(OR(status1B5!T262="",S$7="No aplica"),0,SUM('BOULEVARD 5'!$K260:V260)-$AP567)</f>
        <v>0</v>
      </c>
      <c r="T567" s="716">
        <f>IF(OR(status1B5!U262="",T$7="No aplica"),0,SUM('BOULEVARD 5'!$K260:W260)-$AP567)</f>
        <v>0</v>
      </c>
      <c r="U567" s="716">
        <f>IF(OR(status1B5!V262="",U$7="No aplica"),0,SUM('BOULEVARD 5'!$K260:X260)-$AP567)</f>
        <v>0</v>
      </c>
      <c r="V567" s="716">
        <f>IF(OR(status1B5!W262="",V$7="No aplica"),0,SUM('BOULEVARD 5'!$K260:Y260)-$AP567)</f>
        <v>0</v>
      </c>
      <c r="W567" s="716">
        <f>IF(OR(status1B5!X262="",W$7="No aplica"),0,SUM('BOULEVARD 5'!$K260:Z260)-$AP567)</f>
        <v>0</v>
      </c>
      <c r="X567" s="716">
        <f>IF(OR(status1B5!Y262="",X$7="No aplica"),0,SUM('BOULEVARD 5'!$K260:AA260)-$AP567)</f>
        <v>0</v>
      </c>
      <c r="Y567" s="716">
        <f>IF(OR(status1B5!Z262="",Y$7="No aplica"),0,SUM('BOULEVARD 5'!$K260:AB260)-$AP567)</f>
        <v>0</v>
      </c>
      <c r="Z567" s="716">
        <f>IF(OR(status1B5!AA262="",Z$7="No aplica"),0,SUM('BOULEVARD 5'!$K260:AC260)-$AP567)</f>
        <v>0</v>
      </c>
      <c r="AA567" s="716">
        <f>IF(OR(status1B5!AB262="",AA$7="No aplica"),0,SUM('BOULEVARD 5'!$K260:AD260)-$AP567)</f>
        <v>0</v>
      </c>
      <c r="AB567" s="716">
        <f>IF(OR(status1B5!AC262="",AB$7="No aplica"),0,SUM('BOULEVARD 5'!$K260:AE260)-$AP567)</f>
        <v>0</v>
      </c>
      <c r="AC567" s="716">
        <f>IF(OR(status1B5!AD262="",AC$7="No aplica"),0,SUM('BOULEVARD 5'!$K260:AF260)-$AP567)</f>
        <v>0</v>
      </c>
      <c r="AD567" s="716">
        <f>IF(OR(status1B5!AE262="",AD$7="No aplica"),0,SUM('BOULEVARD 5'!$K260:AG260)-$AP567)</f>
        <v>0</v>
      </c>
      <c r="AE567" s="716">
        <f>IF(OR(status1B5!AF262="",AE$7="No aplica"),0,SUM('BOULEVARD 5'!$K260:AH260)-$AP567)</f>
        <v>0</v>
      </c>
      <c r="AF567" s="716">
        <f>IF(OR(status1B5!AG262="",AF$7="No aplica"),0,SUM('BOULEVARD 5'!$K260:AI260)-$AP567)</f>
        <v>0</v>
      </c>
      <c r="AG567" s="716">
        <f>IF(OR(status1B5!AH262="",AG$7="No aplica"),0,SUM('BOULEVARD 5'!$K260:AJ260)-$AP567)</f>
        <v>0</v>
      </c>
      <c r="AH567" s="716">
        <f>IF(OR(status1B5!AI262="",AH$7="No aplica"),0,SUM('BOULEVARD 5'!$K260:AK260)-$AP567)</f>
        <v>0</v>
      </c>
      <c r="AI567" s="716">
        <f>IF(OR(status1B5!AJ262="",AI$7="No aplica"),0,SUM('BOULEVARD 5'!$K260:AL260)-$AP567)</f>
        <v>0</v>
      </c>
      <c r="AJ567" s="716">
        <f>IF(OR(status1B5!AK262="",AJ$7="No aplica"),0,SUM('BOULEVARD 5'!$K260:AM260)-$AP567)</f>
        <v>0</v>
      </c>
      <c r="AK567" s="716">
        <f>IF(OR(status1B5!AL262="",AK$7="No aplica"),0,SUM('BOULEVARD 5'!$K260:AN260)-$AP567)</f>
        <v>0</v>
      </c>
      <c r="AL567" s="716">
        <f>IF(OR(status1B5!AM262="",AL$7="No aplica"),0,SUM('BOULEVARD 5'!$K260:AO260)-$AP567)</f>
        <v>0</v>
      </c>
      <c r="AM567" s="716">
        <f>IF(OR(status1B5!AN262="",AM$7="No aplica"),0,SUM('BOULEVARD 5'!$K260:AP260)-$AP567)</f>
        <v>0</v>
      </c>
      <c r="AN567" s="716">
        <f>IF(OR(status1B5!AO262="",AN$7="No aplica"),0,SUM('BOULEVARD 5'!$K260:AQ260)-$AP567)</f>
        <v>0</v>
      </c>
      <c r="AO567" s="716">
        <f>IF(OR(status1B5!AP262="",AO$7="No aplica"),0,SUM('BOULEVARD 5'!$K260:AS260)-$AP567)</f>
        <v>0</v>
      </c>
      <c r="AP567" s="717">
        <f>'BOULEVARD PPTO'!BC255</f>
        <v>158090</v>
      </c>
      <c r="AQ567" s="717">
        <f>'BOULEVARD 5'!AT260</f>
        <v>31200</v>
      </c>
      <c r="AR567" s="717">
        <f t="shared" si="236"/>
        <v>-126890</v>
      </c>
      <c r="AS567" s="717"/>
      <c r="AT567" s="581"/>
    </row>
    <row r="568" spans="1:46" ht="13.15" customHeight="1" outlineLevel="1" x14ac:dyDescent="0.25">
      <c r="A568" s="700">
        <f t="shared" si="234"/>
        <v>0</v>
      </c>
      <c r="B568" s="564">
        <f t="shared" ref="B568:G568" si="297">B263</f>
        <v>1502</v>
      </c>
      <c r="C568" s="564" t="str">
        <f t="shared" si="297"/>
        <v>D2</v>
      </c>
      <c r="D568" s="564">
        <f t="shared" si="297"/>
        <v>0</v>
      </c>
      <c r="E568" s="712" t="str">
        <f t="shared" si="297"/>
        <v>Sofia Paredes</v>
      </c>
      <c r="F568" s="581" t="str">
        <f t="shared" si="297"/>
        <v>Edgar Benjamín Ramírez Masaya Y Leslie María Ivonne Pivaral Gudiel</v>
      </c>
      <c r="G568" s="566">
        <f t="shared" si="297"/>
        <v>45578</v>
      </c>
      <c r="H568" s="716">
        <f>IF(OR(status1B5!I263="",H$7="No aplica"),0,SUM('BOULEVARD 5'!$K261:K261)-$AP568)</f>
        <v>0</v>
      </c>
      <c r="I568" s="716">
        <f>IF(OR(status1B5!J263="",I$7="No aplica"),0,SUM('BOULEVARD 5'!$K261:L261)-$AP568)</f>
        <v>0</v>
      </c>
      <c r="J568" s="716">
        <f>IF(OR(status1B5!K263="",J$7="No aplica"),0,SUM('BOULEVARD 5'!$K261:M261)-$AP568)</f>
        <v>0</v>
      </c>
      <c r="K568" s="716">
        <f>IF(OR(status1B5!L263="",K$7="No aplica"),0,SUM('BOULEVARD 5'!$K261:N261)-$AP568)</f>
        <v>0</v>
      </c>
      <c r="L568" s="716">
        <f>IF(OR(status1B5!M263="",L$7="No aplica"),0,SUM('BOULEVARD 5'!$K261:O261)-$AP568)</f>
        <v>0</v>
      </c>
      <c r="M568" s="716">
        <f>IF(OR(status1B5!N263="",M$7="No aplica"),0,SUM('BOULEVARD 5'!$K261:P261)-$AP568)</f>
        <v>0</v>
      </c>
      <c r="N568" s="716">
        <f>IF(OR(status1B5!O263="",N$7="No aplica"),0,SUM('BOULEVARD 5'!$K261:Q261)-$AP568)</f>
        <v>0</v>
      </c>
      <c r="O568" s="716">
        <f>IF(OR(status1B5!P263="",O$7="No aplica"),0,SUM('BOULEVARD 5'!$K261:R261)-$AP568)</f>
        <v>0</v>
      </c>
      <c r="P568" s="716">
        <f>IF(OR(status1B5!Q263="",P$7="No aplica"),0,SUM('BOULEVARD 5'!$K261:S261)-$AP568)</f>
        <v>0</v>
      </c>
      <c r="Q568" s="716">
        <f>IF(OR(status1B5!R263="",Q$7="No aplica"),0,SUM('BOULEVARD 5'!$K261:T261)-$AP568)</f>
        <v>0</v>
      </c>
      <c r="R568" s="716">
        <f>IF(OR(status1B5!S263="",R$7="No aplica"),0,SUM('BOULEVARD 5'!$K261:U261)-$AP568)</f>
        <v>0</v>
      </c>
      <c r="S568" s="716">
        <f>IF(OR(status1B5!T263="",S$7="No aplica"),0,SUM('BOULEVARD 5'!$K261:V261)-$AP568)</f>
        <v>0</v>
      </c>
      <c r="T568" s="716">
        <f>IF(OR(status1B5!U263="",T$7="No aplica"),0,SUM('BOULEVARD 5'!$K261:W261)-$AP568)</f>
        <v>0</v>
      </c>
      <c r="U568" s="716">
        <f>IF(OR(status1B5!V263="",U$7="No aplica"),0,SUM('BOULEVARD 5'!$K261:X261)-$AP568)</f>
        <v>0</v>
      </c>
      <c r="V568" s="716">
        <f>IF(OR(status1B5!W263="",V$7="No aplica"),0,SUM('BOULEVARD 5'!$K261:Y261)-$AP568)</f>
        <v>0</v>
      </c>
      <c r="W568" s="716">
        <f>IF(OR(status1B5!X263="",W$7="No aplica"),0,SUM('BOULEVARD 5'!$K261:Z261)-$AP568)</f>
        <v>0</v>
      </c>
      <c r="X568" s="716">
        <f>IF(OR(status1B5!Y263="",X$7="No aplica"),0,SUM('BOULEVARD 5'!$K261:AA261)-$AP568)</f>
        <v>0</v>
      </c>
      <c r="Y568" s="716">
        <f>IF(OR(status1B5!Z263="",Y$7="No aplica"),0,SUM('BOULEVARD 5'!$K261:AB261)-$AP568)</f>
        <v>0</v>
      </c>
      <c r="Z568" s="716">
        <f>IF(OR(status1B5!AA263="",Z$7="No aplica"),0,SUM('BOULEVARD 5'!$K261:AC261)-$AP568)</f>
        <v>0</v>
      </c>
      <c r="AA568" s="716">
        <f>IF(OR(status1B5!AB263="",AA$7="No aplica"),0,SUM('BOULEVARD 5'!$K261:AD261)-$AP568)</f>
        <v>-121660</v>
      </c>
      <c r="AB568" s="716">
        <f>IF(OR(status1B5!AC263="",AB$7="No aplica"),0,SUM('BOULEVARD 5'!$K261:AE261)-$AP568)</f>
        <v>-112970</v>
      </c>
      <c r="AC568" s="716">
        <f>IF(OR(status1B5!AD263="",AC$7="No aplica"),0,SUM('BOULEVARD 5'!$K261:AF261)-$AP568)</f>
        <v>-104280</v>
      </c>
      <c r="AD568" s="716">
        <f>IF(OR(status1B5!AE263="",AD$7="No aplica"),0,SUM('BOULEVARD 5'!$K261:AG261)-$AP568)</f>
        <v>-95590</v>
      </c>
      <c r="AE568" s="716">
        <f>IF(OR(status1B5!AF263="",AE$7="No aplica"),0,SUM('BOULEVARD 5'!$K261:AH261)-$AP568)</f>
        <v>-86900</v>
      </c>
      <c r="AF568" s="716">
        <f>IF(OR(status1B5!AG263="",AF$7="No aplica"),0,SUM('BOULEVARD 5'!$K261:AI261)-$AP568)</f>
        <v>-78210</v>
      </c>
      <c r="AG568" s="716">
        <f>IF(OR(status1B5!AH263="",AG$7="No aplica"),0,SUM('BOULEVARD 5'!$K261:AJ261)-$AP568)</f>
        <v>-69520</v>
      </c>
      <c r="AH568" s="716">
        <f>IF(OR(status1B5!AI263="",AH$7="No aplica"),0,SUM('BOULEVARD 5'!$K261:AK261)-$AP568)</f>
        <v>-60830</v>
      </c>
      <c r="AI568" s="716">
        <f>IF(OR(status1B5!AJ263="",AI$7="No aplica"),0,SUM('BOULEVARD 5'!$K261:AL261)-$AP568)</f>
        <v>-52140</v>
      </c>
      <c r="AJ568" s="716">
        <f>IF(OR(status1B5!AK263="",AJ$7="No aplica"),0,SUM('BOULEVARD 5'!$K261:AM261)-$AP568)</f>
        <v>-43450</v>
      </c>
      <c r="AK568" s="716">
        <f>IF(OR(status1B5!AL263="",AK$7="No aplica"),0,SUM('BOULEVARD 5'!$K261:AN261)-$AP568)</f>
        <v>-34760</v>
      </c>
      <c r="AL568" s="716">
        <f>IF(OR(status1B5!AM263="",AL$7="No aplica"),0,SUM('BOULEVARD 5'!$K261:AO261)-$AP568)</f>
        <v>-26070</v>
      </c>
      <c r="AM568" s="716">
        <f>IF(OR(status1B5!AN263="",AM$7="No aplica"),0,SUM('BOULEVARD 5'!$K261:AP261)-$AP568)</f>
        <v>-17380</v>
      </c>
      <c r="AN568" s="716">
        <f>IF(OR(status1B5!AO263="",AN$7="No aplica"),0,SUM('BOULEVARD 5'!$K261:AQ261)-$AP568)</f>
        <v>0</v>
      </c>
      <c r="AO568" s="716">
        <f>IF(OR(status1B5!AP263="",AO$7="No aplica"),0,SUM('BOULEVARD 5'!$K261:AS261)-$AP568)</f>
        <v>0</v>
      </c>
      <c r="AP568" s="717">
        <f>'BOULEVARD PPTO'!BC256</f>
        <v>131660</v>
      </c>
      <c r="AQ568" s="717">
        <f>'BOULEVARD 5'!AT261</f>
        <v>131660</v>
      </c>
      <c r="AR568" s="717">
        <f t="shared" si="236"/>
        <v>0</v>
      </c>
      <c r="AS568" s="717"/>
      <c r="AT568" s="581"/>
    </row>
    <row r="569" spans="1:46" ht="13.15" customHeight="1" outlineLevel="1" x14ac:dyDescent="0.25">
      <c r="A569" s="700" t="str">
        <f t="shared" si="234"/>
        <v>F&amp;F</v>
      </c>
      <c r="B569" s="704">
        <f t="shared" ref="B569:G569" si="298">B264</f>
        <v>1503</v>
      </c>
      <c r="C569" s="704" t="str">
        <f t="shared" si="298"/>
        <v>B6</v>
      </c>
      <c r="D569" s="704">
        <f t="shared" si="298"/>
        <v>0</v>
      </c>
      <c r="E569" s="704" t="str">
        <f t="shared" si="298"/>
        <v>Brenda Búcaro</v>
      </c>
      <c r="F569" s="705" t="str">
        <f t="shared" si="298"/>
        <v>Emilia Aracely Larrazabal Melgar</v>
      </c>
      <c r="G569" s="566">
        <f t="shared" si="298"/>
        <v>45016</v>
      </c>
      <c r="H569" s="716">
        <f>IF(OR(status1B5!I264="",H$7="No aplica"),0,SUM('BOULEVARD 5'!$K262:K262)-$AP569)</f>
        <v>0</v>
      </c>
      <c r="I569" s="716">
        <f>IF(OR(status1B5!J264="",I$7="No aplica"),0,SUM('BOULEVARD 5'!$K262:L262)-$AP569)</f>
        <v>0</v>
      </c>
      <c r="J569" s="716">
        <f>IF(OR(status1B5!K264="",J$7="No aplica"),0,SUM('BOULEVARD 5'!$K262:M262)-$AP569)</f>
        <v>0</v>
      </c>
      <c r="K569" s="716">
        <f>IF(OR(status1B5!L264="",K$7="No aplica"),0,SUM('BOULEVARD 5'!$K262:N262)-$AP569)</f>
        <v>0</v>
      </c>
      <c r="L569" s="716">
        <f>IF(OR(status1B5!M264="",L$7="No aplica"),0,SUM('BOULEVARD 5'!$K262:O262)-$AP569)</f>
        <v>0</v>
      </c>
      <c r="M569" s="716">
        <f>IF(OR(status1B5!N264="",M$7="No aplica"),0,SUM('BOULEVARD 5'!$K262:P262)-$AP569)</f>
        <v>0</v>
      </c>
      <c r="N569" s="716">
        <f>IF(OR(status1B5!O264="",N$7="No aplica"),0,SUM('BOULEVARD 5'!$K262:Q262)-$AP569)</f>
        <v>0</v>
      </c>
      <c r="O569" s="716">
        <f>IF(OR(status1B5!P264="",O$7="No aplica"),0,SUM('BOULEVARD 5'!$K262:R262)-$AP569)</f>
        <v>0</v>
      </c>
      <c r="P569" s="716">
        <f>IF(OR(status1B5!Q264="",P$7="No aplica"),0,SUM('BOULEVARD 5'!$K262:S262)-$AP569)</f>
        <v>0</v>
      </c>
      <c r="Q569" s="716">
        <f>IF(OR(status1B5!R264="",Q$7="No aplica"),0,SUM('BOULEVARD 5'!$K262:T262)-$AP569)</f>
        <v>0</v>
      </c>
      <c r="R569" s="716">
        <f>IF(OR(status1B5!S264="",R$7="No aplica"),0,SUM('BOULEVARD 5'!$K262:U262)-$AP569)</f>
        <v>0</v>
      </c>
      <c r="S569" s="716">
        <f>IF(OR(status1B5!T264="",S$7="No aplica"),0,SUM('BOULEVARD 5'!$K262:V262)-$AP569)</f>
        <v>0</v>
      </c>
      <c r="T569" s="716">
        <f>IF(OR(status1B5!U264="",T$7="No aplica"),0,SUM('BOULEVARD 5'!$K262:W262)-$AP569)</f>
        <v>0</v>
      </c>
      <c r="U569" s="716">
        <f>IF(OR(status1B5!V264="",U$7="No aplica"),0,SUM('BOULEVARD 5'!$K262:X262)-$AP569)</f>
        <v>0</v>
      </c>
      <c r="V569" s="716">
        <f>IF(OR(status1B5!W264="",V$7="No aplica"),0,SUM('BOULEVARD 5'!$K262:Y262)-$AP569)</f>
        <v>0</v>
      </c>
      <c r="W569" s="716">
        <f>IF(OR(status1B5!X264="",W$7="No aplica"),0,SUM('BOULEVARD 5'!$K262:Z262)-$AP569)</f>
        <v>0</v>
      </c>
      <c r="X569" s="716">
        <f>IF(OR(status1B5!Y264="",X$7="No aplica"),0,SUM('BOULEVARD 5'!$K262:AA262)-$AP569)</f>
        <v>0</v>
      </c>
      <c r="Y569" s="716">
        <f>IF(OR(status1B5!Z264="",Y$7="No aplica"),0,SUM('BOULEVARD 5'!$K262:AB262)-$AP569)</f>
        <v>0</v>
      </c>
      <c r="Z569" s="716">
        <f>IF(OR(status1B5!AA264="",Z$7="No aplica"),0,SUM('BOULEVARD 5'!$K262:AC262)-$AP569)</f>
        <v>0</v>
      </c>
      <c r="AA569" s="716">
        <f>IF(OR(status1B5!AB264="",AA$7="No aplica"),0,SUM('BOULEVARD 5'!$K262:AD262)-$AP569)</f>
        <v>0</v>
      </c>
      <c r="AB569" s="716">
        <f>IF(OR(status1B5!AC264="",AB$7="No aplica"),0,SUM('BOULEVARD 5'!$K262:AE262)-$AP569)</f>
        <v>0</v>
      </c>
      <c r="AC569" s="716">
        <f>IF(OR(status1B5!AD264="",AC$7="No aplica"),0,SUM('BOULEVARD 5'!$K262:AF262)-$AP569)</f>
        <v>0</v>
      </c>
      <c r="AD569" s="716">
        <f>IF(OR(status1B5!AE264="",AD$7="No aplica"),0,SUM('BOULEVARD 5'!$K262:AG262)-$AP569)</f>
        <v>0</v>
      </c>
      <c r="AE569" s="716">
        <f>IF(OR(status1B5!AF264="",AE$7="No aplica"),0,SUM('BOULEVARD 5'!$K262:AH262)-$AP569)</f>
        <v>0</v>
      </c>
      <c r="AF569" s="716">
        <f>IF(OR(status1B5!AG264="",AF$7="No aplica"),0,SUM('BOULEVARD 5'!$K262:AI262)-$AP569)</f>
        <v>0</v>
      </c>
      <c r="AG569" s="716">
        <f>IF(OR(status1B5!AH264="",AG$7="No aplica"),0,SUM('BOULEVARD 5'!$K262:AJ262)-$AP569)</f>
        <v>0</v>
      </c>
      <c r="AH569" s="716">
        <f>IF(OR(status1B5!AI264="",AH$7="No aplica"),0,SUM('BOULEVARD 5'!$K262:AK262)-$AP569)</f>
        <v>0</v>
      </c>
      <c r="AI569" s="716">
        <f>IF(OR(status1B5!AJ264="",AI$7="No aplica"),0,SUM('BOULEVARD 5'!$K262:AL262)-$AP569)</f>
        <v>0</v>
      </c>
      <c r="AJ569" s="716">
        <f>IF(OR(status1B5!AK264="",AJ$7="No aplica"),0,SUM('BOULEVARD 5'!$K262:AM262)-$AP569)</f>
        <v>0</v>
      </c>
      <c r="AK569" s="716">
        <f>IF(OR(status1B5!AL264="",AK$7="No aplica"),0,SUM('BOULEVARD 5'!$K262:AN262)-$AP569)</f>
        <v>0</v>
      </c>
      <c r="AL569" s="716">
        <f>IF(OR(status1B5!AM264="",AL$7="No aplica"),0,SUM('BOULEVARD 5'!$K262:AO262)-$AP569)</f>
        <v>0</v>
      </c>
      <c r="AM569" s="716">
        <f>IF(OR(status1B5!AN264="",AM$7="No aplica"),0,SUM('BOULEVARD 5'!$K262:AP262)-$AP569)</f>
        <v>0</v>
      </c>
      <c r="AN569" s="716">
        <f>IF(OR(status1B5!AO264="",AN$7="No aplica"),0,SUM('BOULEVARD 5'!$K262:AQ262)-$AP569)</f>
        <v>0</v>
      </c>
      <c r="AO569" s="716">
        <f>IF(OR(status1B5!AP264="",AO$7="No aplica"),0,SUM('BOULEVARD 5'!$K262:AS262)-$AP569)</f>
        <v>0</v>
      </c>
      <c r="AP569" s="717">
        <f>'BOULEVARD PPTO'!BC257</f>
        <v>85227.540000000008</v>
      </c>
      <c r="AQ569" s="717">
        <f>'BOULEVARD 5'!AT262</f>
        <v>23000</v>
      </c>
      <c r="AR569" s="717">
        <f t="shared" si="236"/>
        <v>-62227.540000000008</v>
      </c>
      <c r="AS569" s="717"/>
      <c r="AT569" s="581"/>
    </row>
    <row r="570" spans="1:46" ht="13.15" customHeight="1" outlineLevel="1" x14ac:dyDescent="0.25">
      <c r="A570" s="700">
        <f t="shared" si="234"/>
        <v>0</v>
      </c>
      <c r="B570" s="564">
        <f t="shared" ref="B570:G570" si="299">B265</f>
        <v>1504</v>
      </c>
      <c r="C570" s="564" t="str">
        <f t="shared" si="299"/>
        <v>B1</v>
      </c>
      <c r="D570" s="564">
        <f t="shared" si="299"/>
        <v>0</v>
      </c>
      <c r="E570" s="564" t="str">
        <f t="shared" si="299"/>
        <v>Jose Franco</v>
      </c>
      <c r="F570" s="581" t="str">
        <f t="shared" si="299"/>
        <v>Berta Eugenia Morales López</v>
      </c>
      <c r="G570" s="566">
        <f t="shared" si="299"/>
        <v>45068</v>
      </c>
      <c r="H570" s="716">
        <f>IF(OR(status1B5!I265="",H$7="No aplica"),0,SUM('BOULEVARD 5'!$K263:K263)-$AP570)</f>
        <v>0</v>
      </c>
      <c r="I570" s="716">
        <f>IF(OR(status1B5!J265="",I$7="No aplica"),0,SUM('BOULEVARD 5'!$K263:L263)-$AP570)</f>
        <v>0</v>
      </c>
      <c r="J570" s="716">
        <f>IF(OR(status1B5!K265="",J$7="No aplica"),0,SUM('BOULEVARD 5'!$K263:M263)-$AP570)</f>
        <v>-82800</v>
      </c>
      <c r="K570" s="716">
        <f>IF(OR(status1B5!L265="",K$7="No aplica"),0,SUM('BOULEVARD 5'!$K263:N263)-$AP570)</f>
        <v>-82800</v>
      </c>
      <c r="L570" s="716">
        <f>IF(OR(status1B5!M265="",L$7="No aplica"),0,SUM('BOULEVARD 5'!$K263:O263)-$AP570)</f>
        <v>-81800</v>
      </c>
      <c r="M570" s="716">
        <f>IF(OR(status1B5!N265="",M$7="No aplica"),0,SUM('BOULEVARD 5'!$K263:P263)-$AP570)</f>
        <v>-80800</v>
      </c>
      <c r="N570" s="716">
        <f>IF(OR(status1B5!O265="",N$7="No aplica"),0,SUM('BOULEVARD 5'!$K263:Q263)-$AP570)</f>
        <v>-79800</v>
      </c>
      <c r="O570" s="716">
        <f>IF(OR(status1B5!P265="",O$7="No aplica"),0,SUM('BOULEVARD 5'!$K263:R263)-$AP570)</f>
        <v>-78800</v>
      </c>
      <c r="P570" s="716">
        <f>IF(OR(status1B5!Q265="",P$7="No aplica"),0,SUM('BOULEVARD 5'!$K263:S263)-$AP570)</f>
        <v>-77800</v>
      </c>
      <c r="Q570" s="716">
        <f>IF(OR(status1B5!R265="",Q$7="No aplica"),0,SUM('BOULEVARD 5'!$K263:T263)-$AP570)</f>
        <v>-76800</v>
      </c>
      <c r="R570" s="716">
        <f>IF(OR(status1B5!S265="",R$7="No aplica"),0,SUM('BOULEVARD 5'!$K263:U263)-$AP570)</f>
        <v>-75800</v>
      </c>
      <c r="S570" s="716">
        <f>IF(OR(status1B5!T265="",S$7="No aplica"),0,SUM('BOULEVARD 5'!$K263:V263)-$AP570)</f>
        <v>-74800</v>
      </c>
      <c r="T570" s="716">
        <f>IF(OR(status1B5!U265="",T$7="No aplica"),0,SUM('BOULEVARD 5'!$K263:W263)-$AP570)</f>
        <v>-73800</v>
      </c>
      <c r="U570" s="716">
        <f>IF(OR(status1B5!V265="",U$7="No aplica"),0,SUM('BOULEVARD 5'!$K263:X263)-$AP570)</f>
        <v>-72800</v>
      </c>
      <c r="V570" s="716">
        <f>IF(OR(status1B5!W265="",V$7="No aplica"),0,SUM('BOULEVARD 5'!$K263:Y263)-$AP570)</f>
        <v>-71800</v>
      </c>
      <c r="W570" s="716">
        <f>IF(OR(status1B5!X265="",W$7="No aplica"),0,SUM('BOULEVARD 5'!$K263:Z263)-$AP570)</f>
        <v>-70800</v>
      </c>
      <c r="X570" s="716">
        <f>IF(OR(status1B5!Y265="",X$7="No aplica"),0,SUM('BOULEVARD 5'!$K263:AA263)-$AP570)</f>
        <v>-69800</v>
      </c>
      <c r="Y570" s="716">
        <f>IF(OR(status1B5!Z265="",Y$7="No aplica"),0,SUM('BOULEVARD 5'!$K263:AB263)-$AP570)</f>
        <v>-68800</v>
      </c>
      <c r="Z570" s="716">
        <f>IF(OR(status1B5!AA265="",Z$7="No aplica"),0,SUM('BOULEVARD 5'!$K263:AC263)-$AP570)</f>
        <v>-67800</v>
      </c>
      <c r="AA570" s="716">
        <f>IF(OR(status1B5!AB265="",AA$7="No aplica"),0,SUM('BOULEVARD 5'!$K263:AD263)-$AP570)</f>
        <v>-66800</v>
      </c>
      <c r="AB570" s="716">
        <f>IF(OR(status1B5!AC265="",AB$7="No aplica"),0,SUM('BOULEVARD 5'!$K263:AE263)-$AP570)</f>
        <v>-65800</v>
      </c>
      <c r="AC570" s="716">
        <f>IF(OR(status1B5!AD265="",AC$7="No aplica"),0,SUM('BOULEVARD 5'!$K263:AF263)-$AP570)</f>
        <v>-64800</v>
      </c>
      <c r="AD570" s="716">
        <f>IF(OR(status1B5!AE265="",AD$7="No aplica"),0,SUM('BOULEVARD 5'!$K263:AG263)-$AP570)</f>
        <v>-63800</v>
      </c>
      <c r="AE570" s="716">
        <f>IF(OR(status1B5!AF265="",AE$7="No aplica"),0,SUM('BOULEVARD 5'!$K263:AH263)-$AP570)</f>
        <v>-62800</v>
      </c>
      <c r="AF570" s="716">
        <f>IF(OR(status1B5!AG265="",AF$7="No aplica"),0,SUM('BOULEVARD 5'!$K263:AI263)-$AP570)</f>
        <v>-61800</v>
      </c>
      <c r="AG570" s="716">
        <f>IF(OR(status1B5!AH265="",AG$7="No aplica"),0,SUM('BOULEVARD 5'!$K263:AJ263)-$AP570)</f>
        <v>-60800</v>
      </c>
      <c r="AH570" s="716">
        <f>IF(OR(status1B5!AI265="",AH$7="No aplica"),0,SUM('BOULEVARD 5'!$K263:AK263)-$AP570)</f>
        <v>-59800</v>
      </c>
      <c r="AI570" s="716">
        <f>IF(OR(status1B5!AJ265="",AI$7="No aplica"),0,SUM('BOULEVARD 5'!$K263:AL263)-$AP570)</f>
        <v>-58800</v>
      </c>
      <c r="AJ570" s="716">
        <f>IF(OR(status1B5!AK265="",AJ$7="No aplica"),0,SUM('BOULEVARD 5'!$K263:AM263)-$AP570)</f>
        <v>-57800</v>
      </c>
      <c r="AK570" s="716">
        <f>IF(OR(status1B5!AL265="",AK$7="No aplica"),0,SUM('BOULEVARD 5'!$K263:AN263)-$AP570)</f>
        <v>-56800</v>
      </c>
      <c r="AL570" s="716">
        <f>IF(OR(status1B5!AM265="",AL$7="No aplica"),0,SUM('BOULEVARD 5'!$K263:AO263)-$AP570)</f>
        <v>-55800</v>
      </c>
      <c r="AM570" s="716">
        <f>IF(OR(status1B5!AN265="",AM$7="No aplica"),0,SUM('BOULEVARD 5'!$K263:AP263)-$AP570)</f>
        <v>-54800</v>
      </c>
      <c r="AN570" s="716">
        <f>IF(OR(status1B5!AO265="",AN$7="No aplica"),0,SUM('BOULEVARD 5'!$K263:AQ263)-$AP570)</f>
        <v>0</v>
      </c>
      <c r="AO570" s="716">
        <f>IF(OR(status1B5!AP265="",AO$7="No aplica"),0,SUM('BOULEVARD 5'!$K263:AS263)-$AP570)</f>
        <v>0</v>
      </c>
      <c r="AP570" s="717">
        <f>'BOULEVARD PPTO'!BC258</f>
        <v>88800</v>
      </c>
      <c r="AQ570" s="717">
        <f>'BOULEVARD 5'!AT263</f>
        <v>37000</v>
      </c>
      <c r="AR570" s="717">
        <f t="shared" si="236"/>
        <v>-51800</v>
      </c>
      <c r="AS570" s="717"/>
      <c r="AT570" s="581"/>
    </row>
    <row r="571" spans="1:46" ht="13.15" customHeight="1" outlineLevel="1" x14ac:dyDescent="0.25">
      <c r="A571" s="700">
        <f t="shared" ref="A571:A611" si="300">A266</f>
        <v>0</v>
      </c>
      <c r="B571" s="564">
        <f t="shared" ref="B571:G571" si="301">B266</f>
        <v>1505</v>
      </c>
      <c r="C571" s="564" t="str">
        <f t="shared" si="301"/>
        <v>D7</v>
      </c>
      <c r="D571" s="564">
        <f t="shared" si="301"/>
        <v>0</v>
      </c>
      <c r="E571" s="564" t="str">
        <f t="shared" si="301"/>
        <v>Antonio Rada</v>
      </c>
      <c r="F571" s="581" t="str">
        <f t="shared" si="301"/>
        <v>Daniel Alvarez Alvarez</v>
      </c>
      <c r="G571" s="566">
        <f t="shared" si="301"/>
        <v>45491</v>
      </c>
      <c r="H571" s="716">
        <f>IF(OR(status1B5!I266="",H$7="No aplica"),0,SUM('BOULEVARD 5'!$K264:K264)-$AP571)</f>
        <v>0</v>
      </c>
      <c r="I571" s="716">
        <f>IF(OR(status1B5!J266="",I$7="No aplica"),0,SUM('BOULEVARD 5'!$K264:L264)-$AP571)</f>
        <v>0</v>
      </c>
      <c r="J571" s="716">
        <f>IF(OR(status1B5!K266="",J$7="No aplica"),0,SUM('BOULEVARD 5'!$K264:M264)-$AP571)</f>
        <v>0</v>
      </c>
      <c r="K571" s="716">
        <f>IF(OR(status1B5!L266="",K$7="No aplica"),0,SUM('BOULEVARD 5'!$K264:N264)-$AP571)</f>
        <v>0</v>
      </c>
      <c r="L571" s="716">
        <f>IF(OR(status1B5!M266="",L$7="No aplica"),0,SUM('BOULEVARD 5'!$K264:O264)-$AP571)</f>
        <v>0</v>
      </c>
      <c r="M571" s="716">
        <f>IF(OR(status1B5!N266="",M$7="No aplica"),0,SUM('BOULEVARD 5'!$K264:P264)-$AP571)</f>
        <v>0</v>
      </c>
      <c r="N571" s="716">
        <f>IF(OR(status1B5!O266="",N$7="No aplica"),0,SUM('BOULEVARD 5'!$K264:Q264)-$AP571)</f>
        <v>0</v>
      </c>
      <c r="O571" s="716">
        <f>IF(OR(status1B5!P266="",O$7="No aplica"),0,SUM('BOULEVARD 5'!$K264:R264)-$AP571)</f>
        <v>0</v>
      </c>
      <c r="P571" s="716">
        <f>IF(OR(status1B5!Q266="",P$7="No aplica"),0,SUM('BOULEVARD 5'!$K264:S264)-$AP571)</f>
        <v>0</v>
      </c>
      <c r="Q571" s="716">
        <f>IF(OR(status1B5!R266="",Q$7="No aplica"),0,SUM('BOULEVARD 5'!$K264:T264)-$AP571)</f>
        <v>0</v>
      </c>
      <c r="R571" s="716">
        <f>IF(OR(status1B5!S266="",R$7="No aplica"),0,SUM('BOULEVARD 5'!$K264:U264)-$AP571)</f>
        <v>0</v>
      </c>
      <c r="S571" s="716">
        <f>IF(OR(status1B5!T266="",S$7="No aplica"),0,SUM('BOULEVARD 5'!$K264:V264)-$AP571)</f>
        <v>0</v>
      </c>
      <c r="T571" s="716">
        <f>IF(OR(status1B5!U266="",T$7="No aplica"),0,SUM('BOULEVARD 5'!$K264:W264)-$AP571)</f>
        <v>0</v>
      </c>
      <c r="U571" s="716">
        <f>IF(OR(status1B5!V266="",U$7="No aplica"),0,SUM('BOULEVARD 5'!$K264:X264)-$AP571)</f>
        <v>0</v>
      </c>
      <c r="V571" s="716">
        <f>IF(OR(status1B5!W266="",V$7="No aplica"),0,SUM('BOULEVARD 5'!$K264:Y264)-$AP571)</f>
        <v>0</v>
      </c>
      <c r="W571" s="716">
        <f>IF(OR(status1B5!X266="",W$7="No aplica"),0,SUM('BOULEVARD 5'!$K264:Z264)-$AP571)</f>
        <v>0</v>
      </c>
      <c r="X571" s="716">
        <f>IF(OR(status1B5!Y266="",X$7="No aplica"),0,SUM('BOULEVARD 5'!$K264:AA264)-$AP571)</f>
        <v>-117800</v>
      </c>
      <c r="Y571" s="716">
        <f>IF(OR(status1B5!Z266="",Y$7="No aplica"),0,SUM('BOULEVARD 5'!$K264:AB264)-$AP571)</f>
        <v>-110871</v>
      </c>
      <c r="Z571" s="716">
        <f>IF(OR(status1B5!AA266="",Z$7="No aplica"),0,SUM('BOULEVARD 5'!$K264:AC264)-$AP571)</f>
        <v>-103942</v>
      </c>
      <c r="AA571" s="716">
        <f>IF(OR(status1B5!AB266="",AA$7="No aplica"),0,SUM('BOULEVARD 5'!$K264:AD264)-$AP571)</f>
        <v>-97013</v>
      </c>
      <c r="AB571" s="716">
        <f>IF(OR(status1B5!AC266="",AB$7="No aplica"),0,SUM('BOULEVARD 5'!$K264:AE264)-$AP571)</f>
        <v>-90084</v>
      </c>
      <c r="AC571" s="716">
        <f>IF(OR(status1B5!AD266="",AC$7="No aplica"),0,SUM('BOULEVARD 5'!$K264:AF264)-$AP571)</f>
        <v>-83155</v>
      </c>
      <c r="AD571" s="716">
        <f>IF(OR(status1B5!AE266="",AD$7="No aplica"),0,SUM('BOULEVARD 5'!$K264:AG264)-$AP571)</f>
        <v>-76226</v>
      </c>
      <c r="AE571" s="716">
        <f>IF(OR(status1B5!AF266="",AE$7="No aplica"),0,SUM('BOULEVARD 5'!$K264:AH264)-$AP571)</f>
        <v>-69297</v>
      </c>
      <c r="AF571" s="716">
        <f>IF(OR(status1B5!AG266="",AF$7="No aplica"),0,SUM('BOULEVARD 5'!$K264:AI264)-$AP571)</f>
        <v>-62368</v>
      </c>
      <c r="AG571" s="716">
        <f>IF(OR(status1B5!AH266="",AG$7="No aplica"),0,SUM('BOULEVARD 5'!$K264:AJ264)-$AP571)</f>
        <v>-55439</v>
      </c>
      <c r="AH571" s="716">
        <f>IF(OR(status1B5!AI266="",AH$7="No aplica"),0,SUM('BOULEVARD 5'!$K264:AK264)-$AP571)</f>
        <v>-48510</v>
      </c>
      <c r="AI571" s="716">
        <f>IF(OR(status1B5!AJ266="",AI$7="No aplica"),0,SUM('BOULEVARD 5'!$K264:AL264)-$AP571)</f>
        <v>-41581</v>
      </c>
      <c r="AJ571" s="716">
        <f>IF(OR(status1B5!AK266="",AJ$7="No aplica"),0,SUM('BOULEVARD 5'!$K264:AM264)-$AP571)</f>
        <v>-34652</v>
      </c>
      <c r="AK571" s="716">
        <f>IF(OR(status1B5!AL266="",AK$7="No aplica"),0,SUM('BOULEVARD 5'!$K264:AN264)-$AP571)</f>
        <v>-27723</v>
      </c>
      <c r="AL571" s="716">
        <f>IF(OR(status1B5!AM266="",AL$7="No aplica"),0,SUM('BOULEVARD 5'!$K264:AO264)-$AP571)</f>
        <v>-20794</v>
      </c>
      <c r="AM571" s="716">
        <f>IF(OR(status1B5!AN266="",AM$7="No aplica"),0,SUM('BOULEVARD 5'!$K264:AP264)-$AP571)</f>
        <v>-13865</v>
      </c>
      <c r="AN571" s="716">
        <f>IF(OR(status1B5!AO266="",AN$7="No aplica"),0,SUM('BOULEVARD 5'!$K264:AQ264)-$AP571)</f>
        <v>0</v>
      </c>
      <c r="AO571" s="716">
        <f>IF(OR(status1B5!AP266="",AO$7="No aplica"),0,SUM('BOULEVARD 5'!$K264:AS264)-$AP571)</f>
        <v>0</v>
      </c>
      <c r="AP571" s="717">
        <f>'BOULEVARD PPTO'!BC259</f>
        <v>127800</v>
      </c>
      <c r="AQ571" s="717">
        <f>'BOULEVARD 5'!AT264</f>
        <v>134722</v>
      </c>
      <c r="AR571" s="717">
        <f t="shared" ref="AR571:AR611" si="302">AQ571-AP571</f>
        <v>6922</v>
      </c>
      <c r="AS571" s="717"/>
      <c r="AT571" s="581"/>
    </row>
    <row r="572" spans="1:46" ht="13.15" customHeight="1" outlineLevel="1" x14ac:dyDescent="0.25">
      <c r="A572" s="700">
        <f t="shared" si="300"/>
        <v>0</v>
      </c>
      <c r="B572" s="564">
        <f t="shared" ref="B572:G572" si="303">B267</f>
        <v>1506</v>
      </c>
      <c r="C572" s="564" t="str">
        <f t="shared" si="303"/>
        <v>A9</v>
      </c>
      <c r="D572" s="564">
        <f t="shared" si="303"/>
        <v>0</v>
      </c>
      <c r="E572" s="564" t="str">
        <f t="shared" si="303"/>
        <v/>
      </c>
      <c r="F572" s="581" t="str">
        <f t="shared" si="303"/>
        <v/>
      </c>
      <c r="G572" s="566" t="str">
        <f t="shared" si="303"/>
        <v/>
      </c>
      <c r="H572" s="716">
        <f>IF(OR(status1B5!I267="",H$7="No aplica"),0,SUM('BOULEVARD 5'!$K265:K265)-$AP572)</f>
        <v>0</v>
      </c>
      <c r="I572" s="716">
        <f>IF(OR(status1B5!J267="",I$7="No aplica"),0,SUM('BOULEVARD 5'!$K265:L265)-$AP572)</f>
        <v>0</v>
      </c>
      <c r="J572" s="716">
        <f>IF(OR(status1B5!K267="",J$7="No aplica"),0,SUM('BOULEVARD 5'!$K265:M265)-$AP572)</f>
        <v>0</v>
      </c>
      <c r="K572" s="716">
        <f>IF(OR(status1B5!L267="",K$7="No aplica"),0,SUM('BOULEVARD 5'!$K265:N265)-$AP572)</f>
        <v>0</v>
      </c>
      <c r="L572" s="716">
        <f>IF(OR(status1B5!M267="",L$7="No aplica"),0,SUM('BOULEVARD 5'!$K265:O265)-$AP572)</f>
        <v>0</v>
      </c>
      <c r="M572" s="716">
        <f>IF(OR(status1B5!N267="",M$7="No aplica"),0,SUM('BOULEVARD 5'!$K265:P265)-$AP572)</f>
        <v>0</v>
      </c>
      <c r="N572" s="716">
        <f>IF(OR(status1B5!O267="",N$7="No aplica"),0,SUM('BOULEVARD 5'!$K265:Q265)-$AP572)</f>
        <v>0</v>
      </c>
      <c r="O572" s="716">
        <f>IF(OR(status1B5!P267="",O$7="No aplica"),0,SUM('BOULEVARD 5'!$K265:R265)-$AP572)</f>
        <v>0</v>
      </c>
      <c r="P572" s="716">
        <f>IF(OR(status1B5!Q267="",P$7="No aplica"),0,SUM('BOULEVARD 5'!$K265:S265)-$AP572)</f>
        <v>0</v>
      </c>
      <c r="Q572" s="716">
        <f>IF(OR(status1B5!R267="",Q$7="No aplica"),0,SUM('BOULEVARD 5'!$K265:T265)-$AP572)</f>
        <v>0</v>
      </c>
      <c r="R572" s="716">
        <f>IF(OR(status1B5!S267="",R$7="No aplica"),0,SUM('BOULEVARD 5'!$K265:U265)-$AP572)</f>
        <v>0</v>
      </c>
      <c r="S572" s="716">
        <f>IF(OR(status1B5!T267="",S$7="No aplica"),0,SUM('BOULEVARD 5'!$K265:V265)-$AP572)</f>
        <v>0</v>
      </c>
      <c r="T572" s="716">
        <f>IF(OR(status1B5!U267="",T$7="No aplica"),0,SUM('BOULEVARD 5'!$K265:W265)-$AP572)</f>
        <v>0</v>
      </c>
      <c r="U572" s="716">
        <f>IF(OR(status1B5!V267="",U$7="No aplica"),0,SUM('BOULEVARD 5'!$K265:X265)-$AP572)</f>
        <v>0</v>
      </c>
      <c r="V572" s="716">
        <f>IF(OR(status1B5!W267="",V$7="No aplica"),0,SUM('BOULEVARD 5'!$K265:Y265)-$AP572)</f>
        <v>0</v>
      </c>
      <c r="W572" s="716">
        <f>IF(OR(status1B5!X267="",W$7="No aplica"),0,SUM('BOULEVARD 5'!$K265:Z265)-$AP572)</f>
        <v>0</v>
      </c>
      <c r="X572" s="716">
        <f>IF(OR(status1B5!Y267="",X$7="No aplica"),0,SUM('BOULEVARD 5'!$K265:AA265)-$AP572)</f>
        <v>0</v>
      </c>
      <c r="Y572" s="716">
        <f>IF(OR(status1B5!Z267="",Y$7="No aplica"),0,SUM('BOULEVARD 5'!$K265:AB265)-$AP572)</f>
        <v>0</v>
      </c>
      <c r="Z572" s="716">
        <f>IF(OR(status1B5!AA267="",Z$7="No aplica"),0,SUM('BOULEVARD 5'!$K265:AC265)-$AP572)</f>
        <v>0</v>
      </c>
      <c r="AA572" s="716">
        <f>IF(OR(status1B5!AB267="",AA$7="No aplica"),0,SUM('BOULEVARD 5'!$K265:AD265)-$AP572)</f>
        <v>0</v>
      </c>
      <c r="AB572" s="716">
        <f>IF(OR(status1B5!AC267="",AB$7="No aplica"),0,SUM('BOULEVARD 5'!$K265:AE265)-$AP572)</f>
        <v>0</v>
      </c>
      <c r="AC572" s="716">
        <f>IF(OR(status1B5!AD267="",AC$7="No aplica"),0,SUM('BOULEVARD 5'!$K265:AF265)-$AP572)</f>
        <v>0</v>
      </c>
      <c r="AD572" s="716">
        <f>IF(OR(status1B5!AE267="",AD$7="No aplica"),0,SUM('BOULEVARD 5'!$K265:AG265)-$AP572)</f>
        <v>0</v>
      </c>
      <c r="AE572" s="716">
        <f>IF(OR(status1B5!AF267="",AE$7="No aplica"),0,SUM('BOULEVARD 5'!$K265:AH265)-$AP572)</f>
        <v>0</v>
      </c>
      <c r="AF572" s="716">
        <f>IF(OR(status1B5!AG267="",AF$7="No aplica"),0,SUM('BOULEVARD 5'!$K265:AI265)-$AP572)</f>
        <v>0</v>
      </c>
      <c r="AG572" s="716">
        <f>IF(OR(status1B5!AH267="",AG$7="No aplica"),0,SUM('BOULEVARD 5'!$K265:AJ265)-$AP572)</f>
        <v>0</v>
      </c>
      <c r="AH572" s="716">
        <f>IF(OR(status1B5!AI267="",AH$7="No aplica"),0,SUM('BOULEVARD 5'!$K265:AK265)-$AP572)</f>
        <v>0</v>
      </c>
      <c r="AI572" s="716">
        <f>IF(OR(status1B5!AJ267="",AI$7="No aplica"),0,SUM('BOULEVARD 5'!$K265:AL265)-$AP572)</f>
        <v>0</v>
      </c>
      <c r="AJ572" s="716">
        <f>IF(OR(status1B5!AK267="",AJ$7="No aplica"),0,SUM('BOULEVARD 5'!$K265:AM265)-$AP572)</f>
        <v>0</v>
      </c>
      <c r="AK572" s="716">
        <f>IF(OR(status1B5!AL267="",AK$7="No aplica"),0,SUM('BOULEVARD 5'!$K265:AN265)-$AP572)</f>
        <v>0</v>
      </c>
      <c r="AL572" s="716">
        <f>IF(OR(status1B5!AM267="",AL$7="No aplica"),0,SUM('BOULEVARD 5'!$K265:AO265)-$AP572)</f>
        <v>0</v>
      </c>
      <c r="AM572" s="716">
        <f>IF(OR(status1B5!AN267="",AM$7="No aplica"),0,SUM('BOULEVARD 5'!$K265:AP265)-$AP572)</f>
        <v>0</v>
      </c>
      <c r="AN572" s="716">
        <f>IF(OR(status1B5!AO267="",AN$7="No aplica"),0,SUM('BOULEVARD 5'!$K265:AQ265)-$AP572)</f>
        <v>0</v>
      </c>
      <c r="AO572" s="716">
        <f>IF(OR(status1B5!AP267="",AO$7="No aplica"),0,SUM('BOULEVARD 5'!$K265:AS265)-$AP572)</f>
        <v>0</v>
      </c>
      <c r="AP572" s="717">
        <f>'BOULEVARD PPTO'!BC260</f>
        <v>0</v>
      </c>
      <c r="AQ572" s="717">
        <f>'BOULEVARD 5'!AT265</f>
        <v>0</v>
      </c>
      <c r="AR572" s="717">
        <f t="shared" si="302"/>
        <v>0</v>
      </c>
      <c r="AS572" s="717"/>
      <c r="AT572" s="581"/>
    </row>
    <row r="573" spans="1:46" ht="13.15" customHeight="1" outlineLevel="1" x14ac:dyDescent="0.25">
      <c r="A573" s="700" t="str">
        <f t="shared" si="300"/>
        <v>F&amp;F</v>
      </c>
      <c r="B573" s="704">
        <f t="shared" ref="B573:G573" si="304">B268</f>
        <v>1507</v>
      </c>
      <c r="C573" s="704" t="str">
        <f t="shared" si="304"/>
        <v>C9</v>
      </c>
      <c r="D573" s="704">
        <f t="shared" si="304"/>
        <v>0</v>
      </c>
      <c r="E573" s="704" t="str">
        <f t="shared" si="304"/>
        <v>Jose Franco</v>
      </c>
      <c r="F573" s="705" t="str">
        <f t="shared" si="304"/>
        <v>Gabriel Arimany Monzón</v>
      </c>
      <c r="G573" s="566">
        <f t="shared" si="304"/>
        <v>45013</v>
      </c>
      <c r="H573" s="716">
        <f>IF(OR(status1B5!I268="",H$7="No aplica"),0,SUM('BOULEVARD 5'!$K266:K266)-$AP573)</f>
        <v>0</v>
      </c>
      <c r="I573" s="716">
        <f>IF(OR(status1B5!J268="",I$7="No aplica"),0,SUM('BOULEVARD 5'!$K266:L266)-$AP573)</f>
        <v>0</v>
      </c>
      <c r="J573" s="716">
        <f>IF(OR(status1B5!K268="",J$7="No aplica"),0,SUM('BOULEVARD 5'!$K266:M266)-$AP573)</f>
        <v>0</v>
      </c>
      <c r="K573" s="716">
        <f>IF(OR(status1B5!L268="",K$7="No aplica"),0,SUM('BOULEVARD 5'!$K266:N266)-$AP573)</f>
        <v>0</v>
      </c>
      <c r="L573" s="716">
        <f>IF(OR(status1B5!M268="",L$7="No aplica"),0,SUM('BOULEVARD 5'!$K266:O266)-$AP573)</f>
        <v>0</v>
      </c>
      <c r="M573" s="716">
        <f>IF(OR(status1B5!N268="",M$7="No aplica"),0,SUM('BOULEVARD 5'!$K266:P266)-$AP573)</f>
        <v>0</v>
      </c>
      <c r="N573" s="716">
        <f>IF(OR(status1B5!O268="",N$7="No aplica"),0,SUM('BOULEVARD 5'!$K266:Q266)-$AP573)</f>
        <v>0</v>
      </c>
      <c r="O573" s="716">
        <f>IF(OR(status1B5!P268="",O$7="No aplica"),0,SUM('BOULEVARD 5'!$K266:R266)-$AP573)</f>
        <v>0</v>
      </c>
      <c r="P573" s="716">
        <f>IF(OR(status1B5!Q268="",P$7="No aplica"),0,SUM('BOULEVARD 5'!$K266:S266)-$AP573)</f>
        <v>0</v>
      </c>
      <c r="Q573" s="716">
        <f>IF(OR(status1B5!R268="",Q$7="No aplica"),0,SUM('BOULEVARD 5'!$K266:T266)-$AP573)</f>
        <v>0</v>
      </c>
      <c r="R573" s="716">
        <f>IF(OR(status1B5!S268="",R$7="No aplica"),0,SUM('BOULEVARD 5'!$K266:U266)-$AP573)</f>
        <v>0</v>
      </c>
      <c r="S573" s="716">
        <f>IF(OR(status1B5!T268="",S$7="No aplica"),0,SUM('BOULEVARD 5'!$K266:V266)-$AP573)</f>
        <v>0</v>
      </c>
      <c r="T573" s="716">
        <f>IF(OR(status1B5!U268="",T$7="No aplica"),0,SUM('BOULEVARD 5'!$K266:W266)-$AP573)</f>
        <v>0</v>
      </c>
      <c r="U573" s="716">
        <f>IF(OR(status1B5!V268="",U$7="No aplica"),0,SUM('BOULEVARD 5'!$K266:X266)-$AP573)</f>
        <v>0</v>
      </c>
      <c r="V573" s="716">
        <f>IF(OR(status1B5!W268="",V$7="No aplica"),0,SUM('BOULEVARD 5'!$K266:Y266)-$AP573)</f>
        <v>0</v>
      </c>
      <c r="W573" s="716">
        <f>IF(OR(status1B5!X268="",W$7="No aplica"),0,SUM('BOULEVARD 5'!$K266:Z266)-$AP573)</f>
        <v>0</v>
      </c>
      <c r="X573" s="716">
        <f>IF(OR(status1B5!Y268="",X$7="No aplica"),0,SUM('BOULEVARD 5'!$K266:AA266)-$AP573)</f>
        <v>0</v>
      </c>
      <c r="Y573" s="716">
        <f>IF(OR(status1B5!Z268="",Y$7="No aplica"),0,SUM('BOULEVARD 5'!$K266:AB266)-$AP573)</f>
        <v>0</v>
      </c>
      <c r="Z573" s="716">
        <f>IF(OR(status1B5!AA268="",Z$7="No aplica"),0,SUM('BOULEVARD 5'!$K266:AC266)-$AP573)</f>
        <v>0</v>
      </c>
      <c r="AA573" s="716">
        <f>IF(OR(status1B5!AB268="",AA$7="No aplica"),0,SUM('BOULEVARD 5'!$K266:AD266)-$AP573)</f>
        <v>0</v>
      </c>
      <c r="AB573" s="716">
        <f>IF(OR(status1B5!AC268="",AB$7="No aplica"),0,SUM('BOULEVARD 5'!$K266:AE266)-$AP573)</f>
        <v>0</v>
      </c>
      <c r="AC573" s="716">
        <f>IF(OR(status1B5!AD268="",AC$7="No aplica"),0,SUM('BOULEVARD 5'!$K266:AF266)-$AP573)</f>
        <v>0</v>
      </c>
      <c r="AD573" s="716">
        <f>IF(OR(status1B5!AE268="",AD$7="No aplica"),0,SUM('BOULEVARD 5'!$K266:AG266)-$AP573)</f>
        <v>0</v>
      </c>
      <c r="AE573" s="716">
        <f>IF(OR(status1B5!AF268="",AE$7="No aplica"),0,SUM('BOULEVARD 5'!$K266:AH266)-$AP573)</f>
        <v>0</v>
      </c>
      <c r="AF573" s="716">
        <f>IF(OR(status1B5!AG268="",AF$7="No aplica"),0,SUM('BOULEVARD 5'!$K266:AI266)-$AP573)</f>
        <v>0</v>
      </c>
      <c r="AG573" s="716">
        <f>IF(OR(status1B5!AH268="",AG$7="No aplica"),0,SUM('BOULEVARD 5'!$K266:AJ266)-$AP573)</f>
        <v>0</v>
      </c>
      <c r="AH573" s="716">
        <f>IF(OR(status1B5!AI268="",AH$7="No aplica"),0,SUM('BOULEVARD 5'!$K266:AK266)-$AP573)</f>
        <v>0</v>
      </c>
      <c r="AI573" s="716">
        <f>IF(OR(status1B5!AJ268="",AI$7="No aplica"),0,SUM('BOULEVARD 5'!$K266:AL266)-$AP573)</f>
        <v>0</v>
      </c>
      <c r="AJ573" s="716">
        <f>IF(OR(status1B5!AK268="",AJ$7="No aplica"),0,SUM('BOULEVARD 5'!$K266:AM266)-$AP573)</f>
        <v>0</v>
      </c>
      <c r="AK573" s="716">
        <f>IF(OR(status1B5!AL268="",AK$7="No aplica"),0,SUM('BOULEVARD 5'!$K266:AN266)-$AP573)</f>
        <v>0</v>
      </c>
      <c r="AL573" s="716">
        <f>IF(OR(status1B5!AM268="",AL$7="No aplica"),0,SUM('BOULEVARD 5'!$K266:AO266)-$AP573)</f>
        <v>0</v>
      </c>
      <c r="AM573" s="716">
        <f>IF(OR(status1B5!AN268="",AM$7="No aplica"),0,SUM('BOULEVARD 5'!$K266:AP266)-$AP573)</f>
        <v>0</v>
      </c>
      <c r="AN573" s="716">
        <f>IF(OR(status1B5!AO268="",AN$7="No aplica"),0,SUM('BOULEVARD 5'!$K266:AQ266)-$AP573)</f>
        <v>0</v>
      </c>
      <c r="AO573" s="716">
        <f>IF(OR(status1B5!AP268="",AO$7="No aplica"),0,SUM('BOULEVARD 5'!$K266:AS266)-$AP573)</f>
        <v>0</v>
      </c>
      <c r="AP573" s="717">
        <f>'BOULEVARD PPTO'!BC261</f>
        <v>114161</v>
      </c>
      <c r="AQ573" s="717">
        <f>'BOULEVARD 5'!AT266</f>
        <v>110550</v>
      </c>
      <c r="AR573" s="717">
        <f t="shared" si="302"/>
        <v>-3611</v>
      </c>
      <c r="AS573" s="717"/>
      <c r="AT573" s="581"/>
    </row>
    <row r="574" spans="1:46" ht="13.15" customHeight="1" outlineLevel="1" x14ac:dyDescent="0.25">
      <c r="A574" s="700" t="str">
        <f t="shared" si="300"/>
        <v>F&amp;F</v>
      </c>
      <c r="B574" s="704">
        <f t="shared" ref="B574:G574" si="305">B269</f>
        <v>1508</v>
      </c>
      <c r="C574" s="704" t="str">
        <f t="shared" si="305"/>
        <v>C8</v>
      </c>
      <c r="D574" s="704">
        <f t="shared" si="305"/>
        <v>0</v>
      </c>
      <c r="E574" s="704" t="str">
        <f t="shared" si="305"/>
        <v>Jose Franco</v>
      </c>
      <c r="F574" s="705" t="str">
        <f t="shared" si="305"/>
        <v>María Carolina Arimany Comas</v>
      </c>
      <c r="G574" s="566">
        <f t="shared" si="305"/>
        <v>45013</v>
      </c>
      <c r="H574" s="716">
        <f>IF(OR(status1B5!I269="",H$7="No aplica"),0,SUM('BOULEVARD 5'!$K267:K267)-$AP574)</f>
        <v>0</v>
      </c>
      <c r="I574" s="716">
        <f>IF(OR(status1B5!J269="",I$7="No aplica"),0,SUM('BOULEVARD 5'!$K267:L267)-$AP574)</f>
        <v>0</v>
      </c>
      <c r="J574" s="716">
        <f>IF(OR(status1B5!K269="",J$7="No aplica"),0,SUM('BOULEVARD 5'!$K267:M267)-$AP574)</f>
        <v>0</v>
      </c>
      <c r="K574" s="716">
        <f>IF(OR(status1B5!L269="",K$7="No aplica"),0,SUM('BOULEVARD 5'!$K267:N267)-$AP574)</f>
        <v>0</v>
      </c>
      <c r="L574" s="716">
        <f>IF(OR(status1B5!M269="",L$7="No aplica"),0,SUM('BOULEVARD 5'!$K267:O267)-$AP574)</f>
        <v>0</v>
      </c>
      <c r="M574" s="716">
        <f>IF(OR(status1B5!N269="",M$7="No aplica"),0,SUM('BOULEVARD 5'!$K267:P267)-$AP574)</f>
        <v>0</v>
      </c>
      <c r="N574" s="716">
        <f>IF(OR(status1B5!O269="",N$7="No aplica"),0,SUM('BOULEVARD 5'!$K267:Q267)-$AP574)</f>
        <v>0</v>
      </c>
      <c r="O574" s="716">
        <f>IF(OR(status1B5!P269="",O$7="No aplica"),0,SUM('BOULEVARD 5'!$K267:R267)-$AP574)</f>
        <v>0</v>
      </c>
      <c r="P574" s="716">
        <f>IF(OR(status1B5!Q269="",P$7="No aplica"),0,SUM('BOULEVARD 5'!$K267:S267)-$AP574)</f>
        <v>0</v>
      </c>
      <c r="Q574" s="716">
        <f>IF(OR(status1B5!R269="",Q$7="No aplica"),0,SUM('BOULEVARD 5'!$K267:T267)-$AP574)</f>
        <v>0</v>
      </c>
      <c r="R574" s="716">
        <f>IF(OR(status1B5!S269="",R$7="No aplica"),0,SUM('BOULEVARD 5'!$K267:U267)-$AP574)</f>
        <v>0</v>
      </c>
      <c r="S574" s="716">
        <f>IF(OR(status1B5!T269="",S$7="No aplica"),0,SUM('BOULEVARD 5'!$K267:V267)-$AP574)</f>
        <v>0</v>
      </c>
      <c r="T574" s="716">
        <f>IF(OR(status1B5!U269="",T$7="No aplica"),0,SUM('BOULEVARD 5'!$K267:W267)-$AP574)</f>
        <v>0</v>
      </c>
      <c r="U574" s="716">
        <f>IF(OR(status1B5!V269="",U$7="No aplica"),0,SUM('BOULEVARD 5'!$K267:X267)-$AP574)</f>
        <v>0</v>
      </c>
      <c r="V574" s="716">
        <f>IF(OR(status1B5!W269="",V$7="No aplica"),0,SUM('BOULEVARD 5'!$K267:Y267)-$AP574)</f>
        <v>0</v>
      </c>
      <c r="W574" s="716">
        <f>IF(OR(status1B5!X269="",W$7="No aplica"),0,SUM('BOULEVARD 5'!$K267:Z267)-$AP574)</f>
        <v>0</v>
      </c>
      <c r="X574" s="716">
        <f>IF(OR(status1B5!Y269="",X$7="No aplica"),0,SUM('BOULEVARD 5'!$K267:AA267)-$AP574)</f>
        <v>0</v>
      </c>
      <c r="Y574" s="716">
        <f>IF(OR(status1B5!Z269="",Y$7="No aplica"),0,SUM('BOULEVARD 5'!$K267:AB267)-$AP574)</f>
        <v>0</v>
      </c>
      <c r="Z574" s="716">
        <f>IF(OR(status1B5!AA269="",Z$7="No aplica"),0,SUM('BOULEVARD 5'!$K267:AC267)-$AP574)</f>
        <v>0</v>
      </c>
      <c r="AA574" s="716">
        <f>IF(OR(status1B5!AB269="",AA$7="No aplica"),0,SUM('BOULEVARD 5'!$K267:AD267)-$AP574)</f>
        <v>0</v>
      </c>
      <c r="AB574" s="716">
        <f>IF(OR(status1B5!AC269="",AB$7="No aplica"),0,SUM('BOULEVARD 5'!$K267:AE267)-$AP574)</f>
        <v>0</v>
      </c>
      <c r="AC574" s="716">
        <f>IF(OR(status1B5!AD269="",AC$7="No aplica"),0,SUM('BOULEVARD 5'!$K267:AF267)-$AP574)</f>
        <v>0</v>
      </c>
      <c r="AD574" s="716">
        <f>IF(OR(status1B5!AE269="",AD$7="No aplica"),0,SUM('BOULEVARD 5'!$K267:AG267)-$AP574)</f>
        <v>0</v>
      </c>
      <c r="AE574" s="716">
        <f>IF(OR(status1B5!AF269="",AE$7="No aplica"),0,SUM('BOULEVARD 5'!$K267:AH267)-$AP574)</f>
        <v>0</v>
      </c>
      <c r="AF574" s="716">
        <f>IF(OR(status1B5!AG269="",AF$7="No aplica"),0,SUM('BOULEVARD 5'!$K267:AI267)-$AP574)</f>
        <v>0</v>
      </c>
      <c r="AG574" s="716">
        <f>IF(OR(status1B5!AH269="",AG$7="No aplica"),0,SUM('BOULEVARD 5'!$K267:AJ267)-$AP574)</f>
        <v>0</v>
      </c>
      <c r="AH574" s="716">
        <f>IF(OR(status1B5!AI269="",AH$7="No aplica"),0,SUM('BOULEVARD 5'!$K267:AK267)-$AP574)</f>
        <v>0</v>
      </c>
      <c r="AI574" s="716">
        <f>IF(OR(status1B5!AJ269="",AI$7="No aplica"),0,SUM('BOULEVARD 5'!$K267:AL267)-$AP574)</f>
        <v>0</v>
      </c>
      <c r="AJ574" s="716">
        <f>IF(OR(status1B5!AK269="",AJ$7="No aplica"),0,SUM('BOULEVARD 5'!$K267:AM267)-$AP574)</f>
        <v>0</v>
      </c>
      <c r="AK574" s="716">
        <f>IF(OR(status1B5!AL269="",AK$7="No aplica"),0,SUM('BOULEVARD 5'!$K267:AN267)-$AP574)</f>
        <v>0</v>
      </c>
      <c r="AL574" s="716">
        <f>IF(OR(status1B5!AM269="",AL$7="No aplica"),0,SUM('BOULEVARD 5'!$K267:AO267)-$AP574)</f>
        <v>0</v>
      </c>
      <c r="AM574" s="716">
        <f>IF(OR(status1B5!AN269="",AM$7="No aplica"),0,SUM('BOULEVARD 5'!$K267:AP267)-$AP574)</f>
        <v>0</v>
      </c>
      <c r="AN574" s="716">
        <f>IF(OR(status1B5!AO269="",AN$7="No aplica"),0,SUM('BOULEVARD 5'!$K267:AQ267)-$AP574)</f>
        <v>0</v>
      </c>
      <c r="AO574" s="716">
        <f>IF(OR(status1B5!AP269="",AO$7="No aplica"),0,SUM('BOULEVARD 5'!$K267:AS267)-$AP574)</f>
        <v>0</v>
      </c>
      <c r="AP574" s="717">
        <f>'BOULEVARD PPTO'!BC262</f>
        <v>114160</v>
      </c>
      <c r="AQ574" s="717">
        <f>'BOULEVARD 5'!AT267</f>
        <v>6000</v>
      </c>
      <c r="AR574" s="717">
        <f t="shared" si="302"/>
        <v>-108160</v>
      </c>
      <c r="AS574" s="717"/>
      <c r="AT574" s="581"/>
    </row>
    <row r="575" spans="1:46" ht="13.15" customHeight="1" outlineLevel="1" x14ac:dyDescent="0.25">
      <c r="A575" s="700">
        <f t="shared" si="300"/>
        <v>0</v>
      </c>
      <c r="B575" s="713">
        <f t="shared" ref="B575:G575" si="306">B270</f>
        <v>1509</v>
      </c>
      <c r="C575" s="565" t="str">
        <f t="shared" si="306"/>
        <v>B4</v>
      </c>
      <c r="D575" s="565">
        <f t="shared" si="306"/>
        <v>0</v>
      </c>
      <c r="E575" s="564" t="str">
        <f t="shared" si="306"/>
        <v>Anahí Cisneros</v>
      </c>
      <c r="F575" s="563" t="str">
        <f t="shared" si="306"/>
        <v>Alan Gonzalez Choc</v>
      </c>
      <c r="G575" s="566">
        <f t="shared" si="306"/>
        <v>45856</v>
      </c>
      <c r="H575" s="716">
        <f>IF(OR(status1B5!I270="",H$7="No aplica"),0,SUM('BOULEVARD 5'!$K268:K268)-$AP575)</f>
        <v>0</v>
      </c>
      <c r="I575" s="716">
        <f>IF(OR(status1B5!J270="",I$7="No aplica"),0,SUM('BOULEVARD 5'!$K268:L268)-$AP575)</f>
        <v>0</v>
      </c>
      <c r="J575" s="716">
        <f>IF(OR(status1B5!K270="",J$7="No aplica"),0,SUM('BOULEVARD 5'!$K268:M268)-$AP575)</f>
        <v>0</v>
      </c>
      <c r="K575" s="716">
        <f>IF(OR(status1B5!L270="",K$7="No aplica"),0,SUM('BOULEVARD 5'!$K268:N268)-$AP575)</f>
        <v>0</v>
      </c>
      <c r="L575" s="716">
        <f>IF(OR(status1B5!M270="",L$7="No aplica"),0,SUM('BOULEVARD 5'!$K268:O268)-$AP575)</f>
        <v>0</v>
      </c>
      <c r="M575" s="716">
        <f>IF(OR(status1B5!N270="",M$7="No aplica"),0,SUM('BOULEVARD 5'!$K268:P268)-$AP575)</f>
        <v>0</v>
      </c>
      <c r="N575" s="716">
        <f>IF(OR(status1B5!O270="",N$7="No aplica"),0,SUM('BOULEVARD 5'!$K268:Q268)-$AP575)</f>
        <v>0</v>
      </c>
      <c r="O575" s="716">
        <f>IF(OR(status1B5!P270="",O$7="No aplica"),0,SUM('BOULEVARD 5'!$K268:R268)-$AP575)</f>
        <v>0</v>
      </c>
      <c r="P575" s="716">
        <f>IF(OR(status1B5!Q270="",P$7="No aplica"),0,SUM('BOULEVARD 5'!$K268:S268)-$AP575)</f>
        <v>0</v>
      </c>
      <c r="Q575" s="716">
        <f>IF(OR(status1B5!R270="",Q$7="No aplica"),0,SUM('BOULEVARD 5'!$K268:T268)-$AP575)</f>
        <v>0</v>
      </c>
      <c r="R575" s="716">
        <f>IF(OR(status1B5!S270="",R$7="No aplica"),0,SUM('BOULEVARD 5'!$K268:U268)-$AP575)</f>
        <v>0</v>
      </c>
      <c r="S575" s="716">
        <f>IF(OR(status1B5!T270="",S$7="No aplica"),0,SUM('BOULEVARD 5'!$K268:V268)-$AP575)</f>
        <v>0</v>
      </c>
      <c r="T575" s="716">
        <f>IF(OR(status1B5!U270="",T$7="No aplica"),0,SUM('BOULEVARD 5'!$K268:W268)-$AP575)</f>
        <v>0</v>
      </c>
      <c r="U575" s="716">
        <f>IF(OR(status1B5!V270="",U$7="No aplica"),0,SUM('BOULEVARD 5'!$K268:X268)-$AP575)</f>
        <v>0</v>
      </c>
      <c r="V575" s="716">
        <f>IF(OR(status1B5!W270="",V$7="No aplica"),0,SUM('BOULEVARD 5'!$K268:Y268)-$AP575)</f>
        <v>0</v>
      </c>
      <c r="W575" s="716">
        <f>IF(OR(status1B5!X270="",W$7="No aplica"),0,SUM('BOULEVARD 5'!$K268:Z268)-$AP575)</f>
        <v>0</v>
      </c>
      <c r="X575" s="716">
        <f>IF(OR(status1B5!Y270="",X$7="No aplica"),0,SUM('BOULEVARD 5'!$K268:AA268)-$AP575)</f>
        <v>0</v>
      </c>
      <c r="Y575" s="716">
        <f>IF(OR(status1B5!Z270="",Y$7="No aplica"),0,SUM('BOULEVARD 5'!$K268:AB268)-$AP575)</f>
        <v>0</v>
      </c>
      <c r="Z575" s="716">
        <f>IF(OR(status1B5!AA270="",Z$7="No aplica"),0,SUM('BOULEVARD 5'!$K268:AC268)-$AP575)</f>
        <v>0</v>
      </c>
      <c r="AA575" s="716">
        <f>IF(OR(status1B5!AB270="",AA$7="No aplica"),0,SUM('BOULEVARD 5'!$K268:AD268)-$AP575)</f>
        <v>0</v>
      </c>
      <c r="AB575" s="716">
        <f>IF(OR(status1B5!AC270="",AB$7="No aplica"),0,SUM('BOULEVARD 5'!$K268:AE268)-$AP575)</f>
        <v>0</v>
      </c>
      <c r="AC575" s="716">
        <f>IF(OR(status1B5!AD270="",AC$7="No aplica"),0,SUM('BOULEVARD 5'!$K268:AF268)-$AP575)</f>
        <v>0</v>
      </c>
      <c r="AD575" s="716">
        <f>IF(OR(status1B5!AE270="",AD$7="No aplica"),0,SUM('BOULEVARD 5'!$K268:AG268)-$AP575)</f>
        <v>0</v>
      </c>
      <c r="AE575" s="716">
        <f>IF(OR(status1B5!AF270="",AE$7="No aplica"),0,SUM('BOULEVARD 5'!$K268:AH268)-$AP575)</f>
        <v>0</v>
      </c>
      <c r="AF575" s="716">
        <f>IF(OR(status1B5!AG270="",AF$7="No aplica"),0,SUM('BOULEVARD 5'!$K268:AI268)-$AP575)</f>
        <v>0</v>
      </c>
      <c r="AG575" s="716">
        <f>IF(OR(status1B5!AH270="",AG$7="No aplica"),0,SUM('BOULEVARD 5'!$K268:AJ268)-$AP575)</f>
        <v>0</v>
      </c>
      <c r="AH575" s="716">
        <f>IF(OR(status1B5!AI270="",AH$7="No aplica"),0,SUM('BOULEVARD 5'!$K268:AK268)-$AP575)</f>
        <v>0</v>
      </c>
      <c r="AI575" s="716">
        <f>IF(OR(status1B5!AJ270="",AI$7="No aplica"),0,SUM('BOULEVARD 5'!$K268:AL268)-$AP575)</f>
        <v>0</v>
      </c>
      <c r="AJ575" s="716">
        <f>IF(OR(status1B5!AK270="",AJ$7="No aplica"),0,SUM('BOULEVARD 5'!$K268:AM268)-$AP575)</f>
        <v>-541277.04</v>
      </c>
      <c r="AK575" s="716">
        <f>IF(OR(status1B5!AL270="",AK$7="No aplica"),0,SUM('BOULEVARD 5'!$K268:AN268)-$AP575)</f>
        <v>-541277.04</v>
      </c>
      <c r="AL575" s="716">
        <f>IF(OR(status1B5!AM270="",AL$7="No aplica"),0,SUM('BOULEVARD 5'!$K268:AO268)-$AP575)</f>
        <v>-508877.04000000004</v>
      </c>
      <c r="AM575" s="716">
        <f>IF(OR(status1B5!AN270="",AM$7="No aplica"),0,SUM('BOULEVARD 5'!$K268:AP268)-$AP575)</f>
        <v>-476477.04000000004</v>
      </c>
      <c r="AN575" s="716">
        <f>IF(OR(status1B5!AO270="",AN$7="No aplica"),0,SUM('BOULEVARD 5'!$K268:AQ268)-$AP575)</f>
        <v>0</v>
      </c>
      <c r="AO575" s="716">
        <f>IF(OR(status1B5!AP270="",AO$7="No aplica"),0,SUM('BOULEVARD 5'!$K268:AS268)-$AP575)</f>
        <v>0</v>
      </c>
      <c r="AP575" s="717">
        <f>'BOULEVARD PPTO'!BC263</f>
        <v>1082554.08</v>
      </c>
      <c r="AQ575" s="717">
        <f>'BOULEVARD 5'!AT268</f>
        <v>703277.04</v>
      </c>
      <c r="AR575" s="717">
        <f t="shared" si="302"/>
        <v>-379277.04000000004</v>
      </c>
      <c r="AS575" s="717"/>
      <c r="AT575" s="581"/>
    </row>
    <row r="576" spans="1:46" ht="13.15" customHeight="1" outlineLevel="1" x14ac:dyDescent="0.25">
      <c r="A576" s="700">
        <f t="shared" si="300"/>
        <v>0</v>
      </c>
      <c r="B576" s="564">
        <f t="shared" ref="B576:G576" si="307">B271</f>
        <v>1510</v>
      </c>
      <c r="C576" s="564" t="str">
        <f t="shared" si="307"/>
        <v>B3</v>
      </c>
      <c r="D576" s="564">
        <f t="shared" si="307"/>
        <v>0</v>
      </c>
      <c r="E576" s="564" t="str">
        <f t="shared" si="307"/>
        <v>Brenda Búcaro</v>
      </c>
      <c r="F576" s="581" t="str">
        <f t="shared" si="307"/>
        <v>José Paúl Centeno Valdés</v>
      </c>
      <c r="G576" s="566">
        <f t="shared" si="307"/>
        <v>45085</v>
      </c>
      <c r="H576" s="716">
        <f>IF(OR(status1B5!I271="",H$7="No aplica"),0,SUM('BOULEVARD 5'!$K269:K269)-$AP576)</f>
        <v>0</v>
      </c>
      <c r="I576" s="716">
        <f>IF(OR(status1B5!J271="",I$7="No aplica"),0,SUM('BOULEVARD 5'!$K269:L269)-$AP576)</f>
        <v>0</v>
      </c>
      <c r="J576" s="716">
        <f>IF(OR(status1B5!K271="",J$7="No aplica"),0,SUM('BOULEVARD 5'!$K269:M269)-$AP576)</f>
        <v>0</v>
      </c>
      <c r="K576" s="716">
        <f>IF(OR(status1B5!L271="",K$7="No aplica"),0,SUM('BOULEVARD 5'!$K269:N269)-$AP576)</f>
        <v>-82800</v>
      </c>
      <c r="L576" s="716">
        <f>IF(OR(status1B5!M271="",L$7="No aplica"),0,SUM('BOULEVARD 5'!$K269:O269)-$AP576)</f>
        <v>-79736</v>
      </c>
      <c r="M576" s="716">
        <f>IF(OR(status1B5!N271="",M$7="No aplica"),0,SUM('BOULEVARD 5'!$K269:P269)-$AP576)</f>
        <v>-76672</v>
      </c>
      <c r="N576" s="716">
        <f>IF(OR(status1B5!O271="",N$7="No aplica"),0,SUM('BOULEVARD 5'!$K269:Q269)-$AP576)</f>
        <v>-73608</v>
      </c>
      <c r="O576" s="716">
        <f>IF(OR(status1B5!P271="",O$7="No aplica"),0,SUM('BOULEVARD 5'!$K269:R269)-$AP576)</f>
        <v>-70544</v>
      </c>
      <c r="P576" s="716">
        <f>IF(OR(status1B5!Q271="",P$7="No aplica"),0,SUM('BOULEVARD 5'!$K269:S269)-$AP576)</f>
        <v>-67480</v>
      </c>
      <c r="Q576" s="716">
        <f>IF(OR(status1B5!R271="",Q$7="No aplica"),0,SUM('BOULEVARD 5'!$K269:T269)-$AP576)</f>
        <v>-67480</v>
      </c>
      <c r="R576" s="716">
        <f>IF(OR(status1B5!S271="",R$7="No aplica"),0,SUM('BOULEVARD 5'!$K269:U269)-$AP576)</f>
        <v>-61352</v>
      </c>
      <c r="S576" s="716">
        <f>IF(OR(status1B5!T271="",S$7="No aplica"),0,SUM('BOULEVARD 5'!$K269:V269)-$AP576)</f>
        <v>-58288</v>
      </c>
      <c r="T576" s="716">
        <f>IF(OR(status1B5!U271="",T$7="No aplica"),0,SUM('BOULEVARD 5'!$K269:W269)-$AP576)</f>
        <v>-58288</v>
      </c>
      <c r="U576" s="716">
        <f>IF(OR(status1B5!V271="",U$7="No aplica"),0,SUM('BOULEVARD 5'!$K269:X269)-$AP576)</f>
        <v>-52160</v>
      </c>
      <c r="V576" s="716">
        <f>IF(OR(status1B5!W271="",V$7="No aplica"),0,SUM('BOULEVARD 5'!$K269:Y269)-$AP576)</f>
        <v>-49096</v>
      </c>
      <c r="W576" s="716">
        <f>IF(OR(status1B5!X271="",W$7="No aplica"),0,SUM('BOULEVARD 5'!$K269:Z269)-$AP576)</f>
        <v>-46032</v>
      </c>
      <c r="X576" s="716">
        <f>IF(OR(status1B5!Y271="",X$7="No aplica"),0,SUM('BOULEVARD 5'!$K269:AA269)-$AP576)</f>
        <v>-42968</v>
      </c>
      <c r="Y576" s="716">
        <f>IF(OR(status1B5!Z271="",Y$7="No aplica"),0,SUM('BOULEVARD 5'!$K269:AB269)-$AP576)</f>
        <v>-39904</v>
      </c>
      <c r="Z576" s="716">
        <f>IF(OR(status1B5!AA271="",Z$7="No aplica"),0,SUM('BOULEVARD 5'!$K269:AC269)-$AP576)</f>
        <v>-36840</v>
      </c>
      <c r="AA576" s="716">
        <f>IF(OR(status1B5!AB271="",AA$7="No aplica"),0,SUM('BOULEVARD 5'!$K269:AD269)-$AP576)</f>
        <v>-33776</v>
      </c>
      <c r="AB576" s="716">
        <f>IF(OR(status1B5!AC271="",AB$7="No aplica"),0,SUM('BOULEVARD 5'!$K269:AE269)-$AP576)</f>
        <v>-30712</v>
      </c>
      <c r="AC576" s="716">
        <f>IF(OR(status1B5!AD271="",AC$7="No aplica"),0,SUM('BOULEVARD 5'!$K269:AF269)-$AP576)</f>
        <v>-27648</v>
      </c>
      <c r="AD576" s="716">
        <f>IF(OR(status1B5!AE271="",AD$7="No aplica"),0,SUM('BOULEVARD 5'!$K269:AG269)-$AP576)</f>
        <v>-24584</v>
      </c>
      <c r="AE576" s="716">
        <f>IF(OR(status1B5!AF271="",AE$7="No aplica"),0,SUM('BOULEVARD 5'!$K269:AH269)-$AP576)</f>
        <v>-21520</v>
      </c>
      <c r="AF576" s="716">
        <f>IF(OR(status1B5!AG271="",AF$7="No aplica"),0,SUM('BOULEVARD 5'!$K269:AI269)-$AP576)</f>
        <v>-18456</v>
      </c>
      <c r="AG576" s="716">
        <f>IF(OR(status1B5!AH271="",AG$7="No aplica"),0,SUM('BOULEVARD 5'!$K269:AJ269)-$AP576)</f>
        <v>-15392</v>
      </c>
      <c r="AH576" s="716">
        <f>IF(OR(status1B5!AI271="",AH$7="No aplica"),0,SUM('BOULEVARD 5'!$K269:AK269)-$AP576)</f>
        <v>-12327</v>
      </c>
      <c r="AI576" s="716">
        <f>IF(OR(status1B5!AJ271="",AI$7="No aplica"),0,SUM('BOULEVARD 5'!$K269:AL269)-$AP576)</f>
        <v>-9263</v>
      </c>
      <c r="AJ576" s="716">
        <f>IF(OR(status1B5!AK271="",AJ$7="No aplica"),0,SUM('BOULEVARD 5'!$K269:AM269)-$AP576)</f>
        <v>-6199</v>
      </c>
      <c r="AK576" s="716">
        <f>IF(OR(status1B5!AL271="",AK$7="No aplica"),0,SUM('BOULEVARD 5'!$K269:AN269)-$AP576)</f>
        <v>-3135</v>
      </c>
      <c r="AL576" s="716">
        <f>IF(OR(status1B5!AM271="",AL$7="No aplica"),0,SUM('BOULEVARD 5'!$K269:AO269)-$AP576)</f>
        <v>-3064</v>
      </c>
      <c r="AM576" s="716">
        <f>IF(OR(status1B5!AN271="",AM$7="No aplica"),0,SUM('BOULEVARD 5'!$K269:AP269)-$AP576)</f>
        <v>-3064</v>
      </c>
      <c r="AN576" s="716">
        <f>IF(OR(status1B5!AO271="",AN$7="No aplica"),0,SUM('BOULEVARD 5'!$K269:AQ269)-$AP576)</f>
        <v>0</v>
      </c>
      <c r="AO576" s="716">
        <f>IF(OR(status1B5!AP271="",AO$7="No aplica"),0,SUM('BOULEVARD 5'!$K269:AS269)-$AP576)</f>
        <v>0</v>
      </c>
      <c r="AP576" s="717">
        <f>'BOULEVARD PPTO'!BC264</f>
        <v>88800</v>
      </c>
      <c r="AQ576" s="717">
        <f>'BOULEVARD 5'!AT269</f>
        <v>85736</v>
      </c>
      <c r="AR576" s="717">
        <f t="shared" si="302"/>
        <v>-3064</v>
      </c>
      <c r="AS576" s="717"/>
      <c r="AT576" s="581"/>
    </row>
    <row r="577" spans="1:46" ht="13.15" customHeight="1" outlineLevel="1" x14ac:dyDescent="0.25">
      <c r="A577" s="700">
        <f t="shared" si="300"/>
        <v>0</v>
      </c>
      <c r="B577" s="564">
        <f t="shared" ref="B577:G577" si="308">B272</f>
        <v>1511</v>
      </c>
      <c r="C577" s="564" t="str">
        <f t="shared" si="308"/>
        <v>E8</v>
      </c>
      <c r="D577" s="564">
        <f t="shared" si="308"/>
        <v>0</v>
      </c>
      <c r="E577" s="564" t="str">
        <f t="shared" si="308"/>
        <v>Antonio Rada</v>
      </c>
      <c r="F577" s="581" t="str">
        <f t="shared" si="308"/>
        <v>Luis Fernando Velasquez León</v>
      </c>
      <c r="G577" s="566">
        <f t="shared" si="308"/>
        <v>45155</v>
      </c>
      <c r="H577" s="716">
        <f>IF(OR(status1B5!I272="",H$7="No aplica"),0,SUM('BOULEVARD 5'!$K270:K270)-$AP577)</f>
        <v>0</v>
      </c>
      <c r="I577" s="716">
        <f>IF(OR(status1B5!J272="",I$7="No aplica"),0,SUM('BOULEVARD 5'!$K270:L270)-$AP577)</f>
        <v>0</v>
      </c>
      <c r="J577" s="716">
        <f>IF(OR(status1B5!K272="",J$7="No aplica"),0,SUM('BOULEVARD 5'!$K270:M270)-$AP577)</f>
        <v>0</v>
      </c>
      <c r="K577" s="716">
        <f>IF(OR(status1B5!L272="",K$7="No aplica"),0,SUM('BOULEVARD 5'!$K270:N270)-$AP577)</f>
        <v>0</v>
      </c>
      <c r="L577" s="716">
        <f>IF(OR(status1B5!M272="",L$7="No aplica"),0,SUM('BOULEVARD 5'!$K270:O270)-$AP577)</f>
        <v>0</v>
      </c>
      <c r="M577" s="716">
        <f>IF(OR(status1B5!N272="",M$7="No aplica"),0,SUM('BOULEVARD 5'!$K270:P270)-$AP577)</f>
        <v>-138300</v>
      </c>
      <c r="N577" s="716">
        <f>IF(OR(status1B5!O272="",N$7="No aplica"),0,SUM('BOULEVARD 5'!$K270:Q270)-$AP577)</f>
        <v>-127008</v>
      </c>
      <c r="O577" s="716">
        <f>IF(OR(status1B5!P272="",O$7="No aplica"),0,SUM('BOULEVARD 5'!$K270:R270)-$AP577)</f>
        <v>-127008</v>
      </c>
      <c r="P577" s="716">
        <f>IF(OR(status1B5!Q272="",P$7="No aplica"),0,SUM('BOULEVARD 5'!$K270:S270)-$AP577)</f>
        <v>-121716</v>
      </c>
      <c r="Q577" s="716">
        <f>IF(OR(status1B5!R272="",Q$7="No aplica"),0,SUM('BOULEVARD 5'!$K270:T270)-$AP577)</f>
        <v>-116424</v>
      </c>
      <c r="R577" s="716">
        <f>IF(OR(status1B5!S272="",R$7="No aplica"),0,SUM('BOULEVARD 5'!$K270:U270)-$AP577)</f>
        <v>-111132</v>
      </c>
      <c r="S577" s="716">
        <f>IF(OR(status1B5!T272="",S$7="No aplica"),0,SUM('BOULEVARD 5'!$K270:V270)-$AP577)</f>
        <v>-105840</v>
      </c>
      <c r="T577" s="716">
        <f>IF(OR(status1B5!U272="",T$7="No aplica"),0,SUM('BOULEVARD 5'!$K270:W270)-$AP577)</f>
        <v>-105840</v>
      </c>
      <c r="U577" s="716">
        <f>IF(OR(status1B5!V272="",U$7="No aplica"),0,SUM('BOULEVARD 5'!$K270:X270)-$AP577)</f>
        <v>-100548</v>
      </c>
      <c r="V577" s="716">
        <f>IF(OR(status1B5!W272="",V$7="No aplica"),0,SUM('BOULEVARD 5'!$K270:Y270)-$AP577)</f>
        <v>-89964</v>
      </c>
      <c r="W577" s="716">
        <f>IF(OR(status1B5!X272="",W$7="No aplica"),0,SUM('BOULEVARD 5'!$K270:Z270)-$AP577)</f>
        <v>-89964</v>
      </c>
      <c r="X577" s="716">
        <f>IF(OR(status1B5!Y272="",X$7="No aplica"),0,SUM('BOULEVARD 5'!$K270:AA270)-$AP577)</f>
        <v>-84672</v>
      </c>
      <c r="Y577" s="716">
        <f>IF(OR(status1B5!Z272="",Y$7="No aplica"),0,SUM('BOULEVARD 5'!$K270:AB270)-$AP577)</f>
        <v>-74088</v>
      </c>
      <c r="Z577" s="716">
        <f>IF(OR(status1B5!AA272="",Z$7="No aplica"),0,SUM('BOULEVARD 5'!$K270:AC270)-$AP577)</f>
        <v>-74088</v>
      </c>
      <c r="AA577" s="716">
        <f>IF(OR(status1B5!AB272="",AA$7="No aplica"),0,SUM('BOULEVARD 5'!$K270:AD270)-$AP577)</f>
        <v>-68796</v>
      </c>
      <c r="AB577" s="716">
        <f>IF(OR(status1B5!AC272="",AB$7="No aplica"),0,SUM('BOULEVARD 5'!$K270:AE270)-$AP577)</f>
        <v>-58212</v>
      </c>
      <c r="AC577" s="716">
        <f>IF(OR(status1B5!AD272="",AC$7="No aplica"),0,SUM('BOULEVARD 5'!$K270:AF270)-$AP577)</f>
        <v>-58212</v>
      </c>
      <c r="AD577" s="716">
        <f>IF(OR(status1B5!AE272="",AD$7="No aplica"),0,SUM('BOULEVARD 5'!$K270:AG270)-$AP577)</f>
        <v>-47612</v>
      </c>
      <c r="AE577" s="716">
        <f>IF(OR(status1B5!AF272="",AE$7="No aplica"),0,SUM('BOULEVARD 5'!$K270:AH270)-$AP577)</f>
        <v>-47612</v>
      </c>
      <c r="AF577" s="716">
        <f>IF(OR(status1B5!AG272="",AF$7="No aplica"),0,SUM('BOULEVARD 5'!$K270:AI270)-$AP577)</f>
        <v>-42312</v>
      </c>
      <c r="AG577" s="716">
        <f>IF(OR(status1B5!AH272="",AG$7="No aplica"),0,SUM('BOULEVARD 5'!$K270:AJ270)-$AP577)</f>
        <v>-42312</v>
      </c>
      <c r="AH577" s="716">
        <f>IF(OR(status1B5!AI272="",AH$7="No aplica"),0,SUM('BOULEVARD 5'!$K270:AK270)-$AP577)</f>
        <v>-42312</v>
      </c>
      <c r="AI577" s="716">
        <f>IF(OR(status1B5!AJ272="",AI$7="No aplica"),0,SUM('BOULEVARD 5'!$K270:AL270)-$AP577)</f>
        <v>-26412</v>
      </c>
      <c r="AJ577" s="716">
        <f>IF(OR(status1B5!AK272="",AJ$7="No aplica"),0,SUM('BOULEVARD 5'!$K270:AM270)-$AP577)</f>
        <v>-15812</v>
      </c>
      <c r="AK577" s="716">
        <f>IF(OR(status1B5!AL272="",AK$7="No aplica"),0,SUM('BOULEVARD 5'!$K270:AN270)-$AP577)</f>
        <v>-10512</v>
      </c>
      <c r="AL577" s="716">
        <f>IF(OR(status1B5!AM272="",AL$7="No aplica"),0,SUM('BOULEVARD 5'!$K270:AO270)-$AP577)</f>
        <v>-5212</v>
      </c>
      <c r="AM577" s="716">
        <f>IF(OR(status1B5!AN272="",AM$7="No aplica"),0,SUM('BOULEVARD 5'!$K270:AP270)-$AP577)</f>
        <v>88</v>
      </c>
      <c r="AN577" s="716">
        <f>IF(OR(status1B5!AO272="",AN$7="No aplica"),0,SUM('BOULEVARD 5'!$K270:AQ270)-$AP577)</f>
        <v>0</v>
      </c>
      <c r="AO577" s="716">
        <f>IF(OR(status1B5!AP272="",AO$7="No aplica"),0,SUM('BOULEVARD 5'!$K270:AS270)-$AP577)</f>
        <v>0</v>
      </c>
      <c r="AP577" s="717">
        <f>'BOULEVARD PPTO'!BC265</f>
        <v>138300</v>
      </c>
      <c r="AQ577" s="717">
        <f>'BOULEVARD 5'!AT270</f>
        <v>143688</v>
      </c>
      <c r="AR577" s="717">
        <f t="shared" si="302"/>
        <v>5388</v>
      </c>
      <c r="AS577" s="717"/>
      <c r="AT577" s="581"/>
    </row>
    <row r="578" spans="1:46" ht="13.15" customHeight="1" outlineLevel="1" x14ac:dyDescent="0.25">
      <c r="A578" s="700">
        <f t="shared" si="300"/>
        <v>0</v>
      </c>
      <c r="B578" s="564">
        <f t="shared" ref="B578:G578" si="309">B273</f>
        <v>1512</v>
      </c>
      <c r="C578" s="564" t="str">
        <f t="shared" si="309"/>
        <v>A10</v>
      </c>
      <c r="D578" s="564">
        <f t="shared" si="309"/>
        <v>0</v>
      </c>
      <c r="E578" s="564" t="str">
        <f t="shared" si="309"/>
        <v/>
      </c>
      <c r="F578" s="581" t="str">
        <f t="shared" si="309"/>
        <v/>
      </c>
      <c r="G578" s="566" t="str">
        <f t="shared" si="309"/>
        <v/>
      </c>
      <c r="H578" s="716">
        <f>IF(OR(status1B5!I273="",H$7="No aplica"),0,SUM('BOULEVARD 5'!$K271:K271)-$AP578)</f>
        <v>0</v>
      </c>
      <c r="I578" s="716">
        <f>IF(OR(status1B5!J273="",I$7="No aplica"),0,SUM('BOULEVARD 5'!$K271:L271)-$AP578)</f>
        <v>0</v>
      </c>
      <c r="J578" s="716">
        <f>IF(OR(status1B5!K273="",J$7="No aplica"),0,SUM('BOULEVARD 5'!$K271:M271)-$AP578)</f>
        <v>0</v>
      </c>
      <c r="K578" s="716">
        <f>IF(OR(status1B5!L273="",K$7="No aplica"),0,SUM('BOULEVARD 5'!$K271:N271)-$AP578)</f>
        <v>0</v>
      </c>
      <c r="L578" s="716">
        <f>IF(OR(status1B5!M273="",L$7="No aplica"),0,SUM('BOULEVARD 5'!$K271:O271)-$AP578)</f>
        <v>0</v>
      </c>
      <c r="M578" s="716">
        <f>IF(OR(status1B5!N273="",M$7="No aplica"),0,SUM('BOULEVARD 5'!$K271:P271)-$AP578)</f>
        <v>0</v>
      </c>
      <c r="N578" s="716">
        <f>IF(OR(status1B5!O273="",N$7="No aplica"),0,SUM('BOULEVARD 5'!$K271:Q271)-$AP578)</f>
        <v>0</v>
      </c>
      <c r="O578" s="716">
        <f>IF(OR(status1B5!P273="",O$7="No aplica"),0,SUM('BOULEVARD 5'!$K271:R271)-$AP578)</f>
        <v>0</v>
      </c>
      <c r="P578" s="716">
        <f>IF(OR(status1B5!Q273="",P$7="No aplica"),0,SUM('BOULEVARD 5'!$K271:S271)-$AP578)</f>
        <v>0</v>
      </c>
      <c r="Q578" s="716">
        <f>IF(OR(status1B5!R273="",Q$7="No aplica"),0,SUM('BOULEVARD 5'!$K271:T271)-$AP578)</f>
        <v>0</v>
      </c>
      <c r="R578" s="716">
        <f>IF(OR(status1B5!S273="",R$7="No aplica"),0,SUM('BOULEVARD 5'!$K271:U271)-$AP578)</f>
        <v>0</v>
      </c>
      <c r="S578" s="716">
        <f>IF(OR(status1B5!T273="",S$7="No aplica"),0,SUM('BOULEVARD 5'!$K271:V271)-$AP578)</f>
        <v>0</v>
      </c>
      <c r="T578" s="716">
        <f>IF(OR(status1B5!U273="",T$7="No aplica"),0,SUM('BOULEVARD 5'!$K271:W271)-$AP578)</f>
        <v>0</v>
      </c>
      <c r="U578" s="716">
        <f>IF(OR(status1B5!V273="",U$7="No aplica"),0,SUM('BOULEVARD 5'!$K271:X271)-$AP578)</f>
        <v>0</v>
      </c>
      <c r="V578" s="716">
        <f>IF(OR(status1B5!W273="",V$7="No aplica"),0,SUM('BOULEVARD 5'!$K271:Y271)-$AP578)</f>
        <v>0</v>
      </c>
      <c r="W578" s="716">
        <f>IF(OR(status1B5!X273="",W$7="No aplica"),0,SUM('BOULEVARD 5'!$K271:Z271)-$AP578)</f>
        <v>0</v>
      </c>
      <c r="X578" s="716">
        <f>IF(OR(status1B5!Y273="",X$7="No aplica"),0,SUM('BOULEVARD 5'!$K271:AA271)-$AP578)</f>
        <v>0</v>
      </c>
      <c r="Y578" s="716">
        <f>IF(OR(status1B5!Z273="",Y$7="No aplica"),0,SUM('BOULEVARD 5'!$K271:AB271)-$AP578)</f>
        <v>0</v>
      </c>
      <c r="Z578" s="716">
        <f>IF(OR(status1B5!AA273="",Z$7="No aplica"),0,SUM('BOULEVARD 5'!$K271:AC271)-$AP578)</f>
        <v>0</v>
      </c>
      <c r="AA578" s="716">
        <f>IF(OR(status1B5!AB273="",AA$7="No aplica"),0,SUM('BOULEVARD 5'!$K271:AD271)-$AP578)</f>
        <v>0</v>
      </c>
      <c r="AB578" s="716">
        <f>IF(OR(status1B5!AC273="",AB$7="No aplica"),0,SUM('BOULEVARD 5'!$K271:AE271)-$AP578)</f>
        <v>0</v>
      </c>
      <c r="AC578" s="716">
        <f>IF(OR(status1B5!AD273="",AC$7="No aplica"),0,SUM('BOULEVARD 5'!$K271:AF271)-$AP578)</f>
        <v>0</v>
      </c>
      <c r="AD578" s="716">
        <f>IF(OR(status1B5!AE273="",AD$7="No aplica"),0,SUM('BOULEVARD 5'!$K271:AG271)-$AP578)</f>
        <v>0</v>
      </c>
      <c r="AE578" s="716">
        <f>IF(OR(status1B5!AF273="",AE$7="No aplica"),0,SUM('BOULEVARD 5'!$K271:AH271)-$AP578)</f>
        <v>0</v>
      </c>
      <c r="AF578" s="716">
        <f>IF(OR(status1B5!AG273="",AF$7="No aplica"),0,SUM('BOULEVARD 5'!$K271:AI271)-$AP578)</f>
        <v>0</v>
      </c>
      <c r="AG578" s="716">
        <f>IF(OR(status1B5!AH273="",AG$7="No aplica"),0,SUM('BOULEVARD 5'!$K271:AJ271)-$AP578)</f>
        <v>0</v>
      </c>
      <c r="AH578" s="716">
        <f>IF(OR(status1B5!AI273="",AH$7="No aplica"),0,SUM('BOULEVARD 5'!$K271:AK271)-$AP578)</f>
        <v>0</v>
      </c>
      <c r="AI578" s="716">
        <f>IF(OR(status1B5!AJ273="",AI$7="No aplica"),0,SUM('BOULEVARD 5'!$K271:AL271)-$AP578)</f>
        <v>0</v>
      </c>
      <c r="AJ578" s="716">
        <f>IF(OR(status1B5!AK273="",AJ$7="No aplica"),0,SUM('BOULEVARD 5'!$K271:AM271)-$AP578)</f>
        <v>0</v>
      </c>
      <c r="AK578" s="716">
        <f>IF(OR(status1B5!AL273="",AK$7="No aplica"),0,SUM('BOULEVARD 5'!$K271:AN271)-$AP578)</f>
        <v>0</v>
      </c>
      <c r="AL578" s="716">
        <f>IF(OR(status1B5!AM273="",AL$7="No aplica"),0,SUM('BOULEVARD 5'!$K271:AO271)-$AP578)</f>
        <v>0</v>
      </c>
      <c r="AM578" s="716">
        <f>IF(OR(status1B5!AN273="",AM$7="No aplica"),0,SUM('BOULEVARD 5'!$K271:AP271)-$AP578)</f>
        <v>0</v>
      </c>
      <c r="AN578" s="716">
        <f>IF(OR(status1B5!AO273="",AN$7="No aplica"),0,SUM('BOULEVARD 5'!$K271:AQ271)-$AP578)</f>
        <v>0</v>
      </c>
      <c r="AO578" s="716">
        <f>IF(OR(status1B5!AP273="",AO$7="No aplica"),0,SUM('BOULEVARD 5'!$K271:AS271)-$AP578)</f>
        <v>0</v>
      </c>
      <c r="AP578" s="717">
        <f>'BOULEVARD PPTO'!BC266</f>
        <v>0</v>
      </c>
      <c r="AQ578" s="717">
        <f>'BOULEVARD 5'!AT271</f>
        <v>0</v>
      </c>
      <c r="AR578" s="717">
        <f t="shared" si="302"/>
        <v>0</v>
      </c>
      <c r="AS578" s="717"/>
      <c r="AT578" s="581"/>
    </row>
    <row r="579" spans="1:46" ht="13.15" customHeight="1" outlineLevel="1" x14ac:dyDescent="0.25">
      <c r="A579" s="700">
        <f t="shared" si="300"/>
        <v>0</v>
      </c>
      <c r="B579" s="564">
        <f t="shared" ref="B579:G579" si="310">B274</f>
        <v>1601</v>
      </c>
      <c r="C579" s="564" t="str">
        <f t="shared" si="310"/>
        <v>D3</v>
      </c>
      <c r="D579" s="564">
        <f t="shared" si="310"/>
        <v>0</v>
      </c>
      <c r="E579" s="564" t="str">
        <f t="shared" si="310"/>
        <v>Brenda Búcaro</v>
      </c>
      <c r="F579" s="581" t="str">
        <f t="shared" si="310"/>
        <v>Fernando García Coronado</v>
      </c>
      <c r="G579" s="566">
        <f t="shared" si="310"/>
        <v>45162</v>
      </c>
      <c r="H579" s="716">
        <f>IF(OR(status1B5!I274="",H$7="No aplica"),0,SUM('BOULEVARD 5'!$K272:K272)-$AP579)</f>
        <v>0</v>
      </c>
      <c r="I579" s="716">
        <f>IF(OR(status1B5!J274="",I$7="No aplica"),0,SUM('BOULEVARD 5'!$K272:L272)-$AP579)</f>
        <v>0</v>
      </c>
      <c r="J579" s="716">
        <f>IF(OR(status1B5!K274="",J$7="No aplica"),0,SUM('BOULEVARD 5'!$K272:M272)-$AP579)</f>
        <v>0</v>
      </c>
      <c r="K579" s="716">
        <f>IF(OR(status1B5!L274="",K$7="No aplica"),0,SUM('BOULEVARD 5'!$K272:N272)-$AP579)</f>
        <v>0</v>
      </c>
      <c r="L579" s="716">
        <f>IF(OR(status1B5!M274="",L$7="No aplica"),0,SUM('BOULEVARD 5'!$K272:O272)-$AP579)</f>
        <v>0</v>
      </c>
      <c r="M579" s="716">
        <f>IF(OR(status1B5!N274="",M$7="No aplica"),0,SUM('BOULEVARD 5'!$K272:P272)-$AP579)</f>
        <v>-119583.9</v>
      </c>
      <c r="N579" s="716">
        <f>IF(OR(status1B5!O274="",N$7="No aplica"),0,SUM('BOULEVARD 5'!$K272:Q272)-$AP579)</f>
        <v>-114583.9</v>
      </c>
      <c r="O579" s="716">
        <f>IF(OR(status1B5!P274="",O$7="No aplica"),0,SUM('BOULEVARD 5'!$K272:R272)-$AP579)</f>
        <v>-109583.9</v>
      </c>
      <c r="P579" s="716">
        <f>IF(OR(status1B5!Q274="",P$7="No aplica"),0,SUM('BOULEVARD 5'!$K272:S272)-$AP579)</f>
        <v>-104583.9</v>
      </c>
      <c r="Q579" s="716">
        <f>IF(OR(status1B5!R274="",Q$7="No aplica"),0,SUM('BOULEVARD 5'!$K272:T272)-$AP579)</f>
        <v>-99583.9</v>
      </c>
      <c r="R579" s="716">
        <f>IF(OR(status1B5!S274="",R$7="No aplica"),0,SUM('BOULEVARD 5'!$K272:U272)-$AP579)</f>
        <v>-93583.9</v>
      </c>
      <c r="S579" s="716">
        <f>IF(OR(status1B5!T274="",S$7="No aplica"),0,SUM('BOULEVARD 5'!$K272:V272)-$AP579)</f>
        <v>-88583.9</v>
      </c>
      <c r="T579" s="716">
        <f>IF(OR(status1B5!U274="",T$7="No aplica"),0,SUM('BOULEVARD 5'!$K272:W272)-$AP579)</f>
        <v>-83583.899999999994</v>
      </c>
      <c r="U579" s="716">
        <f>IF(OR(status1B5!V274="",U$7="No aplica"),0,SUM('BOULEVARD 5'!$K272:X272)-$AP579)</f>
        <v>-78583.899999999994</v>
      </c>
      <c r="V579" s="716">
        <f>IF(OR(status1B5!W274="",V$7="No aplica"),0,SUM('BOULEVARD 5'!$K272:Y272)-$AP579)</f>
        <v>-73583.899999999994</v>
      </c>
      <c r="W579" s="716">
        <f>IF(OR(status1B5!X274="",W$7="No aplica"),0,SUM('BOULEVARD 5'!$K272:Z272)-$AP579)</f>
        <v>-68583.899999999994</v>
      </c>
      <c r="X579" s="716">
        <f>IF(OR(status1B5!Y274="",X$7="No aplica"),0,SUM('BOULEVARD 5'!$K272:AA272)-$AP579)</f>
        <v>-63583.899999999994</v>
      </c>
      <c r="Y579" s="716">
        <f>IF(OR(status1B5!Z274="",Y$7="No aplica"),0,SUM('BOULEVARD 5'!$K272:AB272)-$AP579)</f>
        <v>-63583.899999999994</v>
      </c>
      <c r="Z579" s="716">
        <f>IF(OR(status1B5!AA274="",Z$7="No aplica"),0,SUM('BOULEVARD 5'!$K272:AC272)-$AP579)</f>
        <v>-56583.899999999994</v>
      </c>
      <c r="AA579" s="716">
        <f>IF(OR(status1B5!AB274="",AA$7="No aplica"),0,SUM('BOULEVARD 5'!$K272:AD272)-$AP579)</f>
        <v>-51583.899999999994</v>
      </c>
      <c r="AB579" s="716">
        <f>IF(OR(status1B5!AC274="",AB$7="No aplica"),0,SUM('BOULEVARD 5'!$K272:AE272)-$AP579)</f>
        <v>-41583.899999999994</v>
      </c>
      <c r="AC579" s="716">
        <f>IF(OR(status1B5!AD274="",AC$7="No aplica"),0,SUM('BOULEVARD 5'!$K272:AF272)-$AP579)</f>
        <v>-36583.899999999994</v>
      </c>
      <c r="AD579" s="716">
        <f>IF(OR(status1B5!AE274="",AD$7="No aplica"),0,SUM('BOULEVARD 5'!$K272:AG272)-$AP579)</f>
        <v>-31583.899999999994</v>
      </c>
      <c r="AE579" s="716">
        <f>IF(OR(status1B5!AF274="",AE$7="No aplica"),0,SUM('BOULEVARD 5'!$K272:AH272)-$AP579)</f>
        <v>-26583.899999999994</v>
      </c>
      <c r="AF579" s="716">
        <f>IF(OR(status1B5!AG274="",AF$7="No aplica"),0,SUM('BOULEVARD 5'!$K272:AI272)-$AP579)</f>
        <v>-26583.899999999994</v>
      </c>
      <c r="AG579" s="716">
        <f>IF(OR(status1B5!AH274="",AG$7="No aplica"),0,SUM('BOULEVARD 5'!$K272:AJ272)-$AP579)</f>
        <v>-16583.899999999994</v>
      </c>
      <c r="AH579" s="716">
        <f>IF(OR(status1B5!AI274="",AH$7="No aplica"),0,SUM('BOULEVARD 5'!$K272:AK272)-$AP579)</f>
        <v>-11583.899999999994</v>
      </c>
      <c r="AI579" s="716">
        <f>IF(OR(status1B5!AJ274="",AI$7="No aplica"),0,SUM('BOULEVARD 5'!$K272:AL272)-$AP579)</f>
        <v>-6583.8999999999942</v>
      </c>
      <c r="AJ579" s="716">
        <f>IF(OR(status1B5!AK274="",AJ$7="No aplica"),0,SUM('BOULEVARD 5'!$K272:AM272)-$AP579)</f>
        <v>-6583.8999999999942</v>
      </c>
      <c r="AK579" s="716">
        <f>IF(OR(status1B5!AL274="",AK$7="No aplica"),0,SUM('BOULEVARD 5'!$K272:AN272)-$AP579)</f>
        <v>3416.1000000000058</v>
      </c>
      <c r="AL579" s="716">
        <f>IF(OR(status1B5!AM274="",AL$7="No aplica"),0,SUM('BOULEVARD 5'!$K272:AO272)-$AP579)</f>
        <v>3416.1000000000058</v>
      </c>
      <c r="AM579" s="716">
        <f>IF(OR(status1B5!AN274="",AM$7="No aplica"),0,SUM('BOULEVARD 5'!$K272:AP272)-$AP579)</f>
        <v>3416.1000000000058</v>
      </c>
      <c r="AN579" s="716">
        <f>IF(OR(status1B5!AO274="",AN$7="No aplica"),0,SUM('BOULEVARD 5'!$K272:AQ272)-$AP579)</f>
        <v>0</v>
      </c>
      <c r="AO579" s="716">
        <f>IF(OR(status1B5!AP274="",AO$7="No aplica"),0,SUM('BOULEVARD 5'!$K272:AS272)-$AP579)</f>
        <v>0</v>
      </c>
      <c r="AP579" s="717">
        <f>'BOULEVARD PPTO'!BC267</f>
        <v>125583.9</v>
      </c>
      <c r="AQ579" s="717">
        <f>'BOULEVARD 5'!AT272</f>
        <v>129000</v>
      </c>
      <c r="AR579" s="717">
        <f t="shared" si="302"/>
        <v>3416.1000000000058</v>
      </c>
      <c r="AS579" s="717"/>
      <c r="AT579" s="581"/>
    </row>
    <row r="580" spans="1:46" ht="13.15" customHeight="1" outlineLevel="1" x14ac:dyDescent="0.25">
      <c r="A580" s="700" t="str">
        <f t="shared" si="300"/>
        <v>F&amp;F</v>
      </c>
      <c r="B580" s="704">
        <f t="shared" ref="B580:G580" si="311">B275</f>
        <v>1602</v>
      </c>
      <c r="C580" s="704" t="str">
        <f t="shared" si="311"/>
        <v>D2</v>
      </c>
      <c r="D580" s="704">
        <f t="shared" si="311"/>
        <v>0</v>
      </c>
      <c r="E580" s="704" t="str">
        <f t="shared" si="311"/>
        <v>Ronaldo</v>
      </c>
      <c r="F580" s="705" t="str">
        <f t="shared" si="311"/>
        <v>International Coffee Industry, S.A</v>
      </c>
      <c r="G580" s="566">
        <f t="shared" si="311"/>
        <v>45300</v>
      </c>
      <c r="H580" s="716">
        <f>IF(OR(status1B5!I275="",H$7="No aplica"),0,SUM('BOULEVARD 5'!$K273:K273)-$AP580)</f>
        <v>0</v>
      </c>
      <c r="I580" s="716">
        <f>IF(OR(status1B5!J275="",I$7="No aplica"),0,SUM('BOULEVARD 5'!$K273:L273)-$AP580)</f>
        <v>0</v>
      </c>
      <c r="J580" s="716">
        <f>IF(OR(status1B5!K275="",J$7="No aplica"),0,SUM('BOULEVARD 5'!$K273:M273)-$AP580)</f>
        <v>0</v>
      </c>
      <c r="K580" s="716">
        <f>IF(OR(status1B5!L275="",K$7="No aplica"),0,SUM('BOULEVARD 5'!$K273:N273)-$AP580)</f>
        <v>0</v>
      </c>
      <c r="L580" s="716">
        <f>IF(OR(status1B5!M275="",L$7="No aplica"),0,SUM('BOULEVARD 5'!$K273:O273)-$AP580)</f>
        <v>0</v>
      </c>
      <c r="M580" s="716">
        <f>IF(OR(status1B5!N275="",M$7="No aplica"),0,SUM('BOULEVARD 5'!$K273:P273)-$AP580)</f>
        <v>0</v>
      </c>
      <c r="N580" s="716">
        <f>IF(OR(status1B5!O275="",N$7="No aplica"),0,SUM('BOULEVARD 5'!$K273:Q273)-$AP580)</f>
        <v>0</v>
      </c>
      <c r="O580" s="716">
        <f>IF(OR(status1B5!P275="",O$7="No aplica"),0,SUM('BOULEVARD 5'!$K273:R273)-$AP580)</f>
        <v>0</v>
      </c>
      <c r="P580" s="716">
        <f>IF(OR(status1B5!Q275="",P$7="No aplica"),0,SUM('BOULEVARD 5'!$K273:S273)-$AP580)</f>
        <v>0</v>
      </c>
      <c r="Q580" s="716">
        <f>IF(OR(status1B5!R275="",Q$7="No aplica"),0,SUM('BOULEVARD 5'!$K273:T273)-$AP580)</f>
        <v>0</v>
      </c>
      <c r="R580" s="716">
        <f>IF(OR(status1B5!S275="",R$7="No aplica"),0,SUM('BOULEVARD 5'!$K273:U273)-$AP580)</f>
        <v>0</v>
      </c>
      <c r="S580" s="716">
        <f>IF(OR(status1B5!T275="",S$7="No aplica"),0,SUM('BOULEVARD 5'!$K273:V273)-$AP580)</f>
        <v>0</v>
      </c>
      <c r="T580" s="716">
        <f>IF(OR(status1B5!U275="",T$7="No aplica"),0,SUM('BOULEVARD 5'!$K273:W273)-$AP580)</f>
        <v>0</v>
      </c>
      <c r="U580" s="716">
        <f>IF(OR(status1B5!V275="",U$7="No aplica"),0,SUM('BOULEVARD 5'!$K273:X273)-$AP580)</f>
        <v>0</v>
      </c>
      <c r="V580" s="716">
        <f>IF(OR(status1B5!W275="",V$7="No aplica"),0,SUM('BOULEVARD 5'!$K273:Y273)-$AP580)</f>
        <v>0</v>
      </c>
      <c r="W580" s="716">
        <f>IF(OR(status1B5!X275="",W$7="No aplica"),0,SUM('BOULEVARD 5'!$K273:Z273)-$AP580)</f>
        <v>0</v>
      </c>
      <c r="X580" s="716">
        <f>IF(OR(status1B5!Y275="",X$7="No aplica"),0,SUM('BOULEVARD 5'!$K273:AA273)-$AP580)</f>
        <v>0</v>
      </c>
      <c r="Y580" s="716">
        <f>IF(OR(status1B5!Z275="",Y$7="No aplica"),0,SUM('BOULEVARD 5'!$K273:AB273)-$AP580)</f>
        <v>0</v>
      </c>
      <c r="Z580" s="716">
        <f>IF(OR(status1B5!AA275="",Z$7="No aplica"),0,SUM('BOULEVARD 5'!$K273:AC273)-$AP580)</f>
        <v>0</v>
      </c>
      <c r="AA580" s="716">
        <f>IF(OR(status1B5!AB275="",AA$7="No aplica"),0,SUM('BOULEVARD 5'!$K273:AD273)-$AP580)</f>
        <v>0</v>
      </c>
      <c r="AB580" s="716">
        <f>IF(OR(status1B5!AC275="",AB$7="No aplica"),0,SUM('BOULEVARD 5'!$K273:AE273)-$AP580)</f>
        <v>0</v>
      </c>
      <c r="AC580" s="716">
        <f>IF(OR(status1B5!AD275="",AC$7="No aplica"),0,SUM('BOULEVARD 5'!$K273:AF273)-$AP580)</f>
        <v>0</v>
      </c>
      <c r="AD580" s="716">
        <f>IF(OR(status1B5!AE275="",AD$7="No aplica"),0,SUM('BOULEVARD 5'!$K273:AG273)-$AP580)</f>
        <v>0</v>
      </c>
      <c r="AE580" s="716">
        <f>IF(OR(status1B5!AF275="",AE$7="No aplica"),0,SUM('BOULEVARD 5'!$K273:AH273)-$AP580)</f>
        <v>0</v>
      </c>
      <c r="AF580" s="716">
        <f>IF(OR(status1B5!AG275="",AF$7="No aplica"),0,SUM('BOULEVARD 5'!$K273:AI273)-$AP580)</f>
        <v>0</v>
      </c>
      <c r="AG580" s="716">
        <f>IF(OR(status1B5!AH275="",AG$7="No aplica"),0,SUM('BOULEVARD 5'!$K273:AJ273)-$AP580)</f>
        <v>0</v>
      </c>
      <c r="AH580" s="716">
        <f>IF(OR(status1B5!AI275="",AH$7="No aplica"),0,SUM('BOULEVARD 5'!$K273:AK273)-$AP580)</f>
        <v>0</v>
      </c>
      <c r="AI580" s="716">
        <f>IF(OR(status1B5!AJ275="",AI$7="No aplica"),0,SUM('BOULEVARD 5'!$K273:AL273)-$AP580)</f>
        <v>0</v>
      </c>
      <c r="AJ580" s="716">
        <f>IF(OR(status1B5!AK275="",AJ$7="No aplica"),0,SUM('BOULEVARD 5'!$K273:AM273)-$AP580)</f>
        <v>0</v>
      </c>
      <c r="AK580" s="716">
        <f>IF(OR(status1B5!AL275="",AK$7="No aplica"),0,SUM('BOULEVARD 5'!$K273:AN273)-$AP580)</f>
        <v>0</v>
      </c>
      <c r="AL580" s="716">
        <f>IF(OR(status1B5!AM275="",AL$7="No aplica"),0,SUM('BOULEVARD 5'!$K273:AO273)-$AP580)</f>
        <v>0</v>
      </c>
      <c r="AM580" s="716">
        <f>IF(OR(status1B5!AN275="",AM$7="No aplica"),0,SUM('BOULEVARD 5'!$K273:AP273)-$AP580)</f>
        <v>0</v>
      </c>
      <c r="AN580" s="716">
        <f>IF(OR(status1B5!AO275="",AN$7="No aplica"),0,SUM('BOULEVARD 5'!$K273:AQ273)-$AP580)</f>
        <v>0</v>
      </c>
      <c r="AO580" s="716">
        <f>IF(OR(status1B5!AP275="",AO$7="No aplica"),0,SUM('BOULEVARD 5'!$K273:AS273)-$AP580)</f>
        <v>0</v>
      </c>
      <c r="AP580" s="717">
        <f>'BOULEVARD PPTO'!BC268</f>
        <v>0</v>
      </c>
      <c r="AQ580" s="717">
        <f>'BOULEVARD 5'!AT273</f>
        <v>0</v>
      </c>
      <c r="AR580" s="717">
        <f t="shared" si="302"/>
        <v>0</v>
      </c>
      <c r="AS580" s="717"/>
      <c r="AT580" s="581"/>
    </row>
    <row r="581" spans="1:46" ht="13.15" customHeight="1" outlineLevel="1" x14ac:dyDescent="0.25">
      <c r="A581" s="700">
        <f t="shared" si="300"/>
        <v>0</v>
      </c>
      <c r="B581" s="564">
        <f t="shared" ref="B581:G581" si="312">B276</f>
        <v>1603</v>
      </c>
      <c r="C581" s="564" t="str">
        <f t="shared" si="312"/>
        <v>B6</v>
      </c>
      <c r="D581" s="564">
        <f t="shared" si="312"/>
        <v>0</v>
      </c>
      <c r="E581" s="564" t="str">
        <f t="shared" si="312"/>
        <v>Antonio Rada</v>
      </c>
      <c r="F581" s="581" t="str">
        <f t="shared" si="312"/>
        <v>Inmobiliaria Quince Sociedad Anonima</v>
      </c>
      <c r="G581" s="566">
        <f t="shared" si="312"/>
        <v>45013</v>
      </c>
      <c r="H581" s="716">
        <f>IF(OR(status1B5!I276="",H$7="No aplica"),0,SUM('BOULEVARD 5'!$K274:K274)-$AP581)</f>
        <v>-150030.60999999999</v>
      </c>
      <c r="I581" s="716">
        <f>IF(OR(status1B5!J276="",I$7="No aplica"),0,SUM('BOULEVARD 5'!$K274:L274)-$AP581)</f>
        <v>-150030.60999999999</v>
      </c>
      <c r="J581" s="716">
        <f>IF(OR(status1B5!K276="",J$7="No aplica"),0,SUM('BOULEVARD 5'!$K274:M274)-$AP581)</f>
        <v>-150030.60999999999</v>
      </c>
      <c r="K581" s="716">
        <f>IF(OR(status1B5!L276="",K$7="No aplica"),0,SUM('BOULEVARD 5'!$K274:N274)-$AP581)</f>
        <v>-150030.60999999999</v>
      </c>
      <c r="L581" s="716">
        <f>IF(OR(status1B5!M276="",L$7="No aplica"),0,SUM('BOULEVARD 5'!$K274:O274)-$AP581)</f>
        <v>-150030.60999999999</v>
      </c>
      <c r="M581" s="716">
        <f>IF(OR(status1B5!N276="",M$7="No aplica"),0,SUM('BOULEVARD 5'!$K274:P274)-$AP581)</f>
        <v>93969.390000000014</v>
      </c>
      <c r="N581" s="716">
        <f>IF(OR(status1B5!O276="",N$7="No aplica"),0,SUM('BOULEVARD 5'!$K274:Q274)-$AP581)</f>
        <v>670311.39</v>
      </c>
      <c r="O581" s="716">
        <f>IF(OR(status1B5!P276="",O$7="No aplica"),0,SUM('BOULEVARD 5'!$K274:R274)-$AP581)</f>
        <v>670311.39</v>
      </c>
      <c r="P581" s="716">
        <f>IF(OR(status1B5!Q276="",P$7="No aplica"),0,SUM('BOULEVARD 5'!$K274:S274)-$AP581)</f>
        <v>670311.39</v>
      </c>
      <c r="Q581" s="716">
        <f>IF(OR(status1B5!R276="",Q$7="No aplica"),0,SUM('BOULEVARD 5'!$K274:T274)-$AP581)</f>
        <v>670311.39</v>
      </c>
      <c r="R581" s="716">
        <f>IF(OR(status1B5!S276="",R$7="No aplica"),0,SUM('BOULEVARD 5'!$K274:U274)-$AP581)</f>
        <v>670311.39</v>
      </c>
      <c r="S581" s="716">
        <f>IF(OR(status1B5!T276="",S$7="No aplica"),0,SUM('BOULEVARD 5'!$K274:V274)-$AP581)</f>
        <v>670311.39</v>
      </c>
      <c r="T581" s="716">
        <f>IF(OR(status1B5!U276="",T$7="No aplica"),0,SUM('BOULEVARD 5'!$K274:W274)-$AP581)</f>
        <v>670311.39</v>
      </c>
      <c r="U581" s="716">
        <f>IF(OR(status1B5!V276="",U$7="No aplica"),0,SUM('BOULEVARD 5'!$K274:X274)-$AP581)</f>
        <v>670311.39</v>
      </c>
      <c r="V581" s="716">
        <f>IF(OR(status1B5!W276="",V$7="No aplica"),0,SUM('BOULEVARD 5'!$K274:Y274)-$AP581)</f>
        <v>670311.39</v>
      </c>
      <c r="W581" s="716">
        <f>IF(OR(status1B5!X276="",W$7="No aplica"),0,SUM('BOULEVARD 5'!$K274:Z274)-$AP581)</f>
        <v>670311.39</v>
      </c>
      <c r="X581" s="716">
        <f>IF(OR(status1B5!Y276="",X$7="No aplica"),0,SUM('BOULEVARD 5'!$K274:AA274)-$AP581)</f>
        <v>670311.39</v>
      </c>
      <c r="Y581" s="716">
        <f>IF(OR(status1B5!Z276="",Y$7="No aplica"),0,SUM('BOULEVARD 5'!$K274:AB274)-$AP581)</f>
        <v>670311.39</v>
      </c>
      <c r="Z581" s="716">
        <f>IF(OR(status1B5!AA276="",Z$7="No aplica"),0,SUM('BOULEVARD 5'!$K274:AC274)-$AP581)</f>
        <v>670311.39</v>
      </c>
      <c r="AA581" s="716">
        <f>IF(OR(status1B5!AB276="",AA$7="No aplica"),0,SUM('BOULEVARD 5'!$K274:AD274)-$AP581)</f>
        <v>670311.39</v>
      </c>
      <c r="AB581" s="716">
        <f>IF(OR(status1B5!AC276="",AB$7="No aplica"),0,SUM('BOULEVARD 5'!$K274:AE274)-$AP581)</f>
        <v>670311.39</v>
      </c>
      <c r="AC581" s="716">
        <f>IF(OR(status1B5!AD276="",AC$7="No aplica"),0,SUM('BOULEVARD 5'!$K274:AF274)-$AP581)</f>
        <v>670311.39</v>
      </c>
      <c r="AD581" s="716">
        <f>IF(OR(status1B5!AE276="",AD$7="No aplica"),0,SUM('BOULEVARD 5'!$K274:AG274)-$AP581)</f>
        <v>670311.39</v>
      </c>
      <c r="AE581" s="716">
        <f>IF(OR(status1B5!AF276="",AE$7="No aplica"),0,SUM('BOULEVARD 5'!$K274:AH274)-$AP581)</f>
        <v>670311.39</v>
      </c>
      <c r="AF581" s="716">
        <f>IF(OR(status1B5!AG276="",AF$7="No aplica"),0,SUM('BOULEVARD 5'!$K274:AI274)-$AP581)</f>
        <v>670311.39</v>
      </c>
      <c r="AG581" s="716">
        <f>IF(OR(status1B5!AH276="",AG$7="No aplica"),0,SUM('BOULEVARD 5'!$K274:AJ274)-$AP581)</f>
        <v>670311.39</v>
      </c>
      <c r="AH581" s="716">
        <f>IF(OR(status1B5!AI276="",AH$7="No aplica"),0,SUM('BOULEVARD 5'!$K274:AK274)-$AP581)</f>
        <v>670311.39</v>
      </c>
      <c r="AI581" s="716">
        <f>IF(OR(status1B5!AJ276="",AI$7="No aplica"),0,SUM('BOULEVARD 5'!$K274:AL274)-$AP581)</f>
        <v>670311.39</v>
      </c>
      <c r="AJ581" s="716">
        <f>IF(OR(status1B5!AK276="",AJ$7="No aplica"),0,SUM('BOULEVARD 5'!$K274:AM274)-$AP581)</f>
        <v>670311.39</v>
      </c>
      <c r="AK581" s="716">
        <f>IF(OR(status1B5!AL276="",AK$7="No aplica"),0,SUM('BOULEVARD 5'!$K274:AN274)-$AP581)</f>
        <v>670311.39</v>
      </c>
      <c r="AL581" s="716">
        <f>IF(OR(status1B5!AM276="",AL$7="No aplica"),0,SUM('BOULEVARD 5'!$K274:AO274)-$AP581)</f>
        <v>670311.39</v>
      </c>
      <c r="AM581" s="716">
        <f>IF(OR(status1B5!AN276="",AM$7="No aplica"),0,SUM('BOULEVARD 5'!$K274:AP274)-$AP581)</f>
        <v>670311.39</v>
      </c>
      <c r="AN581" s="716">
        <f>IF(OR(status1B5!AO276="",AN$7="No aplica"),0,SUM('BOULEVARD 5'!$K274:AQ274)-$AP581)</f>
        <v>0</v>
      </c>
      <c r="AO581" s="716">
        <f>IF(OR(status1B5!AP276="",AO$7="No aplica"),0,SUM('BOULEVARD 5'!$K274:AS274)-$AP581)</f>
        <v>0</v>
      </c>
      <c r="AP581" s="717">
        <f>'BOULEVARD PPTO'!BC269</f>
        <v>156030.60999999999</v>
      </c>
      <c r="AQ581" s="717">
        <f>'BOULEVARD 5'!AT274</f>
        <v>826342</v>
      </c>
      <c r="AR581" s="717">
        <f t="shared" si="302"/>
        <v>670311.39</v>
      </c>
      <c r="AS581" s="717"/>
      <c r="AT581" s="581"/>
    </row>
    <row r="582" spans="1:46" ht="13.15" customHeight="1" outlineLevel="1" x14ac:dyDescent="0.25">
      <c r="A582" s="700">
        <f t="shared" si="300"/>
        <v>0</v>
      </c>
      <c r="B582" s="564">
        <f t="shared" ref="B582:G582" si="313">B277</f>
        <v>1604</v>
      </c>
      <c r="C582" s="564" t="str">
        <f t="shared" si="313"/>
        <v>B1</v>
      </c>
      <c r="D582" s="564">
        <f t="shared" si="313"/>
        <v>0</v>
      </c>
      <c r="E582" s="564" t="str">
        <f t="shared" si="313"/>
        <v>Antonio Rada</v>
      </c>
      <c r="F582" s="581" t="str">
        <f t="shared" si="313"/>
        <v>Oliver Lenin Garcia Godoy</v>
      </c>
      <c r="G582" s="566">
        <f t="shared" si="313"/>
        <v>45062</v>
      </c>
      <c r="H582" s="716">
        <f>IF(OR(status1B5!I277="",H$7="No aplica"),0,SUM('BOULEVARD 5'!$K275:K275)-$AP582)</f>
        <v>0</v>
      </c>
      <c r="I582" s="716">
        <f>IF(OR(status1B5!J277="",I$7="No aplica"),0,SUM('BOULEVARD 5'!$K275:L275)-$AP582)</f>
        <v>0</v>
      </c>
      <c r="J582" s="716">
        <f>IF(OR(status1B5!K277="",J$7="No aplica"),0,SUM('BOULEVARD 5'!$K275:M275)-$AP582)</f>
        <v>-83500</v>
      </c>
      <c r="K582" s="716">
        <f>IF(OR(status1B5!L277="",K$7="No aplica"),0,SUM('BOULEVARD 5'!$K275:N275)-$AP582)</f>
        <v>-80518</v>
      </c>
      <c r="L582" s="716">
        <f>IF(OR(status1B5!M277="",L$7="No aplica"),0,SUM('BOULEVARD 5'!$K275:O275)-$AP582)</f>
        <v>-77536</v>
      </c>
      <c r="M582" s="716">
        <f>IF(OR(status1B5!N277="",M$7="No aplica"),0,SUM('BOULEVARD 5'!$K275:P275)-$AP582)</f>
        <v>-74554</v>
      </c>
      <c r="N582" s="716">
        <f>IF(OR(status1B5!O277="",N$7="No aplica"),0,SUM('BOULEVARD 5'!$K275:Q275)-$AP582)</f>
        <v>-71572</v>
      </c>
      <c r="O582" s="716">
        <f>IF(OR(status1B5!P277="",O$7="No aplica"),0,SUM('BOULEVARD 5'!$K275:R275)-$AP582)</f>
        <v>-68590</v>
      </c>
      <c r="P582" s="716">
        <f>IF(OR(status1B5!Q277="",P$7="No aplica"),0,SUM('BOULEVARD 5'!$K275:S275)-$AP582)</f>
        <v>-65608</v>
      </c>
      <c r="Q582" s="716">
        <f>IF(OR(status1B5!R277="",Q$7="No aplica"),0,SUM('BOULEVARD 5'!$K275:T275)-$AP582)</f>
        <v>-62626</v>
      </c>
      <c r="R582" s="716">
        <f>IF(OR(status1B5!S277="",R$7="No aplica"),0,SUM('BOULEVARD 5'!$K275:U275)-$AP582)</f>
        <v>-59644</v>
      </c>
      <c r="S582" s="716">
        <f>IF(OR(status1B5!T277="",S$7="No aplica"),0,SUM('BOULEVARD 5'!$K275:V275)-$AP582)</f>
        <v>-56662</v>
      </c>
      <c r="T582" s="716">
        <f>IF(OR(status1B5!U277="",T$7="No aplica"),0,SUM('BOULEVARD 5'!$K275:W275)-$AP582)</f>
        <v>-53680</v>
      </c>
      <c r="U582" s="716">
        <f>IF(OR(status1B5!V277="",U$7="No aplica"),0,SUM('BOULEVARD 5'!$K275:X275)-$AP582)</f>
        <v>-53680</v>
      </c>
      <c r="V582" s="716">
        <f>IF(OR(status1B5!W277="",V$7="No aplica"),0,SUM('BOULEVARD 5'!$K275:Y275)-$AP582)</f>
        <v>-47716</v>
      </c>
      <c r="W582" s="716">
        <f>IF(OR(status1B5!X277="",W$7="No aplica"),0,SUM('BOULEVARD 5'!$K275:Z275)-$AP582)</f>
        <v>-47716</v>
      </c>
      <c r="X582" s="716">
        <f>IF(OR(status1B5!Y277="",X$7="No aplica"),0,SUM('BOULEVARD 5'!$K275:AA275)-$AP582)</f>
        <v>-44734</v>
      </c>
      <c r="Y582" s="716">
        <f>IF(OR(status1B5!Z277="",Y$7="No aplica"),0,SUM('BOULEVARD 5'!$K275:AB275)-$AP582)</f>
        <v>-38770</v>
      </c>
      <c r="Z582" s="716">
        <f>IF(OR(status1B5!AA277="",Z$7="No aplica"),0,SUM('BOULEVARD 5'!$K275:AC275)-$AP582)</f>
        <v>-35788</v>
      </c>
      <c r="AA582" s="716">
        <f>IF(OR(status1B5!AB277="",AA$7="No aplica"),0,SUM('BOULEVARD 5'!$K275:AD275)-$AP582)</f>
        <v>-35788</v>
      </c>
      <c r="AB582" s="716">
        <f>IF(OR(status1B5!AC277="",AB$7="No aplica"),0,SUM('BOULEVARD 5'!$K275:AE275)-$AP582)</f>
        <v>-29824</v>
      </c>
      <c r="AC582" s="716">
        <f>IF(OR(status1B5!AD277="",AC$7="No aplica"),0,SUM('BOULEVARD 5'!$K275:AF275)-$AP582)</f>
        <v>-26842</v>
      </c>
      <c r="AD582" s="716">
        <f>IF(OR(status1B5!AE277="",AD$7="No aplica"),0,SUM('BOULEVARD 5'!$K275:AG275)-$AP582)</f>
        <v>-23860</v>
      </c>
      <c r="AE582" s="716">
        <f>IF(OR(status1B5!AF277="",AE$7="No aplica"),0,SUM('BOULEVARD 5'!$K275:AH275)-$AP582)</f>
        <v>-20878</v>
      </c>
      <c r="AF582" s="716">
        <f>IF(OR(status1B5!AG277="",AF$7="No aplica"),0,SUM('BOULEVARD 5'!$K275:AI275)-$AP582)</f>
        <v>-17896</v>
      </c>
      <c r="AG582" s="716">
        <f>IF(OR(status1B5!AH277="",AG$7="No aplica"),0,SUM('BOULEVARD 5'!$K275:AJ275)-$AP582)</f>
        <v>-14914</v>
      </c>
      <c r="AH582" s="716">
        <f>IF(OR(status1B5!AI277="",AH$7="No aplica"),0,SUM('BOULEVARD 5'!$K275:AK275)-$AP582)</f>
        <v>-11932</v>
      </c>
      <c r="AI582" s="716">
        <f>IF(OR(status1B5!AJ277="",AI$7="No aplica"),0,SUM('BOULEVARD 5'!$K275:AL275)-$AP582)</f>
        <v>-8950</v>
      </c>
      <c r="AJ582" s="716">
        <f>IF(OR(status1B5!AK277="",AJ$7="No aplica"),0,SUM('BOULEVARD 5'!$K275:AM275)-$AP582)</f>
        <v>-5968</v>
      </c>
      <c r="AK582" s="716">
        <f>IF(OR(status1B5!AL277="",AK$7="No aplica"),0,SUM('BOULEVARD 5'!$K275:AN275)-$AP582)</f>
        <v>-2986</v>
      </c>
      <c r="AL582" s="716">
        <f>IF(OR(status1B5!AM277="",AL$7="No aplica"),0,SUM('BOULEVARD 5'!$K275:AO275)-$AP582)</f>
        <v>0</v>
      </c>
      <c r="AM582" s="716">
        <f>IF(OR(status1B5!AN277="",AM$7="No aplica"),0,SUM('BOULEVARD 5'!$K275:AP275)-$AP582)</f>
        <v>0</v>
      </c>
      <c r="AN582" s="716">
        <f>IF(OR(status1B5!AO277="",AN$7="No aplica"),0,SUM('BOULEVARD 5'!$K275:AQ275)-$AP582)</f>
        <v>0</v>
      </c>
      <c r="AO582" s="716">
        <f>IF(OR(status1B5!AP277="",AO$7="No aplica"),0,SUM('BOULEVARD 5'!$K275:AS275)-$AP582)</f>
        <v>0</v>
      </c>
      <c r="AP582" s="717">
        <f>'BOULEVARD PPTO'!BC270</f>
        <v>89500</v>
      </c>
      <c r="AQ582" s="717">
        <f>'BOULEVARD 5'!AT275</f>
        <v>89500</v>
      </c>
      <c r="AR582" s="717">
        <f t="shared" si="302"/>
        <v>0</v>
      </c>
      <c r="AS582" s="717"/>
      <c r="AT582" s="581"/>
    </row>
    <row r="583" spans="1:46" ht="13.15" customHeight="1" outlineLevel="1" x14ac:dyDescent="0.25">
      <c r="A583" s="700">
        <f t="shared" si="300"/>
        <v>0</v>
      </c>
      <c r="B583" s="564">
        <f t="shared" ref="B583:G583" si="314">B278</f>
        <v>1605</v>
      </c>
      <c r="C583" s="564" t="str">
        <f t="shared" si="314"/>
        <v>D7</v>
      </c>
      <c r="D583" s="564">
        <f t="shared" si="314"/>
        <v>0</v>
      </c>
      <c r="E583" s="564" t="str">
        <f t="shared" si="314"/>
        <v>Antonio Rada</v>
      </c>
      <c r="F583" s="581" t="str">
        <f t="shared" si="314"/>
        <v>Edgar Ronaldo Muy Pineda</v>
      </c>
      <c r="G583" s="566">
        <f t="shared" si="314"/>
        <v>45587</v>
      </c>
      <c r="H583" s="716">
        <f>IF(OR(status1B5!I278="",H$7="No aplica"),0,SUM('BOULEVARD 5'!$K276:K276)-$AP583)</f>
        <v>0</v>
      </c>
      <c r="I583" s="716">
        <f>IF(OR(status1B5!J278="",I$7="No aplica"),0,SUM('BOULEVARD 5'!$K276:L276)-$AP583)</f>
        <v>0</v>
      </c>
      <c r="J583" s="716">
        <f>IF(OR(status1B5!K278="",J$7="No aplica"),0,SUM('BOULEVARD 5'!$K276:M276)-$AP583)</f>
        <v>0</v>
      </c>
      <c r="K583" s="716">
        <f>IF(OR(status1B5!L278="",K$7="No aplica"),0,SUM('BOULEVARD 5'!$K276:N276)-$AP583)</f>
        <v>0</v>
      </c>
      <c r="L583" s="716">
        <f>IF(OR(status1B5!M278="",L$7="No aplica"),0,SUM('BOULEVARD 5'!$K276:O276)-$AP583)</f>
        <v>0</v>
      </c>
      <c r="M583" s="716">
        <f>IF(OR(status1B5!N278="",M$7="No aplica"),0,SUM('BOULEVARD 5'!$K276:P276)-$AP583)</f>
        <v>0</v>
      </c>
      <c r="N583" s="716">
        <f>IF(OR(status1B5!O278="",N$7="No aplica"),0,SUM('BOULEVARD 5'!$K276:Q276)-$AP583)</f>
        <v>0</v>
      </c>
      <c r="O583" s="716">
        <f>IF(OR(status1B5!P278="",O$7="No aplica"),0,SUM('BOULEVARD 5'!$K276:R276)-$AP583)</f>
        <v>0</v>
      </c>
      <c r="P583" s="716">
        <f>IF(OR(status1B5!Q278="",P$7="No aplica"),0,SUM('BOULEVARD 5'!$K276:S276)-$AP583)</f>
        <v>0</v>
      </c>
      <c r="Q583" s="716">
        <f>IF(OR(status1B5!R278="",Q$7="No aplica"),0,SUM('BOULEVARD 5'!$K276:T276)-$AP583)</f>
        <v>0</v>
      </c>
      <c r="R583" s="716">
        <f>IF(OR(status1B5!S278="",R$7="No aplica"),0,SUM('BOULEVARD 5'!$K276:U276)-$AP583)</f>
        <v>0</v>
      </c>
      <c r="S583" s="716">
        <f>IF(OR(status1B5!T278="",S$7="No aplica"),0,SUM('BOULEVARD 5'!$K276:V276)-$AP583)</f>
        <v>0</v>
      </c>
      <c r="T583" s="716">
        <f>IF(OR(status1B5!U278="",T$7="No aplica"),0,SUM('BOULEVARD 5'!$K276:W276)-$AP583)</f>
        <v>0</v>
      </c>
      <c r="U583" s="716">
        <f>IF(OR(status1B5!V278="",U$7="No aplica"),0,SUM('BOULEVARD 5'!$K276:X276)-$AP583)</f>
        <v>0</v>
      </c>
      <c r="V583" s="716">
        <f>IF(OR(status1B5!W278="",V$7="No aplica"),0,SUM('BOULEVARD 5'!$K276:Y276)-$AP583)</f>
        <v>0</v>
      </c>
      <c r="W583" s="716">
        <f>IF(OR(status1B5!X278="",W$7="No aplica"),0,SUM('BOULEVARD 5'!$K276:Z276)-$AP583)</f>
        <v>0</v>
      </c>
      <c r="X583" s="716">
        <f>IF(OR(status1B5!Y278="",X$7="No aplica"),0,SUM('BOULEVARD 5'!$K276:AA276)-$AP583)</f>
        <v>0</v>
      </c>
      <c r="Y583" s="716">
        <f>IF(OR(status1B5!Z278="",Y$7="No aplica"),0,SUM('BOULEVARD 5'!$K276:AB276)-$AP583)</f>
        <v>0</v>
      </c>
      <c r="Z583" s="716">
        <f>IF(OR(status1B5!AA278="",Z$7="No aplica"),0,SUM('BOULEVARD 5'!$K276:AC276)-$AP583)</f>
        <v>0</v>
      </c>
      <c r="AA583" s="716">
        <f>IF(OR(status1B5!AB278="",AA$7="No aplica"),0,SUM('BOULEVARD 5'!$K276:AD276)-$AP583)</f>
        <v>-129355</v>
      </c>
      <c r="AB583" s="716">
        <f>IF(OR(status1B5!AC278="",AB$7="No aplica"),0,SUM('BOULEVARD 5'!$K276:AE276)-$AP583)</f>
        <v>-129355</v>
      </c>
      <c r="AC583" s="716">
        <f>IF(OR(status1B5!AD278="",AC$7="No aplica"),0,SUM('BOULEVARD 5'!$K276:AF276)-$AP583)</f>
        <v>-120100.77</v>
      </c>
      <c r="AD583" s="716">
        <f>IF(OR(status1B5!AE278="",AD$7="No aplica"),0,SUM('BOULEVARD 5'!$K276:AG276)-$AP583)</f>
        <v>-110844.29000000001</v>
      </c>
      <c r="AE583" s="716">
        <f>IF(OR(status1B5!AF278="",AE$7="No aplica"),0,SUM('BOULEVARD 5'!$K276:AH276)-$AP583)</f>
        <v>-110844.29000000001</v>
      </c>
      <c r="AF583" s="716">
        <f>IF(OR(status1B5!AG278="",AF$7="No aplica"),0,SUM('BOULEVARD 5'!$K276:AI276)-$AP583)</f>
        <v>-110844.29000000001</v>
      </c>
      <c r="AG583" s="716">
        <f>IF(OR(status1B5!AH278="",AG$7="No aplica"),0,SUM('BOULEVARD 5'!$K276:AJ276)-$AP583)</f>
        <v>-92379.63</v>
      </c>
      <c r="AH583" s="716">
        <f>IF(OR(status1B5!AI278="",AH$7="No aplica"),0,SUM('BOULEVARD 5'!$K276:AK276)-$AP583)</f>
        <v>-92379.63</v>
      </c>
      <c r="AI583" s="716">
        <f>IF(OR(status1B5!AJ278="",AI$7="No aplica"),0,SUM('BOULEVARD 5'!$K276:AL276)-$AP583)</f>
        <v>-72379.63</v>
      </c>
      <c r="AJ583" s="716">
        <f>IF(OR(status1B5!AK278="",AJ$7="No aplica"),0,SUM('BOULEVARD 5'!$K276:AM276)-$AP583)</f>
        <v>-53968.922000000006</v>
      </c>
      <c r="AK583" s="716">
        <f>IF(OR(status1B5!AL278="",AK$7="No aplica"),0,SUM('BOULEVARD 5'!$K276:AN276)-$AP583)</f>
        <v>-44773.022000000012</v>
      </c>
      <c r="AL583" s="716">
        <f>IF(OR(status1B5!AM278="",AL$7="No aplica"),0,SUM('BOULEVARD 5'!$K276:AO276)-$AP583)</f>
        <v>-44773.022000000012</v>
      </c>
      <c r="AM583" s="716">
        <f>IF(OR(status1B5!AN278="",AM$7="No aplica"),0,SUM('BOULEVARD 5'!$K276:AP276)-$AP583)</f>
        <v>-44773.022000000012</v>
      </c>
      <c r="AN583" s="716">
        <f>IF(OR(status1B5!AO278="",AN$7="No aplica"),0,SUM('BOULEVARD 5'!$K276:AQ276)-$AP583)</f>
        <v>0</v>
      </c>
      <c r="AO583" s="716">
        <f>IF(OR(status1B5!AP278="",AO$7="No aplica"),0,SUM('BOULEVARD 5'!$K276:AS276)-$AP583)</f>
        <v>0</v>
      </c>
      <c r="AP583" s="717">
        <f>'BOULEVARD PPTO'!BC271</f>
        <v>139355</v>
      </c>
      <c r="AQ583" s="717">
        <f>'BOULEVARD 5'!AT276</f>
        <v>94581.977999999988</v>
      </c>
      <c r="AR583" s="717">
        <f t="shared" si="302"/>
        <v>-44773.022000000012</v>
      </c>
      <c r="AS583" s="717"/>
      <c r="AT583" s="581"/>
    </row>
    <row r="584" spans="1:46" ht="13.15" customHeight="1" outlineLevel="1" x14ac:dyDescent="0.25">
      <c r="A584" s="700">
        <f t="shared" si="300"/>
        <v>0</v>
      </c>
      <c r="B584" s="564">
        <f t="shared" ref="B584:G584" si="315">B279</f>
        <v>1606</v>
      </c>
      <c r="C584" s="564" t="str">
        <f t="shared" si="315"/>
        <v>A9</v>
      </c>
      <c r="D584" s="564">
        <f t="shared" si="315"/>
        <v>0</v>
      </c>
      <c r="E584" s="564" t="str">
        <f t="shared" si="315"/>
        <v/>
      </c>
      <c r="F584" s="581" t="str">
        <f t="shared" si="315"/>
        <v/>
      </c>
      <c r="G584" s="566" t="str">
        <f t="shared" si="315"/>
        <v/>
      </c>
      <c r="H584" s="716">
        <f>IF(OR(status1B5!I279="",H$7="No aplica"),0,SUM('BOULEVARD 5'!$K277:K277)-$AP584)</f>
        <v>0</v>
      </c>
      <c r="I584" s="716">
        <f>IF(OR(status1B5!J279="",I$7="No aplica"),0,SUM('BOULEVARD 5'!$K277:L277)-$AP584)</f>
        <v>0</v>
      </c>
      <c r="J584" s="716">
        <f>IF(OR(status1B5!K279="",J$7="No aplica"),0,SUM('BOULEVARD 5'!$K277:M277)-$AP584)</f>
        <v>0</v>
      </c>
      <c r="K584" s="716">
        <f>IF(OR(status1B5!L279="",K$7="No aplica"),0,SUM('BOULEVARD 5'!$K277:N277)-$AP584)</f>
        <v>0</v>
      </c>
      <c r="L584" s="716">
        <f>IF(OR(status1B5!M279="",L$7="No aplica"),0,SUM('BOULEVARD 5'!$K277:O277)-$AP584)</f>
        <v>0</v>
      </c>
      <c r="M584" s="716">
        <f>IF(OR(status1B5!N279="",M$7="No aplica"),0,SUM('BOULEVARD 5'!$K277:P277)-$AP584)</f>
        <v>0</v>
      </c>
      <c r="N584" s="716">
        <f>IF(OR(status1B5!O279="",N$7="No aplica"),0,SUM('BOULEVARD 5'!$K277:Q277)-$AP584)</f>
        <v>0</v>
      </c>
      <c r="O584" s="716">
        <f>IF(OR(status1B5!P279="",O$7="No aplica"),0,SUM('BOULEVARD 5'!$K277:R277)-$AP584)</f>
        <v>0</v>
      </c>
      <c r="P584" s="716">
        <f>IF(OR(status1B5!Q279="",P$7="No aplica"),0,SUM('BOULEVARD 5'!$K277:S277)-$AP584)</f>
        <v>0</v>
      </c>
      <c r="Q584" s="716">
        <f>IF(OR(status1B5!R279="",Q$7="No aplica"),0,SUM('BOULEVARD 5'!$K277:T277)-$AP584)</f>
        <v>0</v>
      </c>
      <c r="R584" s="716">
        <f>IF(OR(status1B5!S279="",R$7="No aplica"),0,SUM('BOULEVARD 5'!$K277:U277)-$AP584)</f>
        <v>0</v>
      </c>
      <c r="S584" s="716">
        <f>IF(OR(status1B5!T279="",S$7="No aplica"),0,SUM('BOULEVARD 5'!$K277:V277)-$AP584)</f>
        <v>0</v>
      </c>
      <c r="T584" s="716">
        <f>IF(OR(status1B5!U279="",T$7="No aplica"),0,SUM('BOULEVARD 5'!$K277:W277)-$AP584)</f>
        <v>0</v>
      </c>
      <c r="U584" s="716">
        <f>IF(OR(status1B5!V279="",U$7="No aplica"),0,SUM('BOULEVARD 5'!$K277:X277)-$AP584)</f>
        <v>0</v>
      </c>
      <c r="V584" s="716">
        <f>IF(OR(status1B5!W279="",V$7="No aplica"),0,SUM('BOULEVARD 5'!$K277:Y277)-$AP584)</f>
        <v>0</v>
      </c>
      <c r="W584" s="716">
        <f>IF(OR(status1B5!X279="",W$7="No aplica"),0,SUM('BOULEVARD 5'!$K277:Z277)-$AP584)</f>
        <v>0</v>
      </c>
      <c r="X584" s="716">
        <f>IF(OR(status1B5!Y279="",X$7="No aplica"),0,SUM('BOULEVARD 5'!$K277:AA277)-$AP584)</f>
        <v>0</v>
      </c>
      <c r="Y584" s="716">
        <f>IF(OR(status1B5!Z279="",Y$7="No aplica"),0,SUM('BOULEVARD 5'!$K277:AB277)-$AP584)</f>
        <v>0</v>
      </c>
      <c r="Z584" s="716">
        <f>IF(OR(status1B5!AA279="",Z$7="No aplica"),0,SUM('BOULEVARD 5'!$K277:AC277)-$AP584)</f>
        <v>0</v>
      </c>
      <c r="AA584" s="716">
        <f>IF(OR(status1B5!AB279="",AA$7="No aplica"),0,SUM('BOULEVARD 5'!$K277:AD277)-$AP584)</f>
        <v>0</v>
      </c>
      <c r="AB584" s="716">
        <f>IF(OR(status1B5!AC279="",AB$7="No aplica"),0,SUM('BOULEVARD 5'!$K277:AE277)-$AP584)</f>
        <v>0</v>
      </c>
      <c r="AC584" s="716">
        <f>IF(OR(status1B5!AD279="",AC$7="No aplica"),0,SUM('BOULEVARD 5'!$K277:AF277)-$AP584)</f>
        <v>0</v>
      </c>
      <c r="AD584" s="716">
        <f>IF(OR(status1B5!AE279="",AD$7="No aplica"),0,SUM('BOULEVARD 5'!$K277:AG277)-$AP584)</f>
        <v>0</v>
      </c>
      <c r="AE584" s="716">
        <f>IF(OR(status1B5!AF279="",AE$7="No aplica"),0,SUM('BOULEVARD 5'!$K277:AH277)-$AP584)</f>
        <v>0</v>
      </c>
      <c r="AF584" s="716">
        <f>IF(OR(status1B5!AG279="",AF$7="No aplica"),0,SUM('BOULEVARD 5'!$K277:AI277)-$AP584)</f>
        <v>0</v>
      </c>
      <c r="AG584" s="716">
        <f>IF(OR(status1B5!AH279="",AG$7="No aplica"),0,SUM('BOULEVARD 5'!$K277:AJ277)-$AP584)</f>
        <v>0</v>
      </c>
      <c r="AH584" s="716">
        <f>IF(OR(status1B5!AI279="",AH$7="No aplica"),0,SUM('BOULEVARD 5'!$K277:AK277)-$AP584)</f>
        <v>0</v>
      </c>
      <c r="AI584" s="716">
        <f>IF(OR(status1B5!AJ279="",AI$7="No aplica"),0,SUM('BOULEVARD 5'!$K277:AL277)-$AP584)</f>
        <v>0</v>
      </c>
      <c r="AJ584" s="716">
        <f>IF(OR(status1B5!AK279="",AJ$7="No aplica"),0,SUM('BOULEVARD 5'!$K277:AM277)-$AP584)</f>
        <v>0</v>
      </c>
      <c r="AK584" s="716">
        <f>IF(OR(status1B5!AL279="",AK$7="No aplica"),0,SUM('BOULEVARD 5'!$K277:AN277)-$AP584)</f>
        <v>0</v>
      </c>
      <c r="AL584" s="716">
        <f>IF(OR(status1B5!AM279="",AL$7="No aplica"),0,SUM('BOULEVARD 5'!$K277:AO277)-$AP584)</f>
        <v>0</v>
      </c>
      <c r="AM584" s="716">
        <f>IF(OR(status1B5!AN279="",AM$7="No aplica"),0,SUM('BOULEVARD 5'!$K277:AP277)-$AP584)</f>
        <v>0</v>
      </c>
      <c r="AN584" s="716">
        <f>IF(OR(status1B5!AO279="",AN$7="No aplica"),0,SUM('BOULEVARD 5'!$K277:AQ277)-$AP584)</f>
        <v>0</v>
      </c>
      <c r="AO584" s="716">
        <f>IF(OR(status1B5!AP279="",AO$7="No aplica"),0,SUM('BOULEVARD 5'!$K277:AS277)-$AP584)</f>
        <v>0</v>
      </c>
      <c r="AP584" s="717">
        <f>'BOULEVARD PPTO'!BC272</f>
        <v>0</v>
      </c>
      <c r="AQ584" s="717">
        <f>'BOULEVARD 5'!AT277</f>
        <v>0</v>
      </c>
      <c r="AR584" s="717">
        <f t="shared" si="302"/>
        <v>0</v>
      </c>
      <c r="AS584" s="717"/>
      <c r="AT584" s="581"/>
    </row>
    <row r="585" spans="1:46" ht="13.15" customHeight="1" outlineLevel="1" x14ac:dyDescent="0.25">
      <c r="A585" s="700" t="str">
        <f t="shared" si="300"/>
        <v>CE</v>
      </c>
      <c r="B585" s="708">
        <f t="shared" ref="B585:G585" si="316">B280</f>
        <v>1607</v>
      </c>
      <c r="C585" s="564" t="str">
        <f t="shared" si="316"/>
        <v>C9</v>
      </c>
      <c r="D585" s="564">
        <f t="shared" si="316"/>
        <v>0</v>
      </c>
      <c r="E585" s="564" t="str">
        <f t="shared" si="316"/>
        <v>Brenda Búcaro</v>
      </c>
      <c r="F585" s="586" t="str">
        <f t="shared" si="316"/>
        <v>Edvin Carlos Cifuentes Salguero - Inmobiliaria Quince</v>
      </c>
      <c r="G585" s="566">
        <f t="shared" si="316"/>
        <v>45077</v>
      </c>
      <c r="H585" s="716">
        <f>IF(OR(status1B5!I280="",H$7="No aplica"),0,SUM('BOULEVARD 5'!$K278:K278)-$AP585)</f>
        <v>0</v>
      </c>
      <c r="I585" s="716">
        <f>IF(OR(status1B5!J280="",I$7="No aplica"),0,SUM('BOULEVARD 5'!$K278:L278)-$AP585)</f>
        <v>0</v>
      </c>
      <c r="J585" s="716">
        <f>IF(OR(status1B5!K280="",J$7="No aplica"),0,SUM('BOULEVARD 5'!$K278:M278)-$AP585)</f>
        <v>-126510</v>
      </c>
      <c r="K585" s="716">
        <f>IF(OR(status1B5!L280="",K$7="No aplica"),0,SUM('BOULEVARD 5'!$K278:N278)-$AP585)</f>
        <v>-126510</v>
      </c>
      <c r="L585" s="716">
        <f>IF(OR(status1B5!M280="",L$7="No aplica"),0,SUM('BOULEVARD 5'!$K278:O278)-$AP585)</f>
        <v>-123510</v>
      </c>
      <c r="M585" s="716">
        <f>IF(OR(status1B5!N280="",M$7="No aplica"),0,SUM('BOULEVARD 5'!$K278:P278)-$AP585)</f>
        <v>-123510</v>
      </c>
      <c r="N585" s="716">
        <f>IF(OR(status1B5!O280="",N$7="No aplica"),0,SUM('BOULEVARD 5'!$K278:Q278)-$AP585)</f>
        <v>-120510</v>
      </c>
      <c r="O585" s="716">
        <f>IF(OR(status1B5!P280="",O$7="No aplica"),0,SUM('BOULEVARD 5'!$K278:R278)-$AP585)</f>
        <v>-119010</v>
      </c>
      <c r="P585" s="716">
        <f>IF(OR(status1B5!Q280="",P$7="No aplica"),0,SUM('BOULEVARD 5'!$K278:S278)-$AP585)</f>
        <v>-117510</v>
      </c>
      <c r="Q585" s="716">
        <f>IF(OR(status1B5!R280="",Q$7="No aplica"),0,SUM('BOULEVARD 5'!$K278:T278)-$AP585)</f>
        <v>-117510</v>
      </c>
      <c r="R585" s="716">
        <f>IF(OR(status1B5!S280="",R$7="No aplica"),0,SUM('BOULEVARD 5'!$K278:U278)-$AP585)</f>
        <v>-117510</v>
      </c>
      <c r="S585" s="716">
        <f>IF(OR(status1B5!T280="",S$7="No aplica"),0,SUM('BOULEVARD 5'!$K278:V278)-$AP585)</f>
        <v>-117510</v>
      </c>
      <c r="T585" s="716">
        <f>IF(OR(status1B5!U280="",T$7="No aplica"),0,SUM('BOULEVARD 5'!$K278:W278)-$AP585)</f>
        <v>-117510</v>
      </c>
      <c r="U585" s="716">
        <f>IF(OR(status1B5!V280="",U$7="No aplica"),0,SUM('BOULEVARD 5'!$K278:X278)-$AP585)</f>
        <v>-117510</v>
      </c>
      <c r="V585" s="716">
        <f>IF(OR(status1B5!W280="",V$7="No aplica"),0,SUM('BOULEVARD 5'!$K278:Y278)-$AP585)</f>
        <v>-117510</v>
      </c>
      <c r="W585" s="716">
        <f>IF(OR(status1B5!X280="",W$7="No aplica"),0,SUM('BOULEVARD 5'!$K278:Z278)-$AP585)</f>
        <v>-117510</v>
      </c>
      <c r="X585" s="716">
        <f>IF(OR(status1B5!Y280="",X$7="No aplica"),0,SUM('BOULEVARD 5'!$K278:AA278)-$AP585)</f>
        <v>-117510</v>
      </c>
      <c r="Y585" s="716">
        <f>IF(OR(status1B5!Z280="",Y$7="No aplica"),0,SUM('BOULEVARD 5'!$K278:AB278)-$AP585)</f>
        <v>-117510</v>
      </c>
      <c r="Z585" s="716">
        <f>IF(OR(status1B5!AA280="",Z$7="No aplica"),0,SUM('BOULEVARD 5'!$K278:AC278)-$AP585)</f>
        <v>-117510</v>
      </c>
      <c r="AA585" s="716">
        <f>IF(OR(status1B5!AB280="",AA$7="No aplica"),0,SUM('BOULEVARD 5'!$K278:AD278)-$AP585)</f>
        <v>-117510</v>
      </c>
      <c r="AB585" s="716">
        <f>IF(OR(status1B5!AC280="",AB$7="No aplica"),0,SUM('BOULEVARD 5'!$K278:AE278)-$AP585)</f>
        <v>-117510</v>
      </c>
      <c r="AC585" s="716">
        <f>IF(OR(status1B5!AD280="",AC$7="No aplica"),0,SUM('BOULEVARD 5'!$K278:AF278)-$AP585)</f>
        <v>-117510</v>
      </c>
      <c r="AD585" s="716">
        <f>IF(OR(status1B5!AE280="",AD$7="No aplica"),0,SUM('BOULEVARD 5'!$K278:AG278)-$AP585)</f>
        <v>-117510</v>
      </c>
      <c r="AE585" s="716">
        <f>IF(OR(status1B5!AF280="",AE$7="No aplica"),0,SUM('BOULEVARD 5'!$K278:AH278)-$AP585)</f>
        <v>-117510</v>
      </c>
      <c r="AF585" s="716">
        <f>IF(OR(status1B5!AG280="",AF$7="No aplica"),0,SUM('BOULEVARD 5'!$K278:AI278)-$AP585)</f>
        <v>-117510</v>
      </c>
      <c r="AG585" s="716">
        <f>IF(OR(status1B5!AH280="",AG$7="No aplica"),0,SUM('BOULEVARD 5'!$K278:AJ278)-$AP585)</f>
        <v>-117510</v>
      </c>
      <c r="AH585" s="716">
        <f>IF(OR(status1B5!AI280="",AH$7="No aplica"),0,SUM('BOULEVARD 5'!$K278:AK278)-$AP585)</f>
        <v>-117510</v>
      </c>
      <c r="AI585" s="716">
        <f>IF(OR(status1B5!AJ280="",AI$7="No aplica"),0,SUM('BOULEVARD 5'!$K278:AL278)-$AP585)</f>
        <v>-117510</v>
      </c>
      <c r="AJ585" s="716">
        <f>IF(OR(status1B5!AK280="",AJ$7="No aplica"),0,SUM('BOULEVARD 5'!$K278:AM278)-$AP585)</f>
        <v>-117510</v>
      </c>
      <c r="AK585" s="716">
        <f>IF(OR(status1B5!AL280="",AK$7="No aplica"),0,SUM('BOULEVARD 5'!$K278:AN278)-$AP585)</f>
        <v>-117510</v>
      </c>
      <c r="AL585" s="716">
        <f>IF(OR(status1B5!AM280="",AL$7="No aplica"),0,SUM('BOULEVARD 5'!$K278:AO278)-$AP585)</f>
        <v>-117510</v>
      </c>
      <c r="AM585" s="716">
        <f>IF(OR(status1B5!AN280="",AM$7="No aplica"),0,SUM('BOULEVARD 5'!$K278:AP278)-$AP585)</f>
        <v>-117510</v>
      </c>
      <c r="AN585" s="716">
        <f>IF(OR(status1B5!AO280="",AN$7="No aplica"),0,SUM('BOULEVARD 5'!$K278:AQ278)-$AP585)</f>
        <v>0</v>
      </c>
      <c r="AO585" s="716">
        <f>IF(OR(status1B5!AP280="",AO$7="No aplica"),0,SUM('BOULEVARD 5'!$K278:AS278)-$AP585)</f>
        <v>0</v>
      </c>
      <c r="AP585" s="717">
        <f>'BOULEVARD PPTO'!BC273</f>
        <v>132510</v>
      </c>
      <c r="AQ585" s="717">
        <f>'BOULEVARD 5'!AT278</f>
        <v>15000</v>
      </c>
      <c r="AR585" s="717">
        <f t="shared" si="302"/>
        <v>-117510</v>
      </c>
      <c r="AS585" s="717"/>
      <c r="AT585" s="581"/>
    </row>
    <row r="586" spans="1:46" ht="13.15" customHeight="1" outlineLevel="1" x14ac:dyDescent="0.25">
      <c r="A586" s="700" t="str">
        <f t="shared" si="300"/>
        <v>F&amp;F</v>
      </c>
      <c r="B586" s="704">
        <f t="shared" ref="B586:G586" si="317">B281</f>
        <v>1608</v>
      </c>
      <c r="C586" s="704" t="str">
        <f t="shared" si="317"/>
        <v>C8</v>
      </c>
      <c r="D586" s="704">
        <f t="shared" si="317"/>
        <v>0</v>
      </c>
      <c r="E586" s="704" t="str">
        <f t="shared" si="317"/>
        <v>Jose Franco</v>
      </c>
      <c r="F586" s="705" t="str">
        <f t="shared" si="317"/>
        <v>María Carolina Arimany Comas</v>
      </c>
      <c r="G586" s="566">
        <f t="shared" si="317"/>
        <v>45013</v>
      </c>
      <c r="H586" s="716">
        <f>IF(OR(status1B5!I281="",H$7="No aplica"),0,SUM('BOULEVARD 5'!$K279:K279)-$AP586)</f>
        <v>0</v>
      </c>
      <c r="I586" s="716">
        <f>IF(OR(status1B5!J281="",I$7="No aplica"),0,SUM('BOULEVARD 5'!$K279:L279)-$AP586)</f>
        <v>0</v>
      </c>
      <c r="J586" s="716">
        <f>IF(OR(status1B5!K281="",J$7="No aplica"),0,SUM('BOULEVARD 5'!$K279:M279)-$AP586)</f>
        <v>0</v>
      </c>
      <c r="K586" s="716">
        <f>IF(OR(status1B5!L281="",K$7="No aplica"),0,SUM('BOULEVARD 5'!$K279:N279)-$AP586)</f>
        <v>0</v>
      </c>
      <c r="L586" s="716">
        <f>IF(OR(status1B5!M281="",L$7="No aplica"),0,SUM('BOULEVARD 5'!$K279:O279)-$AP586)</f>
        <v>0</v>
      </c>
      <c r="M586" s="716">
        <f>IF(OR(status1B5!N281="",M$7="No aplica"),0,SUM('BOULEVARD 5'!$K279:P279)-$AP586)</f>
        <v>0</v>
      </c>
      <c r="N586" s="716">
        <f>IF(OR(status1B5!O281="",N$7="No aplica"),0,SUM('BOULEVARD 5'!$K279:Q279)-$AP586)</f>
        <v>0</v>
      </c>
      <c r="O586" s="716">
        <f>IF(OR(status1B5!P281="",O$7="No aplica"),0,SUM('BOULEVARD 5'!$K279:R279)-$AP586)</f>
        <v>0</v>
      </c>
      <c r="P586" s="716">
        <f>IF(OR(status1B5!Q281="",P$7="No aplica"),0,SUM('BOULEVARD 5'!$K279:S279)-$AP586)</f>
        <v>0</v>
      </c>
      <c r="Q586" s="716">
        <f>IF(OR(status1B5!R281="",Q$7="No aplica"),0,SUM('BOULEVARD 5'!$K279:T279)-$AP586)</f>
        <v>0</v>
      </c>
      <c r="R586" s="716">
        <f>IF(OR(status1B5!S281="",R$7="No aplica"),0,SUM('BOULEVARD 5'!$K279:U279)-$AP586)</f>
        <v>0</v>
      </c>
      <c r="S586" s="716">
        <f>IF(OR(status1B5!T281="",S$7="No aplica"),0,SUM('BOULEVARD 5'!$K279:V279)-$AP586)</f>
        <v>0</v>
      </c>
      <c r="T586" s="716">
        <f>IF(OR(status1B5!U281="",T$7="No aplica"),0,SUM('BOULEVARD 5'!$K279:W279)-$AP586)</f>
        <v>0</v>
      </c>
      <c r="U586" s="716">
        <f>IF(OR(status1B5!V281="",U$7="No aplica"),0,SUM('BOULEVARD 5'!$K279:X279)-$AP586)</f>
        <v>0</v>
      </c>
      <c r="V586" s="716">
        <f>IF(OR(status1B5!W281="",V$7="No aplica"),0,SUM('BOULEVARD 5'!$K279:Y279)-$AP586)</f>
        <v>0</v>
      </c>
      <c r="W586" s="716">
        <f>IF(OR(status1B5!X281="",W$7="No aplica"),0,SUM('BOULEVARD 5'!$K279:Z279)-$AP586)</f>
        <v>0</v>
      </c>
      <c r="X586" s="716">
        <f>IF(OR(status1B5!Y281="",X$7="No aplica"),0,SUM('BOULEVARD 5'!$K279:AA279)-$AP586)</f>
        <v>0</v>
      </c>
      <c r="Y586" s="716">
        <f>IF(OR(status1B5!Z281="",Y$7="No aplica"),0,SUM('BOULEVARD 5'!$K279:AB279)-$AP586)</f>
        <v>0</v>
      </c>
      <c r="Z586" s="716">
        <f>IF(OR(status1B5!AA281="",Z$7="No aplica"),0,SUM('BOULEVARD 5'!$K279:AC279)-$AP586)</f>
        <v>0</v>
      </c>
      <c r="AA586" s="716">
        <f>IF(OR(status1B5!AB281="",AA$7="No aplica"),0,SUM('BOULEVARD 5'!$K279:AD279)-$AP586)</f>
        <v>0</v>
      </c>
      <c r="AB586" s="716">
        <f>IF(OR(status1B5!AC281="",AB$7="No aplica"),0,SUM('BOULEVARD 5'!$K279:AE279)-$AP586)</f>
        <v>0</v>
      </c>
      <c r="AC586" s="716">
        <f>IF(OR(status1B5!AD281="",AC$7="No aplica"),0,SUM('BOULEVARD 5'!$K279:AF279)-$AP586)</f>
        <v>0</v>
      </c>
      <c r="AD586" s="716">
        <f>IF(OR(status1B5!AE281="",AD$7="No aplica"),0,SUM('BOULEVARD 5'!$K279:AG279)-$AP586)</f>
        <v>0</v>
      </c>
      <c r="AE586" s="716">
        <f>IF(OR(status1B5!AF281="",AE$7="No aplica"),0,SUM('BOULEVARD 5'!$K279:AH279)-$AP586)</f>
        <v>0</v>
      </c>
      <c r="AF586" s="716">
        <f>IF(OR(status1B5!AG281="",AF$7="No aplica"),0,SUM('BOULEVARD 5'!$K279:AI279)-$AP586)</f>
        <v>0</v>
      </c>
      <c r="AG586" s="716">
        <f>IF(OR(status1B5!AH281="",AG$7="No aplica"),0,SUM('BOULEVARD 5'!$K279:AJ279)-$AP586)</f>
        <v>0</v>
      </c>
      <c r="AH586" s="716">
        <f>IF(OR(status1B5!AI281="",AH$7="No aplica"),0,SUM('BOULEVARD 5'!$K279:AK279)-$AP586)</f>
        <v>0</v>
      </c>
      <c r="AI586" s="716">
        <f>IF(OR(status1B5!AJ281="",AI$7="No aplica"),0,SUM('BOULEVARD 5'!$K279:AL279)-$AP586)</f>
        <v>0</v>
      </c>
      <c r="AJ586" s="716">
        <f>IF(OR(status1B5!AK281="",AJ$7="No aplica"),0,SUM('BOULEVARD 5'!$K279:AM279)-$AP586)</f>
        <v>0</v>
      </c>
      <c r="AK586" s="716">
        <f>IF(OR(status1B5!AL281="",AK$7="No aplica"),0,SUM('BOULEVARD 5'!$K279:AN279)-$AP586)</f>
        <v>0</v>
      </c>
      <c r="AL586" s="716">
        <f>IF(OR(status1B5!AM281="",AL$7="No aplica"),0,SUM('BOULEVARD 5'!$K279:AO279)-$AP586)</f>
        <v>0</v>
      </c>
      <c r="AM586" s="716">
        <f>IF(OR(status1B5!AN281="",AM$7="No aplica"),0,SUM('BOULEVARD 5'!$K279:AP279)-$AP586)</f>
        <v>0</v>
      </c>
      <c r="AN586" s="716">
        <f>IF(OR(status1B5!AO281="",AN$7="No aplica"),0,SUM('BOULEVARD 5'!$K279:AQ279)-$AP586)</f>
        <v>0</v>
      </c>
      <c r="AO586" s="716">
        <f>IF(OR(status1B5!AP281="",AO$7="No aplica"),0,SUM('BOULEVARD 5'!$K279:AS279)-$AP586)</f>
        <v>0</v>
      </c>
      <c r="AP586" s="717">
        <f>'BOULEVARD PPTO'!BC274</f>
        <v>115448</v>
      </c>
      <c r="AQ586" s="717">
        <f>'BOULEVARD 5'!AT279</f>
        <v>6000</v>
      </c>
      <c r="AR586" s="717">
        <f t="shared" si="302"/>
        <v>-109448</v>
      </c>
      <c r="AS586" s="717"/>
      <c r="AT586" s="581"/>
    </row>
    <row r="587" spans="1:46" ht="13.15" customHeight="1" outlineLevel="1" x14ac:dyDescent="0.25">
      <c r="A587" s="700">
        <f t="shared" si="300"/>
        <v>0</v>
      </c>
      <c r="B587" s="564">
        <f t="shared" ref="B587:G587" si="318">B282</f>
        <v>1609</v>
      </c>
      <c r="C587" s="564" t="str">
        <f t="shared" si="318"/>
        <v>B4</v>
      </c>
      <c r="D587" s="564">
        <f t="shared" si="318"/>
        <v>0</v>
      </c>
      <c r="E587" s="564" t="str">
        <f t="shared" si="318"/>
        <v>Antonio Rada</v>
      </c>
      <c r="F587" s="581" t="str">
        <f t="shared" si="318"/>
        <v>Christian Josue Colindres Sandoval</v>
      </c>
      <c r="G587" s="566">
        <f t="shared" si="318"/>
        <v>45010</v>
      </c>
      <c r="H587" s="716">
        <f>IF(OR(status1B5!I282="",H$7="No aplica"),0,SUM('BOULEVARD 5'!$K280:K280)-$AP587)</f>
        <v>-80150.58</v>
      </c>
      <c r="I587" s="716">
        <f>IF(OR(status1B5!J282="",I$7="No aplica"),0,SUM('BOULEVARD 5'!$K280:L280)-$AP587)</f>
        <v>-77860.58</v>
      </c>
      <c r="J587" s="716">
        <f>IF(OR(status1B5!K282="",J$7="No aplica"),0,SUM('BOULEVARD 5'!$K280:M280)-$AP587)</f>
        <v>-75570.58</v>
      </c>
      <c r="K587" s="716">
        <f>IF(OR(status1B5!L282="",K$7="No aplica"),0,SUM('BOULEVARD 5'!$K280:N280)-$AP587)</f>
        <v>-73280.58</v>
      </c>
      <c r="L587" s="716">
        <f>IF(OR(status1B5!M282="",L$7="No aplica"),0,SUM('BOULEVARD 5'!$K280:O280)-$AP587)</f>
        <v>-70990.58</v>
      </c>
      <c r="M587" s="716">
        <f>IF(OR(status1B5!N282="",M$7="No aplica"),0,SUM('BOULEVARD 5'!$K280:P280)-$AP587)</f>
        <v>-68700.58</v>
      </c>
      <c r="N587" s="716">
        <f>IF(OR(status1B5!O282="",N$7="No aplica"),0,SUM('BOULEVARD 5'!$K280:Q280)-$AP587)</f>
        <v>-66410.58</v>
      </c>
      <c r="O587" s="716">
        <f>IF(OR(status1B5!P282="",O$7="No aplica"),0,SUM('BOULEVARD 5'!$K280:R280)-$AP587)</f>
        <v>-66410.58</v>
      </c>
      <c r="P587" s="716">
        <f>IF(OR(status1B5!Q282="",P$7="No aplica"),0,SUM('BOULEVARD 5'!$K280:S280)-$AP587)</f>
        <v>-61830.58</v>
      </c>
      <c r="Q587" s="716">
        <f>IF(OR(status1B5!R282="",Q$7="No aplica"),0,SUM('BOULEVARD 5'!$K280:T280)-$AP587)</f>
        <v>-59540.58</v>
      </c>
      <c r="R587" s="716">
        <f>IF(OR(status1B5!S282="",R$7="No aplica"),0,SUM('BOULEVARD 5'!$K280:U280)-$AP587)</f>
        <v>-57250.58</v>
      </c>
      <c r="S587" s="716">
        <f>IF(OR(status1B5!T282="",S$7="No aplica"),0,SUM('BOULEVARD 5'!$K280:V280)-$AP587)</f>
        <v>-54960.58</v>
      </c>
      <c r="T587" s="716">
        <f>IF(OR(status1B5!U282="",T$7="No aplica"),0,SUM('BOULEVARD 5'!$K280:W280)-$AP587)</f>
        <v>-52670.58</v>
      </c>
      <c r="U587" s="716">
        <f>IF(OR(status1B5!V282="",U$7="No aplica"),0,SUM('BOULEVARD 5'!$K280:X280)-$AP587)</f>
        <v>-52670.58</v>
      </c>
      <c r="V587" s="716">
        <f>IF(OR(status1B5!W282="",V$7="No aplica"),0,SUM('BOULEVARD 5'!$K280:Y280)-$AP587)</f>
        <v>-50380.58</v>
      </c>
      <c r="W587" s="716">
        <f>IF(OR(status1B5!X282="",W$7="No aplica"),0,SUM('BOULEVARD 5'!$K280:Z280)-$AP587)</f>
        <v>-50380.58</v>
      </c>
      <c r="X587" s="716">
        <f>IF(OR(status1B5!Y282="",X$7="No aplica"),0,SUM('BOULEVARD 5'!$K280:AA280)-$AP587)</f>
        <v>-48090.58</v>
      </c>
      <c r="Y587" s="716">
        <f>IF(OR(status1B5!Z282="",Y$7="No aplica"),0,SUM('BOULEVARD 5'!$K280:AB280)-$AP587)</f>
        <v>-45800.58</v>
      </c>
      <c r="Z587" s="716">
        <f>IF(OR(status1B5!AA282="",Z$7="No aplica"),0,SUM('BOULEVARD 5'!$K280:AC280)-$AP587)</f>
        <v>-41220.58</v>
      </c>
      <c r="AA587" s="716">
        <f>IF(OR(status1B5!AB282="",AA$7="No aplica"),0,SUM('BOULEVARD 5'!$K280:AD280)-$AP587)</f>
        <v>-36640.58</v>
      </c>
      <c r="AB587" s="716">
        <f>IF(OR(status1B5!AC282="",AB$7="No aplica"),0,SUM('BOULEVARD 5'!$K280:AE280)-$AP587)</f>
        <v>-36640.58</v>
      </c>
      <c r="AC587" s="716">
        <f>IF(OR(status1B5!AD282="",AC$7="No aplica"),0,SUM('BOULEVARD 5'!$K280:AF280)-$AP587)</f>
        <v>-36640.58</v>
      </c>
      <c r="AD587" s="716">
        <f>IF(OR(status1B5!AE282="",AD$7="No aplica"),0,SUM('BOULEVARD 5'!$K280:AG280)-$AP587)</f>
        <v>-36640.58</v>
      </c>
      <c r="AE587" s="716">
        <f>IF(OR(status1B5!AF282="",AE$7="No aplica"),0,SUM('BOULEVARD 5'!$K280:AH280)-$AP587)</f>
        <v>-36640.58</v>
      </c>
      <c r="AF587" s="716">
        <f>IF(OR(status1B5!AG282="",AF$7="No aplica"),0,SUM('BOULEVARD 5'!$K280:AI280)-$AP587)</f>
        <v>-29770.58</v>
      </c>
      <c r="AG587" s="716">
        <f>IF(OR(status1B5!AH282="",AG$7="No aplica"),0,SUM('BOULEVARD 5'!$K280:AJ280)-$AP587)</f>
        <v>-29770.58</v>
      </c>
      <c r="AH587" s="716">
        <f>IF(OR(status1B5!AI282="",AH$7="No aplica"),0,SUM('BOULEVARD 5'!$K280:AK280)-$AP587)</f>
        <v>-25190.58</v>
      </c>
      <c r="AI587" s="716">
        <f>IF(OR(status1B5!AJ282="",AI$7="No aplica"),0,SUM('BOULEVARD 5'!$K280:AL280)-$AP587)</f>
        <v>-20610.580000000002</v>
      </c>
      <c r="AJ587" s="716">
        <f>IF(OR(status1B5!AK282="",AJ$7="No aplica"),0,SUM('BOULEVARD 5'!$K280:AM280)-$AP587)</f>
        <v>-20610.580000000002</v>
      </c>
      <c r="AK587" s="716">
        <f>IF(OR(status1B5!AL282="",AK$7="No aplica"),0,SUM('BOULEVARD 5'!$K280:AN280)-$AP587)</f>
        <v>-16030.580000000002</v>
      </c>
      <c r="AL587" s="716">
        <f>IF(OR(status1B5!AM282="",AL$7="No aplica"),0,SUM('BOULEVARD 5'!$K280:AO280)-$AP587)</f>
        <v>-16030.580000000002</v>
      </c>
      <c r="AM587" s="716">
        <f>IF(OR(status1B5!AN282="",AM$7="No aplica"),0,SUM('BOULEVARD 5'!$K280:AP280)-$AP587)</f>
        <v>-11450.580000000002</v>
      </c>
      <c r="AN587" s="716">
        <f>IF(OR(status1B5!AO282="",AN$7="No aplica"),0,SUM('BOULEVARD 5'!$K280:AQ280)-$AP587)</f>
        <v>0</v>
      </c>
      <c r="AO587" s="716">
        <f>IF(OR(status1B5!AP282="",AO$7="No aplica"),0,SUM('BOULEVARD 5'!$K280:AS280)-$AP587)</f>
        <v>0</v>
      </c>
      <c r="AP587" s="717">
        <f>'BOULEVARD PPTO'!BC275</f>
        <v>86150.58</v>
      </c>
      <c r="AQ587" s="717">
        <f>'BOULEVARD 5'!AT280</f>
        <v>76990</v>
      </c>
      <c r="AR587" s="717">
        <f t="shared" si="302"/>
        <v>-9160.5800000000017</v>
      </c>
      <c r="AS587" s="717"/>
      <c r="AT587" s="581"/>
    </row>
    <row r="588" spans="1:46" ht="13.15" customHeight="1" outlineLevel="1" x14ac:dyDescent="0.25">
      <c r="A588" s="700">
        <f t="shared" si="300"/>
        <v>0</v>
      </c>
      <c r="B588" s="564">
        <f t="shared" ref="B588:G588" si="319">B283</f>
        <v>1610</v>
      </c>
      <c r="C588" s="564" t="str">
        <f t="shared" si="319"/>
        <v>B3</v>
      </c>
      <c r="D588" s="564">
        <f t="shared" si="319"/>
        <v>0</v>
      </c>
      <c r="E588" s="564" t="str">
        <f t="shared" si="319"/>
        <v>Antonio Rada</v>
      </c>
      <c r="F588" s="581" t="str">
        <f t="shared" si="319"/>
        <v>Grupo Sak Y Sak, S.A.</v>
      </c>
      <c r="G588" s="566">
        <f t="shared" si="319"/>
        <v>45077</v>
      </c>
      <c r="H588" s="716">
        <f>IF(OR(status1B5!I283="",H$7="No aplica"),0,SUM('BOULEVARD 5'!$K281:K281)-$AP588)</f>
        <v>0</v>
      </c>
      <c r="I588" s="716">
        <f>IF(OR(status1B5!J283="",I$7="No aplica"),0,SUM('BOULEVARD 5'!$K281:L281)-$AP588)</f>
        <v>0</v>
      </c>
      <c r="J588" s="716">
        <f>IF(OR(status1B5!K283="",J$7="No aplica"),0,SUM('BOULEVARD 5'!$K281:M281)-$AP588)</f>
        <v>-884081.34</v>
      </c>
      <c r="K588" s="716">
        <f>IF(OR(status1B5!L283="",K$7="No aplica"),0,SUM('BOULEVARD 5'!$K281:N281)-$AP588)</f>
        <v>-795073.21</v>
      </c>
      <c r="L588" s="716">
        <f>IF(OR(status1B5!M283="",L$7="No aplica"),0,SUM('BOULEVARD 5'!$K281:O281)-$AP588)</f>
        <v>-765626.21</v>
      </c>
      <c r="M588" s="716">
        <f>IF(OR(status1B5!N283="",M$7="No aplica"),0,SUM('BOULEVARD 5'!$K281:P281)-$AP588)</f>
        <v>-736179.21</v>
      </c>
      <c r="N588" s="716">
        <f>IF(OR(status1B5!O283="",N$7="No aplica"),0,SUM('BOULEVARD 5'!$K281:Q281)-$AP588)</f>
        <v>-706732.21</v>
      </c>
      <c r="O588" s="716">
        <f>IF(OR(status1B5!P283="",O$7="No aplica"),0,SUM('BOULEVARD 5'!$K281:R281)-$AP588)</f>
        <v>-677285.21</v>
      </c>
      <c r="P588" s="716">
        <f>IF(OR(status1B5!Q283="",P$7="No aplica"),0,SUM('BOULEVARD 5'!$K281:S281)-$AP588)</f>
        <v>-647838.21</v>
      </c>
      <c r="Q588" s="716">
        <f>IF(OR(status1B5!R283="",Q$7="No aplica"),0,SUM('BOULEVARD 5'!$K281:T281)-$AP588)</f>
        <v>-618391.21</v>
      </c>
      <c r="R588" s="716">
        <f>IF(OR(status1B5!S283="",R$7="No aplica"),0,SUM('BOULEVARD 5'!$K281:U281)-$AP588)</f>
        <v>-588944.21</v>
      </c>
      <c r="S588" s="716">
        <f>IF(OR(status1B5!T283="",S$7="No aplica"),0,SUM('BOULEVARD 5'!$K281:V281)-$AP588)</f>
        <v>-559497.21</v>
      </c>
      <c r="T588" s="716">
        <f>IF(OR(status1B5!U283="",T$7="No aplica"),0,SUM('BOULEVARD 5'!$K281:W281)-$AP588)</f>
        <v>-530050.21</v>
      </c>
      <c r="U588" s="716">
        <f>IF(OR(status1B5!V283="",U$7="No aplica"),0,SUM('BOULEVARD 5'!$K281:X281)-$AP588)</f>
        <v>-530050.21</v>
      </c>
      <c r="V588" s="716">
        <f>IF(OR(status1B5!W283="",V$7="No aplica"),0,SUM('BOULEVARD 5'!$K281:Y281)-$AP588)</f>
        <v>-530050.21</v>
      </c>
      <c r="W588" s="716">
        <f>IF(OR(status1B5!X283="",W$7="No aplica"),0,SUM('BOULEVARD 5'!$K281:Z281)-$AP588)</f>
        <v>-471156.20999999996</v>
      </c>
      <c r="X588" s="716">
        <f>IF(OR(status1B5!Y283="",X$7="No aplica"),0,SUM('BOULEVARD 5'!$K281:AA281)-$AP588)</f>
        <v>-441709.20999999996</v>
      </c>
      <c r="Y588" s="716">
        <f>IF(OR(status1B5!Z283="",Y$7="No aplica"),0,SUM('BOULEVARD 5'!$K281:AB281)-$AP588)</f>
        <v>-412262.20999999996</v>
      </c>
      <c r="Z588" s="716">
        <f>IF(OR(status1B5!AA283="",Z$7="No aplica"),0,SUM('BOULEVARD 5'!$K281:AC281)-$AP588)</f>
        <v>-382815.20999999996</v>
      </c>
      <c r="AA588" s="716">
        <f>IF(OR(status1B5!AB283="",AA$7="No aplica"),0,SUM('BOULEVARD 5'!$K281:AD281)-$AP588)</f>
        <v>-353368.20999999996</v>
      </c>
      <c r="AB588" s="716">
        <f>IF(OR(status1B5!AC283="",AB$7="No aplica"),0,SUM('BOULEVARD 5'!$K281:AE281)-$AP588)</f>
        <v>-323921.20999999996</v>
      </c>
      <c r="AC588" s="716">
        <f>IF(OR(status1B5!AD283="",AC$7="No aplica"),0,SUM('BOULEVARD 5'!$K281:AF281)-$AP588)</f>
        <v>-294474.20999999996</v>
      </c>
      <c r="AD588" s="716">
        <f>IF(OR(status1B5!AE283="",AD$7="No aplica"),0,SUM('BOULEVARD 5'!$K281:AG281)-$AP588)</f>
        <v>-265027.20999999996</v>
      </c>
      <c r="AE588" s="716">
        <f>IF(OR(status1B5!AF283="",AE$7="No aplica"),0,SUM('BOULEVARD 5'!$K281:AH281)-$AP588)</f>
        <v>-235580.20999999996</v>
      </c>
      <c r="AF588" s="716">
        <f>IF(OR(status1B5!AG283="",AF$7="No aplica"),0,SUM('BOULEVARD 5'!$K281:AI281)-$AP588)</f>
        <v>-235580.20999999996</v>
      </c>
      <c r="AG588" s="716">
        <f>IF(OR(status1B5!AH283="",AG$7="No aplica"),0,SUM('BOULEVARD 5'!$K281:AJ281)-$AP588)</f>
        <v>-206133.20999999996</v>
      </c>
      <c r="AH588" s="716">
        <f>IF(OR(status1B5!AI283="",AH$7="No aplica"),0,SUM('BOULEVARD 5'!$K281:AK281)-$AP588)</f>
        <v>-147239.20999999996</v>
      </c>
      <c r="AI588" s="716">
        <f>IF(OR(status1B5!AJ283="",AI$7="No aplica"),0,SUM('BOULEVARD 5'!$K281:AL281)-$AP588)</f>
        <v>-117792.20999999996</v>
      </c>
      <c r="AJ588" s="716">
        <f>IF(OR(status1B5!AK283="",AJ$7="No aplica"),0,SUM('BOULEVARD 5'!$K281:AM281)-$AP588)</f>
        <v>-88345.209999999963</v>
      </c>
      <c r="AK588" s="716">
        <f>IF(OR(status1B5!AL283="",AK$7="No aplica"),0,SUM('BOULEVARD 5'!$K281:AN281)-$AP588)</f>
        <v>-58898.209999999963</v>
      </c>
      <c r="AL588" s="716">
        <f>IF(OR(status1B5!AM283="",AL$7="No aplica"),0,SUM('BOULEVARD 5'!$K281:AO281)-$AP588)</f>
        <v>-58898.209999999963</v>
      </c>
      <c r="AM588" s="716">
        <f>IF(OR(status1B5!AN283="",AM$7="No aplica"),0,SUM('BOULEVARD 5'!$K281:AP281)-$AP588)</f>
        <v>-58898.209999999963</v>
      </c>
      <c r="AN588" s="716">
        <f>IF(OR(status1B5!AO283="",AN$7="No aplica"),0,SUM('BOULEVARD 5'!$K281:AQ281)-$AP588)</f>
        <v>0</v>
      </c>
      <c r="AO588" s="716">
        <f>IF(OR(status1B5!AP283="",AO$7="No aplica"),0,SUM('BOULEVARD 5'!$K281:AS281)-$AP588)</f>
        <v>0</v>
      </c>
      <c r="AP588" s="717">
        <f>'BOULEVARD PPTO'!BC276</f>
        <v>890081.34</v>
      </c>
      <c r="AQ588" s="717">
        <f>'BOULEVARD 5'!AT281</f>
        <v>831183.13</v>
      </c>
      <c r="AR588" s="717">
        <f t="shared" si="302"/>
        <v>-58898.209999999963</v>
      </c>
      <c r="AS588" s="717"/>
      <c r="AT588" s="581"/>
    </row>
    <row r="589" spans="1:46" ht="13.15" customHeight="1" outlineLevel="1" x14ac:dyDescent="0.25">
      <c r="A589" s="700">
        <f t="shared" si="300"/>
        <v>0</v>
      </c>
      <c r="B589" s="564">
        <f t="shared" ref="B589:G589" si="320">B284</f>
        <v>1611</v>
      </c>
      <c r="C589" s="564" t="str">
        <f t="shared" si="320"/>
        <v>E8</v>
      </c>
      <c r="D589" s="564">
        <f t="shared" si="320"/>
        <v>0</v>
      </c>
      <c r="E589" s="564" t="str">
        <f t="shared" si="320"/>
        <v>Brenda Búcaro</v>
      </c>
      <c r="F589" s="581" t="str">
        <f t="shared" si="320"/>
        <v>Luis Alexander Valencia Mendez</v>
      </c>
      <c r="G589" s="566">
        <f t="shared" si="320"/>
        <v>45970</v>
      </c>
      <c r="H589" s="716">
        <f>IF(OR(status1B5!I284="",H$7="No aplica"),0,SUM('BOULEVARD 5'!$K282:K282)-$AP589)</f>
        <v>0</v>
      </c>
      <c r="I589" s="716">
        <f>IF(OR(status1B5!J284="",I$7="No aplica"),0,SUM('BOULEVARD 5'!$K282:L282)-$AP589)</f>
        <v>0</v>
      </c>
      <c r="J589" s="716">
        <f>IF(OR(status1B5!K284="",J$7="No aplica"),0,SUM('BOULEVARD 5'!$K282:M282)-$AP589)</f>
        <v>0</v>
      </c>
      <c r="K589" s="716">
        <f>IF(OR(status1B5!L284="",K$7="No aplica"),0,SUM('BOULEVARD 5'!$K282:N282)-$AP589)</f>
        <v>0</v>
      </c>
      <c r="L589" s="716">
        <f>IF(OR(status1B5!M284="",L$7="No aplica"),0,SUM('BOULEVARD 5'!$K282:O282)-$AP589)</f>
        <v>0</v>
      </c>
      <c r="M589" s="716">
        <f>IF(OR(status1B5!N284="",M$7="No aplica"),0,SUM('BOULEVARD 5'!$K282:P282)-$AP589)</f>
        <v>0</v>
      </c>
      <c r="N589" s="716">
        <f>IF(OR(status1B5!O284="",N$7="No aplica"),0,SUM('BOULEVARD 5'!$K282:Q282)-$AP589)</f>
        <v>0</v>
      </c>
      <c r="O589" s="716">
        <f>IF(OR(status1B5!P284="",O$7="No aplica"),0,SUM('BOULEVARD 5'!$K282:R282)-$AP589)</f>
        <v>0</v>
      </c>
      <c r="P589" s="716">
        <f>IF(OR(status1B5!Q284="",P$7="No aplica"),0,SUM('BOULEVARD 5'!$K282:S282)-$AP589)</f>
        <v>0</v>
      </c>
      <c r="Q589" s="716">
        <f>IF(OR(status1B5!R284="",Q$7="No aplica"),0,SUM('BOULEVARD 5'!$K282:T282)-$AP589)</f>
        <v>0</v>
      </c>
      <c r="R589" s="716">
        <f>IF(OR(status1B5!S284="",R$7="No aplica"),0,SUM('BOULEVARD 5'!$K282:U282)-$AP589)</f>
        <v>0</v>
      </c>
      <c r="S589" s="716">
        <f>IF(OR(status1B5!T284="",S$7="No aplica"),0,SUM('BOULEVARD 5'!$K282:V282)-$AP589)</f>
        <v>0</v>
      </c>
      <c r="T589" s="716">
        <f>IF(OR(status1B5!U284="",T$7="No aplica"),0,SUM('BOULEVARD 5'!$K282:W282)-$AP589)</f>
        <v>0</v>
      </c>
      <c r="U589" s="716">
        <f>IF(OR(status1B5!V284="",U$7="No aplica"),0,SUM('BOULEVARD 5'!$K282:X282)-$AP589)</f>
        <v>0</v>
      </c>
      <c r="V589" s="716">
        <f>IF(OR(status1B5!W284="",V$7="No aplica"),0,SUM('BOULEVARD 5'!$K282:Y282)-$AP589)</f>
        <v>0</v>
      </c>
      <c r="W589" s="716">
        <f>IF(OR(status1B5!X284="",W$7="No aplica"),0,SUM('BOULEVARD 5'!$K282:Z282)-$AP589)</f>
        <v>0</v>
      </c>
      <c r="X589" s="716">
        <f>IF(OR(status1B5!Y284="",X$7="No aplica"),0,SUM('BOULEVARD 5'!$K282:AA282)-$AP589)</f>
        <v>0</v>
      </c>
      <c r="Y589" s="716">
        <f>IF(OR(status1B5!Z284="",Y$7="No aplica"),0,SUM('BOULEVARD 5'!$K282:AB282)-$AP589)</f>
        <v>0</v>
      </c>
      <c r="Z589" s="716">
        <f>IF(OR(status1B5!AA284="",Z$7="No aplica"),0,SUM('BOULEVARD 5'!$K282:AC282)-$AP589)</f>
        <v>0</v>
      </c>
      <c r="AA589" s="716">
        <f>IF(OR(status1B5!AB284="",AA$7="No aplica"),0,SUM('BOULEVARD 5'!$K282:AD282)-$AP589)</f>
        <v>0</v>
      </c>
      <c r="AB589" s="716">
        <f>IF(OR(status1B5!AC284="",AB$7="No aplica"),0,SUM('BOULEVARD 5'!$K282:AE282)-$AP589)</f>
        <v>0</v>
      </c>
      <c r="AC589" s="716">
        <f>IF(OR(status1B5!AD284="",AC$7="No aplica"),0,SUM('BOULEVARD 5'!$K282:AF282)-$AP589)</f>
        <v>0</v>
      </c>
      <c r="AD589" s="716">
        <f>IF(OR(status1B5!AE284="",AD$7="No aplica"),0,SUM('BOULEVARD 5'!$K282:AG282)-$AP589)</f>
        <v>0</v>
      </c>
      <c r="AE589" s="716">
        <f>IF(OR(status1B5!AF284="",AE$7="No aplica"),0,SUM('BOULEVARD 5'!$K282:AH282)-$AP589)</f>
        <v>0</v>
      </c>
      <c r="AF589" s="716">
        <f>IF(OR(status1B5!AG284="",AF$7="No aplica"),0,SUM('BOULEVARD 5'!$K282:AI282)-$AP589)</f>
        <v>0</v>
      </c>
      <c r="AG589" s="716">
        <f>IF(OR(status1B5!AH284="",AG$7="No aplica"),0,SUM('BOULEVARD 5'!$K282:AJ282)-$AP589)</f>
        <v>0</v>
      </c>
      <c r="AH589" s="716">
        <f>IF(OR(status1B5!AI284="",AH$7="No aplica"),0,SUM('BOULEVARD 5'!$K282:AK282)-$AP589)</f>
        <v>0</v>
      </c>
      <c r="AI589" s="716">
        <f>IF(OR(status1B5!AJ284="",AI$7="No aplica"),0,SUM('BOULEVARD 5'!$K282:AL282)-$AP589)</f>
        <v>0</v>
      </c>
      <c r="AJ589" s="716">
        <f>IF(OR(status1B5!AK284="",AJ$7="No aplica"),0,SUM('BOULEVARD 5'!$K282:AM282)-$AP589)</f>
        <v>0</v>
      </c>
      <c r="AK589" s="716">
        <f>IF(OR(status1B5!AL284="",AK$7="No aplica"),0,SUM('BOULEVARD 5'!$K282:AN282)-$AP589)</f>
        <v>0</v>
      </c>
      <c r="AL589" s="716">
        <f>IF(OR(status1B5!AM284="",AL$7="No aplica"),0,SUM('BOULEVARD 5'!$K282:AO282)-$AP589)</f>
        <v>0</v>
      </c>
      <c r="AM589" s="716">
        <f>IF(OR(status1B5!AN284="",AM$7="No aplica"),0,SUM('BOULEVARD 5'!$K282:AP282)-$AP589)</f>
        <v>0</v>
      </c>
      <c r="AN589" s="716">
        <f>IF(OR(status1B5!AO284="",AN$7="No aplica"),0,SUM('BOULEVARD 5'!$K282:AQ282)-$AP589)</f>
        <v>0</v>
      </c>
      <c r="AO589" s="716">
        <f>IF(OR(status1B5!AP284="",AO$7="No aplica"),0,SUM('BOULEVARD 5'!$K282:AS282)-$AP589)</f>
        <v>0</v>
      </c>
      <c r="AP589" s="717">
        <f>'BOULEVARD PPTO'!BC277</f>
        <v>104500</v>
      </c>
      <c r="AQ589" s="717">
        <f>'BOULEVARD 5'!AT282</f>
        <v>50000</v>
      </c>
      <c r="AR589" s="717">
        <f t="shared" si="302"/>
        <v>-54500</v>
      </c>
      <c r="AS589" s="717"/>
      <c r="AT589" s="581"/>
    </row>
    <row r="590" spans="1:46" ht="13.15" customHeight="1" outlineLevel="1" x14ac:dyDescent="0.25">
      <c r="A590" s="700">
        <f t="shared" si="300"/>
        <v>0</v>
      </c>
      <c r="B590" s="564">
        <f t="shared" ref="B590:G590" si="321">B285</f>
        <v>1612</v>
      </c>
      <c r="C590" s="564" t="str">
        <f t="shared" si="321"/>
        <v>A10</v>
      </c>
      <c r="D590" s="564">
        <f t="shared" si="321"/>
        <v>0</v>
      </c>
      <c r="E590" s="564" t="str">
        <f t="shared" si="321"/>
        <v/>
      </c>
      <c r="F590" s="581" t="str">
        <f t="shared" si="321"/>
        <v/>
      </c>
      <c r="G590" s="566" t="str">
        <f t="shared" si="321"/>
        <v/>
      </c>
      <c r="H590" s="716">
        <f>IF(OR(status1B5!I285="",H$7="No aplica"),0,SUM('BOULEVARD 5'!$K283:K283)-$AP590)</f>
        <v>0</v>
      </c>
      <c r="I590" s="716">
        <f>IF(OR(status1B5!J285="",I$7="No aplica"),0,SUM('BOULEVARD 5'!$K283:L283)-$AP590)</f>
        <v>0</v>
      </c>
      <c r="J590" s="716">
        <f>IF(OR(status1B5!K285="",J$7="No aplica"),0,SUM('BOULEVARD 5'!$K283:M283)-$AP590)</f>
        <v>0</v>
      </c>
      <c r="K590" s="716">
        <f>IF(OR(status1B5!L285="",K$7="No aplica"),0,SUM('BOULEVARD 5'!$K283:N283)-$AP590)</f>
        <v>0</v>
      </c>
      <c r="L590" s="716">
        <f>IF(OR(status1B5!M285="",L$7="No aplica"),0,SUM('BOULEVARD 5'!$K283:O283)-$AP590)</f>
        <v>0</v>
      </c>
      <c r="M590" s="716">
        <f>IF(OR(status1B5!N285="",M$7="No aplica"),0,SUM('BOULEVARD 5'!$K283:P283)-$AP590)</f>
        <v>0</v>
      </c>
      <c r="N590" s="716">
        <f>IF(OR(status1B5!O285="",N$7="No aplica"),0,SUM('BOULEVARD 5'!$K283:Q283)-$AP590)</f>
        <v>0</v>
      </c>
      <c r="O590" s="716">
        <f>IF(OR(status1B5!P285="",O$7="No aplica"),0,SUM('BOULEVARD 5'!$K283:R283)-$AP590)</f>
        <v>0</v>
      </c>
      <c r="P590" s="716">
        <f>IF(OR(status1B5!Q285="",P$7="No aplica"),0,SUM('BOULEVARD 5'!$K283:S283)-$AP590)</f>
        <v>0</v>
      </c>
      <c r="Q590" s="716">
        <f>IF(OR(status1B5!R285="",Q$7="No aplica"),0,SUM('BOULEVARD 5'!$K283:T283)-$AP590)</f>
        <v>0</v>
      </c>
      <c r="R590" s="716">
        <f>IF(OR(status1B5!S285="",R$7="No aplica"),0,SUM('BOULEVARD 5'!$K283:U283)-$AP590)</f>
        <v>0</v>
      </c>
      <c r="S590" s="716">
        <f>IF(OR(status1B5!T285="",S$7="No aplica"),0,SUM('BOULEVARD 5'!$K283:V283)-$AP590)</f>
        <v>0</v>
      </c>
      <c r="T590" s="716">
        <f>IF(OR(status1B5!U285="",T$7="No aplica"),0,SUM('BOULEVARD 5'!$K283:W283)-$AP590)</f>
        <v>0</v>
      </c>
      <c r="U590" s="716">
        <f>IF(OR(status1B5!V285="",U$7="No aplica"),0,SUM('BOULEVARD 5'!$K283:X283)-$AP590)</f>
        <v>0</v>
      </c>
      <c r="V590" s="716">
        <f>IF(OR(status1B5!W285="",V$7="No aplica"),0,SUM('BOULEVARD 5'!$K283:Y283)-$AP590)</f>
        <v>0</v>
      </c>
      <c r="W590" s="716">
        <f>IF(OR(status1B5!X285="",W$7="No aplica"),0,SUM('BOULEVARD 5'!$K283:Z283)-$AP590)</f>
        <v>0</v>
      </c>
      <c r="X590" s="716">
        <f>IF(OR(status1B5!Y285="",X$7="No aplica"),0,SUM('BOULEVARD 5'!$K283:AA283)-$AP590)</f>
        <v>0</v>
      </c>
      <c r="Y590" s="716">
        <f>IF(OR(status1B5!Z285="",Y$7="No aplica"),0,SUM('BOULEVARD 5'!$K283:AB283)-$AP590)</f>
        <v>0</v>
      </c>
      <c r="Z590" s="716">
        <f>IF(OR(status1B5!AA285="",Z$7="No aplica"),0,SUM('BOULEVARD 5'!$K283:AC283)-$AP590)</f>
        <v>0</v>
      </c>
      <c r="AA590" s="716">
        <f>IF(OR(status1B5!AB285="",AA$7="No aplica"),0,SUM('BOULEVARD 5'!$K283:AD283)-$AP590)</f>
        <v>0</v>
      </c>
      <c r="AB590" s="716">
        <f>IF(OR(status1B5!AC285="",AB$7="No aplica"),0,SUM('BOULEVARD 5'!$K283:AE283)-$AP590)</f>
        <v>0</v>
      </c>
      <c r="AC590" s="716">
        <f>IF(OR(status1B5!AD285="",AC$7="No aplica"),0,SUM('BOULEVARD 5'!$K283:AF283)-$AP590)</f>
        <v>0</v>
      </c>
      <c r="AD590" s="716">
        <f>IF(OR(status1B5!AE285="",AD$7="No aplica"),0,SUM('BOULEVARD 5'!$K283:AG283)-$AP590)</f>
        <v>0</v>
      </c>
      <c r="AE590" s="716">
        <f>IF(OR(status1B5!AF285="",AE$7="No aplica"),0,SUM('BOULEVARD 5'!$K283:AH283)-$AP590)</f>
        <v>0</v>
      </c>
      <c r="AF590" s="716">
        <f>IF(OR(status1B5!AG285="",AF$7="No aplica"),0,SUM('BOULEVARD 5'!$K283:AI283)-$AP590)</f>
        <v>0</v>
      </c>
      <c r="AG590" s="716">
        <f>IF(OR(status1B5!AH285="",AG$7="No aplica"),0,SUM('BOULEVARD 5'!$K283:AJ283)-$AP590)</f>
        <v>0</v>
      </c>
      <c r="AH590" s="716">
        <f>IF(OR(status1B5!AI285="",AH$7="No aplica"),0,SUM('BOULEVARD 5'!$K283:AK283)-$AP590)</f>
        <v>0</v>
      </c>
      <c r="AI590" s="716">
        <f>IF(OR(status1B5!AJ285="",AI$7="No aplica"),0,SUM('BOULEVARD 5'!$K283:AL283)-$AP590)</f>
        <v>0</v>
      </c>
      <c r="AJ590" s="716">
        <f>IF(OR(status1B5!AK285="",AJ$7="No aplica"),0,SUM('BOULEVARD 5'!$K283:AM283)-$AP590)</f>
        <v>0</v>
      </c>
      <c r="AK590" s="716">
        <f>IF(OR(status1B5!AL285="",AK$7="No aplica"),0,SUM('BOULEVARD 5'!$K283:AN283)-$AP590)</f>
        <v>0</v>
      </c>
      <c r="AL590" s="716">
        <f>IF(OR(status1B5!AM285="",AL$7="No aplica"),0,SUM('BOULEVARD 5'!$K283:AO283)-$AP590)</f>
        <v>0</v>
      </c>
      <c r="AM590" s="716">
        <f>IF(OR(status1B5!AN285="",AM$7="No aplica"),0,SUM('BOULEVARD 5'!$K283:AP283)-$AP590)</f>
        <v>0</v>
      </c>
      <c r="AN590" s="716">
        <f>IF(OR(status1B5!AO285="",AN$7="No aplica"),0,SUM('BOULEVARD 5'!$K283:AQ283)-$AP590)</f>
        <v>0</v>
      </c>
      <c r="AO590" s="716">
        <f>IF(OR(status1B5!AP285="",AO$7="No aplica"),0,SUM('BOULEVARD 5'!$K283:AS283)-$AP590)</f>
        <v>0</v>
      </c>
      <c r="AP590" s="717">
        <f>'BOULEVARD PPTO'!BC278</f>
        <v>0</v>
      </c>
      <c r="AQ590" s="717">
        <f>'BOULEVARD 5'!AT283</f>
        <v>0</v>
      </c>
      <c r="AR590" s="717">
        <f t="shared" si="302"/>
        <v>0</v>
      </c>
      <c r="AS590" s="717"/>
      <c r="AT590" s="581"/>
    </row>
    <row r="591" spans="1:46" ht="13.15" customHeight="1" outlineLevel="1" x14ac:dyDescent="0.25">
      <c r="A591" s="700" t="str">
        <f t="shared" si="300"/>
        <v>F&amp;F</v>
      </c>
      <c r="B591" s="704">
        <f t="shared" ref="B591:G591" si="322">B286</f>
        <v>1701</v>
      </c>
      <c r="C591" s="704" t="str">
        <f t="shared" si="322"/>
        <v>E6</v>
      </c>
      <c r="D591" s="704">
        <f t="shared" si="322"/>
        <v>0</v>
      </c>
      <c r="E591" s="704" t="str">
        <f t="shared" si="322"/>
        <v>Brenda Búcaro</v>
      </c>
      <c r="F591" s="705" t="str">
        <f t="shared" si="322"/>
        <v>Ramiro José Muñoz Jordán - Emilia Larrazabal</v>
      </c>
      <c r="G591" s="566">
        <f t="shared" si="322"/>
        <v>45014</v>
      </c>
      <c r="H591" s="716">
        <f>IF(OR(status1B5!I286="",H$7="No aplica"),0,SUM('BOULEVARD 5'!$K284:K284)-$AP591)</f>
        <v>0</v>
      </c>
      <c r="I591" s="716">
        <f>IF(OR(status1B5!J286="",I$7="No aplica"),0,SUM('BOULEVARD 5'!$K284:L284)-$AP591)</f>
        <v>0</v>
      </c>
      <c r="J591" s="716">
        <f>IF(OR(status1B5!K286="",J$7="No aplica"),0,SUM('BOULEVARD 5'!$K284:M284)-$AP591)</f>
        <v>0</v>
      </c>
      <c r="K591" s="716">
        <f>IF(OR(status1B5!L286="",K$7="No aplica"),0,SUM('BOULEVARD 5'!$K284:N284)-$AP591)</f>
        <v>0</v>
      </c>
      <c r="L591" s="716">
        <f>IF(OR(status1B5!M286="",L$7="No aplica"),0,SUM('BOULEVARD 5'!$K284:O284)-$AP591)</f>
        <v>0</v>
      </c>
      <c r="M591" s="716">
        <f>IF(OR(status1B5!N286="",M$7="No aplica"),0,SUM('BOULEVARD 5'!$K284:P284)-$AP591)</f>
        <v>0</v>
      </c>
      <c r="N591" s="716">
        <f>IF(OR(status1B5!O286="",N$7="No aplica"),0,SUM('BOULEVARD 5'!$K284:Q284)-$AP591)</f>
        <v>0</v>
      </c>
      <c r="O591" s="716">
        <f>IF(OR(status1B5!P286="",O$7="No aplica"),0,SUM('BOULEVARD 5'!$K284:R284)-$AP591)</f>
        <v>0</v>
      </c>
      <c r="P591" s="716">
        <f>IF(OR(status1B5!Q286="",P$7="No aplica"),0,SUM('BOULEVARD 5'!$K284:S284)-$AP591)</f>
        <v>0</v>
      </c>
      <c r="Q591" s="716">
        <f>IF(OR(status1B5!R286="",Q$7="No aplica"),0,SUM('BOULEVARD 5'!$K284:T284)-$AP591)</f>
        <v>0</v>
      </c>
      <c r="R591" s="716">
        <f>IF(OR(status1B5!S286="",R$7="No aplica"),0,SUM('BOULEVARD 5'!$K284:U284)-$AP591)</f>
        <v>0</v>
      </c>
      <c r="S591" s="716">
        <f>IF(OR(status1B5!T286="",S$7="No aplica"),0,SUM('BOULEVARD 5'!$K284:V284)-$AP591)</f>
        <v>0</v>
      </c>
      <c r="T591" s="716">
        <f>IF(OR(status1B5!U286="",T$7="No aplica"),0,SUM('BOULEVARD 5'!$K284:W284)-$AP591)</f>
        <v>0</v>
      </c>
      <c r="U591" s="716">
        <f>IF(OR(status1B5!V286="",U$7="No aplica"),0,SUM('BOULEVARD 5'!$K284:X284)-$AP591)</f>
        <v>0</v>
      </c>
      <c r="V591" s="716">
        <f>IF(OR(status1B5!W286="",V$7="No aplica"),0,SUM('BOULEVARD 5'!$K284:Y284)-$AP591)</f>
        <v>0</v>
      </c>
      <c r="W591" s="716">
        <f>IF(OR(status1B5!X286="",W$7="No aplica"),0,SUM('BOULEVARD 5'!$K284:Z284)-$AP591)</f>
        <v>0</v>
      </c>
      <c r="X591" s="716">
        <f>IF(OR(status1B5!Y286="",X$7="No aplica"),0,SUM('BOULEVARD 5'!$K284:AA284)-$AP591)</f>
        <v>0</v>
      </c>
      <c r="Y591" s="716">
        <f>IF(OR(status1B5!Z286="",Y$7="No aplica"),0,SUM('BOULEVARD 5'!$K284:AB284)-$AP591)</f>
        <v>0</v>
      </c>
      <c r="Z591" s="716">
        <f>IF(OR(status1B5!AA286="",Z$7="No aplica"),0,SUM('BOULEVARD 5'!$K284:AC284)-$AP591)</f>
        <v>0</v>
      </c>
      <c r="AA591" s="716">
        <f>IF(OR(status1B5!AB286="",AA$7="No aplica"),0,SUM('BOULEVARD 5'!$K284:AD284)-$AP591)</f>
        <v>0</v>
      </c>
      <c r="AB591" s="716">
        <f>IF(OR(status1B5!AC286="",AB$7="No aplica"),0,SUM('BOULEVARD 5'!$K284:AE284)-$AP591)</f>
        <v>0</v>
      </c>
      <c r="AC591" s="716">
        <f>IF(OR(status1B5!AD286="",AC$7="No aplica"),0,SUM('BOULEVARD 5'!$K284:AF284)-$AP591)</f>
        <v>0</v>
      </c>
      <c r="AD591" s="716">
        <f>IF(OR(status1B5!AE286="",AD$7="No aplica"),0,SUM('BOULEVARD 5'!$K284:AG284)-$AP591)</f>
        <v>0</v>
      </c>
      <c r="AE591" s="716">
        <f>IF(OR(status1B5!AF286="",AE$7="No aplica"),0,SUM('BOULEVARD 5'!$K284:AH284)-$AP591)</f>
        <v>0</v>
      </c>
      <c r="AF591" s="716">
        <f>IF(OR(status1B5!AG286="",AF$7="No aplica"),0,SUM('BOULEVARD 5'!$K284:AI284)-$AP591)</f>
        <v>0</v>
      </c>
      <c r="AG591" s="716">
        <f>IF(OR(status1B5!AH286="",AG$7="No aplica"),0,SUM('BOULEVARD 5'!$K284:AJ284)-$AP591)</f>
        <v>0</v>
      </c>
      <c r="AH591" s="716">
        <f>IF(OR(status1B5!AI286="",AH$7="No aplica"),0,SUM('BOULEVARD 5'!$K284:AK284)-$AP591)</f>
        <v>0</v>
      </c>
      <c r="AI591" s="716">
        <f>IF(OR(status1B5!AJ286="",AI$7="No aplica"),0,SUM('BOULEVARD 5'!$K284:AL284)-$AP591)</f>
        <v>0</v>
      </c>
      <c r="AJ591" s="716">
        <f>IF(OR(status1B5!AK286="",AJ$7="No aplica"),0,SUM('BOULEVARD 5'!$K284:AM284)-$AP591)</f>
        <v>0</v>
      </c>
      <c r="AK591" s="716">
        <f>IF(OR(status1B5!AL286="",AK$7="No aplica"),0,SUM('BOULEVARD 5'!$K284:AN284)-$AP591)</f>
        <v>0</v>
      </c>
      <c r="AL591" s="716">
        <f>IF(OR(status1B5!AM286="",AL$7="No aplica"),0,SUM('BOULEVARD 5'!$K284:AO284)-$AP591)</f>
        <v>0</v>
      </c>
      <c r="AM591" s="716">
        <f>IF(OR(status1B5!AN286="",AM$7="No aplica"),0,SUM('BOULEVARD 5'!$K284:AP284)-$AP591)</f>
        <v>0</v>
      </c>
      <c r="AN591" s="716">
        <f>IF(OR(status1B5!AO286="",AN$7="No aplica"),0,SUM('BOULEVARD 5'!$K284:AQ284)-$AP591)</f>
        <v>0</v>
      </c>
      <c r="AO591" s="716">
        <f>IF(OR(status1B5!AP286="",AO$7="No aplica"),0,SUM('BOULEVARD 5'!$K284:AS284)-$AP591)</f>
        <v>0</v>
      </c>
      <c r="AP591" s="717">
        <f>'BOULEVARD PPTO'!BC279</f>
        <v>139070</v>
      </c>
      <c r="AQ591" s="717">
        <f>'BOULEVARD 5'!AT284</f>
        <v>79000</v>
      </c>
      <c r="AR591" s="717">
        <f t="shared" si="302"/>
        <v>-60070</v>
      </c>
      <c r="AS591" s="717"/>
      <c r="AT591" s="581"/>
    </row>
    <row r="592" spans="1:46" ht="13.15" customHeight="1" outlineLevel="1" x14ac:dyDescent="0.25">
      <c r="A592" s="700">
        <f t="shared" si="300"/>
        <v>0</v>
      </c>
      <c r="B592" s="564">
        <f t="shared" ref="B592:G592" si="323">B287</f>
        <v>1702</v>
      </c>
      <c r="C592" s="564" t="str">
        <f t="shared" si="323"/>
        <v>A3</v>
      </c>
      <c r="D592" s="564">
        <f t="shared" si="323"/>
        <v>0</v>
      </c>
      <c r="E592" s="564" t="str">
        <f t="shared" si="323"/>
        <v>Brenda Búcaro</v>
      </c>
      <c r="F592" s="581" t="str">
        <f t="shared" si="323"/>
        <v>David Alejandro Donis Lopez</v>
      </c>
      <c r="G592" s="566">
        <f t="shared" si="323"/>
        <v>45031</v>
      </c>
      <c r="H592" s="716">
        <f>IF(OR(status1B5!I287="",H$7="No aplica"),0,SUM('BOULEVARD 5'!$K285:K285)-$AP592)</f>
        <v>0</v>
      </c>
      <c r="I592" s="716">
        <f>IF(OR(status1B5!J287="",I$7="No aplica"),0,SUM('BOULEVARD 5'!$K285:L285)-$AP592)</f>
        <v>-60700</v>
      </c>
      <c r="J592" s="716">
        <f>IF(OR(status1B5!K287="",J$7="No aplica"),0,SUM('BOULEVARD 5'!$K285:M285)-$AP592)</f>
        <v>-58600</v>
      </c>
      <c r="K592" s="716">
        <f>IF(OR(status1B5!L287="",K$7="No aplica"),0,SUM('BOULEVARD 5'!$K285:N285)-$AP592)</f>
        <v>-58600</v>
      </c>
      <c r="L592" s="716">
        <f>IF(OR(status1B5!M287="",L$7="No aplica"),0,SUM('BOULEVARD 5'!$K285:O285)-$AP592)</f>
        <v>-54400</v>
      </c>
      <c r="M592" s="716">
        <f>IF(OR(status1B5!N287="",M$7="No aplica"),0,SUM('BOULEVARD 5'!$K285:P285)-$AP592)</f>
        <v>-52300</v>
      </c>
      <c r="N592" s="716">
        <f>IF(OR(status1B5!O287="",N$7="No aplica"),0,SUM('BOULEVARD 5'!$K285:Q285)-$AP592)</f>
        <v>-50200</v>
      </c>
      <c r="O592" s="716">
        <f>IF(OR(status1B5!P287="",O$7="No aplica"),0,SUM('BOULEVARD 5'!$K285:R285)-$AP592)</f>
        <v>-48100</v>
      </c>
      <c r="P592" s="716">
        <f>IF(OR(status1B5!Q287="",P$7="No aplica"),0,SUM('BOULEVARD 5'!$K285:S285)-$AP592)</f>
        <v>-48100</v>
      </c>
      <c r="Q592" s="716">
        <f>IF(OR(status1B5!R287="",Q$7="No aplica"),0,SUM('BOULEVARD 5'!$K285:T285)-$AP592)</f>
        <v>-43900</v>
      </c>
      <c r="R592" s="716">
        <f>IF(OR(status1B5!S287="",R$7="No aplica"),0,SUM('BOULEVARD 5'!$K285:U285)-$AP592)</f>
        <v>-41800</v>
      </c>
      <c r="S592" s="716">
        <f>IF(OR(status1B5!T287="",S$7="No aplica"),0,SUM('BOULEVARD 5'!$K285:V285)-$AP592)</f>
        <v>-39700</v>
      </c>
      <c r="T592" s="716">
        <f>IF(OR(status1B5!U287="",T$7="No aplica"),0,SUM('BOULEVARD 5'!$K285:W285)-$AP592)</f>
        <v>-37600</v>
      </c>
      <c r="U592" s="716">
        <f>IF(OR(status1B5!V287="",U$7="No aplica"),0,SUM('BOULEVARD 5'!$K285:X285)-$AP592)</f>
        <v>-35500</v>
      </c>
      <c r="V592" s="716">
        <f>IF(OR(status1B5!W287="",V$7="No aplica"),0,SUM('BOULEVARD 5'!$K285:Y285)-$AP592)</f>
        <v>-35500</v>
      </c>
      <c r="W592" s="716">
        <f>IF(OR(status1B5!X287="",W$7="No aplica"),0,SUM('BOULEVARD 5'!$K285:Z285)-$AP592)</f>
        <v>-31300</v>
      </c>
      <c r="X592" s="716">
        <f>IF(OR(status1B5!Y287="",X$7="No aplica"),0,SUM('BOULEVARD 5'!$K285:AA285)-$AP592)</f>
        <v>-31300</v>
      </c>
      <c r="Y592" s="716">
        <f>IF(OR(status1B5!Z287="",Y$7="No aplica"),0,SUM('BOULEVARD 5'!$K285:AB285)-$AP592)</f>
        <v>-29200</v>
      </c>
      <c r="Z592" s="716">
        <f>IF(OR(status1B5!AA287="",Z$7="No aplica"),0,SUM('BOULEVARD 5'!$K285:AC285)-$AP592)</f>
        <v>-27100</v>
      </c>
      <c r="AA592" s="716">
        <f>IF(OR(status1B5!AB287="",AA$7="No aplica"),0,SUM('BOULEVARD 5'!$K285:AD285)-$AP592)</f>
        <v>-25000</v>
      </c>
      <c r="AB592" s="716">
        <f>IF(OR(status1B5!AC287="",AB$7="No aplica"),0,SUM('BOULEVARD 5'!$K285:AE285)-$AP592)</f>
        <v>-22900</v>
      </c>
      <c r="AC592" s="716">
        <f>IF(OR(status1B5!AD287="",AC$7="No aplica"),0,SUM('BOULEVARD 5'!$K285:AF285)-$AP592)</f>
        <v>-18700</v>
      </c>
      <c r="AD592" s="716">
        <f>IF(OR(status1B5!AE287="",AD$7="No aplica"),0,SUM('BOULEVARD 5'!$K285:AG285)-$AP592)</f>
        <v>-18700</v>
      </c>
      <c r="AE592" s="716">
        <f>IF(OR(status1B5!AF287="",AE$7="No aplica"),0,SUM('BOULEVARD 5'!$K285:AH285)-$AP592)</f>
        <v>-16600</v>
      </c>
      <c r="AF592" s="716">
        <f>IF(OR(status1B5!AG287="",AF$7="No aplica"),0,SUM('BOULEVARD 5'!$K285:AI285)-$AP592)</f>
        <v>-12400</v>
      </c>
      <c r="AG592" s="716">
        <f>IF(OR(status1B5!AH287="",AG$7="No aplica"),0,SUM('BOULEVARD 5'!$K285:AJ285)-$AP592)</f>
        <v>-10300</v>
      </c>
      <c r="AH592" s="716">
        <f>IF(OR(status1B5!AI287="",AH$7="No aplica"),0,SUM('BOULEVARD 5'!$K285:AK285)-$AP592)</f>
        <v>-10300</v>
      </c>
      <c r="AI592" s="716">
        <f>IF(OR(status1B5!AJ287="",AI$7="No aplica"),0,SUM('BOULEVARD 5'!$K285:AL285)-$AP592)</f>
        <v>-6100</v>
      </c>
      <c r="AJ592" s="716">
        <f>IF(OR(status1B5!AK287="",AJ$7="No aplica"),0,SUM('BOULEVARD 5'!$K285:AM285)-$AP592)</f>
        <v>-4000</v>
      </c>
      <c r="AK592" s="716">
        <f>IF(OR(status1B5!AL287="",AK$7="No aplica"),0,SUM('BOULEVARD 5'!$K285:AN285)-$AP592)</f>
        <v>-1900</v>
      </c>
      <c r="AL592" s="716">
        <f>IF(OR(status1B5!AM287="",AL$7="No aplica"),0,SUM('BOULEVARD 5'!$K285:AO285)-$AP592)</f>
        <v>200</v>
      </c>
      <c r="AM592" s="716">
        <f>IF(OR(status1B5!AN287="",AM$7="No aplica"),0,SUM('BOULEVARD 5'!$K285:AP285)-$AP592)</f>
        <v>200</v>
      </c>
      <c r="AN592" s="716">
        <f>IF(OR(status1B5!AO287="",AN$7="No aplica"),0,SUM('BOULEVARD 5'!$K285:AQ285)-$AP592)</f>
        <v>0</v>
      </c>
      <c r="AO592" s="716">
        <f>IF(OR(status1B5!AP287="",AO$7="No aplica"),0,SUM('BOULEVARD 5'!$K285:AS285)-$AP592)</f>
        <v>0</v>
      </c>
      <c r="AP592" s="717">
        <f>'BOULEVARD PPTO'!BC280</f>
        <v>66700</v>
      </c>
      <c r="AQ592" s="717">
        <f>'BOULEVARD 5'!AT285</f>
        <v>66900</v>
      </c>
      <c r="AR592" s="717">
        <f t="shared" si="302"/>
        <v>200</v>
      </c>
      <c r="AS592" s="717"/>
      <c r="AT592" s="581"/>
    </row>
    <row r="593" spans="1:46" ht="13.15" customHeight="1" outlineLevel="1" x14ac:dyDescent="0.25">
      <c r="A593" s="700">
        <f t="shared" si="300"/>
        <v>0</v>
      </c>
      <c r="B593" s="564">
        <f t="shared" ref="B593:G593" si="324">B288</f>
        <v>1703</v>
      </c>
      <c r="C593" s="564" t="str">
        <f t="shared" si="324"/>
        <v>D5</v>
      </c>
      <c r="D593" s="564">
        <f t="shared" si="324"/>
        <v>0</v>
      </c>
      <c r="E593" s="564" t="str">
        <f t="shared" si="324"/>
        <v>Antonio Rada</v>
      </c>
      <c r="F593" s="581" t="str">
        <f t="shared" si="324"/>
        <v>Rolando Antonio Pineda Juarez</v>
      </c>
      <c r="G593" s="566">
        <f t="shared" si="324"/>
        <v>45759</v>
      </c>
      <c r="H593" s="716">
        <f>IF(OR(status1B5!I288="",H$7="No aplica"),0,SUM('BOULEVARD 5'!$K286:K286)-$AP593)</f>
        <v>0</v>
      </c>
      <c r="I593" s="716">
        <f>IF(OR(status1B5!J288="",I$7="No aplica"),0,SUM('BOULEVARD 5'!$K286:L286)-$AP593)</f>
        <v>0</v>
      </c>
      <c r="J593" s="716">
        <f>IF(OR(status1B5!K288="",J$7="No aplica"),0,SUM('BOULEVARD 5'!$K286:M286)-$AP593)</f>
        <v>0</v>
      </c>
      <c r="K593" s="716">
        <f>IF(OR(status1B5!L288="",K$7="No aplica"),0,SUM('BOULEVARD 5'!$K286:N286)-$AP593)</f>
        <v>0</v>
      </c>
      <c r="L593" s="716">
        <f>IF(OR(status1B5!M288="",L$7="No aplica"),0,SUM('BOULEVARD 5'!$K286:O286)-$AP593)</f>
        <v>0</v>
      </c>
      <c r="M593" s="716">
        <f>IF(OR(status1B5!N288="",M$7="No aplica"),0,SUM('BOULEVARD 5'!$K286:P286)-$AP593)</f>
        <v>0</v>
      </c>
      <c r="N593" s="716">
        <f>IF(OR(status1B5!O288="",N$7="No aplica"),0,SUM('BOULEVARD 5'!$K286:Q286)-$AP593)</f>
        <v>0</v>
      </c>
      <c r="O593" s="716">
        <f>IF(OR(status1B5!P288="",O$7="No aplica"),0,SUM('BOULEVARD 5'!$K286:R286)-$AP593)</f>
        <v>0</v>
      </c>
      <c r="P593" s="716">
        <f>IF(OR(status1B5!Q288="",P$7="No aplica"),0,SUM('BOULEVARD 5'!$K286:S286)-$AP593)</f>
        <v>0</v>
      </c>
      <c r="Q593" s="716">
        <f>IF(OR(status1B5!R288="",Q$7="No aplica"),0,SUM('BOULEVARD 5'!$K286:T286)-$AP593)</f>
        <v>0</v>
      </c>
      <c r="R593" s="716">
        <f>IF(OR(status1B5!S288="",R$7="No aplica"),0,SUM('BOULEVARD 5'!$K286:U286)-$AP593)</f>
        <v>0</v>
      </c>
      <c r="S593" s="716">
        <f>IF(OR(status1B5!T288="",S$7="No aplica"),0,SUM('BOULEVARD 5'!$K286:V286)-$AP593)</f>
        <v>0</v>
      </c>
      <c r="T593" s="716">
        <f>IF(OR(status1B5!U288="",T$7="No aplica"),0,SUM('BOULEVARD 5'!$K286:W286)-$AP593)</f>
        <v>0</v>
      </c>
      <c r="U593" s="716">
        <f>IF(OR(status1B5!V288="",U$7="No aplica"),0,SUM('BOULEVARD 5'!$K286:X286)-$AP593)</f>
        <v>0</v>
      </c>
      <c r="V593" s="716">
        <f>IF(OR(status1B5!W288="",V$7="No aplica"),0,SUM('BOULEVARD 5'!$K286:Y286)-$AP593)</f>
        <v>0</v>
      </c>
      <c r="W593" s="716">
        <f>IF(OR(status1B5!X288="",W$7="No aplica"),0,SUM('BOULEVARD 5'!$K286:Z286)-$AP593)</f>
        <v>0</v>
      </c>
      <c r="X593" s="716">
        <f>IF(OR(status1B5!Y288="",X$7="No aplica"),0,SUM('BOULEVARD 5'!$K286:AA286)-$AP593)</f>
        <v>0</v>
      </c>
      <c r="Y593" s="716">
        <f>IF(OR(status1B5!Z288="",Y$7="No aplica"),0,SUM('BOULEVARD 5'!$K286:AB286)-$AP593)</f>
        <v>0</v>
      </c>
      <c r="Z593" s="716">
        <f>IF(OR(status1B5!AA288="",Z$7="No aplica"),0,SUM('BOULEVARD 5'!$K286:AC286)-$AP593)</f>
        <v>0</v>
      </c>
      <c r="AA593" s="716">
        <f>IF(OR(status1B5!AB288="",AA$7="No aplica"),0,SUM('BOULEVARD 5'!$K286:AD286)-$AP593)</f>
        <v>0</v>
      </c>
      <c r="AB593" s="716">
        <f>IF(OR(status1B5!AC288="",AB$7="No aplica"),0,SUM('BOULEVARD 5'!$K286:AE286)-$AP593)</f>
        <v>0</v>
      </c>
      <c r="AC593" s="716">
        <f>IF(OR(status1B5!AD288="",AC$7="No aplica"),0,SUM('BOULEVARD 5'!$K286:AF286)-$AP593)</f>
        <v>0</v>
      </c>
      <c r="AD593" s="716">
        <f>IF(OR(status1B5!AE288="",AD$7="No aplica"),0,SUM('BOULEVARD 5'!$K286:AG286)-$AP593)</f>
        <v>0</v>
      </c>
      <c r="AE593" s="716">
        <f>IF(OR(status1B5!AF288="",AE$7="No aplica"),0,SUM('BOULEVARD 5'!$K286:AH286)-$AP593)</f>
        <v>0</v>
      </c>
      <c r="AF593" s="716">
        <f>IF(OR(status1B5!AG288="",AF$7="No aplica"),0,SUM('BOULEVARD 5'!$K286:AI286)-$AP593)</f>
        <v>0</v>
      </c>
      <c r="AG593" s="716">
        <f>IF(OR(status1B5!AH288="",AG$7="No aplica"),0,SUM('BOULEVARD 5'!$K286:AJ286)-$AP593)</f>
        <v>-135005</v>
      </c>
      <c r="AH593" s="716">
        <f>IF(OR(status1B5!AI288="",AH$7="No aplica"),0,SUM('BOULEVARD 5'!$K286:AK286)-$AP593)</f>
        <v>-124620</v>
      </c>
      <c r="AI593" s="716">
        <f>IF(OR(status1B5!AJ288="",AI$7="No aplica"),0,SUM('BOULEVARD 5'!$K286:AL286)-$AP593)</f>
        <v>-114235</v>
      </c>
      <c r="AJ593" s="716">
        <f>IF(OR(status1B5!AK288="",AJ$7="No aplica"),0,SUM('BOULEVARD 5'!$K286:AM286)-$AP593)</f>
        <v>-93465</v>
      </c>
      <c r="AK593" s="716">
        <f>IF(OR(status1B5!AL288="",AK$7="No aplica"),0,SUM('BOULEVARD 5'!$K286:AN286)-$AP593)</f>
        <v>-93465</v>
      </c>
      <c r="AL593" s="716">
        <f>IF(OR(status1B5!AM288="",AL$7="No aplica"),0,SUM('BOULEVARD 5'!$K286:AO286)-$AP593)</f>
        <v>-83080</v>
      </c>
      <c r="AM593" s="716">
        <f>IF(OR(status1B5!AN288="",AM$7="No aplica"),0,SUM('BOULEVARD 5'!$K286:AP286)-$AP593)</f>
        <v>-72695</v>
      </c>
      <c r="AN593" s="716">
        <f>IF(OR(status1B5!AO288="",AN$7="No aplica"),0,SUM('BOULEVARD 5'!$K286:AQ286)-$AP593)</f>
        <v>0</v>
      </c>
      <c r="AO593" s="716">
        <f>IF(OR(status1B5!AP288="",AO$7="No aplica"),0,SUM('BOULEVARD 5'!$K286:AS286)-$AP593)</f>
        <v>0</v>
      </c>
      <c r="AP593" s="717">
        <f>'BOULEVARD PPTO'!BC281</f>
        <v>145005</v>
      </c>
      <c r="AQ593" s="717">
        <f>'BOULEVARD 5'!AT286</f>
        <v>134620</v>
      </c>
      <c r="AR593" s="717">
        <f t="shared" si="302"/>
        <v>-10385</v>
      </c>
      <c r="AS593" s="717"/>
      <c r="AT593" s="581"/>
    </row>
    <row r="594" spans="1:46" ht="13.15" customHeight="1" outlineLevel="1" x14ac:dyDescent="0.25">
      <c r="A594" s="700">
        <f t="shared" si="300"/>
        <v>0</v>
      </c>
      <c r="B594" s="564">
        <f t="shared" ref="B594:G594" si="325">B289</f>
        <v>1704</v>
      </c>
      <c r="C594" s="564" t="str">
        <f t="shared" si="325"/>
        <v>A5</v>
      </c>
      <c r="D594" s="564">
        <f t="shared" si="325"/>
        <v>0</v>
      </c>
      <c r="E594" s="564" t="str">
        <f t="shared" si="325"/>
        <v>Brenda Búcaro</v>
      </c>
      <c r="F594" s="581" t="str">
        <f t="shared" si="325"/>
        <v>Javier Andres Soto Coronado</v>
      </c>
      <c r="G594" s="566">
        <f t="shared" si="325"/>
        <v>44995</v>
      </c>
      <c r="H594" s="716">
        <f>IF(OR(status1B5!I289="",H$7="No aplica"),0,SUM('BOULEVARD 5'!$K287:K287)-$AP594)</f>
        <v>-56000</v>
      </c>
      <c r="I594" s="716">
        <f>IF(OR(status1B5!J289="",I$7="No aplica"),0,SUM('BOULEVARD 5'!$K287:L287)-$AP594)</f>
        <v>-54400</v>
      </c>
      <c r="J594" s="716">
        <f>IF(OR(status1B5!K289="",J$7="No aplica"),0,SUM('BOULEVARD 5'!$K287:M287)-$AP594)</f>
        <v>-52800</v>
      </c>
      <c r="K594" s="716">
        <f>IF(OR(status1B5!L289="",K$7="No aplica"),0,SUM('BOULEVARD 5'!$K287:N287)-$AP594)</f>
        <v>-51200</v>
      </c>
      <c r="L594" s="716">
        <f>IF(OR(status1B5!M289="",L$7="No aplica"),0,SUM('BOULEVARD 5'!$K287:O287)-$AP594)</f>
        <v>-49600</v>
      </c>
      <c r="M594" s="716">
        <f>IF(OR(status1B5!N289="",M$7="No aplica"),0,SUM('BOULEVARD 5'!$K287:P287)-$AP594)</f>
        <v>-48000</v>
      </c>
      <c r="N594" s="716">
        <f>IF(OR(status1B5!O289="",N$7="No aplica"),0,SUM('BOULEVARD 5'!$K287:Q287)-$AP594)</f>
        <v>-46400</v>
      </c>
      <c r="O594" s="716">
        <f>IF(OR(status1B5!P289="",O$7="No aplica"),0,SUM('BOULEVARD 5'!$K287:R287)-$AP594)</f>
        <v>-44800</v>
      </c>
      <c r="P594" s="716">
        <f>IF(OR(status1B5!Q289="",P$7="No aplica"),0,SUM('BOULEVARD 5'!$K287:S287)-$AP594)</f>
        <v>-43200</v>
      </c>
      <c r="Q594" s="716">
        <f>IF(OR(status1B5!R289="",Q$7="No aplica"),0,SUM('BOULEVARD 5'!$K287:T287)-$AP594)</f>
        <v>-41600</v>
      </c>
      <c r="R594" s="716">
        <f>IF(OR(status1B5!S289="",R$7="No aplica"),0,SUM('BOULEVARD 5'!$K287:U287)-$AP594)</f>
        <v>-40000</v>
      </c>
      <c r="S594" s="716">
        <f>IF(OR(status1B5!T289="",S$7="No aplica"),0,SUM('BOULEVARD 5'!$K287:V287)-$AP594)</f>
        <v>-38400</v>
      </c>
      <c r="T594" s="716">
        <f>IF(OR(status1B5!U289="",T$7="No aplica"),0,SUM('BOULEVARD 5'!$K287:W287)-$AP594)</f>
        <v>-36800</v>
      </c>
      <c r="U594" s="716">
        <f>IF(OR(status1B5!V289="",U$7="No aplica"),0,SUM('BOULEVARD 5'!$K287:X287)-$AP594)</f>
        <v>-35200</v>
      </c>
      <c r="V594" s="716">
        <f>IF(OR(status1B5!W289="",V$7="No aplica"),0,SUM('BOULEVARD 5'!$K287:Y287)-$AP594)</f>
        <v>-33600</v>
      </c>
      <c r="W594" s="716">
        <f>IF(OR(status1B5!X289="",W$7="No aplica"),0,SUM('BOULEVARD 5'!$K287:Z287)-$AP594)</f>
        <v>-32000</v>
      </c>
      <c r="X594" s="716">
        <f>IF(OR(status1B5!Y289="",X$7="No aplica"),0,SUM('BOULEVARD 5'!$K287:AA287)-$AP594)</f>
        <v>-30400</v>
      </c>
      <c r="Y594" s="716">
        <f>IF(OR(status1B5!Z289="",Y$7="No aplica"),0,SUM('BOULEVARD 5'!$K287:AB287)-$AP594)</f>
        <v>-28800</v>
      </c>
      <c r="Z594" s="716">
        <f>IF(OR(status1B5!AA289="",Z$7="No aplica"),0,SUM('BOULEVARD 5'!$K287:AC287)-$AP594)</f>
        <v>-27200</v>
      </c>
      <c r="AA594" s="716">
        <f>IF(OR(status1B5!AB289="",AA$7="No aplica"),0,SUM('BOULEVARD 5'!$K287:AD287)-$AP594)</f>
        <v>-25600</v>
      </c>
      <c r="AB594" s="716">
        <f>IF(OR(status1B5!AC289="",AB$7="No aplica"),0,SUM('BOULEVARD 5'!$K287:AE287)-$AP594)</f>
        <v>-24000</v>
      </c>
      <c r="AC594" s="716">
        <f>IF(OR(status1B5!AD289="",AC$7="No aplica"),0,SUM('BOULEVARD 5'!$K287:AF287)-$AP594)</f>
        <v>-22400</v>
      </c>
      <c r="AD594" s="716">
        <f>IF(OR(status1B5!AE289="",AD$7="No aplica"),0,SUM('BOULEVARD 5'!$K287:AG287)-$AP594)</f>
        <v>-22400</v>
      </c>
      <c r="AE594" s="716">
        <f>IF(OR(status1B5!AF289="",AE$7="No aplica"),0,SUM('BOULEVARD 5'!$K287:AH287)-$AP594)</f>
        <v>-19200</v>
      </c>
      <c r="AF594" s="716">
        <f>IF(OR(status1B5!AG289="",AF$7="No aplica"),0,SUM('BOULEVARD 5'!$K287:AI287)-$AP594)</f>
        <v>-17600</v>
      </c>
      <c r="AG594" s="716">
        <f>IF(OR(status1B5!AH289="",AG$7="No aplica"),0,SUM('BOULEVARD 5'!$K287:AJ287)-$AP594)</f>
        <v>-16000</v>
      </c>
      <c r="AH594" s="716">
        <f>IF(OR(status1B5!AI289="",AH$7="No aplica"),0,SUM('BOULEVARD 5'!$K287:AK287)-$AP594)</f>
        <v>-14400</v>
      </c>
      <c r="AI594" s="716">
        <f>IF(OR(status1B5!AJ289="",AI$7="No aplica"),0,SUM('BOULEVARD 5'!$K287:AL287)-$AP594)</f>
        <v>-12800</v>
      </c>
      <c r="AJ594" s="716">
        <f>IF(OR(status1B5!AK289="",AJ$7="No aplica"),0,SUM('BOULEVARD 5'!$K287:AM287)-$AP594)</f>
        <v>-11200</v>
      </c>
      <c r="AK594" s="716">
        <f>IF(OR(status1B5!AL289="",AK$7="No aplica"),0,SUM('BOULEVARD 5'!$K287:AN287)-$AP594)</f>
        <v>-9600</v>
      </c>
      <c r="AL594" s="716">
        <f>IF(OR(status1B5!AM289="",AL$7="No aplica"),0,SUM('BOULEVARD 5'!$K287:AO287)-$AP594)</f>
        <v>-8000</v>
      </c>
      <c r="AM594" s="716">
        <f>IF(OR(status1B5!AN289="",AM$7="No aplica"),0,SUM('BOULEVARD 5'!$K287:AP287)-$AP594)</f>
        <v>-8000</v>
      </c>
      <c r="AN594" s="716">
        <f>IF(OR(status1B5!AO289="",AN$7="No aplica"),0,SUM('BOULEVARD 5'!$K287:AQ287)-$AP594)</f>
        <v>0</v>
      </c>
      <c r="AO594" s="716">
        <f>IF(OR(status1B5!AP289="",AO$7="No aplica"),0,SUM('BOULEVARD 5'!$K287:AS287)-$AP594)</f>
        <v>0</v>
      </c>
      <c r="AP594" s="717">
        <f>'BOULEVARD PPTO'!BC282</f>
        <v>62000</v>
      </c>
      <c r="AQ594" s="717">
        <f>'BOULEVARD 5'!AT287</f>
        <v>55600</v>
      </c>
      <c r="AR594" s="717">
        <f t="shared" si="302"/>
        <v>-6400</v>
      </c>
      <c r="AS594" s="717"/>
      <c r="AT594" s="581"/>
    </row>
    <row r="595" spans="1:46" ht="13.15" customHeight="1" outlineLevel="1" x14ac:dyDescent="0.25">
      <c r="A595" s="700" t="str">
        <f t="shared" si="300"/>
        <v>CE</v>
      </c>
      <c r="B595" s="708">
        <f t="shared" ref="B595:G595" si="326">B290</f>
        <v>1705</v>
      </c>
      <c r="C595" s="564" t="str">
        <f t="shared" si="326"/>
        <v>D6</v>
      </c>
      <c r="D595" s="564">
        <f t="shared" si="326"/>
        <v>0</v>
      </c>
      <c r="E595" s="564" t="str">
        <f t="shared" si="326"/>
        <v>Antonio Rada</v>
      </c>
      <c r="F595" s="581" t="str">
        <f t="shared" si="326"/>
        <v>Maxi Alexander Mendez Moran</v>
      </c>
      <c r="G595" s="566">
        <f t="shared" si="326"/>
        <v>45749</v>
      </c>
      <c r="H595" s="716">
        <f>IF(OR(status1B5!I290="",H$7="No aplica"),0,SUM('BOULEVARD 5'!$K288:K288)-$AP595)</f>
        <v>0</v>
      </c>
      <c r="I595" s="716">
        <f>IF(OR(status1B5!J290="",I$7="No aplica"),0,SUM('BOULEVARD 5'!$K288:L288)-$AP595)</f>
        <v>0</v>
      </c>
      <c r="J595" s="716">
        <f>IF(OR(status1B5!K290="",J$7="No aplica"),0,SUM('BOULEVARD 5'!$K288:M288)-$AP595)</f>
        <v>0</v>
      </c>
      <c r="K595" s="716">
        <f>IF(OR(status1B5!L290="",K$7="No aplica"),0,SUM('BOULEVARD 5'!$K288:N288)-$AP595)</f>
        <v>0</v>
      </c>
      <c r="L595" s="716">
        <f>IF(OR(status1B5!M290="",L$7="No aplica"),0,SUM('BOULEVARD 5'!$K288:O288)-$AP595)</f>
        <v>0</v>
      </c>
      <c r="M595" s="716">
        <f>IF(OR(status1B5!N290="",M$7="No aplica"),0,SUM('BOULEVARD 5'!$K288:P288)-$AP595)</f>
        <v>0</v>
      </c>
      <c r="N595" s="716">
        <f>IF(OR(status1B5!O290="",N$7="No aplica"),0,SUM('BOULEVARD 5'!$K288:Q288)-$AP595)</f>
        <v>0</v>
      </c>
      <c r="O595" s="716">
        <f>IF(OR(status1B5!P290="",O$7="No aplica"),0,SUM('BOULEVARD 5'!$K288:R288)-$AP595)</f>
        <v>0</v>
      </c>
      <c r="P595" s="716">
        <f>IF(OR(status1B5!Q290="",P$7="No aplica"),0,SUM('BOULEVARD 5'!$K288:S288)-$AP595)</f>
        <v>0</v>
      </c>
      <c r="Q595" s="716">
        <f>IF(OR(status1B5!R290="",Q$7="No aplica"),0,SUM('BOULEVARD 5'!$K288:T288)-$AP595)</f>
        <v>0</v>
      </c>
      <c r="R595" s="716">
        <f>IF(OR(status1B5!S290="",R$7="No aplica"),0,SUM('BOULEVARD 5'!$K288:U288)-$AP595)</f>
        <v>0</v>
      </c>
      <c r="S595" s="716">
        <f>IF(OR(status1B5!T290="",S$7="No aplica"),0,SUM('BOULEVARD 5'!$K288:V288)-$AP595)</f>
        <v>0</v>
      </c>
      <c r="T595" s="716">
        <f>IF(OR(status1B5!U290="",T$7="No aplica"),0,SUM('BOULEVARD 5'!$K288:W288)-$AP595)</f>
        <v>0</v>
      </c>
      <c r="U595" s="716">
        <f>IF(OR(status1B5!V290="",U$7="No aplica"),0,SUM('BOULEVARD 5'!$K288:X288)-$AP595)</f>
        <v>0</v>
      </c>
      <c r="V595" s="716">
        <f>IF(OR(status1B5!W290="",V$7="No aplica"),0,SUM('BOULEVARD 5'!$K288:Y288)-$AP595)</f>
        <v>0</v>
      </c>
      <c r="W595" s="716">
        <f>IF(OR(status1B5!X290="",W$7="No aplica"),0,SUM('BOULEVARD 5'!$K288:Z288)-$AP595)</f>
        <v>0</v>
      </c>
      <c r="X595" s="716">
        <f>IF(OR(status1B5!Y290="",X$7="No aplica"),0,SUM('BOULEVARD 5'!$K288:AA288)-$AP595)</f>
        <v>0</v>
      </c>
      <c r="Y595" s="716">
        <f>IF(OR(status1B5!Z290="",Y$7="No aplica"),0,SUM('BOULEVARD 5'!$K288:AB288)-$AP595)</f>
        <v>0</v>
      </c>
      <c r="Z595" s="716">
        <f>IF(OR(status1B5!AA290="",Z$7="No aplica"),0,SUM('BOULEVARD 5'!$K288:AC288)-$AP595)</f>
        <v>0</v>
      </c>
      <c r="AA595" s="716">
        <f>IF(OR(status1B5!AB290="",AA$7="No aplica"),0,SUM('BOULEVARD 5'!$K288:AD288)-$AP595)</f>
        <v>0</v>
      </c>
      <c r="AB595" s="716">
        <f>IF(OR(status1B5!AC290="",AB$7="No aplica"),0,SUM('BOULEVARD 5'!$K288:AE288)-$AP595)</f>
        <v>0</v>
      </c>
      <c r="AC595" s="716">
        <f>IF(OR(status1B5!AD290="",AC$7="No aplica"),0,SUM('BOULEVARD 5'!$K288:AF288)-$AP595)</f>
        <v>0</v>
      </c>
      <c r="AD595" s="716">
        <f>IF(OR(status1B5!AE290="",AD$7="No aplica"),0,SUM('BOULEVARD 5'!$K288:AG288)-$AP595)</f>
        <v>0</v>
      </c>
      <c r="AE595" s="716">
        <f>IF(OR(status1B5!AF290="",AE$7="No aplica"),0,SUM('BOULEVARD 5'!$K288:AH288)-$AP595)</f>
        <v>0</v>
      </c>
      <c r="AF595" s="716">
        <f>IF(OR(status1B5!AG290="",AF$7="No aplica"),0,SUM('BOULEVARD 5'!$K288:AI288)-$AP595)</f>
        <v>0</v>
      </c>
      <c r="AG595" s="716">
        <f>IF(OR(status1B5!AH290="",AG$7="No aplica"),0,SUM('BOULEVARD 5'!$K288:AJ288)-$AP595)</f>
        <v>-134643.27000000002</v>
      </c>
      <c r="AH595" s="716">
        <f>IF(OR(status1B5!AI290="",AH$7="No aplica"),0,SUM('BOULEVARD 5'!$K288:AK288)-$AP595)</f>
        <v>-69050.440000000017</v>
      </c>
      <c r="AI595" s="716">
        <f>IF(OR(status1B5!AJ290="",AI$7="No aplica"),0,SUM('BOULEVARD 5'!$K288:AL288)-$AP595)</f>
        <v>0</v>
      </c>
      <c r="AJ595" s="716">
        <f>IF(OR(status1B5!AK290="",AJ$7="No aplica"),0,SUM('BOULEVARD 5'!$K288:AM288)-$AP595)</f>
        <v>0</v>
      </c>
      <c r="AK595" s="716">
        <f>IF(OR(status1B5!AL290="",AK$7="No aplica"),0,SUM('BOULEVARD 5'!$K288:AN288)-$AP595)</f>
        <v>0</v>
      </c>
      <c r="AL595" s="716">
        <f>IF(OR(status1B5!AM290="",AL$7="No aplica"),0,SUM('BOULEVARD 5'!$K288:AO288)-$AP595)</f>
        <v>0</v>
      </c>
      <c r="AM595" s="716">
        <f>IF(OR(status1B5!AN290="",AM$7="No aplica"),0,SUM('BOULEVARD 5'!$K288:AP288)-$AP595)</f>
        <v>0</v>
      </c>
      <c r="AN595" s="716">
        <f>IF(OR(status1B5!AO290="",AN$7="No aplica"),0,SUM('BOULEVARD 5'!$K288:AQ288)-$AP595)</f>
        <v>0</v>
      </c>
      <c r="AO595" s="716">
        <f>IF(OR(status1B5!AP290="",AO$7="No aplica"),0,SUM('BOULEVARD 5'!$K288:AS288)-$AP595)</f>
        <v>0</v>
      </c>
      <c r="AP595" s="717">
        <f>'BOULEVARD PPTO'!BC283</f>
        <v>144643.27000000002</v>
      </c>
      <c r="AQ595" s="717">
        <f>'BOULEVARD 5'!AT288</f>
        <v>144643.27000000002</v>
      </c>
      <c r="AR595" s="717">
        <f t="shared" si="302"/>
        <v>0</v>
      </c>
      <c r="AS595" s="717"/>
      <c r="AT595" s="581"/>
    </row>
    <row r="596" spans="1:46" ht="13.15" customHeight="1" outlineLevel="1" x14ac:dyDescent="0.25">
      <c r="A596" s="700" t="str">
        <f t="shared" si="300"/>
        <v>F&amp;F</v>
      </c>
      <c r="B596" s="704">
        <f t="shared" ref="B596:G596" si="327">B291</f>
        <v>1706</v>
      </c>
      <c r="C596" s="704" t="str">
        <f t="shared" si="327"/>
        <v>B4</v>
      </c>
      <c r="D596" s="704">
        <f t="shared" si="327"/>
        <v>0</v>
      </c>
      <c r="E596" s="704" t="str">
        <f t="shared" si="327"/>
        <v>Jose Franco</v>
      </c>
      <c r="F596" s="705" t="str">
        <f t="shared" si="327"/>
        <v>David Arimany Monzón</v>
      </c>
      <c r="G596" s="566">
        <f t="shared" si="327"/>
        <v>45009</v>
      </c>
      <c r="H596" s="716">
        <f>IF(OR(status1B5!I291="",H$7="No aplica"),0,SUM('BOULEVARD 5'!$K289:K289)-$AP596)</f>
        <v>0</v>
      </c>
      <c r="I596" s="716">
        <f>IF(OR(status1B5!J291="",I$7="No aplica"),0,SUM('BOULEVARD 5'!$K289:L289)-$AP596)</f>
        <v>0</v>
      </c>
      <c r="J596" s="716">
        <f>IF(OR(status1B5!K291="",J$7="No aplica"),0,SUM('BOULEVARD 5'!$K289:M289)-$AP596)</f>
        <v>0</v>
      </c>
      <c r="K596" s="716">
        <f>IF(OR(status1B5!L291="",K$7="No aplica"),0,SUM('BOULEVARD 5'!$K289:N289)-$AP596)</f>
        <v>0</v>
      </c>
      <c r="L596" s="716">
        <f>IF(OR(status1B5!M291="",L$7="No aplica"),0,SUM('BOULEVARD 5'!$K289:O289)-$AP596)</f>
        <v>0</v>
      </c>
      <c r="M596" s="716">
        <f>IF(OR(status1B5!N291="",M$7="No aplica"),0,SUM('BOULEVARD 5'!$K289:P289)-$AP596)</f>
        <v>0</v>
      </c>
      <c r="N596" s="716">
        <f>IF(OR(status1B5!O291="",N$7="No aplica"),0,SUM('BOULEVARD 5'!$K289:Q289)-$AP596)</f>
        <v>0</v>
      </c>
      <c r="O596" s="716">
        <f>IF(OR(status1B5!P291="",O$7="No aplica"),0,SUM('BOULEVARD 5'!$K289:R289)-$AP596)</f>
        <v>0</v>
      </c>
      <c r="P596" s="716">
        <f>IF(OR(status1B5!Q291="",P$7="No aplica"),0,SUM('BOULEVARD 5'!$K289:S289)-$AP596)</f>
        <v>0</v>
      </c>
      <c r="Q596" s="716">
        <f>IF(OR(status1B5!R291="",Q$7="No aplica"),0,SUM('BOULEVARD 5'!$K289:T289)-$AP596)</f>
        <v>0</v>
      </c>
      <c r="R596" s="716">
        <f>IF(OR(status1B5!S291="",R$7="No aplica"),0,SUM('BOULEVARD 5'!$K289:U289)-$AP596)</f>
        <v>0</v>
      </c>
      <c r="S596" s="716">
        <f>IF(OR(status1B5!T291="",S$7="No aplica"),0,SUM('BOULEVARD 5'!$K289:V289)-$AP596)</f>
        <v>0</v>
      </c>
      <c r="T596" s="716">
        <f>IF(OR(status1B5!U291="",T$7="No aplica"),0,SUM('BOULEVARD 5'!$K289:W289)-$AP596)</f>
        <v>0</v>
      </c>
      <c r="U596" s="716">
        <f>IF(OR(status1B5!V291="",U$7="No aplica"),0,SUM('BOULEVARD 5'!$K289:X289)-$AP596)</f>
        <v>0</v>
      </c>
      <c r="V596" s="716">
        <f>IF(OR(status1B5!W291="",V$7="No aplica"),0,SUM('BOULEVARD 5'!$K289:Y289)-$AP596)</f>
        <v>0</v>
      </c>
      <c r="W596" s="716">
        <f>IF(OR(status1B5!X291="",W$7="No aplica"),0,SUM('BOULEVARD 5'!$K289:Z289)-$AP596)</f>
        <v>0</v>
      </c>
      <c r="X596" s="716">
        <f>IF(OR(status1B5!Y291="",X$7="No aplica"),0,SUM('BOULEVARD 5'!$K289:AA289)-$AP596)</f>
        <v>0</v>
      </c>
      <c r="Y596" s="716">
        <f>IF(OR(status1B5!Z291="",Y$7="No aplica"),0,SUM('BOULEVARD 5'!$K289:AB289)-$AP596)</f>
        <v>0</v>
      </c>
      <c r="Z596" s="716">
        <f>IF(OR(status1B5!AA291="",Z$7="No aplica"),0,SUM('BOULEVARD 5'!$K289:AC289)-$AP596)</f>
        <v>0</v>
      </c>
      <c r="AA596" s="716">
        <f>IF(OR(status1B5!AB291="",AA$7="No aplica"),0,SUM('BOULEVARD 5'!$K289:AD289)-$AP596)</f>
        <v>0</v>
      </c>
      <c r="AB596" s="716">
        <f>IF(OR(status1B5!AC291="",AB$7="No aplica"),0,SUM('BOULEVARD 5'!$K289:AE289)-$AP596)</f>
        <v>0</v>
      </c>
      <c r="AC596" s="716">
        <f>IF(OR(status1B5!AD291="",AC$7="No aplica"),0,SUM('BOULEVARD 5'!$K289:AF289)-$AP596)</f>
        <v>0</v>
      </c>
      <c r="AD596" s="716">
        <f>IF(OR(status1B5!AE291="",AD$7="No aplica"),0,SUM('BOULEVARD 5'!$K289:AG289)-$AP596)</f>
        <v>0</v>
      </c>
      <c r="AE596" s="716">
        <f>IF(OR(status1B5!AF291="",AE$7="No aplica"),0,SUM('BOULEVARD 5'!$K289:AH289)-$AP596)</f>
        <v>0</v>
      </c>
      <c r="AF596" s="716">
        <f>IF(OR(status1B5!AG291="",AF$7="No aplica"),0,SUM('BOULEVARD 5'!$K289:AI289)-$AP596)</f>
        <v>0</v>
      </c>
      <c r="AG596" s="716">
        <f>IF(OR(status1B5!AH291="",AG$7="No aplica"),0,SUM('BOULEVARD 5'!$K289:AJ289)-$AP596)</f>
        <v>0</v>
      </c>
      <c r="AH596" s="716">
        <f>IF(OR(status1B5!AI291="",AH$7="No aplica"),0,SUM('BOULEVARD 5'!$K289:AK289)-$AP596)</f>
        <v>0</v>
      </c>
      <c r="AI596" s="716">
        <f>IF(OR(status1B5!AJ291="",AI$7="No aplica"),0,SUM('BOULEVARD 5'!$K289:AL289)-$AP596)</f>
        <v>0</v>
      </c>
      <c r="AJ596" s="716">
        <f>IF(OR(status1B5!AK291="",AJ$7="No aplica"),0,SUM('BOULEVARD 5'!$K289:AM289)-$AP596)</f>
        <v>0</v>
      </c>
      <c r="AK596" s="716">
        <f>IF(OR(status1B5!AL291="",AK$7="No aplica"),0,SUM('BOULEVARD 5'!$K289:AN289)-$AP596)</f>
        <v>0</v>
      </c>
      <c r="AL596" s="716">
        <f>IF(OR(status1B5!AM291="",AL$7="No aplica"),0,SUM('BOULEVARD 5'!$K289:AO289)-$AP596)</f>
        <v>0</v>
      </c>
      <c r="AM596" s="716">
        <f>IF(OR(status1B5!AN291="",AM$7="No aplica"),0,SUM('BOULEVARD 5'!$K289:AP289)-$AP596)</f>
        <v>0</v>
      </c>
      <c r="AN596" s="716">
        <f>IF(OR(status1B5!AO291="",AN$7="No aplica"),0,SUM('BOULEVARD 5'!$K289:AQ289)-$AP596)</f>
        <v>0</v>
      </c>
      <c r="AO596" s="716">
        <f>IF(OR(status1B5!AP291="",AO$7="No aplica"),0,SUM('BOULEVARD 5'!$K289:AS289)-$AP596)</f>
        <v>0</v>
      </c>
      <c r="AP596" s="717">
        <f>'BOULEVARD PPTO'!BC284</f>
        <v>87051</v>
      </c>
      <c r="AQ596" s="717">
        <f>'BOULEVARD 5'!AT289</f>
        <v>46800</v>
      </c>
      <c r="AR596" s="717">
        <f t="shared" si="302"/>
        <v>-40251</v>
      </c>
      <c r="AS596" s="717"/>
      <c r="AT596" s="581"/>
    </row>
    <row r="597" spans="1:46" ht="13.15" customHeight="1" outlineLevel="1" x14ac:dyDescent="0.25">
      <c r="A597" s="700">
        <f t="shared" si="300"/>
        <v>0</v>
      </c>
      <c r="B597" s="564">
        <f t="shared" ref="B597:G597" si="328">B292</f>
        <v>1707</v>
      </c>
      <c r="C597" s="564" t="str">
        <f t="shared" si="328"/>
        <v>B5</v>
      </c>
      <c r="D597" s="564">
        <f t="shared" si="328"/>
        <v>0</v>
      </c>
      <c r="E597" s="564" t="str">
        <f t="shared" si="328"/>
        <v>Ronaldo Ogaldez</v>
      </c>
      <c r="F597" s="581" t="str">
        <f t="shared" si="328"/>
        <v>Miguel Eduardo Yon Moll</v>
      </c>
      <c r="G597" s="566">
        <f t="shared" si="328"/>
        <v>45721</v>
      </c>
      <c r="H597" s="716">
        <f>IF(OR(status1B5!I292="",H$7="No aplica"),0,SUM('BOULEVARD 5'!$K290:K290)-$AP597)</f>
        <v>0</v>
      </c>
      <c r="I597" s="716">
        <f>IF(OR(status1B5!J292="",I$7="No aplica"),0,SUM('BOULEVARD 5'!$K290:L290)-$AP597)</f>
        <v>0</v>
      </c>
      <c r="J597" s="716">
        <f>IF(OR(status1B5!K292="",J$7="No aplica"),0,SUM('BOULEVARD 5'!$K290:M290)-$AP597)</f>
        <v>0</v>
      </c>
      <c r="K597" s="716">
        <f>IF(OR(status1B5!L292="",K$7="No aplica"),0,SUM('BOULEVARD 5'!$K290:N290)-$AP597)</f>
        <v>0</v>
      </c>
      <c r="L597" s="716">
        <f>IF(OR(status1B5!M292="",L$7="No aplica"),0,SUM('BOULEVARD 5'!$K290:O290)-$AP597)</f>
        <v>0</v>
      </c>
      <c r="M597" s="716">
        <f>IF(OR(status1B5!N292="",M$7="No aplica"),0,SUM('BOULEVARD 5'!$K290:P290)-$AP597)</f>
        <v>0</v>
      </c>
      <c r="N597" s="716">
        <f>IF(OR(status1B5!O292="",N$7="No aplica"),0,SUM('BOULEVARD 5'!$K290:Q290)-$AP597)</f>
        <v>0</v>
      </c>
      <c r="O597" s="716">
        <f>IF(OR(status1B5!P292="",O$7="No aplica"),0,SUM('BOULEVARD 5'!$K290:R290)-$AP597)</f>
        <v>0</v>
      </c>
      <c r="P597" s="716">
        <f>IF(OR(status1B5!Q292="",P$7="No aplica"),0,SUM('BOULEVARD 5'!$K290:S290)-$AP597)</f>
        <v>0</v>
      </c>
      <c r="Q597" s="716">
        <f>IF(OR(status1B5!R292="",Q$7="No aplica"),0,SUM('BOULEVARD 5'!$K290:T290)-$AP597)</f>
        <v>0</v>
      </c>
      <c r="R597" s="716">
        <f>IF(OR(status1B5!S292="",R$7="No aplica"),0,SUM('BOULEVARD 5'!$K290:U290)-$AP597)</f>
        <v>0</v>
      </c>
      <c r="S597" s="716">
        <f>IF(OR(status1B5!T292="",S$7="No aplica"),0,SUM('BOULEVARD 5'!$K290:V290)-$AP597)</f>
        <v>0</v>
      </c>
      <c r="T597" s="716">
        <f>IF(OR(status1B5!U292="",T$7="No aplica"),0,SUM('BOULEVARD 5'!$K290:W290)-$AP597)</f>
        <v>0</v>
      </c>
      <c r="U597" s="716">
        <f>IF(OR(status1B5!V292="",U$7="No aplica"),0,SUM('BOULEVARD 5'!$K290:X290)-$AP597)</f>
        <v>0</v>
      </c>
      <c r="V597" s="716">
        <f>IF(OR(status1B5!W292="",V$7="No aplica"),0,SUM('BOULEVARD 5'!$K290:Y290)-$AP597)</f>
        <v>0</v>
      </c>
      <c r="W597" s="716">
        <f>IF(OR(status1B5!X292="",W$7="No aplica"),0,SUM('BOULEVARD 5'!$K290:Z290)-$AP597)</f>
        <v>0</v>
      </c>
      <c r="X597" s="716">
        <f>IF(OR(status1B5!Y292="",X$7="No aplica"),0,SUM('BOULEVARD 5'!$K290:AA290)-$AP597)</f>
        <v>0</v>
      </c>
      <c r="Y597" s="716">
        <f>IF(OR(status1B5!Z292="",Y$7="No aplica"),0,SUM('BOULEVARD 5'!$K290:AB290)-$AP597)</f>
        <v>0</v>
      </c>
      <c r="Z597" s="716">
        <f>IF(OR(status1B5!AA292="",Z$7="No aplica"),0,SUM('BOULEVARD 5'!$K290:AC290)-$AP597)</f>
        <v>0</v>
      </c>
      <c r="AA597" s="716">
        <f>IF(OR(status1B5!AB292="",AA$7="No aplica"),0,SUM('BOULEVARD 5'!$K290:AD290)-$AP597)</f>
        <v>0</v>
      </c>
      <c r="AB597" s="716">
        <f>IF(OR(status1B5!AC292="",AB$7="No aplica"),0,SUM('BOULEVARD 5'!$K290:AE290)-$AP597)</f>
        <v>0</v>
      </c>
      <c r="AC597" s="716">
        <f>IF(OR(status1B5!AD292="",AC$7="No aplica"),0,SUM('BOULEVARD 5'!$K290:AF290)-$AP597)</f>
        <v>0</v>
      </c>
      <c r="AD597" s="716">
        <f>IF(OR(status1B5!AE292="",AD$7="No aplica"),0,SUM('BOULEVARD 5'!$K290:AG290)-$AP597)</f>
        <v>0</v>
      </c>
      <c r="AE597" s="716">
        <f>IF(OR(status1B5!AF292="",AE$7="No aplica"),0,SUM('BOULEVARD 5'!$K290:AH290)-$AP597)</f>
        <v>0</v>
      </c>
      <c r="AF597" s="716">
        <f>IF(OR(status1B5!AG292="",AF$7="No aplica"),0,SUM('BOULEVARD 5'!$K290:AI290)-$AP597)</f>
        <v>-80800</v>
      </c>
      <c r="AG597" s="716">
        <f>IF(OR(status1B5!AH292="",AG$7="No aplica"),0,SUM('BOULEVARD 5'!$K290:AJ290)-$AP597)</f>
        <v>-70700</v>
      </c>
      <c r="AH597" s="716">
        <f>IF(OR(status1B5!AI292="",AH$7="No aplica"),0,SUM('BOULEVARD 5'!$K290:AK290)-$AP597)</f>
        <v>-70700</v>
      </c>
      <c r="AI597" s="716">
        <f>IF(OR(status1B5!AJ292="",AI$7="No aplica"),0,SUM('BOULEVARD 5'!$K290:AL290)-$AP597)</f>
        <v>-65650</v>
      </c>
      <c r="AJ597" s="716">
        <f>IF(OR(status1B5!AK292="",AJ$7="No aplica"),0,SUM('BOULEVARD 5'!$K290:AM290)-$AP597)</f>
        <v>-65650</v>
      </c>
      <c r="AK597" s="716">
        <f>IF(OR(status1B5!AL292="",AK$7="No aplica"),0,SUM('BOULEVARD 5'!$K290:AN290)-$AP597)</f>
        <v>-55550</v>
      </c>
      <c r="AL597" s="716">
        <f>IF(OR(status1B5!AM292="",AL$7="No aplica"),0,SUM('BOULEVARD 5'!$K290:AO290)-$AP597)</f>
        <v>-55550</v>
      </c>
      <c r="AM597" s="716">
        <f>IF(OR(status1B5!AN292="",AM$7="No aplica"),0,SUM('BOULEVARD 5'!$K290:AP290)-$AP597)</f>
        <v>-55550</v>
      </c>
      <c r="AN597" s="716">
        <f>IF(OR(status1B5!AO292="",AN$7="No aplica"),0,SUM('BOULEVARD 5'!$K290:AQ290)-$AP597)</f>
        <v>0</v>
      </c>
      <c r="AO597" s="716">
        <f>IF(OR(status1B5!AP292="",AO$7="No aplica"),0,SUM('BOULEVARD 5'!$K290:AS290)-$AP597)</f>
        <v>0</v>
      </c>
      <c r="AP597" s="717">
        <f>'BOULEVARD PPTO'!BC285</f>
        <v>90800</v>
      </c>
      <c r="AQ597" s="717">
        <f>'BOULEVARD 5'!AT290</f>
        <v>50400</v>
      </c>
      <c r="AR597" s="717">
        <f t="shared" si="302"/>
        <v>-40400</v>
      </c>
      <c r="AS597" s="717"/>
      <c r="AT597" s="581"/>
    </row>
    <row r="598" spans="1:46" ht="13.15" customHeight="1" outlineLevel="1" x14ac:dyDescent="0.25">
      <c r="A598" s="700">
        <f t="shared" si="300"/>
        <v>0</v>
      </c>
      <c r="B598" s="564">
        <f t="shared" ref="B598:G598" si="329">B293</f>
        <v>1708</v>
      </c>
      <c r="C598" s="564" t="str">
        <f t="shared" si="329"/>
        <v>E4</v>
      </c>
      <c r="D598" s="564">
        <f t="shared" si="329"/>
        <v>0</v>
      </c>
      <c r="E598" s="564" t="str">
        <f t="shared" si="329"/>
        <v>Anahí Cisneros</v>
      </c>
      <c r="F598" s="581" t="str">
        <f t="shared" si="329"/>
        <v>Carlos Antonio Aguilar Velasquez</v>
      </c>
      <c r="G598" s="566">
        <f t="shared" si="329"/>
        <v>45957</v>
      </c>
      <c r="H598" s="716">
        <f>IF(OR(status1B5!I293="",H$7="No aplica"),0,SUM('BOULEVARD 5'!$K291:K291)-$AP598)</f>
        <v>0</v>
      </c>
      <c r="I598" s="716">
        <f>IF(OR(status1B5!J293="",I$7="No aplica"),0,SUM('BOULEVARD 5'!$K291:L291)-$AP598)</f>
        <v>0</v>
      </c>
      <c r="J598" s="716">
        <f>IF(OR(status1B5!K293="",J$7="No aplica"),0,SUM('BOULEVARD 5'!$K291:M291)-$AP598)</f>
        <v>0</v>
      </c>
      <c r="K598" s="716">
        <f>IF(OR(status1B5!L293="",K$7="No aplica"),0,SUM('BOULEVARD 5'!$K291:N291)-$AP598)</f>
        <v>0</v>
      </c>
      <c r="L598" s="716">
        <f>IF(OR(status1B5!M293="",L$7="No aplica"),0,SUM('BOULEVARD 5'!$K291:O291)-$AP598)</f>
        <v>0</v>
      </c>
      <c r="M598" s="716">
        <f>IF(OR(status1B5!N293="",M$7="No aplica"),0,SUM('BOULEVARD 5'!$K291:P291)-$AP598)</f>
        <v>0</v>
      </c>
      <c r="N598" s="716">
        <f>IF(OR(status1B5!O293="",N$7="No aplica"),0,SUM('BOULEVARD 5'!$K291:Q291)-$AP598)</f>
        <v>0</v>
      </c>
      <c r="O598" s="716">
        <f>IF(OR(status1B5!P293="",O$7="No aplica"),0,SUM('BOULEVARD 5'!$K291:R291)-$AP598)</f>
        <v>0</v>
      </c>
      <c r="P598" s="716">
        <f>IF(OR(status1B5!Q293="",P$7="No aplica"),0,SUM('BOULEVARD 5'!$K291:S291)-$AP598)</f>
        <v>0</v>
      </c>
      <c r="Q598" s="716">
        <f>IF(OR(status1B5!R293="",Q$7="No aplica"),0,SUM('BOULEVARD 5'!$K291:T291)-$AP598)</f>
        <v>0</v>
      </c>
      <c r="R598" s="716">
        <f>IF(OR(status1B5!S293="",R$7="No aplica"),0,SUM('BOULEVARD 5'!$K291:U291)-$AP598)</f>
        <v>0</v>
      </c>
      <c r="S598" s="716">
        <f>IF(OR(status1B5!T293="",S$7="No aplica"),0,SUM('BOULEVARD 5'!$K291:V291)-$AP598)</f>
        <v>0</v>
      </c>
      <c r="T598" s="716">
        <f>IF(OR(status1B5!U293="",T$7="No aplica"),0,SUM('BOULEVARD 5'!$K291:W291)-$AP598)</f>
        <v>0</v>
      </c>
      <c r="U598" s="716">
        <f>IF(OR(status1B5!V293="",U$7="No aplica"),0,SUM('BOULEVARD 5'!$K291:X291)-$AP598)</f>
        <v>0</v>
      </c>
      <c r="V598" s="716">
        <f>IF(OR(status1B5!W293="",V$7="No aplica"),0,SUM('BOULEVARD 5'!$K291:Y291)-$AP598)</f>
        <v>0</v>
      </c>
      <c r="W598" s="716">
        <f>IF(OR(status1B5!X293="",W$7="No aplica"),0,SUM('BOULEVARD 5'!$K291:Z291)-$AP598)</f>
        <v>0</v>
      </c>
      <c r="X598" s="716">
        <f>IF(OR(status1B5!Y293="",X$7="No aplica"),0,SUM('BOULEVARD 5'!$K291:AA291)-$AP598)</f>
        <v>0</v>
      </c>
      <c r="Y598" s="716">
        <f>IF(OR(status1B5!Z293="",Y$7="No aplica"),0,SUM('BOULEVARD 5'!$K291:AB291)-$AP598)</f>
        <v>0</v>
      </c>
      <c r="Z598" s="716">
        <f>IF(OR(status1B5!AA293="",Z$7="No aplica"),0,SUM('BOULEVARD 5'!$K291:AC291)-$AP598)</f>
        <v>0</v>
      </c>
      <c r="AA598" s="716">
        <f>IF(OR(status1B5!AB293="",AA$7="No aplica"),0,SUM('BOULEVARD 5'!$K291:AD291)-$AP598)</f>
        <v>0</v>
      </c>
      <c r="AB598" s="716">
        <f>IF(OR(status1B5!AC293="",AB$7="No aplica"),0,SUM('BOULEVARD 5'!$K291:AE291)-$AP598)</f>
        <v>0</v>
      </c>
      <c r="AC598" s="716">
        <f>IF(OR(status1B5!AD293="",AC$7="No aplica"),0,SUM('BOULEVARD 5'!$K291:AF291)-$AP598)</f>
        <v>0</v>
      </c>
      <c r="AD598" s="716">
        <f>IF(OR(status1B5!AE293="",AD$7="No aplica"),0,SUM('BOULEVARD 5'!$K291:AG291)-$AP598)</f>
        <v>0</v>
      </c>
      <c r="AE598" s="716">
        <f>IF(OR(status1B5!AF293="",AE$7="No aplica"),0,SUM('BOULEVARD 5'!$K291:AH291)-$AP598)</f>
        <v>0</v>
      </c>
      <c r="AF598" s="716">
        <f>IF(OR(status1B5!AG293="",AF$7="No aplica"),0,SUM('BOULEVARD 5'!$K291:AI291)-$AP598)</f>
        <v>0</v>
      </c>
      <c r="AG598" s="716">
        <f>IF(OR(status1B5!AH293="",AG$7="No aplica"),0,SUM('BOULEVARD 5'!$K291:AJ291)-$AP598)</f>
        <v>0</v>
      </c>
      <c r="AH598" s="716">
        <f>IF(OR(status1B5!AI293="",AH$7="No aplica"),0,SUM('BOULEVARD 5'!$K291:AK291)-$AP598)</f>
        <v>0</v>
      </c>
      <c r="AI598" s="716">
        <f>IF(OR(status1B5!AJ293="",AI$7="No aplica"),0,SUM('BOULEVARD 5'!$K291:AL291)-$AP598)</f>
        <v>0</v>
      </c>
      <c r="AJ598" s="716">
        <f>IF(OR(status1B5!AK293="",AJ$7="No aplica"),0,SUM('BOULEVARD 5'!$K291:AM291)-$AP598)</f>
        <v>0</v>
      </c>
      <c r="AK598" s="716">
        <f>IF(OR(status1B5!AL293="",AK$7="No aplica"),0,SUM('BOULEVARD 5'!$K291:AN291)-$AP598)</f>
        <v>0</v>
      </c>
      <c r="AL598" s="716">
        <f>IF(OR(status1B5!AM293="",AL$7="No aplica"),0,SUM('BOULEVARD 5'!$K291:AO291)-$AP598)</f>
        <v>0</v>
      </c>
      <c r="AM598" s="716">
        <f>IF(OR(status1B5!AN293="",AM$7="No aplica"),0,SUM('BOULEVARD 5'!$K291:AP291)-$AP598)</f>
        <v>-113600</v>
      </c>
      <c r="AN598" s="716">
        <f>IF(OR(status1B5!AO293="",AN$7="No aplica"),0,SUM('BOULEVARD 5'!$K291:AQ291)-$AP598)</f>
        <v>0</v>
      </c>
      <c r="AO598" s="716">
        <f>IF(OR(status1B5!AP293="",AO$7="No aplica"),0,SUM('BOULEVARD 5'!$K291:AS291)-$AP598)</f>
        <v>0</v>
      </c>
      <c r="AP598" s="717">
        <f>'BOULEVARD PPTO'!BC286</f>
        <v>123600</v>
      </c>
      <c r="AQ598" s="717">
        <f>'BOULEVARD 5'!AT291</f>
        <v>58400</v>
      </c>
      <c r="AR598" s="717">
        <f t="shared" si="302"/>
        <v>-65200</v>
      </c>
      <c r="AS598" s="717"/>
      <c r="AT598" s="581"/>
    </row>
    <row r="599" spans="1:46" ht="13.15" customHeight="1" outlineLevel="1" x14ac:dyDescent="0.25">
      <c r="A599" s="700" t="str">
        <f t="shared" si="300"/>
        <v>F&amp;F</v>
      </c>
      <c r="B599" s="704">
        <f t="shared" ref="B599:G599" si="330">B294</f>
        <v>1801</v>
      </c>
      <c r="C599" s="704" t="str">
        <f t="shared" si="330"/>
        <v>E7</v>
      </c>
      <c r="D599" s="704">
        <f t="shared" si="330"/>
        <v>0</v>
      </c>
      <c r="E599" s="704" t="str">
        <f t="shared" si="330"/>
        <v>Jose Franco</v>
      </c>
      <c r="F599" s="705" t="str">
        <f t="shared" si="330"/>
        <v>Luis Arimany Monzón</v>
      </c>
      <c r="G599" s="566">
        <f t="shared" si="330"/>
        <v>45012</v>
      </c>
      <c r="H599" s="716">
        <f>IF(OR(status1B5!I294="",H$7="No aplica"),0,SUM('BOULEVARD 5'!$K292:K292)-$AP599)</f>
        <v>0</v>
      </c>
      <c r="I599" s="716">
        <f>IF(OR(status1B5!J294="",I$7="No aplica"),0,SUM('BOULEVARD 5'!$K292:L292)-$AP599)</f>
        <v>0</v>
      </c>
      <c r="J599" s="716">
        <f>IF(OR(status1B5!K294="",J$7="No aplica"),0,SUM('BOULEVARD 5'!$K292:M292)-$AP599)</f>
        <v>0</v>
      </c>
      <c r="K599" s="716">
        <f>IF(OR(status1B5!L294="",K$7="No aplica"),0,SUM('BOULEVARD 5'!$K292:N292)-$AP599)</f>
        <v>0</v>
      </c>
      <c r="L599" s="716">
        <f>IF(OR(status1B5!M294="",L$7="No aplica"),0,SUM('BOULEVARD 5'!$K292:O292)-$AP599)</f>
        <v>0</v>
      </c>
      <c r="M599" s="716">
        <f>IF(OR(status1B5!N294="",M$7="No aplica"),0,SUM('BOULEVARD 5'!$K292:P292)-$AP599)</f>
        <v>0</v>
      </c>
      <c r="N599" s="716">
        <f>IF(OR(status1B5!O294="",N$7="No aplica"),0,SUM('BOULEVARD 5'!$K292:Q292)-$AP599)</f>
        <v>0</v>
      </c>
      <c r="O599" s="716">
        <f>IF(OR(status1B5!P294="",O$7="No aplica"),0,SUM('BOULEVARD 5'!$K292:R292)-$AP599)</f>
        <v>0</v>
      </c>
      <c r="P599" s="716">
        <f>IF(OR(status1B5!Q294="",P$7="No aplica"),0,SUM('BOULEVARD 5'!$K292:S292)-$AP599)</f>
        <v>0</v>
      </c>
      <c r="Q599" s="716">
        <f>IF(OR(status1B5!R294="",Q$7="No aplica"),0,SUM('BOULEVARD 5'!$K292:T292)-$AP599)</f>
        <v>0</v>
      </c>
      <c r="R599" s="716">
        <f>IF(OR(status1B5!S294="",R$7="No aplica"),0,SUM('BOULEVARD 5'!$K292:U292)-$AP599)</f>
        <v>0</v>
      </c>
      <c r="S599" s="716">
        <f>IF(OR(status1B5!T294="",S$7="No aplica"),0,SUM('BOULEVARD 5'!$K292:V292)-$AP599)</f>
        <v>0</v>
      </c>
      <c r="T599" s="716">
        <f>IF(OR(status1B5!U294="",T$7="No aplica"),0,SUM('BOULEVARD 5'!$K292:W292)-$AP599)</f>
        <v>0</v>
      </c>
      <c r="U599" s="716">
        <f>IF(OR(status1B5!V294="",U$7="No aplica"),0,SUM('BOULEVARD 5'!$K292:X292)-$AP599)</f>
        <v>0</v>
      </c>
      <c r="V599" s="716">
        <f>IF(OR(status1B5!W294="",V$7="No aplica"),0,SUM('BOULEVARD 5'!$K292:Y292)-$AP599)</f>
        <v>0</v>
      </c>
      <c r="W599" s="716">
        <f>IF(OR(status1B5!X294="",W$7="No aplica"),0,SUM('BOULEVARD 5'!$K292:Z292)-$AP599)</f>
        <v>0</v>
      </c>
      <c r="X599" s="716">
        <f>IF(OR(status1B5!Y294="",X$7="No aplica"),0,SUM('BOULEVARD 5'!$K292:AA292)-$AP599)</f>
        <v>0</v>
      </c>
      <c r="Y599" s="716">
        <f>IF(OR(status1B5!Z294="",Y$7="No aplica"),0,SUM('BOULEVARD 5'!$K292:AB292)-$AP599)</f>
        <v>0</v>
      </c>
      <c r="Z599" s="716">
        <f>IF(OR(status1B5!AA294="",Z$7="No aplica"),0,SUM('BOULEVARD 5'!$K292:AC292)-$AP599)</f>
        <v>0</v>
      </c>
      <c r="AA599" s="716">
        <f>IF(OR(status1B5!AB294="",AA$7="No aplica"),0,SUM('BOULEVARD 5'!$K292:AD292)-$AP599)</f>
        <v>0</v>
      </c>
      <c r="AB599" s="716">
        <f>IF(OR(status1B5!AC294="",AB$7="No aplica"),0,SUM('BOULEVARD 5'!$K292:AE292)-$AP599)</f>
        <v>0</v>
      </c>
      <c r="AC599" s="716">
        <f>IF(OR(status1B5!AD294="",AC$7="No aplica"),0,SUM('BOULEVARD 5'!$K292:AF292)-$AP599)</f>
        <v>0</v>
      </c>
      <c r="AD599" s="716">
        <f>IF(OR(status1B5!AE294="",AD$7="No aplica"),0,SUM('BOULEVARD 5'!$K292:AG292)-$AP599)</f>
        <v>0</v>
      </c>
      <c r="AE599" s="716">
        <f>IF(OR(status1B5!AF294="",AE$7="No aplica"),0,SUM('BOULEVARD 5'!$K292:AH292)-$AP599)</f>
        <v>0</v>
      </c>
      <c r="AF599" s="716">
        <f>IF(OR(status1B5!AG294="",AF$7="No aplica"),0,SUM('BOULEVARD 5'!$K292:AI292)-$AP599)</f>
        <v>0</v>
      </c>
      <c r="AG599" s="716">
        <f>IF(OR(status1B5!AH294="",AG$7="No aplica"),0,SUM('BOULEVARD 5'!$K292:AJ292)-$AP599)</f>
        <v>0</v>
      </c>
      <c r="AH599" s="716">
        <f>IF(OR(status1B5!AI294="",AH$7="No aplica"),0,SUM('BOULEVARD 5'!$K292:AK292)-$AP599)</f>
        <v>0</v>
      </c>
      <c r="AI599" s="716">
        <f>IF(OR(status1B5!AJ294="",AI$7="No aplica"),0,SUM('BOULEVARD 5'!$K292:AL292)-$AP599)</f>
        <v>0</v>
      </c>
      <c r="AJ599" s="716">
        <f>IF(OR(status1B5!AK294="",AJ$7="No aplica"),0,SUM('BOULEVARD 5'!$K292:AM292)-$AP599)</f>
        <v>0</v>
      </c>
      <c r="AK599" s="716">
        <f>IF(OR(status1B5!AL294="",AK$7="No aplica"),0,SUM('BOULEVARD 5'!$K292:AN292)-$AP599)</f>
        <v>0</v>
      </c>
      <c r="AL599" s="716">
        <f>IF(OR(status1B5!AM294="",AL$7="No aplica"),0,SUM('BOULEVARD 5'!$K292:AO292)-$AP599)</f>
        <v>0</v>
      </c>
      <c r="AM599" s="716">
        <f>IF(OR(status1B5!AN294="",AM$7="No aplica"),0,SUM('BOULEVARD 5'!$K292:AP292)-$AP599)</f>
        <v>0</v>
      </c>
      <c r="AN599" s="716">
        <f>IF(OR(status1B5!AO294="",AN$7="No aplica"),0,SUM('BOULEVARD 5'!$K292:AQ292)-$AP599)</f>
        <v>0</v>
      </c>
      <c r="AO599" s="716">
        <f>IF(OR(status1B5!AP294="",AO$7="No aplica"),0,SUM('BOULEVARD 5'!$K292:AS292)-$AP599)</f>
        <v>0</v>
      </c>
      <c r="AP599" s="717">
        <f>'BOULEVARD PPTO'!BC287</f>
        <v>139152</v>
      </c>
      <c r="AQ599" s="717">
        <f>'BOULEVARD 5'!AT292</f>
        <v>13600</v>
      </c>
      <c r="AR599" s="717">
        <f t="shared" si="302"/>
        <v>-125552</v>
      </c>
      <c r="AS599" s="717"/>
      <c r="AT599" s="581"/>
    </row>
    <row r="600" spans="1:46" ht="13.15" customHeight="1" outlineLevel="1" x14ac:dyDescent="0.25">
      <c r="A600" s="700">
        <f t="shared" si="300"/>
        <v>0</v>
      </c>
      <c r="B600" s="564">
        <f t="shared" ref="B600:G600" si="331">B295</f>
        <v>1802</v>
      </c>
      <c r="C600" s="564" t="str">
        <f t="shared" si="331"/>
        <v>A10</v>
      </c>
      <c r="D600" s="564">
        <f t="shared" si="331"/>
        <v>0</v>
      </c>
      <c r="E600" s="564" t="str">
        <f t="shared" si="331"/>
        <v>Antonio Rada</v>
      </c>
      <c r="F600" s="581" t="str">
        <f t="shared" si="331"/>
        <v>Fredy Rene Velasquez Quevedo</v>
      </c>
      <c r="G600" s="566">
        <f t="shared" si="331"/>
        <v>45064</v>
      </c>
      <c r="H600" s="716">
        <f>IF(OR(status1B5!I295="",H$7="No aplica"),0,SUM('BOULEVARD 5'!$K293:K293)-$AP600)</f>
        <v>0</v>
      </c>
      <c r="I600" s="716">
        <f>IF(OR(status1B5!J295="",I$7="No aplica"),0,SUM('BOULEVARD 5'!$K293:L293)-$AP600)</f>
        <v>0</v>
      </c>
      <c r="J600" s="716">
        <f>IF(OR(status1B5!K295="",J$7="No aplica"),0,SUM('BOULEVARD 5'!$K293:M293)-$AP600)</f>
        <v>-78900</v>
      </c>
      <c r="K600" s="716">
        <f>IF(OR(status1B5!L295="",K$7="No aplica"),0,SUM('BOULEVARD 5'!$K293:N293)-$AP600)</f>
        <v>-76082</v>
      </c>
      <c r="L600" s="716">
        <f>IF(OR(status1B5!M295="",L$7="No aplica"),0,SUM('BOULEVARD 5'!$K293:O293)-$AP600)</f>
        <v>-73264</v>
      </c>
      <c r="M600" s="716">
        <f>IF(OR(status1B5!N295="",M$7="No aplica"),0,SUM('BOULEVARD 5'!$K293:P293)-$AP600)</f>
        <v>-70446</v>
      </c>
      <c r="N600" s="716">
        <f>IF(OR(status1B5!O295="",N$7="No aplica"),0,SUM('BOULEVARD 5'!$K293:Q293)-$AP600)</f>
        <v>-67628</v>
      </c>
      <c r="O600" s="716">
        <f>IF(OR(status1B5!P295="",O$7="No aplica"),0,SUM('BOULEVARD 5'!$K293:R293)-$AP600)</f>
        <v>-64810</v>
      </c>
      <c r="P600" s="716">
        <f>IF(OR(status1B5!Q295="",P$7="No aplica"),0,SUM('BOULEVARD 5'!$K293:S293)-$AP600)</f>
        <v>-61992</v>
      </c>
      <c r="Q600" s="716">
        <f>IF(OR(status1B5!R295="",Q$7="No aplica"),0,SUM('BOULEVARD 5'!$K293:T293)-$AP600)</f>
        <v>-59174</v>
      </c>
      <c r="R600" s="716">
        <f>IF(OR(status1B5!S295="",R$7="No aplica"),0,SUM('BOULEVARD 5'!$K293:U293)-$AP600)</f>
        <v>-56356</v>
      </c>
      <c r="S600" s="716">
        <f>IF(OR(status1B5!T295="",S$7="No aplica"),0,SUM('BOULEVARD 5'!$K293:V293)-$AP600)</f>
        <v>-53538</v>
      </c>
      <c r="T600" s="716">
        <f>IF(OR(status1B5!U295="",T$7="No aplica"),0,SUM('BOULEVARD 5'!$K293:W293)-$AP600)</f>
        <v>-50720</v>
      </c>
      <c r="U600" s="716">
        <f>IF(OR(status1B5!V295="",U$7="No aplica"),0,SUM('BOULEVARD 5'!$K293:X293)-$AP600)</f>
        <v>-47902</v>
      </c>
      <c r="V600" s="716">
        <f>IF(OR(status1B5!W295="",V$7="No aplica"),0,SUM('BOULEVARD 5'!$K293:Y293)-$AP600)</f>
        <v>-45084</v>
      </c>
      <c r="W600" s="716">
        <f>IF(OR(status1B5!X295="",W$7="No aplica"),0,SUM('BOULEVARD 5'!$K293:Z293)-$AP600)</f>
        <v>-42266</v>
      </c>
      <c r="X600" s="716">
        <f>IF(OR(status1B5!Y295="",X$7="No aplica"),0,SUM('BOULEVARD 5'!$K293:AA293)-$AP600)</f>
        <v>-39448</v>
      </c>
      <c r="Y600" s="716">
        <f>IF(OR(status1B5!Z295="",Y$7="No aplica"),0,SUM('BOULEVARD 5'!$K293:AB293)-$AP600)</f>
        <v>-36630</v>
      </c>
      <c r="Z600" s="716">
        <f>IF(OR(status1B5!AA295="",Z$7="No aplica"),0,SUM('BOULEVARD 5'!$K293:AC293)-$AP600)</f>
        <v>-33812</v>
      </c>
      <c r="AA600" s="716">
        <f>IF(OR(status1B5!AB295="",AA$7="No aplica"),0,SUM('BOULEVARD 5'!$K293:AD293)-$AP600)</f>
        <v>-30994</v>
      </c>
      <c r="AB600" s="716">
        <f>IF(OR(status1B5!AC295="",AB$7="No aplica"),0,SUM('BOULEVARD 5'!$K293:AE293)-$AP600)</f>
        <v>-28176</v>
      </c>
      <c r="AC600" s="716">
        <f>IF(OR(status1B5!AD295="",AC$7="No aplica"),0,SUM('BOULEVARD 5'!$K293:AF293)-$AP600)</f>
        <v>-25358</v>
      </c>
      <c r="AD600" s="716">
        <f>IF(OR(status1B5!AE295="",AD$7="No aplica"),0,SUM('BOULEVARD 5'!$K293:AG293)-$AP600)</f>
        <v>-22540</v>
      </c>
      <c r="AE600" s="716">
        <f>IF(OR(status1B5!AF295="",AE$7="No aplica"),0,SUM('BOULEVARD 5'!$K293:AH293)-$AP600)</f>
        <v>-19722</v>
      </c>
      <c r="AF600" s="716">
        <f>IF(OR(status1B5!AG295="",AF$7="No aplica"),0,SUM('BOULEVARD 5'!$K293:AI293)-$AP600)</f>
        <v>-16904</v>
      </c>
      <c r="AG600" s="716">
        <f>IF(OR(status1B5!AH295="",AG$7="No aplica"),0,SUM('BOULEVARD 5'!$K293:AJ293)-$AP600)</f>
        <v>-14086</v>
      </c>
      <c r="AH600" s="716">
        <f>IF(OR(status1B5!AI295="",AH$7="No aplica"),0,SUM('BOULEVARD 5'!$K293:AK293)-$AP600)</f>
        <v>-11268</v>
      </c>
      <c r="AI600" s="716">
        <f>IF(OR(status1B5!AJ295="",AI$7="No aplica"),0,SUM('BOULEVARD 5'!$K293:AL293)-$AP600)</f>
        <v>-8450</v>
      </c>
      <c r="AJ600" s="716">
        <f>IF(OR(status1B5!AK295="",AJ$7="No aplica"),0,SUM('BOULEVARD 5'!$K293:AM293)-$AP600)</f>
        <v>-5632</v>
      </c>
      <c r="AK600" s="716">
        <f>IF(OR(status1B5!AL295="",AK$7="No aplica"),0,SUM('BOULEVARD 5'!$K293:AN293)-$AP600)</f>
        <v>-2814</v>
      </c>
      <c r="AL600" s="716">
        <f>IF(OR(status1B5!AM295="",AL$7="No aplica"),0,SUM('BOULEVARD 5'!$K293:AO293)-$AP600)</f>
        <v>4</v>
      </c>
      <c r="AM600" s="716">
        <f>IF(OR(status1B5!AN295="",AM$7="No aplica"),0,SUM('BOULEVARD 5'!$K293:AP293)-$AP600)</f>
        <v>4</v>
      </c>
      <c r="AN600" s="716">
        <f>IF(OR(status1B5!AO295="",AN$7="No aplica"),0,SUM('BOULEVARD 5'!$K293:AQ293)-$AP600)</f>
        <v>0</v>
      </c>
      <c r="AO600" s="716">
        <f>IF(OR(status1B5!AP295="",AO$7="No aplica"),0,SUM('BOULEVARD 5'!$K293:AS293)-$AP600)</f>
        <v>0</v>
      </c>
      <c r="AP600" s="717">
        <f>'BOULEVARD PPTO'!BC288</f>
        <v>84900</v>
      </c>
      <c r="AQ600" s="717">
        <f>'BOULEVARD 5'!AT293</f>
        <v>384904</v>
      </c>
      <c r="AR600" s="717">
        <f t="shared" si="302"/>
        <v>300004</v>
      </c>
      <c r="AS600" s="717"/>
      <c r="AT600" s="581"/>
    </row>
    <row r="601" spans="1:46" ht="13.15" customHeight="1" outlineLevel="1" x14ac:dyDescent="0.25">
      <c r="A601" s="700">
        <f t="shared" si="300"/>
        <v>0</v>
      </c>
      <c r="B601" s="564">
        <f t="shared" ref="B601:G601" si="332">B296</f>
        <v>1803</v>
      </c>
      <c r="C601" s="564" t="str">
        <f t="shared" si="332"/>
        <v>D5</v>
      </c>
      <c r="D601" s="564">
        <f t="shared" si="332"/>
        <v>0</v>
      </c>
      <c r="E601" s="564" t="str">
        <f t="shared" si="332"/>
        <v>Anahi Cisneros</v>
      </c>
      <c r="F601" s="581" t="str">
        <f t="shared" si="332"/>
        <v>Rivabella S.A.</v>
      </c>
      <c r="G601" s="566">
        <f t="shared" si="332"/>
        <v>45976</v>
      </c>
      <c r="H601" s="716">
        <f>IF(OR(status1B5!I296="",H$7="No aplica"),0,SUM('BOULEVARD 5'!$K294:K294)-$AP601)</f>
        <v>0</v>
      </c>
      <c r="I601" s="716">
        <f>IF(OR(status1B5!J296="",I$7="No aplica"),0,SUM('BOULEVARD 5'!$K294:L294)-$AP601)</f>
        <v>0</v>
      </c>
      <c r="J601" s="716">
        <f>IF(OR(status1B5!K296="",J$7="No aplica"),0,SUM('BOULEVARD 5'!$K294:M294)-$AP601)</f>
        <v>0</v>
      </c>
      <c r="K601" s="716">
        <f>IF(OR(status1B5!L296="",K$7="No aplica"),0,SUM('BOULEVARD 5'!$K294:N294)-$AP601)</f>
        <v>0</v>
      </c>
      <c r="L601" s="716">
        <f>IF(OR(status1B5!M296="",L$7="No aplica"),0,SUM('BOULEVARD 5'!$K294:O294)-$AP601)</f>
        <v>0</v>
      </c>
      <c r="M601" s="716">
        <f>IF(OR(status1B5!N296="",M$7="No aplica"),0,SUM('BOULEVARD 5'!$K294:P294)-$AP601)</f>
        <v>0</v>
      </c>
      <c r="N601" s="716">
        <f>IF(OR(status1B5!O296="",N$7="No aplica"),0,SUM('BOULEVARD 5'!$K294:Q294)-$AP601)</f>
        <v>0</v>
      </c>
      <c r="O601" s="716">
        <f>IF(OR(status1B5!P296="",O$7="No aplica"),0,SUM('BOULEVARD 5'!$K294:R294)-$AP601)</f>
        <v>0</v>
      </c>
      <c r="P601" s="716">
        <f>IF(OR(status1B5!Q296="",P$7="No aplica"),0,SUM('BOULEVARD 5'!$K294:S294)-$AP601)</f>
        <v>0</v>
      </c>
      <c r="Q601" s="716">
        <f>IF(OR(status1B5!R296="",Q$7="No aplica"),0,SUM('BOULEVARD 5'!$K294:T294)-$AP601)</f>
        <v>0</v>
      </c>
      <c r="R601" s="716">
        <f>IF(OR(status1B5!S296="",R$7="No aplica"),0,SUM('BOULEVARD 5'!$K294:U294)-$AP601)</f>
        <v>0</v>
      </c>
      <c r="S601" s="716">
        <f>IF(OR(status1B5!T296="",S$7="No aplica"),0,SUM('BOULEVARD 5'!$K294:V294)-$AP601)</f>
        <v>0</v>
      </c>
      <c r="T601" s="716">
        <f>IF(OR(status1B5!U296="",T$7="No aplica"),0,SUM('BOULEVARD 5'!$K294:W294)-$AP601)</f>
        <v>0</v>
      </c>
      <c r="U601" s="716">
        <f>IF(OR(status1B5!V296="",U$7="No aplica"),0,SUM('BOULEVARD 5'!$K294:X294)-$AP601)</f>
        <v>0</v>
      </c>
      <c r="V601" s="716">
        <f>IF(OR(status1B5!W296="",V$7="No aplica"),0,SUM('BOULEVARD 5'!$K294:Y294)-$AP601)</f>
        <v>0</v>
      </c>
      <c r="W601" s="716">
        <f>IF(OR(status1B5!X296="",W$7="No aplica"),0,SUM('BOULEVARD 5'!$K294:Z294)-$AP601)</f>
        <v>0</v>
      </c>
      <c r="X601" s="716">
        <f>IF(OR(status1B5!Y296="",X$7="No aplica"),0,SUM('BOULEVARD 5'!$K294:AA294)-$AP601)</f>
        <v>0</v>
      </c>
      <c r="Y601" s="716">
        <f>IF(OR(status1B5!Z296="",Y$7="No aplica"),0,SUM('BOULEVARD 5'!$K294:AB294)-$AP601)</f>
        <v>0</v>
      </c>
      <c r="Z601" s="716">
        <f>IF(OR(status1B5!AA296="",Z$7="No aplica"),0,SUM('BOULEVARD 5'!$K294:AC294)-$AP601)</f>
        <v>0</v>
      </c>
      <c r="AA601" s="716">
        <f>IF(OR(status1B5!AB296="",AA$7="No aplica"),0,SUM('BOULEVARD 5'!$K294:AD294)-$AP601)</f>
        <v>0</v>
      </c>
      <c r="AB601" s="716">
        <f>IF(OR(status1B5!AC296="",AB$7="No aplica"),0,SUM('BOULEVARD 5'!$K294:AE294)-$AP601)</f>
        <v>0</v>
      </c>
      <c r="AC601" s="716">
        <f>IF(OR(status1B5!AD296="",AC$7="No aplica"),0,SUM('BOULEVARD 5'!$K294:AF294)-$AP601)</f>
        <v>0</v>
      </c>
      <c r="AD601" s="716">
        <f>IF(OR(status1B5!AE296="",AD$7="No aplica"),0,SUM('BOULEVARD 5'!$K294:AG294)-$AP601)</f>
        <v>0</v>
      </c>
      <c r="AE601" s="716">
        <f>IF(OR(status1B5!AF296="",AE$7="No aplica"),0,SUM('BOULEVARD 5'!$K294:AH294)-$AP601)</f>
        <v>0</v>
      </c>
      <c r="AF601" s="716">
        <f>IF(OR(status1B5!AG296="",AF$7="No aplica"),0,SUM('BOULEVARD 5'!$K294:AI294)-$AP601)</f>
        <v>0</v>
      </c>
      <c r="AG601" s="716">
        <f>IF(OR(status1B5!AH296="",AG$7="No aplica"),0,SUM('BOULEVARD 5'!$K294:AJ294)-$AP601)</f>
        <v>0</v>
      </c>
      <c r="AH601" s="716">
        <f>IF(OR(status1B5!AI296="",AH$7="No aplica"),0,SUM('BOULEVARD 5'!$K294:AK294)-$AP601)</f>
        <v>0</v>
      </c>
      <c r="AI601" s="716">
        <f>IF(OR(status1B5!AJ296="",AI$7="No aplica"),0,SUM('BOULEVARD 5'!$K294:AL294)-$AP601)</f>
        <v>0</v>
      </c>
      <c r="AJ601" s="716">
        <f>IF(OR(status1B5!AK296="",AJ$7="No aplica"),0,SUM('BOULEVARD 5'!$K294:AM294)-$AP601)</f>
        <v>0</v>
      </c>
      <c r="AK601" s="716">
        <f>IF(OR(status1B5!AL296="",AK$7="No aplica"),0,SUM('BOULEVARD 5'!$K294:AN294)-$AP601)</f>
        <v>0</v>
      </c>
      <c r="AL601" s="716">
        <f>IF(OR(status1B5!AM296="",AL$7="No aplica"),0,SUM('BOULEVARD 5'!$K294:AO294)-$AP601)</f>
        <v>0</v>
      </c>
      <c r="AM601" s="716">
        <f>IF(OR(status1B5!AN296="",AM$7="No aplica"),0,SUM('BOULEVARD 5'!$K294:AP294)-$AP601)</f>
        <v>0</v>
      </c>
      <c r="AN601" s="716">
        <f>IF(OR(status1B5!AO296="",AN$7="No aplica"),0,SUM('BOULEVARD 5'!$K294:AQ294)-$AP601)</f>
        <v>0</v>
      </c>
      <c r="AO601" s="716">
        <f>IF(OR(status1B5!AP296="",AO$7="No aplica"),0,SUM('BOULEVARD 5'!$K294:AS294)-$AP601)</f>
        <v>0</v>
      </c>
      <c r="AP601" s="717">
        <f>'BOULEVARD PPTO'!BC289</f>
        <v>0</v>
      </c>
      <c r="AQ601" s="717">
        <f>'BOULEVARD 5'!AT294</f>
        <v>295500</v>
      </c>
      <c r="AR601" s="717">
        <f t="shared" si="302"/>
        <v>295500</v>
      </c>
      <c r="AS601" s="717"/>
      <c r="AT601" s="581"/>
    </row>
    <row r="602" spans="1:46" ht="13.15" customHeight="1" outlineLevel="1" x14ac:dyDescent="0.25">
      <c r="A602" s="700">
        <f t="shared" si="300"/>
        <v>0</v>
      </c>
      <c r="B602" s="564">
        <f t="shared" ref="B602:G602" si="333">B297</f>
        <v>1804</v>
      </c>
      <c r="C602" s="564" t="str">
        <f t="shared" si="333"/>
        <v>A5</v>
      </c>
      <c r="D602" s="564">
        <f t="shared" si="333"/>
        <v>0</v>
      </c>
      <c r="E602" s="564" t="str">
        <f t="shared" si="333"/>
        <v>Brenda Búcaro</v>
      </c>
      <c r="F602" s="581" t="str">
        <f t="shared" si="333"/>
        <v>Juan Pablo Monterroso Arroyo</v>
      </c>
      <c r="G602" s="566">
        <f t="shared" si="333"/>
        <v>44995</v>
      </c>
      <c r="H602" s="716">
        <f>IF(OR(status1B5!I297="",H$7="No aplica"),0,SUM('BOULEVARD 5'!$K295:K295)-$AP602)</f>
        <v>-56000</v>
      </c>
      <c r="I602" s="716">
        <f>IF(OR(status1B5!J297="",I$7="No aplica"),0,SUM('BOULEVARD 5'!$K295:L295)-$AP602)</f>
        <v>-54400</v>
      </c>
      <c r="J602" s="716">
        <f>IF(OR(status1B5!K297="",J$7="No aplica"),0,SUM('BOULEVARD 5'!$K295:M295)-$AP602)</f>
        <v>-52800</v>
      </c>
      <c r="K602" s="716">
        <f>IF(OR(status1B5!L297="",K$7="No aplica"),0,SUM('BOULEVARD 5'!$K295:N295)-$AP602)</f>
        <v>-51200</v>
      </c>
      <c r="L602" s="716">
        <f>IF(OR(status1B5!M297="",L$7="No aplica"),0,SUM('BOULEVARD 5'!$K295:O295)-$AP602)</f>
        <v>-49600</v>
      </c>
      <c r="M602" s="716">
        <f>IF(OR(status1B5!N297="",M$7="No aplica"),0,SUM('BOULEVARD 5'!$K295:P295)-$AP602)</f>
        <v>-48000</v>
      </c>
      <c r="N602" s="716">
        <f>IF(OR(status1B5!O297="",N$7="No aplica"),0,SUM('BOULEVARD 5'!$K295:Q295)-$AP602)</f>
        <v>-46400</v>
      </c>
      <c r="O602" s="716">
        <f>IF(OR(status1B5!P297="",O$7="No aplica"),0,SUM('BOULEVARD 5'!$K295:R295)-$AP602)</f>
        <v>-44800</v>
      </c>
      <c r="P602" s="716">
        <f>IF(OR(status1B5!Q297="",P$7="No aplica"),0,SUM('BOULEVARD 5'!$K295:S295)-$AP602)</f>
        <v>-44800</v>
      </c>
      <c r="Q602" s="716">
        <f>IF(OR(status1B5!R297="",Q$7="No aplica"),0,SUM('BOULEVARD 5'!$K295:T295)-$AP602)</f>
        <v>-43200</v>
      </c>
      <c r="R602" s="716">
        <f>IF(OR(status1B5!S297="",R$7="No aplica"),0,SUM('BOULEVARD 5'!$K295:U295)-$AP602)</f>
        <v>-41600</v>
      </c>
      <c r="S602" s="716">
        <f>IF(OR(status1B5!T297="",S$7="No aplica"),0,SUM('BOULEVARD 5'!$K295:V295)-$AP602)</f>
        <v>-38740</v>
      </c>
      <c r="T602" s="716">
        <f>IF(OR(status1B5!U297="",T$7="No aplica"),0,SUM('BOULEVARD 5'!$K295:W295)-$AP602)</f>
        <v>-37140</v>
      </c>
      <c r="U602" s="716">
        <f>IF(OR(status1B5!V297="",U$7="No aplica"),0,SUM('BOULEVARD 5'!$K295:X295)-$AP602)</f>
        <v>-35540</v>
      </c>
      <c r="V602" s="716">
        <f>IF(OR(status1B5!W297="",V$7="No aplica"),0,SUM('BOULEVARD 5'!$K295:Y295)-$AP602)</f>
        <v>-33940</v>
      </c>
      <c r="W602" s="716">
        <f>IF(OR(status1B5!X297="",W$7="No aplica"),0,SUM('BOULEVARD 5'!$K295:Z295)-$AP602)</f>
        <v>-32340</v>
      </c>
      <c r="X602" s="716">
        <f>IF(OR(status1B5!Y297="",X$7="No aplica"),0,SUM('BOULEVARD 5'!$K295:AA295)-$AP602)</f>
        <v>-30740</v>
      </c>
      <c r="Y602" s="716">
        <f>IF(OR(status1B5!Z297="",Y$7="No aplica"),0,SUM('BOULEVARD 5'!$K295:AB295)-$AP602)</f>
        <v>-29140</v>
      </c>
      <c r="Z602" s="716">
        <f>IF(OR(status1B5!AA297="",Z$7="No aplica"),0,SUM('BOULEVARD 5'!$K295:AC295)-$AP602)</f>
        <v>-29140</v>
      </c>
      <c r="AA602" s="716">
        <f>IF(OR(status1B5!AB297="",AA$7="No aplica"),0,SUM('BOULEVARD 5'!$K295:AD295)-$AP602)</f>
        <v>-27540</v>
      </c>
      <c r="AB602" s="716">
        <f>IF(OR(status1B5!AC297="",AB$7="No aplica"),0,SUM('BOULEVARD 5'!$K295:AE295)-$AP602)</f>
        <v>-25940</v>
      </c>
      <c r="AC602" s="716">
        <f>IF(OR(status1B5!AD297="",AC$7="No aplica"),0,SUM('BOULEVARD 5'!$K295:AF295)-$AP602)</f>
        <v>-24340</v>
      </c>
      <c r="AD602" s="716">
        <f>IF(OR(status1B5!AE297="",AD$7="No aplica"),0,SUM('BOULEVARD 5'!$K295:AG295)-$AP602)</f>
        <v>-24340</v>
      </c>
      <c r="AE602" s="716">
        <f>IF(OR(status1B5!AF297="",AE$7="No aplica"),0,SUM('BOULEVARD 5'!$K295:AH295)-$AP602)</f>
        <v>-21140</v>
      </c>
      <c r="AF602" s="716">
        <f>IF(OR(status1B5!AG297="",AF$7="No aplica"),0,SUM('BOULEVARD 5'!$K295:AI295)-$AP602)</f>
        <v>-19540</v>
      </c>
      <c r="AG602" s="716">
        <f>IF(OR(status1B5!AH297="",AG$7="No aplica"),0,SUM('BOULEVARD 5'!$K295:AJ295)-$AP602)</f>
        <v>-17940</v>
      </c>
      <c r="AH602" s="716">
        <f>IF(OR(status1B5!AI297="",AH$7="No aplica"),0,SUM('BOULEVARD 5'!$K295:AK295)-$AP602)</f>
        <v>-16340</v>
      </c>
      <c r="AI602" s="716">
        <f>IF(OR(status1B5!AJ297="",AI$7="No aplica"),0,SUM('BOULEVARD 5'!$K295:AL295)-$AP602)</f>
        <v>-14740</v>
      </c>
      <c r="AJ602" s="716">
        <f>IF(OR(status1B5!AK297="",AJ$7="No aplica"),0,SUM('BOULEVARD 5'!$K295:AM295)-$AP602)</f>
        <v>-13140</v>
      </c>
      <c r="AK602" s="716">
        <f>IF(OR(status1B5!AL297="",AK$7="No aplica"),0,SUM('BOULEVARD 5'!$K295:AN295)-$AP602)</f>
        <v>-11540</v>
      </c>
      <c r="AL602" s="716">
        <f>IF(OR(status1B5!AM297="",AL$7="No aplica"),0,SUM('BOULEVARD 5'!$K295:AO295)-$AP602)</f>
        <v>-9940</v>
      </c>
      <c r="AM602" s="716">
        <f>IF(OR(status1B5!AN297="",AM$7="No aplica"),0,SUM('BOULEVARD 5'!$K295:AP295)-$AP602)</f>
        <v>-9940</v>
      </c>
      <c r="AN602" s="716">
        <f>IF(OR(status1B5!AO297="",AN$7="No aplica"),0,SUM('BOULEVARD 5'!$K295:AQ295)-$AP602)</f>
        <v>0</v>
      </c>
      <c r="AO602" s="716">
        <f>IF(OR(status1B5!AP297="",AO$7="No aplica"),0,SUM('BOULEVARD 5'!$K295:AS295)-$AP602)</f>
        <v>0</v>
      </c>
      <c r="AP602" s="717">
        <f>'BOULEVARD PPTO'!BC290</f>
        <v>62000</v>
      </c>
      <c r="AQ602" s="717">
        <f>'BOULEVARD 5'!AT295</f>
        <v>53660</v>
      </c>
      <c r="AR602" s="717">
        <f t="shared" si="302"/>
        <v>-8340</v>
      </c>
      <c r="AS602" s="717"/>
      <c r="AT602" s="581"/>
    </row>
    <row r="603" spans="1:46" ht="13.15" customHeight="1" outlineLevel="1" x14ac:dyDescent="0.25">
      <c r="A603" s="700">
        <f t="shared" si="300"/>
        <v>0</v>
      </c>
      <c r="B603" s="564">
        <f t="shared" ref="B603:G603" si="334">B298</f>
        <v>1805</v>
      </c>
      <c r="C603" s="564" t="str">
        <f t="shared" si="334"/>
        <v>D6</v>
      </c>
      <c r="D603" s="564">
        <f t="shared" si="334"/>
        <v>0</v>
      </c>
      <c r="E603" s="564" t="str">
        <f t="shared" si="334"/>
        <v/>
      </c>
      <c r="F603" s="581" t="str">
        <f t="shared" si="334"/>
        <v>Sergio Rafael Marroquín Sáenz</v>
      </c>
      <c r="G603" s="566">
        <f t="shared" si="334"/>
        <v>45995</v>
      </c>
      <c r="H603" s="716">
        <f>IF(OR(status1B5!I298="",H$7="No aplica"),0,SUM('BOULEVARD 5'!$K296:K296)-$AP603)</f>
        <v>0</v>
      </c>
      <c r="I603" s="716">
        <f>IF(OR(status1B5!J298="",I$7="No aplica"),0,SUM('BOULEVARD 5'!$K296:L296)-$AP603)</f>
        <v>0</v>
      </c>
      <c r="J603" s="716">
        <f>IF(OR(status1B5!K298="",J$7="No aplica"),0,SUM('BOULEVARD 5'!$K296:M296)-$AP603)</f>
        <v>0</v>
      </c>
      <c r="K603" s="716">
        <f>IF(OR(status1B5!L298="",K$7="No aplica"),0,SUM('BOULEVARD 5'!$K296:N296)-$AP603)</f>
        <v>0</v>
      </c>
      <c r="L603" s="716">
        <f>IF(OR(status1B5!M298="",L$7="No aplica"),0,SUM('BOULEVARD 5'!$K296:O296)-$AP603)</f>
        <v>0</v>
      </c>
      <c r="M603" s="716">
        <f>IF(OR(status1B5!N298="",M$7="No aplica"),0,SUM('BOULEVARD 5'!$K296:P296)-$AP603)</f>
        <v>0</v>
      </c>
      <c r="N603" s="716">
        <f>IF(OR(status1B5!O298="",N$7="No aplica"),0,SUM('BOULEVARD 5'!$K296:Q296)-$AP603)</f>
        <v>0</v>
      </c>
      <c r="O603" s="716">
        <f>IF(OR(status1B5!P298="",O$7="No aplica"),0,SUM('BOULEVARD 5'!$K296:R296)-$AP603)</f>
        <v>0</v>
      </c>
      <c r="P603" s="716">
        <f>IF(OR(status1B5!Q298="",P$7="No aplica"),0,SUM('BOULEVARD 5'!$K296:S296)-$AP603)</f>
        <v>0</v>
      </c>
      <c r="Q603" s="716">
        <f>IF(OR(status1B5!R298="",Q$7="No aplica"),0,SUM('BOULEVARD 5'!$K296:T296)-$AP603)</f>
        <v>0</v>
      </c>
      <c r="R603" s="716">
        <f>IF(OR(status1B5!S298="",R$7="No aplica"),0,SUM('BOULEVARD 5'!$K296:U296)-$AP603)</f>
        <v>0</v>
      </c>
      <c r="S603" s="716">
        <f>IF(OR(status1B5!T298="",S$7="No aplica"),0,SUM('BOULEVARD 5'!$K296:V296)-$AP603)</f>
        <v>0</v>
      </c>
      <c r="T603" s="716">
        <f>IF(OR(status1B5!U298="",T$7="No aplica"),0,SUM('BOULEVARD 5'!$K296:W296)-$AP603)</f>
        <v>0</v>
      </c>
      <c r="U603" s="716">
        <f>IF(OR(status1B5!V298="",U$7="No aplica"),0,SUM('BOULEVARD 5'!$K296:X296)-$AP603)</f>
        <v>0</v>
      </c>
      <c r="V603" s="716">
        <f>IF(OR(status1B5!W298="",V$7="No aplica"),0,SUM('BOULEVARD 5'!$K296:Y296)-$AP603)</f>
        <v>0</v>
      </c>
      <c r="W603" s="716">
        <f>IF(OR(status1B5!X298="",W$7="No aplica"),0,SUM('BOULEVARD 5'!$K296:Z296)-$AP603)</f>
        <v>0</v>
      </c>
      <c r="X603" s="716">
        <f>IF(OR(status1B5!Y298="",X$7="No aplica"),0,SUM('BOULEVARD 5'!$K296:AA296)-$AP603)</f>
        <v>0</v>
      </c>
      <c r="Y603" s="716">
        <f>IF(OR(status1B5!Z298="",Y$7="No aplica"),0,SUM('BOULEVARD 5'!$K296:AB296)-$AP603)</f>
        <v>0</v>
      </c>
      <c r="Z603" s="716">
        <f>IF(OR(status1B5!AA298="",Z$7="No aplica"),0,SUM('BOULEVARD 5'!$K296:AC296)-$AP603)</f>
        <v>0</v>
      </c>
      <c r="AA603" s="716">
        <f>IF(OR(status1B5!AB298="",AA$7="No aplica"),0,SUM('BOULEVARD 5'!$K296:AD296)-$AP603)</f>
        <v>0</v>
      </c>
      <c r="AB603" s="716">
        <f>IF(OR(status1B5!AC298="",AB$7="No aplica"),0,SUM('BOULEVARD 5'!$K296:AE296)-$AP603)</f>
        <v>0</v>
      </c>
      <c r="AC603" s="716">
        <f>IF(OR(status1B5!AD298="",AC$7="No aplica"),0,SUM('BOULEVARD 5'!$K296:AF296)-$AP603)</f>
        <v>0</v>
      </c>
      <c r="AD603" s="716">
        <f>IF(OR(status1B5!AE298="",AD$7="No aplica"),0,SUM('BOULEVARD 5'!$K296:AG296)-$AP603)</f>
        <v>0</v>
      </c>
      <c r="AE603" s="716">
        <f>IF(OR(status1B5!AF298="",AE$7="No aplica"),0,SUM('BOULEVARD 5'!$K296:AH296)-$AP603)</f>
        <v>0</v>
      </c>
      <c r="AF603" s="716">
        <f>IF(OR(status1B5!AG298="",AF$7="No aplica"),0,SUM('BOULEVARD 5'!$K296:AI296)-$AP603)</f>
        <v>0</v>
      </c>
      <c r="AG603" s="716">
        <f>IF(OR(status1B5!AH298="",AG$7="No aplica"),0,SUM('BOULEVARD 5'!$K296:AJ296)-$AP603)</f>
        <v>0</v>
      </c>
      <c r="AH603" s="716">
        <f>IF(OR(status1B5!AI298="",AH$7="No aplica"),0,SUM('BOULEVARD 5'!$K296:AK296)-$AP603)</f>
        <v>0</v>
      </c>
      <c r="AI603" s="716">
        <f>IF(OR(status1B5!AJ298="",AI$7="No aplica"),0,SUM('BOULEVARD 5'!$K296:AL296)-$AP603)</f>
        <v>0</v>
      </c>
      <c r="AJ603" s="716">
        <f>IF(OR(status1B5!AK298="",AJ$7="No aplica"),0,SUM('BOULEVARD 5'!$K296:AM296)-$AP603)</f>
        <v>0</v>
      </c>
      <c r="AK603" s="716">
        <f>IF(OR(status1B5!AL298="",AK$7="No aplica"),0,SUM('BOULEVARD 5'!$K296:AN296)-$AP603)</f>
        <v>0</v>
      </c>
      <c r="AL603" s="716">
        <f>IF(OR(status1B5!AM298="",AL$7="No aplica"),0,SUM('BOULEVARD 5'!$K296:AO296)-$AP603)</f>
        <v>0</v>
      </c>
      <c r="AM603" s="716">
        <f>IF(OR(status1B5!AN298="",AM$7="No aplica"),0,SUM('BOULEVARD 5'!$K296:AP296)-$AP603)</f>
        <v>0</v>
      </c>
      <c r="AN603" s="716">
        <f>IF(OR(status1B5!AO298="",AN$7="No aplica"),0,SUM('BOULEVARD 5'!$K296:AQ296)-$AP603)</f>
        <v>0</v>
      </c>
      <c r="AO603" s="716">
        <f>IF(OR(status1B5!AP298="",AO$7="No aplica"),0,SUM('BOULEVARD 5'!$K296:AS296)-$AP603)</f>
        <v>0</v>
      </c>
      <c r="AP603" s="717">
        <f>'BOULEVARD PPTO'!BC291</f>
        <v>0</v>
      </c>
      <c r="AQ603" s="717">
        <f>'BOULEVARD 5'!AT296</f>
        <v>10000</v>
      </c>
      <c r="AR603" s="717">
        <f t="shared" si="302"/>
        <v>10000</v>
      </c>
      <c r="AS603" s="717"/>
      <c r="AT603" s="581"/>
    </row>
    <row r="604" spans="1:46" ht="13.15" customHeight="1" outlineLevel="1" x14ac:dyDescent="0.25">
      <c r="A604" s="700">
        <f t="shared" si="300"/>
        <v>0</v>
      </c>
      <c r="B604" s="564">
        <f t="shared" ref="B604:G604" si="335">B299</f>
        <v>1806</v>
      </c>
      <c r="C604" s="564" t="str">
        <f t="shared" si="335"/>
        <v>B4</v>
      </c>
      <c r="D604" s="564">
        <f t="shared" si="335"/>
        <v>0</v>
      </c>
      <c r="E604" s="564" t="str">
        <f t="shared" si="335"/>
        <v>Antonio Rada</v>
      </c>
      <c r="F604" s="581" t="str">
        <f t="shared" si="335"/>
        <v>Business View Sociedad Anonima</v>
      </c>
      <c r="G604" s="566">
        <f t="shared" si="335"/>
        <v>45014</v>
      </c>
      <c r="H604" s="716">
        <f>IF(OR(status1B5!I299="",H$7="No aplica"),0,SUM('BOULEVARD 5'!$K297:K297)-$AP604)</f>
        <v>-80150.58</v>
      </c>
      <c r="I604" s="716">
        <f>IF(OR(status1B5!J299="",I$7="No aplica"),0,SUM('BOULEVARD 5'!$K297:L297)-$AP604)</f>
        <v>-77860.58</v>
      </c>
      <c r="J604" s="716">
        <f>IF(OR(status1B5!K299="",J$7="No aplica"),0,SUM('BOULEVARD 5'!$K297:M297)-$AP604)</f>
        <v>-75570.58</v>
      </c>
      <c r="K604" s="716">
        <f>IF(OR(status1B5!L299="",K$7="No aplica"),0,SUM('BOULEVARD 5'!$K297:N297)-$AP604)</f>
        <v>-73280.58</v>
      </c>
      <c r="L604" s="716">
        <f>IF(OR(status1B5!M299="",L$7="No aplica"),0,SUM('BOULEVARD 5'!$K297:O297)-$AP604)</f>
        <v>-70990.58</v>
      </c>
      <c r="M604" s="716">
        <f>IF(OR(status1B5!N299="",M$7="No aplica"),0,SUM('BOULEVARD 5'!$K297:P297)-$AP604)</f>
        <v>-68700.58</v>
      </c>
      <c r="N604" s="716">
        <f>IF(OR(status1B5!O299="",N$7="No aplica"),0,SUM('BOULEVARD 5'!$K297:Q297)-$AP604)</f>
        <v>-66410.58</v>
      </c>
      <c r="O604" s="716">
        <f>IF(OR(status1B5!P299="",O$7="No aplica"),0,SUM('BOULEVARD 5'!$K297:R297)-$AP604)</f>
        <v>-64120.58</v>
      </c>
      <c r="P604" s="716">
        <f>IF(OR(status1B5!Q299="",P$7="No aplica"),0,SUM('BOULEVARD 5'!$K297:S297)-$AP604)</f>
        <v>-61830.58</v>
      </c>
      <c r="Q604" s="716">
        <f>IF(OR(status1B5!R299="",Q$7="No aplica"),0,SUM('BOULEVARD 5'!$K297:T297)-$AP604)</f>
        <v>-59540.58</v>
      </c>
      <c r="R604" s="716">
        <f>IF(OR(status1B5!S299="",R$7="No aplica"),0,SUM('BOULEVARD 5'!$K297:U297)-$AP604)</f>
        <v>-57250.58</v>
      </c>
      <c r="S604" s="716">
        <f>IF(OR(status1B5!T299="",S$7="No aplica"),0,SUM('BOULEVARD 5'!$K297:V297)-$AP604)</f>
        <v>-54960.58</v>
      </c>
      <c r="T604" s="716">
        <f>IF(OR(status1B5!U299="",T$7="No aplica"),0,SUM('BOULEVARD 5'!$K297:W297)-$AP604)</f>
        <v>-52670.58</v>
      </c>
      <c r="U604" s="716">
        <f>IF(OR(status1B5!V299="",U$7="No aplica"),0,SUM('BOULEVARD 5'!$K297:X297)-$AP604)</f>
        <v>-48090.58</v>
      </c>
      <c r="V604" s="716">
        <f>IF(OR(status1B5!W299="",V$7="No aplica"),0,SUM('BOULEVARD 5'!$K297:Y297)-$AP604)</f>
        <v>-48090.58</v>
      </c>
      <c r="W604" s="716">
        <f>IF(OR(status1B5!X299="",W$7="No aplica"),0,SUM('BOULEVARD 5'!$K297:Z297)-$AP604)</f>
        <v>-45800.58</v>
      </c>
      <c r="X604" s="716">
        <f>IF(OR(status1B5!Y299="",X$7="No aplica"),0,SUM('BOULEVARD 5'!$K297:AA297)-$AP604)</f>
        <v>-43510.58</v>
      </c>
      <c r="Y604" s="716">
        <f>IF(OR(status1B5!Z299="",Y$7="No aplica"),0,SUM('BOULEVARD 5'!$K297:AB297)-$AP604)</f>
        <v>-41220.58</v>
      </c>
      <c r="Z604" s="716">
        <f>IF(OR(status1B5!AA299="",Z$7="No aplica"),0,SUM('BOULEVARD 5'!$K297:AC297)-$AP604)</f>
        <v>-38930.58</v>
      </c>
      <c r="AA604" s="716">
        <f>IF(OR(status1B5!AB299="",AA$7="No aplica"),0,SUM('BOULEVARD 5'!$K297:AD297)-$AP604)</f>
        <v>-36640.58</v>
      </c>
      <c r="AB604" s="716">
        <f>IF(OR(status1B5!AC299="",AB$7="No aplica"),0,SUM('BOULEVARD 5'!$K297:AE297)-$AP604)</f>
        <v>-34350.58</v>
      </c>
      <c r="AC604" s="716">
        <f>IF(OR(status1B5!AD299="",AC$7="No aplica"),0,SUM('BOULEVARD 5'!$K297:AF297)-$AP604)</f>
        <v>-32060.58</v>
      </c>
      <c r="AD604" s="716">
        <f>IF(OR(status1B5!AE299="",AD$7="No aplica"),0,SUM('BOULEVARD 5'!$K297:AG297)-$AP604)</f>
        <v>-29770.58</v>
      </c>
      <c r="AE604" s="716">
        <f>IF(OR(status1B5!AF299="",AE$7="No aplica"),0,SUM('BOULEVARD 5'!$K297:AH297)-$AP604)</f>
        <v>-25190.58</v>
      </c>
      <c r="AF604" s="716">
        <f>IF(OR(status1B5!AG299="",AF$7="No aplica"),0,SUM('BOULEVARD 5'!$K297:AI297)-$AP604)</f>
        <v>-22900.58</v>
      </c>
      <c r="AG604" s="716">
        <f>IF(OR(status1B5!AH299="",AG$7="No aplica"),0,SUM('BOULEVARD 5'!$K297:AJ297)-$AP604)</f>
        <v>-20610.580000000002</v>
      </c>
      <c r="AH604" s="716">
        <f>IF(OR(status1B5!AI299="",AH$7="No aplica"),0,SUM('BOULEVARD 5'!$K297:AK297)-$AP604)</f>
        <v>-20610.580000000002</v>
      </c>
      <c r="AI604" s="716">
        <f>IF(OR(status1B5!AJ299="",AI$7="No aplica"),0,SUM('BOULEVARD 5'!$K297:AL297)-$AP604)</f>
        <v>-20610.580000000002</v>
      </c>
      <c r="AJ604" s="716">
        <f>IF(OR(status1B5!AK299="",AJ$7="No aplica"),0,SUM('BOULEVARD 5'!$K297:AM297)-$AP604)</f>
        <v>-16030.580000000002</v>
      </c>
      <c r="AK604" s="716">
        <f>IF(OR(status1B5!AL299="",AK$7="No aplica"),0,SUM('BOULEVARD 5'!$K297:AN297)-$AP604)</f>
        <v>-13740.580000000002</v>
      </c>
      <c r="AL604" s="716">
        <f>IF(OR(status1B5!AM299="",AL$7="No aplica"),0,SUM('BOULEVARD 5'!$K297:AO297)-$AP604)</f>
        <v>-11450.580000000002</v>
      </c>
      <c r="AM604" s="716">
        <f>IF(OR(status1B5!AN299="",AM$7="No aplica"),0,SUM('BOULEVARD 5'!$K297:AP297)-$AP604)</f>
        <v>-9160.5800000000017</v>
      </c>
      <c r="AN604" s="716">
        <f>IF(OR(status1B5!AO299="",AN$7="No aplica"),0,SUM('BOULEVARD 5'!$K297:AQ297)-$AP604)</f>
        <v>0</v>
      </c>
      <c r="AO604" s="716">
        <f>IF(OR(status1B5!AP299="",AO$7="No aplica"),0,SUM('BOULEVARD 5'!$K297:AS297)-$AP604)</f>
        <v>0</v>
      </c>
      <c r="AP604" s="717">
        <f>'BOULEVARD PPTO'!BC292</f>
        <v>86150.58</v>
      </c>
      <c r="AQ604" s="717">
        <f>'BOULEVARD 5'!AT297</f>
        <v>81570</v>
      </c>
      <c r="AR604" s="717">
        <f t="shared" si="302"/>
        <v>-4580.5800000000017</v>
      </c>
      <c r="AS604" s="717"/>
      <c r="AT604" s="581"/>
    </row>
    <row r="605" spans="1:46" ht="13.15" customHeight="1" outlineLevel="1" x14ac:dyDescent="0.25">
      <c r="A605" s="700" t="str">
        <f t="shared" si="300"/>
        <v>F&amp;F</v>
      </c>
      <c r="B605" s="704">
        <f t="shared" ref="B605:G605" si="336">B300</f>
        <v>1807</v>
      </c>
      <c r="C605" s="704" t="str">
        <f t="shared" si="336"/>
        <v>C11</v>
      </c>
      <c r="D605" s="704">
        <f t="shared" si="336"/>
        <v>0</v>
      </c>
      <c r="E605" s="704" t="str">
        <f t="shared" si="336"/>
        <v>Jose Franco</v>
      </c>
      <c r="F605" s="705" t="str">
        <f t="shared" si="336"/>
        <v>Yuly Marisol Rodríguez Ordoñez De Arimany</v>
      </c>
      <c r="G605" s="566">
        <f t="shared" si="336"/>
        <v>45012</v>
      </c>
      <c r="H605" s="716">
        <f>IF(OR(status1B5!I300="",H$7="No aplica"),0,SUM('BOULEVARD 5'!$K298:K298)-$AP605)</f>
        <v>0</v>
      </c>
      <c r="I605" s="716">
        <f>IF(OR(status1B5!J300="",I$7="No aplica"),0,SUM('BOULEVARD 5'!$K298:L298)-$AP605)</f>
        <v>0</v>
      </c>
      <c r="J605" s="716">
        <f>IF(OR(status1B5!K300="",J$7="No aplica"),0,SUM('BOULEVARD 5'!$K298:M298)-$AP605)</f>
        <v>0</v>
      </c>
      <c r="K605" s="716">
        <f>IF(OR(status1B5!L300="",K$7="No aplica"),0,SUM('BOULEVARD 5'!$K298:N298)-$AP605)</f>
        <v>0</v>
      </c>
      <c r="L605" s="716">
        <f>IF(OR(status1B5!M300="",L$7="No aplica"),0,SUM('BOULEVARD 5'!$K298:O298)-$AP605)</f>
        <v>0</v>
      </c>
      <c r="M605" s="716">
        <f>IF(OR(status1B5!N300="",M$7="No aplica"),0,SUM('BOULEVARD 5'!$K298:P298)-$AP605)</f>
        <v>0</v>
      </c>
      <c r="N605" s="716">
        <f>IF(OR(status1B5!O300="",N$7="No aplica"),0,SUM('BOULEVARD 5'!$K298:Q298)-$AP605)</f>
        <v>0</v>
      </c>
      <c r="O605" s="716">
        <f>IF(OR(status1B5!P300="",O$7="No aplica"),0,SUM('BOULEVARD 5'!$K298:R298)-$AP605)</f>
        <v>0</v>
      </c>
      <c r="P605" s="716">
        <f>IF(OR(status1B5!Q300="",P$7="No aplica"),0,SUM('BOULEVARD 5'!$K298:S298)-$AP605)</f>
        <v>0</v>
      </c>
      <c r="Q605" s="716">
        <f>IF(OR(status1B5!R300="",Q$7="No aplica"),0,SUM('BOULEVARD 5'!$K298:T298)-$AP605)</f>
        <v>0</v>
      </c>
      <c r="R605" s="716">
        <f>IF(OR(status1B5!S300="",R$7="No aplica"),0,SUM('BOULEVARD 5'!$K298:U298)-$AP605)</f>
        <v>0</v>
      </c>
      <c r="S605" s="716">
        <f>IF(OR(status1B5!T300="",S$7="No aplica"),0,SUM('BOULEVARD 5'!$K298:V298)-$AP605)</f>
        <v>0</v>
      </c>
      <c r="T605" s="716">
        <f>IF(OR(status1B5!U300="",T$7="No aplica"),0,SUM('BOULEVARD 5'!$K298:W298)-$AP605)</f>
        <v>0</v>
      </c>
      <c r="U605" s="716">
        <f>IF(OR(status1B5!V300="",U$7="No aplica"),0,SUM('BOULEVARD 5'!$K298:X298)-$AP605)</f>
        <v>0</v>
      </c>
      <c r="V605" s="716">
        <f>IF(OR(status1B5!W300="",V$7="No aplica"),0,SUM('BOULEVARD 5'!$K298:Y298)-$AP605)</f>
        <v>0</v>
      </c>
      <c r="W605" s="716">
        <f>IF(OR(status1B5!X300="",W$7="No aplica"),0,SUM('BOULEVARD 5'!$K298:Z298)-$AP605)</f>
        <v>0</v>
      </c>
      <c r="X605" s="716">
        <f>IF(OR(status1B5!Y300="",X$7="No aplica"),0,SUM('BOULEVARD 5'!$K298:AA298)-$AP605)</f>
        <v>0</v>
      </c>
      <c r="Y605" s="716">
        <f>IF(OR(status1B5!Z300="",Y$7="No aplica"),0,SUM('BOULEVARD 5'!$K298:AB298)-$AP605)</f>
        <v>0</v>
      </c>
      <c r="Z605" s="716">
        <f>IF(OR(status1B5!AA300="",Z$7="No aplica"),0,SUM('BOULEVARD 5'!$K298:AC298)-$AP605)</f>
        <v>0</v>
      </c>
      <c r="AA605" s="716">
        <f>IF(OR(status1B5!AB300="",AA$7="No aplica"),0,SUM('BOULEVARD 5'!$K298:AD298)-$AP605)</f>
        <v>0</v>
      </c>
      <c r="AB605" s="716">
        <f>IF(OR(status1B5!AC300="",AB$7="No aplica"),0,SUM('BOULEVARD 5'!$K298:AE298)-$AP605)</f>
        <v>0</v>
      </c>
      <c r="AC605" s="716">
        <f>IF(OR(status1B5!AD300="",AC$7="No aplica"),0,SUM('BOULEVARD 5'!$K298:AF298)-$AP605)</f>
        <v>0</v>
      </c>
      <c r="AD605" s="716">
        <f>IF(OR(status1B5!AE300="",AD$7="No aplica"),0,SUM('BOULEVARD 5'!$K298:AG298)-$AP605)</f>
        <v>0</v>
      </c>
      <c r="AE605" s="716">
        <f>IF(OR(status1B5!AF300="",AE$7="No aplica"),0,SUM('BOULEVARD 5'!$K298:AH298)-$AP605)</f>
        <v>0</v>
      </c>
      <c r="AF605" s="716">
        <f>IF(OR(status1B5!AG300="",AF$7="No aplica"),0,SUM('BOULEVARD 5'!$K298:AI298)-$AP605)</f>
        <v>0</v>
      </c>
      <c r="AG605" s="716">
        <f>IF(OR(status1B5!AH300="",AG$7="No aplica"),0,SUM('BOULEVARD 5'!$K298:AJ298)-$AP605)</f>
        <v>0</v>
      </c>
      <c r="AH605" s="716">
        <f>IF(OR(status1B5!AI300="",AH$7="No aplica"),0,SUM('BOULEVARD 5'!$K298:AK298)-$AP605)</f>
        <v>0</v>
      </c>
      <c r="AI605" s="716">
        <f>IF(OR(status1B5!AJ300="",AI$7="No aplica"),0,SUM('BOULEVARD 5'!$K298:AL298)-$AP605)</f>
        <v>0</v>
      </c>
      <c r="AJ605" s="716">
        <f>IF(OR(status1B5!AK300="",AJ$7="No aplica"),0,SUM('BOULEVARD 5'!$K298:AM298)-$AP605)</f>
        <v>0</v>
      </c>
      <c r="AK605" s="716">
        <f>IF(OR(status1B5!AL300="",AK$7="No aplica"),0,SUM('BOULEVARD 5'!$K298:AN298)-$AP605)</f>
        <v>0</v>
      </c>
      <c r="AL605" s="716">
        <f>IF(OR(status1B5!AM300="",AL$7="No aplica"),0,SUM('BOULEVARD 5'!$K298:AO298)-$AP605)</f>
        <v>0</v>
      </c>
      <c r="AM605" s="716">
        <f>IF(OR(status1B5!AN300="",AM$7="No aplica"),0,SUM('BOULEVARD 5'!$K298:AP298)-$AP605)</f>
        <v>0</v>
      </c>
      <c r="AN605" s="716">
        <f>IF(OR(status1B5!AO300="",AN$7="No aplica"),0,SUM('BOULEVARD 5'!$K298:AQ298)-$AP605)</f>
        <v>0</v>
      </c>
      <c r="AO605" s="716">
        <f>IF(OR(status1B5!AP300="",AO$7="No aplica"),0,SUM('BOULEVARD 5'!$K298:AS298)-$AP605)</f>
        <v>0</v>
      </c>
      <c r="AP605" s="717">
        <f>'BOULEVARD PPTO'!BC293</f>
        <v>113156</v>
      </c>
      <c r="AQ605" s="717">
        <f>'BOULEVARD 5'!AT298</f>
        <v>12100</v>
      </c>
      <c r="AR605" s="717">
        <f t="shared" si="302"/>
        <v>-101056</v>
      </c>
      <c r="AS605" s="717"/>
      <c r="AT605" s="581"/>
    </row>
    <row r="606" spans="1:46" ht="13.15" customHeight="1" outlineLevel="1" x14ac:dyDescent="0.25">
      <c r="A606" s="700">
        <f t="shared" si="300"/>
        <v>0</v>
      </c>
      <c r="B606" s="564">
        <f t="shared" ref="B606:G606" si="337">B301</f>
        <v>1808</v>
      </c>
      <c r="C606" s="564" t="str">
        <f t="shared" si="337"/>
        <v>E3</v>
      </c>
      <c r="D606" s="564">
        <f t="shared" si="337"/>
        <v>0</v>
      </c>
      <c r="E606" s="564" t="str">
        <f t="shared" si="337"/>
        <v>Antonio Rada</v>
      </c>
      <c r="F606" s="581" t="str">
        <f t="shared" si="337"/>
        <v>Monica Cecilia Rodriguez Villalta</v>
      </c>
      <c r="G606" s="566">
        <f t="shared" si="337"/>
        <v>45199</v>
      </c>
      <c r="H606" s="716">
        <f>IF(OR(status1B5!I301="",H$7="No aplica"),0,SUM('BOULEVARD 5'!$K299:K299)-$AP606)</f>
        <v>0</v>
      </c>
      <c r="I606" s="716">
        <f>IF(OR(status1B5!J301="",I$7="No aplica"),0,SUM('BOULEVARD 5'!$K299:L299)-$AP606)</f>
        <v>0</v>
      </c>
      <c r="J606" s="716">
        <f>IF(OR(status1B5!K301="",J$7="No aplica"),0,SUM('BOULEVARD 5'!$K299:M299)-$AP606)</f>
        <v>0</v>
      </c>
      <c r="K606" s="716">
        <f>IF(OR(status1B5!L301="",K$7="No aplica"),0,SUM('BOULEVARD 5'!$K299:N299)-$AP606)</f>
        <v>0</v>
      </c>
      <c r="L606" s="716">
        <f>IF(OR(status1B5!M301="",L$7="No aplica"),0,SUM('BOULEVARD 5'!$K299:O299)-$AP606)</f>
        <v>0</v>
      </c>
      <c r="M606" s="716">
        <f>IF(OR(status1B5!N301="",M$7="No aplica"),0,SUM('BOULEVARD 5'!$K299:P299)-$AP606)</f>
        <v>0</v>
      </c>
      <c r="N606" s="716">
        <f>IF(OR(status1B5!O301="",N$7="No aplica"),0,SUM('BOULEVARD 5'!$K299:Q299)-$AP606)</f>
        <v>-133808.51</v>
      </c>
      <c r="O606" s="716">
        <f>IF(OR(status1B5!P301="",O$7="No aplica"),0,SUM('BOULEVARD 5'!$K299:R299)-$AP606)</f>
        <v>-131008.51000000001</v>
      </c>
      <c r="P606" s="716">
        <f>IF(OR(status1B5!Q301="",P$7="No aplica"),0,SUM('BOULEVARD 5'!$K299:S299)-$AP606)</f>
        <v>-128208.51000000001</v>
      </c>
      <c r="Q606" s="716">
        <f>IF(OR(status1B5!R301="",Q$7="No aplica"),0,SUM('BOULEVARD 5'!$K299:T299)-$AP606)</f>
        <v>-117058.51000000001</v>
      </c>
      <c r="R606" s="716">
        <f>IF(OR(status1B5!S301="",R$7="No aplica"),0,SUM('BOULEVARD 5'!$K299:U299)-$AP606)</f>
        <v>-114258.51000000001</v>
      </c>
      <c r="S606" s="716">
        <f>IF(OR(status1B5!T301="",S$7="No aplica"),0,SUM('BOULEVARD 5'!$K299:V299)-$AP606)</f>
        <v>-111458.51000000001</v>
      </c>
      <c r="T606" s="716">
        <f>IF(OR(status1B5!U301="",T$7="No aplica"),0,SUM('BOULEVARD 5'!$K299:W299)-$AP606)</f>
        <v>-108658.51000000001</v>
      </c>
      <c r="U606" s="716">
        <f>IF(OR(status1B5!V301="",U$7="No aplica"),0,SUM('BOULEVARD 5'!$K299:X299)-$AP606)</f>
        <v>-105858.51000000001</v>
      </c>
      <c r="V606" s="716">
        <f>IF(OR(status1B5!W301="",V$7="No aplica"),0,SUM('BOULEVARD 5'!$K299:Y299)-$AP606)</f>
        <v>-103058.51000000001</v>
      </c>
      <c r="W606" s="716">
        <f>IF(OR(status1B5!X301="",W$7="No aplica"),0,SUM('BOULEVARD 5'!$K299:Z299)-$AP606)</f>
        <v>-100258.51000000001</v>
      </c>
      <c r="X606" s="716">
        <f>IF(OR(status1B5!Y301="",X$7="No aplica"),0,SUM('BOULEVARD 5'!$K299:AA299)-$AP606)</f>
        <v>-77958.510000000009</v>
      </c>
      <c r="Y606" s="716">
        <f>IF(OR(status1B5!Z301="",Y$7="No aplica"),0,SUM('BOULEVARD 5'!$K299:AB299)-$AP606)</f>
        <v>-75158.510000000009</v>
      </c>
      <c r="Z606" s="716">
        <f>IF(OR(status1B5!AA301="",Z$7="No aplica"),0,SUM('BOULEVARD 5'!$K299:AC299)-$AP606)</f>
        <v>-72358.510000000009</v>
      </c>
      <c r="AA606" s="716">
        <f>IF(OR(status1B5!AB301="",AA$7="No aplica"),0,SUM('BOULEVARD 5'!$K299:AD299)-$AP606)</f>
        <v>-69558.510000000009</v>
      </c>
      <c r="AB606" s="716">
        <f>IF(OR(status1B5!AC301="",AB$7="No aplica"),0,SUM('BOULEVARD 5'!$K299:AE299)-$AP606)</f>
        <v>-66758.510000000009</v>
      </c>
      <c r="AC606" s="716">
        <f>IF(OR(status1B5!AD301="",AC$7="No aplica"),0,SUM('BOULEVARD 5'!$K299:AF299)-$AP606)</f>
        <v>-44458.510000000009</v>
      </c>
      <c r="AD606" s="716">
        <f>IF(OR(status1B5!AE301="",AD$7="No aplica"),0,SUM('BOULEVARD 5'!$K299:AG299)-$AP606)</f>
        <v>-41658.510000000009</v>
      </c>
      <c r="AE606" s="716">
        <f>IF(OR(status1B5!AF301="",AE$7="No aplica"),0,SUM('BOULEVARD 5'!$K299:AH299)-$AP606)</f>
        <v>-38858.510000000009</v>
      </c>
      <c r="AF606" s="716">
        <f>IF(OR(status1B5!AG301="",AF$7="No aplica"),0,SUM('BOULEVARD 5'!$K299:AI299)-$AP606)</f>
        <v>-36058.510000000009</v>
      </c>
      <c r="AG606" s="716">
        <f>IF(OR(status1B5!AH301="",AG$7="No aplica"),0,SUM('BOULEVARD 5'!$K299:AJ299)-$AP606)</f>
        <v>-33258.510000000009</v>
      </c>
      <c r="AH606" s="716">
        <f>IF(OR(status1B5!AI301="",AH$7="No aplica"),0,SUM('BOULEVARD 5'!$K299:AK299)-$AP606)</f>
        <v>-30458.510000000009</v>
      </c>
      <c r="AI606" s="716">
        <f>IF(OR(status1B5!AJ301="",AI$7="No aplica"),0,SUM('BOULEVARD 5'!$K299:AL299)-$AP606)</f>
        <v>-27658.510000000009</v>
      </c>
      <c r="AJ606" s="716">
        <f>IF(OR(status1B5!AK301="",AJ$7="No aplica"),0,SUM('BOULEVARD 5'!$K299:AM299)-$AP606)</f>
        <v>-5358.5100000000093</v>
      </c>
      <c r="AK606" s="716">
        <f>IF(OR(status1B5!AL301="",AK$7="No aplica"),0,SUM('BOULEVARD 5'!$K299:AN299)-$AP606)</f>
        <v>-2558.5100000000093</v>
      </c>
      <c r="AL606" s="716">
        <f>IF(OR(status1B5!AM301="",AL$7="No aplica"),0,SUM('BOULEVARD 5'!$K299:AO299)-$AP606)</f>
        <v>0</v>
      </c>
      <c r="AM606" s="716">
        <f>IF(OR(status1B5!AN301="",AM$7="No aplica"),0,SUM('BOULEVARD 5'!$K299:AP299)-$AP606)</f>
        <v>0</v>
      </c>
      <c r="AN606" s="716">
        <f>IF(OR(status1B5!AO301="",AN$7="No aplica"),0,SUM('BOULEVARD 5'!$K299:AQ299)-$AP606)</f>
        <v>0</v>
      </c>
      <c r="AO606" s="716">
        <f>IF(OR(status1B5!AP301="",AO$7="No aplica"),0,SUM('BOULEVARD 5'!$K299:AS299)-$AP606)</f>
        <v>0</v>
      </c>
      <c r="AP606" s="717">
        <f>'BOULEVARD PPTO'!BC294</f>
        <v>141808.51</v>
      </c>
      <c r="AQ606" s="717">
        <f>'BOULEVARD 5'!AT299</f>
        <v>141808.51</v>
      </c>
      <c r="AR606" s="717">
        <f t="shared" si="302"/>
        <v>0</v>
      </c>
      <c r="AS606" s="717"/>
      <c r="AT606" s="581"/>
    </row>
    <row r="607" spans="1:46" ht="13.15" customHeight="1" outlineLevel="1" x14ac:dyDescent="0.25">
      <c r="A607" s="700" t="str">
        <f t="shared" si="300"/>
        <v>F&amp;F</v>
      </c>
      <c r="B607" s="704">
        <f t="shared" ref="B607:G607" si="338">B302</f>
        <v>1901</v>
      </c>
      <c r="C607" s="704" t="str">
        <f t="shared" si="338"/>
        <v>A11</v>
      </c>
      <c r="D607" s="704">
        <f t="shared" si="338"/>
        <v>0</v>
      </c>
      <c r="E607" s="704" t="str">
        <f t="shared" si="338"/>
        <v>Ronaldo</v>
      </c>
      <c r="F607" s="705" t="str">
        <f t="shared" si="338"/>
        <v>International Coffee Industry, S.A</v>
      </c>
      <c r="G607" s="566">
        <f t="shared" si="338"/>
        <v>45012</v>
      </c>
      <c r="H607" s="716">
        <f>IF(OR(status1B5!I302="",H$7="No aplica"),0,SUM('BOULEVARD 5'!$K300:K300)-$AP607)</f>
        <v>0</v>
      </c>
      <c r="I607" s="716">
        <f>IF(OR(status1B5!J302="",I$7="No aplica"),0,SUM('BOULEVARD 5'!$K300:L300)-$AP607)</f>
        <v>0</v>
      </c>
      <c r="J607" s="716">
        <f>IF(OR(status1B5!K302="",J$7="No aplica"),0,SUM('BOULEVARD 5'!$K300:M300)-$AP607)</f>
        <v>0</v>
      </c>
      <c r="K607" s="716">
        <f>IF(OR(status1B5!L302="",K$7="No aplica"),0,SUM('BOULEVARD 5'!$K300:N300)-$AP607)</f>
        <v>0</v>
      </c>
      <c r="L607" s="716">
        <f>IF(OR(status1B5!M302="",L$7="No aplica"),0,SUM('BOULEVARD 5'!$K300:O300)-$AP607)</f>
        <v>0</v>
      </c>
      <c r="M607" s="716">
        <f>IF(OR(status1B5!N302="",M$7="No aplica"),0,SUM('BOULEVARD 5'!$K300:P300)-$AP607)</f>
        <v>0</v>
      </c>
      <c r="N607" s="716">
        <f>IF(OR(status1B5!O302="",N$7="No aplica"),0,SUM('BOULEVARD 5'!$K300:Q300)-$AP607)</f>
        <v>0</v>
      </c>
      <c r="O607" s="716">
        <f>IF(OR(status1B5!P302="",O$7="No aplica"),0,SUM('BOULEVARD 5'!$K300:R300)-$AP607)</f>
        <v>0</v>
      </c>
      <c r="P607" s="716">
        <f>IF(OR(status1B5!Q302="",P$7="No aplica"),0,SUM('BOULEVARD 5'!$K300:S300)-$AP607)</f>
        <v>0</v>
      </c>
      <c r="Q607" s="716">
        <f>IF(OR(status1B5!R302="",Q$7="No aplica"),0,SUM('BOULEVARD 5'!$K300:T300)-$AP607)</f>
        <v>0</v>
      </c>
      <c r="R607" s="716">
        <f>IF(OR(status1B5!S302="",R$7="No aplica"),0,SUM('BOULEVARD 5'!$K300:U300)-$AP607)</f>
        <v>0</v>
      </c>
      <c r="S607" s="716">
        <f>IF(OR(status1B5!T302="",S$7="No aplica"),0,SUM('BOULEVARD 5'!$K300:V300)-$AP607)</f>
        <v>0</v>
      </c>
      <c r="T607" s="716">
        <f>IF(OR(status1B5!U302="",T$7="No aplica"),0,SUM('BOULEVARD 5'!$K300:W300)-$AP607)</f>
        <v>0</v>
      </c>
      <c r="U607" s="716">
        <f>IF(OR(status1B5!V302="",U$7="No aplica"),0,SUM('BOULEVARD 5'!$K300:X300)-$AP607)</f>
        <v>0</v>
      </c>
      <c r="V607" s="716">
        <f>IF(OR(status1B5!W302="",V$7="No aplica"),0,SUM('BOULEVARD 5'!$K300:Y300)-$AP607)</f>
        <v>0</v>
      </c>
      <c r="W607" s="716">
        <f>IF(OR(status1B5!X302="",W$7="No aplica"),0,SUM('BOULEVARD 5'!$K300:Z300)-$AP607)</f>
        <v>0</v>
      </c>
      <c r="X607" s="716">
        <f>IF(OR(status1B5!Y302="",X$7="No aplica"),0,SUM('BOULEVARD 5'!$K300:AA300)-$AP607)</f>
        <v>0</v>
      </c>
      <c r="Y607" s="716">
        <f>IF(OR(status1B5!Z302="",Y$7="No aplica"),0,SUM('BOULEVARD 5'!$K300:AB300)-$AP607)</f>
        <v>0</v>
      </c>
      <c r="Z607" s="716">
        <f>IF(OR(status1B5!AA302="",Z$7="No aplica"),0,SUM('BOULEVARD 5'!$K300:AC300)-$AP607)</f>
        <v>0</v>
      </c>
      <c r="AA607" s="716">
        <f>IF(OR(status1B5!AB302="",AA$7="No aplica"),0,SUM('BOULEVARD 5'!$K300:AD300)-$AP607)</f>
        <v>0</v>
      </c>
      <c r="AB607" s="716">
        <f>IF(OR(status1B5!AC302="",AB$7="No aplica"),0,SUM('BOULEVARD 5'!$K300:AE300)-$AP607)</f>
        <v>0</v>
      </c>
      <c r="AC607" s="716">
        <f>IF(OR(status1B5!AD302="",AC$7="No aplica"),0,SUM('BOULEVARD 5'!$K300:AF300)-$AP607)</f>
        <v>0</v>
      </c>
      <c r="AD607" s="716">
        <f>IF(OR(status1B5!AE302="",AD$7="No aplica"),0,SUM('BOULEVARD 5'!$K300:AG300)-$AP607)</f>
        <v>0</v>
      </c>
      <c r="AE607" s="716">
        <f>IF(OR(status1B5!AF302="",AE$7="No aplica"),0,SUM('BOULEVARD 5'!$K300:AH300)-$AP607)</f>
        <v>0</v>
      </c>
      <c r="AF607" s="716">
        <f>IF(OR(status1B5!AG302="",AF$7="No aplica"),0,SUM('BOULEVARD 5'!$K300:AI300)-$AP607)</f>
        <v>0</v>
      </c>
      <c r="AG607" s="716">
        <f>IF(OR(status1B5!AH302="",AG$7="No aplica"),0,SUM('BOULEVARD 5'!$K300:AJ300)-$AP607)</f>
        <v>0</v>
      </c>
      <c r="AH607" s="716">
        <f>IF(OR(status1B5!AI302="",AH$7="No aplica"),0,SUM('BOULEVARD 5'!$K300:AK300)-$AP607)</f>
        <v>0</v>
      </c>
      <c r="AI607" s="716">
        <f>IF(OR(status1B5!AJ302="",AI$7="No aplica"),0,SUM('BOULEVARD 5'!$K300:AL300)-$AP607)</f>
        <v>0</v>
      </c>
      <c r="AJ607" s="716">
        <f>IF(OR(status1B5!AK302="",AJ$7="No aplica"),0,SUM('BOULEVARD 5'!$K300:AM300)-$AP607)</f>
        <v>0</v>
      </c>
      <c r="AK607" s="716">
        <f>IF(OR(status1B5!AL302="",AK$7="No aplica"),0,SUM('BOULEVARD 5'!$K300:AN300)-$AP607)</f>
        <v>0</v>
      </c>
      <c r="AL607" s="716">
        <f>IF(OR(status1B5!AM302="",AL$7="No aplica"),0,SUM('BOULEVARD 5'!$K300:AO300)-$AP607)</f>
        <v>0</v>
      </c>
      <c r="AM607" s="716">
        <f>IF(OR(status1B5!AN302="",AM$7="No aplica"),0,SUM('BOULEVARD 5'!$K300:AP300)-$AP607)</f>
        <v>0</v>
      </c>
      <c r="AN607" s="716">
        <f>IF(OR(status1B5!AO302="",AN$7="No aplica"),0,SUM('BOULEVARD 5'!$K300:AQ300)-$AP607)</f>
        <v>0</v>
      </c>
      <c r="AO607" s="716">
        <f>IF(OR(status1B5!AP302="",AO$7="No aplica"),0,SUM('BOULEVARD 5'!$K300:AS300)-$AP607)</f>
        <v>0</v>
      </c>
      <c r="AP607" s="717">
        <f>'BOULEVARD PPTO'!BC295</f>
        <v>73882</v>
      </c>
      <c r="AQ607" s="717">
        <f>'BOULEVARD 5'!AT300</f>
        <v>0</v>
      </c>
      <c r="AR607" s="717">
        <f t="shared" si="302"/>
        <v>-73882</v>
      </c>
      <c r="AS607" s="717"/>
      <c r="AT607" s="581"/>
    </row>
    <row r="608" spans="1:46" ht="13.15" customHeight="1" outlineLevel="1" x14ac:dyDescent="0.25">
      <c r="A608" s="700" t="str">
        <f t="shared" si="300"/>
        <v>F&amp;F</v>
      </c>
      <c r="B608" s="704">
        <f t="shared" ref="B608:G608" si="339">B303</f>
        <v>1902</v>
      </c>
      <c r="C608" s="704" t="str">
        <f t="shared" si="339"/>
        <v>D5</v>
      </c>
      <c r="D608" s="704">
        <f t="shared" si="339"/>
        <v>0</v>
      </c>
      <c r="E608" s="704" t="str">
        <f t="shared" si="339"/>
        <v>Ronaldo</v>
      </c>
      <c r="F608" s="705" t="str">
        <f t="shared" si="339"/>
        <v>International Coffee Industry, S.A</v>
      </c>
      <c r="G608" s="566">
        <f t="shared" si="339"/>
        <v>45300</v>
      </c>
      <c r="H608" s="716">
        <f>IF(OR(status1B5!I303="",H$7="No aplica"),0,SUM('BOULEVARD 5'!$K301:K301)-$AP608)</f>
        <v>0</v>
      </c>
      <c r="I608" s="716">
        <f>IF(OR(status1B5!J303="",I$7="No aplica"),0,SUM('BOULEVARD 5'!$K301:L301)-$AP608)</f>
        <v>0</v>
      </c>
      <c r="J608" s="716">
        <f>IF(OR(status1B5!K303="",J$7="No aplica"),0,SUM('BOULEVARD 5'!$K301:M301)-$AP608)</f>
        <v>0</v>
      </c>
      <c r="K608" s="716">
        <f>IF(OR(status1B5!L303="",K$7="No aplica"),0,SUM('BOULEVARD 5'!$K301:N301)-$AP608)</f>
        <v>0</v>
      </c>
      <c r="L608" s="716">
        <f>IF(OR(status1B5!M303="",L$7="No aplica"),0,SUM('BOULEVARD 5'!$K301:O301)-$AP608)</f>
        <v>0</v>
      </c>
      <c r="M608" s="716">
        <f>IF(OR(status1B5!N303="",M$7="No aplica"),0,SUM('BOULEVARD 5'!$K301:P301)-$AP608)</f>
        <v>0</v>
      </c>
      <c r="N608" s="716">
        <f>IF(OR(status1B5!O303="",N$7="No aplica"),0,SUM('BOULEVARD 5'!$K301:Q301)-$AP608)</f>
        <v>0</v>
      </c>
      <c r="O608" s="716">
        <f>IF(OR(status1B5!P303="",O$7="No aplica"),0,SUM('BOULEVARD 5'!$K301:R301)-$AP608)</f>
        <v>0</v>
      </c>
      <c r="P608" s="716">
        <f>IF(OR(status1B5!Q303="",P$7="No aplica"),0,SUM('BOULEVARD 5'!$K301:S301)-$AP608)</f>
        <v>0</v>
      </c>
      <c r="Q608" s="716">
        <f>IF(OR(status1B5!R303="",Q$7="No aplica"),0,SUM('BOULEVARD 5'!$K301:T301)-$AP608)</f>
        <v>0</v>
      </c>
      <c r="R608" s="716">
        <f>IF(OR(status1B5!S303="",R$7="No aplica"),0,SUM('BOULEVARD 5'!$K301:U301)-$AP608)</f>
        <v>0</v>
      </c>
      <c r="S608" s="716">
        <f>IF(OR(status1B5!T303="",S$7="No aplica"),0,SUM('BOULEVARD 5'!$K301:V301)-$AP608)</f>
        <v>0</v>
      </c>
      <c r="T608" s="716">
        <f>IF(OR(status1B5!U303="",T$7="No aplica"),0,SUM('BOULEVARD 5'!$K301:W301)-$AP608)</f>
        <v>0</v>
      </c>
      <c r="U608" s="716">
        <f>IF(OR(status1B5!V303="",U$7="No aplica"),0,SUM('BOULEVARD 5'!$K301:X301)-$AP608)</f>
        <v>0</v>
      </c>
      <c r="V608" s="716">
        <f>IF(OR(status1B5!W303="",V$7="No aplica"),0,SUM('BOULEVARD 5'!$K301:Y301)-$AP608)</f>
        <v>0</v>
      </c>
      <c r="W608" s="716">
        <f>IF(OR(status1B5!X303="",W$7="No aplica"),0,SUM('BOULEVARD 5'!$K301:Z301)-$AP608)</f>
        <v>0</v>
      </c>
      <c r="X608" s="716">
        <f>IF(OR(status1B5!Y303="",X$7="No aplica"),0,SUM('BOULEVARD 5'!$K301:AA301)-$AP608)</f>
        <v>0</v>
      </c>
      <c r="Y608" s="716">
        <f>IF(OR(status1B5!Z303="",Y$7="No aplica"),0,SUM('BOULEVARD 5'!$K301:AB301)-$AP608)</f>
        <v>0</v>
      </c>
      <c r="Z608" s="716">
        <f>IF(OR(status1B5!AA303="",Z$7="No aplica"),0,SUM('BOULEVARD 5'!$K301:AC301)-$AP608)</f>
        <v>0</v>
      </c>
      <c r="AA608" s="716">
        <f>IF(OR(status1B5!AB303="",AA$7="No aplica"),0,SUM('BOULEVARD 5'!$K301:AD301)-$AP608)</f>
        <v>0</v>
      </c>
      <c r="AB608" s="716">
        <f>IF(OR(status1B5!AC303="",AB$7="No aplica"),0,SUM('BOULEVARD 5'!$K301:AE301)-$AP608)</f>
        <v>0</v>
      </c>
      <c r="AC608" s="716">
        <f>IF(OR(status1B5!AD303="",AC$7="No aplica"),0,SUM('BOULEVARD 5'!$K301:AF301)-$AP608)</f>
        <v>0</v>
      </c>
      <c r="AD608" s="716">
        <f>IF(OR(status1B5!AE303="",AD$7="No aplica"),0,SUM('BOULEVARD 5'!$K301:AG301)-$AP608)</f>
        <v>0</v>
      </c>
      <c r="AE608" s="716">
        <f>IF(OR(status1B5!AF303="",AE$7="No aplica"),0,SUM('BOULEVARD 5'!$K301:AH301)-$AP608)</f>
        <v>0</v>
      </c>
      <c r="AF608" s="716">
        <f>IF(OR(status1B5!AG303="",AF$7="No aplica"),0,SUM('BOULEVARD 5'!$K301:AI301)-$AP608)</f>
        <v>0</v>
      </c>
      <c r="AG608" s="716">
        <f>IF(OR(status1B5!AH303="",AG$7="No aplica"),0,SUM('BOULEVARD 5'!$K301:AJ301)-$AP608)</f>
        <v>0</v>
      </c>
      <c r="AH608" s="716">
        <f>IF(OR(status1B5!AI303="",AH$7="No aplica"),0,SUM('BOULEVARD 5'!$K301:AK301)-$AP608)</f>
        <v>0</v>
      </c>
      <c r="AI608" s="716">
        <f>IF(OR(status1B5!AJ303="",AI$7="No aplica"),0,SUM('BOULEVARD 5'!$K301:AL301)-$AP608)</f>
        <v>0</v>
      </c>
      <c r="AJ608" s="716">
        <f>IF(OR(status1B5!AK303="",AJ$7="No aplica"),0,SUM('BOULEVARD 5'!$K301:AM301)-$AP608)</f>
        <v>0</v>
      </c>
      <c r="AK608" s="716">
        <f>IF(OR(status1B5!AL303="",AK$7="No aplica"),0,SUM('BOULEVARD 5'!$K301:AN301)-$AP608)</f>
        <v>0</v>
      </c>
      <c r="AL608" s="716">
        <f>IF(OR(status1B5!AM303="",AL$7="No aplica"),0,SUM('BOULEVARD 5'!$K301:AO301)-$AP608)</f>
        <v>0</v>
      </c>
      <c r="AM608" s="716">
        <f>IF(OR(status1B5!AN303="",AM$7="No aplica"),0,SUM('BOULEVARD 5'!$K301:AP301)-$AP608)</f>
        <v>0</v>
      </c>
      <c r="AN608" s="716">
        <f>IF(OR(status1B5!AO303="",AN$7="No aplica"),0,SUM('BOULEVARD 5'!$K301:AQ301)-$AP608)</f>
        <v>0</v>
      </c>
      <c r="AO608" s="716">
        <f>IF(OR(status1B5!AP303="",AO$7="No aplica"),0,SUM('BOULEVARD 5'!$K301:AS301)-$AP608)</f>
        <v>0</v>
      </c>
      <c r="AP608" s="717">
        <f>'BOULEVARD PPTO'!BC296</f>
        <v>132200</v>
      </c>
      <c r="AQ608" s="717">
        <f>'BOULEVARD 5'!AT301</f>
        <v>0</v>
      </c>
      <c r="AR608" s="717">
        <f t="shared" si="302"/>
        <v>-132200</v>
      </c>
      <c r="AS608" s="717"/>
      <c r="AT608" s="581"/>
    </row>
    <row r="609" spans="1:46" ht="13.15" customHeight="1" outlineLevel="1" x14ac:dyDescent="0.25">
      <c r="A609" s="700" t="str">
        <f t="shared" si="300"/>
        <v>F&amp;F</v>
      </c>
      <c r="B609" s="704">
        <f t="shared" ref="B609:G609" si="340">B304</f>
        <v>1903</v>
      </c>
      <c r="C609" s="704" t="str">
        <f t="shared" si="340"/>
        <v>D6</v>
      </c>
      <c r="D609" s="704">
        <f t="shared" si="340"/>
        <v>0</v>
      </c>
      <c r="E609" s="704" t="str">
        <f t="shared" si="340"/>
        <v>Ronaldo</v>
      </c>
      <c r="F609" s="705" t="str">
        <f t="shared" si="340"/>
        <v>International Coffee Industry, S.A</v>
      </c>
      <c r="G609" s="566">
        <f t="shared" si="340"/>
        <v>45300</v>
      </c>
      <c r="H609" s="716">
        <f>IF(OR(status1B5!I304="",H$7="No aplica"),0,SUM('BOULEVARD 5'!$K302:K302)-$AP609)</f>
        <v>0</v>
      </c>
      <c r="I609" s="716">
        <f>IF(OR(status1B5!J304="",I$7="No aplica"),0,SUM('BOULEVARD 5'!$K302:L302)-$AP609)</f>
        <v>0</v>
      </c>
      <c r="J609" s="716">
        <f>IF(OR(status1B5!K304="",J$7="No aplica"),0,SUM('BOULEVARD 5'!$K302:M302)-$AP609)</f>
        <v>0</v>
      </c>
      <c r="K609" s="716">
        <f>IF(OR(status1B5!L304="",K$7="No aplica"),0,SUM('BOULEVARD 5'!$K302:N302)-$AP609)</f>
        <v>0</v>
      </c>
      <c r="L609" s="716">
        <f>IF(OR(status1B5!M304="",L$7="No aplica"),0,SUM('BOULEVARD 5'!$K302:O302)-$AP609)</f>
        <v>0</v>
      </c>
      <c r="M609" s="716">
        <f>IF(OR(status1B5!N304="",M$7="No aplica"),0,SUM('BOULEVARD 5'!$K302:P302)-$AP609)</f>
        <v>0</v>
      </c>
      <c r="N609" s="716">
        <f>IF(OR(status1B5!O304="",N$7="No aplica"),0,SUM('BOULEVARD 5'!$K302:Q302)-$AP609)</f>
        <v>0</v>
      </c>
      <c r="O609" s="716">
        <f>IF(OR(status1B5!P304="",O$7="No aplica"),0,SUM('BOULEVARD 5'!$K302:R302)-$AP609)</f>
        <v>0</v>
      </c>
      <c r="P609" s="716">
        <f>IF(OR(status1B5!Q304="",P$7="No aplica"),0,SUM('BOULEVARD 5'!$K302:S302)-$AP609)</f>
        <v>0</v>
      </c>
      <c r="Q609" s="716">
        <f>IF(OR(status1B5!R304="",Q$7="No aplica"),0,SUM('BOULEVARD 5'!$K302:T302)-$AP609)</f>
        <v>0</v>
      </c>
      <c r="R609" s="716">
        <f>IF(OR(status1B5!S304="",R$7="No aplica"),0,SUM('BOULEVARD 5'!$K302:U302)-$AP609)</f>
        <v>0</v>
      </c>
      <c r="S609" s="716">
        <f>IF(OR(status1B5!T304="",S$7="No aplica"),0,SUM('BOULEVARD 5'!$K302:V302)-$AP609)</f>
        <v>0</v>
      </c>
      <c r="T609" s="716">
        <f>IF(OR(status1B5!U304="",T$7="No aplica"),0,SUM('BOULEVARD 5'!$K302:W302)-$AP609)</f>
        <v>0</v>
      </c>
      <c r="U609" s="716">
        <f>IF(OR(status1B5!V304="",U$7="No aplica"),0,SUM('BOULEVARD 5'!$K302:X302)-$AP609)</f>
        <v>0</v>
      </c>
      <c r="V609" s="716">
        <f>IF(OR(status1B5!W304="",V$7="No aplica"),0,SUM('BOULEVARD 5'!$K302:Y302)-$AP609)</f>
        <v>0</v>
      </c>
      <c r="W609" s="716">
        <f>IF(OR(status1B5!X304="",W$7="No aplica"),0,SUM('BOULEVARD 5'!$K302:Z302)-$AP609)</f>
        <v>0</v>
      </c>
      <c r="X609" s="716">
        <f>IF(OR(status1B5!Y304="",X$7="No aplica"),0,SUM('BOULEVARD 5'!$K302:AA302)-$AP609)</f>
        <v>0</v>
      </c>
      <c r="Y609" s="716">
        <f>IF(OR(status1B5!Z304="",Y$7="No aplica"),0,SUM('BOULEVARD 5'!$K302:AB302)-$AP609)</f>
        <v>0</v>
      </c>
      <c r="Z609" s="716">
        <f>IF(OR(status1B5!AA304="",Z$7="No aplica"),0,SUM('BOULEVARD 5'!$K302:AC302)-$AP609)</f>
        <v>0</v>
      </c>
      <c r="AA609" s="716">
        <f>IF(OR(status1B5!AB304="",AA$7="No aplica"),0,SUM('BOULEVARD 5'!$K302:AD302)-$AP609)</f>
        <v>0</v>
      </c>
      <c r="AB609" s="716">
        <f>IF(OR(status1B5!AC304="",AB$7="No aplica"),0,SUM('BOULEVARD 5'!$K302:AE302)-$AP609)</f>
        <v>0</v>
      </c>
      <c r="AC609" s="716">
        <f>IF(OR(status1B5!AD304="",AC$7="No aplica"),0,SUM('BOULEVARD 5'!$K302:AF302)-$AP609)</f>
        <v>0</v>
      </c>
      <c r="AD609" s="716">
        <f>IF(OR(status1B5!AE304="",AD$7="No aplica"),0,SUM('BOULEVARD 5'!$K302:AG302)-$AP609)</f>
        <v>0</v>
      </c>
      <c r="AE609" s="716">
        <f>IF(OR(status1B5!AF304="",AE$7="No aplica"),0,SUM('BOULEVARD 5'!$K302:AH302)-$AP609)</f>
        <v>0</v>
      </c>
      <c r="AF609" s="716">
        <f>IF(OR(status1B5!AG304="",AF$7="No aplica"),0,SUM('BOULEVARD 5'!$K302:AI302)-$AP609)</f>
        <v>0</v>
      </c>
      <c r="AG609" s="716">
        <f>IF(OR(status1B5!AH304="",AG$7="No aplica"),0,SUM('BOULEVARD 5'!$K302:AJ302)-$AP609)</f>
        <v>0</v>
      </c>
      <c r="AH609" s="716">
        <f>IF(OR(status1B5!AI304="",AH$7="No aplica"),0,SUM('BOULEVARD 5'!$K302:AK302)-$AP609)</f>
        <v>0</v>
      </c>
      <c r="AI609" s="716">
        <f>IF(OR(status1B5!AJ304="",AI$7="No aplica"),0,SUM('BOULEVARD 5'!$K302:AL302)-$AP609)</f>
        <v>0</v>
      </c>
      <c r="AJ609" s="716">
        <f>IF(OR(status1B5!AK304="",AJ$7="No aplica"),0,SUM('BOULEVARD 5'!$K302:AM302)-$AP609)</f>
        <v>0</v>
      </c>
      <c r="AK609" s="716">
        <f>IF(OR(status1B5!AL304="",AK$7="No aplica"),0,SUM('BOULEVARD 5'!$K302:AN302)-$AP609)</f>
        <v>0</v>
      </c>
      <c r="AL609" s="716">
        <f>IF(OR(status1B5!AM304="",AL$7="No aplica"),0,SUM('BOULEVARD 5'!$K302:AO302)-$AP609)</f>
        <v>0</v>
      </c>
      <c r="AM609" s="716">
        <f>IF(OR(status1B5!AN304="",AM$7="No aplica"),0,SUM('BOULEVARD 5'!$K302:AP302)-$AP609)</f>
        <v>0</v>
      </c>
      <c r="AN609" s="716">
        <f>IF(OR(status1B5!AO304="",AN$7="No aplica"),0,SUM('BOULEVARD 5'!$K302:AQ302)-$AP609)</f>
        <v>0</v>
      </c>
      <c r="AO609" s="716">
        <f>IF(OR(status1B5!AP304="",AO$7="No aplica"),0,SUM('BOULEVARD 5'!$K302:AS302)-$AP609)</f>
        <v>0</v>
      </c>
      <c r="AP609" s="717">
        <f>'BOULEVARD PPTO'!BC297</f>
        <v>132650</v>
      </c>
      <c r="AQ609" s="717">
        <f>'BOULEVARD 5'!AT302</f>
        <v>0</v>
      </c>
      <c r="AR609" s="717">
        <f t="shared" si="302"/>
        <v>-132650</v>
      </c>
      <c r="AS609" s="717"/>
      <c r="AT609" s="581"/>
    </row>
    <row r="610" spans="1:46" ht="13.15" customHeight="1" outlineLevel="1" x14ac:dyDescent="0.25">
      <c r="A610" s="700" t="str">
        <f t="shared" si="300"/>
        <v>F&amp;F</v>
      </c>
      <c r="B610" s="704">
        <f t="shared" ref="B610:G610" si="341">B305</f>
        <v>1904</v>
      </c>
      <c r="C610" s="704" t="str">
        <f t="shared" si="341"/>
        <v>D5</v>
      </c>
      <c r="D610" s="704">
        <f t="shared" si="341"/>
        <v>0</v>
      </c>
      <c r="E610" s="704" t="str">
        <f t="shared" si="341"/>
        <v>Ronaldo</v>
      </c>
      <c r="F610" s="705" t="str">
        <f t="shared" si="341"/>
        <v>International Coffee Industry, S.A</v>
      </c>
      <c r="G610" s="566">
        <f t="shared" si="341"/>
        <v>45300</v>
      </c>
      <c r="H610" s="716">
        <f>IF(OR(status1B5!I305="",H$7="No aplica"),0,SUM('BOULEVARD 5'!$K303:K303)-$AP610)</f>
        <v>0</v>
      </c>
      <c r="I610" s="716">
        <f>IF(OR(status1B5!J305="",I$7="No aplica"),0,SUM('BOULEVARD 5'!$K303:L303)-$AP610)</f>
        <v>0</v>
      </c>
      <c r="J610" s="716">
        <f>IF(OR(status1B5!K305="",J$7="No aplica"),0,SUM('BOULEVARD 5'!$K303:M303)-$AP610)</f>
        <v>0</v>
      </c>
      <c r="K610" s="716">
        <f>IF(OR(status1B5!L305="",K$7="No aplica"),0,SUM('BOULEVARD 5'!$K303:N303)-$AP610)</f>
        <v>0</v>
      </c>
      <c r="L610" s="716">
        <f>IF(OR(status1B5!M305="",L$7="No aplica"),0,SUM('BOULEVARD 5'!$K303:O303)-$AP610)</f>
        <v>0</v>
      </c>
      <c r="M610" s="716">
        <f>IF(OR(status1B5!N305="",M$7="No aplica"),0,SUM('BOULEVARD 5'!$K303:P303)-$AP610)</f>
        <v>0</v>
      </c>
      <c r="N610" s="716">
        <f>IF(OR(status1B5!O305="",N$7="No aplica"),0,SUM('BOULEVARD 5'!$K303:Q303)-$AP610)</f>
        <v>0</v>
      </c>
      <c r="O610" s="716">
        <f>IF(OR(status1B5!P305="",O$7="No aplica"),0,SUM('BOULEVARD 5'!$K303:R303)-$AP610)</f>
        <v>0</v>
      </c>
      <c r="P610" s="716">
        <f>IF(OR(status1B5!Q305="",P$7="No aplica"),0,SUM('BOULEVARD 5'!$K303:S303)-$AP610)</f>
        <v>0</v>
      </c>
      <c r="Q610" s="716">
        <f>IF(OR(status1B5!R305="",Q$7="No aplica"),0,SUM('BOULEVARD 5'!$K303:T303)-$AP610)</f>
        <v>0</v>
      </c>
      <c r="R610" s="716">
        <f>IF(OR(status1B5!S305="",R$7="No aplica"),0,SUM('BOULEVARD 5'!$K303:U303)-$AP610)</f>
        <v>0</v>
      </c>
      <c r="S610" s="716">
        <f>IF(OR(status1B5!T305="",S$7="No aplica"),0,SUM('BOULEVARD 5'!$K303:V303)-$AP610)</f>
        <v>0</v>
      </c>
      <c r="T610" s="716">
        <f>IF(OR(status1B5!U305="",T$7="No aplica"),0,SUM('BOULEVARD 5'!$K303:W303)-$AP610)</f>
        <v>0</v>
      </c>
      <c r="U610" s="716">
        <f>IF(OR(status1B5!V305="",U$7="No aplica"),0,SUM('BOULEVARD 5'!$K303:X303)-$AP610)</f>
        <v>0</v>
      </c>
      <c r="V610" s="716">
        <f>IF(OR(status1B5!W305="",V$7="No aplica"),0,SUM('BOULEVARD 5'!$K303:Y303)-$AP610)</f>
        <v>0</v>
      </c>
      <c r="W610" s="716">
        <f>IF(OR(status1B5!X305="",W$7="No aplica"),0,SUM('BOULEVARD 5'!$K303:Z303)-$AP610)</f>
        <v>0</v>
      </c>
      <c r="X610" s="716">
        <f>IF(OR(status1B5!Y305="",X$7="No aplica"),0,SUM('BOULEVARD 5'!$K303:AA303)-$AP610)</f>
        <v>0</v>
      </c>
      <c r="Y610" s="716">
        <f>IF(OR(status1B5!Z305="",Y$7="No aplica"),0,SUM('BOULEVARD 5'!$K303:AB303)-$AP610)</f>
        <v>0</v>
      </c>
      <c r="Z610" s="716">
        <f>IF(OR(status1B5!AA305="",Z$7="No aplica"),0,SUM('BOULEVARD 5'!$K303:AC303)-$AP610)</f>
        <v>0</v>
      </c>
      <c r="AA610" s="716">
        <f>IF(OR(status1B5!AB305="",AA$7="No aplica"),0,SUM('BOULEVARD 5'!$K303:AD303)-$AP610)</f>
        <v>0</v>
      </c>
      <c r="AB610" s="716">
        <f>IF(OR(status1B5!AC305="",AB$7="No aplica"),0,SUM('BOULEVARD 5'!$K303:AE303)-$AP610)</f>
        <v>0</v>
      </c>
      <c r="AC610" s="716">
        <f>IF(OR(status1B5!AD305="",AC$7="No aplica"),0,SUM('BOULEVARD 5'!$K303:AF303)-$AP610)</f>
        <v>0</v>
      </c>
      <c r="AD610" s="716">
        <f>IF(OR(status1B5!AE305="",AD$7="No aplica"),0,SUM('BOULEVARD 5'!$K303:AG303)-$AP610)</f>
        <v>0</v>
      </c>
      <c r="AE610" s="716">
        <f>IF(OR(status1B5!AF305="",AE$7="No aplica"),0,SUM('BOULEVARD 5'!$K303:AH303)-$AP610)</f>
        <v>0</v>
      </c>
      <c r="AF610" s="716">
        <f>IF(OR(status1B5!AG305="",AF$7="No aplica"),0,SUM('BOULEVARD 5'!$K303:AI303)-$AP610)</f>
        <v>0</v>
      </c>
      <c r="AG610" s="716">
        <f>IF(OR(status1B5!AH305="",AG$7="No aplica"),0,SUM('BOULEVARD 5'!$K303:AJ303)-$AP610)</f>
        <v>0</v>
      </c>
      <c r="AH610" s="716">
        <f>IF(OR(status1B5!AI305="",AH$7="No aplica"),0,SUM('BOULEVARD 5'!$K303:AK303)-$AP610)</f>
        <v>0</v>
      </c>
      <c r="AI610" s="716">
        <f>IF(OR(status1B5!AJ305="",AI$7="No aplica"),0,SUM('BOULEVARD 5'!$K303:AL303)-$AP610)</f>
        <v>0</v>
      </c>
      <c r="AJ610" s="716">
        <f>IF(OR(status1B5!AK305="",AJ$7="No aplica"),0,SUM('BOULEVARD 5'!$K303:AM303)-$AP610)</f>
        <v>0</v>
      </c>
      <c r="AK610" s="716">
        <f>IF(OR(status1B5!AL305="",AK$7="No aplica"),0,SUM('BOULEVARD 5'!$K303:AN303)-$AP610)</f>
        <v>0</v>
      </c>
      <c r="AL610" s="716">
        <f>IF(OR(status1B5!AM305="",AL$7="No aplica"),0,SUM('BOULEVARD 5'!$K303:AO303)-$AP610)</f>
        <v>0</v>
      </c>
      <c r="AM610" s="716">
        <f>IF(OR(status1B5!AN305="",AM$7="No aplica"),0,SUM('BOULEVARD 5'!$K303:AP303)-$AP610)</f>
        <v>0</v>
      </c>
      <c r="AN610" s="716">
        <f>IF(OR(status1B5!AO305="",AN$7="No aplica"),0,SUM('BOULEVARD 5'!$K303:AQ303)-$AP610)</f>
        <v>0</v>
      </c>
      <c r="AO610" s="716">
        <f>IF(OR(status1B5!AP305="",AO$7="No aplica"),0,SUM('BOULEVARD 5'!$K303:AS303)-$AP610)</f>
        <v>0</v>
      </c>
      <c r="AP610" s="717">
        <f>'BOULEVARD PPTO'!BC298</f>
        <v>132200</v>
      </c>
      <c r="AQ610" s="717">
        <f>'BOULEVARD 5'!AT303</f>
        <v>0</v>
      </c>
      <c r="AR610" s="717">
        <f t="shared" si="302"/>
        <v>-132200</v>
      </c>
      <c r="AS610" s="717"/>
      <c r="AT610" s="581"/>
    </row>
    <row r="611" spans="1:46" ht="13.15" customHeight="1" outlineLevel="1" x14ac:dyDescent="0.25">
      <c r="A611" s="700" t="str">
        <f t="shared" si="300"/>
        <v>F&amp;F</v>
      </c>
      <c r="B611" s="704">
        <f t="shared" ref="B611:G611" si="342">B306</f>
        <v>1905</v>
      </c>
      <c r="C611" s="704" t="str">
        <f t="shared" si="342"/>
        <v>D8</v>
      </c>
      <c r="D611" s="704">
        <f t="shared" si="342"/>
        <v>0</v>
      </c>
      <c r="E611" s="704" t="str">
        <f t="shared" si="342"/>
        <v>Ronaldo</v>
      </c>
      <c r="F611" s="705" t="str">
        <f t="shared" si="342"/>
        <v>International Coffee Industry, S.A</v>
      </c>
      <c r="G611" s="566">
        <f t="shared" si="342"/>
        <v>45300</v>
      </c>
      <c r="H611" s="716">
        <f>IF(OR(status1B5!I306="",H$7="No aplica"),0,SUM('BOULEVARD 5'!$K304:K304)-$AP611)</f>
        <v>0</v>
      </c>
      <c r="I611" s="716">
        <f>IF(OR(status1B5!J306="",I$7="No aplica"),0,SUM('BOULEVARD 5'!$K304:L304)-$AP611)</f>
        <v>0</v>
      </c>
      <c r="J611" s="716">
        <f>IF(OR(status1B5!K306="",J$7="No aplica"),0,SUM('BOULEVARD 5'!$K304:M304)-$AP611)</f>
        <v>0</v>
      </c>
      <c r="K611" s="716">
        <f>IF(OR(status1B5!L306="",K$7="No aplica"),0,SUM('BOULEVARD 5'!$K304:N304)-$AP611)</f>
        <v>0</v>
      </c>
      <c r="L611" s="716">
        <f>IF(OR(status1B5!M306="",L$7="No aplica"),0,SUM('BOULEVARD 5'!$K304:O304)-$AP611)</f>
        <v>0</v>
      </c>
      <c r="M611" s="716">
        <f>IF(OR(status1B5!N306="",M$7="No aplica"),0,SUM('BOULEVARD 5'!$K304:P304)-$AP611)</f>
        <v>0</v>
      </c>
      <c r="N611" s="716">
        <f>IF(OR(status1B5!O306="",N$7="No aplica"),0,SUM('BOULEVARD 5'!$K304:Q304)-$AP611)</f>
        <v>0</v>
      </c>
      <c r="O611" s="716">
        <f>IF(OR(status1B5!P306="",O$7="No aplica"),0,SUM('BOULEVARD 5'!$K304:R304)-$AP611)</f>
        <v>0</v>
      </c>
      <c r="P611" s="716">
        <f>IF(OR(status1B5!Q306="",P$7="No aplica"),0,SUM('BOULEVARD 5'!$K304:S304)-$AP611)</f>
        <v>0</v>
      </c>
      <c r="Q611" s="716">
        <f>IF(OR(status1B5!R306="",Q$7="No aplica"),0,SUM('BOULEVARD 5'!$K304:T304)-$AP611)</f>
        <v>0</v>
      </c>
      <c r="R611" s="716">
        <f>IF(OR(status1B5!S306="",R$7="No aplica"),0,SUM('BOULEVARD 5'!$K304:U304)-$AP611)</f>
        <v>0</v>
      </c>
      <c r="S611" s="716">
        <f>IF(OR(status1B5!T306="",S$7="No aplica"),0,SUM('BOULEVARD 5'!$K304:V304)-$AP611)</f>
        <v>0</v>
      </c>
      <c r="T611" s="716">
        <f>IF(OR(status1B5!U306="",T$7="No aplica"),0,SUM('BOULEVARD 5'!$K304:W304)-$AP611)</f>
        <v>0</v>
      </c>
      <c r="U611" s="716">
        <f>IF(OR(status1B5!V306="",U$7="No aplica"),0,SUM('BOULEVARD 5'!$K304:X304)-$AP611)</f>
        <v>0</v>
      </c>
      <c r="V611" s="716">
        <f>IF(OR(status1B5!W306="",V$7="No aplica"),0,SUM('BOULEVARD 5'!$K304:Y304)-$AP611)</f>
        <v>0</v>
      </c>
      <c r="W611" s="716">
        <f>IF(OR(status1B5!X306="",W$7="No aplica"),0,SUM('BOULEVARD 5'!$K304:Z304)-$AP611)</f>
        <v>0</v>
      </c>
      <c r="X611" s="716">
        <f>IF(OR(status1B5!Y306="",X$7="No aplica"),0,SUM('BOULEVARD 5'!$K304:AA304)-$AP611)</f>
        <v>0</v>
      </c>
      <c r="Y611" s="716">
        <f>IF(OR(status1B5!Z306="",Y$7="No aplica"),0,SUM('BOULEVARD 5'!$K304:AB304)-$AP611)</f>
        <v>0</v>
      </c>
      <c r="Z611" s="716">
        <f>IF(OR(status1B5!AA306="",Z$7="No aplica"),0,SUM('BOULEVARD 5'!$K304:AC304)-$AP611)</f>
        <v>0</v>
      </c>
      <c r="AA611" s="716">
        <f>IF(OR(status1B5!AB306="",AA$7="No aplica"),0,SUM('BOULEVARD 5'!$K304:AD304)-$AP611)</f>
        <v>0</v>
      </c>
      <c r="AB611" s="716">
        <f>IF(OR(status1B5!AC306="",AB$7="No aplica"),0,SUM('BOULEVARD 5'!$K304:AE304)-$AP611)</f>
        <v>0</v>
      </c>
      <c r="AC611" s="716">
        <f>IF(OR(status1B5!AD306="",AC$7="No aplica"),0,SUM('BOULEVARD 5'!$K304:AF304)-$AP611)</f>
        <v>0</v>
      </c>
      <c r="AD611" s="716">
        <f>IF(OR(status1B5!AE306="",AD$7="No aplica"),0,SUM('BOULEVARD 5'!$K304:AG304)-$AP611)</f>
        <v>0</v>
      </c>
      <c r="AE611" s="716">
        <f>IF(OR(status1B5!AF306="",AE$7="No aplica"),0,SUM('BOULEVARD 5'!$K304:AH304)-$AP611)</f>
        <v>0</v>
      </c>
      <c r="AF611" s="716">
        <f>IF(OR(status1B5!AG306="",AF$7="No aplica"),0,SUM('BOULEVARD 5'!$K304:AI304)-$AP611)</f>
        <v>0</v>
      </c>
      <c r="AG611" s="716">
        <f>IF(OR(status1B5!AH306="",AG$7="No aplica"),0,SUM('BOULEVARD 5'!$K304:AJ304)-$AP611)</f>
        <v>0</v>
      </c>
      <c r="AH611" s="716">
        <f>IF(OR(status1B5!AI306="",AH$7="No aplica"),0,SUM('BOULEVARD 5'!$K304:AK304)-$AP611)</f>
        <v>0</v>
      </c>
      <c r="AI611" s="716">
        <f>IF(OR(status1B5!AJ306="",AI$7="No aplica"),0,SUM('BOULEVARD 5'!$K304:AL304)-$AP611)</f>
        <v>0</v>
      </c>
      <c r="AJ611" s="716">
        <f>IF(OR(status1B5!AK306="",AJ$7="No aplica"),0,SUM('BOULEVARD 5'!$K304:AM304)-$AP611)</f>
        <v>0</v>
      </c>
      <c r="AK611" s="716">
        <f>IF(OR(status1B5!AL306="",AK$7="No aplica"),0,SUM('BOULEVARD 5'!$K304:AN304)-$AP611)</f>
        <v>0</v>
      </c>
      <c r="AL611" s="716">
        <f>IF(OR(status1B5!AM306="",AL$7="No aplica"),0,SUM('BOULEVARD 5'!$K304:AO304)-$AP611)</f>
        <v>0</v>
      </c>
      <c r="AM611" s="716">
        <f>IF(OR(status1B5!AN306="",AM$7="No aplica"),0,SUM('BOULEVARD 5'!$K304:AP304)-$AP611)</f>
        <v>0</v>
      </c>
      <c r="AN611" s="716">
        <f>IF(OR(status1B5!AO306="",AN$7="No aplica"),0,SUM('BOULEVARD 5'!$K304:AQ304)-$AP611)</f>
        <v>0</v>
      </c>
      <c r="AO611" s="716">
        <f>IF(OR(status1B5!AP306="",AO$7="No aplica"),0,SUM('BOULEVARD 5'!$K304:AS304)-$AP611)</f>
        <v>0</v>
      </c>
      <c r="AP611" s="717">
        <f>'BOULEVARD PPTO'!BC299</f>
        <v>136500</v>
      </c>
      <c r="AQ611" s="717">
        <f>'BOULEVARD 5'!AT304</f>
        <v>0</v>
      </c>
      <c r="AR611" s="717">
        <f t="shared" si="302"/>
        <v>-136500</v>
      </c>
      <c r="AS611" s="717"/>
      <c r="AT611" s="581"/>
    </row>
  </sheetData>
  <conditionalFormatting sqref="B9:B306">
    <cfRule type="duplicateValues" dxfId="51" priority="15"/>
  </conditionalFormatting>
  <conditionalFormatting sqref="B314:B611">
    <cfRule type="duplicateValues" dxfId="50" priority="7"/>
  </conditionalFormatting>
  <conditionalFormatting sqref="F9:F306">
    <cfRule type="duplicateValues" dxfId="49" priority="1"/>
  </conditionalFormatting>
  <conditionalFormatting sqref="H9:AO306">
    <cfRule type="expression" dxfId="48" priority="11">
      <formula>H9&lt;0</formula>
    </cfRule>
  </conditionalFormatting>
  <conditionalFormatting sqref="H314:AS611">
    <cfRule type="expression" dxfId="47" priority="3">
      <formula>H314=0</formula>
    </cfRule>
  </conditionalFormatting>
  <conditionalFormatting sqref="AV9:AV306">
    <cfRule type="expression" dxfId="46" priority="2">
      <formula>AV9&lt;0</formula>
    </cfRule>
  </conditionalFormatting>
  <pageMargins left="0.7" right="0.7" top="0.75" bottom="0.75" header="0.3" footer="0.3"/>
  <pageSetup fitToWidth="0" fitToHeight="0" orientation="portrait" r:id="rId1"/>
  <ignoredErrors>
    <ignoredError sqref="I314:AL611" formulaRange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443E-8D7A-49BF-8754-250B71B98527}">
  <sheetPr>
    <tabColor rgb="FF0070C0"/>
  </sheetPr>
  <dimension ref="A1:L34"/>
  <sheetViews>
    <sheetView showGridLines="0" zoomScale="80" zoomScaleNormal="80" workbookViewId="0">
      <selection activeCell="AK284" sqref="AK284"/>
    </sheetView>
  </sheetViews>
  <sheetFormatPr defaultColWidth="11.42578125" defaultRowHeight="15" x14ac:dyDescent="0.25"/>
  <cols>
    <col min="3" max="8" width="14.7109375" style="12" customWidth="1"/>
    <col min="9" max="12" width="14.7109375" customWidth="1"/>
  </cols>
  <sheetData>
    <row r="1" spans="1:12" x14ac:dyDescent="0.25">
      <c r="A1" s="15" t="s">
        <v>855</v>
      </c>
      <c r="B1" s="15" t="s">
        <v>790</v>
      </c>
      <c r="C1" s="117" t="s">
        <v>856</v>
      </c>
      <c r="D1" s="117" t="s">
        <v>857</v>
      </c>
      <c r="E1" s="117" t="s">
        <v>58</v>
      </c>
      <c r="F1" s="117" t="s">
        <v>858</v>
      </c>
      <c r="G1" s="808" t="s">
        <v>859</v>
      </c>
      <c r="H1" s="117" t="s">
        <v>860</v>
      </c>
      <c r="I1" s="812" t="s">
        <v>861</v>
      </c>
      <c r="J1" s="117" t="s">
        <v>862</v>
      </c>
      <c r="K1" s="800" t="s">
        <v>863</v>
      </c>
      <c r="L1" s="117" t="s">
        <v>864</v>
      </c>
    </row>
    <row r="2" spans="1:12" x14ac:dyDescent="0.25">
      <c r="A2" s="501">
        <v>45016</v>
      </c>
      <c r="B2" s="762" t="str">
        <f>TEXT(A2,"mm-yyy")</f>
        <v>03-2023</v>
      </c>
      <c r="C2" s="771">
        <f>INDEX('BOULEVARD 5'!$K$305:$AS$305,MATCH('B5-2'!A2,'BOULEVARD 5'!$K$6:$AS$6))</f>
        <v>260570</v>
      </c>
      <c r="D2" s="772">
        <f>C2/SUM($C$2:$C$33)</f>
        <v>9.6587900408072296E-3</v>
      </c>
      <c r="E2" s="771">
        <f>INDEX('BOULEVARD 5'!$K$310:$AS$310,MATCH('B5-2'!A2,'BOULEVARD 5'!$K$6:$AS$6))</f>
        <v>78000</v>
      </c>
      <c r="F2" s="772">
        <f>E2/SUM($C$2:$C$33)</f>
        <v>2.891298396526706E-3</v>
      </c>
      <c r="G2" s="809">
        <f>C2-E2</f>
        <v>182570</v>
      </c>
      <c r="H2" s="841">
        <f>G2/SUM($C$2:$C$33)</f>
        <v>6.7674916442805226E-3</v>
      </c>
      <c r="I2" s="809">
        <f>INDEX('BOULEVARD PPTO'!$C$311:$BB$311,MATCH('B5-2'!A2,'BOULEVARD PPTO'!$C$1:$BB$1))</f>
        <v>153000</v>
      </c>
      <c r="J2" s="772">
        <f t="shared" ref="J2:J33" si="0">I2/SUM($I$2:$I$33)</f>
        <v>5.74984688843584E-3</v>
      </c>
      <c r="K2" s="771">
        <f>G2-I2</f>
        <v>29570</v>
      </c>
      <c r="L2" s="772">
        <f t="shared" ref="L2:L13" si="1">(I2/SUM($I$2:$I$33))-(G2/SUM($G$2:$G$33))</f>
        <v>-1.3038743262842132E-3</v>
      </c>
    </row>
    <row r="3" spans="1:12" x14ac:dyDescent="0.25">
      <c r="A3" s="501">
        <v>45046</v>
      </c>
      <c r="B3" s="762" t="str">
        <f t="shared" ref="B3:B33" si="2">TEXT(A3,"mm-yyy")</f>
        <v>04-2023</v>
      </c>
      <c r="C3" s="771">
        <f>INDEX('BOULEVARD 5'!$K$305:$AS$305,MATCH('B5-2'!A3,'BOULEVARD 5'!$K$6:$AS$6))</f>
        <v>196750</v>
      </c>
      <c r="D3" s="772">
        <f t="shared" ref="D3:D33" si="3">C3/SUM($C$2:$C$33)</f>
        <v>7.2931148655978138E-3</v>
      </c>
      <c r="E3" s="771">
        <f>INDEX('BOULEVARD 5'!$K$310:$AS$310,MATCH('B5-2'!A3,'BOULEVARD 5'!$K$6:$AS$6))</f>
        <v>27346</v>
      </c>
      <c r="F3" s="772">
        <f>E3/SUM($C$2:$C$33)</f>
        <v>1.0136595634797347E-3</v>
      </c>
      <c r="G3" s="809">
        <f>C3-E3</f>
        <v>169404</v>
      </c>
      <c r="H3" s="841">
        <f t="shared" ref="H3:H33" si="4">G3/SUM($C$2:$C$33)</f>
        <v>6.2794553021180786E-3</v>
      </c>
      <c r="I3" s="809">
        <f>INDEX('BOULEVARD PPTO'!$C$311:$BB$311,MATCH('B5-2'!A3,'BOULEVARD PPTO'!$C$1:$BB$1))</f>
        <v>191251</v>
      </c>
      <c r="J3" s="772">
        <f t="shared" si="0"/>
        <v>7.1873461912434168E-3</v>
      </c>
      <c r="K3" s="771">
        <f t="shared" ref="K3:K33" si="5">G3-I3</f>
        <v>-21847</v>
      </c>
      <c r="L3" s="772">
        <f t="shared" si="1"/>
        <v>6.4230270842347958E-4</v>
      </c>
    </row>
    <row r="4" spans="1:12" x14ac:dyDescent="0.25">
      <c r="A4" s="501">
        <v>45077</v>
      </c>
      <c r="B4" s="762" t="str">
        <f t="shared" si="2"/>
        <v>05-2023</v>
      </c>
      <c r="C4" s="771">
        <f>INDEX('BOULEVARD 5'!$K$305:$AS$305,MATCH('B5-2'!A4,'BOULEVARD 5'!$K$6:$AS$6))</f>
        <v>213977</v>
      </c>
      <c r="D4" s="772">
        <f t="shared" si="3"/>
        <v>7.9316840640204483E-3</v>
      </c>
      <c r="E4" s="771">
        <f>INDEX('BOULEVARD 5'!$K$310:$AS$310,MATCH('B5-2'!A4,'BOULEVARD 5'!$K$6:$AS$6))</f>
        <v>34546</v>
      </c>
      <c r="F4" s="772">
        <f>E4/SUM($C$2:$C$33)</f>
        <v>1.2805486462360461E-3</v>
      </c>
      <c r="G4" s="809">
        <f>C4-E4</f>
        <v>179431</v>
      </c>
      <c r="H4" s="841">
        <f t="shared" si="4"/>
        <v>6.6511354177844033E-3</v>
      </c>
      <c r="I4" s="809">
        <f>INDEX('BOULEVARD PPTO'!$C$311:$BB$311,MATCH('B5-2'!A4,'BOULEVARD PPTO'!$C$1:$BB$1))</f>
        <v>194985</v>
      </c>
      <c r="J4" s="772">
        <f t="shared" si="0"/>
        <v>7.3276725198801454E-3</v>
      </c>
      <c r="K4" s="771">
        <f t="shared" si="5"/>
        <v>-15554</v>
      </c>
      <c r="L4" s="772">
        <f t="shared" si="1"/>
        <v>3.9522879266081119E-4</v>
      </c>
    </row>
    <row r="5" spans="1:12" x14ac:dyDescent="0.25">
      <c r="A5" s="501">
        <v>45107</v>
      </c>
      <c r="B5" s="762" t="str">
        <f t="shared" si="2"/>
        <v>06-2023</v>
      </c>
      <c r="C5" s="771">
        <f>INDEX('BOULEVARD 5'!$K$305:$AS$305,MATCH('B5-2'!A5,'BOULEVARD 5'!$K$6:$AS$6))</f>
        <v>378974.85</v>
      </c>
      <c r="D5" s="772">
        <f t="shared" si="3"/>
        <v>1.4047812514473705E-2</v>
      </c>
      <c r="E5" s="771">
        <f>INDEX('BOULEVARD 5'!$K$310:$AS$310,MATCH('B5-2'!A5,'BOULEVARD 5'!$K$6:$AS$6))</f>
        <v>19346</v>
      </c>
      <c r="F5" s="772">
        <f>E5/SUM($C$2:$C$33)</f>
        <v>7.1711613819494438E-4</v>
      </c>
      <c r="G5" s="809">
        <f t="shared" ref="G5:G33" si="6">C5-E5</f>
        <v>359628.85</v>
      </c>
      <c r="H5" s="841">
        <f t="shared" si="4"/>
        <v>1.3330696376278759E-2</v>
      </c>
      <c r="I5" s="809">
        <f>INDEX('BOULEVARD PPTO'!$C$311:$BB$311,MATCH('B5-2'!A5,'BOULEVARD PPTO'!$C$1:$BB$1))</f>
        <v>382932.85</v>
      </c>
      <c r="J5" s="772">
        <f t="shared" si="0"/>
        <v>1.4390884026486066E-2</v>
      </c>
      <c r="K5" s="771">
        <f t="shared" si="5"/>
        <v>-23304</v>
      </c>
      <c r="L5" s="772">
        <f t="shared" si="1"/>
        <v>4.963687793459251E-4</v>
      </c>
    </row>
    <row r="6" spans="1:12" x14ac:dyDescent="0.25">
      <c r="A6" s="501">
        <v>45138</v>
      </c>
      <c r="B6" s="762" t="str">
        <f t="shared" si="2"/>
        <v>07-2023</v>
      </c>
      <c r="C6" s="771">
        <f>INDEX('BOULEVARD 5'!$K$305:$AS$305,MATCH('B5-2'!A6,'BOULEVARD 5'!$K$6:$AS$6))</f>
        <v>293143</v>
      </c>
      <c r="D6" s="772">
        <f t="shared" si="3"/>
        <v>1.0866203664782413E-2</v>
      </c>
      <c r="E6" s="771">
        <f>INDEX('BOULEVARD 5'!$K$310:$AS$310,MATCH('B5-2'!A6,'BOULEVARD 5'!$K$6:$AS$6))</f>
        <v>21946</v>
      </c>
      <c r="F6" s="772">
        <f>E6/SUM($C$2:$C$33)</f>
        <v>8.134927514125012E-4</v>
      </c>
      <c r="G6" s="809">
        <f t="shared" si="6"/>
        <v>271197</v>
      </c>
      <c r="H6" s="841">
        <f t="shared" si="4"/>
        <v>1.0052710913369912E-2</v>
      </c>
      <c r="I6" s="809">
        <f>INDEX('BOULEVARD PPTO'!$C$311:$BB$311,MATCH('B5-2'!A6,'BOULEVARD PPTO'!$C$1:$BB$1))</f>
        <v>363125.17</v>
      </c>
      <c r="J6" s="772">
        <f t="shared" si="0"/>
        <v>1.3646497574099577E-2</v>
      </c>
      <c r="K6" s="771">
        <f t="shared" si="5"/>
        <v>-91928.169999999984</v>
      </c>
      <c r="L6" s="772">
        <f t="shared" si="1"/>
        <v>3.1686094639586226E-3</v>
      </c>
    </row>
    <row r="7" spans="1:12" x14ac:dyDescent="0.25">
      <c r="A7" s="501">
        <v>45169</v>
      </c>
      <c r="B7" s="762" t="str">
        <f t="shared" si="2"/>
        <v>08-2023</v>
      </c>
      <c r="C7" s="771">
        <f>INDEX('BOULEVARD 5'!$K$305:$AS$305,MATCH('B5-2'!A7,'BOULEVARD 5'!$K$6:$AS$6))</f>
        <v>573016</v>
      </c>
      <c r="D7" s="772">
        <f t="shared" si="3"/>
        <v>2.1240515922873682E-2</v>
      </c>
      <c r="E7" s="771">
        <f>INDEX('BOULEVARD 5'!$K$310:$AS$310,MATCH('B5-2'!A7,'BOULEVARD 5'!$K$6:$AS$6))</f>
        <v>17346</v>
      </c>
      <c r="F7" s="772">
        <f t="shared" ref="F7:F33" si="7">E7/SUM($C$2:$C$33)</f>
        <v>6.429802818737467E-4</v>
      </c>
      <c r="G7" s="809">
        <f t="shared" si="6"/>
        <v>555670</v>
      </c>
      <c r="H7" s="841">
        <f t="shared" si="4"/>
        <v>2.0597535640999934E-2</v>
      </c>
      <c r="I7" s="809">
        <f>INDEX('BOULEVARD PPTO'!$C$311:$BB$311,MATCH('B5-2'!A7,'BOULEVARD PPTO'!$C$1:$BB$1))</f>
        <v>443624</v>
      </c>
      <c r="J7" s="772">
        <f t="shared" si="0"/>
        <v>1.6671699843369026E-2</v>
      </c>
      <c r="K7" s="771">
        <f t="shared" si="5"/>
        <v>112046</v>
      </c>
      <c r="L7" s="772">
        <f t="shared" si="1"/>
        <v>-4.797004036696112E-3</v>
      </c>
    </row>
    <row r="8" spans="1:12" x14ac:dyDescent="0.25">
      <c r="A8" s="501">
        <v>45199</v>
      </c>
      <c r="B8" s="762" t="str">
        <f t="shared" si="2"/>
        <v>09-2023</v>
      </c>
      <c r="C8" s="771">
        <f>INDEX('BOULEVARD 5'!$K$305:$AS$305,MATCH('B5-2'!A8,'BOULEVARD 5'!$K$6:$AS$6))</f>
        <v>1073925.17</v>
      </c>
      <c r="D8" s="772">
        <f t="shared" si="3"/>
        <v>3.9808181051418846E-2</v>
      </c>
      <c r="E8" s="771">
        <f>INDEX('BOULEVARD 5'!$K$310:$AS$310,MATCH('B5-2'!A8,'BOULEVARD 5'!$K$6:$AS$6))</f>
        <v>19746</v>
      </c>
      <c r="F8" s="772">
        <f t="shared" si="7"/>
        <v>7.3194330945918385E-4</v>
      </c>
      <c r="G8" s="809">
        <f t="shared" si="6"/>
        <v>1054179.17</v>
      </c>
      <c r="H8" s="841">
        <f t="shared" si="4"/>
        <v>3.9076237741959667E-2</v>
      </c>
      <c r="I8" s="809">
        <f>INDEX('BOULEVARD PPTO'!$C$311:$BB$311,MATCH('B5-2'!A8,'BOULEVARD PPTO'!$C$1:$BB$1))</f>
        <v>358437</v>
      </c>
      <c r="J8" s="772">
        <f t="shared" si="0"/>
        <v>1.3470312870263249E-2</v>
      </c>
      <c r="K8" s="771">
        <f t="shared" si="5"/>
        <v>695742.16999999993</v>
      </c>
      <c r="L8" s="772">
        <f t="shared" si="1"/>
        <v>-2.725864575133382E-2</v>
      </c>
    </row>
    <row r="9" spans="1:12" x14ac:dyDescent="0.25">
      <c r="A9" s="501">
        <v>45230</v>
      </c>
      <c r="B9" s="762" t="str">
        <f t="shared" si="2"/>
        <v>10-2023</v>
      </c>
      <c r="C9" s="771">
        <f>INDEX('BOULEVARD 5'!$K$305:$AS$305,MATCH('B5-2'!A9,'BOULEVARD 5'!$K$6:$AS$6))</f>
        <v>338868</v>
      </c>
      <c r="D9" s="772">
        <f t="shared" si="3"/>
        <v>1.2561134679925793E-2</v>
      </c>
      <c r="E9" s="771">
        <f>INDEX('BOULEVARD 5'!$K$310:$AS$310,MATCH('B5-2'!A9,'BOULEVARD 5'!$K$6:$AS$6))</f>
        <v>15846</v>
      </c>
      <c r="F9" s="772">
        <f t="shared" si="7"/>
        <v>5.873783896328485E-4</v>
      </c>
      <c r="G9" s="809">
        <f t="shared" si="6"/>
        <v>323022</v>
      </c>
      <c r="H9" s="841">
        <f t="shared" si="4"/>
        <v>1.1973756290292945E-2</v>
      </c>
      <c r="I9" s="809">
        <f>INDEX('BOULEVARD PPTO'!$C$311:$BB$311,MATCH('B5-2'!A9,'BOULEVARD PPTO'!$C$1:$BB$1))</f>
        <v>369523</v>
      </c>
      <c r="J9" s="772">
        <f t="shared" si="0"/>
        <v>1.3886932495133836E-2</v>
      </c>
      <c r="K9" s="771">
        <f t="shared" si="5"/>
        <v>-46501</v>
      </c>
      <c r="L9" s="772">
        <f t="shared" si="1"/>
        <v>1.4067488164281293E-3</v>
      </c>
    </row>
    <row r="10" spans="1:12" x14ac:dyDescent="0.25">
      <c r="A10" s="501">
        <v>45260</v>
      </c>
      <c r="B10" s="762" t="str">
        <f t="shared" si="2"/>
        <v>11-2023</v>
      </c>
      <c r="C10" s="771">
        <f>INDEX('BOULEVARD 5'!$K$305:$AS$305,MATCH('B5-2'!A10,'BOULEVARD 5'!$K$6:$AS$6))</f>
        <v>373484</v>
      </c>
      <c r="D10" s="772">
        <f t="shared" si="3"/>
        <v>1.3844278081133081E-2</v>
      </c>
      <c r="E10" s="771">
        <f>INDEX('BOULEVARD 5'!$K$310:$AS$310,MATCH('B5-2'!A10,'BOULEVARD 5'!$K$6:$AS$6))</f>
        <v>18646</v>
      </c>
      <c r="F10" s="772">
        <f t="shared" si="7"/>
        <v>6.9116858848252522E-4</v>
      </c>
      <c r="G10" s="809">
        <f t="shared" si="6"/>
        <v>354838</v>
      </c>
      <c r="H10" s="841">
        <f t="shared" si="4"/>
        <v>1.3153109492650555E-2</v>
      </c>
      <c r="I10" s="809">
        <f>INDEX('BOULEVARD PPTO'!$C$311:$BB$311,MATCH('B5-2'!A10,'BOULEVARD PPTO'!$C$1:$BB$1))</f>
        <v>419596.00000000006</v>
      </c>
      <c r="J10" s="772">
        <f t="shared" si="0"/>
        <v>1.576871081699428E-2</v>
      </c>
      <c r="K10" s="771">
        <f t="shared" si="5"/>
        <v>-64758.000000000058</v>
      </c>
      <c r="L10" s="772">
        <f t="shared" si="1"/>
        <v>2.059293451661344E-3</v>
      </c>
    </row>
    <row r="11" spans="1:12" x14ac:dyDescent="0.25">
      <c r="A11" s="501">
        <v>45291</v>
      </c>
      <c r="B11" s="762" t="str">
        <f t="shared" si="2"/>
        <v>12-2023</v>
      </c>
      <c r="C11" s="771">
        <f>INDEX('BOULEVARD 5'!$K$305:$AS$305,MATCH('B5-2'!A11,'BOULEVARD 5'!$K$6:$AS$6))</f>
        <v>395067</v>
      </c>
      <c r="D11" s="772">
        <f t="shared" si="3"/>
        <v>1.4644315174623284E-2</v>
      </c>
      <c r="E11" s="771">
        <f>INDEX('BOULEVARD 5'!$K$310:$AS$310,MATCH('B5-2'!A11,'BOULEVARD 5'!$K$6:$AS$6))</f>
        <v>15946</v>
      </c>
      <c r="F11" s="772">
        <f t="shared" si="7"/>
        <v>5.9108518244890839E-4</v>
      </c>
      <c r="G11" s="809">
        <f t="shared" si="6"/>
        <v>379121</v>
      </c>
      <c r="H11" s="841">
        <f t="shared" si="4"/>
        <v>1.4053229992174376E-2</v>
      </c>
      <c r="I11" s="809">
        <f>INDEX('BOULEVARD PPTO'!$C$311:$BB$311,MATCH('B5-2'!A11,'BOULEVARD PPTO'!$C$1:$BB$1))</f>
        <v>417982.00000000006</v>
      </c>
      <c r="J11" s="772">
        <f t="shared" si="0"/>
        <v>1.5708055569426074E-2</v>
      </c>
      <c r="K11" s="771">
        <f t="shared" si="5"/>
        <v>-38861.000000000058</v>
      </c>
      <c r="L11" s="772">
        <f t="shared" si="1"/>
        <v>1.0604473060428169E-3</v>
      </c>
    </row>
    <row r="12" spans="1:12" x14ac:dyDescent="0.25">
      <c r="A12" s="501">
        <v>45322</v>
      </c>
      <c r="B12" s="802" t="str">
        <f t="shared" si="2"/>
        <v>01-2024</v>
      </c>
      <c r="C12" s="803">
        <f>INDEX('BOULEVARD 5'!$K$305:$AS$305,MATCH('B5-2'!A12,'BOULEVARD 5'!$K$6:$AS$6))</f>
        <v>469043</v>
      </c>
      <c r="D12" s="804">
        <f t="shared" si="3"/>
        <v>1.7386452228231743E-2</v>
      </c>
      <c r="E12" s="803">
        <f>INDEX('BOULEVARD 5'!$K$310:$AS$310,MATCH('B5-2'!A12,'BOULEVARD 5'!$K$6:$AS$6))</f>
        <v>32846</v>
      </c>
      <c r="F12" s="804">
        <f t="shared" si="7"/>
        <v>1.2175331683630282E-3</v>
      </c>
      <c r="G12" s="810">
        <f t="shared" si="6"/>
        <v>436197</v>
      </c>
      <c r="H12" s="842">
        <f t="shared" si="4"/>
        <v>1.6168919059868714E-2</v>
      </c>
      <c r="I12" s="810">
        <f>INDEX('BOULEVARD PPTO'!$C$311:$BB$311,MATCH('B5-2'!A12,'BOULEVARD PPTO'!$C$1:$BB$1))</f>
        <v>460217.00000000006</v>
      </c>
      <c r="J12" s="804">
        <f t="shared" si="0"/>
        <v>1.729527637552469E-2</v>
      </c>
      <c r="K12" s="803">
        <f t="shared" si="5"/>
        <v>-24020.000000000058</v>
      </c>
      <c r="L12" s="772">
        <f t="shared" si="1"/>
        <v>4.4249644072026986E-4</v>
      </c>
    </row>
    <row r="13" spans="1:12" x14ac:dyDescent="0.25">
      <c r="A13" s="501">
        <v>45351</v>
      </c>
      <c r="B13" s="762" t="str">
        <f t="shared" si="2"/>
        <v>02-2024</v>
      </c>
      <c r="C13" s="771">
        <f>INDEX('BOULEVARD 5'!$K$305:$AS$305,MATCH('B5-2'!A13,'BOULEVARD 5'!$K$6:$AS$6))</f>
        <v>531499</v>
      </c>
      <c r="D13" s="772">
        <f t="shared" si="3"/>
        <v>1.9701566749430102E-2</v>
      </c>
      <c r="E13" s="771">
        <f>INDEX('BOULEVARD 5'!$K$310:$AS$310,MATCH('B5-2'!A13,'BOULEVARD 5'!$K$6:$AS$6))</f>
        <v>23946</v>
      </c>
      <c r="F13" s="772">
        <f t="shared" si="7"/>
        <v>8.8762860773369877E-4</v>
      </c>
      <c r="G13" s="809">
        <f t="shared" si="6"/>
        <v>507553</v>
      </c>
      <c r="H13" s="841">
        <f t="shared" si="4"/>
        <v>1.88139381416964E-2</v>
      </c>
      <c r="I13" s="809">
        <f>INDEX('BOULEVARD PPTO'!$C$311:$BB$311,MATCH('B5-2'!A13,'BOULEVARD PPTO'!$C$1:$BB$1))</f>
        <v>548348</v>
      </c>
      <c r="J13" s="772">
        <f t="shared" si="0"/>
        <v>2.0607300925359583E-2</v>
      </c>
      <c r="K13" s="771">
        <f t="shared" si="5"/>
        <v>-40795</v>
      </c>
      <c r="L13" s="772">
        <f t="shared" si="1"/>
        <v>9.9763140849039658E-4</v>
      </c>
    </row>
    <row r="14" spans="1:12" x14ac:dyDescent="0.25">
      <c r="A14" s="501">
        <v>45382</v>
      </c>
      <c r="B14" s="762" t="str">
        <f t="shared" si="2"/>
        <v>03-2024</v>
      </c>
      <c r="C14" s="771">
        <f>INDEX('BOULEVARD 5'!$K$305:$AS$305,MATCH('B5-2'!A14,'BOULEVARD 5'!$K$6:$AS$6))</f>
        <v>471423</v>
      </c>
      <c r="D14" s="772">
        <f t="shared" si="3"/>
        <v>1.7474673897253969E-2</v>
      </c>
      <c r="E14" s="771">
        <f>INDEX('BOULEVARD 5'!$K$310:$AS$310,MATCH('B5-2'!A14,'BOULEVARD 5'!$K$6:$AS$6))</f>
        <v>24532</v>
      </c>
      <c r="F14" s="772">
        <f t="shared" si="7"/>
        <v>9.093504136358097E-4</v>
      </c>
      <c r="G14" s="809">
        <f t="shared" si="6"/>
        <v>446891</v>
      </c>
      <c r="H14" s="841">
        <f t="shared" si="4"/>
        <v>1.6565323483618156E-2</v>
      </c>
      <c r="I14" s="809">
        <f>INDEX('BOULEVARD PPTO'!$C$311:$BB$311,MATCH('B5-2'!A14,'BOULEVARD PPTO'!$C$1:$BB$1))</f>
        <v>597951</v>
      </c>
      <c r="J14" s="772">
        <f t="shared" si="0"/>
        <v>2.2471416318869928E-2</v>
      </c>
      <c r="K14" s="771">
        <f t="shared" si="5"/>
        <v>-151060</v>
      </c>
      <c r="L14" s="772">
        <f t="shared" ref="L14:L33" si="8">(I14/SUM($I$2:$I$33))-(G14/SUM($G$2:$G$33))</f>
        <v>5.2054661224112606E-3</v>
      </c>
    </row>
    <row r="15" spans="1:12" x14ac:dyDescent="0.25">
      <c r="A15" s="501">
        <v>45412</v>
      </c>
      <c r="B15" s="762" t="str">
        <f t="shared" si="2"/>
        <v>04-2024</v>
      </c>
      <c r="C15" s="771">
        <f>INDEX('BOULEVARD 5'!$K$305:$AS$305,MATCH('B5-2'!A15,'BOULEVARD 5'!$K$6:$AS$6))</f>
        <v>629496</v>
      </c>
      <c r="D15" s="772">
        <f t="shared" si="3"/>
        <v>2.3334112505384301E-2</v>
      </c>
      <c r="E15" s="771">
        <f>INDEX('BOULEVARD 5'!$K$310:$AS$310,MATCH('B5-2'!A15,'BOULEVARD 5'!$K$6:$AS$6))</f>
        <v>56887</v>
      </c>
      <c r="F15" s="772">
        <f t="shared" si="7"/>
        <v>2.1086832292719839E-3</v>
      </c>
      <c r="G15" s="809">
        <f t="shared" si="6"/>
        <v>572609</v>
      </c>
      <c r="H15" s="841">
        <f t="shared" si="4"/>
        <v>2.1225429276112318E-2</v>
      </c>
      <c r="I15" s="809">
        <f>INDEX('BOULEVARD PPTO'!$C$311:$BB$311,MATCH('B5-2'!A15,'BOULEVARD PPTO'!$C$1:$BB$1))</f>
        <v>598696</v>
      </c>
      <c r="J15" s="772">
        <f t="shared" si="0"/>
        <v>2.2499413939339762E-2</v>
      </c>
      <c r="K15" s="771">
        <f t="shared" si="5"/>
        <v>-26087</v>
      </c>
      <c r="L15" s="772">
        <f t="shared" si="8"/>
        <v>3.7625980098387329E-4</v>
      </c>
    </row>
    <row r="16" spans="1:12" x14ac:dyDescent="0.25">
      <c r="A16" s="501">
        <v>45443</v>
      </c>
      <c r="B16" s="762" t="str">
        <f t="shared" si="2"/>
        <v>05-2024</v>
      </c>
      <c r="C16" s="771">
        <f>INDEX('BOULEVARD 5'!$K$305:$AS$305,MATCH('B5-2'!A16,'BOULEVARD 5'!$K$6:$AS$6))</f>
        <v>557585</v>
      </c>
      <c r="D16" s="772">
        <f t="shared" si="3"/>
        <v>2.066852072342748E-2</v>
      </c>
      <c r="E16" s="771">
        <f>INDEX('BOULEVARD 5'!$K$310:$AS$310,MATCH('B5-2'!A16,'BOULEVARD 5'!$K$6:$AS$6))</f>
        <v>13980</v>
      </c>
      <c r="F16" s="772">
        <f t="shared" si="7"/>
        <v>5.1820963568517122E-4</v>
      </c>
      <c r="G16" s="809">
        <f t="shared" si="6"/>
        <v>543605</v>
      </c>
      <c r="H16" s="841">
        <f t="shared" si="4"/>
        <v>2.0150311087742311E-2</v>
      </c>
      <c r="I16" s="809">
        <f>INDEX('BOULEVARD PPTO'!$C$311:$BB$311,MATCH('B5-2'!A16,'BOULEVARD PPTO'!$C$1:$BB$1))</f>
        <v>672113</v>
      </c>
      <c r="J16" s="772">
        <f t="shared" si="0"/>
        <v>2.5258476089720767E-2</v>
      </c>
      <c r="K16" s="771">
        <f t="shared" si="5"/>
        <v>-128508</v>
      </c>
      <c r="L16" s="772">
        <f t="shared" si="8"/>
        <v>4.2559120270166291E-3</v>
      </c>
    </row>
    <row r="17" spans="1:12" x14ac:dyDescent="0.25">
      <c r="A17" s="501">
        <v>45473</v>
      </c>
      <c r="B17" s="762" t="str">
        <f t="shared" si="2"/>
        <v>06-2024</v>
      </c>
      <c r="C17" s="771">
        <f>INDEX('BOULEVARD 5'!$K$305:$AS$305,MATCH('B5-2'!A17,'BOULEVARD 5'!$K$6:$AS$6))</f>
        <v>652191</v>
      </c>
      <c r="D17" s="772">
        <f t="shared" si="3"/>
        <v>2.4175369134989091E-2</v>
      </c>
      <c r="E17" s="771">
        <f>INDEX('BOULEVARD 5'!$K$310:$AS$310,MATCH('B5-2'!A17,'BOULEVARD 5'!$K$6:$AS$6))</f>
        <v>20280</v>
      </c>
      <c r="F17" s="772">
        <f t="shared" si="7"/>
        <v>7.517375830969436E-4</v>
      </c>
      <c r="G17" s="809">
        <f t="shared" si="6"/>
        <v>631911</v>
      </c>
      <c r="H17" s="841">
        <f t="shared" si="4"/>
        <v>2.3423631551892147E-2</v>
      </c>
      <c r="I17" s="809">
        <f>INDEX('BOULEVARD PPTO'!$C$311:$BB$311,MATCH('B5-2'!A17,'BOULEVARD PPTO'!$C$1:$BB$1))</f>
        <v>669444</v>
      </c>
      <c r="J17" s="772">
        <f t="shared" si="0"/>
        <v>2.5158173205111389E-2</v>
      </c>
      <c r="K17" s="771">
        <f t="shared" si="5"/>
        <v>-37533</v>
      </c>
      <c r="L17" s="772">
        <f t="shared" si="8"/>
        <v>7.4384430926342088E-4</v>
      </c>
    </row>
    <row r="18" spans="1:12" x14ac:dyDescent="0.25">
      <c r="A18" s="501">
        <v>45504</v>
      </c>
      <c r="B18" s="762" t="str">
        <f t="shared" si="2"/>
        <v>07-2024</v>
      </c>
      <c r="C18" s="771">
        <f>INDEX('BOULEVARD 5'!$K$305:$AS$305,MATCH('B5-2'!A18,'BOULEVARD 5'!$K$6:$AS$6))</f>
        <v>789239</v>
      </c>
      <c r="D18" s="772">
        <f t="shared" si="3"/>
        <v>2.9255454553542833E-2</v>
      </c>
      <c r="E18" s="771">
        <f>INDEX('BOULEVARD 5'!$K$310:$AS$310,MATCH('B5-2'!A18,'BOULEVARD 5'!$K$6:$AS$6))</f>
        <v>19180</v>
      </c>
      <c r="F18" s="772">
        <f t="shared" si="7"/>
        <v>7.1096286212028498E-4</v>
      </c>
      <c r="G18" s="809">
        <f t="shared" si="6"/>
        <v>770059</v>
      </c>
      <c r="H18" s="841">
        <f t="shared" si="4"/>
        <v>2.8544491691422549E-2</v>
      </c>
      <c r="I18" s="809">
        <f>INDEX('BOULEVARD PPTO'!$C$311:$BB$311,MATCH('B5-2'!A18,'BOULEVARD PPTO'!$C$1:$BB$1))</f>
        <v>775681</v>
      </c>
      <c r="J18" s="772">
        <f t="shared" si="0"/>
        <v>2.9150633884109808E-2</v>
      </c>
      <c r="K18" s="771">
        <f t="shared" si="5"/>
        <v>-5622</v>
      </c>
      <c r="L18" s="772">
        <f t="shared" si="8"/>
        <v>-6.011408044266954E-4</v>
      </c>
    </row>
    <row r="19" spans="1:12" x14ac:dyDescent="0.25">
      <c r="A19" s="501">
        <v>45535</v>
      </c>
      <c r="B19" s="762" t="str">
        <f t="shared" si="2"/>
        <v>08-2024</v>
      </c>
      <c r="C19" s="771">
        <f>INDEX('BOULEVARD 5'!$K$305:$AS$305,MATCH('B5-2'!A19,'BOULEVARD 5'!$K$6:$AS$6))</f>
        <v>858311.05</v>
      </c>
      <c r="D19" s="772">
        <f t="shared" si="3"/>
        <v>3.1815812340848126E-2</v>
      </c>
      <c r="E19" s="771">
        <f>INDEX('BOULEVARD 5'!$K$310:$AS$310,MATCH('B5-2'!A19,'BOULEVARD 5'!$K$6:$AS$6))</f>
        <v>20380</v>
      </c>
      <c r="F19" s="772">
        <f t="shared" si="7"/>
        <v>7.554443759130035E-4</v>
      </c>
      <c r="G19" s="809">
        <f t="shared" si="6"/>
        <v>837931.05</v>
      </c>
      <c r="H19" s="841">
        <f t="shared" si="4"/>
        <v>3.106036796493512E-2</v>
      </c>
      <c r="I19" s="809">
        <f>INDEX('BOULEVARD PPTO'!$C$311:$BB$311,MATCH('B5-2'!A19,'BOULEVARD PPTO'!$C$1:$BB$1))</f>
        <v>1614016.02</v>
      </c>
      <c r="J19" s="772">
        <f t="shared" si="0"/>
        <v>6.0655849610997375E-2</v>
      </c>
      <c r="K19" s="771">
        <f t="shared" si="5"/>
        <v>-776084.97</v>
      </c>
      <c r="L19" s="772">
        <f t="shared" si="8"/>
        <v>2.8281790215381172E-2</v>
      </c>
    </row>
    <row r="20" spans="1:12" x14ac:dyDescent="0.25">
      <c r="A20" s="501">
        <v>45565</v>
      </c>
      <c r="B20" s="762" t="str">
        <f t="shared" si="2"/>
        <v>09-2024</v>
      </c>
      <c r="C20" s="771">
        <f>INDEX('BOULEVARD 5'!$K$305:$AS$305,MATCH('B5-2'!A20,'BOULEVARD 5'!$K$6:$AS$6))</f>
        <v>820615.71</v>
      </c>
      <c r="D20" s="772">
        <f t="shared" si="3"/>
        <v>3.0418524185738774E-2</v>
      </c>
      <c r="E20" s="771">
        <f>INDEX('BOULEVARD 5'!$K$310:$AS$310,MATCH('B5-2'!A20,'BOULEVARD 5'!$K$6:$AS$6))</f>
        <v>16686</v>
      </c>
      <c r="F20" s="772">
        <f t="shared" si="7"/>
        <v>6.1851544928775157E-4</v>
      </c>
      <c r="G20" s="809">
        <f t="shared" si="6"/>
        <v>803929.71</v>
      </c>
      <c r="H20" s="841">
        <f t="shared" si="4"/>
        <v>2.9800008736451025E-2</v>
      </c>
      <c r="I20" s="809">
        <f>INDEX('BOULEVARD PPTO'!$C$311:$BB$311,MATCH('B5-2'!A20,'BOULEVARD PPTO'!$C$1:$BB$1))</f>
        <v>849639.09999999986</v>
      </c>
      <c r="J20" s="772">
        <f t="shared" si="0"/>
        <v>3.193003095051259E-2</v>
      </c>
      <c r="K20" s="771">
        <f t="shared" si="5"/>
        <v>-45709.389999999898</v>
      </c>
      <c r="L20" s="772">
        <f t="shared" si="8"/>
        <v>8.6963739970610798E-4</v>
      </c>
    </row>
    <row r="21" spans="1:12" x14ac:dyDescent="0.25">
      <c r="A21" s="501">
        <v>45596</v>
      </c>
      <c r="B21" s="762" t="str">
        <f t="shared" si="2"/>
        <v>10-2024</v>
      </c>
      <c r="C21" s="771">
        <f>INDEX('BOULEVARD 5'!$K$305:$AS$305,MATCH('B5-2'!A21,'BOULEVARD 5'!$K$6:$AS$6))</f>
        <v>1634083.02</v>
      </c>
      <c r="D21" s="772">
        <f t="shared" si="3"/>
        <v>6.0572071993814328E-2</v>
      </c>
      <c r="E21" s="771">
        <f>INDEX('BOULEVARD 5'!$K$310:$AS$310,MATCH('B5-2'!A21,'BOULEVARD 5'!$K$6:$AS$6))</f>
        <v>10011</v>
      </c>
      <c r="F21" s="772">
        <f t="shared" si="7"/>
        <v>3.7108702881575456E-4</v>
      </c>
      <c r="G21" s="809">
        <f t="shared" si="6"/>
        <v>1624072.02</v>
      </c>
      <c r="H21" s="841">
        <f t="shared" si="4"/>
        <v>6.0200984964998573E-2</v>
      </c>
      <c r="I21" s="809">
        <f>INDEX('BOULEVARD PPTO'!$C$311:$BB$311,MATCH('B5-2'!A21,'BOULEVARD PPTO'!$C$1:$BB$1))</f>
        <v>816224</v>
      </c>
      <c r="J21" s="772">
        <f t="shared" si="0"/>
        <v>3.0674268148148071E-2</v>
      </c>
      <c r="K21" s="771">
        <f t="shared" si="5"/>
        <v>807848.02</v>
      </c>
      <c r="L21" s="772">
        <f t="shared" si="8"/>
        <v>-3.207290423344393E-2</v>
      </c>
    </row>
    <row r="22" spans="1:12" x14ac:dyDescent="0.25">
      <c r="A22" s="501">
        <v>45626</v>
      </c>
      <c r="B22" s="762" t="str">
        <f t="shared" si="2"/>
        <v>11-2024</v>
      </c>
      <c r="C22" s="771">
        <f>INDEX('BOULEVARD 5'!$K$305:$AS$305,MATCH('B5-2'!A22,'BOULEVARD 5'!$K$6:$AS$6))</f>
        <v>944723.33000000007</v>
      </c>
      <c r="D22" s="772">
        <f t="shared" si="3"/>
        <v>3.5018936528081676E-2</v>
      </c>
      <c r="E22" s="771">
        <f>INDEX('BOULEVARD 5'!$K$310:$AS$310,MATCH('B5-2'!A22,'BOULEVARD 5'!$K$6:$AS$6))</f>
        <v>23254</v>
      </c>
      <c r="F22" s="772">
        <f t="shared" si="7"/>
        <v>8.6197760144656442E-4</v>
      </c>
      <c r="G22" s="809">
        <f t="shared" si="6"/>
        <v>921469.33000000007</v>
      </c>
      <c r="H22" s="841">
        <f t="shared" si="4"/>
        <v>3.415695892663511E-2</v>
      </c>
      <c r="I22" s="809">
        <f>INDEX('BOULEVARD PPTO'!$C$311:$BB$311,MATCH('B5-2'!A22,'BOULEVARD PPTO'!$C$1:$BB$1))</f>
        <v>988536.99999999977</v>
      </c>
      <c r="J22" s="772">
        <f t="shared" si="0"/>
        <v>3.7149911068978421E-2</v>
      </c>
      <c r="K22" s="771">
        <f t="shared" si="5"/>
        <v>-67067.669999999693</v>
      </c>
      <c r="L22" s="772">
        <f t="shared" si="8"/>
        <v>1.5482910780989026E-3</v>
      </c>
    </row>
    <row r="23" spans="1:12" x14ac:dyDescent="0.25">
      <c r="A23" s="624">
        <v>45657</v>
      </c>
      <c r="B23" s="805" t="str">
        <f t="shared" si="2"/>
        <v>12-2024</v>
      </c>
      <c r="C23" s="806">
        <f>INDEX('BOULEVARD 5'!$K$305:$AS$305,MATCH('B5-2'!A23,'BOULEVARD 5'!$K$6:$AS$6))</f>
        <v>1336339.56</v>
      </c>
      <c r="D23" s="807">
        <f t="shared" si="3"/>
        <v>4.9535338808246211E-2</v>
      </c>
      <c r="E23" s="806">
        <f>INDEX('BOULEVARD 5'!$K$310:$AS$310,MATCH('B5-2'!A23,'BOULEVARD 5'!$K$6:$AS$6))</f>
        <v>8680</v>
      </c>
      <c r="F23" s="807">
        <f t="shared" si="7"/>
        <v>3.2174961643399757E-4</v>
      </c>
      <c r="G23" s="811">
        <f t="shared" si="6"/>
        <v>1327659.56</v>
      </c>
      <c r="H23" s="843">
        <f t="shared" si="4"/>
        <v>4.9213589191812214E-2</v>
      </c>
      <c r="I23" s="811">
        <f>INDEX('BOULEVARD PPTO'!$C$311:$BB$311,MATCH('B5-2'!A23,'BOULEVARD PPTO'!$C$1:$BB$1))</f>
        <v>1686846.24</v>
      </c>
      <c r="J23" s="807">
        <f t="shared" si="0"/>
        <v>6.339286015904376E-2</v>
      </c>
      <c r="K23" s="806">
        <f t="shared" si="5"/>
        <v>-359186.67999999993</v>
      </c>
      <c r="L23" s="772">
        <f t="shared" si="8"/>
        <v>1.2097793037951075E-2</v>
      </c>
    </row>
    <row r="24" spans="1:12" x14ac:dyDescent="0.25">
      <c r="A24" s="801">
        <v>45688</v>
      </c>
      <c r="B24" s="762" t="str">
        <f t="shared" si="2"/>
        <v>01-2025</v>
      </c>
      <c r="C24" s="771">
        <f>INDEX('BOULEVARD 5'!$K$305:$AS$305,MATCH('B5-2'!A24,'BOULEVARD 5'!$K$6:$AS$6))</f>
        <v>757852.36999999988</v>
      </c>
      <c r="D24" s="772">
        <f t="shared" si="3"/>
        <v>2.8092017207499535E-2</v>
      </c>
      <c r="E24" s="771">
        <f>INDEX('BOULEVARD 5'!$K$310:$AS$310,MATCH('B5-2'!A24,'BOULEVARD 5'!$K$6:$AS$6))</f>
        <v>14017</v>
      </c>
      <c r="F24" s="772">
        <f t="shared" si="7"/>
        <v>5.1958114902711332E-4</v>
      </c>
      <c r="G24" s="809">
        <f t="shared" si="6"/>
        <v>743835.36999999988</v>
      </c>
      <c r="H24" s="841">
        <f t="shared" si="4"/>
        <v>2.757243605847242E-2</v>
      </c>
      <c r="I24" s="809">
        <f>INDEX('BOULEVARD PPTO'!$C$311:$BB$311,MATCH('B5-2'!A24,'BOULEVARD PPTO'!$C$1:$BB$1))</f>
        <v>1149394.9999999998</v>
      </c>
      <c r="J24" s="772">
        <f t="shared" si="0"/>
        <v>4.3195067087148438E-2</v>
      </c>
      <c r="K24" s="771">
        <f t="shared" si="5"/>
        <v>-405559.62999999989</v>
      </c>
      <c r="L24" s="772">
        <f t="shared" si="8"/>
        <v>1.4456460910733149E-2</v>
      </c>
    </row>
    <row r="25" spans="1:12" x14ac:dyDescent="0.25">
      <c r="A25" s="501">
        <v>45716</v>
      </c>
      <c r="B25" s="762" t="str">
        <f t="shared" si="2"/>
        <v>02-2025</v>
      </c>
      <c r="C25" s="771">
        <f>INDEX('BOULEVARD 5'!$K$305:$AS$305,MATCH('B5-2'!A25,'BOULEVARD 5'!$K$6:$AS$6))</f>
        <v>985356.33</v>
      </c>
      <c r="D25" s="772">
        <f t="shared" si="3"/>
        <v>3.6525117653031278E-2</v>
      </c>
      <c r="E25" s="771">
        <f>INDEX('BOULEVARD 5'!$K$310:$AS$310,MATCH('B5-2'!A25,'BOULEVARD 5'!$K$6:$AS$6))</f>
        <v>8412</v>
      </c>
      <c r="F25" s="772">
        <f t="shared" si="7"/>
        <v>3.118154116869571E-4</v>
      </c>
      <c r="G25" s="809">
        <f t="shared" si="6"/>
        <v>976944.33</v>
      </c>
      <c r="H25" s="841">
        <f t="shared" si="4"/>
        <v>3.6213302241344322E-2</v>
      </c>
      <c r="I25" s="809">
        <f>INDEX('BOULEVARD PPTO'!$C$311:$BB$311,MATCH('B5-2'!A25,'BOULEVARD PPTO'!$C$1:$BB$1))</f>
        <v>1231992.9999999998</v>
      </c>
      <c r="J25" s="772">
        <f t="shared" si="0"/>
        <v>4.6299157631534214E-2</v>
      </c>
      <c r="K25" s="771">
        <f t="shared" si="5"/>
        <v>-255048.66999999981</v>
      </c>
      <c r="L25" s="772">
        <f t="shared" si="8"/>
        <v>8.5542217377867838E-3</v>
      </c>
    </row>
    <row r="26" spans="1:12" x14ac:dyDescent="0.25">
      <c r="A26" s="501">
        <v>45747</v>
      </c>
      <c r="B26" s="762" t="str">
        <f t="shared" si="2"/>
        <v>03-2025</v>
      </c>
      <c r="C26" s="771">
        <f>INDEX('BOULEVARD 5'!$K$305:$AS$305,MATCH('B5-2'!A26,'BOULEVARD 5'!$K$6:$AS$6))</f>
        <v>1006065.33</v>
      </c>
      <c r="D26" s="772">
        <f t="shared" si="3"/>
        <v>3.7292757377309124E-2</v>
      </c>
      <c r="E26" s="771">
        <f>INDEX('BOULEVARD 5'!$K$310:$AS$310,MATCH('B5-2'!A26,'BOULEVARD 5'!$K$6:$AS$6))</f>
        <v>16685</v>
      </c>
      <c r="F26" s="772">
        <f t="shared" si="7"/>
        <v>6.1847838135959093E-4</v>
      </c>
      <c r="G26" s="809">
        <f t="shared" si="6"/>
        <v>989380.33</v>
      </c>
      <c r="H26" s="841">
        <f t="shared" si="4"/>
        <v>3.6674278995949529E-2</v>
      </c>
      <c r="I26" s="809">
        <f>INDEX('BOULEVARD PPTO'!$C$311:$BB$311,MATCH('B5-2'!A26,'BOULEVARD PPTO'!$C$1:$BB$1))</f>
        <v>1286696.9999999998</v>
      </c>
      <c r="J26" s="772">
        <f t="shared" si="0"/>
        <v>4.8354972168691036E-2</v>
      </c>
      <c r="K26" s="771">
        <f t="shared" si="5"/>
        <v>-297316.66999999981</v>
      </c>
      <c r="L26" s="772">
        <f t="shared" si="8"/>
        <v>1.0129562609904122E-2</v>
      </c>
    </row>
    <row r="27" spans="1:12" x14ac:dyDescent="0.25">
      <c r="A27" s="501">
        <v>45777</v>
      </c>
      <c r="B27" s="762" t="str">
        <f t="shared" si="2"/>
        <v>04-2025</v>
      </c>
      <c r="C27" s="771">
        <f>INDEX('BOULEVARD 5'!$K$305:$AS$305,MATCH('B5-2'!A27,'BOULEVARD 5'!$K$6:$AS$6))</f>
        <v>1172082.43</v>
      </c>
      <c r="D27" s="772">
        <f t="shared" si="3"/>
        <v>4.3446667313540063E-2</v>
      </c>
      <c r="E27" s="771">
        <f>INDEX('BOULEVARD 5'!$K$310:$AS$310,MATCH('B5-2'!A27,'BOULEVARD 5'!$K$6:$AS$6))</f>
        <v>3075</v>
      </c>
      <c r="F27" s="772">
        <f t="shared" si="7"/>
        <v>1.139838790938413E-4</v>
      </c>
      <c r="G27" s="809">
        <f t="shared" si="6"/>
        <v>1169007.43</v>
      </c>
      <c r="H27" s="841">
        <f t="shared" si="4"/>
        <v>4.3332683434446226E-2</v>
      </c>
      <c r="I27" s="809">
        <f>INDEX('BOULEVARD PPTO'!$C$311:$BB$311,MATCH('B5-2'!A27,'BOULEVARD PPTO'!$C$1:$BB$1))</f>
        <v>943823.21999999986</v>
      </c>
      <c r="J27" s="772">
        <f t="shared" si="0"/>
        <v>3.5469535978761402E-2</v>
      </c>
      <c r="K27" s="771">
        <f t="shared" si="5"/>
        <v>225184.21000000008</v>
      </c>
      <c r="L27" s="772">
        <f t="shared" si="8"/>
        <v>-9.6958937695891881E-3</v>
      </c>
    </row>
    <row r="28" spans="1:12" x14ac:dyDescent="0.25">
      <c r="A28" s="501">
        <v>45808</v>
      </c>
      <c r="B28" s="762" t="str">
        <f t="shared" si="2"/>
        <v>05-2025</v>
      </c>
      <c r="C28" s="771">
        <f>INDEX('BOULEVARD 5'!$K$305:$AS$305,MATCH('B5-2'!A28,'BOULEVARD 5'!$K$6:$AS$6))</f>
        <v>1212196.5900000001</v>
      </c>
      <c r="D28" s="772">
        <f t="shared" si="3"/>
        <v>4.493361611464284E-2</v>
      </c>
      <c r="E28" s="771">
        <f>INDEX('BOULEVARD 5'!$K$310:$AS$310,MATCH('B5-2'!A28,'BOULEVARD 5'!$K$6:$AS$6))</f>
        <v>8412</v>
      </c>
      <c r="F28" s="772">
        <f t="shared" si="7"/>
        <v>3.118154116869571E-4</v>
      </c>
      <c r="G28" s="809">
        <f t="shared" si="6"/>
        <v>1203784.5900000001</v>
      </c>
      <c r="H28" s="841">
        <f t="shared" si="4"/>
        <v>4.4621800702955884E-2</v>
      </c>
      <c r="I28" s="809">
        <f>INDEX('BOULEVARD PPTO'!$C$311:$BB$311,MATCH('B5-2'!A28,'BOULEVARD PPTO'!$C$1:$BB$1))</f>
        <v>1059030.8299999998</v>
      </c>
      <c r="J28" s="772">
        <f t="shared" si="0"/>
        <v>3.9799118448582513E-2</v>
      </c>
      <c r="K28" s="771">
        <f t="shared" si="5"/>
        <v>144753.76000000024</v>
      </c>
      <c r="L28" s="772">
        <f t="shared" si="8"/>
        <v>-6.7099514995802856E-3</v>
      </c>
    </row>
    <row r="29" spans="1:12" x14ac:dyDescent="0.25">
      <c r="A29" s="501">
        <v>45838</v>
      </c>
      <c r="B29" s="762" t="str">
        <f t="shared" si="2"/>
        <v>06-2025</v>
      </c>
      <c r="C29" s="771">
        <f>INDEX('BOULEVARD 5'!$K$305:$AS$305,MATCH('B5-2'!A29,'BOULEVARD 5'!$K$6:$AS$6))</f>
        <v>1137467.2</v>
      </c>
      <c r="D29" s="772">
        <f t="shared" si="3"/>
        <v>4.216355245463746E-2</v>
      </c>
      <c r="E29" s="771">
        <f>INDEX('BOULEVARD 5'!$K$310:$AS$310,MATCH('B5-2'!A29,'BOULEVARD 5'!$K$6:$AS$6))</f>
        <v>3075</v>
      </c>
      <c r="F29" s="772">
        <f t="shared" si="7"/>
        <v>1.139838790938413E-4</v>
      </c>
      <c r="G29" s="809">
        <f t="shared" si="6"/>
        <v>1134392.2</v>
      </c>
      <c r="H29" s="841">
        <f t="shared" si="4"/>
        <v>4.2049568575543622E-2</v>
      </c>
      <c r="I29" s="809">
        <f>INDEX('BOULEVARD PPTO'!$C$311:$BB$311,MATCH('B5-2'!A29,'BOULEVARD PPTO'!$C$1:$BB$1))</f>
        <v>1110485.8199999998</v>
      </c>
      <c r="J29" s="772">
        <f t="shared" si="0"/>
        <v>4.1732832920124974E-2</v>
      </c>
      <c r="K29" s="771">
        <f t="shared" si="5"/>
        <v>23906.380000000121</v>
      </c>
      <c r="L29" s="772">
        <f t="shared" si="8"/>
        <v>-2.0952129086144328E-3</v>
      </c>
    </row>
    <row r="30" spans="1:12" x14ac:dyDescent="0.25">
      <c r="A30" s="501">
        <v>45869</v>
      </c>
      <c r="B30" s="762" t="str">
        <f t="shared" si="2"/>
        <v>07-2025</v>
      </c>
      <c r="C30" s="771">
        <f>INDEX('BOULEVARD 5'!$K$305:$AS$305,MATCH('B5-2'!A30,'BOULEVARD 5'!$K$6:$AS$6))</f>
        <v>3091782.4279999998</v>
      </c>
      <c r="D30" s="772">
        <f t="shared" si="3"/>
        <v>0.11460596892930572</v>
      </c>
      <c r="E30" s="771">
        <f>INDEX('BOULEVARD 5'!$K$310:$AS$310,MATCH('B5-2'!A30,'BOULEVARD 5'!$K$6:$AS$6))</f>
        <v>19086</v>
      </c>
      <c r="F30" s="772">
        <f t="shared" si="7"/>
        <v>7.0747847687318861E-4</v>
      </c>
      <c r="G30" s="809">
        <f t="shared" si="6"/>
        <v>3072696.4279999998</v>
      </c>
      <c r="H30" s="841">
        <f t="shared" si="4"/>
        <v>0.11389849045243253</v>
      </c>
      <c r="I30" s="809">
        <f>INDEX('BOULEVARD PPTO'!$C$311:$BB$311,MATCH('B5-2'!A30,'BOULEVARD PPTO'!$C$1:$BB$1))</f>
        <v>2967923.49</v>
      </c>
      <c r="J30" s="772">
        <f t="shared" si="0"/>
        <v>0.11153663819668065</v>
      </c>
      <c r="K30" s="771">
        <f t="shared" si="5"/>
        <v>104772.93799999962</v>
      </c>
      <c r="L30" s="772">
        <f t="shared" si="8"/>
        <v>-7.1791638550152831E-3</v>
      </c>
    </row>
    <row r="31" spans="1:12" x14ac:dyDescent="0.25">
      <c r="A31" s="501">
        <v>45900</v>
      </c>
      <c r="B31" s="762" t="str">
        <f t="shared" si="2"/>
        <v>08-2025</v>
      </c>
      <c r="C31" s="771">
        <f>INDEX('BOULEVARD 5'!$K$305:$AS$305,MATCH('B5-2'!A31,'BOULEVARD 5'!$K$6:$AS$6))</f>
        <v>1072047.4300000002</v>
      </c>
      <c r="D31" s="772">
        <f t="shared" si="3"/>
        <v>3.9738577119994574E-2</v>
      </c>
      <c r="E31" s="771">
        <f>INDEX('BOULEVARD 5'!$K$310:$AS$310,MATCH('B5-2'!A31,'BOULEVARD 5'!$K$6:$AS$6))</f>
        <v>3075</v>
      </c>
      <c r="F31" s="772">
        <f t="shared" si="7"/>
        <v>1.139838790938413E-4</v>
      </c>
      <c r="G31" s="809">
        <f t="shared" si="6"/>
        <v>1068972.4300000002</v>
      </c>
      <c r="H31" s="841">
        <f t="shared" si="4"/>
        <v>3.9624593240900736E-2</v>
      </c>
      <c r="I31" s="809">
        <f>INDEX('BOULEVARD PPTO'!$C$311:$BB$311,MATCH('B5-2'!A31,'BOULEVARD PPTO'!$C$1:$BB$1))</f>
        <v>1218819.08</v>
      </c>
      <c r="J31" s="772">
        <f t="shared" si="0"/>
        <v>4.5804072514406755E-2</v>
      </c>
      <c r="K31" s="771">
        <f t="shared" si="5"/>
        <v>-149846.64999999991</v>
      </c>
      <c r="L31" s="772">
        <f t="shared" si="8"/>
        <v>4.5035658186634922E-3</v>
      </c>
    </row>
    <row r="32" spans="1:12" x14ac:dyDescent="0.25">
      <c r="A32" s="501">
        <v>45930</v>
      </c>
      <c r="B32" s="762" t="str">
        <f t="shared" si="2"/>
        <v>09-2025</v>
      </c>
      <c r="C32" s="771">
        <f>INDEX('BOULEVARD 5'!$K$305:$AS$305,MATCH('B5-2'!A32,'BOULEVARD 5'!$K$6:$AS$6))</f>
        <v>1209275.5799999998</v>
      </c>
      <c r="D32" s="772">
        <f t="shared" si="3"/>
        <v>4.4825340325806436E-2</v>
      </c>
      <c r="E32" s="771">
        <f>INDEX('BOULEVARD 5'!$K$310:$AS$310,MATCH('B5-2'!A32,'BOULEVARD 5'!$K$6:$AS$6))</f>
        <v>8419</v>
      </c>
      <c r="F32" s="772">
        <f t="shared" si="7"/>
        <v>3.1207488718408127E-4</v>
      </c>
      <c r="G32" s="809">
        <f t="shared" si="6"/>
        <v>1200856.5799999998</v>
      </c>
      <c r="H32" s="841">
        <f t="shared" si="4"/>
        <v>4.4513265438622357E-2</v>
      </c>
      <c r="I32" s="809">
        <f>INDEX('BOULEVARD PPTO'!$C$311:$BB$311,MATCH('B5-2'!A32,'BOULEVARD PPTO'!$C$1:$BB$1))</f>
        <v>1264422.6999999997</v>
      </c>
      <c r="J32" s="772">
        <f t="shared" si="0"/>
        <v>4.751788841348132E-2</v>
      </c>
      <c r="K32" s="771">
        <f t="shared" si="5"/>
        <v>-63566.119999999879</v>
      </c>
      <c r="L32" s="772">
        <f t="shared" si="8"/>
        <v>1.1219442047823713E-3</v>
      </c>
    </row>
    <row r="33" spans="1:12" x14ac:dyDescent="0.25">
      <c r="A33" s="501">
        <v>45961</v>
      </c>
      <c r="B33" s="762" t="str">
        <f t="shared" si="2"/>
        <v>10-2025</v>
      </c>
      <c r="C33" s="771">
        <f>INDEX('BOULEVARD 5'!$K$305:$AS$305,MATCH('B5-2'!A33,'BOULEVARD 5'!$K$6:$AS$6))</f>
        <v>1541049.76</v>
      </c>
      <c r="D33" s="772">
        <f t="shared" si="3"/>
        <v>5.7123521795588016E-2</v>
      </c>
      <c r="E33" s="771">
        <f>INDEX('BOULEVARD 5'!$K$310:$AS$310,MATCH('B5-2'!A33,'BOULEVARD 5'!$K$6:$AS$6))</f>
        <v>471075</v>
      </c>
      <c r="F33" s="772">
        <f t="shared" si="7"/>
        <v>1.7461774258254077E-2</v>
      </c>
      <c r="G33" s="809">
        <f t="shared" si="6"/>
        <v>1069974.76</v>
      </c>
      <c r="H33" s="841">
        <f t="shared" si="4"/>
        <v>3.9661747537333938E-2</v>
      </c>
      <c r="I33" s="809">
        <f>INDEX('BOULEVARD PPTO'!$C$311:$BB$311,MATCH('B5-2'!A33,'BOULEVARD PPTO'!$C$1:$BB$1))</f>
        <v>804645.69000000006</v>
      </c>
      <c r="J33" s="772">
        <f t="shared" si="0"/>
        <v>3.023914716954124E-2</v>
      </c>
      <c r="K33" s="771">
        <f t="shared" si="5"/>
        <v>265329.06999999995</v>
      </c>
      <c r="L33" s="772">
        <f t="shared" si="8"/>
        <v>-1.1100085255429989E-2</v>
      </c>
    </row>
    <row r="34" spans="1:12" x14ac:dyDescent="0.25">
      <c r="L34" s="8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EADE-F51B-43E0-A100-7BCA90CF4C10}">
  <sheetPr>
    <tabColor rgb="FF0070C0"/>
  </sheetPr>
  <dimension ref="A1:V300"/>
  <sheetViews>
    <sheetView zoomScale="90" zoomScaleNormal="90" workbookViewId="0">
      <pane xSplit="1" ySplit="1" topLeftCell="B260" activePane="bottomRight" state="frozen"/>
      <selection pane="topRight" activeCell="AK284" sqref="AK284"/>
      <selection pane="bottomLeft" activeCell="AK284" sqref="AK284"/>
      <selection pane="bottomRight" activeCell="AK284" sqref="AK284"/>
    </sheetView>
  </sheetViews>
  <sheetFormatPr defaultColWidth="11.5703125" defaultRowHeight="11.25" x14ac:dyDescent="0.25"/>
  <cols>
    <col min="1" max="1" width="9" style="763" bestFit="1" customWidth="1"/>
    <col min="2" max="2" width="5" style="763" bestFit="1" customWidth="1"/>
    <col min="3" max="3" width="9.7109375" style="763" bestFit="1" customWidth="1"/>
    <col min="4" max="4" width="11.140625" style="763" bestFit="1" customWidth="1"/>
    <col min="5" max="5" width="29.85546875" style="763" customWidth="1"/>
    <col min="6" max="6" width="10.7109375" style="763" customWidth="1"/>
    <col min="7" max="7" width="14.42578125" style="763" customWidth="1"/>
    <col min="8" max="9" width="10.7109375" style="763" customWidth="1"/>
    <col min="10" max="10" width="14.42578125" style="763" customWidth="1"/>
    <col min="11" max="13" width="10.7109375" style="763" customWidth="1"/>
    <col min="14" max="17" width="11.7109375" style="763" customWidth="1"/>
    <col min="18" max="16384" width="11.5703125" style="763"/>
  </cols>
  <sheetData>
    <row r="1" spans="1:22" ht="42" customHeight="1" x14ac:dyDescent="0.25">
      <c r="A1" s="769" t="s">
        <v>865</v>
      </c>
      <c r="B1" s="769" t="s">
        <v>866</v>
      </c>
      <c r="C1" s="769" t="s">
        <v>867</v>
      </c>
      <c r="D1" s="769" t="s">
        <v>65</v>
      </c>
      <c r="E1" s="769" t="s">
        <v>66</v>
      </c>
      <c r="F1" s="773" t="s">
        <v>868</v>
      </c>
      <c r="G1" s="769" t="s">
        <v>869</v>
      </c>
      <c r="H1" s="773" t="s">
        <v>870</v>
      </c>
      <c r="I1" s="769" t="s">
        <v>871</v>
      </c>
      <c r="J1" s="769" t="s">
        <v>872</v>
      </c>
      <c r="K1" s="769" t="s">
        <v>873</v>
      </c>
      <c r="L1" s="769" t="s">
        <v>874</v>
      </c>
      <c r="M1" s="769" t="s">
        <v>875</v>
      </c>
      <c r="N1" s="770" t="s">
        <v>876</v>
      </c>
      <c r="O1" s="776" t="s">
        <v>877</v>
      </c>
      <c r="P1" s="776" t="s">
        <v>878</v>
      </c>
      <c r="Q1" s="770" t="s">
        <v>879</v>
      </c>
      <c r="R1" s="769" t="s">
        <v>880</v>
      </c>
      <c r="S1" s="770" t="s">
        <v>881</v>
      </c>
      <c r="T1" s="770" t="s">
        <v>882</v>
      </c>
      <c r="U1" s="770" t="s">
        <v>883</v>
      </c>
      <c r="V1" s="770" t="s">
        <v>884</v>
      </c>
    </row>
    <row r="2" spans="1:22" ht="12" customHeight="1" x14ac:dyDescent="0.25">
      <c r="A2" s="763" t="str">
        <f>"Apto"&amp;'BOULEVARD 5'!B7</f>
        <v>Apto101</v>
      </c>
      <c r="B2" s="763">
        <v>1</v>
      </c>
      <c r="C2" s="763" t="str">
        <f>IF('BOULEVARD 5'!A7="","Cliente normal",'BOULEVARD 5'!A7)</f>
        <v>Cliente normal</v>
      </c>
      <c r="D2" s="763" t="str">
        <f>IF('BOULEVARD 5'!E7="","No asignado",'BOULEVARD 5'!E7)</f>
        <v>Jose Franco</v>
      </c>
      <c r="E2" s="763" t="str">
        <f>IF('BOULEVARD 5'!F7="","No asignado",'BOULEVARD 5'!F7)</f>
        <v>Karla Michelle Abril Valencia De Galicia</v>
      </c>
      <c r="F2" s="764">
        <f>'BOULEVARD 5'!AT7</f>
        <v>62810</v>
      </c>
      <c r="G2" s="763" t="str">
        <f>'BOULEVARD 5'!BB7</f>
        <v>Cliente al día</v>
      </c>
      <c r="H2" s="764">
        <f>'BOULEVARD PPTO'!BC2</f>
        <v>64500</v>
      </c>
      <c r="I2" s="764">
        <f t="shared" ref="I2:I10" si="0">F2-H2</f>
        <v>-1690</v>
      </c>
      <c r="J2" s="765" t="str">
        <f>IF(I2&gt;0,"Superavit de enganche","Enganche por pagar")</f>
        <v>Enganche por pagar</v>
      </c>
      <c r="K2" s="764">
        <f>'BOULEVARD 5'!I7</f>
        <v>644800</v>
      </c>
      <c r="L2" s="766">
        <f>IF('BOULEVARD 5'!G7="","",'BOULEVARD 5'!G7)</f>
        <v>45012</v>
      </c>
      <c r="M2" s="764">
        <f>IF(G2="Disponible",K2,0)</f>
        <v>0</v>
      </c>
      <c r="N2" s="767">
        <f>IF('B5-Status cobranza'!AM9&lt;0,'B5-Status cobranza'!AM9,0)</f>
        <v>0</v>
      </c>
      <c r="O2" s="777">
        <f>IF('B5-Status cobranza'!AP9&lt;0,'B5-Status cobranza'!AP9,0)</f>
        <v>0</v>
      </c>
      <c r="P2" s="777">
        <f>IF('B5-Status cobranza'!AP9&gt;0,'B5-Status cobranza'!AP9,0)</f>
        <v>30</v>
      </c>
      <c r="Q2" s="767">
        <f>'B5-Status cobranza'!AV9</f>
        <v>0</v>
      </c>
      <c r="R2" s="764">
        <f>IF(M2=0,K2,0)</f>
        <v>644800</v>
      </c>
      <c r="S2" s="764">
        <f>IF('B5-Status cobranza'!AL9&lt;0,'B5-Status cobranza'!AL9,0)</f>
        <v>0</v>
      </c>
      <c r="T2" s="764">
        <v>0</v>
      </c>
      <c r="U2" s="778">
        <f>-T2/SUM($S$2:$S$299)</f>
        <v>0</v>
      </c>
      <c r="V2" s="764">
        <f>IF('B5-Status cobranza'!AL9&gt;0,'B5-Status cobranza'!AL9,0)</f>
        <v>0</v>
      </c>
    </row>
    <row r="3" spans="1:22" ht="12" customHeight="1" x14ac:dyDescent="0.25">
      <c r="A3" s="763" t="str">
        <f>"Apto"&amp;'BOULEVARD 5'!B8</f>
        <v>Apto102</v>
      </c>
      <c r="B3" s="763">
        <v>1</v>
      </c>
      <c r="C3" s="763" t="str">
        <f>G3</f>
        <v>Disponible</v>
      </c>
      <c r="D3" s="763" t="str">
        <f>IF('BOULEVARD 5'!E8="","No asignado",'BOULEVARD 5'!E8)</f>
        <v>Erwin Cardona</v>
      </c>
      <c r="E3" s="763" t="str">
        <f>IF('BOULEVARD 5'!F8="","No asignado",'BOULEVARD 5'!F8)</f>
        <v>Irma Leticia Villatoro Bucaro</v>
      </c>
      <c r="F3" s="764">
        <f>'BOULEVARD 5'!AT8</f>
        <v>9589.2900000000009</v>
      </c>
      <c r="G3" s="763" t="s">
        <v>11</v>
      </c>
      <c r="H3" s="764">
        <f>'BOULEVARD PPTO'!BC3</f>
        <v>0</v>
      </c>
      <c r="I3" s="764">
        <f t="shared" si="0"/>
        <v>9589.2900000000009</v>
      </c>
      <c r="J3" s="765" t="str">
        <f t="shared" ref="J3:J66" si="1">IF(I3&gt;0,"Superavit de enganche","Enganche por pagar")</f>
        <v>Superavit de enganche</v>
      </c>
      <c r="K3" s="764">
        <f>'BOULEVARD 5'!I8</f>
        <v>1154100</v>
      </c>
      <c r="L3" s="766">
        <f>IF('BOULEVARD 5'!G8="","",'BOULEVARD 5'!G8)</f>
        <v>46012</v>
      </c>
      <c r="M3" s="764">
        <f t="shared" ref="M3:M66" si="2">IF(G3="Disponible",K3,0)</f>
        <v>1154100</v>
      </c>
      <c r="N3" s="767">
        <f>IF('B5-Status cobranza'!AM10&lt;0,'B5-Status cobranza'!AM10,0)</f>
        <v>0</v>
      </c>
      <c r="O3" s="777">
        <f>IF('B5-Status cobranza'!AP10&lt;0,'B5-Status cobranza'!AP10,0)</f>
        <v>0</v>
      </c>
      <c r="P3" s="777">
        <f>IF('B5-Status cobranza'!AP10&gt;0,'B5-Status cobranza'!AP10,0)</f>
        <v>0</v>
      </c>
      <c r="Q3" s="767">
        <f>'B5-Status cobranza'!AV10</f>
        <v>0</v>
      </c>
      <c r="R3" s="764">
        <f>IF(M3=0,K3,0)</f>
        <v>0</v>
      </c>
      <c r="S3" s="764">
        <f>IF('B5-Status cobranza'!AL10&lt;0,'B5-Status cobranza'!AL10,0)</f>
        <v>0</v>
      </c>
      <c r="T3" s="764">
        <v>0</v>
      </c>
      <c r="U3" s="778">
        <f t="shared" ref="U3:U66" si="3">-T3/SUM($S$2:$S$299)</f>
        <v>0</v>
      </c>
      <c r="V3" s="764">
        <f>IF('B5-Status cobranza'!AL10&gt;0,'B5-Status cobranza'!AL10,0)</f>
        <v>0</v>
      </c>
    </row>
    <row r="4" spans="1:22" ht="12" customHeight="1" x14ac:dyDescent="0.25">
      <c r="A4" s="763" t="str">
        <f>"Apto"&amp;'BOULEVARD 5'!B9</f>
        <v>Apto103</v>
      </c>
      <c r="B4" s="763">
        <v>1</v>
      </c>
      <c r="C4" s="763" t="str">
        <f>IF('BOULEVARD 5'!A9="","Cliente normal",'BOULEVARD 5'!A9)</f>
        <v>F&amp;F</v>
      </c>
      <c r="D4" s="763" t="s">
        <v>691</v>
      </c>
      <c r="E4" s="763" t="str">
        <f>IF('BOULEVARD 5'!F9="","No asignado",'BOULEVARD 5'!F9)</f>
        <v>International Coffee Industry, S.A</v>
      </c>
      <c r="F4" s="764">
        <f>'BOULEVARD 5'!AT9</f>
        <v>0</v>
      </c>
      <c r="G4" s="763" t="str">
        <f>'BOULEVARD 5'!BB9</f>
        <v>Cliente Atrasado</v>
      </c>
      <c r="H4" s="764">
        <f>'BOULEVARD PPTO'!BC4</f>
        <v>153320</v>
      </c>
      <c r="I4" s="764">
        <f t="shared" si="0"/>
        <v>-153320</v>
      </c>
      <c r="J4" s="765" t="str">
        <f t="shared" si="1"/>
        <v>Enganche por pagar</v>
      </c>
      <c r="K4" s="764">
        <f>'BOULEVARD 5'!I9</f>
        <v>1533200</v>
      </c>
      <c r="L4" s="766">
        <f>IF('BOULEVARD 5'!G9="","",'BOULEVARD 5'!G9)</f>
        <v>45300</v>
      </c>
      <c r="M4" s="764">
        <f t="shared" si="2"/>
        <v>0</v>
      </c>
      <c r="N4" s="767">
        <f>IF('B5-Status cobranza'!AM11&lt;0,'B5-Status cobranza'!AM11,0)</f>
        <v>0</v>
      </c>
      <c r="O4" s="777">
        <f>IF('B5-Status cobranza'!AP11&lt;0,'B5-Status cobranza'!AP11,0)</f>
        <v>0</v>
      </c>
      <c r="P4" s="777">
        <f>IF('B5-Status cobranza'!AP11&gt;0,'B5-Status cobranza'!AP11,0)</f>
        <v>0</v>
      </c>
      <c r="Q4" s="767">
        <f>'B5-Status cobranza'!AV11</f>
        <v>0</v>
      </c>
      <c r="R4" s="764">
        <f t="shared" ref="R4:R67" si="4">IF(M4=0,K4,0)</f>
        <v>1533200</v>
      </c>
      <c r="S4" s="764">
        <f>IF('B5-Status cobranza'!AL11&lt;0,'B5-Status cobranza'!AL11,0)</f>
        <v>0</v>
      </c>
      <c r="T4" s="764">
        <v>0</v>
      </c>
      <c r="U4" s="778">
        <f t="shared" si="3"/>
        <v>0</v>
      </c>
      <c r="V4" s="764">
        <f>IF('B5-Status cobranza'!AL11&gt;0,'B5-Status cobranza'!AL11,0)</f>
        <v>0</v>
      </c>
    </row>
    <row r="5" spans="1:22" ht="12" customHeight="1" x14ac:dyDescent="0.25">
      <c r="A5" s="763" t="str">
        <f>"Apto"&amp;'BOULEVARD 5'!B10</f>
        <v>Apto104</v>
      </c>
      <c r="B5" s="763">
        <v>1</v>
      </c>
      <c r="C5" s="763" t="str">
        <f>IF('BOULEVARD 5'!A10="","Cliente normal",'BOULEVARD 5'!A10)</f>
        <v>Cliente normal</v>
      </c>
      <c r="D5" s="763" t="str">
        <f>IF('BOULEVARD 5'!E10="","No asignado",'BOULEVARD 5'!E10)</f>
        <v>Antonio Rada</v>
      </c>
      <c r="E5" s="763" t="str">
        <f>IF('BOULEVARD 5'!F10="","No asignado",'BOULEVARD 5'!F10)</f>
        <v>Jonathan José Morales Salazar</v>
      </c>
      <c r="F5" s="764">
        <f>'BOULEVARD 5'!AT10</f>
        <v>145600</v>
      </c>
      <c r="G5" s="763" t="str">
        <f>'BOULEVARD 5'!BB10</f>
        <v>Cliente Atrasado</v>
      </c>
      <c r="H5" s="764">
        <f>'BOULEVARD PPTO'!BC5</f>
        <v>145600</v>
      </c>
      <c r="I5" s="764">
        <f t="shared" si="0"/>
        <v>0</v>
      </c>
      <c r="J5" s="765" t="str">
        <f t="shared" si="1"/>
        <v>Enganche por pagar</v>
      </c>
      <c r="K5" s="764">
        <f>'BOULEVARD 5'!I10</f>
        <v>727800</v>
      </c>
      <c r="L5" s="766">
        <f>IF('BOULEVARD 5'!G10="","",'BOULEVARD 5'!G10)</f>
        <v>45140</v>
      </c>
      <c r="M5" s="764">
        <f t="shared" si="2"/>
        <v>0</v>
      </c>
      <c r="N5" s="767">
        <f>IF('B5-Status cobranza'!AM12&lt;0,'B5-Status cobranza'!AM12,0)</f>
        <v>0</v>
      </c>
      <c r="O5" s="777">
        <f>IF('B5-Status cobranza'!AP12&lt;0,'B5-Status cobranza'!AP12,0)</f>
        <v>0</v>
      </c>
      <c r="P5" s="777">
        <f>IF('B5-Status cobranza'!AP12&gt;0,'B5-Status cobranza'!AP12,0)</f>
        <v>0</v>
      </c>
      <c r="Q5" s="767">
        <f>'B5-Status cobranza'!AV12</f>
        <v>1824</v>
      </c>
      <c r="R5" s="764">
        <f t="shared" si="4"/>
        <v>727800</v>
      </c>
      <c r="S5" s="764">
        <f>IF('B5-Status cobranza'!AL12&lt;0,'B5-Status cobranza'!AL12,0)</f>
        <v>0</v>
      </c>
      <c r="T5" s="764">
        <v>0</v>
      </c>
      <c r="U5" s="778">
        <f t="shared" si="3"/>
        <v>0</v>
      </c>
      <c r="V5" s="764">
        <f>IF('B5-Status cobranza'!AL12&gt;0,'B5-Status cobranza'!AL12,0)</f>
        <v>0</v>
      </c>
    </row>
    <row r="6" spans="1:22" ht="12" customHeight="1" x14ac:dyDescent="0.25">
      <c r="A6" s="763" t="str">
        <f>"Apto"&amp;'BOULEVARD 5'!B11</f>
        <v>Apto105</v>
      </c>
      <c r="B6" s="763">
        <v>1</v>
      </c>
      <c r="C6" s="763" t="str">
        <f t="shared" ref="C6:C9" si="5">G6</f>
        <v>Cliente al día</v>
      </c>
      <c r="D6" s="763" t="str">
        <f>IF('BOULEVARD 5'!E11="","No asignado",'BOULEVARD 5'!E11)</f>
        <v>Erwin Cardona</v>
      </c>
      <c r="E6" s="763" t="str">
        <f>IF('BOULEVARD 5'!F11="","No asignado",'BOULEVARD 5'!F11)</f>
        <v>Nery Adolfo Ortíz Alvarez</v>
      </c>
      <c r="F6" s="764">
        <f>'BOULEVARD 5'!AT11</f>
        <v>10000</v>
      </c>
      <c r="G6" s="763" t="str">
        <f>'BOULEVARD 5'!BB11</f>
        <v>Cliente al día</v>
      </c>
      <c r="H6" s="764">
        <f>'BOULEVARD PPTO'!BC6</f>
        <v>0</v>
      </c>
      <c r="I6" s="764">
        <f t="shared" si="0"/>
        <v>10000</v>
      </c>
      <c r="J6" s="765" t="str">
        <f t="shared" si="1"/>
        <v>Superavit de enganche</v>
      </c>
      <c r="K6" s="764">
        <f>'BOULEVARD 5'!I11</f>
        <v>1192700</v>
      </c>
      <c r="L6" s="766">
        <f>IF('BOULEVARD 5'!G11="","",'BOULEVARD 5'!G11)</f>
        <v>46000</v>
      </c>
      <c r="M6" s="764">
        <f t="shared" si="2"/>
        <v>0</v>
      </c>
      <c r="N6" s="767">
        <f>IF('B5-Status cobranza'!AM13&lt;0,'B5-Status cobranza'!AM13,0)</f>
        <v>0</v>
      </c>
      <c r="O6" s="777">
        <f>IF('B5-Status cobranza'!AP13&lt;0,'B5-Status cobranza'!AP13,0)</f>
        <v>0</v>
      </c>
      <c r="P6" s="777">
        <f>IF('B5-Status cobranza'!AP13&gt;0,'B5-Status cobranza'!AP13,0)</f>
        <v>0</v>
      </c>
      <c r="Q6" s="767">
        <f>'B5-Status cobranza'!AV13</f>
        <v>0</v>
      </c>
      <c r="R6" s="764">
        <f t="shared" si="4"/>
        <v>1192700</v>
      </c>
      <c r="S6" s="764">
        <f>IF('B5-Status cobranza'!AL13&lt;0,'B5-Status cobranza'!AL13,0)</f>
        <v>0</v>
      </c>
      <c r="T6" s="764">
        <v>0</v>
      </c>
      <c r="U6" s="778">
        <f t="shared" si="3"/>
        <v>0</v>
      </c>
      <c r="V6" s="764">
        <f>IF('B5-Status cobranza'!AL13&gt;0,'B5-Status cobranza'!AL13,0)</f>
        <v>0</v>
      </c>
    </row>
    <row r="7" spans="1:22" ht="12" customHeight="1" x14ac:dyDescent="0.25">
      <c r="A7" s="763" t="str">
        <f>"Apto"&amp;'BOULEVARD 5'!B12</f>
        <v>Apto106</v>
      </c>
      <c r="B7" s="763">
        <v>1</v>
      </c>
      <c r="C7" s="763" t="str">
        <f t="shared" si="5"/>
        <v>Cliente al día</v>
      </c>
      <c r="D7" s="763" t="str">
        <f>IF('BOULEVARD 5'!E12="","No asignado",'BOULEVARD 5'!E12)</f>
        <v>Erwin Cardona</v>
      </c>
      <c r="E7" s="763" t="str">
        <f>IF('BOULEVARD 5'!F12="","No asignado",'BOULEVARD 5'!F12)</f>
        <v>Claudia Ruth Marianella Paiz Herrera de Alvarez</v>
      </c>
      <c r="F7" s="764">
        <f>'BOULEVARD 5'!AT12</f>
        <v>24100</v>
      </c>
      <c r="G7" s="763" t="str">
        <f>'BOULEVARD 5'!BB12</f>
        <v>Cliente al día</v>
      </c>
      <c r="H7" s="764">
        <f>'BOULEVARD PPTO'!BC7</f>
        <v>0</v>
      </c>
      <c r="I7" s="764">
        <f t="shared" si="0"/>
        <v>24100</v>
      </c>
      <c r="J7" s="765" t="str">
        <f t="shared" si="1"/>
        <v>Superavit de enganche</v>
      </c>
      <c r="K7" s="764">
        <f>'BOULEVARD 5'!I12</f>
        <v>1348900</v>
      </c>
      <c r="L7" s="766">
        <f>IF('BOULEVARD 5'!G12="","",'BOULEVARD 5'!G12)</f>
        <v>46013</v>
      </c>
      <c r="M7" s="764">
        <f t="shared" si="2"/>
        <v>0</v>
      </c>
      <c r="N7" s="767">
        <f>IF('B5-Status cobranza'!AM14&lt;0,'B5-Status cobranza'!AM14,0)</f>
        <v>0</v>
      </c>
      <c r="O7" s="777">
        <f>IF('B5-Status cobranza'!AP14&lt;0,'B5-Status cobranza'!AP14,0)</f>
        <v>0</v>
      </c>
      <c r="P7" s="777">
        <f>IF('B5-Status cobranza'!AP14&gt;0,'B5-Status cobranza'!AP14,0)</f>
        <v>0</v>
      </c>
      <c r="Q7" s="767">
        <f>'B5-Status cobranza'!AV14</f>
        <v>0</v>
      </c>
      <c r="R7" s="764">
        <f t="shared" si="4"/>
        <v>1348900</v>
      </c>
      <c r="S7" s="764">
        <f>IF('B5-Status cobranza'!AL14&lt;0,'B5-Status cobranza'!AL14,0)</f>
        <v>0</v>
      </c>
      <c r="T7" s="764">
        <v>0</v>
      </c>
      <c r="U7" s="778">
        <f t="shared" si="3"/>
        <v>0</v>
      </c>
      <c r="V7" s="764">
        <f>IF('B5-Status cobranza'!AL14&gt;0,'B5-Status cobranza'!AL14,0)</f>
        <v>0</v>
      </c>
    </row>
    <row r="8" spans="1:22" ht="12" customHeight="1" x14ac:dyDescent="0.25">
      <c r="A8" s="763" t="str">
        <f>"Apto"&amp;'BOULEVARD 5'!B13</f>
        <v>Apto107</v>
      </c>
      <c r="B8" s="763">
        <v>1</v>
      </c>
      <c r="C8" s="763" t="str">
        <f t="shared" si="5"/>
        <v>Disponible</v>
      </c>
      <c r="D8" s="763" t="str">
        <f>IF('BOULEVARD 5'!E13="","No asignado",'BOULEVARD 5'!E13)</f>
        <v>No asignado</v>
      </c>
      <c r="E8" s="763" t="str">
        <f>IF('BOULEVARD 5'!F13="","No asignado",'BOULEVARD 5'!F13)</f>
        <v>No asignado</v>
      </c>
      <c r="F8" s="764">
        <f>'BOULEVARD 5'!AT13</f>
        <v>0</v>
      </c>
      <c r="G8" s="763" t="str">
        <f>'BOULEVARD 5'!BB13</f>
        <v>Disponible</v>
      </c>
      <c r="H8" s="764">
        <f>'BOULEVARD PPTO'!BC8</f>
        <v>0</v>
      </c>
      <c r="I8" s="764">
        <f t="shared" si="0"/>
        <v>0</v>
      </c>
      <c r="J8" s="765" t="str">
        <f t="shared" si="1"/>
        <v>Enganche por pagar</v>
      </c>
      <c r="K8" s="764">
        <f>'BOULEVARD 5'!I13</f>
        <v>1135500</v>
      </c>
      <c r="L8" s="766" t="str">
        <f>IF('BOULEVARD 5'!G13="","",'BOULEVARD 5'!G13)</f>
        <v/>
      </c>
      <c r="M8" s="764">
        <f t="shared" si="2"/>
        <v>1135500</v>
      </c>
      <c r="N8" s="767">
        <f>IF('B5-Status cobranza'!AM15&lt;0,'B5-Status cobranza'!AM15,0)</f>
        <v>0</v>
      </c>
      <c r="O8" s="777">
        <f>IF('B5-Status cobranza'!AP15&lt;0,'B5-Status cobranza'!AP15,0)</f>
        <v>0</v>
      </c>
      <c r="P8" s="777">
        <f>IF('B5-Status cobranza'!AP15&gt;0,'B5-Status cobranza'!AP15,0)</f>
        <v>0</v>
      </c>
      <c r="Q8" s="767">
        <f>'B5-Status cobranza'!AV15</f>
        <v>0</v>
      </c>
      <c r="R8" s="764">
        <f t="shared" si="4"/>
        <v>0</v>
      </c>
      <c r="S8" s="764">
        <f>IF('B5-Status cobranza'!AL15&lt;0,'B5-Status cobranza'!AL15,0)</f>
        <v>0</v>
      </c>
      <c r="T8" s="764">
        <v>0</v>
      </c>
      <c r="U8" s="778">
        <f t="shared" si="3"/>
        <v>0</v>
      </c>
      <c r="V8" s="764">
        <f>IF('B5-Status cobranza'!AL15&gt;0,'B5-Status cobranza'!AL15,0)</f>
        <v>0</v>
      </c>
    </row>
    <row r="9" spans="1:22" ht="12" customHeight="1" x14ac:dyDescent="0.25">
      <c r="A9" s="763" t="str">
        <f>"Apto"&amp;'BOULEVARD 5'!B14</f>
        <v>Apto108</v>
      </c>
      <c r="B9" s="763">
        <v>1</v>
      </c>
      <c r="C9" s="763" t="str">
        <f t="shared" si="5"/>
        <v>Disponible</v>
      </c>
      <c r="D9" s="763" t="str">
        <f>IF('BOULEVARD 5'!E14="","No asignado",'BOULEVARD 5'!E14)</f>
        <v>No asignado</v>
      </c>
      <c r="E9" s="763" t="str">
        <f>IF('BOULEVARD 5'!F14="","No asignado",'BOULEVARD 5'!F14)</f>
        <v>No asignado</v>
      </c>
      <c r="F9" s="764">
        <f>'BOULEVARD 5'!AT14</f>
        <v>0</v>
      </c>
      <c r="G9" s="763" t="str">
        <f>'BOULEVARD 5'!BB14</f>
        <v>Disponible</v>
      </c>
      <c r="H9" s="764">
        <f>'BOULEVARD PPTO'!BC9</f>
        <v>0</v>
      </c>
      <c r="I9" s="764">
        <f t="shared" si="0"/>
        <v>0</v>
      </c>
      <c r="J9" s="765" t="str">
        <f t="shared" si="1"/>
        <v>Enganche por pagar</v>
      </c>
      <c r="K9" s="764">
        <f>'BOULEVARD 5'!I14</f>
        <v>1319300</v>
      </c>
      <c r="L9" s="766" t="str">
        <f>IF('BOULEVARD 5'!G14="","",'BOULEVARD 5'!G14)</f>
        <v/>
      </c>
      <c r="M9" s="764">
        <f t="shared" si="2"/>
        <v>1319300</v>
      </c>
      <c r="N9" s="767">
        <f>IF('B5-Status cobranza'!AM16&lt;0,'B5-Status cobranza'!AM16,0)</f>
        <v>0</v>
      </c>
      <c r="O9" s="777">
        <f>IF('B5-Status cobranza'!AP16&lt;0,'B5-Status cobranza'!AP16,0)</f>
        <v>0</v>
      </c>
      <c r="P9" s="777">
        <f>IF('B5-Status cobranza'!AP16&gt;0,'B5-Status cobranza'!AP16,0)</f>
        <v>0</v>
      </c>
      <c r="Q9" s="767">
        <f>'B5-Status cobranza'!AV16</f>
        <v>0</v>
      </c>
      <c r="R9" s="764">
        <f t="shared" si="4"/>
        <v>0</v>
      </c>
      <c r="S9" s="764">
        <f>IF('B5-Status cobranza'!AL16&lt;0,'B5-Status cobranza'!AL16,0)</f>
        <v>0</v>
      </c>
      <c r="T9" s="764">
        <v>0</v>
      </c>
      <c r="U9" s="778">
        <f t="shared" si="3"/>
        <v>0</v>
      </c>
      <c r="V9" s="764">
        <f>IF('B5-Status cobranza'!AL16&gt;0,'B5-Status cobranza'!AL16,0)</f>
        <v>0</v>
      </c>
    </row>
    <row r="10" spans="1:22" ht="12" customHeight="1" x14ac:dyDescent="0.25">
      <c r="A10" s="763" t="str">
        <f>"Apto"&amp;'BOULEVARD 5'!B15</f>
        <v>Apto109</v>
      </c>
      <c r="B10" s="763">
        <v>1</v>
      </c>
      <c r="C10" s="763" t="str">
        <f>IF('BOULEVARD 5'!A15="","Cliente normal",'BOULEVARD 5'!A15)</f>
        <v>Cliente normal</v>
      </c>
      <c r="D10" s="763" t="str">
        <f>IF('BOULEVARD 5'!E15="","No asignado",'BOULEVARD 5'!E15)</f>
        <v>Antonio Rada</v>
      </c>
      <c r="E10" s="763" t="str">
        <f>IF('BOULEVARD 5'!F15="","No asignado",'BOULEVARD 5'!F15)</f>
        <v>Laura Elisa Ovalle Gonzalez</v>
      </c>
      <c r="F10" s="764">
        <f>'BOULEVARD 5'!AT15</f>
        <v>148672</v>
      </c>
      <c r="G10" s="763" t="str">
        <f>'BOULEVARD 5'!BB15</f>
        <v>Cliente al día</v>
      </c>
      <c r="H10" s="764">
        <f>'BOULEVARD PPTO'!BC10</f>
        <v>148676</v>
      </c>
      <c r="I10" s="764">
        <f t="shared" si="0"/>
        <v>-4</v>
      </c>
      <c r="J10" s="765" t="str">
        <f t="shared" si="1"/>
        <v>Enganche por pagar</v>
      </c>
      <c r="K10" s="764">
        <f>'BOULEVARD 5'!I15</f>
        <v>1486576</v>
      </c>
      <c r="L10" s="766">
        <f>IF('BOULEVARD 5'!G15="","",'BOULEVARD 5'!G15)</f>
        <v>45471</v>
      </c>
      <c r="M10" s="764">
        <f t="shared" si="2"/>
        <v>0</v>
      </c>
      <c r="N10" s="767">
        <f>IF('B5-Status cobranza'!AM17&lt;0,'B5-Status cobranza'!AM17,0)</f>
        <v>-7704</v>
      </c>
      <c r="O10" s="777">
        <f>IF('B5-Status cobranza'!AP17&lt;0,'B5-Status cobranza'!AP17,0)</f>
        <v>-7704</v>
      </c>
      <c r="P10" s="777">
        <f>IF('B5-Status cobranza'!AP17&gt;0,'B5-Status cobranza'!AP17,0)</f>
        <v>0</v>
      </c>
      <c r="Q10" s="767">
        <f>'B5-Status cobranza'!AV17</f>
        <v>0</v>
      </c>
      <c r="R10" s="764">
        <f t="shared" si="4"/>
        <v>1486576</v>
      </c>
      <c r="S10" s="764">
        <f>IF('B5-Status cobranza'!AL17&lt;0,'B5-Status cobranza'!AL17,0)</f>
        <v>0</v>
      </c>
      <c r="T10" s="764">
        <v>0</v>
      </c>
      <c r="U10" s="778">
        <f t="shared" si="3"/>
        <v>0</v>
      </c>
      <c r="V10" s="764">
        <f>IF('B5-Status cobranza'!AL17&gt;0,'B5-Status cobranza'!AL17,0)</f>
        <v>0</v>
      </c>
    </row>
    <row r="11" spans="1:22" ht="12" customHeight="1" x14ac:dyDescent="0.25">
      <c r="A11" s="763" t="str">
        <f>"Apto"&amp;'BOULEVARD 5'!B16</f>
        <v>Apto110</v>
      </c>
      <c r="B11" s="763">
        <v>1</v>
      </c>
      <c r="C11" s="763" t="str">
        <f>IF('BOULEVARD 5'!A16="","Cliente normal",'BOULEVARD 5'!A16)</f>
        <v>Cliente normal</v>
      </c>
      <c r="D11" s="763" t="str">
        <f>IF('BOULEVARD 5'!E16="","No asignado",'BOULEVARD 5'!E16)</f>
        <v>Antonio Rada</v>
      </c>
      <c r="E11" s="763" t="str">
        <f>IF('BOULEVARD 5'!F16="","No asignado",'BOULEVARD 5'!F16)</f>
        <v>Karla Suzel Ruiz Sanchinelli De Alonzo</v>
      </c>
      <c r="F11" s="764">
        <f>'BOULEVARD 5'!AT16</f>
        <v>75252</v>
      </c>
      <c r="G11" s="763" t="str">
        <f>'BOULEVARD 5'!BB16</f>
        <v>Cliente Atrasado</v>
      </c>
      <c r="H11" s="764">
        <f>'BOULEVARD PPTO'!BC11</f>
        <v>68100</v>
      </c>
      <c r="I11" s="764">
        <f t="shared" ref="I11:I66" si="6">F11-H11</f>
        <v>7152</v>
      </c>
      <c r="J11" s="765" t="str">
        <f t="shared" si="1"/>
        <v>Superavit de enganche</v>
      </c>
      <c r="K11" s="764">
        <f>'BOULEVARD 5'!I16</f>
        <v>680900</v>
      </c>
      <c r="L11" s="766">
        <f>IF('BOULEVARD 5'!G16="","",'BOULEVARD 5'!G16)</f>
        <v>45088</v>
      </c>
      <c r="M11" s="764">
        <f t="shared" si="2"/>
        <v>0</v>
      </c>
      <c r="N11" s="767">
        <f>IF('B5-Status cobranza'!AM18&lt;0,'B5-Status cobranza'!AM18,0)</f>
        <v>0</v>
      </c>
      <c r="O11" s="777">
        <f>IF('B5-Status cobranza'!AP18&lt;0,'B5-Status cobranza'!AP18,0)</f>
        <v>0</v>
      </c>
      <c r="P11" s="777">
        <f>IF('B5-Status cobranza'!AP18&gt;0,'B5-Status cobranza'!AP18,0)</f>
        <v>2376</v>
      </c>
      <c r="Q11" s="767">
        <f>'B5-Status cobranza'!AV18</f>
        <v>2388</v>
      </c>
      <c r="R11" s="764">
        <f t="shared" si="4"/>
        <v>680900</v>
      </c>
      <c r="S11" s="764">
        <f>IF('B5-Status cobranza'!AL18&lt;0,'B5-Status cobranza'!AL18,0)</f>
        <v>-12</v>
      </c>
      <c r="T11" s="764">
        <v>0</v>
      </c>
      <c r="U11" s="778">
        <f t="shared" si="3"/>
        <v>0</v>
      </c>
      <c r="V11" s="764">
        <f>IF('B5-Status cobranza'!AL18&gt;0,'B5-Status cobranza'!AL18,0)</f>
        <v>0</v>
      </c>
    </row>
    <row r="12" spans="1:22" ht="12" customHeight="1" x14ac:dyDescent="0.25">
      <c r="A12" s="763" t="str">
        <f>"Apto"&amp;'BOULEVARD 5'!B17</f>
        <v>Apto111</v>
      </c>
      <c r="B12" s="763">
        <v>1</v>
      </c>
      <c r="C12" s="763" t="str">
        <f>IF('BOULEVARD 5'!A17="","Cliente normal",'BOULEVARD 5'!A17)</f>
        <v>Cliente normal</v>
      </c>
      <c r="D12" s="763" t="str">
        <f>IF('BOULEVARD 5'!E17="","No asignado",'BOULEVARD 5'!E17)</f>
        <v>Jose Franco</v>
      </c>
      <c r="E12" s="763" t="str">
        <f>IF('BOULEVARD 5'!F17="","No asignado",'BOULEVARD 5'!F17)</f>
        <v>Jonathan José Morales Salazar / Ingrid Liseth Barillas López</v>
      </c>
      <c r="F12" s="764">
        <f>'BOULEVARD 5'!AT17</f>
        <v>67060</v>
      </c>
      <c r="G12" s="763" t="str">
        <f>'BOULEVARD 5'!BB17</f>
        <v>Cliente al día</v>
      </c>
      <c r="H12" s="764">
        <f>'BOULEVARD PPTO'!BC12</f>
        <v>69700</v>
      </c>
      <c r="I12" s="764">
        <f t="shared" ref="I12:I27" si="7">F12-H12</f>
        <v>-2640</v>
      </c>
      <c r="J12" s="765" t="str">
        <f t="shared" si="1"/>
        <v>Enganche por pagar</v>
      </c>
      <c r="K12" s="764">
        <f>'BOULEVARD 5'!I17</f>
        <v>696700</v>
      </c>
      <c r="L12" s="766">
        <f>IF('BOULEVARD 5'!G17="","",'BOULEVARD 5'!G17)</f>
        <v>45012</v>
      </c>
      <c r="M12" s="764">
        <f t="shared" si="2"/>
        <v>0</v>
      </c>
      <c r="N12" s="767">
        <f>IF('B5-Status cobranza'!AM19&lt;0,'B5-Status cobranza'!AM19,0)</f>
        <v>0</v>
      </c>
      <c r="O12" s="777">
        <f>IF('B5-Status cobranza'!AP19&lt;0,'B5-Status cobranza'!AP19,0)</f>
        <v>0</v>
      </c>
      <c r="P12" s="777">
        <f>IF('B5-Status cobranza'!AP19&gt;0,'B5-Status cobranza'!AP19,0)</f>
        <v>0</v>
      </c>
      <c r="Q12" s="767">
        <f>'B5-Status cobranza'!AV19</f>
        <v>0</v>
      </c>
      <c r="R12" s="764">
        <f t="shared" si="4"/>
        <v>696700</v>
      </c>
      <c r="S12" s="764">
        <f>IF('B5-Status cobranza'!AL19&lt;0,'B5-Status cobranza'!AL19,0)</f>
        <v>0</v>
      </c>
      <c r="T12" s="764">
        <v>0</v>
      </c>
      <c r="U12" s="778">
        <f t="shared" si="3"/>
        <v>0</v>
      </c>
      <c r="V12" s="764">
        <f>IF('B5-Status cobranza'!AL19&gt;0,'B5-Status cobranza'!AL19,0)</f>
        <v>0</v>
      </c>
    </row>
    <row r="13" spans="1:22" ht="12" customHeight="1" x14ac:dyDescent="0.25">
      <c r="A13" s="763" t="str">
        <f>"Apto"&amp;'BOULEVARD 5'!B18</f>
        <v>Apto112</v>
      </c>
      <c r="B13" s="763">
        <v>1</v>
      </c>
      <c r="C13" s="763" t="str">
        <f>IF('BOULEVARD 5'!A18="","Cliente normal",'BOULEVARD 5'!A18)</f>
        <v>Cliente normal</v>
      </c>
      <c r="D13" s="763" t="str">
        <f>IF('BOULEVARD 5'!E18="","No asignado",'BOULEVARD 5'!E18)</f>
        <v>Brenda Búcaro</v>
      </c>
      <c r="E13" s="763" t="str">
        <f>IF('BOULEVARD 5'!F18="","No asignado",'BOULEVARD 5'!F18)</f>
        <v>Herbert Osiel Ramos Alfaro / Paula María Vásquez Cifuentes</v>
      </c>
      <c r="F13" s="764">
        <f>'BOULEVARD 5'!AT18</f>
        <v>68084</v>
      </c>
      <c r="G13" s="763" t="str">
        <f>'BOULEVARD 5'!BB18</f>
        <v>Cliente al día</v>
      </c>
      <c r="H13" s="764">
        <f>'BOULEVARD PPTO'!BC13</f>
        <v>69900</v>
      </c>
      <c r="I13" s="764">
        <f t="shared" si="7"/>
        <v>-1816</v>
      </c>
      <c r="J13" s="765" t="str">
        <f t="shared" si="1"/>
        <v>Enganche por pagar</v>
      </c>
      <c r="K13" s="764">
        <f>'BOULEVARD 5'!I18</f>
        <v>698900</v>
      </c>
      <c r="L13" s="766">
        <f>IF('BOULEVARD 5'!G18="","",'BOULEVARD 5'!G18)</f>
        <v>45006</v>
      </c>
      <c r="M13" s="764">
        <f t="shared" si="2"/>
        <v>0</v>
      </c>
      <c r="N13" s="767">
        <f>IF('B5-Status cobranza'!AM20&lt;0,'B5-Status cobranza'!AM20,0)</f>
        <v>0</v>
      </c>
      <c r="O13" s="777">
        <f>IF('B5-Status cobranza'!AP20&lt;0,'B5-Status cobranza'!AP20,0)</f>
        <v>0</v>
      </c>
      <c r="P13" s="777">
        <f>IF('B5-Status cobranza'!AP20&gt;0,'B5-Status cobranza'!AP20,0)</f>
        <v>806</v>
      </c>
      <c r="Q13" s="767">
        <f>'B5-Status cobranza'!AV20</f>
        <v>26</v>
      </c>
      <c r="R13" s="764">
        <f t="shared" si="4"/>
        <v>698900</v>
      </c>
      <c r="S13" s="764">
        <f>IF('B5-Status cobranza'!AL20&lt;0,'B5-Status cobranza'!AL20,0)</f>
        <v>0</v>
      </c>
      <c r="T13" s="764">
        <v>0</v>
      </c>
      <c r="U13" s="778">
        <f t="shared" si="3"/>
        <v>0</v>
      </c>
      <c r="V13" s="764">
        <f>IF('B5-Status cobranza'!AL20&gt;0,'B5-Status cobranza'!AL20,0)</f>
        <v>26</v>
      </c>
    </row>
    <row r="14" spans="1:22" ht="12" customHeight="1" x14ac:dyDescent="0.25">
      <c r="A14" s="763" t="str">
        <f>"Apto"&amp;'BOULEVARD 5'!B19</f>
        <v>Apto113</v>
      </c>
      <c r="B14" s="763">
        <v>1</v>
      </c>
      <c r="C14" s="763" t="str">
        <f>IF('BOULEVARD 5'!A19="","Cliente normal",'BOULEVARD 5'!A19)</f>
        <v>Cliente normal</v>
      </c>
      <c r="D14" s="763" t="str">
        <f>IF('BOULEVARD 5'!E19="","No asignado",'BOULEVARD 5'!E19)</f>
        <v>Antonio Rada</v>
      </c>
      <c r="E14" s="763" t="str">
        <f>IF('BOULEVARD 5'!F19="","No asignado",'BOULEVARD 5'!F19)</f>
        <v>Rodrigo Rodas Pazos</v>
      </c>
      <c r="F14" s="764">
        <f>'BOULEVARD 5'!AT19</f>
        <v>480000</v>
      </c>
      <c r="G14" s="763" t="str">
        <f>'BOULEVARD 5'!BB19</f>
        <v>Cliente Atrasado</v>
      </c>
      <c r="H14" s="764">
        <f>'BOULEVARD PPTO'!BC14</f>
        <v>480006.24</v>
      </c>
      <c r="I14" s="764">
        <f t="shared" si="7"/>
        <v>-6.2399999999906868</v>
      </c>
      <c r="J14" s="765" t="str">
        <f t="shared" si="1"/>
        <v>Enganche por pagar</v>
      </c>
      <c r="K14" s="764">
        <f>'BOULEVARD 5'!I19</f>
        <v>1286306.04</v>
      </c>
      <c r="L14" s="766">
        <f>IF('BOULEVARD 5'!G19="","",'BOULEVARD 5'!G19)</f>
        <v>45616</v>
      </c>
      <c r="M14" s="764">
        <f t="shared" si="2"/>
        <v>0</v>
      </c>
      <c r="N14" s="767">
        <f>IF('B5-Status cobranza'!AM21&lt;0,'B5-Status cobranza'!AM21,0)</f>
        <v>0</v>
      </c>
      <c r="O14" s="777">
        <f>IF('B5-Status cobranza'!AP21&lt;0,'B5-Status cobranza'!AP21,0)</f>
        <v>0</v>
      </c>
      <c r="P14" s="777">
        <f>IF('B5-Status cobranza'!AP21&gt;0,'B5-Status cobranza'!AP21,0)</f>
        <v>0</v>
      </c>
      <c r="Q14" s="767">
        <f>'B5-Status cobranza'!AV21</f>
        <v>0</v>
      </c>
      <c r="R14" s="764">
        <f t="shared" si="4"/>
        <v>1286306.04</v>
      </c>
      <c r="S14" s="764">
        <f>IF('B5-Status cobranza'!AL21&lt;0,'B5-Status cobranza'!AL21,0)</f>
        <v>0</v>
      </c>
      <c r="T14" s="764">
        <v>0</v>
      </c>
      <c r="U14" s="778">
        <f t="shared" si="3"/>
        <v>0</v>
      </c>
      <c r="V14" s="764">
        <f>IF('B5-Status cobranza'!AL21&gt;0,'B5-Status cobranza'!AL21,0)</f>
        <v>0</v>
      </c>
    </row>
    <row r="15" spans="1:22" ht="12" customHeight="1" x14ac:dyDescent="0.25">
      <c r="A15" s="763" t="str">
        <f>"Apto"&amp;'BOULEVARD 5'!B20</f>
        <v>Apto114</v>
      </c>
      <c r="B15" s="763">
        <v>1</v>
      </c>
      <c r="C15" s="763" t="str">
        <f>IF('BOULEVARD 5'!A20="","Cliente normal",'BOULEVARD 5'!A20)</f>
        <v>F&amp;F</v>
      </c>
      <c r="D15" s="763" t="str">
        <f>IF('BOULEVARD 5'!E20="","No asignado",'BOULEVARD 5'!E20)</f>
        <v>Antonio Rada</v>
      </c>
      <c r="E15" s="763" t="str">
        <f>IF('BOULEVARD 5'!F20="","No asignado",'BOULEVARD 5'!F20)</f>
        <v>Mauricio Arimany Monzon</v>
      </c>
      <c r="F15" s="764">
        <f>'BOULEVARD 5'!AT20</f>
        <v>64718</v>
      </c>
      <c r="G15" s="763" t="str">
        <f>'BOULEVARD 5'!BB20</f>
        <v>Cliente Atrasado</v>
      </c>
      <c r="H15" s="764">
        <f>'BOULEVARD PPTO'!BC15</f>
        <v>99425.75</v>
      </c>
      <c r="I15" s="764">
        <f t="shared" si="7"/>
        <v>-34707.75</v>
      </c>
      <c r="J15" s="765" t="str">
        <f t="shared" si="1"/>
        <v>Enganche por pagar</v>
      </c>
      <c r="K15" s="764">
        <f>'BOULEVARD 5'!I20</f>
        <v>993625.74667999998</v>
      </c>
      <c r="L15" s="766">
        <f>IF('BOULEVARD 5'!G20="","",'BOULEVARD 5'!G20)</f>
        <v>45012</v>
      </c>
      <c r="M15" s="764">
        <f t="shared" si="2"/>
        <v>0</v>
      </c>
      <c r="N15" s="767">
        <f>IF('B5-Status cobranza'!AM22&lt;0,'B5-Status cobranza'!AM22,0)</f>
        <v>0</v>
      </c>
      <c r="O15" s="777">
        <f>IF('B5-Status cobranza'!AP22&lt;0,'B5-Status cobranza'!AP22,0)</f>
        <v>0</v>
      </c>
      <c r="P15" s="777">
        <f>IF('B5-Status cobranza'!AP22&gt;0,'B5-Status cobranza'!AP22,0)</f>
        <v>0</v>
      </c>
      <c r="Q15" s="767">
        <f>'B5-Status cobranza'!AV22</f>
        <v>0</v>
      </c>
      <c r="R15" s="764">
        <f t="shared" si="4"/>
        <v>993625.74667999998</v>
      </c>
      <c r="S15" s="764">
        <f>IF('B5-Status cobranza'!AL22&lt;0,'B5-Status cobranza'!AL22,0)</f>
        <v>0</v>
      </c>
      <c r="T15" s="764">
        <v>0</v>
      </c>
      <c r="U15" s="778">
        <f t="shared" si="3"/>
        <v>0</v>
      </c>
      <c r="V15" s="764">
        <f>IF('B5-Status cobranza'!AL22&gt;0,'B5-Status cobranza'!AL22,0)</f>
        <v>0</v>
      </c>
    </row>
    <row r="16" spans="1:22" ht="12" customHeight="1" x14ac:dyDescent="0.25">
      <c r="A16" s="763" t="str">
        <f>"Apto"&amp;'BOULEVARD 5'!B21</f>
        <v>Apto201</v>
      </c>
      <c r="B16" s="763">
        <v>1</v>
      </c>
      <c r="C16" s="763" t="str">
        <f>G16</f>
        <v>Disponible</v>
      </c>
      <c r="D16" s="763" t="str">
        <f>IF('BOULEVARD 5'!E21="","No asignado",'BOULEVARD 5'!E21)</f>
        <v>No asignado</v>
      </c>
      <c r="E16" s="763" t="str">
        <f>IF('BOULEVARD 5'!F21="","No asignado",'BOULEVARD 5'!F21)</f>
        <v>No asignado</v>
      </c>
      <c r="F16" s="764">
        <f>'BOULEVARD 5'!AT21</f>
        <v>0</v>
      </c>
      <c r="G16" s="763" t="str">
        <f>'BOULEVARD 5'!BB21</f>
        <v>Disponible</v>
      </c>
      <c r="H16" s="764">
        <f>'BOULEVARD PPTO'!BC16</f>
        <v>0</v>
      </c>
      <c r="I16" s="764">
        <f t="shared" si="7"/>
        <v>0</v>
      </c>
      <c r="J16" s="765" t="str">
        <f t="shared" si="1"/>
        <v>Enganche por pagar</v>
      </c>
      <c r="K16" s="764">
        <f>'BOULEVARD 5'!I21</f>
        <v>1295000</v>
      </c>
      <c r="L16" s="766" t="str">
        <f>IF('BOULEVARD 5'!G21="","",'BOULEVARD 5'!G21)</f>
        <v/>
      </c>
      <c r="M16" s="764">
        <f t="shared" si="2"/>
        <v>1295000</v>
      </c>
      <c r="N16" s="767">
        <f>IF('B5-Status cobranza'!AM23&lt;0,'B5-Status cobranza'!AM23,0)</f>
        <v>0</v>
      </c>
      <c r="O16" s="777">
        <f>IF('B5-Status cobranza'!AP23&lt;0,'B5-Status cobranza'!AP23,0)</f>
        <v>0</v>
      </c>
      <c r="P16" s="777">
        <f>IF('B5-Status cobranza'!AP23&gt;0,'B5-Status cobranza'!AP23,0)</f>
        <v>0</v>
      </c>
      <c r="Q16" s="767">
        <f>'B5-Status cobranza'!AV23</f>
        <v>0</v>
      </c>
      <c r="R16" s="764">
        <f t="shared" si="4"/>
        <v>0</v>
      </c>
      <c r="S16" s="764">
        <f>IF('B5-Status cobranza'!AL23&lt;0,'B5-Status cobranza'!AL23,0)</f>
        <v>0</v>
      </c>
      <c r="T16" s="764">
        <v>0</v>
      </c>
      <c r="U16" s="778">
        <f t="shared" si="3"/>
        <v>0</v>
      </c>
      <c r="V16" s="764">
        <f>IF('B5-Status cobranza'!AL23&gt;0,'B5-Status cobranza'!AL23,0)</f>
        <v>0</v>
      </c>
    </row>
    <row r="17" spans="1:22" ht="12" customHeight="1" x14ac:dyDescent="0.25">
      <c r="A17" s="763" t="str">
        <f>"Apto"&amp;'BOULEVARD 5'!B22</f>
        <v>Apto202</v>
      </c>
      <c r="B17" s="763">
        <v>1</v>
      </c>
      <c r="C17" s="763" t="str">
        <f>IF('BOULEVARD 5'!A22="","Cliente normal",'BOULEVARD 5'!A22)</f>
        <v>Cliente normal</v>
      </c>
      <c r="D17" s="763" t="str">
        <f>IF('BOULEVARD 5'!E22="","No asignado",'BOULEVARD 5'!E22)</f>
        <v>Antonio Rada</v>
      </c>
      <c r="E17" s="763" t="str">
        <f>IF('BOULEVARD 5'!F22="","No asignado",'BOULEVARD 5'!F22)</f>
        <v>Bella Rosana Chaveque Gonzalez</v>
      </c>
      <c r="F17" s="764">
        <f>'BOULEVARD 5'!AT22</f>
        <v>100000</v>
      </c>
      <c r="G17" s="763" t="str">
        <f>'BOULEVARD 5'!BB22</f>
        <v>Cliente al día</v>
      </c>
      <c r="H17" s="764">
        <f>'BOULEVARD PPTO'!BC17</f>
        <v>132230.19</v>
      </c>
      <c r="I17" s="764">
        <f t="shared" si="7"/>
        <v>-32230.190000000002</v>
      </c>
      <c r="J17" s="765" t="str">
        <f t="shared" si="1"/>
        <v>Enganche por pagar</v>
      </c>
      <c r="K17" s="764">
        <f>'BOULEVARD 5'!I22</f>
        <v>1321630.18875795</v>
      </c>
      <c r="L17" s="766">
        <f>IF('BOULEVARD 5'!G22="","",'BOULEVARD 5'!G22)</f>
        <v>45736</v>
      </c>
      <c r="M17" s="764">
        <f t="shared" si="2"/>
        <v>0</v>
      </c>
      <c r="N17" s="767">
        <f>IF('B5-Status cobranza'!AM24&lt;0,'B5-Status cobranza'!AM24,0)</f>
        <v>-731</v>
      </c>
      <c r="O17" s="777">
        <f>IF('B5-Status cobranza'!AP24&lt;0,'B5-Status cobranza'!AP24,0)</f>
        <v>0</v>
      </c>
      <c r="P17" s="777">
        <f>IF('B5-Status cobranza'!AP24&gt;0,'B5-Status cobranza'!AP24,0)</f>
        <v>1383</v>
      </c>
      <c r="Q17" s="767">
        <f>'B5-Status cobranza'!AV24</f>
        <v>0</v>
      </c>
      <c r="R17" s="764">
        <f t="shared" si="4"/>
        <v>1321630.18875795</v>
      </c>
      <c r="S17" s="764">
        <f>IF('B5-Status cobranza'!AL24&lt;0,'B5-Status cobranza'!AL24,0)</f>
        <v>-731</v>
      </c>
      <c r="T17" s="764">
        <v>0</v>
      </c>
      <c r="U17" s="778">
        <f t="shared" si="3"/>
        <v>0</v>
      </c>
      <c r="V17" s="764">
        <f>IF('B5-Status cobranza'!AL24&gt;0,'B5-Status cobranza'!AL24,0)</f>
        <v>0</v>
      </c>
    </row>
    <row r="18" spans="1:22" ht="12" customHeight="1" x14ac:dyDescent="0.25">
      <c r="A18" s="763" t="str">
        <f>"Apto"&amp;'BOULEVARD 5'!B23</f>
        <v>Apto203</v>
      </c>
      <c r="B18" s="763">
        <v>1</v>
      </c>
      <c r="C18" s="763" t="str">
        <f>G18</f>
        <v>Disponible</v>
      </c>
      <c r="D18" s="763" t="str">
        <f>IF('BOULEVARD 5'!E23="","No asignado",'BOULEVARD 5'!E23)</f>
        <v>No asignado</v>
      </c>
      <c r="E18" s="763" t="str">
        <f>IF('BOULEVARD 5'!F23="","No asignado",'BOULEVARD 5'!F23)</f>
        <v>No asignado</v>
      </c>
      <c r="F18" s="764">
        <f>'BOULEVARD 5'!AT23</f>
        <v>0</v>
      </c>
      <c r="G18" s="763" t="str">
        <f>'BOULEVARD 5'!BB23</f>
        <v>Disponible</v>
      </c>
      <c r="H18" s="764">
        <f>'BOULEVARD PPTO'!BC18</f>
        <v>0</v>
      </c>
      <c r="I18" s="764">
        <f t="shared" si="7"/>
        <v>0</v>
      </c>
      <c r="J18" s="765" t="str">
        <f t="shared" si="1"/>
        <v>Enganche por pagar</v>
      </c>
      <c r="K18" s="764">
        <f>'BOULEVARD 5'!I23</f>
        <v>1250000</v>
      </c>
      <c r="L18" s="766" t="str">
        <f>IF('BOULEVARD 5'!G23="","",'BOULEVARD 5'!G23)</f>
        <v/>
      </c>
      <c r="M18" s="764">
        <f t="shared" si="2"/>
        <v>1250000</v>
      </c>
      <c r="N18" s="767">
        <f>IF('B5-Status cobranza'!AM25&lt;0,'B5-Status cobranza'!AM25,0)</f>
        <v>0</v>
      </c>
      <c r="O18" s="777">
        <f>IF('B5-Status cobranza'!AP25&lt;0,'B5-Status cobranza'!AP25,0)</f>
        <v>0</v>
      </c>
      <c r="P18" s="777">
        <f>IF('B5-Status cobranza'!AP25&gt;0,'B5-Status cobranza'!AP25,0)</f>
        <v>0</v>
      </c>
      <c r="Q18" s="767">
        <f>'B5-Status cobranza'!AV25</f>
        <v>0</v>
      </c>
      <c r="R18" s="764">
        <f t="shared" si="4"/>
        <v>0</v>
      </c>
      <c r="S18" s="764">
        <f>IF('B5-Status cobranza'!AL25&lt;0,'B5-Status cobranza'!AL25,0)</f>
        <v>0</v>
      </c>
      <c r="T18" s="764">
        <v>0</v>
      </c>
      <c r="U18" s="778">
        <f t="shared" si="3"/>
        <v>0</v>
      </c>
      <c r="V18" s="764">
        <f>IF('B5-Status cobranza'!AL25&gt;0,'B5-Status cobranza'!AL25,0)</f>
        <v>0</v>
      </c>
    </row>
    <row r="19" spans="1:22" ht="12" customHeight="1" x14ac:dyDescent="0.25">
      <c r="A19" s="763" t="str">
        <f>"Apto"&amp;'BOULEVARD 5'!B24</f>
        <v>Apto204</v>
      </c>
      <c r="B19" s="763">
        <v>1</v>
      </c>
      <c r="C19" s="763" t="str">
        <f>IF('BOULEVARD 5'!A24="","Cliente normal",'BOULEVARD 5'!A24)</f>
        <v>Cliente normal</v>
      </c>
      <c r="D19" s="763" t="str">
        <f>IF('BOULEVARD 5'!E24="","No asignado",'BOULEVARD 5'!E24)</f>
        <v>Antonio Rada</v>
      </c>
      <c r="E19" s="763" t="str">
        <f>IF('BOULEVARD 5'!F24="","No asignado",'BOULEVARD 5'!F24)</f>
        <v>Paulette Leslie Wauthion Jimenez</v>
      </c>
      <c r="F19" s="764">
        <f>'BOULEVARD 5'!AT24</f>
        <v>115000</v>
      </c>
      <c r="G19" s="763" t="str">
        <f>'BOULEVARD 5'!BB24</f>
        <v>Superávit de Enganche</v>
      </c>
      <c r="H19" s="764">
        <f>'BOULEVARD PPTO'!BC19</f>
        <v>101595</v>
      </c>
      <c r="I19" s="764">
        <f t="shared" si="7"/>
        <v>13405</v>
      </c>
      <c r="J19" s="765" t="str">
        <f t="shared" si="1"/>
        <v>Superavit de enganche</v>
      </c>
      <c r="K19" s="764">
        <f>'BOULEVARD 5'!I24</f>
        <v>1015795</v>
      </c>
      <c r="L19" s="766">
        <f>IF('BOULEVARD 5'!G24="","",'BOULEVARD 5'!G24)</f>
        <v>45596</v>
      </c>
      <c r="M19" s="764">
        <f t="shared" si="2"/>
        <v>0</v>
      </c>
      <c r="N19" s="767">
        <f>IF('B5-Status cobranza'!AM26&lt;0,'B5-Status cobranza'!AM26,0)</f>
        <v>0</v>
      </c>
      <c r="O19" s="777">
        <f>IF('B5-Status cobranza'!AP26&lt;0,'B5-Status cobranza'!AP26,0)</f>
        <v>0</v>
      </c>
      <c r="P19" s="777">
        <f>IF('B5-Status cobranza'!AP26&gt;0,'B5-Status cobranza'!AP26,0)</f>
        <v>32148</v>
      </c>
      <c r="Q19" s="767">
        <f>'B5-Status cobranza'!AV26</f>
        <v>179</v>
      </c>
      <c r="R19" s="764">
        <f t="shared" si="4"/>
        <v>1015795</v>
      </c>
      <c r="S19" s="764">
        <f>IF('B5-Status cobranza'!AL26&lt;0,'B5-Status cobranza'!AL26,0)</f>
        <v>0</v>
      </c>
      <c r="T19" s="764">
        <v>0</v>
      </c>
      <c r="U19" s="778">
        <f t="shared" si="3"/>
        <v>0</v>
      </c>
      <c r="V19" s="764">
        <f>IF('B5-Status cobranza'!AL26&gt;0,'B5-Status cobranza'!AL26,0)</f>
        <v>179</v>
      </c>
    </row>
    <row r="20" spans="1:22" ht="12" customHeight="1" x14ac:dyDescent="0.25">
      <c r="A20" s="763" t="str">
        <f>"Apto"&amp;'BOULEVARD 5'!B25</f>
        <v>Apto205</v>
      </c>
      <c r="B20" s="763">
        <v>1</v>
      </c>
      <c r="C20" s="763" t="str">
        <f>IF('BOULEVARD 5'!A25="","Cliente normal",'BOULEVARD 5'!A25)</f>
        <v>Cliente normal</v>
      </c>
      <c r="D20" s="763" t="str">
        <f>IF('BOULEVARD 5'!E25="","No asignado",'BOULEVARD 5'!E25)</f>
        <v>Sofia Paredes</v>
      </c>
      <c r="E20" s="763" t="str">
        <f>IF('BOULEVARD 5'!F25="","No asignado",'BOULEVARD 5'!F25)</f>
        <v>Javier Adolfo Hernandez Leon</v>
      </c>
      <c r="F20" s="764">
        <f>'BOULEVARD 5'!AT25</f>
        <v>96933</v>
      </c>
      <c r="G20" s="763" t="str">
        <f>'BOULEVARD 5'!BB25</f>
        <v>Cliente al día</v>
      </c>
      <c r="H20" s="764">
        <f>'BOULEVARD PPTO'!BC20</f>
        <v>136455.82</v>
      </c>
      <c r="I20" s="764">
        <f t="shared" si="7"/>
        <v>-39522.820000000007</v>
      </c>
      <c r="J20" s="765" t="str">
        <f t="shared" si="1"/>
        <v>Enganche por pagar</v>
      </c>
      <c r="K20" s="764">
        <f>'BOULEVARD 5'!I25</f>
        <v>1364055.8232212199</v>
      </c>
      <c r="L20" s="766">
        <f>IF('BOULEVARD 5'!G25="","",'BOULEVARD 5'!G25)</f>
        <v>45706</v>
      </c>
      <c r="M20" s="764">
        <f t="shared" si="2"/>
        <v>0</v>
      </c>
      <c r="N20" s="767">
        <f>IF('B5-Status cobranza'!AM27&lt;0,'B5-Status cobranza'!AM27,0)</f>
        <v>0</v>
      </c>
      <c r="O20" s="777">
        <f>IF('B5-Status cobranza'!AP27&lt;0,'B5-Status cobranza'!AP27,0)</f>
        <v>-7903</v>
      </c>
      <c r="P20" s="777">
        <f>IF('B5-Status cobranza'!AP27&gt;0,'B5-Status cobranza'!AP27,0)</f>
        <v>0</v>
      </c>
      <c r="Q20" s="767">
        <f>'B5-Status cobranza'!AV27</f>
        <v>0</v>
      </c>
      <c r="R20" s="764">
        <f t="shared" si="4"/>
        <v>1364055.8232212199</v>
      </c>
      <c r="S20" s="764">
        <f>IF('B5-Status cobranza'!AL27&lt;0,'B5-Status cobranza'!AL27,0)</f>
        <v>0</v>
      </c>
      <c r="T20" s="764">
        <v>7903</v>
      </c>
      <c r="U20" s="778">
        <f t="shared" si="3"/>
        <v>2.602243678668378E-2</v>
      </c>
      <c r="V20" s="764">
        <f>IF('B5-Status cobranza'!AL27&gt;0,'B5-Status cobranza'!AL27,0)</f>
        <v>0</v>
      </c>
    </row>
    <row r="21" spans="1:22" ht="12" customHeight="1" x14ac:dyDescent="0.25">
      <c r="A21" s="763" t="str">
        <f>"Apto"&amp;'BOULEVARD 5'!B26</f>
        <v>Apto206</v>
      </c>
      <c r="B21" s="763">
        <v>1</v>
      </c>
      <c r="C21" s="763" t="str">
        <f t="shared" ref="C21:C23" si="8">G21</f>
        <v>Disponible</v>
      </c>
      <c r="D21" s="763" t="str">
        <f>IF('BOULEVARD 5'!E26="","No asignado",'BOULEVARD 5'!E26)</f>
        <v>No asignado</v>
      </c>
      <c r="E21" s="763" t="str">
        <f>IF('BOULEVARD 5'!F26="","No asignado",'BOULEVARD 5'!F26)</f>
        <v>No asignado</v>
      </c>
      <c r="F21" s="764">
        <f>'BOULEVARD 5'!AT26</f>
        <v>0</v>
      </c>
      <c r="G21" s="763" t="str">
        <f>'BOULEVARD 5'!BB26</f>
        <v>Disponible</v>
      </c>
      <c r="H21" s="764">
        <f>'BOULEVARD PPTO'!BC21</f>
        <v>0</v>
      </c>
      <c r="I21" s="764">
        <f t="shared" si="7"/>
        <v>0</v>
      </c>
      <c r="J21" s="765" t="str">
        <f t="shared" si="1"/>
        <v>Enganche por pagar</v>
      </c>
      <c r="K21" s="764">
        <f>'BOULEVARD 5'!I26</f>
        <v>1009200</v>
      </c>
      <c r="L21" s="766" t="str">
        <f>IF('BOULEVARD 5'!G26="","",'BOULEVARD 5'!G26)</f>
        <v/>
      </c>
      <c r="M21" s="764">
        <f t="shared" si="2"/>
        <v>1009200</v>
      </c>
      <c r="N21" s="767">
        <f>IF('B5-Status cobranza'!AM28&lt;0,'B5-Status cobranza'!AM28,0)</f>
        <v>0</v>
      </c>
      <c r="O21" s="777">
        <f>IF('B5-Status cobranza'!AP28&lt;0,'B5-Status cobranza'!AP28,0)</f>
        <v>0</v>
      </c>
      <c r="P21" s="777">
        <f>IF('B5-Status cobranza'!AP28&gt;0,'B5-Status cobranza'!AP28,0)</f>
        <v>0</v>
      </c>
      <c r="Q21" s="767">
        <f>'B5-Status cobranza'!AV28</f>
        <v>0</v>
      </c>
      <c r="R21" s="764">
        <f t="shared" si="4"/>
        <v>0</v>
      </c>
      <c r="S21" s="764">
        <f>IF('B5-Status cobranza'!AL28&lt;0,'B5-Status cobranza'!AL28,0)</f>
        <v>0</v>
      </c>
      <c r="T21" s="764">
        <v>0</v>
      </c>
      <c r="U21" s="778">
        <f t="shared" si="3"/>
        <v>0</v>
      </c>
      <c r="V21" s="764">
        <f>IF('B5-Status cobranza'!AL28&gt;0,'B5-Status cobranza'!AL28,0)</f>
        <v>0</v>
      </c>
    </row>
    <row r="22" spans="1:22" ht="12" customHeight="1" x14ac:dyDescent="0.25">
      <c r="A22" s="763" t="str">
        <f>"Apto"&amp;'BOULEVARD 5'!B27</f>
        <v>Apto207</v>
      </c>
      <c r="B22" s="763">
        <v>1</v>
      </c>
      <c r="C22" s="763" t="str">
        <f t="shared" si="8"/>
        <v>Disponible</v>
      </c>
      <c r="D22" s="763" t="str">
        <f>IF('BOULEVARD 5'!E27="","No asignado",'BOULEVARD 5'!E27)</f>
        <v>Anahí Cisneros</v>
      </c>
      <c r="E22" s="763" t="str">
        <f>IF('BOULEVARD 5'!F27="","No asignado",'BOULEVARD 5'!F27)</f>
        <v>No asignado</v>
      </c>
      <c r="F22" s="764">
        <f>'BOULEVARD 5'!AT27</f>
        <v>0</v>
      </c>
      <c r="G22" s="763" t="str">
        <f>'BOULEVARD 5'!BB27</f>
        <v>Disponible</v>
      </c>
      <c r="H22" s="764">
        <f>'BOULEVARD PPTO'!BC22</f>
        <v>0</v>
      </c>
      <c r="I22" s="764">
        <f t="shared" si="7"/>
        <v>0</v>
      </c>
      <c r="J22" s="765" t="str">
        <f t="shared" si="1"/>
        <v>Enganche por pagar</v>
      </c>
      <c r="K22" s="764">
        <f>'BOULEVARD 5'!I27</f>
        <v>1509100</v>
      </c>
      <c r="L22" s="766" t="str">
        <f>IF('BOULEVARD 5'!G27="","",'BOULEVARD 5'!G27)</f>
        <v/>
      </c>
      <c r="M22" s="764">
        <f t="shared" si="2"/>
        <v>1509100</v>
      </c>
      <c r="N22" s="767">
        <f>IF('B5-Status cobranza'!AM29&lt;0,'B5-Status cobranza'!AM29,0)</f>
        <v>0</v>
      </c>
      <c r="O22" s="777">
        <f>IF('B5-Status cobranza'!AP29&lt;0,'B5-Status cobranza'!AP29,0)</f>
        <v>0</v>
      </c>
      <c r="P22" s="777">
        <f>IF('B5-Status cobranza'!AP29&gt;0,'B5-Status cobranza'!AP29,0)</f>
        <v>0</v>
      </c>
      <c r="Q22" s="767">
        <f>'B5-Status cobranza'!AV29</f>
        <v>0</v>
      </c>
      <c r="R22" s="764">
        <f t="shared" si="4"/>
        <v>0</v>
      </c>
      <c r="S22" s="764">
        <f>IF('B5-Status cobranza'!AL29&lt;0,'B5-Status cobranza'!AL29,0)</f>
        <v>0</v>
      </c>
      <c r="T22" s="764">
        <v>0</v>
      </c>
      <c r="U22" s="778">
        <f t="shared" si="3"/>
        <v>0</v>
      </c>
      <c r="V22" s="764">
        <f>IF('B5-Status cobranza'!AL29&gt;0,'B5-Status cobranza'!AL29,0)</f>
        <v>0</v>
      </c>
    </row>
    <row r="23" spans="1:22" ht="12" customHeight="1" x14ac:dyDescent="0.25">
      <c r="A23" s="763" t="str">
        <f>"Apto"&amp;'BOULEVARD 5'!B28</f>
        <v>Apto208</v>
      </c>
      <c r="B23" s="763">
        <v>1</v>
      </c>
      <c r="C23" s="763" t="str">
        <f t="shared" si="8"/>
        <v>Disponible</v>
      </c>
      <c r="D23" s="763" t="str">
        <f>IF('BOULEVARD 5'!E28="","No asignado",'BOULEVARD 5'!E28)</f>
        <v>No asignado</v>
      </c>
      <c r="E23" s="763" t="str">
        <f>IF('BOULEVARD 5'!F28="","No asignado",'BOULEVARD 5'!F28)</f>
        <v>No asignado</v>
      </c>
      <c r="F23" s="764">
        <f>'BOULEVARD 5'!AT28</f>
        <v>0</v>
      </c>
      <c r="G23" s="763" t="str">
        <f>'BOULEVARD 5'!BB28</f>
        <v>Disponible</v>
      </c>
      <c r="H23" s="764">
        <f>'BOULEVARD PPTO'!BC23</f>
        <v>0</v>
      </c>
      <c r="I23" s="764">
        <f t="shared" si="7"/>
        <v>0</v>
      </c>
      <c r="J23" s="765" t="str">
        <f t="shared" si="1"/>
        <v>Enganche por pagar</v>
      </c>
      <c r="K23" s="764">
        <f>'BOULEVARD 5'!I28</f>
        <v>1356400</v>
      </c>
      <c r="L23" s="766" t="str">
        <f>IF('BOULEVARD 5'!G28="","",'BOULEVARD 5'!G28)</f>
        <v/>
      </c>
      <c r="M23" s="764">
        <f t="shared" si="2"/>
        <v>1356400</v>
      </c>
      <c r="N23" s="767">
        <f>IF('B5-Status cobranza'!AM30&lt;0,'B5-Status cobranza'!AM30,0)</f>
        <v>0</v>
      </c>
      <c r="O23" s="777">
        <f>IF('B5-Status cobranza'!AP30&lt;0,'B5-Status cobranza'!AP30,0)</f>
        <v>0</v>
      </c>
      <c r="P23" s="777">
        <f>IF('B5-Status cobranza'!AP30&gt;0,'B5-Status cobranza'!AP30,0)</f>
        <v>0</v>
      </c>
      <c r="Q23" s="767">
        <f>'B5-Status cobranza'!AV30</f>
        <v>0</v>
      </c>
      <c r="R23" s="764">
        <f t="shared" si="4"/>
        <v>0</v>
      </c>
      <c r="S23" s="764">
        <f>IF('B5-Status cobranza'!AL30&lt;0,'B5-Status cobranza'!AL30,0)</f>
        <v>0</v>
      </c>
      <c r="T23" s="764">
        <v>0</v>
      </c>
      <c r="U23" s="778">
        <f t="shared" si="3"/>
        <v>0</v>
      </c>
      <c r="V23" s="764">
        <f>IF('B5-Status cobranza'!AL30&gt;0,'B5-Status cobranza'!AL30,0)</f>
        <v>0</v>
      </c>
    </row>
    <row r="24" spans="1:22" ht="12" customHeight="1" x14ac:dyDescent="0.25">
      <c r="A24" s="763" t="str">
        <f>"Apto"&amp;'BOULEVARD 5'!B29</f>
        <v>Apto209</v>
      </c>
      <c r="B24" s="763">
        <v>1</v>
      </c>
      <c r="C24" s="763" t="str">
        <f>IF('BOULEVARD 5'!A29="","Cliente normal",'BOULEVARD 5'!A29)</f>
        <v>Cliente normal</v>
      </c>
      <c r="D24" s="763" t="str">
        <f>IF('BOULEVARD 5'!E29="","No asignado",'BOULEVARD 5'!E29)</f>
        <v>Antonio Rada</v>
      </c>
      <c r="E24" s="763" t="str">
        <f>IF('BOULEVARD 5'!F29="","No asignado",'BOULEVARD 5'!F29)</f>
        <v>Igor Alejandro Salazar Zamora</v>
      </c>
      <c r="F24" s="764">
        <f>'BOULEVARD 5'!AT29</f>
        <v>200104.18</v>
      </c>
      <c r="G24" s="763" t="str">
        <f>'BOULEVARD 5'!BB29</f>
        <v>Cliente Atrasado</v>
      </c>
      <c r="H24" s="764">
        <f>'BOULEVARD PPTO'!BC24</f>
        <v>200104</v>
      </c>
      <c r="I24" s="764">
        <f t="shared" si="7"/>
        <v>0.17999999999301508</v>
      </c>
      <c r="J24" s="765" t="str">
        <f t="shared" si="1"/>
        <v>Superavit de enganche</v>
      </c>
      <c r="K24" s="764">
        <f>'BOULEVARD 5'!I29</f>
        <v>1333707.58</v>
      </c>
      <c r="L24" s="766">
        <f>IF('BOULEVARD 5'!G29="","",'BOULEVARD 5'!G29)</f>
        <v>45838</v>
      </c>
      <c r="M24" s="764">
        <f t="shared" si="2"/>
        <v>0</v>
      </c>
      <c r="N24" s="767">
        <f>IF('B5-Status cobranza'!AM31&lt;0,'B5-Status cobranza'!AM31,0)</f>
        <v>0</v>
      </c>
      <c r="O24" s="777">
        <f>IF('B5-Status cobranza'!AP31&lt;0,'B5-Status cobranza'!AP31,0)</f>
        <v>0</v>
      </c>
      <c r="P24" s="777">
        <f>IF('B5-Status cobranza'!AP31&gt;0,'B5-Status cobranza'!AP31,0)</f>
        <v>0</v>
      </c>
      <c r="Q24" s="767">
        <f>'B5-Status cobranza'!AV31</f>
        <v>0</v>
      </c>
      <c r="R24" s="764">
        <f t="shared" si="4"/>
        <v>1333707.58</v>
      </c>
      <c r="S24" s="764">
        <f>IF('B5-Status cobranza'!AL31&lt;0,'B5-Status cobranza'!AL31,0)</f>
        <v>0</v>
      </c>
      <c r="T24" s="764">
        <v>0</v>
      </c>
      <c r="U24" s="778">
        <f t="shared" si="3"/>
        <v>0</v>
      </c>
      <c r="V24" s="764">
        <f>IF('B5-Status cobranza'!AL31&gt;0,'B5-Status cobranza'!AL31,0)</f>
        <v>0</v>
      </c>
    </row>
    <row r="25" spans="1:22" ht="12" customHeight="1" x14ac:dyDescent="0.25">
      <c r="A25" s="763" t="str">
        <f>"Apto"&amp;'BOULEVARD 5'!B30</f>
        <v>Apto210</v>
      </c>
      <c r="B25" s="763">
        <v>1</v>
      </c>
      <c r="C25" s="763" t="str">
        <f>IF('BOULEVARD 5'!A30="","Cliente normal",'BOULEVARD 5'!A30)</f>
        <v>Cliente normal</v>
      </c>
      <c r="D25" s="763" t="str">
        <f>IF('BOULEVARD 5'!E30="","No asignado",'BOULEVARD 5'!E30)</f>
        <v>Laura Molina</v>
      </c>
      <c r="E25" s="763" t="str">
        <f>IF('BOULEVARD 5'!F30="","No asignado",'BOULEVARD 5'!F30)</f>
        <v>Carlos Alejandro de León Samayoa</v>
      </c>
      <c r="F25" s="764">
        <f>'BOULEVARD 5'!AT30</f>
        <v>67389.960000000006</v>
      </c>
      <c r="G25" s="763" t="str">
        <f>'BOULEVARD 5'!BB30</f>
        <v>Cliente al día</v>
      </c>
      <c r="H25" s="764">
        <f>'BOULEVARD PPTO'!BC25</f>
        <v>111048.26000000002</v>
      </c>
      <c r="I25" s="764">
        <f t="shared" si="7"/>
        <v>-43658.300000000017</v>
      </c>
      <c r="J25" s="765" t="str">
        <f t="shared" si="1"/>
        <v>Enganche por pagar</v>
      </c>
      <c r="K25" s="764">
        <f>'BOULEVARD 5'!I30</f>
        <v>1110148.31</v>
      </c>
      <c r="L25" s="766">
        <f>IF('BOULEVARD 5'!G30="","",'BOULEVARD 5'!G30)</f>
        <v>45859</v>
      </c>
      <c r="M25" s="764">
        <f t="shared" si="2"/>
        <v>0</v>
      </c>
      <c r="N25" s="767">
        <f>IF('B5-Status cobranza'!AM32&lt;0,'B5-Status cobranza'!AM32,0)</f>
        <v>0</v>
      </c>
      <c r="O25" s="777">
        <f>IF('B5-Status cobranza'!AP32&lt;0,'B5-Status cobranza'!AP32,0)</f>
        <v>0</v>
      </c>
      <c r="P25" s="777">
        <f>IF('B5-Status cobranza'!AP32&gt;0,'B5-Status cobranza'!AP32,0)</f>
        <v>0</v>
      </c>
      <c r="Q25" s="767">
        <f>'B5-Status cobranza'!AV32</f>
        <v>0</v>
      </c>
      <c r="R25" s="764">
        <f t="shared" si="4"/>
        <v>1110148.31</v>
      </c>
      <c r="S25" s="764">
        <f>IF('B5-Status cobranza'!AL32&lt;0,'B5-Status cobranza'!AL32,0)</f>
        <v>0</v>
      </c>
      <c r="T25" s="764">
        <v>0</v>
      </c>
      <c r="U25" s="778">
        <f t="shared" si="3"/>
        <v>0</v>
      </c>
      <c r="V25" s="764">
        <f>IF('B5-Status cobranza'!AL32&gt;0,'B5-Status cobranza'!AL32,0)</f>
        <v>0</v>
      </c>
    </row>
    <row r="26" spans="1:22" ht="12" customHeight="1" x14ac:dyDescent="0.25">
      <c r="A26" s="763" t="str">
        <f>"Apto"&amp;'BOULEVARD 5'!B31</f>
        <v>Apto211</v>
      </c>
      <c r="B26" s="763">
        <v>1</v>
      </c>
      <c r="C26" s="763" t="str">
        <f>G26</f>
        <v>Disponible</v>
      </c>
      <c r="D26" s="763" t="str">
        <f>IF('BOULEVARD 5'!E31="","No asignado",'BOULEVARD 5'!E31)</f>
        <v>No asignado</v>
      </c>
      <c r="E26" s="763" t="str">
        <f>IF('BOULEVARD 5'!F31="","No asignado",'BOULEVARD 5'!F31)</f>
        <v>No asignado</v>
      </c>
      <c r="F26" s="764">
        <f>'BOULEVARD 5'!AT31</f>
        <v>0</v>
      </c>
      <c r="G26" s="763" t="str">
        <f>'BOULEVARD 5'!BB31</f>
        <v>Disponible</v>
      </c>
      <c r="H26" s="764">
        <f>'BOULEVARD PPTO'!BC26</f>
        <v>0</v>
      </c>
      <c r="I26" s="764">
        <f t="shared" si="7"/>
        <v>0</v>
      </c>
      <c r="J26" s="765" t="str">
        <f t="shared" si="1"/>
        <v>Enganche por pagar</v>
      </c>
      <c r="K26" s="764">
        <f>'BOULEVARD 5'!I31</f>
        <v>1615400</v>
      </c>
      <c r="L26" s="766" t="str">
        <f>IF('BOULEVARD 5'!G31="","",'BOULEVARD 5'!G31)</f>
        <v/>
      </c>
      <c r="M26" s="764">
        <f t="shared" si="2"/>
        <v>1615400</v>
      </c>
      <c r="N26" s="767">
        <f>IF('B5-Status cobranza'!AM33&lt;0,'B5-Status cobranza'!AM33,0)</f>
        <v>0</v>
      </c>
      <c r="O26" s="777">
        <f>IF('B5-Status cobranza'!AP33&lt;0,'B5-Status cobranza'!AP33,0)</f>
        <v>0</v>
      </c>
      <c r="P26" s="777">
        <f>IF('B5-Status cobranza'!AP33&gt;0,'B5-Status cobranza'!AP33,0)</f>
        <v>0</v>
      </c>
      <c r="Q26" s="767">
        <f>'B5-Status cobranza'!AV33</f>
        <v>0</v>
      </c>
      <c r="R26" s="764">
        <f t="shared" si="4"/>
        <v>0</v>
      </c>
      <c r="S26" s="764">
        <f>IF('B5-Status cobranza'!AL33&lt;0,'B5-Status cobranza'!AL33,0)</f>
        <v>0</v>
      </c>
      <c r="T26" s="764">
        <v>0</v>
      </c>
      <c r="U26" s="778">
        <f t="shared" si="3"/>
        <v>0</v>
      </c>
      <c r="V26" s="764">
        <f>IF('B5-Status cobranza'!AL33&gt;0,'B5-Status cobranza'!AL33,0)</f>
        <v>0</v>
      </c>
    </row>
    <row r="27" spans="1:22" ht="12" customHeight="1" x14ac:dyDescent="0.25">
      <c r="A27" s="763" t="str">
        <f>"Apto"&amp;'BOULEVARD 5'!B32</f>
        <v>Apto212</v>
      </c>
      <c r="B27" s="763">
        <v>1</v>
      </c>
      <c r="C27" s="763" t="str">
        <f>IF('BOULEVARD 5'!A32="","Cliente normal",'BOULEVARD 5'!A32)</f>
        <v>Cliente normal</v>
      </c>
      <c r="D27" s="763" t="str">
        <f>IF('BOULEVARD 5'!E32="","No asignado",'BOULEVARD 5'!E32)</f>
        <v>Antonio Rada</v>
      </c>
      <c r="E27" s="763" t="str">
        <f>IF('BOULEVARD 5'!F32="","No asignado",'BOULEVARD 5'!F32)</f>
        <v>Julio Eduardo Farnes Bucaro</v>
      </c>
      <c r="F27" s="764">
        <f>'BOULEVARD 5'!AT32</f>
        <v>71536</v>
      </c>
      <c r="G27" s="763" t="str">
        <f>'BOULEVARD 5'!BB32</f>
        <v>Cliente Atrasado</v>
      </c>
      <c r="H27" s="764">
        <f>'BOULEVARD PPTO'!BC27</f>
        <v>71537.5</v>
      </c>
      <c r="I27" s="764">
        <f t="shared" si="7"/>
        <v>-1.5</v>
      </c>
      <c r="J27" s="765" t="str">
        <f t="shared" si="1"/>
        <v>Enganche por pagar</v>
      </c>
      <c r="K27" s="764">
        <f>'BOULEVARD 5'!I32</f>
        <v>714937.5</v>
      </c>
      <c r="L27" s="766">
        <f>IF('BOULEVARD 5'!G32="","",'BOULEVARD 5'!G32)</f>
        <v>45244</v>
      </c>
      <c r="M27" s="764">
        <f t="shared" si="2"/>
        <v>0</v>
      </c>
      <c r="N27" s="767">
        <f>IF('B5-Status cobranza'!AM34&lt;0,'B5-Status cobranza'!AM34,0)</f>
        <v>0</v>
      </c>
      <c r="O27" s="777">
        <f>IF('B5-Status cobranza'!AP34&lt;0,'B5-Status cobranza'!AP34,0)</f>
        <v>-1.5</v>
      </c>
      <c r="P27" s="777">
        <f>IF('B5-Status cobranza'!AP34&gt;0,'B5-Status cobranza'!AP34,0)</f>
        <v>0</v>
      </c>
      <c r="Q27" s="767">
        <f>'B5-Status cobranza'!AV34</f>
        <v>0</v>
      </c>
      <c r="R27" s="764">
        <f t="shared" si="4"/>
        <v>714937.5</v>
      </c>
      <c r="S27" s="764">
        <f>IF('B5-Status cobranza'!AL34&lt;0,'B5-Status cobranza'!AL34,0)</f>
        <v>-1.5</v>
      </c>
      <c r="T27" s="764">
        <v>0</v>
      </c>
      <c r="U27" s="778">
        <f t="shared" si="3"/>
        <v>0</v>
      </c>
      <c r="V27" s="764">
        <f>IF('B5-Status cobranza'!AL34&gt;0,'B5-Status cobranza'!AL34,0)</f>
        <v>0</v>
      </c>
    </row>
    <row r="28" spans="1:22" ht="12" customHeight="1" x14ac:dyDescent="0.25">
      <c r="A28" s="763" t="str">
        <f>"Apto"&amp;'BOULEVARD 5'!B33</f>
        <v>Apto213</v>
      </c>
      <c r="B28" s="763">
        <v>1</v>
      </c>
      <c r="C28" s="763" t="str">
        <f>IF('BOULEVARD 5'!A33="","Cliente normal",'BOULEVARD 5'!A33)</f>
        <v>Cliente normal</v>
      </c>
      <c r="D28" s="763" t="str">
        <f>IF('BOULEVARD 5'!E33="","No asignado",'BOULEVARD 5'!E33)</f>
        <v>Sofia Paredes</v>
      </c>
      <c r="E28" s="763" t="str">
        <f>IF('BOULEVARD 5'!F33="","No asignado",'BOULEVARD 5'!F33)</f>
        <v xml:space="preserve">Carlos Humberto Rivera Carrillo </v>
      </c>
      <c r="F28" s="764">
        <f>'BOULEVARD 5'!AT33</f>
        <v>56539.72</v>
      </c>
      <c r="G28" s="763" t="str">
        <f>'BOULEVARD 5'!BB33</f>
        <v>Cliente Atrasado</v>
      </c>
      <c r="H28" s="764">
        <f>'BOULEVARD PPTO'!BC28</f>
        <v>80718.740000000005</v>
      </c>
      <c r="I28" s="764">
        <f t="shared" si="6"/>
        <v>-24179.020000000004</v>
      </c>
      <c r="J28" s="765" t="str">
        <f t="shared" si="1"/>
        <v>Enganche por pagar</v>
      </c>
      <c r="K28" s="764">
        <f>'BOULEVARD 5'!I33</f>
        <v>806418.74335333402</v>
      </c>
      <c r="L28" s="766">
        <f>IF('BOULEVARD 5'!G33="","",'BOULEVARD 5'!G33)</f>
        <v>45695</v>
      </c>
      <c r="M28" s="764">
        <f t="shared" si="2"/>
        <v>0</v>
      </c>
      <c r="N28" s="767">
        <f>IF('B5-Status cobranza'!AM35&lt;0,'B5-Status cobranza'!AM35,0)</f>
        <v>0</v>
      </c>
      <c r="O28" s="777">
        <f>IF('B5-Status cobranza'!AP35&lt;0,'B5-Status cobranza'!AP35,0)</f>
        <v>0</v>
      </c>
      <c r="P28" s="777">
        <f>IF('B5-Status cobranza'!AP35&gt;0,'B5-Status cobranza'!AP35,0)</f>
        <v>1179.7199999999993</v>
      </c>
      <c r="Q28" s="767">
        <f>'B5-Status cobranza'!AV35</f>
        <v>580</v>
      </c>
      <c r="R28" s="764">
        <f t="shared" si="4"/>
        <v>806418.74335333402</v>
      </c>
      <c r="S28" s="764">
        <f>IF('B5-Status cobranza'!AL35&lt;0,'B5-Status cobranza'!AL35,0)</f>
        <v>0</v>
      </c>
      <c r="T28" s="764">
        <v>0</v>
      </c>
      <c r="U28" s="778">
        <f t="shared" si="3"/>
        <v>0</v>
      </c>
      <c r="V28" s="764">
        <f>IF('B5-Status cobranza'!AL35&gt;0,'B5-Status cobranza'!AL35,0)</f>
        <v>580</v>
      </c>
    </row>
    <row r="29" spans="1:22" ht="12" customHeight="1" x14ac:dyDescent="0.25">
      <c r="A29" s="763" t="str">
        <f>"Apto"&amp;'BOULEVARD 5'!B34</f>
        <v>Apto214</v>
      </c>
      <c r="B29" s="763">
        <v>1</v>
      </c>
      <c r="C29" s="763" t="str">
        <f>IF('BOULEVARD 5'!A34="","Cliente normal",'BOULEVARD 5'!A34)</f>
        <v>Cliente normal</v>
      </c>
      <c r="D29" s="763" t="str">
        <f>IF('BOULEVARD 5'!E34="","No asignado",'BOULEVARD 5'!E34)</f>
        <v>Antonio Rada</v>
      </c>
      <c r="E29" s="763" t="str">
        <f>IF('BOULEVARD 5'!F34="","No asignado",'BOULEVARD 5'!F34)</f>
        <v>Jorge Daniel Baca Chiroy</v>
      </c>
      <c r="F29" s="764">
        <f>'BOULEVARD 5'!AT34</f>
        <v>72072.5</v>
      </c>
      <c r="G29" s="763" t="str">
        <f>'BOULEVARD 5'!BB34</f>
        <v>Cliente Atrasado</v>
      </c>
      <c r="H29" s="764">
        <f>'BOULEVARD PPTO'!BC29</f>
        <v>72072.5</v>
      </c>
      <c r="I29" s="764">
        <f t="shared" si="6"/>
        <v>0</v>
      </c>
      <c r="J29" s="765" t="str">
        <f t="shared" si="1"/>
        <v>Enganche por pagar</v>
      </c>
      <c r="K29" s="764">
        <f>'BOULEVARD 5'!I34</f>
        <v>720472.5</v>
      </c>
      <c r="L29" s="766">
        <f>IF('BOULEVARD 5'!G34="","",'BOULEVARD 5'!G34)</f>
        <v>45259</v>
      </c>
      <c r="M29" s="764">
        <f t="shared" si="2"/>
        <v>0</v>
      </c>
      <c r="N29" s="767">
        <f>IF('B5-Status cobranza'!AM36&lt;0,'B5-Status cobranza'!AM36,0)</f>
        <v>0</v>
      </c>
      <c r="O29" s="777">
        <f>IF('B5-Status cobranza'!AP36&lt;0,'B5-Status cobranza'!AP36,0)</f>
        <v>0</v>
      </c>
      <c r="P29" s="777">
        <f>IF('B5-Status cobranza'!AP36&gt;0,'B5-Status cobranza'!AP36,0)</f>
        <v>0</v>
      </c>
      <c r="Q29" s="767">
        <f>'B5-Status cobranza'!AV36</f>
        <v>0</v>
      </c>
      <c r="R29" s="764">
        <f t="shared" si="4"/>
        <v>720472.5</v>
      </c>
      <c r="S29" s="764">
        <f>IF('B5-Status cobranza'!AL36&lt;0,'B5-Status cobranza'!AL36,0)</f>
        <v>-3026.5</v>
      </c>
      <c r="T29" s="764">
        <v>0</v>
      </c>
      <c r="U29" s="778">
        <f t="shared" si="3"/>
        <v>0</v>
      </c>
      <c r="V29" s="764">
        <f>IF('B5-Status cobranza'!AL36&gt;0,'B5-Status cobranza'!AL36,0)</f>
        <v>0</v>
      </c>
    </row>
    <row r="30" spans="1:22" ht="12" customHeight="1" x14ac:dyDescent="0.25">
      <c r="A30" s="763" t="str">
        <f>"Apto"&amp;'BOULEVARD 5'!B35</f>
        <v>Apto215</v>
      </c>
      <c r="B30" s="763">
        <v>1</v>
      </c>
      <c r="C30" s="763" t="str">
        <f>IF('BOULEVARD 5'!A35="","Cliente normal",'BOULEVARD 5'!A35)</f>
        <v>Cliente normal</v>
      </c>
      <c r="D30" s="763" t="str">
        <f>IF('BOULEVARD 5'!E35="","No asignado",'BOULEVARD 5'!E35)</f>
        <v>Antonio Rada</v>
      </c>
      <c r="E30" s="763" t="str">
        <f>IF('BOULEVARD 5'!F35="","No asignado",'BOULEVARD 5'!F35)</f>
        <v>Lidia Elizabeth Pocasangre Rac</v>
      </c>
      <c r="F30" s="764">
        <f>'BOULEVARD 5'!AT35</f>
        <v>100000</v>
      </c>
      <c r="G30" s="763" t="str">
        <f>'BOULEVARD 5'!BB35</f>
        <v>Cliente Atrasado</v>
      </c>
      <c r="H30" s="764">
        <f>'BOULEVARD PPTO'!BC30</f>
        <v>96600</v>
      </c>
      <c r="I30" s="764">
        <f t="shared" si="6"/>
        <v>3400</v>
      </c>
      <c r="J30" s="765" t="str">
        <f t="shared" si="1"/>
        <v>Superavit de enganche</v>
      </c>
      <c r="K30" s="764">
        <f>'BOULEVARD 5'!I35</f>
        <v>965900</v>
      </c>
      <c r="L30" s="766">
        <f>IF('BOULEVARD 5'!G35="","",'BOULEVARD 5'!G35)</f>
        <v>45353</v>
      </c>
      <c r="M30" s="764">
        <f t="shared" si="2"/>
        <v>0</v>
      </c>
      <c r="N30" s="767">
        <f>IF('B5-Status cobranza'!AM37&lt;0,'B5-Status cobranza'!AM37,0)</f>
        <v>0</v>
      </c>
      <c r="O30" s="777">
        <f>IF('B5-Status cobranza'!AP37&lt;0,'B5-Status cobranza'!AP37,0)</f>
        <v>0</v>
      </c>
      <c r="P30" s="777">
        <f>IF('B5-Status cobranza'!AP37&gt;0,'B5-Status cobranza'!AP37,0)</f>
        <v>1400</v>
      </c>
      <c r="Q30" s="767">
        <f>'B5-Status cobranza'!AV37</f>
        <v>0</v>
      </c>
      <c r="R30" s="764">
        <f t="shared" si="4"/>
        <v>965900</v>
      </c>
      <c r="S30" s="764">
        <f>IF('B5-Status cobranza'!AL37&lt;0,'B5-Status cobranza'!AL37,0)</f>
        <v>0</v>
      </c>
      <c r="T30" s="764">
        <v>0</v>
      </c>
      <c r="U30" s="778">
        <f t="shared" si="3"/>
        <v>0</v>
      </c>
      <c r="V30" s="764">
        <f>IF('B5-Status cobranza'!AL37&gt;0,'B5-Status cobranza'!AL37,0)</f>
        <v>74</v>
      </c>
    </row>
    <row r="31" spans="1:22" ht="12" customHeight="1" x14ac:dyDescent="0.25">
      <c r="A31" s="763" t="str">
        <f>"Apto"&amp;'BOULEVARD 5'!B36</f>
        <v>Apto216</v>
      </c>
      <c r="B31" s="763">
        <v>1</v>
      </c>
      <c r="C31" s="763" t="str">
        <f>IF('BOULEVARD 5'!A36="","Cliente normal",'BOULEVARD 5'!A36)</f>
        <v>Cliente normal</v>
      </c>
      <c r="D31" s="763" t="str">
        <f>IF('BOULEVARD 5'!E36="","No asignado",'BOULEVARD 5'!E36)</f>
        <v>Antonio Rada</v>
      </c>
      <c r="E31" s="763" t="str">
        <f>IF('BOULEVARD 5'!F36="","No asignado",'BOULEVARD 5'!F36)</f>
        <v>Narvesters Gabriell Moreno Cedeño</v>
      </c>
      <c r="F31" s="764">
        <f>'BOULEVARD 5'!AT36</f>
        <v>780700</v>
      </c>
      <c r="G31" s="763" t="str">
        <f>'BOULEVARD 5'!BB36</f>
        <v>Superávit de Enganche</v>
      </c>
      <c r="H31" s="764">
        <f>'BOULEVARD PPTO'!BC31</f>
        <v>98100</v>
      </c>
      <c r="I31" s="764">
        <f t="shared" si="6"/>
        <v>682600</v>
      </c>
      <c r="J31" s="765" t="str">
        <f t="shared" si="1"/>
        <v>Superavit de enganche</v>
      </c>
      <c r="K31" s="764">
        <f>'BOULEVARD 5'!I36</f>
        <v>980700</v>
      </c>
      <c r="L31" s="766">
        <f>IF('BOULEVARD 5'!G36="","",'BOULEVARD 5'!G36)</f>
        <v>45360</v>
      </c>
      <c r="M31" s="764">
        <f t="shared" si="2"/>
        <v>0</v>
      </c>
      <c r="N31" s="767">
        <f>IF('B5-Status cobranza'!AM38&lt;0,'B5-Status cobranza'!AM38,0)</f>
        <v>0</v>
      </c>
      <c r="O31" s="777">
        <f>IF('B5-Status cobranza'!AP38&lt;0,'B5-Status cobranza'!AP38,0)</f>
        <v>0</v>
      </c>
      <c r="P31" s="777">
        <f>IF('B5-Status cobranza'!AP38&gt;0,'B5-Status cobranza'!AP38,0)</f>
        <v>531002</v>
      </c>
      <c r="Q31" s="767">
        <f>'B5-Status cobranza'!AV38</f>
        <v>45000</v>
      </c>
      <c r="R31" s="764">
        <f t="shared" si="4"/>
        <v>980700</v>
      </c>
      <c r="S31" s="764">
        <f>IF('B5-Status cobranza'!AL38&lt;0,'B5-Status cobranza'!AL38,0)</f>
        <v>0</v>
      </c>
      <c r="T31" s="764">
        <v>0</v>
      </c>
      <c r="U31" s="778">
        <f t="shared" si="3"/>
        <v>0</v>
      </c>
      <c r="V31" s="764">
        <f>IF('B5-Status cobranza'!AL38&gt;0,'B5-Status cobranza'!AL38,0)</f>
        <v>39002</v>
      </c>
    </row>
    <row r="32" spans="1:22" ht="12" customHeight="1" x14ac:dyDescent="0.25">
      <c r="A32" s="763" t="str">
        <f>"Apto"&amp;'BOULEVARD 5'!B37</f>
        <v>Apto301</v>
      </c>
      <c r="B32" s="763">
        <v>1</v>
      </c>
      <c r="C32" s="763" t="str">
        <f>IF('BOULEVARD 5'!A37="","Cliente normal",'BOULEVARD 5'!A37)</f>
        <v>Cliente normal</v>
      </c>
      <c r="D32" s="763" t="str">
        <f>IF('BOULEVARD 5'!E37="","No asignado",'BOULEVARD 5'!E37)</f>
        <v>Antonio Rada</v>
      </c>
      <c r="E32" s="763" t="str">
        <f>IF('BOULEVARD 5'!F37="","No asignado",'BOULEVARD 5'!F37)</f>
        <v>Jonathan Kiril Thomas Menkos</v>
      </c>
      <c r="F32" s="764">
        <f>'BOULEVARD 5'!AT37</f>
        <v>127300</v>
      </c>
      <c r="G32" s="763" t="str">
        <f>'BOULEVARD 5'!BB37</f>
        <v>Cliente Atrasado</v>
      </c>
      <c r="H32" s="764">
        <f>'BOULEVARD PPTO'!BC32</f>
        <v>127300</v>
      </c>
      <c r="I32" s="764">
        <f t="shared" si="6"/>
        <v>0</v>
      </c>
      <c r="J32" s="765" t="str">
        <f t="shared" si="1"/>
        <v>Enganche por pagar</v>
      </c>
      <c r="K32" s="764">
        <f>'BOULEVARD 5'!I37</f>
        <v>1273000</v>
      </c>
      <c r="L32" s="766">
        <f>IF('BOULEVARD 5'!G37="","",'BOULEVARD 5'!G37)</f>
        <v>45494</v>
      </c>
      <c r="M32" s="764">
        <f t="shared" si="2"/>
        <v>0</v>
      </c>
      <c r="N32" s="767">
        <f>IF('B5-Status cobranza'!AM39&lt;0,'B5-Status cobranza'!AM39,0)</f>
        <v>0</v>
      </c>
      <c r="O32" s="777">
        <f>IF('B5-Status cobranza'!AP39&lt;0,'B5-Status cobranza'!AP39,0)</f>
        <v>0</v>
      </c>
      <c r="P32" s="777">
        <f>IF('B5-Status cobranza'!AP39&gt;0,'B5-Status cobranza'!AP39,0)</f>
        <v>0</v>
      </c>
      <c r="Q32" s="767">
        <f>'B5-Status cobranza'!AV39</f>
        <v>0</v>
      </c>
      <c r="R32" s="764">
        <f t="shared" si="4"/>
        <v>1273000</v>
      </c>
      <c r="S32" s="764">
        <f>IF('B5-Status cobranza'!AL39&lt;0,'B5-Status cobranza'!AL39,0)</f>
        <v>0</v>
      </c>
      <c r="T32" s="764">
        <v>0</v>
      </c>
      <c r="U32" s="778">
        <f t="shared" si="3"/>
        <v>0</v>
      </c>
      <c r="V32" s="764">
        <f>IF('B5-Status cobranza'!AL39&gt;0,'B5-Status cobranza'!AL39,0)</f>
        <v>0</v>
      </c>
    </row>
    <row r="33" spans="1:22" ht="12" customHeight="1" x14ac:dyDescent="0.25">
      <c r="A33" s="763" t="str">
        <f>"Apto"&amp;'BOULEVARD 5'!B38</f>
        <v>Apto302</v>
      </c>
      <c r="B33" s="763">
        <v>1</v>
      </c>
      <c r="C33" s="763" t="str">
        <f>IF('BOULEVARD 5'!A38="","Cliente normal",'BOULEVARD 5'!A38)</f>
        <v>Cliente normal</v>
      </c>
      <c r="D33" s="763" t="str">
        <f>IF('BOULEVARD 5'!E38="","No asignado",'BOULEVARD 5'!E38)</f>
        <v>Anahí Cisneros</v>
      </c>
      <c r="E33" s="763" t="str">
        <f>IF('BOULEVARD 5'!F38="","No asignado",'BOULEVARD 5'!F38)</f>
        <v>José Ignacio Ramírez Soto</v>
      </c>
      <c r="F33" s="764">
        <f>'BOULEVARD 5'!AT38</f>
        <v>46800</v>
      </c>
      <c r="G33" s="763" t="str">
        <f>'BOULEVARD 5'!BB38</f>
        <v>Cliente al día</v>
      </c>
      <c r="H33" s="764">
        <f>'BOULEVARD PPTO'!BC33</f>
        <v>0</v>
      </c>
      <c r="I33" s="764">
        <f t="shared" si="6"/>
        <v>46800</v>
      </c>
      <c r="J33" s="765" t="str">
        <f t="shared" si="1"/>
        <v>Superavit de enganche</v>
      </c>
      <c r="K33" s="764">
        <f>'BOULEVARD 5'!I38</f>
        <v>1455900</v>
      </c>
      <c r="L33" s="766">
        <f>IF('BOULEVARD 5'!G38="","",'BOULEVARD 5'!G38)</f>
        <v>45898</v>
      </c>
      <c r="M33" s="764">
        <f t="shared" si="2"/>
        <v>0</v>
      </c>
      <c r="N33" s="767">
        <f>IF('B5-Status cobranza'!AM40&lt;0,'B5-Status cobranza'!AM40,0)</f>
        <v>0</v>
      </c>
      <c r="O33" s="777">
        <f>IF('B5-Status cobranza'!AP40&lt;0,'B5-Status cobranza'!AP40,0)</f>
        <v>0</v>
      </c>
      <c r="P33" s="777">
        <f>IF('B5-Status cobranza'!AP40&gt;0,'B5-Status cobranza'!AP40,0)</f>
        <v>28400</v>
      </c>
      <c r="Q33" s="767">
        <f>'B5-Status cobranza'!AV40</f>
        <v>9200</v>
      </c>
      <c r="R33" s="764">
        <f t="shared" si="4"/>
        <v>1455900</v>
      </c>
      <c r="S33" s="764">
        <f>IF('B5-Status cobranza'!AL40&lt;0,'B5-Status cobranza'!AL40,0)</f>
        <v>0</v>
      </c>
      <c r="T33" s="764">
        <v>0</v>
      </c>
      <c r="U33" s="778">
        <f t="shared" si="3"/>
        <v>0</v>
      </c>
      <c r="V33" s="764">
        <f>IF('B5-Status cobranza'!AL40&gt;0,'B5-Status cobranza'!AL40,0)</f>
        <v>9200</v>
      </c>
    </row>
    <row r="34" spans="1:22" ht="12" customHeight="1" x14ac:dyDescent="0.25">
      <c r="A34" s="763" t="str">
        <f>"Apto"&amp;'BOULEVARD 5'!B39</f>
        <v>Apto303</v>
      </c>
      <c r="B34" s="763">
        <v>1</v>
      </c>
      <c r="C34" s="763" t="e">
        <f>G34</f>
        <v>#VALUE!</v>
      </c>
      <c r="D34" s="763" t="str">
        <f>IF('BOULEVARD 5'!E39="","No asignado",'BOULEVARD 5'!E39)</f>
        <v>Erwin Cardona</v>
      </c>
      <c r="E34" s="763" t="str">
        <f>IF('BOULEVARD 5'!F39="","No asignado",'BOULEVARD 5'!F39)</f>
        <v>Pedro Antonio Gomar Chávez</v>
      </c>
      <c r="F34" s="764">
        <f>'BOULEVARD 5'!AT39</f>
        <v>0</v>
      </c>
      <c r="G34" s="763" t="e">
        <f>'BOULEVARD 5'!BB39</f>
        <v>#VALUE!</v>
      </c>
      <c r="H34" s="764">
        <f>'BOULEVARD PPTO'!BC34</f>
        <v>0</v>
      </c>
      <c r="I34" s="764">
        <f t="shared" si="6"/>
        <v>0</v>
      </c>
      <c r="J34" s="765" t="str">
        <f t="shared" si="1"/>
        <v>Enganche por pagar</v>
      </c>
      <c r="K34" s="764">
        <f>'BOULEVARD 5'!I39</f>
        <v>946500</v>
      </c>
      <c r="L34" s="766" t="str">
        <f>IF('BOULEVARD 5'!G39="","",'BOULEVARD 5'!G39)</f>
        <v>27/11/205</v>
      </c>
      <c r="M34" s="764" t="e">
        <f t="shared" si="2"/>
        <v>#VALUE!</v>
      </c>
      <c r="N34" s="767">
        <f>IF('B5-Status cobranza'!AM41&lt;0,'B5-Status cobranza'!AM41,0)</f>
        <v>0</v>
      </c>
      <c r="O34" s="777">
        <f>IF('B5-Status cobranza'!AP41&lt;0,'B5-Status cobranza'!AP41,0)</f>
        <v>0</v>
      </c>
      <c r="P34" s="777">
        <f>IF('B5-Status cobranza'!AP41&gt;0,'B5-Status cobranza'!AP41,0)</f>
        <v>0</v>
      </c>
      <c r="Q34" s="767">
        <f>'B5-Status cobranza'!AV41</f>
        <v>0</v>
      </c>
      <c r="R34" s="764" t="e">
        <f t="shared" si="4"/>
        <v>#VALUE!</v>
      </c>
      <c r="S34" s="764">
        <f>IF('B5-Status cobranza'!AL41&lt;0,'B5-Status cobranza'!AL41,0)</f>
        <v>0</v>
      </c>
      <c r="T34" s="764">
        <v>0</v>
      </c>
      <c r="U34" s="778">
        <f t="shared" si="3"/>
        <v>0</v>
      </c>
      <c r="V34" s="764">
        <f>IF('B5-Status cobranza'!AL41&gt;0,'B5-Status cobranza'!AL41,0)</f>
        <v>0</v>
      </c>
    </row>
    <row r="35" spans="1:22" ht="12" customHeight="1" x14ac:dyDescent="0.25">
      <c r="A35" s="763" t="str">
        <f>"Apto"&amp;'BOULEVARD 5'!B40</f>
        <v>Apto304</v>
      </c>
      <c r="B35" s="763">
        <v>1</v>
      </c>
      <c r="C35" s="763" t="str">
        <f>IF('BOULEVARD 5'!A40="","Cliente normal",'BOULEVARD 5'!A40)</f>
        <v>Cliente normal</v>
      </c>
      <c r="D35" s="763" t="str">
        <f>IF('BOULEVARD 5'!E40="","No asignado",'BOULEVARD 5'!E40)</f>
        <v>Antonio Rada</v>
      </c>
      <c r="E35" s="763" t="str">
        <f>IF('BOULEVARD 5'!F40="","No asignado",'BOULEVARD 5'!F40)</f>
        <v>Ricardo Alberto Vásquez Monterroso</v>
      </c>
      <c r="F35" s="764">
        <f>'BOULEVARD 5'!AT40</f>
        <v>62440</v>
      </c>
      <c r="G35" s="763" t="str">
        <f>'BOULEVARD 5'!BB40</f>
        <v>Cliente al día</v>
      </c>
      <c r="H35" s="764">
        <f>'BOULEVARD PPTO'!BC35</f>
        <v>83415.199999999997</v>
      </c>
      <c r="I35" s="764">
        <f t="shared" si="6"/>
        <v>-20975.199999999997</v>
      </c>
      <c r="J35" s="765" t="str">
        <f t="shared" si="1"/>
        <v>Enganche por pagar</v>
      </c>
      <c r="K35" s="764">
        <f>'BOULEVARD 5'!I40</f>
        <v>833815.20101665298</v>
      </c>
      <c r="L35" s="766">
        <f>IF('BOULEVARD 5'!G40="","",'BOULEVARD 5'!G40)</f>
        <v>45719</v>
      </c>
      <c r="M35" s="764">
        <f t="shared" si="2"/>
        <v>0</v>
      </c>
      <c r="N35" s="767">
        <f>IF('B5-Status cobranza'!AM42&lt;0,'B5-Status cobranza'!AM42,0)</f>
        <v>0</v>
      </c>
      <c r="O35" s="777">
        <f>IF('B5-Status cobranza'!AP42&lt;0,'B5-Status cobranza'!AP42,0)</f>
        <v>0</v>
      </c>
      <c r="P35" s="777">
        <f>IF('B5-Status cobranza'!AP42&gt;0,'B5-Status cobranza'!AP42,0)</f>
        <v>0</v>
      </c>
      <c r="Q35" s="767">
        <f>'B5-Status cobranza'!AV42</f>
        <v>0</v>
      </c>
      <c r="R35" s="764">
        <f t="shared" si="4"/>
        <v>833815.20101665298</v>
      </c>
      <c r="S35" s="764">
        <f>IF('B5-Status cobranza'!AL42&lt;0,'B5-Status cobranza'!AL42,0)</f>
        <v>0</v>
      </c>
      <c r="T35" s="764">
        <v>0</v>
      </c>
      <c r="U35" s="778">
        <f t="shared" si="3"/>
        <v>0</v>
      </c>
      <c r="V35" s="764">
        <f>IF('B5-Status cobranza'!AL42&gt;0,'B5-Status cobranza'!AL42,0)</f>
        <v>0</v>
      </c>
    </row>
    <row r="36" spans="1:22" ht="12" customHeight="1" x14ac:dyDescent="0.25">
      <c r="A36" s="763" t="str">
        <f>"Apto"&amp;'BOULEVARD 5'!B41</f>
        <v>Apto305</v>
      </c>
      <c r="B36" s="763">
        <v>1</v>
      </c>
      <c r="C36" s="763" t="str">
        <f>IF('BOULEVARD 5'!A41="","Cliente normal",'BOULEVARD 5'!A41)</f>
        <v>Cliente normal</v>
      </c>
      <c r="D36" s="763" t="str">
        <f>IF('BOULEVARD 5'!E41="","No asignado",'BOULEVARD 5'!E41)</f>
        <v>Antonio Rada</v>
      </c>
      <c r="E36" s="763" t="str">
        <f>IF('BOULEVARD 5'!F41="","No asignado",'BOULEVARD 5'!F41)</f>
        <v>Josue Alejandro Arias Perez</v>
      </c>
      <c r="F36" s="764">
        <f>'BOULEVARD 5'!AT41</f>
        <v>61000</v>
      </c>
      <c r="G36" s="763" t="str">
        <f>'BOULEVARD 5'!BB41</f>
        <v>Cliente al día</v>
      </c>
      <c r="H36" s="764">
        <f>'BOULEVARD PPTO'!BC36</f>
        <v>111265.61</v>
      </c>
      <c r="I36" s="764">
        <f t="shared" si="6"/>
        <v>-50265.61</v>
      </c>
      <c r="J36" s="765" t="str">
        <f t="shared" si="1"/>
        <v>Enganche por pagar</v>
      </c>
      <c r="K36" s="764">
        <f>'BOULEVARD 5'!I41</f>
        <v>1112465.60916772</v>
      </c>
      <c r="L36" s="766">
        <f>IF('BOULEVARD 5'!G41="","",'BOULEVARD 5'!G41)</f>
        <v>45748</v>
      </c>
      <c r="M36" s="764">
        <f t="shared" si="2"/>
        <v>0</v>
      </c>
      <c r="N36" s="767">
        <f>IF('B5-Status cobranza'!AM43&lt;0,'B5-Status cobranza'!AM43,0)</f>
        <v>-3500</v>
      </c>
      <c r="O36" s="777">
        <f>IF('B5-Status cobranza'!AP43&lt;0,'B5-Status cobranza'!AP43,0)</f>
        <v>-3500</v>
      </c>
      <c r="P36" s="777">
        <f>IF('B5-Status cobranza'!AP43&gt;0,'B5-Status cobranza'!AP43,0)</f>
        <v>0</v>
      </c>
      <c r="Q36" s="767">
        <f>'B5-Status cobranza'!AV43</f>
        <v>0</v>
      </c>
      <c r="R36" s="764">
        <f t="shared" si="4"/>
        <v>1112465.60916772</v>
      </c>
      <c r="S36" s="764">
        <f>IF('B5-Status cobranza'!AL43&lt;0,'B5-Status cobranza'!AL43,0)</f>
        <v>0</v>
      </c>
      <c r="T36" s="764">
        <v>0</v>
      </c>
      <c r="U36" s="778">
        <f t="shared" si="3"/>
        <v>0</v>
      </c>
      <c r="V36" s="764">
        <f>IF('B5-Status cobranza'!AL43&gt;0,'B5-Status cobranza'!AL43,0)</f>
        <v>0</v>
      </c>
    </row>
    <row r="37" spans="1:22" ht="12" customHeight="1" x14ac:dyDescent="0.25">
      <c r="A37" s="763" t="str">
        <f>"Apto"&amp;'BOULEVARD 5'!B42</f>
        <v>Apto306</v>
      </c>
      <c r="B37" s="763">
        <v>1</v>
      </c>
      <c r="C37" s="763" t="str">
        <f t="shared" ref="C37:C38" si="9">G37</f>
        <v>Cliente al día</v>
      </c>
      <c r="D37" s="763" t="str">
        <f>IF('BOULEVARD 5'!E42="","No asignado",'BOULEVARD 5'!E42)</f>
        <v>Anahí Cisneros</v>
      </c>
      <c r="E37" s="763" t="str">
        <f>IF('BOULEVARD 5'!F42="","No asignado",'BOULEVARD 5'!F42)</f>
        <v>Ricardo José Ruiz Álvarez</v>
      </c>
      <c r="F37" s="764">
        <f>'BOULEVARD 5'!AT42</f>
        <v>10000</v>
      </c>
      <c r="G37" s="763" t="str">
        <f>'BOULEVARD 5'!BB42</f>
        <v>Cliente al día</v>
      </c>
      <c r="H37" s="764">
        <f>'BOULEVARD PPTO'!BC37</f>
        <v>0</v>
      </c>
      <c r="I37" s="764">
        <f t="shared" si="6"/>
        <v>10000</v>
      </c>
      <c r="J37" s="765" t="str">
        <f t="shared" si="1"/>
        <v>Superavit de enganche</v>
      </c>
      <c r="K37" s="764">
        <f>'BOULEVARD 5'!I42</f>
        <v>1106500</v>
      </c>
      <c r="L37" s="766">
        <f>IF('BOULEVARD 5'!G42="","",'BOULEVARD 5'!G42)</f>
        <v>46033</v>
      </c>
      <c r="M37" s="764">
        <f t="shared" si="2"/>
        <v>0</v>
      </c>
      <c r="N37" s="767">
        <f>IF('B5-Status cobranza'!AM44&lt;0,'B5-Status cobranza'!AM44,0)</f>
        <v>0</v>
      </c>
      <c r="O37" s="777">
        <f>IF('B5-Status cobranza'!AP44&lt;0,'B5-Status cobranza'!AP44,0)</f>
        <v>0</v>
      </c>
      <c r="P37" s="777">
        <f>IF('B5-Status cobranza'!AP44&gt;0,'B5-Status cobranza'!AP44,0)</f>
        <v>0</v>
      </c>
      <c r="Q37" s="767">
        <f>'B5-Status cobranza'!AV44</f>
        <v>0</v>
      </c>
      <c r="R37" s="764">
        <f t="shared" si="4"/>
        <v>1106500</v>
      </c>
      <c r="S37" s="764">
        <f>IF('B5-Status cobranza'!AL44&lt;0,'B5-Status cobranza'!AL44,0)</f>
        <v>0</v>
      </c>
      <c r="T37" s="764">
        <v>0</v>
      </c>
      <c r="U37" s="778">
        <f t="shared" si="3"/>
        <v>0</v>
      </c>
      <c r="V37" s="764">
        <f>IF('B5-Status cobranza'!AL44&gt;0,'B5-Status cobranza'!AL44,0)</f>
        <v>0</v>
      </c>
    </row>
    <row r="38" spans="1:22" ht="12" customHeight="1" x14ac:dyDescent="0.25">
      <c r="A38" s="763" t="str">
        <f>"Apto"&amp;'BOULEVARD 5'!B43</f>
        <v>Apto307</v>
      </c>
      <c r="B38" s="763">
        <v>1</v>
      </c>
      <c r="C38" s="763" t="str">
        <f t="shared" si="9"/>
        <v>Cliente al día</v>
      </c>
      <c r="D38" s="763" t="str">
        <f>IF('BOULEVARD 5'!E43="","No asignado",'BOULEVARD 5'!E43)</f>
        <v>Erwin Cardona</v>
      </c>
      <c r="E38" s="763" t="str">
        <f>IF('BOULEVARD 5'!F43="","No asignado",'BOULEVARD 5'!F43)</f>
        <v>Héctor Salvador Júarez Hernández/Angee Brizel Canelas Diaz</v>
      </c>
      <c r="F38" s="764">
        <f>'BOULEVARD 5'!AT43</f>
        <v>20000</v>
      </c>
      <c r="G38" s="763" t="str">
        <f>'BOULEVARD 5'!BB43</f>
        <v>Cliente al día</v>
      </c>
      <c r="H38" s="764">
        <f>'BOULEVARD PPTO'!BC38</f>
        <v>0</v>
      </c>
      <c r="I38" s="764">
        <f t="shared" si="6"/>
        <v>20000</v>
      </c>
      <c r="J38" s="765" t="str">
        <f t="shared" si="1"/>
        <v>Superavit de enganche</v>
      </c>
      <c r="K38" s="764">
        <f>'BOULEVARD 5'!I43</f>
        <v>1055600</v>
      </c>
      <c r="L38" s="766">
        <f>IF('BOULEVARD 5'!G43="","",'BOULEVARD 5'!G43)</f>
        <v>45999</v>
      </c>
      <c r="M38" s="764">
        <f t="shared" si="2"/>
        <v>0</v>
      </c>
      <c r="N38" s="767">
        <f>IF('B5-Status cobranza'!AM45&lt;0,'B5-Status cobranza'!AM45,0)</f>
        <v>0</v>
      </c>
      <c r="O38" s="777">
        <f>IF('B5-Status cobranza'!AP45&lt;0,'B5-Status cobranza'!AP45,0)</f>
        <v>0</v>
      </c>
      <c r="P38" s="777">
        <f>IF('B5-Status cobranza'!AP45&gt;0,'B5-Status cobranza'!AP45,0)</f>
        <v>0</v>
      </c>
      <c r="Q38" s="767">
        <f>'B5-Status cobranza'!AV45</f>
        <v>0</v>
      </c>
      <c r="R38" s="764">
        <f t="shared" si="4"/>
        <v>1055600</v>
      </c>
      <c r="S38" s="764">
        <f>IF('B5-Status cobranza'!AL45&lt;0,'B5-Status cobranza'!AL45,0)</f>
        <v>0</v>
      </c>
      <c r="T38" s="764">
        <v>0</v>
      </c>
      <c r="U38" s="778">
        <f t="shared" si="3"/>
        <v>0</v>
      </c>
      <c r="V38" s="764">
        <f>IF('B5-Status cobranza'!AL45&gt;0,'B5-Status cobranza'!AL45,0)</f>
        <v>0</v>
      </c>
    </row>
    <row r="39" spans="1:22" ht="12" customHeight="1" x14ac:dyDescent="0.25">
      <c r="A39" s="763" t="str">
        <f>"Apto"&amp;'BOULEVARD 5'!B44</f>
        <v>Apto308</v>
      </c>
      <c r="B39" s="763">
        <v>1</v>
      </c>
      <c r="C39" s="763" t="str">
        <f>IF('BOULEVARD 5'!A44="","Cliente normal",'BOULEVARD 5'!A44)</f>
        <v>Cliente normal</v>
      </c>
      <c r="D39" s="763" t="str">
        <f>IF('BOULEVARD 5'!E44="","No asignado",'BOULEVARD 5'!E44)</f>
        <v>Antonio Rada</v>
      </c>
      <c r="E39" s="763" t="str">
        <f>IF('BOULEVARD 5'!F44="","No asignado",'BOULEVARD 5'!F44)</f>
        <v>Ricardo Alberto Vásquez Monterroso</v>
      </c>
      <c r="F39" s="764">
        <f>'BOULEVARD 5'!AT44</f>
        <v>76660</v>
      </c>
      <c r="G39" s="763" t="str">
        <f>'BOULEVARD 5'!BB44</f>
        <v>Cliente al día</v>
      </c>
      <c r="H39" s="764">
        <f>'BOULEVARD PPTO'!BC39</f>
        <v>103328.19</v>
      </c>
      <c r="I39" s="764">
        <f t="shared" si="6"/>
        <v>-26668.190000000002</v>
      </c>
      <c r="J39" s="765" t="str">
        <f t="shared" si="1"/>
        <v>Enganche por pagar</v>
      </c>
      <c r="K39" s="764">
        <f>'BOULEVARD 5'!I44</f>
        <v>1032728.18978229</v>
      </c>
      <c r="L39" s="766">
        <f>IF('BOULEVARD 5'!G44="","",'BOULEVARD 5'!G44)</f>
        <v>45719</v>
      </c>
      <c r="M39" s="764">
        <f t="shared" si="2"/>
        <v>0</v>
      </c>
      <c r="N39" s="767">
        <f>IF('B5-Status cobranza'!AM46&lt;0,'B5-Status cobranza'!AM46,0)</f>
        <v>0</v>
      </c>
      <c r="O39" s="777">
        <f>IF('B5-Status cobranza'!AP46&lt;0,'B5-Status cobranza'!AP46,0)</f>
        <v>0</v>
      </c>
      <c r="P39" s="777">
        <f>IF('B5-Status cobranza'!AP46&gt;0,'B5-Status cobranza'!AP46,0)</f>
        <v>0</v>
      </c>
      <c r="Q39" s="767">
        <f>'B5-Status cobranza'!AV46</f>
        <v>0</v>
      </c>
      <c r="R39" s="764">
        <f t="shared" si="4"/>
        <v>1032728.18978229</v>
      </c>
      <c r="S39" s="764">
        <f>IF('B5-Status cobranza'!AL46&lt;0,'B5-Status cobranza'!AL46,0)</f>
        <v>0</v>
      </c>
      <c r="T39" s="764">
        <v>0</v>
      </c>
      <c r="U39" s="778">
        <f t="shared" si="3"/>
        <v>0</v>
      </c>
      <c r="V39" s="764">
        <f>IF('B5-Status cobranza'!AL46&gt;0,'B5-Status cobranza'!AL46,0)</f>
        <v>0</v>
      </c>
    </row>
    <row r="40" spans="1:22" ht="12" customHeight="1" x14ac:dyDescent="0.25">
      <c r="A40" s="763" t="str">
        <f>"Apto"&amp;'BOULEVARD 5'!B45</f>
        <v>Apto309</v>
      </c>
      <c r="B40" s="763">
        <v>1</v>
      </c>
      <c r="C40" s="763" t="str">
        <f>IF('BOULEVARD 5'!A45="","Cliente normal",'BOULEVARD 5'!A45)</f>
        <v>Cliente normal</v>
      </c>
      <c r="D40" s="763" t="str">
        <f>IF('BOULEVARD 5'!E45="","No asignado",'BOULEVARD 5'!E45)</f>
        <v>Antonio Rada</v>
      </c>
      <c r="E40" s="763" t="str">
        <f>IF('BOULEVARD 5'!F45="","No asignado",'BOULEVARD 5'!F45)</f>
        <v>Leonel Bernardo Molina Gramajo</v>
      </c>
      <c r="F40" s="764">
        <f>'BOULEVARD 5'!AT45</f>
        <v>57500</v>
      </c>
      <c r="G40" s="763" t="str">
        <f>'BOULEVARD 5'!BB45</f>
        <v>Cliente al día</v>
      </c>
      <c r="H40" s="764">
        <f>'BOULEVARD PPTO'!BC40</f>
        <v>135090</v>
      </c>
      <c r="I40" s="764">
        <f t="shared" si="6"/>
        <v>-77590</v>
      </c>
      <c r="J40" s="765" t="str">
        <f t="shared" si="1"/>
        <v>Enganche por pagar</v>
      </c>
      <c r="K40" s="764">
        <f>'BOULEVARD 5'!I45</f>
        <v>1341690</v>
      </c>
      <c r="L40" s="766">
        <f>IF('BOULEVARD 5'!G45="","",'BOULEVARD 5'!G45)</f>
        <v>45516</v>
      </c>
      <c r="M40" s="764">
        <f t="shared" si="2"/>
        <v>0</v>
      </c>
      <c r="N40" s="767">
        <f>IF('B5-Status cobranza'!AM47&lt;0,'B5-Status cobranza'!AM47,0)</f>
        <v>0</v>
      </c>
      <c r="O40" s="777">
        <f>IF('B5-Status cobranza'!AP47&lt;0,'B5-Status cobranza'!AP47,0)</f>
        <v>-52500</v>
      </c>
      <c r="P40" s="777">
        <f>IF('B5-Status cobranza'!AP47&gt;0,'B5-Status cobranza'!AP47,0)</f>
        <v>0</v>
      </c>
      <c r="Q40" s="767">
        <f>'B5-Status cobranza'!AV47</f>
        <v>2500</v>
      </c>
      <c r="R40" s="764">
        <f t="shared" si="4"/>
        <v>1341690</v>
      </c>
      <c r="S40" s="764">
        <f>IF('B5-Status cobranza'!AL47&lt;0,'B5-Status cobranza'!AL47,0)</f>
        <v>0</v>
      </c>
      <c r="T40" s="764">
        <v>0</v>
      </c>
      <c r="U40" s="778">
        <f t="shared" si="3"/>
        <v>0</v>
      </c>
      <c r="V40" s="764">
        <f>IF('B5-Status cobranza'!AL47&gt;0,'B5-Status cobranza'!AL47,0)</f>
        <v>0</v>
      </c>
    </row>
    <row r="41" spans="1:22" ht="12" customHeight="1" x14ac:dyDescent="0.25">
      <c r="A41" s="763" t="str">
        <f>"Apto"&amp;'BOULEVARD 5'!B46</f>
        <v>Apto310</v>
      </c>
      <c r="B41" s="763">
        <v>1</v>
      </c>
      <c r="C41" s="763" t="str">
        <f>G41</f>
        <v>Cliente al día</v>
      </c>
      <c r="D41" s="763" t="str">
        <f>IF('BOULEVARD 5'!E46="","No asignado",'BOULEVARD 5'!E46)</f>
        <v>Erwin Cardona</v>
      </c>
      <c r="E41" s="763" t="str">
        <f>IF('BOULEVARD 5'!F46="","No asignado",'BOULEVARD 5'!F46)</f>
        <v>Fernando Javier Rosales Gramajo</v>
      </c>
      <c r="F41" s="764">
        <f>'BOULEVARD 5'!AT46</f>
        <v>10000</v>
      </c>
      <c r="G41" s="763" t="str">
        <f>'BOULEVARD 5'!BB46</f>
        <v>Cliente al día</v>
      </c>
      <c r="H41" s="764">
        <f>'BOULEVARD PPTO'!BC41</f>
        <v>0</v>
      </c>
      <c r="I41" s="764">
        <f t="shared" si="6"/>
        <v>10000</v>
      </c>
      <c r="J41" s="765" t="str">
        <f t="shared" si="1"/>
        <v>Superavit de enganche</v>
      </c>
      <c r="K41" s="764">
        <f>'BOULEVARD 5'!I46</f>
        <v>1009200</v>
      </c>
      <c r="L41" s="766">
        <f>IF('BOULEVARD 5'!G46="","",'BOULEVARD 5'!G46)</f>
        <v>46000</v>
      </c>
      <c r="M41" s="764">
        <f t="shared" si="2"/>
        <v>0</v>
      </c>
      <c r="N41" s="767">
        <f>IF('B5-Status cobranza'!AM48&lt;0,'B5-Status cobranza'!AM48,0)</f>
        <v>0</v>
      </c>
      <c r="O41" s="777">
        <f>IF('B5-Status cobranza'!AP48&lt;0,'B5-Status cobranza'!AP48,0)</f>
        <v>0</v>
      </c>
      <c r="P41" s="777">
        <f>IF('B5-Status cobranza'!AP48&gt;0,'B5-Status cobranza'!AP48,0)</f>
        <v>0</v>
      </c>
      <c r="Q41" s="767">
        <f>'B5-Status cobranza'!AV48</f>
        <v>0</v>
      </c>
      <c r="R41" s="764">
        <f t="shared" si="4"/>
        <v>1009200</v>
      </c>
      <c r="S41" s="764">
        <f>IF('B5-Status cobranza'!AL48&lt;0,'B5-Status cobranza'!AL48,0)</f>
        <v>0</v>
      </c>
      <c r="T41" s="764">
        <v>0</v>
      </c>
      <c r="U41" s="778">
        <f t="shared" si="3"/>
        <v>0</v>
      </c>
      <c r="V41" s="764">
        <f>IF('B5-Status cobranza'!AL48&gt;0,'B5-Status cobranza'!AL48,0)</f>
        <v>0</v>
      </c>
    </row>
    <row r="42" spans="1:22" ht="12" customHeight="1" x14ac:dyDescent="0.25">
      <c r="A42" s="763" t="str">
        <f>"Apto"&amp;'BOULEVARD 5'!B47</f>
        <v>Apto311</v>
      </c>
      <c r="B42" s="763">
        <v>1</v>
      </c>
      <c r="C42" s="763" t="str">
        <f>IF('BOULEVARD 5'!A47="","Cliente normal",'BOULEVARD 5'!A47)</f>
        <v>Cliente normal</v>
      </c>
      <c r="D42" s="763" t="str">
        <f>IF('BOULEVARD 5'!E47="","No asignado",'BOULEVARD 5'!E47)</f>
        <v>Diana Alvarez</v>
      </c>
      <c r="E42" s="763" t="str">
        <f>IF('BOULEVARD 5'!F47="","No asignado",'BOULEVARD 5'!F47)</f>
        <v>Miguel Angel Teletor Riz</v>
      </c>
      <c r="F42" s="764">
        <f>'BOULEVARD 5'!AT47</f>
        <v>139140</v>
      </c>
      <c r="G42" s="763" t="str">
        <f>'BOULEVARD 5'!BB47</f>
        <v>Cliente Atrasado</v>
      </c>
      <c r="H42" s="764">
        <f>'BOULEVARD PPTO'!BC42</f>
        <v>139140</v>
      </c>
      <c r="I42" s="764">
        <f t="shared" si="6"/>
        <v>0</v>
      </c>
      <c r="J42" s="765" t="str">
        <f t="shared" si="1"/>
        <v>Enganche por pagar</v>
      </c>
      <c r="K42" s="764">
        <f>'BOULEVARD 5'!I47</f>
        <v>1391040</v>
      </c>
      <c r="L42" s="766">
        <f>IF('BOULEVARD 5'!G47="","",'BOULEVARD 5'!G47)</f>
        <v>45562</v>
      </c>
      <c r="M42" s="764">
        <f t="shared" si="2"/>
        <v>0</v>
      </c>
      <c r="N42" s="767">
        <f>IF('B5-Status cobranza'!AM49&lt;0,'B5-Status cobranza'!AM49,0)</f>
        <v>0</v>
      </c>
      <c r="O42" s="777">
        <f>IF('B5-Status cobranza'!AP49&lt;0,'B5-Status cobranza'!AP49,0)</f>
        <v>0</v>
      </c>
      <c r="P42" s="777">
        <f>IF('B5-Status cobranza'!AP49&gt;0,'B5-Status cobranza'!AP49,0)</f>
        <v>0</v>
      </c>
      <c r="Q42" s="767">
        <f>'B5-Status cobranza'!AV49</f>
        <v>0</v>
      </c>
      <c r="R42" s="764">
        <f t="shared" si="4"/>
        <v>1391040</v>
      </c>
      <c r="S42" s="764">
        <f>IF('B5-Status cobranza'!AL49&lt;0,'B5-Status cobranza'!AL49,0)</f>
        <v>0</v>
      </c>
      <c r="T42" s="764">
        <v>0</v>
      </c>
      <c r="U42" s="778">
        <f t="shared" si="3"/>
        <v>0</v>
      </c>
      <c r="V42" s="764">
        <f>IF('B5-Status cobranza'!AL49&gt;0,'B5-Status cobranza'!AL49,0)</f>
        <v>0</v>
      </c>
    </row>
    <row r="43" spans="1:22" ht="12" customHeight="1" x14ac:dyDescent="0.25">
      <c r="A43" s="763" t="str">
        <f>"Apto"&amp;'BOULEVARD 5'!B48</f>
        <v>Apto312</v>
      </c>
      <c r="B43" s="763">
        <v>1</v>
      </c>
      <c r="C43" s="763" t="str">
        <f>IF('BOULEVARD 5'!A48="","Cliente normal",'BOULEVARD 5'!A48)</f>
        <v>Cliente normal</v>
      </c>
      <c r="D43" s="763" t="str">
        <f>IF('BOULEVARD 5'!E48="","No asignado",'BOULEVARD 5'!E48)</f>
        <v>Antonio Rada</v>
      </c>
      <c r="E43" s="763" t="str">
        <f>IF('BOULEVARD 5'!F48="","No asignado",'BOULEVARD 5'!F48)</f>
        <v>Freddy Alejandro Chinchilla Culajay</v>
      </c>
      <c r="F43" s="764">
        <f>'BOULEVARD 5'!AT48</f>
        <v>102212</v>
      </c>
      <c r="G43" s="763" t="str">
        <f>'BOULEVARD 5'!BB48</f>
        <v>Cliente Atrasado</v>
      </c>
      <c r="H43" s="764">
        <f>'BOULEVARD PPTO'!BC43</f>
        <v>141462.32</v>
      </c>
      <c r="I43" s="764">
        <f t="shared" si="6"/>
        <v>-39250.320000000007</v>
      </c>
      <c r="J43" s="765" t="str">
        <f t="shared" si="1"/>
        <v>Enganche por pagar</v>
      </c>
      <c r="K43" s="764">
        <f>'BOULEVARD 5'!I48</f>
        <v>1414462.31631225</v>
      </c>
      <c r="L43" s="766">
        <f>IF('BOULEVARD 5'!G48="","",'BOULEVARD 5'!G48)</f>
        <v>45650</v>
      </c>
      <c r="M43" s="764">
        <f t="shared" si="2"/>
        <v>0</v>
      </c>
      <c r="N43" s="767">
        <f>IF('B5-Status cobranza'!AM50&lt;0,'B5-Status cobranza'!AM50,0)</f>
        <v>0</v>
      </c>
      <c r="O43" s="777">
        <f>IF('B5-Status cobranza'!AP50&lt;0,'B5-Status cobranza'!AP50,0)</f>
        <v>0</v>
      </c>
      <c r="P43" s="777">
        <f>IF('B5-Status cobranza'!AP50&gt;0,'B5-Status cobranza'!AP50,0)</f>
        <v>0</v>
      </c>
      <c r="Q43" s="767">
        <f>'B5-Status cobranza'!AV50</f>
        <v>0</v>
      </c>
      <c r="R43" s="764">
        <f t="shared" si="4"/>
        <v>1414462.31631225</v>
      </c>
      <c r="S43" s="764">
        <f>IF('B5-Status cobranza'!AL50&lt;0,'B5-Status cobranza'!AL50,0)</f>
        <v>0</v>
      </c>
      <c r="T43" s="764">
        <v>0</v>
      </c>
      <c r="U43" s="778">
        <f t="shared" si="3"/>
        <v>0</v>
      </c>
      <c r="V43" s="764">
        <f>IF('B5-Status cobranza'!AL50&gt;0,'B5-Status cobranza'!AL50,0)</f>
        <v>0</v>
      </c>
    </row>
    <row r="44" spans="1:22" ht="12" customHeight="1" x14ac:dyDescent="0.25">
      <c r="A44" s="763" t="str">
        <f>"Apto"&amp;'BOULEVARD 5'!B49</f>
        <v>Apto313</v>
      </c>
      <c r="B44" s="763">
        <v>1</v>
      </c>
      <c r="C44" s="763" t="str">
        <f>IF('BOULEVARD 5'!A49="","Cliente normal",'BOULEVARD 5'!A49)</f>
        <v>Cliente normal</v>
      </c>
      <c r="D44" s="763" t="str">
        <f>IF('BOULEVARD 5'!E49="","No asignado",'BOULEVARD 5'!E49)</f>
        <v>Antonio Rada</v>
      </c>
      <c r="E44" s="763" t="str">
        <f>IF('BOULEVARD 5'!F49="","No asignado",'BOULEVARD 5'!F49)</f>
        <v>Leslly Franzoli Cortez Avila</v>
      </c>
      <c r="F44" s="764">
        <f>'BOULEVARD 5'!AT49</f>
        <v>108807</v>
      </c>
      <c r="G44" s="763" t="str">
        <f>'BOULEVARD 5'!BB49</f>
        <v>Cliente Atrasado</v>
      </c>
      <c r="H44" s="764">
        <f>'BOULEVARD PPTO'!BC44</f>
        <v>108800</v>
      </c>
      <c r="I44" s="764">
        <f t="shared" si="6"/>
        <v>7</v>
      </c>
      <c r="J44" s="765" t="str">
        <f t="shared" si="1"/>
        <v>Superavit de enganche</v>
      </c>
      <c r="K44" s="764">
        <f>'BOULEVARD 5'!I49</f>
        <v>1087400</v>
      </c>
      <c r="L44" s="766">
        <f>IF('BOULEVARD 5'!G49="","",'BOULEVARD 5'!G49)</f>
        <v>45419</v>
      </c>
      <c r="M44" s="764">
        <f t="shared" si="2"/>
        <v>0</v>
      </c>
      <c r="N44" s="767">
        <f>IF('B5-Status cobranza'!AM51&lt;0,'B5-Status cobranza'!AM51,0)</f>
        <v>0</v>
      </c>
      <c r="O44" s="777">
        <f>IF('B5-Status cobranza'!AP51&lt;0,'B5-Status cobranza'!AP51,0)</f>
        <v>0</v>
      </c>
      <c r="P44" s="777">
        <f>IF('B5-Status cobranza'!AP51&gt;0,'B5-Status cobranza'!AP51,0)</f>
        <v>4253</v>
      </c>
      <c r="Q44" s="767">
        <f>'B5-Status cobranza'!AV51</f>
        <v>4253</v>
      </c>
      <c r="R44" s="764">
        <f t="shared" si="4"/>
        <v>1087400</v>
      </c>
      <c r="S44" s="764">
        <f>IF('B5-Status cobranza'!AL51&lt;0,'B5-Status cobranza'!AL51,0)</f>
        <v>-4253</v>
      </c>
      <c r="T44" s="764">
        <v>0</v>
      </c>
      <c r="U44" s="778">
        <f t="shared" si="3"/>
        <v>0</v>
      </c>
      <c r="V44" s="764">
        <f>IF('B5-Status cobranza'!AL51&gt;0,'B5-Status cobranza'!AL51,0)</f>
        <v>0</v>
      </c>
    </row>
    <row r="45" spans="1:22" ht="12" customHeight="1" x14ac:dyDescent="0.25">
      <c r="A45" s="763" t="str">
        <f>"Apto"&amp;'BOULEVARD 5'!B50</f>
        <v>Apto314</v>
      </c>
      <c r="B45" s="763">
        <v>1</v>
      </c>
      <c r="C45" s="763" t="str">
        <f>IF('BOULEVARD 5'!A50="","Cliente normal",'BOULEVARD 5'!A50)</f>
        <v>Cliente normal</v>
      </c>
      <c r="D45" s="763" t="str">
        <f>IF('BOULEVARD 5'!E50="","No asignado",'BOULEVARD 5'!E50)</f>
        <v>Laura Molina</v>
      </c>
      <c r="E45" s="763" t="str">
        <f>IF('BOULEVARD 5'!F50="","No asignado",'BOULEVARD 5'!F50)</f>
        <v>Arcely Contreras</v>
      </c>
      <c r="F45" s="764">
        <f>'BOULEVARD 5'!AT50</f>
        <v>43874.150000000009</v>
      </c>
      <c r="G45" s="763" t="str">
        <f>'BOULEVARD 5'!BB50</f>
        <v>Cliente al día</v>
      </c>
      <c r="H45" s="764">
        <f>'BOULEVARD PPTO'!BC45</f>
        <v>0</v>
      </c>
      <c r="I45" s="764">
        <f t="shared" si="6"/>
        <v>43874.150000000009</v>
      </c>
      <c r="J45" s="765" t="str">
        <f t="shared" si="1"/>
        <v>Superavit de enganche</v>
      </c>
      <c r="K45" s="764">
        <f>'BOULEVARD 5'!I50</f>
        <v>1037521.78830839</v>
      </c>
      <c r="L45" s="766">
        <f>IF('BOULEVARD 5'!G50="","",'BOULEVARD 5'!G50)</f>
        <v>45880</v>
      </c>
      <c r="M45" s="764">
        <f t="shared" si="2"/>
        <v>0</v>
      </c>
      <c r="N45" s="767">
        <f>IF('B5-Status cobranza'!AM52&lt;0,'B5-Status cobranza'!AM52,0)</f>
        <v>0</v>
      </c>
      <c r="O45" s="777">
        <f>IF('B5-Status cobranza'!AP52&lt;0,'B5-Status cobranza'!AP52,0)</f>
        <v>0</v>
      </c>
      <c r="P45" s="777">
        <f>IF('B5-Status cobranza'!AP52&gt;0,'B5-Status cobranza'!AP52,0)</f>
        <v>23549.660000000003</v>
      </c>
      <c r="Q45" s="767">
        <f>'B5-Status cobranza'!AV52</f>
        <v>6774.83</v>
      </c>
      <c r="R45" s="764">
        <f t="shared" si="4"/>
        <v>1037521.78830839</v>
      </c>
      <c r="S45" s="764">
        <f>IF('B5-Status cobranza'!AL52&lt;0,'B5-Status cobranza'!AL52,0)</f>
        <v>0</v>
      </c>
      <c r="T45" s="764">
        <v>0</v>
      </c>
      <c r="U45" s="778">
        <f t="shared" si="3"/>
        <v>0</v>
      </c>
      <c r="V45" s="764">
        <f>IF('B5-Status cobranza'!AL52&gt;0,'B5-Status cobranza'!AL52,0)</f>
        <v>6774.83</v>
      </c>
    </row>
    <row r="46" spans="1:22" ht="12" customHeight="1" x14ac:dyDescent="0.25">
      <c r="A46" s="763" t="str">
        <f>"Apto"&amp;'BOULEVARD 5'!B51</f>
        <v>Apto315</v>
      </c>
      <c r="B46" s="763">
        <v>1</v>
      </c>
      <c r="C46" s="763" t="str">
        <f>IF('BOULEVARD 5'!A51="","Cliente normal",'BOULEVARD 5'!A51)</f>
        <v>Cliente normal</v>
      </c>
      <c r="D46" s="763" t="str">
        <f>IF('BOULEVARD 5'!E51="","No asignado",'BOULEVARD 5'!E51)</f>
        <v>Sofia Paredes</v>
      </c>
      <c r="E46" s="763" t="str">
        <f>IF('BOULEVARD 5'!F51="","No asignado",'BOULEVARD 5'!F51)</f>
        <v>Lilian America Roldan Ochoa</v>
      </c>
      <c r="F46" s="764">
        <f>'BOULEVARD 5'!AT51</f>
        <v>98024</v>
      </c>
      <c r="G46" s="763" t="str">
        <f>'BOULEVARD 5'!BB51</f>
        <v>Cliente Atrasado</v>
      </c>
      <c r="H46" s="764">
        <f>'BOULEVARD PPTO'!BC46</f>
        <v>154426.98000000001</v>
      </c>
      <c r="I46" s="764">
        <f t="shared" si="6"/>
        <v>-56402.98000000001</v>
      </c>
      <c r="J46" s="765" t="str">
        <f t="shared" si="1"/>
        <v>Enganche por pagar</v>
      </c>
      <c r="K46" s="764">
        <f>'BOULEVARD 5'!I51</f>
        <v>1543626.9723517401</v>
      </c>
      <c r="L46" s="766">
        <f>IF('BOULEVARD 5'!G51="","",'BOULEVARD 5'!G51)</f>
        <v>45752</v>
      </c>
      <c r="M46" s="764">
        <f t="shared" si="2"/>
        <v>0</v>
      </c>
      <c r="N46" s="767">
        <f>IF('B5-Status cobranza'!AM53&lt;0,'B5-Status cobranza'!AM53,0)</f>
        <v>0</v>
      </c>
      <c r="O46" s="777">
        <f>IF('B5-Status cobranza'!AP53&lt;0,'B5-Status cobranza'!AP53,0)</f>
        <v>-636</v>
      </c>
      <c r="P46" s="777">
        <f>IF('B5-Status cobranza'!AP53&gt;0,'B5-Status cobranza'!AP53,0)</f>
        <v>0</v>
      </c>
      <c r="Q46" s="767">
        <f>'B5-Status cobranza'!AV53</f>
        <v>10890</v>
      </c>
      <c r="R46" s="764">
        <f t="shared" si="4"/>
        <v>1543626.9723517401</v>
      </c>
      <c r="S46" s="764">
        <f>IF('B5-Status cobranza'!AL53&lt;0,'B5-Status cobranza'!AL53,0)</f>
        <v>0</v>
      </c>
      <c r="T46" s="764">
        <v>11000</v>
      </c>
      <c r="U46" s="778">
        <f t="shared" si="3"/>
        <v>3.6220018303621614E-2</v>
      </c>
      <c r="V46" s="764">
        <f>IF('B5-Status cobranza'!AL53&gt;0,'B5-Status cobranza'!AL53,0)</f>
        <v>890</v>
      </c>
    </row>
    <row r="47" spans="1:22" ht="12" customHeight="1" x14ac:dyDescent="0.25">
      <c r="A47" s="763" t="str">
        <f>"Apto"&amp;'BOULEVARD 5'!B52</f>
        <v>Apto316</v>
      </c>
      <c r="B47" s="763">
        <v>1</v>
      </c>
      <c r="C47" s="763" t="str">
        <f>IF('BOULEVARD 5'!A52="","Cliente normal",'BOULEVARD 5'!A52)</f>
        <v>Cliente normal</v>
      </c>
      <c r="D47" s="763" t="str">
        <f>IF('BOULEVARD 5'!E52="","No asignado",'BOULEVARD 5'!E52)</f>
        <v>Antonio Rada</v>
      </c>
      <c r="E47" s="763" t="str">
        <f>IF('BOULEVARD 5'!F52="","No asignado",'BOULEVARD 5'!F52)</f>
        <v>Allan Omar Alvarado Vásquez</v>
      </c>
      <c r="F47" s="764">
        <f>'BOULEVARD 5'!AT52</f>
        <v>70905</v>
      </c>
      <c r="G47" s="763" t="str">
        <f>'BOULEVARD 5'!BB52</f>
        <v>Cliente Atrasado</v>
      </c>
      <c r="H47" s="764">
        <f>'BOULEVARD PPTO'!BC47</f>
        <v>70896.44</v>
      </c>
      <c r="I47" s="764">
        <f t="shared" si="6"/>
        <v>8.5599999999976717</v>
      </c>
      <c r="J47" s="765" t="str">
        <f t="shared" si="1"/>
        <v>Superavit de enganche</v>
      </c>
      <c r="K47" s="764">
        <f>'BOULEVARD 5'!I52</f>
        <v>708396.44</v>
      </c>
      <c r="L47" s="766">
        <f>IF('BOULEVARD 5'!G52="","",'BOULEVARD 5'!G52)</f>
        <v>45228</v>
      </c>
      <c r="M47" s="764">
        <f t="shared" si="2"/>
        <v>0</v>
      </c>
      <c r="N47" s="767">
        <f>IF('B5-Status cobranza'!AM54&lt;0,'B5-Status cobranza'!AM54,0)</f>
        <v>0</v>
      </c>
      <c r="O47" s="777">
        <f>IF('B5-Status cobranza'!AP54&lt;0,'B5-Status cobranza'!AP54,0)</f>
        <v>0</v>
      </c>
      <c r="P47" s="777">
        <f>IF('B5-Status cobranza'!AP54&gt;0,'B5-Status cobranza'!AP54,0)</f>
        <v>8.5599999999999454</v>
      </c>
      <c r="Q47" s="767">
        <f>'B5-Status cobranza'!AV54</f>
        <v>2735</v>
      </c>
      <c r="R47" s="764">
        <f t="shared" si="4"/>
        <v>708396.44</v>
      </c>
      <c r="S47" s="764">
        <f>IF('B5-Status cobranza'!AL54&lt;0,'B5-Status cobranza'!AL54,0)</f>
        <v>-2726.44</v>
      </c>
      <c r="T47" s="764">
        <v>2735</v>
      </c>
      <c r="U47" s="778">
        <f t="shared" si="3"/>
        <v>9.0056136418550092E-3</v>
      </c>
      <c r="V47" s="764">
        <f>IF('B5-Status cobranza'!AL54&gt;0,'B5-Status cobranza'!AL54,0)</f>
        <v>0</v>
      </c>
    </row>
    <row r="48" spans="1:22" ht="12" customHeight="1" x14ac:dyDescent="0.25">
      <c r="A48" s="763" t="str">
        <f>"Apto"&amp;'BOULEVARD 5'!B53</f>
        <v>Apto317</v>
      </c>
      <c r="B48" s="763">
        <v>1</v>
      </c>
      <c r="C48" s="763" t="str">
        <f>IF('BOULEVARD 5'!A53="","Cliente normal",'BOULEVARD 5'!A53)</f>
        <v>Cliente normal</v>
      </c>
      <c r="D48" s="763" t="str">
        <f>IF('BOULEVARD 5'!E53="","No asignado",'BOULEVARD 5'!E53)</f>
        <v>Antonio Rada</v>
      </c>
      <c r="E48" s="763" t="str">
        <f>IF('BOULEVARD 5'!F53="","No asignado",'BOULEVARD 5'!F53)</f>
        <v>Antonio Meneses Hernandez</v>
      </c>
      <c r="F48" s="764">
        <f>'BOULEVARD 5'!AT53</f>
        <v>75218.5</v>
      </c>
      <c r="G48" s="763" t="str">
        <f>'BOULEVARD 5'!BB53</f>
        <v>Cliente Atrasado</v>
      </c>
      <c r="H48" s="764">
        <f>'BOULEVARD PPTO'!BC48</f>
        <v>72187.5</v>
      </c>
      <c r="I48" s="764">
        <f t="shared" si="6"/>
        <v>3031</v>
      </c>
      <c r="J48" s="765" t="str">
        <f t="shared" si="1"/>
        <v>Superavit de enganche</v>
      </c>
      <c r="K48" s="764">
        <f>'BOULEVARD 5'!I53</f>
        <v>721087.5</v>
      </c>
      <c r="L48" s="766">
        <f>IF('BOULEVARD 5'!G53="","",'BOULEVARD 5'!G53)</f>
        <v>45258</v>
      </c>
      <c r="M48" s="764">
        <f t="shared" si="2"/>
        <v>0</v>
      </c>
      <c r="N48" s="767">
        <f>IF('B5-Status cobranza'!AM55&lt;0,'B5-Status cobranza'!AM55,0)</f>
        <v>0</v>
      </c>
      <c r="O48" s="777">
        <f>IF('B5-Status cobranza'!AP55&lt;0,'B5-Status cobranza'!AP55,0)</f>
        <v>0</v>
      </c>
      <c r="P48" s="777">
        <f>IF('B5-Status cobranza'!AP55&gt;0,'B5-Status cobranza'!AP55,0)</f>
        <v>3031</v>
      </c>
      <c r="Q48" s="767">
        <f>'B5-Status cobranza'!AV55</f>
        <v>3031</v>
      </c>
      <c r="R48" s="764">
        <f t="shared" si="4"/>
        <v>721087.5</v>
      </c>
      <c r="S48" s="764">
        <f>IF('B5-Status cobranza'!AL55&lt;0,'B5-Status cobranza'!AL55,0)</f>
        <v>0</v>
      </c>
      <c r="T48" s="764">
        <v>0</v>
      </c>
      <c r="U48" s="778">
        <f t="shared" si="3"/>
        <v>0</v>
      </c>
      <c r="V48" s="764">
        <f>IF('B5-Status cobranza'!AL55&gt;0,'B5-Status cobranza'!AL55,0)</f>
        <v>0</v>
      </c>
    </row>
    <row r="49" spans="1:22" ht="12" customHeight="1" x14ac:dyDescent="0.25">
      <c r="A49" s="763" t="str">
        <f>"Apto"&amp;'BOULEVARD 5'!B54</f>
        <v>Apto318</v>
      </c>
      <c r="B49" s="763">
        <v>1</v>
      </c>
      <c r="C49" s="763" t="str">
        <f>IF('BOULEVARD 5'!A54="","Cliente normal",'BOULEVARD 5'!A54)</f>
        <v>Cliente normal</v>
      </c>
      <c r="D49" s="763" t="str">
        <f>IF('BOULEVARD 5'!E54="","No asignado",'BOULEVARD 5'!E54)</f>
        <v>Antonio Rada</v>
      </c>
      <c r="E49" s="763" t="str">
        <f>IF('BOULEVARD 5'!F54="","No asignado",'BOULEVARD 5'!F54)</f>
        <v>Jose Reynaldo Linares</v>
      </c>
      <c r="F49" s="764">
        <f>'BOULEVARD 5'!AT54</f>
        <v>72072.5</v>
      </c>
      <c r="G49" s="763" t="str">
        <f>'BOULEVARD 5'!BB54</f>
        <v>Cliente Atrasado</v>
      </c>
      <c r="H49" s="764">
        <f>'BOULEVARD PPTO'!BC49</f>
        <v>72072.5</v>
      </c>
      <c r="I49" s="764">
        <f t="shared" si="6"/>
        <v>0</v>
      </c>
      <c r="J49" s="765" t="str">
        <f t="shared" si="1"/>
        <v>Enganche por pagar</v>
      </c>
      <c r="K49" s="764">
        <f>'BOULEVARD 5'!I54</f>
        <v>720472.5</v>
      </c>
      <c r="L49" s="766">
        <f>IF('BOULEVARD 5'!G54="","",'BOULEVARD 5'!G54)</f>
        <v>45242</v>
      </c>
      <c r="M49" s="764">
        <f t="shared" si="2"/>
        <v>0</v>
      </c>
      <c r="N49" s="767">
        <f>IF('B5-Status cobranza'!AM56&lt;0,'B5-Status cobranza'!AM56,0)</f>
        <v>0</v>
      </c>
      <c r="O49" s="777">
        <f>IF('B5-Status cobranza'!AP56&lt;0,'B5-Status cobranza'!AP56,0)</f>
        <v>0</v>
      </c>
      <c r="P49" s="777">
        <f>IF('B5-Status cobranza'!AP56&gt;0,'B5-Status cobranza'!AP56,0)</f>
        <v>0</v>
      </c>
      <c r="Q49" s="767">
        <f>'B5-Status cobranza'!AV56</f>
        <v>0</v>
      </c>
      <c r="R49" s="764">
        <f t="shared" si="4"/>
        <v>720472.5</v>
      </c>
      <c r="S49" s="764">
        <f>IF('B5-Status cobranza'!AL56&lt;0,'B5-Status cobranza'!AL56,0)</f>
        <v>0</v>
      </c>
      <c r="T49" s="764">
        <v>0</v>
      </c>
      <c r="U49" s="778">
        <f t="shared" si="3"/>
        <v>0</v>
      </c>
      <c r="V49" s="764">
        <f>IF('B5-Status cobranza'!AL56&gt;0,'B5-Status cobranza'!AL56,0)</f>
        <v>0</v>
      </c>
    </row>
    <row r="50" spans="1:22" ht="12" customHeight="1" x14ac:dyDescent="0.25">
      <c r="A50" s="763" t="str">
        <f>"Apto"&amp;'BOULEVARD 5'!B55</f>
        <v>Apto319</v>
      </c>
      <c r="B50" s="763">
        <v>1</v>
      </c>
      <c r="C50" s="763" t="str">
        <f>IF('BOULEVARD 5'!A55="","Cliente normal",'BOULEVARD 5'!A55)</f>
        <v>Cliente normal</v>
      </c>
      <c r="D50" s="763" t="str">
        <f>IF('BOULEVARD 5'!E55="","No asignado",'BOULEVARD 5'!E55)</f>
        <v>Antonio Rada</v>
      </c>
      <c r="E50" s="763" t="str">
        <f>IF('BOULEVARD 5'!F55="","No asignado",'BOULEVARD 5'!F55)</f>
        <v>Aaron Fabrizio Tello Merida</v>
      </c>
      <c r="F50" s="764">
        <f>'BOULEVARD 5'!AT55</f>
        <v>193000</v>
      </c>
      <c r="G50" s="763" t="str">
        <f>'BOULEVARD 5'!BB55</f>
        <v>Superávit de Enganche</v>
      </c>
      <c r="H50" s="764">
        <f>'BOULEVARD PPTO'!BC50</f>
        <v>96600</v>
      </c>
      <c r="I50" s="764">
        <f t="shared" si="6"/>
        <v>96400</v>
      </c>
      <c r="J50" s="765" t="str">
        <f t="shared" si="1"/>
        <v>Superavit de enganche</v>
      </c>
      <c r="K50" s="764">
        <f>'BOULEVARD 5'!I55</f>
        <v>965900</v>
      </c>
      <c r="L50" s="766">
        <f>IF('BOULEVARD 5'!G55="","",'BOULEVARD 5'!G55)</f>
        <v>45340</v>
      </c>
      <c r="M50" s="764">
        <f t="shared" si="2"/>
        <v>0</v>
      </c>
      <c r="N50" s="767">
        <f>IF('B5-Status cobranza'!AM57&lt;0,'B5-Status cobranza'!AM57,0)</f>
        <v>0</v>
      </c>
      <c r="O50" s="777">
        <f>IF('B5-Status cobranza'!AP57&lt;0,'B5-Status cobranza'!AP57,0)</f>
        <v>0</v>
      </c>
      <c r="P50" s="777">
        <f>IF('B5-Status cobranza'!AP57&gt;0,'B5-Status cobranza'!AP57,0)</f>
        <v>68400</v>
      </c>
      <c r="Q50" s="767">
        <f>'B5-Status cobranza'!AV57</f>
        <v>7000</v>
      </c>
      <c r="R50" s="764">
        <f t="shared" si="4"/>
        <v>965900</v>
      </c>
      <c r="S50" s="764">
        <f>IF('B5-Status cobranza'!AL57&lt;0,'B5-Status cobranza'!AL57,0)</f>
        <v>0</v>
      </c>
      <c r="T50" s="764">
        <v>0</v>
      </c>
      <c r="U50" s="778">
        <f t="shared" si="3"/>
        <v>0</v>
      </c>
      <c r="V50" s="764">
        <f>IF('B5-Status cobranza'!AL57&gt;0,'B5-Status cobranza'!AL57,0)</f>
        <v>2334</v>
      </c>
    </row>
    <row r="51" spans="1:22" ht="12" customHeight="1" x14ac:dyDescent="0.25">
      <c r="A51" s="763" t="str">
        <f>"Apto"&amp;'BOULEVARD 5'!B56</f>
        <v>Apto320</v>
      </c>
      <c r="B51" s="763">
        <v>1</v>
      </c>
      <c r="C51" s="763" t="str">
        <f>IF('BOULEVARD 5'!A56="","Cliente normal",'BOULEVARD 5'!A56)</f>
        <v>Cliente normal</v>
      </c>
      <c r="D51" s="763" t="str">
        <f>IF('BOULEVARD 5'!E56="","No asignado",'BOULEVARD 5'!E56)</f>
        <v>Antonio Rada</v>
      </c>
      <c r="E51" s="763" t="str">
        <f>IF('BOULEVARD 5'!F56="","No asignado",'BOULEVARD 5'!F56)</f>
        <v>Santiago Taracena Puga</v>
      </c>
      <c r="F51" s="764">
        <f>'BOULEVARD 5'!AT56</f>
        <v>98100</v>
      </c>
      <c r="G51" s="763" t="str">
        <f>'BOULEVARD 5'!BB56</f>
        <v>Cliente Atrasado</v>
      </c>
      <c r="H51" s="764">
        <f>'BOULEVARD PPTO'!BC51</f>
        <v>98100</v>
      </c>
      <c r="I51" s="764">
        <f t="shared" si="6"/>
        <v>0</v>
      </c>
      <c r="J51" s="765" t="str">
        <f t="shared" si="1"/>
        <v>Enganche por pagar</v>
      </c>
      <c r="K51" s="764">
        <f>'BOULEVARD 5'!I56</f>
        <v>980700</v>
      </c>
      <c r="L51" s="766">
        <f>IF('BOULEVARD 5'!G56="","",'BOULEVARD 5'!G56)</f>
        <v>45150</v>
      </c>
      <c r="M51" s="764">
        <f t="shared" si="2"/>
        <v>0</v>
      </c>
      <c r="N51" s="767">
        <f>IF('B5-Status cobranza'!AM58&lt;0,'B5-Status cobranza'!AM58,0)</f>
        <v>0</v>
      </c>
      <c r="O51" s="777">
        <f>IF('B5-Status cobranza'!AP58&lt;0,'B5-Status cobranza'!AP58,0)</f>
        <v>0</v>
      </c>
      <c r="P51" s="777">
        <f>IF('B5-Status cobranza'!AP58&gt;0,'B5-Status cobranza'!AP58,0)</f>
        <v>0</v>
      </c>
      <c r="Q51" s="767">
        <f>'B5-Status cobranza'!AV58</f>
        <v>0</v>
      </c>
      <c r="R51" s="764">
        <f t="shared" si="4"/>
        <v>980700</v>
      </c>
      <c r="S51" s="764">
        <f>IF('B5-Status cobranza'!AL58&lt;0,'B5-Status cobranza'!AL58,0)</f>
        <v>0</v>
      </c>
      <c r="T51" s="764">
        <v>0</v>
      </c>
      <c r="U51" s="778">
        <f t="shared" si="3"/>
        <v>0</v>
      </c>
      <c r="V51" s="764">
        <f>IF('B5-Status cobranza'!AL58&gt;0,'B5-Status cobranza'!AL58,0)</f>
        <v>0</v>
      </c>
    </row>
    <row r="52" spans="1:22" ht="12" customHeight="1" x14ac:dyDescent="0.25">
      <c r="A52" s="763" t="str">
        <f>"Apto"&amp;'BOULEVARD 5'!B57</f>
        <v>Apto401</v>
      </c>
      <c r="B52" s="763">
        <v>1</v>
      </c>
      <c r="C52" s="763" t="str">
        <f>IF('BOULEVARD 5'!A57="","Cliente normal",'BOULEVARD 5'!A57)</f>
        <v>Cliente normal</v>
      </c>
      <c r="D52" s="763" t="str">
        <f>IF('BOULEVARD 5'!E57="","No asignado",'BOULEVARD 5'!E57)</f>
        <v>Antonio Rada</v>
      </c>
      <c r="E52" s="763" t="str">
        <f>IF('BOULEVARD 5'!F57="","No asignado",'BOULEVARD 5'!F57)</f>
        <v>Sara Veronica Ortíz De León</v>
      </c>
      <c r="F52" s="764">
        <f>'BOULEVARD 5'!AT57</f>
        <v>120770</v>
      </c>
      <c r="G52" s="763" t="str">
        <f>'BOULEVARD 5'!BB57</f>
        <v>Cliente Atrasado</v>
      </c>
      <c r="H52" s="764">
        <f>'BOULEVARD PPTO'!BC52</f>
        <v>115400</v>
      </c>
      <c r="I52" s="764">
        <f t="shared" si="6"/>
        <v>5370</v>
      </c>
      <c r="J52" s="765" t="str">
        <f t="shared" si="1"/>
        <v>Superavit de enganche</v>
      </c>
      <c r="K52" s="764">
        <f>'BOULEVARD 5'!I57</f>
        <v>1153800</v>
      </c>
      <c r="L52" s="766">
        <f>IF('BOULEVARD 5'!G57="","",'BOULEVARD 5'!G57)</f>
        <v>45320</v>
      </c>
      <c r="M52" s="764">
        <f t="shared" si="2"/>
        <v>0</v>
      </c>
      <c r="N52" s="767">
        <f>IF('B5-Status cobranza'!AM59&lt;0,'B5-Status cobranza'!AM59,0)</f>
        <v>0</v>
      </c>
      <c r="O52" s="777">
        <f>IF('B5-Status cobranza'!AP59&lt;0,'B5-Status cobranza'!AP59,0)</f>
        <v>0</v>
      </c>
      <c r="P52" s="777">
        <f>IF('B5-Status cobranza'!AP59&gt;0,'B5-Status cobranza'!AP59,0)</f>
        <v>5370</v>
      </c>
      <c r="Q52" s="767">
        <f>'B5-Status cobranza'!AV59</f>
        <v>5370</v>
      </c>
      <c r="R52" s="764">
        <f t="shared" si="4"/>
        <v>1153800</v>
      </c>
      <c r="S52" s="764">
        <f>IF('B5-Status cobranza'!AL59&lt;0,'B5-Status cobranza'!AL59,0)</f>
        <v>0</v>
      </c>
      <c r="T52" s="764">
        <v>0</v>
      </c>
      <c r="U52" s="778">
        <f t="shared" si="3"/>
        <v>0</v>
      </c>
      <c r="V52" s="764">
        <f>IF('B5-Status cobranza'!AL59&gt;0,'B5-Status cobranza'!AL59,0)</f>
        <v>0</v>
      </c>
    </row>
    <row r="53" spans="1:22" ht="12" customHeight="1" x14ac:dyDescent="0.25">
      <c r="A53" s="763" t="str">
        <f>"Apto"&amp;'BOULEVARD 5'!B58</f>
        <v>Apto402</v>
      </c>
      <c r="B53" s="763">
        <v>1</v>
      </c>
      <c r="C53" s="763" t="str">
        <f>IF('BOULEVARD 5'!A58="","Cliente normal",'BOULEVARD 5'!A58)</f>
        <v>Cliente normal</v>
      </c>
      <c r="D53" s="763" t="str">
        <f>IF('BOULEVARD 5'!E58="","No asignado",'BOULEVARD 5'!E58)</f>
        <v>Antonio Rada</v>
      </c>
      <c r="E53" s="763" t="str">
        <f>IF('BOULEVARD 5'!F58="","No asignado",'BOULEVARD 5'!F58)</f>
        <v>Guillermo Vinicio Cotto Mux</v>
      </c>
      <c r="F53" s="764">
        <f>'BOULEVARD 5'!AT58</f>
        <v>115171.45</v>
      </c>
      <c r="G53" s="763" t="str">
        <f>'BOULEVARD 5'!BB58</f>
        <v>Cliente Atrasado</v>
      </c>
      <c r="H53" s="764">
        <f>'BOULEVARD PPTO'!BC53</f>
        <v>115171.45</v>
      </c>
      <c r="I53" s="764">
        <f t="shared" si="6"/>
        <v>0</v>
      </c>
      <c r="J53" s="765" t="str">
        <f t="shared" si="1"/>
        <v>Enganche por pagar</v>
      </c>
      <c r="K53" s="764">
        <f>'BOULEVARD 5'!I58</f>
        <v>1151071.45</v>
      </c>
      <c r="L53" s="766">
        <f>IF('BOULEVARD 5'!G58="","",'BOULEVARD 5'!G58)</f>
        <v>45263</v>
      </c>
      <c r="M53" s="764">
        <f t="shared" si="2"/>
        <v>0</v>
      </c>
      <c r="N53" s="767">
        <f>IF('B5-Status cobranza'!AM60&lt;0,'B5-Status cobranza'!AM60,0)</f>
        <v>0</v>
      </c>
      <c r="O53" s="777">
        <f>IF('B5-Status cobranza'!AP60&lt;0,'B5-Status cobranza'!AP60,0)</f>
        <v>0</v>
      </c>
      <c r="P53" s="777">
        <f>IF('B5-Status cobranza'!AP60&gt;0,'B5-Status cobranza'!AP60,0)</f>
        <v>0</v>
      </c>
      <c r="Q53" s="767">
        <f>'B5-Status cobranza'!AV60</f>
        <v>0</v>
      </c>
      <c r="R53" s="764">
        <f t="shared" si="4"/>
        <v>1151071.45</v>
      </c>
      <c r="S53" s="764">
        <f>IF('B5-Status cobranza'!AL60&lt;0,'B5-Status cobranza'!AL60,0)</f>
        <v>0</v>
      </c>
      <c r="T53" s="764">
        <v>0</v>
      </c>
      <c r="U53" s="778">
        <f t="shared" si="3"/>
        <v>0</v>
      </c>
      <c r="V53" s="764">
        <f>IF('B5-Status cobranza'!AL60&gt;0,'B5-Status cobranza'!AL60,0)</f>
        <v>0</v>
      </c>
    </row>
    <row r="54" spans="1:22" ht="12" customHeight="1" x14ac:dyDescent="0.25">
      <c r="A54" s="763" t="str">
        <f>"Apto"&amp;'BOULEVARD 5'!B59</f>
        <v>Apto403</v>
      </c>
      <c r="B54" s="763">
        <v>1</v>
      </c>
      <c r="C54" s="763" t="str">
        <f>IF('BOULEVARD 5'!A59="","Cliente normal",'BOULEVARD 5'!A59)</f>
        <v>Cliente normal</v>
      </c>
      <c r="D54" s="763" t="str">
        <f>IF('BOULEVARD 5'!E59="","No asignado",'BOULEVARD 5'!E59)</f>
        <v>Antonio Rada</v>
      </c>
      <c r="E54" s="763" t="str">
        <f>IF('BOULEVARD 5'!F59="","No asignado",'BOULEVARD 5'!F59)</f>
        <v>Denis Estuardo Mazariegos Fuentes</v>
      </c>
      <c r="F54" s="764">
        <f>'BOULEVARD 5'!AT59</f>
        <v>62320</v>
      </c>
      <c r="G54" s="763" t="str">
        <f>'BOULEVARD 5'!BB59</f>
        <v>Cliente Atrasado</v>
      </c>
      <c r="H54" s="764">
        <f>'BOULEVARD PPTO'!BC54</f>
        <v>70000</v>
      </c>
      <c r="I54" s="764">
        <f t="shared" si="6"/>
        <v>-7680</v>
      </c>
      <c r="J54" s="765" t="str">
        <f t="shared" si="1"/>
        <v>Enganche por pagar</v>
      </c>
      <c r="K54" s="764">
        <f>'BOULEVARD 5'!I59</f>
        <v>699700</v>
      </c>
      <c r="L54" s="766">
        <f>IF('BOULEVARD 5'!G59="","",'BOULEVARD 5'!G59)</f>
        <v>45158</v>
      </c>
      <c r="M54" s="764">
        <f t="shared" si="2"/>
        <v>0</v>
      </c>
      <c r="N54" s="767">
        <f>IF('B5-Status cobranza'!AM61&lt;0,'B5-Status cobranza'!AM61,0)</f>
        <v>0</v>
      </c>
      <c r="O54" s="777">
        <f>IF('B5-Status cobranza'!AP61&lt;0,'B5-Status cobranza'!AP61,0)</f>
        <v>-7680</v>
      </c>
      <c r="P54" s="777">
        <f>IF('B5-Status cobranza'!AP61&gt;0,'B5-Status cobranza'!AP61,0)</f>
        <v>0</v>
      </c>
      <c r="Q54" s="767">
        <f>'B5-Status cobranza'!AV61</f>
        <v>0</v>
      </c>
      <c r="R54" s="764">
        <f t="shared" si="4"/>
        <v>699700</v>
      </c>
      <c r="S54" s="764">
        <f>IF('B5-Status cobranza'!AL61&lt;0,'B5-Status cobranza'!AL61,0)</f>
        <v>-2560</v>
      </c>
      <c r="T54" s="764">
        <v>0</v>
      </c>
      <c r="U54" s="778">
        <f t="shared" si="3"/>
        <v>0</v>
      </c>
      <c r="V54" s="764">
        <f>IF('B5-Status cobranza'!AL61&gt;0,'B5-Status cobranza'!AL61,0)</f>
        <v>0</v>
      </c>
    </row>
    <row r="55" spans="1:22" ht="12" customHeight="1" x14ac:dyDescent="0.25">
      <c r="A55" s="763" t="str">
        <f>"Apto"&amp;'BOULEVARD 5'!B60</f>
        <v>Apto404</v>
      </c>
      <c r="B55" s="763">
        <v>1</v>
      </c>
      <c r="C55" s="763" t="str">
        <f>IF('BOULEVARD 5'!A60="","Cliente normal",'BOULEVARD 5'!A60)</f>
        <v>Cliente normal</v>
      </c>
      <c r="D55" s="763" t="str">
        <f>IF('BOULEVARD 5'!E60="","No asignado",'BOULEVARD 5'!E60)</f>
        <v>Brenda Búcaro</v>
      </c>
      <c r="E55" s="763" t="str">
        <f>IF('BOULEVARD 5'!F60="","No asignado",'BOULEVARD 5'!F60)</f>
        <v>Gerson Andre Villatoro Urizar</v>
      </c>
      <c r="F55" s="764">
        <f>'BOULEVARD 5'!AT60</f>
        <v>95200</v>
      </c>
      <c r="G55" s="763" t="str">
        <f>'BOULEVARD 5'!BB60</f>
        <v>Superávit de Enganche</v>
      </c>
      <c r="H55" s="764">
        <f>'BOULEVARD PPTO'!BC55</f>
        <v>72200</v>
      </c>
      <c r="I55" s="764">
        <f t="shared" si="6"/>
        <v>23000</v>
      </c>
      <c r="J55" s="765" t="str">
        <f t="shared" si="1"/>
        <v>Superavit de enganche</v>
      </c>
      <c r="K55" s="764">
        <f>'BOULEVARD 5'!I60</f>
        <v>721100</v>
      </c>
      <c r="L55" s="766">
        <f>IF('BOULEVARD 5'!G60="","",'BOULEVARD 5'!G60)</f>
        <v>45230</v>
      </c>
      <c r="M55" s="764">
        <f t="shared" si="2"/>
        <v>0</v>
      </c>
      <c r="N55" s="767">
        <f>IF('B5-Status cobranza'!AM62&lt;0,'B5-Status cobranza'!AM62,0)</f>
        <v>0</v>
      </c>
      <c r="O55" s="777">
        <f>IF('B5-Status cobranza'!AP62&lt;0,'B5-Status cobranza'!AP62,0)</f>
        <v>0</v>
      </c>
      <c r="P55" s="777">
        <f>IF('B5-Status cobranza'!AP62&gt;0,'B5-Status cobranza'!AP62,0)</f>
        <v>0</v>
      </c>
      <c r="Q55" s="767">
        <f>'B5-Status cobranza'!AV62</f>
        <v>0</v>
      </c>
      <c r="R55" s="764">
        <f t="shared" si="4"/>
        <v>721100</v>
      </c>
      <c r="S55" s="764">
        <f>IF('B5-Status cobranza'!AL62&lt;0,'B5-Status cobranza'!AL62,0)</f>
        <v>0</v>
      </c>
      <c r="T55" s="764">
        <v>0</v>
      </c>
      <c r="U55" s="778">
        <f t="shared" si="3"/>
        <v>0</v>
      </c>
      <c r="V55" s="764">
        <f>IF('B5-Status cobranza'!AL62&gt;0,'B5-Status cobranza'!AL62,0)</f>
        <v>2791</v>
      </c>
    </row>
    <row r="56" spans="1:22" ht="12" customHeight="1" x14ac:dyDescent="0.25">
      <c r="A56" s="763" t="str">
        <f>"Apto"&amp;'BOULEVARD 5'!B61</f>
        <v>Apto405</v>
      </c>
      <c r="B56" s="763">
        <v>1</v>
      </c>
      <c r="C56" s="763" t="str">
        <f>G56</f>
        <v>Cliente al día</v>
      </c>
      <c r="D56" s="763" t="str">
        <f>IF('BOULEVARD 5'!E61="","No asignado",'BOULEVARD 5'!E61)</f>
        <v>No asignado</v>
      </c>
      <c r="E56" s="763" t="str">
        <f>IF('BOULEVARD 5'!F61="","No asignado",'BOULEVARD 5'!F61)</f>
        <v>Mario Saul Aragón Zepeda</v>
      </c>
      <c r="F56" s="764">
        <f>'BOULEVARD 5'!AT61</f>
        <v>10000</v>
      </c>
      <c r="G56" s="763" t="str">
        <f>'BOULEVARD 5'!BB61</f>
        <v>Cliente al día</v>
      </c>
      <c r="H56" s="764">
        <f>'BOULEVARD PPTO'!BC56</f>
        <v>0</v>
      </c>
      <c r="I56" s="764">
        <f t="shared" si="6"/>
        <v>10000</v>
      </c>
      <c r="J56" s="765" t="str">
        <f t="shared" si="1"/>
        <v>Superavit de enganche</v>
      </c>
      <c r="K56" s="764">
        <f>'BOULEVARD 5'!I61</f>
        <v>1115500</v>
      </c>
      <c r="L56" s="766">
        <f>IF('BOULEVARD 5'!G61="","",'BOULEVARD 5'!G61)</f>
        <v>45995</v>
      </c>
      <c r="M56" s="764">
        <f t="shared" si="2"/>
        <v>0</v>
      </c>
      <c r="N56" s="767">
        <f>IF('B5-Status cobranza'!AM63&lt;0,'B5-Status cobranza'!AM63,0)</f>
        <v>0</v>
      </c>
      <c r="O56" s="777">
        <f>IF('B5-Status cobranza'!AP63&lt;0,'B5-Status cobranza'!AP63,0)</f>
        <v>0</v>
      </c>
      <c r="P56" s="777">
        <f>IF('B5-Status cobranza'!AP63&gt;0,'B5-Status cobranza'!AP63,0)</f>
        <v>0</v>
      </c>
      <c r="Q56" s="767">
        <f>'B5-Status cobranza'!AV63</f>
        <v>0</v>
      </c>
      <c r="R56" s="764">
        <f t="shared" si="4"/>
        <v>1115500</v>
      </c>
      <c r="S56" s="764">
        <f>IF('B5-Status cobranza'!AL63&lt;0,'B5-Status cobranza'!AL63,0)</f>
        <v>0</v>
      </c>
      <c r="T56" s="764">
        <v>0</v>
      </c>
      <c r="U56" s="778">
        <f t="shared" si="3"/>
        <v>0</v>
      </c>
      <c r="V56" s="764">
        <f>IF('B5-Status cobranza'!AL63&gt;0,'B5-Status cobranza'!AL63,0)</f>
        <v>0</v>
      </c>
    </row>
    <row r="57" spans="1:22" ht="12" customHeight="1" x14ac:dyDescent="0.25">
      <c r="A57" s="763" t="str">
        <f>"Apto"&amp;'BOULEVARD 5'!B62</f>
        <v>Apto406</v>
      </c>
      <c r="B57" s="763">
        <v>1</v>
      </c>
      <c r="C57" s="763" t="str">
        <f>IF('BOULEVARD 5'!A62="","Cliente normal",'BOULEVARD 5'!A62)</f>
        <v>Cliente normal</v>
      </c>
      <c r="D57" s="768" t="s">
        <v>366</v>
      </c>
      <c r="E57" s="763" t="str">
        <f>IF('BOULEVARD 5'!F62="","No asignado",'BOULEVARD 5'!F62)</f>
        <v xml:space="preserve">Andrea Joanna Hidalgo Mendizábal </v>
      </c>
      <c r="F57" s="764">
        <f>'BOULEVARD 5'!AT62</f>
        <v>76936</v>
      </c>
      <c r="G57" s="763" t="str">
        <f>'BOULEVARD 5'!BB62</f>
        <v>Cliente Atrasado</v>
      </c>
      <c r="H57" s="764">
        <f>'BOULEVARD PPTO'!BC57</f>
        <v>110452</v>
      </c>
      <c r="I57" s="764">
        <f t="shared" si="6"/>
        <v>-33516</v>
      </c>
      <c r="J57" s="765" t="str">
        <f t="shared" si="1"/>
        <v>Enganche por pagar</v>
      </c>
      <c r="K57" s="764">
        <f>'BOULEVARD 5'!I62</f>
        <v>1104047.5824877301</v>
      </c>
      <c r="L57" s="766">
        <f>IF('BOULEVARD 5'!G62="","",'BOULEVARD 5'!G62)</f>
        <v>45800</v>
      </c>
      <c r="M57" s="764">
        <f t="shared" si="2"/>
        <v>0</v>
      </c>
      <c r="N57" s="767">
        <f>IF('B5-Status cobranza'!AM64&lt;0,'B5-Status cobranza'!AM64,0)</f>
        <v>-4</v>
      </c>
      <c r="O57" s="777">
        <f>IF('B5-Status cobranza'!AP64&lt;0,'B5-Status cobranza'!AP64,0)</f>
        <v>-20</v>
      </c>
      <c r="P57" s="777">
        <f>IF('B5-Status cobranza'!AP64&gt;0,'B5-Status cobranza'!AP64,0)</f>
        <v>0</v>
      </c>
      <c r="Q57" s="767">
        <f>'B5-Status cobranza'!AV64</f>
        <v>0</v>
      </c>
      <c r="R57" s="764">
        <f t="shared" si="4"/>
        <v>1104047.5824877301</v>
      </c>
      <c r="S57" s="764">
        <f>IF('B5-Status cobranza'!AL64&lt;0,'B5-Status cobranza'!AL64,0)</f>
        <v>-8371</v>
      </c>
      <c r="T57" s="764">
        <v>0</v>
      </c>
      <c r="U57" s="778">
        <f t="shared" si="3"/>
        <v>0</v>
      </c>
      <c r="V57" s="764">
        <f>IF('B5-Status cobranza'!AL64&gt;0,'B5-Status cobranza'!AL64,0)</f>
        <v>0</v>
      </c>
    </row>
    <row r="58" spans="1:22" ht="12" customHeight="1" x14ac:dyDescent="0.25">
      <c r="A58" s="763" t="str">
        <f>"Apto"&amp;'BOULEVARD 5'!B63</f>
        <v>Apto407</v>
      </c>
      <c r="B58" s="763">
        <v>1</v>
      </c>
      <c r="C58" s="763" t="str">
        <f>IF('BOULEVARD 5'!A63="","Cliente normal",'BOULEVARD 5'!A63)</f>
        <v>Cliente normal</v>
      </c>
      <c r="D58" s="768" t="s">
        <v>403</v>
      </c>
      <c r="E58" s="763" t="str">
        <f>IF('BOULEVARD 5'!F63="","No asignado",'BOULEVARD 5'!F63)</f>
        <v>Alberto Antonio Arrecis Rosales</v>
      </c>
      <c r="F58" s="764">
        <f>'BOULEVARD 5'!AT63</f>
        <v>45207.350000000006</v>
      </c>
      <c r="G58" s="763" t="str">
        <f>'BOULEVARD 5'!BB63</f>
        <v>Cliente al día</v>
      </c>
      <c r="H58" s="764">
        <f>'BOULEVARD PPTO'!BC58</f>
        <v>0</v>
      </c>
      <c r="I58" s="764">
        <f t="shared" si="6"/>
        <v>45207.350000000006</v>
      </c>
      <c r="J58" s="765" t="str">
        <f t="shared" si="1"/>
        <v>Superavit de enganche</v>
      </c>
      <c r="K58" s="764">
        <f>'BOULEVARD 5'!I63</f>
        <v>1056462.34833836</v>
      </c>
      <c r="L58" s="766">
        <f>IF('BOULEVARD 5'!G63="","",'BOULEVARD 5'!G63)</f>
        <v>45883</v>
      </c>
      <c r="M58" s="764">
        <f t="shared" si="2"/>
        <v>0</v>
      </c>
      <c r="N58" s="767">
        <f>IF('B5-Status cobranza'!AM65&lt;0,'B5-Status cobranza'!AM65,0)</f>
        <v>0</v>
      </c>
      <c r="O58" s="777">
        <f>IF('B5-Status cobranza'!AP65&lt;0,'B5-Status cobranza'!AP65,0)</f>
        <v>0</v>
      </c>
      <c r="P58" s="777">
        <f>IF('B5-Status cobranza'!AP65&gt;0,'B5-Status cobranza'!AP65,0)</f>
        <v>24082.940000000002</v>
      </c>
      <c r="Q58" s="767">
        <f>'B5-Status cobranza'!AV65</f>
        <v>7041.47</v>
      </c>
      <c r="R58" s="764">
        <f t="shared" si="4"/>
        <v>1056462.34833836</v>
      </c>
      <c r="S58" s="764">
        <f>IF('B5-Status cobranza'!AL65&lt;0,'B5-Status cobranza'!AL65,0)</f>
        <v>0</v>
      </c>
      <c r="T58" s="764">
        <v>0</v>
      </c>
      <c r="U58" s="778">
        <f t="shared" si="3"/>
        <v>0</v>
      </c>
      <c r="V58" s="764">
        <f>IF('B5-Status cobranza'!AL65&gt;0,'B5-Status cobranza'!AL65,0)</f>
        <v>7041.47</v>
      </c>
    </row>
    <row r="59" spans="1:22" ht="12" customHeight="1" x14ac:dyDescent="0.25">
      <c r="A59" s="763" t="str">
        <f>"Apto"&amp;'BOULEVARD 5'!B64</f>
        <v>Apto408</v>
      </c>
      <c r="B59" s="763">
        <v>1</v>
      </c>
      <c r="C59" s="763" t="str">
        <f>IF('BOULEVARD 5'!A64="","Cliente normal",'BOULEVARD 5'!A64)</f>
        <v>Cliente normal</v>
      </c>
      <c r="D59" s="763" t="str">
        <f>IF('BOULEVARD 5'!E64="","No asignado",'BOULEVARD 5'!E64)</f>
        <v>Antonio Rada</v>
      </c>
      <c r="E59" s="763" t="str">
        <f>IF('BOULEVARD 5'!F64="","No asignado",'BOULEVARD 5'!F64)</f>
        <v>Maria Gabriela Chang Quan De Garcia</v>
      </c>
      <c r="F59" s="764">
        <f>'BOULEVARD 5'!AT64</f>
        <v>58000</v>
      </c>
      <c r="G59" s="763" t="str">
        <f>'BOULEVARD 5'!BB64</f>
        <v>Cliente Atrasado</v>
      </c>
      <c r="H59" s="764">
        <f>'BOULEVARD PPTO'!BC59</f>
        <v>126112</v>
      </c>
      <c r="I59" s="764">
        <f t="shared" si="6"/>
        <v>-68112</v>
      </c>
      <c r="J59" s="765" t="str">
        <f t="shared" si="1"/>
        <v>Enganche por pagar</v>
      </c>
      <c r="K59" s="764">
        <f>'BOULEVARD 5'!I64</f>
        <v>883300</v>
      </c>
      <c r="L59" s="766">
        <f>IF('BOULEVARD 5'!G64="","",'BOULEVARD 5'!G64)</f>
        <v>45335</v>
      </c>
      <c r="M59" s="764">
        <f t="shared" si="2"/>
        <v>0</v>
      </c>
      <c r="N59" s="767">
        <f>IF('B5-Status cobranza'!AM66&lt;0,'B5-Status cobranza'!AM66,0)</f>
        <v>0</v>
      </c>
      <c r="O59" s="777">
        <f>IF('B5-Status cobranza'!AP66&lt;0,'B5-Status cobranza'!AP66,0)</f>
        <v>0</v>
      </c>
      <c r="P59" s="777">
        <f>IF('B5-Status cobranza'!AP66&gt;0,'B5-Status cobranza'!AP66,0)</f>
        <v>0</v>
      </c>
      <c r="Q59" s="767">
        <f>'B5-Status cobranza'!AV66</f>
        <v>0</v>
      </c>
      <c r="R59" s="764">
        <f t="shared" si="4"/>
        <v>883300</v>
      </c>
      <c r="S59" s="764">
        <f>IF('B5-Status cobranza'!AL66&lt;0,'B5-Status cobranza'!AL66,0)</f>
        <v>0</v>
      </c>
      <c r="T59" s="764">
        <v>0</v>
      </c>
      <c r="U59" s="778">
        <f t="shared" si="3"/>
        <v>0</v>
      </c>
      <c r="V59" s="764">
        <f>IF('B5-Status cobranza'!AL66&gt;0,'B5-Status cobranza'!AL66,0)</f>
        <v>0</v>
      </c>
    </row>
    <row r="60" spans="1:22" ht="12" customHeight="1" x14ac:dyDescent="0.25">
      <c r="A60" s="763" t="str">
        <f>"Apto"&amp;'BOULEVARD 5'!B65</f>
        <v>Apto409</v>
      </c>
      <c r="B60" s="763">
        <v>1</v>
      </c>
      <c r="C60" s="763" t="str">
        <f>IF('BOULEVARD 5'!A65="","Cliente normal",'BOULEVARD 5'!A65)</f>
        <v>Cliente normal</v>
      </c>
      <c r="D60" s="763" t="str">
        <f>IF('BOULEVARD 5'!E65="","No asignado",'BOULEVARD 5'!E65)</f>
        <v>Antonio Rada</v>
      </c>
      <c r="E60" s="763" t="str">
        <f>IF('BOULEVARD 5'!F65="","No asignado",'BOULEVARD 5'!F65)</f>
        <v>Rafael Leonidas Tabic Borja</v>
      </c>
      <c r="F60" s="764">
        <f>'BOULEVARD 5'!AT65</f>
        <v>138000</v>
      </c>
      <c r="G60" s="763" t="str">
        <f>'BOULEVARD 5'!BB65</f>
        <v>Cliente Atrasado</v>
      </c>
      <c r="H60" s="764">
        <f>'BOULEVARD PPTO'!BC60</f>
        <v>134190</v>
      </c>
      <c r="I60" s="764">
        <f t="shared" si="6"/>
        <v>3810</v>
      </c>
      <c r="J60" s="765" t="str">
        <f t="shared" si="1"/>
        <v>Superavit de enganche</v>
      </c>
      <c r="K60" s="764">
        <f>'BOULEVARD 5'!I65</f>
        <v>1341690</v>
      </c>
      <c r="L60" s="766">
        <f>IF('BOULEVARD 5'!G65="","",'BOULEVARD 5'!G65)</f>
        <v>45512</v>
      </c>
      <c r="M60" s="764">
        <f t="shared" si="2"/>
        <v>0</v>
      </c>
      <c r="N60" s="767">
        <f>IF('B5-Status cobranza'!AM67&lt;0,'B5-Status cobranza'!AM67,0)</f>
        <v>0</v>
      </c>
      <c r="O60" s="777">
        <f>IF('B5-Status cobranza'!AP67&lt;0,'B5-Status cobranza'!AP67,0)</f>
        <v>0</v>
      </c>
      <c r="P60" s="777">
        <f>IF('B5-Status cobranza'!AP67&gt;0,'B5-Status cobranza'!AP67,0)</f>
        <v>3332</v>
      </c>
      <c r="Q60" s="767">
        <f>'B5-Status cobranza'!AV67</f>
        <v>238</v>
      </c>
      <c r="R60" s="764">
        <f t="shared" si="4"/>
        <v>1341690</v>
      </c>
      <c r="S60" s="764">
        <f>IF('B5-Status cobranza'!AL67&lt;0,'B5-Status cobranza'!AL67,0)</f>
        <v>0</v>
      </c>
      <c r="T60" s="764">
        <v>0</v>
      </c>
      <c r="U60" s="778">
        <f t="shared" si="3"/>
        <v>0</v>
      </c>
      <c r="V60" s="764">
        <f>IF('B5-Status cobranza'!AL67&gt;0,'B5-Status cobranza'!AL67,0)</f>
        <v>238</v>
      </c>
    </row>
    <row r="61" spans="1:22" ht="12" customHeight="1" x14ac:dyDescent="0.25">
      <c r="A61" s="763" t="str">
        <f>"Apto"&amp;'BOULEVARD 5'!B66</f>
        <v>Apto410</v>
      </c>
      <c r="B61" s="763">
        <v>1</v>
      </c>
      <c r="C61" s="763" t="str">
        <f>IF('BOULEVARD 5'!A66="","Cliente normal",'BOULEVARD 5'!A66)</f>
        <v>Cliente normal</v>
      </c>
      <c r="D61" s="763" t="str">
        <f>IF('BOULEVARD 5'!E66="","No asignado",'BOULEVARD 5'!E66)</f>
        <v>Anahí Cisneros</v>
      </c>
      <c r="E61" s="763" t="str">
        <f>IF('BOULEVARD 5'!F66="","No asignado",'BOULEVARD 5'!F66)</f>
        <v>Josué Ernesto Herrera Aguilar</v>
      </c>
      <c r="F61" s="764">
        <f>'BOULEVARD 5'!AT66</f>
        <v>71991.48000000001</v>
      </c>
      <c r="G61" s="763" t="str">
        <f>'BOULEVARD 5'!BB66</f>
        <v>Cliente Atrasado</v>
      </c>
      <c r="H61" s="764">
        <f>'BOULEVARD PPTO'!BC61</f>
        <v>119544.44000000003</v>
      </c>
      <c r="I61" s="764">
        <f t="shared" si="6"/>
        <v>-47552.960000000021</v>
      </c>
      <c r="J61" s="765" t="str">
        <f t="shared" si="1"/>
        <v>Enganche por pagar</v>
      </c>
      <c r="K61" s="764">
        <f>'BOULEVARD 5'!I66</f>
        <v>1194844.3400000001</v>
      </c>
      <c r="L61" s="766">
        <f>IF('BOULEVARD 5'!G66="","",'BOULEVARD 5'!G66)</f>
        <v>45849</v>
      </c>
      <c r="M61" s="764">
        <f t="shared" si="2"/>
        <v>0</v>
      </c>
      <c r="N61" s="767">
        <f>IF('B5-Status cobranza'!AM68&lt;0,'B5-Status cobranza'!AM68,0)</f>
        <v>-5.4600000000009459</v>
      </c>
      <c r="O61" s="777">
        <f>IF('B5-Status cobranza'!AP68&lt;0,'B5-Status cobranza'!AP68,0)</f>
        <v>-16.380000000002838</v>
      </c>
      <c r="P61" s="777">
        <f>IF('B5-Status cobranza'!AP68&gt;0,'B5-Status cobranza'!AP68,0)</f>
        <v>0</v>
      </c>
      <c r="Q61" s="767">
        <f>'B5-Status cobranza'!AV68</f>
        <v>0</v>
      </c>
      <c r="R61" s="764">
        <f t="shared" si="4"/>
        <v>1194844.3400000001</v>
      </c>
      <c r="S61" s="764">
        <f>IF('B5-Status cobranza'!AL68&lt;0,'B5-Status cobranza'!AL68,0)</f>
        <v>-5.4600000000009459</v>
      </c>
      <c r="T61" s="764">
        <v>0</v>
      </c>
      <c r="U61" s="778">
        <f t="shared" si="3"/>
        <v>0</v>
      </c>
      <c r="V61" s="764">
        <f>IF('B5-Status cobranza'!AL68&gt;0,'B5-Status cobranza'!AL68,0)</f>
        <v>0</v>
      </c>
    </row>
    <row r="62" spans="1:22" ht="12" customHeight="1" x14ac:dyDescent="0.25">
      <c r="A62" s="763" t="str">
        <f>"Apto"&amp;'BOULEVARD 5'!B67</f>
        <v>Apto411</v>
      </c>
      <c r="B62" s="763">
        <v>1</v>
      </c>
      <c r="C62" s="763" t="str">
        <f t="shared" ref="C62:C63" si="10">G62</f>
        <v>Cliente al día</v>
      </c>
      <c r="D62" s="763" t="str">
        <f>IF('BOULEVARD 5'!E67="","No asignado",'BOULEVARD 5'!E67)</f>
        <v>Anahí Cisneros</v>
      </c>
      <c r="E62" s="763" t="str">
        <f>IF('BOULEVARD 5'!F67="","No asignado",'BOULEVARD 5'!F67)</f>
        <v>Sonia Elizabeth Gómez Méndez de García</v>
      </c>
      <c r="F62" s="764">
        <f>'BOULEVARD 5'!AT67</f>
        <v>9589.2900000000009</v>
      </c>
      <c r="G62" s="763" t="str">
        <f>'BOULEVARD 5'!BB67</f>
        <v>Cliente al día</v>
      </c>
      <c r="H62" s="764">
        <f>'BOULEVARD PPTO'!BC62</f>
        <v>0</v>
      </c>
      <c r="I62" s="764">
        <f t="shared" si="6"/>
        <v>9589.2900000000009</v>
      </c>
      <c r="J62" s="765" t="str">
        <f t="shared" si="1"/>
        <v>Superavit de enganche</v>
      </c>
      <c r="K62" s="764">
        <f>'BOULEVARD 5'!I67</f>
        <v>1116400</v>
      </c>
      <c r="L62" s="766">
        <f>IF('BOULEVARD 5'!G67="","",'BOULEVARD 5'!G67)</f>
        <v>45971</v>
      </c>
      <c r="M62" s="764">
        <f t="shared" si="2"/>
        <v>0</v>
      </c>
      <c r="N62" s="767">
        <f>IF('B5-Status cobranza'!AM69&lt;0,'B5-Status cobranza'!AM69,0)</f>
        <v>0</v>
      </c>
      <c r="O62" s="777">
        <f>IF('B5-Status cobranza'!AP69&lt;0,'B5-Status cobranza'!AP69,0)</f>
        <v>0</v>
      </c>
      <c r="P62" s="777">
        <f>IF('B5-Status cobranza'!AP69&gt;0,'B5-Status cobranza'!AP69,0)</f>
        <v>0</v>
      </c>
      <c r="Q62" s="767">
        <f>'B5-Status cobranza'!AV69</f>
        <v>0</v>
      </c>
      <c r="R62" s="764">
        <f t="shared" si="4"/>
        <v>1116400</v>
      </c>
      <c r="S62" s="764">
        <f>IF('B5-Status cobranza'!AL69&lt;0,'B5-Status cobranza'!AL69,0)</f>
        <v>0</v>
      </c>
      <c r="T62" s="764">
        <v>0</v>
      </c>
      <c r="U62" s="778">
        <f t="shared" si="3"/>
        <v>0</v>
      </c>
      <c r="V62" s="764">
        <f>IF('B5-Status cobranza'!AL69&gt;0,'B5-Status cobranza'!AL69,0)</f>
        <v>0</v>
      </c>
    </row>
    <row r="63" spans="1:22" ht="12" customHeight="1" x14ac:dyDescent="0.25">
      <c r="A63" s="763" t="str">
        <f>"Apto"&amp;'BOULEVARD 5'!B68</f>
        <v>Apto412</v>
      </c>
      <c r="B63" s="763">
        <v>1</v>
      </c>
      <c r="C63" s="763" t="str">
        <f t="shared" si="10"/>
        <v>Cliente al día</v>
      </c>
      <c r="D63" s="763" t="str">
        <f>IF('BOULEVARD 5'!E68="","No asignado",'BOULEVARD 5'!E68)</f>
        <v>Anahí Cisneros</v>
      </c>
      <c r="E63" s="763" t="str">
        <f>IF('BOULEVARD 5'!F68="","No asignado",'BOULEVARD 5'!F68)</f>
        <v>Silvia Rose Mary Monzón Paniagua</v>
      </c>
      <c r="F63" s="764">
        <f>'BOULEVARD 5'!AT68</f>
        <v>78148</v>
      </c>
      <c r="G63" s="763" t="str">
        <f>'BOULEVARD 5'!BB68</f>
        <v>Cliente al día</v>
      </c>
      <c r="H63" s="764">
        <f>'BOULEVARD PPTO'!BC63</f>
        <v>0</v>
      </c>
      <c r="I63" s="764">
        <f t="shared" si="6"/>
        <v>78148</v>
      </c>
      <c r="J63" s="765" t="str">
        <f t="shared" si="1"/>
        <v>Superavit de enganche</v>
      </c>
      <c r="K63" s="764">
        <f>'BOULEVARD 5'!I68</f>
        <v>1141400</v>
      </c>
      <c r="L63" s="766">
        <f>IF('BOULEVARD 5'!G68="","",'BOULEVARD 5'!G68)</f>
        <v>45971</v>
      </c>
      <c r="M63" s="764">
        <f t="shared" si="2"/>
        <v>0</v>
      </c>
      <c r="N63" s="767">
        <f>IF('B5-Status cobranza'!AM70&lt;0,'B5-Status cobranza'!AM70,0)</f>
        <v>0</v>
      </c>
      <c r="O63" s="777">
        <f>IF('B5-Status cobranza'!AP70&lt;0,'B5-Status cobranza'!AP70,0)</f>
        <v>0</v>
      </c>
      <c r="P63" s="777">
        <f>IF('B5-Status cobranza'!AP70&gt;0,'B5-Status cobranza'!AP70,0)</f>
        <v>0</v>
      </c>
      <c r="Q63" s="767">
        <f>'B5-Status cobranza'!AV70</f>
        <v>0</v>
      </c>
      <c r="R63" s="764">
        <f t="shared" si="4"/>
        <v>1141400</v>
      </c>
      <c r="S63" s="764">
        <f>IF('B5-Status cobranza'!AL70&lt;0,'B5-Status cobranza'!AL70,0)</f>
        <v>0</v>
      </c>
      <c r="T63" s="764">
        <v>0</v>
      </c>
      <c r="U63" s="778">
        <f t="shared" si="3"/>
        <v>0</v>
      </c>
      <c r="V63" s="764">
        <f>IF('B5-Status cobranza'!AL70&gt;0,'B5-Status cobranza'!AL70,0)</f>
        <v>0</v>
      </c>
    </row>
    <row r="64" spans="1:22" ht="12" customHeight="1" x14ac:dyDescent="0.25">
      <c r="A64" s="763" t="str">
        <f>"Apto"&amp;'BOULEVARD 5'!B69</f>
        <v>Apto413</v>
      </c>
      <c r="B64" s="763">
        <v>1</v>
      </c>
      <c r="C64" s="763" t="str">
        <f>IF('BOULEVARD 5'!A69="","Cliente normal",'BOULEVARD 5'!A69)</f>
        <v>Cliente normal</v>
      </c>
      <c r="D64" s="763" t="str">
        <f>IF('BOULEVARD 5'!E69="","No asignado",'BOULEVARD 5'!E69)</f>
        <v>Sofia Paredes</v>
      </c>
      <c r="E64" s="763" t="str">
        <f>IF('BOULEVARD 5'!F69="","No asignado",'BOULEVARD 5'!F69)</f>
        <v>Cindy Carolina Toscano Merida</v>
      </c>
      <c r="F64" s="764">
        <f>'BOULEVARD 5'!AT69</f>
        <v>82264</v>
      </c>
      <c r="G64" s="763" t="str">
        <f>'BOULEVARD 5'!BB69</f>
        <v>Cliente al día</v>
      </c>
      <c r="H64" s="764">
        <f>'BOULEVARD PPTO'!BC64</f>
        <v>106354.43</v>
      </c>
      <c r="I64" s="764">
        <f t="shared" si="6"/>
        <v>-24090.429999999993</v>
      </c>
      <c r="J64" s="765" t="str">
        <f t="shared" si="1"/>
        <v>Enganche por pagar</v>
      </c>
      <c r="K64" s="764">
        <f>'BOULEVARD 5'!I69</f>
        <v>1063054.43589791</v>
      </c>
      <c r="L64" s="766">
        <f>IF('BOULEVARD 5'!G69="","",'BOULEVARD 5'!G69)</f>
        <v>45688</v>
      </c>
      <c r="M64" s="764">
        <f t="shared" si="2"/>
        <v>0</v>
      </c>
      <c r="N64" s="767">
        <f>IF('B5-Status cobranza'!AM71&lt;0,'B5-Status cobranza'!AM71,0)</f>
        <v>0</v>
      </c>
      <c r="O64" s="777">
        <f>IF('B5-Status cobranza'!AP71&lt;0,'B5-Status cobranza'!AP71,0)</f>
        <v>0</v>
      </c>
      <c r="P64" s="777">
        <f>IF('B5-Status cobranza'!AP71&gt;0,'B5-Status cobranza'!AP71,0)</f>
        <v>0</v>
      </c>
      <c r="Q64" s="767">
        <f>'B5-Status cobranza'!AV71</f>
        <v>0</v>
      </c>
      <c r="R64" s="764">
        <f t="shared" si="4"/>
        <v>1063054.43589791</v>
      </c>
      <c r="S64" s="764">
        <f>IF('B5-Status cobranza'!AL71&lt;0,'B5-Status cobranza'!AL71,0)</f>
        <v>0</v>
      </c>
      <c r="T64" s="764">
        <v>0</v>
      </c>
      <c r="U64" s="778">
        <f t="shared" si="3"/>
        <v>0</v>
      </c>
      <c r="V64" s="764">
        <f>IF('B5-Status cobranza'!AL71&gt;0,'B5-Status cobranza'!AL71,0)</f>
        <v>0</v>
      </c>
    </row>
    <row r="65" spans="1:22" ht="12" customHeight="1" x14ac:dyDescent="0.25">
      <c r="A65" s="763" t="str">
        <f>"Apto"&amp;'BOULEVARD 5'!B70</f>
        <v>Apto414</v>
      </c>
      <c r="B65" s="763">
        <v>1</v>
      </c>
      <c r="C65" s="763" t="str">
        <f>IF('BOULEVARD 5'!A70="","Cliente normal",'BOULEVARD 5'!A70)</f>
        <v>Cliente normal</v>
      </c>
      <c r="D65" s="763" t="str">
        <f>IF('BOULEVARD 5'!E70="","No asignado",'BOULEVARD 5'!E70)</f>
        <v>Antonio Rada</v>
      </c>
      <c r="E65" s="763" t="str">
        <f>IF('BOULEVARD 5'!F70="","No asignado",'BOULEVARD 5'!F70)</f>
        <v>Carolina Rivas Le Sage De Alonzo</v>
      </c>
      <c r="F65" s="764">
        <f>'BOULEVARD 5'!AT70</f>
        <v>168793</v>
      </c>
      <c r="G65" s="763" t="str">
        <f>'BOULEVARD 5'!BB70</f>
        <v>Superávit de Enganche</v>
      </c>
      <c r="H65" s="764">
        <f>'BOULEVARD PPTO'!BC65</f>
        <v>88800</v>
      </c>
      <c r="I65" s="764">
        <f t="shared" si="6"/>
        <v>79993</v>
      </c>
      <c r="J65" s="765" t="str">
        <f t="shared" si="1"/>
        <v>Superavit de enganche</v>
      </c>
      <c r="K65" s="764">
        <f>'BOULEVARD 5'!I70</f>
        <v>887400</v>
      </c>
      <c r="L65" s="766">
        <f>IF('BOULEVARD 5'!G70="","",'BOULEVARD 5'!G70)</f>
        <v>45439</v>
      </c>
      <c r="M65" s="764">
        <f t="shared" si="2"/>
        <v>0</v>
      </c>
      <c r="N65" s="767">
        <f>IF('B5-Status cobranza'!AM72&lt;0,'B5-Status cobranza'!AM72,0)</f>
        <v>0</v>
      </c>
      <c r="O65" s="777">
        <f>IF('B5-Status cobranza'!AP72&lt;0,'B5-Status cobranza'!AP72,0)</f>
        <v>0</v>
      </c>
      <c r="P65" s="777">
        <f>IF('B5-Status cobranza'!AP72&gt;0,'B5-Status cobranza'!AP72,0)</f>
        <v>0</v>
      </c>
      <c r="Q65" s="767">
        <f>'B5-Status cobranza'!AV72</f>
        <v>0</v>
      </c>
      <c r="R65" s="764">
        <f t="shared" si="4"/>
        <v>887400</v>
      </c>
      <c r="S65" s="764">
        <f>IF('B5-Status cobranza'!AL72&lt;0,'B5-Status cobranza'!AL72,0)</f>
        <v>0</v>
      </c>
      <c r="T65" s="764">
        <v>0</v>
      </c>
      <c r="U65" s="778">
        <f t="shared" si="3"/>
        <v>0</v>
      </c>
      <c r="V65" s="764">
        <f>IF('B5-Status cobranza'!AL72&gt;0,'B5-Status cobranza'!AL72,0)</f>
        <v>0</v>
      </c>
    </row>
    <row r="66" spans="1:22" ht="12" customHeight="1" x14ac:dyDescent="0.25">
      <c r="A66" s="763" t="str">
        <f>"Apto"&amp;'BOULEVARD 5'!B71</f>
        <v>Apto415</v>
      </c>
      <c r="B66" s="763">
        <v>1</v>
      </c>
      <c r="C66" s="763" t="str">
        <f>IF('BOULEVARD 5'!A71="","Cliente normal",'BOULEVARD 5'!A71)</f>
        <v>Cliente normal</v>
      </c>
      <c r="D66" s="763" t="str">
        <f>IF('BOULEVARD 5'!E71="","No asignado",'BOULEVARD 5'!E71)</f>
        <v>Anahí Cisneros</v>
      </c>
      <c r="E66" s="763" t="str">
        <f>IF('BOULEVARD 5'!F71="","No asignado",'BOULEVARD 5'!F71)</f>
        <v>Kevin Mario Andrés Leal Morales / Flor de María Herrera Reyes de Gil</v>
      </c>
      <c r="F66" s="764">
        <f>'BOULEVARD 5'!AT71</f>
        <v>141308</v>
      </c>
      <c r="G66" s="763" t="str">
        <f>'BOULEVARD 5'!BB71</f>
        <v>Cliente al día</v>
      </c>
      <c r="H66" s="764">
        <f>'BOULEVARD PPTO'!BC66</f>
        <v>231526.97</v>
      </c>
      <c r="I66" s="764">
        <f t="shared" si="6"/>
        <v>-90218.97</v>
      </c>
      <c r="J66" s="765" t="str">
        <f t="shared" si="1"/>
        <v>Enganche por pagar</v>
      </c>
      <c r="K66" s="764">
        <f>'BOULEVARD 5'!I71</f>
        <v>1543626.9723517401</v>
      </c>
      <c r="L66" s="766">
        <f>IF('BOULEVARD 5'!G71="","",'BOULEVARD 5'!G71)</f>
        <v>45818</v>
      </c>
      <c r="M66" s="764">
        <f t="shared" si="2"/>
        <v>0</v>
      </c>
      <c r="N66" s="767">
        <f>IF('B5-Status cobranza'!AM73&lt;0,'B5-Status cobranza'!AM73,0)</f>
        <v>0</v>
      </c>
      <c r="O66" s="777">
        <f>IF('B5-Status cobranza'!AP73&lt;0,'B5-Status cobranza'!AP73,0)</f>
        <v>0</v>
      </c>
      <c r="P66" s="777">
        <f>IF('B5-Status cobranza'!AP73&gt;0,'B5-Status cobranza'!AP73,0)</f>
        <v>0</v>
      </c>
      <c r="Q66" s="767">
        <f>'B5-Status cobranza'!AV73</f>
        <v>0</v>
      </c>
      <c r="R66" s="764">
        <f t="shared" si="4"/>
        <v>1543626.9723517401</v>
      </c>
      <c r="S66" s="764">
        <f>IF('B5-Status cobranza'!AL73&lt;0,'B5-Status cobranza'!AL73,0)</f>
        <v>0</v>
      </c>
      <c r="T66" s="764">
        <v>0</v>
      </c>
      <c r="U66" s="778">
        <f t="shared" si="3"/>
        <v>0</v>
      </c>
      <c r="V66" s="764">
        <f>IF('B5-Status cobranza'!AL73&gt;0,'B5-Status cobranza'!AL73,0)</f>
        <v>0</v>
      </c>
    </row>
    <row r="67" spans="1:22" ht="12" customHeight="1" x14ac:dyDescent="0.25">
      <c r="A67" s="763" t="str">
        <f>"Apto"&amp;'BOULEVARD 5'!B72</f>
        <v>Apto416</v>
      </c>
      <c r="B67" s="763">
        <v>1</v>
      </c>
      <c r="C67" s="763" t="str">
        <f>IF('BOULEVARD 5'!A72="","Cliente normal",'BOULEVARD 5'!A72)</f>
        <v>Cliente normal</v>
      </c>
      <c r="D67" s="763" t="str">
        <f>IF('BOULEVARD 5'!E72="","No asignado",'BOULEVARD 5'!E72)</f>
        <v>Sofia Paredes</v>
      </c>
      <c r="E67" s="763" t="str">
        <f>IF('BOULEVARD 5'!F72="","No asignado",'BOULEVARD 5'!F72)</f>
        <v xml:space="preserve">Carlos Humberto Rivera Carrillo </v>
      </c>
      <c r="F67" s="764">
        <f>'BOULEVARD 5'!AT72</f>
        <v>56539.72</v>
      </c>
      <c r="G67" s="763" t="str">
        <f>'BOULEVARD 5'!BB72</f>
        <v>Cliente Atrasado</v>
      </c>
      <c r="H67" s="764">
        <f>'BOULEVARD PPTO'!BC67</f>
        <v>79931.179999999993</v>
      </c>
      <c r="I67" s="764">
        <f t="shared" ref="I67:I130" si="11">F67-H67</f>
        <v>-23391.459999999992</v>
      </c>
      <c r="J67" s="765" t="str">
        <f t="shared" ref="J67:J130" si="12">IF(I67&gt;0,"Superavit de enganche","Enganche por pagar")</f>
        <v>Enganche por pagar</v>
      </c>
      <c r="K67" s="764">
        <f>'BOULEVARD 5'!I72</f>
        <v>798331.19</v>
      </c>
      <c r="L67" s="766">
        <f>IF('BOULEVARD 5'!G72="","",'BOULEVARD 5'!G72)</f>
        <v>45695</v>
      </c>
      <c r="M67" s="764">
        <f t="shared" ref="M67:M130" si="13">IF(G67="Disponible",K67,0)</f>
        <v>0</v>
      </c>
      <c r="N67" s="767">
        <f>IF('B5-Status cobranza'!AM74&lt;0,'B5-Status cobranza'!AM74,0)</f>
        <v>0</v>
      </c>
      <c r="O67" s="777">
        <f>IF('B5-Status cobranza'!AP74&lt;0,'B5-Status cobranza'!AP74,0)</f>
        <v>0</v>
      </c>
      <c r="P67" s="777">
        <f>IF('B5-Status cobranza'!AP74&gt;0,'B5-Status cobranza'!AP74,0)</f>
        <v>1571.7199999999993</v>
      </c>
      <c r="Q67" s="767">
        <f>'B5-Status cobranza'!AV74</f>
        <v>629</v>
      </c>
      <c r="R67" s="764">
        <f t="shared" si="4"/>
        <v>798331.19</v>
      </c>
      <c r="S67" s="764">
        <f>IF('B5-Status cobranza'!AL74&lt;0,'B5-Status cobranza'!AL74,0)</f>
        <v>0</v>
      </c>
      <c r="T67" s="764">
        <v>0</v>
      </c>
      <c r="U67" s="778">
        <f t="shared" ref="U67:U130" si="14">-T67/SUM($S$2:$S$299)</f>
        <v>0</v>
      </c>
      <c r="V67" s="764">
        <f>IF('B5-Status cobranza'!AL74&gt;0,'B5-Status cobranza'!AL74,0)</f>
        <v>629</v>
      </c>
    </row>
    <row r="68" spans="1:22" ht="12" customHeight="1" x14ac:dyDescent="0.25">
      <c r="A68" s="763" t="str">
        <f>"Apto"&amp;'BOULEVARD 5'!B73</f>
        <v>Apto417</v>
      </c>
      <c r="B68" s="763">
        <v>1</v>
      </c>
      <c r="C68" s="763" t="str">
        <f>IF('BOULEVARD 5'!A73="","Cliente normal",'BOULEVARD 5'!A73)</f>
        <v>Cliente normal</v>
      </c>
      <c r="D68" s="763" t="str">
        <f>IF('BOULEVARD 5'!E73="","No asignado",'BOULEVARD 5'!E73)</f>
        <v>Antonio Rada</v>
      </c>
      <c r="E68" s="763" t="str">
        <f>IF('BOULEVARD 5'!F73="","No asignado",'BOULEVARD 5'!F73)</f>
        <v>Miguel Angel Flores Linares</v>
      </c>
      <c r="F68" s="764">
        <f>'BOULEVARD 5'!AT73</f>
        <v>72187.5</v>
      </c>
      <c r="G68" s="763" t="str">
        <f>'BOULEVARD 5'!BB73</f>
        <v>Cliente Atrasado</v>
      </c>
      <c r="H68" s="764">
        <f>'BOULEVARD PPTO'!BC68</f>
        <v>72187.5</v>
      </c>
      <c r="I68" s="764">
        <f t="shared" si="11"/>
        <v>0</v>
      </c>
      <c r="J68" s="765" t="str">
        <f t="shared" si="12"/>
        <v>Enganche por pagar</v>
      </c>
      <c r="K68" s="764">
        <f>'BOULEVARD 5'!I73</f>
        <v>721087.5</v>
      </c>
      <c r="L68" s="766">
        <f>IF('BOULEVARD 5'!G73="","",'BOULEVARD 5'!G73)</f>
        <v>45249</v>
      </c>
      <c r="M68" s="764">
        <f t="shared" si="13"/>
        <v>0</v>
      </c>
      <c r="N68" s="767">
        <f>IF('B5-Status cobranza'!AM75&lt;0,'B5-Status cobranza'!AM75,0)</f>
        <v>0</v>
      </c>
      <c r="O68" s="777">
        <f>IF('B5-Status cobranza'!AP75&lt;0,'B5-Status cobranza'!AP75,0)</f>
        <v>0</v>
      </c>
      <c r="P68" s="777">
        <f>IF('B5-Status cobranza'!AP75&gt;0,'B5-Status cobranza'!AP75,0)</f>
        <v>0</v>
      </c>
      <c r="Q68" s="767">
        <f>'B5-Status cobranza'!AV75</f>
        <v>0</v>
      </c>
      <c r="R68" s="764">
        <f t="shared" ref="R68:R131" si="15">IF(M68=0,K68,0)</f>
        <v>721087.5</v>
      </c>
      <c r="S68" s="764">
        <f>IF('B5-Status cobranza'!AL75&lt;0,'B5-Status cobranza'!AL75,0)</f>
        <v>0</v>
      </c>
      <c r="T68" s="764">
        <v>0</v>
      </c>
      <c r="U68" s="778">
        <f t="shared" si="14"/>
        <v>0</v>
      </c>
      <c r="V68" s="764">
        <f>IF('B5-Status cobranza'!AL75&gt;0,'B5-Status cobranza'!AL75,0)</f>
        <v>0</v>
      </c>
    </row>
    <row r="69" spans="1:22" ht="12" customHeight="1" x14ac:dyDescent="0.25">
      <c r="A69" s="763" t="str">
        <f>"Apto"&amp;'BOULEVARD 5'!B74</f>
        <v>Apto418</v>
      </c>
      <c r="B69" s="763">
        <v>1</v>
      </c>
      <c r="C69" s="763" t="str">
        <f>IF('BOULEVARD 5'!A74="","Cliente normal",'BOULEVARD 5'!A74)</f>
        <v>Cliente normal</v>
      </c>
      <c r="D69" s="763" t="str">
        <f>IF('BOULEVARD 5'!E74="","No asignado",'BOULEVARD 5'!E74)</f>
        <v>Antonio Rada</v>
      </c>
      <c r="E69" s="763" t="str">
        <f>IF('BOULEVARD 5'!F74="","No asignado",'BOULEVARD 5'!F74)</f>
        <v xml:space="preserve">Antonio Vicente Tzep Tahay </v>
      </c>
      <c r="F69" s="764">
        <f>'BOULEVARD 5'!AT74</f>
        <v>31692</v>
      </c>
      <c r="G69" s="763" t="str">
        <f>'BOULEVARD 5'!BB74</f>
        <v>Cliente Atrasado</v>
      </c>
      <c r="H69" s="764">
        <f>'BOULEVARD PPTO'!BC69</f>
        <v>75076</v>
      </c>
      <c r="I69" s="764">
        <f t="shared" si="11"/>
        <v>-43384</v>
      </c>
      <c r="J69" s="765" t="str">
        <f t="shared" si="12"/>
        <v>Enganche por pagar</v>
      </c>
      <c r="K69" s="764">
        <f>'BOULEVARD 5'!I74</f>
        <v>750472.5</v>
      </c>
      <c r="L69" s="766">
        <f>IF('BOULEVARD 5'!G74="","",'BOULEVARD 5'!G74)</f>
        <v>45785</v>
      </c>
      <c r="M69" s="764">
        <f t="shared" si="13"/>
        <v>0</v>
      </c>
      <c r="N69" s="767">
        <f>IF('B5-Status cobranza'!AM76&lt;0,'B5-Status cobranza'!AM76,0)</f>
        <v>-5423</v>
      </c>
      <c r="O69" s="777">
        <f>IF('B5-Status cobranza'!AP76&lt;0,'B5-Status cobranza'!AP76,0)</f>
        <v>-5423</v>
      </c>
      <c r="P69" s="777">
        <f>IF('B5-Status cobranza'!AP76&gt;0,'B5-Status cobranza'!AP76,0)</f>
        <v>0</v>
      </c>
      <c r="Q69" s="767">
        <f>'B5-Status cobranza'!AV76</f>
        <v>0</v>
      </c>
      <c r="R69" s="764">
        <f t="shared" si="15"/>
        <v>750472.5</v>
      </c>
      <c r="S69" s="764">
        <f>IF('B5-Status cobranza'!AL76&lt;0,'B5-Status cobranza'!AL76,0)</f>
        <v>0</v>
      </c>
      <c r="T69" s="764">
        <v>0</v>
      </c>
      <c r="U69" s="778">
        <f t="shared" si="14"/>
        <v>0</v>
      </c>
      <c r="V69" s="764">
        <f>IF('B5-Status cobranza'!AL76&gt;0,'B5-Status cobranza'!AL76,0)</f>
        <v>10846</v>
      </c>
    </row>
    <row r="70" spans="1:22" ht="12" customHeight="1" x14ac:dyDescent="0.25">
      <c r="A70" s="763" t="str">
        <f>"Apto"&amp;'BOULEVARD 5'!B75</f>
        <v>Apto419</v>
      </c>
      <c r="B70" s="763">
        <v>1</v>
      </c>
      <c r="C70" s="763" t="str">
        <f>IF('BOULEVARD 5'!A75="","Cliente normal",'BOULEVARD 5'!A75)</f>
        <v>Cliente normal</v>
      </c>
      <c r="D70" s="763" t="str">
        <f>IF('BOULEVARD 5'!E75="","No asignado",'BOULEVARD 5'!E75)</f>
        <v>Antonio Rada</v>
      </c>
      <c r="E70" s="763" t="str">
        <f>IF('BOULEVARD 5'!F75="","No asignado",'BOULEVARD 5'!F75)</f>
        <v>Andrea Elizabeth Ortiz Perez</v>
      </c>
      <c r="F70" s="764">
        <f>'BOULEVARD 5'!AT75</f>
        <v>96594</v>
      </c>
      <c r="G70" s="763" t="str">
        <f>'BOULEVARD 5'!BB75</f>
        <v>Cliente Atrasado</v>
      </c>
      <c r="H70" s="764">
        <f>'BOULEVARD PPTO'!BC70</f>
        <v>96600</v>
      </c>
      <c r="I70" s="764">
        <f t="shared" si="11"/>
        <v>-6</v>
      </c>
      <c r="J70" s="765" t="str">
        <f t="shared" si="12"/>
        <v>Enganche por pagar</v>
      </c>
      <c r="K70" s="764">
        <f>'BOULEVARD 5'!I75</f>
        <v>965900</v>
      </c>
      <c r="L70" s="766">
        <f>IF('BOULEVARD 5'!G75="","",'BOULEVARD 5'!G75)</f>
        <v>45231</v>
      </c>
      <c r="M70" s="764">
        <f t="shared" si="13"/>
        <v>0</v>
      </c>
      <c r="N70" s="767">
        <f>IF('B5-Status cobranza'!AM77&lt;0,'B5-Status cobranza'!AM77,0)</f>
        <v>0</v>
      </c>
      <c r="O70" s="777">
        <f>IF('B5-Status cobranza'!AP77&lt;0,'B5-Status cobranza'!AP77,0)</f>
        <v>-6</v>
      </c>
      <c r="P70" s="777">
        <f>IF('B5-Status cobranza'!AP77&gt;0,'B5-Status cobranza'!AP77,0)</f>
        <v>0</v>
      </c>
      <c r="Q70" s="767">
        <f>'B5-Status cobranza'!AV77</f>
        <v>0</v>
      </c>
      <c r="R70" s="764">
        <f t="shared" si="15"/>
        <v>965900</v>
      </c>
      <c r="S70" s="764">
        <f>IF('B5-Status cobranza'!AL77&lt;0,'B5-Status cobranza'!AL77,0)</f>
        <v>-6</v>
      </c>
      <c r="T70" s="764">
        <v>0</v>
      </c>
      <c r="U70" s="778">
        <f t="shared" si="14"/>
        <v>0</v>
      </c>
      <c r="V70" s="764">
        <f>IF('B5-Status cobranza'!AL77&gt;0,'B5-Status cobranza'!AL77,0)</f>
        <v>0</v>
      </c>
    </row>
    <row r="71" spans="1:22" ht="12" customHeight="1" x14ac:dyDescent="0.25">
      <c r="A71" s="763" t="str">
        <f>"Apto"&amp;'BOULEVARD 5'!B76</f>
        <v>Apto420</v>
      </c>
      <c r="B71" s="763">
        <v>1</v>
      </c>
      <c r="C71" s="763" t="str">
        <f>IF('BOULEVARD 5'!A76="","Cliente normal",'BOULEVARD 5'!A76)</f>
        <v>Cliente normal</v>
      </c>
      <c r="D71" s="763" t="str">
        <f>IF('BOULEVARD 5'!E76="","No asignado",'BOULEVARD 5'!E76)</f>
        <v>Antonio Rada</v>
      </c>
      <c r="E71" s="763" t="str">
        <f>IF('BOULEVARD 5'!F76="","No asignado",'BOULEVARD 5'!F76)</f>
        <v>Rodriga Virginia Figueroa Perez</v>
      </c>
      <c r="F71" s="764">
        <f>'BOULEVARD 5'!AT76</f>
        <v>116700</v>
      </c>
      <c r="G71" s="763" t="str">
        <f>'BOULEVARD 5'!BB76</f>
        <v>Cliente Atrasado</v>
      </c>
      <c r="H71" s="764">
        <f>'BOULEVARD PPTO'!BC71</f>
        <v>116700</v>
      </c>
      <c r="I71" s="764">
        <f t="shared" si="11"/>
        <v>0</v>
      </c>
      <c r="J71" s="765" t="str">
        <f t="shared" si="12"/>
        <v>Enganche por pagar</v>
      </c>
      <c r="K71" s="764">
        <f>'BOULEVARD 5'!I76</f>
        <v>1166800</v>
      </c>
      <c r="L71" s="766">
        <f>IF('BOULEVARD 5'!G76="","",'BOULEVARD 5'!G76)</f>
        <v>45490</v>
      </c>
      <c r="M71" s="764">
        <f t="shared" si="13"/>
        <v>0</v>
      </c>
      <c r="N71" s="767">
        <f>IF('B5-Status cobranza'!AM78&lt;0,'B5-Status cobranza'!AM78,0)</f>
        <v>0</v>
      </c>
      <c r="O71" s="777">
        <f>IF('B5-Status cobranza'!AP78&lt;0,'B5-Status cobranza'!AP78,0)</f>
        <v>0</v>
      </c>
      <c r="P71" s="777">
        <f>IF('B5-Status cobranza'!AP78&gt;0,'B5-Status cobranza'!AP78,0)</f>
        <v>0</v>
      </c>
      <c r="Q71" s="767">
        <f>'B5-Status cobranza'!AV78</f>
        <v>0</v>
      </c>
      <c r="R71" s="764">
        <f t="shared" si="15"/>
        <v>1166800</v>
      </c>
      <c r="S71" s="764">
        <f>IF('B5-Status cobranza'!AL78&lt;0,'B5-Status cobranza'!AL78,0)</f>
        <v>0</v>
      </c>
      <c r="T71" s="764">
        <v>0</v>
      </c>
      <c r="U71" s="778">
        <f t="shared" si="14"/>
        <v>0</v>
      </c>
      <c r="V71" s="764">
        <f>IF('B5-Status cobranza'!AL78&gt;0,'B5-Status cobranza'!AL78,0)</f>
        <v>0</v>
      </c>
    </row>
    <row r="72" spans="1:22" ht="12" customHeight="1" x14ac:dyDescent="0.25">
      <c r="A72" s="763" t="str">
        <f>"Apto"&amp;'BOULEVARD 5'!B77</f>
        <v>Apto501</v>
      </c>
      <c r="B72" s="763">
        <v>1</v>
      </c>
      <c r="C72" s="763" t="str">
        <f>IF('BOULEVARD 5'!A77="","Cliente normal",'BOULEVARD 5'!A77)</f>
        <v>Cliente normal</v>
      </c>
      <c r="D72" s="763" t="str">
        <f>IF('BOULEVARD 5'!E77="","No asignado",'BOULEVARD 5'!E77)</f>
        <v>Sofia Paredes</v>
      </c>
      <c r="E72" s="763" t="str">
        <f>IF('BOULEVARD 5'!F77="","No asignado",'BOULEVARD 5'!F77)</f>
        <v>Erick Guillermo Ruano Garcia</v>
      </c>
      <c r="F72" s="764">
        <f>'BOULEVARD 5'!AT77</f>
        <v>115264</v>
      </c>
      <c r="G72" s="763" t="str">
        <f>'BOULEVARD 5'!BB77</f>
        <v>Cliente al día</v>
      </c>
      <c r="H72" s="764">
        <f>'BOULEVARD PPTO'!BC72</f>
        <v>150349.44</v>
      </c>
      <c r="I72" s="764">
        <f t="shared" si="11"/>
        <v>-35085.440000000002</v>
      </c>
      <c r="J72" s="765" t="str">
        <f t="shared" si="12"/>
        <v>Enganche por pagar</v>
      </c>
      <c r="K72" s="764">
        <f>'BOULEVARD 5'!I77</f>
        <v>1502549.44216114</v>
      </c>
      <c r="L72" s="766">
        <f>IF('BOULEVARD 5'!G77="","",'BOULEVARD 5'!G77)</f>
        <v>45681</v>
      </c>
      <c r="M72" s="764">
        <f t="shared" si="13"/>
        <v>0</v>
      </c>
      <c r="N72" s="767">
        <f>IF('B5-Status cobranza'!AM79&lt;0,'B5-Status cobranza'!AM79,0)</f>
        <v>0</v>
      </c>
      <c r="O72" s="777">
        <f>IF('B5-Status cobranza'!AP79&lt;0,'B5-Status cobranza'!AP79,0)</f>
        <v>0</v>
      </c>
      <c r="P72" s="777">
        <f>IF('B5-Status cobranza'!AP79&gt;0,'B5-Status cobranza'!AP79,0)</f>
        <v>0</v>
      </c>
      <c r="Q72" s="767">
        <f>'B5-Status cobranza'!AV79</f>
        <v>0</v>
      </c>
      <c r="R72" s="764">
        <f t="shared" si="15"/>
        <v>1502549.44216114</v>
      </c>
      <c r="S72" s="764">
        <f>IF('B5-Status cobranza'!AL79&lt;0,'B5-Status cobranza'!AL79,0)</f>
        <v>0</v>
      </c>
      <c r="T72" s="764">
        <v>0</v>
      </c>
      <c r="U72" s="778">
        <f t="shared" si="14"/>
        <v>0</v>
      </c>
      <c r="V72" s="764">
        <f>IF('B5-Status cobranza'!AL79&gt;0,'B5-Status cobranza'!AL79,0)</f>
        <v>0</v>
      </c>
    </row>
    <row r="73" spans="1:22" ht="12" customHeight="1" x14ac:dyDescent="0.25">
      <c r="A73" s="763" t="str">
        <f>"Apto"&amp;'BOULEVARD 5'!B78</f>
        <v>Apto502</v>
      </c>
      <c r="B73" s="763">
        <v>1</v>
      </c>
      <c r="C73" s="763" t="str">
        <f>IF('BOULEVARD 5'!A78="","Cliente normal",'BOULEVARD 5'!A78)</f>
        <v>Cliente normal</v>
      </c>
      <c r="D73" s="763" t="str">
        <f>IF('BOULEVARD 5'!E78="","No asignado",'BOULEVARD 5'!E78)</f>
        <v>Laura Molina</v>
      </c>
      <c r="E73" s="763" t="str">
        <f>IF('BOULEVARD 5'!F78="","No asignado",'BOULEVARD 5'!F78)</f>
        <v>Rudy Baldemar Villeda Vanegas / Marcia Corina Hernández Ruiz de Villeda</v>
      </c>
      <c r="F73" s="764">
        <f>'BOULEVARD 5'!AT78</f>
        <v>145410</v>
      </c>
      <c r="G73" s="763" t="str">
        <f>'BOULEVARD 5'!BB78</f>
        <v>Cliente al día</v>
      </c>
      <c r="H73" s="764">
        <f>'BOULEVARD PPTO'!BC73</f>
        <v>238560</v>
      </c>
      <c r="I73" s="764">
        <f t="shared" si="11"/>
        <v>-93150</v>
      </c>
      <c r="J73" s="765" t="str">
        <f t="shared" si="12"/>
        <v>Enganche por pagar</v>
      </c>
      <c r="K73" s="764">
        <f>'BOULEVARD 5'!I78</f>
        <v>1590362.1</v>
      </c>
      <c r="L73" s="766">
        <f>IF('BOULEVARD 5'!G78="","",'BOULEVARD 5'!G78)</f>
        <v>45832</v>
      </c>
      <c r="M73" s="764">
        <f t="shared" si="13"/>
        <v>0</v>
      </c>
      <c r="N73" s="767">
        <f>IF('B5-Status cobranza'!AM80&lt;0,'B5-Status cobranza'!AM80,0)</f>
        <v>0</v>
      </c>
      <c r="O73" s="777">
        <f>IF('B5-Status cobranza'!AP80&lt;0,'B5-Status cobranza'!AP80,0)</f>
        <v>0</v>
      </c>
      <c r="P73" s="777">
        <f>IF('B5-Status cobranza'!AP80&gt;0,'B5-Status cobranza'!AP80,0)</f>
        <v>0</v>
      </c>
      <c r="Q73" s="767">
        <f>'B5-Status cobranza'!AV80</f>
        <v>0</v>
      </c>
      <c r="R73" s="764">
        <f t="shared" si="15"/>
        <v>1590362.1</v>
      </c>
      <c r="S73" s="764">
        <f>IF('B5-Status cobranza'!AL80&lt;0,'B5-Status cobranza'!AL80,0)</f>
        <v>0</v>
      </c>
      <c r="T73" s="764">
        <v>0</v>
      </c>
      <c r="U73" s="778">
        <f t="shared" si="14"/>
        <v>0</v>
      </c>
      <c r="V73" s="764">
        <f>IF('B5-Status cobranza'!AL80&gt;0,'B5-Status cobranza'!AL80,0)</f>
        <v>0</v>
      </c>
    </row>
    <row r="74" spans="1:22" ht="12" customHeight="1" x14ac:dyDescent="0.25">
      <c r="A74" s="763" t="str">
        <f>"Apto"&amp;'BOULEVARD 5'!B79</f>
        <v>Apto503</v>
      </c>
      <c r="B74" s="763">
        <v>1</v>
      </c>
      <c r="C74" s="763" t="str">
        <f>IF('BOULEVARD 5'!A79="","Cliente normal",'BOULEVARD 5'!A79)</f>
        <v>Cliente normal</v>
      </c>
      <c r="D74" s="763" t="str">
        <f>IF('BOULEVARD 5'!E79="","No asignado",'BOULEVARD 5'!E79)</f>
        <v>Antonio Rada</v>
      </c>
      <c r="E74" s="763" t="str">
        <f>IF('BOULEVARD 5'!F79="","No asignado",'BOULEVARD 5'!F79)</f>
        <v>David Eduardo Orellana Rivera</v>
      </c>
      <c r="F74" s="764">
        <f>'BOULEVARD 5'!AT79</f>
        <v>65258</v>
      </c>
      <c r="G74" s="763" t="str">
        <f>'BOULEVARD 5'!BB79</f>
        <v>Cliente Atrasado</v>
      </c>
      <c r="H74" s="764">
        <f>'BOULEVARD PPTO'!BC74</f>
        <v>248562.1</v>
      </c>
      <c r="I74" s="764">
        <f t="shared" si="11"/>
        <v>-183304.1</v>
      </c>
      <c r="J74" s="765" t="str">
        <f t="shared" si="12"/>
        <v>Enganche por pagar</v>
      </c>
      <c r="K74" s="764">
        <f>'BOULEVARD 5'!I79</f>
        <v>1047132</v>
      </c>
      <c r="L74" s="766">
        <f>IF('BOULEVARD 5'!G79="","",'BOULEVARD 5'!G79)</f>
        <v>45798</v>
      </c>
      <c r="M74" s="764">
        <f t="shared" si="13"/>
        <v>0</v>
      </c>
      <c r="N74" s="767">
        <f>IF('B5-Status cobranza'!AM81&lt;0,'B5-Status cobranza'!AM81,0)</f>
        <v>-18630</v>
      </c>
      <c r="O74" s="777">
        <f>IF('B5-Status cobranza'!AP81&lt;0,'B5-Status cobranza'!AP81,0)</f>
        <v>-57944</v>
      </c>
      <c r="P74" s="777">
        <f>IF('B5-Status cobranza'!AP81&gt;0,'B5-Status cobranza'!AP81,0)</f>
        <v>0</v>
      </c>
      <c r="Q74" s="767">
        <f>'B5-Status cobranza'!AV81</f>
        <v>0</v>
      </c>
      <c r="R74" s="764">
        <f t="shared" si="15"/>
        <v>1047132</v>
      </c>
      <c r="S74" s="764">
        <f>IF('B5-Status cobranza'!AL81&lt;0,'B5-Status cobranza'!AL81,0)</f>
        <v>-10736</v>
      </c>
      <c r="T74" s="764">
        <v>0</v>
      </c>
      <c r="U74" s="778">
        <f t="shared" si="14"/>
        <v>0</v>
      </c>
      <c r="V74" s="764">
        <f>IF('B5-Status cobranza'!AL81&gt;0,'B5-Status cobranza'!AL81,0)</f>
        <v>0</v>
      </c>
    </row>
    <row r="75" spans="1:22" ht="12" customHeight="1" x14ac:dyDescent="0.25">
      <c r="A75" s="763" t="str">
        <f>"Apto"&amp;'BOULEVARD 5'!B80</f>
        <v>Apto504</v>
      </c>
      <c r="B75" s="763">
        <v>1</v>
      </c>
      <c r="C75" s="763" t="str">
        <f>IF('BOULEVARD 5'!A80="","Cliente normal",'BOULEVARD 5'!A80)</f>
        <v>Cliente normal</v>
      </c>
      <c r="D75" s="763" t="str">
        <f>IF('BOULEVARD 5'!E80="","No asignado",'BOULEVARD 5'!E80)</f>
        <v>Antonio Rada</v>
      </c>
      <c r="E75" s="763" t="str">
        <f>IF('BOULEVARD 5'!F80="","No asignado",'BOULEVARD 5'!F80)</f>
        <v>Jaquelyn Andrea España Siliezar</v>
      </c>
      <c r="F75" s="764">
        <f>'BOULEVARD 5'!AT80</f>
        <v>73152</v>
      </c>
      <c r="G75" s="763" t="str">
        <f>'BOULEVARD 5'!BB80</f>
        <v>Cliente al día</v>
      </c>
      <c r="H75" s="764">
        <f>'BOULEVARD PPTO'!BC75</f>
        <v>104728</v>
      </c>
      <c r="I75" s="764">
        <f t="shared" si="11"/>
        <v>-31576</v>
      </c>
      <c r="J75" s="765" t="str">
        <f t="shared" si="12"/>
        <v>Enganche por pagar</v>
      </c>
      <c r="K75" s="764">
        <f>'BOULEVARD 5'!I80</f>
        <v>1047132</v>
      </c>
      <c r="L75" s="766">
        <f>IF('BOULEVARD 5'!G80="","",'BOULEVARD 5'!G80)</f>
        <v>45788</v>
      </c>
      <c r="M75" s="764">
        <f t="shared" si="13"/>
        <v>0</v>
      </c>
      <c r="N75" s="767">
        <f>IF('B5-Status cobranza'!AM82&lt;0,'B5-Status cobranza'!AM82,0)</f>
        <v>0</v>
      </c>
      <c r="O75" s="777">
        <f>IF('B5-Status cobranza'!AP82&lt;0,'B5-Status cobranza'!AP82,0)</f>
        <v>0</v>
      </c>
      <c r="P75" s="777">
        <f>IF('B5-Status cobranza'!AP82&gt;0,'B5-Status cobranza'!AP82,0)</f>
        <v>0</v>
      </c>
      <c r="Q75" s="767">
        <f>'B5-Status cobranza'!AV82</f>
        <v>0</v>
      </c>
      <c r="R75" s="764">
        <f t="shared" si="15"/>
        <v>1047132</v>
      </c>
      <c r="S75" s="764">
        <f>IF('B5-Status cobranza'!AL82&lt;0,'B5-Status cobranza'!AL82,0)</f>
        <v>0</v>
      </c>
      <c r="T75" s="764">
        <v>0</v>
      </c>
      <c r="U75" s="778">
        <f t="shared" si="14"/>
        <v>0</v>
      </c>
      <c r="V75" s="764">
        <f>IF('B5-Status cobranza'!AL82&gt;0,'B5-Status cobranza'!AL82,0)</f>
        <v>0</v>
      </c>
    </row>
    <row r="76" spans="1:22" ht="12" customHeight="1" x14ac:dyDescent="0.25">
      <c r="A76" s="763" t="str">
        <f>"Apto"&amp;'BOULEVARD 5'!B81</f>
        <v>Apto505</v>
      </c>
      <c r="B76" s="763">
        <v>1</v>
      </c>
      <c r="C76" s="763" t="str">
        <f>IF('BOULEVARD 5'!A81="","Cliente normal",'BOULEVARD 5'!A81)</f>
        <v>Cliente normal</v>
      </c>
      <c r="D76" s="763" t="str">
        <f>IF('BOULEVARD 5'!E81="","No asignado",'BOULEVARD 5'!E81)</f>
        <v>Antonio Rada</v>
      </c>
      <c r="E76" s="763" t="str">
        <f>IF('BOULEVARD 5'!F81="","No asignado",'BOULEVARD 5'!F81)</f>
        <v>Nancy Eugenia Cisneros Sanchez De Davila</v>
      </c>
      <c r="F76" s="764">
        <f>'BOULEVARD 5'!AT81</f>
        <v>147610</v>
      </c>
      <c r="G76" s="763" t="str">
        <f>'BOULEVARD 5'!BB81</f>
        <v>Superávit de Enganche</v>
      </c>
      <c r="H76" s="764">
        <f>'BOULEVARD PPTO'!BC76</f>
        <v>139967</v>
      </c>
      <c r="I76" s="764">
        <f t="shared" si="11"/>
        <v>7643</v>
      </c>
      <c r="J76" s="765" t="str">
        <f t="shared" si="12"/>
        <v>Superavit de enganche</v>
      </c>
      <c r="K76" s="764">
        <f>'BOULEVARD 5'!I81</f>
        <v>1399667</v>
      </c>
      <c r="L76" s="766">
        <f>IF('BOULEVARD 5'!G81="","",'BOULEVARD 5'!G81)</f>
        <v>45503</v>
      </c>
      <c r="M76" s="764">
        <f t="shared" si="13"/>
        <v>0</v>
      </c>
      <c r="N76" s="767">
        <f>IF('B5-Status cobranza'!AM83&lt;0,'B5-Status cobranza'!AM83,0)</f>
        <v>0</v>
      </c>
      <c r="O76" s="777">
        <f>IF('B5-Status cobranza'!AP83&lt;0,'B5-Status cobranza'!AP83,0)</f>
        <v>0</v>
      </c>
      <c r="P76" s="777">
        <f>IF('B5-Status cobranza'!AP83&gt;0,'B5-Status cobranza'!AP83,0)</f>
        <v>0</v>
      </c>
      <c r="Q76" s="767">
        <f>'B5-Status cobranza'!AV83</f>
        <v>0</v>
      </c>
      <c r="R76" s="764">
        <f t="shared" si="15"/>
        <v>1399667</v>
      </c>
      <c r="S76" s="764">
        <f>IF('B5-Status cobranza'!AL83&lt;0,'B5-Status cobranza'!AL83,0)</f>
        <v>0</v>
      </c>
      <c r="T76" s="764">
        <v>0</v>
      </c>
      <c r="U76" s="778">
        <f t="shared" si="14"/>
        <v>0</v>
      </c>
      <c r="V76" s="764">
        <f>IF('B5-Status cobranza'!AL83&gt;0,'B5-Status cobranza'!AL83,0)</f>
        <v>7645</v>
      </c>
    </row>
    <row r="77" spans="1:22" ht="12" customHeight="1" x14ac:dyDescent="0.25">
      <c r="A77" s="763" t="str">
        <f>"Apto"&amp;'BOULEVARD 5'!B82</f>
        <v>Apto506</v>
      </c>
      <c r="B77" s="763">
        <v>1</v>
      </c>
      <c r="C77" s="763" t="str">
        <f>IF('BOULEVARD 5'!A82="","Cliente normal",'BOULEVARD 5'!A82)</f>
        <v>Cliente normal</v>
      </c>
      <c r="D77" s="763" t="str">
        <f>IF('BOULEVARD 5'!E82="","No asignado",'BOULEVARD 5'!E82)</f>
        <v>Antonio Rada</v>
      </c>
      <c r="E77" s="763" t="str">
        <f>IF('BOULEVARD 5'!F82="","No asignado",'BOULEVARD 5'!F82)</f>
        <v>Carlos Eduardo Miranda Y Nancy Patricia Medina</v>
      </c>
      <c r="F77" s="764">
        <f>'BOULEVARD 5'!AT82</f>
        <v>137960</v>
      </c>
      <c r="G77" s="763" t="str">
        <f>'BOULEVARD 5'!BB82</f>
        <v>Cliente Atrasado</v>
      </c>
      <c r="H77" s="764">
        <f>'BOULEVARD PPTO'!BC77</f>
        <v>138595</v>
      </c>
      <c r="I77" s="764">
        <f t="shared" si="11"/>
        <v>-635</v>
      </c>
      <c r="J77" s="765" t="str">
        <f t="shared" si="12"/>
        <v>Enganche por pagar</v>
      </c>
      <c r="K77" s="764">
        <f>'BOULEVARD 5'!I82</f>
        <v>1379595</v>
      </c>
      <c r="L77" s="766">
        <f>IF('BOULEVARD 5'!G82="","",'BOULEVARD 5'!G82)</f>
        <v>45580</v>
      </c>
      <c r="M77" s="764">
        <f t="shared" si="13"/>
        <v>0</v>
      </c>
      <c r="N77" s="767">
        <f>IF('B5-Status cobranza'!AM84&lt;0,'B5-Status cobranza'!AM84,0)</f>
        <v>-45</v>
      </c>
      <c r="O77" s="777">
        <f>IF('B5-Status cobranza'!AP84&lt;0,'B5-Status cobranza'!AP84,0)</f>
        <v>-540</v>
      </c>
      <c r="P77" s="777">
        <f>IF('B5-Status cobranza'!AP84&gt;0,'B5-Status cobranza'!AP84,0)</f>
        <v>0</v>
      </c>
      <c r="Q77" s="767">
        <f>'B5-Status cobranza'!AV84</f>
        <v>0</v>
      </c>
      <c r="R77" s="764">
        <f t="shared" si="15"/>
        <v>1379595</v>
      </c>
      <c r="S77" s="764">
        <f>IF('B5-Status cobranza'!AL84&lt;0,'B5-Status cobranza'!AL84,0)</f>
        <v>-45</v>
      </c>
      <c r="T77" s="764">
        <v>0</v>
      </c>
      <c r="U77" s="778">
        <f t="shared" si="14"/>
        <v>0</v>
      </c>
      <c r="V77" s="764">
        <f>IF('B5-Status cobranza'!AL84&gt;0,'B5-Status cobranza'!AL84,0)</f>
        <v>0</v>
      </c>
    </row>
    <row r="78" spans="1:22" ht="12" customHeight="1" x14ac:dyDescent="0.25">
      <c r="A78" s="763" t="str">
        <f>"Apto"&amp;'BOULEVARD 5'!B83</f>
        <v>Apto507</v>
      </c>
      <c r="B78" s="763">
        <v>1</v>
      </c>
      <c r="C78" s="763" t="str">
        <f>IF('BOULEVARD 5'!A83="","Cliente normal",'BOULEVARD 5'!A83)</f>
        <v>Cliente normal</v>
      </c>
      <c r="D78" s="763" t="str">
        <f>IF('BOULEVARD 5'!E83="","No asignado",'BOULEVARD 5'!E83)</f>
        <v>Antonio Rada</v>
      </c>
      <c r="E78" s="763" t="str">
        <f>IF('BOULEVARD 5'!F83="","No asignado",'BOULEVARD 5'!F83)</f>
        <v>Osmin Otoniel Oliva Córdova</v>
      </c>
      <c r="F78" s="764">
        <f>'BOULEVARD 5'!AT83</f>
        <v>82552</v>
      </c>
      <c r="G78" s="763" t="str">
        <f>'BOULEVARD 5'!BB83</f>
        <v>Cliente Atrasado</v>
      </c>
      <c r="H78" s="764">
        <f>'BOULEVARD PPTO'!BC78</f>
        <v>72300</v>
      </c>
      <c r="I78" s="764">
        <f t="shared" si="11"/>
        <v>10252</v>
      </c>
      <c r="J78" s="765" t="str">
        <f t="shared" si="12"/>
        <v>Superavit de enganche</v>
      </c>
      <c r="K78" s="764">
        <f>'BOULEVARD 5'!I83</f>
        <v>722900</v>
      </c>
      <c r="L78" s="766">
        <f>IF('BOULEVARD 5'!G83="","",'BOULEVARD 5'!G83)</f>
        <v>45155</v>
      </c>
      <c r="M78" s="764">
        <f t="shared" si="13"/>
        <v>0</v>
      </c>
      <c r="N78" s="767">
        <f>IF('B5-Status cobranza'!AM85&lt;0,'B5-Status cobranza'!AM85,0)</f>
        <v>0</v>
      </c>
      <c r="O78" s="777">
        <f>IF('B5-Status cobranza'!AP85&lt;0,'B5-Status cobranza'!AP85,0)</f>
        <v>0</v>
      </c>
      <c r="P78" s="777">
        <f>IF('B5-Status cobranza'!AP85&gt;0,'B5-Status cobranza'!AP85,0)</f>
        <v>7600</v>
      </c>
      <c r="Q78" s="767">
        <f>'B5-Status cobranza'!AV85</f>
        <v>2652</v>
      </c>
      <c r="R78" s="764">
        <f t="shared" si="15"/>
        <v>722900</v>
      </c>
      <c r="S78" s="764">
        <f>IF('B5-Status cobranza'!AL85&lt;0,'B5-Status cobranza'!AL85,0)</f>
        <v>0</v>
      </c>
      <c r="T78" s="764">
        <v>0</v>
      </c>
      <c r="U78" s="778">
        <f t="shared" si="14"/>
        <v>0</v>
      </c>
      <c r="V78" s="764">
        <f>IF('B5-Status cobranza'!AL85&gt;0,'B5-Status cobranza'!AL85,0)</f>
        <v>0</v>
      </c>
    </row>
    <row r="79" spans="1:22" ht="12" customHeight="1" x14ac:dyDescent="0.25">
      <c r="A79" s="763" t="str">
        <f>"Apto"&amp;'BOULEVARD 5'!B84</f>
        <v>Apto508</v>
      </c>
      <c r="B79" s="763">
        <v>1</v>
      </c>
      <c r="C79" s="763" t="str">
        <f>IF('BOULEVARD 5'!A84="","Cliente normal",'BOULEVARD 5'!A84)</f>
        <v>Cliente normal</v>
      </c>
      <c r="D79" s="763" t="str">
        <f>IF('BOULEVARD 5'!E84="","No asignado",'BOULEVARD 5'!E84)</f>
        <v>Antonio Rada</v>
      </c>
      <c r="E79" s="763" t="str">
        <f>IF('BOULEVARD 5'!F84="","No asignado",'BOULEVARD 5'!F84)</f>
        <v>Evelyn Aida Samayoa San Jose</v>
      </c>
      <c r="F79" s="764">
        <f>'BOULEVARD 5'!AT84</f>
        <v>138000</v>
      </c>
      <c r="G79" s="763" t="str">
        <f>'BOULEVARD 5'!BB84</f>
        <v>Cliente Atrasado</v>
      </c>
      <c r="H79" s="764">
        <f>'BOULEVARD PPTO'!BC79</f>
        <v>118393</v>
      </c>
      <c r="I79" s="764">
        <f t="shared" si="11"/>
        <v>19607</v>
      </c>
      <c r="J79" s="765" t="str">
        <f t="shared" si="12"/>
        <v>Superavit de enganche</v>
      </c>
      <c r="K79" s="764">
        <f>'BOULEVARD 5'!I84</f>
        <v>1183693</v>
      </c>
      <c r="L79" s="766">
        <f>IF('BOULEVARD 5'!G84="","",'BOULEVARD 5'!G84)</f>
        <v>45394</v>
      </c>
      <c r="M79" s="764">
        <f t="shared" si="13"/>
        <v>0</v>
      </c>
      <c r="N79" s="767">
        <f>IF('B5-Status cobranza'!AM86&lt;0,'B5-Status cobranza'!AM86,0)</f>
        <v>0</v>
      </c>
      <c r="O79" s="777">
        <f>IF('B5-Status cobranza'!AP86&lt;0,'B5-Status cobranza'!AP86,0)</f>
        <v>0</v>
      </c>
      <c r="P79" s="777">
        <f>IF('B5-Status cobranza'!AP86&gt;0,'B5-Status cobranza'!AP86,0)</f>
        <v>107</v>
      </c>
      <c r="Q79" s="767">
        <f>'B5-Status cobranza'!AV86</f>
        <v>6500</v>
      </c>
      <c r="R79" s="764">
        <f t="shared" si="15"/>
        <v>1183693</v>
      </c>
      <c r="S79" s="764">
        <f>IF('B5-Status cobranza'!AL86&lt;0,'B5-Status cobranza'!AL86,0)</f>
        <v>0</v>
      </c>
      <c r="T79" s="764">
        <v>6500</v>
      </c>
      <c r="U79" s="778">
        <f t="shared" si="14"/>
        <v>2.1402738088503678E-2</v>
      </c>
      <c r="V79" s="764">
        <f>IF('B5-Status cobranza'!AL86&gt;0,'B5-Status cobranza'!AL86,0)</f>
        <v>11</v>
      </c>
    </row>
    <row r="80" spans="1:22" ht="12" customHeight="1" x14ac:dyDescent="0.25">
      <c r="A80" s="763" t="str">
        <f>"Apto"&amp;'BOULEVARD 5'!B85</f>
        <v>Apto509</v>
      </c>
      <c r="B80" s="763">
        <v>1</v>
      </c>
      <c r="C80" s="763" t="str">
        <f>IF('BOULEVARD 5'!A85="","Cliente normal",'BOULEVARD 5'!A85)</f>
        <v>Cliente normal</v>
      </c>
      <c r="D80" s="763" t="str">
        <f>IF('BOULEVARD 5'!E85="","No asignado",'BOULEVARD 5'!E85)</f>
        <v>Antonio Rada</v>
      </c>
      <c r="E80" s="763" t="str">
        <f>IF('BOULEVARD 5'!F85="","No asignado",'BOULEVARD 5'!F85)</f>
        <v>Anabella Alburez Aja</v>
      </c>
      <c r="F80" s="764">
        <f>'BOULEVARD 5'!AT85</f>
        <v>118165</v>
      </c>
      <c r="G80" s="763" t="str">
        <f>'BOULEVARD 5'!BB85</f>
        <v>Superávit de Enganche</v>
      </c>
      <c r="H80" s="764">
        <f>'BOULEVARD PPTO'!BC80</f>
        <v>118161.5</v>
      </c>
      <c r="I80" s="764">
        <f t="shared" si="11"/>
        <v>3.5</v>
      </c>
      <c r="J80" s="765" t="str">
        <f t="shared" si="12"/>
        <v>Superavit de enganche</v>
      </c>
      <c r="K80" s="764">
        <f>'BOULEVARD 5'!I85</f>
        <v>1181561.5</v>
      </c>
      <c r="L80" s="766">
        <f>IF('BOULEVARD 5'!G85="","",'BOULEVARD 5'!G85)</f>
        <v>45473</v>
      </c>
      <c r="M80" s="764">
        <f t="shared" si="13"/>
        <v>0</v>
      </c>
      <c r="N80" s="767">
        <f>IF('B5-Status cobranza'!AM87&lt;0,'B5-Status cobranza'!AM87,0)</f>
        <v>-6009</v>
      </c>
      <c r="O80" s="777">
        <f>IF('B5-Status cobranza'!AP87&lt;0,'B5-Status cobranza'!AP87,0)</f>
        <v>-12018</v>
      </c>
      <c r="P80" s="777">
        <f>IF('B5-Status cobranza'!AP87&gt;0,'B5-Status cobranza'!AP87,0)</f>
        <v>0</v>
      </c>
      <c r="Q80" s="767">
        <f>'B5-Status cobranza'!AV87</f>
        <v>0</v>
      </c>
      <c r="R80" s="764">
        <f t="shared" si="15"/>
        <v>1181561.5</v>
      </c>
      <c r="S80" s="764">
        <f>IF('B5-Status cobranza'!AL87&lt;0,'B5-Status cobranza'!AL87,0)</f>
        <v>-6009</v>
      </c>
      <c r="T80" s="764">
        <v>0</v>
      </c>
      <c r="U80" s="778">
        <f t="shared" si="14"/>
        <v>0</v>
      </c>
      <c r="V80" s="764">
        <f>IF('B5-Status cobranza'!AL87&gt;0,'B5-Status cobranza'!AL87,0)</f>
        <v>0</v>
      </c>
    </row>
    <row r="81" spans="1:22" ht="12" customHeight="1" x14ac:dyDescent="0.25">
      <c r="A81" s="763" t="str">
        <f>"Apto"&amp;'BOULEVARD 5'!B86</f>
        <v>Apto510</v>
      </c>
      <c r="B81" s="763">
        <v>1</v>
      </c>
      <c r="C81" s="763" t="str">
        <f>IF('BOULEVARD 5'!A86="","Cliente normal",'BOULEVARD 5'!A86)</f>
        <v>Cliente normal</v>
      </c>
      <c r="D81" s="763" t="str">
        <f>IF('BOULEVARD 5'!E86="","No asignado",'BOULEVARD 5'!E86)</f>
        <v>Antonio Rada</v>
      </c>
      <c r="E81" s="763" t="str">
        <f>IF('BOULEVARD 5'!F86="","No asignado",'BOULEVARD 5'!F86)</f>
        <v>Francis Ayleen Funes Castellanos</v>
      </c>
      <c r="F81" s="764">
        <f>'BOULEVARD 5'!AT86</f>
        <v>114393.00000000001</v>
      </c>
      <c r="G81" s="763" t="str">
        <f>'BOULEVARD 5'!BB86</f>
        <v>Cliente Atrasado</v>
      </c>
      <c r="H81" s="764">
        <f>'BOULEVARD PPTO'!BC81</f>
        <v>118393</v>
      </c>
      <c r="I81" s="764">
        <f t="shared" si="11"/>
        <v>-3999.9999999999854</v>
      </c>
      <c r="J81" s="765" t="str">
        <f t="shared" si="12"/>
        <v>Enganche por pagar</v>
      </c>
      <c r="K81" s="764">
        <f>'BOULEVARD 5'!I86</f>
        <v>1183693</v>
      </c>
      <c r="L81" s="766">
        <f>IF('BOULEVARD 5'!G86="","",'BOULEVARD 5'!G86)</f>
        <v>45352</v>
      </c>
      <c r="M81" s="764">
        <f t="shared" si="13"/>
        <v>0</v>
      </c>
      <c r="N81" s="767">
        <f>IF('B5-Status cobranza'!AM88&lt;0,'B5-Status cobranza'!AM88,0)</f>
        <v>0</v>
      </c>
      <c r="O81" s="777">
        <f>IF('B5-Status cobranza'!AP88&lt;0,'B5-Status cobranza'!AP88,0)</f>
        <v>-4000.0000000000009</v>
      </c>
      <c r="P81" s="777">
        <f>IF('B5-Status cobranza'!AP88&gt;0,'B5-Status cobranza'!AP88,0)</f>
        <v>0</v>
      </c>
      <c r="Q81" s="767">
        <f>'B5-Status cobranza'!AV88</f>
        <v>0</v>
      </c>
      <c r="R81" s="764">
        <f t="shared" si="15"/>
        <v>1183693</v>
      </c>
      <c r="S81" s="764">
        <f>IF('B5-Status cobranza'!AL88&lt;0,'B5-Status cobranza'!AL88,0)</f>
        <v>-2132</v>
      </c>
      <c r="T81" s="764">
        <v>0</v>
      </c>
      <c r="U81" s="778">
        <f t="shared" si="14"/>
        <v>0</v>
      </c>
      <c r="V81" s="764">
        <f>IF('B5-Status cobranza'!AL88&gt;0,'B5-Status cobranza'!AL88,0)</f>
        <v>0</v>
      </c>
    </row>
    <row r="82" spans="1:22" ht="12" customHeight="1" x14ac:dyDescent="0.25">
      <c r="A82" s="763" t="str">
        <f>"Apto"&amp;'BOULEVARD 5'!B87</f>
        <v>Apto511</v>
      </c>
      <c r="B82" s="763">
        <v>1</v>
      </c>
      <c r="C82" s="763" t="str">
        <f>IF('BOULEVARD 5'!A87="","Cliente normal",'BOULEVARD 5'!A87)</f>
        <v>Cliente normal</v>
      </c>
      <c r="D82" s="763" t="str">
        <f>IF('BOULEVARD 5'!E87="","No asignado",'BOULEVARD 5'!E87)</f>
        <v>Antonio Rada</v>
      </c>
      <c r="E82" s="763" t="str">
        <f>IF('BOULEVARD 5'!F87="","No asignado",'BOULEVARD 5'!F87)</f>
        <v>Hugo Leonel Roca Morales</v>
      </c>
      <c r="F82" s="764">
        <f>'BOULEVARD 5'!AT87</f>
        <v>158027</v>
      </c>
      <c r="G82" s="763" t="str">
        <f>'BOULEVARD 5'!BB87</f>
        <v>Superávit de Enganche</v>
      </c>
      <c r="H82" s="764">
        <f>'BOULEVARD PPTO'!BC82</f>
        <v>118161.5</v>
      </c>
      <c r="I82" s="764">
        <f t="shared" si="11"/>
        <v>39865.5</v>
      </c>
      <c r="J82" s="765" t="str">
        <f t="shared" si="12"/>
        <v>Superavit de enganche</v>
      </c>
      <c r="K82" s="764">
        <f>'BOULEVARD 5'!I87</f>
        <v>1181561.5</v>
      </c>
      <c r="L82" s="766">
        <f>IF('BOULEVARD 5'!G87="","",'BOULEVARD 5'!G87)</f>
        <v>45470</v>
      </c>
      <c r="M82" s="764">
        <f t="shared" si="13"/>
        <v>0</v>
      </c>
      <c r="N82" s="767">
        <f>IF('B5-Status cobranza'!AM89&lt;0,'B5-Status cobranza'!AM89,0)</f>
        <v>-6009</v>
      </c>
      <c r="O82" s="777">
        <f>IF('B5-Status cobranza'!AP89&lt;0,'B5-Status cobranza'!AP89,0)</f>
        <v>0</v>
      </c>
      <c r="P82" s="777">
        <f>IF('B5-Status cobranza'!AP89&gt;0,'B5-Status cobranza'!AP89,0)</f>
        <v>37892</v>
      </c>
      <c r="Q82" s="767">
        <f>'B5-Status cobranza'!AV89</f>
        <v>0</v>
      </c>
      <c r="R82" s="764">
        <f t="shared" si="15"/>
        <v>1181561.5</v>
      </c>
      <c r="S82" s="764">
        <f>IF('B5-Status cobranza'!AL89&lt;0,'B5-Status cobranza'!AL89,0)</f>
        <v>0</v>
      </c>
      <c r="T82" s="764">
        <v>0</v>
      </c>
      <c r="U82" s="778">
        <f t="shared" si="14"/>
        <v>0</v>
      </c>
      <c r="V82" s="764">
        <f>IF('B5-Status cobranza'!AL89&gt;0,'B5-Status cobranza'!AL89,0)</f>
        <v>3991</v>
      </c>
    </row>
    <row r="83" spans="1:22" ht="12" customHeight="1" x14ac:dyDescent="0.25">
      <c r="A83" s="763" t="str">
        <f>"Apto"&amp;'BOULEVARD 5'!B88</f>
        <v>Apto512</v>
      </c>
      <c r="B83" s="763">
        <v>1</v>
      </c>
      <c r="C83" s="763" t="str">
        <f>IF('BOULEVARD 5'!A88="","Cliente normal",'BOULEVARD 5'!A88)</f>
        <v>Cliente normal</v>
      </c>
      <c r="D83" s="763" t="str">
        <f>IF('BOULEVARD 5'!E88="","No asignado",'BOULEVARD 5'!E88)</f>
        <v>Antonio Rada</v>
      </c>
      <c r="E83" s="763" t="str">
        <f>IF('BOULEVARD 5'!F88="","No asignado",'BOULEVARD 5'!F88)</f>
        <v>Oscar Antonio Gonzalez Hurtarte</v>
      </c>
      <c r="F83" s="764">
        <f>'BOULEVARD 5'!AT88</f>
        <v>70402</v>
      </c>
      <c r="G83" s="763" t="str">
        <f>'BOULEVARD 5'!BB88</f>
        <v>Cliente Atrasado</v>
      </c>
      <c r="H83" s="764">
        <f>'BOULEVARD PPTO'!BC83</f>
        <v>70400</v>
      </c>
      <c r="I83" s="764">
        <f t="shared" si="11"/>
        <v>2</v>
      </c>
      <c r="J83" s="765" t="str">
        <f t="shared" si="12"/>
        <v>Superavit de enganche</v>
      </c>
      <c r="K83" s="764">
        <f>'BOULEVARD 5'!I88</f>
        <v>703500</v>
      </c>
      <c r="L83" s="766">
        <f>IF('BOULEVARD 5'!G88="","",'BOULEVARD 5'!G88)</f>
        <v>45125</v>
      </c>
      <c r="M83" s="764">
        <f t="shared" si="13"/>
        <v>0</v>
      </c>
      <c r="N83" s="767">
        <f>IF('B5-Status cobranza'!AM90&lt;0,'B5-Status cobranza'!AM90,0)</f>
        <v>0</v>
      </c>
      <c r="O83" s="777">
        <f>IF('B5-Status cobranza'!AP90&lt;0,'B5-Status cobranza'!AP90,0)</f>
        <v>0</v>
      </c>
      <c r="P83" s="777">
        <f>IF('B5-Status cobranza'!AP90&gt;0,'B5-Status cobranza'!AP90,0)</f>
        <v>2</v>
      </c>
      <c r="Q83" s="767">
        <f>'B5-Status cobranza'!AV90</f>
        <v>2477</v>
      </c>
      <c r="R83" s="764">
        <f t="shared" si="15"/>
        <v>703500</v>
      </c>
      <c r="S83" s="764">
        <f>IF('B5-Status cobranza'!AL90&lt;0,'B5-Status cobranza'!AL90,0)</f>
        <v>0</v>
      </c>
      <c r="T83" s="764">
        <v>2477</v>
      </c>
      <c r="U83" s="778">
        <f t="shared" si="14"/>
        <v>8.1560895761882482E-3</v>
      </c>
      <c r="V83" s="764">
        <f>IF('B5-Status cobranza'!AL90&gt;0,'B5-Status cobranza'!AL90,0)</f>
        <v>2</v>
      </c>
    </row>
    <row r="84" spans="1:22" ht="12" customHeight="1" x14ac:dyDescent="0.25">
      <c r="A84" s="763" t="str">
        <f>"Apto"&amp;'BOULEVARD 5'!B89</f>
        <v>Apto513</v>
      </c>
      <c r="B84" s="763">
        <v>1</v>
      </c>
      <c r="C84" s="763" t="str">
        <f>IF('BOULEVARD 5'!A89="","Cliente normal",'BOULEVARD 5'!A89)</f>
        <v>Cliente normal</v>
      </c>
      <c r="D84" s="763" t="str">
        <f>IF('BOULEVARD 5'!E89="","No asignado",'BOULEVARD 5'!E89)</f>
        <v>Antonio Rada</v>
      </c>
      <c r="E84" s="763" t="str">
        <f>IF('BOULEVARD 5'!F89="","No asignado",'BOULEVARD 5'!F89)</f>
        <v>Maria Fernanda Cabrera Valdez</v>
      </c>
      <c r="F84" s="764">
        <f>'BOULEVARD 5'!AT89</f>
        <v>76035</v>
      </c>
      <c r="G84" s="763" t="str">
        <f>'BOULEVARD 5'!BB89</f>
        <v>Cliente Atrasado</v>
      </c>
      <c r="H84" s="764">
        <f>'BOULEVARD PPTO'!BC84</f>
        <v>68800</v>
      </c>
      <c r="I84" s="764">
        <f t="shared" si="11"/>
        <v>7235</v>
      </c>
      <c r="J84" s="765" t="str">
        <f t="shared" si="12"/>
        <v>Superavit de enganche</v>
      </c>
      <c r="K84" s="764">
        <f>'BOULEVARD 5'!I89</f>
        <v>687500</v>
      </c>
      <c r="L84" s="766">
        <f>IF('BOULEVARD 5'!G89="","",'BOULEVARD 5'!G89)</f>
        <v>45123</v>
      </c>
      <c r="M84" s="764">
        <f t="shared" si="13"/>
        <v>0</v>
      </c>
      <c r="N84" s="767">
        <f>IF('B5-Status cobranza'!AM91&lt;0,'B5-Status cobranza'!AM91,0)</f>
        <v>0</v>
      </c>
      <c r="O84" s="777">
        <f>IF('B5-Status cobranza'!AP91&lt;0,'B5-Status cobranza'!AP91,0)</f>
        <v>0</v>
      </c>
      <c r="P84" s="777">
        <f>IF('B5-Status cobranza'!AP91&gt;0,'B5-Status cobranza'!AP91,0)</f>
        <v>2405</v>
      </c>
      <c r="Q84" s="767">
        <f>'B5-Status cobranza'!AV91</f>
        <v>4830</v>
      </c>
      <c r="R84" s="764">
        <f t="shared" si="15"/>
        <v>687500</v>
      </c>
      <c r="S84" s="764">
        <f>IF('B5-Status cobranza'!AL91&lt;0,'B5-Status cobranza'!AL91,0)</f>
        <v>-10</v>
      </c>
      <c r="T84" s="764">
        <v>2415</v>
      </c>
      <c r="U84" s="778">
        <f t="shared" si="14"/>
        <v>7.95194038211329E-3</v>
      </c>
      <c r="V84" s="764">
        <f>IF('B5-Status cobranza'!AL91&gt;0,'B5-Status cobranza'!AL91,0)</f>
        <v>0</v>
      </c>
    </row>
    <row r="85" spans="1:22" ht="12" customHeight="1" x14ac:dyDescent="0.25">
      <c r="A85" s="763" t="str">
        <f>"Apto"&amp;'BOULEVARD 5'!B90</f>
        <v>Apto514</v>
      </c>
      <c r="B85" s="763">
        <v>1</v>
      </c>
      <c r="C85" s="763" t="str">
        <f>IF('BOULEVARD 5'!A90="","Cliente normal",'BOULEVARD 5'!A90)</f>
        <v>Cliente normal</v>
      </c>
      <c r="D85" s="763" t="str">
        <f>IF('BOULEVARD 5'!E90="","No asignado",'BOULEVARD 5'!E90)</f>
        <v>Antonio Rada</v>
      </c>
      <c r="E85" s="763" t="str">
        <f>IF('BOULEVARD 5'!F90="","No asignado",'BOULEVARD 5'!F90)</f>
        <v>Danya Maribel Callejas Hernandez De Herrera</v>
      </c>
      <c r="F85" s="764">
        <f>'BOULEVARD 5'!AT90</f>
        <v>92048</v>
      </c>
      <c r="G85" s="763" t="str">
        <f>'BOULEVARD 5'!BB90</f>
        <v>Cliente Atrasado</v>
      </c>
      <c r="H85" s="764">
        <f>'BOULEVARD PPTO'!BC85</f>
        <v>0</v>
      </c>
      <c r="I85" s="764">
        <f t="shared" si="11"/>
        <v>92048</v>
      </c>
      <c r="J85" s="765" t="str">
        <f t="shared" si="12"/>
        <v>Superavit de enganche</v>
      </c>
      <c r="K85" s="764">
        <f>'BOULEVARD 5'!I90</f>
        <v>1535078.4052580199</v>
      </c>
      <c r="L85" s="766">
        <f>IF('BOULEVARD 5'!G90="","",'BOULEVARD 5'!G90)</f>
        <v>45741</v>
      </c>
      <c r="M85" s="764">
        <f t="shared" si="13"/>
        <v>0</v>
      </c>
      <c r="N85" s="767">
        <f>IF('B5-Status cobranza'!AM92&lt;0,'B5-Status cobranza'!AM92,0)</f>
        <v>0</v>
      </c>
      <c r="O85" s="777">
        <f>IF('B5-Status cobranza'!AP92&lt;0,'B5-Status cobranza'!AP92,0)</f>
        <v>0</v>
      </c>
      <c r="P85" s="777">
        <f>IF('B5-Status cobranza'!AP92&gt;0,'B5-Status cobranza'!AP92,0)</f>
        <v>81792</v>
      </c>
      <c r="Q85" s="767">
        <f>'B5-Status cobranza'!AV92</f>
        <v>10256</v>
      </c>
      <c r="R85" s="764">
        <f t="shared" si="15"/>
        <v>1535078.4052580199</v>
      </c>
      <c r="S85" s="764">
        <f>IF('B5-Status cobranza'!AL92&lt;0,'B5-Status cobranza'!AL92,0)</f>
        <v>0</v>
      </c>
      <c r="T85" s="764">
        <v>0</v>
      </c>
      <c r="U85" s="778">
        <f t="shared" si="14"/>
        <v>0</v>
      </c>
      <c r="V85" s="764">
        <f>IF('B5-Status cobranza'!AL92&gt;0,'B5-Status cobranza'!AL92,0)</f>
        <v>10256</v>
      </c>
    </row>
    <row r="86" spans="1:22" ht="12" customHeight="1" x14ac:dyDescent="0.25">
      <c r="A86" s="763" t="str">
        <f>"Apto"&amp;'BOULEVARD 5'!B91</f>
        <v>Apto515</v>
      </c>
      <c r="B86" s="763">
        <v>1</v>
      </c>
      <c r="C86" s="763" t="str">
        <f>IF('BOULEVARD 5'!A91="","Cliente normal",'BOULEVARD 5'!A91)</f>
        <v>Cliente normal</v>
      </c>
      <c r="D86" s="763" t="str">
        <f>IF('BOULEVARD 5'!E91="","No asignado",'BOULEVARD 5'!E91)</f>
        <v>Jose Franco</v>
      </c>
      <c r="E86" s="763" t="str">
        <f>IF('BOULEVARD 5'!F91="","No asignado",'BOULEVARD 5'!F91)</f>
        <v>Ingrid Vanessa Granados Barneond</v>
      </c>
      <c r="F86" s="764">
        <f>'BOULEVARD 5'!AT91</f>
        <v>59380</v>
      </c>
      <c r="G86" s="763" t="str">
        <f>'BOULEVARD 5'!BB91</f>
        <v>Cliente al día</v>
      </c>
      <c r="H86" s="764">
        <f>'BOULEVARD PPTO'!BC86</f>
        <v>61249.5</v>
      </c>
      <c r="I86" s="764">
        <f t="shared" si="11"/>
        <v>-1869.5</v>
      </c>
      <c r="J86" s="765" t="str">
        <f t="shared" si="12"/>
        <v>Enganche por pagar</v>
      </c>
      <c r="K86" s="764">
        <f>'BOULEVARD 5'!I91</f>
        <v>611949.49679780402</v>
      </c>
      <c r="L86" s="766">
        <f>IF('BOULEVARD 5'!G91="","",'BOULEVARD 5'!G91)</f>
        <v>45012</v>
      </c>
      <c r="M86" s="764">
        <f t="shared" si="13"/>
        <v>0</v>
      </c>
      <c r="N86" s="767">
        <f>IF('B5-Status cobranza'!AM93&lt;0,'B5-Status cobranza'!AM93,0)</f>
        <v>0</v>
      </c>
      <c r="O86" s="777">
        <f>IF('B5-Status cobranza'!AP93&lt;0,'B5-Status cobranza'!AP93,0)</f>
        <v>0</v>
      </c>
      <c r="P86" s="777">
        <f>IF('B5-Status cobranza'!AP93&gt;0,'B5-Status cobranza'!AP93,0)</f>
        <v>1570</v>
      </c>
      <c r="Q86" s="767">
        <f>'B5-Status cobranza'!AV93</f>
        <v>0</v>
      </c>
      <c r="R86" s="764">
        <f t="shared" si="15"/>
        <v>611949.49679780402</v>
      </c>
      <c r="S86" s="764">
        <f>IF('B5-Status cobranza'!AL93&lt;0,'B5-Status cobranza'!AL93,0)</f>
        <v>0</v>
      </c>
      <c r="T86" s="764">
        <v>0</v>
      </c>
      <c r="U86" s="778">
        <f t="shared" si="14"/>
        <v>0</v>
      </c>
      <c r="V86" s="764">
        <f>IF('B5-Status cobranza'!AL93&gt;0,'B5-Status cobranza'!AL93,0)</f>
        <v>0</v>
      </c>
    </row>
    <row r="87" spans="1:22" ht="12" customHeight="1" x14ac:dyDescent="0.25">
      <c r="A87" s="763" t="str">
        <f>"Apto"&amp;'BOULEVARD 5'!B92</f>
        <v>Apto516</v>
      </c>
      <c r="B87" s="763">
        <v>1</v>
      </c>
      <c r="C87" s="763" t="str">
        <f>IF('BOULEVARD 5'!A92="","Cliente normal",'BOULEVARD 5'!A92)</f>
        <v>Cliente normal</v>
      </c>
      <c r="D87" s="763" t="str">
        <f>IF('BOULEVARD 5'!E92="","No asignado",'BOULEVARD 5'!E92)</f>
        <v>Diana Alvarez</v>
      </c>
      <c r="E87" s="763" t="str">
        <f>IF('BOULEVARD 5'!F92="","No asignado",'BOULEVARD 5'!F92)</f>
        <v>José Javier Sarceño Alfaro Y María Rosana Rivera Gallardo</v>
      </c>
      <c r="F87" s="764">
        <f>'BOULEVARD 5'!AT92</f>
        <v>103732</v>
      </c>
      <c r="G87" s="763" t="str">
        <f>'BOULEVARD 5'!BB92</f>
        <v>Cliente Atrasado</v>
      </c>
      <c r="H87" s="764">
        <f>'BOULEVARD PPTO'!BC87</f>
        <v>103710</v>
      </c>
      <c r="I87" s="764">
        <f t="shared" si="11"/>
        <v>22</v>
      </c>
      <c r="J87" s="765" t="str">
        <f t="shared" si="12"/>
        <v>Superavit de enganche</v>
      </c>
      <c r="K87" s="764">
        <f>'BOULEVARD 5'!I92</f>
        <v>1036610</v>
      </c>
      <c r="L87" s="766">
        <f>IF('BOULEVARD 5'!G92="","",'BOULEVARD 5'!G92)</f>
        <v>45557</v>
      </c>
      <c r="M87" s="764">
        <f t="shared" si="13"/>
        <v>0</v>
      </c>
      <c r="N87" s="767">
        <f>IF('B5-Status cobranza'!AM94&lt;0,'B5-Status cobranza'!AM94,0)</f>
        <v>0</v>
      </c>
      <c r="O87" s="777">
        <f>IF('B5-Status cobranza'!AP94&lt;0,'B5-Status cobranza'!AP94,0)</f>
        <v>-6220</v>
      </c>
      <c r="P87" s="777">
        <f>IF('B5-Status cobranza'!AP94&gt;0,'B5-Status cobranza'!AP94,0)</f>
        <v>0</v>
      </c>
      <c r="Q87" s="767">
        <f>'B5-Status cobranza'!AV94</f>
        <v>0</v>
      </c>
      <c r="R87" s="764">
        <f t="shared" si="15"/>
        <v>1036610</v>
      </c>
      <c r="S87" s="764">
        <f>IF('B5-Status cobranza'!AL94&lt;0,'B5-Status cobranza'!AL94,0)</f>
        <v>-6247</v>
      </c>
      <c r="T87" s="764">
        <v>0</v>
      </c>
      <c r="U87" s="778">
        <f t="shared" si="14"/>
        <v>0</v>
      </c>
      <c r="V87" s="764">
        <f>IF('B5-Status cobranza'!AL94&gt;0,'B5-Status cobranza'!AL94,0)</f>
        <v>0</v>
      </c>
    </row>
    <row r="88" spans="1:22" ht="12" customHeight="1" x14ac:dyDescent="0.25">
      <c r="A88" s="763" t="str">
        <f>"Apto"&amp;'BOULEVARD 5'!B93</f>
        <v>Apto517</v>
      </c>
      <c r="B88" s="763">
        <v>1</v>
      </c>
      <c r="C88" s="763" t="str">
        <f>IF('BOULEVARD 5'!A93="","Cliente normal",'BOULEVARD 5'!A93)</f>
        <v>Cliente normal</v>
      </c>
      <c r="D88" s="763" t="str">
        <f>IF('BOULEVARD 5'!E93="","No asignado",'BOULEVARD 5'!E93)</f>
        <v>Antonio Rada</v>
      </c>
      <c r="E88" s="763" t="str">
        <f>IF('BOULEVARD 5'!F93="","No asignado",'BOULEVARD 5'!F93)</f>
        <v>Jorge Estuardo Díaz Durán Baldetti</v>
      </c>
      <c r="F88" s="764">
        <f>'BOULEVARD 5'!AT93</f>
        <v>133540</v>
      </c>
      <c r="G88" s="763" t="str">
        <f>'BOULEVARD 5'!BB93</f>
        <v>Superávit de Enganche</v>
      </c>
      <c r="H88" s="764">
        <f>'BOULEVARD PPTO'!BC88</f>
        <v>87162.12</v>
      </c>
      <c r="I88" s="764">
        <f t="shared" si="11"/>
        <v>46377.880000000005</v>
      </c>
      <c r="J88" s="765" t="str">
        <f t="shared" si="12"/>
        <v>Superavit de enganche</v>
      </c>
      <c r="K88" s="764">
        <f>'BOULEVARD 5'!I93</f>
        <v>871162.12</v>
      </c>
      <c r="L88" s="766">
        <f>IF('BOULEVARD 5'!G93="","",'BOULEVARD 5'!G93)</f>
        <v>45425</v>
      </c>
      <c r="M88" s="764">
        <f t="shared" si="13"/>
        <v>0</v>
      </c>
      <c r="N88" s="767">
        <f>IF('B5-Status cobranza'!AM95&lt;0,'B5-Status cobranza'!AM95,0)</f>
        <v>0</v>
      </c>
      <c r="O88" s="777">
        <f>IF('B5-Status cobranza'!AP95&lt;0,'B5-Status cobranza'!AP95,0)</f>
        <v>-126</v>
      </c>
      <c r="P88" s="777">
        <f>IF('B5-Status cobranza'!AP95&gt;0,'B5-Status cobranza'!AP95,0)</f>
        <v>0</v>
      </c>
      <c r="Q88" s="767">
        <f>'B5-Status cobranza'!AV95</f>
        <v>0</v>
      </c>
      <c r="R88" s="764">
        <f t="shared" si="15"/>
        <v>871162.12</v>
      </c>
      <c r="S88" s="764">
        <f>IF('B5-Status cobranza'!AL95&lt;0,'B5-Status cobranza'!AL95,0)</f>
        <v>0</v>
      </c>
      <c r="T88" s="764">
        <v>0</v>
      </c>
      <c r="U88" s="778">
        <f t="shared" si="14"/>
        <v>0</v>
      </c>
      <c r="V88" s="764">
        <f>IF('B5-Status cobranza'!AL95&gt;0,'B5-Status cobranza'!AL95,0)</f>
        <v>0</v>
      </c>
    </row>
    <row r="89" spans="1:22" ht="12" customHeight="1" x14ac:dyDescent="0.25">
      <c r="A89" s="763" t="str">
        <f>"Apto"&amp;'BOULEVARD 5'!B94</f>
        <v>Apto518</v>
      </c>
      <c r="B89" s="763">
        <v>1</v>
      </c>
      <c r="C89" s="763" t="str">
        <f>IF('BOULEVARD 5'!A94="","Cliente normal",'BOULEVARD 5'!A94)</f>
        <v>Cliente normal</v>
      </c>
      <c r="D89" s="763" t="str">
        <f>IF('BOULEVARD 5'!E94="","No asignado",'BOULEVARD 5'!E94)</f>
        <v>Diana Alvarez</v>
      </c>
      <c r="E89" s="763" t="str">
        <f>IF('BOULEVARD 5'!F94="","No asignado",'BOULEVARD 5'!F94)</f>
        <v>Karla Denisse Ariana Méndez Contreras</v>
      </c>
      <c r="F89" s="764">
        <f>'BOULEVARD 5'!AT94</f>
        <v>550549.43999999994</v>
      </c>
      <c r="G89" s="763" t="str">
        <f>'BOULEVARD 5'!BB94</f>
        <v>Superávit de Enganche</v>
      </c>
      <c r="H89" s="764">
        <f>'BOULEVARD PPTO'!BC89</f>
        <v>150549.44</v>
      </c>
      <c r="I89" s="764">
        <f t="shared" si="11"/>
        <v>399999.99999999994</v>
      </c>
      <c r="J89" s="765" t="str">
        <f t="shared" si="12"/>
        <v>Superavit de enganche</v>
      </c>
      <c r="K89" s="764">
        <f>'BOULEVARD 5'!I94</f>
        <v>1502549.44</v>
      </c>
      <c r="L89" s="766">
        <f>IF('BOULEVARD 5'!G94="","",'BOULEVARD 5'!G94)</f>
        <v>45594</v>
      </c>
      <c r="M89" s="764">
        <f t="shared" si="13"/>
        <v>0</v>
      </c>
      <c r="N89" s="767">
        <f>IF('B5-Status cobranza'!AM96&lt;0,'B5-Status cobranza'!AM96,0)</f>
        <v>0</v>
      </c>
      <c r="O89" s="777">
        <f>IF('B5-Status cobranza'!AP96&lt;0,'B5-Status cobranza'!AP96,0)</f>
        <v>0</v>
      </c>
      <c r="P89" s="777">
        <f>IF('B5-Status cobranza'!AP96&gt;0,'B5-Status cobranza'!AP96,0)</f>
        <v>10000</v>
      </c>
      <c r="Q89" s="767">
        <f>'B5-Status cobranza'!AV96</f>
        <v>2603</v>
      </c>
      <c r="R89" s="764">
        <f t="shared" si="15"/>
        <v>1502549.44</v>
      </c>
      <c r="S89" s="764">
        <f>IF('B5-Status cobranza'!AL96&lt;0,'B5-Status cobranza'!AL96,0)</f>
        <v>-7397</v>
      </c>
      <c r="T89" s="764">
        <v>10000</v>
      </c>
      <c r="U89" s="778">
        <f t="shared" si="14"/>
        <v>3.2927289366928736E-2</v>
      </c>
      <c r="V89" s="764">
        <f>IF('B5-Status cobranza'!AL96&gt;0,'B5-Status cobranza'!AL96,0)</f>
        <v>0</v>
      </c>
    </row>
    <row r="90" spans="1:22" ht="12" customHeight="1" x14ac:dyDescent="0.25">
      <c r="A90" s="763" t="str">
        <f>"Apto"&amp;'BOULEVARD 5'!B95</f>
        <v>Apto519</v>
      </c>
      <c r="B90" s="763">
        <v>1</v>
      </c>
      <c r="C90" s="763" t="str">
        <f>IF('BOULEVARD 5'!A95="","Cliente normal",'BOULEVARD 5'!A95)</f>
        <v>Cliente normal</v>
      </c>
      <c r="D90" s="763" t="str">
        <f>IF('BOULEVARD 5'!E95="","No asignado",'BOULEVARD 5'!E95)</f>
        <v>Anahí Cisneros</v>
      </c>
      <c r="E90" s="763" t="str">
        <f>IF('BOULEVARD 5'!F95="","No asignado",'BOULEVARD 5'!F95)</f>
        <v>Neftali Hemanuel de Leon Recinos</v>
      </c>
      <c r="F90" s="764">
        <f>'BOULEVARD 5'!AT95</f>
        <v>61050</v>
      </c>
      <c r="G90" s="763" t="str">
        <f>'BOULEVARD 5'!BB95</f>
        <v>Cliente al día</v>
      </c>
      <c r="H90" s="764">
        <f>'BOULEVARD PPTO'!BC90</f>
        <v>112100</v>
      </c>
      <c r="I90" s="764">
        <f t="shared" si="11"/>
        <v>-51050</v>
      </c>
      <c r="J90" s="765" t="str">
        <f t="shared" si="12"/>
        <v>Enganche por pagar</v>
      </c>
      <c r="K90" s="764">
        <f>'BOULEVARD 5'!I95</f>
        <v>1529194.3266091</v>
      </c>
      <c r="L90" s="766">
        <f>IF('BOULEVARD 5'!G95="","",'BOULEVARD 5'!G95)</f>
        <v>45898</v>
      </c>
      <c r="M90" s="764">
        <f t="shared" si="13"/>
        <v>0</v>
      </c>
      <c r="N90" s="767">
        <f>IF('B5-Status cobranza'!AM97&lt;0,'B5-Status cobranza'!AM97,0)</f>
        <v>0</v>
      </c>
      <c r="O90" s="777">
        <f>IF('B5-Status cobranza'!AP97&lt;0,'B5-Status cobranza'!AP97,0)</f>
        <v>0</v>
      </c>
      <c r="P90" s="777">
        <f>IF('B5-Status cobranza'!AP97&gt;0,'B5-Status cobranza'!AP97,0)</f>
        <v>0</v>
      </c>
      <c r="Q90" s="767">
        <f>'B5-Status cobranza'!AV97</f>
        <v>0</v>
      </c>
      <c r="R90" s="764">
        <f t="shared" si="15"/>
        <v>1529194.3266091</v>
      </c>
      <c r="S90" s="764">
        <f>IF('B5-Status cobranza'!AL97&lt;0,'B5-Status cobranza'!AL97,0)</f>
        <v>0</v>
      </c>
      <c r="T90" s="764">
        <v>0</v>
      </c>
      <c r="U90" s="778">
        <f t="shared" si="14"/>
        <v>0</v>
      </c>
      <c r="V90" s="764">
        <f>IF('B5-Status cobranza'!AL97&gt;0,'B5-Status cobranza'!AL97,0)</f>
        <v>0</v>
      </c>
    </row>
    <row r="91" spans="1:22" ht="12" customHeight="1" x14ac:dyDescent="0.25">
      <c r="A91" s="763" t="str">
        <f>"Apto"&amp;'BOULEVARD 5'!B96</f>
        <v>Apto601</v>
      </c>
      <c r="B91" s="763">
        <v>1</v>
      </c>
      <c r="C91" s="763" t="str">
        <f>IF('BOULEVARD 5'!A96="","Cliente normal",'BOULEVARD 5'!A96)</f>
        <v>Cliente normal</v>
      </c>
      <c r="D91" s="763" t="str">
        <f>IF('BOULEVARD 5'!E96="","No asignado",'BOULEVARD 5'!E96)</f>
        <v>Diana Alvarez</v>
      </c>
      <c r="E91" s="763" t="str">
        <f>IF('BOULEVARD 5'!F96="","No asignado",'BOULEVARD 5'!F96)</f>
        <v>Cedric Amilcar Rivera Fajardo</v>
      </c>
      <c r="F91" s="764">
        <f>'BOULEVARD 5'!AT96</f>
        <v>148000</v>
      </c>
      <c r="G91" s="763" t="str">
        <f>'BOULEVARD 5'!BB96</f>
        <v>Cliente Atrasado</v>
      </c>
      <c r="H91" s="764">
        <f>'BOULEVARD PPTO'!BC91</f>
        <v>147912.79999999999</v>
      </c>
      <c r="I91" s="764">
        <f t="shared" si="11"/>
        <v>87.200000000011642</v>
      </c>
      <c r="J91" s="765" t="str">
        <f t="shared" si="12"/>
        <v>Superavit de enganche</v>
      </c>
      <c r="K91" s="764">
        <f>'BOULEVARD 5'!I96</f>
        <v>1477912.8</v>
      </c>
      <c r="L91" s="766">
        <f>IF('BOULEVARD 5'!G96="","",'BOULEVARD 5'!G96)</f>
        <v>45580</v>
      </c>
      <c r="M91" s="764">
        <f t="shared" si="13"/>
        <v>0</v>
      </c>
      <c r="N91" s="767">
        <f>IF('B5-Status cobranza'!AM98&lt;0,'B5-Status cobranza'!AM98,0)</f>
        <v>-3851</v>
      </c>
      <c r="O91" s="777">
        <f>IF('B5-Status cobranza'!AP98&lt;0,'B5-Status cobranza'!AP98,0)</f>
        <v>0</v>
      </c>
      <c r="P91" s="777">
        <f>IF('B5-Status cobranza'!AP98&gt;0,'B5-Status cobranza'!AP98,0)</f>
        <v>13788</v>
      </c>
      <c r="Q91" s="767">
        <f>'B5-Status cobranza'!AV98</f>
        <v>0</v>
      </c>
      <c r="R91" s="764">
        <f t="shared" si="15"/>
        <v>1477912.8</v>
      </c>
      <c r="S91" s="764">
        <f>IF('B5-Status cobranza'!AL98&lt;0,'B5-Status cobranza'!AL98,0)</f>
        <v>-3851</v>
      </c>
      <c r="T91" s="764">
        <v>0</v>
      </c>
      <c r="U91" s="778">
        <f t="shared" si="14"/>
        <v>0</v>
      </c>
      <c r="V91" s="764">
        <f>IF('B5-Status cobranza'!AL98&gt;0,'B5-Status cobranza'!AL98,0)</f>
        <v>0</v>
      </c>
    </row>
    <row r="92" spans="1:22" ht="12" customHeight="1" x14ac:dyDescent="0.25">
      <c r="A92" s="763" t="str">
        <f>"Apto"&amp;'BOULEVARD 5'!B97</f>
        <v>Apto602</v>
      </c>
      <c r="B92" s="763">
        <v>1</v>
      </c>
      <c r="C92" s="763" t="str">
        <f>IF('BOULEVARD 5'!A97="","Cliente normal",'BOULEVARD 5'!A97)</f>
        <v>Cliente normal</v>
      </c>
      <c r="D92" s="763" t="s">
        <v>135</v>
      </c>
      <c r="E92" s="763" t="str">
        <f>IF('BOULEVARD 5'!F97="","No asignado",'BOULEVARD 5'!F97)</f>
        <v>Wendy Lorena Caal Garcia</v>
      </c>
      <c r="F92" s="764">
        <f>'BOULEVARD 5'!AT97</f>
        <v>112800</v>
      </c>
      <c r="G92" s="763" t="str">
        <f>'BOULEVARD 5'!BB97</f>
        <v>Enganche Completado</v>
      </c>
      <c r="H92" s="764">
        <f>'BOULEVARD PPTO'!BC92</f>
        <v>152894.32999999999</v>
      </c>
      <c r="I92" s="764">
        <f t="shared" si="11"/>
        <v>-40094.329999999987</v>
      </c>
      <c r="J92" s="765" t="str">
        <f t="shared" si="12"/>
        <v>Enganche por pagar</v>
      </c>
      <c r="K92" s="764">
        <f>'BOULEVARD 5'!I97</f>
        <v>1610400</v>
      </c>
      <c r="L92" s="766">
        <f>IF('BOULEVARD 5'!G97="","",'BOULEVARD 5'!G97)</f>
        <v>45896</v>
      </c>
      <c r="M92" s="764">
        <f t="shared" si="13"/>
        <v>0</v>
      </c>
      <c r="N92" s="767">
        <f>IF('B5-Status cobranza'!AM99&lt;0,'B5-Status cobranza'!AM99,0)</f>
        <v>0</v>
      </c>
      <c r="O92" s="777">
        <f>IF('B5-Status cobranza'!AP99&lt;0,'B5-Status cobranza'!AP99,0)</f>
        <v>0</v>
      </c>
      <c r="P92" s="777">
        <f>IF('B5-Status cobranza'!AP99&gt;0,'B5-Status cobranza'!AP99,0)</f>
        <v>55168</v>
      </c>
      <c r="Q92" s="767">
        <f>'B5-Status cobranza'!AV99</f>
        <v>90892</v>
      </c>
      <c r="R92" s="764">
        <f t="shared" si="15"/>
        <v>1610400</v>
      </c>
      <c r="S92" s="764">
        <f>IF('B5-Status cobranza'!AL99&lt;0,'B5-Status cobranza'!AL99,0)</f>
        <v>-11908</v>
      </c>
      <c r="T92" s="764">
        <v>0</v>
      </c>
      <c r="U92" s="778">
        <f t="shared" si="14"/>
        <v>0</v>
      </c>
      <c r="V92" s="764">
        <f>IF('B5-Status cobranza'!AL99&gt;0,'B5-Status cobranza'!AL99,0)</f>
        <v>0</v>
      </c>
    </row>
    <row r="93" spans="1:22" ht="12" customHeight="1" x14ac:dyDescent="0.25">
      <c r="A93" s="763" t="str">
        <f>"Apto"&amp;'BOULEVARD 5'!B98</f>
        <v>Apto603</v>
      </c>
      <c r="B93" s="763">
        <v>1</v>
      </c>
      <c r="C93" s="763" t="str">
        <f>IF('BOULEVARD 5'!A98="","Cliente normal",'BOULEVARD 5'!A98)</f>
        <v>Cliente normal</v>
      </c>
      <c r="D93" s="763" t="str">
        <f>IF('BOULEVARD 5'!E98="","No asignado",'BOULEVARD 5'!E98)</f>
        <v>Antonio Rada</v>
      </c>
      <c r="E93" s="763" t="str">
        <f>IF('BOULEVARD 5'!F98="","No asignado",'BOULEVARD 5'!F98)</f>
        <v>Mario José Márquez Rivera / Belteton Castellanos Iveth</v>
      </c>
      <c r="F93" s="764">
        <f>'BOULEVARD 5'!AT98</f>
        <v>104700</v>
      </c>
      <c r="G93" s="763" t="str">
        <f>'BOULEVARD 5'!BB98</f>
        <v>Cliente Atrasado</v>
      </c>
      <c r="H93" s="764">
        <f>'BOULEVARD PPTO'!BC93</f>
        <v>90200</v>
      </c>
      <c r="I93" s="764">
        <f t="shared" si="11"/>
        <v>14500</v>
      </c>
      <c r="J93" s="765" t="str">
        <f t="shared" si="12"/>
        <v>Superavit de enganche</v>
      </c>
      <c r="K93" s="764">
        <f>'BOULEVARD 5'!I98</f>
        <v>901400</v>
      </c>
      <c r="L93" s="766">
        <f>IF('BOULEVARD 5'!G98="","",'BOULEVARD 5'!G98)</f>
        <v>45384</v>
      </c>
      <c r="M93" s="764">
        <f t="shared" si="13"/>
        <v>0</v>
      </c>
      <c r="N93" s="767">
        <f>IF('B5-Status cobranza'!AM100&lt;0,'B5-Status cobranza'!AM100,0)</f>
        <v>0</v>
      </c>
      <c r="O93" s="777">
        <f>IF('B5-Status cobranza'!AP100&lt;0,'B5-Status cobranza'!AP100,0)</f>
        <v>0</v>
      </c>
      <c r="P93" s="777">
        <f>IF('B5-Status cobranza'!AP100&gt;0,'B5-Status cobranza'!AP100,0)</f>
        <v>4830</v>
      </c>
      <c r="Q93" s="767">
        <f>'B5-Status cobranza'!AV100</f>
        <v>4835</v>
      </c>
      <c r="R93" s="764">
        <f t="shared" si="15"/>
        <v>901400</v>
      </c>
      <c r="S93" s="764">
        <f>IF('B5-Status cobranza'!AL100&lt;0,'B5-Status cobranza'!AL100,0)</f>
        <v>0</v>
      </c>
      <c r="T93" s="764">
        <v>0</v>
      </c>
      <c r="U93" s="778">
        <f t="shared" si="14"/>
        <v>0</v>
      </c>
      <c r="V93" s="764">
        <f>IF('B5-Status cobranza'!AL100&gt;0,'B5-Status cobranza'!AL100,0)</f>
        <v>2412.5</v>
      </c>
    </row>
    <row r="94" spans="1:22" ht="12" customHeight="1" x14ac:dyDescent="0.25">
      <c r="A94" s="763" t="str">
        <f>"Apto"&amp;'BOULEVARD 5'!B99</f>
        <v>Apto604</v>
      </c>
      <c r="B94" s="763">
        <v>1</v>
      </c>
      <c r="C94" s="763" t="str">
        <f>IF('BOULEVARD 5'!A99="","Cliente normal",'BOULEVARD 5'!A99)</f>
        <v>Cliente normal</v>
      </c>
      <c r="D94" s="763" t="str">
        <f>IF('BOULEVARD 5'!E99="","No asignado",'BOULEVARD 5'!E99)</f>
        <v>Antonio Rada</v>
      </c>
      <c r="E94" s="763" t="str">
        <f>IF('BOULEVARD 5'!F99="","No asignado",'BOULEVARD 5'!F99)</f>
        <v>Juan Sebastian Gaitán Serrano</v>
      </c>
      <c r="F94" s="764">
        <f>'BOULEVARD 5'!AT99</f>
        <v>103400</v>
      </c>
      <c r="G94" s="763" t="str">
        <f>'BOULEVARD 5'!BB99</f>
        <v>Superávit de Enganche</v>
      </c>
      <c r="H94" s="764">
        <f>'BOULEVARD PPTO'!BC94</f>
        <v>88800</v>
      </c>
      <c r="I94" s="764">
        <f t="shared" si="11"/>
        <v>14600</v>
      </c>
      <c r="J94" s="765" t="str">
        <f t="shared" si="12"/>
        <v>Superavit de enganche</v>
      </c>
      <c r="K94" s="764">
        <f>'BOULEVARD 5'!I99</f>
        <v>887400</v>
      </c>
      <c r="L94" s="766">
        <f>IF('BOULEVARD 5'!G99="","",'BOULEVARD 5'!G99)</f>
        <v>45411</v>
      </c>
      <c r="M94" s="764">
        <f t="shared" si="13"/>
        <v>0</v>
      </c>
      <c r="N94" s="767">
        <f>IF('B5-Status cobranza'!AM101&lt;0,'B5-Status cobranza'!AM101,0)</f>
        <v>0</v>
      </c>
      <c r="O94" s="777">
        <f>IF('B5-Status cobranza'!AP101&lt;0,'B5-Status cobranza'!AP101,0)</f>
        <v>0</v>
      </c>
      <c r="P94" s="777">
        <f>IF('B5-Status cobranza'!AP101&gt;0,'B5-Status cobranza'!AP101,0)</f>
        <v>4754</v>
      </c>
      <c r="Q94" s="767">
        <f>'B5-Status cobranza'!AV101</f>
        <v>4753</v>
      </c>
      <c r="R94" s="764">
        <f t="shared" si="15"/>
        <v>887400</v>
      </c>
      <c r="S94" s="764">
        <f>IF('B5-Status cobranza'!AL101&lt;0,'B5-Status cobranza'!AL101,0)</f>
        <v>0</v>
      </c>
      <c r="T94" s="764">
        <v>0</v>
      </c>
      <c r="U94" s="778">
        <f t="shared" si="14"/>
        <v>0</v>
      </c>
      <c r="V94" s="764">
        <f>IF('B5-Status cobranza'!AL101&gt;0,'B5-Status cobranza'!AL101,0)</f>
        <v>1</v>
      </c>
    </row>
    <row r="95" spans="1:22" ht="12" customHeight="1" x14ac:dyDescent="0.25">
      <c r="A95" s="763" t="str">
        <f>"Apto"&amp;'BOULEVARD 5'!B100</f>
        <v>Apto605</v>
      </c>
      <c r="B95" s="763">
        <v>1</v>
      </c>
      <c r="C95" s="763" t="str">
        <f>IF('BOULEVARD 5'!A100="","Cliente normal",'BOULEVARD 5'!A100)</f>
        <v>Cliente normal</v>
      </c>
      <c r="D95" s="763" t="str">
        <f>IF('BOULEVARD 5'!E100="","No asignado",'BOULEVARD 5'!E100)</f>
        <v>Antonio Rada</v>
      </c>
      <c r="E95" s="763" t="str">
        <f>IF('BOULEVARD 5'!F100="","No asignado",'BOULEVARD 5'!F100)</f>
        <v>Mirna Maria Rosas Guerra</v>
      </c>
      <c r="F95" s="764">
        <f>'BOULEVARD 5'!AT100</f>
        <v>137405</v>
      </c>
      <c r="G95" s="763" t="str">
        <f>'BOULEVARD 5'!BB100</f>
        <v>Cliente Atrasado</v>
      </c>
      <c r="H95" s="764">
        <f>'BOULEVARD PPTO'!BC95</f>
        <v>137405</v>
      </c>
      <c r="I95" s="764">
        <f t="shared" si="11"/>
        <v>0</v>
      </c>
      <c r="J95" s="765" t="str">
        <f t="shared" si="12"/>
        <v>Enganche por pagar</v>
      </c>
      <c r="K95" s="764">
        <f>'BOULEVARD 5'!I100</f>
        <v>1373505</v>
      </c>
      <c r="L95" s="766">
        <f>IF('BOULEVARD 5'!G100="","",'BOULEVARD 5'!G100)</f>
        <v>45553</v>
      </c>
      <c r="M95" s="764">
        <f t="shared" si="13"/>
        <v>0</v>
      </c>
      <c r="N95" s="767">
        <f>IF('B5-Status cobranza'!AM102&lt;0,'B5-Status cobranza'!AM102,0)</f>
        <v>0</v>
      </c>
      <c r="O95" s="777">
        <f>IF('B5-Status cobranza'!AP102&lt;0,'B5-Status cobranza'!AP102,0)</f>
        <v>0</v>
      </c>
      <c r="P95" s="777">
        <f>IF('B5-Status cobranza'!AP102&gt;0,'B5-Status cobranza'!AP102,0)</f>
        <v>0</v>
      </c>
      <c r="Q95" s="767">
        <f>'B5-Status cobranza'!AV102</f>
        <v>0</v>
      </c>
      <c r="R95" s="764">
        <f t="shared" si="15"/>
        <v>1373505</v>
      </c>
      <c r="S95" s="764">
        <f>IF('B5-Status cobranza'!AL102&lt;0,'B5-Status cobranza'!AL102,0)</f>
        <v>0</v>
      </c>
      <c r="T95" s="764">
        <v>0</v>
      </c>
      <c r="U95" s="778">
        <f t="shared" si="14"/>
        <v>0</v>
      </c>
      <c r="V95" s="764">
        <f>IF('B5-Status cobranza'!AL102&gt;0,'B5-Status cobranza'!AL102,0)</f>
        <v>0</v>
      </c>
    </row>
    <row r="96" spans="1:22" ht="12" customHeight="1" x14ac:dyDescent="0.25">
      <c r="A96" s="763" t="str">
        <f>"Apto"&amp;'BOULEVARD 5'!B101</f>
        <v>Apto606</v>
      </c>
      <c r="B96" s="763">
        <v>1</v>
      </c>
      <c r="C96" s="763" t="str">
        <f>IF('BOULEVARD 5'!A101="","Cliente normal",'BOULEVARD 5'!A101)</f>
        <v>Cliente normal</v>
      </c>
      <c r="D96" s="763" t="str">
        <f>IF('BOULEVARD 5'!E101="","No asignado",'BOULEVARD 5'!E101)</f>
        <v>Antonio Rada</v>
      </c>
      <c r="E96" s="763" t="str">
        <f>IF('BOULEVARD 5'!F101="","No asignado",'BOULEVARD 5'!F101)</f>
        <v>Mar Frandi Solly Gramajo Hernandez De Calderon</v>
      </c>
      <c r="F96" s="764">
        <f>'BOULEVARD 5'!AT101</f>
        <v>146000</v>
      </c>
      <c r="G96" s="763" t="str">
        <f>'BOULEVARD 5'!BB101</f>
        <v>Superávit de Enganche</v>
      </c>
      <c r="H96" s="764">
        <f>'BOULEVARD PPTO'!BC96</f>
        <v>137995</v>
      </c>
      <c r="I96" s="764">
        <f t="shared" si="11"/>
        <v>8005</v>
      </c>
      <c r="J96" s="765" t="str">
        <f t="shared" si="12"/>
        <v>Superavit de enganche</v>
      </c>
      <c r="K96" s="764">
        <f>'BOULEVARD 5'!I101</f>
        <v>1379595</v>
      </c>
      <c r="L96" s="766">
        <f>IF('BOULEVARD 5'!G101="","",'BOULEVARD 5'!G101)</f>
        <v>45533</v>
      </c>
      <c r="M96" s="764">
        <f t="shared" si="13"/>
        <v>0</v>
      </c>
      <c r="N96" s="767">
        <f>IF('B5-Status cobranza'!AM103&lt;0,'B5-Status cobranza'!AM103,0)</f>
        <v>0</v>
      </c>
      <c r="O96" s="777">
        <f>IF('B5-Status cobranza'!AP103&lt;0,'B5-Status cobranza'!AP103,0)</f>
        <v>0</v>
      </c>
      <c r="P96" s="777">
        <f>IF('B5-Status cobranza'!AP103&gt;0,'B5-Status cobranza'!AP103,0)</f>
        <v>0</v>
      </c>
      <c r="Q96" s="767">
        <f>'B5-Status cobranza'!AV103</f>
        <v>0</v>
      </c>
      <c r="R96" s="764">
        <f t="shared" si="15"/>
        <v>1379595</v>
      </c>
      <c r="S96" s="764">
        <f>IF('B5-Status cobranza'!AL103&lt;0,'B5-Status cobranza'!AL103,0)</f>
        <v>0</v>
      </c>
      <c r="T96" s="764">
        <v>0</v>
      </c>
      <c r="U96" s="778">
        <f t="shared" si="14"/>
        <v>0</v>
      </c>
      <c r="V96" s="764">
        <f>IF('B5-Status cobranza'!AL103&gt;0,'B5-Status cobranza'!AL103,0)</f>
        <v>0</v>
      </c>
    </row>
    <row r="97" spans="1:22" ht="12" customHeight="1" x14ac:dyDescent="0.25">
      <c r="A97" s="763" t="str">
        <f>"Apto"&amp;'BOULEVARD 5'!B102</f>
        <v>Apto607</v>
      </c>
      <c r="B97" s="763">
        <v>1</v>
      </c>
      <c r="C97" s="763" t="str">
        <f>IF('BOULEVARD 5'!A102="","Cliente normal",'BOULEVARD 5'!A102)</f>
        <v>Cliente normal</v>
      </c>
      <c r="D97" s="763" t="str">
        <f>IF('BOULEVARD 5'!E102="","No asignado",'BOULEVARD 5'!E102)</f>
        <v>Antonio Rada</v>
      </c>
      <c r="E97" s="763" t="str">
        <f>IF('BOULEVARD 5'!F102="","No asignado",'BOULEVARD 5'!F102)</f>
        <v>Antony Williams Sajche Torres / Madelyn Kristina Sajche Torres</v>
      </c>
      <c r="F97" s="764">
        <f>'BOULEVARD 5'!AT102</f>
        <v>56512</v>
      </c>
      <c r="G97" s="763" t="str">
        <f>'BOULEVARD 5'!BB102</f>
        <v>Cliente al día</v>
      </c>
      <c r="H97" s="764">
        <f>'BOULEVARD PPTO'!BC97</f>
        <v>77171</v>
      </c>
      <c r="I97" s="764">
        <f t="shared" si="11"/>
        <v>-20659</v>
      </c>
      <c r="J97" s="765" t="str">
        <f t="shared" si="12"/>
        <v>Enganche por pagar</v>
      </c>
      <c r="K97" s="764">
        <f>'BOULEVARD 5'!I102</f>
        <v>771274</v>
      </c>
      <c r="L97" s="766">
        <f>IF('BOULEVARD 5'!G102="","",'BOULEVARD 5'!G102)</f>
        <v>45769</v>
      </c>
      <c r="M97" s="764">
        <f t="shared" si="13"/>
        <v>0</v>
      </c>
      <c r="N97" s="767">
        <f>IF('B5-Status cobranza'!AM104&lt;0,'B5-Status cobranza'!AM104,0)</f>
        <v>0</v>
      </c>
      <c r="O97" s="777">
        <f>IF('B5-Status cobranza'!AP104&lt;0,'B5-Status cobranza'!AP104,0)</f>
        <v>0</v>
      </c>
      <c r="P97" s="777">
        <f>IF('B5-Status cobranza'!AP104&gt;0,'B5-Status cobranza'!AP104,0)</f>
        <v>9</v>
      </c>
      <c r="Q97" s="767">
        <f>'B5-Status cobranza'!AV104</f>
        <v>0</v>
      </c>
      <c r="R97" s="764">
        <f t="shared" si="15"/>
        <v>771274</v>
      </c>
      <c r="S97" s="764">
        <f>IF('B5-Status cobranza'!AL104&lt;0,'B5-Status cobranza'!AL104,0)</f>
        <v>0</v>
      </c>
      <c r="T97" s="764">
        <v>0</v>
      </c>
      <c r="U97" s="778">
        <f t="shared" si="14"/>
        <v>0</v>
      </c>
      <c r="V97" s="764">
        <f>IF('B5-Status cobranza'!AL104&gt;0,'B5-Status cobranza'!AL104,0)</f>
        <v>0</v>
      </c>
    </row>
    <row r="98" spans="1:22" ht="12" customHeight="1" x14ac:dyDescent="0.25">
      <c r="A98" s="763" t="str">
        <f>"Apto"&amp;'BOULEVARD 5'!B103</f>
        <v>Apto608</v>
      </c>
      <c r="B98" s="763">
        <v>1</v>
      </c>
      <c r="C98" s="763" t="str">
        <f>IF('BOULEVARD 5'!A103="","Cliente normal",'BOULEVARD 5'!A103)</f>
        <v>Cliente normal</v>
      </c>
      <c r="D98" s="763" t="str">
        <f>IF('BOULEVARD 5'!E103="","No asignado",'BOULEVARD 5'!E103)</f>
        <v>Antonio Rada</v>
      </c>
      <c r="E98" s="763" t="str">
        <f>IF('BOULEVARD 5'!F103="","No asignado",'BOULEVARD 5'!F103)</f>
        <v>Alfonso Videche Rodriguez</v>
      </c>
      <c r="F98" s="764">
        <f>'BOULEVARD 5'!AT103</f>
        <v>85000</v>
      </c>
      <c r="G98" s="763" t="str">
        <f>'BOULEVARD 5'!BB103</f>
        <v>Cliente al día</v>
      </c>
      <c r="H98" s="764">
        <f>'BOULEVARD PPTO'!BC98</f>
        <v>118393</v>
      </c>
      <c r="I98" s="764">
        <f t="shared" si="11"/>
        <v>-33393</v>
      </c>
      <c r="J98" s="765" t="str">
        <f t="shared" si="12"/>
        <v>Enganche por pagar</v>
      </c>
      <c r="K98" s="764">
        <f>'BOULEVARD 5'!I103</f>
        <v>1183693</v>
      </c>
      <c r="L98" s="766">
        <f>IF('BOULEVARD 5'!G103="","",'BOULEVARD 5'!G103)</f>
        <v>45324</v>
      </c>
      <c r="M98" s="764">
        <f t="shared" si="13"/>
        <v>0</v>
      </c>
      <c r="N98" s="767">
        <f>IF('B5-Status cobranza'!AM105&lt;0,'B5-Status cobranza'!AM105,0)</f>
        <v>0</v>
      </c>
      <c r="O98" s="777">
        <f>IF('B5-Status cobranza'!AP105&lt;0,'B5-Status cobranza'!AP105,0)</f>
        <v>0</v>
      </c>
      <c r="P98" s="777">
        <f>IF('B5-Status cobranza'!AP105&gt;0,'B5-Status cobranza'!AP105,0)</f>
        <v>0</v>
      </c>
      <c r="Q98" s="767">
        <f>'B5-Status cobranza'!AV105</f>
        <v>0</v>
      </c>
      <c r="R98" s="764">
        <f t="shared" si="15"/>
        <v>1183693</v>
      </c>
      <c r="S98" s="764">
        <f>IF('B5-Status cobranza'!AL105&lt;0,'B5-Status cobranza'!AL105,0)</f>
        <v>0</v>
      </c>
      <c r="T98" s="764">
        <v>0</v>
      </c>
      <c r="U98" s="778">
        <f t="shared" si="14"/>
        <v>0</v>
      </c>
      <c r="V98" s="764">
        <f>IF('B5-Status cobranza'!AL105&gt;0,'B5-Status cobranza'!AL105,0)</f>
        <v>0</v>
      </c>
    </row>
    <row r="99" spans="1:22" ht="12" customHeight="1" x14ac:dyDescent="0.25">
      <c r="A99" s="763" t="str">
        <f>"Apto"&amp;'BOULEVARD 5'!B104</f>
        <v>Apto609</v>
      </c>
      <c r="B99" s="763">
        <v>1</v>
      </c>
      <c r="C99" s="763" t="str">
        <f>IF('BOULEVARD 5'!A104="","Cliente normal",'BOULEVARD 5'!A104)</f>
        <v>Cliente normal</v>
      </c>
      <c r="D99" s="763" t="str">
        <f>IF('BOULEVARD 5'!E104="","No asignado",'BOULEVARD 5'!E104)</f>
        <v>Antonio Rada</v>
      </c>
      <c r="E99" s="763" t="str">
        <f>IF('BOULEVARD 5'!F104="","No asignado",'BOULEVARD 5'!F104)</f>
        <v>Luis Augusto Franco Lopez</v>
      </c>
      <c r="F99" s="764">
        <f>'BOULEVARD 5'!AT104</f>
        <v>118167</v>
      </c>
      <c r="G99" s="763" t="str">
        <f>'BOULEVARD 5'!BB104</f>
        <v>Cliente Atrasado</v>
      </c>
      <c r="H99" s="764">
        <f>'BOULEVARD PPTO'!BC99</f>
        <v>118161.5</v>
      </c>
      <c r="I99" s="764">
        <f t="shared" si="11"/>
        <v>5.5</v>
      </c>
      <c r="J99" s="765" t="str">
        <f t="shared" si="12"/>
        <v>Superavit de enganche</v>
      </c>
      <c r="K99" s="764">
        <f>'BOULEVARD 5'!I104</f>
        <v>1181561.5</v>
      </c>
      <c r="L99" s="766">
        <f>IF('BOULEVARD 5'!G104="","",'BOULEVARD 5'!G104)</f>
        <v>45434</v>
      </c>
      <c r="M99" s="764">
        <f t="shared" si="13"/>
        <v>0</v>
      </c>
      <c r="N99" s="767">
        <f>IF('B5-Status cobranza'!AM106&lt;0,'B5-Status cobranza'!AM106,0)</f>
        <v>0</v>
      </c>
      <c r="O99" s="777">
        <f>IF('B5-Status cobranza'!AP106&lt;0,'B5-Status cobranza'!AP106,0)</f>
        <v>0</v>
      </c>
      <c r="P99" s="777">
        <f>IF('B5-Status cobranza'!AP106&gt;0,'B5-Status cobranza'!AP106,0)</f>
        <v>0</v>
      </c>
      <c r="Q99" s="767">
        <f>'B5-Status cobranza'!AV106</f>
        <v>0</v>
      </c>
      <c r="R99" s="764">
        <f t="shared" si="15"/>
        <v>1181561.5</v>
      </c>
      <c r="S99" s="764">
        <f>IF('B5-Status cobranza'!AL106&lt;0,'B5-Status cobranza'!AL106,0)</f>
        <v>0</v>
      </c>
      <c r="T99" s="764">
        <v>0</v>
      </c>
      <c r="U99" s="778">
        <f t="shared" si="14"/>
        <v>0</v>
      </c>
      <c r="V99" s="764">
        <f>IF('B5-Status cobranza'!AL106&gt;0,'B5-Status cobranza'!AL106,0)</f>
        <v>0</v>
      </c>
    </row>
    <row r="100" spans="1:22" ht="12" customHeight="1" x14ac:dyDescent="0.25">
      <c r="A100" s="763" t="str">
        <f>"Apto"&amp;'BOULEVARD 5'!B105</f>
        <v>Apto610</v>
      </c>
      <c r="B100" s="763">
        <v>1</v>
      </c>
      <c r="C100" s="763" t="str">
        <f>IF('BOULEVARD 5'!A105="","Cliente normal",'BOULEVARD 5'!A105)</f>
        <v>Cliente normal</v>
      </c>
      <c r="D100" s="763" t="str">
        <f>IF('BOULEVARD 5'!E105="","No asignado",'BOULEVARD 5'!E105)</f>
        <v>Antonio Rada</v>
      </c>
      <c r="E100" s="763" t="str">
        <f>IF('BOULEVARD 5'!F105="","No asignado",'BOULEVARD 5'!F105)</f>
        <v>Andrea Nathalia Molina Mendez De Velasqeuz</v>
      </c>
      <c r="F100" s="764">
        <f>'BOULEVARD 5'!AT105</f>
        <v>118393</v>
      </c>
      <c r="G100" s="763" t="str">
        <f>'BOULEVARD 5'!BB105</f>
        <v>Cliente Atrasado</v>
      </c>
      <c r="H100" s="764">
        <f>'BOULEVARD PPTO'!BC100</f>
        <v>118393</v>
      </c>
      <c r="I100" s="764">
        <f t="shared" si="11"/>
        <v>0</v>
      </c>
      <c r="J100" s="765" t="str">
        <f t="shared" si="12"/>
        <v>Enganche por pagar</v>
      </c>
      <c r="K100" s="764">
        <f>'BOULEVARD 5'!I105</f>
        <v>1183693</v>
      </c>
      <c r="L100" s="766">
        <f>IF('BOULEVARD 5'!G105="","",'BOULEVARD 5'!G105)</f>
        <v>45351</v>
      </c>
      <c r="M100" s="764">
        <f t="shared" si="13"/>
        <v>0</v>
      </c>
      <c r="N100" s="767">
        <f>IF('B5-Status cobranza'!AM107&lt;0,'B5-Status cobranza'!AM107,0)</f>
        <v>0</v>
      </c>
      <c r="O100" s="777">
        <f>IF('B5-Status cobranza'!AP107&lt;0,'B5-Status cobranza'!AP107,0)</f>
        <v>0</v>
      </c>
      <c r="P100" s="777">
        <f>IF('B5-Status cobranza'!AP107&gt;0,'B5-Status cobranza'!AP107,0)</f>
        <v>0</v>
      </c>
      <c r="Q100" s="767">
        <f>'B5-Status cobranza'!AV107</f>
        <v>5813</v>
      </c>
      <c r="R100" s="764">
        <f t="shared" si="15"/>
        <v>1183693</v>
      </c>
      <c r="S100" s="764">
        <f>IF('B5-Status cobranza'!AL107&lt;0,'B5-Status cobranza'!AL107,0)</f>
        <v>-5813</v>
      </c>
      <c r="T100" s="764">
        <v>5813</v>
      </c>
      <c r="U100" s="778">
        <f t="shared" si="14"/>
        <v>1.9140633308995673E-2</v>
      </c>
      <c r="V100" s="764">
        <f>IF('B5-Status cobranza'!AL107&gt;0,'B5-Status cobranza'!AL107,0)</f>
        <v>0</v>
      </c>
    </row>
    <row r="101" spans="1:22" ht="12" customHeight="1" x14ac:dyDescent="0.25">
      <c r="A101" s="763" t="str">
        <f>"Apto"&amp;'BOULEVARD 5'!B106</f>
        <v>Apto611</v>
      </c>
      <c r="B101" s="763">
        <v>1</v>
      </c>
      <c r="C101" s="763" t="str">
        <f>IF('BOULEVARD 5'!A106="","Cliente normal",'BOULEVARD 5'!A106)</f>
        <v>Cliente normal</v>
      </c>
      <c r="D101" s="763" t="str">
        <f>IF('BOULEVARD 5'!E106="","No asignado",'BOULEVARD 5'!E106)</f>
        <v>Antonio Rada</v>
      </c>
      <c r="E101" s="763" t="str">
        <f>IF('BOULEVARD 5'!F106="","No asignado",'BOULEVARD 5'!F106)</f>
        <v>Kenny Estuardo Garay Carias</v>
      </c>
      <c r="F101" s="764">
        <f>'BOULEVARD 5'!AT106</f>
        <v>163416</v>
      </c>
      <c r="G101" s="763" t="str">
        <f>'BOULEVARD 5'!BB106</f>
        <v>Cliente al día</v>
      </c>
      <c r="H101" s="764">
        <f>'BOULEVARD PPTO'!BC101</f>
        <v>276346.7</v>
      </c>
      <c r="I101" s="764">
        <f t="shared" si="11"/>
        <v>-112930.70000000001</v>
      </c>
      <c r="J101" s="765" t="str">
        <f t="shared" si="12"/>
        <v>Enganche por pagar</v>
      </c>
      <c r="K101" s="764">
        <f>'BOULEVARD 5'!I106</f>
        <v>1381446.6987563099</v>
      </c>
      <c r="L101" s="766">
        <f>IF('BOULEVARD 5'!G106="","",'BOULEVARD 5'!G106)</f>
        <v>45835</v>
      </c>
      <c r="M101" s="764">
        <f t="shared" si="13"/>
        <v>0</v>
      </c>
      <c r="N101" s="767">
        <f>IF('B5-Status cobranza'!AM108&lt;0,'B5-Status cobranza'!AM108,0)</f>
        <v>0</v>
      </c>
      <c r="O101" s="777">
        <f>IF('B5-Status cobranza'!AP108&lt;0,'B5-Status cobranza'!AP108,0)</f>
        <v>-30976</v>
      </c>
      <c r="P101" s="777">
        <f>IF('B5-Status cobranza'!AP108&gt;0,'B5-Status cobranza'!AP108,0)</f>
        <v>0</v>
      </c>
      <c r="Q101" s="767">
        <f>'B5-Status cobranza'!AV108</f>
        <v>0</v>
      </c>
      <c r="R101" s="764">
        <f t="shared" si="15"/>
        <v>1381446.6987563099</v>
      </c>
      <c r="S101" s="764">
        <f>IF('B5-Status cobranza'!AL108&lt;0,'B5-Status cobranza'!AL108,0)</f>
        <v>0</v>
      </c>
      <c r="T101" s="764">
        <v>0</v>
      </c>
      <c r="U101" s="778">
        <f t="shared" si="14"/>
        <v>0</v>
      </c>
      <c r="V101" s="764">
        <f>IF('B5-Status cobranza'!AL108&gt;0,'B5-Status cobranza'!AL108,0)</f>
        <v>0</v>
      </c>
    </row>
    <row r="102" spans="1:22" ht="12" customHeight="1" x14ac:dyDescent="0.25">
      <c r="A102" s="763" t="str">
        <f>"Apto"&amp;'BOULEVARD 5'!B107</f>
        <v>Apto612</v>
      </c>
      <c r="B102" s="763">
        <v>1</v>
      </c>
      <c r="C102" s="763" t="str">
        <f>IF('BOULEVARD 5'!A107="","Cliente normal",'BOULEVARD 5'!A107)</f>
        <v>Cliente normal</v>
      </c>
      <c r="D102" s="763" t="str">
        <f>IF('BOULEVARD 5'!E107="","No asignado",'BOULEVARD 5'!E107)</f>
        <v>Antonio Rada</v>
      </c>
      <c r="E102" s="763" t="str">
        <f>IF('BOULEVARD 5'!F107="","No asignado",'BOULEVARD 5'!F107)</f>
        <v>Yonatan Morgan Acajabon</v>
      </c>
      <c r="F102" s="764">
        <f>'BOULEVARD 5'!AT107</f>
        <v>28900</v>
      </c>
      <c r="G102" s="763" t="str">
        <f>'BOULEVARD 5'!BB107</f>
        <v>Cliente Atrasado</v>
      </c>
      <c r="H102" s="764">
        <f>'BOULEVARD PPTO'!BC102</f>
        <v>79998.660000000018</v>
      </c>
      <c r="I102" s="764">
        <f t="shared" si="11"/>
        <v>-51098.660000000018</v>
      </c>
      <c r="J102" s="765" t="str">
        <f t="shared" si="12"/>
        <v>Enganche por pagar</v>
      </c>
      <c r="K102" s="764">
        <f>'BOULEVARD 5'!I107</f>
        <v>946600</v>
      </c>
      <c r="L102" s="766">
        <f>IF('BOULEVARD 5'!G107="","",'BOULEVARD 5'!G107)</f>
        <v>45906</v>
      </c>
      <c r="M102" s="764">
        <f t="shared" si="13"/>
        <v>0</v>
      </c>
      <c r="N102" s="767">
        <f>IF('B5-Status cobranza'!AM109&lt;0,'B5-Status cobranza'!AM109,0)</f>
        <v>0</v>
      </c>
      <c r="O102" s="777">
        <f>IF('B5-Status cobranza'!AP109&lt;0,'B5-Status cobranza'!AP109,0)</f>
        <v>-58125.899999999994</v>
      </c>
      <c r="P102" s="777">
        <f>IF('B5-Status cobranza'!AP109&gt;0,'B5-Status cobranza'!AP109,0)</f>
        <v>0</v>
      </c>
      <c r="Q102" s="767">
        <f>'B5-Status cobranza'!AV109</f>
        <v>3513.62</v>
      </c>
      <c r="R102" s="764">
        <f t="shared" si="15"/>
        <v>946600</v>
      </c>
      <c r="S102" s="764">
        <f>IF('B5-Status cobranza'!AL109&lt;0,'B5-Status cobranza'!AL109,0)</f>
        <v>0</v>
      </c>
      <c r="T102" s="764">
        <v>0</v>
      </c>
      <c r="U102" s="778">
        <f t="shared" si="14"/>
        <v>0</v>
      </c>
      <c r="V102" s="764">
        <f>IF('B5-Status cobranza'!AL109&gt;0,'B5-Status cobranza'!AL109,0)</f>
        <v>7213.62</v>
      </c>
    </row>
    <row r="103" spans="1:22" ht="12" customHeight="1" x14ac:dyDescent="0.25">
      <c r="A103" s="763" t="str">
        <f>"Apto"&amp;'BOULEVARD 5'!B108</f>
        <v>Apto613</v>
      </c>
      <c r="B103" s="763">
        <v>1</v>
      </c>
      <c r="C103" s="763" t="str">
        <f>IF('BOULEVARD 5'!A108="","Cliente normal",'BOULEVARD 5'!A108)</f>
        <v>Cliente normal</v>
      </c>
      <c r="D103" s="763" t="str">
        <f>IF('BOULEVARD 5'!E108="","No asignado",'BOULEVARD 5'!E108)</f>
        <v>Antonio Rada</v>
      </c>
      <c r="E103" s="763" t="str">
        <f>IF('BOULEVARD 5'!F108="","No asignado",'BOULEVARD 5'!F108)</f>
        <v>Sergio Oswaldo Velasquez Moreno</v>
      </c>
      <c r="F103" s="764">
        <f>'BOULEVARD 5'!AT108</f>
        <v>68810</v>
      </c>
      <c r="G103" s="763" t="str">
        <f>'BOULEVARD 5'!BB108</f>
        <v>Cliente Atrasado</v>
      </c>
      <c r="H103" s="764">
        <f>'BOULEVARD PPTO'!BC103</f>
        <v>68800</v>
      </c>
      <c r="I103" s="764">
        <f t="shared" si="11"/>
        <v>10</v>
      </c>
      <c r="J103" s="765" t="str">
        <f t="shared" si="12"/>
        <v>Superavit de enganche</v>
      </c>
      <c r="K103" s="764">
        <f>'BOULEVARD 5'!I108</f>
        <v>687500</v>
      </c>
      <c r="L103" s="766">
        <f>IF('BOULEVARD 5'!G108="","",'BOULEVARD 5'!G108)</f>
        <v>45126</v>
      </c>
      <c r="M103" s="764">
        <f t="shared" si="13"/>
        <v>0</v>
      </c>
      <c r="N103" s="767">
        <f>IF('B5-Status cobranza'!AM110&lt;0,'B5-Status cobranza'!AM110,0)</f>
        <v>0</v>
      </c>
      <c r="O103" s="777">
        <f>IF('B5-Status cobranza'!AP110&lt;0,'B5-Status cobranza'!AP110,0)</f>
        <v>0</v>
      </c>
      <c r="P103" s="777">
        <f>IF('B5-Status cobranza'!AP110&gt;0,'B5-Status cobranza'!AP110,0)</f>
        <v>10</v>
      </c>
      <c r="Q103" s="767">
        <f>'B5-Status cobranza'!AV110</f>
        <v>0</v>
      </c>
      <c r="R103" s="764">
        <f t="shared" si="15"/>
        <v>687500</v>
      </c>
      <c r="S103" s="764">
        <f>IF('B5-Status cobranza'!AL110&lt;0,'B5-Status cobranza'!AL110,0)</f>
        <v>0</v>
      </c>
      <c r="T103" s="764">
        <v>0</v>
      </c>
      <c r="U103" s="778">
        <f t="shared" si="14"/>
        <v>0</v>
      </c>
      <c r="V103" s="764">
        <f>IF('B5-Status cobranza'!AL110&gt;0,'B5-Status cobranza'!AL110,0)</f>
        <v>0</v>
      </c>
    </row>
    <row r="104" spans="1:22" ht="12" customHeight="1" x14ac:dyDescent="0.25">
      <c r="A104" s="763" t="str">
        <f>"Apto"&amp;'BOULEVARD 5'!B109</f>
        <v>Apto614</v>
      </c>
      <c r="B104" s="763">
        <v>1</v>
      </c>
      <c r="C104" s="763" t="str">
        <f>IF('BOULEVARD 5'!A109="","Cliente normal",'BOULEVARD 5'!A109)</f>
        <v>Cliente normal</v>
      </c>
      <c r="D104" s="763" t="s">
        <v>423</v>
      </c>
      <c r="E104" s="763" t="str">
        <f>IF('BOULEVARD 5'!F109="","No asignado",'BOULEVARD 5'!F109)</f>
        <v>Thalia  Raquel Carredano</v>
      </c>
      <c r="F104" s="764">
        <f>'BOULEVARD 5'!AT109</f>
        <v>111057.04000000001</v>
      </c>
      <c r="G104" s="763" t="str">
        <f>'BOULEVARD 5'!BB109</f>
        <v>Cliente al día</v>
      </c>
      <c r="H104" s="764">
        <f>'BOULEVARD PPTO'!BC104</f>
        <v>151908.4</v>
      </c>
      <c r="I104" s="764">
        <f t="shared" si="11"/>
        <v>-40851.359999999986</v>
      </c>
      <c r="J104" s="765" t="str">
        <f t="shared" si="12"/>
        <v>Enganche por pagar</v>
      </c>
      <c r="K104" s="764">
        <f>'BOULEVARD 5'!I109</f>
        <v>1509908.4</v>
      </c>
      <c r="L104" s="766">
        <f>IF('BOULEVARD 5'!G109="","",'BOULEVARD 5'!G109)</f>
        <v>45877</v>
      </c>
      <c r="M104" s="764">
        <f t="shared" si="13"/>
        <v>0</v>
      </c>
      <c r="N104" s="767">
        <f>IF('B5-Status cobranza'!AM111&lt;0,'B5-Status cobranza'!AM111,0)</f>
        <v>-20000</v>
      </c>
      <c r="O104" s="777">
        <f>IF('B5-Status cobranza'!AP111&lt;0,'B5-Status cobranza'!AP111,0)</f>
        <v>-40000</v>
      </c>
      <c r="P104" s="777">
        <f>IF('B5-Status cobranza'!AP111&gt;0,'B5-Status cobranza'!AP111,0)</f>
        <v>0</v>
      </c>
      <c r="Q104" s="767">
        <f>'B5-Status cobranza'!AV111</f>
        <v>0</v>
      </c>
      <c r="R104" s="764">
        <f t="shared" si="15"/>
        <v>1509908.4</v>
      </c>
      <c r="S104" s="764">
        <f>IF('B5-Status cobranza'!AL111&lt;0,'B5-Status cobranza'!AL111,0)</f>
        <v>0</v>
      </c>
      <c r="T104" s="764">
        <v>0</v>
      </c>
      <c r="U104" s="778">
        <f t="shared" si="14"/>
        <v>0</v>
      </c>
      <c r="V104" s="764">
        <f>IF('B5-Status cobranza'!AL111&gt;0,'B5-Status cobranza'!AL111,0)</f>
        <v>0</v>
      </c>
    </row>
    <row r="105" spans="1:22" ht="12" customHeight="1" x14ac:dyDescent="0.25">
      <c r="A105" s="763" t="str">
        <f>"Apto"&amp;'BOULEVARD 5'!B110</f>
        <v>Apto615</v>
      </c>
      <c r="B105" s="763">
        <v>1</v>
      </c>
      <c r="C105" s="763" t="str">
        <f>IF('BOULEVARD 5'!A110="","Cliente normal",'BOULEVARD 5'!A110)</f>
        <v>F&amp;F</v>
      </c>
      <c r="D105" s="763" t="str">
        <f>IF('BOULEVARD 5'!E110="","No asignado",'BOULEVARD 5'!E110)</f>
        <v>Antonio Rada</v>
      </c>
      <c r="E105" s="763" t="str">
        <f>IF('BOULEVARD 5'!F110="","No asignado",'BOULEVARD 5'!F110)</f>
        <v>Maria De Los Angeles España Cordon</v>
      </c>
      <c r="F105" s="764">
        <f>'BOULEVARD 5'!AT110</f>
        <v>14000</v>
      </c>
      <c r="G105" s="763" t="str">
        <f>'BOULEVARD 5'!BB110</f>
        <v>Cliente Atrasado</v>
      </c>
      <c r="H105" s="764">
        <f>'BOULEVARD PPTO'!BC105</f>
        <v>61250.01</v>
      </c>
      <c r="I105" s="764">
        <f t="shared" si="11"/>
        <v>-47250.01</v>
      </c>
      <c r="J105" s="765" t="str">
        <f t="shared" si="12"/>
        <v>Enganche por pagar</v>
      </c>
      <c r="K105" s="764">
        <f>'BOULEVARD 5'!I110</f>
        <v>611950.009005</v>
      </c>
      <c r="L105" s="766">
        <f>IF('BOULEVARD 5'!G110="","",'BOULEVARD 5'!G110)</f>
        <v>45040</v>
      </c>
      <c r="M105" s="764">
        <f t="shared" si="13"/>
        <v>0</v>
      </c>
      <c r="N105" s="767">
        <f>IF('B5-Status cobranza'!AM112&lt;0,'B5-Status cobranza'!AM112,0)</f>
        <v>0</v>
      </c>
      <c r="O105" s="777">
        <f>IF('B5-Status cobranza'!AP112&lt;0,'B5-Status cobranza'!AP112,0)</f>
        <v>0</v>
      </c>
      <c r="P105" s="777">
        <f>IF('B5-Status cobranza'!AP112&gt;0,'B5-Status cobranza'!AP112,0)</f>
        <v>0</v>
      </c>
      <c r="Q105" s="767">
        <f>'B5-Status cobranza'!AV112</f>
        <v>0</v>
      </c>
      <c r="R105" s="764">
        <f t="shared" si="15"/>
        <v>611950.009005</v>
      </c>
      <c r="S105" s="764">
        <f>IF('B5-Status cobranza'!AL112&lt;0,'B5-Status cobranza'!AL112,0)</f>
        <v>0</v>
      </c>
      <c r="T105" s="764">
        <v>0</v>
      </c>
      <c r="U105" s="778">
        <f t="shared" si="14"/>
        <v>0</v>
      </c>
      <c r="V105" s="764">
        <f>IF('B5-Status cobranza'!AL112&gt;0,'B5-Status cobranza'!AL112,0)</f>
        <v>0</v>
      </c>
    </row>
    <row r="106" spans="1:22" ht="12" customHeight="1" x14ac:dyDescent="0.25">
      <c r="A106" s="763" t="str">
        <f>"Apto"&amp;'BOULEVARD 5'!B111</f>
        <v>Apto616</v>
      </c>
      <c r="B106" s="763">
        <v>1</v>
      </c>
      <c r="C106" s="763" t="str">
        <f>IF('BOULEVARD 5'!A111="","Cliente normal",'BOULEVARD 5'!A111)</f>
        <v>Cliente normal</v>
      </c>
      <c r="D106" s="763" t="str">
        <f>IF('BOULEVARD 5'!E111="","No asignado",'BOULEVARD 5'!E111)</f>
        <v>Antonio Rada</v>
      </c>
      <c r="E106" s="763" t="str">
        <f>IF('BOULEVARD 5'!F111="","No asignado",'BOULEVARD 5'!F111)</f>
        <v>Edwin Estuardo Acevedo Salguero</v>
      </c>
      <c r="F106" s="764">
        <f>'BOULEVARD 5'!AT111</f>
        <v>113000</v>
      </c>
      <c r="G106" s="763" t="str">
        <f>'BOULEVARD 5'!BB111</f>
        <v>Superávit de Enganche</v>
      </c>
      <c r="H106" s="764">
        <f>'BOULEVARD PPTO'!BC106</f>
        <v>90200</v>
      </c>
      <c r="I106" s="764">
        <f t="shared" si="11"/>
        <v>22800</v>
      </c>
      <c r="J106" s="765" t="str">
        <f t="shared" si="12"/>
        <v>Superavit de enganche</v>
      </c>
      <c r="K106" s="764">
        <f>'BOULEVARD 5'!I111</f>
        <v>901400</v>
      </c>
      <c r="L106" s="766">
        <f>IF('BOULEVARD 5'!G111="","",'BOULEVARD 5'!G111)</f>
        <v>45359</v>
      </c>
      <c r="M106" s="764">
        <f t="shared" si="13"/>
        <v>0</v>
      </c>
      <c r="N106" s="767">
        <f>IF('B5-Status cobranza'!AM113&lt;0,'B5-Status cobranza'!AM113,0)</f>
        <v>0</v>
      </c>
      <c r="O106" s="777">
        <f>IF('B5-Status cobranza'!AP113&lt;0,'B5-Status cobranza'!AP113,0)</f>
        <v>0</v>
      </c>
      <c r="P106" s="777">
        <f>IF('B5-Status cobranza'!AP113&gt;0,'B5-Status cobranza'!AP113,0)</f>
        <v>12800</v>
      </c>
      <c r="Q106" s="767">
        <f>'B5-Status cobranza'!AV113</f>
        <v>10000</v>
      </c>
      <c r="R106" s="764">
        <f t="shared" si="15"/>
        <v>901400</v>
      </c>
      <c r="S106" s="764">
        <f>IF('B5-Status cobranza'!AL113&lt;0,'B5-Status cobranza'!AL113,0)</f>
        <v>-4561</v>
      </c>
      <c r="T106" s="764">
        <v>5000</v>
      </c>
      <c r="U106" s="778">
        <f t="shared" si="14"/>
        <v>1.6463644683464368E-2</v>
      </c>
      <c r="V106" s="764">
        <f>IF('B5-Status cobranza'!AL113&gt;0,'B5-Status cobranza'!AL113,0)</f>
        <v>0</v>
      </c>
    </row>
    <row r="107" spans="1:22" ht="12" customHeight="1" x14ac:dyDescent="0.25">
      <c r="A107" s="763" t="str">
        <f>"Apto"&amp;'BOULEVARD 5'!B112</f>
        <v>Apto617</v>
      </c>
      <c r="B107" s="763">
        <v>1</v>
      </c>
      <c r="C107" s="763" t="str">
        <f>IF('BOULEVARD 5'!A112="","Cliente normal",'BOULEVARD 5'!A112)</f>
        <v>Cliente normal</v>
      </c>
      <c r="D107" s="763" t="str">
        <f>IF('BOULEVARD 5'!E112="","No asignado",'BOULEVARD 5'!E112)</f>
        <v>Antonio Rada</v>
      </c>
      <c r="E107" s="763" t="str">
        <f>IF('BOULEVARD 5'!F112="","No asignado",'BOULEVARD 5'!F112)</f>
        <v>Hans Christian Beeck Cazali</v>
      </c>
      <c r="F107" s="764">
        <f>'BOULEVARD 5'!AT112</f>
        <v>64800</v>
      </c>
      <c r="G107" s="763" t="str">
        <f>'BOULEVARD 5'!BB112</f>
        <v>Cliente Atrasado</v>
      </c>
      <c r="H107" s="764">
        <f>'BOULEVARD PPTO'!BC107</f>
        <v>88800</v>
      </c>
      <c r="I107" s="764">
        <f t="shared" si="11"/>
        <v>-24000</v>
      </c>
      <c r="J107" s="765" t="str">
        <f t="shared" si="12"/>
        <v>Enganche por pagar</v>
      </c>
      <c r="K107" s="764">
        <f>'BOULEVARD 5'!I112</f>
        <v>887400</v>
      </c>
      <c r="L107" s="766">
        <f>IF('BOULEVARD 5'!G112="","",'BOULEVARD 5'!G112)</f>
        <v>45419</v>
      </c>
      <c r="M107" s="764">
        <f t="shared" si="13"/>
        <v>0</v>
      </c>
      <c r="N107" s="767">
        <f>IF('B5-Status cobranza'!AM114&lt;0,'B5-Status cobranza'!AM114,0)</f>
        <v>-4000</v>
      </c>
      <c r="O107" s="777">
        <f>IF('B5-Status cobranza'!AP114&lt;0,'B5-Status cobranza'!AP114,0)</f>
        <v>-16000</v>
      </c>
      <c r="P107" s="777">
        <f>IF('B5-Status cobranza'!AP114&gt;0,'B5-Status cobranza'!AP114,0)</f>
        <v>0</v>
      </c>
      <c r="Q107" s="767">
        <f>'B5-Status cobranza'!AV114</f>
        <v>0</v>
      </c>
      <c r="R107" s="764">
        <f t="shared" si="15"/>
        <v>887400</v>
      </c>
      <c r="S107" s="764">
        <f>IF('B5-Status cobranza'!AL114&lt;0,'B5-Status cobranza'!AL114,0)</f>
        <v>0</v>
      </c>
      <c r="T107" s="764">
        <v>0</v>
      </c>
      <c r="U107" s="778">
        <f t="shared" si="14"/>
        <v>0</v>
      </c>
      <c r="V107" s="764">
        <f>IF('B5-Status cobranza'!AL114&gt;0,'B5-Status cobranza'!AL114,0)</f>
        <v>0</v>
      </c>
    </row>
    <row r="108" spans="1:22" ht="12" customHeight="1" x14ac:dyDescent="0.25">
      <c r="A108" s="763" t="str">
        <f>"Apto"&amp;'BOULEVARD 5'!B113</f>
        <v>Apto618</v>
      </c>
      <c r="B108" s="763">
        <v>1</v>
      </c>
      <c r="C108" s="763" t="str">
        <f>IF('BOULEVARD 5'!A113="","Cliente normal",'BOULEVARD 5'!A113)</f>
        <v>Cliente normal</v>
      </c>
      <c r="D108" s="763" t="str">
        <f>IF('BOULEVARD 5'!E113="","No asignado",'BOULEVARD 5'!E113)</f>
        <v>Antonio Rada</v>
      </c>
      <c r="E108" s="763" t="str">
        <f>IF('BOULEVARD 5'!F113="","No asignado",'BOULEVARD 5'!F113)</f>
        <v>Sergio Adolfo García Velásquez</v>
      </c>
      <c r="F108" s="764">
        <f>'BOULEVARD 5'!AT113</f>
        <v>112368</v>
      </c>
      <c r="G108" s="763" t="str">
        <f>'BOULEVARD 5'!BB113</f>
        <v>Cliente al día</v>
      </c>
      <c r="H108" s="764">
        <f>'BOULEVARD PPTO'!BC108</f>
        <v>150349.44</v>
      </c>
      <c r="I108" s="764">
        <f t="shared" si="11"/>
        <v>-37981.440000000002</v>
      </c>
      <c r="J108" s="765" t="str">
        <f t="shared" si="12"/>
        <v>Enganche por pagar</v>
      </c>
      <c r="K108" s="764">
        <f>'BOULEVARD 5'!I113</f>
        <v>1502549.44216114</v>
      </c>
      <c r="L108" s="766">
        <f>IF('BOULEVARD 5'!G113="","",'BOULEVARD 5'!G113)</f>
        <v>45772</v>
      </c>
      <c r="M108" s="764">
        <f t="shared" si="13"/>
        <v>0</v>
      </c>
      <c r="N108" s="767">
        <f>IF('B5-Status cobranza'!AM115&lt;0,'B5-Status cobranza'!AM115,0)</f>
        <v>0</v>
      </c>
      <c r="O108" s="777">
        <f>IF('B5-Status cobranza'!AP115&lt;0,'B5-Status cobranza'!AP115,0)</f>
        <v>0</v>
      </c>
      <c r="P108" s="777">
        <f>IF('B5-Status cobranza'!AP115&gt;0,'B5-Status cobranza'!AP115,0)</f>
        <v>10000</v>
      </c>
      <c r="Q108" s="767">
        <f>'B5-Status cobranza'!AV115</f>
        <v>0</v>
      </c>
      <c r="R108" s="764">
        <f t="shared" si="15"/>
        <v>1502549.44216114</v>
      </c>
      <c r="S108" s="764">
        <f>IF('B5-Status cobranza'!AL115&lt;0,'B5-Status cobranza'!AL115,0)</f>
        <v>0</v>
      </c>
      <c r="T108" s="764">
        <v>0</v>
      </c>
      <c r="U108" s="778">
        <f t="shared" si="14"/>
        <v>0</v>
      </c>
      <c r="V108" s="764">
        <f>IF('B5-Status cobranza'!AL115&gt;0,'B5-Status cobranza'!AL115,0)</f>
        <v>0</v>
      </c>
    </row>
    <row r="109" spans="1:22" ht="12" customHeight="1" x14ac:dyDescent="0.25">
      <c r="A109" s="763" t="str">
        <f>"Apto"&amp;'BOULEVARD 5'!B114</f>
        <v>Apto619</v>
      </c>
      <c r="B109" s="763">
        <v>1</v>
      </c>
      <c r="C109" s="763" t="str">
        <f>IF('BOULEVARD 5'!A114="","Cliente normal",'BOULEVARD 5'!A114)</f>
        <v>Cliente normal</v>
      </c>
      <c r="D109" s="763" t="str">
        <f>IF('BOULEVARD 5'!E114="","No asignado",'BOULEVARD 5'!E114)</f>
        <v>Sofia Paredes</v>
      </c>
      <c r="E109" s="763" t="str">
        <f>IF('BOULEVARD 5'!F114="","No asignado",'BOULEVARD 5'!F114)</f>
        <v>José Estuardo Ordoñez Cancinos</v>
      </c>
      <c r="F109" s="764">
        <f>'BOULEVARD 5'!AT114</f>
        <v>91712</v>
      </c>
      <c r="G109" s="763" t="str">
        <f>'BOULEVARD 5'!BB114</f>
        <v>Cliente Atrasado</v>
      </c>
      <c r="H109" s="764">
        <f>'BOULEVARD PPTO'!BC109</f>
        <v>0</v>
      </c>
      <c r="I109" s="764">
        <f t="shared" si="11"/>
        <v>91712</v>
      </c>
      <c r="J109" s="765" t="str">
        <f t="shared" si="12"/>
        <v>Superavit de enganche</v>
      </c>
      <c r="K109" s="764">
        <f>'BOULEVARD 5'!I114</f>
        <v>1529194.3266091</v>
      </c>
      <c r="L109" s="766">
        <f>IF('BOULEVARD 5'!G114="","",'BOULEVARD 5'!G114)</f>
        <v>45724</v>
      </c>
      <c r="M109" s="764">
        <f t="shared" si="13"/>
        <v>0</v>
      </c>
      <c r="N109" s="767">
        <f>IF('B5-Status cobranza'!AM116&lt;0,'B5-Status cobranza'!AM116,0)</f>
        <v>0</v>
      </c>
      <c r="O109" s="777">
        <f>IF('B5-Status cobranza'!AP116&lt;0,'B5-Status cobranza'!AP116,0)</f>
        <v>0</v>
      </c>
      <c r="P109" s="777">
        <f>IF('B5-Status cobranza'!AP116&gt;0,'B5-Status cobranza'!AP116,0)</f>
        <v>71284</v>
      </c>
      <c r="Q109" s="767">
        <f>'B5-Status cobranza'!AV116</f>
        <v>10214</v>
      </c>
      <c r="R109" s="764">
        <f t="shared" si="15"/>
        <v>1529194.3266091</v>
      </c>
      <c r="S109" s="764">
        <f>IF('B5-Status cobranza'!AL116&lt;0,'B5-Status cobranza'!AL116,0)</f>
        <v>0</v>
      </c>
      <c r="T109" s="764">
        <v>10214</v>
      </c>
      <c r="U109" s="778">
        <f t="shared" si="14"/>
        <v>3.3631933359381014E-2</v>
      </c>
      <c r="V109" s="764">
        <f>IF('B5-Status cobranza'!AL116&gt;0,'B5-Status cobranza'!AL116,0)</f>
        <v>10214</v>
      </c>
    </row>
    <row r="110" spans="1:22" ht="12" customHeight="1" x14ac:dyDescent="0.25">
      <c r="A110" s="763" t="str">
        <f>"Apto"&amp;'BOULEVARD 5'!B115</f>
        <v>Apto701</v>
      </c>
      <c r="B110" s="763">
        <v>1</v>
      </c>
      <c r="C110" s="763" t="str">
        <f>IF('BOULEVARD 5'!A115="","Cliente normal",'BOULEVARD 5'!A115)</f>
        <v>Cliente normal</v>
      </c>
      <c r="D110" s="763" t="str">
        <f>IF('BOULEVARD 5'!E115="","No asignado",'BOULEVARD 5'!E115)</f>
        <v>Antonio Rada</v>
      </c>
      <c r="E110" s="763" t="str">
        <f>IF('BOULEVARD 5'!F115="","No asignado",'BOULEVARD 5'!F115)</f>
        <v>Luis Francisco Villatoro Quiroa</v>
      </c>
      <c r="F110" s="764">
        <f>'BOULEVARD 5'!AT115</f>
        <v>128502</v>
      </c>
      <c r="G110" s="763" t="str">
        <f>'BOULEVARD 5'!BB115</f>
        <v>Cliente al día</v>
      </c>
      <c r="H110" s="764">
        <f>'BOULEVARD PPTO'!BC110</f>
        <v>132100</v>
      </c>
      <c r="I110" s="764">
        <f t="shared" si="11"/>
        <v>-3598</v>
      </c>
      <c r="J110" s="765" t="str">
        <f t="shared" si="12"/>
        <v>Enganche por pagar</v>
      </c>
      <c r="K110" s="764">
        <f>'BOULEVARD 5'!I115</f>
        <v>1320300</v>
      </c>
      <c r="L110" s="766">
        <f>IF('BOULEVARD 5'!G115="","",'BOULEVARD 5'!G115)</f>
        <v>45006</v>
      </c>
      <c r="M110" s="764">
        <f t="shared" si="13"/>
        <v>0</v>
      </c>
      <c r="N110" s="767">
        <f>IF('B5-Status cobranza'!AM117&lt;0,'B5-Status cobranza'!AM117,0)</f>
        <v>0</v>
      </c>
      <c r="O110" s="777">
        <f>IF('B5-Status cobranza'!AP117&lt;0,'B5-Status cobranza'!AP117,0)</f>
        <v>0</v>
      </c>
      <c r="P110" s="777">
        <f>IF('B5-Status cobranza'!AP117&gt;0,'B5-Status cobranza'!AP117,0)</f>
        <v>0</v>
      </c>
      <c r="Q110" s="767">
        <f>'B5-Status cobranza'!AV117</f>
        <v>0</v>
      </c>
      <c r="R110" s="764">
        <f t="shared" si="15"/>
        <v>1320300</v>
      </c>
      <c r="S110" s="764">
        <f>IF('B5-Status cobranza'!AL117&lt;0,'B5-Status cobranza'!AL117,0)</f>
        <v>0</v>
      </c>
      <c r="T110" s="764">
        <v>0</v>
      </c>
      <c r="U110" s="778">
        <f t="shared" si="14"/>
        <v>0</v>
      </c>
      <c r="V110" s="764">
        <f>IF('B5-Status cobranza'!AL117&gt;0,'B5-Status cobranza'!AL117,0)</f>
        <v>0</v>
      </c>
    </row>
    <row r="111" spans="1:22" ht="12" customHeight="1" x14ac:dyDescent="0.25">
      <c r="A111" s="763" t="str">
        <f>"Apto"&amp;'BOULEVARD 5'!B116</f>
        <v>Apto702</v>
      </c>
      <c r="B111" s="763">
        <v>1</v>
      </c>
      <c r="C111" s="763" t="str">
        <f>IF('BOULEVARD 5'!A116="","Cliente normal",'BOULEVARD 5'!A116)</f>
        <v>Cliente normal</v>
      </c>
      <c r="D111" s="763" t="str">
        <f>IF('BOULEVARD 5'!E116="","No asignado",'BOULEVARD 5'!E116)</f>
        <v>Antonio Rada</v>
      </c>
      <c r="E111" s="763" t="str">
        <f>IF('BOULEVARD 5'!F116="","No asignado",'BOULEVARD 5'!F116)</f>
        <v>Wilson Humberto Félix Reyna</v>
      </c>
      <c r="F111" s="764">
        <f>'BOULEVARD 5'!AT116</f>
        <v>134400</v>
      </c>
      <c r="G111" s="763" t="str">
        <f>'BOULEVARD 5'!BB116</f>
        <v>Cliente Atrasado</v>
      </c>
      <c r="H111" s="764">
        <f>'BOULEVARD PPTO'!BC111</f>
        <v>134400</v>
      </c>
      <c r="I111" s="764">
        <f t="shared" si="11"/>
        <v>0</v>
      </c>
      <c r="J111" s="765" t="str">
        <f t="shared" si="12"/>
        <v>Enganche por pagar</v>
      </c>
      <c r="K111" s="764">
        <f>'BOULEVARD 5'!I116</f>
        <v>1343800</v>
      </c>
      <c r="L111" s="766">
        <f>IF('BOULEVARD 5'!G116="","",'BOULEVARD 5'!G116)</f>
        <v>45030</v>
      </c>
      <c r="M111" s="764">
        <f t="shared" si="13"/>
        <v>0</v>
      </c>
      <c r="N111" s="767">
        <f>IF('B5-Status cobranza'!AM118&lt;0,'B5-Status cobranza'!AM118,0)</f>
        <v>0</v>
      </c>
      <c r="O111" s="777">
        <f>IF('B5-Status cobranza'!AP118&lt;0,'B5-Status cobranza'!AP118,0)</f>
        <v>0</v>
      </c>
      <c r="P111" s="777">
        <f>IF('B5-Status cobranza'!AP118&gt;0,'B5-Status cobranza'!AP118,0)</f>
        <v>0</v>
      </c>
      <c r="Q111" s="767">
        <f>'B5-Status cobranza'!AV118</f>
        <v>0</v>
      </c>
      <c r="R111" s="764">
        <f t="shared" si="15"/>
        <v>1343800</v>
      </c>
      <c r="S111" s="764">
        <f>IF('B5-Status cobranza'!AL118&lt;0,'B5-Status cobranza'!AL118,0)</f>
        <v>0</v>
      </c>
      <c r="T111" s="764">
        <v>0</v>
      </c>
      <c r="U111" s="778">
        <f t="shared" si="14"/>
        <v>0</v>
      </c>
      <c r="V111" s="764">
        <f>IF('B5-Status cobranza'!AL118&gt;0,'B5-Status cobranza'!AL118,0)</f>
        <v>13284</v>
      </c>
    </row>
    <row r="112" spans="1:22" ht="12" customHeight="1" x14ac:dyDescent="0.25">
      <c r="A112" s="763" t="str">
        <f>"Apto"&amp;'BOULEVARD 5'!B117</f>
        <v>Apto703</v>
      </c>
      <c r="B112" s="763">
        <v>1</v>
      </c>
      <c r="C112" s="763" t="str">
        <f>IF('BOULEVARD 5'!A117="","Cliente normal",'BOULEVARD 5'!A117)</f>
        <v>Cliente normal</v>
      </c>
      <c r="D112" s="763" t="str">
        <f>IF('BOULEVARD 5'!E117="","No asignado",'BOULEVARD 5'!E117)</f>
        <v>Antonio Rada</v>
      </c>
      <c r="E112" s="763" t="str">
        <f>IF('BOULEVARD 5'!F117="","No asignado",'BOULEVARD 5'!F117)</f>
        <v>Daniel Augusto Santos Aragon</v>
      </c>
      <c r="F112" s="764">
        <f>'BOULEVARD 5'!AT117</f>
        <v>80237</v>
      </c>
      <c r="G112" s="763" t="str">
        <f>'BOULEVARD 5'!BB117</f>
        <v>Cliente Atrasado</v>
      </c>
      <c r="H112" s="764">
        <f>'BOULEVARD PPTO'!BC112</f>
        <v>90200</v>
      </c>
      <c r="I112" s="764">
        <f t="shared" si="11"/>
        <v>-9963</v>
      </c>
      <c r="J112" s="765" t="str">
        <f t="shared" si="12"/>
        <v>Enganche por pagar</v>
      </c>
      <c r="K112" s="764">
        <f>'BOULEVARD 5'!I117</f>
        <v>901400</v>
      </c>
      <c r="L112" s="766">
        <f>IF('BOULEVARD 5'!G117="","",'BOULEVARD 5'!G117)</f>
        <v>45358</v>
      </c>
      <c r="M112" s="764">
        <f t="shared" si="13"/>
        <v>0</v>
      </c>
      <c r="N112" s="767">
        <f>IF('B5-Status cobranza'!AM119&lt;0,'B5-Status cobranza'!AM119,0)</f>
        <v>0</v>
      </c>
      <c r="O112" s="777">
        <f>IF('B5-Status cobranza'!AP119&lt;0,'B5-Status cobranza'!AP119,0)</f>
        <v>0</v>
      </c>
      <c r="P112" s="777">
        <f>IF('B5-Status cobranza'!AP119&gt;0,'B5-Status cobranza'!AP119,0)</f>
        <v>0</v>
      </c>
      <c r="Q112" s="767">
        <f>'B5-Status cobranza'!AV119</f>
        <v>0</v>
      </c>
      <c r="R112" s="764">
        <f t="shared" si="15"/>
        <v>901400</v>
      </c>
      <c r="S112" s="764">
        <f>IF('B5-Status cobranza'!AL119&lt;0,'B5-Status cobranza'!AL119,0)</f>
        <v>0</v>
      </c>
      <c r="T112" s="764">
        <v>0</v>
      </c>
      <c r="U112" s="778">
        <f t="shared" si="14"/>
        <v>0</v>
      </c>
      <c r="V112" s="764">
        <f>IF('B5-Status cobranza'!AL119&gt;0,'B5-Status cobranza'!AL119,0)</f>
        <v>0</v>
      </c>
    </row>
    <row r="113" spans="1:22" ht="12" customHeight="1" x14ac:dyDescent="0.25">
      <c r="A113" s="763" t="str">
        <f>"Apto"&amp;'BOULEVARD 5'!B118</f>
        <v>Apto704</v>
      </c>
      <c r="B113" s="763">
        <v>1</v>
      </c>
      <c r="C113" s="763" t="str">
        <f>IF('BOULEVARD 5'!A118="","Cliente normal",'BOULEVARD 5'!A118)</f>
        <v>Cliente normal</v>
      </c>
      <c r="D113" s="763" t="str">
        <f>IF('BOULEVARD 5'!E118="","No asignado",'BOULEVARD 5'!E118)</f>
        <v>Antonio Rada</v>
      </c>
      <c r="E113" s="763" t="str">
        <f>IF('BOULEVARD 5'!F118="","No asignado",'BOULEVARD 5'!F118)</f>
        <v>Dania Dulcidia Gutierrez Villeda</v>
      </c>
      <c r="F113" s="764">
        <f>'BOULEVARD 5'!AT118</f>
        <v>88800</v>
      </c>
      <c r="G113" s="763" t="str">
        <f>'BOULEVARD 5'!BB118</f>
        <v>Cliente Atrasado</v>
      </c>
      <c r="H113" s="764">
        <f>'BOULEVARD PPTO'!BC113</f>
        <v>88800</v>
      </c>
      <c r="I113" s="764">
        <f t="shared" si="11"/>
        <v>0</v>
      </c>
      <c r="J113" s="765" t="str">
        <f t="shared" si="12"/>
        <v>Enganche por pagar</v>
      </c>
      <c r="K113" s="764">
        <f>'BOULEVARD 5'!I118</f>
        <v>887400</v>
      </c>
      <c r="L113" s="766">
        <f>IF('BOULEVARD 5'!G118="","",'BOULEVARD 5'!G118)</f>
        <v>45397</v>
      </c>
      <c r="M113" s="764">
        <f t="shared" si="13"/>
        <v>0</v>
      </c>
      <c r="N113" s="767">
        <f>IF('B5-Status cobranza'!AM120&lt;0,'B5-Status cobranza'!AM120,0)</f>
        <v>0</v>
      </c>
      <c r="O113" s="777">
        <f>IF('B5-Status cobranza'!AP120&lt;0,'B5-Status cobranza'!AP120,0)</f>
        <v>0</v>
      </c>
      <c r="P113" s="777">
        <f>IF('B5-Status cobranza'!AP120&gt;0,'B5-Status cobranza'!AP120,0)</f>
        <v>0</v>
      </c>
      <c r="Q113" s="767">
        <f>'B5-Status cobranza'!AV120</f>
        <v>0</v>
      </c>
      <c r="R113" s="764">
        <f t="shared" si="15"/>
        <v>887400</v>
      </c>
      <c r="S113" s="764">
        <f>IF('B5-Status cobranza'!AL120&lt;0,'B5-Status cobranza'!AL120,0)</f>
        <v>0</v>
      </c>
      <c r="T113" s="764">
        <v>0</v>
      </c>
      <c r="U113" s="778">
        <f t="shared" si="14"/>
        <v>0</v>
      </c>
      <c r="V113" s="764">
        <f>IF('B5-Status cobranza'!AL120&gt;0,'B5-Status cobranza'!AL120,0)</f>
        <v>0</v>
      </c>
    </row>
    <row r="114" spans="1:22" ht="12" customHeight="1" x14ac:dyDescent="0.25">
      <c r="A114" s="763" t="str">
        <f>"Apto"&amp;'BOULEVARD 5'!B119</f>
        <v>Apto705</v>
      </c>
      <c r="B114" s="763">
        <v>1</v>
      </c>
      <c r="C114" s="763" t="str">
        <f>IF('BOULEVARD 5'!A119="","Cliente normal",'BOULEVARD 5'!A119)</f>
        <v>Cliente normal</v>
      </c>
      <c r="D114" s="763" t="str">
        <f>IF('BOULEVARD 5'!E119="","No asignado",'BOULEVARD 5'!E119)</f>
        <v>Antonio Rada</v>
      </c>
      <c r="E114" s="763" t="str">
        <f>IF('BOULEVARD 5'!F119="","No asignado",'BOULEVARD 5'!F119)</f>
        <v>Ingrid Lisbeth Dubón García De Diaz</v>
      </c>
      <c r="F114" s="764">
        <f>'BOULEVARD 5'!AT119</f>
        <v>96470</v>
      </c>
      <c r="G114" s="763" t="str">
        <f>'BOULEVARD 5'!BB119</f>
        <v>Cliente Atrasado</v>
      </c>
      <c r="H114" s="764">
        <f>'BOULEVARD PPTO'!BC114</f>
        <v>139701.18</v>
      </c>
      <c r="I114" s="764">
        <f t="shared" si="11"/>
        <v>-43231.179999999993</v>
      </c>
      <c r="J114" s="765" t="str">
        <f t="shared" si="12"/>
        <v>Enganche por pagar</v>
      </c>
      <c r="K114" s="764">
        <f>'BOULEVARD 5'!I119</f>
        <v>1396401.17573617</v>
      </c>
      <c r="L114" s="766">
        <f>IF('BOULEVARD 5'!G119="","",'BOULEVARD 5'!G119)</f>
        <v>45699</v>
      </c>
      <c r="M114" s="764">
        <f t="shared" si="13"/>
        <v>0</v>
      </c>
      <c r="N114" s="767">
        <f>IF('B5-Status cobranza'!AM121&lt;0,'B5-Status cobranza'!AM121,0)</f>
        <v>0</v>
      </c>
      <c r="O114" s="777">
        <f>IF('B5-Status cobranza'!AP121&lt;0,'B5-Status cobranza'!AP121,0)</f>
        <v>0</v>
      </c>
      <c r="P114" s="777">
        <f>IF('B5-Status cobranza'!AP121&gt;0,'B5-Status cobranza'!AP121,0)</f>
        <v>0</v>
      </c>
      <c r="Q114" s="767">
        <f>'B5-Status cobranza'!AV121</f>
        <v>0</v>
      </c>
      <c r="R114" s="764">
        <f t="shared" si="15"/>
        <v>1396401.17573617</v>
      </c>
      <c r="S114" s="764">
        <f>IF('B5-Status cobranza'!AL121&lt;0,'B5-Status cobranza'!AL121,0)</f>
        <v>0</v>
      </c>
      <c r="T114" s="764">
        <v>8647</v>
      </c>
      <c r="U114" s="778">
        <f t="shared" si="14"/>
        <v>2.8472227115583278E-2</v>
      </c>
      <c r="V114" s="764">
        <f>IF('B5-Status cobranza'!AL121&gt;0,'B5-Status cobranza'!AL121,0)</f>
        <v>0</v>
      </c>
    </row>
    <row r="115" spans="1:22" ht="12" customHeight="1" x14ac:dyDescent="0.25">
      <c r="A115" s="763" t="str">
        <f>"Apto"&amp;'BOULEVARD 5'!B120</f>
        <v>Apto706</v>
      </c>
      <c r="B115" s="763">
        <v>1</v>
      </c>
      <c r="C115" s="763" t="str">
        <f>IF('BOULEVARD 5'!A120="","Cliente normal",'BOULEVARD 5'!A120)</f>
        <v>Cliente normal</v>
      </c>
      <c r="D115" s="763" t="str">
        <f>IF('BOULEVARD 5'!E120="","No asignado",'BOULEVARD 5'!E120)</f>
        <v>Antonio Rada</v>
      </c>
      <c r="E115" s="763" t="str">
        <f>IF('BOULEVARD 5'!F120="","No asignado",'BOULEVARD 5'!F120)</f>
        <v>Edison Gabriel Ramirez Lopez</v>
      </c>
      <c r="F115" s="764">
        <f>'BOULEVARD 5'!AT120</f>
        <v>93763</v>
      </c>
      <c r="G115" s="763" t="str">
        <f>'BOULEVARD 5'!BB120</f>
        <v>Cliente Atrasado</v>
      </c>
      <c r="H115" s="764">
        <f>'BOULEVARD PPTO'!BC115</f>
        <v>140292.70000000001</v>
      </c>
      <c r="I115" s="764">
        <f t="shared" si="11"/>
        <v>-46529.700000000012</v>
      </c>
      <c r="J115" s="765" t="str">
        <f t="shared" si="12"/>
        <v>Enganche por pagar</v>
      </c>
      <c r="K115" s="764">
        <f>'BOULEVARD 5'!I120</f>
        <v>1402592.6953594901</v>
      </c>
      <c r="L115" s="766">
        <f>IF('BOULEVARD 5'!G120="","",'BOULEVARD 5'!G120)</f>
        <v>45728</v>
      </c>
      <c r="M115" s="764">
        <f t="shared" si="13"/>
        <v>0</v>
      </c>
      <c r="N115" s="767">
        <f>IF('B5-Status cobranza'!AM122&lt;0,'B5-Status cobranza'!AM122,0)</f>
        <v>0</v>
      </c>
      <c r="O115" s="777">
        <f>IF('B5-Status cobranza'!AP122&lt;0,'B5-Status cobranza'!AP122,0)</f>
        <v>0</v>
      </c>
      <c r="P115" s="777">
        <f>IF('B5-Status cobranza'!AP122&gt;0,'B5-Status cobranza'!AP122,0)</f>
        <v>0</v>
      </c>
      <c r="Q115" s="767">
        <f>'B5-Status cobranza'!AV122</f>
        <v>0</v>
      </c>
      <c r="R115" s="764">
        <f t="shared" si="15"/>
        <v>1402592.6953594901</v>
      </c>
      <c r="S115" s="764">
        <f>IF('B5-Status cobranza'!AL122&lt;0,'B5-Status cobranza'!AL122,0)</f>
        <v>0</v>
      </c>
      <c r="T115" s="764">
        <v>0</v>
      </c>
      <c r="U115" s="778">
        <f t="shared" si="14"/>
        <v>0</v>
      </c>
      <c r="V115" s="764">
        <f>IF('B5-Status cobranza'!AL122&gt;0,'B5-Status cobranza'!AL122,0)</f>
        <v>0</v>
      </c>
    </row>
    <row r="116" spans="1:22" ht="12" customHeight="1" x14ac:dyDescent="0.25">
      <c r="A116" s="763" t="str">
        <f>"Apto"&amp;'BOULEVARD 5'!B121</f>
        <v>Apto707</v>
      </c>
      <c r="B116" s="763">
        <v>1</v>
      </c>
      <c r="C116" s="763" t="str">
        <f>IF('BOULEVARD 5'!A121="","Cliente normal",'BOULEVARD 5'!A121)</f>
        <v>Cliente normal</v>
      </c>
      <c r="D116" s="763" t="str">
        <f>IF('BOULEVARD 5'!E121="","No asignado",'BOULEVARD 5'!E121)</f>
        <v>Sofia Paredes</v>
      </c>
      <c r="E116" s="763" t="str">
        <f>IF('BOULEVARD 5'!F121="","No asignado",'BOULEVARD 5'!F121)</f>
        <v xml:space="preserve">Cristhian Paul Escobar Maldonado </v>
      </c>
      <c r="F116" s="764">
        <f>'BOULEVARD 5'!AT121</f>
        <v>50000</v>
      </c>
      <c r="G116" s="763" t="str">
        <f>'BOULEVARD 5'!BB121</f>
        <v>Cliente Atrasado</v>
      </c>
      <c r="H116" s="764">
        <f>'BOULEVARD PPTO'!BC116</f>
        <v>78939</v>
      </c>
      <c r="I116" s="764">
        <f t="shared" si="11"/>
        <v>-28939</v>
      </c>
      <c r="J116" s="765" t="str">
        <f t="shared" si="12"/>
        <v>Enganche por pagar</v>
      </c>
      <c r="K116" s="764">
        <f>'BOULEVARD 5'!I121</f>
        <v>789045</v>
      </c>
      <c r="L116" s="766">
        <f>IF('BOULEVARD 5'!G121="","",'BOULEVARD 5'!G121)</f>
        <v>45751</v>
      </c>
      <c r="M116" s="764">
        <f t="shared" si="13"/>
        <v>0</v>
      </c>
      <c r="N116" s="767">
        <f>IF('B5-Status cobranza'!AM123&lt;0,'B5-Status cobranza'!AM123,0)</f>
        <v>-303</v>
      </c>
      <c r="O116" s="777">
        <f>IF('B5-Status cobranza'!AP123&lt;0,'B5-Status cobranza'!AP123,0)</f>
        <v>-6818</v>
      </c>
      <c r="P116" s="777">
        <f>IF('B5-Status cobranza'!AP123&gt;0,'B5-Status cobranza'!AP123,0)</f>
        <v>0</v>
      </c>
      <c r="Q116" s="767">
        <f>'B5-Status cobranza'!AV123</f>
        <v>0</v>
      </c>
      <c r="R116" s="764">
        <f t="shared" si="15"/>
        <v>789045</v>
      </c>
      <c r="S116" s="764">
        <f>IF('B5-Status cobranza'!AL123&lt;0,'B5-Status cobranza'!AL123,0)</f>
        <v>-303</v>
      </c>
      <c r="T116" s="764">
        <v>0</v>
      </c>
      <c r="U116" s="778">
        <f t="shared" si="14"/>
        <v>0</v>
      </c>
      <c r="V116" s="764">
        <f>IF('B5-Status cobranza'!AL123&gt;0,'B5-Status cobranza'!AL123,0)</f>
        <v>0</v>
      </c>
    </row>
    <row r="117" spans="1:22" ht="12" customHeight="1" x14ac:dyDescent="0.25">
      <c r="A117" s="763" t="str">
        <f>"Apto"&amp;'BOULEVARD 5'!B122</f>
        <v>Apto708</v>
      </c>
      <c r="B117" s="763">
        <v>1</v>
      </c>
      <c r="C117" s="763" t="str">
        <f>IF('BOULEVARD 5'!A122="","Cliente normal",'BOULEVARD 5'!A122)</f>
        <v>Cliente normal</v>
      </c>
      <c r="D117" s="763" t="str">
        <f>IF('BOULEVARD 5'!E122="","No asignado",'BOULEVARD 5'!E122)</f>
        <v>Antonio Rada</v>
      </c>
      <c r="E117" s="763" t="str">
        <f>IF('BOULEVARD 5'!F122="","No asignado",'BOULEVARD 5'!F122)</f>
        <v>Alfonso Videche Rodriguez</v>
      </c>
      <c r="F117" s="764">
        <f>'BOULEVARD 5'!AT122</f>
        <v>84600</v>
      </c>
      <c r="G117" s="763" t="str">
        <f>'BOULEVARD 5'!BB122</f>
        <v>Cliente Atrasado</v>
      </c>
      <c r="H117" s="764">
        <f>'BOULEVARD PPTO'!BC117</f>
        <v>118393</v>
      </c>
      <c r="I117" s="764">
        <f t="shared" si="11"/>
        <v>-33793</v>
      </c>
      <c r="J117" s="765" t="str">
        <f t="shared" si="12"/>
        <v>Enganche por pagar</v>
      </c>
      <c r="K117" s="764">
        <f>'BOULEVARD 5'!I122</f>
        <v>1183693</v>
      </c>
      <c r="L117" s="766">
        <f>IF('BOULEVARD 5'!G122="","",'BOULEVARD 5'!G122)</f>
        <v>45321</v>
      </c>
      <c r="M117" s="764">
        <f t="shared" si="13"/>
        <v>0</v>
      </c>
      <c r="N117" s="767">
        <f>IF('B5-Status cobranza'!AM124&lt;0,'B5-Status cobranza'!AM124,0)</f>
        <v>0</v>
      </c>
      <c r="O117" s="777">
        <f>IF('B5-Status cobranza'!AP124&lt;0,'B5-Status cobranza'!AP124,0)</f>
        <v>0</v>
      </c>
      <c r="P117" s="777">
        <f>IF('B5-Status cobranza'!AP124&gt;0,'B5-Status cobranza'!AP124,0)</f>
        <v>0</v>
      </c>
      <c r="Q117" s="767">
        <f>'B5-Status cobranza'!AV124</f>
        <v>0</v>
      </c>
      <c r="R117" s="764">
        <f t="shared" si="15"/>
        <v>1183693</v>
      </c>
      <c r="S117" s="764">
        <f>IF('B5-Status cobranza'!AL124&lt;0,'B5-Status cobranza'!AL124,0)</f>
        <v>0</v>
      </c>
      <c r="T117" s="764">
        <v>0</v>
      </c>
      <c r="U117" s="778">
        <f t="shared" si="14"/>
        <v>0</v>
      </c>
      <c r="V117" s="764">
        <f>IF('B5-Status cobranza'!AL124&gt;0,'B5-Status cobranza'!AL124,0)</f>
        <v>0</v>
      </c>
    </row>
    <row r="118" spans="1:22" ht="12" customHeight="1" x14ac:dyDescent="0.25">
      <c r="A118" s="763" t="str">
        <f>"Apto"&amp;'BOULEVARD 5'!B123</f>
        <v>Apto709</v>
      </c>
      <c r="B118" s="763">
        <v>1</v>
      </c>
      <c r="C118" s="768" t="str">
        <f>IF('BOULEVARD 5'!A123="","Cliente normal",'BOULEVARD 5'!A123)</f>
        <v>F&amp;F</v>
      </c>
      <c r="D118" s="768" t="s">
        <v>885</v>
      </c>
      <c r="E118" s="763" t="s">
        <v>885</v>
      </c>
      <c r="F118" s="764">
        <f>'BOULEVARD 5'!AT123</f>
        <v>95489</v>
      </c>
      <c r="G118" s="763" t="str">
        <f>'BOULEVARD 5'!BB123</f>
        <v>Superávit de Enganche</v>
      </c>
      <c r="H118" s="764">
        <f>'BOULEVARD PPTO'!BC118</f>
        <v>0</v>
      </c>
      <c r="I118" s="764">
        <f t="shared" si="11"/>
        <v>95489</v>
      </c>
      <c r="J118" s="765" t="str">
        <f t="shared" si="12"/>
        <v>Superavit de enganche</v>
      </c>
      <c r="K118" s="764">
        <f>'BOULEVARD 5'!I123</f>
        <v>1362800</v>
      </c>
      <c r="L118" s="766">
        <f>IF('BOULEVARD 5'!G123="","",'BOULEVARD 5'!G123)</f>
        <v>45202</v>
      </c>
      <c r="M118" s="764">
        <f t="shared" si="13"/>
        <v>0</v>
      </c>
      <c r="N118" s="767">
        <f>IF('B5-Status cobranza'!AM125&lt;0,'B5-Status cobranza'!AM125,0)</f>
        <v>0</v>
      </c>
      <c r="O118" s="777">
        <f>IF('B5-Status cobranza'!AP125&lt;0,'B5-Status cobranza'!AP125,0)</f>
        <v>0</v>
      </c>
      <c r="P118" s="777">
        <f>IF('B5-Status cobranza'!AP125&gt;0,'B5-Status cobranza'!AP125,0)</f>
        <v>0</v>
      </c>
      <c r="Q118" s="767">
        <f>'B5-Status cobranza'!AV125</f>
        <v>0</v>
      </c>
      <c r="R118" s="764">
        <f t="shared" si="15"/>
        <v>1362800</v>
      </c>
      <c r="S118" s="764">
        <f>IF('B5-Status cobranza'!AL125&lt;0,'B5-Status cobranza'!AL125,0)</f>
        <v>0</v>
      </c>
      <c r="T118" s="764">
        <v>0</v>
      </c>
      <c r="U118" s="778">
        <f t="shared" si="14"/>
        <v>0</v>
      </c>
      <c r="V118" s="764">
        <f>IF('B5-Status cobranza'!AL125&gt;0,'B5-Status cobranza'!AL125,0)</f>
        <v>0</v>
      </c>
    </row>
    <row r="119" spans="1:22" ht="12" customHeight="1" x14ac:dyDescent="0.25">
      <c r="A119" s="763" t="str">
        <f>"Apto"&amp;'BOULEVARD 5'!B124</f>
        <v>Apto710</v>
      </c>
      <c r="B119" s="763">
        <v>1</v>
      </c>
      <c r="C119" s="768" t="str">
        <f>IF('BOULEVARD 5'!A124="","Cliente normal",'BOULEVARD 5'!A124)</f>
        <v>F&amp;F</v>
      </c>
      <c r="D119" s="768" t="s">
        <v>885</v>
      </c>
      <c r="E119" s="763" t="s">
        <v>885</v>
      </c>
      <c r="F119" s="764">
        <f>'BOULEVARD 5'!AT124</f>
        <v>468000</v>
      </c>
      <c r="G119" s="763" t="str">
        <f>'BOULEVARD 5'!BB124</f>
        <v>Superávit de Enganche</v>
      </c>
      <c r="H119" s="764">
        <f>'BOULEVARD PPTO'!BC119</f>
        <v>0</v>
      </c>
      <c r="I119" s="764">
        <f t="shared" si="11"/>
        <v>468000</v>
      </c>
      <c r="J119" s="765" t="str">
        <f t="shared" si="12"/>
        <v>Superavit de enganche</v>
      </c>
      <c r="K119" s="764">
        <f>'BOULEVARD 5'!I124</f>
        <v>1185640.42442039</v>
      </c>
      <c r="L119" s="766">
        <f>IF('BOULEVARD 5'!G124="","",'BOULEVARD 5'!G124)</f>
        <v>45173</v>
      </c>
      <c r="M119" s="764">
        <f t="shared" si="13"/>
        <v>0</v>
      </c>
      <c r="N119" s="767">
        <f>IF('B5-Status cobranza'!AM126&lt;0,'B5-Status cobranza'!AM126,0)</f>
        <v>0</v>
      </c>
      <c r="O119" s="777">
        <f>IF('B5-Status cobranza'!AP126&lt;0,'B5-Status cobranza'!AP126,0)</f>
        <v>0</v>
      </c>
      <c r="P119" s="777">
        <f>IF('B5-Status cobranza'!AP126&gt;0,'B5-Status cobranza'!AP126,0)</f>
        <v>0</v>
      </c>
      <c r="Q119" s="767">
        <f>'B5-Status cobranza'!AV126</f>
        <v>0</v>
      </c>
      <c r="R119" s="764">
        <f t="shared" si="15"/>
        <v>1185640.42442039</v>
      </c>
      <c r="S119" s="764">
        <f>IF('B5-Status cobranza'!AL126&lt;0,'B5-Status cobranza'!AL126,0)</f>
        <v>0</v>
      </c>
      <c r="T119" s="764">
        <v>0</v>
      </c>
      <c r="U119" s="778">
        <f t="shared" si="14"/>
        <v>0</v>
      </c>
      <c r="V119" s="764">
        <f>IF('B5-Status cobranza'!AL126&gt;0,'B5-Status cobranza'!AL126,0)</f>
        <v>0</v>
      </c>
    </row>
    <row r="120" spans="1:22" ht="12" customHeight="1" x14ac:dyDescent="0.25">
      <c r="A120" s="763" t="str">
        <f>"Apto"&amp;'BOULEVARD 5'!B125</f>
        <v>Apto711</v>
      </c>
      <c r="B120" s="763">
        <v>1</v>
      </c>
      <c r="C120" s="763" t="str">
        <f>IF('BOULEVARD 5'!A125="","Cliente normal",'BOULEVARD 5'!A125)</f>
        <v>Cliente normal</v>
      </c>
      <c r="D120" s="763" t="str">
        <f>IF('BOULEVARD 5'!E125="","No asignado",'BOULEVARD 5'!E125)</f>
        <v>Diana Alvarez</v>
      </c>
      <c r="E120" s="763" t="str">
        <f>IF('BOULEVARD 5'!F125="","No asignado",'BOULEVARD 5'!F125)</f>
        <v>Samuel David Chavez</v>
      </c>
      <c r="F120" s="764">
        <f>'BOULEVARD 5'!AT125</f>
        <v>75000</v>
      </c>
      <c r="G120" s="763" t="str">
        <f>'BOULEVARD 5'!BB125</f>
        <v>Cliente Atrasado</v>
      </c>
      <c r="H120" s="764">
        <f>'BOULEVARD PPTO'!BC120</f>
        <v>120512.47</v>
      </c>
      <c r="I120" s="764">
        <f t="shared" si="11"/>
        <v>-45512.47</v>
      </c>
      <c r="J120" s="765" t="str">
        <f t="shared" si="12"/>
        <v>Enganche por pagar</v>
      </c>
      <c r="K120" s="764">
        <f>'BOULEVARD 5'!I125</f>
        <v>1204212.47</v>
      </c>
      <c r="L120" s="766">
        <f>IF('BOULEVARD 5'!G125="","",'BOULEVARD 5'!G125)</f>
        <v>45770</v>
      </c>
      <c r="M120" s="764">
        <f t="shared" si="13"/>
        <v>0</v>
      </c>
      <c r="N120" s="767">
        <f>IF('B5-Status cobranza'!AM127&lt;0,'B5-Status cobranza'!AM127,0)</f>
        <v>-3782</v>
      </c>
      <c r="O120" s="777">
        <f>IF('B5-Status cobranza'!AP127&lt;0,'B5-Status cobranza'!AP127,0)</f>
        <v>-11474</v>
      </c>
      <c r="P120" s="777">
        <f>IF('B5-Status cobranza'!AP127&gt;0,'B5-Status cobranza'!AP127,0)</f>
        <v>0</v>
      </c>
      <c r="Q120" s="767">
        <f>'B5-Status cobranza'!AV127</f>
        <v>0</v>
      </c>
      <c r="R120" s="764">
        <f t="shared" si="15"/>
        <v>1204212.47</v>
      </c>
      <c r="S120" s="764">
        <f>IF('B5-Status cobranza'!AL127&lt;0,'B5-Status cobranza'!AL127,0)</f>
        <v>0</v>
      </c>
      <c r="T120" s="764">
        <v>0</v>
      </c>
      <c r="U120" s="778">
        <f t="shared" si="14"/>
        <v>0</v>
      </c>
      <c r="V120" s="764">
        <f>IF('B5-Status cobranza'!AL127&gt;0,'B5-Status cobranza'!AL127,0)</f>
        <v>6218</v>
      </c>
    </row>
    <row r="121" spans="1:22" ht="12" customHeight="1" x14ac:dyDescent="0.25">
      <c r="A121" s="763" t="str">
        <f>"Apto"&amp;'BOULEVARD 5'!B126</f>
        <v>Apto712</v>
      </c>
      <c r="B121" s="763">
        <v>1</v>
      </c>
      <c r="C121" s="763" t="str">
        <f>IF('BOULEVARD 5'!A126="","Cliente normal",'BOULEVARD 5'!A126)</f>
        <v>Cliente normal</v>
      </c>
      <c r="D121" s="763" t="str">
        <f>IF('BOULEVARD 5'!E126="","No asignado",'BOULEVARD 5'!E126)</f>
        <v>Antonio Rada</v>
      </c>
      <c r="E121" s="763" t="str">
        <f>IF('BOULEVARD 5'!F126="","No asignado",'BOULEVARD 5'!F126)</f>
        <v>Edgar Augusto Sepúlveda Barrera</v>
      </c>
      <c r="F121" s="764">
        <f>'BOULEVARD 5'!AT126</f>
        <v>70400</v>
      </c>
      <c r="G121" s="763" t="str">
        <f>'BOULEVARD 5'!BB126</f>
        <v>Cliente Atrasado</v>
      </c>
      <c r="H121" s="764">
        <f>'BOULEVARD PPTO'!BC121</f>
        <v>70400</v>
      </c>
      <c r="I121" s="764">
        <f t="shared" si="11"/>
        <v>0</v>
      </c>
      <c r="J121" s="765" t="str">
        <f t="shared" si="12"/>
        <v>Enganche por pagar</v>
      </c>
      <c r="K121" s="764">
        <f>'BOULEVARD 5'!I126</f>
        <v>703500</v>
      </c>
      <c r="L121" s="766">
        <f>IF('BOULEVARD 5'!G126="","",'BOULEVARD 5'!G126)</f>
        <v>45085</v>
      </c>
      <c r="M121" s="764">
        <f t="shared" si="13"/>
        <v>0</v>
      </c>
      <c r="N121" s="767">
        <f>IF('B5-Status cobranza'!AM128&lt;0,'B5-Status cobranza'!AM128,0)</f>
        <v>0</v>
      </c>
      <c r="O121" s="777">
        <f>IF('B5-Status cobranza'!AP128&lt;0,'B5-Status cobranza'!AP128,0)</f>
        <v>0</v>
      </c>
      <c r="P121" s="777">
        <f>IF('B5-Status cobranza'!AP128&gt;0,'B5-Status cobranza'!AP128,0)</f>
        <v>0</v>
      </c>
      <c r="Q121" s="767">
        <f>'B5-Status cobranza'!AV128</f>
        <v>0</v>
      </c>
      <c r="R121" s="764">
        <f t="shared" si="15"/>
        <v>703500</v>
      </c>
      <c r="S121" s="764">
        <f>IF('B5-Status cobranza'!AL128&lt;0,'B5-Status cobranza'!AL128,0)</f>
        <v>0</v>
      </c>
      <c r="T121" s="764">
        <v>0</v>
      </c>
      <c r="U121" s="778">
        <f t="shared" si="14"/>
        <v>0</v>
      </c>
      <c r="V121" s="764">
        <f>IF('B5-Status cobranza'!AL128&gt;0,'B5-Status cobranza'!AL128,0)</f>
        <v>0</v>
      </c>
    </row>
    <row r="122" spans="1:22" ht="12" customHeight="1" x14ac:dyDescent="0.25">
      <c r="A122" s="763" t="str">
        <f>"Apto"&amp;'BOULEVARD 5'!B127</f>
        <v>Apto713</v>
      </c>
      <c r="B122" s="763">
        <v>1</v>
      </c>
      <c r="C122" s="763" t="str">
        <f>IF('BOULEVARD 5'!A127="","Cliente normal",'BOULEVARD 5'!A127)</f>
        <v>Cliente normal</v>
      </c>
      <c r="D122" s="763" t="str">
        <f>IF('BOULEVARD 5'!E127="","No asignado",'BOULEVARD 5'!E127)</f>
        <v>Antonio Rada</v>
      </c>
      <c r="E122" s="763" t="str">
        <f>IF('BOULEVARD 5'!F127="","No asignado",'BOULEVARD 5'!F127)</f>
        <v xml:space="preserve"> Luis Alejandro Pérez Ibañez</v>
      </c>
      <c r="F122" s="764">
        <f>'BOULEVARD 5'!AT127</f>
        <v>63795.15</v>
      </c>
      <c r="G122" s="763" t="str">
        <f>'BOULEVARD 5'!BB127</f>
        <v>Cliente al día</v>
      </c>
      <c r="H122" s="764">
        <f>'BOULEVARD PPTO'!BC122</f>
        <v>68800</v>
      </c>
      <c r="I122" s="764">
        <f t="shared" si="11"/>
        <v>-5004.8499999999985</v>
      </c>
      <c r="J122" s="765" t="str">
        <f t="shared" si="12"/>
        <v>Enganche por pagar</v>
      </c>
      <c r="K122" s="764">
        <f>'BOULEVARD 5'!I127</f>
        <v>687500</v>
      </c>
      <c r="L122" s="766">
        <f>IF('BOULEVARD 5'!G127="","",'BOULEVARD 5'!G127)</f>
        <v>45087</v>
      </c>
      <c r="M122" s="764">
        <f t="shared" si="13"/>
        <v>0</v>
      </c>
      <c r="N122" s="767">
        <f>IF('B5-Status cobranza'!AM129&lt;0,'B5-Status cobranza'!AM129,0)</f>
        <v>0</v>
      </c>
      <c r="O122" s="777">
        <f>IF('B5-Status cobranza'!AP129&lt;0,'B5-Status cobranza'!AP129,0)</f>
        <v>0</v>
      </c>
      <c r="P122" s="777">
        <f>IF('B5-Status cobranza'!AP129&gt;0,'B5-Status cobranza'!AP129,0)</f>
        <v>0</v>
      </c>
      <c r="Q122" s="767">
        <f>'B5-Status cobranza'!AV129</f>
        <v>0</v>
      </c>
      <c r="R122" s="764">
        <f t="shared" si="15"/>
        <v>687500</v>
      </c>
      <c r="S122" s="764">
        <f>IF('B5-Status cobranza'!AL129&lt;0,'B5-Status cobranza'!AL129,0)</f>
        <v>0</v>
      </c>
      <c r="T122" s="764">
        <v>0</v>
      </c>
      <c r="U122" s="778">
        <f t="shared" si="14"/>
        <v>0</v>
      </c>
      <c r="V122" s="764">
        <f>IF('B5-Status cobranza'!AL129&gt;0,'B5-Status cobranza'!AL129,0)</f>
        <v>0</v>
      </c>
    </row>
    <row r="123" spans="1:22" ht="12" customHeight="1" x14ac:dyDescent="0.25">
      <c r="A123" s="763" t="str">
        <f>"Apto"&amp;'BOULEVARD 5'!B128</f>
        <v>Apto714</v>
      </c>
      <c r="B123" s="763">
        <v>1</v>
      </c>
      <c r="C123" s="763" t="str">
        <f>IF('BOULEVARD 5'!A128="","Cliente normal",'BOULEVARD 5'!A128)</f>
        <v>Cliente normal</v>
      </c>
      <c r="D123" s="763" t="str">
        <f>IF('BOULEVARD 5'!E128="","No asignado",'BOULEVARD 5'!E128)</f>
        <v>Antonio Rada</v>
      </c>
      <c r="E123" s="763" t="str">
        <f>IF('BOULEVARD 5'!F128="","No asignado",'BOULEVARD 5'!F128)</f>
        <v>Jose Carlos Samayoa San Jose</v>
      </c>
      <c r="F123" s="764">
        <f>'BOULEVARD 5'!AT128</f>
        <v>311500</v>
      </c>
      <c r="G123" s="763" t="str">
        <f>'BOULEVARD 5'!BB128</f>
        <v>Superávit de Enganche</v>
      </c>
      <c r="H123" s="764">
        <f>'BOULEVARD PPTO'!BC123</f>
        <v>143808</v>
      </c>
      <c r="I123" s="764">
        <f t="shared" si="11"/>
        <v>167692</v>
      </c>
      <c r="J123" s="765" t="str">
        <f t="shared" si="12"/>
        <v>Superavit de enganche</v>
      </c>
      <c r="K123" s="764">
        <f>'BOULEVARD 5'!I128</f>
        <v>1438008</v>
      </c>
      <c r="L123" s="766">
        <f>IF('BOULEVARD 5'!G128="","",'BOULEVARD 5'!G128)</f>
        <v>45393</v>
      </c>
      <c r="M123" s="764">
        <f t="shared" si="13"/>
        <v>0</v>
      </c>
      <c r="N123" s="767">
        <f>IF('B5-Status cobranza'!AM130&lt;0,'B5-Status cobranza'!AM130,0)</f>
        <v>0</v>
      </c>
      <c r="O123" s="777">
        <f>IF('B5-Status cobranza'!AP130&lt;0,'B5-Status cobranza'!AP130,0)</f>
        <v>0</v>
      </c>
      <c r="P123" s="777">
        <f>IF('B5-Status cobranza'!AP130&gt;0,'B5-Status cobranza'!AP130,0)</f>
        <v>105692</v>
      </c>
      <c r="Q123" s="767">
        <f>'B5-Status cobranza'!AV130</f>
        <v>20000</v>
      </c>
      <c r="R123" s="764">
        <f t="shared" si="15"/>
        <v>1438008</v>
      </c>
      <c r="S123" s="764">
        <f>IF('B5-Status cobranza'!AL130&lt;0,'B5-Status cobranza'!AL130,0)</f>
        <v>0</v>
      </c>
      <c r="T123" s="764">
        <v>0</v>
      </c>
      <c r="U123" s="778">
        <f t="shared" si="14"/>
        <v>0</v>
      </c>
      <c r="V123" s="764">
        <f>IF('B5-Status cobranza'!AL130&gt;0,'B5-Status cobranza'!AL130,0)</f>
        <v>12016</v>
      </c>
    </row>
    <row r="124" spans="1:22" ht="12" customHeight="1" x14ac:dyDescent="0.25">
      <c r="A124" s="763" t="str">
        <f>"Apto"&amp;'BOULEVARD 5'!B129</f>
        <v>Apto715</v>
      </c>
      <c r="B124" s="763">
        <v>1</v>
      </c>
      <c r="C124" s="763" t="str">
        <f>IF('BOULEVARD 5'!A129="","Cliente normal",'BOULEVARD 5'!A129)</f>
        <v>Cliente normal</v>
      </c>
      <c r="D124" s="763" t="str">
        <f>IF('BOULEVARD 5'!E129="","No asignado",'BOULEVARD 5'!E129)</f>
        <v>Brenda Búcaro</v>
      </c>
      <c r="E124" s="763" t="str">
        <f>IF('BOULEVARD 5'!F129="","No asignado",'BOULEVARD 5'!F129)</f>
        <v>Cynthia Marisel Coronado Monterroso</v>
      </c>
      <c r="F124" s="764">
        <f>'BOULEVARD 5'!AT129</f>
        <v>55600</v>
      </c>
      <c r="G124" s="763" t="str">
        <f>'BOULEVARD 5'!BB129</f>
        <v>Cliente Atrasado</v>
      </c>
      <c r="H124" s="764">
        <f>'BOULEVARD PPTO'!BC124</f>
        <v>62000</v>
      </c>
      <c r="I124" s="764">
        <f t="shared" si="11"/>
        <v>-6400</v>
      </c>
      <c r="J124" s="765" t="str">
        <f t="shared" si="12"/>
        <v>Enganche por pagar</v>
      </c>
      <c r="K124" s="764">
        <f>'BOULEVARD 5'!I129</f>
        <v>617600</v>
      </c>
      <c r="L124" s="766">
        <f>IF('BOULEVARD 5'!G129="","",'BOULEVARD 5'!G129)</f>
        <v>44995</v>
      </c>
      <c r="M124" s="764">
        <f t="shared" si="13"/>
        <v>0</v>
      </c>
      <c r="N124" s="767">
        <f>IF('B5-Status cobranza'!AM131&lt;0,'B5-Status cobranza'!AM131,0)</f>
        <v>-1600</v>
      </c>
      <c r="O124" s="777">
        <f>IF('B5-Status cobranza'!AP131&lt;0,'B5-Status cobranza'!AP131,0)</f>
        <v>-1600</v>
      </c>
      <c r="P124" s="777">
        <f>IF('B5-Status cobranza'!AP131&gt;0,'B5-Status cobranza'!AP131,0)</f>
        <v>0</v>
      </c>
      <c r="Q124" s="767">
        <f>'B5-Status cobranza'!AV131</f>
        <v>0</v>
      </c>
      <c r="R124" s="764">
        <f t="shared" si="15"/>
        <v>617600</v>
      </c>
      <c r="S124" s="764">
        <f>IF('B5-Status cobranza'!AL131&lt;0,'B5-Status cobranza'!AL131,0)</f>
        <v>0</v>
      </c>
      <c r="T124" s="764">
        <v>0</v>
      </c>
      <c r="U124" s="778">
        <f t="shared" si="14"/>
        <v>0</v>
      </c>
      <c r="V124" s="764">
        <f>IF('B5-Status cobranza'!AL131&gt;0,'B5-Status cobranza'!AL131,0)</f>
        <v>0</v>
      </c>
    </row>
    <row r="125" spans="1:22" ht="12" customHeight="1" x14ac:dyDescent="0.25">
      <c r="A125" s="763" t="str">
        <f>"Apto"&amp;'BOULEVARD 5'!B130</f>
        <v>Apto716</v>
      </c>
      <c r="B125" s="763">
        <v>1</v>
      </c>
      <c r="C125" s="763" t="str">
        <f>IF('BOULEVARD 5'!A130="","Cliente normal",'BOULEVARD 5'!A130)</f>
        <v>Cliente normal</v>
      </c>
      <c r="D125" s="763" t="str">
        <f>IF('BOULEVARD 5'!E130="","No asignado",'BOULEVARD 5'!E130)</f>
        <v>Antonio Rada</v>
      </c>
      <c r="E125" s="763" t="str">
        <f>IF('BOULEVARD 5'!F130="","No asignado",'BOULEVARD 5'!F130)</f>
        <v>Lisvet  Maricelasance Alvarez De Giron</v>
      </c>
      <c r="F125" s="764">
        <f>'BOULEVARD 5'!AT130</f>
        <v>90200</v>
      </c>
      <c r="G125" s="763" t="str">
        <f>'BOULEVARD 5'!BB130</f>
        <v>Cliente Atrasado</v>
      </c>
      <c r="H125" s="764">
        <f>'BOULEVARD PPTO'!BC125</f>
        <v>90200</v>
      </c>
      <c r="I125" s="764">
        <f t="shared" si="11"/>
        <v>0</v>
      </c>
      <c r="J125" s="765" t="str">
        <f t="shared" si="12"/>
        <v>Enganche por pagar</v>
      </c>
      <c r="K125" s="764">
        <f>'BOULEVARD 5'!I130</f>
        <v>901400</v>
      </c>
      <c r="L125" s="766">
        <f>IF('BOULEVARD 5'!G130="","",'BOULEVARD 5'!G130)</f>
        <v>45306</v>
      </c>
      <c r="M125" s="764">
        <f t="shared" si="13"/>
        <v>0</v>
      </c>
      <c r="N125" s="767">
        <f>IF('B5-Status cobranza'!AM132&lt;0,'B5-Status cobranza'!AM132,0)</f>
        <v>0</v>
      </c>
      <c r="O125" s="777">
        <f>IF('B5-Status cobranza'!AP132&lt;0,'B5-Status cobranza'!AP132,0)</f>
        <v>0</v>
      </c>
      <c r="P125" s="777">
        <f>IF('B5-Status cobranza'!AP132&gt;0,'B5-Status cobranza'!AP132,0)</f>
        <v>0</v>
      </c>
      <c r="Q125" s="767">
        <f>'B5-Status cobranza'!AV132</f>
        <v>0</v>
      </c>
      <c r="R125" s="764">
        <f t="shared" si="15"/>
        <v>901400</v>
      </c>
      <c r="S125" s="764">
        <f>IF('B5-Status cobranza'!AL132&lt;0,'B5-Status cobranza'!AL132,0)</f>
        <v>0</v>
      </c>
      <c r="T125" s="764">
        <v>0</v>
      </c>
      <c r="U125" s="778">
        <f t="shared" si="14"/>
        <v>0</v>
      </c>
      <c r="V125" s="764">
        <f>IF('B5-Status cobranza'!AL132&gt;0,'B5-Status cobranza'!AL132,0)</f>
        <v>12440</v>
      </c>
    </row>
    <row r="126" spans="1:22" ht="12" customHeight="1" x14ac:dyDescent="0.25">
      <c r="A126" s="763" t="str">
        <f>"Apto"&amp;'BOULEVARD 5'!B131</f>
        <v>Apto717</v>
      </c>
      <c r="B126" s="763">
        <v>1</v>
      </c>
      <c r="C126" s="763" t="str">
        <f>IF('BOULEVARD 5'!A131="","Cliente normal",'BOULEVARD 5'!A131)</f>
        <v>Cliente normal</v>
      </c>
      <c r="D126" s="763" t="str">
        <f>IF('BOULEVARD 5'!E131="","No asignado",'BOULEVARD 5'!E131)</f>
        <v>Antonio Rada</v>
      </c>
      <c r="E126" s="763" t="str">
        <f>IF('BOULEVARD 5'!F131="","No asignado",'BOULEVARD 5'!F131)</f>
        <v>Jorge Estuardo Díaz Durán Baldetti</v>
      </c>
      <c r="F126" s="764">
        <f>'BOULEVARD 5'!AT131</f>
        <v>125960</v>
      </c>
      <c r="G126" s="763" t="str">
        <f>'BOULEVARD 5'!BB131</f>
        <v>Superávit de Enganche</v>
      </c>
      <c r="H126" s="764">
        <f>'BOULEVARD PPTO'!BC126</f>
        <v>88800</v>
      </c>
      <c r="I126" s="764">
        <f t="shared" si="11"/>
        <v>37160</v>
      </c>
      <c r="J126" s="765" t="str">
        <f t="shared" si="12"/>
        <v>Superavit de enganche</v>
      </c>
      <c r="K126" s="764">
        <f>'BOULEVARD 5'!I131</f>
        <v>887400</v>
      </c>
      <c r="L126" s="766">
        <f>IF('BOULEVARD 5'!G131="","",'BOULEVARD 5'!G131)</f>
        <v>45412</v>
      </c>
      <c r="M126" s="764">
        <f t="shared" si="13"/>
        <v>0</v>
      </c>
      <c r="N126" s="767">
        <f>IF('B5-Status cobranza'!AM133&lt;0,'B5-Status cobranza'!AM133,0)</f>
        <v>0</v>
      </c>
      <c r="O126" s="777">
        <f>IF('B5-Status cobranza'!AP133&lt;0,'B5-Status cobranza'!AP133,0)</f>
        <v>-8080</v>
      </c>
      <c r="P126" s="777">
        <f>IF('B5-Status cobranza'!AP133&gt;0,'B5-Status cobranza'!AP133,0)</f>
        <v>0</v>
      </c>
      <c r="Q126" s="767">
        <f>'B5-Status cobranza'!AV133</f>
        <v>0</v>
      </c>
      <c r="R126" s="764">
        <f t="shared" si="15"/>
        <v>887400</v>
      </c>
      <c r="S126" s="764">
        <f>IF('B5-Status cobranza'!AL133&lt;0,'B5-Status cobranza'!AL133,0)</f>
        <v>0</v>
      </c>
      <c r="T126" s="764">
        <v>0</v>
      </c>
      <c r="U126" s="778">
        <f t="shared" si="14"/>
        <v>0</v>
      </c>
      <c r="V126" s="764">
        <f>IF('B5-Status cobranza'!AL133&gt;0,'B5-Status cobranza'!AL133,0)</f>
        <v>0</v>
      </c>
    </row>
    <row r="127" spans="1:22" ht="12" customHeight="1" x14ac:dyDescent="0.25">
      <c r="A127" s="763" t="str">
        <f>"Apto"&amp;'BOULEVARD 5'!B132</f>
        <v>Apto718</v>
      </c>
      <c r="B127" s="763">
        <v>1</v>
      </c>
      <c r="C127" s="763" t="str">
        <f>IF('BOULEVARD 5'!A132="","Cliente normal",'BOULEVARD 5'!A132)</f>
        <v>Cliente normal</v>
      </c>
      <c r="D127" s="763" t="str">
        <f>IF('BOULEVARD 5'!E132="","No asignado",'BOULEVARD 5'!E132)</f>
        <v>Mario Rodriguez</v>
      </c>
      <c r="E127" s="763" t="str">
        <f>IF('BOULEVARD 5'!F132="","No asignado",'BOULEVARD 5'!F132)</f>
        <v>Julio Fernando Flores Interiano</v>
      </c>
      <c r="F127" s="764">
        <f>'BOULEVARD 5'!AT132</f>
        <v>10000</v>
      </c>
      <c r="G127" s="763" t="str">
        <f>'BOULEVARD 5'!BB132</f>
        <v>Cliente al día</v>
      </c>
      <c r="H127" s="764">
        <f>'BOULEVARD PPTO'!BC127</f>
        <v>0</v>
      </c>
      <c r="I127" s="764">
        <f t="shared" si="11"/>
        <v>10000</v>
      </c>
      <c r="J127" s="765" t="str">
        <f t="shared" si="12"/>
        <v>Superavit de enganche</v>
      </c>
      <c r="K127" s="764">
        <f>'BOULEVARD 5'!I132</f>
        <v>1667800</v>
      </c>
      <c r="L127" s="766">
        <f>IF('BOULEVARD 5'!G132="","",'BOULEVARD 5'!G132)</f>
        <v>45902</v>
      </c>
      <c r="M127" s="764">
        <f t="shared" si="13"/>
        <v>0</v>
      </c>
      <c r="N127" s="767">
        <f>IF('B5-Status cobranza'!AM134&lt;0,'B5-Status cobranza'!AM134,0)</f>
        <v>0</v>
      </c>
      <c r="O127" s="777">
        <f>IF('B5-Status cobranza'!AP134&lt;0,'B5-Status cobranza'!AP134,0)</f>
        <v>0</v>
      </c>
      <c r="P127" s="777">
        <f>IF('B5-Status cobranza'!AP134&gt;0,'B5-Status cobranza'!AP134,0)</f>
        <v>10000</v>
      </c>
      <c r="Q127" s="767">
        <f>'B5-Status cobranza'!AV134</f>
        <v>0</v>
      </c>
      <c r="R127" s="764">
        <f t="shared" si="15"/>
        <v>1667800</v>
      </c>
      <c r="S127" s="764">
        <f>IF('B5-Status cobranza'!AL134&lt;0,'B5-Status cobranza'!AL134,0)</f>
        <v>0</v>
      </c>
      <c r="T127" s="764">
        <v>0</v>
      </c>
      <c r="U127" s="778">
        <f t="shared" si="14"/>
        <v>0</v>
      </c>
      <c r="V127" s="764">
        <f>IF('B5-Status cobranza'!AL134&gt;0,'B5-Status cobranza'!AL134,0)</f>
        <v>10000</v>
      </c>
    </row>
    <row r="128" spans="1:22" ht="12" customHeight="1" x14ac:dyDescent="0.25">
      <c r="A128" s="763" t="str">
        <f>"Apto"&amp;'BOULEVARD 5'!B133</f>
        <v>Apto719</v>
      </c>
      <c r="B128" s="763">
        <v>1</v>
      </c>
      <c r="C128" s="763" t="str">
        <f>G128</f>
        <v>Cliente al día</v>
      </c>
      <c r="D128" s="763" t="str">
        <f>IF('BOULEVARD 5'!E133="","No asignado",'BOULEVARD 5'!E133)</f>
        <v>Junta Directiva</v>
      </c>
      <c r="E128" s="763" t="str">
        <f>IF('BOULEVARD 5'!F133="","No asignado",'BOULEVARD 5'!F133)</f>
        <v>(congelado estrategia comercial) / Mario Flores</v>
      </c>
      <c r="F128" s="764">
        <f>'BOULEVARD 5'!AT133</f>
        <v>0</v>
      </c>
      <c r="G128" s="763" t="str">
        <f>'BOULEVARD 5'!BB133</f>
        <v>Cliente al día</v>
      </c>
      <c r="H128" s="764">
        <f>'BOULEVARD PPTO'!BC128</f>
        <v>0</v>
      </c>
      <c r="I128" s="764">
        <f t="shared" si="11"/>
        <v>0</v>
      </c>
      <c r="J128" s="765" t="str">
        <f t="shared" si="12"/>
        <v>Enganche por pagar</v>
      </c>
      <c r="K128" s="764">
        <f>'BOULEVARD 5'!I133</f>
        <v>1456400</v>
      </c>
      <c r="L128" s="766">
        <f>IF('BOULEVARD 5'!G133="","",'BOULEVARD 5'!G133)</f>
        <v>45904</v>
      </c>
      <c r="M128" s="764">
        <f t="shared" si="13"/>
        <v>0</v>
      </c>
      <c r="N128" s="767">
        <f>IF('B5-Status cobranza'!AM135&lt;0,'B5-Status cobranza'!AM135,0)</f>
        <v>0</v>
      </c>
      <c r="O128" s="777">
        <f>IF('B5-Status cobranza'!AP135&lt;0,'B5-Status cobranza'!AP135,0)</f>
        <v>0</v>
      </c>
      <c r="P128" s="777">
        <f>IF('B5-Status cobranza'!AP135&gt;0,'B5-Status cobranza'!AP135,0)</f>
        <v>0</v>
      </c>
      <c r="Q128" s="767">
        <f>'B5-Status cobranza'!AV135</f>
        <v>0</v>
      </c>
      <c r="R128" s="764">
        <f t="shared" si="15"/>
        <v>1456400</v>
      </c>
      <c r="S128" s="764">
        <f>IF('B5-Status cobranza'!AL135&lt;0,'B5-Status cobranza'!AL135,0)</f>
        <v>0</v>
      </c>
      <c r="T128" s="764">
        <v>0</v>
      </c>
      <c r="U128" s="778">
        <f t="shared" si="14"/>
        <v>0</v>
      </c>
      <c r="V128" s="764">
        <f>IF('B5-Status cobranza'!AL135&gt;0,'B5-Status cobranza'!AL135,0)</f>
        <v>0</v>
      </c>
    </row>
    <row r="129" spans="1:22" ht="12" customHeight="1" x14ac:dyDescent="0.25">
      <c r="A129" s="763" t="str">
        <f>"Apto"&amp;'BOULEVARD 5'!B134</f>
        <v>Apto801</v>
      </c>
      <c r="B129" s="763">
        <v>1</v>
      </c>
      <c r="C129" s="763" t="str">
        <f>IF('BOULEVARD 5'!A134="","Cliente normal",'BOULEVARD 5'!A134)</f>
        <v>Cliente normal</v>
      </c>
      <c r="D129" s="763" t="str">
        <f>IF('BOULEVARD 5'!E134="","No asignado",'BOULEVARD 5'!E134)</f>
        <v>Antonio Rada</v>
      </c>
      <c r="E129" s="763" t="str">
        <f>IF('BOULEVARD 5'!F134="","No asignado",'BOULEVARD 5'!F134)</f>
        <v>Pablo Jose Juarez Pereira</v>
      </c>
      <c r="F129" s="764">
        <f>'BOULEVARD 5'!AT134</f>
        <v>115200</v>
      </c>
      <c r="G129" s="763" t="str">
        <f>'BOULEVARD 5'!BB134</f>
        <v>Cliente Atrasado</v>
      </c>
      <c r="H129" s="764">
        <f>'BOULEVARD PPTO'!BC129</f>
        <v>115200</v>
      </c>
      <c r="I129" s="764">
        <f t="shared" si="11"/>
        <v>0</v>
      </c>
      <c r="J129" s="765" t="str">
        <f t="shared" si="12"/>
        <v>Enganche por pagar</v>
      </c>
      <c r="K129" s="764">
        <f>'BOULEVARD 5'!I134</f>
        <v>1152000</v>
      </c>
      <c r="L129" s="766">
        <f>IF('BOULEVARD 5'!G134="","",'BOULEVARD 5'!G134)</f>
        <v>45132</v>
      </c>
      <c r="M129" s="764">
        <f t="shared" si="13"/>
        <v>0</v>
      </c>
      <c r="N129" s="767">
        <f>IF('B5-Status cobranza'!AM136&lt;0,'B5-Status cobranza'!AM136,0)</f>
        <v>0</v>
      </c>
      <c r="O129" s="777">
        <f>IF('B5-Status cobranza'!AP136&lt;0,'B5-Status cobranza'!AP136,0)</f>
        <v>0</v>
      </c>
      <c r="P129" s="777">
        <f>IF('B5-Status cobranza'!AP136&gt;0,'B5-Status cobranza'!AP136,0)</f>
        <v>0</v>
      </c>
      <c r="Q129" s="767">
        <f>'B5-Status cobranza'!AV136</f>
        <v>0</v>
      </c>
      <c r="R129" s="764">
        <f t="shared" si="15"/>
        <v>1152000</v>
      </c>
      <c r="S129" s="764">
        <f>IF('B5-Status cobranza'!AL136&lt;0,'B5-Status cobranza'!AL136,0)</f>
        <v>-4200</v>
      </c>
      <c r="T129" s="764">
        <v>0</v>
      </c>
      <c r="U129" s="778">
        <f t="shared" si="14"/>
        <v>0</v>
      </c>
      <c r="V129" s="764">
        <f>IF('B5-Status cobranza'!AL136&gt;0,'B5-Status cobranza'!AL136,0)</f>
        <v>0</v>
      </c>
    </row>
    <row r="130" spans="1:22" ht="12" customHeight="1" x14ac:dyDescent="0.25">
      <c r="A130" s="763" t="str">
        <f>"Apto"&amp;'BOULEVARD 5'!B135</f>
        <v>Apto802</v>
      </c>
      <c r="B130" s="763">
        <v>1</v>
      </c>
      <c r="C130" s="763" t="str">
        <f>IF('BOULEVARD 5'!A135="","Cliente normal",'BOULEVARD 5'!A135)</f>
        <v>Cliente normal</v>
      </c>
      <c r="D130" s="763" t="str">
        <f>IF('BOULEVARD 5'!E135="","No asignado",'BOULEVARD 5'!E135)</f>
        <v>Brenda Búcaro</v>
      </c>
      <c r="E130" s="763" t="str">
        <f>IF('BOULEVARD 5'!F135="","No asignado",'BOULEVARD 5'!F135)</f>
        <v>Carmen Julia Soto Baechli De Hicks</v>
      </c>
      <c r="F130" s="764">
        <f>'BOULEVARD 5'!AT135</f>
        <v>133100</v>
      </c>
      <c r="G130" s="763" t="str">
        <f>'BOULEVARD 5'!BB135</f>
        <v>Cliente Atrasado</v>
      </c>
      <c r="H130" s="764">
        <f>'BOULEVARD PPTO'!BC130</f>
        <v>116700</v>
      </c>
      <c r="I130" s="764">
        <f t="shared" si="11"/>
        <v>16400</v>
      </c>
      <c r="J130" s="765" t="str">
        <f t="shared" si="12"/>
        <v>Superavit de enganche</v>
      </c>
      <c r="K130" s="764">
        <f>'BOULEVARD 5'!I135</f>
        <v>1166800</v>
      </c>
      <c r="L130" s="766">
        <f>IF('BOULEVARD 5'!G135="","",'BOULEVARD 5'!G135)</f>
        <v>45087</v>
      </c>
      <c r="M130" s="764">
        <f t="shared" si="13"/>
        <v>0</v>
      </c>
      <c r="N130" s="767">
        <f>IF('B5-Status cobranza'!AM137&lt;0,'B5-Status cobranza'!AM137,0)</f>
        <v>0</v>
      </c>
      <c r="O130" s="777">
        <f>IF('B5-Status cobranza'!AP137&lt;0,'B5-Status cobranza'!AP137,0)</f>
        <v>0</v>
      </c>
      <c r="P130" s="777">
        <f>IF('B5-Status cobranza'!AP137&gt;0,'B5-Status cobranza'!AP137,0)</f>
        <v>4100</v>
      </c>
      <c r="Q130" s="767">
        <f>'B5-Status cobranza'!AV137</f>
        <v>4100</v>
      </c>
      <c r="R130" s="764">
        <f t="shared" si="15"/>
        <v>1166800</v>
      </c>
      <c r="S130" s="764">
        <f>IF('B5-Status cobranza'!AL137&lt;0,'B5-Status cobranza'!AL137,0)</f>
        <v>0</v>
      </c>
      <c r="T130" s="764">
        <v>0</v>
      </c>
      <c r="U130" s="778">
        <f t="shared" si="14"/>
        <v>0</v>
      </c>
      <c r="V130" s="764">
        <f>IF('B5-Status cobranza'!AL137&gt;0,'B5-Status cobranza'!AL137,0)</f>
        <v>0</v>
      </c>
    </row>
    <row r="131" spans="1:22" ht="12" customHeight="1" x14ac:dyDescent="0.25">
      <c r="A131" s="763" t="str">
        <f>"Apto"&amp;'BOULEVARD 5'!B136</f>
        <v>Apto803</v>
      </c>
      <c r="B131" s="763">
        <v>1</v>
      </c>
      <c r="C131" s="763" t="str">
        <f>IF('BOULEVARD 5'!A136="","Cliente normal",'BOULEVARD 5'!A136)</f>
        <v>Cliente normal</v>
      </c>
      <c r="D131" s="763" t="str">
        <f>IF('BOULEVARD 5'!E136="","No asignado",'BOULEVARD 5'!E136)</f>
        <v>Brenda Búcaro</v>
      </c>
      <c r="E131" s="763" t="str">
        <f>IF('BOULEVARD 5'!F136="","No asignado",'BOULEVARD 5'!F136)</f>
        <v>Mauricio Antonio Leon Tres</v>
      </c>
      <c r="F131" s="764">
        <f>'BOULEVARD 5'!AT136</f>
        <v>60475</v>
      </c>
      <c r="G131" s="763" t="str">
        <f>'BOULEVARD 5'!BB136</f>
        <v>Cliente Atrasado</v>
      </c>
      <c r="H131" s="764">
        <f>'BOULEVARD PPTO'!BC131</f>
        <v>66100</v>
      </c>
      <c r="I131" s="764">
        <f t="shared" ref="I131:I194" si="16">F131-H131</f>
        <v>-5625</v>
      </c>
      <c r="J131" s="765" t="str">
        <f t="shared" ref="J131:J194" si="17">IF(I131&gt;0,"Superavit de enganche","Enganche por pagar")</f>
        <v>Enganche por pagar</v>
      </c>
      <c r="K131" s="764">
        <f>'BOULEVARD 5'!I136</f>
        <v>660700</v>
      </c>
      <c r="L131" s="766">
        <f>IF('BOULEVARD 5'!G136="","",'BOULEVARD 5'!G136)</f>
        <v>45007</v>
      </c>
      <c r="M131" s="764">
        <f t="shared" ref="M131:M194" si="18">IF(G131="Disponible",K131,0)</f>
        <v>0</v>
      </c>
      <c r="N131" s="767">
        <f>IF('B5-Status cobranza'!AM138&lt;0,'B5-Status cobranza'!AM138,0)</f>
        <v>-1700</v>
      </c>
      <c r="O131" s="777">
        <f>IF('B5-Status cobranza'!AP138&lt;0,'B5-Status cobranza'!AP138,0)</f>
        <v>-1625</v>
      </c>
      <c r="P131" s="777">
        <f>IF('B5-Status cobranza'!AP138&gt;0,'B5-Status cobranza'!AP138,0)</f>
        <v>0</v>
      </c>
      <c r="Q131" s="767">
        <f>'B5-Status cobranza'!AV138</f>
        <v>0</v>
      </c>
      <c r="R131" s="764">
        <f t="shared" si="15"/>
        <v>660700</v>
      </c>
      <c r="S131" s="764">
        <f>IF('B5-Status cobranza'!AL138&lt;0,'B5-Status cobranza'!AL138,0)</f>
        <v>0</v>
      </c>
      <c r="T131" s="764">
        <v>0</v>
      </c>
      <c r="U131" s="778">
        <f t="shared" ref="U131:U194" si="19">-T131/SUM($S$2:$S$299)</f>
        <v>0</v>
      </c>
      <c r="V131" s="764">
        <f>IF('B5-Status cobranza'!AL138&gt;0,'B5-Status cobranza'!AL138,0)</f>
        <v>0</v>
      </c>
    </row>
    <row r="132" spans="1:22" ht="12" customHeight="1" x14ac:dyDescent="0.25">
      <c r="A132" s="763" t="str">
        <f>"Apto"&amp;'BOULEVARD 5'!B137</f>
        <v>Apto804</v>
      </c>
      <c r="B132" s="763">
        <v>1</v>
      </c>
      <c r="C132" s="763" t="str">
        <f>IF('BOULEVARD 5'!A137="","Cliente normal",'BOULEVARD 5'!A137)</f>
        <v>Cliente normal</v>
      </c>
      <c r="D132" s="763" t="str">
        <f>IF('BOULEVARD 5'!E137="","No asignado",'BOULEVARD 5'!E137)</f>
        <v>Brenda Búcaro</v>
      </c>
      <c r="E132" s="763" t="str">
        <f>IF('BOULEVARD 5'!F137="","No asignado",'BOULEVARD 5'!F137)</f>
        <v>Victor Hugo Caceres Morales</v>
      </c>
      <c r="F132" s="764">
        <f>'BOULEVARD 5'!AT137</f>
        <v>57500</v>
      </c>
      <c r="G132" s="763" t="str">
        <f>'BOULEVARD 5'!BB137</f>
        <v>Cliente al día</v>
      </c>
      <c r="H132" s="764">
        <f>'BOULEVARD PPTO'!BC132</f>
        <v>70300</v>
      </c>
      <c r="I132" s="764">
        <f t="shared" si="16"/>
        <v>-12800</v>
      </c>
      <c r="J132" s="765" t="str">
        <f t="shared" si="17"/>
        <v>Enganche por pagar</v>
      </c>
      <c r="K132" s="764">
        <f>'BOULEVARD 5'!I137</f>
        <v>702900</v>
      </c>
      <c r="L132" s="766">
        <f>IF('BOULEVARD 5'!G137="","",'BOULEVARD 5'!G137)</f>
        <v>45090</v>
      </c>
      <c r="M132" s="764">
        <f t="shared" si="18"/>
        <v>0</v>
      </c>
      <c r="N132" s="767">
        <f>IF('B5-Status cobranza'!AM139&lt;0,'B5-Status cobranza'!AM139,0)</f>
        <v>0</v>
      </c>
      <c r="O132" s="777">
        <f>IF('B5-Status cobranza'!AP139&lt;0,'B5-Status cobranza'!AP139,0)</f>
        <v>-17300</v>
      </c>
      <c r="P132" s="777">
        <f>IF('B5-Status cobranza'!AP139&gt;0,'B5-Status cobranza'!AP139,0)</f>
        <v>0</v>
      </c>
      <c r="Q132" s="767">
        <f>'B5-Status cobranza'!AV139</f>
        <v>3000</v>
      </c>
      <c r="R132" s="764">
        <f t="shared" ref="R132:R195" si="20">IF(M132=0,K132,0)</f>
        <v>702900</v>
      </c>
      <c r="S132" s="764">
        <f>IF('B5-Status cobranza'!AL139&lt;0,'B5-Status cobranza'!AL139,0)</f>
        <v>-25300</v>
      </c>
      <c r="T132" s="764">
        <v>1500</v>
      </c>
      <c r="U132" s="778">
        <f t="shared" si="19"/>
        <v>4.9390934050393106E-3</v>
      </c>
      <c r="V132" s="764">
        <f>IF('B5-Status cobranza'!AL139&gt;0,'B5-Status cobranza'!AL139,0)</f>
        <v>0</v>
      </c>
    </row>
    <row r="133" spans="1:22" ht="12" customHeight="1" x14ac:dyDescent="0.25">
      <c r="A133" s="763" t="str">
        <f>"Apto"&amp;'BOULEVARD 5'!B138</f>
        <v>Apto805</v>
      </c>
      <c r="B133" s="763">
        <v>1</v>
      </c>
      <c r="C133" s="763" t="str">
        <f>IF('BOULEVARD 5'!A138="","Cliente normal",'BOULEVARD 5'!A138)</f>
        <v>Cliente normal</v>
      </c>
      <c r="D133" s="763" t="str">
        <f>IF('BOULEVARD 5'!E138="","No asignado",'BOULEVARD 5'!E138)</f>
        <v>Antonio Rada</v>
      </c>
      <c r="E133" s="763" t="str">
        <f>IF('BOULEVARD 5'!F138="","No asignado",'BOULEVARD 5'!F138)</f>
        <v>Celia Julissa Flores Dávila De Gonzalez</v>
      </c>
      <c r="F133" s="764">
        <f>'BOULEVARD 5'!AT138</f>
        <v>91650.05</v>
      </c>
      <c r="G133" s="763" t="str">
        <f>'BOULEVARD 5'!BB138</f>
        <v>Cliente Atrasado</v>
      </c>
      <c r="H133" s="764">
        <f>'BOULEVARD PPTO'!BC133</f>
        <v>94200</v>
      </c>
      <c r="I133" s="764">
        <f t="shared" si="16"/>
        <v>-2549.9499999999971</v>
      </c>
      <c r="J133" s="765" t="str">
        <f t="shared" si="17"/>
        <v>Enganche por pagar</v>
      </c>
      <c r="K133" s="764">
        <f>'BOULEVARD 5'!I138</f>
        <v>941800</v>
      </c>
      <c r="L133" s="766">
        <f>IF('BOULEVARD 5'!G138="","",'BOULEVARD 5'!G138)</f>
        <v>45420</v>
      </c>
      <c r="M133" s="764">
        <f t="shared" si="18"/>
        <v>0</v>
      </c>
      <c r="N133" s="767">
        <f>IF('B5-Status cobranza'!AM140&lt;0,'B5-Status cobranza'!AM140,0)</f>
        <v>0</v>
      </c>
      <c r="O133" s="777">
        <f>IF('B5-Status cobranza'!AP140&lt;0,'B5-Status cobranza'!AP140,0)</f>
        <v>0</v>
      </c>
      <c r="P133" s="777">
        <f>IF('B5-Status cobranza'!AP140&gt;0,'B5-Status cobranza'!AP140,0)</f>
        <v>0</v>
      </c>
      <c r="Q133" s="767">
        <f>'B5-Status cobranza'!AV140</f>
        <v>0</v>
      </c>
      <c r="R133" s="764">
        <f t="shared" si="20"/>
        <v>941800</v>
      </c>
      <c r="S133" s="764">
        <f>IF('B5-Status cobranza'!AL140&lt;0,'B5-Status cobranza'!AL140,0)</f>
        <v>0</v>
      </c>
      <c r="T133" s="764">
        <v>0</v>
      </c>
      <c r="U133" s="778">
        <f t="shared" si="19"/>
        <v>0</v>
      </c>
      <c r="V133" s="764">
        <f>IF('B5-Status cobranza'!AL140&gt;0,'B5-Status cobranza'!AL140,0)</f>
        <v>0</v>
      </c>
    </row>
    <row r="134" spans="1:22" ht="12" customHeight="1" x14ac:dyDescent="0.25">
      <c r="A134" s="763" t="str">
        <f>"Apto"&amp;'BOULEVARD 5'!B139</f>
        <v>Apto806</v>
      </c>
      <c r="B134" s="763">
        <v>1</v>
      </c>
      <c r="C134" s="763" t="str">
        <f>IF('BOULEVARD 5'!A139="","Cliente normal",'BOULEVARD 5'!A139)</f>
        <v>Cliente normal</v>
      </c>
      <c r="D134" s="763" t="str">
        <f>IF('BOULEVARD 5'!E139="","No asignado",'BOULEVARD 5'!E139)</f>
        <v>Antonio Rada</v>
      </c>
      <c r="E134" s="763" t="str">
        <f>IF('BOULEVARD 5'!F139="","No asignado",'BOULEVARD 5'!F139)</f>
        <v>Rodolfo Morales Muñoz</v>
      </c>
      <c r="F134" s="764">
        <f>'BOULEVARD 5'!AT139</f>
        <v>101896</v>
      </c>
      <c r="G134" s="763" t="str">
        <f>'BOULEVARD 5'!BB139</f>
        <v>Cliente Atrasado</v>
      </c>
      <c r="H134" s="764">
        <f>'BOULEVARD PPTO'!BC134</f>
        <v>108465</v>
      </c>
      <c r="I134" s="764">
        <f t="shared" si="16"/>
        <v>-6569</v>
      </c>
      <c r="J134" s="765" t="str">
        <f t="shared" si="17"/>
        <v>Enganche por pagar</v>
      </c>
      <c r="K134" s="764">
        <f>'BOULEVARD 5'!I139</f>
        <v>1084565</v>
      </c>
      <c r="L134" s="766">
        <f>IF('BOULEVARD 5'!G139="","",'BOULEVARD 5'!G139)</f>
        <v>45547</v>
      </c>
      <c r="M134" s="764">
        <f t="shared" si="18"/>
        <v>0</v>
      </c>
      <c r="N134" s="767">
        <f>IF('B5-Status cobranza'!AM141&lt;0,'B5-Status cobranza'!AM141,0)</f>
        <v>0</v>
      </c>
      <c r="O134" s="777">
        <f>IF('B5-Status cobranza'!AP141&lt;0,'B5-Status cobranza'!AP141,0)</f>
        <v>0</v>
      </c>
      <c r="P134" s="777">
        <f>IF('B5-Status cobranza'!AP141&gt;0,'B5-Status cobranza'!AP141,0)</f>
        <v>0</v>
      </c>
      <c r="Q134" s="767">
        <f>'B5-Status cobranza'!AV141</f>
        <v>0</v>
      </c>
      <c r="R134" s="764">
        <f t="shared" si="20"/>
        <v>1084565</v>
      </c>
      <c r="S134" s="764">
        <f>IF('B5-Status cobranza'!AL141&lt;0,'B5-Status cobranza'!AL141,0)</f>
        <v>0</v>
      </c>
      <c r="T134" s="764">
        <v>0</v>
      </c>
      <c r="U134" s="778">
        <f t="shared" si="19"/>
        <v>0</v>
      </c>
      <c r="V134" s="764">
        <f>IF('B5-Status cobranza'!AL141&gt;0,'B5-Status cobranza'!AL141,0)</f>
        <v>0</v>
      </c>
    </row>
    <row r="135" spans="1:22" ht="12" customHeight="1" x14ac:dyDescent="0.25">
      <c r="A135" s="763" t="str">
        <f>"Apto"&amp;'BOULEVARD 5'!B140</f>
        <v>Apto807</v>
      </c>
      <c r="B135" s="763">
        <v>1</v>
      </c>
      <c r="C135" s="763" t="str">
        <f>IF('BOULEVARD 5'!A140="","Cliente normal",'BOULEVARD 5'!A140)</f>
        <v>Cliente normal</v>
      </c>
      <c r="D135" s="763" t="str">
        <f>IF('BOULEVARD 5'!E140="","No asignado",'BOULEVARD 5'!E140)</f>
        <v>Antonio Rada</v>
      </c>
      <c r="E135" s="763" t="str">
        <f>IF('BOULEVARD 5'!F140="","No asignado",'BOULEVARD 5'!F140)</f>
        <v>Eswin Raul Morales Lopez</v>
      </c>
      <c r="F135" s="764">
        <f>'BOULEVARD 5'!AT140</f>
        <v>90400</v>
      </c>
      <c r="G135" s="763" t="str">
        <f>'BOULEVARD 5'!BB140</f>
        <v>Superávit de Enganche</v>
      </c>
      <c r="H135" s="764">
        <f>'BOULEVARD PPTO'!BC135</f>
        <v>90200</v>
      </c>
      <c r="I135" s="764">
        <f t="shared" si="16"/>
        <v>200</v>
      </c>
      <c r="J135" s="765" t="str">
        <f t="shared" si="17"/>
        <v>Superavit de enganche</v>
      </c>
      <c r="K135" s="764">
        <f>'BOULEVARD 5'!I140</f>
        <v>901400</v>
      </c>
      <c r="L135" s="766">
        <f>IF('BOULEVARD 5'!G140="","",'BOULEVARD 5'!G140)</f>
        <v>45260</v>
      </c>
      <c r="M135" s="764">
        <f t="shared" si="18"/>
        <v>0</v>
      </c>
      <c r="N135" s="767">
        <f>IF('B5-Status cobranza'!AM142&lt;0,'B5-Status cobranza'!AM142,0)</f>
        <v>0</v>
      </c>
      <c r="O135" s="777">
        <f>IF('B5-Status cobranza'!AP142&lt;0,'B5-Status cobranza'!AP142,0)</f>
        <v>-700</v>
      </c>
      <c r="P135" s="777">
        <f>IF('B5-Status cobranza'!AP142&gt;0,'B5-Status cobranza'!AP142,0)</f>
        <v>0</v>
      </c>
      <c r="Q135" s="767">
        <f>'B5-Status cobranza'!AV142</f>
        <v>5500</v>
      </c>
      <c r="R135" s="764">
        <f t="shared" si="20"/>
        <v>901400</v>
      </c>
      <c r="S135" s="764">
        <f>IF('B5-Status cobranza'!AL142&lt;0,'B5-Status cobranza'!AL142,0)</f>
        <v>-3000</v>
      </c>
      <c r="T135" s="764">
        <v>3000</v>
      </c>
      <c r="U135" s="778">
        <f t="shared" si="19"/>
        <v>9.8781868100786211E-3</v>
      </c>
      <c r="V135" s="764">
        <f>IF('B5-Status cobranza'!AL142&gt;0,'B5-Status cobranza'!AL142,0)</f>
        <v>0</v>
      </c>
    </row>
    <row r="136" spans="1:22" ht="12" customHeight="1" x14ac:dyDescent="0.25">
      <c r="A136" s="763" t="str">
        <f>"Apto"&amp;'BOULEVARD 5'!B141</f>
        <v>Apto808</v>
      </c>
      <c r="B136" s="763">
        <v>1</v>
      </c>
      <c r="C136" s="763" t="str">
        <f>IF('BOULEVARD 5'!A141="","Cliente normal",'BOULEVARD 5'!A141)</f>
        <v>Cliente normal</v>
      </c>
      <c r="D136" s="763" t="str">
        <f>IF('BOULEVARD 5'!E141="","No asignado",'BOULEVARD 5'!E141)</f>
        <v>Antonio Rada</v>
      </c>
      <c r="E136" s="763" t="str">
        <f>IF('BOULEVARD 5'!F141="","No asignado",'BOULEVARD 5'!F141)</f>
        <v>Gualberto Alonso Salazar Trejo</v>
      </c>
      <c r="F136" s="764">
        <f>'BOULEVARD 5'!AT141</f>
        <v>88800</v>
      </c>
      <c r="G136" s="763" t="str">
        <f>'BOULEVARD 5'!BB141</f>
        <v>Cliente Atrasado</v>
      </c>
      <c r="H136" s="764">
        <f>'BOULEVARD PPTO'!BC136</f>
        <v>88800</v>
      </c>
      <c r="I136" s="764">
        <f t="shared" si="16"/>
        <v>0</v>
      </c>
      <c r="J136" s="765" t="str">
        <f t="shared" si="17"/>
        <v>Enganche por pagar</v>
      </c>
      <c r="K136" s="764">
        <f>'BOULEVARD 5'!I141</f>
        <v>887400</v>
      </c>
      <c r="L136" s="766">
        <f>IF('BOULEVARD 5'!G141="","",'BOULEVARD 5'!G141)</f>
        <v>45356</v>
      </c>
      <c r="M136" s="764">
        <f t="shared" si="18"/>
        <v>0</v>
      </c>
      <c r="N136" s="767">
        <f>IF('B5-Status cobranza'!AM143&lt;0,'B5-Status cobranza'!AM143,0)</f>
        <v>0</v>
      </c>
      <c r="O136" s="777">
        <f>IF('B5-Status cobranza'!AP143&lt;0,'B5-Status cobranza'!AP143,0)</f>
        <v>0</v>
      </c>
      <c r="P136" s="777">
        <f>IF('B5-Status cobranza'!AP143&gt;0,'B5-Status cobranza'!AP143,0)</f>
        <v>0</v>
      </c>
      <c r="Q136" s="767">
        <f>'B5-Status cobranza'!AV143</f>
        <v>0</v>
      </c>
      <c r="R136" s="764">
        <f t="shared" si="20"/>
        <v>887400</v>
      </c>
      <c r="S136" s="764">
        <f>IF('B5-Status cobranza'!AL143&lt;0,'B5-Status cobranza'!AL143,0)</f>
        <v>0</v>
      </c>
      <c r="T136" s="764">
        <v>0</v>
      </c>
      <c r="U136" s="778">
        <f t="shared" si="19"/>
        <v>0</v>
      </c>
      <c r="V136" s="764">
        <f>IF('B5-Status cobranza'!AL143&gt;0,'B5-Status cobranza'!AL143,0)</f>
        <v>51.4399999999996</v>
      </c>
    </row>
    <row r="137" spans="1:22" ht="12" customHeight="1" x14ac:dyDescent="0.25">
      <c r="A137" s="763" t="str">
        <f>"Apto"&amp;'BOULEVARD 5'!B142</f>
        <v>Apto809</v>
      </c>
      <c r="B137" s="763">
        <v>1</v>
      </c>
      <c r="C137" s="763" t="str">
        <f>IF('BOULEVARD 5'!A142="","Cliente normal",'BOULEVARD 5'!A142)</f>
        <v>Cliente normal</v>
      </c>
      <c r="D137" s="763" t="str">
        <f>IF('BOULEVARD 5'!E142="","No asignado",'BOULEVARD 5'!E142)</f>
        <v>Antonio Rada</v>
      </c>
      <c r="E137" s="763" t="str">
        <f>IF('BOULEVARD 5'!F142="","No asignado",'BOULEVARD 5'!F142)</f>
        <v>Mildred Maritza Monterroso Montenegro De Santizo</v>
      </c>
      <c r="F137" s="764">
        <f>'BOULEVARD 5'!AT142</f>
        <v>139100</v>
      </c>
      <c r="G137" s="763" t="str">
        <f>'BOULEVARD 5'!BB142</f>
        <v>Cliente Atrasado</v>
      </c>
      <c r="H137" s="764">
        <f>'BOULEVARD PPTO'!BC137</f>
        <v>139100</v>
      </c>
      <c r="I137" s="764">
        <f t="shared" si="16"/>
        <v>0</v>
      </c>
      <c r="J137" s="765" t="str">
        <f t="shared" si="17"/>
        <v>Enganche por pagar</v>
      </c>
      <c r="K137" s="764">
        <f>'BOULEVARD 5'!I142</f>
        <v>1390400</v>
      </c>
      <c r="L137" s="766">
        <f>IF('BOULEVARD 5'!G142="","",'BOULEVARD 5'!G142)</f>
        <v>45353</v>
      </c>
      <c r="M137" s="764">
        <f t="shared" si="18"/>
        <v>0</v>
      </c>
      <c r="N137" s="767">
        <f>IF('B5-Status cobranza'!AM144&lt;0,'B5-Status cobranza'!AM144,0)</f>
        <v>0</v>
      </c>
      <c r="O137" s="777">
        <f>IF('B5-Status cobranza'!AP144&lt;0,'B5-Status cobranza'!AP144,0)</f>
        <v>-6</v>
      </c>
      <c r="P137" s="777">
        <f>IF('B5-Status cobranza'!AP144&gt;0,'B5-Status cobranza'!AP144,0)</f>
        <v>0</v>
      </c>
      <c r="Q137" s="767">
        <f>'B5-Status cobranza'!AV144</f>
        <v>7283</v>
      </c>
      <c r="R137" s="764">
        <f t="shared" si="20"/>
        <v>1390400</v>
      </c>
      <c r="S137" s="764">
        <f>IF('B5-Status cobranza'!AL144&lt;0,'B5-Status cobranza'!AL144,0)</f>
        <v>-6</v>
      </c>
      <c r="T137" s="764">
        <v>7283</v>
      </c>
      <c r="U137" s="778">
        <f t="shared" si="19"/>
        <v>2.3980944845934198E-2</v>
      </c>
      <c r="V137" s="764">
        <f>IF('B5-Status cobranza'!AL144&gt;0,'B5-Status cobranza'!AL144,0)</f>
        <v>0</v>
      </c>
    </row>
    <row r="138" spans="1:22" ht="12" customHeight="1" x14ac:dyDescent="0.25">
      <c r="A138" s="763" t="str">
        <f>"Apto"&amp;'BOULEVARD 5'!B143</f>
        <v>Apto810</v>
      </c>
      <c r="B138" s="763">
        <v>1</v>
      </c>
      <c r="C138" s="763" t="str">
        <f>IF('BOULEVARD 5'!A143="","Cliente normal",'BOULEVARD 5'!A143)</f>
        <v>Cliente normal</v>
      </c>
      <c r="D138" s="763" t="str">
        <f>IF('BOULEVARD 5'!E143="","No asignado",'BOULEVARD 5'!E143)</f>
        <v>Brenda Búcaro</v>
      </c>
      <c r="E138" s="763" t="str">
        <f>IF('BOULEVARD 5'!F143="","No asignado",'BOULEVARD 5'!F143)</f>
        <v>Sebastián Aristondo Barillas</v>
      </c>
      <c r="F138" s="764">
        <f>'BOULEVARD 5'!AT143</f>
        <v>62000</v>
      </c>
      <c r="G138" s="763" t="str">
        <f>'BOULEVARD 5'!BB143</f>
        <v>Cliente al día</v>
      </c>
      <c r="H138" s="764">
        <f>'BOULEVARD PPTO'!BC138</f>
        <v>70000</v>
      </c>
      <c r="I138" s="764">
        <f t="shared" si="16"/>
        <v>-8000</v>
      </c>
      <c r="J138" s="765" t="str">
        <f t="shared" si="17"/>
        <v>Enganche por pagar</v>
      </c>
      <c r="K138" s="764">
        <f>'BOULEVARD 5'!I143</f>
        <v>697500</v>
      </c>
      <c r="L138" s="766">
        <f>IF('BOULEVARD 5'!G143="","",'BOULEVARD 5'!G143)</f>
        <v>45099</v>
      </c>
      <c r="M138" s="764">
        <f t="shared" si="18"/>
        <v>0</v>
      </c>
      <c r="N138" s="767">
        <f>IF('B5-Status cobranza'!AM145&lt;0,'B5-Status cobranza'!AM145,0)</f>
        <v>0</v>
      </c>
      <c r="O138" s="777">
        <f>IF('B5-Status cobranza'!AP145&lt;0,'B5-Status cobranza'!AP145,0)</f>
        <v>-9600</v>
      </c>
      <c r="P138" s="777">
        <f>IF('B5-Status cobranza'!AP145&gt;0,'B5-Status cobranza'!AP145,0)</f>
        <v>0</v>
      </c>
      <c r="Q138" s="767">
        <f>'B5-Status cobranza'!AV145</f>
        <v>1600</v>
      </c>
      <c r="R138" s="764">
        <f t="shared" si="20"/>
        <v>697500</v>
      </c>
      <c r="S138" s="764">
        <f>IF('B5-Status cobranza'!AL145&lt;0,'B5-Status cobranza'!AL145,0)</f>
        <v>-3200</v>
      </c>
      <c r="T138" s="764">
        <v>0</v>
      </c>
      <c r="U138" s="778">
        <f t="shared" si="19"/>
        <v>0</v>
      </c>
      <c r="V138" s="764">
        <f>IF('B5-Status cobranza'!AL145&gt;0,'B5-Status cobranza'!AL145,0)</f>
        <v>0</v>
      </c>
    </row>
    <row r="139" spans="1:22" ht="12" customHeight="1" x14ac:dyDescent="0.25">
      <c r="A139" s="763" t="str">
        <f>"Apto"&amp;'BOULEVARD 5'!B144</f>
        <v>Apto811</v>
      </c>
      <c r="B139" s="763">
        <v>1</v>
      </c>
      <c r="C139" s="763" t="str">
        <f>IF('BOULEVARD 5'!A144="","Cliente normal",'BOULEVARD 5'!A144)</f>
        <v>Cliente normal</v>
      </c>
      <c r="D139" s="763" t="str">
        <f>IF('BOULEVARD 5'!E144="","No asignado",'BOULEVARD 5'!E144)</f>
        <v>Antonio Rada</v>
      </c>
      <c r="E139" s="763" t="str">
        <f>IF('BOULEVARD 5'!F144="","No asignado",'BOULEVARD 5'!F144)</f>
        <v>Rosa Gilda Tuchan Valle De Gonzalez</v>
      </c>
      <c r="F139" s="764">
        <f>'BOULEVARD 5'!AT144</f>
        <v>864446.02</v>
      </c>
      <c r="G139" s="763" t="str">
        <f>'BOULEVARD 5'!BB144</f>
        <v>Enganche Completado</v>
      </c>
      <c r="H139" s="764">
        <f>'BOULEVARD PPTO'!BC139</f>
        <v>864446.02</v>
      </c>
      <c r="I139" s="764">
        <f t="shared" si="16"/>
        <v>0</v>
      </c>
      <c r="J139" s="765" t="str">
        <f t="shared" si="17"/>
        <v>Enganche por pagar</v>
      </c>
      <c r="K139" s="764">
        <f>'BOULEVARD 5'!I144</f>
        <v>864446.02</v>
      </c>
      <c r="L139" s="766">
        <f>IF('BOULEVARD 5'!G144="","",'BOULEVARD 5'!G144)</f>
        <v>45485</v>
      </c>
      <c r="M139" s="764">
        <f t="shared" si="18"/>
        <v>0</v>
      </c>
      <c r="N139" s="767">
        <f>IF('B5-Status cobranza'!AM146&lt;0,'B5-Status cobranza'!AM146,0)</f>
        <v>0</v>
      </c>
      <c r="O139" s="777">
        <f>IF('B5-Status cobranza'!AP146&lt;0,'B5-Status cobranza'!AP146,0)</f>
        <v>0</v>
      </c>
      <c r="P139" s="777">
        <f>IF('B5-Status cobranza'!AP146&gt;0,'B5-Status cobranza'!AP146,0)</f>
        <v>0</v>
      </c>
      <c r="Q139" s="767">
        <f>'B5-Status cobranza'!AV146</f>
        <v>0</v>
      </c>
      <c r="R139" s="764">
        <f t="shared" si="20"/>
        <v>864446.02</v>
      </c>
      <c r="S139" s="764">
        <f>IF('B5-Status cobranza'!AL146&lt;0,'B5-Status cobranza'!AL146,0)</f>
        <v>0</v>
      </c>
      <c r="T139" s="764">
        <v>0</v>
      </c>
      <c r="U139" s="778">
        <f t="shared" si="19"/>
        <v>0</v>
      </c>
      <c r="V139" s="764">
        <f>IF('B5-Status cobranza'!AL146&gt;0,'B5-Status cobranza'!AL146,0)</f>
        <v>0</v>
      </c>
    </row>
    <row r="140" spans="1:22" ht="12" customHeight="1" x14ac:dyDescent="0.25">
      <c r="A140" s="763" t="str">
        <f>"Apto"&amp;'BOULEVARD 5'!B145</f>
        <v>Apto812</v>
      </c>
      <c r="B140" s="763">
        <v>1</v>
      </c>
      <c r="C140" s="763" t="str">
        <f>IF('BOULEVARD 5'!A145="","Cliente normal",'BOULEVARD 5'!A145)</f>
        <v>Cliente normal</v>
      </c>
      <c r="D140" s="763" t="str">
        <f>IF('BOULEVARD 5'!E145="","No asignado",'BOULEVARD 5'!E145)</f>
        <v>Antonio Rada</v>
      </c>
      <c r="E140" s="763" t="str">
        <f>IF('BOULEVARD 5'!F145="","No asignado",'BOULEVARD 5'!F145)</f>
        <v>Juan Pablo Gonzalez Tuchan</v>
      </c>
      <c r="F140" s="764">
        <f>'BOULEVARD 5'!AT145</f>
        <v>94146.71</v>
      </c>
      <c r="G140" s="763" t="str">
        <f>'BOULEVARD 5'!BB145</f>
        <v>Enganche Completado</v>
      </c>
      <c r="H140" s="764">
        <f>'BOULEVARD PPTO'!BC140</f>
        <v>94167.1</v>
      </c>
      <c r="I140" s="764">
        <f t="shared" si="16"/>
        <v>-20.389999999999418</v>
      </c>
      <c r="J140" s="765" t="str">
        <f t="shared" si="17"/>
        <v>Enganche por pagar</v>
      </c>
      <c r="K140" s="764">
        <f>'BOULEVARD 5'!I145</f>
        <v>941467.1</v>
      </c>
      <c r="L140" s="766">
        <f>IF('BOULEVARD 5'!G145="","",'BOULEVARD 5'!G145)</f>
        <v>45503</v>
      </c>
      <c r="M140" s="764">
        <f t="shared" si="18"/>
        <v>0</v>
      </c>
      <c r="N140" s="767">
        <f>IF('B5-Status cobranza'!AM147&lt;0,'B5-Status cobranza'!AM147,0)</f>
        <v>0</v>
      </c>
      <c r="O140" s="777">
        <f>IF('B5-Status cobranza'!AP147&lt;0,'B5-Status cobranza'!AP147,0)</f>
        <v>0</v>
      </c>
      <c r="P140" s="777">
        <f>IF('B5-Status cobranza'!AP147&gt;0,'B5-Status cobranza'!AP147,0)</f>
        <v>0</v>
      </c>
      <c r="Q140" s="767">
        <f>'B5-Status cobranza'!AV147</f>
        <v>0</v>
      </c>
      <c r="R140" s="764">
        <f t="shared" si="20"/>
        <v>941467.1</v>
      </c>
      <c r="S140" s="764">
        <f>IF('B5-Status cobranza'!AL147&lt;0,'B5-Status cobranza'!AL147,0)</f>
        <v>0</v>
      </c>
      <c r="T140" s="764">
        <v>0</v>
      </c>
      <c r="U140" s="778">
        <f t="shared" si="19"/>
        <v>0</v>
      </c>
      <c r="V140" s="764">
        <f>IF('B5-Status cobranza'!AL147&gt;0,'B5-Status cobranza'!AL147,0)</f>
        <v>0</v>
      </c>
    </row>
    <row r="141" spans="1:22" ht="12" customHeight="1" x14ac:dyDescent="0.25">
      <c r="A141" s="763" t="str">
        <f>"Apto"&amp;'BOULEVARD 5'!B146</f>
        <v>Apto813</v>
      </c>
      <c r="B141" s="763">
        <v>1</v>
      </c>
      <c r="C141" s="763" t="str">
        <f>IF('BOULEVARD 5'!A146="","Cliente normal",'BOULEVARD 5'!A146)</f>
        <v>Cliente normal</v>
      </c>
      <c r="D141" s="763" t="str">
        <f>IF('BOULEVARD 5'!E146="","No asignado",'BOULEVARD 5'!E146)</f>
        <v>Antonio Rada</v>
      </c>
      <c r="E141" s="763" t="str">
        <f>IF('BOULEVARD 5'!F146="","No asignado",'BOULEVARD 5'!F146)</f>
        <v>Industrias Danico, S.A. /  Pedro Cordón}</v>
      </c>
      <c r="F141" s="764">
        <f>'BOULEVARD 5'!AT146</f>
        <v>77394</v>
      </c>
      <c r="G141" s="763" t="str">
        <f>'BOULEVARD 5'!BB146</f>
        <v>Cliente Atrasado</v>
      </c>
      <c r="H141" s="764">
        <f>'BOULEVARD PPTO'!BC141</f>
        <v>89640</v>
      </c>
      <c r="I141" s="764">
        <f t="shared" si="16"/>
        <v>-12246</v>
      </c>
      <c r="J141" s="765" t="str">
        <f t="shared" si="17"/>
        <v>Enganche por pagar</v>
      </c>
      <c r="K141" s="764">
        <f>'BOULEVARD 5'!I146</f>
        <v>895332.85</v>
      </c>
      <c r="L141" s="766">
        <f>IF('BOULEVARD 5'!G146="","",'BOULEVARD 5'!G146)</f>
        <v>45426</v>
      </c>
      <c r="M141" s="764">
        <f t="shared" si="18"/>
        <v>0</v>
      </c>
      <c r="N141" s="767">
        <f>IF('B5-Status cobranza'!AM148&lt;0,'B5-Status cobranza'!AM148,0)</f>
        <v>0</v>
      </c>
      <c r="O141" s="777">
        <f>IF('B5-Status cobranza'!AP148&lt;0,'B5-Status cobranza'!AP148,0)</f>
        <v>-12246</v>
      </c>
      <c r="P141" s="777">
        <f>IF('B5-Status cobranza'!AP148&gt;0,'B5-Status cobranza'!AP148,0)</f>
        <v>0</v>
      </c>
      <c r="Q141" s="767">
        <f>'B5-Status cobranza'!AV148</f>
        <v>12246</v>
      </c>
      <c r="R141" s="764">
        <f t="shared" si="20"/>
        <v>895332.85</v>
      </c>
      <c r="S141" s="764">
        <f>IF('B5-Status cobranza'!AL148&lt;0,'B5-Status cobranza'!AL148,0)</f>
        <v>0</v>
      </c>
      <c r="T141" s="764">
        <v>0</v>
      </c>
      <c r="U141" s="778">
        <f t="shared" si="19"/>
        <v>0</v>
      </c>
      <c r="V141" s="764">
        <f>IF('B5-Status cobranza'!AL148&gt;0,'B5-Status cobranza'!AL148,0)</f>
        <v>0</v>
      </c>
    </row>
    <row r="142" spans="1:22" ht="12" customHeight="1" x14ac:dyDescent="0.25">
      <c r="A142" s="763" t="str">
        <f>"Apto"&amp;'BOULEVARD 5'!B147</f>
        <v>Apto814</v>
      </c>
      <c r="B142" s="763">
        <v>1</v>
      </c>
      <c r="C142" s="763" t="str">
        <f>IF('BOULEVARD 5'!A147="","Cliente normal",'BOULEVARD 5'!A147)</f>
        <v>Cliente normal</v>
      </c>
      <c r="D142" s="763" t="str">
        <f>IF('BOULEVARD 5'!E147="","No asignado",'BOULEVARD 5'!E147)</f>
        <v>Antonio Rada</v>
      </c>
      <c r="E142" s="763" t="str">
        <f>IF('BOULEVARD 5'!F147="","No asignado",'BOULEVARD 5'!F147)</f>
        <v>Enma Suselly Lopez Muy</v>
      </c>
      <c r="F142" s="764">
        <f>'BOULEVARD 5'!AT147</f>
        <v>84565</v>
      </c>
      <c r="G142" s="763" t="str">
        <f>'BOULEVARD 5'!BB147</f>
        <v>Cliente Atrasado</v>
      </c>
      <c r="H142" s="764">
        <f>'BOULEVARD PPTO'!BC142</f>
        <v>88400</v>
      </c>
      <c r="I142" s="764">
        <f t="shared" si="16"/>
        <v>-3835</v>
      </c>
      <c r="J142" s="765" t="str">
        <f t="shared" si="17"/>
        <v>Enganche por pagar</v>
      </c>
      <c r="K142" s="764">
        <f>'BOULEVARD 5'!I147</f>
        <v>883300</v>
      </c>
      <c r="L142" s="766">
        <f>IF('BOULEVARD 5'!G147="","",'BOULEVARD 5'!G147)</f>
        <v>45250</v>
      </c>
      <c r="M142" s="764">
        <f t="shared" si="18"/>
        <v>0</v>
      </c>
      <c r="N142" s="767">
        <f>IF('B5-Status cobranza'!AM149&lt;0,'B5-Status cobranza'!AM149,0)</f>
        <v>0</v>
      </c>
      <c r="O142" s="777">
        <f>IF('B5-Status cobranza'!AP149&lt;0,'B5-Status cobranza'!AP149,0)</f>
        <v>-3835</v>
      </c>
      <c r="P142" s="777">
        <f>IF('B5-Status cobranza'!AP149&gt;0,'B5-Status cobranza'!AP149,0)</f>
        <v>0</v>
      </c>
      <c r="Q142" s="767">
        <f>'B5-Status cobranza'!AV149</f>
        <v>0</v>
      </c>
      <c r="R142" s="764">
        <f t="shared" si="20"/>
        <v>883300</v>
      </c>
      <c r="S142" s="764">
        <f>IF('B5-Status cobranza'!AL149&lt;0,'B5-Status cobranza'!AL149,0)</f>
        <v>-3772</v>
      </c>
      <c r="T142" s="764">
        <v>0</v>
      </c>
      <c r="U142" s="778">
        <f t="shared" si="19"/>
        <v>0</v>
      </c>
      <c r="V142" s="764">
        <f>IF('B5-Status cobranza'!AL149&gt;0,'B5-Status cobranza'!AL149,0)</f>
        <v>0</v>
      </c>
    </row>
    <row r="143" spans="1:22" ht="12" customHeight="1" x14ac:dyDescent="0.25">
      <c r="A143" s="763" t="str">
        <f>"Apto"&amp;'BOULEVARD 5'!B148</f>
        <v>Apto815</v>
      </c>
      <c r="B143" s="763">
        <v>1</v>
      </c>
      <c r="C143" s="763" t="str">
        <f>IF('BOULEVARD 5'!A148="","Cliente normal",'BOULEVARD 5'!A148)</f>
        <v>Cliente normal</v>
      </c>
      <c r="D143" s="763" t="str">
        <f>IF('BOULEVARD 5'!E148="","No asignado",'BOULEVARD 5'!E148)</f>
        <v>Antonio Rada</v>
      </c>
      <c r="E143" s="763" t="str">
        <f>IF('BOULEVARD 5'!F148="","No asignado",'BOULEVARD 5'!F148)</f>
        <v>Leonora Elizabeth Cordon Arrivillaga</v>
      </c>
      <c r="F143" s="764">
        <f>'BOULEVARD 5'!AT148</f>
        <v>168248</v>
      </c>
      <c r="G143" s="763" t="str">
        <f>'BOULEVARD 5'!BB148</f>
        <v>Cliente Atrasado</v>
      </c>
      <c r="H143" s="764">
        <f>'BOULEVARD PPTO'!BC143</f>
        <v>146400</v>
      </c>
      <c r="I143" s="764">
        <f t="shared" si="16"/>
        <v>21848</v>
      </c>
      <c r="J143" s="765" t="str">
        <f t="shared" si="17"/>
        <v>Superavit de enganche</v>
      </c>
      <c r="K143" s="764">
        <f>'BOULEVARD 5'!I148</f>
        <v>1463600</v>
      </c>
      <c r="L143" s="766">
        <f>IF('BOULEVARD 5'!G148="","",'BOULEVARD 5'!G148)</f>
        <v>45342</v>
      </c>
      <c r="M143" s="764">
        <f t="shared" si="18"/>
        <v>0</v>
      </c>
      <c r="N143" s="767">
        <f>IF('B5-Status cobranza'!AM150&lt;0,'B5-Status cobranza'!AM150,0)</f>
        <v>0</v>
      </c>
      <c r="O143" s="777">
        <f>IF('B5-Status cobranza'!AP150&lt;0,'B5-Status cobranza'!AP150,0)</f>
        <v>0</v>
      </c>
      <c r="P143" s="777">
        <f>IF('B5-Status cobranza'!AP150&gt;0,'B5-Status cobranza'!AP150,0)</f>
        <v>7280</v>
      </c>
      <c r="Q143" s="767">
        <f>'B5-Status cobranza'!AV150</f>
        <v>7284</v>
      </c>
      <c r="R143" s="764">
        <f t="shared" si="20"/>
        <v>1463600</v>
      </c>
      <c r="S143" s="764">
        <f>IF('B5-Status cobranza'!AL150&lt;0,'B5-Status cobranza'!AL150,0)</f>
        <v>-4</v>
      </c>
      <c r="T143" s="764">
        <v>0</v>
      </c>
      <c r="U143" s="778">
        <f t="shared" si="19"/>
        <v>0</v>
      </c>
      <c r="V143" s="764">
        <f>IF('B5-Status cobranza'!AL150&gt;0,'B5-Status cobranza'!AL150,0)</f>
        <v>0</v>
      </c>
    </row>
    <row r="144" spans="1:22" ht="12" customHeight="1" x14ac:dyDescent="0.25">
      <c r="A144" s="763" t="str">
        <f>"Apto"&amp;'BOULEVARD 5'!B149</f>
        <v>Apto816</v>
      </c>
      <c r="B144" s="763">
        <v>1</v>
      </c>
      <c r="C144" s="763" t="str">
        <f>IF('BOULEVARD 5'!A149="","Cliente normal",'BOULEVARD 5'!A149)</f>
        <v>Cliente normal</v>
      </c>
      <c r="D144" s="763" t="str">
        <f>IF('BOULEVARD 5'!E149="","No asignado",'BOULEVARD 5'!E149)</f>
        <v>Brenda Búcaro</v>
      </c>
      <c r="E144" s="763" t="str">
        <f>IF('BOULEVARD 5'!F149="","No asignado",'BOULEVARD 5'!F149)</f>
        <v>Coasa, S.A.</v>
      </c>
      <c r="F144" s="764">
        <f>'BOULEVARD 5'!AT149</f>
        <v>63800</v>
      </c>
      <c r="G144" s="763" t="str">
        <f>'BOULEVARD 5'!BB149</f>
        <v>Cliente al día</v>
      </c>
      <c r="H144" s="764">
        <f>'BOULEVARD PPTO'!BC144</f>
        <v>65200</v>
      </c>
      <c r="I144" s="764">
        <f t="shared" si="16"/>
        <v>-1400</v>
      </c>
      <c r="J144" s="765" t="str">
        <f t="shared" si="17"/>
        <v>Enganche por pagar</v>
      </c>
      <c r="K144" s="764">
        <f>'BOULEVARD 5'!I149</f>
        <v>651600</v>
      </c>
      <c r="L144" s="766">
        <f>IF('BOULEVARD 5'!G149="","",'BOULEVARD 5'!G149)</f>
        <v>45016</v>
      </c>
      <c r="M144" s="764">
        <f t="shared" si="18"/>
        <v>0</v>
      </c>
      <c r="N144" s="767">
        <f>IF('B5-Status cobranza'!AM151&lt;0,'B5-Status cobranza'!AM151,0)</f>
        <v>0</v>
      </c>
      <c r="O144" s="777">
        <f>IF('B5-Status cobranza'!AP151&lt;0,'B5-Status cobranza'!AP151,0)</f>
        <v>0</v>
      </c>
      <c r="P144" s="777">
        <f>IF('B5-Status cobranza'!AP151&gt;0,'B5-Status cobranza'!AP151,0)</f>
        <v>0</v>
      </c>
      <c r="Q144" s="767">
        <f>'B5-Status cobranza'!AV151</f>
        <v>0</v>
      </c>
      <c r="R144" s="764">
        <f t="shared" si="20"/>
        <v>651600</v>
      </c>
      <c r="S144" s="764">
        <f>IF('B5-Status cobranza'!AL151&lt;0,'B5-Status cobranza'!AL151,0)</f>
        <v>0</v>
      </c>
      <c r="T144" s="764">
        <v>0</v>
      </c>
      <c r="U144" s="778">
        <f t="shared" si="19"/>
        <v>0</v>
      </c>
      <c r="V144" s="764">
        <f>IF('B5-Status cobranza'!AL151&gt;0,'B5-Status cobranza'!AL151,0)</f>
        <v>0</v>
      </c>
    </row>
    <row r="145" spans="1:22" ht="12" customHeight="1" x14ac:dyDescent="0.25">
      <c r="A145" s="763" t="str">
        <f>"Apto"&amp;'BOULEVARD 5'!B150</f>
        <v>Apto817</v>
      </c>
      <c r="B145" s="763">
        <v>1</v>
      </c>
      <c r="C145" s="763" t="str">
        <f>IF('BOULEVARD 5'!A150="","Cliente normal",'BOULEVARD 5'!A150)</f>
        <v>Cliente normal</v>
      </c>
      <c r="D145" s="763" t="str">
        <f>IF('BOULEVARD 5'!E150="","No asignado",'BOULEVARD 5'!E150)</f>
        <v>Brenda Búcaro</v>
      </c>
      <c r="E145" s="763" t="s">
        <v>886</v>
      </c>
      <c r="F145" s="764">
        <f>'BOULEVARD 5'!AT150</f>
        <v>54000</v>
      </c>
      <c r="G145" s="763" t="str">
        <f>'BOULEVARD 5'!BB150</f>
        <v>Cliente Atrasado</v>
      </c>
      <c r="H145" s="764">
        <f>'BOULEVARD PPTO'!BC145</f>
        <v>65732.3</v>
      </c>
      <c r="I145" s="764">
        <f t="shared" si="16"/>
        <v>-11732.300000000003</v>
      </c>
      <c r="J145" s="765" t="str">
        <f t="shared" si="17"/>
        <v>Enganche por pagar</v>
      </c>
      <c r="K145" s="764">
        <f>'BOULEVARD 5'!I150</f>
        <v>657132.30000000005</v>
      </c>
      <c r="L145" s="766">
        <f>IF('BOULEVARD 5'!G150="","",'BOULEVARD 5'!G150)</f>
        <v>45027</v>
      </c>
      <c r="M145" s="764">
        <f t="shared" si="18"/>
        <v>0</v>
      </c>
      <c r="N145" s="767">
        <f>IF('B5-Status cobranza'!AM152&lt;0,'B5-Status cobranza'!AM152,0)</f>
        <v>0</v>
      </c>
      <c r="O145" s="777">
        <f>IF('B5-Status cobranza'!AP152&lt;0,'B5-Status cobranza'!AP152,0)</f>
        <v>-1500</v>
      </c>
      <c r="P145" s="777">
        <f>IF('B5-Status cobranza'!AP152&gt;0,'B5-Status cobranza'!AP152,0)</f>
        <v>0</v>
      </c>
      <c r="Q145" s="767">
        <f>'B5-Status cobranza'!AV152</f>
        <v>0</v>
      </c>
      <c r="R145" s="764">
        <f t="shared" si="20"/>
        <v>657132.30000000005</v>
      </c>
      <c r="S145" s="764">
        <f>IF('B5-Status cobranza'!AL152&lt;0,'B5-Status cobranza'!AL152,0)</f>
        <v>0</v>
      </c>
      <c r="T145" s="764">
        <v>1500</v>
      </c>
      <c r="U145" s="778">
        <f t="shared" si="19"/>
        <v>4.9390934050393106E-3</v>
      </c>
      <c r="V145" s="764">
        <f>IF('B5-Status cobranza'!AL152&gt;0,'B5-Status cobranza'!AL152,0)</f>
        <v>0</v>
      </c>
    </row>
    <row r="146" spans="1:22" ht="12" customHeight="1" x14ac:dyDescent="0.25">
      <c r="A146" s="763" t="str">
        <f>"Apto"&amp;'BOULEVARD 5'!B151</f>
        <v>Apto818</v>
      </c>
      <c r="B146" s="763">
        <v>1</v>
      </c>
      <c r="C146" s="763" t="str">
        <f>IF('BOULEVARD 5'!A151="","Cliente normal",'BOULEVARD 5'!A151)</f>
        <v>Cliente normal</v>
      </c>
      <c r="D146" s="763" t="str">
        <f>IF('BOULEVARD 5'!E151="","No asignado",'BOULEVARD 5'!E151)</f>
        <v>Brenda Búcaro</v>
      </c>
      <c r="E146" s="763" t="str">
        <f>IF('BOULEVARD 5'!F151="","No asignado",'BOULEVARD 5'!F151)</f>
        <v>Astrid Pamela Chew Chávez De Letona</v>
      </c>
      <c r="F146" s="764">
        <f>'BOULEVARD 5'!AT151</f>
        <v>70402</v>
      </c>
      <c r="G146" s="763" t="str">
        <f>'BOULEVARD 5'!BB151</f>
        <v>Cliente Atrasado</v>
      </c>
      <c r="H146" s="764">
        <f>'BOULEVARD PPTO'!BC146</f>
        <v>70400</v>
      </c>
      <c r="I146" s="764">
        <f t="shared" si="16"/>
        <v>2</v>
      </c>
      <c r="J146" s="765" t="str">
        <f t="shared" si="17"/>
        <v>Superavit de enganche</v>
      </c>
      <c r="K146" s="764">
        <f>'BOULEVARD 5'!I151</f>
        <v>703500</v>
      </c>
      <c r="L146" s="766">
        <f>IF('BOULEVARD 5'!G151="","",'BOULEVARD 5'!G151)</f>
        <v>45125</v>
      </c>
      <c r="M146" s="764">
        <f t="shared" si="18"/>
        <v>0</v>
      </c>
      <c r="N146" s="767">
        <f>IF('B5-Status cobranza'!AM153&lt;0,'B5-Status cobranza'!AM153,0)</f>
        <v>0</v>
      </c>
      <c r="O146" s="777">
        <f>IF('B5-Status cobranza'!AP153&lt;0,'B5-Status cobranza'!AP153,0)</f>
        <v>0</v>
      </c>
      <c r="P146" s="777">
        <f>IF('B5-Status cobranza'!AP153&gt;0,'B5-Status cobranza'!AP153,0)</f>
        <v>2</v>
      </c>
      <c r="Q146" s="767">
        <f>'B5-Status cobranza'!AV153</f>
        <v>0</v>
      </c>
      <c r="R146" s="764">
        <f t="shared" si="20"/>
        <v>703500</v>
      </c>
      <c r="S146" s="764">
        <f>IF('B5-Status cobranza'!AL153&lt;0,'B5-Status cobranza'!AL153,0)</f>
        <v>0</v>
      </c>
      <c r="T146" s="764">
        <v>0</v>
      </c>
      <c r="U146" s="778">
        <f t="shared" si="19"/>
        <v>0</v>
      </c>
      <c r="V146" s="764">
        <f>IF('B5-Status cobranza'!AL153&gt;0,'B5-Status cobranza'!AL153,0)</f>
        <v>2</v>
      </c>
    </row>
    <row r="147" spans="1:22" ht="12" customHeight="1" x14ac:dyDescent="0.25">
      <c r="A147" s="763" t="str">
        <f>"Apto"&amp;'BOULEVARD 5'!B152</f>
        <v>Apto819</v>
      </c>
      <c r="B147" s="763">
        <v>1</v>
      </c>
      <c r="C147" s="763" t="str">
        <f>IF('BOULEVARD 5'!A152="","Cliente normal",'BOULEVARD 5'!A152)</f>
        <v>Cliente normal</v>
      </c>
      <c r="D147" s="763" t="str">
        <f>IF('BOULEVARD 5'!E152="","No asignado",'BOULEVARD 5'!E152)</f>
        <v>Brenda Búcaro</v>
      </c>
      <c r="E147" s="763" t="str">
        <f>IF('BOULEVARD 5'!F152="","No asignado",'BOULEVARD 5'!F152)</f>
        <v>Edvin Eduardo Sajquim Sajquim</v>
      </c>
      <c r="F147" s="764">
        <f>'BOULEVARD 5'!AT152</f>
        <v>108400</v>
      </c>
      <c r="G147" s="763" t="str">
        <f>'BOULEVARD 5'!BB152</f>
        <v>Superávit de Enganche</v>
      </c>
      <c r="H147" s="764">
        <f>'BOULEVARD PPTO'!BC147</f>
        <v>96800</v>
      </c>
      <c r="I147" s="764">
        <f t="shared" si="16"/>
        <v>11600</v>
      </c>
      <c r="J147" s="765" t="str">
        <f t="shared" si="17"/>
        <v>Superavit de enganche</v>
      </c>
      <c r="K147" s="764">
        <f>'BOULEVARD 5'!I152</f>
        <v>967700</v>
      </c>
      <c r="L147" s="766">
        <f>IF('BOULEVARD 5'!G152="","",'BOULEVARD 5'!G152)</f>
        <v>45075</v>
      </c>
      <c r="M147" s="764">
        <f t="shared" si="18"/>
        <v>0</v>
      </c>
      <c r="N147" s="767">
        <f>IF('B5-Status cobranza'!AM154&lt;0,'B5-Status cobranza'!AM154,0)</f>
        <v>0</v>
      </c>
      <c r="O147" s="777">
        <f>IF('B5-Status cobranza'!AP154&lt;0,'B5-Status cobranza'!AP154,0)</f>
        <v>0</v>
      </c>
      <c r="P147" s="777">
        <f>IF('B5-Status cobranza'!AP154&gt;0,'B5-Status cobranza'!AP154,0)</f>
        <v>2000</v>
      </c>
      <c r="Q147" s="767">
        <f>'B5-Status cobranza'!AV154</f>
        <v>3200</v>
      </c>
      <c r="R147" s="764">
        <f t="shared" si="20"/>
        <v>967700</v>
      </c>
      <c r="S147" s="764">
        <f>IF('B5-Status cobranza'!AL154&lt;0,'B5-Status cobranza'!AL154,0)</f>
        <v>-1200</v>
      </c>
      <c r="T147" s="764">
        <v>0</v>
      </c>
      <c r="U147" s="778">
        <f t="shared" si="19"/>
        <v>0</v>
      </c>
      <c r="V147" s="764">
        <f>IF('B5-Status cobranza'!AL154&gt;0,'B5-Status cobranza'!AL154,0)</f>
        <v>0</v>
      </c>
    </row>
    <row r="148" spans="1:22" ht="12" customHeight="1" x14ac:dyDescent="0.25">
      <c r="A148" s="763" t="str">
        <f>"Apto"&amp;'BOULEVARD 5'!B153</f>
        <v>Apto820</v>
      </c>
      <c r="B148" s="763">
        <v>1</v>
      </c>
      <c r="C148" s="763" t="str">
        <f>IF('BOULEVARD 5'!A153="","Cliente normal",'BOULEVARD 5'!A153)</f>
        <v>Cliente normal</v>
      </c>
      <c r="D148" s="763" t="str">
        <f>IF('BOULEVARD 5'!E153="","No asignado",'BOULEVARD 5'!E153)</f>
        <v>Antonio Rada</v>
      </c>
      <c r="E148" s="763" t="str">
        <f>IF('BOULEVARD 5'!F153="","No asignado",'BOULEVARD 5'!F153)</f>
        <v>Maria Eugenia Ortiz Uck</v>
      </c>
      <c r="F148" s="764">
        <f>'BOULEVARD 5'!AT153</f>
        <v>99132.5</v>
      </c>
      <c r="G148" s="763" t="str">
        <f>'BOULEVARD 5'!BB153</f>
        <v>Cliente Atrasado</v>
      </c>
      <c r="H148" s="764">
        <f>'BOULEVARD PPTO'!BC148</f>
        <v>99132.5</v>
      </c>
      <c r="I148" s="764">
        <f t="shared" si="16"/>
        <v>0</v>
      </c>
      <c r="J148" s="765" t="str">
        <f t="shared" si="17"/>
        <v>Enganche por pagar</v>
      </c>
      <c r="K148" s="764">
        <f>'BOULEVARD 5'!I153</f>
        <v>990132.5</v>
      </c>
      <c r="L148" s="766">
        <f>IF('BOULEVARD 5'!G153="","",'BOULEVARD 5'!G153)</f>
        <v>45304</v>
      </c>
      <c r="M148" s="764">
        <f t="shared" si="18"/>
        <v>0</v>
      </c>
      <c r="N148" s="767">
        <f>IF('B5-Status cobranza'!AM155&lt;0,'B5-Status cobranza'!AM155,0)</f>
        <v>0</v>
      </c>
      <c r="O148" s="777">
        <f>IF('B5-Status cobranza'!AP155&lt;0,'B5-Status cobranza'!AP155,0)</f>
        <v>0</v>
      </c>
      <c r="P148" s="777">
        <f>IF('B5-Status cobranza'!AP155&gt;0,'B5-Status cobranza'!AP155,0)</f>
        <v>0</v>
      </c>
      <c r="Q148" s="767">
        <f>'B5-Status cobranza'!AV155</f>
        <v>0</v>
      </c>
      <c r="R148" s="764">
        <f t="shared" si="20"/>
        <v>990132.5</v>
      </c>
      <c r="S148" s="764">
        <f>IF('B5-Status cobranza'!AL155&lt;0,'B5-Status cobranza'!AL155,0)</f>
        <v>0</v>
      </c>
      <c r="T148" s="764">
        <v>0</v>
      </c>
      <c r="U148" s="778">
        <f t="shared" si="19"/>
        <v>0</v>
      </c>
      <c r="V148" s="764">
        <f>IF('B5-Status cobranza'!AL155&gt;0,'B5-Status cobranza'!AL155,0)</f>
        <v>0</v>
      </c>
    </row>
    <row r="149" spans="1:22" ht="12" customHeight="1" x14ac:dyDescent="0.25">
      <c r="A149" s="763" t="str">
        <f>"Apto"&amp;'BOULEVARD 5'!B154</f>
        <v>Apto901</v>
      </c>
      <c r="B149" s="763">
        <v>1</v>
      </c>
      <c r="C149" s="763" t="str">
        <f>IF('BOULEVARD 5'!A154="","Cliente normal",'BOULEVARD 5'!A154)</f>
        <v>F&amp;F</v>
      </c>
      <c r="D149" s="763" t="str">
        <f>IF('BOULEVARD 5'!E154="","No asignado",'BOULEVARD 5'!E154)</f>
        <v>Antonio Rada</v>
      </c>
      <c r="E149" s="763" t="str">
        <f>IF('BOULEVARD 5'!F154="","No asignado",'BOULEVARD 5'!F154)</f>
        <v>Monica Arimany Monzon</v>
      </c>
      <c r="F149" s="764">
        <f>'BOULEVARD 5'!AT154</f>
        <v>73528</v>
      </c>
      <c r="G149" s="763" t="str">
        <f>'BOULEVARD 5'!BB154</f>
        <v>Cliente Atrasado</v>
      </c>
      <c r="H149" s="764">
        <f>'BOULEVARD PPTO'!BC149</f>
        <v>108762.84</v>
      </c>
      <c r="I149" s="764">
        <f t="shared" si="16"/>
        <v>-35234.839999999997</v>
      </c>
      <c r="J149" s="765" t="str">
        <f t="shared" si="17"/>
        <v>Enganche por pagar</v>
      </c>
      <c r="K149" s="764">
        <f>'BOULEVARD 5'!I154</f>
        <v>1087062.8421799999</v>
      </c>
      <c r="L149" s="766">
        <f>IF('BOULEVARD 5'!G154="","",'BOULEVARD 5'!G154)</f>
        <v>45012</v>
      </c>
      <c r="M149" s="764">
        <f t="shared" si="18"/>
        <v>0</v>
      </c>
      <c r="N149" s="767">
        <f>IF('B5-Status cobranza'!AM156&lt;0,'B5-Status cobranza'!AM156,0)</f>
        <v>0</v>
      </c>
      <c r="O149" s="777">
        <f>IF('B5-Status cobranza'!AP156&lt;0,'B5-Status cobranza'!AP156,0)</f>
        <v>0</v>
      </c>
      <c r="P149" s="777">
        <f>IF('B5-Status cobranza'!AP156&gt;0,'B5-Status cobranza'!AP156,0)</f>
        <v>0</v>
      </c>
      <c r="Q149" s="767">
        <f>'B5-Status cobranza'!AV156</f>
        <v>0</v>
      </c>
      <c r="R149" s="764">
        <f t="shared" si="20"/>
        <v>1087062.8421799999</v>
      </c>
      <c r="S149" s="764">
        <f>IF('B5-Status cobranza'!AL156&lt;0,'B5-Status cobranza'!AL156,0)</f>
        <v>0</v>
      </c>
      <c r="T149" s="764">
        <v>0</v>
      </c>
      <c r="U149" s="778">
        <f t="shared" si="19"/>
        <v>0</v>
      </c>
      <c r="V149" s="764">
        <f>IF('B5-Status cobranza'!AL156&gt;0,'B5-Status cobranza'!AL156,0)</f>
        <v>0</v>
      </c>
    </row>
    <row r="150" spans="1:22" ht="12" customHeight="1" x14ac:dyDescent="0.25">
      <c r="A150" s="763" t="str">
        <f>"Apto"&amp;'BOULEVARD 5'!B155</f>
        <v>Apto902</v>
      </c>
      <c r="B150" s="763">
        <v>1</v>
      </c>
      <c r="C150" s="763" t="str">
        <f>IF('BOULEVARD 5'!A155="","Cliente normal",'BOULEVARD 5'!A155)</f>
        <v>Cliente normal</v>
      </c>
      <c r="D150" s="763" t="str">
        <f>IF('BOULEVARD 5'!E155="","No asignado",'BOULEVARD 5'!E155)</f>
        <v>Antonio Rada</v>
      </c>
      <c r="E150" s="763" t="str">
        <f>IF('BOULEVARD 5'!F155="","No asignado",'BOULEVARD 5'!F155)</f>
        <v>Waldir Edenilson Contreras Pedroza</v>
      </c>
      <c r="F150" s="764">
        <f>'BOULEVARD 5'!AT155</f>
        <v>120000</v>
      </c>
      <c r="G150" s="763" t="str">
        <f>'BOULEVARD 5'!BB155</f>
        <v>Cliente Atrasado</v>
      </c>
      <c r="H150" s="764">
        <f>'BOULEVARD PPTO'!BC150</f>
        <v>119670</v>
      </c>
      <c r="I150" s="764">
        <f t="shared" si="16"/>
        <v>330</v>
      </c>
      <c r="J150" s="765" t="str">
        <f t="shared" si="17"/>
        <v>Superavit de enganche</v>
      </c>
      <c r="K150" s="764">
        <f>'BOULEVARD 5'!I155</f>
        <v>1195970</v>
      </c>
      <c r="L150" s="766">
        <f>IF('BOULEVARD 5'!G155="","",'BOULEVARD 5'!G155)</f>
        <v>45306</v>
      </c>
      <c r="M150" s="764">
        <f t="shared" si="18"/>
        <v>0</v>
      </c>
      <c r="N150" s="767">
        <f>IF('B5-Status cobranza'!AM157&lt;0,'B5-Status cobranza'!AM157,0)</f>
        <v>0</v>
      </c>
      <c r="O150" s="777">
        <f>IF('B5-Status cobranza'!AP157&lt;0,'B5-Status cobranza'!AP157,0)</f>
        <v>0</v>
      </c>
      <c r="P150" s="777">
        <f>IF('B5-Status cobranza'!AP157&gt;0,'B5-Status cobranza'!AP157,0)</f>
        <v>0</v>
      </c>
      <c r="Q150" s="767">
        <f>'B5-Status cobranza'!AV157</f>
        <v>0</v>
      </c>
      <c r="R150" s="764">
        <f t="shared" si="20"/>
        <v>1195970</v>
      </c>
      <c r="S150" s="764">
        <f>IF('B5-Status cobranza'!AL157&lt;0,'B5-Status cobranza'!AL157,0)</f>
        <v>0</v>
      </c>
      <c r="T150" s="764">
        <v>0</v>
      </c>
      <c r="U150" s="778">
        <f t="shared" si="19"/>
        <v>0</v>
      </c>
      <c r="V150" s="764">
        <f>IF('B5-Status cobranza'!AL157&gt;0,'B5-Status cobranza'!AL157,0)</f>
        <v>0</v>
      </c>
    </row>
    <row r="151" spans="1:22" ht="12" customHeight="1" x14ac:dyDescent="0.25">
      <c r="A151" s="763" t="str">
        <f>"Apto"&amp;'BOULEVARD 5'!B156</f>
        <v>Apto903</v>
      </c>
      <c r="B151" s="763">
        <v>1</v>
      </c>
      <c r="C151" s="763" t="str">
        <f>IF('BOULEVARD 5'!A156="","Cliente normal",'BOULEVARD 5'!A156)</f>
        <v>Cliente normal</v>
      </c>
      <c r="D151" s="763" t="str">
        <f>IF('BOULEVARD 5'!E156="","No asignado",'BOULEVARD 5'!E156)</f>
        <v>Jose Franco</v>
      </c>
      <c r="E151" s="763" t="str">
        <f>IF('BOULEVARD 5'!F156="","No asignado",'BOULEVARD 5'!F156)</f>
        <v>Vivian Arely Carranza León De Acevedo</v>
      </c>
      <c r="F151" s="764">
        <f>'BOULEVARD 5'!AT156</f>
        <v>75000</v>
      </c>
      <c r="G151" s="763" t="str">
        <f>'BOULEVARD 5'!BB156</f>
        <v>Cliente Atrasado</v>
      </c>
      <c r="H151" s="764">
        <f>'BOULEVARD PPTO'!BC151</f>
        <v>70400</v>
      </c>
      <c r="I151" s="764">
        <f t="shared" si="16"/>
        <v>4600</v>
      </c>
      <c r="J151" s="765" t="str">
        <f t="shared" si="17"/>
        <v>Superavit de enganche</v>
      </c>
      <c r="K151" s="764">
        <f>'BOULEVARD 5'!I156</f>
        <v>703500</v>
      </c>
      <c r="L151" s="766">
        <f>IF('BOULEVARD 5'!G156="","",'BOULEVARD 5'!G156)</f>
        <v>45065</v>
      </c>
      <c r="M151" s="764">
        <f t="shared" si="18"/>
        <v>0</v>
      </c>
      <c r="N151" s="767">
        <f>IF('B5-Status cobranza'!AM158&lt;0,'B5-Status cobranza'!AM158,0)</f>
        <v>0</v>
      </c>
      <c r="O151" s="777">
        <f>IF('B5-Status cobranza'!AP158&lt;0,'B5-Status cobranza'!AP158,0)</f>
        <v>0</v>
      </c>
      <c r="P151" s="777">
        <f>IF('B5-Status cobranza'!AP158&gt;0,'B5-Status cobranza'!AP158,0)</f>
        <v>4600</v>
      </c>
      <c r="Q151" s="767">
        <f>'B5-Status cobranza'!AV158</f>
        <v>0</v>
      </c>
      <c r="R151" s="764">
        <f t="shared" si="20"/>
        <v>703500</v>
      </c>
      <c r="S151" s="764">
        <f>IF('B5-Status cobranza'!AL158&lt;0,'B5-Status cobranza'!AL158,0)</f>
        <v>0</v>
      </c>
      <c r="T151" s="764">
        <v>0</v>
      </c>
      <c r="U151" s="778">
        <f t="shared" si="19"/>
        <v>0</v>
      </c>
      <c r="V151" s="764">
        <f>IF('B5-Status cobranza'!AL158&gt;0,'B5-Status cobranza'!AL158,0)</f>
        <v>2300</v>
      </c>
    </row>
    <row r="152" spans="1:22" ht="12" customHeight="1" x14ac:dyDescent="0.25">
      <c r="A152" s="763" t="str">
        <f>"Apto"&amp;'BOULEVARD 5'!B157</f>
        <v>Apto904</v>
      </c>
      <c r="B152" s="763">
        <v>1</v>
      </c>
      <c r="C152" s="763" t="str">
        <f>IF('BOULEVARD 5'!A157="","Cliente normal",'BOULEVARD 5'!A157)</f>
        <v>Cliente normal</v>
      </c>
      <c r="D152" s="763" t="str">
        <f>IF('BOULEVARD 5'!E157="","No asignado",'BOULEVARD 5'!E157)</f>
        <v>Jose Franco</v>
      </c>
      <c r="E152" s="763" t="str">
        <f>IF('BOULEVARD 5'!F157="","No asignado",'BOULEVARD 5'!F157)</f>
        <v>Juan José Silva Pacheco</v>
      </c>
      <c r="F152" s="764">
        <f>'BOULEVARD 5'!AT157</f>
        <v>71985.08</v>
      </c>
      <c r="G152" s="763" t="str">
        <f>'BOULEVARD 5'!BB157</f>
        <v>Cliente Atrasado</v>
      </c>
      <c r="H152" s="764">
        <f>'BOULEVARD PPTO'!BC152</f>
        <v>69669.08</v>
      </c>
      <c r="I152" s="764">
        <f t="shared" si="16"/>
        <v>2316</v>
      </c>
      <c r="J152" s="765" t="str">
        <f t="shared" si="17"/>
        <v>Superavit de enganche</v>
      </c>
      <c r="K152" s="764">
        <f>'BOULEVARD 5'!I157</f>
        <v>696469.08</v>
      </c>
      <c r="L152" s="766">
        <f>IF('BOULEVARD 5'!G157="","",'BOULEVARD 5'!G157)</f>
        <v>45062</v>
      </c>
      <c r="M152" s="764">
        <f t="shared" si="18"/>
        <v>0</v>
      </c>
      <c r="N152" s="767">
        <f>IF('B5-Status cobranza'!AM159&lt;0,'B5-Status cobranza'!AM159,0)</f>
        <v>0</v>
      </c>
      <c r="O152" s="777">
        <f>IF('B5-Status cobranza'!AP159&lt;0,'B5-Status cobranza'!AP159,0)</f>
        <v>0</v>
      </c>
      <c r="P152" s="777">
        <f>IF('B5-Status cobranza'!AP159&gt;0,'B5-Status cobranza'!AP159,0)</f>
        <v>2316</v>
      </c>
      <c r="Q152" s="767">
        <f>'B5-Status cobranza'!AV159</f>
        <v>0</v>
      </c>
      <c r="R152" s="764">
        <f t="shared" si="20"/>
        <v>696469.08</v>
      </c>
      <c r="S152" s="764">
        <f>IF('B5-Status cobranza'!AL159&lt;0,'B5-Status cobranza'!AL159,0)</f>
        <v>0</v>
      </c>
      <c r="T152" s="764">
        <v>0</v>
      </c>
      <c r="U152" s="778">
        <f t="shared" si="19"/>
        <v>0</v>
      </c>
      <c r="V152" s="764">
        <f>IF('B5-Status cobranza'!AL159&gt;0,'B5-Status cobranza'!AL159,0)</f>
        <v>0</v>
      </c>
    </row>
    <row r="153" spans="1:22" ht="12" customHeight="1" x14ac:dyDescent="0.25">
      <c r="A153" s="763" t="str">
        <f>"Apto"&amp;'BOULEVARD 5'!B158</f>
        <v>Apto905</v>
      </c>
      <c r="B153" s="763">
        <v>1</v>
      </c>
      <c r="C153" s="763" t="str">
        <f>IF('BOULEVARD 5'!A158="","Cliente normal",'BOULEVARD 5'!A158)</f>
        <v>Cliente normal</v>
      </c>
      <c r="D153" s="763" t="str">
        <f>IF('BOULEVARD 5'!E158="","No asignado",'BOULEVARD 5'!E158)</f>
        <v>Antonio Rada</v>
      </c>
      <c r="E153" s="763" t="str">
        <f>IF('BOULEVARD 5'!F158="","No asignado",'BOULEVARD 5'!F158)</f>
        <v>Roberto Andres Hernandez Benavides</v>
      </c>
      <c r="F153" s="764">
        <f>'BOULEVARD 5'!AT158</f>
        <v>94200</v>
      </c>
      <c r="G153" s="763" t="str">
        <f>'BOULEVARD 5'!BB158</f>
        <v>Enganche Completado</v>
      </c>
      <c r="H153" s="764">
        <f>'BOULEVARD PPTO'!BC153</f>
        <v>94200</v>
      </c>
      <c r="I153" s="764">
        <f t="shared" si="16"/>
        <v>0</v>
      </c>
      <c r="J153" s="765" t="str">
        <f t="shared" si="17"/>
        <v>Enganche por pagar</v>
      </c>
      <c r="K153" s="764">
        <f>'BOULEVARD 5'!I158</f>
        <v>941800</v>
      </c>
      <c r="L153" s="766">
        <f>IF('BOULEVARD 5'!G158="","",'BOULEVARD 5'!G158)</f>
        <v>45473</v>
      </c>
      <c r="M153" s="764">
        <f t="shared" si="18"/>
        <v>0</v>
      </c>
      <c r="N153" s="767">
        <f>IF('B5-Status cobranza'!AM160&lt;0,'B5-Status cobranza'!AM160,0)</f>
        <v>-1</v>
      </c>
      <c r="O153" s="777">
        <f>IF('B5-Status cobranza'!AP160&lt;0,'B5-Status cobranza'!AP160,0)</f>
        <v>-10</v>
      </c>
      <c r="P153" s="777">
        <f>IF('B5-Status cobranza'!AP160&gt;0,'B5-Status cobranza'!AP160,0)</f>
        <v>0</v>
      </c>
      <c r="Q153" s="767">
        <f>'B5-Status cobranza'!AV160</f>
        <v>0</v>
      </c>
      <c r="R153" s="764">
        <f t="shared" si="20"/>
        <v>941800</v>
      </c>
      <c r="S153" s="764">
        <f>IF('B5-Status cobranza'!AL160&lt;0,'B5-Status cobranza'!AL160,0)</f>
        <v>-1</v>
      </c>
      <c r="T153" s="764">
        <v>0</v>
      </c>
      <c r="U153" s="778">
        <f t="shared" si="19"/>
        <v>0</v>
      </c>
      <c r="V153" s="764">
        <f>IF('B5-Status cobranza'!AL160&gt;0,'B5-Status cobranza'!AL160,0)</f>
        <v>0</v>
      </c>
    </row>
    <row r="154" spans="1:22" ht="12" customHeight="1" x14ac:dyDescent="0.25">
      <c r="A154" s="763" t="str">
        <f>"Apto"&amp;'BOULEVARD 5'!B159</f>
        <v>Apto906</v>
      </c>
      <c r="B154" s="763">
        <v>1</v>
      </c>
      <c r="C154" s="763" t="str">
        <f>IF('BOULEVARD 5'!A159="","Cliente normal",'BOULEVARD 5'!A159)</f>
        <v>Cliente normal</v>
      </c>
      <c r="D154" s="763" t="str">
        <f>IF('BOULEVARD 5'!E159="","No asignado",'BOULEVARD 5'!E159)</f>
        <v>Erwin Cardona</v>
      </c>
      <c r="E154" s="763" t="str">
        <f>IF('BOULEVARD 5'!F159="","No asignado",'BOULEVARD 5'!F159)</f>
        <v>Nery Adolfo Ortíz Alvarez</v>
      </c>
      <c r="F154" s="764">
        <f>'BOULEVARD 5'!AT159</f>
        <v>10000</v>
      </c>
      <c r="G154" s="763" t="str">
        <f>'BOULEVARD 5'!BB159</f>
        <v>Cliente Atrasado</v>
      </c>
      <c r="H154" s="764">
        <f>'BOULEVARD PPTO'!BC154</f>
        <v>110344.58</v>
      </c>
      <c r="I154" s="764">
        <f t="shared" si="16"/>
        <v>-100344.58</v>
      </c>
      <c r="J154" s="765" t="str">
        <f t="shared" si="17"/>
        <v>Enganche por pagar</v>
      </c>
      <c r="K154" s="764">
        <f>'BOULEVARD 5'!I159</f>
        <v>1102644.58</v>
      </c>
      <c r="L154" s="766">
        <f>IF('BOULEVARD 5'!G159="","",'BOULEVARD 5'!G159)</f>
        <v>46000</v>
      </c>
      <c r="M154" s="764">
        <f t="shared" si="18"/>
        <v>0</v>
      </c>
      <c r="N154" s="767">
        <f>IF('B5-Status cobranza'!AM161&lt;0,'B5-Status cobranza'!AM161,0)</f>
        <v>-6020</v>
      </c>
      <c r="O154" s="777">
        <f>IF('B5-Status cobranza'!AP161&lt;0,'B5-Status cobranza'!AP161,0)</f>
        <v>-68200</v>
      </c>
      <c r="P154" s="777">
        <f>IF('B5-Status cobranza'!AP161&gt;0,'B5-Status cobranza'!AP161,0)</f>
        <v>0</v>
      </c>
      <c r="Q154" s="767">
        <f>'B5-Status cobranza'!AV161</f>
        <v>0</v>
      </c>
      <c r="R154" s="764">
        <f t="shared" si="20"/>
        <v>1102644.58</v>
      </c>
      <c r="S154" s="764">
        <f>IF('B5-Status cobranza'!AL161&lt;0,'B5-Status cobranza'!AL161,0)</f>
        <v>-6020</v>
      </c>
      <c r="T154" s="764">
        <v>0</v>
      </c>
      <c r="U154" s="778">
        <f t="shared" si="19"/>
        <v>0</v>
      </c>
      <c r="V154" s="764">
        <f>IF('B5-Status cobranza'!AL161&gt;0,'B5-Status cobranza'!AL161,0)</f>
        <v>0</v>
      </c>
    </row>
    <row r="155" spans="1:22" ht="12" customHeight="1" x14ac:dyDescent="0.25">
      <c r="A155" s="763" t="str">
        <f>"Apto"&amp;'BOULEVARD 5'!B160</f>
        <v>Apto907</v>
      </c>
      <c r="B155" s="763">
        <v>1</v>
      </c>
      <c r="C155" s="763" t="str">
        <f>IF('BOULEVARD 5'!A160="","Cliente normal",'BOULEVARD 5'!A160)</f>
        <v>Cliente normal</v>
      </c>
      <c r="D155" s="763" t="str">
        <f>IF('BOULEVARD 5'!E160="","No asignado",'BOULEVARD 5'!E160)</f>
        <v>Brenda Búcaro</v>
      </c>
      <c r="E155" s="763" t="str">
        <f>IF('BOULEVARD 5'!F160="","No asignado",'BOULEVARD 5'!F160)</f>
        <v>Stephanie Herrera</v>
      </c>
      <c r="F155" s="764">
        <f>'BOULEVARD 5'!AT160</f>
        <v>92000</v>
      </c>
      <c r="G155" s="763" t="str">
        <f>'BOULEVARD 5'!BB160</f>
        <v>Cliente Atrasado</v>
      </c>
      <c r="H155" s="764">
        <f>'BOULEVARD PPTO'!BC155</f>
        <v>90200</v>
      </c>
      <c r="I155" s="764">
        <f t="shared" si="16"/>
        <v>1800</v>
      </c>
      <c r="J155" s="765" t="str">
        <f t="shared" si="17"/>
        <v>Superavit de enganche</v>
      </c>
      <c r="K155" s="764">
        <f>'BOULEVARD 5'!I160</f>
        <v>901400</v>
      </c>
      <c r="L155" s="766">
        <f>IF('BOULEVARD 5'!G160="","",'BOULEVARD 5'!G160)</f>
        <v>45169</v>
      </c>
      <c r="M155" s="764">
        <f t="shared" si="18"/>
        <v>0</v>
      </c>
      <c r="N155" s="767">
        <f>IF('B5-Status cobranza'!AM162&lt;0,'B5-Status cobranza'!AM162,0)</f>
        <v>0</v>
      </c>
      <c r="O155" s="777">
        <f>IF('B5-Status cobranza'!AP162&lt;0,'B5-Status cobranza'!AP162,0)</f>
        <v>0</v>
      </c>
      <c r="P155" s="777">
        <f>IF('B5-Status cobranza'!AP162&gt;0,'B5-Status cobranza'!AP162,0)</f>
        <v>0</v>
      </c>
      <c r="Q155" s="767">
        <f>'B5-Status cobranza'!AV162</f>
        <v>0</v>
      </c>
      <c r="R155" s="764">
        <f t="shared" si="20"/>
        <v>901400</v>
      </c>
      <c r="S155" s="764">
        <f>IF('B5-Status cobranza'!AL162&lt;0,'B5-Status cobranza'!AL162,0)</f>
        <v>0</v>
      </c>
      <c r="T155" s="764">
        <v>0</v>
      </c>
      <c r="U155" s="778">
        <f t="shared" si="19"/>
        <v>0</v>
      </c>
      <c r="V155" s="764">
        <f>IF('B5-Status cobranza'!AL162&gt;0,'B5-Status cobranza'!AL162,0)</f>
        <v>0</v>
      </c>
    </row>
    <row r="156" spans="1:22" ht="12" customHeight="1" x14ac:dyDescent="0.25">
      <c r="A156" s="763" t="str">
        <f>"Apto"&amp;'BOULEVARD 5'!B161</f>
        <v>Apto908</v>
      </c>
      <c r="B156" s="763">
        <v>1</v>
      </c>
      <c r="C156" s="763" t="str">
        <f>IF('BOULEVARD 5'!A161="","Cliente normal",'BOULEVARD 5'!A161)</f>
        <v>Cliente normal</v>
      </c>
      <c r="D156" s="763" t="str">
        <f>IF('BOULEVARD 5'!E161="","No asignado",'BOULEVARD 5'!E161)</f>
        <v>Antonio Rada</v>
      </c>
      <c r="E156" s="763" t="str">
        <f>IF('BOULEVARD 5'!F161="","No asignado",'BOULEVARD 5'!F161)</f>
        <v>Jorge Pablo Gonzalez Oordoñez</v>
      </c>
      <c r="F156" s="764">
        <f>'BOULEVARD 5'!AT161</f>
        <v>88800</v>
      </c>
      <c r="G156" s="763" t="str">
        <f>'BOULEVARD 5'!BB161</f>
        <v>Cliente Atrasado</v>
      </c>
      <c r="H156" s="764">
        <f>'BOULEVARD PPTO'!BC156</f>
        <v>88800</v>
      </c>
      <c r="I156" s="764">
        <f t="shared" si="16"/>
        <v>0</v>
      </c>
      <c r="J156" s="765" t="str">
        <f t="shared" si="17"/>
        <v>Enganche por pagar</v>
      </c>
      <c r="K156" s="764">
        <f>'BOULEVARD 5'!I161</f>
        <v>887400</v>
      </c>
      <c r="L156" s="766">
        <f>IF('BOULEVARD 5'!G161="","",'BOULEVARD 5'!G161)</f>
        <v>45316</v>
      </c>
      <c r="M156" s="764">
        <f t="shared" si="18"/>
        <v>0</v>
      </c>
      <c r="N156" s="767">
        <f>IF('B5-Status cobranza'!AM163&lt;0,'B5-Status cobranza'!AM163,0)</f>
        <v>0</v>
      </c>
      <c r="O156" s="777">
        <f>IF('B5-Status cobranza'!AP163&lt;0,'B5-Status cobranza'!AP163,0)</f>
        <v>0</v>
      </c>
      <c r="P156" s="777">
        <f>IF('B5-Status cobranza'!AP163&gt;0,'B5-Status cobranza'!AP163,0)</f>
        <v>0</v>
      </c>
      <c r="Q156" s="767">
        <f>'B5-Status cobranza'!AV163</f>
        <v>0</v>
      </c>
      <c r="R156" s="764">
        <f t="shared" si="20"/>
        <v>887400</v>
      </c>
      <c r="S156" s="764">
        <f>IF('B5-Status cobranza'!AL163&lt;0,'B5-Status cobranza'!AL163,0)</f>
        <v>0</v>
      </c>
      <c r="T156" s="764">
        <v>0</v>
      </c>
      <c r="U156" s="778">
        <f t="shared" si="19"/>
        <v>0</v>
      </c>
      <c r="V156" s="764">
        <f>IF('B5-Status cobranza'!AL163&gt;0,'B5-Status cobranza'!AL163,0)</f>
        <v>0</v>
      </c>
    </row>
    <row r="157" spans="1:22" ht="12" customHeight="1" x14ac:dyDescent="0.25">
      <c r="A157" s="763" t="str">
        <f>"Apto"&amp;'BOULEVARD 5'!B162</f>
        <v>Apto909</v>
      </c>
      <c r="B157" s="763">
        <v>1</v>
      </c>
      <c r="C157" s="763" t="str">
        <f>IF('BOULEVARD 5'!A162="","Cliente normal",'BOULEVARD 5'!A162)</f>
        <v>Cliente normal</v>
      </c>
      <c r="D157" s="763" t="str">
        <f>IF('BOULEVARD 5'!E162="","No asignado",'BOULEVARD 5'!E162)</f>
        <v>Brenda Búcaro</v>
      </c>
      <c r="E157" s="763" t="str">
        <f>IF('BOULEVARD 5'!F162="","No asignado",'BOULEVARD 5'!F162)</f>
        <v>Alba Lucila Martinez Tobar</v>
      </c>
      <c r="F157" s="764">
        <f>'BOULEVARD 5'!AT162</f>
        <v>133300</v>
      </c>
      <c r="G157" s="763" t="str">
        <f>'BOULEVARD 5'!BB162</f>
        <v>Cliente Atrasado</v>
      </c>
      <c r="H157" s="764">
        <f>'BOULEVARD PPTO'!BC157</f>
        <v>138300</v>
      </c>
      <c r="I157" s="764">
        <f t="shared" si="16"/>
        <v>-5000</v>
      </c>
      <c r="J157" s="765" t="str">
        <f t="shared" si="17"/>
        <v>Enganche por pagar</v>
      </c>
      <c r="K157" s="764">
        <f>'BOULEVARD 5'!I162</f>
        <v>1382700</v>
      </c>
      <c r="L157" s="766">
        <f>IF('BOULEVARD 5'!G162="","",'BOULEVARD 5'!G162)</f>
        <v>45118</v>
      </c>
      <c r="M157" s="764">
        <f t="shared" si="18"/>
        <v>0</v>
      </c>
      <c r="N157" s="767">
        <f>IF('B5-Status cobranza'!AM164&lt;0,'B5-Status cobranza'!AM164,0)</f>
        <v>0</v>
      </c>
      <c r="O157" s="777">
        <f>IF('B5-Status cobranza'!AP164&lt;0,'B5-Status cobranza'!AP164,0)</f>
        <v>-12300</v>
      </c>
      <c r="P157" s="777">
        <f>IF('B5-Status cobranza'!AP164&gt;0,'B5-Status cobranza'!AP164,0)</f>
        <v>0</v>
      </c>
      <c r="Q157" s="767">
        <f>'B5-Status cobranza'!AV164</f>
        <v>0</v>
      </c>
      <c r="R157" s="764">
        <f t="shared" si="20"/>
        <v>1382700</v>
      </c>
      <c r="S157" s="764">
        <f>IF('B5-Status cobranza'!AL164&lt;0,'B5-Status cobranza'!AL164,0)</f>
        <v>-7300</v>
      </c>
      <c r="T157" s="764">
        <v>0</v>
      </c>
      <c r="U157" s="778">
        <f t="shared" si="19"/>
        <v>0</v>
      </c>
      <c r="V157" s="764">
        <f>IF('B5-Status cobranza'!AL164&gt;0,'B5-Status cobranza'!AL164,0)</f>
        <v>0</v>
      </c>
    </row>
    <row r="158" spans="1:22" ht="12" customHeight="1" x14ac:dyDescent="0.25">
      <c r="A158" s="763" t="str">
        <f>"Apto"&amp;'BOULEVARD 5'!B163</f>
        <v>Apto910</v>
      </c>
      <c r="B158" s="763">
        <v>1</v>
      </c>
      <c r="C158" s="763" t="str">
        <f>G158</f>
        <v>Disponible</v>
      </c>
      <c r="D158" s="763" t="str">
        <f>IF('BOULEVARD 5'!E163="","No asignado",'BOULEVARD 5'!E163)</f>
        <v>No asignado</v>
      </c>
      <c r="E158" s="763" t="str">
        <f>IF('BOULEVARD 5'!F163="","No asignado",'BOULEVARD 5'!F163)</f>
        <v>No asignado</v>
      </c>
      <c r="F158" s="764">
        <f>'BOULEVARD 5'!AT163</f>
        <v>0</v>
      </c>
      <c r="G158" s="763" t="str">
        <f>'BOULEVARD 5'!BB163</f>
        <v>Disponible</v>
      </c>
      <c r="H158" s="764">
        <f>'BOULEVARD PPTO'!BC158</f>
        <v>0</v>
      </c>
      <c r="I158" s="764">
        <f t="shared" si="16"/>
        <v>0</v>
      </c>
      <c r="J158" s="765" t="str">
        <f t="shared" si="17"/>
        <v>Enganche por pagar</v>
      </c>
      <c r="K158" s="764">
        <f>'BOULEVARD 5'!I163</f>
        <v>1208800</v>
      </c>
      <c r="L158" s="766" t="str">
        <f>IF('BOULEVARD 5'!G163="","",'BOULEVARD 5'!G163)</f>
        <v/>
      </c>
      <c r="M158" s="764">
        <f t="shared" si="18"/>
        <v>1208800</v>
      </c>
      <c r="N158" s="767">
        <f>IF('B5-Status cobranza'!AM165&lt;0,'B5-Status cobranza'!AM165,0)</f>
        <v>0</v>
      </c>
      <c r="O158" s="777">
        <f>IF('B5-Status cobranza'!AP165&lt;0,'B5-Status cobranza'!AP165,0)</f>
        <v>0</v>
      </c>
      <c r="P158" s="777">
        <f>IF('B5-Status cobranza'!AP165&gt;0,'B5-Status cobranza'!AP165,0)</f>
        <v>0</v>
      </c>
      <c r="Q158" s="767">
        <f>'B5-Status cobranza'!AV165</f>
        <v>0</v>
      </c>
      <c r="R158" s="764">
        <f t="shared" si="20"/>
        <v>0</v>
      </c>
      <c r="S158" s="764">
        <f>IF('B5-Status cobranza'!AL165&lt;0,'B5-Status cobranza'!AL165,0)</f>
        <v>0</v>
      </c>
      <c r="T158" s="764">
        <v>0</v>
      </c>
      <c r="U158" s="778">
        <f t="shared" si="19"/>
        <v>0</v>
      </c>
      <c r="V158" s="764">
        <f>IF('B5-Status cobranza'!AL165&gt;0,'B5-Status cobranza'!AL165,0)</f>
        <v>0</v>
      </c>
    </row>
    <row r="159" spans="1:22" ht="12" customHeight="1" x14ac:dyDescent="0.25">
      <c r="A159" s="763" t="str">
        <f>"Apto"&amp;'BOULEVARD 5'!B164</f>
        <v>Apto911</v>
      </c>
      <c r="B159" s="763">
        <v>1</v>
      </c>
      <c r="C159" s="763" t="str">
        <f>IF('BOULEVARD 5'!A164="","Cliente normal",'BOULEVARD 5'!A164)</f>
        <v>Cliente normal</v>
      </c>
      <c r="D159" s="763" t="str">
        <f>IF('BOULEVARD 5'!E164="","No asignado",'BOULEVARD 5'!E164)</f>
        <v>Brenda Búcaro</v>
      </c>
      <c r="E159" s="763" t="str">
        <f>IF('BOULEVARD 5'!F164="","No asignado",'BOULEVARD 5'!F164)</f>
        <v>Mario Alberto Maldonado Recinos</v>
      </c>
      <c r="F159" s="764">
        <f>'BOULEVARD 5'!AT164</f>
        <v>125273</v>
      </c>
      <c r="G159" s="763" t="str">
        <f>'BOULEVARD 5'!BB164</f>
        <v>Superávit de Enganche</v>
      </c>
      <c r="H159" s="764">
        <f>'BOULEVARD PPTO'!BC159</f>
        <v>105267.5</v>
      </c>
      <c r="I159" s="764">
        <f t="shared" si="16"/>
        <v>20005.5</v>
      </c>
      <c r="J159" s="765" t="str">
        <f t="shared" si="17"/>
        <v>Superavit de enganche</v>
      </c>
      <c r="K159" s="764">
        <f>'BOULEVARD 5'!I164</f>
        <v>1052367.5</v>
      </c>
      <c r="L159" s="766">
        <f>IF('BOULEVARD 5'!G164="","",'BOULEVARD 5'!G164)</f>
        <v>45185</v>
      </c>
      <c r="M159" s="764">
        <f t="shared" si="18"/>
        <v>0</v>
      </c>
      <c r="N159" s="767">
        <f>IF('B5-Status cobranza'!AM166&lt;0,'B5-Status cobranza'!AM166,0)</f>
        <v>0</v>
      </c>
      <c r="O159" s="777">
        <f>IF('B5-Status cobranza'!AP166&lt;0,'B5-Status cobranza'!AP166,0)</f>
        <v>0</v>
      </c>
      <c r="P159" s="777">
        <f>IF('B5-Status cobranza'!AP166&gt;0,'B5-Status cobranza'!AP166,0)</f>
        <v>5005.5</v>
      </c>
      <c r="Q159" s="767">
        <f>'B5-Status cobranza'!AV166</f>
        <v>5000</v>
      </c>
      <c r="R159" s="764">
        <f t="shared" si="20"/>
        <v>1052367.5</v>
      </c>
      <c r="S159" s="764">
        <f>IF('B5-Status cobranza'!AL166&lt;0,'B5-Status cobranza'!AL166,0)</f>
        <v>0</v>
      </c>
      <c r="T159" s="764">
        <v>0</v>
      </c>
      <c r="U159" s="778">
        <f t="shared" si="19"/>
        <v>0</v>
      </c>
      <c r="V159" s="764">
        <f>IF('B5-Status cobranza'!AL166&gt;0,'B5-Status cobranza'!AL166,0)</f>
        <v>4.5</v>
      </c>
    </row>
    <row r="160" spans="1:22" ht="12" customHeight="1" x14ac:dyDescent="0.25">
      <c r="A160" s="763" t="str">
        <f>"Apto"&amp;'BOULEVARD 5'!B165</f>
        <v>Apto912</v>
      </c>
      <c r="B160" s="763">
        <v>1</v>
      </c>
      <c r="C160" s="763" t="str">
        <f>IF('BOULEVARD 5'!A165="","Cliente normal",'BOULEVARD 5'!A165)</f>
        <v>F&amp;F</v>
      </c>
      <c r="D160" s="763" t="s">
        <v>691</v>
      </c>
      <c r="E160" s="763" t="str">
        <f>IF('BOULEVARD 5'!F165="","No asignado",'BOULEVARD 5'!F165)</f>
        <v>Iurix, S.A</v>
      </c>
      <c r="F160" s="764">
        <f>'BOULEVARD 5'!AT165</f>
        <v>0</v>
      </c>
      <c r="G160" s="763" t="str">
        <f>'BOULEVARD 5'!BB165</f>
        <v>Cliente Atrasado</v>
      </c>
      <c r="H160" s="764">
        <f>'BOULEVARD PPTO'!BC160</f>
        <v>97380</v>
      </c>
      <c r="I160" s="764">
        <f t="shared" si="16"/>
        <v>-97380</v>
      </c>
      <c r="J160" s="765" t="str">
        <f t="shared" si="17"/>
        <v>Enganche por pagar</v>
      </c>
      <c r="K160" s="764">
        <f>'BOULEVARD 5'!I165</f>
        <v>973800</v>
      </c>
      <c r="L160" s="766">
        <f>IF('BOULEVARD 5'!G165="","",'BOULEVARD 5'!G165)</f>
        <v>45300</v>
      </c>
      <c r="M160" s="764">
        <f t="shared" si="18"/>
        <v>0</v>
      </c>
      <c r="N160" s="767">
        <f>IF('B5-Status cobranza'!AM167&lt;0,'B5-Status cobranza'!AM167,0)</f>
        <v>0</v>
      </c>
      <c r="O160" s="777">
        <f>IF('B5-Status cobranza'!AP167&lt;0,'B5-Status cobranza'!AP167,0)</f>
        <v>0</v>
      </c>
      <c r="P160" s="777">
        <f>IF('B5-Status cobranza'!AP167&gt;0,'B5-Status cobranza'!AP167,0)</f>
        <v>0</v>
      </c>
      <c r="Q160" s="767">
        <f>'B5-Status cobranza'!AV167</f>
        <v>0</v>
      </c>
      <c r="R160" s="764">
        <f t="shared" si="20"/>
        <v>973800</v>
      </c>
      <c r="S160" s="764">
        <f>IF('B5-Status cobranza'!AL167&lt;0,'B5-Status cobranza'!AL167,0)</f>
        <v>0</v>
      </c>
      <c r="T160" s="764">
        <v>0</v>
      </c>
      <c r="U160" s="778">
        <f t="shared" si="19"/>
        <v>0</v>
      </c>
      <c r="V160" s="764">
        <f>IF('B5-Status cobranza'!AL167&gt;0,'B5-Status cobranza'!AL167,0)</f>
        <v>0</v>
      </c>
    </row>
    <row r="161" spans="1:22" ht="12" customHeight="1" x14ac:dyDescent="0.25">
      <c r="A161" s="763" t="str">
        <f>"Apto"&amp;'BOULEVARD 5'!B166</f>
        <v>Apto913</v>
      </c>
      <c r="B161" s="763">
        <v>1</v>
      </c>
      <c r="C161" s="763" t="str">
        <f>IF('BOULEVARD 5'!A166="","Cliente normal",'BOULEVARD 5'!A166)</f>
        <v>Cliente normal</v>
      </c>
      <c r="D161" s="763" t="str">
        <f>IF('BOULEVARD 5'!E166="","No asignado",'BOULEVARD 5'!E166)</f>
        <v>Antonio Rada</v>
      </c>
      <c r="E161" s="763" t="str">
        <f>IF('BOULEVARD 5'!F166="","No asignado",'BOULEVARD 5'!F166)</f>
        <v>Wender Josue Bailon Campos</v>
      </c>
      <c r="F161" s="764">
        <f>'BOULEVARD 5'!AT166</f>
        <v>90365</v>
      </c>
      <c r="G161" s="763" t="str">
        <f>'BOULEVARD 5'!BB166</f>
        <v>Cliente Atrasado</v>
      </c>
      <c r="H161" s="764">
        <f>'BOULEVARD PPTO'!BC161</f>
        <v>90400</v>
      </c>
      <c r="I161" s="764">
        <f t="shared" si="16"/>
        <v>-35</v>
      </c>
      <c r="J161" s="765" t="str">
        <f t="shared" si="17"/>
        <v>Enganche por pagar</v>
      </c>
      <c r="K161" s="764">
        <f>'BOULEVARD 5'!I166</f>
        <v>903600</v>
      </c>
      <c r="L161" s="766">
        <f>IF('BOULEVARD 5'!G166="","",'BOULEVARD 5'!G166)</f>
        <v>45404</v>
      </c>
      <c r="M161" s="764">
        <f t="shared" si="18"/>
        <v>0</v>
      </c>
      <c r="N161" s="767">
        <f>IF('B5-Status cobranza'!AM168&lt;0,'B5-Status cobranza'!AM168,0)</f>
        <v>0</v>
      </c>
      <c r="O161" s="777">
        <f>IF('B5-Status cobranza'!AP168&lt;0,'B5-Status cobranza'!AP168,0)</f>
        <v>-35</v>
      </c>
      <c r="P161" s="777">
        <f>IF('B5-Status cobranza'!AP168&gt;0,'B5-Status cobranza'!AP168,0)</f>
        <v>0</v>
      </c>
      <c r="Q161" s="767">
        <f>'B5-Status cobranza'!AV168</f>
        <v>0</v>
      </c>
      <c r="R161" s="764">
        <f t="shared" si="20"/>
        <v>903600</v>
      </c>
      <c r="S161" s="764">
        <f>IF('B5-Status cobranza'!AL168&lt;0,'B5-Status cobranza'!AL168,0)</f>
        <v>-3</v>
      </c>
      <c r="T161" s="764">
        <v>0</v>
      </c>
      <c r="U161" s="778">
        <f t="shared" si="19"/>
        <v>0</v>
      </c>
      <c r="V161" s="764">
        <f>IF('B5-Status cobranza'!AL168&gt;0,'B5-Status cobranza'!AL168,0)</f>
        <v>0</v>
      </c>
    </row>
    <row r="162" spans="1:22" ht="12" customHeight="1" x14ac:dyDescent="0.25">
      <c r="A162" s="763" t="str">
        <f>"Apto"&amp;'BOULEVARD 5'!B167</f>
        <v>Apto914</v>
      </c>
      <c r="B162" s="763">
        <v>1</v>
      </c>
      <c r="C162" s="763" t="str">
        <f>IF('BOULEVARD 5'!A167="","Cliente normal",'BOULEVARD 5'!A167)</f>
        <v>Cliente normal</v>
      </c>
      <c r="D162" s="763" t="str">
        <f>IF('BOULEVARD 5'!E167="","No asignado",'BOULEVARD 5'!E167)</f>
        <v>Antonio Rada</v>
      </c>
      <c r="E162" s="763" t="str">
        <f>IF('BOULEVARD 5'!F167="","No asignado",'BOULEVARD 5'!F167)</f>
        <v>Rebecca Gonzalez Ordoñez</v>
      </c>
      <c r="F162" s="764">
        <f>'BOULEVARD 5'!AT167</f>
        <v>94420</v>
      </c>
      <c r="G162" s="763" t="str">
        <f>'BOULEVARD 5'!BB167</f>
        <v>Cliente Atrasado</v>
      </c>
      <c r="H162" s="764">
        <f>'BOULEVARD PPTO'!BC162</f>
        <v>88400</v>
      </c>
      <c r="I162" s="764">
        <f t="shared" si="16"/>
        <v>6020</v>
      </c>
      <c r="J162" s="765" t="str">
        <f t="shared" si="17"/>
        <v>Superavit de enganche</v>
      </c>
      <c r="K162" s="764">
        <f>'BOULEVARD 5'!I167</f>
        <v>883300</v>
      </c>
      <c r="L162" s="766">
        <f>IF('BOULEVARD 5'!G167="","",'BOULEVARD 5'!G167)</f>
        <v>45320</v>
      </c>
      <c r="M162" s="764">
        <f t="shared" si="18"/>
        <v>0</v>
      </c>
      <c r="N162" s="767">
        <f>IF('B5-Status cobranza'!AM169&lt;0,'B5-Status cobranza'!AM169,0)</f>
        <v>0</v>
      </c>
      <c r="O162" s="777">
        <f>IF('B5-Status cobranza'!AP169&lt;0,'B5-Status cobranza'!AP169,0)</f>
        <v>0</v>
      </c>
      <c r="P162" s="777">
        <f>IF('B5-Status cobranza'!AP169&gt;0,'B5-Status cobranza'!AP169,0)</f>
        <v>6020</v>
      </c>
      <c r="Q162" s="767">
        <f>'B5-Status cobranza'!AV169</f>
        <v>0</v>
      </c>
      <c r="R162" s="764">
        <f t="shared" si="20"/>
        <v>883300</v>
      </c>
      <c r="S162" s="764">
        <f>IF('B5-Status cobranza'!AL169&lt;0,'B5-Status cobranza'!AL169,0)</f>
        <v>0</v>
      </c>
      <c r="T162" s="764">
        <v>0</v>
      </c>
      <c r="U162" s="778">
        <f t="shared" si="19"/>
        <v>0</v>
      </c>
      <c r="V162" s="764">
        <f>IF('B5-Status cobranza'!AL169&gt;0,'B5-Status cobranza'!AL169,0)</f>
        <v>0</v>
      </c>
    </row>
    <row r="163" spans="1:22" ht="12" customHeight="1" x14ac:dyDescent="0.25">
      <c r="A163" s="763" t="str">
        <f>"Apto"&amp;'BOULEVARD 5'!B168</f>
        <v>Apto915</v>
      </c>
      <c r="B163" s="763">
        <v>1</v>
      </c>
      <c r="C163" s="763" t="str">
        <f>IF('BOULEVARD 5'!A168="","Cliente normal",'BOULEVARD 5'!A168)</f>
        <v>Cliente normal</v>
      </c>
      <c r="D163" s="763" t="str">
        <f>IF('BOULEVARD 5'!E168="","No asignado",'BOULEVARD 5'!E168)</f>
        <v>Brenda Búcaro</v>
      </c>
      <c r="E163" s="763" t="str">
        <f>IF('BOULEVARD 5'!F168="","No asignado",'BOULEVARD 5'!F168)</f>
        <v>Marcela Alejandra Castro Marcía</v>
      </c>
      <c r="F163" s="764">
        <f>'BOULEVARD 5'!AT168</f>
        <v>130997</v>
      </c>
      <c r="G163" s="763" t="str">
        <f>'BOULEVARD 5'!BB168</f>
        <v>Cliente Atrasado</v>
      </c>
      <c r="H163" s="764">
        <f>'BOULEVARD PPTO'!BC163</f>
        <v>130997.44</v>
      </c>
      <c r="I163" s="764">
        <f t="shared" si="16"/>
        <v>-0.44000000000232831</v>
      </c>
      <c r="J163" s="765" t="str">
        <f t="shared" si="17"/>
        <v>Enganche por pagar</v>
      </c>
      <c r="K163" s="764">
        <f>'BOULEVARD 5'!I168</f>
        <v>1309197.44</v>
      </c>
      <c r="L163" s="766">
        <f>IF('BOULEVARD 5'!G168="","",'BOULEVARD 5'!G168)</f>
        <v>45197</v>
      </c>
      <c r="M163" s="764">
        <f t="shared" si="18"/>
        <v>0</v>
      </c>
      <c r="N163" s="767">
        <f>IF('B5-Status cobranza'!AM170&lt;0,'B5-Status cobranza'!AM170,0)</f>
        <v>0</v>
      </c>
      <c r="O163" s="777">
        <f>IF('B5-Status cobranza'!AP170&lt;0,'B5-Status cobranza'!AP170,0)</f>
        <v>-0.43999999999959982</v>
      </c>
      <c r="P163" s="777">
        <f>IF('B5-Status cobranza'!AP170&gt;0,'B5-Status cobranza'!AP170,0)</f>
        <v>0</v>
      </c>
      <c r="Q163" s="767">
        <f>'B5-Status cobranza'!AV170</f>
        <v>5213</v>
      </c>
      <c r="R163" s="764">
        <f t="shared" si="20"/>
        <v>1309197.44</v>
      </c>
      <c r="S163" s="764">
        <f>IF('B5-Status cobranza'!AL170&lt;0,'B5-Status cobranza'!AL170,0)</f>
        <v>-5.4399999999995998</v>
      </c>
      <c r="T163" s="764">
        <v>5213</v>
      </c>
      <c r="U163" s="778">
        <f t="shared" si="19"/>
        <v>1.7164995946979952E-2</v>
      </c>
      <c r="V163" s="764">
        <f>IF('B5-Status cobranza'!AL170&gt;0,'B5-Status cobranza'!AL170,0)</f>
        <v>0</v>
      </c>
    </row>
    <row r="164" spans="1:22" ht="12" customHeight="1" x14ac:dyDescent="0.25">
      <c r="A164" s="763" t="str">
        <f>"Apto"&amp;'BOULEVARD 5'!B169</f>
        <v>Apto916</v>
      </c>
      <c r="B164" s="763">
        <v>1</v>
      </c>
      <c r="C164" s="763" t="str">
        <f>IF('BOULEVARD 5'!A169="","Cliente normal",'BOULEVARD 5'!A169)</f>
        <v>Cliente normal</v>
      </c>
      <c r="D164" s="763" t="str">
        <f>IF('BOULEVARD 5'!E169="","No asignado",'BOULEVARD 5'!E169)</f>
        <v>Brenda Búcaro</v>
      </c>
      <c r="E164" s="763" t="str">
        <f>IF('BOULEVARD 5'!F169="","No asignado",'BOULEVARD 5'!F169)</f>
        <v>José Fernando Cordón Almengor</v>
      </c>
      <c r="F164" s="764">
        <f>'BOULEVARD 5'!AT169</f>
        <v>73500</v>
      </c>
      <c r="G164" s="763" t="str">
        <f>'BOULEVARD 5'!BB169</f>
        <v>Cliente Atrasado</v>
      </c>
      <c r="H164" s="764">
        <f>'BOULEVARD PPTO'!BC164</f>
        <v>68800</v>
      </c>
      <c r="I164" s="764">
        <f t="shared" si="16"/>
        <v>4700</v>
      </c>
      <c r="J164" s="765" t="str">
        <f t="shared" si="17"/>
        <v>Superavit de enganche</v>
      </c>
      <c r="K164" s="764">
        <f>'BOULEVARD 5'!I169</f>
        <v>687500</v>
      </c>
      <c r="L164" s="766">
        <f>IF('BOULEVARD 5'!G169="","",'BOULEVARD 5'!G169)</f>
        <v>45049</v>
      </c>
      <c r="M164" s="764">
        <f t="shared" si="18"/>
        <v>0</v>
      </c>
      <c r="N164" s="767">
        <f>IF('B5-Status cobranza'!AM171&lt;0,'B5-Status cobranza'!AM171,0)</f>
        <v>0</v>
      </c>
      <c r="O164" s="777">
        <f>IF('B5-Status cobranza'!AP171&lt;0,'B5-Status cobranza'!AP171,0)</f>
        <v>0</v>
      </c>
      <c r="P164" s="777">
        <f>IF('B5-Status cobranza'!AP171&gt;0,'B5-Status cobranza'!AP171,0)</f>
        <v>2450</v>
      </c>
      <c r="Q164" s="767">
        <f>'B5-Status cobranza'!AV171</f>
        <v>2250</v>
      </c>
      <c r="R164" s="764">
        <f t="shared" si="20"/>
        <v>687500</v>
      </c>
      <c r="S164" s="764">
        <f>IF('B5-Status cobranza'!AL171&lt;0,'B5-Status cobranza'!AL171,0)</f>
        <v>0</v>
      </c>
      <c r="T164" s="764">
        <v>0</v>
      </c>
      <c r="U164" s="778">
        <f t="shared" si="19"/>
        <v>0</v>
      </c>
      <c r="V164" s="764">
        <f>IF('B5-Status cobranza'!AL171&gt;0,'B5-Status cobranza'!AL171,0)</f>
        <v>200</v>
      </c>
    </row>
    <row r="165" spans="1:22" ht="12" customHeight="1" x14ac:dyDescent="0.25">
      <c r="A165" s="763" t="str">
        <f>"Apto"&amp;'BOULEVARD 5'!B170</f>
        <v>Apto917</v>
      </c>
      <c r="B165" s="763">
        <v>1</v>
      </c>
      <c r="C165" s="763" t="str">
        <f>IF('BOULEVARD 5'!A170="","Cliente normal",'BOULEVARD 5'!A170)</f>
        <v>Cliente normal</v>
      </c>
      <c r="D165" s="763" t="str">
        <f>IF('BOULEVARD 5'!E170="","No asignado",'BOULEVARD 5'!E170)</f>
        <v>Brenda Búcaro</v>
      </c>
      <c r="E165" s="763" t="str">
        <f>IF('BOULEVARD 5'!F170="","No asignado",'BOULEVARD 5'!F170)</f>
        <v>Jessica María Ramirez Girard</v>
      </c>
      <c r="F165" s="764">
        <f>'BOULEVARD 5'!AT170</f>
        <v>70000</v>
      </c>
      <c r="G165" s="763" t="str">
        <f>'BOULEVARD 5'!BB170</f>
        <v>Cliente Atrasado</v>
      </c>
      <c r="H165" s="764">
        <f>'BOULEVARD PPTO'!BC165</f>
        <v>70000</v>
      </c>
      <c r="I165" s="764">
        <f t="shared" si="16"/>
        <v>0</v>
      </c>
      <c r="J165" s="765" t="str">
        <f t="shared" si="17"/>
        <v>Enganche por pagar</v>
      </c>
      <c r="K165" s="764">
        <f>'BOULEVARD 5'!I170</f>
        <v>699700</v>
      </c>
      <c r="L165" s="766">
        <f>IF('BOULEVARD 5'!G170="","",'BOULEVARD 5'!G170)</f>
        <v>45068</v>
      </c>
      <c r="M165" s="764">
        <f t="shared" si="18"/>
        <v>0</v>
      </c>
      <c r="N165" s="767">
        <f>IF('B5-Status cobranza'!AM172&lt;0,'B5-Status cobranza'!AM172,0)</f>
        <v>0</v>
      </c>
      <c r="O165" s="777">
        <f>IF('B5-Status cobranza'!AP172&lt;0,'B5-Status cobranza'!AP172,0)</f>
        <v>0</v>
      </c>
      <c r="P165" s="777">
        <f>IF('B5-Status cobranza'!AP172&gt;0,'B5-Status cobranza'!AP172,0)</f>
        <v>0</v>
      </c>
      <c r="Q165" s="767">
        <f>'B5-Status cobranza'!AV172</f>
        <v>0</v>
      </c>
      <c r="R165" s="764">
        <f t="shared" si="20"/>
        <v>699700</v>
      </c>
      <c r="S165" s="764">
        <f>IF('B5-Status cobranza'!AL172&lt;0,'B5-Status cobranza'!AL172,0)</f>
        <v>0</v>
      </c>
      <c r="T165" s="764">
        <v>0</v>
      </c>
      <c r="U165" s="778">
        <f t="shared" si="19"/>
        <v>0</v>
      </c>
      <c r="V165" s="764">
        <f>IF('B5-Status cobranza'!AL172&gt;0,'B5-Status cobranza'!AL172,0)</f>
        <v>0</v>
      </c>
    </row>
    <row r="166" spans="1:22" ht="12" customHeight="1" x14ac:dyDescent="0.25">
      <c r="A166" s="763" t="str">
        <f>"Apto"&amp;'BOULEVARD 5'!B171</f>
        <v>Apto918</v>
      </c>
      <c r="B166" s="763">
        <v>1</v>
      </c>
      <c r="C166" s="763" t="str">
        <f>IF('BOULEVARD 5'!A171="","Cliente normal",'BOULEVARD 5'!A171)</f>
        <v>Cliente normal</v>
      </c>
      <c r="D166" s="763" t="str">
        <f>IF('BOULEVARD 5'!E171="","No asignado",'BOULEVARD 5'!E171)</f>
        <v>Antonio Rada</v>
      </c>
      <c r="E166" s="763" t="str">
        <f>IF('BOULEVARD 5'!F171="","No asignado",'BOULEVARD 5'!F171)</f>
        <v>Astrid Maricel De León Ramírez</v>
      </c>
      <c r="F166" s="764">
        <f>'BOULEVARD 5'!AT171</f>
        <v>70430</v>
      </c>
      <c r="G166" s="763" t="str">
        <f>'BOULEVARD 5'!BB171</f>
        <v>Cliente Atrasado</v>
      </c>
      <c r="H166" s="764">
        <f>'BOULEVARD PPTO'!BC166</f>
        <v>70400</v>
      </c>
      <c r="I166" s="764">
        <f t="shared" si="16"/>
        <v>30</v>
      </c>
      <c r="J166" s="765" t="str">
        <f t="shared" si="17"/>
        <v>Superavit de enganche</v>
      </c>
      <c r="K166" s="764">
        <f>'BOULEVARD 5'!I171</f>
        <v>703500</v>
      </c>
      <c r="L166" s="766">
        <f>IF('BOULEVARD 5'!G171="","",'BOULEVARD 5'!G171)</f>
        <v>45128</v>
      </c>
      <c r="M166" s="764">
        <f t="shared" si="18"/>
        <v>0</v>
      </c>
      <c r="N166" s="767">
        <f>IF('B5-Status cobranza'!AM173&lt;0,'B5-Status cobranza'!AM173,0)</f>
        <v>0</v>
      </c>
      <c r="O166" s="777">
        <f>IF('B5-Status cobranza'!AP173&lt;0,'B5-Status cobranza'!AP173,0)</f>
        <v>-1475</v>
      </c>
      <c r="P166" s="777">
        <f>IF('B5-Status cobranza'!AP173&gt;0,'B5-Status cobranza'!AP173,0)</f>
        <v>0</v>
      </c>
      <c r="Q166" s="767">
        <f>'B5-Status cobranza'!AV173</f>
        <v>1000</v>
      </c>
      <c r="R166" s="764">
        <f t="shared" si="20"/>
        <v>703500</v>
      </c>
      <c r="S166" s="764">
        <f>IF('B5-Status cobranza'!AL173&lt;0,'B5-Status cobranza'!AL173,0)</f>
        <v>0</v>
      </c>
      <c r="T166" s="764">
        <v>1000</v>
      </c>
      <c r="U166" s="778">
        <f t="shared" si="19"/>
        <v>3.2927289366928738E-3</v>
      </c>
      <c r="V166" s="764">
        <f>IF('B5-Status cobranza'!AL173&gt;0,'B5-Status cobranza'!AL173,0)</f>
        <v>2</v>
      </c>
    </row>
    <row r="167" spans="1:22" ht="12" customHeight="1" x14ac:dyDescent="0.25">
      <c r="A167" s="763" t="str">
        <f>"Apto"&amp;'BOULEVARD 5'!B172</f>
        <v>Apto919</v>
      </c>
      <c r="B167" s="763">
        <v>1</v>
      </c>
      <c r="C167" s="763" t="str">
        <f>IF('BOULEVARD 5'!A172="","Cliente normal",'BOULEVARD 5'!A172)</f>
        <v>Cliente normal</v>
      </c>
      <c r="D167" s="763" t="str">
        <f>IF('BOULEVARD 5'!E172="","No asignado",'BOULEVARD 5'!E172)</f>
        <v>Brenda Búcaro</v>
      </c>
      <c r="E167" s="763" t="str">
        <f>IF('BOULEVARD 5'!F172="","No asignado",'BOULEVARD 5'!F172)</f>
        <v>Ana Lucrecia Rangel Aquino</v>
      </c>
      <c r="F167" s="764">
        <f>'BOULEVARD 5'!AT172</f>
        <v>77485</v>
      </c>
      <c r="G167" s="763" t="str">
        <f>'BOULEVARD 5'!BB172</f>
        <v>Cliente Atrasado</v>
      </c>
      <c r="H167" s="764">
        <f>'BOULEVARD PPTO'!BC167</f>
        <v>92200</v>
      </c>
      <c r="I167" s="764">
        <f t="shared" si="16"/>
        <v>-14715</v>
      </c>
      <c r="J167" s="765" t="str">
        <f t="shared" si="17"/>
        <v>Enganche por pagar</v>
      </c>
      <c r="K167" s="764">
        <f>'BOULEVARD 5'!I172</f>
        <v>921600</v>
      </c>
      <c r="L167" s="766">
        <f>IF('BOULEVARD 5'!G172="","",'BOULEVARD 5'!G172)</f>
        <v>45016</v>
      </c>
      <c r="M167" s="764">
        <f t="shared" si="18"/>
        <v>0</v>
      </c>
      <c r="N167" s="767">
        <f>IF('B5-Status cobranza'!AM174&lt;0,'B5-Status cobranza'!AM174,0)</f>
        <v>-2465</v>
      </c>
      <c r="O167" s="777">
        <f>IF('B5-Status cobranza'!AP174&lt;0,'B5-Status cobranza'!AP174,0)</f>
        <v>-4930</v>
      </c>
      <c r="P167" s="777">
        <f>IF('B5-Status cobranza'!AP174&gt;0,'B5-Status cobranza'!AP174,0)</f>
        <v>0</v>
      </c>
      <c r="Q167" s="767">
        <f>'B5-Status cobranza'!AV174</f>
        <v>0</v>
      </c>
      <c r="R167" s="764">
        <f t="shared" si="20"/>
        <v>921600</v>
      </c>
      <c r="S167" s="764">
        <f>IF('B5-Status cobranza'!AL174&lt;0,'B5-Status cobranza'!AL174,0)</f>
        <v>0</v>
      </c>
      <c r="T167" s="764">
        <v>0</v>
      </c>
      <c r="U167" s="778">
        <f t="shared" si="19"/>
        <v>0</v>
      </c>
      <c r="V167" s="764">
        <f>IF('B5-Status cobranza'!AL174&gt;0,'B5-Status cobranza'!AL174,0)</f>
        <v>0</v>
      </c>
    </row>
    <row r="168" spans="1:22" ht="12" customHeight="1" x14ac:dyDescent="0.25">
      <c r="A168" s="763" t="str">
        <f>"Apto"&amp;'BOULEVARD 5'!B173</f>
        <v>Apto920</v>
      </c>
      <c r="B168" s="763">
        <v>1</v>
      </c>
      <c r="C168" s="763" t="str">
        <f>IF('BOULEVARD 5'!A173="","Cliente normal",'BOULEVARD 5'!A173)</f>
        <v>F&amp;F</v>
      </c>
      <c r="D168" s="763" t="s">
        <v>691</v>
      </c>
      <c r="E168" s="763" t="str">
        <f>IF('BOULEVARD 5'!F173="","No asignado",'BOULEVARD 5'!F173)</f>
        <v>Iurix, S.A</v>
      </c>
      <c r="F168" s="764">
        <f>'BOULEVARD 5'!AT173</f>
        <v>0</v>
      </c>
      <c r="G168" s="763" t="str">
        <f>'BOULEVARD 5'!BB173</f>
        <v>Cliente Atrasado</v>
      </c>
      <c r="H168" s="764">
        <f>'BOULEVARD PPTO'!BC168</f>
        <v>92899.999999999956</v>
      </c>
      <c r="I168" s="764">
        <f t="shared" si="16"/>
        <v>-92899.999999999956</v>
      </c>
      <c r="J168" s="765" t="str">
        <f t="shared" si="17"/>
        <v>Enganche por pagar</v>
      </c>
      <c r="K168" s="764">
        <f>'BOULEVARD 5'!I173</f>
        <v>929000</v>
      </c>
      <c r="L168" s="766">
        <f>IF('BOULEVARD 5'!G173="","",'BOULEVARD 5'!G173)</f>
        <v>45300</v>
      </c>
      <c r="M168" s="764">
        <f t="shared" si="18"/>
        <v>0</v>
      </c>
      <c r="N168" s="767">
        <f>IF('B5-Status cobranza'!AM175&lt;0,'B5-Status cobranza'!AM175,0)</f>
        <v>0</v>
      </c>
      <c r="O168" s="777">
        <f>IF('B5-Status cobranza'!AP175&lt;0,'B5-Status cobranza'!AP175,0)</f>
        <v>0</v>
      </c>
      <c r="P168" s="777">
        <f>IF('B5-Status cobranza'!AP175&gt;0,'B5-Status cobranza'!AP175,0)</f>
        <v>0</v>
      </c>
      <c r="Q168" s="767">
        <f>'B5-Status cobranza'!AV175</f>
        <v>0</v>
      </c>
      <c r="R168" s="764">
        <f t="shared" si="20"/>
        <v>929000</v>
      </c>
      <c r="S168" s="764">
        <f>IF('B5-Status cobranza'!AL175&lt;0,'B5-Status cobranza'!AL175,0)</f>
        <v>0</v>
      </c>
      <c r="T168" s="764">
        <v>0</v>
      </c>
      <c r="U168" s="778">
        <f t="shared" si="19"/>
        <v>0</v>
      </c>
      <c r="V168" s="764">
        <f>IF('B5-Status cobranza'!AL175&gt;0,'B5-Status cobranza'!AL175,0)</f>
        <v>0</v>
      </c>
    </row>
    <row r="169" spans="1:22" ht="12" customHeight="1" x14ac:dyDescent="0.25">
      <c r="A169" s="763" t="str">
        <f>"Apto"&amp;'BOULEVARD 5'!B174</f>
        <v>Apto1001</v>
      </c>
      <c r="B169" s="763">
        <v>1</v>
      </c>
      <c r="C169" s="763" t="str">
        <f>IF('BOULEVARD 5'!A174="","Cliente normal",'BOULEVARD 5'!A174)</f>
        <v>Cliente normal</v>
      </c>
      <c r="D169" s="763" t="str">
        <f>IF('BOULEVARD 5'!E174="","No asignado",'BOULEVARD 5'!E174)</f>
        <v>Antonio Rada</v>
      </c>
      <c r="E169" s="763" t="s">
        <v>887</v>
      </c>
      <c r="F169" s="764">
        <f>'BOULEVARD 5'!AT174</f>
        <v>99054</v>
      </c>
      <c r="G169" s="763" t="str">
        <f>'BOULEVARD 5'!BB174</f>
        <v>Cliente Atrasado</v>
      </c>
      <c r="H169" s="764">
        <f>'BOULEVARD PPTO'!BC169</f>
        <v>109800</v>
      </c>
      <c r="I169" s="764">
        <f t="shared" si="16"/>
        <v>-10746</v>
      </c>
      <c r="J169" s="765" t="str">
        <f t="shared" si="17"/>
        <v>Enganche por pagar</v>
      </c>
      <c r="K169" s="764">
        <f>'BOULEVARD 5'!I174</f>
        <v>1097100</v>
      </c>
      <c r="L169" s="766">
        <f>IF('BOULEVARD 5'!G174="","",'BOULEVARD 5'!G174)</f>
        <v>45027</v>
      </c>
      <c r="M169" s="764">
        <f t="shared" si="18"/>
        <v>0</v>
      </c>
      <c r="N169" s="767">
        <f>IF('B5-Status cobranza'!AM176&lt;0,'B5-Status cobranza'!AM176,0)</f>
        <v>0</v>
      </c>
      <c r="O169" s="777">
        <f>IF('B5-Status cobranza'!AP176&lt;0,'B5-Status cobranza'!AP176,0)</f>
        <v>-10746</v>
      </c>
      <c r="P169" s="777">
        <f>IF('B5-Status cobranza'!AP176&gt;0,'B5-Status cobranza'!AP176,0)</f>
        <v>0</v>
      </c>
      <c r="Q169" s="767">
        <f>'B5-Status cobranza'!AV176</f>
        <v>0</v>
      </c>
      <c r="R169" s="764">
        <f t="shared" si="20"/>
        <v>1097100</v>
      </c>
      <c r="S169" s="764">
        <f>IF('B5-Status cobranza'!AL176&lt;0,'B5-Status cobranza'!AL176,0)</f>
        <v>-9</v>
      </c>
      <c r="T169" s="764">
        <v>0</v>
      </c>
      <c r="U169" s="778">
        <f t="shared" si="19"/>
        <v>0</v>
      </c>
      <c r="V169" s="764">
        <f>IF('B5-Status cobranza'!AL176&gt;0,'B5-Status cobranza'!AL176,0)</f>
        <v>0</v>
      </c>
    </row>
    <row r="170" spans="1:22" ht="12" customHeight="1" x14ac:dyDescent="0.25">
      <c r="A170" s="763" t="str">
        <f>"Apto"&amp;'BOULEVARD 5'!B175</f>
        <v>Apto1002</v>
      </c>
      <c r="B170" s="763">
        <v>1</v>
      </c>
      <c r="C170" s="763" t="str">
        <f>IF('BOULEVARD 5'!A175="","Cliente normal",'BOULEVARD 5'!A175)</f>
        <v>Cliente normal</v>
      </c>
      <c r="D170" s="763" t="str">
        <f>IF('BOULEVARD 5'!E175="","No asignado",'BOULEVARD 5'!E175)</f>
        <v>Antonio Rada</v>
      </c>
      <c r="E170" s="763" t="str">
        <f>IF('BOULEVARD 5'!F175="","No asignado",'BOULEVARD 5'!F175)</f>
        <v>Evelin Yadira Orellana Ordoñez</v>
      </c>
      <c r="F170" s="764">
        <f>'BOULEVARD 5'!AT175</f>
        <v>204000</v>
      </c>
      <c r="G170" s="763" t="str">
        <f>'BOULEVARD 5'!BB175</f>
        <v>Cliente Atrasado</v>
      </c>
      <c r="H170" s="764">
        <f>'BOULEVARD PPTO'!BC170</f>
        <v>216000</v>
      </c>
      <c r="I170" s="764">
        <f t="shared" si="16"/>
        <v>-12000</v>
      </c>
      <c r="J170" s="765" t="str">
        <f t="shared" si="17"/>
        <v>Enganche por pagar</v>
      </c>
      <c r="K170" s="764">
        <f>'BOULEVARD 5'!I175</f>
        <v>1111200</v>
      </c>
      <c r="L170" s="766">
        <f>IF('BOULEVARD 5'!G175="","",'BOULEVARD 5'!G175)</f>
        <v>45008</v>
      </c>
      <c r="M170" s="764">
        <f t="shared" si="18"/>
        <v>0</v>
      </c>
      <c r="N170" s="767">
        <f>IF('B5-Status cobranza'!AM177&lt;0,'B5-Status cobranza'!AM177,0)</f>
        <v>0</v>
      </c>
      <c r="O170" s="777">
        <f>IF('B5-Status cobranza'!AP177&lt;0,'B5-Status cobranza'!AP177,0)</f>
        <v>0</v>
      </c>
      <c r="P170" s="777">
        <f>IF('B5-Status cobranza'!AP177&gt;0,'B5-Status cobranza'!AP177,0)</f>
        <v>0</v>
      </c>
      <c r="Q170" s="767">
        <f>'B5-Status cobranza'!AV177</f>
        <v>0</v>
      </c>
      <c r="R170" s="764">
        <f t="shared" si="20"/>
        <v>1111200</v>
      </c>
      <c r="S170" s="764">
        <f>IF('B5-Status cobranza'!AL177&lt;0,'B5-Status cobranza'!AL177,0)</f>
        <v>0</v>
      </c>
      <c r="T170" s="764">
        <v>0</v>
      </c>
      <c r="U170" s="778">
        <f t="shared" si="19"/>
        <v>0</v>
      </c>
      <c r="V170" s="764">
        <f>IF('B5-Status cobranza'!AL177&gt;0,'B5-Status cobranza'!AL177,0)</f>
        <v>0</v>
      </c>
    </row>
    <row r="171" spans="1:22" ht="12" customHeight="1" x14ac:dyDescent="0.25">
      <c r="A171" s="763" t="str">
        <f>"Apto"&amp;'BOULEVARD 5'!B176</f>
        <v>Apto1003</v>
      </c>
      <c r="B171" s="763">
        <v>1</v>
      </c>
      <c r="C171" s="763" t="str">
        <f>IF('BOULEVARD 5'!A176="","Cliente normal",'BOULEVARD 5'!A176)</f>
        <v>Cliente normal</v>
      </c>
      <c r="D171" s="763" t="str">
        <f>IF('BOULEVARD 5'!E176="","No asignado",'BOULEVARD 5'!E176)</f>
        <v>Antonio Rada</v>
      </c>
      <c r="E171" s="763" t="str">
        <f>IF('BOULEVARD 5'!F176="","No asignado",'BOULEVARD 5'!F176)</f>
        <v>Eduar Reginaldo Colindres Estrada</v>
      </c>
      <c r="F171" s="764">
        <f>'BOULEVARD 5'!AT176</f>
        <v>78700</v>
      </c>
      <c r="G171" s="763" t="str">
        <f>'BOULEVARD 5'!BB176</f>
        <v>Cliente Atrasado</v>
      </c>
      <c r="H171" s="764">
        <f>'BOULEVARD PPTO'!BC171</f>
        <v>70400</v>
      </c>
      <c r="I171" s="764">
        <f t="shared" si="16"/>
        <v>8300</v>
      </c>
      <c r="J171" s="765" t="str">
        <f t="shared" si="17"/>
        <v>Superavit de enganche</v>
      </c>
      <c r="K171" s="764">
        <f>'BOULEVARD 5'!I176</f>
        <v>703500</v>
      </c>
      <c r="L171" s="766">
        <f>IF('BOULEVARD 5'!G176="","",'BOULEVARD 5'!G176)</f>
        <v>45072</v>
      </c>
      <c r="M171" s="764">
        <f t="shared" si="18"/>
        <v>0</v>
      </c>
      <c r="N171" s="767">
        <f>IF('B5-Status cobranza'!AM178&lt;0,'B5-Status cobranza'!AM178,0)</f>
        <v>0</v>
      </c>
      <c r="O171" s="777">
        <f>IF('B5-Status cobranza'!AP178&lt;0,'B5-Status cobranza'!AP178,0)</f>
        <v>-1300</v>
      </c>
      <c r="P171" s="777">
        <f>IF('B5-Status cobranza'!AP178&gt;0,'B5-Status cobranza'!AP178,0)</f>
        <v>0</v>
      </c>
      <c r="Q171" s="767">
        <f>'B5-Status cobranza'!AV178</f>
        <v>0</v>
      </c>
      <c r="R171" s="764">
        <f t="shared" si="20"/>
        <v>703500</v>
      </c>
      <c r="S171" s="764">
        <f>IF('B5-Status cobranza'!AL178&lt;0,'B5-Status cobranza'!AL178,0)</f>
        <v>0</v>
      </c>
      <c r="T171" s="764">
        <v>0</v>
      </c>
      <c r="U171" s="778">
        <f t="shared" si="19"/>
        <v>0</v>
      </c>
      <c r="V171" s="764">
        <f>IF('B5-Status cobranza'!AL178&gt;0,'B5-Status cobranza'!AL178,0)</f>
        <v>100</v>
      </c>
    </row>
    <row r="172" spans="1:22" ht="12" customHeight="1" x14ac:dyDescent="0.25">
      <c r="A172" s="763" t="str">
        <f>"Apto"&amp;'BOULEVARD 5'!B177</f>
        <v>Apto1004</v>
      </c>
      <c r="B172" s="763">
        <v>1</v>
      </c>
      <c r="C172" s="763" t="str">
        <f>IF('BOULEVARD 5'!A177="","Cliente normal",'BOULEVARD 5'!A177)</f>
        <v>Cliente normal</v>
      </c>
      <c r="D172" s="763" t="str">
        <f>IF('BOULEVARD 5'!E177="","No asignado",'BOULEVARD 5'!E177)</f>
        <v>Jose Franco</v>
      </c>
      <c r="E172" s="763" t="str">
        <f>IF('BOULEVARD 5'!F177="","No asignado",'BOULEVARD 5'!F177)</f>
        <v xml:space="preserve"> Jorge Silva Sagastume</v>
      </c>
      <c r="F172" s="764">
        <f>'BOULEVARD 5'!AT177</f>
        <v>69670.080000000002</v>
      </c>
      <c r="G172" s="763" t="str">
        <f>'BOULEVARD 5'!BB177</f>
        <v>Cliente Atrasado</v>
      </c>
      <c r="H172" s="764">
        <f>'BOULEVARD PPTO'!BC172</f>
        <v>69669.08</v>
      </c>
      <c r="I172" s="764">
        <f t="shared" si="16"/>
        <v>1</v>
      </c>
      <c r="J172" s="765" t="str">
        <f t="shared" si="17"/>
        <v>Superavit de enganche</v>
      </c>
      <c r="K172" s="764">
        <f>'BOULEVARD 5'!I177</f>
        <v>696469.08</v>
      </c>
      <c r="L172" s="766">
        <f>IF('BOULEVARD 5'!G177="","",'BOULEVARD 5'!G177)</f>
        <v>45062</v>
      </c>
      <c r="M172" s="764">
        <f t="shared" si="18"/>
        <v>0</v>
      </c>
      <c r="N172" s="767">
        <f>IF('B5-Status cobranza'!AM179&lt;0,'B5-Status cobranza'!AM179,0)</f>
        <v>0</v>
      </c>
      <c r="O172" s="777">
        <f>IF('B5-Status cobranza'!AP179&lt;0,'B5-Status cobranza'!AP179,0)</f>
        <v>0</v>
      </c>
      <c r="P172" s="777">
        <f>IF('B5-Status cobranza'!AP179&gt;0,'B5-Status cobranza'!AP179,0)</f>
        <v>1</v>
      </c>
      <c r="Q172" s="767">
        <f>'B5-Status cobranza'!AV179</f>
        <v>0</v>
      </c>
      <c r="R172" s="764">
        <f t="shared" si="20"/>
        <v>696469.08</v>
      </c>
      <c r="S172" s="764">
        <f>IF('B5-Status cobranza'!AL179&lt;0,'B5-Status cobranza'!AL179,0)</f>
        <v>0</v>
      </c>
      <c r="T172" s="764">
        <v>0</v>
      </c>
      <c r="U172" s="778">
        <f t="shared" si="19"/>
        <v>0</v>
      </c>
      <c r="V172" s="764">
        <f>IF('B5-Status cobranza'!AL179&gt;0,'B5-Status cobranza'!AL179,0)</f>
        <v>0</v>
      </c>
    </row>
    <row r="173" spans="1:22" ht="12" customHeight="1" x14ac:dyDescent="0.25">
      <c r="A173" s="763" t="str">
        <f>"Apto"&amp;'BOULEVARD 5'!B178</f>
        <v>Apto1005</v>
      </c>
      <c r="B173" s="763">
        <v>1</v>
      </c>
      <c r="C173" s="763" t="str">
        <f>IF('BOULEVARD 5'!A178="","Cliente normal",'BOULEVARD 5'!A178)</f>
        <v>Cliente normal</v>
      </c>
      <c r="D173" s="763" t="str">
        <f>IF('BOULEVARD 5'!E178="","No asignado",'BOULEVARD 5'!E178)</f>
        <v>Brenda Búcaro</v>
      </c>
      <c r="E173" s="763" t="str">
        <f>IF('BOULEVARD 5'!F178="","No asignado",'BOULEVARD 5'!F178)</f>
        <v>Barbara Elizabeth Ixmucane Zapeta Albanés</v>
      </c>
      <c r="F173" s="764">
        <f>'BOULEVARD 5'!AT178</f>
        <v>87675</v>
      </c>
      <c r="G173" s="763" t="str">
        <f>'BOULEVARD 5'!BB178</f>
        <v>Cliente Atrasado</v>
      </c>
      <c r="H173" s="764">
        <f>'BOULEVARD PPTO'!BC173</f>
        <v>94200</v>
      </c>
      <c r="I173" s="764">
        <f t="shared" si="16"/>
        <v>-6525</v>
      </c>
      <c r="J173" s="765" t="str">
        <f t="shared" si="17"/>
        <v>Enganche por pagar</v>
      </c>
      <c r="K173" s="764">
        <f>'BOULEVARD 5'!I178</f>
        <v>941800</v>
      </c>
      <c r="L173" s="766">
        <f>IF('BOULEVARD 5'!G178="","",'BOULEVARD 5'!G178)</f>
        <v>45113</v>
      </c>
      <c r="M173" s="764">
        <f t="shared" si="18"/>
        <v>0</v>
      </c>
      <c r="N173" s="767">
        <f>IF('B5-Status cobranza'!AM180&lt;0,'B5-Status cobranza'!AM180,0)</f>
        <v>0</v>
      </c>
      <c r="O173" s="777">
        <f>IF('B5-Status cobranza'!AP180&lt;0,'B5-Status cobranza'!AP180,0)</f>
        <v>-6525</v>
      </c>
      <c r="P173" s="777">
        <f>IF('B5-Status cobranza'!AP180&gt;0,'B5-Status cobranza'!AP180,0)</f>
        <v>0</v>
      </c>
      <c r="Q173" s="767">
        <f>'B5-Status cobranza'!AV180</f>
        <v>0</v>
      </c>
      <c r="R173" s="764">
        <f t="shared" si="20"/>
        <v>941800</v>
      </c>
      <c r="S173" s="764">
        <f>IF('B5-Status cobranza'!AL180&lt;0,'B5-Status cobranza'!AL180,0)</f>
        <v>-3258</v>
      </c>
      <c r="T173" s="764">
        <v>0</v>
      </c>
      <c r="U173" s="778">
        <f t="shared" si="19"/>
        <v>0</v>
      </c>
      <c r="V173" s="764">
        <f>IF('B5-Status cobranza'!AL180&gt;0,'B5-Status cobranza'!AL180,0)</f>
        <v>0</v>
      </c>
    </row>
    <row r="174" spans="1:22" ht="12" customHeight="1" x14ac:dyDescent="0.25">
      <c r="A174" s="763" t="str">
        <f>"Apto"&amp;'BOULEVARD 5'!B179</f>
        <v>Apto1006</v>
      </c>
      <c r="B174" s="763">
        <v>1</v>
      </c>
      <c r="C174" s="763" t="str">
        <f>IF('BOULEVARD 5'!A179="","Cliente normal",'BOULEVARD 5'!A179)</f>
        <v>Cliente normal</v>
      </c>
      <c r="D174" s="763" t="str">
        <f>IF('BOULEVARD 5'!E179="","No asignado",'BOULEVARD 5'!E179)</f>
        <v>Antonio Rada</v>
      </c>
      <c r="E174" s="763" t="str">
        <f>IF('BOULEVARD 5'!F179="","No asignado",'BOULEVARD 5'!F179)</f>
        <v>Diana Marisol Donis Cú</v>
      </c>
      <c r="F174" s="764">
        <f>'BOULEVARD 5'!AT179</f>
        <v>94400</v>
      </c>
      <c r="G174" s="763" t="str">
        <f>'BOULEVARD 5'!BB179</f>
        <v>Cliente Atrasado</v>
      </c>
      <c r="H174" s="764">
        <f>'BOULEVARD PPTO'!BC174</f>
        <v>94400</v>
      </c>
      <c r="I174" s="764">
        <f t="shared" si="16"/>
        <v>0</v>
      </c>
      <c r="J174" s="765" t="str">
        <f t="shared" si="17"/>
        <v>Enganche por pagar</v>
      </c>
      <c r="K174" s="764">
        <f>'BOULEVARD 5'!I179</f>
        <v>943100</v>
      </c>
      <c r="L174" s="766">
        <f>IF('BOULEVARD 5'!G179="","",'BOULEVARD 5'!G179)</f>
        <v>45343</v>
      </c>
      <c r="M174" s="764">
        <f t="shared" si="18"/>
        <v>0</v>
      </c>
      <c r="N174" s="767">
        <f>IF('B5-Status cobranza'!AM181&lt;0,'B5-Status cobranza'!AM181,0)</f>
        <v>0</v>
      </c>
      <c r="O174" s="777">
        <f>IF('B5-Status cobranza'!AP181&lt;0,'B5-Status cobranza'!AP181,0)</f>
        <v>0</v>
      </c>
      <c r="P174" s="777">
        <f>IF('B5-Status cobranza'!AP181&gt;0,'B5-Status cobranza'!AP181,0)</f>
        <v>0</v>
      </c>
      <c r="Q174" s="767">
        <f>'B5-Status cobranza'!AV181</f>
        <v>0</v>
      </c>
      <c r="R174" s="764">
        <f t="shared" si="20"/>
        <v>943100</v>
      </c>
      <c r="S174" s="764">
        <f>IF('B5-Status cobranza'!AL181&lt;0,'B5-Status cobranza'!AL181,0)</f>
        <v>0</v>
      </c>
      <c r="T174" s="764">
        <v>0</v>
      </c>
      <c r="U174" s="778">
        <f t="shared" si="19"/>
        <v>0</v>
      </c>
      <c r="V174" s="764">
        <f>IF('B5-Status cobranza'!AL181&gt;0,'B5-Status cobranza'!AL181,0)</f>
        <v>18188</v>
      </c>
    </row>
    <row r="175" spans="1:22" ht="12" customHeight="1" x14ac:dyDescent="0.25">
      <c r="A175" s="763" t="str">
        <f>"Apto"&amp;'BOULEVARD 5'!B180</f>
        <v>Apto1007</v>
      </c>
      <c r="B175" s="763">
        <v>1</v>
      </c>
      <c r="C175" s="763" t="str">
        <f>IF('BOULEVARD 5'!A180="","Cliente normal",'BOULEVARD 5'!A180)</f>
        <v>Cliente normal</v>
      </c>
      <c r="D175" s="763" t="str">
        <f>IF('BOULEVARD 5'!E180="","No asignado",'BOULEVARD 5'!E180)</f>
        <v>Brenda Búcaro</v>
      </c>
      <c r="E175" s="763" t="str">
        <f>IF('BOULEVARD 5'!F180="","No asignado",'BOULEVARD 5'!F180)</f>
        <v>Marcela Alejandra Castro Marcía</v>
      </c>
      <c r="F175" s="764">
        <f>'BOULEVARD 5'!AT180</f>
        <v>90200</v>
      </c>
      <c r="G175" s="763" t="str">
        <f>'BOULEVARD 5'!BB180</f>
        <v>Cliente Atrasado</v>
      </c>
      <c r="H175" s="764">
        <f>'BOULEVARD PPTO'!BC175</f>
        <v>90200</v>
      </c>
      <c r="I175" s="764">
        <f t="shared" si="16"/>
        <v>0</v>
      </c>
      <c r="J175" s="765" t="str">
        <f t="shared" si="17"/>
        <v>Enganche por pagar</v>
      </c>
      <c r="K175" s="764">
        <f>'BOULEVARD 5'!I180</f>
        <v>901400</v>
      </c>
      <c r="L175" s="766">
        <f>IF('BOULEVARD 5'!G180="","",'BOULEVARD 5'!G180)</f>
        <v>45173</v>
      </c>
      <c r="M175" s="764">
        <f t="shared" si="18"/>
        <v>0</v>
      </c>
      <c r="N175" s="767">
        <f>IF('B5-Status cobranza'!AM182&lt;0,'B5-Status cobranza'!AM182,0)</f>
        <v>0</v>
      </c>
      <c r="O175" s="777">
        <f>IF('B5-Status cobranza'!AP182&lt;0,'B5-Status cobranza'!AP182,0)</f>
        <v>-2736</v>
      </c>
      <c r="P175" s="777">
        <f>IF('B5-Status cobranza'!AP182&gt;0,'B5-Status cobranza'!AP182,0)</f>
        <v>0</v>
      </c>
      <c r="Q175" s="767">
        <f>'B5-Status cobranza'!AV182</f>
        <v>4000</v>
      </c>
      <c r="R175" s="764">
        <f t="shared" si="20"/>
        <v>901400</v>
      </c>
      <c r="S175" s="764">
        <f>IF('B5-Status cobranza'!AL182&lt;0,'B5-Status cobranza'!AL182,0)</f>
        <v>-148</v>
      </c>
      <c r="T175" s="764">
        <v>0</v>
      </c>
      <c r="U175" s="778">
        <f t="shared" si="19"/>
        <v>0</v>
      </c>
      <c r="V175" s="764">
        <f>IF('B5-Status cobranza'!AL182&gt;0,'B5-Status cobranza'!AL182,0)</f>
        <v>0</v>
      </c>
    </row>
    <row r="176" spans="1:22" ht="12" customHeight="1" x14ac:dyDescent="0.25">
      <c r="A176" s="763" t="str">
        <f>"Apto"&amp;'BOULEVARD 5'!B181</f>
        <v>Apto1008</v>
      </c>
      <c r="B176" s="763">
        <v>1</v>
      </c>
      <c r="C176" s="763" t="str">
        <f>IF('BOULEVARD 5'!A181="","Cliente normal",'BOULEVARD 5'!A181)</f>
        <v>F&amp;F</v>
      </c>
      <c r="D176" s="763" t="str">
        <f>IF('BOULEVARD 5'!E181="","No asignado",'BOULEVARD 5'!E181)</f>
        <v>Antonio Rada</v>
      </c>
      <c r="E176" s="763" t="str">
        <f>IF('BOULEVARD 5'!F181="","No asignado",'BOULEVARD 5'!F181)</f>
        <v>Jorge Roberto Arimany Comas</v>
      </c>
      <c r="F176" s="764">
        <f>'BOULEVARD 5'!AT181</f>
        <v>8000</v>
      </c>
      <c r="G176" s="763" t="str">
        <f>'BOULEVARD 5'!BB181</f>
        <v>Cliente Atrasado</v>
      </c>
      <c r="H176" s="764">
        <f>'BOULEVARD PPTO'!BC176</f>
        <v>84510</v>
      </c>
      <c r="I176" s="764">
        <f t="shared" si="16"/>
        <v>-76510</v>
      </c>
      <c r="J176" s="765" t="str">
        <f t="shared" si="17"/>
        <v>Enganche por pagar</v>
      </c>
      <c r="K176" s="764">
        <f>'BOULEVARD 5'!I181</f>
        <v>845100</v>
      </c>
      <c r="L176" s="766">
        <f>IF('BOULEVARD 5'!G181="","",'BOULEVARD 5'!G181)</f>
        <v>45401</v>
      </c>
      <c r="M176" s="764">
        <f t="shared" si="18"/>
        <v>0</v>
      </c>
      <c r="N176" s="767">
        <f>IF('B5-Status cobranza'!AM183&lt;0,'B5-Status cobranza'!AM183,0)</f>
        <v>0</v>
      </c>
      <c r="O176" s="777">
        <f>IF('B5-Status cobranza'!AP183&lt;0,'B5-Status cobranza'!AP183,0)</f>
        <v>0</v>
      </c>
      <c r="P176" s="777">
        <f>IF('B5-Status cobranza'!AP183&gt;0,'B5-Status cobranza'!AP183,0)</f>
        <v>0</v>
      </c>
      <c r="Q176" s="767">
        <f>'B5-Status cobranza'!AV183</f>
        <v>0</v>
      </c>
      <c r="R176" s="764">
        <f t="shared" si="20"/>
        <v>845100</v>
      </c>
      <c r="S176" s="764">
        <f>IF('B5-Status cobranza'!AL183&lt;0,'B5-Status cobranza'!AL183,0)</f>
        <v>0</v>
      </c>
      <c r="T176" s="764">
        <v>0</v>
      </c>
      <c r="U176" s="778">
        <f t="shared" si="19"/>
        <v>0</v>
      </c>
      <c r="V176" s="764">
        <f>IF('B5-Status cobranza'!AL183&gt;0,'B5-Status cobranza'!AL183,0)</f>
        <v>0</v>
      </c>
    </row>
    <row r="177" spans="1:22" ht="12" customHeight="1" x14ac:dyDescent="0.25">
      <c r="A177" s="763" t="str">
        <f>"Apto"&amp;'BOULEVARD 5'!B182</f>
        <v>Apto1009</v>
      </c>
      <c r="B177" s="763">
        <v>1</v>
      </c>
      <c r="C177" s="763" t="str">
        <f>IF('BOULEVARD 5'!A182="","Cliente normal",'BOULEVARD 5'!A182)</f>
        <v>Cliente normal</v>
      </c>
      <c r="D177" s="763" t="str">
        <f>IF('BOULEVARD 5'!E182="","No asignado",'BOULEVARD 5'!E182)</f>
        <v>Diana Alvarez</v>
      </c>
      <c r="E177" s="763" t="str">
        <f>IF('BOULEVARD 5'!F182="","No asignado",'BOULEVARD 5'!F182)</f>
        <v xml:space="preserve">Augusto Alejandro Salazar Alecio Y Yosseline Yanira Moscoso Hidalgo </v>
      </c>
      <c r="F177" s="764">
        <f>'BOULEVARD 5'!AT182</f>
        <v>122000</v>
      </c>
      <c r="G177" s="763" t="str">
        <f>'BOULEVARD 5'!BB182</f>
        <v>Cliente al día</v>
      </c>
      <c r="H177" s="764">
        <f>'BOULEVARD PPTO'!BC177</f>
        <v>152084.48000000001</v>
      </c>
      <c r="I177" s="764">
        <f t="shared" si="16"/>
        <v>-30084.48000000001</v>
      </c>
      <c r="J177" s="765" t="str">
        <f t="shared" si="17"/>
        <v>Enganche por pagar</v>
      </c>
      <c r="K177" s="764">
        <f>'BOULEVARD 5'!I182</f>
        <v>1515084.48</v>
      </c>
      <c r="L177" s="766">
        <f>IF('BOULEVARD 5'!G182="","",'BOULEVARD 5'!G182)</f>
        <v>45602</v>
      </c>
      <c r="M177" s="764">
        <f t="shared" si="18"/>
        <v>0</v>
      </c>
      <c r="N177" s="767">
        <f>IF('B5-Status cobranza'!AM184&lt;0,'B5-Status cobranza'!AM184,0)</f>
        <v>0</v>
      </c>
      <c r="O177" s="777">
        <f>IF('B5-Status cobranza'!AP184&lt;0,'B5-Status cobranza'!AP184,0)</f>
        <v>0</v>
      </c>
      <c r="P177" s="777">
        <f>IF('B5-Status cobranza'!AP184&gt;0,'B5-Status cobranza'!AP184,0)</f>
        <v>1166</v>
      </c>
      <c r="Q177" s="767">
        <f>'B5-Status cobranza'!AV184</f>
        <v>106</v>
      </c>
      <c r="R177" s="764">
        <f t="shared" si="20"/>
        <v>1515084.48</v>
      </c>
      <c r="S177" s="764">
        <f>IF('B5-Status cobranza'!AL184&lt;0,'B5-Status cobranza'!AL184,0)</f>
        <v>0</v>
      </c>
      <c r="T177" s="764">
        <v>0</v>
      </c>
      <c r="U177" s="778">
        <f t="shared" si="19"/>
        <v>0</v>
      </c>
      <c r="V177" s="764">
        <f>IF('B5-Status cobranza'!AL184&gt;0,'B5-Status cobranza'!AL184,0)</f>
        <v>106</v>
      </c>
    </row>
    <row r="178" spans="1:22" ht="12" customHeight="1" x14ac:dyDescent="0.25">
      <c r="A178" s="763" t="str">
        <f>"Apto"&amp;'BOULEVARD 5'!B183</f>
        <v>Apto1010</v>
      </c>
      <c r="B178" s="763">
        <v>1</v>
      </c>
      <c r="C178" s="763" t="str">
        <f>IF('BOULEVARD 5'!A183="","Cliente normal",'BOULEVARD 5'!A183)</f>
        <v>Cliente normal</v>
      </c>
      <c r="D178" s="763" t="str">
        <f>IF('BOULEVARD 5'!E183="","No asignado",'BOULEVARD 5'!E183)</f>
        <v>Antonio Rada</v>
      </c>
      <c r="E178" s="763" t="str">
        <f>IF('BOULEVARD 5'!F183="","No asignado",'BOULEVARD 5'!F183)</f>
        <v>Allan Donaldo Lapop Cárdenas</v>
      </c>
      <c r="F178" s="764">
        <f>'BOULEVARD 5'!AT183</f>
        <v>100900</v>
      </c>
      <c r="G178" s="763" t="str">
        <f>'BOULEVARD 5'!BB183</f>
        <v>Superávit de Enganche</v>
      </c>
      <c r="H178" s="764">
        <f>'BOULEVARD PPTO'!BC178</f>
        <v>84900</v>
      </c>
      <c r="I178" s="764">
        <f t="shared" si="16"/>
        <v>16000</v>
      </c>
      <c r="J178" s="765" t="str">
        <f t="shared" si="17"/>
        <v>Superavit de enganche</v>
      </c>
      <c r="K178" s="764">
        <f>'BOULEVARD 5'!I183</f>
        <v>848900</v>
      </c>
      <c r="L178" s="766">
        <f>IF('BOULEVARD 5'!G183="","",'BOULEVARD 5'!G183)</f>
        <v>45165</v>
      </c>
      <c r="M178" s="764">
        <f t="shared" si="18"/>
        <v>0</v>
      </c>
      <c r="N178" s="767">
        <f>IF('B5-Status cobranza'!AM185&lt;0,'B5-Status cobranza'!AM185,0)</f>
        <v>0</v>
      </c>
      <c r="O178" s="777">
        <f>IF('B5-Status cobranza'!AP185&lt;0,'B5-Status cobranza'!AP185,0)</f>
        <v>0</v>
      </c>
      <c r="P178" s="777">
        <f>IF('B5-Status cobranza'!AP185&gt;0,'B5-Status cobranza'!AP185,0)</f>
        <v>16000</v>
      </c>
      <c r="Q178" s="767">
        <f>'B5-Status cobranza'!AV185</f>
        <v>3500</v>
      </c>
      <c r="R178" s="764">
        <f t="shared" si="20"/>
        <v>848900</v>
      </c>
      <c r="S178" s="764">
        <f>IF('B5-Status cobranza'!AL185&lt;0,'B5-Status cobranza'!AL185,0)</f>
        <v>-3156</v>
      </c>
      <c r="T178" s="764">
        <v>3500</v>
      </c>
      <c r="U178" s="778">
        <f t="shared" si="19"/>
        <v>1.1524551278425058E-2</v>
      </c>
      <c r="V178" s="764">
        <f>IF('B5-Status cobranza'!AL185&gt;0,'B5-Status cobranza'!AL185,0)</f>
        <v>0</v>
      </c>
    </row>
    <row r="179" spans="1:22" ht="12" customHeight="1" x14ac:dyDescent="0.25">
      <c r="A179" s="763" t="str">
        <f>"Apto"&amp;'BOULEVARD 5'!B184</f>
        <v>Apto1011</v>
      </c>
      <c r="B179" s="763">
        <v>1</v>
      </c>
      <c r="C179" s="763" t="str">
        <f>IF('BOULEVARD 5'!A184="","Cliente normal",'BOULEVARD 5'!A184)</f>
        <v>Cliente normal</v>
      </c>
      <c r="D179" s="763" t="str">
        <f>IF('BOULEVARD 5'!E184="","No asignado",'BOULEVARD 5'!E184)</f>
        <v>Brenda Búcaro</v>
      </c>
      <c r="E179" s="763" t="str">
        <f>IF('BOULEVARD 5'!F184="","No asignado",'BOULEVARD 5'!F184)</f>
        <v>Sebastian Gutierrez Ruiz</v>
      </c>
      <c r="F179" s="764">
        <f>'BOULEVARD 5'!AT184</f>
        <v>88485</v>
      </c>
      <c r="G179" s="763" t="str">
        <f>'BOULEVARD 5'!BB184</f>
        <v>Cliente Atrasado</v>
      </c>
      <c r="H179" s="764">
        <f>'BOULEVARD PPTO'!BC179</f>
        <v>113225</v>
      </c>
      <c r="I179" s="764">
        <f t="shared" si="16"/>
        <v>-24740</v>
      </c>
      <c r="J179" s="765" t="str">
        <f t="shared" si="17"/>
        <v>Enganche por pagar</v>
      </c>
      <c r="K179" s="764">
        <f>'BOULEVARD 5'!I184</f>
        <v>1131525</v>
      </c>
      <c r="L179" s="766">
        <f>IF('BOULEVARD 5'!G184="","",'BOULEVARD 5'!G184)</f>
        <v>45016</v>
      </c>
      <c r="M179" s="764">
        <f t="shared" si="18"/>
        <v>0</v>
      </c>
      <c r="N179" s="767">
        <f>IF('B5-Status cobranza'!AM186&lt;0,'B5-Status cobranza'!AM186,0)</f>
        <v>-3050</v>
      </c>
      <c r="O179" s="777">
        <f>IF('B5-Status cobranza'!AP186&lt;0,'B5-Status cobranza'!AP186,0)</f>
        <v>-12065</v>
      </c>
      <c r="P179" s="777">
        <f>IF('B5-Status cobranza'!AP186&gt;0,'B5-Status cobranza'!AP186,0)</f>
        <v>0</v>
      </c>
      <c r="Q179" s="767">
        <f>'B5-Status cobranza'!AV186</f>
        <v>0</v>
      </c>
      <c r="R179" s="764">
        <f t="shared" si="20"/>
        <v>1131525</v>
      </c>
      <c r="S179" s="764">
        <f>IF('B5-Status cobranza'!AL186&lt;0,'B5-Status cobranza'!AL186,0)</f>
        <v>-3050</v>
      </c>
      <c r="T179" s="764">
        <v>0</v>
      </c>
      <c r="U179" s="778">
        <f t="shared" si="19"/>
        <v>0</v>
      </c>
      <c r="V179" s="764">
        <f>IF('B5-Status cobranza'!AL186&gt;0,'B5-Status cobranza'!AL186,0)</f>
        <v>0</v>
      </c>
    </row>
    <row r="180" spans="1:22" ht="12" customHeight="1" x14ac:dyDescent="0.25">
      <c r="A180" s="763" t="str">
        <f>"Apto"&amp;'BOULEVARD 5'!B185</f>
        <v>Apto1012</v>
      </c>
      <c r="B180" s="763">
        <v>1</v>
      </c>
      <c r="C180" s="763" t="str">
        <f>IF('BOULEVARD 5'!A185="","Cliente normal",'BOULEVARD 5'!A185)</f>
        <v>F&amp;F</v>
      </c>
      <c r="D180" s="763" t="s">
        <v>691</v>
      </c>
      <c r="E180" s="763" t="str">
        <f>IF('BOULEVARD 5'!F185="","No asignado",'BOULEVARD 5'!F185)</f>
        <v>Iurix, S.A</v>
      </c>
      <c r="F180" s="764">
        <f>'BOULEVARD 5'!AT185</f>
        <v>0</v>
      </c>
      <c r="G180" s="763" t="str">
        <f>'BOULEVARD 5'!BB185</f>
        <v>Cliente Atrasado</v>
      </c>
      <c r="H180" s="764">
        <f>'BOULEVARD PPTO'!BC180</f>
        <v>97380</v>
      </c>
      <c r="I180" s="764">
        <f t="shared" si="16"/>
        <v>-97380</v>
      </c>
      <c r="J180" s="765" t="str">
        <f t="shared" si="17"/>
        <v>Enganche por pagar</v>
      </c>
      <c r="K180" s="764">
        <f>'BOULEVARD 5'!I185</f>
        <v>973800</v>
      </c>
      <c r="L180" s="766">
        <f>IF('BOULEVARD 5'!G185="","",'BOULEVARD 5'!G185)</f>
        <v>45300</v>
      </c>
      <c r="M180" s="764">
        <f t="shared" si="18"/>
        <v>0</v>
      </c>
      <c r="N180" s="767">
        <f>IF('B5-Status cobranza'!AM187&lt;0,'B5-Status cobranza'!AM187,0)</f>
        <v>0</v>
      </c>
      <c r="O180" s="777">
        <f>IF('B5-Status cobranza'!AP187&lt;0,'B5-Status cobranza'!AP187,0)</f>
        <v>0</v>
      </c>
      <c r="P180" s="777">
        <f>IF('B5-Status cobranza'!AP187&gt;0,'B5-Status cobranza'!AP187,0)</f>
        <v>0</v>
      </c>
      <c r="Q180" s="767">
        <f>'B5-Status cobranza'!AV187</f>
        <v>0</v>
      </c>
      <c r="R180" s="764">
        <f t="shared" si="20"/>
        <v>973800</v>
      </c>
      <c r="S180" s="764">
        <f>IF('B5-Status cobranza'!AL187&lt;0,'B5-Status cobranza'!AL187,0)</f>
        <v>0</v>
      </c>
      <c r="T180" s="764">
        <v>0</v>
      </c>
      <c r="U180" s="778">
        <f t="shared" si="19"/>
        <v>0</v>
      </c>
      <c r="V180" s="764">
        <f>IF('B5-Status cobranza'!AL187&gt;0,'B5-Status cobranza'!AL187,0)</f>
        <v>0</v>
      </c>
    </row>
    <row r="181" spans="1:22" ht="12" customHeight="1" x14ac:dyDescent="0.25">
      <c r="A181" s="763" t="str">
        <f>"Apto"&amp;'BOULEVARD 5'!B186</f>
        <v>Apto1013</v>
      </c>
      <c r="B181" s="763">
        <v>1</v>
      </c>
      <c r="C181" s="763" t="str">
        <f>IF('BOULEVARD 5'!A186="","Cliente normal",'BOULEVARD 5'!A186)</f>
        <v>Cliente normal</v>
      </c>
      <c r="D181" s="763" t="str">
        <f>IF('BOULEVARD 5'!E186="","No asignado",'BOULEVARD 5'!E186)</f>
        <v>Brenda Búcaro</v>
      </c>
      <c r="E181" s="763" t="str">
        <f>IF('BOULEVARD 5'!F186="","No asignado",'BOULEVARD 5'!F186)</f>
        <v>Byron Nehemías Ortega Ruiz</v>
      </c>
      <c r="F181" s="764">
        <f>'BOULEVARD 5'!AT186</f>
        <v>90408</v>
      </c>
      <c r="G181" s="763" t="str">
        <f>'BOULEVARD 5'!BB186</f>
        <v>Cliente Atrasado</v>
      </c>
      <c r="H181" s="764">
        <f>'BOULEVARD PPTO'!BC181</f>
        <v>90400</v>
      </c>
      <c r="I181" s="764">
        <f t="shared" si="16"/>
        <v>8</v>
      </c>
      <c r="J181" s="765" t="str">
        <f t="shared" si="17"/>
        <v>Superavit de enganche</v>
      </c>
      <c r="K181" s="764">
        <f>'BOULEVARD 5'!I186</f>
        <v>903600</v>
      </c>
      <c r="L181" s="766">
        <f>IF('BOULEVARD 5'!G186="","",'BOULEVARD 5'!G186)</f>
        <v>45181</v>
      </c>
      <c r="M181" s="764">
        <f t="shared" si="18"/>
        <v>0</v>
      </c>
      <c r="N181" s="767">
        <f>IF('B5-Status cobranza'!AM188&lt;0,'B5-Status cobranza'!AM188,0)</f>
        <v>0</v>
      </c>
      <c r="O181" s="777">
        <f>IF('B5-Status cobranza'!AP188&lt;0,'B5-Status cobranza'!AP188,0)</f>
        <v>0</v>
      </c>
      <c r="P181" s="777">
        <f>IF('B5-Status cobranza'!AP188&gt;0,'B5-Status cobranza'!AP188,0)</f>
        <v>8</v>
      </c>
      <c r="Q181" s="767">
        <f>'B5-Status cobranza'!AV188</f>
        <v>7034</v>
      </c>
      <c r="R181" s="764">
        <f t="shared" si="20"/>
        <v>903600</v>
      </c>
      <c r="S181" s="764">
        <f>IF('B5-Status cobranza'!AL188&lt;0,'B5-Status cobranza'!AL188,0)</f>
        <v>-3509</v>
      </c>
      <c r="T181" s="764">
        <v>3517</v>
      </c>
      <c r="U181" s="778">
        <f t="shared" si="19"/>
        <v>1.1580527670348837E-2</v>
      </c>
      <c r="V181" s="764">
        <f>IF('B5-Status cobranza'!AL188&gt;0,'B5-Status cobranza'!AL188,0)</f>
        <v>0</v>
      </c>
    </row>
    <row r="182" spans="1:22" ht="12" customHeight="1" x14ac:dyDescent="0.25">
      <c r="A182" s="763" t="str">
        <f>"Apto"&amp;'BOULEVARD 5'!B187</f>
        <v>Apto1014</v>
      </c>
      <c r="B182" s="763">
        <v>1</v>
      </c>
      <c r="C182" s="763" t="str">
        <f>IF('BOULEVARD 5'!A187="","Cliente normal",'BOULEVARD 5'!A187)</f>
        <v>Cliente normal</v>
      </c>
      <c r="D182" s="763" t="str">
        <f>IF('BOULEVARD 5'!E187="","No asignado",'BOULEVARD 5'!E187)</f>
        <v>Antonio Rada</v>
      </c>
      <c r="E182" s="763" t="str">
        <f>IF('BOULEVARD 5'!F187="","No asignado",'BOULEVARD 5'!F187)</f>
        <v>Jorge Antonio Reyes Ochoa</v>
      </c>
      <c r="F182" s="764">
        <f>'BOULEVARD 5'!AT187</f>
        <v>88400</v>
      </c>
      <c r="G182" s="763" t="str">
        <f>'BOULEVARD 5'!BB187</f>
        <v>Cliente Atrasado</v>
      </c>
      <c r="H182" s="764">
        <f>'BOULEVARD PPTO'!BC182</f>
        <v>88400</v>
      </c>
      <c r="I182" s="764">
        <f t="shared" si="16"/>
        <v>0</v>
      </c>
      <c r="J182" s="765" t="str">
        <f t="shared" si="17"/>
        <v>Enganche por pagar</v>
      </c>
      <c r="K182" s="764">
        <f>'BOULEVARD 5'!I187</f>
        <v>883300</v>
      </c>
      <c r="L182" s="766">
        <f>IF('BOULEVARD 5'!G187="","",'BOULEVARD 5'!G187)</f>
        <v>45088</v>
      </c>
      <c r="M182" s="764">
        <f t="shared" si="18"/>
        <v>0</v>
      </c>
      <c r="N182" s="767">
        <f>IF('B5-Status cobranza'!AM189&lt;0,'B5-Status cobranza'!AM189,0)</f>
        <v>0</v>
      </c>
      <c r="O182" s="777">
        <f>IF('B5-Status cobranza'!AP189&lt;0,'B5-Status cobranza'!AP189,0)</f>
        <v>0</v>
      </c>
      <c r="P182" s="777">
        <f>IF('B5-Status cobranza'!AP189&gt;0,'B5-Status cobranza'!AP189,0)</f>
        <v>0</v>
      </c>
      <c r="Q182" s="767">
        <f>'B5-Status cobranza'!AV189</f>
        <v>3048</v>
      </c>
      <c r="R182" s="764">
        <f t="shared" si="20"/>
        <v>883300</v>
      </c>
      <c r="S182" s="764">
        <f>IF('B5-Status cobranza'!AL189&lt;0,'B5-Status cobranza'!AL189,0)</f>
        <v>0</v>
      </c>
      <c r="T182" s="764">
        <v>3048</v>
      </c>
      <c r="U182" s="778">
        <f t="shared" si="19"/>
        <v>1.0036237799039879E-2</v>
      </c>
      <c r="V182" s="764">
        <f>IF('B5-Status cobranza'!AL189&gt;0,'B5-Status cobranza'!AL189,0)</f>
        <v>3056</v>
      </c>
    </row>
    <row r="183" spans="1:22" ht="12" customHeight="1" x14ac:dyDescent="0.25">
      <c r="A183" s="763" t="str">
        <f>"Apto"&amp;'BOULEVARD 5'!B188</f>
        <v>Apto1015</v>
      </c>
      <c r="B183" s="763">
        <v>1</v>
      </c>
      <c r="C183" s="763" t="str">
        <f>IF('BOULEVARD 5'!A188="","Cliente normal",'BOULEVARD 5'!A188)</f>
        <v>Cliente normal</v>
      </c>
      <c r="D183" s="763" t="str">
        <f>IF('BOULEVARD 5'!E188="","No asignado",'BOULEVARD 5'!E188)</f>
        <v>Antonio Rada</v>
      </c>
      <c r="E183" s="763" t="str">
        <f>IF('BOULEVARD 5'!F188="","No asignado",'BOULEVARD 5'!F188)</f>
        <v>Pedro Luis Artero Bran</v>
      </c>
      <c r="F183" s="764">
        <f>'BOULEVARD 5'!AT188</f>
        <v>153397</v>
      </c>
      <c r="G183" s="763" t="str">
        <f>'BOULEVARD 5'!BB188</f>
        <v>Superávit de Enganche</v>
      </c>
      <c r="H183" s="764">
        <f>'BOULEVARD PPTO'!BC183</f>
        <v>133360</v>
      </c>
      <c r="I183" s="764">
        <f t="shared" si="16"/>
        <v>20037</v>
      </c>
      <c r="J183" s="765" t="str">
        <f t="shared" si="17"/>
        <v>Superavit de enganche</v>
      </c>
      <c r="K183" s="764">
        <f>'BOULEVARD 5'!I188</f>
        <v>1333600</v>
      </c>
      <c r="L183" s="766">
        <f>IF('BOULEVARD 5'!G188="","",'BOULEVARD 5'!G188)</f>
        <v>45035</v>
      </c>
      <c r="M183" s="764">
        <f t="shared" si="18"/>
        <v>0</v>
      </c>
      <c r="N183" s="767">
        <f>IF('B5-Status cobranza'!AM190&lt;0,'B5-Status cobranza'!AM190,0)</f>
        <v>0</v>
      </c>
      <c r="O183" s="777">
        <f>IF('B5-Status cobranza'!AP190&lt;0,'B5-Status cobranza'!AP190,0)</f>
        <v>0</v>
      </c>
      <c r="P183" s="777">
        <f>IF('B5-Status cobranza'!AP190&gt;0,'B5-Status cobranza'!AP190,0)</f>
        <v>5037</v>
      </c>
      <c r="Q183" s="767">
        <f>'B5-Status cobranza'!AV190</f>
        <v>5000</v>
      </c>
      <c r="R183" s="764">
        <f t="shared" si="20"/>
        <v>1333600</v>
      </c>
      <c r="S183" s="764">
        <f>IF('B5-Status cobranza'!AL190&lt;0,'B5-Status cobranza'!AL190,0)</f>
        <v>0</v>
      </c>
      <c r="T183" s="764">
        <v>0</v>
      </c>
      <c r="U183" s="778">
        <f t="shared" si="19"/>
        <v>0</v>
      </c>
      <c r="V183" s="764">
        <f>IF('B5-Status cobranza'!AL190&gt;0,'B5-Status cobranza'!AL190,0)</f>
        <v>37</v>
      </c>
    </row>
    <row r="184" spans="1:22" ht="12" customHeight="1" x14ac:dyDescent="0.25">
      <c r="A184" s="763" t="str">
        <f>"Apto"&amp;'BOULEVARD 5'!B189</f>
        <v>Apto1016</v>
      </c>
      <c r="B184" s="763">
        <v>1</v>
      </c>
      <c r="C184" s="763" t="str">
        <f>IF('BOULEVARD 5'!A189="","Cliente normal",'BOULEVARD 5'!A189)</f>
        <v>Cliente normal</v>
      </c>
      <c r="D184" s="763" t="str">
        <f>IF('BOULEVARD 5'!E189="","No asignado",'BOULEVARD 5'!E189)</f>
        <v>Brenda Búcaro</v>
      </c>
      <c r="E184" s="763" t="str">
        <f>IF('BOULEVARD 5'!F189="","No asignado",'BOULEVARD 5'!F189)</f>
        <v>Sergio Enrique Bolaños López</v>
      </c>
      <c r="F184" s="764">
        <f>'BOULEVARD 5'!AT189</f>
        <v>51591</v>
      </c>
      <c r="G184" s="763" t="str">
        <f>'BOULEVARD 5'!BB189</f>
        <v>Cliente Atrasado</v>
      </c>
      <c r="H184" s="764">
        <f>'BOULEVARD PPTO'!BC184</f>
        <v>65200</v>
      </c>
      <c r="I184" s="764">
        <f t="shared" si="16"/>
        <v>-13609</v>
      </c>
      <c r="J184" s="765" t="str">
        <f t="shared" si="17"/>
        <v>Enganche por pagar</v>
      </c>
      <c r="K184" s="764">
        <f>'BOULEVARD 5'!I189</f>
        <v>651600</v>
      </c>
      <c r="L184" s="766">
        <f>IF('BOULEVARD 5'!G189="","",'BOULEVARD 5'!G189)</f>
        <v>45032</v>
      </c>
      <c r="M184" s="764">
        <f t="shared" si="18"/>
        <v>0</v>
      </c>
      <c r="N184" s="767">
        <f>IF('B5-Status cobranza'!AM191&lt;0,'B5-Status cobranza'!AM191,0)</f>
        <v>0</v>
      </c>
      <c r="O184" s="777">
        <f>IF('B5-Status cobranza'!AP191&lt;0,'B5-Status cobranza'!AP191,0)</f>
        <v>0</v>
      </c>
      <c r="P184" s="777">
        <f>IF('B5-Status cobranza'!AP191&gt;0,'B5-Status cobranza'!AP191,0)</f>
        <v>0</v>
      </c>
      <c r="Q184" s="767">
        <f>'B5-Status cobranza'!AV191</f>
        <v>0</v>
      </c>
      <c r="R184" s="764">
        <f t="shared" si="20"/>
        <v>651600</v>
      </c>
      <c r="S184" s="764">
        <f>IF('B5-Status cobranza'!AL191&lt;0,'B5-Status cobranza'!AL191,0)</f>
        <v>0</v>
      </c>
      <c r="T184" s="764">
        <v>0</v>
      </c>
      <c r="U184" s="778">
        <f t="shared" si="19"/>
        <v>0</v>
      </c>
      <c r="V184" s="764">
        <f>IF('B5-Status cobranza'!AL191&gt;0,'B5-Status cobranza'!AL191,0)</f>
        <v>0</v>
      </c>
    </row>
    <row r="185" spans="1:22" ht="12" customHeight="1" x14ac:dyDescent="0.25">
      <c r="A185" s="763" t="str">
        <f>"Apto"&amp;'BOULEVARD 5'!B190</f>
        <v>Apto1017</v>
      </c>
      <c r="B185" s="763">
        <v>1</v>
      </c>
      <c r="C185" s="763" t="str">
        <f>IF('BOULEVARD 5'!A190="","Cliente normal",'BOULEVARD 5'!A190)</f>
        <v>Cliente normal</v>
      </c>
      <c r="D185" s="763" t="str">
        <f>IF('BOULEVARD 5'!E190="","No asignado",'BOULEVARD 5'!E190)</f>
        <v>Brenda Búcaro</v>
      </c>
      <c r="E185" s="763" t="str">
        <f>IF('BOULEVARD 5'!F190="","No asignado",'BOULEVARD 5'!F190)</f>
        <v>Irene Alejandra Reyes Guzmán</v>
      </c>
      <c r="F185" s="764">
        <f>'BOULEVARD 5'!AT190</f>
        <v>46950</v>
      </c>
      <c r="G185" s="763" t="str">
        <f>'BOULEVARD 5'!BB190</f>
        <v>Cliente Atrasado</v>
      </c>
      <c r="H185" s="764">
        <f>'BOULEVARD PPTO'!BC185</f>
        <v>66400</v>
      </c>
      <c r="I185" s="764">
        <f t="shared" si="16"/>
        <v>-19450</v>
      </c>
      <c r="J185" s="765" t="str">
        <f t="shared" si="17"/>
        <v>Enganche por pagar</v>
      </c>
      <c r="K185" s="764">
        <f>'BOULEVARD 5'!I190</f>
        <v>663200</v>
      </c>
      <c r="L185" s="766">
        <f>IF('BOULEVARD 5'!G190="","",'BOULEVARD 5'!G190)</f>
        <v>45032</v>
      </c>
      <c r="M185" s="764">
        <f t="shared" si="18"/>
        <v>0</v>
      </c>
      <c r="N185" s="767">
        <f>IF('B5-Status cobranza'!AM192&lt;0,'B5-Status cobranza'!AM192,0)</f>
        <v>0</v>
      </c>
      <c r="O185" s="777">
        <f>IF('B5-Status cobranza'!AP192&lt;0,'B5-Status cobranza'!AP192,0)</f>
        <v>0</v>
      </c>
      <c r="P185" s="777">
        <f>IF('B5-Status cobranza'!AP192&gt;0,'B5-Status cobranza'!AP192,0)</f>
        <v>0</v>
      </c>
      <c r="Q185" s="767">
        <f>'B5-Status cobranza'!AV192</f>
        <v>0</v>
      </c>
      <c r="R185" s="764">
        <f t="shared" si="20"/>
        <v>663200</v>
      </c>
      <c r="S185" s="764">
        <f>IF('B5-Status cobranza'!AL192&lt;0,'B5-Status cobranza'!AL192,0)</f>
        <v>0</v>
      </c>
      <c r="T185" s="764">
        <v>0</v>
      </c>
      <c r="U185" s="778">
        <f t="shared" si="19"/>
        <v>0</v>
      </c>
      <c r="V185" s="764">
        <f>IF('B5-Status cobranza'!AL192&gt;0,'B5-Status cobranza'!AL192,0)</f>
        <v>0</v>
      </c>
    </row>
    <row r="186" spans="1:22" ht="12" customHeight="1" x14ac:dyDescent="0.25">
      <c r="A186" s="763" t="str">
        <f>"Apto"&amp;'BOULEVARD 5'!B191</f>
        <v>Apto1018</v>
      </c>
      <c r="B186" s="763">
        <v>1</v>
      </c>
      <c r="C186" s="763" t="str">
        <f>IF('BOULEVARD 5'!A191="","Cliente normal",'BOULEVARD 5'!A191)</f>
        <v>Cliente normal</v>
      </c>
      <c r="D186" s="763" t="str">
        <f>IF('BOULEVARD 5'!E191="","No asignado",'BOULEVARD 5'!E191)</f>
        <v>Antonio Rada</v>
      </c>
      <c r="E186" s="763" t="str">
        <f>IF('BOULEVARD 5'!F191="","No asignado",'BOULEVARD 5'!F191)</f>
        <v>Corporacion Fb Sociedad Anonima</v>
      </c>
      <c r="F186" s="764">
        <f>'BOULEVARD 5'!AT191</f>
        <v>69127.17</v>
      </c>
      <c r="G186" s="763" t="str">
        <f>'BOULEVARD 5'!BB191</f>
        <v>Enganche Completado</v>
      </c>
      <c r="H186" s="764">
        <f>'BOULEVARD PPTO'!BC186</f>
        <v>69127.17</v>
      </c>
      <c r="I186" s="764">
        <f t="shared" si="16"/>
        <v>0</v>
      </c>
      <c r="J186" s="765" t="str">
        <f t="shared" si="17"/>
        <v>Enganche por pagar</v>
      </c>
      <c r="K186" s="764">
        <f>'BOULEVARD 5'!I191</f>
        <v>690627.17</v>
      </c>
      <c r="L186" s="766">
        <f>IF('BOULEVARD 5'!G191="","",'BOULEVARD 5'!G191)</f>
        <v>45141</v>
      </c>
      <c r="M186" s="764">
        <f t="shared" si="18"/>
        <v>0</v>
      </c>
      <c r="N186" s="767">
        <f>IF('B5-Status cobranza'!AM193&lt;0,'B5-Status cobranza'!AM193,0)</f>
        <v>0</v>
      </c>
      <c r="O186" s="777">
        <f>IF('B5-Status cobranza'!AP193&lt;0,'B5-Status cobranza'!AP193,0)</f>
        <v>0</v>
      </c>
      <c r="P186" s="777">
        <f>IF('B5-Status cobranza'!AP193&gt;0,'B5-Status cobranza'!AP193,0)</f>
        <v>0</v>
      </c>
      <c r="Q186" s="767">
        <f>'B5-Status cobranza'!AV193</f>
        <v>0</v>
      </c>
      <c r="R186" s="764">
        <f t="shared" si="20"/>
        <v>690627.17</v>
      </c>
      <c r="S186" s="764">
        <f>IF('B5-Status cobranza'!AL193&lt;0,'B5-Status cobranza'!AL193,0)</f>
        <v>0</v>
      </c>
      <c r="T186" s="764">
        <v>0</v>
      </c>
      <c r="U186" s="778">
        <f t="shared" si="19"/>
        <v>0</v>
      </c>
      <c r="V186" s="764">
        <f>IF('B5-Status cobranza'!AL193&gt;0,'B5-Status cobranza'!AL193,0)</f>
        <v>0</v>
      </c>
    </row>
    <row r="187" spans="1:22" ht="12" customHeight="1" x14ac:dyDescent="0.25">
      <c r="A187" s="763" t="str">
        <f>"Apto"&amp;'BOULEVARD 5'!B192</f>
        <v>Apto1019</v>
      </c>
      <c r="B187" s="763">
        <v>1</v>
      </c>
      <c r="C187" s="763" t="str">
        <f>IF('BOULEVARD 5'!A192="","Cliente normal",'BOULEVARD 5'!A192)</f>
        <v>Cliente normal</v>
      </c>
      <c r="D187" s="763" t="str">
        <f>IF('BOULEVARD 5'!E192="","No asignado",'BOULEVARD 5'!E192)</f>
        <v>Mario Rodriguez</v>
      </c>
      <c r="E187" s="763" t="str">
        <f>IF('BOULEVARD 5'!F192="","No asignado",'BOULEVARD 5'!F192)</f>
        <v>Gloria Fernanda Moran Guevara</v>
      </c>
      <c r="F187" s="764">
        <f>'BOULEVARD 5'!AT192</f>
        <v>35000</v>
      </c>
      <c r="G187" s="763" t="str">
        <f>'BOULEVARD 5'!BB192</f>
        <v>Cliente Atrasado</v>
      </c>
      <c r="H187" s="764">
        <f>'BOULEVARD PPTO'!BC187</f>
        <v>97500</v>
      </c>
      <c r="I187" s="764">
        <f t="shared" si="16"/>
        <v>-62500</v>
      </c>
      <c r="J187" s="765" t="str">
        <f t="shared" si="17"/>
        <v>Enganche por pagar</v>
      </c>
      <c r="K187" s="764">
        <f>'BOULEVARD 5'!I192</f>
        <v>1391500</v>
      </c>
      <c r="L187" s="766">
        <f>IF('BOULEVARD 5'!G192="","",'BOULEVARD 5'!G192)</f>
        <v>45894</v>
      </c>
      <c r="M187" s="764">
        <f t="shared" si="18"/>
        <v>0</v>
      </c>
      <c r="N187" s="767">
        <f>IF('B5-Status cobranza'!AM194&lt;0,'B5-Status cobranza'!AM194,0)</f>
        <v>-8750</v>
      </c>
      <c r="O187" s="777">
        <f>IF('B5-Status cobranza'!AP194&lt;0,'B5-Status cobranza'!AP194,0)</f>
        <v>-17500</v>
      </c>
      <c r="P187" s="777">
        <f>IF('B5-Status cobranza'!AP194&gt;0,'B5-Status cobranza'!AP194,0)</f>
        <v>0</v>
      </c>
      <c r="Q187" s="767">
        <f>'B5-Status cobranza'!AV194</f>
        <v>0</v>
      </c>
      <c r="R187" s="764">
        <f t="shared" si="20"/>
        <v>1391500</v>
      </c>
      <c r="S187" s="764">
        <f>IF('B5-Status cobranza'!AL194&lt;0,'B5-Status cobranza'!AL194,0)</f>
        <v>-8750</v>
      </c>
      <c r="T187" s="764">
        <v>0</v>
      </c>
      <c r="U187" s="778">
        <f t="shared" si="19"/>
        <v>0</v>
      </c>
      <c r="V187" s="764">
        <f>IF('B5-Status cobranza'!AL194&gt;0,'B5-Status cobranza'!AL194,0)</f>
        <v>0</v>
      </c>
    </row>
    <row r="188" spans="1:22" ht="12" customHeight="1" x14ac:dyDescent="0.25">
      <c r="A188" s="763" t="str">
        <f>"Apto"&amp;'BOULEVARD 5'!B193</f>
        <v>Apto1020</v>
      </c>
      <c r="B188" s="763">
        <v>1</v>
      </c>
      <c r="C188" s="763" t="str">
        <f>G188</f>
        <v>Cliente al día</v>
      </c>
      <c r="D188" s="763" t="str">
        <f>IF('BOULEVARD 5'!E193="","No asignado",'BOULEVARD 5'!E193)</f>
        <v>Erwin Cardona</v>
      </c>
      <c r="E188" s="763" t="str">
        <f>IF('BOULEVARD 5'!F193="","No asignado",'BOULEVARD 5'!F193)</f>
        <v>Bernerd Alexandro Godínez López</v>
      </c>
      <c r="F188" s="764">
        <f>'BOULEVARD 5'!AT193</f>
        <v>57000</v>
      </c>
      <c r="G188" s="763" t="str">
        <f>'BOULEVARD 5'!BB193</f>
        <v>Cliente al día</v>
      </c>
      <c r="H188" s="764">
        <f>'BOULEVARD PPTO'!BC188</f>
        <v>0</v>
      </c>
      <c r="I188" s="764">
        <f t="shared" si="16"/>
        <v>57000</v>
      </c>
      <c r="J188" s="765" t="str">
        <f t="shared" si="17"/>
        <v>Superavit de enganche</v>
      </c>
      <c r="K188" s="764">
        <f>'BOULEVARD 5'!I193</f>
        <v>1420800</v>
      </c>
      <c r="L188" s="766">
        <f>IF('BOULEVARD 5'!G193="","",'BOULEVARD 5'!G193)</f>
        <v>45985</v>
      </c>
      <c r="M188" s="764">
        <f t="shared" si="18"/>
        <v>0</v>
      </c>
      <c r="N188" s="767">
        <f>IF('B5-Status cobranza'!AM195&lt;0,'B5-Status cobranza'!AM195,0)</f>
        <v>0</v>
      </c>
      <c r="O188" s="777">
        <f>IF('B5-Status cobranza'!AP195&lt;0,'B5-Status cobranza'!AP195,0)</f>
        <v>0</v>
      </c>
      <c r="P188" s="777">
        <f>IF('B5-Status cobranza'!AP195&gt;0,'B5-Status cobranza'!AP195,0)</f>
        <v>0</v>
      </c>
      <c r="Q188" s="767">
        <f>'B5-Status cobranza'!AV195</f>
        <v>0</v>
      </c>
      <c r="R188" s="764">
        <f t="shared" si="20"/>
        <v>1420800</v>
      </c>
      <c r="S188" s="764">
        <f>IF('B5-Status cobranza'!AL195&lt;0,'B5-Status cobranza'!AL195,0)</f>
        <v>0</v>
      </c>
      <c r="T188" s="764">
        <v>0</v>
      </c>
      <c r="U188" s="778">
        <f t="shared" si="19"/>
        <v>0</v>
      </c>
      <c r="V188" s="764">
        <f>IF('B5-Status cobranza'!AL195&gt;0,'B5-Status cobranza'!AL195,0)</f>
        <v>0</v>
      </c>
    </row>
    <row r="189" spans="1:22" ht="12" customHeight="1" x14ac:dyDescent="0.25">
      <c r="A189" s="763" t="str">
        <f>"Apto"&amp;'BOULEVARD 5'!B194</f>
        <v>Apto1101</v>
      </c>
      <c r="B189" s="763">
        <v>1</v>
      </c>
      <c r="C189" s="763" t="str">
        <f>IF('BOULEVARD 5'!A194="","Cliente normal",'BOULEVARD 5'!A194)</f>
        <v>Cliente normal</v>
      </c>
      <c r="D189" s="763" t="str">
        <f>IF('BOULEVARD 5'!E194="","No asignado",'BOULEVARD 5'!E194)</f>
        <v>Antonio Rada</v>
      </c>
      <c r="E189" s="763" t="str">
        <f>IF('BOULEVARD 5'!F194="","No asignado",'BOULEVARD 5'!F194)</f>
        <v>Maria Fernanda Contreras Lopez</v>
      </c>
      <c r="F189" s="764">
        <f>'BOULEVARD 5'!AT194</f>
        <v>117700</v>
      </c>
      <c r="G189" s="763" t="str">
        <f>'BOULEVARD 5'!BB194</f>
        <v>Cliente Atrasado</v>
      </c>
      <c r="H189" s="764">
        <f>'BOULEVARD PPTO'!BC189</f>
        <v>117700</v>
      </c>
      <c r="I189" s="764">
        <f t="shared" si="16"/>
        <v>0</v>
      </c>
      <c r="J189" s="765" t="str">
        <f t="shared" si="17"/>
        <v>Enganche por pagar</v>
      </c>
      <c r="K189" s="764">
        <f>'BOULEVARD 5'!I194</f>
        <v>1176700</v>
      </c>
      <c r="L189" s="766">
        <f>IF('BOULEVARD 5'!G194="","",'BOULEVARD 5'!G194)</f>
        <v>45374</v>
      </c>
      <c r="M189" s="764">
        <f t="shared" si="18"/>
        <v>0</v>
      </c>
      <c r="N189" s="767">
        <f>IF('B5-Status cobranza'!AM196&lt;0,'B5-Status cobranza'!AM196,0)</f>
        <v>0</v>
      </c>
      <c r="O189" s="777">
        <f>IF('B5-Status cobranza'!AP196&lt;0,'B5-Status cobranza'!AP196,0)</f>
        <v>0</v>
      </c>
      <c r="P189" s="777">
        <f>IF('B5-Status cobranza'!AP196&gt;0,'B5-Status cobranza'!AP196,0)</f>
        <v>0</v>
      </c>
      <c r="Q189" s="767">
        <f>'B5-Status cobranza'!AV196</f>
        <v>0</v>
      </c>
      <c r="R189" s="764">
        <f t="shared" si="20"/>
        <v>1176700</v>
      </c>
      <c r="S189" s="764">
        <f>IF('B5-Status cobranza'!AL196&lt;0,'B5-Status cobranza'!AL196,0)</f>
        <v>0</v>
      </c>
      <c r="T189" s="764">
        <v>0</v>
      </c>
      <c r="U189" s="778">
        <f t="shared" si="19"/>
        <v>0</v>
      </c>
      <c r="V189" s="764">
        <f>IF('B5-Status cobranza'!AL196&gt;0,'B5-Status cobranza'!AL196,0)</f>
        <v>0</v>
      </c>
    </row>
    <row r="190" spans="1:22" ht="12" customHeight="1" x14ac:dyDescent="0.25">
      <c r="A190" s="763" t="str">
        <f>"Apto"&amp;'BOULEVARD 5'!B195</f>
        <v>Apto1102</v>
      </c>
      <c r="B190" s="763">
        <v>1</v>
      </c>
      <c r="C190" s="763" t="str">
        <f>IF('BOULEVARD 5'!A195="","Cliente normal",'BOULEVARD 5'!A195)</f>
        <v>Cliente normal</v>
      </c>
      <c r="D190" s="763" t="str">
        <f>IF('BOULEVARD 5'!E195="","No asignado",'BOULEVARD 5'!E195)</f>
        <v>Antonio Rada</v>
      </c>
      <c r="E190" s="763" t="str">
        <f>IF('BOULEVARD 5'!F195="","No asignado",'BOULEVARD 5'!F195)</f>
        <v>Luis Alberto Lopez Velasquez</v>
      </c>
      <c r="F190" s="764">
        <f>'BOULEVARD 5'!AT195</f>
        <v>112095</v>
      </c>
      <c r="G190" s="763" t="str">
        <f>'BOULEVARD 5'!BB195</f>
        <v>Cliente al día</v>
      </c>
      <c r="H190" s="764">
        <f>'BOULEVARD PPTO'!BC190</f>
        <v>115300</v>
      </c>
      <c r="I190" s="764">
        <f t="shared" si="16"/>
        <v>-3205</v>
      </c>
      <c r="J190" s="765" t="str">
        <f t="shared" si="17"/>
        <v>Enganche por pagar</v>
      </c>
      <c r="K190" s="764">
        <f>'BOULEVARD 5'!I195</f>
        <v>1152100</v>
      </c>
      <c r="L190" s="766">
        <f>IF('BOULEVARD 5'!G195="","",'BOULEVARD 5'!G195)</f>
        <v>45016</v>
      </c>
      <c r="M190" s="764">
        <f t="shared" si="18"/>
        <v>0</v>
      </c>
      <c r="N190" s="767">
        <f>IF('B5-Status cobranza'!AM197&lt;0,'B5-Status cobranza'!AM197,0)</f>
        <v>0</v>
      </c>
      <c r="O190" s="777">
        <f>IF('B5-Status cobranza'!AP197&lt;0,'B5-Status cobranza'!AP197,0)</f>
        <v>0</v>
      </c>
      <c r="P190" s="777">
        <f>IF('B5-Status cobranza'!AP197&gt;0,'B5-Status cobranza'!AP197,0)</f>
        <v>0</v>
      </c>
      <c r="Q190" s="767">
        <f>'B5-Status cobranza'!AV197</f>
        <v>0</v>
      </c>
      <c r="R190" s="764">
        <f t="shared" si="20"/>
        <v>1152100</v>
      </c>
      <c r="S190" s="764">
        <f>IF('B5-Status cobranza'!AL197&lt;0,'B5-Status cobranza'!AL197,0)</f>
        <v>0</v>
      </c>
      <c r="T190" s="764">
        <v>0</v>
      </c>
      <c r="U190" s="778">
        <f t="shared" si="19"/>
        <v>0</v>
      </c>
      <c r="V190" s="764">
        <f>IF('B5-Status cobranza'!AL197&gt;0,'B5-Status cobranza'!AL197,0)</f>
        <v>0</v>
      </c>
    </row>
    <row r="191" spans="1:22" ht="12" customHeight="1" x14ac:dyDescent="0.25">
      <c r="A191" s="763" t="str">
        <f>"Apto"&amp;'BOULEVARD 5'!B196</f>
        <v>Apto1103</v>
      </c>
      <c r="B191" s="763">
        <v>1</v>
      </c>
      <c r="C191" s="763" t="str">
        <f>IF('BOULEVARD 5'!A196="","Cliente normal",'BOULEVARD 5'!A196)</f>
        <v>Cliente normal</v>
      </c>
      <c r="D191" s="763" t="str">
        <f>IF('BOULEVARD 5'!E196="","No asignado",'BOULEVARD 5'!E196)</f>
        <v>Antonio Rada</v>
      </c>
      <c r="E191" s="763" t="str">
        <f>IF('BOULEVARD 5'!F196="","No asignado",'BOULEVARD 5'!F196)</f>
        <v xml:space="preserve"> Samuel Hiram Salazar Say</v>
      </c>
      <c r="F191" s="764">
        <f>'BOULEVARD 5'!AT196</f>
        <v>205200</v>
      </c>
      <c r="G191" s="763" t="str">
        <f>'BOULEVARD 5'!BB196</f>
        <v>Cliente Atrasado</v>
      </c>
      <c r="H191" s="764">
        <f>'BOULEVARD PPTO'!BC191</f>
        <v>180300</v>
      </c>
      <c r="I191" s="764">
        <f t="shared" si="16"/>
        <v>24900</v>
      </c>
      <c r="J191" s="765" t="str">
        <f t="shared" si="17"/>
        <v>Superavit de enganche</v>
      </c>
      <c r="K191" s="764">
        <f>'BOULEVARD 5'!I196</f>
        <v>901400</v>
      </c>
      <c r="L191" s="766">
        <f>IF('BOULEVARD 5'!G196="","",'BOULEVARD 5'!G196)</f>
        <v>45071</v>
      </c>
      <c r="M191" s="764">
        <f t="shared" si="18"/>
        <v>0</v>
      </c>
      <c r="N191" s="767">
        <f>IF('B5-Status cobranza'!AM198&lt;0,'B5-Status cobranza'!AM198,0)</f>
        <v>0</v>
      </c>
      <c r="O191" s="777">
        <f>IF('B5-Status cobranza'!AP198&lt;0,'B5-Status cobranza'!AP198,0)</f>
        <v>0</v>
      </c>
      <c r="P191" s="777">
        <f>IF('B5-Status cobranza'!AP198&gt;0,'B5-Status cobranza'!AP198,0)</f>
        <v>6225</v>
      </c>
      <c r="Q191" s="767">
        <f>'B5-Status cobranza'!AV198</f>
        <v>6225</v>
      </c>
      <c r="R191" s="764">
        <f t="shared" si="20"/>
        <v>901400</v>
      </c>
      <c r="S191" s="764">
        <f>IF('B5-Status cobranza'!AL198&lt;0,'B5-Status cobranza'!AL198,0)</f>
        <v>0</v>
      </c>
      <c r="T191" s="764">
        <v>0</v>
      </c>
      <c r="U191" s="778">
        <f t="shared" si="19"/>
        <v>0</v>
      </c>
      <c r="V191" s="764">
        <f>IF('B5-Status cobranza'!AL198&gt;0,'B5-Status cobranza'!AL198,0)</f>
        <v>0</v>
      </c>
    </row>
    <row r="192" spans="1:22" ht="12" customHeight="1" x14ac:dyDescent="0.25">
      <c r="A192" s="763" t="str">
        <f>"Apto"&amp;'BOULEVARD 5'!B197</f>
        <v>Apto1104</v>
      </c>
      <c r="B192" s="763">
        <v>1</v>
      </c>
      <c r="C192" s="763" t="str">
        <f>IF('BOULEVARD 5'!A197="","Cliente normal",'BOULEVARD 5'!A197)</f>
        <v>Cliente normal</v>
      </c>
      <c r="D192" s="763" t="str">
        <f>IF('BOULEVARD 5'!E197="","No asignado",'BOULEVARD 5'!E197)</f>
        <v>Antonio Rada</v>
      </c>
      <c r="E192" s="763" t="str">
        <f>IF('BOULEVARD 5'!F197="","No asignado",'BOULEVARD 5'!F197)</f>
        <v>Denisse Hortencia Alarcon Diaz</v>
      </c>
      <c r="F192" s="764">
        <f>'BOULEVARD 5'!AT197</f>
        <v>97313</v>
      </c>
      <c r="G192" s="763" t="str">
        <f>'BOULEVARD 5'!BB197</f>
        <v>Cliente Atrasado</v>
      </c>
      <c r="H192" s="764">
        <f>'BOULEVARD PPTO'!BC192</f>
        <v>88800</v>
      </c>
      <c r="I192" s="764">
        <f t="shared" si="16"/>
        <v>8513</v>
      </c>
      <c r="J192" s="765" t="str">
        <f t="shared" si="17"/>
        <v>Superavit de enganche</v>
      </c>
      <c r="K192" s="764">
        <f>'BOULEVARD 5'!I197</f>
        <v>887400</v>
      </c>
      <c r="L192" s="766">
        <f>IF('BOULEVARD 5'!G197="","",'BOULEVARD 5'!G197)</f>
        <v>45343</v>
      </c>
      <c r="M192" s="764">
        <f t="shared" si="18"/>
        <v>0</v>
      </c>
      <c r="N192" s="767">
        <f>IF('B5-Status cobranza'!AM199&lt;0,'B5-Status cobranza'!AM199,0)</f>
        <v>0</v>
      </c>
      <c r="O192" s="777">
        <f>IF('B5-Status cobranza'!AP199&lt;0,'B5-Status cobranza'!AP199,0)</f>
        <v>0</v>
      </c>
      <c r="P192" s="777">
        <f>IF('B5-Status cobranza'!AP199&gt;0,'B5-Status cobranza'!AP199,0)</f>
        <v>4260</v>
      </c>
      <c r="Q192" s="767">
        <f>'B5-Status cobranza'!AV199</f>
        <v>4253</v>
      </c>
      <c r="R192" s="764">
        <f t="shared" si="20"/>
        <v>887400</v>
      </c>
      <c r="S192" s="764">
        <f>IF('B5-Status cobranza'!AL199&lt;0,'B5-Status cobranza'!AL199,0)</f>
        <v>0</v>
      </c>
      <c r="T192" s="764">
        <v>0</v>
      </c>
      <c r="U192" s="778">
        <f t="shared" si="19"/>
        <v>0</v>
      </c>
      <c r="V192" s="764">
        <f>IF('B5-Status cobranza'!AL199&gt;0,'B5-Status cobranza'!AL199,0)</f>
        <v>7</v>
      </c>
    </row>
    <row r="193" spans="1:22" ht="12" customHeight="1" x14ac:dyDescent="0.25">
      <c r="A193" s="763" t="str">
        <f>"Apto"&amp;'BOULEVARD 5'!B198</f>
        <v>Apto1105</v>
      </c>
      <c r="B193" s="763">
        <v>1</v>
      </c>
      <c r="C193" s="763" t="str">
        <f>IF('BOULEVARD 5'!A198="","Cliente normal",'BOULEVARD 5'!A198)</f>
        <v>Cliente normal</v>
      </c>
      <c r="D193" s="763" t="str">
        <f>IF('BOULEVARD 5'!E198="","No asignado",'BOULEVARD 5'!E198)</f>
        <v>Brenda Búcaro</v>
      </c>
      <c r="E193" s="763" t="str">
        <f>IF('BOULEVARD 5'!F198="","No asignado",'BOULEVARD 5'!F198)</f>
        <v>Luis Pedro Escobedo De Cid</v>
      </c>
      <c r="F193" s="764">
        <f>'BOULEVARD 5'!AT198</f>
        <v>66000</v>
      </c>
      <c r="G193" s="763" t="str">
        <f>'BOULEVARD 5'!BB198</f>
        <v>Superávit de Enganche</v>
      </c>
      <c r="H193" s="764">
        <f>'BOULEVARD PPTO'!BC193</f>
        <v>65892.7</v>
      </c>
      <c r="I193" s="764">
        <f t="shared" si="16"/>
        <v>107.30000000000291</v>
      </c>
      <c r="J193" s="765" t="str">
        <f t="shared" si="17"/>
        <v>Superavit de enganche</v>
      </c>
      <c r="K193" s="764">
        <f>'BOULEVARD 5'!I198</f>
        <v>657892.69999999995</v>
      </c>
      <c r="L193" s="766">
        <f>IF('BOULEVARD 5'!G198="","",'BOULEVARD 5'!G198)</f>
        <v>45012</v>
      </c>
      <c r="M193" s="764">
        <f t="shared" si="18"/>
        <v>0</v>
      </c>
      <c r="N193" s="767">
        <f>IF('B5-Status cobranza'!AM200&lt;0,'B5-Status cobranza'!AM200,0)</f>
        <v>-1000</v>
      </c>
      <c r="O193" s="777">
        <f>IF('B5-Status cobranza'!AP200&lt;0,'B5-Status cobranza'!AP200,0)</f>
        <v>0</v>
      </c>
      <c r="P193" s="777">
        <f>IF('B5-Status cobranza'!AP200&gt;0,'B5-Status cobranza'!AP200,0)</f>
        <v>20000</v>
      </c>
      <c r="Q193" s="767">
        <f>'B5-Status cobranza'!AV200</f>
        <v>0</v>
      </c>
      <c r="R193" s="764">
        <f t="shared" si="20"/>
        <v>657892.69999999995</v>
      </c>
      <c r="S193" s="764">
        <f>IF('B5-Status cobranza'!AL200&lt;0,'B5-Status cobranza'!AL200,0)</f>
        <v>-1000</v>
      </c>
      <c r="T193" s="764">
        <v>0</v>
      </c>
      <c r="U193" s="778">
        <f t="shared" si="19"/>
        <v>0</v>
      </c>
      <c r="V193" s="764">
        <f>IF('B5-Status cobranza'!AL200&gt;0,'B5-Status cobranza'!AL200,0)</f>
        <v>0</v>
      </c>
    </row>
    <row r="194" spans="1:22" ht="12" customHeight="1" x14ac:dyDescent="0.25">
      <c r="A194" s="763" t="str">
        <f>"Apto"&amp;'BOULEVARD 5'!B199</f>
        <v>Apto1106</v>
      </c>
      <c r="B194" s="763">
        <v>1</v>
      </c>
      <c r="C194" s="763" t="str">
        <f>IF('BOULEVARD 5'!A199="","Cliente normal",'BOULEVARD 5'!A199)</f>
        <v>Cliente normal</v>
      </c>
      <c r="D194" s="763" t="str">
        <f>IF('BOULEVARD 5'!E199="","No asignado",'BOULEVARD 5'!E199)</f>
        <v>Antonio Rada</v>
      </c>
      <c r="E194" s="763" t="str">
        <f>IF('BOULEVARD 5'!F199="","No asignado",'BOULEVARD 5'!F199)</f>
        <v>Emerson Emanuel Menendez Rodas</v>
      </c>
      <c r="F194" s="764">
        <f>'BOULEVARD 5'!AT199</f>
        <v>66200</v>
      </c>
      <c r="G194" s="763" t="str">
        <f>'BOULEVARD 5'!BB199</f>
        <v>Cliente Atrasado</v>
      </c>
      <c r="H194" s="764">
        <f>'BOULEVARD PPTO'!BC194</f>
        <v>66200</v>
      </c>
      <c r="I194" s="764">
        <f t="shared" si="16"/>
        <v>0</v>
      </c>
      <c r="J194" s="765" t="str">
        <f t="shared" si="17"/>
        <v>Enganche por pagar</v>
      </c>
      <c r="K194" s="764">
        <f>'BOULEVARD 5'!I199</f>
        <v>661100</v>
      </c>
      <c r="L194" s="766">
        <f>IF('BOULEVARD 5'!G199="","",'BOULEVARD 5'!G199)</f>
        <v>45043</v>
      </c>
      <c r="M194" s="764">
        <f t="shared" si="18"/>
        <v>0</v>
      </c>
      <c r="N194" s="767">
        <f>IF('B5-Status cobranza'!AM201&lt;0,'B5-Status cobranza'!AM201,0)</f>
        <v>0</v>
      </c>
      <c r="O194" s="777">
        <f>IF('B5-Status cobranza'!AP201&lt;0,'B5-Status cobranza'!AP201,0)</f>
        <v>0</v>
      </c>
      <c r="P194" s="777">
        <f>IF('B5-Status cobranza'!AP201&gt;0,'B5-Status cobranza'!AP201,0)</f>
        <v>0</v>
      </c>
      <c r="Q194" s="767">
        <f>'B5-Status cobranza'!AV201</f>
        <v>0</v>
      </c>
      <c r="R194" s="764">
        <f t="shared" si="20"/>
        <v>661100</v>
      </c>
      <c r="S194" s="764">
        <f>IF('B5-Status cobranza'!AL201&lt;0,'B5-Status cobranza'!AL201,0)</f>
        <v>0</v>
      </c>
      <c r="T194" s="764">
        <v>0</v>
      </c>
      <c r="U194" s="778">
        <f t="shared" si="19"/>
        <v>0</v>
      </c>
      <c r="V194" s="764">
        <f>IF('B5-Status cobranza'!AL201&gt;0,'B5-Status cobranza'!AL201,0)</f>
        <v>0</v>
      </c>
    </row>
    <row r="195" spans="1:22" ht="12" customHeight="1" x14ac:dyDescent="0.25">
      <c r="A195" s="763" t="str">
        <f>"Apto"&amp;'BOULEVARD 5'!B200</f>
        <v>Apto1107</v>
      </c>
      <c r="B195" s="763">
        <v>1</v>
      </c>
      <c r="C195" s="763" t="str">
        <f>IF('BOULEVARD 5'!A200="","Cliente normal",'BOULEVARD 5'!A200)</f>
        <v>F&amp;F</v>
      </c>
      <c r="D195" s="763" t="s">
        <v>691</v>
      </c>
      <c r="E195" s="763" t="str">
        <f>IF('BOULEVARD 5'!F200="","No asignado",'BOULEVARD 5'!F200)</f>
        <v>International Coffee Industry, S.A</v>
      </c>
      <c r="F195" s="764">
        <f>'BOULEVARD 5'!AT200</f>
        <v>0</v>
      </c>
      <c r="G195" s="763" t="str">
        <f>'BOULEVARD 5'!BB200</f>
        <v>Cliente Atrasado</v>
      </c>
      <c r="H195" s="764">
        <f>'BOULEVARD PPTO'!BC195</f>
        <v>68520</v>
      </c>
      <c r="I195" s="764">
        <f t="shared" ref="I195:I258" si="21">F195-H195</f>
        <v>-68520</v>
      </c>
      <c r="J195" s="765" t="str">
        <f t="shared" ref="J195:J258" si="22">IF(I195&gt;0,"Superavit de enganche","Enganche por pagar")</f>
        <v>Enganche por pagar</v>
      </c>
      <c r="K195" s="764">
        <f>'BOULEVARD 5'!I200</f>
        <v>685200</v>
      </c>
      <c r="L195" s="766">
        <f>IF('BOULEVARD 5'!G200="","",'BOULEVARD 5'!G200)</f>
        <v>45300</v>
      </c>
      <c r="M195" s="764">
        <f t="shared" ref="M195:M258" si="23">IF(G195="Disponible",K195,0)</f>
        <v>0</v>
      </c>
      <c r="N195" s="767">
        <f>IF('B5-Status cobranza'!AM202&lt;0,'B5-Status cobranza'!AM202,0)</f>
        <v>0</v>
      </c>
      <c r="O195" s="777">
        <f>IF('B5-Status cobranza'!AP202&lt;0,'B5-Status cobranza'!AP202,0)</f>
        <v>0</v>
      </c>
      <c r="P195" s="777">
        <f>IF('B5-Status cobranza'!AP202&gt;0,'B5-Status cobranza'!AP202,0)</f>
        <v>0</v>
      </c>
      <c r="Q195" s="767">
        <f>'B5-Status cobranza'!AV202</f>
        <v>0</v>
      </c>
      <c r="R195" s="764">
        <f t="shared" si="20"/>
        <v>685200</v>
      </c>
      <c r="S195" s="764">
        <f>IF('B5-Status cobranza'!AL202&lt;0,'B5-Status cobranza'!AL202,0)</f>
        <v>0</v>
      </c>
      <c r="T195" s="764">
        <v>0</v>
      </c>
      <c r="U195" s="778">
        <f t="shared" ref="U195:U258" si="24">-T195/SUM($S$2:$S$299)</f>
        <v>0</v>
      </c>
      <c r="V195" s="764">
        <f>IF('B5-Status cobranza'!AL202&gt;0,'B5-Status cobranza'!AL202,0)</f>
        <v>0</v>
      </c>
    </row>
    <row r="196" spans="1:22" ht="12" customHeight="1" x14ac:dyDescent="0.25">
      <c r="A196" s="763" t="str">
        <f>"Apto"&amp;'BOULEVARD 5'!B201</f>
        <v>Apto1108</v>
      </c>
      <c r="B196" s="763">
        <v>1</v>
      </c>
      <c r="C196" s="763" t="str">
        <f>G196</f>
        <v>Cliente al día</v>
      </c>
      <c r="D196" s="763" t="str">
        <f>IF('BOULEVARD 5'!E201="","No asignado",'BOULEVARD 5'!E201)</f>
        <v>Brenda Búcaro</v>
      </c>
      <c r="E196" s="763" t="str">
        <f>IF('BOULEVARD 5'!F201="","No asignado",'BOULEVARD 5'!F201)</f>
        <v>Denis Orlando Coto Zelaya</v>
      </c>
      <c r="F196" s="764">
        <f>'BOULEVARD 5'!AT201</f>
        <v>50000</v>
      </c>
      <c r="G196" s="763" t="str">
        <f>'BOULEVARD 5'!BB201</f>
        <v>Cliente al día</v>
      </c>
      <c r="H196" s="764">
        <f>'BOULEVARD PPTO'!BC196</f>
        <v>0</v>
      </c>
      <c r="I196" s="764">
        <f t="shared" si="21"/>
        <v>50000</v>
      </c>
      <c r="J196" s="765" t="str">
        <f t="shared" si="22"/>
        <v>Superavit de enganche</v>
      </c>
      <c r="K196" s="764">
        <f>'BOULEVARD 5'!I201</f>
        <v>1100438.98</v>
      </c>
      <c r="L196" s="766">
        <f>IF('BOULEVARD 5'!G201="","",'BOULEVARD 5'!G201)</f>
        <v>45013</v>
      </c>
      <c r="M196" s="764">
        <f t="shared" si="23"/>
        <v>0</v>
      </c>
      <c r="N196" s="767">
        <f>IF('B5-Status cobranza'!AM203&lt;0,'B5-Status cobranza'!AM203,0)</f>
        <v>0</v>
      </c>
      <c r="O196" s="777">
        <f>IF('B5-Status cobranza'!AP203&lt;0,'B5-Status cobranza'!AP203,0)</f>
        <v>0</v>
      </c>
      <c r="P196" s="777">
        <f>IF('B5-Status cobranza'!AP203&gt;0,'B5-Status cobranza'!AP203,0)</f>
        <v>30000</v>
      </c>
      <c r="Q196" s="767">
        <f>'B5-Status cobranza'!AV203</f>
        <v>30000</v>
      </c>
      <c r="R196" s="764">
        <f t="shared" ref="R196:R259" si="25">IF(M196=0,K196,0)</f>
        <v>1100438.98</v>
      </c>
      <c r="S196" s="764">
        <f>IF('B5-Status cobranza'!AL203&lt;0,'B5-Status cobranza'!AL203,0)</f>
        <v>0</v>
      </c>
      <c r="T196" s="764">
        <v>0</v>
      </c>
      <c r="U196" s="778">
        <f t="shared" si="24"/>
        <v>0</v>
      </c>
      <c r="V196" s="764">
        <f>IF('B5-Status cobranza'!AL203&gt;0,'B5-Status cobranza'!AL203,0)</f>
        <v>0</v>
      </c>
    </row>
    <row r="197" spans="1:22" ht="12" customHeight="1" x14ac:dyDescent="0.25">
      <c r="A197" s="763" t="str">
        <f>"Apto"&amp;'BOULEVARD 5'!B202</f>
        <v>Apto1109</v>
      </c>
      <c r="B197" s="763">
        <v>1</v>
      </c>
      <c r="C197" s="763" t="str">
        <f>IF('BOULEVARD 5'!A202="","Cliente normal",'BOULEVARD 5'!A202)</f>
        <v>Cliente normal</v>
      </c>
      <c r="D197" s="763" t="str">
        <f>IF('BOULEVARD 5'!E202="","No asignado",'BOULEVARD 5'!E202)</f>
        <v>Antonio Rada</v>
      </c>
      <c r="E197" s="763" t="str">
        <f>IF('BOULEVARD 5'!F202="","No asignado",'BOULEVARD 5'!F202)</f>
        <v>Fausto Norberth Mendez Melgar</v>
      </c>
      <c r="F197" s="764">
        <f>'BOULEVARD 5'!AT202</f>
        <v>152178</v>
      </c>
      <c r="G197" s="763" t="str">
        <f>'BOULEVARD 5'!BB202</f>
        <v>Superávit de Enganche</v>
      </c>
      <c r="H197" s="764">
        <f>'BOULEVARD PPTO'!BC197</f>
        <v>118285.73</v>
      </c>
      <c r="I197" s="764">
        <f t="shared" si="21"/>
        <v>33892.270000000004</v>
      </c>
      <c r="J197" s="765" t="str">
        <f t="shared" si="22"/>
        <v>Superavit de enganche</v>
      </c>
      <c r="K197" s="764">
        <f>'BOULEVARD 5'!I202</f>
        <v>1182285.73</v>
      </c>
      <c r="L197" s="766">
        <f>IF('BOULEVARD 5'!G202="","",'BOULEVARD 5'!G202)</f>
        <v>45263</v>
      </c>
      <c r="M197" s="764">
        <f t="shared" si="23"/>
        <v>0</v>
      </c>
      <c r="N197" s="767">
        <f>IF('B5-Status cobranza'!AM204&lt;0,'B5-Status cobranza'!AM204,0)</f>
        <v>0</v>
      </c>
      <c r="O197" s="777">
        <f>IF('B5-Status cobranza'!AP204&lt;0,'B5-Status cobranza'!AP204,0)</f>
        <v>0</v>
      </c>
      <c r="P197" s="777">
        <f>IF('B5-Status cobranza'!AP204&gt;0,'B5-Status cobranza'!AP204,0)</f>
        <v>33892.270000000004</v>
      </c>
      <c r="Q197" s="767">
        <f>'B5-Status cobranza'!AV204</f>
        <v>0</v>
      </c>
      <c r="R197" s="764">
        <f t="shared" si="25"/>
        <v>1182285.73</v>
      </c>
      <c r="S197" s="764">
        <f>IF('B5-Status cobranza'!AL204&lt;0,'B5-Status cobranza'!AL204,0)</f>
        <v>-5365.73</v>
      </c>
      <c r="T197" s="764">
        <v>0</v>
      </c>
      <c r="U197" s="778">
        <f t="shared" si="24"/>
        <v>0</v>
      </c>
      <c r="V197" s="764">
        <f>IF('B5-Status cobranza'!AL204&gt;0,'B5-Status cobranza'!AL204,0)</f>
        <v>0</v>
      </c>
    </row>
    <row r="198" spans="1:22" ht="12" customHeight="1" x14ac:dyDescent="0.25">
      <c r="A198" s="763" t="str">
        <f>"Apto"&amp;'BOULEVARD 5'!B203</f>
        <v>Apto1110</v>
      </c>
      <c r="B198" s="763">
        <v>1</v>
      </c>
      <c r="C198" s="763" t="str">
        <f>IF('BOULEVARD 5'!A203="","Cliente normal",'BOULEVARD 5'!A203)</f>
        <v>Cliente normal</v>
      </c>
      <c r="D198" s="763" t="str">
        <f>IF('BOULEVARD 5'!E203="","No asignado",'BOULEVARD 5'!E203)</f>
        <v>Antonio Rada</v>
      </c>
      <c r="E198" s="763" t="str">
        <f>IF('BOULEVARD 5'!F203="","No asignado",'BOULEVARD 5'!F203)</f>
        <v>Juan Carlos Lantzendorffer Haas</v>
      </c>
      <c r="F198" s="764">
        <f>'BOULEVARD 5'!AT203</f>
        <v>116700</v>
      </c>
      <c r="G198" s="763" t="str">
        <f>'BOULEVARD 5'!BB203</f>
        <v>Cliente Atrasado</v>
      </c>
      <c r="H198" s="764">
        <f>'BOULEVARD PPTO'!BC198</f>
        <v>116700</v>
      </c>
      <c r="I198" s="764">
        <f t="shared" si="21"/>
        <v>0</v>
      </c>
      <c r="J198" s="765" t="str">
        <f t="shared" si="22"/>
        <v>Enganche por pagar</v>
      </c>
      <c r="K198" s="764">
        <f>'BOULEVARD 5'!I203</f>
        <v>1166200</v>
      </c>
      <c r="L198" s="766">
        <f>IF('BOULEVARD 5'!G203="","",'BOULEVARD 5'!G203)</f>
        <v>45143</v>
      </c>
      <c r="M198" s="764">
        <f t="shared" si="23"/>
        <v>0</v>
      </c>
      <c r="N198" s="767">
        <f>IF('B5-Status cobranza'!AM205&lt;0,'B5-Status cobranza'!AM205,0)</f>
        <v>0</v>
      </c>
      <c r="O198" s="777">
        <f>IF('B5-Status cobranza'!AP205&lt;0,'B5-Status cobranza'!AP205,0)</f>
        <v>0</v>
      </c>
      <c r="P198" s="777">
        <f>IF('B5-Status cobranza'!AP205&gt;0,'B5-Status cobranza'!AP205,0)</f>
        <v>0</v>
      </c>
      <c r="Q198" s="767">
        <f>'B5-Status cobranza'!AV205</f>
        <v>0</v>
      </c>
      <c r="R198" s="764">
        <f t="shared" si="25"/>
        <v>1166200</v>
      </c>
      <c r="S198" s="764">
        <f>IF('B5-Status cobranza'!AL205&lt;0,'B5-Status cobranza'!AL205,0)</f>
        <v>0</v>
      </c>
      <c r="T198" s="764">
        <v>0</v>
      </c>
      <c r="U198" s="778">
        <f t="shared" si="24"/>
        <v>0</v>
      </c>
      <c r="V198" s="764">
        <f>IF('B5-Status cobranza'!AL205&gt;0,'B5-Status cobranza'!AL205,0)</f>
        <v>3954</v>
      </c>
    </row>
    <row r="199" spans="1:22" ht="12" customHeight="1" x14ac:dyDescent="0.25">
      <c r="A199" s="763" t="str">
        <f>"Apto"&amp;'BOULEVARD 5'!B204</f>
        <v>Apto1111</v>
      </c>
      <c r="B199" s="763">
        <v>1</v>
      </c>
      <c r="C199" s="763" t="str">
        <f>IF('BOULEVARD 5'!A204="","Cliente normal",'BOULEVARD 5'!A204)</f>
        <v>Cliente normal</v>
      </c>
      <c r="D199" s="763" t="str">
        <f>IF('BOULEVARD 5'!E204="","No asignado",'BOULEVARD 5'!E204)</f>
        <v>Antonio Rada</v>
      </c>
      <c r="E199" s="763" t="str">
        <f>IF('BOULEVARD 5'!F204="","No asignado",'BOULEVARD 5'!F204)</f>
        <v>Erika Ruth Castro Juarez</v>
      </c>
      <c r="F199" s="764">
        <f>'BOULEVARD 5'!AT204</f>
        <v>119321</v>
      </c>
      <c r="G199" s="763" t="str">
        <f>'BOULEVARD 5'!BB204</f>
        <v>Cliente Atrasado</v>
      </c>
      <c r="H199" s="764">
        <f>'BOULEVARD PPTO'!BC199</f>
        <v>119402.5</v>
      </c>
      <c r="I199" s="764">
        <f t="shared" si="21"/>
        <v>-81.5</v>
      </c>
      <c r="J199" s="765" t="str">
        <f t="shared" si="22"/>
        <v>Enganche por pagar</v>
      </c>
      <c r="K199" s="764">
        <f>'BOULEVARD 5'!I204</f>
        <v>1193202.5</v>
      </c>
      <c r="L199" s="766">
        <f>IF('BOULEVARD 5'!G204="","",'BOULEVARD 5'!G204)</f>
        <v>45329</v>
      </c>
      <c r="M199" s="764">
        <f t="shared" si="23"/>
        <v>0</v>
      </c>
      <c r="N199" s="767">
        <f>IF('B5-Status cobranza'!AM206&lt;0,'B5-Status cobranza'!AM206,0)</f>
        <v>0</v>
      </c>
      <c r="O199" s="777">
        <f>IF('B5-Status cobranza'!AP206&lt;0,'B5-Status cobranza'!AP206,0)</f>
        <v>-81.5</v>
      </c>
      <c r="P199" s="777">
        <f>IF('B5-Status cobranza'!AP206&gt;0,'B5-Status cobranza'!AP206,0)</f>
        <v>0</v>
      </c>
      <c r="Q199" s="767">
        <f>'B5-Status cobranza'!AV206</f>
        <v>0</v>
      </c>
      <c r="R199" s="764">
        <f t="shared" si="25"/>
        <v>1193202.5</v>
      </c>
      <c r="S199" s="764">
        <f>IF('B5-Status cobranza'!AL206&lt;0,'B5-Status cobranza'!AL206,0)</f>
        <v>-9.5</v>
      </c>
      <c r="T199" s="764">
        <v>0</v>
      </c>
      <c r="U199" s="778">
        <f t="shared" si="24"/>
        <v>0</v>
      </c>
      <c r="V199" s="764">
        <f>IF('B5-Status cobranza'!AL206&gt;0,'B5-Status cobranza'!AL206,0)</f>
        <v>0</v>
      </c>
    </row>
    <row r="200" spans="1:22" ht="12" customHeight="1" x14ac:dyDescent="0.25">
      <c r="A200" s="763" t="str">
        <f>"Apto"&amp;'BOULEVARD 5'!B205</f>
        <v>Apto1112</v>
      </c>
      <c r="B200" s="763">
        <v>1</v>
      </c>
      <c r="C200" s="763" t="str">
        <f>IF('BOULEVARD 5'!A205="","Cliente normal",'BOULEVARD 5'!A205)</f>
        <v>Cliente normal</v>
      </c>
      <c r="D200" s="763" t="str">
        <f>IF('BOULEVARD 5'!E205="","No asignado",'BOULEVARD 5'!E205)</f>
        <v>Antonio Rada</v>
      </c>
      <c r="E200" s="763" t="str">
        <f>IF('BOULEVARD 5'!F205="","No asignado",'BOULEVARD 5'!F205)</f>
        <v>Grupo Sak Y Sak, S.A.</v>
      </c>
      <c r="F200" s="764">
        <f>'BOULEVARD 5'!AT205</f>
        <v>667836.72</v>
      </c>
      <c r="G200" s="763" t="str">
        <f>'BOULEVARD 5'!BB205</f>
        <v>Cliente Atrasado</v>
      </c>
      <c r="H200" s="764">
        <f>'BOULEVARD PPTO'!BC200</f>
        <v>690627.16999999993</v>
      </c>
      <c r="I200" s="764">
        <f t="shared" si="21"/>
        <v>-22790.449999999953</v>
      </c>
      <c r="J200" s="765" t="str">
        <f t="shared" si="22"/>
        <v>Enganche por pagar</v>
      </c>
      <c r="K200" s="764">
        <f>'BOULEVARD 5'!I205</f>
        <v>690627.17</v>
      </c>
      <c r="L200" s="766">
        <f>IF('BOULEVARD 5'!G205="","",'BOULEVARD 5'!G205)</f>
        <v>45083</v>
      </c>
      <c r="M200" s="764">
        <f t="shared" si="23"/>
        <v>0</v>
      </c>
      <c r="N200" s="767">
        <f>IF('B5-Status cobranza'!AM207&lt;0,'B5-Status cobranza'!AM207,0)</f>
        <v>0</v>
      </c>
      <c r="O200" s="777">
        <f>IF('B5-Status cobranza'!AP207&lt;0,'B5-Status cobranza'!AP207,0)</f>
        <v>-22790.45</v>
      </c>
      <c r="P200" s="777">
        <f>IF('B5-Status cobranza'!AP207&gt;0,'B5-Status cobranza'!AP207,0)</f>
        <v>0</v>
      </c>
      <c r="Q200" s="767">
        <f>'B5-Status cobranza'!AV207</f>
        <v>0</v>
      </c>
      <c r="R200" s="764">
        <f t="shared" si="25"/>
        <v>690627.17</v>
      </c>
      <c r="S200" s="764">
        <f>IF('B5-Status cobranza'!AL207&lt;0,'B5-Status cobranza'!AL207,0)</f>
        <v>0</v>
      </c>
      <c r="T200" s="764">
        <v>0</v>
      </c>
      <c r="U200" s="778">
        <f t="shared" si="24"/>
        <v>0</v>
      </c>
      <c r="V200" s="764">
        <f>IF('B5-Status cobranza'!AL207&gt;0,'B5-Status cobranza'!AL207,0)</f>
        <v>8.5499999999992724</v>
      </c>
    </row>
    <row r="201" spans="1:22" ht="12" customHeight="1" x14ac:dyDescent="0.25">
      <c r="A201" s="763" t="str">
        <f>"Apto"&amp;'BOULEVARD 5'!B206</f>
        <v>Apto1113</v>
      </c>
      <c r="B201" s="763">
        <v>1</v>
      </c>
      <c r="C201" s="763" t="str">
        <f>IF('BOULEVARD 5'!A206="","Cliente normal",'BOULEVARD 5'!A206)</f>
        <v>Cliente normal</v>
      </c>
      <c r="D201" s="763" t="str">
        <f>IF('BOULEVARD 5'!E206="","No asignado",'BOULEVARD 5'!E206)</f>
        <v>Jose Franco</v>
      </c>
      <c r="E201" s="763" t="str">
        <f>IF('BOULEVARD 5'!F206="","No asignado",'BOULEVARD 5'!F206)</f>
        <v>Marcas &amp; Secretos, S.A.</v>
      </c>
      <c r="F201" s="764">
        <f>'BOULEVARD 5'!AT206</f>
        <v>64639</v>
      </c>
      <c r="G201" s="763" t="str">
        <f>'BOULEVARD 5'!BB206</f>
        <v>Cliente Atrasado</v>
      </c>
      <c r="H201" s="764">
        <f>'BOULEVARD PPTO'!BC201</f>
        <v>64639</v>
      </c>
      <c r="I201" s="764">
        <f t="shared" si="21"/>
        <v>0</v>
      </c>
      <c r="J201" s="765" t="str">
        <f t="shared" si="22"/>
        <v>Enganche por pagar</v>
      </c>
      <c r="K201" s="764">
        <f>'BOULEVARD 5'!I206</f>
        <v>645639</v>
      </c>
      <c r="L201" s="766">
        <f>IF('BOULEVARD 5'!G206="","",'BOULEVARD 5'!G206)</f>
        <v>45021</v>
      </c>
      <c r="M201" s="764">
        <f t="shared" si="23"/>
        <v>0</v>
      </c>
      <c r="N201" s="767">
        <f>IF('B5-Status cobranza'!AM208&lt;0,'B5-Status cobranza'!AM208,0)</f>
        <v>0</v>
      </c>
      <c r="O201" s="777">
        <f>IF('B5-Status cobranza'!AP208&lt;0,'B5-Status cobranza'!AP208,0)</f>
        <v>0</v>
      </c>
      <c r="P201" s="777">
        <f>IF('B5-Status cobranza'!AP208&gt;0,'B5-Status cobranza'!AP208,0)</f>
        <v>0</v>
      </c>
      <c r="Q201" s="767">
        <f>'B5-Status cobranza'!AV208</f>
        <v>0</v>
      </c>
      <c r="R201" s="764">
        <f t="shared" si="25"/>
        <v>645639</v>
      </c>
      <c r="S201" s="764">
        <f>IF('B5-Status cobranza'!AL208&lt;0,'B5-Status cobranza'!AL208,0)</f>
        <v>0</v>
      </c>
      <c r="T201" s="764">
        <v>0</v>
      </c>
      <c r="U201" s="778">
        <f t="shared" si="24"/>
        <v>0</v>
      </c>
      <c r="V201" s="764">
        <f>IF('B5-Status cobranza'!AL208&gt;0,'B5-Status cobranza'!AL208,0)</f>
        <v>0</v>
      </c>
    </row>
    <row r="202" spans="1:22" ht="12" customHeight="1" x14ac:dyDescent="0.25">
      <c r="A202" s="763" t="str">
        <f>"Apto"&amp;'BOULEVARD 5'!B207</f>
        <v>Apto1114</v>
      </c>
      <c r="B202" s="763">
        <v>1</v>
      </c>
      <c r="C202" s="763" t="str">
        <f>IF('BOULEVARD 5'!A207="","Cliente normal",'BOULEVARD 5'!A207)</f>
        <v>Cliente normal</v>
      </c>
      <c r="D202" s="763" t="str">
        <f>IF('BOULEVARD 5'!E207="","No asignado",'BOULEVARD 5'!E207)</f>
        <v>Antonio Rada</v>
      </c>
      <c r="E202" s="763" t="str">
        <f>IF('BOULEVARD 5'!F207="","No asignado",'BOULEVARD 5'!F207)</f>
        <v>Clara Hilda Maria Falla Bianchi De Cruz-Gomar</v>
      </c>
      <c r="F202" s="764">
        <f>'BOULEVARD 5'!AT207</f>
        <v>61340</v>
      </c>
      <c r="G202" s="763" t="str">
        <f>'BOULEVARD 5'!BB207</f>
        <v>Cliente Atrasado</v>
      </c>
      <c r="H202" s="764">
        <f>'BOULEVARD PPTO'!BC202</f>
        <v>85354.52</v>
      </c>
      <c r="I202" s="764">
        <f t="shared" si="21"/>
        <v>-24014.520000000004</v>
      </c>
      <c r="J202" s="765" t="str">
        <f t="shared" si="22"/>
        <v>Enganche por pagar</v>
      </c>
      <c r="K202" s="764">
        <f>'BOULEVARD 5'!I207</f>
        <v>801793.67</v>
      </c>
      <c r="L202" s="766">
        <f>IF('BOULEVARD 5'!G207="","",'BOULEVARD 5'!G207)</f>
        <v>45440</v>
      </c>
      <c r="M202" s="764">
        <f t="shared" si="23"/>
        <v>0</v>
      </c>
      <c r="N202" s="767">
        <f>IF('B5-Status cobranza'!AM209&lt;0,'B5-Status cobranza'!AM209,0)</f>
        <v>-3684</v>
      </c>
      <c r="O202" s="777">
        <f>IF('B5-Status cobranza'!AP209&lt;0,'B5-Status cobranza'!AP209,0)</f>
        <v>-21156</v>
      </c>
      <c r="P202" s="777">
        <f>IF('B5-Status cobranza'!AP209&gt;0,'B5-Status cobranza'!AP209,0)</f>
        <v>0</v>
      </c>
      <c r="Q202" s="767">
        <f>'B5-Status cobranza'!AV209</f>
        <v>0</v>
      </c>
      <c r="R202" s="764">
        <f t="shared" si="25"/>
        <v>801793.67</v>
      </c>
      <c r="S202" s="764">
        <f>IF('B5-Status cobranza'!AL209&lt;0,'B5-Status cobranza'!AL209,0)</f>
        <v>0</v>
      </c>
      <c r="T202" s="764">
        <v>0</v>
      </c>
      <c r="U202" s="778">
        <f t="shared" si="24"/>
        <v>0</v>
      </c>
      <c r="V202" s="764">
        <f>IF('B5-Status cobranza'!AL209&gt;0,'B5-Status cobranza'!AL209,0)</f>
        <v>316</v>
      </c>
    </row>
    <row r="203" spans="1:22" ht="12" customHeight="1" x14ac:dyDescent="0.25">
      <c r="A203" s="763" t="str">
        <f>"Apto"&amp;'BOULEVARD 5'!B208</f>
        <v>Apto1115</v>
      </c>
      <c r="B203" s="763">
        <v>1</v>
      </c>
      <c r="C203" s="763" t="str">
        <f>IF('BOULEVARD 5'!A208="","Cliente normal",'BOULEVARD 5'!A208)</f>
        <v>Cliente normal</v>
      </c>
      <c r="D203" s="763" t="str">
        <f>IF('BOULEVARD 5'!E208="","No asignado",'BOULEVARD 5'!E208)</f>
        <v>Antonio Rada</v>
      </c>
      <c r="E203" s="763" t="str">
        <f>IF('BOULEVARD 5'!F208="","No asignado",'BOULEVARD 5'!F208)</f>
        <v>Eddy Francisco Mac-Intosh López</v>
      </c>
      <c r="F203" s="764">
        <f>'BOULEVARD 5'!AT208</f>
        <v>82225</v>
      </c>
      <c r="G203" s="763" t="str">
        <f>'BOULEVARD 5'!BB208</f>
        <v>Cliente al día</v>
      </c>
      <c r="H203" s="764">
        <f>'BOULEVARD PPTO'!BC203</f>
        <v>114330.2</v>
      </c>
      <c r="I203" s="764">
        <f t="shared" si="21"/>
        <v>-32105.199999999997</v>
      </c>
      <c r="J203" s="765" t="str">
        <f t="shared" si="22"/>
        <v>Enganche por pagar</v>
      </c>
      <c r="K203" s="764">
        <f>'BOULEVARD 5'!I208</f>
        <v>1142630.20477101</v>
      </c>
      <c r="L203" s="766">
        <f>IF('BOULEVARD 5'!G208="","",'BOULEVARD 5'!G208)</f>
        <v>45755</v>
      </c>
      <c r="M203" s="764">
        <f t="shared" si="23"/>
        <v>0</v>
      </c>
      <c r="N203" s="767">
        <f>IF('B5-Status cobranza'!AM210&lt;0,'B5-Status cobranza'!AM210,0)</f>
        <v>0</v>
      </c>
      <c r="O203" s="777">
        <f>IF('B5-Status cobranza'!AP210&lt;0,'B5-Status cobranza'!AP210,0)</f>
        <v>0</v>
      </c>
      <c r="P203" s="777">
        <f>IF('B5-Status cobranza'!AP210&gt;0,'B5-Status cobranza'!AP210,0)</f>
        <v>0</v>
      </c>
      <c r="Q203" s="767">
        <f>'B5-Status cobranza'!AV210</f>
        <v>0</v>
      </c>
      <c r="R203" s="764">
        <f t="shared" si="25"/>
        <v>1142630.20477101</v>
      </c>
      <c r="S203" s="764">
        <f>IF('B5-Status cobranza'!AL210&lt;0,'B5-Status cobranza'!AL210,0)</f>
        <v>0</v>
      </c>
      <c r="T203" s="764">
        <v>0</v>
      </c>
      <c r="U203" s="778">
        <f t="shared" si="24"/>
        <v>0</v>
      </c>
      <c r="V203" s="764">
        <f>IF('B5-Status cobranza'!AL210&gt;0,'B5-Status cobranza'!AL210,0)</f>
        <v>0</v>
      </c>
    </row>
    <row r="204" spans="1:22" ht="12" customHeight="1" x14ac:dyDescent="0.25">
      <c r="A204" s="763" t="str">
        <f>"Apto"&amp;'BOULEVARD 5'!B209</f>
        <v>Apto1116</v>
      </c>
      <c r="B204" s="763">
        <v>1</v>
      </c>
      <c r="C204" s="763" t="str">
        <f>IF('BOULEVARD 5'!A209="","Cliente normal",'BOULEVARD 5'!A209)</f>
        <v>Cliente normal</v>
      </c>
      <c r="D204" s="763" t="str">
        <f>IF('BOULEVARD 5'!E209="","No asignado",'BOULEVARD 5'!E209)</f>
        <v>Antonio Rada</v>
      </c>
      <c r="E204" s="763" t="str">
        <f>IF('BOULEVARD 5'!F209="","No asignado",'BOULEVARD 5'!F209)</f>
        <v>Francisco Javier Arriaza Reyes</v>
      </c>
      <c r="F204" s="764">
        <f>'BOULEVARD 5'!AT209</f>
        <v>66018</v>
      </c>
      <c r="G204" s="763" t="str">
        <f>'BOULEVARD 5'!BB209</f>
        <v>Cliente al día</v>
      </c>
      <c r="H204" s="764">
        <f>'BOULEVARD PPTO'!BC204</f>
        <v>88800</v>
      </c>
      <c r="I204" s="764">
        <f t="shared" si="21"/>
        <v>-22782</v>
      </c>
      <c r="J204" s="765" t="str">
        <f t="shared" si="22"/>
        <v>Enganche por pagar</v>
      </c>
      <c r="K204" s="764">
        <f>'BOULEVARD 5'!I209</f>
        <v>887400</v>
      </c>
      <c r="L204" s="766">
        <f>IF('BOULEVARD 5'!G209="","",'BOULEVARD 5'!G209)</f>
        <v>45337</v>
      </c>
      <c r="M204" s="764">
        <f t="shared" si="23"/>
        <v>0</v>
      </c>
      <c r="N204" s="767">
        <f>IF('B5-Status cobranza'!AM211&lt;0,'B5-Status cobranza'!AM211,0)</f>
        <v>0</v>
      </c>
      <c r="O204" s="777">
        <f>IF('B5-Status cobranza'!AP211&lt;0,'B5-Status cobranza'!AP211,0)</f>
        <v>0</v>
      </c>
      <c r="P204" s="777">
        <f>IF('B5-Status cobranza'!AP211&gt;0,'B5-Status cobranza'!AP211,0)</f>
        <v>0</v>
      </c>
      <c r="Q204" s="767">
        <f>'B5-Status cobranza'!AV211</f>
        <v>0</v>
      </c>
      <c r="R204" s="764">
        <f t="shared" si="25"/>
        <v>887400</v>
      </c>
      <c r="S204" s="764">
        <f>IF('B5-Status cobranza'!AL211&lt;0,'B5-Status cobranza'!AL211,0)</f>
        <v>0</v>
      </c>
      <c r="T204" s="764">
        <v>0</v>
      </c>
      <c r="U204" s="778">
        <f t="shared" si="24"/>
        <v>0</v>
      </c>
      <c r="V204" s="764">
        <f>IF('B5-Status cobranza'!AL211&gt;0,'B5-Status cobranza'!AL211,0)</f>
        <v>0</v>
      </c>
    </row>
    <row r="205" spans="1:22" ht="12" customHeight="1" x14ac:dyDescent="0.25">
      <c r="A205" s="763" t="str">
        <f>"Apto"&amp;'BOULEVARD 5'!B210</f>
        <v>Apto1117</v>
      </c>
      <c r="B205" s="763">
        <v>1</v>
      </c>
      <c r="C205" s="763" t="str">
        <f>IF('BOULEVARD 5'!A210="","Cliente normal",'BOULEVARD 5'!A210)</f>
        <v>Cliente normal</v>
      </c>
      <c r="D205" s="763" t="str">
        <f>IF('BOULEVARD 5'!E210="","No asignado",'BOULEVARD 5'!E210)</f>
        <v>Antonio Rada</v>
      </c>
      <c r="E205" s="763" t="str">
        <f>IF('BOULEVARD 5'!F210="","No asignado",'BOULEVARD 5'!F210)</f>
        <v>Jerson Leonel Chavez Martinez</v>
      </c>
      <c r="F205" s="764">
        <f>'BOULEVARD 5'!AT210</f>
        <v>116934.22</v>
      </c>
      <c r="G205" s="763" t="str">
        <f>'BOULEVARD 5'!BB210</f>
        <v>Cliente Atrasado</v>
      </c>
      <c r="H205" s="764">
        <f>'BOULEVARD PPTO'!BC205</f>
        <v>116634.22</v>
      </c>
      <c r="I205" s="764">
        <f t="shared" si="21"/>
        <v>300</v>
      </c>
      <c r="J205" s="765" t="str">
        <f t="shared" si="22"/>
        <v>Superavit de enganche</v>
      </c>
      <c r="K205" s="764">
        <f>'BOULEVARD 5'!I210</f>
        <v>1165934.22</v>
      </c>
      <c r="L205" s="766">
        <f>IF('BOULEVARD 5'!G210="","",'BOULEVARD 5'!G210)</f>
        <v>45274</v>
      </c>
      <c r="M205" s="764">
        <f t="shared" si="23"/>
        <v>0</v>
      </c>
      <c r="N205" s="767">
        <f>IF('B5-Status cobranza'!AM212&lt;0,'B5-Status cobranza'!AM212,0)</f>
        <v>0</v>
      </c>
      <c r="O205" s="777">
        <f>IF('B5-Status cobranza'!AP212&lt;0,'B5-Status cobranza'!AP212,0)</f>
        <v>0</v>
      </c>
      <c r="P205" s="777">
        <f>IF('B5-Status cobranza'!AP212&gt;0,'B5-Status cobranza'!AP212,0)</f>
        <v>299.99999999999977</v>
      </c>
      <c r="Q205" s="767">
        <f>'B5-Status cobranza'!AV212</f>
        <v>302.22000000000003</v>
      </c>
      <c r="R205" s="764">
        <f t="shared" si="25"/>
        <v>1165934.22</v>
      </c>
      <c r="S205" s="764">
        <f>IF('B5-Status cobranza'!AL212&lt;0,'B5-Status cobranza'!AL212,0)</f>
        <v>-2.2200000000002547</v>
      </c>
      <c r="T205" s="764">
        <v>0</v>
      </c>
      <c r="U205" s="778">
        <f t="shared" si="24"/>
        <v>0</v>
      </c>
      <c r="V205" s="764">
        <f>IF('B5-Status cobranza'!AL212&gt;0,'B5-Status cobranza'!AL212,0)</f>
        <v>0</v>
      </c>
    </row>
    <row r="206" spans="1:22" ht="12" customHeight="1" x14ac:dyDescent="0.25">
      <c r="A206" s="763" t="str">
        <f>"Apto"&amp;'BOULEVARD 5'!B211</f>
        <v>Apto1118</v>
      </c>
      <c r="B206" s="763">
        <v>1</v>
      </c>
      <c r="C206" s="763" t="str">
        <f>IF('BOULEVARD 5'!A211="","Cliente normal",'BOULEVARD 5'!A211)</f>
        <v>Cliente normal</v>
      </c>
      <c r="D206" s="763" t="str">
        <f>IF('BOULEVARD 5'!E211="","No asignado",'BOULEVARD 5'!E211)</f>
        <v>Antonio Rada</v>
      </c>
      <c r="E206" s="763" t="str">
        <f>IF('BOULEVARD 5'!F211="","No asignado",'BOULEVARD 5'!F211)</f>
        <v>José Raúl Velasco Ferrigno</v>
      </c>
      <c r="F206" s="764">
        <f>'BOULEVARD 5'!AT211</f>
        <v>116634.22</v>
      </c>
      <c r="G206" s="763" t="str">
        <f>'BOULEVARD 5'!BB211</f>
        <v>Cliente Atrasado</v>
      </c>
      <c r="H206" s="764">
        <f>'BOULEVARD PPTO'!BC206</f>
        <v>118100</v>
      </c>
      <c r="I206" s="764">
        <f t="shared" si="21"/>
        <v>-1465.7799999999988</v>
      </c>
      <c r="J206" s="765" t="str">
        <f t="shared" si="22"/>
        <v>Enganche por pagar</v>
      </c>
      <c r="K206" s="764">
        <f>'BOULEVARD 5'!I211</f>
        <v>1181000</v>
      </c>
      <c r="L206" s="766">
        <f>IF('BOULEVARD 5'!G211="","",'BOULEVARD 5'!G211)</f>
        <v>45463</v>
      </c>
      <c r="M206" s="764">
        <f t="shared" si="23"/>
        <v>0</v>
      </c>
      <c r="N206" s="767">
        <f>IF('B5-Status cobranza'!AM213&lt;0,'B5-Status cobranza'!AM213,0)</f>
        <v>0</v>
      </c>
      <c r="O206" s="777">
        <f>IF('B5-Status cobranza'!AP213&lt;0,'B5-Status cobranza'!AP213,0)</f>
        <v>0</v>
      </c>
      <c r="P206" s="777">
        <f>IF('B5-Status cobranza'!AP213&gt;0,'B5-Status cobranza'!AP213,0)</f>
        <v>0</v>
      </c>
      <c r="Q206" s="767">
        <f>'B5-Status cobranza'!AV213</f>
        <v>0</v>
      </c>
      <c r="R206" s="764">
        <f t="shared" si="25"/>
        <v>1181000</v>
      </c>
      <c r="S206" s="764">
        <f>IF('B5-Status cobranza'!AL213&lt;0,'B5-Status cobranza'!AL213,0)</f>
        <v>0</v>
      </c>
      <c r="T206" s="764">
        <v>0</v>
      </c>
      <c r="U206" s="778">
        <f t="shared" si="24"/>
        <v>0</v>
      </c>
      <c r="V206" s="764">
        <f>IF('B5-Status cobranza'!AL213&gt;0,'B5-Status cobranza'!AL213,0)</f>
        <v>0</v>
      </c>
    </row>
    <row r="207" spans="1:22" ht="12" customHeight="1" x14ac:dyDescent="0.25">
      <c r="A207" s="763" t="str">
        <f>"Apto"&amp;'BOULEVARD 5'!B212</f>
        <v>Apto1201</v>
      </c>
      <c r="B207" s="763">
        <v>1</v>
      </c>
      <c r="C207" s="763" t="str">
        <f>IF('BOULEVARD 5'!A212="","Cliente normal",'BOULEVARD 5'!A212)</f>
        <v>Cliente normal</v>
      </c>
      <c r="D207" s="763" t="str">
        <f>IF('BOULEVARD 5'!E212="","No asignado",'BOULEVARD 5'!E212)</f>
        <v>Antonio Rada</v>
      </c>
      <c r="E207" s="763" t="str">
        <f>IF('BOULEVARD 5'!F212="","No asignado",'BOULEVARD 5'!F212)</f>
        <v>Rogelio Alejandro Ochoa Hernandez</v>
      </c>
      <c r="F207" s="764">
        <f>'BOULEVARD 5'!AT212</f>
        <v>101000</v>
      </c>
      <c r="G207" s="763" t="str">
        <f>'BOULEVARD 5'!BB212</f>
        <v>Cliente Atrasado</v>
      </c>
      <c r="H207" s="764">
        <f>'BOULEVARD PPTO'!BC207</f>
        <v>125400</v>
      </c>
      <c r="I207" s="764">
        <f t="shared" si="21"/>
        <v>-24400</v>
      </c>
      <c r="J207" s="765" t="str">
        <f t="shared" si="22"/>
        <v>Enganche por pagar</v>
      </c>
      <c r="K207" s="764">
        <f>'BOULEVARD 5'!I212</f>
        <v>1253700</v>
      </c>
      <c r="L207" s="766">
        <f>IF('BOULEVARD 5'!G212="","",'BOULEVARD 5'!G212)</f>
        <v>45461</v>
      </c>
      <c r="M207" s="764">
        <f t="shared" si="23"/>
        <v>0</v>
      </c>
      <c r="N207" s="767">
        <f>IF('B5-Status cobranza'!AM214&lt;0,'B5-Status cobranza'!AM214,0)</f>
        <v>-6411</v>
      </c>
      <c r="O207" s="777">
        <f>IF('B5-Status cobranza'!AP214&lt;0,'B5-Status cobranza'!AP214,0)</f>
        <v>-11576</v>
      </c>
      <c r="P207" s="777">
        <f>IF('B5-Status cobranza'!AP214&gt;0,'B5-Status cobranza'!AP214,0)</f>
        <v>0</v>
      </c>
      <c r="Q207" s="767">
        <f>'B5-Status cobranza'!AV214</f>
        <v>0</v>
      </c>
      <c r="R207" s="764">
        <f t="shared" si="25"/>
        <v>1253700</v>
      </c>
      <c r="S207" s="764">
        <f>IF('B5-Status cobranza'!AL214&lt;0,'B5-Status cobranza'!AL214,0)</f>
        <v>0</v>
      </c>
      <c r="T207" s="764">
        <v>0</v>
      </c>
      <c r="U207" s="778">
        <f t="shared" si="24"/>
        <v>0</v>
      </c>
      <c r="V207" s="764">
        <f>IF('B5-Status cobranza'!AL214&gt;0,'B5-Status cobranza'!AL214,0)</f>
        <v>89</v>
      </c>
    </row>
    <row r="208" spans="1:22" ht="12" customHeight="1" x14ac:dyDescent="0.25">
      <c r="A208" s="763" t="str">
        <f>"Apto"&amp;'BOULEVARD 5'!B213</f>
        <v>Apto1202</v>
      </c>
      <c r="B208" s="763">
        <v>1</v>
      </c>
      <c r="C208" s="763" t="str">
        <f>IF('BOULEVARD 5'!A213="","Cliente normal",'BOULEVARD 5'!A213)</f>
        <v>Cliente normal</v>
      </c>
      <c r="D208" s="763" t="str">
        <f>IF('BOULEVARD 5'!E213="","No asignado",'BOULEVARD 5'!E213)</f>
        <v>Antonio Rada</v>
      </c>
      <c r="E208" s="763" t="str">
        <f>IF('BOULEVARD 5'!F213="","No asignado",'BOULEVARD 5'!F213)</f>
        <v>Edwin Steven Quiroa Sitamul</v>
      </c>
      <c r="F208" s="764">
        <f>'BOULEVARD 5'!AT213</f>
        <v>126600</v>
      </c>
      <c r="G208" s="763" t="str">
        <f>'BOULEVARD 5'!BB213</f>
        <v>Cliente Atrasado</v>
      </c>
      <c r="H208" s="764">
        <f>'BOULEVARD PPTO'!BC208</f>
        <v>126600</v>
      </c>
      <c r="I208" s="764">
        <f t="shared" si="21"/>
        <v>0</v>
      </c>
      <c r="J208" s="765" t="str">
        <f t="shared" si="22"/>
        <v>Enganche por pagar</v>
      </c>
      <c r="K208" s="764">
        <f>'BOULEVARD 5'!I213</f>
        <v>1265500</v>
      </c>
      <c r="L208" s="766">
        <f>IF('BOULEVARD 5'!G213="","",'BOULEVARD 5'!G213)</f>
        <v>45350</v>
      </c>
      <c r="M208" s="764">
        <f t="shared" si="23"/>
        <v>0</v>
      </c>
      <c r="N208" s="767">
        <f>IF('B5-Status cobranza'!AM215&lt;0,'B5-Status cobranza'!AM215,0)</f>
        <v>0</v>
      </c>
      <c r="O208" s="777">
        <f>IF('B5-Status cobranza'!AP215&lt;0,'B5-Status cobranza'!AP215,0)</f>
        <v>0</v>
      </c>
      <c r="P208" s="777">
        <f>IF('B5-Status cobranza'!AP215&gt;0,'B5-Status cobranza'!AP215,0)</f>
        <v>0</v>
      </c>
      <c r="Q208" s="767">
        <f>'B5-Status cobranza'!AV215</f>
        <v>0</v>
      </c>
      <c r="R208" s="764">
        <f t="shared" si="25"/>
        <v>1265500</v>
      </c>
      <c r="S208" s="764">
        <f>IF('B5-Status cobranza'!AL215&lt;0,'B5-Status cobranza'!AL215,0)</f>
        <v>0</v>
      </c>
      <c r="T208" s="764">
        <v>0</v>
      </c>
      <c r="U208" s="778">
        <f t="shared" si="24"/>
        <v>0</v>
      </c>
      <c r="V208" s="764">
        <f>IF('B5-Status cobranza'!AL215&gt;0,'B5-Status cobranza'!AL215,0)</f>
        <v>0</v>
      </c>
    </row>
    <row r="209" spans="1:22" ht="12" customHeight="1" x14ac:dyDescent="0.25">
      <c r="A209" s="763" t="str">
        <f>"Apto"&amp;'BOULEVARD 5'!B214</f>
        <v>Apto1203</v>
      </c>
      <c r="B209" s="763">
        <v>1</v>
      </c>
      <c r="C209" s="763" t="str">
        <f>IF('BOULEVARD 5'!A214="","Cliente normal",'BOULEVARD 5'!A214)</f>
        <v>Cliente normal</v>
      </c>
      <c r="D209" s="763" t="str">
        <f>IF('BOULEVARD 5'!E214="","No asignado",'BOULEVARD 5'!E214)</f>
        <v>Antonio Rada</v>
      </c>
      <c r="E209" s="763" t="str">
        <f>IF('BOULEVARD 5'!F214="","No asignado",'BOULEVARD 5'!F214)</f>
        <v>Allan Vinicio Velásquez León</v>
      </c>
      <c r="F209" s="764">
        <f>'BOULEVARD 5'!AT214</f>
        <v>90380</v>
      </c>
      <c r="G209" s="763" t="str">
        <f>'BOULEVARD 5'!BB214</f>
        <v>Cliente Atrasado</v>
      </c>
      <c r="H209" s="764">
        <f>'BOULEVARD PPTO'!BC209</f>
        <v>90200</v>
      </c>
      <c r="I209" s="764">
        <f t="shared" si="21"/>
        <v>180</v>
      </c>
      <c r="J209" s="765" t="str">
        <f t="shared" si="22"/>
        <v>Superavit de enganche</v>
      </c>
      <c r="K209" s="764">
        <f>'BOULEVARD 5'!I214</f>
        <v>901400</v>
      </c>
      <c r="L209" s="766">
        <f>IF('BOULEVARD 5'!G214="","",'BOULEVARD 5'!G214)</f>
        <v>45165</v>
      </c>
      <c r="M209" s="764">
        <f t="shared" si="23"/>
        <v>0</v>
      </c>
      <c r="N209" s="767">
        <f>IF('B5-Status cobranza'!AM216&lt;0,'B5-Status cobranza'!AM216,0)</f>
        <v>0</v>
      </c>
      <c r="O209" s="777">
        <f>IF('B5-Status cobranza'!AP216&lt;0,'B5-Status cobranza'!AP216,0)</f>
        <v>0</v>
      </c>
      <c r="P209" s="777">
        <f>IF('B5-Status cobranza'!AP216&gt;0,'B5-Status cobranza'!AP216,0)</f>
        <v>90</v>
      </c>
      <c r="Q209" s="767">
        <f>'B5-Status cobranza'!AV216</f>
        <v>0</v>
      </c>
      <c r="R209" s="764">
        <f t="shared" si="25"/>
        <v>901400</v>
      </c>
      <c r="S209" s="764">
        <f>IF('B5-Status cobranza'!AL216&lt;0,'B5-Status cobranza'!AL216,0)</f>
        <v>0</v>
      </c>
      <c r="T209" s="764">
        <v>0</v>
      </c>
      <c r="U209" s="778">
        <f t="shared" si="24"/>
        <v>0</v>
      </c>
      <c r="V209" s="764">
        <f>IF('B5-Status cobranza'!AL216&gt;0,'B5-Status cobranza'!AL216,0)</f>
        <v>1062</v>
      </c>
    </row>
    <row r="210" spans="1:22" ht="12" customHeight="1" x14ac:dyDescent="0.25">
      <c r="A210" s="763" t="str">
        <f>"Apto"&amp;'BOULEVARD 5'!B215</f>
        <v>Apto1204</v>
      </c>
      <c r="B210" s="763">
        <v>1</v>
      </c>
      <c r="C210" s="763" t="str">
        <f>IF('BOULEVARD 5'!A215="","Cliente normal",'BOULEVARD 5'!A215)</f>
        <v>Cliente normal</v>
      </c>
      <c r="D210" s="763" t="str">
        <f>IF('BOULEVARD 5'!E215="","No asignado",'BOULEVARD 5'!E215)</f>
        <v>Antonio Rada</v>
      </c>
      <c r="E210" s="763" t="str">
        <f>IF('BOULEVARD 5'!F215="","No asignado",'BOULEVARD 5'!F215)</f>
        <v>Josselin Alejandra Turcios Orantes</v>
      </c>
      <c r="F210" s="764">
        <f>'BOULEVARD 5'!AT215</f>
        <v>88800</v>
      </c>
      <c r="G210" s="763" t="str">
        <f>'BOULEVARD 5'!BB215</f>
        <v>Cliente Atrasado</v>
      </c>
      <c r="H210" s="764">
        <f>'BOULEVARD PPTO'!BC210</f>
        <v>88800</v>
      </c>
      <c r="I210" s="764">
        <f t="shared" si="21"/>
        <v>0</v>
      </c>
      <c r="J210" s="765" t="str">
        <f t="shared" si="22"/>
        <v>Enganche por pagar</v>
      </c>
      <c r="K210" s="764">
        <f>'BOULEVARD 5'!I215</f>
        <v>887400</v>
      </c>
      <c r="L210" s="766">
        <f>IF('BOULEVARD 5'!G215="","",'BOULEVARD 5'!G215)</f>
        <v>45336</v>
      </c>
      <c r="M210" s="764">
        <f t="shared" si="23"/>
        <v>0</v>
      </c>
      <c r="N210" s="767">
        <f>IF('B5-Status cobranza'!AM217&lt;0,'B5-Status cobranza'!AM217,0)</f>
        <v>0</v>
      </c>
      <c r="O210" s="777">
        <f>IF('B5-Status cobranza'!AP217&lt;0,'B5-Status cobranza'!AP217,0)</f>
        <v>0</v>
      </c>
      <c r="P210" s="777">
        <f>IF('B5-Status cobranza'!AP217&gt;0,'B5-Status cobranza'!AP217,0)</f>
        <v>0</v>
      </c>
      <c r="Q210" s="767">
        <f>'B5-Status cobranza'!AV217</f>
        <v>0</v>
      </c>
      <c r="R210" s="764">
        <f t="shared" si="25"/>
        <v>887400</v>
      </c>
      <c r="S210" s="764">
        <f>IF('B5-Status cobranza'!AL217&lt;0,'B5-Status cobranza'!AL217,0)</f>
        <v>0</v>
      </c>
      <c r="T210" s="764">
        <v>0</v>
      </c>
      <c r="U210" s="778">
        <f t="shared" si="24"/>
        <v>0</v>
      </c>
      <c r="V210" s="764">
        <f>IF('B5-Status cobranza'!AL217&gt;0,'B5-Status cobranza'!AL217,0)</f>
        <v>0</v>
      </c>
    </row>
    <row r="211" spans="1:22" ht="12" customHeight="1" x14ac:dyDescent="0.25">
      <c r="A211" s="763" t="str">
        <f>"Apto"&amp;'BOULEVARD 5'!B216</f>
        <v>Apto1205</v>
      </c>
      <c r="B211" s="763">
        <v>1</v>
      </c>
      <c r="C211" s="763" t="str">
        <f>IF('BOULEVARD 5'!A216="","Cliente normal",'BOULEVARD 5'!A216)</f>
        <v>Cliente normal</v>
      </c>
      <c r="D211" s="763" t="str">
        <f>IF('BOULEVARD 5'!E216="","No asignado",'BOULEVARD 5'!E216)</f>
        <v>Antonio Rada</v>
      </c>
      <c r="E211" s="763" t="str">
        <f>IF('BOULEVARD 5'!F216="","No asignado",'BOULEVARD 5'!F216)</f>
        <v>Andrea Nicole Mansilla Fuentes</v>
      </c>
      <c r="F211" s="764">
        <f>'BOULEVARD 5'!AT216</f>
        <v>58366</v>
      </c>
      <c r="G211" s="763" t="str">
        <f>'BOULEVARD 5'!BB216</f>
        <v>Cliente Atrasado</v>
      </c>
      <c r="H211" s="764">
        <f>'BOULEVARD PPTO'!BC211</f>
        <v>66400</v>
      </c>
      <c r="I211" s="764">
        <f t="shared" si="21"/>
        <v>-8034</v>
      </c>
      <c r="J211" s="765" t="str">
        <f t="shared" si="22"/>
        <v>Enganche por pagar</v>
      </c>
      <c r="K211" s="764">
        <f>'BOULEVARD 5'!I216</f>
        <v>663200</v>
      </c>
      <c r="L211" s="766">
        <f>IF('BOULEVARD 5'!G216="","",'BOULEVARD 5'!G216)</f>
        <v>45010</v>
      </c>
      <c r="M211" s="764">
        <f t="shared" si="23"/>
        <v>0</v>
      </c>
      <c r="N211" s="767">
        <f>IF('B5-Status cobranza'!AM218&lt;0,'B5-Status cobranza'!AM218,0)</f>
        <v>-1726</v>
      </c>
      <c r="O211" s="777">
        <f>IF('B5-Status cobranza'!AP218&lt;0,'B5-Status cobranza'!AP218,0)</f>
        <v>-2940</v>
      </c>
      <c r="P211" s="777">
        <f>IF('B5-Status cobranza'!AP218&gt;0,'B5-Status cobranza'!AP218,0)</f>
        <v>0</v>
      </c>
      <c r="Q211" s="767">
        <f>'B5-Status cobranza'!AV218</f>
        <v>0</v>
      </c>
      <c r="R211" s="764">
        <f t="shared" si="25"/>
        <v>663200</v>
      </c>
      <c r="S211" s="764">
        <f>IF('B5-Status cobranza'!AL218&lt;0,'B5-Status cobranza'!AL218,0)</f>
        <v>0</v>
      </c>
      <c r="T211" s="764">
        <v>0</v>
      </c>
      <c r="U211" s="778">
        <f t="shared" si="24"/>
        <v>0</v>
      </c>
      <c r="V211" s="764">
        <f>IF('B5-Status cobranza'!AL218&gt;0,'B5-Status cobranza'!AL218,0)</f>
        <v>1874</v>
      </c>
    </row>
    <row r="212" spans="1:22" ht="12" customHeight="1" x14ac:dyDescent="0.25">
      <c r="A212" s="763" t="str">
        <f>"Apto"&amp;'BOULEVARD 5'!B217</f>
        <v>Apto1206</v>
      </c>
      <c r="B212" s="763">
        <v>1</v>
      </c>
      <c r="C212" s="763" t="str">
        <f>IF('BOULEVARD 5'!A217="","Cliente normal",'BOULEVARD 5'!A217)</f>
        <v>Cliente normal</v>
      </c>
      <c r="D212" s="763" t="str">
        <f>IF('BOULEVARD 5'!E217="","No asignado",'BOULEVARD 5'!E217)</f>
        <v>Jose Franco</v>
      </c>
      <c r="E212" s="763" t="str">
        <f>IF('BOULEVARD 5'!F217="","No asignado",'BOULEVARD 5'!F217)</f>
        <v>Juan José Silva Pacheco</v>
      </c>
      <c r="F212" s="764">
        <f>'BOULEVARD 5'!AT217</f>
        <v>66864.490000000005</v>
      </c>
      <c r="G212" s="763" t="str">
        <f>'BOULEVARD 5'!BB217</f>
        <v>Cliente Atrasado</v>
      </c>
      <c r="H212" s="764">
        <f>'BOULEVARD PPTO'!BC212</f>
        <v>69118.490000000005</v>
      </c>
      <c r="I212" s="764">
        <f t="shared" si="21"/>
        <v>-2254</v>
      </c>
      <c r="J212" s="765" t="str">
        <f t="shared" si="22"/>
        <v>Enganche por pagar</v>
      </c>
      <c r="K212" s="764">
        <f>'BOULEVARD 5'!I217</f>
        <v>691118.49</v>
      </c>
      <c r="L212" s="766">
        <f>IF('BOULEVARD 5'!G217="","",'BOULEVARD 5'!G217)</f>
        <v>45062</v>
      </c>
      <c r="M212" s="764">
        <f t="shared" si="23"/>
        <v>0</v>
      </c>
      <c r="N212" s="767">
        <f>IF('B5-Status cobranza'!AM219&lt;0,'B5-Status cobranza'!AM219,0)</f>
        <v>0</v>
      </c>
      <c r="O212" s="777">
        <f>IF('B5-Status cobranza'!AP219&lt;0,'B5-Status cobranza'!AP219,0)</f>
        <v>-2254</v>
      </c>
      <c r="P212" s="777">
        <f>IF('B5-Status cobranza'!AP219&gt;0,'B5-Status cobranza'!AP219,0)</f>
        <v>0</v>
      </c>
      <c r="Q212" s="767">
        <f>'B5-Status cobranza'!AV219</f>
        <v>0</v>
      </c>
      <c r="R212" s="764">
        <f t="shared" si="25"/>
        <v>691118.49</v>
      </c>
      <c r="S212" s="764">
        <f>IF('B5-Status cobranza'!AL219&lt;0,'B5-Status cobranza'!AL219,0)</f>
        <v>0</v>
      </c>
      <c r="T212" s="764">
        <v>0</v>
      </c>
      <c r="U212" s="778">
        <f t="shared" si="24"/>
        <v>0</v>
      </c>
      <c r="V212" s="764">
        <f>IF('B5-Status cobranza'!AL219&gt;0,'B5-Status cobranza'!AL219,0)</f>
        <v>0</v>
      </c>
    </row>
    <row r="213" spans="1:22" ht="12" customHeight="1" x14ac:dyDescent="0.25">
      <c r="A213" s="763" t="str">
        <f>"Apto"&amp;'BOULEVARD 5'!B218</f>
        <v>Apto1207</v>
      </c>
      <c r="B213" s="763">
        <v>1</v>
      </c>
      <c r="C213" s="763" t="str">
        <f>IF('BOULEVARD 5'!A218="","Cliente normal",'BOULEVARD 5'!A218)</f>
        <v>F&amp;F</v>
      </c>
      <c r="D213" s="763" t="str">
        <f>IF('BOULEVARD 5'!E218="","No asignado",'BOULEVARD 5'!E218)</f>
        <v>Jose Franco</v>
      </c>
      <c r="E213" s="763" t="str">
        <f>IF('BOULEVARD 5'!F218="","No asignado",'BOULEVARD 5'!F218)</f>
        <v>David Arimany Monzón</v>
      </c>
      <c r="F213" s="764">
        <f>'BOULEVARD 5'!AT218</f>
        <v>31500</v>
      </c>
      <c r="G213" s="763" t="str">
        <f>'BOULEVARD 5'!BB218</f>
        <v>Cliente Atrasado</v>
      </c>
      <c r="H213" s="764">
        <f>'BOULEVARD PPTO'!BC213</f>
        <v>67932</v>
      </c>
      <c r="I213" s="764">
        <f t="shared" si="21"/>
        <v>-36432</v>
      </c>
      <c r="J213" s="765" t="str">
        <f t="shared" si="22"/>
        <v>Enganche por pagar</v>
      </c>
      <c r="K213" s="764">
        <f>'BOULEVARD 5'!I218</f>
        <v>678932</v>
      </c>
      <c r="L213" s="766">
        <f>IF('BOULEVARD 5'!G218="","",'BOULEVARD 5'!G218)</f>
        <v>45012</v>
      </c>
      <c r="M213" s="764">
        <f t="shared" si="23"/>
        <v>0</v>
      </c>
      <c r="N213" s="767">
        <f>IF('B5-Status cobranza'!AM220&lt;0,'B5-Status cobranza'!AM220,0)</f>
        <v>0</v>
      </c>
      <c r="O213" s="777">
        <f>IF('B5-Status cobranza'!AP220&lt;0,'B5-Status cobranza'!AP220,0)</f>
        <v>0</v>
      </c>
      <c r="P213" s="777">
        <f>IF('B5-Status cobranza'!AP220&gt;0,'B5-Status cobranza'!AP220,0)</f>
        <v>0</v>
      </c>
      <c r="Q213" s="767">
        <f>'B5-Status cobranza'!AV220</f>
        <v>0</v>
      </c>
      <c r="R213" s="764">
        <f t="shared" si="25"/>
        <v>678932</v>
      </c>
      <c r="S213" s="764">
        <f>IF('B5-Status cobranza'!AL220&lt;0,'B5-Status cobranza'!AL220,0)</f>
        <v>0</v>
      </c>
      <c r="T213" s="764">
        <v>0</v>
      </c>
      <c r="U213" s="778">
        <f t="shared" si="24"/>
        <v>0</v>
      </c>
      <c r="V213" s="764">
        <f>IF('B5-Status cobranza'!AL220&gt;0,'B5-Status cobranza'!AL220,0)</f>
        <v>0</v>
      </c>
    </row>
    <row r="214" spans="1:22" ht="12" customHeight="1" x14ac:dyDescent="0.25">
      <c r="A214" s="763" t="str">
        <f>"Apto"&amp;'BOULEVARD 5'!B219</f>
        <v>Apto1208</v>
      </c>
      <c r="B214" s="763">
        <v>1</v>
      </c>
      <c r="C214" s="763" t="str">
        <f>IF('BOULEVARD 5'!A219="","Cliente normal",'BOULEVARD 5'!A219)</f>
        <v>Cliente normal</v>
      </c>
      <c r="D214" s="763" t="str">
        <f>IF('BOULEVARD 5'!E219="","No asignado",'BOULEVARD 5'!E219)</f>
        <v>Antonio Rada</v>
      </c>
      <c r="E214" s="763" t="str">
        <f>IF('BOULEVARD 5'!F219="","No asignado",'BOULEVARD 5'!F219)</f>
        <v>Jmx Inversiones Sociedad Anonima</v>
      </c>
      <c r="F214" s="764">
        <f>'BOULEVARD 5'!AT219</f>
        <v>111100</v>
      </c>
      <c r="G214" s="763" t="str">
        <f>'BOULEVARD 5'!BB219</f>
        <v>Cliente Atrasado</v>
      </c>
      <c r="H214" s="764">
        <f>'BOULEVARD PPTO'!BC214</f>
        <v>111100</v>
      </c>
      <c r="I214" s="764">
        <f t="shared" si="21"/>
        <v>0</v>
      </c>
      <c r="J214" s="765" t="str">
        <f t="shared" si="22"/>
        <v>Enganche por pagar</v>
      </c>
      <c r="K214" s="764">
        <f>'BOULEVARD 5'!I219</f>
        <v>1110600</v>
      </c>
      <c r="L214" s="766">
        <f>IF('BOULEVARD 5'!G219="","",'BOULEVARD 5'!G219)</f>
        <v>45031</v>
      </c>
      <c r="M214" s="764">
        <f t="shared" si="23"/>
        <v>0</v>
      </c>
      <c r="N214" s="767">
        <f>IF('B5-Status cobranza'!AM221&lt;0,'B5-Status cobranza'!AM221,0)</f>
        <v>0</v>
      </c>
      <c r="O214" s="777">
        <f>IF('B5-Status cobranza'!AP221&lt;0,'B5-Status cobranza'!AP221,0)</f>
        <v>0</v>
      </c>
      <c r="P214" s="777">
        <f>IF('B5-Status cobranza'!AP221&gt;0,'B5-Status cobranza'!AP221,0)</f>
        <v>0</v>
      </c>
      <c r="Q214" s="767">
        <f>'B5-Status cobranza'!AV221</f>
        <v>0</v>
      </c>
      <c r="R214" s="764">
        <f t="shared" si="25"/>
        <v>1110600</v>
      </c>
      <c r="S214" s="764">
        <f>IF('B5-Status cobranza'!AL221&lt;0,'B5-Status cobranza'!AL221,0)</f>
        <v>-262</v>
      </c>
      <c r="T214" s="764">
        <v>0</v>
      </c>
      <c r="U214" s="778">
        <f t="shared" si="24"/>
        <v>0</v>
      </c>
      <c r="V214" s="764">
        <f>IF('B5-Status cobranza'!AL221&gt;0,'B5-Status cobranza'!AL221,0)</f>
        <v>0</v>
      </c>
    </row>
    <row r="215" spans="1:22" ht="12" customHeight="1" x14ac:dyDescent="0.25">
      <c r="A215" s="763" t="str">
        <f>"Apto"&amp;'BOULEVARD 5'!B220</f>
        <v>Apto1209</v>
      </c>
      <c r="B215" s="763">
        <v>1</v>
      </c>
      <c r="C215" s="763" t="str">
        <f>IF('BOULEVARD 5'!A220="","Cliente normal",'BOULEVARD 5'!A220)</f>
        <v>Cliente normal</v>
      </c>
      <c r="D215" s="763" t="str">
        <f>IF('BOULEVARD 5'!E220="","No asignado",'BOULEVARD 5'!E220)</f>
        <v>Antonio Rada</v>
      </c>
      <c r="E215" s="763" t="str">
        <f>IF('BOULEVARD 5'!F220="","No asignado",'BOULEVARD 5'!F220)</f>
        <v>Gilda Elena Siekavizza Castillo / Jose Pablo Pineda Bran</v>
      </c>
      <c r="F215" s="764">
        <f>'BOULEVARD 5'!AT220</f>
        <v>107898</v>
      </c>
      <c r="G215" s="763" t="str">
        <f>'BOULEVARD 5'!BB220</f>
        <v>Cliente al día</v>
      </c>
      <c r="H215" s="764">
        <f>'BOULEVARD PPTO'!BC215</f>
        <v>110900</v>
      </c>
      <c r="I215" s="764">
        <f t="shared" si="21"/>
        <v>-3002</v>
      </c>
      <c r="J215" s="765" t="str">
        <f t="shared" si="22"/>
        <v>Enganche por pagar</v>
      </c>
      <c r="K215" s="764">
        <f>'BOULEVARD 5'!I220</f>
        <v>1108600</v>
      </c>
      <c r="L215" s="766">
        <f>IF('BOULEVARD 5'!G220="","",'BOULEVARD 5'!G220)</f>
        <v>45013</v>
      </c>
      <c r="M215" s="764">
        <f t="shared" si="23"/>
        <v>0</v>
      </c>
      <c r="N215" s="767">
        <f>IF('B5-Status cobranza'!AM222&lt;0,'B5-Status cobranza'!AM222,0)</f>
        <v>0</v>
      </c>
      <c r="O215" s="777">
        <f>IF('B5-Status cobranza'!AP222&lt;0,'B5-Status cobranza'!AP222,0)</f>
        <v>0</v>
      </c>
      <c r="P215" s="777">
        <f>IF('B5-Status cobranza'!AP222&gt;0,'B5-Status cobranza'!AP222,0)</f>
        <v>0</v>
      </c>
      <c r="Q215" s="767">
        <f>'B5-Status cobranza'!AV222</f>
        <v>0</v>
      </c>
      <c r="R215" s="764">
        <f t="shared" si="25"/>
        <v>1108600</v>
      </c>
      <c r="S215" s="764">
        <f>IF('B5-Status cobranza'!AL222&lt;0,'B5-Status cobranza'!AL222,0)</f>
        <v>0</v>
      </c>
      <c r="T215" s="764">
        <v>0</v>
      </c>
      <c r="U215" s="778">
        <f t="shared" si="24"/>
        <v>0</v>
      </c>
      <c r="V215" s="764">
        <f>IF('B5-Status cobranza'!AL222&gt;0,'B5-Status cobranza'!AL222,0)</f>
        <v>0</v>
      </c>
    </row>
    <row r="216" spans="1:22" ht="12" customHeight="1" x14ac:dyDescent="0.25">
      <c r="A216" s="763" t="str">
        <f>"Apto"&amp;'BOULEVARD 5'!B221</f>
        <v>Apto1210</v>
      </c>
      <c r="B216" s="763">
        <v>1</v>
      </c>
      <c r="C216" s="763" t="str">
        <f>IF('BOULEVARD 5'!A221="","Cliente normal",'BOULEVARD 5'!A221)</f>
        <v>Cliente normal</v>
      </c>
      <c r="D216" s="763" t="str">
        <f>IF('BOULEVARD 5'!E221="","No asignado",'BOULEVARD 5'!E221)</f>
        <v>Antonio Rada</v>
      </c>
      <c r="E216" s="763" t="str">
        <f>IF('BOULEVARD 5'!F221="","No asignado",'BOULEVARD 5'!F221)</f>
        <v>Jmx Inversiones Sociedad Anonima</v>
      </c>
      <c r="F216" s="764">
        <f>'BOULEVARD 5'!AT221</f>
        <v>111100</v>
      </c>
      <c r="G216" s="763" t="str">
        <f>'BOULEVARD 5'!BB221</f>
        <v>Cliente Atrasado</v>
      </c>
      <c r="H216" s="764">
        <f>'BOULEVARD PPTO'!BC216</f>
        <v>111100</v>
      </c>
      <c r="I216" s="764">
        <f t="shared" si="21"/>
        <v>0</v>
      </c>
      <c r="J216" s="765" t="str">
        <f t="shared" si="22"/>
        <v>Enganche por pagar</v>
      </c>
      <c r="K216" s="764">
        <f>'BOULEVARD 5'!I221</f>
        <v>1110600</v>
      </c>
      <c r="L216" s="766">
        <f>IF('BOULEVARD 5'!G221="","",'BOULEVARD 5'!G221)</f>
        <v>45031</v>
      </c>
      <c r="M216" s="764">
        <f t="shared" si="23"/>
        <v>0</v>
      </c>
      <c r="N216" s="767">
        <f>IF('B5-Status cobranza'!AM223&lt;0,'B5-Status cobranza'!AM223,0)</f>
        <v>0</v>
      </c>
      <c r="O216" s="777">
        <f>IF('B5-Status cobranza'!AP223&lt;0,'B5-Status cobranza'!AP223,0)</f>
        <v>0</v>
      </c>
      <c r="P216" s="777">
        <f>IF('B5-Status cobranza'!AP223&gt;0,'B5-Status cobranza'!AP223,0)</f>
        <v>0</v>
      </c>
      <c r="Q216" s="767">
        <f>'B5-Status cobranza'!AV223</f>
        <v>0</v>
      </c>
      <c r="R216" s="764">
        <f t="shared" si="25"/>
        <v>1110600</v>
      </c>
      <c r="S216" s="764">
        <f>IF('B5-Status cobranza'!AL223&lt;0,'B5-Status cobranza'!AL223,0)</f>
        <v>-262</v>
      </c>
      <c r="T216" s="764">
        <v>0</v>
      </c>
      <c r="U216" s="778">
        <f t="shared" si="24"/>
        <v>0</v>
      </c>
      <c r="V216" s="764">
        <f>IF('B5-Status cobranza'!AL223&gt;0,'B5-Status cobranza'!AL223,0)</f>
        <v>0</v>
      </c>
    </row>
    <row r="217" spans="1:22" ht="12" customHeight="1" x14ac:dyDescent="0.25">
      <c r="A217" s="763" t="str">
        <f>"Apto"&amp;'BOULEVARD 5'!B222</f>
        <v>Apto1211</v>
      </c>
      <c r="B217" s="763">
        <v>1</v>
      </c>
      <c r="C217" s="763" t="str">
        <f>IF('BOULEVARD 5'!A222="","Cliente normal",'BOULEVARD 5'!A222)</f>
        <v>Cliente normal</v>
      </c>
      <c r="D217" s="763" t="str">
        <f>IF('BOULEVARD 5'!E222="","No asignado",'BOULEVARD 5'!E222)</f>
        <v>Antonio Rada</v>
      </c>
      <c r="E217" s="763" t="str">
        <f>IF('BOULEVARD 5'!F222="","No asignado",'BOULEVARD 5'!F222)</f>
        <v>Jorge Daniel Baca Chiroy</v>
      </c>
      <c r="F217" s="764">
        <f>'BOULEVARD 5'!AT222</f>
        <v>119402.5</v>
      </c>
      <c r="G217" s="763" t="str">
        <f>'BOULEVARD 5'!BB222</f>
        <v>Cliente Atrasado</v>
      </c>
      <c r="H217" s="764">
        <f>'BOULEVARD PPTO'!BC217</f>
        <v>119402.5</v>
      </c>
      <c r="I217" s="764">
        <f t="shared" si="21"/>
        <v>0</v>
      </c>
      <c r="J217" s="765" t="str">
        <f t="shared" si="22"/>
        <v>Enganche por pagar</v>
      </c>
      <c r="K217" s="764">
        <f>'BOULEVARD 5'!I222</f>
        <v>1193202.5</v>
      </c>
      <c r="L217" s="766">
        <f>IF('BOULEVARD 5'!G222="","",'BOULEVARD 5'!G222)</f>
        <v>45258</v>
      </c>
      <c r="M217" s="764">
        <f t="shared" si="23"/>
        <v>0</v>
      </c>
      <c r="N217" s="767">
        <f>IF('B5-Status cobranza'!AM224&lt;0,'B5-Status cobranza'!AM224,0)</f>
        <v>0</v>
      </c>
      <c r="O217" s="777">
        <f>IF('B5-Status cobranza'!AP224&lt;0,'B5-Status cobranza'!AP224,0)</f>
        <v>0</v>
      </c>
      <c r="P217" s="777">
        <f>IF('B5-Status cobranza'!AP224&gt;0,'B5-Status cobranza'!AP224,0)</f>
        <v>0</v>
      </c>
      <c r="Q217" s="767">
        <f>'B5-Status cobranza'!AV224</f>
        <v>0</v>
      </c>
      <c r="R217" s="764">
        <f t="shared" si="25"/>
        <v>1193202.5</v>
      </c>
      <c r="S217" s="764">
        <f>IF('B5-Status cobranza'!AL224&lt;0,'B5-Status cobranza'!AL224,0)</f>
        <v>-5185.5</v>
      </c>
      <c r="T217" s="764">
        <v>0</v>
      </c>
      <c r="U217" s="778">
        <f t="shared" si="24"/>
        <v>0</v>
      </c>
      <c r="V217" s="764">
        <f>IF('B5-Status cobranza'!AL224&gt;0,'B5-Status cobranza'!AL224,0)</f>
        <v>0</v>
      </c>
    </row>
    <row r="218" spans="1:22" ht="12" customHeight="1" x14ac:dyDescent="0.25">
      <c r="A218" s="763" t="str">
        <f>"Apto"&amp;'BOULEVARD 5'!B223</f>
        <v>Apto1212</v>
      </c>
      <c r="B218" s="763">
        <v>1</v>
      </c>
      <c r="C218" s="763" t="str">
        <f>IF('BOULEVARD 5'!A223="","Cliente normal",'BOULEVARD 5'!A223)</f>
        <v>Cliente normal</v>
      </c>
      <c r="D218" s="763" t="str">
        <f>IF('BOULEVARD 5'!E223="","No asignado",'BOULEVARD 5'!E223)</f>
        <v>Brenda Búcaro</v>
      </c>
      <c r="E218" s="763" t="str">
        <f>IF('BOULEVARD 5'!F223="","No asignado",'BOULEVARD 5'!F223)</f>
        <v>Sergio Enrique Bolaños López</v>
      </c>
      <c r="F218" s="764">
        <f>'BOULEVARD 5'!AT223</f>
        <v>47424</v>
      </c>
      <c r="G218" s="763" t="str">
        <f>'BOULEVARD 5'!BB223</f>
        <v>Cliente Atrasado</v>
      </c>
      <c r="H218" s="764">
        <f>'BOULEVARD PPTO'!BC218</f>
        <v>66700</v>
      </c>
      <c r="I218" s="764">
        <f t="shared" si="21"/>
        <v>-19276</v>
      </c>
      <c r="J218" s="765" t="str">
        <f t="shared" si="22"/>
        <v>Enganche por pagar</v>
      </c>
      <c r="K218" s="764">
        <f>'BOULEVARD 5'!I223</f>
        <v>666800</v>
      </c>
      <c r="L218" s="766">
        <f>IF('BOULEVARD 5'!G223="","",'BOULEVARD 5'!G223)</f>
        <v>45123</v>
      </c>
      <c r="M218" s="764">
        <f t="shared" si="23"/>
        <v>0</v>
      </c>
      <c r="N218" s="767">
        <f>IF('B5-Status cobranza'!AM225&lt;0,'B5-Status cobranza'!AM225,0)</f>
        <v>0</v>
      </c>
      <c r="O218" s="777">
        <f>IF('B5-Status cobranza'!AP225&lt;0,'B5-Status cobranza'!AP225,0)</f>
        <v>0</v>
      </c>
      <c r="P218" s="777">
        <f>IF('B5-Status cobranza'!AP225&gt;0,'B5-Status cobranza'!AP225,0)</f>
        <v>0</v>
      </c>
      <c r="Q218" s="767">
        <f>'B5-Status cobranza'!AV225</f>
        <v>0</v>
      </c>
      <c r="R218" s="764">
        <f t="shared" si="25"/>
        <v>666800</v>
      </c>
      <c r="S218" s="764">
        <f>IF('B5-Status cobranza'!AL225&lt;0,'B5-Status cobranza'!AL225,0)</f>
        <v>0</v>
      </c>
      <c r="T218" s="764">
        <v>0</v>
      </c>
      <c r="U218" s="778">
        <f t="shared" si="24"/>
        <v>0</v>
      </c>
      <c r="V218" s="764">
        <f>IF('B5-Status cobranza'!AL225&gt;0,'B5-Status cobranza'!AL225,0)</f>
        <v>0</v>
      </c>
    </row>
    <row r="219" spans="1:22" ht="12" customHeight="1" x14ac:dyDescent="0.25">
      <c r="A219" s="763" t="str">
        <f>"Apto"&amp;'BOULEVARD 5'!B224</f>
        <v>Apto1213</v>
      </c>
      <c r="B219" s="763">
        <v>1</v>
      </c>
      <c r="C219" s="763" t="str">
        <f>IF('BOULEVARD 5'!A224="","Cliente normal",'BOULEVARD 5'!A224)</f>
        <v>Cliente normal</v>
      </c>
      <c r="D219" s="763" t="str">
        <f>IF('BOULEVARD 5'!E224="","No asignado",'BOULEVARD 5'!E224)</f>
        <v>Jose Franco</v>
      </c>
      <c r="E219" s="763" t="str">
        <f>IF('BOULEVARD 5'!F224="","No asignado",'BOULEVARD 5'!F224)</f>
        <v>Marcas &amp; Secretos, S.A.</v>
      </c>
      <c r="F219" s="764">
        <f>'BOULEVARD 5'!AT224</f>
        <v>64639</v>
      </c>
      <c r="G219" s="763" t="str">
        <f>'BOULEVARD 5'!BB224</f>
        <v>Cliente Atrasado</v>
      </c>
      <c r="H219" s="764">
        <f>'BOULEVARD PPTO'!BC219</f>
        <v>64639</v>
      </c>
      <c r="I219" s="764">
        <f t="shared" si="21"/>
        <v>0</v>
      </c>
      <c r="J219" s="765" t="str">
        <f t="shared" si="22"/>
        <v>Enganche por pagar</v>
      </c>
      <c r="K219" s="764">
        <f>'BOULEVARD 5'!I224</f>
        <v>645639</v>
      </c>
      <c r="L219" s="766">
        <f>IF('BOULEVARD 5'!G224="","",'BOULEVARD 5'!G224)</f>
        <v>45021</v>
      </c>
      <c r="M219" s="764">
        <f t="shared" si="23"/>
        <v>0</v>
      </c>
      <c r="N219" s="767">
        <f>IF('B5-Status cobranza'!AM226&lt;0,'B5-Status cobranza'!AM226,0)</f>
        <v>0</v>
      </c>
      <c r="O219" s="777">
        <f>IF('B5-Status cobranza'!AP226&lt;0,'B5-Status cobranza'!AP226,0)</f>
        <v>0</v>
      </c>
      <c r="P219" s="777">
        <f>IF('B5-Status cobranza'!AP226&gt;0,'B5-Status cobranza'!AP226,0)</f>
        <v>0</v>
      </c>
      <c r="Q219" s="767">
        <f>'B5-Status cobranza'!AV226</f>
        <v>0</v>
      </c>
      <c r="R219" s="764">
        <f t="shared" si="25"/>
        <v>645639</v>
      </c>
      <c r="S219" s="764">
        <f>IF('B5-Status cobranza'!AL226&lt;0,'B5-Status cobranza'!AL226,0)</f>
        <v>0</v>
      </c>
      <c r="T219" s="764">
        <v>0</v>
      </c>
      <c r="U219" s="778">
        <f t="shared" si="24"/>
        <v>0</v>
      </c>
      <c r="V219" s="764">
        <f>IF('B5-Status cobranza'!AL226&gt;0,'B5-Status cobranza'!AL226,0)</f>
        <v>0</v>
      </c>
    </row>
    <row r="220" spans="1:22" ht="12" customHeight="1" x14ac:dyDescent="0.25">
      <c r="A220" s="763" t="str">
        <f>"Apto"&amp;'BOULEVARD 5'!B225</f>
        <v>Apto1214</v>
      </c>
      <c r="B220" s="763">
        <v>1</v>
      </c>
      <c r="C220" s="763" t="str">
        <f>IF('BOULEVARD 5'!A225="","Cliente normal",'BOULEVARD 5'!A225)</f>
        <v>Cliente normal</v>
      </c>
      <c r="D220" s="763" t="str">
        <f>IF('BOULEVARD 5'!E225="","No asignado",'BOULEVARD 5'!E225)</f>
        <v>Jose Franco</v>
      </c>
      <c r="E220" s="763" t="str">
        <f>IF('BOULEVARD 5'!F225="","No asignado",'BOULEVARD 5'!F225)</f>
        <v>Manuel Armando Fletes Ordoñez</v>
      </c>
      <c r="F220" s="764">
        <f>'BOULEVARD 5'!AT225</f>
        <v>313900</v>
      </c>
      <c r="G220" s="763" t="str">
        <f>'BOULEVARD 5'!BB225</f>
        <v>Superávit de Enganche</v>
      </c>
      <c r="H220" s="764">
        <f>'BOULEVARD PPTO'!BC220</f>
        <v>78700</v>
      </c>
      <c r="I220" s="764">
        <f t="shared" si="21"/>
        <v>235200</v>
      </c>
      <c r="J220" s="765" t="str">
        <f t="shared" si="22"/>
        <v>Superavit de enganche</v>
      </c>
      <c r="K220" s="764">
        <f>'BOULEVARD 5'!I225</f>
        <v>786200</v>
      </c>
      <c r="L220" s="766">
        <f>IF('BOULEVARD 5'!G225="","",'BOULEVARD 5'!G225)</f>
        <v>45082</v>
      </c>
      <c r="M220" s="764">
        <f t="shared" si="23"/>
        <v>0</v>
      </c>
      <c r="N220" s="767">
        <f>IF('B5-Status cobranza'!AM227&lt;0,'B5-Status cobranza'!AM227,0)</f>
        <v>0</v>
      </c>
      <c r="O220" s="777">
        <f>IF('B5-Status cobranza'!AP227&lt;0,'B5-Status cobranza'!AP227,0)</f>
        <v>0</v>
      </c>
      <c r="P220" s="777">
        <f>IF('B5-Status cobranza'!AP227&gt;0,'B5-Status cobranza'!AP227,0)</f>
        <v>205700</v>
      </c>
      <c r="Q220" s="767">
        <f>'B5-Status cobranza'!AV227</f>
        <v>9000</v>
      </c>
      <c r="R220" s="764">
        <f t="shared" si="25"/>
        <v>786200</v>
      </c>
      <c r="S220" s="764">
        <f>IF('B5-Status cobranza'!AL227&lt;0,'B5-Status cobranza'!AL227,0)</f>
        <v>0</v>
      </c>
      <c r="T220" s="764">
        <v>0</v>
      </c>
      <c r="U220" s="778">
        <f t="shared" si="24"/>
        <v>0</v>
      </c>
      <c r="V220" s="764">
        <f>IF('B5-Status cobranza'!AL227&gt;0,'B5-Status cobranza'!AL227,0)</f>
        <v>22318</v>
      </c>
    </row>
    <row r="221" spans="1:22" ht="12" customHeight="1" x14ac:dyDescent="0.25">
      <c r="A221" s="763" t="str">
        <f>"Apto"&amp;'BOULEVARD 5'!B226</f>
        <v>Apto1215</v>
      </c>
      <c r="B221" s="763">
        <v>1</v>
      </c>
      <c r="C221" s="763" t="str">
        <f>IF('BOULEVARD 5'!A226="","Cliente normal",'BOULEVARD 5'!A226)</f>
        <v>Cliente normal</v>
      </c>
      <c r="D221" s="763" t="str">
        <f>IF('BOULEVARD 5'!E226="","No asignado",'BOULEVARD 5'!E226)</f>
        <v>Antonio Rada</v>
      </c>
      <c r="E221" s="763" t="str">
        <f>IF('BOULEVARD 5'!F226="","No asignado",'BOULEVARD 5'!F226)</f>
        <v xml:space="preserve"> Jose Javier Hernandez Juarez</v>
      </c>
      <c r="F221" s="764">
        <f>'BOULEVARD 5'!AT226</f>
        <v>134825</v>
      </c>
      <c r="G221" s="763" t="str">
        <f>'BOULEVARD 5'!BB226</f>
        <v>Superávit de Enganche</v>
      </c>
      <c r="H221" s="764">
        <f>'BOULEVARD PPTO'!BC221</f>
        <v>85900</v>
      </c>
      <c r="I221" s="764">
        <f t="shared" si="21"/>
        <v>48925</v>
      </c>
      <c r="J221" s="765" t="str">
        <f t="shared" si="22"/>
        <v>Superavit de enganche</v>
      </c>
      <c r="K221" s="764">
        <f>'BOULEVARD 5'!I226</f>
        <v>858400</v>
      </c>
      <c r="L221" s="766">
        <f>IF('BOULEVARD 5'!G226="","",'BOULEVARD 5'!G226)</f>
        <v>45027</v>
      </c>
      <c r="M221" s="764">
        <f t="shared" si="23"/>
        <v>0</v>
      </c>
      <c r="N221" s="767">
        <f>IF('B5-Status cobranza'!AM228&lt;0,'B5-Status cobranza'!AM228,0)</f>
        <v>0</v>
      </c>
      <c r="O221" s="777">
        <f>IF('B5-Status cobranza'!AP228&lt;0,'B5-Status cobranza'!AP228,0)</f>
        <v>0</v>
      </c>
      <c r="P221" s="777">
        <f>IF('B5-Status cobranza'!AP228&gt;0,'B5-Status cobranza'!AP228,0)</f>
        <v>34425</v>
      </c>
      <c r="Q221" s="767">
        <f>'B5-Status cobranza'!AV228</f>
        <v>3500</v>
      </c>
      <c r="R221" s="764">
        <f t="shared" si="25"/>
        <v>858400</v>
      </c>
      <c r="S221" s="764">
        <f>IF('B5-Status cobranza'!AL228&lt;0,'B5-Status cobranza'!AL228,0)</f>
        <v>-2760</v>
      </c>
      <c r="T221" s="764">
        <v>3500</v>
      </c>
      <c r="U221" s="778">
        <f t="shared" si="24"/>
        <v>1.1524551278425058E-2</v>
      </c>
      <c r="V221" s="764">
        <f>IF('B5-Status cobranza'!AL228&gt;0,'B5-Status cobranza'!AL228,0)</f>
        <v>0</v>
      </c>
    </row>
    <row r="222" spans="1:22" ht="12" customHeight="1" x14ac:dyDescent="0.25">
      <c r="A222" s="763" t="str">
        <f>"Apto"&amp;'BOULEVARD 5'!B227</f>
        <v>Apto1216</v>
      </c>
      <c r="B222" s="763">
        <v>1</v>
      </c>
      <c r="C222" s="763" t="str">
        <f>IF('BOULEVARD 5'!A227="","Cliente normal",'BOULEVARD 5'!A227)</f>
        <v>Cliente normal</v>
      </c>
      <c r="D222" s="763" t="str">
        <f>IF('BOULEVARD 5'!E227="","No asignado",'BOULEVARD 5'!E227)</f>
        <v>Anahí Cisneros</v>
      </c>
      <c r="E222" s="763" t="str">
        <f>IF('BOULEVARD 5'!F227="","No asignado",'BOULEVARD 5'!F227)</f>
        <v>Alan Gonzalez Choc</v>
      </c>
      <c r="F222" s="764">
        <f>'BOULEVARD 5'!AT227</f>
        <v>704525.08000000007</v>
      </c>
      <c r="G222" s="763" t="str">
        <f>'BOULEVARD 5'!BB227</f>
        <v>Cliente Atrasado</v>
      </c>
      <c r="H222" s="764">
        <f>'BOULEVARD PPTO'!BC222</f>
        <v>1049156.1500000001</v>
      </c>
      <c r="I222" s="764">
        <f t="shared" si="21"/>
        <v>-344631.07000000007</v>
      </c>
      <c r="J222" s="765" t="str">
        <f t="shared" si="22"/>
        <v>Enganche por pagar</v>
      </c>
      <c r="K222" s="764">
        <f>'BOULEVARD 5'!I227</f>
        <v>1126261.8195599201</v>
      </c>
      <c r="L222" s="766">
        <f>IF('BOULEVARD 5'!G227="","",'BOULEVARD 5'!G227)</f>
        <v>45856</v>
      </c>
      <c r="M222" s="764">
        <f t="shared" si="23"/>
        <v>0</v>
      </c>
      <c r="N222" s="767">
        <f>IF('B5-Status cobranza'!AM229&lt;0,'B5-Status cobranza'!AM229,0)</f>
        <v>-1000</v>
      </c>
      <c r="O222" s="777">
        <f>IF('B5-Status cobranza'!AP229&lt;0,'B5-Status cobranza'!AP229,0)</f>
        <v>-4653</v>
      </c>
      <c r="P222" s="777">
        <f>IF('B5-Status cobranza'!AP229&gt;0,'B5-Status cobranza'!AP229,0)</f>
        <v>0</v>
      </c>
      <c r="Q222" s="767">
        <f>'B5-Status cobranza'!AV229</f>
        <v>0</v>
      </c>
      <c r="R222" s="764">
        <f t="shared" si="25"/>
        <v>1126261.8195599201</v>
      </c>
      <c r="S222" s="764">
        <f>IF('B5-Status cobranza'!AL229&lt;0,'B5-Status cobranza'!AL229,0)</f>
        <v>0</v>
      </c>
      <c r="T222" s="764">
        <v>0</v>
      </c>
      <c r="U222" s="778">
        <f t="shared" si="24"/>
        <v>0</v>
      </c>
      <c r="V222" s="764">
        <f>IF('B5-Status cobranza'!AL229&gt;0,'B5-Status cobranza'!AL229,0)</f>
        <v>28447</v>
      </c>
    </row>
    <row r="223" spans="1:22" ht="12" customHeight="1" x14ac:dyDescent="0.25">
      <c r="A223" s="763" t="str">
        <f>"Apto"&amp;'BOULEVARD 5'!B228</f>
        <v>Apto1217</v>
      </c>
      <c r="B223" s="763">
        <v>1</v>
      </c>
      <c r="C223" s="763" t="str">
        <f>IF('BOULEVARD 5'!A228="","Cliente normal",'BOULEVARD 5'!A228)</f>
        <v>Cliente normal</v>
      </c>
      <c r="D223" s="763" t="str">
        <f>IF('BOULEVARD 5'!E228="","No asignado",'BOULEVARD 5'!E228)</f>
        <v>Antonio Rada</v>
      </c>
      <c r="E223" s="763" t="str">
        <f>IF('BOULEVARD 5'!F228="","No asignado",'BOULEVARD 5'!F228)</f>
        <v>Irene Noemy Santisteban Chiguil</v>
      </c>
      <c r="F223" s="764">
        <f>'BOULEVARD 5'!AT228</f>
        <v>125400</v>
      </c>
      <c r="G223" s="763" t="str">
        <f>'BOULEVARD 5'!BB228</f>
        <v>Cliente Atrasado</v>
      </c>
      <c r="H223" s="764">
        <f>'BOULEVARD PPTO'!BC223</f>
        <v>125400</v>
      </c>
      <c r="I223" s="764">
        <f t="shared" si="21"/>
        <v>0</v>
      </c>
      <c r="J223" s="765" t="str">
        <f t="shared" si="22"/>
        <v>Enganche por pagar</v>
      </c>
      <c r="K223" s="764">
        <f>'BOULEVARD 5'!I228</f>
        <v>1253700</v>
      </c>
      <c r="L223" s="766">
        <f>IF('BOULEVARD 5'!G228="","",'BOULEVARD 5'!G228)</f>
        <v>45391</v>
      </c>
      <c r="M223" s="764">
        <f t="shared" si="23"/>
        <v>0</v>
      </c>
      <c r="N223" s="767">
        <f>IF('B5-Status cobranza'!AM230&lt;0,'B5-Status cobranza'!AM230,0)</f>
        <v>0</v>
      </c>
      <c r="O223" s="777">
        <f>IF('B5-Status cobranza'!AP230&lt;0,'B5-Status cobranza'!AP230,0)</f>
        <v>0</v>
      </c>
      <c r="P223" s="777">
        <f>IF('B5-Status cobranza'!AP230&gt;0,'B5-Status cobranza'!AP230,0)</f>
        <v>0</v>
      </c>
      <c r="Q223" s="767">
        <f>'B5-Status cobranza'!AV230</f>
        <v>0</v>
      </c>
      <c r="R223" s="764">
        <f t="shared" si="25"/>
        <v>1253700</v>
      </c>
      <c r="S223" s="764">
        <f>IF('B5-Status cobranza'!AL230&lt;0,'B5-Status cobranza'!AL230,0)</f>
        <v>0</v>
      </c>
      <c r="T223" s="764">
        <v>0</v>
      </c>
      <c r="U223" s="778">
        <f t="shared" si="24"/>
        <v>0</v>
      </c>
      <c r="V223" s="764">
        <f>IF('B5-Status cobranza'!AL230&gt;0,'B5-Status cobranza'!AL230,0)</f>
        <v>32</v>
      </c>
    </row>
    <row r="224" spans="1:22" ht="12" customHeight="1" x14ac:dyDescent="0.25">
      <c r="A224" s="763" t="str">
        <f>"Apto"&amp;'BOULEVARD 5'!B229</f>
        <v>Apto1218</v>
      </c>
      <c r="B224" s="763">
        <v>1</v>
      </c>
      <c r="C224" s="763" t="str">
        <f>IF('BOULEVARD 5'!A229="","Cliente normal",'BOULEVARD 5'!A229)</f>
        <v>Cliente normal</v>
      </c>
      <c r="D224" s="763" t="str">
        <f>IF('BOULEVARD 5'!E229="","No asignado",'BOULEVARD 5'!E229)</f>
        <v>Diana Alvarez</v>
      </c>
      <c r="E224" s="763" t="str">
        <f>IF('BOULEVARD 5'!F229="","No asignado",'BOULEVARD 5'!F229)</f>
        <v>Hector Ricardo Echeverria  Mendez</v>
      </c>
      <c r="F224" s="764">
        <f>'BOULEVARD 5'!AT229</f>
        <v>93400</v>
      </c>
      <c r="G224" s="763" t="str">
        <f>'BOULEVARD 5'!BB229</f>
        <v>Cliente Atrasado</v>
      </c>
      <c r="H224" s="764">
        <f>'BOULEVARD PPTO'!BC224</f>
        <v>135092.54999999999</v>
      </c>
      <c r="I224" s="764">
        <f t="shared" si="21"/>
        <v>-41692.549999999988</v>
      </c>
      <c r="J224" s="765" t="str">
        <f t="shared" si="22"/>
        <v>Enganche por pagar</v>
      </c>
      <c r="K224" s="764">
        <f>'BOULEVARD 5'!I229</f>
        <v>1350925.53</v>
      </c>
      <c r="L224" s="766">
        <f>IF('BOULEVARD 5'!G229="","",'BOULEVARD 5'!G229)</f>
        <v>45614</v>
      </c>
      <c r="M224" s="764">
        <f t="shared" si="23"/>
        <v>0</v>
      </c>
      <c r="N224" s="767">
        <f>IF('B5-Status cobranza'!AM231&lt;0,'B5-Status cobranza'!AM231,0)</f>
        <v>-6950</v>
      </c>
      <c r="O224" s="777">
        <f>IF('B5-Status cobranza'!AP231&lt;0,'B5-Status cobranza'!AP231,0)</f>
        <v>-6950</v>
      </c>
      <c r="P224" s="777">
        <f>IF('B5-Status cobranza'!AP231&gt;0,'B5-Status cobranza'!AP231,0)</f>
        <v>0</v>
      </c>
      <c r="Q224" s="767">
        <f>'B5-Status cobranza'!AV231</f>
        <v>0</v>
      </c>
      <c r="R224" s="764">
        <f t="shared" si="25"/>
        <v>1350925.53</v>
      </c>
      <c r="S224" s="764">
        <f>IF('B5-Status cobranza'!AL231&lt;0,'B5-Status cobranza'!AL231,0)</f>
        <v>0</v>
      </c>
      <c r="T224" s="764">
        <v>0</v>
      </c>
      <c r="U224" s="778">
        <f t="shared" si="24"/>
        <v>0</v>
      </c>
      <c r="V224" s="764">
        <f>IF('B5-Status cobranza'!AL231&gt;0,'B5-Status cobranza'!AL231,0)</f>
        <v>0</v>
      </c>
    </row>
    <row r="225" spans="1:22" ht="12" customHeight="1" x14ac:dyDescent="0.25">
      <c r="A225" s="763" t="str">
        <f>"Apto"&amp;'BOULEVARD 5'!B230</f>
        <v>Apto1301</v>
      </c>
      <c r="B225" s="763">
        <v>1</v>
      </c>
      <c r="C225" s="763" t="str">
        <f>IF('BOULEVARD 5'!A230="","Cliente normal",'BOULEVARD 5'!A230)</f>
        <v>Cliente normal</v>
      </c>
      <c r="D225" s="763" t="str">
        <f>IF('BOULEVARD 5'!E230="","No asignado",'BOULEVARD 5'!E230)</f>
        <v>Antonio Rada</v>
      </c>
      <c r="E225" s="763" t="str">
        <f>IF('BOULEVARD 5'!F230="","No asignado",'BOULEVARD 5'!F230)</f>
        <v>Raul Eliazar Lemus Garza</v>
      </c>
      <c r="F225" s="764">
        <f>'BOULEVARD 5'!AT230</f>
        <v>125400</v>
      </c>
      <c r="G225" s="763" t="str">
        <f>'BOULEVARD 5'!BB230</f>
        <v>Cliente Atrasado</v>
      </c>
      <c r="H225" s="764">
        <f>'BOULEVARD PPTO'!BC225</f>
        <v>125400</v>
      </c>
      <c r="I225" s="764">
        <f t="shared" si="21"/>
        <v>0</v>
      </c>
      <c r="J225" s="765" t="str">
        <f t="shared" si="22"/>
        <v>Enganche por pagar</v>
      </c>
      <c r="K225" s="764">
        <f>'BOULEVARD 5'!I230</f>
        <v>1253700</v>
      </c>
      <c r="L225" s="766">
        <f>IF('BOULEVARD 5'!G230="","",'BOULEVARD 5'!G230)</f>
        <v>45456</v>
      </c>
      <c r="M225" s="764">
        <f t="shared" si="23"/>
        <v>0</v>
      </c>
      <c r="N225" s="767">
        <f>IF('B5-Status cobranza'!AM232&lt;0,'B5-Status cobranza'!AM232,0)</f>
        <v>0</v>
      </c>
      <c r="O225" s="777">
        <f>IF('B5-Status cobranza'!AP232&lt;0,'B5-Status cobranza'!AP232,0)</f>
        <v>0</v>
      </c>
      <c r="P225" s="777">
        <f>IF('B5-Status cobranza'!AP232&gt;0,'B5-Status cobranza'!AP232,0)</f>
        <v>0</v>
      </c>
      <c r="Q225" s="767">
        <f>'B5-Status cobranza'!AV232</f>
        <v>0</v>
      </c>
      <c r="R225" s="764">
        <f t="shared" si="25"/>
        <v>1253700</v>
      </c>
      <c r="S225" s="764">
        <f>IF('B5-Status cobranza'!AL232&lt;0,'B5-Status cobranza'!AL232,0)</f>
        <v>0</v>
      </c>
      <c r="T225" s="764">
        <v>0</v>
      </c>
      <c r="U225" s="778">
        <f t="shared" si="24"/>
        <v>0</v>
      </c>
      <c r="V225" s="764">
        <f>IF('B5-Status cobranza'!AL232&gt;0,'B5-Status cobranza'!AL232,0)</f>
        <v>0</v>
      </c>
    </row>
    <row r="226" spans="1:22" ht="12" customHeight="1" x14ac:dyDescent="0.25">
      <c r="A226" s="763" t="str">
        <f>"Apto"&amp;'BOULEVARD 5'!B231</f>
        <v>Apto1302</v>
      </c>
      <c r="B226" s="763">
        <v>1</v>
      </c>
      <c r="C226" s="763" t="str">
        <f>IF('BOULEVARD 5'!A231="","Cliente normal",'BOULEVARD 5'!A231)</f>
        <v>Cliente normal</v>
      </c>
      <c r="D226" s="763" t="str">
        <f>IF('BOULEVARD 5'!E231="","No asignado",'BOULEVARD 5'!E231)</f>
        <v>Antonio Rada</v>
      </c>
      <c r="E226" s="763" t="str">
        <f>IF('BOULEVARD 5'!F231="","No asignado",'BOULEVARD 5'!F231)</f>
        <v>Rodolfo Godoy Lemus</v>
      </c>
      <c r="F226" s="764">
        <f>'BOULEVARD 5'!AT231</f>
        <v>107313</v>
      </c>
      <c r="G226" s="763" t="str">
        <f>'BOULEVARD 5'!BB231</f>
        <v>Cliente Atrasado</v>
      </c>
      <c r="H226" s="764">
        <f>'BOULEVARD PPTO'!BC226</f>
        <v>135125.53</v>
      </c>
      <c r="I226" s="764">
        <f t="shared" si="21"/>
        <v>-27812.53</v>
      </c>
      <c r="J226" s="765" t="str">
        <f t="shared" si="22"/>
        <v>Enganche por pagar</v>
      </c>
      <c r="K226" s="764">
        <f>'BOULEVARD 5'!I231</f>
        <v>1350925.53</v>
      </c>
      <c r="L226" s="766">
        <f>IF('BOULEVARD 5'!G231="","",'BOULEVARD 5'!G231)</f>
        <v>45609</v>
      </c>
      <c r="M226" s="764">
        <f t="shared" si="23"/>
        <v>0</v>
      </c>
      <c r="N226" s="767">
        <f>IF('B5-Status cobranza'!AM233&lt;0,'B5-Status cobranza'!AM233,0)</f>
        <v>0</v>
      </c>
      <c r="O226" s="777">
        <f>IF('B5-Status cobranza'!AP233&lt;0,'B5-Status cobranza'!AP233,0)</f>
        <v>0</v>
      </c>
      <c r="P226" s="777">
        <f>IF('B5-Status cobranza'!AP233&gt;0,'B5-Status cobranza'!AP233,0)</f>
        <v>6950</v>
      </c>
      <c r="Q226" s="767">
        <f>'B5-Status cobranza'!AV233</f>
        <v>6951</v>
      </c>
      <c r="R226" s="764">
        <f t="shared" si="25"/>
        <v>1350925.53</v>
      </c>
      <c r="S226" s="764">
        <f>IF('B5-Status cobranza'!AL233&lt;0,'B5-Status cobranza'!AL233,0)</f>
        <v>0</v>
      </c>
      <c r="T226" s="764">
        <v>6951</v>
      </c>
      <c r="U226" s="778">
        <f t="shared" si="24"/>
        <v>2.2887758838952166E-2</v>
      </c>
      <c r="V226" s="764">
        <f>IF('B5-Status cobranza'!AL233&gt;0,'B5-Status cobranza'!AL233,0)</f>
        <v>0</v>
      </c>
    </row>
    <row r="227" spans="1:22" ht="12" customHeight="1" x14ac:dyDescent="0.25">
      <c r="A227" s="763" t="str">
        <f>"Apto"&amp;'BOULEVARD 5'!B232</f>
        <v>Apto1303</v>
      </c>
      <c r="B227" s="763">
        <v>1</v>
      </c>
      <c r="C227" s="763" t="str">
        <f>IF('BOULEVARD 5'!A232="","Cliente normal",'BOULEVARD 5'!A232)</f>
        <v>Cliente normal</v>
      </c>
      <c r="D227" s="763" t="str">
        <f>IF('BOULEVARD 5'!E232="","No asignado",'BOULEVARD 5'!E232)</f>
        <v>Antonio Rada</v>
      </c>
      <c r="E227" s="763" t="str">
        <f>IF('BOULEVARD 5'!F232="","No asignado",'BOULEVARD 5'!F232)</f>
        <v>Ricardo Fernando Linares Perez</v>
      </c>
      <c r="F227" s="764">
        <f>'BOULEVARD 5'!AT232</f>
        <v>90200</v>
      </c>
      <c r="G227" s="763" t="str">
        <f>'BOULEVARD 5'!BB232</f>
        <v>Cliente Atrasado</v>
      </c>
      <c r="H227" s="764">
        <f>'BOULEVARD PPTO'!BC227</f>
        <v>90200</v>
      </c>
      <c r="I227" s="764">
        <f t="shared" si="21"/>
        <v>0</v>
      </c>
      <c r="J227" s="765" t="str">
        <f t="shared" si="22"/>
        <v>Enganche por pagar</v>
      </c>
      <c r="K227" s="764">
        <f>'BOULEVARD 5'!I232</f>
        <v>901400</v>
      </c>
      <c r="L227" s="766">
        <f>IF('BOULEVARD 5'!G232="","",'BOULEVARD 5'!G232)</f>
        <v>45144</v>
      </c>
      <c r="M227" s="764">
        <f t="shared" si="23"/>
        <v>0</v>
      </c>
      <c r="N227" s="767">
        <f>IF('B5-Status cobranza'!AM234&lt;0,'B5-Status cobranza'!AM234,0)</f>
        <v>0</v>
      </c>
      <c r="O227" s="777">
        <f>IF('B5-Status cobranza'!AP234&lt;0,'B5-Status cobranza'!AP234,0)</f>
        <v>0</v>
      </c>
      <c r="P227" s="777">
        <f>IF('B5-Status cobranza'!AP234&gt;0,'B5-Status cobranza'!AP234,0)</f>
        <v>0</v>
      </c>
      <c r="Q227" s="767">
        <f>'B5-Status cobranza'!AV234</f>
        <v>0</v>
      </c>
      <c r="R227" s="764">
        <f t="shared" si="25"/>
        <v>901400</v>
      </c>
      <c r="S227" s="764">
        <f>IF('B5-Status cobranza'!AL234&lt;0,'B5-Status cobranza'!AL234,0)</f>
        <v>0</v>
      </c>
      <c r="T227" s="764">
        <v>0</v>
      </c>
      <c r="U227" s="778">
        <f t="shared" si="24"/>
        <v>0</v>
      </c>
      <c r="V227" s="764">
        <f>IF('B5-Status cobranza'!AL234&gt;0,'B5-Status cobranza'!AL234,0)</f>
        <v>0</v>
      </c>
    </row>
    <row r="228" spans="1:22" ht="12" customHeight="1" x14ac:dyDescent="0.25">
      <c r="A228" s="763" t="str">
        <f>"Apto"&amp;'BOULEVARD 5'!B233</f>
        <v>Apto1304</v>
      </c>
      <c r="B228" s="763">
        <v>1</v>
      </c>
      <c r="C228" s="763" t="str">
        <f>IF('BOULEVARD 5'!A233="","Cliente normal",'BOULEVARD 5'!A233)</f>
        <v>Cliente normal</v>
      </c>
      <c r="D228" s="763" t="str">
        <f>IF('BOULEVARD 5'!E233="","No asignado",'BOULEVARD 5'!E233)</f>
        <v>Antonio Rada</v>
      </c>
      <c r="E228" s="763" t="str">
        <f>IF('BOULEVARD 5'!F233="","No asignado",'BOULEVARD 5'!F233)</f>
        <v>Shirley Hilene Recinos</v>
      </c>
      <c r="F228" s="764">
        <f>'BOULEVARD 5'!AT233</f>
        <v>87981.06</v>
      </c>
      <c r="G228" s="763" t="str">
        <f>'BOULEVARD 5'!BB233</f>
        <v>Cliente Atrasado</v>
      </c>
      <c r="H228" s="764">
        <f>'BOULEVARD PPTO'!BC228</f>
        <v>87981.06</v>
      </c>
      <c r="I228" s="764">
        <f t="shared" si="21"/>
        <v>0</v>
      </c>
      <c r="J228" s="765" t="str">
        <f t="shared" si="22"/>
        <v>Enganche por pagar</v>
      </c>
      <c r="K228" s="764">
        <f>'BOULEVARD 5'!I233</f>
        <v>879281.06</v>
      </c>
      <c r="L228" s="766">
        <f>IF('BOULEVARD 5'!G233="","",'BOULEVARD 5'!G233)</f>
        <v>45223</v>
      </c>
      <c r="M228" s="764">
        <f t="shared" si="23"/>
        <v>0</v>
      </c>
      <c r="N228" s="767">
        <f>IF('B5-Status cobranza'!AM235&lt;0,'B5-Status cobranza'!AM235,0)</f>
        <v>0</v>
      </c>
      <c r="O228" s="777">
        <f>IF('B5-Status cobranza'!AP235&lt;0,'B5-Status cobranza'!AP235,0)</f>
        <v>0</v>
      </c>
      <c r="P228" s="777">
        <f>IF('B5-Status cobranza'!AP235&gt;0,'B5-Status cobranza'!AP235,0)</f>
        <v>0</v>
      </c>
      <c r="Q228" s="767">
        <f>'B5-Status cobranza'!AV235</f>
        <v>0</v>
      </c>
      <c r="R228" s="764">
        <f t="shared" si="25"/>
        <v>879281.06</v>
      </c>
      <c r="S228" s="764">
        <f>IF('B5-Status cobranza'!AL235&lt;0,'B5-Status cobranza'!AL235,0)</f>
        <v>0</v>
      </c>
      <c r="T228" s="764">
        <v>0</v>
      </c>
      <c r="U228" s="778">
        <f t="shared" si="24"/>
        <v>0</v>
      </c>
      <c r="V228" s="764">
        <f>IF('B5-Status cobranza'!AL235&gt;0,'B5-Status cobranza'!AL235,0)</f>
        <v>0</v>
      </c>
    </row>
    <row r="229" spans="1:22" ht="12" customHeight="1" x14ac:dyDescent="0.25">
      <c r="A229" s="763" t="str">
        <f>"Apto"&amp;'BOULEVARD 5'!B234</f>
        <v>Apto1305</v>
      </c>
      <c r="B229" s="763">
        <v>1</v>
      </c>
      <c r="C229" s="763" t="str">
        <f>IF('BOULEVARD 5'!A234="","Cliente normal",'BOULEVARD 5'!A234)</f>
        <v>Cliente normal</v>
      </c>
      <c r="D229" s="763" t="str">
        <f>IF('BOULEVARD 5'!E234="","No asignado",'BOULEVARD 5'!E234)</f>
        <v>Antonio Rada</v>
      </c>
      <c r="E229" s="763" t="str">
        <f>IF('BOULEVARD 5'!F234="","No asignado",'BOULEVARD 5'!F234)</f>
        <v>Jose Salvador Franco Rosales</v>
      </c>
      <c r="F229" s="764">
        <f>'BOULEVARD 5'!AT234</f>
        <v>54936</v>
      </c>
      <c r="G229" s="763" t="str">
        <f>'BOULEVARD 5'!BB234</f>
        <v>Cliente al día</v>
      </c>
      <c r="H229" s="764">
        <f>'BOULEVARD PPTO'!BC229</f>
        <v>66400</v>
      </c>
      <c r="I229" s="764">
        <f t="shared" si="21"/>
        <v>-11464</v>
      </c>
      <c r="J229" s="765" t="str">
        <f t="shared" si="22"/>
        <v>Enganche por pagar</v>
      </c>
      <c r="K229" s="764">
        <f>'BOULEVARD 5'!I234</f>
        <v>663200</v>
      </c>
      <c r="L229" s="766">
        <f>IF('BOULEVARD 5'!G234="","",'BOULEVARD 5'!G234)</f>
        <v>45779</v>
      </c>
      <c r="M229" s="764">
        <f t="shared" si="23"/>
        <v>0</v>
      </c>
      <c r="N229" s="767">
        <f>IF('B5-Status cobranza'!AM236&lt;0,'B5-Status cobranza'!AM236,0)</f>
        <v>0</v>
      </c>
      <c r="O229" s="777">
        <f>IF('B5-Status cobranza'!AP236&lt;0,'B5-Status cobranza'!AP236,0)</f>
        <v>0</v>
      </c>
      <c r="P229" s="777">
        <f>IF('B5-Status cobranza'!AP236&gt;0,'B5-Status cobranza'!AP236,0)</f>
        <v>4585</v>
      </c>
      <c r="Q229" s="767">
        <f>'B5-Status cobranza'!AV236</f>
        <v>917</v>
      </c>
      <c r="R229" s="764">
        <f t="shared" si="25"/>
        <v>663200</v>
      </c>
      <c r="S229" s="764">
        <f>IF('B5-Status cobranza'!AL236&lt;0,'B5-Status cobranza'!AL236,0)</f>
        <v>0</v>
      </c>
      <c r="T229" s="764">
        <v>0</v>
      </c>
      <c r="U229" s="778">
        <f t="shared" si="24"/>
        <v>0</v>
      </c>
      <c r="V229" s="764">
        <f>IF('B5-Status cobranza'!AL236&gt;0,'B5-Status cobranza'!AL236,0)</f>
        <v>917</v>
      </c>
    </row>
    <row r="230" spans="1:22" ht="12" customHeight="1" x14ac:dyDescent="0.25">
      <c r="A230" s="763" t="str">
        <f>"Apto"&amp;'BOULEVARD 5'!B235</f>
        <v>Apto1306</v>
      </c>
      <c r="B230" s="763">
        <v>1</v>
      </c>
      <c r="C230" s="763" t="str">
        <f>IF('BOULEVARD 5'!A235="","Cliente normal",'BOULEVARD 5'!A235)</f>
        <v>Cliente normal</v>
      </c>
      <c r="D230" s="763" t="str">
        <f>IF('BOULEVARD 5'!E235="","No asignado",'BOULEVARD 5'!E235)</f>
        <v>Brenda Búcaro</v>
      </c>
      <c r="E230" s="763" t="s">
        <v>888</v>
      </c>
      <c r="F230" s="764">
        <f>'BOULEVARD 5'!AT235</f>
        <v>82534</v>
      </c>
      <c r="G230" s="763" t="str">
        <f>'BOULEVARD 5'!BB235</f>
        <v>Superávit de Enganche</v>
      </c>
      <c r="H230" s="764">
        <f>'BOULEVARD PPTO'!BC230</f>
        <v>69800</v>
      </c>
      <c r="I230" s="764">
        <f t="shared" si="21"/>
        <v>12734</v>
      </c>
      <c r="J230" s="765" t="str">
        <f t="shared" si="22"/>
        <v>Superavit de enganche</v>
      </c>
      <c r="K230" s="764">
        <f>'BOULEVARD 5'!I235</f>
        <v>697500</v>
      </c>
      <c r="L230" s="766">
        <f>IF('BOULEVARD 5'!G235="","",'BOULEVARD 5'!G235)</f>
        <v>45054</v>
      </c>
      <c r="M230" s="764">
        <f t="shared" si="23"/>
        <v>0</v>
      </c>
      <c r="N230" s="767">
        <f>IF('B5-Status cobranza'!AM237&lt;0,'B5-Status cobranza'!AM237,0)</f>
        <v>0</v>
      </c>
      <c r="O230" s="777">
        <f>IF('B5-Status cobranza'!AP237&lt;0,'B5-Status cobranza'!AP237,0)</f>
        <v>-2800</v>
      </c>
      <c r="P230" s="777">
        <f>IF('B5-Status cobranza'!AP237&gt;0,'B5-Status cobranza'!AP237,0)</f>
        <v>0</v>
      </c>
      <c r="Q230" s="767">
        <f>'B5-Status cobranza'!AV237</f>
        <v>0</v>
      </c>
      <c r="R230" s="764">
        <f t="shared" si="25"/>
        <v>697500</v>
      </c>
      <c r="S230" s="764">
        <f>IF('B5-Status cobranza'!AL237&lt;0,'B5-Status cobranza'!AL237,0)</f>
        <v>-550</v>
      </c>
      <c r="T230" s="764">
        <v>0</v>
      </c>
      <c r="U230" s="778">
        <f t="shared" si="24"/>
        <v>0</v>
      </c>
      <c r="V230" s="764">
        <f>IF('B5-Status cobranza'!AL237&gt;0,'B5-Status cobranza'!AL237,0)</f>
        <v>0</v>
      </c>
    </row>
    <row r="231" spans="1:22" ht="12" customHeight="1" x14ac:dyDescent="0.25">
      <c r="A231" s="763" t="str">
        <f>"Apto"&amp;'BOULEVARD 5'!B236</f>
        <v>Apto1307</v>
      </c>
      <c r="B231" s="763">
        <v>1</v>
      </c>
      <c r="C231" s="763" t="str">
        <f>IF('BOULEVARD 5'!A236="","Cliente normal",'BOULEVARD 5'!A236)</f>
        <v>F&amp;F</v>
      </c>
      <c r="D231" s="763" t="str">
        <f>IF('BOULEVARD 5'!E236="","No asignado",'BOULEVARD 5'!E236)</f>
        <v>Jose Franco</v>
      </c>
      <c r="E231" s="763" t="str">
        <f>IF('BOULEVARD 5'!F236="","No asignado",'BOULEVARD 5'!F236)</f>
        <v>Fernando José Franco Jiménez</v>
      </c>
      <c r="F231" s="764">
        <f>'BOULEVARD 5'!AT236</f>
        <v>8800</v>
      </c>
      <c r="G231" s="763" t="str">
        <f>'BOULEVARD 5'!BB236</f>
        <v>Cliente Atrasado</v>
      </c>
      <c r="H231" s="764">
        <f>'BOULEVARD PPTO'!BC231</f>
        <v>67932</v>
      </c>
      <c r="I231" s="764">
        <f t="shared" si="21"/>
        <v>-59132</v>
      </c>
      <c r="J231" s="765" t="str">
        <f t="shared" si="22"/>
        <v>Enganche por pagar</v>
      </c>
      <c r="K231" s="764">
        <f>'BOULEVARD 5'!I236</f>
        <v>678932</v>
      </c>
      <c r="L231" s="766">
        <f>IF('BOULEVARD 5'!G236="","",'BOULEVARD 5'!G236)</f>
        <v>45016</v>
      </c>
      <c r="M231" s="764">
        <f t="shared" si="23"/>
        <v>0</v>
      </c>
      <c r="N231" s="767">
        <f>IF('B5-Status cobranza'!AM238&lt;0,'B5-Status cobranza'!AM238,0)</f>
        <v>0</v>
      </c>
      <c r="O231" s="777">
        <f>IF('B5-Status cobranza'!AP238&lt;0,'B5-Status cobranza'!AP238,0)</f>
        <v>0</v>
      </c>
      <c r="P231" s="777">
        <f>IF('B5-Status cobranza'!AP238&gt;0,'B5-Status cobranza'!AP238,0)</f>
        <v>0</v>
      </c>
      <c r="Q231" s="767">
        <f>'B5-Status cobranza'!AV238</f>
        <v>0</v>
      </c>
      <c r="R231" s="764">
        <f t="shared" si="25"/>
        <v>678932</v>
      </c>
      <c r="S231" s="764">
        <f>IF('B5-Status cobranza'!AL238&lt;0,'B5-Status cobranza'!AL238,0)</f>
        <v>0</v>
      </c>
      <c r="T231" s="764">
        <v>0</v>
      </c>
      <c r="U231" s="778">
        <f t="shared" si="24"/>
        <v>0</v>
      </c>
      <c r="V231" s="764">
        <f>IF('B5-Status cobranza'!AL238&gt;0,'B5-Status cobranza'!AL238,0)</f>
        <v>0</v>
      </c>
    </row>
    <row r="232" spans="1:22" ht="12" customHeight="1" x14ac:dyDescent="0.25">
      <c r="A232" s="763" t="str">
        <f>"Apto"&amp;'BOULEVARD 5'!B237</f>
        <v>Apto1308</v>
      </c>
      <c r="B232" s="763">
        <v>1</v>
      </c>
      <c r="C232" s="763" t="str">
        <f>IF('BOULEVARD 5'!A237="","Cliente normal",'BOULEVARD 5'!A237)</f>
        <v>Cliente normal</v>
      </c>
      <c r="D232" s="763" t="str">
        <f>IF('BOULEVARD 5'!E237="","No asignado",'BOULEVARD 5'!E237)</f>
        <v>Antonio Rada</v>
      </c>
      <c r="E232" s="763" t="str">
        <f>IF('BOULEVARD 5'!F237="","No asignado",'BOULEVARD 5'!F237)</f>
        <v>Gerson Alexander Urias Marquez</v>
      </c>
      <c r="F232" s="764">
        <f>'BOULEVARD 5'!AT237</f>
        <v>118400</v>
      </c>
      <c r="G232" s="763" t="str">
        <f>'BOULEVARD 5'!BB237</f>
        <v>Cliente Atrasado</v>
      </c>
      <c r="H232" s="764">
        <f>'BOULEVARD PPTO'!BC232</f>
        <v>118393</v>
      </c>
      <c r="I232" s="764">
        <f t="shared" si="21"/>
        <v>7</v>
      </c>
      <c r="J232" s="765" t="str">
        <f t="shared" si="22"/>
        <v>Superavit de enganche</v>
      </c>
      <c r="K232" s="764">
        <f>'BOULEVARD 5'!I237</f>
        <v>1183693</v>
      </c>
      <c r="L232" s="766">
        <f>IF('BOULEVARD 5'!G237="","",'BOULEVARD 5'!G237)</f>
        <v>45230</v>
      </c>
      <c r="M232" s="764">
        <f t="shared" si="23"/>
        <v>0</v>
      </c>
      <c r="N232" s="767">
        <f>IF('B5-Status cobranza'!AM239&lt;0,'B5-Status cobranza'!AM239,0)</f>
        <v>0</v>
      </c>
      <c r="O232" s="777">
        <f>IF('B5-Status cobranza'!AP239&lt;0,'B5-Status cobranza'!AP239,0)</f>
        <v>0</v>
      </c>
      <c r="P232" s="777">
        <f>IF('B5-Status cobranza'!AP239&gt;0,'B5-Status cobranza'!AP239,0)</f>
        <v>7</v>
      </c>
      <c r="Q232" s="767">
        <f>'B5-Status cobranza'!AV239</f>
        <v>0</v>
      </c>
      <c r="R232" s="764">
        <f t="shared" si="25"/>
        <v>1183693</v>
      </c>
      <c r="S232" s="764">
        <f>IF('B5-Status cobranza'!AL239&lt;0,'B5-Status cobranza'!AL239,0)</f>
        <v>0</v>
      </c>
      <c r="T232" s="764">
        <v>0</v>
      </c>
      <c r="U232" s="778">
        <f t="shared" si="24"/>
        <v>0</v>
      </c>
      <c r="V232" s="764">
        <f>IF('B5-Status cobranza'!AL239&gt;0,'B5-Status cobranza'!AL239,0)</f>
        <v>7</v>
      </c>
    </row>
    <row r="233" spans="1:22" ht="12" customHeight="1" x14ac:dyDescent="0.25">
      <c r="A233" s="763" t="str">
        <f>"Apto"&amp;'BOULEVARD 5'!B238</f>
        <v>Apto1309</v>
      </c>
      <c r="B233" s="763">
        <v>1</v>
      </c>
      <c r="C233" s="763" t="str">
        <f>G233</f>
        <v>Disponible</v>
      </c>
      <c r="D233" s="763" t="str">
        <f>IF('BOULEVARD 5'!E238="","No asignado",'BOULEVARD 5'!E238)</f>
        <v>No asignado</v>
      </c>
      <c r="E233" s="763" t="str">
        <f>IF('BOULEVARD 5'!F238="","No asignado",'BOULEVARD 5'!F238)</f>
        <v>No asignado</v>
      </c>
      <c r="F233" s="764">
        <f>'BOULEVARD 5'!AT238</f>
        <v>0</v>
      </c>
      <c r="G233" s="763" t="str">
        <f>'BOULEVARD 5'!BB238</f>
        <v>Disponible</v>
      </c>
      <c r="H233" s="764">
        <f>'BOULEVARD PPTO'!BC233</f>
        <v>0</v>
      </c>
      <c r="I233" s="764">
        <f t="shared" si="21"/>
        <v>0</v>
      </c>
      <c r="J233" s="765" t="str">
        <f t="shared" si="22"/>
        <v>Enganche por pagar</v>
      </c>
      <c r="K233" s="764">
        <f>'BOULEVARD 5'!I238</f>
        <v>1603000</v>
      </c>
      <c r="L233" s="766" t="str">
        <f>IF('BOULEVARD 5'!G238="","",'BOULEVARD 5'!G238)</f>
        <v/>
      </c>
      <c r="M233" s="764">
        <f t="shared" si="23"/>
        <v>1603000</v>
      </c>
      <c r="N233" s="767">
        <f>IF('B5-Status cobranza'!AM240&lt;0,'B5-Status cobranza'!AM240,0)</f>
        <v>0</v>
      </c>
      <c r="O233" s="777">
        <f>IF('B5-Status cobranza'!AP240&lt;0,'B5-Status cobranza'!AP240,0)</f>
        <v>0</v>
      </c>
      <c r="P233" s="777">
        <f>IF('B5-Status cobranza'!AP240&gt;0,'B5-Status cobranza'!AP240,0)</f>
        <v>0</v>
      </c>
      <c r="Q233" s="767">
        <f>'B5-Status cobranza'!AV240</f>
        <v>0</v>
      </c>
      <c r="R233" s="764">
        <f t="shared" si="25"/>
        <v>0</v>
      </c>
      <c r="S233" s="764">
        <f>IF('B5-Status cobranza'!AL240&lt;0,'B5-Status cobranza'!AL240,0)</f>
        <v>0</v>
      </c>
      <c r="T233" s="764">
        <v>0</v>
      </c>
      <c r="U233" s="778">
        <f t="shared" si="24"/>
        <v>0</v>
      </c>
      <c r="V233" s="764">
        <f>IF('B5-Status cobranza'!AL240&gt;0,'B5-Status cobranza'!AL240,0)</f>
        <v>0</v>
      </c>
    </row>
    <row r="234" spans="1:22" ht="12" customHeight="1" x14ac:dyDescent="0.25">
      <c r="A234" s="763" t="str">
        <f>"Apto"&amp;'BOULEVARD 5'!B239</f>
        <v>Apto1310</v>
      </c>
      <c r="B234" s="763">
        <v>1</v>
      </c>
      <c r="C234" s="763" t="str">
        <f>IF('BOULEVARD 5'!A239="","Cliente normal",'BOULEVARD 5'!A239)</f>
        <v>Cliente normal</v>
      </c>
      <c r="D234" s="763" t="str">
        <f>IF('BOULEVARD 5'!E239="","No asignado",'BOULEVARD 5'!E239)</f>
        <v>Jose Franco</v>
      </c>
      <c r="E234" s="763" t="s">
        <v>889</v>
      </c>
      <c r="F234" s="764">
        <f>'BOULEVARD 5'!AT239</f>
        <v>108000</v>
      </c>
      <c r="G234" s="763" t="str">
        <f>'BOULEVARD 5'!BB239</f>
        <v>Cliente al día</v>
      </c>
      <c r="H234" s="764">
        <f>'BOULEVARD PPTO'!BC234</f>
        <v>111100</v>
      </c>
      <c r="I234" s="764">
        <f t="shared" si="21"/>
        <v>-3100</v>
      </c>
      <c r="J234" s="765" t="str">
        <f t="shared" si="22"/>
        <v>Enganche por pagar</v>
      </c>
      <c r="K234" s="764">
        <f>'BOULEVARD 5'!I239</f>
        <v>1166200</v>
      </c>
      <c r="L234" s="766">
        <f>IF('BOULEVARD 5'!G239="","",'BOULEVARD 5'!G239)</f>
        <v>45012</v>
      </c>
      <c r="M234" s="764">
        <f t="shared" si="23"/>
        <v>0</v>
      </c>
      <c r="N234" s="767">
        <f>IF('B5-Status cobranza'!AM241&lt;0,'B5-Status cobranza'!AM241,0)</f>
        <v>0</v>
      </c>
      <c r="O234" s="777">
        <f>IF('B5-Status cobranza'!AP241&lt;0,'B5-Status cobranza'!AP241,0)</f>
        <v>0</v>
      </c>
      <c r="P234" s="777">
        <f>IF('B5-Status cobranza'!AP241&gt;0,'B5-Status cobranza'!AP241,0)</f>
        <v>0</v>
      </c>
      <c r="Q234" s="767">
        <f>'B5-Status cobranza'!AV241</f>
        <v>0</v>
      </c>
      <c r="R234" s="764">
        <f t="shared" si="25"/>
        <v>1166200</v>
      </c>
      <c r="S234" s="764">
        <f>IF('B5-Status cobranza'!AL241&lt;0,'B5-Status cobranza'!AL241,0)</f>
        <v>0</v>
      </c>
      <c r="T234" s="764">
        <v>0</v>
      </c>
      <c r="U234" s="778">
        <f t="shared" si="24"/>
        <v>0</v>
      </c>
      <c r="V234" s="764">
        <f>IF('B5-Status cobranza'!AL241&gt;0,'B5-Status cobranza'!AL241,0)</f>
        <v>0</v>
      </c>
    </row>
    <row r="235" spans="1:22" ht="12" customHeight="1" x14ac:dyDescent="0.25">
      <c r="A235" s="763" t="str">
        <f>"Apto"&amp;'BOULEVARD 5'!B240</f>
        <v>Apto1311</v>
      </c>
      <c r="B235" s="763">
        <v>1</v>
      </c>
      <c r="C235" s="763" t="str">
        <f>IF('BOULEVARD 5'!A240="","Cliente normal",'BOULEVARD 5'!A240)</f>
        <v>Cliente normal</v>
      </c>
      <c r="D235" s="763" t="str">
        <f>IF('BOULEVARD 5'!E240="","No asignado",'BOULEVARD 5'!E240)</f>
        <v>Antonio Rada</v>
      </c>
      <c r="E235" s="763" t="str">
        <f>IF('BOULEVARD 5'!F240="","No asignado",'BOULEVARD 5'!F240)</f>
        <v>Luis Gabriel Garrido Blanco</v>
      </c>
      <c r="F235" s="764">
        <f>'BOULEVARD 5'!AT240</f>
        <v>114496</v>
      </c>
      <c r="G235" s="763" t="str">
        <f>'BOULEVARD 5'!BB240</f>
        <v>Cliente Atrasado</v>
      </c>
      <c r="H235" s="764">
        <f>'BOULEVARD PPTO'!BC235</f>
        <v>102201</v>
      </c>
      <c r="I235" s="764">
        <f t="shared" si="21"/>
        <v>12295</v>
      </c>
      <c r="J235" s="765" t="str">
        <f t="shared" si="22"/>
        <v>Superavit de enganche</v>
      </c>
      <c r="K235" s="764">
        <f>'BOULEVARD 5'!I240</f>
        <v>1022010</v>
      </c>
      <c r="L235" s="766">
        <f>IF('BOULEVARD 5'!G240="","",'BOULEVARD 5'!G240)</f>
        <v>45202</v>
      </c>
      <c r="M235" s="764">
        <f t="shared" si="23"/>
        <v>0</v>
      </c>
      <c r="N235" s="767">
        <f>IF('B5-Status cobranza'!AM242&lt;0,'B5-Status cobranza'!AM242,0)</f>
        <v>0</v>
      </c>
      <c r="O235" s="777">
        <f>IF('B5-Status cobranza'!AP242&lt;0,'B5-Status cobranza'!AP242,0)</f>
        <v>0</v>
      </c>
      <c r="P235" s="777">
        <f>IF('B5-Status cobranza'!AP242&gt;0,'B5-Status cobranza'!AP242,0)</f>
        <v>4103</v>
      </c>
      <c r="Q235" s="767">
        <f>'B5-Status cobranza'!AV242</f>
        <v>8192</v>
      </c>
      <c r="R235" s="764">
        <f t="shared" si="25"/>
        <v>1022010</v>
      </c>
      <c r="S235" s="764">
        <f>IF('B5-Status cobranza'!AL242&lt;0,'B5-Status cobranza'!AL242,0)</f>
        <v>0</v>
      </c>
      <c r="T235" s="764">
        <v>4096</v>
      </c>
      <c r="U235" s="778">
        <f t="shared" si="24"/>
        <v>1.348701772469401E-2</v>
      </c>
      <c r="V235" s="764">
        <f>IF('B5-Status cobranza'!AL242&gt;0,'B5-Status cobranza'!AL242,0)</f>
        <v>7</v>
      </c>
    </row>
    <row r="236" spans="1:22" ht="12" customHeight="1" x14ac:dyDescent="0.25">
      <c r="A236" s="763" t="str">
        <f>"Apto"&amp;'BOULEVARD 5'!B241</f>
        <v>Apto1312</v>
      </c>
      <c r="B236" s="763">
        <v>1</v>
      </c>
      <c r="C236" s="763" t="str">
        <f>IF('BOULEVARD 5'!A241="","Cliente normal",'BOULEVARD 5'!A241)</f>
        <v>Cliente normal</v>
      </c>
      <c r="D236" s="763" t="str">
        <f>IF('BOULEVARD 5'!E241="","No asignado",'BOULEVARD 5'!E241)</f>
        <v>Brenda Búcaro</v>
      </c>
      <c r="E236" s="763" t="str">
        <f>IF('BOULEVARD 5'!F241="","No asignado",'BOULEVARD 5'!F241)</f>
        <v>Arturo Alfredo Monzón López</v>
      </c>
      <c r="F236" s="764">
        <f>'BOULEVARD 5'!AT241</f>
        <v>66000</v>
      </c>
      <c r="G236" s="763" t="str">
        <f>'BOULEVARD 5'!BB241</f>
        <v>Cliente Atrasado</v>
      </c>
      <c r="H236" s="764">
        <f>'BOULEVARD PPTO'!BC236</f>
        <v>66700</v>
      </c>
      <c r="I236" s="764">
        <f t="shared" si="21"/>
        <v>-700</v>
      </c>
      <c r="J236" s="765" t="str">
        <f t="shared" si="22"/>
        <v>Enganche por pagar</v>
      </c>
      <c r="K236" s="764">
        <f>'BOULEVARD 5'!I241</f>
        <v>703500</v>
      </c>
      <c r="L236" s="766">
        <f>IF('BOULEVARD 5'!G241="","",'BOULEVARD 5'!G241)</f>
        <v>45034</v>
      </c>
      <c r="M236" s="764">
        <f t="shared" si="23"/>
        <v>0</v>
      </c>
      <c r="N236" s="767">
        <f>IF('B5-Status cobranza'!AM243&lt;0,'B5-Status cobranza'!AM243,0)</f>
        <v>0</v>
      </c>
      <c r="O236" s="777">
        <f>IF('B5-Status cobranza'!AP243&lt;0,'B5-Status cobranza'!AP243,0)</f>
        <v>-6700</v>
      </c>
      <c r="P236" s="777">
        <f>IF('B5-Status cobranza'!AP243&gt;0,'B5-Status cobranza'!AP243,0)</f>
        <v>0</v>
      </c>
      <c r="Q236" s="767">
        <f>'B5-Status cobranza'!AV243</f>
        <v>0</v>
      </c>
      <c r="R236" s="764">
        <f t="shared" si="25"/>
        <v>703500</v>
      </c>
      <c r="S236" s="764">
        <f>IF('B5-Status cobranza'!AL243&lt;0,'B5-Status cobranza'!AL243,0)</f>
        <v>-2700</v>
      </c>
      <c r="T236" s="764">
        <v>0</v>
      </c>
      <c r="U236" s="778">
        <f t="shared" si="24"/>
        <v>0</v>
      </c>
      <c r="V236" s="764">
        <f>IF('B5-Status cobranza'!AL243&gt;0,'B5-Status cobranza'!AL243,0)</f>
        <v>0</v>
      </c>
    </row>
    <row r="237" spans="1:22" ht="12" customHeight="1" x14ac:dyDescent="0.25">
      <c r="A237" s="763" t="str">
        <f>"Apto"&amp;'BOULEVARD 5'!B242</f>
        <v>Apto1313</v>
      </c>
      <c r="B237" s="763">
        <v>1</v>
      </c>
      <c r="C237" s="763" t="str">
        <f>IF('BOULEVARD 5'!A242="","Cliente normal",'BOULEVARD 5'!A242)</f>
        <v>Cliente normal</v>
      </c>
      <c r="D237" s="763" t="str">
        <f>IF('BOULEVARD 5'!E242="","No asignado",'BOULEVARD 5'!E242)</f>
        <v>Jose Franco</v>
      </c>
      <c r="E237" s="763" t="str">
        <f>IF('BOULEVARD 5'!F242="","No asignado",'BOULEVARD 5'!F242)</f>
        <v>Marcas &amp; Secretos, S.A.</v>
      </c>
      <c r="F237" s="764">
        <f>'BOULEVARD 5'!AT242</f>
        <v>64639</v>
      </c>
      <c r="G237" s="763" t="str">
        <f>'BOULEVARD 5'!BB242</f>
        <v>Cliente Atrasado</v>
      </c>
      <c r="H237" s="764">
        <f>'BOULEVARD PPTO'!BC237</f>
        <v>64639</v>
      </c>
      <c r="I237" s="764">
        <f t="shared" si="21"/>
        <v>0</v>
      </c>
      <c r="J237" s="765" t="str">
        <f t="shared" si="22"/>
        <v>Enganche por pagar</v>
      </c>
      <c r="K237" s="764">
        <f>'BOULEVARD 5'!I242</f>
        <v>645649</v>
      </c>
      <c r="L237" s="766">
        <f>IF('BOULEVARD 5'!G242="","",'BOULEVARD 5'!G242)</f>
        <v>45021</v>
      </c>
      <c r="M237" s="764">
        <f t="shared" si="23"/>
        <v>0</v>
      </c>
      <c r="N237" s="767">
        <f>IF('B5-Status cobranza'!AM244&lt;0,'B5-Status cobranza'!AM244,0)</f>
        <v>0</v>
      </c>
      <c r="O237" s="777">
        <f>IF('B5-Status cobranza'!AP244&lt;0,'B5-Status cobranza'!AP244,0)</f>
        <v>0</v>
      </c>
      <c r="P237" s="777">
        <f>IF('B5-Status cobranza'!AP244&gt;0,'B5-Status cobranza'!AP244,0)</f>
        <v>0</v>
      </c>
      <c r="Q237" s="767">
        <f>'B5-Status cobranza'!AV244</f>
        <v>0</v>
      </c>
      <c r="R237" s="764">
        <f t="shared" si="25"/>
        <v>645649</v>
      </c>
      <c r="S237" s="764">
        <f>IF('B5-Status cobranza'!AL244&lt;0,'B5-Status cobranza'!AL244,0)</f>
        <v>0</v>
      </c>
      <c r="T237" s="764">
        <v>0</v>
      </c>
      <c r="U237" s="778">
        <f t="shared" si="24"/>
        <v>0</v>
      </c>
      <c r="V237" s="764">
        <f>IF('B5-Status cobranza'!AL244&gt;0,'B5-Status cobranza'!AL244,0)</f>
        <v>0</v>
      </c>
    </row>
    <row r="238" spans="1:22" ht="12" customHeight="1" x14ac:dyDescent="0.25">
      <c r="A238" s="763" t="str">
        <f>"Apto"&amp;'BOULEVARD 5'!B243</f>
        <v>Apto1314</v>
      </c>
      <c r="B238" s="763">
        <v>1</v>
      </c>
      <c r="C238" s="763" t="str">
        <f>IF('BOULEVARD 5'!A243="","Cliente normal",'BOULEVARD 5'!A243)</f>
        <v>Cliente normal</v>
      </c>
      <c r="D238" s="763" t="str">
        <f>IF('BOULEVARD 5'!E243="","No asignado",'BOULEVARD 5'!E243)</f>
        <v>Brenda Búcaro</v>
      </c>
      <c r="E238" s="763" t="str">
        <f>IF('BOULEVARD 5'!F243="","No asignado",'BOULEVARD 5'!F243)</f>
        <v>Sidney Alexander Osorio Montufar</v>
      </c>
      <c r="F238" s="764">
        <f>'BOULEVARD 5'!AT243</f>
        <v>50200</v>
      </c>
      <c r="G238" s="763" t="str">
        <f>'BOULEVARD 5'!BB243</f>
        <v>Cliente al día</v>
      </c>
      <c r="H238" s="764">
        <f>'BOULEVARD PPTO'!BC238</f>
        <v>71600</v>
      </c>
      <c r="I238" s="764">
        <f t="shared" si="21"/>
        <v>-21400</v>
      </c>
      <c r="J238" s="765" t="str">
        <f t="shared" si="22"/>
        <v>Enganche por pagar</v>
      </c>
      <c r="K238" s="764">
        <f>'BOULEVARD 5'!I243</f>
        <v>715600</v>
      </c>
      <c r="L238" s="766">
        <f>IF('BOULEVARD 5'!G243="","",'BOULEVARD 5'!G243)</f>
        <v>45005</v>
      </c>
      <c r="M238" s="764">
        <f t="shared" si="23"/>
        <v>0</v>
      </c>
      <c r="N238" s="767">
        <f>IF('B5-Status cobranza'!AM245&lt;0,'B5-Status cobranza'!AM245,0)</f>
        <v>0</v>
      </c>
      <c r="O238" s="777">
        <f>IF('B5-Status cobranza'!AP245&lt;0,'B5-Status cobranza'!AP245,0)</f>
        <v>0</v>
      </c>
      <c r="P238" s="777">
        <f>IF('B5-Status cobranza'!AP245&gt;0,'B5-Status cobranza'!AP245,0)</f>
        <v>0</v>
      </c>
      <c r="Q238" s="767">
        <f>'B5-Status cobranza'!AV245</f>
        <v>0</v>
      </c>
      <c r="R238" s="764">
        <f t="shared" si="25"/>
        <v>715600</v>
      </c>
      <c r="S238" s="764">
        <f>IF('B5-Status cobranza'!AL245&lt;0,'B5-Status cobranza'!AL245,0)</f>
        <v>0</v>
      </c>
      <c r="T238" s="764">
        <v>0</v>
      </c>
      <c r="U238" s="778">
        <f t="shared" si="24"/>
        <v>0</v>
      </c>
      <c r="V238" s="764">
        <f>IF('B5-Status cobranza'!AL245&gt;0,'B5-Status cobranza'!AL245,0)</f>
        <v>0</v>
      </c>
    </row>
    <row r="239" spans="1:22" ht="12" customHeight="1" x14ac:dyDescent="0.25">
      <c r="A239" s="763" t="str">
        <f>"Apto"&amp;'BOULEVARD 5'!B244</f>
        <v>Apto1315</v>
      </c>
      <c r="B239" s="763">
        <v>1</v>
      </c>
      <c r="C239" s="763" t="str">
        <f>IF('BOULEVARD 5'!A244="","Cliente normal",'BOULEVARD 5'!A244)</f>
        <v>Cliente normal</v>
      </c>
      <c r="D239" s="763" t="str">
        <f>IF('BOULEVARD 5'!E244="","No asignado",'BOULEVARD 5'!E244)</f>
        <v>Anahí Cisneros</v>
      </c>
      <c r="E239" s="763" t="str">
        <f>IF('BOULEVARD 5'!F244="","No asignado",'BOULEVARD 5'!F244)</f>
        <v>Alan Gonzalez Choc</v>
      </c>
      <c r="F239" s="764">
        <f>'BOULEVARD 5'!AT244</f>
        <v>696636.99</v>
      </c>
      <c r="G239" s="763" t="str">
        <f>'BOULEVARD 5'!BB244</f>
        <v>Cliente Atrasado</v>
      </c>
      <c r="H239" s="764">
        <f>'BOULEVARD PPTO'!BC239</f>
        <v>1072273.99</v>
      </c>
      <c r="I239" s="764">
        <f t="shared" si="21"/>
        <v>-375637</v>
      </c>
      <c r="J239" s="765" t="str">
        <f t="shared" si="22"/>
        <v>Enganche por pagar</v>
      </c>
      <c r="K239" s="764">
        <f>'BOULEVARD 5'!I244</f>
        <v>1072218.69827634</v>
      </c>
      <c r="L239" s="766">
        <f>IF('BOULEVARD 5'!G244="","",'BOULEVARD 5'!G244)</f>
        <v>45856</v>
      </c>
      <c r="M239" s="764">
        <f t="shared" si="23"/>
        <v>0</v>
      </c>
      <c r="N239" s="767">
        <f>IF('B5-Status cobranza'!AM246&lt;0,'B5-Status cobranza'!AM246,0)</f>
        <v>0</v>
      </c>
      <c r="O239" s="777">
        <f>IF('B5-Status cobranza'!AP246&lt;0,'B5-Status cobranza'!AP246,0)</f>
        <v>-32100</v>
      </c>
      <c r="P239" s="777">
        <f>IF('B5-Status cobranza'!AP246&gt;0,'B5-Status cobranza'!AP246,0)</f>
        <v>0</v>
      </c>
      <c r="Q239" s="767">
        <f>'B5-Status cobranza'!AV246</f>
        <v>0</v>
      </c>
      <c r="R239" s="764">
        <f t="shared" si="25"/>
        <v>1072218.69827634</v>
      </c>
      <c r="S239" s="764">
        <f>IF('B5-Status cobranza'!AL246&lt;0,'B5-Status cobranza'!AL246,0)</f>
        <v>0</v>
      </c>
      <c r="T239" s="764">
        <v>0</v>
      </c>
      <c r="U239" s="778">
        <f t="shared" si="24"/>
        <v>0</v>
      </c>
      <c r="V239" s="764">
        <f>IF('B5-Status cobranza'!AL246&gt;0,'B5-Status cobranza'!AL246,0)</f>
        <v>0</v>
      </c>
    </row>
    <row r="240" spans="1:22" ht="12" customHeight="1" x14ac:dyDescent="0.25">
      <c r="A240" s="763" t="str">
        <f>"Apto"&amp;'BOULEVARD 5'!B245</f>
        <v>Apto1316</v>
      </c>
      <c r="B240" s="763">
        <v>1</v>
      </c>
      <c r="C240" s="763" t="str">
        <f>IF('BOULEVARD 5'!A245="","Cliente normal",'BOULEVARD 5'!A245)</f>
        <v>Cliente normal</v>
      </c>
      <c r="D240" s="763" t="str">
        <f>IF('BOULEVARD 5'!E245="","No asignado",'BOULEVARD 5'!E245)</f>
        <v>Antonio Rada</v>
      </c>
      <c r="E240" s="763" t="str">
        <f>IF('BOULEVARD 5'!F245="","No asignado",'BOULEVARD 5'!F245)</f>
        <v>Juan Ernesto Vossberg Ordoñez / Sumilab</v>
      </c>
      <c r="F240" s="764">
        <f>'BOULEVARD 5'!AT245</f>
        <v>84356</v>
      </c>
      <c r="G240" s="763" t="str">
        <f>'BOULEVARD 5'!BB245</f>
        <v>Cliente Atrasado</v>
      </c>
      <c r="H240" s="764">
        <f>'BOULEVARD PPTO'!BC240</f>
        <v>87981.06</v>
      </c>
      <c r="I240" s="764">
        <f t="shared" si="21"/>
        <v>-3625.0599999999977</v>
      </c>
      <c r="J240" s="765" t="str">
        <f t="shared" si="22"/>
        <v>Enganche por pagar</v>
      </c>
      <c r="K240" s="764">
        <f>'BOULEVARD 5'!I245</f>
        <v>879281.06</v>
      </c>
      <c r="L240" s="766">
        <f>IF('BOULEVARD 5'!G245="","",'BOULEVARD 5'!G245)</f>
        <v>45232</v>
      </c>
      <c r="M240" s="764">
        <f t="shared" si="23"/>
        <v>0</v>
      </c>
      <c r="N240" s="767">
        <f>IF('B5-Status cobranza'!AM247&lt;0,'B5-Status cobranza'!AM247,0)</f>
        <v>0</v>
      </c>
      <c r="O240" s="777">
        <f>IF('B5-Status cobranza'!AP247&lt;0,'B5-Status cobranza'!AP247,0)</f>
        <v>-3625.06</v>
      </c>
      <c r="P240" s="777">
        <f>IF('B5-Status cobranza'!AP247&gt;0,'B5-Status cobranza'!AP247,0)</f>
        <v>0</v>
      </c>
      <c r="Q240" s="767">
        <f>'B5-Status cobranza'!AV247</f>
        <v>0</v>
      </c>
      <c r="R240" s="764">
        <f t="shared" si="25"/>
        <v>879281.06</v>
      </c>
      <c r="S240" s="764">
        <f>IF('B5-Status cobranza'!AL247&lt;0,'B5-Status cobranza'!AL247,0)</f>
        <v>-3625.06</v>
      </c>
      <c r="T240" s="764">
        <v>0</v>
      </c>
      <c r="U240" s="778">
        <f t="shared" si="24"/>
        <v>0</v>
      </c>
      <c r="V240" s="764">
        <f>IF('B5-Status cobranza'!AL247&gt;0,'B5-Status cobranza'!AL247,0)</f>
        <v>0</v>
      </c>
    </row>
    <row r="241" spans="1:22" ht="12" customHeight="1" x14ac:dyDescent="0.25">
      <c r="A241" s="763" t="str">
        <f>"Apto"&amp;'BOULEVARD 5'!B246</f>
        <v>Apto1317</v>
      </c>
      <c r="B241" s="763">
        <v>1</v>
      </c>
      <c r="C241" s="763" t="str">
        <f>IF('BOULEVARD 5'!A246="","Cliente normal",'BOULEVARD 5'!A246)</f>
        <v>Cliente normal</v>
      </c>
      <c r="D241" s="763" t="str">
        <f>IF('BOULEVARD 5'!E246="","No asignado",'BOULEVARD 5'!E246)</f>
        <v>Antonio Rada</v>
      </c>
      <c r="E241" s="763" t="str">
        <f>IF('BOULEVARD 5'!F246="","No asignado",'BOULEVARD 5'!F246)</f>
        <v>Marcos David Boror Alpirez</v>
      </c>
      <c r="F241" s="764">
        <f>'BOULEVARD 5'!AT246</f>
        <v>139285</v>
      </c>
      <c r="G241" s="763" t="str">
        <f>'BOULEVARD 5'!BB246</f>
        <v>Cliente Atrasado</v>
      </c>
      <c r="H241" s="764">
        <f>'BOULEVARD PPTO'!BC241</f>
        <v>131685</v>
      </c>
      <c r="I241" s="764">
        <f t="shared" si="21"/>
        <v>7600</v>
      </c>
      <c r="J241" s="765" t="str">
        <f t="shared" si="22"/>
        <v>Superavit de enganche</v>
      </c>
      <c r="K241" s="764">
        <f>'BOULEVARD 5'!I246</f>
        <v>1316385</v>
      </c>
      <c r="L241" s="766">
        <f>IF('BOULEVARD 5'!G246="","",'BOULEVARD 5'!G246)</f>
        <v>45525</v>
      </c>
      <c r="M241" s="764">
        <f t="shared" si="23"/>
        <v>0</v>
      </c>
      <c r="N241" s="767">
        <f>IF('B5-Status cobranza'!AM248&lt;0,'B5-Status cobranza'!AM248,0)</f>
        <v>0</v>
      </c>
      <c r="O241" s="777">
        <f>IF('B5-Status cobranza'!AP248&lt;0,'B5-Status cobranza'!AP248,0)</f>
        <v>0</v>
      </c>
      <c r="P241" s="777">
        <f>IF('B5-Status cobranza'!AP248&gt;0,'B5-Status cobranza'!AP248,0)</f>
        <v>0</v>
      </c>
      <c r="Q241" s="767">
        <f>'B5-Status cobranza'!AV248</f>
        <v>0</v>
      </c>
      <c r="R241" s="764">
        <f t="shared" si="25"/>
        <v>1316385</v>
      </c>
      <c r="S241" s="764">
        <f>IF('B5-Status cobranza'!AL248&lt;0,'B5-Status cobranza'!AL248,0)</f>
        <v>0</v>
      </c>
      <c r="T241" s="764">
        <v>0</v>
      </c>
      <c r="U241" s="778">
        <f t="shared" si="24"/>
        <v>0</v>
      </c>
      <c r="V241" s="764">
        <f>IF('B5-Status cobranza'!AL248&gt;0,'B5-Status cobranza'!AL248,0)</f>
        <v>0</v>
      </c>
    </row>
    <row r="242" spans="1:22" ht="12" customHeight="1" x14ac:dyDescent="0.25">
      <c r="A242" s="763" t="str">
        <f>"Apto"&amp;'BOULEVARD 5'!B247</f>
        <v>Apto1318</v>
      </c>
      <c r="B242" s="763">
        <v>1</v>
      </c>
      <c r="C242" s="763" t="str">
        <f>G242</f>
        <v>Superávit de Enganche</v>
      </c>
      <c r="D242" s="763" t="str">
        <f>IF('BOULEVARD 5'!E247="","No asignado",'BOULEVARD 5'!E247)</f>
        <v>No asignado</v>
      </c>
      <c r="E242" s="763" t="str">
        <f>IF('BOULEVARD 5'!F247="","No asignado",'BOULEVARD 5'!F247)</f>
        <v>Jose Alejandro Abalony Rojas</v>
      </c>
      <c r="F242" s="764">
        <f>'BOULEVARD 5'!AT247</f>
        <v>235672</v>
      </c>
      <c r="G242" s="763" t="str">
        <f>'BOULEVARD 5'!BB247</f>
        <v>Superávit de Enganche</v>
      </c>
      <c r="H242" s="764">
        <f>'BOULEVARD PPTO'!BC242</f>
        <v>0</v>
      </c>
      <c r="I242" s="764">
        <f t="shared" si="21"/>
        <v>235672</v>
      </c>
      <c r="J242" s="765" t="str">
        <f t="shared" si="22"/>
        <v>Superavit de enganche</v>
      </c>
      <c r="K242" s="764">
        <f>'BOULEVARD 5'!I247</f>
        <v>1509600</v>
      </c>
      <c r="L242" s="766">
        <f>IF('BOULEVARD 5'!G247="","",'BOULEVARD 5'!G247)</f>
        <v>45993</v>
      </c>
      <c r="M242" s="764">
        <f t="shared" si="23"/>
        <v>0</v>
      </c>
      <c r="N242" s="767">
        <f>IF('B5-Status cobranza'!AM249&lt;0,'B5-Status cobranza'!AM249,0)</f>
        <v>0</v>
      </c>
      <c r="O242" s="777">
        <f>IF('B5-Status cobranza'!AP249&lt;0,'B5-Status cobranza'!AP249,0)</f>
        <v>0</v>
      </c>
      <c r="P242" s="777">
        <f>IF('B5-Status cobranza'!AP249&gt;0,'B5-Status cobranza'!AP249,0)</f>
        <v>0</v>
      </c>
      <c r="Q242" s="767">
        <f>'B5-Status cobranza'!AV249</f>
        <v>0</v>
      </c>
      <c r="R242" s="764">
        <f t="shared" si="25"/>
        <v>1509600</v>
      </c>
      <c r="S242" s="764">
        <f>IF('B5-Status cobranza'!AL249&lt;0,'B5-Status cobranza'!AL249,0)</f>
        <v>0</v>
      </c>
      <c r="T242" s="764">
        <v>0</v>
      </c>
      <c r="U242" s="778">
        <f t="shared" si="24"/>
        <v>0</v>
      </c>
      <c r="V242" s="764">
        <f>IF('B5-Status cobranza'!AL249&gt;0,'B5-Status cobranza'!AL249,0)</f>
        <v>0</v>
      </c>
    </row>
    <row r="243" spans="1:22" ht="12" customHeight="1" x14ac:dyDescent="0.25">
      <c r="A243" s="763" t="str">
        <f>"Apto"&amp;'BOULEVARD 5'!B248</f>
        <v>Apto1401</v>
      </c>
      <c r="B243" s="763">
        <v>1</v>
      </c>
      <c r="C243" s="763" t="str">
        <f>IF('BOULEVARD 5'!A248="","Cliente normal",'BOULEVARD 5'!A248)</f>
        <v>Cliente normal</v>
      </c>
      <c r="D243" s="763" t="str">
        <f>IF('BOULEVARD 5'!E248="","No asignado",'BOULEVARD 5'!E248)</f>
        <v>Brenda Búcaro</v>
      </c>
      <c r="E243" s="763" t="str">
        <f>IF('BOULEVARD 5'!F248="","No asignado",'BOULEVARD 5'!F248)</f>
        <v>Fernando García Coronado</v>
      </c>
      <c r="F243" s="764">
        <f>'BOULEVARD 5'!AT248</f>
        <v>129000</v>
      </c>
      <c r="G243" s="763" t="str">
        <f>'BOULEVARD 5'!BB248</f>
        <v>Cliente Atrasado</v>
      </c>
      <c r="H243" s="764">
        <f>'BOULEVARD PPTO'!BC243</f>
        <v>117300</v>
      </c>
      <c r="I243" s="764">
        <f t="shared" si="21"/>
        <v>11700</v>
      </c>
      <c r="J243" s="765" t="str">
        <f t="shared" si="22"/>
        <v>Superavit de enganche</v>
      </c>
      <c r="K243" s="764">
        <f>'BOULEVARD 5'!I248</f>
        <v>1172500</v>
      </c>
      <c r="L243" s="766">
        <f>IF('BOULEVARD 5'!G248="","",'BOULEVARD 5'!G248)</f>
        <v>45158</v>
      </c>
      <c r="M243" s="764">
        <f t="shared" si="23"/>
        <v>0</v>
      </c>
      <c r="N243" s="767">
        <f>IF('B5-Status cobranza'!AM250&lt;0,'B5-Status cobranza'!AM250,0)</f>
        <v>0</v>
      </c>
      <c r="O243" s="777">
        <f>IF('B5-Status cobranza'!AP250&lt;0,'B5-Status cobranza'!AP250,0)</f>
        <v>0</v>
      </c>
      <c r="P243" s="777">
        <f>IF('B5-Status cobranza'!AP250&gt;0,'B5-Status cobranza'!AP250,0)</f>
        <v>11700</v>
      </c>
      <c r="Q243" s="767">
        <f>'B5-Status cobranza'!AV250</f>
        <v>0</v>
      </c>
      <c r="R243" s="764">
        <f t="shared" si="25"/>
        <v>1172500</v>
      </c>
      <c r="S243" s="764">
        <f>IF('B5-Status cobranza'!AL250&lt;0,'B5-Status cobranza'!AL250,0)</f>
        <v>0</v>
      </c>
      <c r="T243" s="764">
        <v>0</v>
      </c>
      <c r="U243" s="778">
        <f t="shared" si="24"/>
        <v>0</v>
      </c>
      <c r="V243" s="764">
        <f>IF('B5-Status cobranza'!AL250&gt;0,'B5-Status cobranza'!AL250,0)</f>
        <v>0</v>
      </c>
    </row>
    <row r="244" spans="1:22" ht="12" customHeight="1" x14ac:dyDescent="0.25">
      <c r="A244" s="763" t="str">
        <f>"Apto"&amp;'BOULEVARD 5'!B249</f>
        <v>Apto1402</v>
      </c>
      <c r="B244" s="763">
        <v>1</v>
      </c>
      <c r="C244" s="763" t="str">
        <f>IF('BOULEVARD 5'!A249="","Cliente normal",'BOULEVARD 5'!A249)</f>
        <v>Cliente normal</v>
      </c>
      <c r="D244" s="763" t="str">
        <f>IF('BOULEVARD 5'!E249="","No asignado",'BOULEVARD 5'!E249)</f>
        <v>Antonio Rada</v>
      </c>
      <c r="E244" s="763" t="str">
        <f>IF('BOULEVARD 5'!F249="","No asignado",'BOULEVARD 5'!F249)</f>
        <v>Marlen Fabiola Izaguirre Navas</v>
      </c>
      <c r="F244" s="764">
        <f>'BOULEVARD 5'!AT249</f>
        <v>125220</v>
      </c>
      <c r="G244" s="763" t="str">
        <f>'BOULEVARD 5'!BB249</f>
        <v>Cliente Atrasado</v>
      </c>
      <c r="H244" s="764">
        <f>'BOULEVARD PPTO'!BC244</f>
        <v>125220</v>
      </c>
      <c r="I244" s="764">
        <f t="shared" si="21"/>
        <v>0</v>
      </c>
      <c r="J244" s="765" t="str">
        <f t="shared" si="22"/>
        <v>Enganche por pagar</v>
      </c>
      <c r="K244" s="764">
        <f>'BOULEVARD 5'!I249</f>
        <v>1252020</v>
      </c>
      <c r="L244" s="766">
        <f>IF('BOULEVARD 5'!G249="","",'BOULEVARD 5'!G249)</f>
        <v>45572</v>
      </c>
      <c r="M244" s="764">
        <f t="shared" si="23"/>
        <v>0</v>
      </c>
      <c r="N244" s="767">
        <f>IF('B5-Status cobranza'!AM251&lt;0,'B5-Status cobranza'!AM251,0)</f>
        <v>0</v>
      </c>
      <c r="O244" s="777">
        <f>IF('B5-Status cobranza'!AP251&lt;0,'B5-Status cobranza'!AP251,0)</f>
        <v>0</v>
      </c>
      <c r="P244" s="777">
        <f>IF('B5-Status cobranza'!AP251&gt;0,'B5-Status cobranza'!AP251,0)</f>
        <v>0</v>
      </c>
      <c r="Q244" s="767">
        <f>'B5-Status cobranza'!AV251</f>
        <v>0</v>
      </c>
      <c r="R244" s="764">
        <f t="shared" si="25"/>
        <v>1252020</v>
      </c>
      <c r="S244" s="764">
        <f>IF('B5-Status cobranza'!AL251&lt;0,'B5-Status cobranza'!AL251,0)</f>
        <v>0</v>
      </c>
      <c r="T244" s="764">
        <v>0</v>
      </c>
      <c r="U244" s="778">
        <f t="shared" si="24"/>
        <v>0</v>
      </c>
      <c r="V244" s="764">
        <f>IF('B5-Status cobranza'!AL251&gt;0,'B5-Status cobranza'!AL251,0)</f>
        <v>0</v>
      </c>
    </row>
    <row r="245" spans="1:22" ht="12" customHeight="1" x14ac:dyDescent="0.25">
      <c r="A245" s="763" t="str">
        <f>"Apto"&amp;'BOULEVARD 5'!B250</f>
        <v>Apto1403</v>
      </c>
      <c r="B245" s="763">
        <v>1</v>
      </c>
      <c r="C245" s="763" t="str">
        <f>IF('BOULEVARD 5'!A250="","Cliente normal",'BOULEVARD 5'!A250)</f>
        <v>F&amp;F</v>
      </c>
      <c r="D245" s="763" t="str">
        <f>IF('BOULEVARD 5'!E250="","No asignado",'BOULEVARD 5'!E250)</f>
        <v>Antonio Rada</v>
      </c>
      <c r="E245" s="763" t="str">
        <f>IF('BOULEVARD 5'!F250="","No asignado",'BOULEVARD 5'!F250)</f>
        <v>Maria Mercedes Lizarralde Mc Allister</v>
      </c>
      <c r="F245" s="764">
        <f>'BOULEVARD 5'!AT250</f>
        <v>30926</v>
      </c>
      <c r="G245" s="763" t="str">
        <f>'BOULEVARD 5'!BB250</f>
        <v>Cliente Atrasado</v>
      </c>
      <c r="H245" s="764">
        <f>'BOULEVARD PPTO'!BC245</f>
        <v>85327.54</v>
      </c>
      <c r="I245" s="764">
        <f t="shared" si="21"/>
        <v>-54401.539999999994</v>
      </c>
      <c r="J245" s="765" t="str">
        <f t="shared" si="22"/>
        <v>Enganche por pagar</v>
      </c>
      <c r="K245" s="764">
        <f>'BOULEVARD 5'!I250</f>
        <v>852627.54461999994</v>
      </c>
      <c r="L245" s="766">
        <f>IF('BOULEVARD 5'!G250="","",'BOULEVARD 5'!G250)</f>
        <v>45012</v>
      </c>
      <c r="M245" s="764">
        <f t="shared" si="23"/>
        <v>0</v>
      </c>
      <c r="N245" s="767">
        <f>IF('B5-Status cobranza'!AM252&lt;0,'B5-Status cobranza'!AM252,0)</f>
        <v>0</v>
      </c>
      <c r="O245" s="777">
        <f>IF('B5-Status cobranza'!AP252&lt;0,'B5-Status cobranza'!AP252,0)</f>
        <v>0</v>
      </c>
      <c r="P245" s="777">
        <f>IF('B5-Status cobranza'!AP252&gt;0,'B5-Status cobranza'!AP252,0)</f>
        <v>0</v>
      </c>
      <c r="Q245" s="767">
        <f>'B5-Status cobranza'!AV252</f>
        <v>0</v>
      </c>
      <c r="R245" s="764">
        <f t="shared" si="25"/>
        <v>852627.54461999994</v>
      </c>
      <c r="S245" s="764">
        <f>IF('B5-Status cobranza'!AL252&lt;0,'B5-Status cobranza'!AL252,0)</f>
        <v>0</v>
      </c>
      <c r="T245" s="764">
        <v>0</v>
      </c>
      <c r="U245" s="778">
        <f t="shared" si="24"/>
        <v>0</v>
      </c>
      <c r="V245" s="764">
        <f>IF('B5-Status cobranza'!AL252&gt;0,'B5-Status cobranza'!AL252,0)</f>
        <v>0</v>
      </c>
    </row>
    <row r="246" spans="1:22" ht="12" customHeight="1" x14ac:dyDescent="0.25">
      <c r="A246" s="763" t="str">
        <f>"Apto"&amp;'BOULEVARD 5'!B251</f>
        <v>Apto1404</v>
      </c>
      <c r="B246" s="763">
        <v>1</v>
      </c>
      <c r="C246" s="763" t="str">
        <f>IF('BOULEVARD 5'!A251="","Cliente normal",'BOULEVARD 5'!A251)</f>
        <v>Cliente normal</v>
      </c>
      <c r="D246" s="763" t="str">
        <f>IF('BOULEVARD 5'!E251="","No asignado",'BOULEVARD 5'!E251)</f>
        <v>Jose Franco</v>
      </c>
      <c r="E246" s="763" t="str">
        <f>IF('BOULEVARD 5'!F251="","No asignado",'BOULEVARD 5'!F251)</f>
        <v>Diego Eduardo Roman Hazard</v>
      </c>
      <c r="F246" s="764">
        <f>'BOULEVARD 5'!AT251</f>
        <v>139600</v>
      </c>
      <c r="G246" s="763" t="str">
        <f>'BOULEVARD 5'!BB251</f>
        <v>Cliente Atrasado</v>
      </c>
      <c r="H246" s="764">
        <f>'BOULEVARD PPTO'!BC246</f>
        <v>169971</v>
      </c>
      <c r="I246" s="764">
        <f t="shared" si="21"/>
        <v>-30371</v>
      </c>
      <c r="J246" s="765" t="str">
        <f t="shared" si="22"/>
        <v>Enganche por pagar</v>
      </c>
      <c r="K246" s="764">
        <f>'BOULEVARD 5'!I251</f>
        <v>849571</v>
      </c>
      <c r="L246" s="766">
        <f>IF('BOULEVARD 5'!G251="","",'BOULEVARD 5'!G251)</f>
        <v>45012</v>
      </c>
      <c r="M246" s="764">
        <f t="shared" si="23"/>
        <v>0</v>
      </c>
      <c r="N246" s="767">
        <f>IF('B5-Status cobranza'!AM253&lt;0,'B5-Status cobranza'!AM253,0)</f>
        <v>-4600</v>
      </c>
      <c r="O246" s="777">
        <f>IF('B5-Status cobranza'!AP253&lt;0,'B5-Status cobranza'!AP253,0)</f>
        <v>-9000</v>
      </c>
      <c r="P246" s="777">
        <f>IF('B5-Status cobranza'!AP253&gt;0,'B5-Status cobranza'!AP253,0)</f>
        <v>0</v>
      </c>
      <c r="Q246" s="767">
        <f>'B5-Status cobranza'!AV253</f>
        <v>0</v>
      </c>
      <c r="R246" s="764">
        <f t="shared" si="25"/>
        <v>849571</v>
      </c>
      <c r="S246" s="764">
        <f>IF('B5-Status cobranza'!AL253&lt;0,'B5-Status cobranza'!AL253,0)</f>
        <v>-4600</v>
      </c>
      <c r="T246" s="764">
        <v>0</v>
      </c>
      <c r="U246" s="778">
        <f t="shared" si="24"/>
        <v>0</v>
      </c>
      <c r="V246" s="764">
        <f>IF('B5-Status cobranza'!AL253&gt;0,'B5-Status cobranza'!AL253,0)</f>
        <v>0</v>
      </c>
    </row>
    <row r="247" spans="1:22" ht="12" customHeight="1" x14ac:dyDescent="0.25">
      <c r="A247" s="763" t="str">
        <f>"Apto"&amp;'BOULEVARD 5'!B252</f>
        <v>Apto1405</v>
      </c>
      <c r="B247" s="763">
        <v>1</v>
      </c>
      <c r="C247" s="763" t="str">
        <f>IF('BOULEVARD 5'!A252="","Cliente normal",'BOULEVARD 5'!A252)</f>
        <v>Cliente normal</v>
      </c>
      <c r="D247" s="763" t="str">
        <f>IF('BOULEVARD 5'!E252="","No asignado",'BOULEVARD 5'!E252)</f>
        <v>Antonio Rada</v>
      </c>
      <c r="E247" s="763" t="str">
        <f>IF('BOULEVARD 5'!F252="","No asignado",'BOULEVARD 5'!F252)</f>
        <v>Victor Leonel Orozco Lopez</v>
      </c>
      <c r="F247" s="764">
        <f>'BOULEVARD 5'!AT252</f>
        <v>130100</v>
      </c>
      <c r="G247" s="763" t="str">
        <f>'BOULEVARD 5'!BB252</f>
        <v>Cliente Atrasado</v>
      </c>
      <c r="H247" s="764">
        <f>'BOULEVARD PPTO'!BC247</f>
        <v>130100</v>
      </c>
      <c r="I247" s="764">
        <f t="shared" si="21"/>
        <v>0</v>
      </c>
      <c r="J247" s="765" t="str">
        <f t="shared" si="22"/>
        <v>Enganche por pagar</v>
      </c>
      <c r="K247" s="764">
        <f>'BOULEVARD 5'!I252</f>
        <v>1301000</v>
      </c>
      <c r="L247" s="766">
        <f>IF('BOULEVARD 5'!G252="","",'BOULEVARD 5'!G252)</f>
        <v>45034</v>
      </c>
      <c r="M247" s="764">
        <f t="shared" si="23"/>
        <v>0</v>
      </c>
      <c r="N247" s="767">
        <f>IF('B5-Status cobranza'!AM254&lt;0,'B5-Status cobranza'!AM254,0)</f>
        <v>0</v>
      </c>
      <c r="O247" s="777">
        <f>IF('B5-Status cobranza'!AP254&lt;0,'B5-Status cobranza'!AP254,0)</f>
        <v>0</v>
      </c>
      <c r="P247" s="777">
        <f>IF('B5-Status cobranza'!AP254&gt;0,'B5-Status cobranza'!AP254,0)</f>
        <v>0</v>
      </c>
      <c r="Q247" s="767">
        <f>'B5-Status cobranza'!AV254</f>
        <v>0</v>
      </c>
      <c r="R247" s="764">
        <f t="shared" si="25"/>
        <v>1301000</v>
      </c>
      <c r="S247" s="764">
        <f>IF('B5-Status cobranza'!AL254&lt;0,'B5-Status cobranza'!AL254,0)</f>
        <v>0</v>
      </c>
      <c r="T247" s="764">
        <v>0</v>
      </c>
      <c r="U247" s="778">
        <f t="shared" si="24"/>
        <v>0</v>
      </c>
      <c r="V247" s="764">
        <f>IF('B5-Status cobranza'!AL254&gt;0,'B5-Status cobranza'!AL254,0)</f>
        <v>0</v>
      </c>
    </row>
    <row r="248" spans="1:22" ht="12" customHeight="1" x14ac:dyDescent="0.25">
      <c r="A248" s="763" t="str">
        <f>"Apto"&amp;'BOULEVARD 5'!B253</f>
        <v>Apto1406</v>
      </c>
      <c r="B248" s="763">
        <v>1</v>
      </c>
      <c r="C248" s="763" t="str">
        <f>IF('BOULEVARD 5'!A253="","Cliente normal",'BOULEVARD 5'!A253)</f>
        <v>Cliente normal</v>
      </c>
      <c r="D248" s="763" t="str">
        <f>IF('BOULEVARD 5'!E253="","No asignado",'BOULEVARD 5'!E253)</f>
        <v>Jose Franco</v>
      </c>
      <c r="E248" s="763" t="str">
        <f>IF('BOULEVARD 5'!F253="","No asignado",'BOULEVARD 5'!F253)</f>
        <v xml:space="preserve"> Jonatan Hans Donis Montenegro</v>
      </c>
      <c r="F248" s="764">
        <f>'BOULEVARD 5'!AT253</f>
        <v>60080</v>
      </c>
      <c r="G248" s="763" t="str">
        <f>'BOULEVARD 5'!BB253</f>
        <v>Cliente Atrasado</v>
      </c>
      <c r="H248" s="764">
        <f>'BOULEVARD PPTO'!BC248</f>
        <v>65200</v>
      </c>
      <c r="I248" s="764">
        <f t="shared" si="21"/>
        <v>-5120</v>
      </c>
      <c r="J248" s="765" t="str">
        <f t="shared" si="22"/>
        <v>Enganche por pagar</v>
      </c>
      <c r="K248" s="764">
        <f>'BOULEVARD 5'!I253</f>
        <v>651600</v>
      </c>
      <c r="L248" s="766">
        <f>IF('BOULEVARD 5'!G253="","",'BOULEVARD 5'!G253)</f>
        <v>45012</v>
      </c>
      <c r="M248" s="764">
        <f t="shared" si="23"/>
        <v>0</v>
      </c>
      <c r="N248" s="767">
        <f>IF('B5-Status cobranza'!AM255&lt;0,'B5-Status cobranza'!AM255,0)</f>
        <v>0</v>
      </c>
      <c r="O248" s="777">
        <f>IF('B5-Status cobranza'!AP255&lt;0,'B5-Status cobranza'!AP255,0)</f>
        <v>0</v>
      </c>
      <c r="P248" s="777">
        <f>IF('B5-Status cobranza'!AP255&gt;0,'B5-Status cobranza'!AP255,0)</f>
        <v>0</v>
      </c>
      <c r="Q248" s="767">
        <f>'B5-Status cobranza'!AV255</f>
        <v>0</v>
      </c>
      <c r="R248" s="764">
        <f t="shared" si="25"/>
        <v>651600</v>
      </c>
      <c r="S248" s="764">
        <f>IF('B5-Status cobranza'!AL255&lt;0,'B5-Status cobranza'!AL255,0)</f>
        <v>0</v>
      </c>
      <c r="T248" s="764">
        <v>0</v>
      </c>
      <c r="U248" s="778">
        <f t="shared" si="24"/>
        <v>0</v>
      </c>
      <c r="V248" s="764">
        <f>IF('B5-Status cobranza'!AL255&gt;0,'B5-Status cobranza'!AL255,0)</f>
        <v>0</v>
      </c>
    </row>
    <row r="249" spans="1:22" ht="12" customHeight="1" x14ac:dyDescent="0.25">
      <c r="A249" s="763" t="str">
        <f>"Apto"&amp;'BOULEVARD 5'!B254</f>
        <v>Apto1407</v>
      </c>
      <c r="B249" s="763">
        <v>1</v>
      </c>
      <c r="C249" s="763" t="str">
        <f>IF('BOULEVARD 5'!A254="","Cliente normal",'BOULEVARD 5'!A254)</f>
        <v>F&amp;F</v>
      </c>
      <c r="D249" s="763" t="s">
        <v>691</v>
      </c>
      <c r="E249" s="763" t="str">
        <f>IF('BOULEVARD 5'!F254="","No asignado",'BOULEVARD 5'!F254)</f>
        <v>José Herrera Pérez</v>
      </c>
      <c r="F249" s="764">
        <f>'BOULEVARD 5'!AT254</f>
        <v>107410</v>
      </c>
      <c r="G249" s="763" t="str">
        <f>'BOULEVARD 5'!BB254</f>
        <v>Enganche Completado</v>
      </c>
      <c r="H249" s="764">
        <f>'BOULEVARD PPTO'!BC249</f>
        <v>107410</v>
      </c>
      <c r="I249" s="764">
        <f t="shared" si="21"/>
        <v>0</v>
      </c>
      <c r="J249" s="765" t="str">
        <f t="shared" si="22"/>
        <v>Enganche por pagar</v>
      </c>
      <c r="K249" s="764">
        <f>'BOULEVARD 5'!I254</f>
        <v>1074100</v>
      </c>
      <c r="L249" s="766">
        <f>IF('BOULEVARD 5'!G254="","",'BOULEVARD 5'!G254)</f>
        <v>45336</v>
      </c>
      <c r="M249" s="764">
        <f t="shared" si="23"/>
        <v>0</v>
      </c>
      <c r="N249" s="767">
        <f>IF('B5-Status cobranza'!AM256&lt;0,'B5-Status cobranza'!AM256,0)</f>
        <v>0</v>
      </c>
      <c r="O249" s="777">
        <f>IF('B5-Status cobranza'!AP256&lt;0,'B5-Status cobranza'!AP256,0)</f>
        <v>0</v>
      </c>
      <c r="P249" s="777">
        <f>IF('B5-Status cobranza'!AP256&gt;0,'B5-Status cobranza'!AP256,0)</f>
        <v>0</v>
      </c>
      <c r="Q249" s="767">
        <f>'B5-Status cobranza'!AV256</f>
        <v>0</v>
      </c>
      <c r="R249" s="764">
        <f t="shared" si="25"/>
        <v>1074100</v>
      </c>
      <c r="S249" s="764">
        <f>IF('B5-Status cobranza'!AL256&lt;0,'B5-Status cobranza'!AL256,0)</f>
        <v>0</v>
      </c>
      <c r="T249" s="764">
        <v>0</v>
      </c>
      <c r="U249" s="778">
        <f t="shared" si="24"/>
        <v>0</v>
      </c>
      <c r="V249" s="764">
        <f>IF('B5-Status cobranza'!AL256&gt;0,'B5-Status cobranza'!AL256,0)</f>
        <v>0</v>
      </c>
    </row>
    <row r="250" spans="1:22" ht="12" customHeight="1" x14ac:dyDescent="0.25">
      <c r="A250" s="763" t="str">
        <f>"Apto"&amp;'BOULEVARD 5'!B255</f>
        <v>Apto1408</v>
      </c>
      <c r="B250" s="763">
        <v>1</v>
      </c>
      <c r="C250" s="763" t="str">
        <f>G250</f>
        <v>Cliente al día</v>
      </c>
      <c r="D250" s="763" t="str">
        <f>IF('BOULEVARD 5'!E255="","No asignado",'BOULEVARD 5'!E255)</f>
        <v>Erwin Cardona</v>
      </c>
      <c r="E250" s="763" t="str">
        <f>IF('BOULEVARD 5'!F255="","No asignado",'BOULEVARD 5'!F255)</f>
        <v>GUILLERMO ALFREDO SAENZ DE TEJADA VILLEDA</v>
      </c>
      <c r="F250" s="764">
        <f>'BOULEVARD 5'!AT255</f>
        <v>9489.2900000000009</v>
      </c>
      <c r="G250" s="763" t="str">
        <f>'BOULEVARD 5'!BB255</f>
        <v>Cliente al día</v>
      </c>
      <c r="H250" s="764">
        <f>'BOULEVARD PPTO'!BC250</f>
        <v>0</v>
      </c>
      <c r="I250" s="764">
        <f t="shared" si="21"/>
        <v>9489.2900000000009</v>
      </c>
      <c r="J250" s="765" t="str">
        <f t="shared" si="22"/>
        <v>Superavit de enganche</v>
      </c>
      <c r="K250" s="764">
        <f>'BOULEVARD 5'!I255</f>
        <v>1434900</v>
      </c>
      <c r="L250" s="766">
        <f>IF('BOULEVARD 5'!G255="","",'BOULEVARD 5'!G255)</f>
        <v>46027</v>
      </c>
      <c r="M250" s="764">
        <f t="shared" si="23"/>
        <v>0</v>
      </c>
      <c r="N250" s="767">
        <f>IF('B5-Status cobranza'!AM257&lt;0,'B5-Status cobranza'!AM257,0)</f>
        <v>0</v>
      </c>
      <c r="O250" s="777">
        <f>IF('B5-Status cobranza'!AP257&lt;0,'B5-Status cobranza'!AP257,0)</f>
        <v>0</v>
      </c>
      <c r="P250" s="777">
        <f>IF('B5-Status cobranza'!AP257&gt;0,'B5-Status cobranza'!AP257,0)</f>
        <v>0</v>
      </c>
      <c r="Q250" s="767">
        <f>'B5-Status cobranza'!AV257</f>
        <v>0</v>
      </c>
      <c r="R250" s="764">
        <f t="shared" si="25"/>
        <v>1434900</v>
      </c>
      <c r="S250" s="764">
        <f>IF('B5-Status cobranza'!AL257&lt;0,'B5-Status cobranza'!AL257,0)</f>
        <v>0</v>
      </c>
      <c r="T250" s="764">
        <v>0</v>
      </c>
      <c r="U250" s="778">
        <f t="shared" si="24"/>
        <v>0</v>
      </c>
      <c r="V250" s="764">
        <f>IF('B5-Status cobranza'!AL257&gt;0,'B5-Status cobranza'!AL257,0)</f>
        <v>0</v>
      </c>
    </row>
    <row r="251" spans="1:22" ht="12" customHeight="1" x14ac:dyDescent="0.25">
      <c r="A251" s="763" t="str">
        <f>"Apto"&amp;'BOULEVARD 5'!B256</f>
        <v>Apto1409</v>
      </c>
      <c r="B251" s="763">
        <v>1</v>
      </c>
      <c r="C251" s="763" t="str">
        <f>IF('BOULEVARD 5'!A256="","Cliente normal",'BOULEVARD 5'!A256)</f>
        <v>F&amp;F</v>
      </c>
      <c r="D251" s="763" t="s">
        <v>691</v>
      </c>
      <c r="E251" s="763" t="str">
        <f>IF('BOULEVARD 5'!F256="","No asignado",'BOULEVARD 5'!F256)</f>
        <v>International Coffee Industry, S.A</v>
      </c>
      <c r="F251" s="764">
        <f>'BOULEVARD 5'!AT256</f>
        <v>0</v>
      </c>
      <c r="G251" s="763" t="str">
        <f>'BOULEVARD 5'!BB256</f>
        <v>Cliente Atrasado</v>
      </c>
      <c r="H251" s="764">
        <f>'BOULEVARD PPTO'!BC251</f>
        <v>85840</v>
      </c>
      <c r="I251" s="764">
        <f t="shared" si="21"/>
        <v>-85840</v>
      </c>
      <c r="J251" s="765" t="str">
        <f t="shared" si="22"/>
        <v>Enganche por pagar</v>
      </c>
      <c r="K251" s="764">
        <f>'BOULEVARD 5'!I256</f>
        <v>858400</v>
      </c>
      <c r="L251" s="766">
        <f>IF('BOULEVARD 5'!G256="","",'BOULEVARD 5'!G256)</f>
        <v>45300</v>
      </c>
      <c r="M251" s="764">
        <f t="shared" si="23"/>
        <v>0</v>
      </c>
      <c r="N251" s="767">
        <f>IF('B5-Status cobranza'!AM258&lt;0,'B5-Status cobranza'!AM258,0)</f>
        <v>0</v>
      </c>
      <c r="O251" s="777">
        <f>IF('B5-Status cobranza'!AP258&lt;0,'B5-Status cobranza'!AP258,0)</f>
        <v>0</v>
      </c>
      <c r="P251" s="777">
        <f>IF('B5-Status cobranza'!AP258&gt;0,'B5-Status cobranza'!AP258,0)</f>
        <v>0</v>
      </c>
      <c r="Q251" s="767">
        <f>'B5-Status cobranza'!AV258</f>
        <v>0</v>
      </c>
      <c r="R251" s="764">
        <f t="shared" si="25"/>
        <v>858400</v>
      </c>
      <c r="S251" s="764">
        <f>IF('B5-Status cobranza'!AL258&lt;0,'B5-Status cobranza'!AL258,0)</f>
        <v>0</v>
      </c>
      <c r="T251" s="764">
        <v>0</v>
      </c>
      <c r="U251" s="778">
        <f t="shared" si="24"/>
        <v>0</v>
      </c>
      <c r="V251" s="764">
        <f>IF('B5-Status cobranza'!AL258&gt;0,'B5-Status cobranza'!AL258,0)</f>
        <v>0</v>
      </c>
    </row>
    <row r="252" spans="1:22" ht="12" customHeight="1" x14ac:dyDescent="0.25">
      <c r="A252" s="763" t="str">
        <f>"Apto"&amp;'BOULEVARD 5'!B257</f>
        <v>Apto1410</v>
      </c>
      <c r="B252" s="763">
        <v>1</v>
      </c>
      <c r="C252" s="763" t="str">
        <f>IF('BOULEVARD 5'!A257="","Cliente normal",'BOULEVARD 5'!A257)</f>
        <v>Cliente normal</v>
      </c>
      <c r="D252" s="763" t="str">
        <f>IF('BOULEVARD 5'!E257="","No asignado",'BOULEVARD 5'!E257)</f>
        <v>Antonio Rada</v>
      </c>
      <c r="E252" s="763" t="str">
        <f>IF('BOULEVARD 5'!F257="","No asignado",'BOULEVARD 5'!F257)</f>
        <v>Selvin Ramiro Gamez Perez</v>
      </c>
      <c r="F252" s="764">
        <f>'BOULEVARD 5'!AT257</f>
        <v>88800</v>
      </c>
      <c r="G252" s="763" t="str">
        <f>'BOULEVARD 5'!BB257</f>
        <v>Cliente Atrasado</v>
      </c>
      <c r="H252" s="764">
        <f>'BOULEVARD PPTO'!BC252</f>
        <v>88800</v>
      </c>
      <c r="I252" s="764">
        <f t="shared" si="21"/>
        <v>0</v>
      </c>
      <c r="J252" s="765" t="str">
        <f t="shared" si="22"/>
        <v>Enganche por pagar</v>
      </c>
      <c r="K252" s="764">
        <f>'BOULEVARD 5'!I257</f>
        <v>887400</v>
      </c>
      <c r="L252" s="766">
        <f>IF('BOULEVARD 5'!G257="","",'BOULEVARD 5'!G257)</f>
        <v>45327</v>
      </c>
      <c r="M252" s="764">
        <f t="shared" si="23"/>
        <v>0</v>
      </c>
      <c r="N252" s="767">
        <f>IF('B5-Status cobranza'!AM259&lt;0,'B5-Status cobranza'!AM259,0)</f>
        <v>0</v>
      </c>
      <c r="O252" s="777">
        <f>IF('B5-Status cobranza'!AP259&lt;0,'B5-Status cobranza'!AP259,0)</f>
        <v>0</v>
      </c>
      <c r="P252" s="777">
        <f>IF('B5-Status cobranza'!AP259&gt;0,'B5-Status cobranza'!AP259,0)</f>
        <v>0</v>
      </c>
      <c r="Q252" s="767">
        <f>'B5-Status cobranza'!AV259</f>
        <v>0</v>
      </c>
      <c r="R252" s="764">
        <f t="shared" si="25"/>
        <v>887400</v>
      </c>
      <c r="S252" s="764">
        <f>IF('B5-Status cobranza'!AL259&lt;0,'B5-Status cobranza'!AL259,0)</f>
        <v>0</v>
      </c>
      <c r="T252" s="764">
        <v>0</v>
      </c>
      <c r="U252" s="778">
        <f t="shared" si="24"/>
        <v>0</v>
      </c>
      <c r="V252" s="764">
        <f>IF('B5-Status cobranza'!AL259&gt;0,'B5-Status cobranza'!AL259,0)</f>
        <v>0</v>
      </c>
    </row>
    <row r="253" spans="1:22" ht="12" customHeight="1" x14ac:dyDescent="0.25">
      <c r="A253" s="763" t="str">
        <f>"Apto"&amp;'BOULEVARD 5'!B258</f>
        <v>Apto1411</v>
      </c>
      <c r="B253" s="763">
        <v>1</v>
      </c>
      <c r="C253" s="763" t="str">
        <f>IF('BOULEVARD 5'!A258="","Cliente normal",'BOULEVARD 5'!A258)</f>
        <v>Cliente normal</v>
      </c>
      <c r="D253" s="763" t="str">
        <f>IF('BOULEVARD 5'!E258="","No asignado",'BOULEVARD 5'!E258)</f>
        <v>Antonio Rada</v>
      </c>
      <c r="E253" s="763" t="str">
        <f>IF('BOULEVARD 5'!F258="","No asignado",'BOULEVARD 5'!F258)</f>
        <v>Julio Cesar Morales Díaz</v>
      </c>
      <c r="F253" s="764">
        <f>'BOULEVARD 5'!AT258</f>
        <v>138300</v>
      </c>
      <c r="G253" s="763" t="str">
        <f>'BOULEVARD 5'!BB258</f>
        <v>Cliente Atrasado</v>
      </c>
      <c r="H253" s="764">
        <f>'BOULEVARD PPTO'!BC253</f>
        <v>138300</v>
      </c>
      <c r="I253" s="764">
        <f t="shared" si="21"/>
        <v>0</v>
      </c>
      <c r="J253" s="765" t="str">
        <f t="shared" si="22"/>
        <v>Enganche por pagar</v>
      </c>
      <c r="K253" s="764">
        <f>'BOULEVARD 5'!I258</f>
        <v>1382700</v>
      </c>
      <c r="L253" s="766">
        <f>IF('BOULEVARD 5'!G258="","",'BOULEVARD 5'!G258)</f>
        <v>45096</v>
      </c>
      <c r="M253" s="764">
        <f t="shared" si="23"/>
        <v>0</v>
      </c>
      <c r="N253" s="767">
        <f>IF('B5-Status cobranza'!AM260&lt;0,'B5-Status cobranza'!AM260,0)</f>
        <v>0</v>
      </c>
      <c r="O253" s="777">
        <f>IF('B5-Status cobranza'!AP260&lt;0,'B5-Status cobranza'!AP260,0)</f>
        <v>0</v>
      </c>
      <c r="P253" s="777">
        <f>IF('B5-Status cobranza'!AP260&gt;0,'B5-Status cobranza'!AP260,0)</f>
        <v>0</v>
      </c>
      <c r="Q253" s="767">
        <f>'B5-Status cobranza'!AV260</f>
        <v>0</v>
      </c>
      <c r="R253" s="764">
        <f t="shared" si="25"/>
        <v>1382700</v>
      </c>
      <c r="S253" s="764">
        <f>IF('B5-Status cobranza'!AL260&lt;0,'B5-Status cobranza'!AL260,0)</f>
        <v>0</v>
      </c>
      <c r="T253" s="764">
        <v>0</v>
      </c>
      <c r="U253" s="778">
        <f t="shared" si="24"/>
        <v>0</v>
      </c>
      <c r="V253" s="764">
        <f>IF('B5-Status cobranza'!AL260&gt;0,'B5-Status cobranza'!AL260,0)</f>
        <v>0</v>
      </c>
    </row>
    <row r="254" spans="1:22" ht="12" customHeight="1" x14ac:dyDescent="0.25">
      <c r="A254" s="763" t="str">
        <f>"Apto"&amp;'BOULEVARD 5'!B259</f>
        <v>Apto1412</v>
      </c>
      <c r="B254" s="763">
        <v>1</v>
      </c>
      <c r="C254" s="763" t="str">
        <f>IF('BOULEVARD 5'!A259="","Cliente normal",'BOULEVARD 5'!A259)</f>
        <v>Cliente normal</v>
      </c>
      <c r="D254" s="763" t="str">
        <f>IF('BOULEVARD 5'!E259="","No asignado",'BOULEVARD 5'!E259)</f>
        <v>Brenda Búcaro</v>
      </c>
      <c r="E254" s="763" t="str">
        <f>IF('BOULEVARD 5'!F259="","No asignado",'BOULEVARD 5'!F259)</f>
        <v>Javier Andrés Soto Coronado</v>
      </c>
      <c r="F254" s="764">
        <f>'BOULEVARD 5'!AT259</f>
        <v>58500</v>
      </c>
      <c r="G254" s="763" t="str">
        <f>'BOULEVARD 5'!BB259</f>
        <v>Cliente Atrasado</v>
      </c>
      <c r="H254" s="764">
        <f>'BOULEVARD PPTO'!BC254</f>
        <v>66200</v>
      </c>
      <c r="I254" s="764">
        <f t="shared" si="21"/>
        <v>-7700</v>
      </c>
      <c r="J254" s="765" t="str">
        <f t="shared" si="22"/>
        <v>Enganche por pagar</v>
      </c>
      <c r="K254" s="764">
        <f>'BOULEVARD 5'!I259</f>
        <v>661100</v>
      </c>
      <c r="L254" s="766">
        <f>IF('BOULEVARD 5'!G259="","",'BOULEVARD 5'!G259)</f>
        <v>45044</v>
      </c>
      <c r="M254" s="764">
        <f t="shared" si="23"/>
        <v>0</v>
      </c>
      <c r="N254" s="767">
        <f>IF('B5-Status cobranza'!AM261&lt;0,'B5-Status cobranza'!AM261,0)</f>
        <v>-1750</v>
      </c>
      <c r="O254" s="777">
        <f>IF('B5-Status cobranza'!AP261&lt;0,'B5-Status cobranza'!AP261,0)</f>
        <v>-1750</v>
      </c>
      <c r="P254" s="777">
        <f>IF('B5-Status cobranza'!AP261&gt;0,'B5-Status cobranza'!AP261,0)</f>
        <v>0</v>
      </c>
      <c r="Q254" s="767">
        <f>'B5-Status cobranza'!AV261</f>
        <v>0</v>
      </c>
      <c r="R254" s="764">
        <f t="shared" si="25"/>
        <v>661100</v>
      </c>
      <c r="S254" s="764">
        <f>IF('B5-Status cobranza'!AL261&lt;0,'B5-Status cobranza'!AL261,0)</f>
        <v>0</v>
      </c>
      <c r="T254" s="764">
        <v>0</v>
      </c>
      <c r="U254" s="778">
        <f t="shared" si="24"/>
        <v>0</v>
      </c>
      <c r="V254" s="764">
        <f>IF('B5-Status cobranza'!AL261&gt;0,'B5-Status cobranza'!AL261,0)</f>
        <v>0</v>
      </c>
    </row>
    <row r="255" spans="1:22" ht="12" customHeight="1" x14ac:dyDescent="0.25">
      <c r="A255" s="763" t="str">
        <f>"Apto"&amp;'BOULEVARD 5'!B260</f>
        <v>Apto1501</v>
      </c>
      <c r="B255" s="763">
        <v>1</v>
      </c>
      <c r="C255" s="763" t="str">
        <f>IF('BOULEVARD 5'!A260="","Cliente normal",'BOULEVARD 5'!A260)</f>
        <v>Cliente normal</v>
      </c>
      <c r="D255" s="763" t="str">
        <f>IF('BOULEVARD 5'!E260="","No asignado",'BOULEVARD 5'!E260)</f>
        <v>Erwin Cardona</v>
      </c>
      <c r="E255" s="763" t="str">
        <f>IF('BOULEVARD 5'!F260="","No asignado",'BOULEVARD 5'!F260)</f>
        <v>Corporacion G&amp;G Sociedad Anonima</v>
      </c>
      <c r="F255" s="764">
        <f>'BOULEVARD 5'!AT260</f>
        <v>31200</v>
      </c>
      <c r="G255" s="763" t="str">
        <f>'BOULEVARD 5'!BB260</f>
        <v>Cliente al día</v>
      </c>
      <c r="H255" s="764">
        <f>'BOULEVARD PPTO'!BC255</f>
        <v>158090</v>
      </c>
      <c r="I255" s="764">
        <f t="shared" si="21"/>
        <v>-126890</v>
      </c>
      <c r="J255" s="765" t="str">
        <f t="shared" si="22"/>
        <v>Enganche por pagar</v>
      </c>
      <c r="K255" s="764">
        <f>'BOULEVARD 5'!I260</f>
        <v>1580900</v>
      </c>
      <c r="L255" s="766">
        <f>IF('BOULEVARD 5'!G260="","",'BOULEVARD 5'!G260)</f>
        <v>45987</v>
      </c>
      <c r="M255" s="764">
        <f t="shared" si="23"/>
        <v>0</v>
      </c>
      <c r="N255" s="767">
        <f>IF('B5-Status cobranza'!AM262&lt;0,'B5-Status cobranza'!AM262,0)</f>
        <v>0</v>
      </c>
      <c r="O255" s="777">
        <f>IF('B5-Status cobranza'!AP262&lt;0,'B5-Status cobranza'!AP262,0)</f>
        <v>0</v>
      </c>
      <c r="P255" s="777">
        <f>IF('B5-Status cobranza'!AP262&gt;0,'B5-Status cobranza'!AP262,0)</f>
        <v>0</v>
      </c>
      <c r="Q255" s="767">
        <f>'B5-Status cobranza'!AV262</f>
        <v>0</v>
      </c>
      <c r="R255" s="764">
        <f t="shared" si="25"/>
        <v>1580900</v>
      </c>
      <c r="S255" s="764">
        <f>IF('B5-Status cobranza'!AL262&lt;0,'B5-Status cobranza'!AL262,0)</f>
        <v>0</v>
      </c>
      <c r="T255" s="764">
        <v>0</v>
      </c>
      <c r="U255" s="778">
        <f t="shared" si="24"/>
        <v>0</v>
      </c>
      <c r="V255" s="764">
        <f>IF('B5-Status cobranza'!AL262&gt;0,'B5-Status cobranza'!AL262,0)</f>
        <v>0</v>
      </c>
    </row>
    <row r="256" spans="1:22" ht="12" customHeight="1" x14ac:dyDescent="0.25">
      <c r="A256" s="763" t="str">
        <f>"Apto"&amp;'BOULEVARD 5'!B261</f>
        <v>Apto1502</v>
      </c>
      <c r="B256" s="763">
        <v>1</v>
      </c>
      <c r="C256" s="763" t="str">
        <f>IF('BOULEVARD 5'!A261="","Cliente normal",'BOULEVARD 5'!A261)</f>
        <v>Cliente normal</v>
      </c>
      <c r="D256" s="763" t="str">
        <f>IF('BOULEVARD 5'!E261="","No asignado",'BOULEVARD 5'!E261)</f>
        <v>Sofia Paredes</v>
      </c>
      <c r="E256" s="763" t="str">
        <f>IF('BOULEVARD 5'!F261="","No asignado",'BOULEVARD 5'!F261)</f>
        <v>Edgar Benjamín Ramírez Masaya Y Leslie María Ivonne Pivaral Gudiel</v>
      </c>
      <c r="F256" s="764">
        <f>'BOULEVARD 5'!AT261</f>
        <v>131660</v>
      </c>
      <c r="G256" s="763" t="str">
        <f>'BOULEVARD 5'!BB261</f>
        <v>Cliente Atrasado</v>
      </c>
      <c r="H256" s="764">
        <f>'BOULEVARD PPTO'!BC256</f>
        <v>131660</v>
      </c>
      <c r="I256" s="764">
        <f t="shared" si="21"/>
        <v>0</v>
      </c>
      <c r="J256" s="765" t="str">
        <f t="shared" si="22"/>
        <v>Enganche por pagar</v>
      </c>
      <c r="K256" s="764">
        <f>'BOULEVARD 5'!I261</f>
        <v>1333525.2264579299</v>
      </c>
      <c r="L256" s="766">
        <f>IF('BOULEVARD 5'!G261="","",'BOULEVARD 5'!G261)</f>
        <v>45578</v>
      </c>
      <c r="M256" s="764">
        <f t="shared" si="23"/>
        <v>0</v>
      </c>
      <c r="N256" s="767">
        <f>IF('B5-Status cobranza'!AM263&lt;0,'B5-Status cobranza'!AM263,0)</f>
        <v>0</v>
      </c>
      <c r="O256" s="777">
        <f>IF('B5-Status cobranza'!AP263&lt;0,'B5-Status cobranza'!AP263,0)</f>
        <v>0</v>
      </c>
      <c r="P256" s="777">
        <f>IF('B5-Status cobranza'!AP263&gt;0,'B5-Status cobranza'!AP263,0)</f>
        <v>0</v>
      </c>
      <c r="Q256" s="767">
        <f>'B5-Status cobranza'!AV263</f>
        <v>0</v>
      </c>
      <c r="R256" s="764">
        <f t="shared" si="25"/>
        <v>1333525.2264579299</v>
      </c>
      <c r="S256" s="764">
        <f>IF('B5-Status cobranza'!AL263&lt;0,'B5-Status cobranza'!AL263,0)</f>
        <v>0</v>
      </c>
      <c r="T256" s="764">
        <v>0</v>
      </c>
      <c r="U256" s="778">
        <f t="shared" si="24"/>
        <v>0</v>
      </c>
      <c r="V256" s="764">
        <f>IF('B5-Status cobranza'!AL263&gt;0,'B5-Status cobranza'!AL263,0)</f>
        <v>0</v>
      </c>
    </row>
    <row r="257" spans="1:22" ht="12" customHeight="1" x14ac:dyDescent="0.25">
      <c r="A257" s="763" t="str">
        <f>"Apto"&amp;'BOULEVARD 5'!B262</f>
        <v>Apto1503</v>
      </c>
      <c r="B257" s="763">
        <v>1</v>
      </c>
      <c r="C257" s="763" t="str">
        <f>IF('BOULEVARD 5'!A262="","Cliente normal",'BOULEVARD 5'!A262)</f>
        <v>F&amp;F</v>
      </c>
      <c r="D257" s="763" t="str">
        <f>IF('BOULEVARD 5'!E262="","No asignado",'BOULEVARD 5'!E262)</f>
        <v>Brenda Búcaro</v>
      </c>
      <c r="E257" s="763" t="str">
        <f>IF('BOULEVARD 5'!F262="","No asignado",'BOULEVARD 5'!F262)</f>
        <v>Emilia Aracely Larrazabal Melgar</v>
      </c>
      <c r="F257" s="764">
        <f>'BOULEVARD 5'!AT262</f>
        <v>23000</v>
      </c>
      <c r="G257" s="763" t="str">
        <f>'BOULEVARD 5'!BB262</f>
        <v>Cliente Atrasado</v>
      </c>
      <c r="H257" s="764">
        <f>'BOULEVARD PPTO'!BC257</f>
        <v>85227.540000000008</v>
      </c>
      <c r="I257" s="764">
        <f t="shared" si="21"/>
        <v>-62227.540000000008</v>
      </c>
      <c r="J257" s="765" t="str">
        <f t="shared" si="22"/>
        <v>Enganche por pagar</v>
      </c>
      <c r="K257" s="764">
        <f>'BOULEVARD 5'!I262</f>
        <v>852627.54461999994</v>
      </c>
      <c r="L257" s="766">
        <f>IF('BOULEVARD 5'!G262="","",'BOULEVARD 5'!G262)</f>
        <v>45016</v>
      </c>
      <c r="M257" s="764">
        <f t="shared" si="23"/>
        <v>0</v>
      </c>
      <c r="N257" s="767">
        <f>IF('B5-Status cobranza'!AM264&lt;0,'B5-Status cobranza'!AM264,0)</f>
        <v>0</v>
      </c>
      <c r="O257" s="777">
        <f>IF('B5-Status cobranza'!AP264&lt;0,'B5-Status cobranza'!AP264,0)</f>
        <v>0</v>
      </c>
      <c r="P257" s="777">
        <f>IF('B5-Status cobranza'!AP264&gt;0,'B5-Status cobranza'!AP264,0)</f>
        <v>0</v>
      </c>
      <c r="Q257" s="767">
        <f>'B5-Status cobranza'!AV264</f>
        <v>0</v>
      </c>
      <c r="R257" s="764">
        <f t="shared" si="25"/>
        <v>852627.54461999994</v>
      </c>
      <c r="S257" s="764">
        <f>IF('B5-Status cobranza'!AL264&lt;0,'B5-Status cobranza'!AL264,0)</f>
        <v>0</v>
      </c>
      <c r="T257" s="764">
        <v>0</v>
      </c>
      <c r="U257" s="778">
        <f t="shared" si="24"/>
        <v>0</v>
      </c>
      <c r="V257" s="764">
        <f>IF('B5-Status cobranza'!AL264&gt;0,'B5-Status cobranza'!AL264,0)</f>
        <v>0</v>
      </c>
    </row>
    <row r="258" spans="1:22" ht="12" customHeight="1" x14ac:dyDescent="0.25">
      <c r="A258" s="763" t="str">
        <f>"Apto"&amp;'BOULEVARD 5'!B263</f>
        <v>Apto1504</v>
      </c>
      <c r="B258" s="763">
        <v>1</v>
      </c>
      <c r="C258" s="763" t="str">
        <f>IF('BOULEVARD 5'!A263="","Cliente normal",'BOULEVARD 5'!A263)</f>
        <v>Cliente normal</v>
      </c>
      <c r="D258" s="763" t="str">
        <f>IF('BOULEVARD 5'!E263="","No asignado",'BOULEVARD 5'!E263)</f>
        <v>Jose Franco</v>
      </c>
      <c r="E258" s="763" t="str">
        <f>IF('BOULEVARD 5'!F263="","No asignado",'BOULEVARD 5'!F263)</f>
        <v>Berta Eugenia Morales López</v>
      </c>
      <c r="F258" s="764">
        <f>'BOULEVARD 5'!AT263</f>
        <v>37000</v>
      </c>
      <c r="G258" s="763" t="str">
        <f>'BOULEVARD 5'!BB263</f>
        <v>Cliente Atrasado</v>
      </c>
      <c r="H258" s="764">
        <f>'BOULEVARD PPTO'!BC258</f>
        <v>88800</v>
      </c>
      <c r="I258" s="764">
        <f t="shared" si="21"/>
        <v>-51800</v>
      </c>
      <c r="J258" s="765" t="str">
        <f t="shared" si="22"/>
        <v>Enganche por pagar</v>
      </c>
      <c r="K258" s="764">
        <f>'BOULEVARD 5'!I263</f>
        <v>883300</v>
      </c>
      <c r="L258" s="766">
        <f>IF('BOULEVARD 5'!G263="","",'BOULEVARD 5'!G263)</f>
        <v>45068</v>
      </c>
      <c r="M258" s="764">
        <f t="shared" si="23"/>
        <v>0</v>
      </c>
      <c r="N258" s="767">
        <f>IF('B5-Status cobranza'!AM265&lt;0,'B5-Status cobranza'!AM265,0)</f>
        <v>0</v>
      </c>
      <c r="O258" s="777">
        <f>IF('B5-Status cobranza'!AP265&lt;0,'B5-Status cobranza'!AP265,0)</f>
        <v>-54800</v>
      </c>
      <c r="P258" s="777">
        <f>IF('B5-Status cobranza'!AP265&gt;0,'B5-Status cobranza'!AP265,0)</f>
        <v>0</v>
      </c>
      <c r="Q258" s="767">
        <f>'B5-Status cobranza'!AV265</f>
        <v>1000</v>
      </c>
      <c r="R258" s="764">
        <f t="shared" si="25"/>
        <v>883300</v>
      </c>
      <c r="S258" s="764">
        <f>IF('B5-Status cobranza'!AL265&lt;0,'B5-Status cobranza'!AL265,0)</f>
        <v>-54800</v>
      </c>
      <c r="T258" s="764">
        <v>0</v>
      </c>
      <c r="U258" s="778">
        <f t="shared" si="24"/>
        <v>0</v>
      </c>
      <c r="V258" s="764">
        <f>IF('B5-Status cobranza'!AL265&gt;0,'B5-Status cobranza'!AL265,0)</f>
        <v>0</v>
      </c>
    </row>
    <row r="259" spans="1:22" ht="12" customHeight="1" x14ac:dyDescent="0.25">
      <c r="A259" s="763" t="str">
        <f>"Apto"&amp;'BOULEVARD 5'!B264</f>
        <v>Apto1505</v>
      </c>
      <c r="B259" s="763">
        <v>1</v>
      </c>
      <c r="C259" s="763" t="str">
        <f>IF('BOULEVARD 5'!A264="","Cliente normal",'BOULEVARD 5'!A264)</f>
        <v>Cliente normal</v>
      </c>
      <c r="D259" s="763" t="str">
        <f>IF('BOULEVARD 5'!E264="","No asignado",'BOULEVARD 5'!E264)</f>
        <v>Antonio Rada</v>
      </c>
      <c r="E259" s="763" t="str">
        <f>IF('BOULEVARD 5'!F264="","No asignado",'BOULEVARD 5'!F264)</f>
        <v>Daniel Alvarez Alvarez</v>
      </c>
      <c r="F259" s="764">
        <f>'BOULEVARD 5'!AT264</f>
        <v>134722</v>
      </c>
      <c r="G259" s="763" t="str">
        <f>'BOULEVARD 5'!BB264</f>
        <v>Cliente Atrasado</v>
      </c>
      <c r="H259" s="764">
        <f>'BOULEVARD PPTO'!BC259</f>
        <v>127800</v>
      </c>
      <c r="I259" s="764">
        <f t="shared" ref="I259:I299" si="26">F259-H259</f>
        <v>6922</v>
      </c>
      <c r="J259" s="765" t="str">
        <f t="shared" ref="J259:J299" si="27">IF(I259&gt;0,"Superavit de enganche","Enganche por pagar")</f>
        <v>Superavit de enganche</v>
      </c>
      <c r="K259" s="764">
        <f>'BOULEVARD 5'!I264</f>
        <v>1277800</v>
      </c>
      <c r="L259" s="766">
        <f>IF('BOULEVARD 5'!G264="","",'BOULEVARD 5'!G264)</f>
        <v>45491</v>
      </c>
      <c r="M259" s="764">
        <f t="shared" ref="M259:M299" si="28">IF(G259="Disponible",K259,0)</f>
        <v>0</v>
      </c>
      <c r="N259" s="767">
        <f>IF('B5-Status cobranza'!AM266&lt;0,'B5-Status cobranza'!AM266,0)</f>
        <v>0</v>
      </c>
      <c r="O259" s="777">
        <f>IF('B5-Status cobranza'!AP266&lt;0,'B5-Status cobranza'!AP266,0)</f>
        <v>0</v>
      </c>
      <c r="P259" s="777">
        <f>IF('B5-Status cobranza'!AP266&gt;0,'B5-Status cobranza'!AP266,0)</f>
        <v>0</v>
      </c>
      <c r="Q259" s="767">
        <f>'B5-Status cobranza'!AV266</f>
        <v>0</v>
      </c>
      <c r="R259" s="764">
        <f t="shared" si="25"/>
        <v>1277800</v>
      </c>
      <c r="S259" s="764">
        <f>IF('B5-Status cobranza'!AL266&lt;0,'B5-Status cobranza'!AL266,0)</f>
        <v>0</v>
      </c>
      <c r="T259" s="764">
        <v>0</v>
      </c>
      <c r="U259" s="778">
        <f t="shared" ref="U259:U299" si="29">-T259/SUM($S$2:$S$299)</f>
        <v>0</v>
      </c>
      <c r="V259" s="764">
        <f>IF('B5-Status cobranza'!AL266&gt;0,'B5-Status cobranza'!AL266,0)</f>
        <v>0</v>
      </c>
    </row>
    <row r="260" spans="1:22" ht="12" customHeight="1" x14ac:dyDescent="0.25">
      <c r="A260" s="763" t="str">
        <f>"Apto"&amp;'BOULEVARD 5'!B265</f>
        <v>Apto1506</v>
      </c>
      <c r="B260" s="763">
        <v>1</v>
      </c>
      <c r="C260" s="763" t="str">
        <f>G260</f>
        <v>Disponible</v>
      </c>
      <c r="D260" s="763" t="str">
        <f>IF('BOULEVARD 5'!E265="","No asignado",'BOULEVARD 5'!E265)</f>
        <v>No asignado</v>
      </c>
      <c r="E260" s="763" t="str">
        <f>IF('BOULEVARD 5'!F265="","No asignado",'BOULEVARD 5'!F265)</f>
        <v>No asignado</v>
      </c>
      <c r="F260" s="764">
        <f>'BOULEVARD 5'!AT265</f>
        <v>0</v>
      </c>
      <c r="G260" s="763" t="str">
        <f>'BOULEVARD 5'!BB265</f>
        <v>Disponible</v>
      </c>
      <c r="H260" s="764">
        <f>'BOULEVARD PPTO'!BC260</f>
        <v>0</v>
      </c>
      <c r="I260" s="764">
        <f t="shared" si="26"/>
        <v>0</v>
      </c>
      <c r="J260" s="765" t="str">
        <f t="shared" si="27"/>
        <v>Enganche por pagar</v>
      </c>
      <c r="K260" s="764">
        <f>'BOULEVARD 5'!I265</f>
        <v>1225600</v>
      </c>
      <c r="L260" s="766" t="str">
        <f>IF('BOULEVARD 5'!G265="","",'BOULEVARD 5'!G265)</f>
        <v/>
      </c>
      <c r="M260" s="764">
        <f t="shared" si="28"/>
        <v>1225600</v>
      </c>
      <c r="N260" s="767">
        <f>IF('B5-Status cobranza'!AM267&lt;0,'B5-Status cobranza'!AM267,0)</f>
        <v>0</v>
      </c>
      <c r="O260" s="777">
        <f>IF('B5-Status cobranza'!AP267&lt;0,'B5-Status cobranza'!AP267,0)</f>
        <v>0</v>
      </c>
      <c r="P260" s="777">
        <f>IF('B5-Status cobranza'!AP267&gt;0,'B5-Status cobranza'!AP267,0)</f>
        <v>0</v>
      </c>
      <c r="Q260" s="767">
        <f>'B5-Status cobranza'!AV267</f>
        <v>0</v>
      </c>
      <c r="R260" s="764">
        <f t="shared" ref="R260:R299" si="30">IF(M260=0,K260,0)</f>
        <v>0</v>
      </c>
      <c r="S260" s="764">
        <f>IF('B5-Status cobranza'!AL267&lt;0,'B5-Status cobranza'!AL267,0)</f>
        <v>0</v>
      </c>
      <c r="T260" s="764">
        <v>0</v>
      </c>
      <c r="U260" s="778">
        <f t="shared" si="29"/>
        <v>0</v>
      </c>
      <c r="V260" s="764">
        <f>IF('B5-Status cobranza'!AL267&gt;0,'B5-Status cobranza'!AL267,0)</f>
        <v>0</v>
      </c>
    </row>
    <row r="261" spans="1:22" ht="12" customHeight="1" x14ac:dyDescent="0.25">
      <c r="A261" s="763" t="str">
        <f>"Apto"&amp;'BOULEVARD 5'!B266</f>
        <v>Apto1507</v>
      </c>
      <c r="B261" s="763">
        <v>1</v>
      </c>
      <c r="C261" s="763" t="str">
        <f>IF('BOULEVARD 5'!A266="","Cliente normal",'BOULEVARD 5'!A266)</f>
        <v>F&amp;F</v>
      </c>
      <c r="D261" s="763" t="str">
        <f>IF('BOULEVARD 5'!E266="","No asignado",'BOULEVARD 5'!E266)</f>
        <v>Jose Franco</v>
      </c>
      <c r="E261" s="763" t="str">
        <f>IF('BOULEVARD 5'!F266="","No asignado",'BOULEVARD 5'!F266)</f>
        <v>Gabriel Arimany Monzón</v>
      </c>
      <c r="F261" s="764">
        <f>'BOULEVARD 5'!AT266</f>
        <v>110550</v>
      </c>
      <c r="G261" s="763" t="str">
        <f>'BOULEVARD 5'!BB266</f>
        <v>Cliente al día</v>
      </c>
      <c r="H261" s="764">
        <f>'BOULEVARD PPTO'!BC261</f>
        <v>114161</v>
      </c>
      <c r="I261" s="764">
        <f t="shared" si="26"/>
        <v>-3611</v>
      </c>
      <c r="J261" s="765" t="str">
        <f t="shared" si="27"/>
        <v>Enganche por pagar</v>
      </c>
      <c r="K261" s="764">
        <f>'BOULEVARD 5'!I266</f>
        <v>1141461.0333799999</v>
      </c>
      <c r="L261" s="766">
        <f>IF('BOULEVARD 5'!G266="","",'BOULEVARD 5'!G266)</f>
        <v>45013</v>
      </c>
      <c r="M261" s="764">
        <f t="shared" si="28"/>
        <v>0</v>
      </c>
      <c r="N261" s="767">
        <f>IF('B5-Status cobranza'!AM268&lt;0,'B5-Status cobranza'!AM268,0)</f>
        <v>0</v>
      </c>
      <c r="O261" s="777">
        <f>IF('B5-Status cobranza'!AP268&lt;0,'B5-Status cobranza'!AP268,0)</f>
        <v>0</v>
      </c>
      <c r="P261" s="777">
        <f>IF('B5-Status cobranza'!AP268&gt;0,'B5-Status cobranza'!AP268,0)</f>
        <v>0</v>
      </c>
      <c r="Q261" s="767">
        <f>'B5-Status cobranza'!AV268</f>
        <v>0</v>
      </c>
      <c r="R261" s="764">
        <f t="shared" si="30"/>
        <v>1141461.0333799999</v>
      </c>
      <c r="S261" s="764">
        <f>IF('B5-Status cobranza'!AL268&lt;0,'B5-Status cobranza'!AL268,0)</f>
        <v>0</v>
      </c>
      <c r="T261" s="764">
        <v>0</v>
      </c>
      <c r="U261" s="778">
        <f t="shared" si="29"/>
        <v>0</v>
      </c>
      <c r="V261" s="764">
        <f>IF('B5-Status cobranza'!AL268&gt;0,'B5-Status cobranza'!AL268,0)</f>
        <v>0</v>
      </c>
    </row>
    <row r="262" spans="1:22" ht="12" customHeight="1" x14ac:dyDescent="0.25">
      <c r="A262" s="763" t="str">
        <f>"Apto"&amp;'BOULEVARD 5'!B267</f>
        <v>Apto1508</v>
      </c>
      <c r="B262" s="763">
        <v>1</v>
      </c>
      <c r="C262" s="763" t="str">
        <f>IF('BOULEVARD 5'!A267="","Cliente normal",'BOULEVARD 5'!A267)</f>
        <v>F&amp;F</v>
      </c>
      <c r="D262" s="763" t="str">
        <f>IF('BOULEVARD 5'!E267="","No asignado",'BOULEVARD 5'!E267)</f>
        <v>Jose Franco</v>
      </c>
      <c r="E262" s="763" t="str">
        <f>IF('BOULEVARD 5'!F267="","No asignado",'BOULEVARD 5'!F267)</f>
        <v>María Carolina Arimany Comas</v>
      </c>
      <c r="F262" s="764">
        <f>'BOULEVARD 5'!AT267</f>
        <v>6000</v>
      </c>
      <c r="G262" s="763" t="str">
        <f>'BOULEVARD 5'!BB267</f>
        <v>Cliente Atrasado</v>
      </c>
      <c r="H262" s="764">
        <f>'BOULEVARD PPTO'!BC262</f>
        <v>114160</v>
      </c>
      <c r="I262" s="764">
        <f t="shared" si="26"/>
        <v>-108160</v>
      </c>
      <c r="J262" s="765" t="str">
        <f t="shared" si="27"/>
        <v>Enganche por pagar</v>
      </c>
      <c r="K262" s="764">
        <f>'BOULEVARD 5'!I267</f>
        <v>1141560</v>
      </c>
      <c r="L262" s="766">
        <f>IF('BOULEVARD 5'!G267="","",'BOULEVARD 5'!G267)</f>
        <v>45013</v>
      </c>
      <c r="M262" s="764">
        <f t="shared" si="28"/>
        <v>0</v>
      </c>
      <c r="N262" s="767">
        <f>IF('B5-Status cobranza'!AM269&lt;0,'B5-Status cobranza'!AM269,0)</f>
        <v>0</v>
      </c>
      <c r="O262" s="777">
        <f>IF('B5-Status cobranza'!AP269&lt;0,'B5-Status cobranza'!AP269,0)</f>
        <v>0</v>
      </c>
      <c r="P262" s="777">
        <f>IF('B5-Status cobranza'!AP269&gt;0,'B5-Status cobranza'!AP269,0)</f>
        <v>0</v>
      </c>
      <c r="Q262" s="767">
        <f>'B5-Status cobranza'!AV269</f>
        <v>0</v>
      </c>
      <c r="R262" s="764">
        <f t="shared" si="30"/>
        <v>1141560</v>
      </c>
      <c r="S262" s="764">
        <f>IF('B5-Status cobranza'!AL269&lt;0,'B5-Status cobranza'!AL269,0)</f>
        <v>0</v>
      </c>
      <c r="T262" s="764">
        <v>0</v>
      </c>
      <c r="U262" s="778">
        <f t="shared" si="29"/>
        <v>0</v>
      </c>
      <c r="V262" s="764">
        <f>IF('B5-Status cobranza'!AL269&gt;0,'B5-Status cobranza'!AL269,0)</f>
        <v>0</v>
      </c>
    </row>
    <row r="263" spans="1:22" ht="12" customHeight="1" x14ac:dyDescent="0.25">
      <c r="A263" s="763" t="str">
        <f>"Apto"&amp;'BOULEVARD 5'!B268</f>
        <v>Apto1509</v>
      </c>
      <c r="B263" s="763">
        <v>1</v>
      </c>
      <c r="C263" s="763" t="str">
        <f>IF('BOULEVARD 5'!A268="","Cliente normal",'BOULEVARD 5'!A268)</f>
        <v>Cliente normal</v>
      </c>
      <c r="D263" s="763" t="str">
        <f>IF('BOULEVARD 5'!E268="","No asignado",'BOULEVARD 5'!E268)</f>
        <v>Anahí Cisneros</v>
      </c>
      <c r="E263" s="763" t="str">
        <f>IF('BOULEVARD 5'!F268="","No asignado",'BOULEVARD 5'!F268)</f>
        <v>Alan Gonzalez Choc</v>
      </c>
      <c r="F263" s="764">
        <f>'BOULEVARD 5'!AT268</f>
        <v>703277.04</v>
      </c>
      <c r="G263" s="763" t="str">
        <f>'BOULEVARD 5'!BB268</f>
        <v>Cliente Atrasado</v>
      </c>
      <c r="H263" s="764">
        <f>'BOULEVARD PPTO'!BC263</f>
        <v>1082554.08</v>
      </c>
      <c r="I263" s="764">
        <f t="shared" si="26"/>
        <v>-379277.04000000004</v>
      </c>
      <c r="J263" s="765" t="str">
        <f t="shared" si="27"/>
        <v>Enganche por pagar</v>
      </c>
      <c r="K263" s="764">
        <f>'BOULEVARD 5'!I268</f>
        <v>1082159.69644988</v>
      </c>
      <c r="L263" s="766">
        <f>IF('BOULEVARD 5'!G268="","",'BOULEVARD 5'!G268)</f>
        <v>45856</v>
      </c>
      <c r="M263" s="764">
        <f t="shared" si="28"/>
        <v>0</v>
      </c>
      <c r="N263" s="767">
        <f>IF('B5-Status cobranza'!AM270&lt;0,'B5-Status cobranza'!AM270,0)</f>
        <v>0</v>
      </c>
      <c r="O263" s="777">
        <f>IF('B5-Status cobranza'!AP270&lt;0,'B5-Status cobranza'!AP270,0)</f>
        <v>-32400</v>
      </c>
      <c r="P263" s="777">
        <f>IF('B5-Status cobranza'!AP270&gt;0,'B5-Status cobranza'!AP270,0)</f>
        <v>0</v>
      </c>
      <c r="Q263" s="767">
        <f>'B5-Status cobranza'!AV270</f>
        <v>0</v>
      </c>
      <c r="R263" s="764">
        <f t="shared" si="30"/>
        <v>1082159.69644988</v>
      </c>
      <c r="S263" s="764">
        <f>IF('B5-Status cobranza'!AL270&lt;0,'B5-Status cobranza'!AL270,0)</f>
        <v>0</v>
      </c>
      <c r="T263" s="764">
        <v>0</v>
      </c>
      <c r="U263" s="778">
        <f t="shared" si="29"/>
        <v>0</v>
      </c>
      <c r="V263" s="764">
        <f>IF('B5-Status cobranza'!AL270&gt;0,'B5-Status cobranza'!AL270,0)</f>
        <v>0</v>
      </c>
    </row>
    <row r="264" spans="1:22" ht="12" customHeight="1" x14ac:dyDescent="0.25">
      <c r="A264" s="763" t="str">
        <f>"Apto"&amp;'BOULEVARD 5'!B269</f>
        <v>Apto1510</v>
      </c>
      <c r="B264" s="763">
        <v>1</v>
      </c>
      <c r="C264" s="763" t="str">
        <f>IF('BOULEVARD 5'!A269="","Cliente normal",'BOULEVARD 5'!A269)</f>
        <v>Cliente normal</v>
      </c>
      <c r="D264" s="763" t="str">
        <f>IF('BOULEVARD 5'!E269="","No asignado",'BOULEVARD 5'!E269)</f>
        <v>Brenda Búcaro</v>
      </c>
      <c r="E264" s="763" t="str">
        <f>IF('BOULEVARD 5'!F269="","No asignado",'BOULEVARD 5'!F269)</f>
        <v>José Paúl Centeno Valdés</v>
      </c>
      <c r="F264" s="764">
        <f>'BOULEVARD 5'!AT269</f>
        <v>85736</v>
      </c>
      <c r="G264" s="763" t="str">
        <f>'BOULEVARD 5'!BB269</f>
        <v>Cliente Atrasado</v>
      </c>
      <c r="H264" s="764">
        <f>'BOULEVARD PPTO'!BC264</f>
        <v>88800</v>
      </c>
      <c r="I264" s="764">
        <f t="shared" si="26"/>
        <v>-3064</v>
      </c>
      <c r="J264" s="765" t="str">
        <f t="shared" si="27"/>
        <v>Enganche por pagar</v>
      </c>
      <c r="K264" s="764">
        <f>'BOULEVARD 5'!I269</f>
        <v>887400</v>
      </c>
      <c r="L264" s="766">
        <f>IF('BOULEVARD 5'!G269="","",'BOULEVARD 5'!G269)</f>
        <v>45085</v>
      </c>
      <c r="M264" s="764">
        <f t="shared" si="28"/>
        <v>0</v>
      </c>
      <c r="N264" s="767">
        <f>IF('B5-Status cobranza'!AM271&lt;0,'B5-Status cobranza'!AM271,0)</f>
        <v>0</v>
      </c>
      <c r="O264" s="777">
        <f>IF('B5-Status cobranza'!AP271&lt;0,'B5-Status cobranza'!AP271,0)</f>
        <v>-3064</v>
      </c>
      <c r="P264" s="777">
        <f>IF('B5-Status cobranza'!AP271&gt;0,'B5-Status cobranza'!AP271,0)</f>
        <v>0</v>
      </c>
      <c r="Q264" s="767">
        <f>'B5-Status cobranza'!AV271</f>
        <v>0</v>
      </c>
      <c r="R264" s="764">
        <f t="shared" si="30"/>
        <v>887400</v>
      </c>
      <c r="S264" s="764">
        <f>IF('B5-Status cobranza'!AL271&lt;0,'B5-Status cobranza'!AL271,0)</f>
        <v>-3065</v>
      </c>
      <c r="T264" s="764">
        <v>0</v>
      </c>
      <c r="U264" s="778">
        <f t="shared" si="29"/>
        <v>0</v>
      </c>
      <c r="V264" s="764">
        <f>IF('B5-Status cobranza'!AL271&gt;0,'B5-Status cobranza'!AL271,0)</f>
        <v>0</v>
      </c>
    </row>
    <row r="265" spans="1:22" ht="12" customHeight="1" x14ac:dyDescent="0.25">
      <c r="A265" s="763" t="str">
        <f>"Apto"&amp;'BOULEVARD 5'!B270</f>
        <v>Apto1511</v>
      </c>
      <c r="B265" s="763">
        <v>1</v>
      </c>
      <c r="C265" s="763" t="str">
        <f>IF('BOULEVARD 5'!A270="","Cliente normal",'BOULEVARD 5'!A270)</f>
        <v>Cliente normal</v>
      </c>
      <c r="D265" s="763" t="str">
        <f>IF('BOULEVARD 5'!E270="","No asignado",'BOULEVARD 5'!E270)</f>
        <v>Antonio Rada</v>
      </c>
      <c r="E265" s="763" t="str">
        <f>IF('BOULEVARD 5'!F270="","No asignado",'BOULEVARD 5'!F270)</f>
        <v>Luis Fernando Velasquez León</v>
      </c>
      <c r="F265" s="764">
        <f>'BOULEVARD 5'!AT270</f>
        <v>143688</v>
      </c>
      <c r="G265" s="763" t="str">
        <f>'BOULEVARD 5'!BB270</f>
        <v>Cliente Atrasado</v>
      </c>
      <c r="H265" s="764">
        <f>'BOULEVARD PPTO'!BC265</f>
        <v>138300</v>
      </c>
      <c r="I265" s="764">
        <f t="shared" si="26"/>
        <v>5388</v>
      </c>
      <c r="J265" s="765" t="str">
        <f t="shared" si="27"/>
        <v>Superavit de enganche</v>
      </c>
      <c r="K265" s="764">
        <f>'BOULEVARD 5'!I270</f>
        <v>1382700</v>
      </c>
      <c r="L265" s="766">
        <f>IF('BOULEVARD 5'!G270="","",'BOULEVARD 5'!G270)</f>
        <v>45155</v>
      </c>
      <c r="M265" s="764">
        <f t="shared" si="28"/>
        <v>0</v>
      </c>
      <c r="N265" s="767">
        <f>IF('B5-Status cobranza'!AM272&lt;0,'B5-Status cobranza'!AM272,0)</f>
        <v>0</v>
      </c>
      <c r="O265" s="777">
        <f>IF('B5-Status cobranza'!AP272&lt;0,'B5-Status cobranza'!AP272,0)</f>
        <v>0</v>
      </c>
      <c r="P265" s="777">
        <f>IF('B5-Status cobranza'!AP272&gt;0,'B5-Status cobranza'!AP272,0)</f>
        <v>88</v>
      </c>
      <c r="Q265" s="767">
        <f>'B5-Status cobranza'!AV272</f>
        <v>5300</v>
      </c>
      <c r="R265" s="764">
        <f t="shared" si="30"/>
        <v>1382700</v>
      </c>
      <c r="S265" s="764">
        <f>IF('B5-Status cobranza'!AL272&lt;0,'B5-Status cobranza'!AL272,0)</f>
        <v>0</v>
      </c>
      <c r="T265" s="764">
        <v>0</v>
      </c>
      <c r="U265" s="778">
        <f t="shared" si="29"/>
        <v>0</v>
      </c>
      <c r="V265" s="764">
        <f>IF('B5-Status cobranza'!AL272&gt;0,'B5-Status cobranza'!AL272,0)</f>
        <v>8</v>
      </c>
    </row>
    <row r="266" spans="1:22" ht="12" customHeight="1" x14ac:dyDescent="0.25">
      <c r="A266" s="763" t="str">
        <f>"Apto"&amp;'BOULEVARD 5'!B271</f>
        <v>Apto1512</v>
      </c>
      <c r="B266" s="763">
        <v>1</v>
      </c>
      <c r="C266" s="763" t="str">
        <f>G266</f>
        <v>Disponible</v>
      </c>
      <c r="D266" s="763" t="str">
        <f>IF('BOULEVARD 5'!E271="","No asignado",'BOULEVARD 5'!E271)</f>
        <v>No asignado</v>
      </c>
      <c r="E266" s="763" t="str">
        <f>IF('BOULEVARD 5'!F271="","No asignado",'BOULEVARD 5'!F271)</f>
        <v>No asignado</v>
      </c>
      <c r="F266" s="764">
        <f>'BOULEVARD 5'!AT271</f>
        <v>0</v>
      </c>
      <c r="G266" s="763" t="str">
        <f>'BOULEVARD 5'!BB271</f>
        <v>Disponible</v>
      </c>
      <c r="H266" s="764">
        <f>'BOULEVARD PPTO'!BC266</f>
        <v>0</v>
      </c>
      <c r="I266" s="764">
        <f t="shared" si="26"/>
        <v>0</v>
      </c>
      <c r="J266" s="765" t="str">
        <f t="shared" si="27"/>
        <v>Enganche por pagar</v>
      </c>
      <c r="K266" s="764">
        <f>'BOULEVARD 5'!I271</f>
        <v>1215700</v>
      </c>
      <c r="L266" s="766" t="str">
        <f>IF('BOULEVARD 5'!G271="","",'BOULEVARD 5'!G271)</f>
        <v/>
      </c>
      <c r="M266" s="764">
        <f t="shared" si="28"/>
        <v>1215700</v>
      </c>
      <c r="N266" s="767">
        <f>IF('B5-Status cobranza'!AM273&lt;0,'B5-Status cobranza'!AM273,0)</f>
        <v>0</v>
      </c>
      <c r="O266" s="777">
        <f>IF('B5-Status cobranza'!AP273&lt;0,'B5-Status cobranza'!AP273,0)</f>
        <v>0</v>
      </c>
      <c r="P266" s="777">
        <f>IF('B5-Status cobranza'!AP273&gt;0,'B5-Status cobranza'!AP273,0)</f>
        <v>0</v>
      </c>
      <c r="Q266" s="767">
        <f>'B5-Status cobranza'!AV273</f>
        <v>0</v>
      </c>
      <c r="R266" s="764">
        <f t="shared" si="30"/>
        <v>0</v>
      </c>
      <c r="S266" s="764">
        <f>IF('B5-Status cobranza'!AL273&lt;0,'B5-Status cobranza'!AL273,0)</f>
        <v>0</v>
      </c>
      <c r="T266" s="764">
        <v>0</v>
      </c>
      <c r="U266" s="778">
        <f t="shared" si="29"/>
        <v>0</v>
      </c>
      <c r="V266" s="764">
        <f>IF('B5-Status cobranza'!AL273&gt;0,'B5-Status cobranza'!AL273,0)</f>
        <v>0</v>
      </c>
    </row>
    <row r="267" spans="1:22" ht="12" customHeight="1" x14ac:dyDescent="0.25">
      <c r="A267" s="763" t="str">
        <f>"Apto"&amp;'BOULEVARD 5'!B272</f>
        <v>Apto1601</v>
      </c>
      <c r="B267" s="763">
        <v>1</v>
      </c>
      <c r="C267" s="763" t="str">
        <f>IF('BOULEVARD 5'!A272="","Cliente normal",'BOULEVARD 5'!A272)</f>
        <v>Cliente normal</v>
      </c>
      <c r="D267" s="763" t="str">
        <f>IF('BOULEVARD 5'!E272="","No asignado",'BOULEVARD 5'!E272)</f>
        <v>Brenda Búcaro</v>
      </c>
      <c r="E267" s="763" t="str">
        <f>IF('BOULEVARD 5'!F272="","No asignado",'BOULEVARD 5'!F272)</f>
        <v>Fernando García Coronado</v>
      </c>
      <c r="F267" s="764">
        <f>'BOULEVARD 5'!AT272</f>
        <v>129000</v>
      </c>
      <c r="G267" s="763" t="str">
        <f>'BOULEVARD 5'!BB272</f>
        <v>Cliente Atrasado</v>
      </c>
      <c r="H267" s="764">
        <f>'BOULEVARD PPTO'!BC267</f>
        <v>125583.9</v>
      </c>
      <c r="I267" s="764">
        <f t="shared" si="26"/>
        <v>3416.1000000000058</v>
      </c>
      <c r="J267" s="765" t="str">
        <f t="shared" si="27"/>
        <v>Superavit de enganche</v>
      </c>
      <c r="K267" s="764">
        <f>'BOULEVARD 5'!I272</f>
        <v>1255283.8999999999</v>
      </c>
      <c r="L267" s="766">
        <f>IF('BOULEVARD 5'!G272="","",'BOULEVARD 5'!G272)</f>
        <v>45162</v>
      </c>
      <c r="M267" s="764">
        <f t="shared" si="28"/>
        <v>0</v>
      </c>
      <c r="N267" s="767">
        <f>IF('B5-Status cobranza'!AM274&lt;0,'B5-Status cobranza'!AM274,0)</f>
        <v>0</v>
      </c>
      <c r="O267" s="777">
        <f>IF('B5-Status cobranza'!AP274&lt;0,'B5-Status cobranza'!AP274,0)</f>
        <v>0</v>
      </c>
      <c r="P267" s="777">
        <f>IF('B5-Status cobranza'!AP274&gt;0,'B5-Status cobranza'!AP274,0)</f>
        <v>3416.1000000000004</v>
      </c>
      <c r="Q267" s="767">
        <f>'B5-Status cobranza'!AV274</f>
        <v>0</v>
      </c>
      <c r="R267" s="764">
        <f t="shared" si="30"/>
        <v>1255283.8999999999</v>
      </c>
      <c r="S267" s="764">
        <f>IF('B5-Status cobranza'!AL274&lt;0,'B5-Status cobranza'!AL274,0)</f>
        <v>-4863.8999999999996</v>
      </c>
      <c r="T267" s="764">
        <v>0</v>
      </c>
      <c r="U267" s="778">
        <f t="shared" si="29"/>
        <v>0</v>
      </c>
      <c r="V267" s="764">
        <f>IF('B5-Status cobranza'!AL274&gt;0,'B5-Status cobranza'!AL274,0)</f>
        <v>0</v>
      </c>
    </row>
    <row r="268" spans="1:22" ht="12" customHeight="1" x14ac:dyDescent="0.25">
      <c r="A268" s="763" t="str">
        <f>"Apto"&amp;'BOULEVARD 5'!B273</f>
        <v>Apto1602</v>
      </c>
      <c r="B268" s="763">
        <v>1</v>
      </c>
      <c r="C268" s="763" t="str">
        <f>IF('BOULEVARD 5'!A273="","Cliente normal",'BOULEVARD 5'!A273)</f>
        <v>F&amp;F</v>
      </c>
      <c r="D268" s="763" t="s">
        <v>691</v>
      </c>
      <c r="E268" s="763" t="str">
        <f>IF('BOULEVARD 5'!F273="","No asignado",'BOULEVARD 5'!F273)</f>
        <v>International Coffee Industry, S.A</v>
      </c>
      <c r="F268" s="764">
        <f>'BOULEVARD 5'!AT273</f>
        <v>0</v>
      </c>
      <c r="G268" s="763" t="str">
        <f>'BOULEVARD 5'!BB273</f>
        <v>Cliente Atrasado</v>
      </c>
      <c r="H268" s="764">
        <f>'BOULEVARD PPTO'!BC268</f>
        <v>0</v>
      </c>
      <c r="I268" s="764">
        <f t="shared" si="26"/>
        <v>0</v>
      </c>
      <c r="J268" s="765" t="str">
        <f t="shared" si="27"/>
        <v>Enganche por pagar</v>
      </c>
      <c r="K268" s="764">
        <f>'BOULEVARD 5'!I273</f>
        <v>1297200</v>
      </c>
      <c r="L268" s="766">
        <f>IF('BOULEVARD 5'!G273="","",'BOULEVARD 5'!G273)</f>
        <v>45300</v>
      </c>
      <c r="M268" s="764">
        <f t="shared" si="28"/>
        <v>0</v>
      </c>
      <c r="N268" s="767">
        <f>IF('B5-Status cobranza'!AM275&lt;0,'B5-Status cobranza'!AM275,0)</f>
        <v>0</v>
      </c>
      <c r="O268" s="777">
        <f>IF('B5-Status cobranza'!AP275&lt;0,'B5-Status cobranza'!AP275,0)</f>
        <v>0</v>
      </c>
      <c r="P268" s="777">
        <f>IF('B5-Status cobranza'!AP275&gt;0,'B5-Status cobranza'!AP275,0)</f>
        <v>0</v>
      </c>
      <c r="Q268" s="767">
        <f>'B5-Status cobranza'!AV275</f>
        <v>0</v>
      </c>
      <c r="R268" s="764">
        <f t="shared" si="30"/>
        <v>1297200</v>
      </c>
      <c r="S268" s="764">
        <f>IF('B5-Status cobranza'!AL275&lt;0,'B5-Status cobranza'!AL275,0)</f>
        <v>0</v>
      </c>
      <c r="T268" s="764">
        <v>0</v>
      </c>
      <c r="U268" s="778">
        <f t="shared" si="29"/>
        <v>0</v>
      </c>
      <c r="V268" s="764">
        <f>IF('B5-Status cobranza'!AL275&gt;0,'B5-Status cobranza'!AL275,0)</f>
        <v>0</v>
      </c>
    </row>
    <row r="269" spans="1:22" ht="12" customHeight="1" x14ac:dyDescent="0.25">
      <c r="A269" s="763" t="str">
        <f>"Apto"&amp;'BOULEVARD 5'!B274</f>
        <v>Apto1603</v>
      </c>
      <c r="B269" s="763">
        <v>1</v>
      </c>
      <c r="C269" s="763" t="str">
        <f>IF('BOULEVARD 5'!A274="","Cliente normal",'BOULEVARD 5'!A274)</f>
        <v>Cliente normal</v>
      </c>
      <c r="D269" s="763" t="str">
        <f>IF('BOULEVARD 5'!E274="","No asignado",'BOULEVARD 5'!E274)</f>
        <v>Antonio Rada</v>
      </c>
      <c r="E269" s="763" t="str">
        <f>IF('BOULEVARD 5'!F274="","No asignado",'BOULEVARD 5'!F274)</f>
        <v>Inmobiliaria Quince Sociedad Anonima</v>
      </c>
      <c r="F269" s="764">
        <f>'BOULEVARD 5'!AT274</f>
        <v>826342</v>
      </c>
      <c r="G269" s="763" t="str">
        <f>'BOULEVARD 5'!BB274</f>
        <v>Superávit de Enganche</v>
      </c>
      <c r="H269" s="764">
        <f>'BOULEVARD PPTO'!BC269</f>
        <v>156030.60999999999</v>
      </c>
      <c r="I269" s="764">
        <f t="shared" si="26"/>
        <v>670311.39</v>
      </c>
      <c r="J269" s="765" t="str">
        <f t="shared" si="27"/>
        <v>Superavit de enganche</v>
      </c>
      <c r="K269" s="764">
        <f>'BOULEVARD 5'!I274</f>
        <v>863130.61</v>
      </c>
      <c r="L269" s="766">
        <f>IF('BOULEVARD 5'!G274="","",'BOULEVARD 5'!G274)</f>
        <v>45013</v>
      </c>
      <c r="M269" s="764">
        <f t="shared" si="28"/>
        <v>0</v>
      </c>
      <c r="N269" s="767">
        <f>IF('B5-Status cobranza'!AM276&lt;0,'B5-Status cobranza'!AM276,0)</f>
        <v>-5001.6099999999997</v>
      </c>
      <c r="O269" s="777">
        <f>IF('B5-Status cobranza'!AP276&lt;0,'B5-Status cobranza'!AP276,0)</f>
        <v>0</v>
      </c>
      <c r="P269" s="777">
        <f>IF('B5-Status cobranza'!AP276&gt;0,'B5-Status cobranza'!AP276,0)</f>
        <v>670311.39</v>
      </c>
      <c r="Q269" s="767">
        <f>'B5-Status cobranza'!AV276</f>
        <v>0</v>
      </c>
      <c r="R269" s="764">
        <f t="shared" si="30"/>
        <v>863130.61</v>
      </c>
      <c r="S269" s="764">
        <f>IF('B5-Status cobranza'!AL276&lt;0,'B5-Status cobranza'!AL276,0)</f>
        <v>-5001</v>
      </c>
      <c r="T269" s="764">
        <v>0</v>
      </c>
      <c r="U269" s="778">
        <f t="shared" si="29"/>
        <v>0</v>
      </c>
      <c r="V269" s="764">
        <f>IF('B5-Status cobranza'!AL276&gt;0,'B5-Status cobranza'!AL276,0)</f>
        <v>0</v>
      </c>
    </row>
    <row r="270" spans="1:22" ht="12" customHeight="1" x14ac:dyDescent="0.25">
      <c r="A270" s="763" t="str">
        <f>"Apto"&amp;'BOULEVARD 5'!B275</f>
        <v>Apto1604</v>
      </c>
      <c r="B270" s="763">
        <v>1</v>
      </c>
      <c r="C270" s="763" t="str">
        <f>IF('BOULEVARD 5'!A275="","Cliente normal",'BOULEVARD 5'!A275)</f>
        <v>Cliente normal</v>
      </c>
      <c r="D270" s="763" t="str">
        <f>IF('BOULEVARD 5'!E275="","No asignado",'BOULEVARD 5'!E275)</f>
        <v>Antonio Rada</v>
      </c>
      <c r="E270" s="763" t="str">
        <f>IF('BOULEVARD 5'!F275="","No asignado",'BOULEVARD 5'!F275)</f>
        <v>Oliver Lenin Garcia Godoy</v>
      </c>
      <c r="F270" s="764">
        <f>'BOULEVARD 5'!AT275</f>
        <v>89500</v>
      </c>
      <c r="G270" s="763" t="str">
        <f>'BOULEVARD 5'!BB275</f>
        <v>Cliente Atrasado</v>
      </c>
      <c r="H270" s="764">
        <f>'BOULEVARD PPTO'!BC270</f>
        <v>89500</v>
      </c>
      <c r="I270" s="764">
        <f t="shared" si="26"/>
        <v>0</v>
      </c>
      <c r="J270" s="765" t="str">
        <f t="shared" si="27"/>
        <v>Enganche por pagar</v>
      </c>
      <c r="K270" s="764">
        <f>'BOULEVARD 5'!I275</f>
        <v>894100</v>
      </c>
      <c r="L270" s="766">
        <f>IF('BOULEVARD 5'!G275="","",'BOULEVARD 5'!G275)</f>
        <v>45062</v>
      </c>
      <c r="M270" s="764">
        <f t="shared" si="28"/>
        <v>0</v>
      </c>
      <c r="N270" s="767">
        <f>IF('B5-Status cobranza'!AM277&lt;0,'B5-Status cobranza'!AM277,0)</f>
        <v>0</v>
      </c>
      <c r="O270" s="777">
        <f>IF('B5-Status cobranza'!AP277&lt;0,'B5-Status cobranza'!AP277,0)</f>
        <v>0</v>
      </c>
      <c r="P270" s="777">
        <f>IF('B5-Status cobranza'!AP277&gt;0,'B5-Status cobranza'!AP277,0)</f>
        <v>0</v>
      </c>
      <c r="Q270" s="767">
        <f>'B5-Status cobranza'!AV277</f>
        <v>0</v>
      </c>
      <c r="R270" s="764">
        <f t="shared" si="30"/>
        <v>894100</v>
      </c>
      <c r="S270" s="764">
        <f>IF('B5-Status cobranza'!AL277&lt;0,'B5-Status cobranza'!AL277,0)</f>
        <v>0</v>
      </c>
      <c r="T270" s="764">
        <v>0</v>
      </c>
      <c r="U270" s="778">
        <f t="shared" si="29"/>
        <v>0</v>
      </c>
      <c r="V270" s="764">
        <f>IF('B5-Status cobranza'!AL277&gt;0,'B5-Status cobranza'!AL277,0)</f>
        <v>0</v>
      </c>
    </row>
    <row r="271" spans="1:22" ht="12" customHeight="1" x14ac:dyDescent="0.25">
      <c r="A271" s="763" t="str">
        <f>"Apto"&amp;'BOULEVARD 5'!B276</f>
        <v>Apto1605</v>
      </c>
      <c r="B271" s="763">
        <v>1</v>
      </c>
      <c r="C271" s="763" t="str">
        <f>IF('BOULEVARD 5'!A276="","Cliente normal",'BOULEVARD 5'!A276)</f>
        <v>Cliente normal</v>
      </c>
      <c r="D271" s="763" t="str">
        <f>IF('BOULEVARD 5'!E276="","No asignado",'BOULEVARD 5'!E276)</f>
        <v>Antonio Rada</v>
      </c>
      <c r="E271" s="763" t="str">
        <f>IF('BOULEVARD 5'!F276="","No asignado",'BOULEVARD 5'!F276)</f>
        <v>Edgar Ronaldo Muy Pineda</v>
      </c>
      <c r="F271" s="764">
        <f>'BOULEVARD 5'!AT276</f>
        <v>94581.977999999988</v>
      </c>
      <c r="G271" s="763" t="str">
        <f>'BOULEVARD 5'!BB276</f>
        <v>Cliente Atrasado</v>
      </c>
      <c r="H271" s="764">
        <f>'BOULEVARD PPTO'!BC271</f>
        <v>139355</v>
      </c>
      <c r="I271" s="764">
        <f t="shared" si="26"/>
        <v>-44773.022000000012</v>
      </c>
      <c r="J271" s="765" t="str">
        <f t="shared" si="27"/>
        <v>Enganche por pagar</v>
      </c>
      <c r="K271" s="764">
        <f>'BOULEVARD 5'!I276</f>
        <v>1393455</v>
      </c>
      <c r="L271" s="766">
        <f>IF('BOULEVARD 5'!G276="","",'BOULEVARD 5'!G276)</f>
        <v>45587</v>
      </c>
      <c r="M271" s="764">
        <f t="shared" si="28"/>
        <v>0</v>
      </c>
      <c r="N271" s="767">
        <f>IF('B5-Status cobranza'!AM278&lt;0,'B5-Status cobranza'!AM278,0)</f>
        <v>-8085</v>
      </c>
      <c r="O271" s="777">
        <f>IF('B5-Status cobranza'!AP278&lt;0,'B5-Status cobranza'!AP278,0)</f>
        <v>-28608.022000000004</v>
      </c>
      <c r="P271" s="777">
        <f>IF('B5-Status cobranza'!AP278&gt;0,'B5-Status cobranza'!AP278,0)</f>
        <v>0</v>
      </c>
      <c r="Q271" s="767">
        <f>'B5-Status cobranza'!AV278</f>
        <v>0</v>
      </c>
      <c r="R271" s="764">
        <f t="shared" si="30"/>
        <v>1393455</v>
      </c>
      <c r="S271" s="764">
        <f>IF('B5-Status cobranza'!AL278&lt;0,'B5-Status cobranza'!AL278,0)</f>
        <v>-8085</v>
      </c>
      <c r="T271" s="764">
        <v>0</v>
      </c>
      <c r="U271" s="778">
        <f t="shared" si="29"/>
        <v>0</v>
      </c>
      <c r="V271" s="764">
        <f>IF('B5-Status cobranza'!AL278&gt;0,'B5-Status cobranza'!AL278,0)</f>
        <v>0</v>
      </c>
    </row>
    <row r="272" spans="1:22" ht="12" customHeight="1" x14ac:dyDescent="0.25">
      <c r="A272" s="763" t="str">
        <f>"Apto"&amp;'BOULEVARD 5'!B277</f>
        <v>Apto1606</v>
      </c>
      <c r="B272" s="763">
        <v>1</v>
      </c>
      <c r="C272" s="763" t="str">
        <f>G272</f>
        <v>Disponible</v>
      </c>
      <c r="D272" s="763" t="str">
        <f>IF('BOULEVARD 5'!E277="","No asignado",'BOULEVARD 5'!E277)</f>
        <v>No asignado</v>
      </c>
      <c r="E272" s="763" t="str">
        <f>IF('BOULEVARD 5'!F277="","No asignado",'BOULEVARD 5'!F277)</f>
        <v>No asignado</v>
      </c>
      <c r="F272" s="764">
        <f>'BOULEVARD 5'!AT277</f>
        <v>0</v>
      </c>
      <c r="G272" s="763" t="str">
        <f>'BOULEVARD 5'!BB277</f>
        <v>Disponible</v>
      </c>
      <c r="H272" s="764">
        <f>'BOULEVARD PPTO'!BC272</f>
        <v>0</v>
      </c>
      <c r="I272" s="764">
        <f t="shared" si="26"/>
        <v>0</v>
      </c>
      <c r="J272" s="765" t="str">
        <f t="shared" si="27"/>
        <v>Enganche por pagar</v>
      </c>
      <c r="K272" s="764">
        <f>'BOULEVARD 5'!I277</f>
        <v>1235500</v>
      </c>
      <c r="L272" s="766" t="str">
        <f>IF('BOULEVARD 5'!G277="","",'BOULEVARD 5'!G277)</f>
        <v/>
      </c>
      <c r="M272" s="764">
        <f t="shared" si="28"/>
        <v>1235500</v>
      </c>
      <c r="N272" s="767">
        <f>IF('B5-Status cobranza'!AM279&lt;0,'B5-Status cobranza'!AM279,0)</f>
        <v>0</v>
      </c>
      <c r="O272" s="777">
        <f>IF('B5-Status cobranza'!AP279&lt;0,'B5-Status cobranza'!AP279,0)</f>
        <v>0</v>
      </c>
      <c r="P272" s="777">
        <f>IF('B5-Status cobranza'!AP279&gt;0,'B5-Status cobranza'!AP279,0)</f>
        <v>0</v>
      </c>
      <c r="Q272" s="767">
        <f>'B5-Status cobranza'!AV279</f>
        <v>0</v>
      </c>
      <c r="R272" s="764">
        <f t="shared" si="30"/>
        <v>0</v>
      </c>
      <c r="S272" s="764">
        <f>IF('B5-Status cobranza'!AL279&lt;0,'B5-Status cobranza'!AL279,0)</f>
        <v>0</v>
      </c>
      <c r="T272" s="764">
        <v>0</v>
      </c>
      <c r="U272" s="778">
        <f t="shared" si="29"/>
        <v>0</v>
      </c>
      <c r="V272" s="764">
        <f>IF('B5-Status cobranza'!AL279&gt;0,'B5-Status cobranza'!AL279,0)</f>
        <v>0</v>
      </c>
    </row>
    <row r="273" spans="1:22" ht="12" customHeight="1" x14ac:dyDescent="0.25">
      <c r="A273" s="763" t="str">
        <f>"Apto"&amp;'BOULEVARD 5'!B278</f>
        <v>Apto1607</v>
      </c>
      <c r="B273" s="763">
        <v>1</v>
      </c>
      <c r="C273" s="763" t="str">
        <f>IF('BOULEVARD 5'!A278="","Cliente normal",'BOULEVARD 5'!A278)</f>
        <v>Cliente normal</v>
      </c>
      <c r="D273" s="763" t="str">
        <f>IF('BOULEVARD 5'!E278="","No asignado",'BOULEVARD 5'!E278)</f>
        <v>Brenda Búcaro</v>
      </c>
      <c r="E273" s="763" t="str">
        <f>IF('BOULEVARD 5'!F278="","No asignado",'BOULEVARD 5'!F278)</f>
        <v>Edvin Carlos Cifuentes Salguero - Inmobiliaria Quince</v>
      </c>
      <c r="F273" s="764">
        <f>'BOULEVARD 5'!AT278</f>
        <v>15000</v>
      </c>
      <c r="G273" s="763" t="str">
        <f>'BOULEVARD 5'!BB278</f>
        <v>Cliente Atrasado</v>
      </c>
      <c r="H273" s="764">
        <f>'BOULEVARD PPTO'!BC273</f>
        <v>132510</v>
      </c>
      <c r="I273" s="764">
        <f t="shared" si="26"/>
        <v>-117510</v>
      </c>
      <c r="J273" s="765" t="str">
        <f t="shared" si="27"/>
        <v>Enganche por pagar</v>
      </c>
      <c r="K273" s="764">
        <f>'BOULEVARD 5'!I278</f>
        <v>1164200</v>
      </c>
      <c r="L273" s="766">
        <f>IF('BOULEVARD 5'!G278="","",'BOULEVARD 5'!G278)</f>
        <v>45077</v>
      </c>
      <c r="M273" s="764">
        <f t="shared" si="28"/>
        <v>0</v>
      </c>
      <c r="N273" s="767">
        <f>IF('B5-Status cobranza'!AM280&lt;0,'B5-Status cobranza'!AM280,0)</f>
        <v>0</v>
      </c>
      <c r="O273" s="777">
        <f>IF('B5-Status cobranza'!AP280&lt;0,'B5-Status cobranza'!AP280,0)</f>
        <v>0</v>
      </c>
      <c r="P273" s="777">
        <f>IF('B5-Status cobranza'!AP280&gt;0,'B5-Status cobranza'!AP280,0)</f>
        <v>0</v>
      </c>
      <c r="Q273" s="767">
        <f>'B5-Status cobranza'!AV280</f>
        <v>0</v>
      </c>
      <c r="R273" s="764">
        <f t="shared" si="30"/>
        <v>1164200</v>
      </c>
      <c r="S273" s="764">
        <f>IF('B5-Status cobranza'!AL280&lt;0,'B5-Status cobranza'!AL280,0)</f>
        <v>0</v>
      </c>
      <c r="T273" s="764">
        <v>0</v>
      </c>
      <c r="U273" s="778">
        <f t="shared" si="29"/>
        <v>0</v>
      </c>
      <c r="V273" s="764">
        <f>IF('B5-Status cobranza'!AL280&gt;0,'B5-Status cobranza'!AL280,0)</f>
        <v>0</v>
      </c>
    </row>
    <row r="274" spans="1:22" ht="12" customHeight="1" x14ac:dyDescent="0.25">
      <c r="A274" s="763" t="str">
        <f>"Apto"&amp;'BOULEVARD 5'!B279</f>
        <v>Apto1608</v>
      </c>
      <c r="B274" s="763">
        <v>1</v>
      </c>
      <c r="C274" s="763" t="str">
        <f>IF('BOULEVARD 5'!A279="","Cliente normal",'BOULEVARD 5'!A279)</f>
        <v>F&amp;F</v>
      </c>
      <c r="D274" s="763" t="str">
        <f>IF('BOULEVARD 5'!E279="","No asignado",'BOULEVARD 5'!E279)</f>
        <v>Jose Franco</v>
      </c>
      <c r="E274" s="763" t="str">
        <f>IF('BOULEVARD 5'!F279="","No asignado",'BOULEVARD 5'!F279)</f>
        <v>María Carolina Arimany Comas</v>
      </c>
      <c r="F274" s="764">
        <f>'BOULEVARD 5'!AT279</f>
        <v>6000</v>
      </c>
      <c r="G274" s="763" t="str">
        <f>'BOULEVARD 5'!BB279</f>
        <v>Cliente Atrasado</v>
      </c>
      <c r="H274" s="764">
        <f>'BOULEVARD PPTO'!BC274</f>
        <v>115448</v>
      </c>
      <c r="I274" s="764">
        <f t="shared" si="26"/>
        <v>-109448</v>
      </c>
      <c r="J274" s="765" t="str">
        <f t="shared" si="27"/>
        <v>Enganche por pagar</v>
      </c>
      <c r="K274" s="764">
        <f>'BOULEVARD 5'!I279</f>
        <v>1153648</v>
      </c>
      <c r="L274" s="766">
        <f>IF('BOULEVARD 5'!G279="","",'BOULEVARD 5'!G279)</f>
        <v>45013</v>
      </c>
      <c r="M274" s="764">
        <f t="shared" si="28"/>
        <v>0</v>
      </c>
      <c r="N274" s="767">
        <f>IF('B5-Status cobranza'!AM281&lt;0,'B5-Status cobranza'!AM281,0)</f>
        <v>0</v>
      </c>
      <c r="O274" s="777">
        <f>IF('B5-Status cobranza'!AP281&lt;0,'B5-Status cobranza'!AP281,0)</f>
        <v>0</v>
      </c>
      <c r="P274" s="777">
        <f>IF('B5-Status cobranza'!AP281&gt;0,'B5-Status cobranza'!AP281,0)</f>
        <v>0</v>
      </c>
      <c r="Q274" s="767">
        <f>'B5-Status cobranza'!AV281</f>
        <v>0</v>
      </c>
      <c r="R274" s="764">
        <f t="shared" si="30"/>
        <v>1153648</v>
      </c>
      <c r="S274" s="764">
        <f>IF('B5-Status cobranza'!AL281&lt;0,'B5-Status cobranza'!AL281,0)</f>
        <v>0</v>
      </c>
      <c r="T274" s="764">
        <v>0</v>
      </c>
      <c r="U274" s="778">
        <f t="shared" si="29"/>
        <v>0</v>
      </c>
      <c r="V274" s="764">
        <f>IF('B5-Status cobranza'!AL281&gt;0,'B5-Status cobranza'!AL281,0)</f>
        <v>0</v>
      </c>
    </row>
    <row r="275" spans="1:22" ht="12" customHeight="1" x14ac:dyDescent="0.25">
      <c r="A275" s="763" t="str">
        <f>"Apto"&amp;'BOULEVARD 5'!B280</f>
        <v>Apto1609</v>
      </c>
      <c r="B275" s="763">
        <v>1</v>
      </c>
      <c r="C275" s="763" t="str">
        <f>IF('BOULEVARD 5'!A280="","Cliente normal",'BOULEVARD 5'!A280)</f>
        <v>Cliente normal</v>
      </c>
      <c r="D275" s="763" t="str">
        <f>IF('BOULEVARD 5'!E280="","No asignado",'BOULEVARD 5'!E280)</f>
        <v>Antonio Rada</v>
      </c>
      <c r="E275" s="763" t="str">
        <f>IF('BOULEVARD 5'!F280="","No asignado",'BOULEVARD 5'!F280)</f>
        <v>Christian Josue Colindres Sandoval</v>
      </c>
      <c r="F275" s="764">
        <f>'BOULEVARD 5'!AT280</f>
        <v>76990</v>
      </c>
      <c r="G275" s="763" t="str">
        <f>'BOULEVARD 5'!BB280</f>
        <v>Cliente Atrasado</v>
      </c>
      <c r="H275" s="764">
        <f>'BOULEVARD PPTO'!BC275</f>
        <v>86150.58</v>
      </c>
      <c r="I275" s="764">
        <f t="shared" si="26"/>
        <v>-9160.5800000000017</v>
      </c>
      <c r="J275" s="765" t="str">
        <f t="shared" si="27"/>
        <v>Enganche por pagar</v>
      </c>
      <c r="K275" s="764">
        <f>'BOULEVARD 5'!I280</f>
        <v>860950.58400499995</v>
      </c>
      <c r="L275" s="766">
        <f>IF('BOULEVARD 5'!G280="","",'BOULEVARD 5'!G280)</f>
        <v>45010</v>
      </c>
      <c r="M275" s="764">
        <f t="shared" si="28"/>
        <v>0</v>
      </c>
      <c r="N275" s="767">
        <f>IF('B5-Status cobranza'!AM282&lt;0,'B5-Status cobranza'!AM282,0)</f>
        <v>0</v>
      </c>
      <c r="O275" s="777">
        <f>IF('B5-Status cobranza'!AP282&lt;0,'B5-Status cobranza'!AP282,0)</f>
        <v>-2290</v>
      </c>
      <c r="P275" s="777">
        <f>IF('B5-Status cobranza'!AP282&gt;0,'B5-Status cobranza'!AP282,0)</f>
        <v>0</v>
      </c>
      <c r="Q275" s="767">
        <f>'B5-Status cobranza'!AV282</f>
        <v>2290</v>
      </c>
      <c r="R275" s="764">
        <f t="shared" si="30"/>
        <v>860950.58400499995</v>
      </c>
      <c r="S275" s="764">
        <f>IF('B5-Status cobranza'!AL282&lt;0,'B5-Status cobranza'!AL282,0)</f>
        <v>-2290</v>
      </c>
      <c r="T275" s="764">
        <v>2290</v>
      </c>
      <c r="U275" s="778">
        <f t="shared" si="29"/>
        <v>7.5403492650266812E-3</v>
      </c>
      <c r="V275" s="764">
        <f>IF('B5-Status cobranza'!AL282&gt;0,'B5-Status cobranza'!AL282,0)</f>
        <v>0</v>
      </c>
    </row>
    <row r="276" spans="1:22" ht="12" customHeight="1" x14ac:dyDescent="0.25">
      <c r="A276" s="763" t="str">
        <f>"Apto"&amp;'BOULEVARD 5'!B281</f>
        <v>Apto1610</v>
      </c>
      <c r="B276" s="763">
        <v>1</v>
      </c>
      <c r="C276" s="763" t="str">
        <f>IF('BOULEVARD 5'!A281="","Cliente normal",'BOULEVARD 5'!A281)</f>
        <v>Cliente normal</v>
      </c>
      <c r="D276" s="763" t="str">
        <f>IF('BOULEVARD 5'!E281="","No asignado",'BOULEVARD 5'!E281)</f>
        <v>Antonio Rada</v>
      </c>
      <c r="E276" s="763" t="str">
        <f>IF('BOULEVARD 5'!F281="","No asignado",'BOULEVARD 5'!F281)</f>
        <v>Grupo Sak Y Sak, S.A.</v>
      </c>
      <c r="F276" s="764">
        <f>'BOULEVARD 5'!AT281</f>
        <v>831183.13</v>
      </c>
      <c r="G276" s="763" t="str">
        <f>'BOULEVARD 5'!BB281</f>
        <v>Cliente Atrasado</v>
      </c>
      <c r="H276" s="764">
        <f>'BOULEVARD PPTO'!BC276</f>
        <v>890081.34</v>
      </c>
      <c r="I276" s="764">
        <f t="shared" si="26"/>
        <v>-58898.209999999963</v>
      </c>
      <c r="J276" s="765" t="str">
        <f t="shared" si="27"/>
        <v>Enganche por pagar</v>
      </c>
      <c r="K276" s="764">
        <f>'BOULEVARD 5'!I281</f>
        <v>890081.34</v>
      </c>
      <c r="L276" s="766">
        <f>IF('BOULEVARD 5'!G281="","",'BOULEVARD 5'!G281)</f>
        <v>45077</v>
      </c>
      <c r="M276" s="764">
        <f t="shared" si="28"/>
        <v>0</v>
      </c>
      <c r="N276" s="767">
        <f>IF('B5-Status cobranza'!AM283&lt;0,'B5-Status cobranza'!AM283,0)</f>
        <v>0</v>
      </c>
      <c r="O276" s="777">
        <f>IF('B5-Status cobranza'!AP283&lt;0,'B5-Status cobranza'!AP283,0)</f>
        <v>-58898.21</v>
      </c>
      <c r="P276" s="777">
        <f>IF('B5-Status cobranza'!AP283&gt;0,'B5-Status cobranza'!AP283,0)</f>
        <v>0</v>
      </c>
      <c r="Q276" s="767">
        <f>'B5-Status cobranza'!AV283</f>
        <v>0</v>
      </c>
      <c r="R276" s="764">
        <f t="shared" si="30"/>
        <v>890081.34</v>
      </c>
      <c r="S276" s="764">
        <f>IF('B5-Status cobranza'!AL283&lt;0,'B5-Status cobranza'!AL283,0)</f>
        <v>-29451.21</v>
      </c>
      <c r="T276" s="764">
        <v>0</v>
      </c>
      <c r="U276" s="778">
        <f t="shared" si="29"/>
        <v>0</v>
      </c>
      <c r="V276" s="764">
        <f>IF('B5-Status cobranza'!AL283&gt;0,'B5-Status cobranza'!AL283,0)</f>
        <v>0</v>
      </c>
    </row>
    <row r="277" spans="1:22" ht="12" customHeight="1" x14ac:dyDescent="0.25">
      <c r="A277" s="763" t="str">
        <f>"Apto"&amp;'BOULEVARD 5'!B282</f>
        <v>Apto1611</v>
      </c>
      <c r="B277" s="763">
        <v>1</v>
      </c>
      <c r="C277" s="763" t="str">
        <f>IF('BOULEVARD 5'!A282="","Cliente normal",'BOULEVARD 5'!A282)</f>
        <v>Cliente normal</v>
      </c>
      <c r="D277" s="763" t="str">
        <f>IF('BOULEVARD 5'!E282="","No asignado",'BOULEVARD 5'!E282)</f>
        <v>Brenda Búcaro</v>
      </c>
      <c r="E277" s="763" t="str">
        <f>IF('BOULEVARD 5'!F282="","No asignado",'BOULEVARD 5'!F282)</f>
        <v>Luis Alexander Valencia Mendez</v>
      </c>
      <c r="F277" s="764">
        <f>'BOULEVARD 5'!AT282</f>
        <v>50000</v>
      </c>
      <c r="G277" s="763" t="str">
        <f>'BOULEVARD 5'!BB282</f>
        <v>Cliente al día</v>
      </c>
      <c r="H277" s="764">
        <f>'BOULEVARD PPTO'!BC277</f>
        <v>104500</v>
      </c>
      <c r="I277" s="764">
        <f t="shared" si="26"/>
        <v>-54500</v>
      </c>
      <c r="J277" s="765" t="str">
        <f t="shared" si="27"/>
        <v>Enganche por pagar</v>
      </c>
      <c r="K277" s="764">
        <f>'BOULEVARD 5'!I282</f>
        <v>1487500</v>
      </c>
      <c r="L277" s="766">
        <f>IF('BOULEVARD 5'!G282="","",'BOULEVARD 5'!G282)</f>
        <v>45970</v>
      </c>
      <c r="M277" s="764">
        <f t="shared" si="28"/>
        <v>0</v>
      </c>
      <c r="N277" s="767">
        <f>IF('B5-Status cobranza'!AM284&lt;0,'B5-Status cobranza'!AM284,0)</f>
        <v>0</v>
      </c>
      <c r="O277" s="777">
        <f>IF('B5-Status cobranza'!AP284&lt;0,'B5-Status cobranza'!AP284,0)</f>
        <v>0</v>
      </c>
      <c r="P277" s="777">
        <f>IF('B5-Status cobranza'!AP284&gt;0,'B5-Status cobranza'!AP284,0)</f>
        <v>0</v>
      </c>
      <c r="Q277" s="767">
        <f>'B5-Status cobranza'!AV284</f>
        <v>0</v>
      </c>
      <c r="R277" s="764">
        <f t="shared" si="30"/>
        <v>1487500</v>
      </c>
      <c r="S277" s="764">
        <f>IF('B5-Status cobranza'!AL284&lt;0,'B5-Status cobranza'!AL284,0)</f>
        <v>0</v>
      </c>
      <c r="T277" s="764">
        <v>0</v>
      </c>
      <c r="U277" s="778">
        <f t="shared" si="29"/>
        <v>0</v>
      </c>
      <c r="V277" s="764">
        <f>IF('B5-Status cobranza'!AL284&gt;0,'B5-Status cobranza'!AL284,0)</f>
        <v>0</v>
      </c>
    </row>
    <row r="278" spans="1:22" ht="12" customHeight="1" x14ac:dyDescent="0.25">
      <c r="A278" s="763" t="str">
        <f>"Apto"&amp;'BOULEVARD 5'!B283</f>
        <v>Apto1612</v>
      </c>
      <c r="B278" s="763">
        <v>1</v>
      </c>
      <c r="C278" s="763" t="str">
        <f>G278</f>
        <v>Disponible</v>
      </c>
      <c r="D278" s="763" t="str">
        <f>IF('BOULEVARD 5'!E283="","No asignado",'BOULEVARD 5'!E283)</f>
        <v>No asignado</v>
      </c>
      <c r="E278" s="763" t="str">
        <f>IF('BOULEVARD 5'!F283="","No asignado",'BOULEVARD 5'!F283)</f>
        <v>No asignado</v>
      </c>
      <c r="F278" s="764">
        <f>'BOULEVARD 5'!AT283</f>
        <v>0</v>
      </c>
      <c r="G278" s="763" t="str">
        <f>'BOULEVARD 5'!BB283</f>
        <v>Disponible</v>
      </c>
      <c r="H278" s="764">
        <f>'BOULEVARD PPTO'!BC278</f>
        <v>0</v>
      </c>
      <c r="I278" s="764">
        <f t="shared" si="26"/>
        <v>0</v>
      </c>
      <c r="J278" s="765" t="str">
        <f t="shared" si="27"/>
        <v>Enganche por pagar</v>
      </c>
      <c r="K278" s="764">
        <f>'BOULEVARD 5'!I283</f>
        <v>1218600</v>
      </c>
      <c r="L278" s="766" t="str">
        <f>IF('BOULEVARD 5'!G283="","",'BOULEVARD 5'!G283)</f>
        <v/>
      </c>
      <c r="M278" s="764">
        <f t="shared" si="28"/>
        <v>1218600</v>
      </c>
      <c r="N278" s="767">
        <f>IF('B5-Status cobranza'!AM285&lt;0,'B5-Status cobranza'!AM285,0)</f>
        <v>0</v>
      </c>
      <c r="O278" s="777">
        <f>IF('B5-Status cobranza'!AP285&lt;0,'B5-Status cobranza'!AP285,0)</f>
        <v>0</v>
      </c>
      <c r="P278" s="777">
        <f>IF('B5-Status cobranza'!AP285&gt;0,'B5-Status cobranza'!AP285,0)</f>
        <v>0</v>
      </c>
      <c r="Q278" s="767">
        <f>'B5-Status cobranza'!AV285</f>
        <v>0</v>
      </c>
      <c r="R278" s="764">
        <f t="shared" si="30"/>
        <v>0</v>
      </c>
      <c r="S278" s="764">
        <f>IF('B5-Status cobranza'!AL285&lt;0,'B5-Status cobranza'!AL285,0)</f>
        <v>0</v>
      </c>
      <c r="T278" s="764">
        <v>0</v>
      </c>
      <c r="U278" s="778">
        <f t="shared" si="29"/>
        <v>0</v>
      </c>
      <c r="V278" s="764">
        <f>IF('B5-Status cobranza'!AL285&gt;0,'B5-Status cobranza'!AL285,0)</f>
        <v>0</v>
      </c>
    </row>
    <row r="279" spans="1:22" ht="12" customHeight="1" x14ac:dyDescent="0.25">
      <c r="A279" s="763" t="str">
        <f>"Apto"&amp;'BOULEVARD 5'!B284</f>
        <v>Apto1701</v>
      </c>
      <c r="B279" s="763">
        <v>1</v>
      </c>
      <c r="C279" s="763" t="str">
        <f>IF('BOULEVARD 5'!A284="","Cliente normal",'BOULEVARD 5'!A284)</f>
        <v>F&amp;F</v>
      </c>
      <c r="D279" s="763" t="str">
        <f>IF('BOULEVARD 5'!E284="","No asignado",'BOULEVARD 5'!E284)</f>
        <v>Brenda Búcaro</v>
      </c>
      <c r="E279" s="763" t="str">
        <f>IF('BOULEVARD 5'!F284="","No asignado",'BOULEVARD 5'!F284)</f>
        <v>Ramiro José Muñoz Jordán - Emilia Larrazabal</v>
      </c>
      <c r="F279" s="764">
        <f>'BOULEVARD 5'!AT284</f>
        <v>79000</v>
      </c>
      <c r="G279" s="763" t="str">
        <f>'BOULEVARD 5'!BB284</f>
        <v>Cliente Atrasado</v>
      </c>
      <c r="H279" s="764">
        <f>'BOULEVARD PPTO'!BC279</f>
        <v>139070</v>
      </c>
      <c r="I279" s="764">
        <f t="shared" si="26"/>
        <v>-60070</v>
      </c>
      <c r="J279" s="765" t="str">
        <f t="shared" si="27"/>
        <v>Enganche por pagar</v>
      </c>
      <c r="K279" s="764">
        <f>'BOULEVARD 5'!I284</f>
        <v>1389570</v>
      </c>
      <c r="L279" s="766">
        <f>IF('BOULEVARD 5'!G284="","",'BOULEVARD 5'!G284)</f>
        <v>45014</v>
      </c>
      <c r="M279" s="764">
        <f t="shared" si="28"/>
        <v>0</v>
      </c>
      <c r="N279" s="767">
        <f>IF('B5-Status cobranza'!AM286&lt;0,'B5-Status cobranza'!AM286,0)</f>
        <v>0</v>
      </c>
      <c r="O279" s="777">
        <f>IF('B5-Status cobranza'!AP286&lt;0,'B5-Status cobranza'!AP286,0)</f>
        <v>0</v>
      </c>
      <c r="P279" s="777">
        <f>IF('B5-Status cobranza'!AP286&gt;0,'B5-Status cobranza'!AP286,0)</f>
        <v>0</v>
      </c>
      <c r="Q279" s="767">
        <f>'B5-Status cobranza'!AV286</f>
        <v>0</v>
      </c>
      <c r="R279" s="764">
        <f t="shared" si="30"/>
        <v>1389570</v>
      </c>
      <c r="S279" s="764">
        <f>IF('B5-Status cobranza'!AL286&lt;0,'B5-Status cobranza'!AL286,0)</f>
        <v>0</v>
      </c>
      <c r="T279" s="764">
        <v>0</v>
      </c>
      <c r="U279" s="778">
        <f t="shared" si="29"/>
        <v>0</v>
      </c>
      <c r="V279" s="764">
        <f>IF('B5-Status cobranza'!AL286&gt;0,'B5-Status cobranza'!AL286,0)</f>
        <v>0</v>
      </c>
    </row>
    <row r="280" spans="1:22" ht="12" customHeight="1" x14ac:dyDescent="0.25">
      <c r="A280" s="763" t="str">
        <f>"Apto"&amp;'BOULEVARD 5'!B285</f>
        <v>Apto1702</v>
      </c>
      <c r="B280" s="763">
        <v>1</v>
      </c>
      <c r="C280" s="763" t="str">
        <f>IF('BOULEVARD 5'!A285="","Cliente normal",'BOULEVARD 5'!A285)</f>
        <v>Cliente normal</v>
      </c>
      <c r="D280" s="763" t="str">
        <f>IF('BOULEVARD 5'!E285="","No asignado",'BOULEVARD 5'!E285)</f>
        <v>Brenda Búcaro</v>
      </c>
      <c r="E280" s="763" t="str">
        <f>IF('BOULEVARD 5'!F285="","No asignado",'BOULEVARD 5'!F285)</f>
        <v>David Alejandro Donis Lopez</v>
      </c>
      <c r="F280" s="764">
        <f>'BOULEVARD 5'!AT285</f>
        <v>66900</v>
      </c>
      <c r="G280" s="763" t="str">
        <f>'BOULEVARD 5'!BB285</f>
        <v>Cliente Atrasado</v>
      </c>
      <c r="H280" s="764">
        <f>'BOULEVARD PPTO'!BC280</f>
        <v>66700</v>
      </c>
      <c r="I280" s="764">
        <f t="shared" si="26"/>
        <v>200</v>
      </c>
      <c r="J280" s="765" t="str">
        <f t="shared" si="27"/>
        <v>Superavit de enganche</v>
      </c>
      <c r="K280" s="764">
        <f>'BOULEVARD 5'!I285</f>
        <v>666800</v>
      </c>
      <c r="L280" s="766">
        <f>IF('BOULEVARD 5'!G285="","",'BOULEVARD 5'!G285)</f>
        <v>45031</v>
      </c>
      <c r="M280" s="764">
        <f t="shared" si="28"/>
        <v>0</v>
      </c>
      <c r="N280" s="767">
        <f>IF('B5-Status cobranza'!AM287&lt;0,'B5-Status cobranza'!AM287,0)</f>
        <v>0</v>
      </c>
      <c r="O280" s="777">
        <f>IF('B5-Status cobranza'!AP287&lt;0,'B5-Status cobranza'!AP287,0)</f>
        <v>0</v>
      </c>
      <c r="P280" s="777">
        <f>IF('B5-Status cobranza'!AP287&gt;0,'B5-Status cobranza'!AP287,0)</f>
        <v>200</v>
      </c>
      <c r="Q280" s="767">
        <f>'B5-Status cobranza'!AV287</f>
        <v>0</v>
      </c>
      <c r="R280" s="764">
        <f t="shared" si="30"/>
        <v>666800</v>
      </c>
      <c r="S280" s="764">
        <f>IF('B5-Status cobranza'!AL287&lt;0,'B5-Status cobranza'!AL287,0)</f>
        <v>-2600</v>
      </c>
      <c r="T280" s="764">
        <v>0</v>
      </c>
      <c r="U280" s="778">
        <f t="shared" si="29"/>
        <v>0</v>
      </c>
      <c r="V280" s="764">
        <f>IF('B5-Status cobranza'!AL287&gt;0,'B5-Status cobranza'!AL287,0)</f>
        <v>0</v>
      </c>
    </row>
    <row r="281" spans="1:22" ht="12" customHeight="1" x14ac:dyDescent="0.25">
      <c r="A281" s="763" t="str">
        <f>"Apto"&amp;'BOULEVARD 5'!B286</f>
        <v>Apto1703</v>
      </c>
      <c r="B281" s="763">
        <v>1</v>
      </c>
      <c r="C281" s="763" t="str">
        <f>IF('BOULEVARD 5'!A286="","Cliente normal",'BOULEVARD 5'!A286)</f>
        <v>Cliente normal</v>
      </c>
      <c r="D281" s="763" t="str">
        <f>IF('BOULEVARD 5'!E286="","No asignado",'BOULEVARD 5'!E286)</f>
        <v>Antonio Rada</v>
      </c>
      <c r="E281" s="763" t="str">
        <f>IF('BOULEVARD 5'!F286="","No asignado",'BOULEVARD 5'!F286)</f>
        <v>Rolando Antonio Pineda Juarez</v>
      </c>
      <c r="F281" s="764">
        <f>'BOULEVARD 5'!AT286</f>
        <v>134620</v>
      </c>
      <c r="G281" s="763" t="str">
        <f>'BOULEVARD 5'!BB286</f>
        <v>Cliente al día</v>
      </c>
      <c r="H281" s="764">
        <f>'BOULEVARD PPTO'!BC281</f>
        <v>145005</v>
      </c>
      <c r="I281" s="764">
        <f t="shared" si="26"/>
        <v>-10385</v>
      </c>
      <c r="J281" s="765" t="str">
        <f t="shared" si="27"/>
        <v>Enganche por pagar</v>
      </c>
      <c r="K281" s="764">
        <f>'BOULEVARD 5'!I286</f>
        <v>1450000</v>
      </c>
      <c r="L281" s="766">
        <f>IF('BOULEVARD 5'!G286="","",'BOULEVARD 5'!G286)</f>
        <v>45759</v>
      </c>
      <c r="M281" s="764">
        <f t="shared" si="28"/>
        <v>0</v>
      </c>
      <c r="N281" s="767">
        <f>IF('B5-Status cobranza'!AM288&lt;0,'B5-Status cobranza'!AM288,0)</f>
        <v>0</v>
      </c>
      <c r="O281" s="777">
        <f>IF('B5-Status cobranza'!AP288&lt;0,'B5-Status cobranza'!AP288,0)</f>
        <v>0</v>
      </c>
      <c r="P281" s="777">
        <f>IF('B5-Status cobranza'!AP288&gt;0,'B5-Status cobranza'!AP288,0)</f>
        <v>0</v>
      </c>
      <c r="Q281" s="767">
        <f>'B5-Status cobranza'!AV288</f>
        <v>0</v>
      </c>
      <c r="R281" s="764">
        <f t="shared" si="30"/>
        <v>1450000</v>
      </c>
      <c r="S281" s="764">
        <f>IF('B5-Status cobranza'!AL288&lt;0,'B5-Status cobranza'!AL288,0)</f>
        <v>0</v>
      </c>
      <c r="T281" s="764">
        <v>0</v>
      </c>
      <c r="U281" s="778">
        <f t="shared" si="29"/>
        <v>0</v>
      </c>
      <c r="V281" s="764">
        <f>IF('B5-Status cobranza'!AL288&gt;0,'B5-Status cobranza'!AL288,0)</f>
        <v>0</v>
      </c>
    </row>
    <row r="282" spans="1:22" ht="12" customHeight="1" x14ac:dyDescent="0.25">
      <c r="A282" s="763" t="str">
        <f>"Apto"&amp;'BOULEVARD 5'!B287</f>
        <v>Apto1704</v>
      </c>
      <c r="B282" s="763">
        <v>1</v>
      </c>
      <c r="C282" s="763" t="str">
        <f>IF('BOULEVARD 5'!A287="","Cliente normal",'BOULEVARD 5'!A287)</f>
        <v>Cliente normal</v>
      </c>
      <c r="D282" s="763" t="str">
        <f>IF('BOULEVARD 5'!E287="","No asignado",'BOULEVARD 5'!E287)</f>
        <v>Brenda Búcaro</v>
      </c>
      <c r="E282" s="763" t="str">
        <f>IF('BOULEVARD 5'!F287="","No asignado",'BOULEVARD 5'!F287)</f>
        <v>Javier Andres Soto Coronado</v>
      </c>
      <c r="F282" s="764">
        <f>'BOULEVARD 5'!AT287</f>
        <v>55600</v>
      </c>
      <c r="G282" s="763" t="str">
        <f>'BOULEVARD 5'!BB287</f>
        <v>Cliente Atrasado</v>
      </c>
      <c r="H282" s="764">
        <f>'BOULEVARD PPTO'!BC282</f>
        <v>62000</v>
      </c>
      <c r="I282" s="764">
        <f t="shared" si="26"/>
        <v>-6400</v>
      </c>
      <c r="J282" s="765" t="str">
        <f t="shared" si="27"/>
        <v>Enganche por pagar</v>
      </c>
      <c r="K282" s="764">
        <f>'BOULEVARD 5'!I287</f>
        <v>617600</v>
      </c>
      <c r="L282" s="766">
        <f>IF('BOULEVARD 5'!G287="","",'BOULEVARD 5'!G287)</f>
        <v>44995</v>
      </c>
      <c r="M282" s="764">
        <f t="shared" si="28"/>
        <v>0</v>
      </c>
      <c r="N282" s="767">
        <f>IF('B5-Status cobranza'!AM289&lt;0,'B5-Status cobranza'!AM289,0)</f>
        <v>-1600</v>
      </c>
      <c r="O282" s="777">
        <f>IF('B5-Status cobranza'!AP289&lt;0,'B5-Status cobranza'!AP289,0)</f>
        <v>-1600</v>
      </c>
      <c r="P282" s="777">
        <f>IF('B5-Status cobranza'!AP289&gt;0,'B5-Status cobranza'!AP289,0)</f>
        <v>0</v>
      </c>
      <c r="Q282" s="767">
        <f>'B5-Status cobranza'!AV289</f>
        <v>0</v>
      </c>
      <c r="R282" s="764">
        <f t="shared" si="30"/>
        <v>617600</v>
      </c>
      <c r="S282" s="764">
        <f>IF('B5-Status cobranza'!AL289&lt;0,'B5-Status cobranza'!AL289,0)</f>
        <v>0</v>
      </c>
      <c r="T282" s="764">
        <v>0</v>
      </c>
      <c r="U282" s="778">
        <f t="shared" si="29"/>
        <v>0</v>
      </c>
      <c r="V282" s="764">
        <f>IF('B5-Status cobranza'!AL289&gt;0,'B5-Status cobranza'!AL289,0)</f>
        <v>0</v>
      </c>
    </row>
    <row r="283" spans="1:22" ht="12" customHeight="1" x14ac:dyDescent="0.25">
      <c r="A283" s="763" t="str">
        <f>"Apto"&amp;'BOULEVARD 5'!B288</f>
        <v>Apto1705</v>
      </c>
      <c r="B283" s="763">
        <v>1</v>
      </c>
      <c r="C283" s="763" t="str">
        <f>IF('BOULEVARD 5'!A288="","Cliente normal",'BOULEVARD 5'!A288)</f>
        <v>Cliente normal</v>
      </c>
      <c r="D283" s="763" t="str">
        <f>IF('BOULEVARD 5'!E288="","No asignado",'BOULEVARD 5'!E288)</f>
        <v>Antonio Rada</v>
      </c>
      <c r="E283" s="763" t="str">
        <f>IF('BOULEVARD 5'!F288="","No asignado",'BOULEVARD 5'!F288)</f>
        <v>Maxi Alexander Mendez Moran</v>
      </c>
      <c r="F283" s="764">
        <f>'BOULEVARD 5'!AT288</f>
        <v>144643.27000000002</v>
      </c>
      <c r="G283" s="763" t="str">
        <f>'BOULEVARD 5'!BB288</f>
        <v>Cliente Atrasado</v>
      </c>
      <c r="H283" s="764">
        <f>'BOULEVARD PPTO'!BC283</f>
        <v>144643.27000000002</v>
      </c>
      <c r="I283" s="764">
        <f t="shared" si="26"/>
        <v>0</v>
      </c>
      <c r="J283" s="765" t="str">
        <f t="shared" si="27"/>
        <v>Enganche por pagar</v>
      </c>
      <c r="K283" s="764">
        <f>'BOULEVARD 5'!I288</f>
        <v>1446043.24</v>
      </c>
      <c r="L283" s="766">
        <f>IF('BOULEVARD 5'!G288="","",'BOULEVARD 5'!G288)</f>
        <v>45749</v>
      </c>
      <c r="M283" s="764">
        <f t="shared" si="28"/>
        <v>0</v>
      </c>
      <c r="N283" s="767">
        <f>IF('B5-Status cobranza'!AM290&lt;0,'B5-Status cobranza'!AM290,0)</f>
        <v>0</v>
      </c>
      <c r="O283" s="777">
        <f>IF('B5-Status cobranza'!AP290&lt;0,'B5-Status cobranza'!AP290,0)</f>
        <v>0</v>
      </c>
      <c r="P283" s="777">
        <f>IF('B5-Status cobranza'!AP290&gt;0,'B5-Status cobranza'!AP290,0)</f>
        <v>0</v>
      </c>
      <c r="Q283" s="767">
        <f>'B5-Status cobranza'!AV290</f>
        <v>0</v>
      </c>
      <c r="R283" s="764">
        <f t="shared" si="30"/>
        <v>1446043.24</v>
      </c>
      <c r="S283" s="764">
        <f>IF('B5-Status cobranza'!AL290&lt;0,'B5-Status cobranza'!AL290,0)</f>
        <v>0</v>
      </c>
      <c r="T283" s="764">
        <v>0</v>
      </c>
      <c r="U283" s="778">
        <f t="shared" si="29"/>
        <v>0</v>
      </c>
      <c r="V283" s="764">
        <f>IF('B5-Status cobranza'!AL290&gt;0,'B5-Status cobranza'!AL290,0)</f>
        <v>0</v>
      </c>
    </row>
    <row r="284" spans="1:22" ht="12" customHeight="1" x14ac:dyDescent="0.25">
      <c r="A284" s="763" t="str">
        <f>"Apto"&amp;'BOULEVARD 5'!B289</f>
        <v>Apto1706</v>
      </c>
      <c r="B284" s="763">
        <v>1</v>
      </c>
      <c r="C284" s="763" t="str">
        <f>IF('BOULEVARD 5'!A289="","Cliente normal",'BOULEVARD 5'!A289)</f>
        <v>F&amp;F</v>
      </c>
      <c r="D284" s="763" t="str">
        <f>IF('BOULEVARD 5'!E289="","No asignado",'BOULEVARD 5'!E289)</f>
        <v>Jose Franco</v>
      </c>
      <c r="E284" s="763" t="str">
        <f>IF('BOULEVARD 5'!F289="","No asignado",'BOULEVARD 5'!F289)</f>
        <v>David Arimany Monzón</v>
      </c>
      <c r="F284" s="764">
        <f>'BOULEVARD 5'!AT289</f>
        <v>46800</v>
      </c>
      <c r="G284" s="763" t="str">
        <f>'BOULEVARD 5'!BB289</f>
        <v>Cliente Atrasado</v>
      </c>
      <c r="H284" s="764">
        <f>'BOULEVARD PPTO'!BC284</f>
        <v>87051</v>
      </c>
      <c r="I284" s="764">
        <f t="shared" si="26"/>
        <v>-40251</v>
      </c>
      <c r="J284" s="765" t="str">
        <f t="shared" si="27"/>
        <v>Enganche por pagar</v>
      </c>
      <c r="K284" s="764">
        <f>'BOULEVARD 5'!I289</f>
        <v>860951</v>
      </c>
      <c r="L284" s="766">
        <f>IF('BOULEVARD 5'!G289="","",'BOULEVARD 5'!G289)</f>
        <v>45009</v>
      </c>
      <c r="M284" s="764">
        <f t="shared" si="28"/>
        <v>0</v>
      </c>
      <c r="N284" s="767">
        <f>IF('B5-Status cobranza'!AM291&lt;0,'B5-Status cobranza'!AM291,0)</f>
        <v>0</v>
      </c>
      <c r="O284" s="777">
        <f>IF('B5-Status cobranza'!AP291&lt;0,'B5-Status cobranza'!AP291,0)</f>
        <v>0</v>
      </c>
      <c r="P284" s="777">
        <f>IF('B5-Status cobranza'!AP291&gt;0,'B5-Status cobranza'!AP291,0)</f>
        <v>0</v>
      </c>
      <c r="Q284" s="767">
        <f>'B5-Status cobranza'!AV291</f>
        <v>0</v>
      </c>
      <c r="R284" s="764">
        <f t="shared" si="30"/>
        <v>860951</v>
      </c>
      <c r="S284" s="764">
        <f>IF('B5-Status cobranza'!AL291&lt;0,'B5-Status cobranza'!AL291,0)</f>
        <v>0</v>
      </c>
      <c r="T284" s="764">
        <v>0</v>
      </c>
      <c r="U284" s="778">
        <f t="shared" si="29"/>
        <v>0</v>
      </c>
      <c r="V284" s="764">
        <f>IF('B5-Status cobranza'!AL291&gt;0,'B5-Status cobranza'!AL291,0)</f>
        <v>0</v>
      </c>
    </row>
    <row r="285" spans="1:22" ht="12" customHeight="1" x14ac:dyDescent="0.25">
      <c r="A285" s="763" t="str">
        <f>"Apto"&amp;'BOULEVARD 5'!B290</f>
        <v>Apto1707</v>
      </c>
      <c r="B285" s="763">
        <v>1</v>
      </c>
      <c r="C285" s="763" t="str">
        <f>IF('BOULEVARD 5'!A290="","Cliente normal",'BOULEVARD 5'!A290)</f>
        <v>Cliente normal</v>
      </c>
      <c r="D285" s="763" t="s">
        <v>691</v>
      </c>
      <c r="E285" s="763" t="str">
        <f>IF('BOULEVARD 5'!F290="","No asignado",'BOULEVARD 5'!F290)</f>
        <v>Miguel Eduardo Yon Moll</v>
      </c>
      <c r="F285" s="764">
        <f>'BOULEVARD 5'!AT290</f>
        <v>50400</v>
      </c>
      <c r="G285" s="763" t="str">
        <f>'BOULEVARD 5'!BB290</f>
        <v>Cliente Atrasado</v>
      </c>
      <c r="H285" s="764">
        <f>'BOULEVARD PPTO'!BC285</f>
        <v>90800</v>
      </c>
      <c r="I285" s="764">
        <f t="shared" si="26"/>
        <v>-40400</v>
      </c>
      <c r="J285" s="765" t="str">
        <f t="shared" si="27"/>
        <v>Enganche por pagar</v>
      </c>
      <c r="K285" s="764">
        <f>'BOULEVARD 5'!I290</f>
        <v>908000</v>
      </c>
      <c r="L285" s="766">
        <f>IF('BOULEVARD 5'!G290="","",'BOULEVARD 5'!G290)</f>
        <v>45721</v>
      </c>
      <c r="M285" s="764">
        <f t="shared" si="28"/>
        <v>0</v>
      </c>
      <c r="N285" s="767">
        <f>IF('B5-Status cobranza'!AM292&lt;0,'B5-Status cobranza'!AM292,0)</f>
        <v>-5050</v>
      </c>
      <c r="O285" s="777">
        <f>IF('B5-Status cobranza'!AP292&lt;0,'B5-Status cobranza'!AP292,0)</f>
        <v>-10100</v>
      </c>
      <c r="P285" s="777">
        <f>IF('B5-Status cobranza'!AP292&gt;0,'B5-Status cobranza'!AP292,0)</f>
        <v>0</v>
      </c>
      <c r="Q285" s="767">
        <f>'B5-Status cobranza'!AV292</f>
        <v>0</v>
      </c>
      <c r="R285" s="764">
        <f t="shared" si="30"/>
        <v>908000</v>
      </c>
      <c r="S285" s="764">
        <f>IF('B5-Status cobranza'!AL292&lt;0,'B5-Status cobranza'!AL292,0)</f>
        <v>-5050</v>
      </c>
      <c r="T285" s="764">
        <v>0</v>
      </c>
      <c r="U285" s="778">
        <f t="shared" si="29"/>
        <v>0</v>
      </c>
      <c r="V285" s="764">
        <f>IF('B5-Status cobranza'!AL292&gt;0,'B5-Status cobranza'!AL292,0)</f>
        <v>0</v>
      </c>
    </row>
    <row r="286" spans="1:22" ht="12" customHeight="1" x14ac:dyDescent="0.25">
      <c r="A286" s="763" t="str">
        <f>"Apto"&amp;'BOULEVARD 5'!B291</f>
        <v>Apto1708</v>
      </c>
      <c r="B286" s="763">
        <v>1</v>
      </c>
      <c r="C286" s="763" t="str">
        <f>G286</f>
        <v>Cliente al día</v>
      </c>
      <c r="D286" s="763" t="str">
        <f>IF('BOULEVARD 5'!E291="","No asignado",'BOULEVARD 5'!E291)</f>
        <v>Anahí Cisneros</v>
      </c>
      <c r="E286" s="763" t="str">
        <f>IF('BOULEVARD 5'!F291="","No asignado",'BOULEVARD 5'!F291)</f>
        <v>Carlos Antonio Aguilar Velasquez</v>
      </c>
      <c r="F286" s="764">
        <f>'BOULEVARD 5'!AT291</f>
        <v>58400</v>
      </c>
      <c r="G286" s="763" t="str">
        <f>'BOULEVARD 5'!BB291</f>
        <v>Cliente al día</v>
      </c>
      <c r="H286" s="764">
        <f>'BOULEVARD PPTO'!BC286</f>
        <v>123600</v>
      </c>
      <c r="I286" s="764">
        <f t="shared" si="26"/>
        <v>-65200</v>
      </c>
      <c r="J286" s="765" t="str">
        <f t="shared" si="27"/>
        <v>Enganche por pagar</v>
      </c>
      <c r="K286" s="764">
        <f>'BOULEVARD 5'!I291</f>
        <v>1762700</v>
      </c>
      <c r="L286" s="766">
        <f>IF('BOULEVARD 5'!G291="","",'BOULEVARD 5'!G291)</f>
        <v>45957</v>
      </c>
      <c r="M286" s="764">
        <f t="shared" si="28"/>
        <v>0</v>
      </c>
      <c r="N286" s="767">
        <f>IF('B5-Status cobranza'!AM293&lt;0,'B5-Status cobranza'!AM293,0)</f>
        <v>0</v>
      </c>
      <c r="O286" s="777">
        <f>IF('B5-Status cobranza'!AP293&lt;0,'B5-Status cobranza'!AP293,0)</f>
        <v>0</v>
      </c>
      <c r="P286" s="777">
        <f>IF('B5-Status cobranza'!AP293&gt;0,'B5-Status cobranza'!AP293,0)</f>
        <v>0</v>
      </c>
      <c r="Q286" s="767">
        <f>'B5-Status cobranza'!AV293</f>
        <v>0</v>
      </c>
      <c r="R286" s="764">
        <f t="shared" si="30"/>
        <v>1762700</v>
      </c>
      <c r="S286" s="764">
        <f>IF('B5-Status cobranza'!AL293&lt;0,'B5-Status cobranza'!AL293,0)</f>
        <v>0</v>
      </c>
      <c r="T286" s="764">
        <v>0</v>
      </c>
      <c r="U286" s="778">
        <f t="shared" si="29"/>
        <v>0</v>
      </c>
      <c r="V286" s="764">
        <f>IF('B5-Status cobranza'!AL293&gt;0,'B5-Status cobranza'!AL293,0)</f>
        <v>0</v>
      </c>
    </row>
    <row r="287" spans="1:22" ht="12" customHeight="1" x14ac:dyDescent="0.25">
      <c r="A287" s="763" t="str">
        <f>"Apto"&amp;'BOULEVARD 5'!B292</f>
        <v>Apto1801</v>
      </c>
      <c r="B287" s="763">
        <v>1</v>
      </c>
      <c r="C287" s="763" t="str">
        <f>IF('BOULEVARD 5'!A292="","Cliente normal",'BOULEVARD 5'!A292)</f>
        <v>F&amp;F</v>
      </c>
      <c r="D287" s="763" t="str">
        <f>IF('BOULEVARD 5'!E292="","No asignado",'BOULEVARD 5'!E292)</f>
        <v>Jose Franco</v>
      </c>
      <c r="E287" s="763" t="str">
        <f>IF('BOULEVARD 5'!F292="","No asignado",'BOULEVARD 5'!F292)</f>
        <v>Luis Arimany Monzón</v>
      </c>
      <c r="F287" s="764">
        <f>'BOULEVARD 5'!AT292</f>
        <v>13600</v>
      </c>
      <c r="G287" s="763" t="str">
        <f>'BOULEVARD 5'!BB292</f>
        <v>Cliente Atrasado</v>
      </c>
      <c r="H287" s="764">
        <f>'BOULEVARD PPTO'!BC287</f>
        <v>139152</v>
      </c>
      <c r="I287" s="764">
        <f t="shared" si="26"/>
        <v>-125552</v>
      </c>
      <c r="J287" s="765" t="str">
        <f t="shared" si="27"/>
        <v>Enganche por pagar</v>
      </c>
      <c r="K287" s="764">
        <f>'BOULEVARD 5'!I292</f>
        <v>1391452</v>
      </c>
      <c r="L287" s="766">
        <f>IF('BOULEVARD 5'!G292="","",'BOULEVARD 5'!G292)</f>
        <v>45012</v>
      </c>
      <c r="M287" s="764">
        <f t="shared" si="28"/>
        <v>0</v>
      </c>
      <c r="N287" s="767">
        <f>IF('B5-Status cobranza'!AM294&lt;0,'B5-Status cobranza'!AM294,0)</f>
        <v>0</v>
      </c>
      <c r="O287" s="777">
        <f>IF('B5-Status cobranza'!AP294&lt;0,'B5-Status cobranza'!AP294,0)</f>
        <v>0</v>
      </c>
      <c r="P287" s="777">
        <f>IF('B5-Status cobranza'!AP294&gt;0,'B5-Status cobranza'!AP294,0)</f>
        <v>0</v>
      </c>
      <c r="Q287" s="767">
        <f>'B5-Status cobranza'!AV294</f>
        <v>0</v>
      </c>
      <c r="R287" s="764">
        <f t="shared" si="30"/>
        <v>1391452</v>
      </c>
      <c r="S287" s="764">
        <f>IF('B5-Status cobranza'!AL294&lt;0,'B5-Status cobranza'!AL294,0)</f>
        <v>0</v>
      </c>
      <c r="T287" s="764">
        <v>0</v>
      </c>
      <c r="U287" s="778">
        <f t="shared" si="29"/>
        <v>0</v>
      </c>
      <c r="V287" s="764">
        <f>IF('B5-Status cobranza'!AL294&gt;0,'B5-Status cobranza'!AL294,0)</f>
        <v>0</v>
      </c>
    </row>
    <row r="288" spans="1:22" ht="12" customHeight="1" x14ac:dyDescent="0.25">
      <c r="A288" s="763" t="str">
        <f>"Apto"&amp;'BOULEVARD 5'!B293</f>
        <v>Apto1802</v>
      </c>
      <c r="B288" s="763">
        <v>1</v>
      </c>
      <c r="C288" s="763" t="str">
        <f>IF('BOULEVARD 5'!A293="","Cliente normal",'BOULEVARD 5'!A293)</f>
        <v>Cliente normal</v>
      </c>
      <c r="D288" s="763" t="str">
        <f>IF('BOULEVARD 5'!E293="","No asignado",'BOULEVARD 5'!E293)</f>
        <v>Antonio Rada</v>
      </c>
      <c r="E288" s="763" t="str">
        <f>IF('BOULEVARD 5'!F293="","No asignado",'BOULEVARD 5'!F293)</f>
        <v>Fredy Rene Velasquez Quevedo</v>
      </c>
      <c r="F288" s="764">
        <f>'BOULEVARD 5'!AT293</f>
        <v>384904</v>
      </c>
      <c r="G288" s="763" t="str">
        <f>'BOULEVARD 5'!BB293</f>
        <v>Superávit de Enganche</v>
      </c>
      <c r="H288" s="764">
        <f>'BOULEVARD PPTO'!BC288</f>
        <v>84900</v>
      </c>
      <c r="I288" s="764">
        <f t="shared" si="26"/>
        <v>300004</v>
      </c>
      <c r="J288" s="765" t="str">
        <f t="shared" si="27"/>
        <v>Superavit de enganche</v>
      </c>
      <c r="K288" s="764">
        <f>'BOULEVARD 5'!I293</f>
        <v>848900</v>
      </c>
      <c r="L288" s="766">
        <f>IF('BOULEVARD 5'!G293="","",'BOULEVARD 5'!G293)</f>
        <v>45064</v>
      </c>
      <c r="M288" s="764">
        <f t="shared" si="28"/>
        <v>0</v>
      </c>
      <c r="N288" s="767">
        <f>IF('B5-Status cobranza'!AM295&lt;0,'B5-Status cobranza'!AM295,0)</f>
        <v>0</v>
      </c>
      <c r="O288" s="777">
        <f>IF('B5-Status cobranza'!AP295&lt;0,'B5-Status cobranza'!AP295,0)</f>
        <v>0</v>
      </c>
      <c r="P288" s="777">
        <f>IF('B5-Status cobranza'!AP295&gt;0,'B5-Status cobranza'!AP295,0)</f>
        <v>4</v>
      </c>
      <c r="Q288" s="767">
        <f>'B5-Status cobranza'!AV295</f>
        <v>0</v>
      </c>
      <c r="R288" s="764">
        <f t="shared" si="30"/>
        <v>848900</v>
      </c>
      <c r="S288" s="764">
        <f>IF('B5-Status cobranza'!AL295&lt;0,'B5-Status cobranza'!AL295,0)</f>
        <v>0</v>
      </c>
      <c r="T288" s="764">
        <v>0</v>
      </c>
      <c r="U288" s="778">
        <f t="shared" si="29"/>
        <v>0</v>
      </c>
      <c r="V288" s="764">
        <f>IF('B5-Status cobranza'!AL295&gt;0,'B5-Status cobranza'!AL295,0)</f>
        <v>4</v>
      </c>
    </row>
    <row r="289" spans="1:22" ht="12" customHeight="1" x14ac:dyDescent="0.25">
      <c r="A289" s="763" t="str">
        <f>"Apto"&amp;'BOULEVARD 5'!B294</f>
        <v>Apto1803</v>
      </c>
      <c r="B289" s="763">
        <v>1</v>
      </c>
      <c r="C289" s="763" t="str">
        <f>G289</f>
        <v>Cliente al día</v>
      </c>
      <c r="D289" s="763" t="str">
        <f>IF('BOULEVARD 5'!E294="","No asignado",'BOULEVARD 5'!E294)</f>
        <v>Anahi Cisneros</v>
      </c>
      <c r="E289" s="763" t="str">
        <f>IF('BOULEVARD 5'!F294="","No asignado",'BOULEVARD 5'!F294)</f>
        <v>Rivabella S.A.</v>
      </c>
      <c r="F289" s="764">
        <f>'BOULEVARD 5'!AT294</f>
        <v>295500</v>
      </c>
      <c r="G289" s="763" t="str">
        <f>'BOULEVARD 5'!BB294</f>
        <v>Cliente al día</v>
      </c>
      <c r="H289" s="764">
        <f>'BOULEVARD PPTO'!BC289</f>
        <v>0</v>
      </c>
      <c r="I289" s="764">
        <f t="shared" si="26"/>
        <v>295500</v>
      </c>
      <c r="J289" s="765" t="str">
        <f t="shared" si="27"/>
        <v>Superavit de enganche</v>
      </c>
      <c r="K289" s="764">
        <f>'BOULEVARD 5'!I294</f>
        <v>1651500</v>
      </c>
      <c r="L289" s="766">
        <f>IF('BOULEVARD 5'!G294="","",'BOULEVARD 5'!G294)</f>
        <v>45976</v>
      </c>
      <c r="M289" s="764">
        <f t="shared" si="28"/>
        <v>0</v>
      </c>
      <c r="N289" s="767">
        <f>IF('B5-Status cobranza'!AM296&lt;0,'B5-Status cobranza'!AM296,0)</f>
        <v>0</v>
      </c>
      <c r="O289" s="777">
        <f>IF('B5-Status cobranza'!AP296&lt;0,'B5-Status cobranza'!AP296,0)</f>
        <v>0</v>
      </c>
      <c r="P289" s="777">
        <f>IF('B5-Status cobranza'!AP296&gt;0,'B5-Status cobranza'!AP296,0)</f>
        <v>0</v>
      </c>
      <c r="Q289" s="767">
        <f>'B5-Status cobranza'!AV296</f>
        <v>0</v>
      </c>
      <c r="R289" s="764">
        <f t="shared" si="30"/>
        <v>1651500</v>
      </c>
      <c r="S289" s="764">
        <f>IF('B5-Status cobranza'!AL296&lt;0,'B5-Status cobranza'!AL296,0)</f>
        <v>0</v>
      </c>
      <c r="T289" s="764">
        <v>0</v>
      </c>
      <c r="U289" s="778">
        <f t="shared" si="29"/>
        <v>0</v>
      </c>
      <c r="V289" s="764">
        <f>IF('B5-Status cobranza'!AL296&gt;0,'B5-Status cobranza'!AL296,0)</f>
        <v>0</v>
      </c>
    </row>
    <row r="290" spans="1:22" ht="12" customHeight="1" x14ac:dyDescent="0.25">
      <c r="A290" s="763" t="str">
        <f>"Apto"&amp;'BOULEVARD 5'!B295</f>
        <v>Apto1804</v>
      </c>
      <c r="B290" s="763">
        <v>1</v>
      </c>
      <c r="C290" s="763" t="str">
        <f>IF('BOULEVARD 5'!A295="","Cliente normal",'BOULEVARD 5'!A295)</f>
        <v>Cliente normal</v>
      </c>
      <c r="D290" s="763" t="str">
        <f>IF('BOULEVARD 5'!E295="","No asignado",'BOULEVARD 5'!E295)</f>
        <v>Brenda Búcaro</v>
      </c>
      <c r="E290" s="763" t="str">
        <f>IF('BOULEVARD 5'!F295="","No asignado",'BOULEVARD 5'!F295)</f>
        <v>Juan Pablo Monterroso Arroyo</v>
      </c>
      <c r="F290" s="764">
        <f>'BOULEVARD 5'!AT295</f>
        <v>53660</v>
      </c>
      <c r="G290" s="763" t="str">
        <f>'BOULEVARD 5'!BB295</f>
        <v>Cliente Atrasado</v>
      </c>
      <c r="H290" s="764">
        <f>'BOULEVARD PPTO'!BC290</f>
        <v>62000</v>
      </c>
      <c r="I290" s="764">
        <f t="shared" si="26"/>
        <v>-8340</v>
      </c>
      <c r="J290" s="765" t="str">
        <f t="shared" si="27"/>
        <v>Enganche por pagar</v>
      </c>
      <c r="K290" s="764">
        <f>'BOULEVARD 5'!I295</f>
        <v>617600</v>
      </c>
      <c r="L290" s="766">
        <f>IF('BOULEVARD 5'!G295="","",'BOULEVARD 5'!G295)</f>
        <v>44995</v>
      </c>
      <c r="M290" s="764">
        <f t="shared" si="28"/>
        <v>0</v>
      </c>
      <c r="N290" s="767">
        <f>IF('B5-Status cobranza'!AM297&lt;0,'B5-Status cobranza'!AM297,0)</f>
        <v>-1600</v>
      </c>
      <c r="O290" s="777">
        <f>IF('B5-Status cobranza'!AP297&lt;0,'B5-Status cobranza'!AP297,0)</f>
        <v>-3540</v>
      </c>
      <c r="P290" s="777">
        <f>IF('B5-Status cobranza'!AP297&gt;0,'B5-Status cobranza'!AP297,0)</f>
        <v>0</v>
      </c>
      <c r="Q290" s="767">
        <f>'B5-Status cobranza'!AV297</f>
        <v>0</v>
      </c>
      <c r="R290" s="764">
        <f t="shared" si="30"/>
        <v>617600</v>
      </c>
      <c r="S290" s="764">
        <f>IF('B5-Status cobranza'!AL297&lt;0,'B5-Status cobranza'!AL297,0)</f>
        <v>0</v>
      </c>
      <c r="T290" s="764">
        <v>0</v>
      </c>
      <c r="U290" s="778">
        <f t="shared" si="29"/>
        <v>0</v>
      </c>
      <c r="V290" s="764">
        <f>IF('B5-Status cobranza'!AL297&gt;0,'B5-Status cobranza'!AL297,0)</f>
        <v>0</v>
      </c>
    </row>
    <row r="291" spans="1:22" ht="12" customHeight="1" x14ac:dyDescent="0.25">
      <c r="A291" s="763" t="str">
        <f>"Apto"&amp;'BOULEVARD 5'!B296</f>
        <v>Apto1805</v>
      </c>
      <c r="B291" s="763">
        <v>1</v>
      </c>
      <c r="C291" s="763" t="str">
        <f>G291</f>
        <v>Cliente al día</v>
      </c>
      <c r="D291" s="763" t="str">
        <f>IF('BOULEVARD 5'!E296="","No asignado",'BOULEVARD 5'!E296)</f>
        <v>No asignado</v>
      </c>
      <c r="E291" s="763" t="str">
        <f>IF('BOULEVARD 5'!F296="","No asignado",'BOULEVARD 5'!F296)</f>
        <v>Sergio Rafael Marroquín Sáenz</v>
      </c>
      <c r="F291" s="764">
        <f>'BOULEVARD 5'!AT296</f>
        <v>10000</v>
      </c>
      <c r="G291" s="763" t="str">
        <f>'BOULEVARD 5'!BB296</f>
        <v>Cliente al día</v>
      </c>
      <c r="H291" s="764">
        <f>'BOULEVARD PPTO'!BC291</f>
        <v>0</v>
      </c>
      <c r="I291" s="764">
        <f t="shared" si="26"/>
        <v>10000</v>
      </c>
      <c r="J291" s="765" t="str">
        <f t="shared" si="27"/>
        <v>Superavit de enganche</v>
      </c>
      <c r="K291" s="764">
        <f>'BOULEVARD 5'!I296</f>
        <v>1581900</v>
      </c>
      <c r="L291" s="766">
        <f>IF('BOULEVARD 5'!G296="","",'BOULEVARD 5'!G296)</f>
        <v>45995</v>
      </c>
      <c r="M291" s="764">
        <f t="shared" si="28"/>
        <v>0</v>
      </c>
      <c r="N291" s="767">
        <f>IF('B5-Status cobranza'!AM298&lt;0,'B5-Status cobranza'!AM298,0)</f>
        <v>0</v>
      </c>
      <c r="O291" s="777">
        <f>IF('B5-Status cobranza'!AP298&lt;0,'B5-Status cobranza'!AP298,0)</f>
        <v>0</v>
      </c>
      <c r="P291" s="777">
        <f>IF('B5-Status cobranza'!AP298&gt;0,'B5-Status cobranza'!AP298,0)</f>
        <v>0</v>
      </c>
      <c r="Q291" s="767">
        <f>'B5-Status cobranza'!AV298</f>
        <v>0</v>
      </c>
      <c r="R291" s="764">
        <f t="shared" si="30"/>
        <v>1581900</v>
      </c>
      <c r="S291" s="764">
        <f>IF('B5-Status cobranza'!AL298&lt;0,'B5-Status cobranza'!AL298,0)</f>
        <v>0</v>
      </c>
      <c r="T291" s="764">
        <v>0</v>
      </c>
      <c r="U291" s="778">
        <f t="shared" si="29"/>
        <v>0</v>
      </c>
      <c r="V291" s="764">
        <f>IF('B5-Status cobranza'!AL298&gt;0,'B5-Status cobranza'!AL298,0)</f>
        <v>0</v>
      </c>
    </row>
    <row r="292" spans="1:22" ht="12" customHeight="1" x14ac:dyDescent="0.25">
      <c r="A292" s="763" t="str">
        <f>"Apto"&amp;'BOULEVARD 5'!B297</f>
        <v>Apto1806</v>
      </c>
      <c r="B292" s="763">
        <v>1</v>
      </c>
      <c r="C292" s="763" t="str">
        <f>IF('BOULEVARD 5'!A297="","Cliente normal",'BOULEVARD 5'!A297)</f>
        <v>Cliente normal</v>
      </c>
      <c r="D292" s="763" t="str">
        <f>IF('BOULEVARD 5'!E297="","No asignado",'BOULEVARD 5'!E297)</f>
        <v>Antonio Rada</v>
      </c>
      <c r="E292" s="763" t="str">
        <f>IF('BOULEVARD 5'!F297="","No asignado",'BOULEVARD 5'!F297)</f>
        <v>Business View Sociedad Anonima</v>
      </c>
      <c r="F292" s="764">
        <f>'BOULEVARD 5'!AT297</f>
        <v>81570</v>
      </c>
      <c r="G292" s="763" t="str">
        <f>'BOULEVARD 5'!BB297</f>
        <v>Cliente al día</v>
      </c>
      <c r="H292" s="764">
        <f>'BOULEVARD PPTO'!BC292</f>
        <v>86150.58</v>
      </c>
      <c r="I292" s="764">
        <f t="shared" si="26"/>
        <v>-4580.5800000000017</v>
      </c>
      <c r="J292" s="765" t="str">
        <f t="shared" si="27"/>
        <v>Enganche por pagar</v>
      </c>
      <c r="K292" s="764">
        <f>'BOULEVARD 5'!I297</f>
        <v>860950.58400499995</v>
      </c>
      <c r="L292" s="766">
        <f>IF('BOULEVARD 5'!G297="","",'BOULEVARD 5'!G297)</f>
        <v>45014</v>
      </c>
      <c r="M292" s="764">
        <f t="shared" si="28"/>
        <v>0</v>
      </c>
      <c r="N292" s="767">
        <f>IF('B5-Status cobranza'!AM299&lt;0,'B5-Status cobranza'!AM299,0)</f>
        <v>0</v>
      </c>
      <c r="O292" s="777">
        <f>IF('B5-Status cobranza'!AP299&lt;0,'B5-Status cobranza'!AP299,0)</f>
        <v>0</v>
      </c>
      <c r="P292" s="777">
        <f>IF('B5-Status cobranza'!AP299&gt;0,'B5-Status cobranza'!AP299,0)</f>
        <v>0</v>
      </c>
      <c r="Q292" s="767">
        <f>'B5-Status cobranza'!AV299</f>
        <v>0</v>
      </c>
      <c r="R292" s="764">
        <f t="shared" si="30"/>
        <v>860950.58400499995</v>
      </c>
      <c r="S292" s="764">
        <f>IF('B5-Status cobranza'!AL299&lt;0,'B5-Status cobranza'!AL299,0)</f>
        <v>0</v>
      </c>
      <c r="T292" s="764">
        <v>0</v>
      </c>
      <c r="U292" s="778">
        <f t="shared" si="29"/>
        <v>0</v>
      </c>
      <c r="V292" s="764">
        <f>IF('B5-Status cobranza'!AL299&gt;0,'B5-Status cobranza'!AL299,0)</f>
        <v>0</v>
      </c>
    </row>
    <row r="293" spans="1:22" ht="12" customHeight="1" x14ac:dyDescent="0.25">
      <c r="A293" s="763" t="str">
        <f>"Apto"&amp;'BOULEVARD 5'!B298</f>
        <v>Apto1807</v>
      </c>
      <c r="B293" s="763">
        <v>1</v>
      </c>
      <c r="C293" s="763" t="str">
        <f>IF('BOULEVARD 5'!A298="","Cliente normal",'BOULEVARD 5'!A298)</f>
        <v>F&amp;F</v>
      </c>
      <c r="D293" s="763" t="str">
        <f>IF('BOULEVARD 5'!E298="","No asignado",'BOULEVARD 5'!E298)</f>
        <v>Jose Franco</v>
      </c>
      <c r="E293" s="763" t="str">
        <f>IF('BOULEVARD 5'!F298="","No asignado",'BOULEVARD 5'!F298)</f>
        <v>Yuly Marisol Rodríguez Ordoñez De Arimany</v>
      </c>
      <c r="F293" s="764">
        <f>'BOULEVARD 5'!AT298</f>
        <v>12100</v>
      </c>
      <c r="G293" s="763" t="str">
        <f>'BOULEVARD 5'!BB298</f>
        <v>Cliente Atrasado</v>
      </c>
      <c r="H293" s="764">
        <f>'BOULEVARD PPTO'!BC293</f>
        <v>113156</v>
      </c>
      <c r="I293" s="764">
        <f t="shared" si="26"/>
        <v>-101056</v>
      </c>
      <c r="J293" s="765" t="str">
        <f t="shared" si="27"/>
        <v>Enganche por pagar</v>
      </c>
      <c r="K293" s="764">
        <f>'BOULEVARD 5'!I298</f>
        <v>1131156</v>
      </c>
      <c r="L293" s="766">
        <f>IF('BOULEVARD 5'!G298="","",'BOULEVARD 5'!G298)</f>
        <v>45012</v>
      </c>
      <c r="M293" s="764">
        <f t="shared" si="28"/>
        <v>0</v>
      </c>
      <c r="N293" s="767">
        <f>IF('B5-Status cobranza'!AM300&lt;0,'B5-Status cobranza'!AM300,0)</f>
        <v>0</v>
      </c>
      <c r="O293" s="777">
        <f>IF('B5-Status cobranza'!AP300&lt;0,'B5-Status cobranza'!AP300,0)</f>
        <v>0</v>
      </c>
      <c r="P293" s="777">
        <f>IF('B5-Status cobranza'!AP300&gt;0,'B5-Status cobranza'!AP300,0)</f>
        <v>0</v>
      </c>
      <c r="Q293" s="767">
        <f>'B5-Status cobranza'!AV300</f>
        <v>0</v>
      </c>
      <c r="R293" s="764">
        <f t="shared" si="30"/>
        <v>1131156</v>
      </c>
      <c r="S293" s="764">
        <f>IF('B5-Status cobranza'!AL300&lt;0,'B5-Status cobranza'!AL300,0)</f>
        <v>0</v>
      </c>
      <c r="T293" s="764">
        <v>0</v>
      </c>
      <c r="U293" s="778">
        <f t="shared" si="29"/>
        <v>0</v>
      </c>
      <c r="V293" s="764">
        <f>IF('B5-Status cobranza'!AL300&gt;0,'B5-Status cobranza'!AL300,0)</f>
        <v>0</v>
      </c>
    </row>
    <row r="294" spans="1:22" ht="12" customHeight="1" x14ac:dyDescent="0.25">
      <c r="A294" s="763" t="str">
        <f>"Apto"&amp;'BOULEVARD 5'!B299</f>
        <v>Apto1808</v>
      </c>
      <c r="B294" s="763">
        <v>1</v>
      </c>
      <c r="C294" s="763" t="str">
        <f>IF('BOULEVARD 5'!A299="","Cliente normal",'BOULEVARD 5'!A299)</f>
        <v>Cliente normal</v>
      </c>
      <c r="D294" s="763" t="str">
        <f>IF('BOULEVARD 5'!E299="","No asignado",'BOULEVARD 5'!E299)</f>
        <v>Antonio Rada</v>
      </c>
      <c r="E294" s="763" t="str">
        <f>IF('BOULEVARD 5'!F299="","No asignado",'BOULEVARD 5'!F299)</f>
        <v>Monica Cecilia Rodriguez Villalta</v>
      </c>
      <c r="F294" s="764">
        <f>'BOULEVARD 5'!AT299</f>
        <v>141808.51</v>
      </c>
      <c r="G294" s="763" t="str">
        <f>'BOULEVARD 5'!BB299</f>
        <v>Enganche Completado</v>
      </c>
      <c r="H294" s="764">
        <f>'BOULEVARD PPTO'!BC294</f>
        <v>141808.51</v>
      </c>
      <c r="I294" s="764">
        <f t="shared" si="26"/>
        <v>0</v>
      </c>
      <c r="J294" s="765" t="str">
        <f t="shared" si="27"/>
        <v>Enganche por pagar</v>
      </c>
      <c r="K294" s="764">
        <f>'BOULEVARD 5'!I299</f>
        <v>1417808.51</v>
      </c>
      <c r="L294" s="766">
        <f>IF('BOULEVARD 5'!G299="","",'BOULEVARD 5'!G299)</f>
        <v>45199</v>
      </c>
      <c r="M294" s="764">
        <f t="shared" si="28"/>
        <v>0</v>
      </c>
      <c r="N294" s="767">
        <f>IF('B5-Status cobranza'!AM301&lt;0,'B5-Status cobranza'!AM301,0)</f>
        <v>0</v>
      </c>
      <c r="O294" s="777">
        <f>IF('B5-Status cobranza'!AP301&lt;0,'B5-Status cobranza'!AP301,0)</f>
        <v>0</v>
      </c>
      <c r="P294" s="777">
        <f>IF('B5-Status cobranza'!AP301&gt;0,'B5-Status cobranza'!AP301,0)</f>
        <v>0</v>
      </c>
      <c r="Q294" s="767">
        <f>'B5-Status cobranza'!AV301</f>
        <v>0</v>
      </c>
      <c r="R294" s="764">
        <f t="shared" si="30"/>
        <v>1417808.51</v>
      </c>
      <c r="S294" s="764">
        <f>IF('B5-Status cobranza'!AL301&lt;0,'B5-Status cobranza'!AL301,0)</f>
        <v>-5575</v>
      </c>
      <c r="T294" s="764">
        <v>0</v>
      </c>
      <c r="U294" s="778">
        <f t="shared" si="29"/>
        <v>0</v>
      </c>
      <c r="V294" s="764">
        <f>IF('B5-Status cobranza'!AL301&gt;0,'B5-Status cobranza'!AL301,0)</f>
        <v>0</v>
      </c>
    </row>
    <row r="295" spans="1:22" ht="12" customHeight="1" x14ac:dyDescent="0.25">
      <c r="A295" s="763" t="str">
        <f>"Apto"&amp;'BOULEVARD 5'!B300</f>
        <v>Apto1901</v>
      </c>
      <c r="B295" s="763">
        <v>1</v>
      </c>
      <c r="C295" s="763" t="str">
        <f>IF('BOULEVARD 5'!A300="","Cliente normal",'BOULEVARD 5'!A300)</f>
        <v>F&amp;F</v>
      </c>
      <c r="D295" s="763" t="s">
        <v>691</v>
      </c>
      <c r="E295" s="763" t="str">
        <f>IF('BOULEVARD 5'!F300="","No asignado",'BOULEVARD 5'!F300)</f>
        <v>International Coffee Industry, S.A</v>
      </c>
      <c r="F295" s="764">
        <f>'BOULEVARD 5'!AT300</f>
        <v>0</v>
      </c>
      <c r="G295" s="763" t="str">
        <f>'BOULEVARD 5'!BB300</f>
        <v>Cliente Atrasado</v>
      </c>
      <c r="H295" s="764">
        <f>'BOULEVARD PPTO'!BC295</f>
        <v>73882</v>
      </c>
      <c r="I295" s="764">
        <f t="shared" si="26"/>
        <v>-73882</v>
      </c>
      <c r="J295" s="765" t="str">
        <f t="shared" si="27"/>
        <v>Enganche por pagar</v>
      </c>
      <c r="K295" s="764">
        <f>'BOULEVARD 5'!I300</f>
        <v>738382</v>
      </c>
      <c r="L295" s="766">
        <f>IF('BOULEVARD 5'!G300="","",'BOULEVARD 5'!G300)</f>
        <v>45012</v>
      </c>
      <c r="M295" s="764">
        <f t="shared" si="28"/>
        <v>0</v>
      </c>
      <c r="N295" s="767">
        <f>IF('B5-Status cobranza'!AM302&lt;0,'B5-Status cobranza'!AM302,0)</f>
        <v>0</v>
      </c>
      <c r="O295" s="777">
        <f>IF('B5-Status cobranza'!AP302&lt;0,'B5-Status cobranza'!AP302,0)</f>
        <v>0</v>
      </c>
      <c r="P295" s="777">
        <f>IF('B5-Status cobranza'!AP302&gt;0,'B5-Status cobranza'!AP302,0)</f>
        <v>0</v>
      </c>
      <c r="Q295" s="767">
        <f>'B5-Status cobranza'!AV302</f>
        <v>0</v>
      </c>
      <c r="R295" s="764">
        <f t="shared" si="30"/>
        <v>738382</v>
      </c>
      <c r="S295" s="764">
        <f>IF('B5-Status cobranza'!AL302&lt;0,'B5-Status cobranza'!AL302,0)</f>
        <v>0</v>
      </c>
      <c r="T295" s="764">
        <v>0</v>
      </c>
      <c r="U295" s="778">
        <f t="shared" si="29"/>
        <v>0</v>
      </c>
      <c r="V295" s="764">
        <f>IF('B5-Status cobranza'!AL302&gt;0,'B5-Status cobranza'!AL302,0)</f>
        <v>0</v>
      </c>
    </row>
    <row r="296" spans="1:22" ht="12" customHeight="1" x14ac:dyDescent="0.25">
      <c r="A296" s="763" t="str">
        <f>"Apto"&amp;'BOULEVARD 5'!B301</f>
        <v>Apto1902</v>
      </c>
      <c r="B296" s="763">
        <v>1</v>
      </c>
      <c r="C296" s="763" t="str">
        <f>IF('BOULEVARD 5'!A301="","Cliente normal",'BOULEVARD 5'!A301)</f>
        <v>F&amp;F</v>
      </c>
      <c r="D296" s="763" t="s">
        <v>691</v>
      </c>
      <c r="E296" s="763" t="str">
        <f>IF('BOULEVARD 5'!F301="","No asignado",'BOULEVARD 5'!F301)</f>
        <v>International Coffee Industry, S.A</v>
      </c>
      <c r="F296" s="764">
        <f>'BOULEVARD 5'!AT301</f>
        <v>0</v>
      </c>
      <c r="G296" s="763" t="str">
        <f>'BOULEVARD 5'!BB301</f>
        <v>Cliente Atrasado</v>
      </c>
      <c r="H296" s="764">
        <f>'BOULEVARD PPTO'!BC296</f>
        <v>132200</v>
      </c>
      <c r="I296" s="764">
        <f t="shared" si="26"/>
        <v>-132200</v>
      </c>
      <c r="J296" s="765" t="str">
        <f t="shared" si="27"/>
        <v>Enganche por pagar</v>
      </c>
      <c r="K296" s="764">
        <f>'BOULEVARD 5'!I301</f>
        <v>1322000</v>
      </c>
      <c r="L296" s="766">
        <f>IF('BOULEVARD 5'!G301="","",'BOULEVARD 5'!G301)</f>
        <v>45300</v>
      </c>
      <c r="M296" s="764">
        <f t="shared" si="28"/>
        <v>0</v>
      </c>
      <c r="N296" s="767">
        <f>IF('B5-Status cobranza'!AM303&lt;0,'B5-Status cobranza'!AM303,0)</f>
        <v>0</v>
      </c>
      <c r="O296" s="777">
        <f>IF('B5-Status cobranza'!AP303&lt;0,'B5-Status cobranza'!AP303,0)</f>
        <v>0</v>
      </c>
      <c r="P296" s="777">
        <f>IF('B5-Status cobranza'!AP303&gt;0,'B5-Status cobranza'!AP303,0)</f>
        <v>0</v>
      </c>
      <c r="Q296" s="767">
        <f>'B5-Status cobranza'!AV303</f>
        <v>0</v>
      </c>
      <c r="R296" s="764">
        <f t="shared" si="30"/>
        <v>1322000</v>
      </c>
      <c r="S296" s="764">
        <f>IF('B5-Status cobranza'!AL303&lt;0,'B5-Status cobranza'!AL303,0)</f>
        <v>0</v>
      </c>
      <c r="T296" s="764">
        <v>0</v>
      </c>
      <c r="U296" s="778">
        <f t="shared" si="29"/>
        <v>0</v>
      </c>
      <c r="V296" s="764">
        <f>IF('B5-Status cobranza'!AL303&gt;0,'B5-Status cobranza'!AL303,0)</f>
        <v>0</v>
      </c>
    </row>
    <row r="297" spans="1:22" ht="12" customHeight="1" x14ac:dyDescent="0.25">
      <c r="A297" s="763" t="str">
        <f>"Apto"&amp;'BOULEVARD 5'!B302</f>
        <v>Apto1903</v>
      </c>
      <c r="B297" s="763">
        <v>1</v>
      </c>
      <c r="C297" s="763" t="str">
        <f>IF('BOULEVARD 5'!A302="","Cliente normal",'BOULEVARD 5'!A302)</f>
        <v>F&amp;F</v>
      </c>
      <c r="D297" s="763" t="s">
        <v>691</v>
      </c>
      <c r="E297" s="763" t="str">
        <f>IF('BOULEVARD 5'!F302="","No asignado",'BOULEVARD 5'!F302)</f>
        <v>International Coffee Industry, S.A</v>
      </c>
      <c r="F297" s="764">
        <f>'BOULEVARD 5'!AT302</f>
        <v>0</v>
      </c>
      <c r="G297" s="763" t="str">
        <f>'BOULEVARD 5'!BB302</f>
        <v>Cliente Atrasado</v>
      </c>
      <c r="H297" s="764">
        <f>'BOULEVARD PPTO'!BC297</f>
        <v>132650</v>
      </c>
      <c r="I297" s="764">
        <f t="shared" si="26"/>
        <v>-132650</v>
      </c>
      <c r="J297" s="765" t="str">
        <f t="shared" si="27"/>
        <v>Enganche por pagar</v>
      </c>
      <c r="K297" s="764">
        <f>'BOULEVARD 5'!I302</f>
        <v>1326500</v>
      </c>
      <c r="L297" s="766">
        <f>IF('BOULEVARD 5'!G302="","",'BOULEVARD 5'!G302)</f>
        <v>45300</v>
      </c>
      <c r="M297" s="764">
        <f t="shared" si="28"/>
        <v>0</v>
      </c>
      <c r="N297" s="767">
        <f>IF('B5-Status cobranza'!AM304&lt;0,'B5-Status cobranza'!AM304,0)</f>
        <v>0</v>
      </c>
      <c r="O297" s="777">
        <f>IF('B5-Status cobranza'!AP304&lt;0,'B5-Status cobranza'!AP304,0)</f>
        <v>0</v>
      </c>
      <c r="P297" s="777">
        <f>IF('B5-Status cobranza'!AP304&gt;0,'B5-Status cobranza'!AP304,0)</f>
        <v>0</v>
      </c>
      <c r="Q297" s="767">
        <f>'B5-Status cobranza'!AV304</f>
        <v>0</v>
      </c>
      <c r="R297" s="764">
        <f t="shared" si="30"/>
        <v>1326500</v>
      </c>
      <c r="S297" s="764">
        <f>IF('B5-Status cobranza'!AL304&lt;0,'B5-Status cobranza'!AL304,0)</f>
        <v>0</v>
      </c>
      <c r="T297" s="764">
        <v>0</v>
      </c>
      <c r="U297" s="778">
        <f t="shared" si="29"/>
        <v>0</v>
      </c>
      <c r="V297" s="764">
        <f>IF('B5-Status cobranza'!AL304&gt;0,'B5-Status cobranza'!AL304,0)</f>
        <v>0</v>
      </c>
    </row>
    <row r="298" spans="1:22" ht="12" customHeight="1" x14ac:dyDescent="0.25">
      <c r="A298" s="763" t="str">
        <f>"Apto"&amp;'BOULEVARD 5'!B303</f>
        <v>Apto1904</v>
      </c>
      <c r="B298" s="763">
        <v>1</v>
      </c>
      <c r="C298" s="763" t="str">
        <f>IF('BOULEVARD 5'!A303="","Cliente normal",'BOULEVARD 5'!A303)</f>
        <v>F&amp;F</v>
      </c>
      <c r="D298" s="763" t="s">
        <v>691</v>
      </c>
      <c r="E298" s="763" t="str">
        <f>IF('BOULEVARD 5'!F303="","No asignado",'BOULEVARD 5'!F303)</f>
        <v>International Coffee Industry, S.A</v>
      </c>
      <c r="F298" s="764">
        <f>'BOULEVARD 5'!AT303</f>
        <v>0</v>
      </c>
      <c r="G298" s="763" t="str">
        <f>'BOULEVARD 5'!BB303</f>
        <v>Cliente Atrasado</v>
      </c>
      <c r="H298" s="764">
        <f>'BOULEVARD PPTO'!BC298</f>
        <v>132200</v>
      </c>
      <c r="I298" s="764">
        <f t="shared" si="26"/>
        <v>-132200</v>
      </c>
      <c r="J298" s="765" t="str">
        <f t="shared" si="27"/>
        <v>Enganche por pagar</v>
      </c>
      <c r="K298" s="764">
        <f>'BOULEVARD 5'!I303</f>
        <v>1322000</v>
      </c>
      <c r="L298" s="766">
        <f>IF('BOULEVARD 5'!G303="","",'BOULEVARD 5'!G303)</f>
        <v>45300</v>
      </c>
      <c r="M298" s="764">
        <f t="shared" si="28"/>
        <v>0</v>
      </c>
      <c r="N298" s="767">
        <f>IF('B5-Status cobranza'!AM305&lt;0,'B5-Status cobranza'!AM305,0)</f>
        <v>0</v>
      </c>
      <c r="O298" s="777">
        <f>IF('B5-Status cobranza'!AP305&lt;0,'B5-Status cobranza'!AP305,0)</f>
        <v>0</v>
      </c>
      <c r="P298" s="777">
        <f>IF('B5-Status cobranza'!AP305&gt;0,'B5-Status cobranza'!AP305,0)</f>
        <v>0</v>
      </c>
      <c r="Q298" s="767">
        <f>'B5-Status cobranza'!AV305</f>
        <v>0</v>
      </c>
      <c r="R298" s="764">
        <f t="shared" si="30"/>
        <v>1322000</v>
      </c>
      <c r="S298" s="764">
        <f>IF('B5-Status cobranza'!AL305&lt;0,'B5-Status cobranza'!AL305,0)</f>
        <v>0</v>
      </c>
      <c r="T298" s="764">
        <v>0</v>
      </c>
      <c r="U298" s="778">
        <f t="shared" si="29"/>
        <v>0</v>
      </c>
      <c r="V298" s="764">
        <f>IF('B5-Status cobranza'!AL305&gt;0,'B5-Status cobranza'!AL305,0)</f>
        <v>0</v>
      </c>
    </row>
    <row r="299" spans="1:22" ht="12" customHeight="1" x14ac:dyDescent="0.25">
      <c r="A299" s="763" t="str">
        <f>"Apto"&amp;'BOULEVARD 5'!B304</f>
        <v>Apto1905</v>
      </c>
      <c r="B299" s="763">
        <v>1</v>
      </c>
      <c r="C299" s="763" t="str">
        <f>IF('BOULEVARD 5'!A304="","Cliente normal",'BOULEVARD 5'!A304)</f>
        <v>F&amp;F</v>
      </c>
      <c r="D299" s="763" t="s">
        <v>691</v>
      </c>
      <c r="E299" s="763" t="str">
        <f>IF('BOULEVARD 5'!F304="","No asignado",'BOULEVARD 5'!F304)</f>
        <v>International Coffee Industry, S.A</v>
      </c>
      <c r="F299" s="764">
        <f>'BOULEVARD 5'!AT304</f>
        <v>0</v>
      </c>
      <c r="G299" s="763" t="str">
        <f>'BOULEVARD 5'!BB304</f>
        <v>Cliente Atrasado</v>
      </c>
      <c r="H299" s="764">
        <f>'BOULEVARD PPTO'!BC299</f>
        <v>136500</v>
      </c>
      <c r="I299" s="764">
        <f t="shared" si="26"/>
        <v>-136500</v>
      </c>
      <c r="J299" s="765" t="str">
        <f t="shared" si="27"/>
        <v>Enganche por pagar</v>
      </c>
      <c r="K299" s="764">
        <f>'BOULEVARD 5'!I304</f>
        <v>1365000</v>
      </c>
      <c r="L299" s="766">
        <f>IF('BOULEVARD 5'!G304="","",'BOULEVARD 5'!G304)</f>
        <v>45300</v>
      </c>
      <c r="M299" s="764">
        <f t="shared" si="28"/>
        <v>0</v>
      </c>
      <c r="N299" s="767">
        <f>IF('B5-Status cobranza'!AM306&lt;0,'B5-Status cobranza'!AM306,0)</f>
        <v>0</v>
      </c>
      <c r="O299" s="777">
        <f>IF('B5-Status cobranza'!AP306&lt;0,'B5-Status cobranza'!AP306,0)</f>
        <v>0</v>
      </c>
      <c r="P299" s="777">
        <f>IF('B5-Status cobranza'!AP306&gt;0,'B5-Status cobranza'!AP306,0)</f>
        <v>0</v>
      </c>
      <c r="Q299" s="767">
        <f>'B5-Status cobranza'!AV306</f>
        <v>0</v>
      </c>
      <c r="R299" s="764">
        <f t="shared" si="30"/>
        <v>1365000</v>
      </c>
      <c r="S299" s="764">
        <f>IF('B5-Status cobranza'!AL306&lt;0,'B5-Status cobranza'!AL306,0)</f>
        <v>0</v>
      </c>
      <c r="T299" s="764">
        <v>0</v>
      </c>
      <c r="U299" s="778">
        <f t="shared" si="29"/>
        <v>0</v>
      </c>
      <c r="V299" s="764">
        <f>IF('B5-Status cobranza'!AL306&gt;0,'B5-Status cobranza'!AL306,0)</f>
        <v>0</v>
      </c>
    </row>
    <row r="300" spans="1:22" x14ac:dyDescent="0.25">
      <c r="S300" s="764"/>
      <c r="T300" s="764"/>
      <c r="U300" s="764"/>
    </row>
  </sheetData>
  <autoFilter ref="A1:V299" xr:uid="{A303EADE-F51B-43E0-A100-7BCA90CF4C10}"/>
  <conditionalFormatting sqref="A2:A299">
    <cfRule type="duplicateValues" dxfId="45" priority="2"/>
  </conditionalFormatting>
  <conditionalFormatting sqref="E2:E299">
    <cfRule type="duplicateValues" dxfId="44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08AC-91FE-4439-9BF0-5FF78F05FBB9}">
  <dimension ref="A1:BH341"/>
  <sheetViews>
    <sheetView showGridLines="0" zoomScale="80" zoomScaleNormal="80" workbookViewId="0">
      <pane xSplit="2" ySplit="1" topLeftCell="C239" activePane="bottomRight" state="frozen"/>
      <selection pane="topRight" activeCell="AK24" sqref="AK24"/>
      <selection pane="bottomLeft" activeCell="AK24" sqref="AK24"/>
      <selection pane="bottomRight" activeCell="I255" sqref="I255"/>
    </sheetView>
  </sheetViews>
  <sheetFormatPr defaultColWidth="11.42578125" defaultRowHeight="12.75" outlineLevelCol="1" x14ac:dyDescent="0.2"/>
  <cols>
    <col min="1" max="1" width="28.5703125" style="311" bestFit="1" customWidth="1"/>
    <col min="2" max="2" width="27.7109375" style="311" bestFit="1" customWidth="1"/>
    <col min="3" max="5" width="10.7109375" style="311" customWidth="1" outlineLevel="1"/>
    <col min="6" max="11" width="12.140625" style="311" customWidth="1" outlineLevel="1"/>
    <col min="12" max="12" width="12.140625" style="311" bestFit="1" customWidth="1"/>
    <col min="13" max="19" width="12.140625" style="311" customWidth="1" outlineLevel="1"/>
    <col min="20" max="23" width="13" style="311" customWidth="1" outlineLevel="1"/>
    <col min="24" max="24" width="13" style="311" bestFit="1" customWidth="1"/>
    <col min="25" max="29" width="13" style="311" customWidth="1" outlineLevel="1"/>
    <col min="30" max="30" width="13" style="311" bestFit="1" customWidth="1"/>
    <col min="31" max="35" width="13" style="311" customWidth="1" outlineLevel="1"/>
    <col min="36" max="36" width="13" style="311" bestFit="1" customWidth="1"/>
    <col min="37" max="47" width="13" style="311" customWidth="1" outlineLevel="1"/>
    <col min="48" max="48" width="13" style="311" customWidth="1"/>
    <col min="49" max="53" width="13" style="311" customWidth="1" outlineLevel="1"/>
    <col min="54" max="54" width="13" style="311" customWidth="1"/>
    <col min="55" max="55" width="15.140625" style="311" bestFit="1" customWidth="1"/>
    <col min="56" max="58" width="14.42578125" style="311" customWidth="1"/>
    <col min="59" max="59" width="11.5703125" style="311" bestFit="1" customWidth="1"/>
    <col min="60" max="60" width="12.28515625" style="311" bestFit="1" customWidth="1"/>
    <col min="61" max="16384" width="11.42578125" style="311"/>
  </cols>
  <sheetData>
    <row r="1" spans="1:60" s="313" customFormat="1" ht="24" x14ac:dyDescent="0.25">
      <c r="A1" s="718" t="s">
        <v>62</v>
      </c>
      <c r="B1" s="718" t="s">
        <v>68</v>
      </c>
      <c r="C1" s="719">
        <v>45016</v>
      </c>
      <c r="D1" s="719">
        <v>45046</v>
      </c>
      <c r="E1" s="719">
        <v>45077</v>
      </c>
      <c r="F1" s="719">
        <v>45107</v>
      </c>
      <c r="G1" s="719">
        <v>45138</v>
      </c>
      <c r="H1" s="719">
        <v>45169</v>
      </c>
      <c r="I1" s="719">
        <v>45199</v>
      </c>
      <c r="J1" s="719">
        <v>45230</v>
      </c>
      <c r="K1" s="719">
        <v>45260</v>
      </c>
      <c r="L1" s="719">
        <v>45291</v>
      </c>
      <c r="M1" s="719">
        <v>45322</v>
      </c>
      <c r="N1" s="719">
        <v>45351</v>
      </c>
      <c r="O1" s="719">
        <v>45382</v>
      </c>
      <c r="P1" s="719">
        <v>45412</v>
      </c>
      <c r="Q1" s="719">
        <v>45443</v>
      </c>
      <c r="R1" s="719">
        <v>45473</v>
      </c>
      <c r="S1" s="719">
        <v>45504</v>
      </c>
      <c r="T1" s="719">
        <v>45535</v>
      </c>
      <c r="U1" s="719">
        <v>45565</v>
      </c>
      <c r="V1" s="719">
        <v>45596</v>
      </c>
      <c r="W1" s="719">
        <v>45626</v>
      </c>
      <c r="X1" s="719">
        <v>45657</v>
      </c>
      <c r="Y1" s="719">
        <v>45688</v>
      </c>
      <c r="Z1" s="719">
        <v>45716</v>
      </c>
      <c r="AA1" s="719">
        <v>45747</v>
      </c>
      <c r="AB1" s="719">
        <v>45777</v>
      </c>
      <c r="AC1" s="719">
        <v>45808</v>
      </c>
      <c r="AD1" s="719">
        <v>45838</v>
      </c>
      <c r="AE1" s="719">
        <v>45869</v>
      </c>
      <c r="AF1" s="719">
        <v>45900</v>
      </c>
      <c r="AG1" s="719">
        <v>45930</v>
      </c>
      <c r="AH1" s="719">
        <v>45961</v>
      </c>
      <c r="AI1" s="719">
        <v>45991</v>
      </c>
      <c r="AJ1" s="719">
        <v>46022</v>
      </c>
      <c r="AK1" s="719">
        <v>46053</v>
      </c>
      <c r="AL1" s="719">
        <v>46081</v>
      </c>
      <c r="AM1" s="719">
        <v>46112</v>
      </c>
      <c r="AN1" s="719">
        <v>46142</v>
      </c>
      <c r="AO1" s="719">
        <v>46173</v>
      </c>
      <c r="AP1" s="719">
        <v>46203</v>
      </c>
      <c r="AQ1" s="719">
        <v>46234</v>
      </c>
      <c r="AR1" s="719">
        <v>46265</v>
      </c>
      <c r="AS1" s="719">
        <v>46295</v>
      </c>
      <c r="AT1" s="719">
        <v>46326</v>
      </c>
      <c r="AU1" s="719">
        <v>46356</v>
      </c>
      <c r="AV1" s="719">
        <v>46387</v>
      </c>
      <c r="AW1" s="719">
        <v>46418</v>
      </c>
      <c r="AX1" s="719">
        <v>46446</v>
      </c>
      <c r="AY1" s="719">
        <v>46477</v>
      </c>
      <c r="AZ1" s="719">
        <v>46507</v>
      </c>
      <c r="BA1" s="719">
        <v>46538</v>
      </c>
      <c r="BB1" s="719">
        <v>46568</v>
      </c>
      <c r="BC1" s="720" t="s">
        <v>328</v>
      </c>
      <c r="BD1" s="721" t="s">
        <v>890</v>
      </c>
      <c r="BE1" s="721" t="s">
        <v>891</v>
      </c>
      <c r="BF1" s="721" t="s">
        <v>892</v>
      </c>
      <c r="BG1" s="722" t="s">
        <v>893</v>
      </c>
      <c r="BH1" s="722" t="s">
        <v>894</v>
      </c>
    </row>
    <row r="2" spans="1:60" x14ac:dyDescent="0.2">
      <c r="A2" s="723">
        <v>101</v>
      </c>
      <c r="B2" s="723" t="str">
        <f>'BOULEVARD 5'!H7</f>
        <v>4.Plan de pagos</v>
      </c>
      <c r="C2" s="724">
        <v>6000</v>
      </c>
      <c r="D2" s="724">
        <v>1670</v>
      </c>
      <c r="E2" s="724">
        <v>1670</v>
      </c>
      <c r="F2" s="724">
        <v>1670</v>
      </c>
      <c r="G2" s="724">
        <v>1670</v>
      </c>
      <c r="H2" s="724">
        <v>1670</v>
      </c>
      <c r="I2" s="724">
        <v>1670</v>
      </c>
      <c r="J2" s="724">
        <v>1670</v>
      </c>
      <c r="K2" s="724">
        <v>1670</v>
      </c>
      <c r="L2" s="724">
        <v>1670</v>
      </c>
      <c r="M2" s="724">
        <v>1670</v>
      </c>
      <c r="N2" s="724">
        <v>1670</v>
      </c>
      <c r="O2" s="724">
        <v>1670</v>
      </c>
      <c r="P2" s="724">
        <v>1670</v>
      </c>
      <c r="Q2" s="724">
        <v>1670</v>
      </c>
      <c r="R2" s="724">
        <v>1670</v>
      </c>
      <c r="S2" s="724">
        <v>1670</v>
      </c>
      <c r="T2" s="724">
        <v>1670</v>
      </c>
      <c r="U2" s="724">
        <v>1670</v>
      </c>
      <c r="V2" s="724">
        <v>1670</v>
      </c>
      <c r="W2" s="724">
        <v>1670</v>
      </c>
      <c r="X2" s="724">
        <v>1670</v>
      </c>
      <c r="Y2" s="724">
        <v>1670</v>
      </c>
      <c r="Z2" s="724">
        <v>1670</v>
      </c>
      <c r="AA2" s="724">
        <v>1670</v>
      </c>
      <c r="AB2" s="724">
        <v>1670</v>
      </c>
      <c r="AC2" s="724">
        <v>1670</v>
      </c>
      <c r="AD2" s="724">
        <v>1670</v>
      </c>
      <c r="AE2" s="724">
        <v>1670</v>
      </c>
      <c r="AF2" s="724">
        <v>1670</v>
      </c>
      <c r="AG2" s="724">
        <v>1670</v>
      </c>
      <c r="AH2" s="724">
        <v>1670</v>
      </c>
      <c r="AI2" s="724">
        <v>1670</v>
      </c>
      <c r="AJ2" s="724">
        <v>1670</v>
      </c>
      <c r="AK2" s="724">
        <v>1670</v>
      </c>
      <c r="AL2" s="724">
        <v>1720</v>
      </c>
      <c r="AM2" s="724"/>
      <c r="AN2" s="724"/>
      <c r="AO2" s="724"/>
      <c r="AP2" s="724"/>
      <c r="AQ2" s="724"/>
      <c r="AR2" s="724"/>
      <c r="AS2" s="724"/>
      <c r="AT2" s="724"/>
      <c r="AU2" s="724"/>
      <c r="AV2" s="724"/>
      <c r="AW2" s="724"/>
      <c r="AX2" s="724"/>
      <c r="AY2" s="724"/>
      <c r="AZ2" s="724"/>
      <c r="BA2" s="724"/>
      <c r="BB2" s="724"/>
      <c r="BC2" s="725">
        <f>SUM(C2:BB2)</f>
        <v>64500</v>
      </c>
      <c r="BD2" s="724">
        <f>+BC2-'BOULEVARD 5 orig.'!I7</f>
        <v>0</v>
      </c>
      <c r="BE2" s="724">
        <f>SUM(C2:BB2)</f>
        <v>64500</v>
      </c>
      <c r="BF2" s="726">
        <f>VLOOKUP(A2,'BOULEVARD 5 orig.'!B7:AS304,42,0)</f>
        <v>0</v>
      </c>
      <c r="BG2" s="727">
        <f>COUNT(C2:BB2)</f>
        <v>36</v>
      </c>
      <c r="BH2" s="728">
        <f>IFERROR((+BC2/BG2),0)</f>
        <v>1791.6666666666667</v>
      </c>
    </row>
    <row r="3" spans="1:60" x14ac:dyDescent="0.2">
      <c r="A3" s="723">
        <v>102</v>
      </c>
      <c r="B3" s="723" t="str">
        <f>'BOULEVARD 5'!H8</f>
        <v>2.Reserva</v>
      </c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  <c r="Y3" s="724"/>
      <c r="Z3" s="724"/>
      <c r="AA3" s="724"/>
      <c r="AB3" s="724"/>
      <c r="AC3" s="724"/>
      <c r="AD3" s="724"/>
      <c r="AE3" s="724"/>
      <c r="AF3" s="724"/>
      <c r="AG3" s="724"/>
      <c r="AH3" s="724"/>
      <c r="AI3" s="724"/>
      <c r="AJ3" s="724"/>
      <c r="AK3" s="724"/>
      <c r="AL3" s="724"/>
      <c r="AM3" s="724"/>
      <c r="AN3" s="724"/>
      <c r="AO3" s="724"/>
      <c r="AP3" s="724"/>
      <c r="AQ3" s="724"/>
      <c r="AR3" s="724"/>
      <c r="AS3" s="724"/>
      <c r="AT3" s="724"/>
      <c r="AU3" s="724"/>
      <c r="AV3" s="724"/>
      <c r="AW3" s="724"/>
      <c r="AX3" s="724"/>
      <c r="AY3" s="724"/>
      <c r="AZ3" s="724"/>
      <c r="BA3" s="724"/>
      <c r="BB3" s="724"/>
      <c r="BC3" s="725">
        <f t="shared" ref="BC3:BC66" si="0">SUM(C3:BB3)</f>
        <v>0</v>
      </c>
      <c r="BD3" s="724">
        <f>+BC3-'BOULEVARD 5 orig.'!I8</f>
        <v>-122891.497824087</v>
      </c>
      <c r="BE3" s="724">
        <f t="shared" ref="BE3:BE66" si="1">SUM(C3:BB3)</f>
        <v>0</v>
      </c>
      <c r="BF3" s="726">
        <f>VLOOKUP(A3,'BOULEVARD 5 orig.'!B8:AS305,42,0)</f>
        <v>0</v>
      </c>
      <c r="BG3" s="727">
        <f>COUNT(C3:BB3)</f>
        <v>0</v>
      </c>
      <c r="BH3" s="728">
        <f>IFERROR((+BC3/BG3),0)</f>
        <v>0</v>
      </c>
    </row>
    <row r="4" spans="1:60" x14ac:dyDescent="0.2">
      <c r="A4" s="729">
        <v>103</v>
      </c>
      <c r="B4" s="723" t="str">
        <f>'BOULEVARD 5'!H9</f>
        <v>4.Plan de pagos</v>
      </c>
      <c r="C4" s="730"/>
      <c r="D4" s="730"/>
      <c r="E4" s="730"/>
      <c r="F4" s="730"/>
      <c r="G4" s="730"/>
      <c r="H4" s="730">
        <v>6000</v>
      </c>
      <c r="I4" s="730">
        <v>5261</v>
      </c>
      <c r="J4" s="730">
        <v>5261</v>
      </c>
      <c r="K4" s="730">
        <v>5261</v>
      </c>
      <c r="L4" s="730">
        <v>5261</v>
      </c>
      <c r="M4" s="730">
        <v>5261</v>
      </c>
      <c r="N4" s="730">
        <v>5261</v>
      </c>
      <c r="O4" s="730">
        <v>5261</v>
      </c>
      <c r="P4" s="730">
        <v>5261</v>
      </c>
      <c r="Q4" s="730">
        <v>5261</v>
      </c>
      <c r="R4" s="730">
        <v>5261</v>
      </c>
      <c r="S4" s="730">
        <v>5261</v>
      </c>
      <c r="T4" s="730">
        <v>5261</v>
      </c>
      <c r="U4" s="730">
        <v>5261</v>
      </c>
      <c r="V4" s="730">
        <v>5261</v>
      </c>
      <c r="W4" s="730">
        <v>5261</v>
      </c>
      <c r="X4" s="730">
        <v>5261</v>
      </c>
      <c r="Y4" s="730">
        <v>5261</v>
      </c>
      <c r="Z4" s="730">
        <v>5261</v>
      </c>
      <c r="AA4" s="730">
        <v>5261</v>
      </c>
      <c r="AB4" s="730">
        <v>5261</v>
      </c>
      <c r="AC4" s="730">
        <v>5261</v>
      </c>
      <c r="AD4" s="730">
        <v>5261</v>
      </c>
      <c r="AE4" s="730">
        <v>5261</v>
      </c>
      <c r="AF4" s="730">
        <v>5261</v>
      </c>
      <c r="AG4" s="730">
        <v>5261</v>
      </c>
      <c r="AH4" s="730">
        <v>5261</v>
      </c>
      <c r="AI4" s="730">
        <v>5261</v>
      </c>
      <c r="AJ4" s="730">
        <f>5261+12</f>
        <v>5273</v>
      </c>
      <c r="AK4" s="730"/>
      <c r="AL4" s="730"/>
      <c r="AM4" s="730"/>
      <c r="AN4" s="730"/>
      <c r="AO4" s="730"/>
      <c r="AP4" s="730"/>
      <c r="AQ4" s="730"/>
      <c r="AR4" s="730"/>
      <c r="AS4" s="730"/>
      <c r="AT4" s="730"/>
      <c r="AU4" s="730"/>
      <c r="AV4" s="730"/>
      <c r="AW4" s="730"/>
      <c r="AX4" s="730"/>
      <c r="AY4" s="730"/>
      <c r="AZ4" s="730"/>
      <c r="BA4" s="730"/>
      <c r="BB4" s="730"/>
      <c r="BC4" s="731">
        <f t="shared" si="0"/>
        <v>153320</v>
      </c>
      <c r="BD4" s="730">
        <f>+BC4-'BOULEVARD 5 orig.'!I9</f>
        <v>0</v>
      </c>
      <c r="BE4" s="730">
        <f t="shared" si="1"/>
        <v>153320</v>
      </c>
      <c r="BF4" s="732">
        <f>VLOOKUP(A4,'BOULEVARD 5 orig.'!B9:AS306,42,0)</f>
        <v>0</v>
      </c>
      <c r="BG4" s="733">
        <f>COUNT(C4:BB4)</f>
        <v>29</v>
      </c>
      <c r="BH4" s="734">
        <f>IFERROR((+BC4/BG4),0)</f>
        <v>5286.8965517241377</v>
      </c>
    </row>
    <row r="5" spans="1:60" x14ac:dyDescent="0.2">
      <c r="A5" s="723">
        <v>104</v>
      </c>
      <c r="B5" s="723" t="str">
        <f>'BOULEVARD 5'!H10</f>
        <v>4.Plan de pagos</v>
      </c>
      <c r="C5" s="724"/>
      <c r="D5" s="724"/>
      <c r="E5" s="724"/>
      <c r="F5" s="724"/>
      <c r="G5" s="724"/>
      <c r="H5" s="724">
        <v>100000</v>
      </c>
      <c r="I5" s="724">
        <v>1824</v>
      </c>
      <c r="J5" s="724">
        <v>1824</v>
      </c>
      <c r="K5" s="724">
        <v>1824</v>
      </c>
      <c r="L5" s="724">
        <v>1824</v>
      </c>
      <c r="M5" s="724">
        <v>1824</v>
      </c>
      <c r="N5" s="724">
        <v>1824</v>
      </c>
      <c r="O5" s="724">
        <v>1824</v>
      </c>
      <c r="P5" s="724">
        <v>1824</v>
      </c>
      <c r="Q5" s="724">
        <v>1824</v>
      </c>
      <c r="R5" s="724">
        <v>1824</v>
      </c>
      <c r="S5" s="724">
        <v>1824</v>
      </c>
      <c r="T5" s="724">
        <v>1824</v>
      </c>
      <c r="U5" s="724">
        <v>1824</v>
      </c>
      <c r="V5" s="724">
        <v>1824</v>
      </c>
      <c r="W5" s="724">
        <v>1824</v>
      </c>
      <c r="X5" s="724">
        <v>1824</v>
      </c>
      <c r="Y5" s="724">
        <v>1824</v>
      </c>
      <c r="Z5" s="724">
        <v>1824</v>
      </c>
      <c r="AA5" s="724">
        <v>1824</v>
      </c>
      <c r="AB5" s="724">
        <v>1824</v>
      </c>
      <c r="AC5" s="724">
        <v>1824</v>
      </c>
      <c r="AD5" s="724">
        <v>1824</v>
      </c>
      <c r="AE5" s="724">
        <v>1824</v>
      </c>
      <c r="AF5" s="724">
        <v>1824</v>
      </c>
      <c r="AG5" s="724">
        <v>1824</v>
      </c>
      <c r="AH5" s="724"/>
      <c r="AI5" s="724"/>
      <c r="AJ5" s="724"/>
      <c r="AK5" s="724"/>
      <c r="AL5" s="724"/>
      <c r="AM5" s="724"/>
      <c r="AN5" s="724"/>
      <c r="AO5" s="724"/>
      <c r="AP5" s="724"/>
      <c r="AQ5" s="724"/>
      <c r="AR5" s="724"/>
      <c r="AS5" s="724"/>
      <c r="AT5" s="724"/>
      <c r="AU5" s="724"/>
      <c r="AV5" s="724"/>
      <c r="AW5" s="724"/>
      <c r="AX5" s="724"/>
      <c r="AY5" s="724"/>
      <c r="AZ5" s="724"/>
      <c r="BA5" s="724"/>
      <c r="BB5" s="724"/>
      <c r="BC5" s="725">
        <f t="shared" si="0"/>
        <v>145600</v>
      </c>
      <c r="BD5" s="724">
        <f>+BC5-'BOULEVARD 5 orig.'!I10</f>
        <v>0</v>
      </c>
      <c r="BE5" s="724">
        <f t="shared" si="1"/>
        <v>145600</v>
      </c>
      <c r="BF5" s="726">
        <f>VLOOKUP(A5,'BOULEVARD 5 orig.'!B10:AS307,42,0)</f>
        <v>0</v>
      </c>
      <c r="BG5" s="727">
        <f>COUNT(C5:BB5)</f>
        <v>26</v>
      </c>
      <c r="BH5" s="728">
        <f t="shared" ref="BH5:BH65" si="2">IFERROR((+BC5/BG5),0)</f>
        <v>5600</v>
      </c>
    </row>
    <row r="6" spans="1:60" x14ac:dyDescent="0.2">
      <c r="A6" s="723">
        <v>105</v>
      </c>
      <c r="B6" s="723" t="str">
        <f>'BOULEVARD 5'!H11</f>
        <v>2.Reserva</v>
      </c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  <c r="Y6" s="724"/>
      <c r="Z6" s="724"/>
      <c r="AA6" s="724"/>
      <c r="AB6" s="724"/>
      <c r="AC6" s="724"/>
      <c r="AD6" s="724"/>
      <c r="AE6" s="724"/>
      <c r="AF6" s="724"/>
      <c r="AG6" s="724"/>
      <c r="AH6" s="724"/>
      <c r="AI6" s="724"/>
      <c r="AJ6" s="724"/>
      <c r="AK6" s="724"/>
      <c r="AL6" s="724"/>
      <c r="AM6" s="724"/>
      <c r="AN6" s="724"/>
      <c r="AO6" s="724"/>
      <c r="AP6" s="724"/>
      <c r="AQ6" s="724"/>
      <c r="AR6" s="724"/>
      <c r="AS6" s="724"/>
      <c r="AT6" s="724"/>
      <c r="AU6" s="724"/>
      <c r="AV6" s="724"/>
      <c r="AW6" s="724"/>
      <c r="AX6" s="724"/>
      <c r="AY6" s="724"/>
      <c r="AZ6" s="724"/>
      <c r="BA6" s="724"/>
      <c r="BB6" s="724"/>
      <c r="BC6" s="725">
        <f t="shared" si="0"/>
        <v>0</v>
      </c>
      <c r="BD6" s="724">
        <f>+BC6-'BOULEVARD 5 orig.'!I11</f>
        <v>-118460.34211337201</v>
      </c>
      <c r="BE6" s="724">
        <f t="shared" si="1"/>
        <v>0</v>
      </c>
      <c r="BF6" s="726">
        <f>VLOOKUP(A6,'BOULEVARD 5 orig.'!B11:AS308,42,0)</f>
        <v>0</v>
      </c>
      <c r="BG6" s="727">
        <f t="shared" ref="BG6:BG66" si="3">COUNT(C6:BB6)</f>
        <v>0</v>
      </c>
      <c r="BH6" s="728">
        <f t="shared" ref="BH6:BH13" si="4">IFERROR((+BC6/BG6),0)</f>
        <v>0</v>
      </c>
    </row>
    <row r="7" spans="1:60" x14ac:dyDescent="0.2">
      <c r="A7" s="723">
        <v>106</v>
      </c>
      <c r="B7" s="723" t="str">
        <f>'BOULEVARD 5'!H12</f>
        <v>2.Reserva</v>
      </c>
      <c r="C7" s="724"/>
      <c r="D7" s="724"/>
      <c r="E7" s="724"/>
      <c r="F7" s="724"/>
      <c r="G7" s="724"/>
      <c r="H7" s="724"/>
      <c r="I7" s="724"/>
      <c r="J7" s="724"/>
      <c r="K7" s="724"/>
      <c r="L7" s="724"/>
      <c r="M7" s="724"/>
      <c r="N7" s="724"/>
      <c r="O7" s="724"/>
      <c r="P7" s="724"/>
      <c r="Q7" s="724"/>
      <c r="R7" s="724"/>
      <c r="S7" s="724"/>
      <c r="T7" s="724"/>
      <c r="U7" s="724"/>
      <c r="V7" s="724"/>
      <c r="W7" s="724"/>
      <c r="X7" s="724"/>
      <c r="Y7" s="724"/>
      <c r="Z7" s="724"/>
      <c r="AA7" s="724"/>
      <c r="AB7" s="724"/>
      <c r="AC7" s="724"/>
      <c r="AD7" s="724"/>
      <c r="AE7" s="724"/>
      <c r="AF7" s="724"/>
      <c r="AG7" s="724"/>
      <c r="AH7" s="724"/>
      <c r="AI7" s="724"/>
      <c r="AJ7" s="724"/>
      <c r="AK7" s="724"/>
      <c r="AL7" s="724"/>
      <c r="AM7" s="724"/>
      <c r="AN7" s="724"/>
      <c r="AO7" s="724"/>
      <c r="AP7" s="724"/>
      <c r="AQ7" s="724"/>
      <c r="AR7" s="724"/>
      <c r="AS7" s="724"/>
      <c r="AT7" s="724"/>
      <c r="AU7" s="724"/>
      <c r="AV7" s="724"/>
      <c r="AW7" s="724"/>
      <c r="AX7" s="724"/>
      <c r="AY7" s="724"/>
      <c r="AZ7" s="724"/>
      <c r="BA7" s="724"/>
      <c r="BB7" s="724"/>
      <c r="BC7" s="725">
        <f t="shared" si="0"/>
        <v>0</v>
      </c>
      <c r="BD7" s="724">
        <f>+BC7-'BOULEVARD 5 orig.'!I12</f>
        <v>-138231.01310761899</v>
      </c>
      <c r="BE7" s="724">
        <f t="shared" si="1"/>
        <v>0</v>
      </c>
      <c r="BF7" s="726">
        <f>VLOOKUP(A7,'BOULEVARD 5 orig.'!B12:AS309,42,0)</f>
        <v>0</v>
      </c>
      <c r="BG7" s="727">
        <f t="shared" si="3"/>
        <v>0</v>
      </c>
      <c r="BH7" s="728">
        <f t="shared" si="4"/>
        <v>0</v>
      </c>
    </row>
    <row r="8" spans="1:60" x14ac:dyDescent="0.2">
      <c r="A8" s="723">
        <v>107</v>
      </c>
      <c r="B8" s="723" t="str">
        <f>'BOULEVARD 5'!H13</f>
        <v>1.Disponible</v>
      </c>
      <c r="C8" s="724"/>
      <c r="D8" s="724"/>
      <c r="E8" s="724"/>
      <c r="F8" s="724"/>
      <c r="G8" s="724"/>
      <c r="H8" s="724"/>
      <c r="I8" s="724"/>
      <c r="J8" s="724"/>
      <c r="K8" s="724"/>
      <c r="L8" s="724"/>
      <c r="M8" s="724"/>
      <c r="N8" s="724"/>
      <c r="O8" s="724"/>
      <c r="P8" s="724"/>
      <c r="Q8" s="724"/>
      <c r="R8" s="724"/>
      <c r="S8" s="724"/>
      <c r="T8" s="724"/>
      <c r="U8" s="724"/>
      <c r="V8" s="724"/>
      <c r="W8" s="724"/>
      <c r="X8" s="724"/>
      <c r="Y8" s="724"/>
      <c r="Z8" s="724"/>
      <c r="AA8" s="724"/>
      <c r="AB8" s="724"/>
      <c r="AC8" s="724"/>
      <c r="AD8" s="724"/>
      <c r="AE8" s="724"/>
      <c r="AF8" s="724"/>
      <c r="AG8" s="724"/>
      <c r="AH8" s="724"/>
      <c r="AI8" s="724"/>
      <c r="AJ8" s="724"/>
      <c r="AK8" s="724"/>
      <c r="AL8" s="724"/>
      <c r="AM8" s="724"/>
      <c r="AN8" s="724"/>
      <c r="AO8" s="724"/>
      <c r="AP8" s="724"/>
      <c r="AQ8" s="724"/>
      <c r="AR8" s="724"/>
      <c r="AS8" s="724"/>
      <c r="AT8" s="724"/>
      <c r="AU8" s="724"/>
      <c r="AV8" s="724"/>
      <c r="AW8" s="724"/>
      <c r="AX8" s="724"/>
      <c r="AY8" s="724"/>
      <c r="AZ8" s="724"/>
      <c r="BA8" s="724"/>
      <c r="BB8" s="724"/>
      <c r="BC8" s="725">
        <f t="shared" si="0"/>
        <v>0</v>
      </c>
      <c r="BD8" s="724">
        <f>+BC8-'BOULEVARD 5 orig.'!I13</f>
        <v>-113117.23351232501</v>
      </c>
      <c r="BE8" s="724">
        <f t="shared" si="1"/>
        <v>0</v>
      </c>
      <c r="BF8" s="726">
        <f>VLOOKUP(A8,'BOULEVARD 5 orig.'!B13:AS313,42,0)</f>
        <v>0</v>
      </c>
      <c r="BG8" s="727">
        <f t="shared" si="3"/>
        <v>0</v>
      </c>
      <c r="BH8" s="728">
        <f t="shared" si="4"/>
        <v>0</v>
      </c>
    </row>
    <row r="9" spans="1:60" x14ac:dyDescent="0.2">
      <c r="A9" s="723">
        <v>108</v>
      </c>
      <c r="B9" s="723" t="str">
        <f>'BOULEVARD 5'!H14</f>
        <v>1.Disponible</v>
      </c>
      <c r="C9" s="724"/>
      <c r="D9" s="724"/>
      <c r="E9" s="724"/>
      <c r="F9" s="724"/>
      <c r="G9" s="724"/>
      <c r="H9" s="724"/>
      <c r="I9" s="724"/>
      <c r="J9" s="724"/>
      <c r="K9" s="724"/>
      <c r="L9" s="724"/>
      <c r="M9" s="724"/>
      <c r="N9" s="724"/>
      <c r="O9" s="724"/>
      <c r="P9" s="724"/>
      <c r="Q9" s="724"/>
      <c r="R9" s="724"/>
      <c r="S9" s="724"/>
      <c r="T9" s="724"/>
      <c r="U9" s="724"/>
      <c r="V9" s="724"/>
      <c r="W9" s="724"/>
      <c r="X9" s="724"/>
      <c r="Y9" s="724"/>
      <c r="Z9" s="724"/>
      <c r="AA9" s="724"/>
      <c r="AB9" s="724"/>
      <c r="AC9" s="724"/>
      <c r="AD9" s="724"/>
      <c r="AE9" s="724"/>
      <c r="AF9" s="724"/>
      <c r="AG9" s="724"/>
      <c r="AH9" s="724"/>
      <c r="AI9" s="724"/>
      <c r="AJ9" s="724"/>
      <c r="AK9" s="724"/>
      <c r="AL9" s="724"/>
      <c r="AM9" s="724"/>
      <c r="AN9" s="724"/>
      <c r="AO9" s="724"/>
      <c r="AP9" s="724"/>
      <c r="AQ9" s="724"/>
      <c r="AR9" s="724"/>
      <c r="AS9" s="724"/>
      <c r="AT9" s="724"/>
      <c r="AU9" s="724"/>
      <c r="AV9" s="724"/>
      <c r="AW9" s="724"/>
      <c r="AX9" s="724"/>
      <c r="AY9" s="724"/>
      <c r="AZ9" s="724"/>
      <c r="BA9" s="724"/>
      <c r="BB9" s="724"/>
      <c r="BC9" s="725">
        <f t="shared" si="0"/>
        <v>0</v>
      </c>
      <c r="BD9" s="724">
        <f>+BC9-'BOULEVARD 5 orig.'!I14</f>
        <v>-131519.97517107401</v>
      </c>
      <c r="BE9" s="724">
        <f t="shared" si="1"/>
        <v>0</v>
      </c>
      <c r="BF9" s="726">
        <f>VLOOKUP(A9,'BOULEVARD 5 orig.'!B14:AS312,42,0)</f>
        <v>0</v>
      </c>
      <c r="BG9" s="727">
        <f t="shared" si="3"/>
        <v>0</v>
      </c>
      <c r="BH9" s="728">
        <f t="shared" si="4"/>
        <v>0</v>
      </c>
    </row>
    <row r="10" spans="1:60" x14ac:dyDescent="0.2">
      <c r="A10" s="723">
        <v>109</v>
      </c>
      <c r="B10" s="723" t="str">
        <f>'BOULEVARD 5'!H15</f>
        <v>4.Plan de pagos</v>
      </c>
      <c r="C10" s="724"/>
      <c r="D10" s="724"/>
      <c r="E10" s="724"/>
      <c r="F10" s="724"/>
      <c r="G10" s="724"/>
      <c r="H10" s="724"/>
      <c r="I10" s="724"/>
      <c r="J10" s="724"/>
      <c r="K10" s="724"/>
      <c r="L10" s="724"/>
      <c r="M10" s="724"/>
      <c r="N10" s="724"/>
      <c r="O10" s="724"/>
      <c r="P10" s="724"/>
      <c r="Q10" s="724"/>
      <c r="R10" s="724">
        <v>5000</v>
      </c>
      <c r="S10" s="724">
        <v>5000</v>
      </c>
      <c r="T10" s="724">
        <v>7704</v>
      </c>
      <c r="U10" s="724">
        <v>7704</v>
      </c>
      <c r="V10" s="724">
        <v>7704</v>
      </c>
      <c r="W10" s="724">
        <v>7704</v>
      </c>
      <c r="X10" s="724">
        <v>7704</v>
      </c>
      <c r="Y10" s="724">
        <v>7704</v>
      </c>
      <c r="Z10" s="724">
        <v>7704</v>
      </c>
      <c r="AA10" s="724">
        <v>7704</v>
      </c>
      <c r="AB10" s="724">
        <v>7704</v>
      </c>
      <c r="AC10" s="724">
        <v>7704</v>
      </c>
      <c r="AD10" s="724">
        <v>7704</v>
      </c>
      <c r="AE10" s="724">
        <v>7704</v>
      </c>
      <c r="AF10" s="724">
        <v>7704</v>
      </c>
      <c r="AG10" s="724">
        <v>7704</v>
      </c>
      <c r="AH10" s="724">
        <v>7704</v>
      </c>
      <c r="AI10" s="724">
        <v>7704</v>
      </c>
      <c r="AJ10" s="724">
        <v>7704</v>
      </c>
      <c r="AK10" s="724">
        <v>7708</v>
      </c>
      <c r="AL10" s="724"/>
      <c r="AM10" s="724"/>
      <c r="AN10" s="724"/>
      <c r="AO10" s="724"/>
      <c r="AP10" s="724"/>
      <c r="AQ10" s="724"/>
      <c r="AR10" s="724"/>
      <c r="AS10" s="724"/>
      <c r="AT10" s="724"/>
      <c r="AU10" s="724"/>
      <c r="AV10" s="724"/>
      <c r="AW10" s="724"/>
      <c r="AX10" s="724"/>
      <c r="AY10" s="724"/>
      <c r="AZ10" s="724"/>
      <c r="BA10" s="724"/>
      <c r="BB10" s="724"/>
      <c r="BC10" s="725">
        <f t="shared" si="0"/>
        <v>148676</v>
      </c>
      <c r="BD10" s="724">
        <f>+BC10-'BOULEVARD 5 orig.'!I15</f>
        <v>0</v>
      </c>
      <c r="BE10" s="724">
        <f t="shared" si="1"/>
        <v>148676</v>
      </c>
      <c r="BF10" s="726">
        <f>VLOOKUP(A10,'BOULEVARD 5 orig.'!B15:AS312,42,0)</f>
        <v>0</v>
      </c>
      <c r="BG10" s="727">
        <f t="shared" si="3"/>
        <v>20</v>
      </c>
      <c r="BH10" s="728">
        <f t="shared" si="4"/>
        <v>7433.8</v>
      </c>
    </row>
    <row r="11" spans="1:60" x14ac:dyDescent="0.2">
      <c r="A11" s="723">
        <v>110</v>
      </c>
      <c r="B11" s="723" t="str">
        <f>'BOULEVARD 5'!H16</f>
        <v>4.Plan de pagos</v>
      </c>
      <c r="C11" s="724"/>
      <c r="D11" s="724"/>
      <c r="E11" s="724"/>
      <c r="F11" s="724"/>
      <c r="G11" s="724">
        <v>6000</v>
      </c>
      <c r="H11" s="724">
        <v>2388</v>
      </c>
      <c r="I11" s="724">
        <v>2388</v>
      </c>
      <c r="J11" s="724">
        <v>2388</v>
      </c>
      <c r="K11" s="724">
        <v>2388</v>
      </c>
      <c r="L11" s="724">
        <v>2388</v>
      </c>
      <c r="M11" s="724">
        <v>2388</v>
      </c>
      <c r="N11" s="724">
        <v>2388</v>
      </c>
      <c r="O11" s="724">
        <v>2388</v>
      </c>
      <c r="P11" s="724">
        <v>2388</v>
      </c>
      <c r="Q11" s="724">
        <v>2388</v>
      </c>
      <c r="R11" s="724">
        <v>2388</v>
      </c>
      <c r="S11" s="724">
        <v>2388</v>
      </c>
      <c r="T11" s="724">
        <v>2388</v>
      </c>
      <c r="U11" s="724">
        <v>2388</v>
      </c>
      <c r="V11" s="724">
        <v>2388</v>
      </c>
      <c r="W11" s="724">
        <v>2388</v>
      </c>
      <c r="X11" s="724">
        <v>2388</v>
      </c>
      <c r="Y11" s="724">
        <v>2388</v>
      </c>
      <c r="Z11" s="724">
        <v>2388</v>
      </c>
      <c r="AA11" s="724">
        <v>2388</v>
      </c>
      <c r="AB11" s="724">
        <v>2388</v>
      </c>
      <c r="AC11" s="724">
        <v>2388</v>
      </c>
      <c r="AD11" s="724">
        <v>2388</v>
      </c>
      <c r="AE11" s="724">
        <v>2388</v>
      </c>
      <c r="AF11" s="724">
        <v>2388</v>
      </c>
      <c r="AG11" s="724">
        <v>2400</v>
      </c>
      <c r="AH11" s="724"/>
      <c r="AI11" s="724"/>
      <c r="AJ11" s="724"/>
      <c r="AK11" s="724"/>
      <c r="AL11" s="724"/>
      <c r="AM11" s="724"/>
      <c r="AN11" s="724"/>
      <c r="AO11" s="724"/>
      <c r="AP11" s="724"/>
      <c r="AQ11" s="724"/>
      <c r="AR11" s="724"/>
      <c r="AS11" s="724"/>
      <c r="AT11" s="724"/>
      <c r="AU11" s="724"/>
      <c r="AV11" s="724"/>
      <c r="AW11" s="724"/>
      <c r="AX11" s="724"/>
      <c r="AY11" s="724"/>
      <c r="AZ11" s="724"/>
      <c r="BA11" s="724"/>
      <c r="BB11" s="724"/>
      <c r="BC11" s="725">
        <f t="shared" si="0"/>
        <v>68100</v>
      </c>
      <c r="BD11" s="724">
        <f>+BC11-'BOULEVARD 5 orig.'!I16</f>
        <v>0</v>
      </c>
      <c r="BE11" s="724">
        <f t="shared" si="1"/>
        <v>68100</v>
      </c>
      <c r="BF11" s="726">
        <f>VLOOKUP(A11,'BOULEVARD 5 orig.'!B16:AS314,42,0)</f>
        <v>0</v>
      </c>
      <c r="BG11" s="727">
        <f t="shared" si="3"/>
        <v>27</v>
      </c>
      <c r="BH11" s="728">
        <f t="shared" si="4"/>
        <v>2522.2222222222222</v>
      </c>
    </row>
    <row r="12" spans="1:60" x14ac:dyDescent="0.2">
      <c r="A12" s="723">
        <v>111</v>
      </c>
      <c r="B12" s="723" t="str">
        <f>'BOULEVARD 5'!H17</f>
        <v>4.Plan de pagos</v>
      </c>
      <c r="C12" s="724">
        <v>6000</v>
      </c>
      <c r="D12" s="724">
        <v>1000</v>
      </c>
      <c r="E12" s="724">
        <v>1820</v>
      </c>
      <c r="F12" s="724">
        <v>1820</v>
      </c>
      <c r="G12" s="724">
        <v>1820</v>
      </c>
      <c r="H12" s="724">
        <v>1820</v>
      </c>
      <c r="I12" s="724">
        <v>1820</v>
      </c>
      <c r="J12" s="724">
        <v>1820</v>
      </c>
      <c r="K12" s="724">
        <v>1820</v>
      </c>
      <c r="L12" s="724">
        <v>1820</v>
      </c>
      <c r="M12" s="724">
        <v>1820</v>
      </c>
      <c r="N12" s="724">
        <v>1820</v>
      </c>
      <c r="O12" s="724">
        <v>1820</v>
      </c>
      <c r="P12" s="724">
        <v>1820</v>
      </c>
      <c r="Q12" s="724">
        <v>1820</v>
      </c>
      <c r="R12" s="724">
        <v>1820</v>
      </c>
      <c r="S12" s="724">
        <v>1820</v>
      </c>
      <c r="T12" s="724">
        <v>1820</v>
      </c>
      <c r="U12" s="724">
        <v>1820</v>
      </c>
      <c r="V12" s="724">
        <v>1820</v>
      </c>
      <c r="W12" s="724">
        <v>1820</v>
      </c>
      <c r="X12" s="724">
        <v>1820</v>
      </c>
      <c r="Y12" s="724">
        <v>1820</v>
      </c>
      <c r="Z12" s="724">
        <v>1820</v>
      </c>
      <c r="AA12" s="724">
        <v>1820</v>
      </c>
      <c r="AB12" s="724">
        <v>1820</v>
      </c>
      <c r="AC12" s="724">
        <v>1820</v>
      </c>
      <c r="AD12" s="724">
        <v>1820</v>
      </c>
      <c r="AE12" s="724">
        <v>1820</v>
      </c>
      <c r="AF12" s="724">
        <v>1820</v>
      </c>
      <c r="AG12" s="724">
        <v>1820</v>
      </c>
      <c r="AH12" s="724">
        <v>1820</v>
      </c>
      <c r="AI12" s="724">
        <v>1820</v>
      </c>
      <c r="AJ12" s="724">
        <v>1820</v>
      </c>
      <c r="AK12" s="724">
        <v>1820</v>
      </c>
      <c r="AL12" s="724">
        <v>2640</v>
      </c>
      <c r="AM12" s="724"/>
      <c r="AN12" s="724"/>
      <c r="AO12" s="724"/>
      <c r="AP12" s="724"/>
      <c r="AQ12" s="724"/>
      <c r="AR12" s="724"/>
      <c r="AS12" s="724"/>
      <c r="AT12" s="724"/>
      <c r="AU12" s="724"/>
      <c r="AV12" s="724"/>
      <c r="AW12" s="724"/>
      <c r="AX12" s="724"/>
      <c r="AY12" s="724"/>
      <c r="AZ12" s="724"/>
      <c r="BA12" s="724"/>
      <c r="BB12" s="724"/>
      <c r="BC12" s="725">
        <f t="shared" si="0"/>
        <v>69700</v>
      </c>
      <c r="BD12" s="724">
        <f>+BC12-'BOULEVARD 5 orig.'!I17</f>
        <v>0</v>
      </c>
      <c r="BE12" s="724">
        <f t="shared" si="1"/>
        <v>69700</v>
      </c>
      <c r="BF12" s="726">
        <f>VLOOKUP(A12,'BOULEVARD 5 orig.'!B17:AS315,42,0)</f>
        <v>0</v>
      </c>
      <c r="BG12" s="727">
        <f t="shared" si="3"/>
        <v>36</v>
      </c>
      <c r="BH12" s="728">
        <f t="shared" si="4"/>
        <v>1936.1111111111111</v>
      </c>
    </row>
    <row r="13" spans="1:60" x14ac:dyDescent="0.2">
      <c r="A13" s="723">
        <v>112</v>
      </c>
      <c r="B13" s="723" t="str">
        <f>'BOULEVARD 5'!H18</f>
        <v>4.Plan de pagos</v>
      </c>
      <c r="C13" s="724">
        <v>6000</v>
      </c>
      <c r="D13" s="724">
        <v>1800</v>
      </c>
      <c r="E13" s="724">
        <v>1800</v>
      </c>
      <c r="F13" s="724">
        <v>1800</v>
      </c>
      <c r="G13" s="724">
        <v>1800</v>
      </c>
      <c r="H13" s="724">
        <v>1800</v>
      </c>
      <c r="I13" s="724">
        <v>1800</v>
      </c>
      <c r="J13" s="724">
        <v>1800</v>
      </c>
      <c r="K13" s="724">
        <v>1800</v>
      </c>
      <c r="L13" s="724">
        <v>1800</v>
      </c>
      <c r="M13" s="724">
        <v>1800</v>
      </c>
      <c r="N13" s="724">
        <v>1800</v>
      </c>
      <c r="O13" s="724">
        <v>1800</v>
      </c>
      <c r="P13" s="724">
        <v>1800</v>
      </c>
      <c r="Q13" s="724">
        <v>1800</v>
      </c>
      <c r="R13" s="724">
        <v>1800</v>
      </c>
      <c r="S13" s="724">
        <v>1800</v>
      </c>
      <c r="T13" s="724">
        <v>1800</v>
      </c>
      <c r="U13" s="724">
        <v>1800</v>
      </c>
      <c r="V13" s="724">
        <v>1800</v>
      </c>
      <c r="W13" s="724">
        <v>1800</v>
      </c>
      <c r="X13" s="724">
        <v>1800</v>
      </c>
      <c r="Y13" s="724">
        <v>1800</v>
      </c>
      <c r="Z13" s="724">
        <v>1800</v>
      </c>
      <c r="AA13" s="724">
        <v>1800</v>
      </c>
      <c r="AB13" s="724">
        <v>1800</v>
      </c>
      <c r="AC13" s="724">
        <v>1800</v>
      </c>
      <c r="AD13" s="724">
        <v>1800</v>
      </c>
      <c r="AE13" s="724">
        <v>1800</v>
      </c>
      <c r="AF13" s="724">
        <v>1800</v>
      </c>
      <c r="AG13" s="724">
        <v>1800</v>
      </c>
      <c r="AH13" s="724">
        <v>1800</v>
      </c>
      <c r="AI13" s="724">
        <v>1800</v>
      </c>
      <c r="AJ13" s="724">
        <v>1800</v>
      </c>
      <c r="AK13" s="724">
        <v>1800</v>
      </c>
      <c r="AL13" s="724">
        <v>2700</v>
      </c>
      <c r="AM13" s="724"/>
      <c r="AN13" s="724"/>
      <c r="AO13" s="724"/>
      <c r="AP13" s="724"/>
      <c r="AQ13" s="724"/>
      <c r="AR13" s="724"/>
      <c r="AS13" s="724"/>
      <c r="AT13" s="724"/>
      <c r="AU13" s="724"/>
      <c r="AV13" s="724"/>
      <c r="AW13" s="724"/>
      <c r="AX13" s="724"/>
      <c r="AY13" s="724"/>
      <c r="AZ13" s="724"/>
      <c r="BA13" s="724"/>
      <c r="BB13" s="724"/>
      <c r="BC13" s="725">
        <f t="shared" si="0"/>
        <v>69900</v>
      </c>
      <c r="BD13" s="724">
        <f>+BC13-'BOULEVARD 5 orig.'!I18</f>
        <v>0</v>
      </c>
      <c r="BE13" s="724">
        <f t="shared" si="1"/>
        <v>69900</v>
      </c>
      <c r="BF13" s="726">
        <f>VLOOKUP(A13,'BOULEVARD 5 orig.'!B18:AS316,42,0)</f>
        <v>0</v>
      </c>
      <c r="BG13" s="727">
        <f t="shared" si="3"/>
        <v>36</v>
      </c>
      <c r="BH13" s="728">
        <f t="shared" si="4"/>
        <v>1941.6666666666667</v>
      </c>
    </row>
    <row r="14" spans="1:60" x14ac:dyDescent="0.2">
      <c r="A14" s="723">
        <v>113</v>
      </c>
      <c r="B14" s="723" t="str">
        <f>'BOULEVARD 5'!H19</f>
        <v>4.Plan de pagos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4"/>
      <c r="P14" s="724"/>
      <c r="Q14" s="724"/>
      <c r="R14" s="724"/>
      <c r="S14" s="724"/>
      <c r="T14" s="724"/>
      <c r="U14" s="724"/>
      <c r="V14" s="724"/>
      <c r="W14" s="724">
        <v>10000</v>
      </c>
      <c r="X14" s="724">
        <v>470006.24</v>
      </c>
      <c r="Y14" s="724"/>
      <c r="Z14" s="724"/>
      <c r="AA14" s="724"/>
      <c r="AB14" s="724"/>
      <c r="AC14" s="724"/>
      <c r="AD14" s="724"/>
      <c r="AE14" s="724"/>
      <c r="AF14" s="724"/>
      <c r="AG14" s="724"/>
      <c r="AH14" s="724"/>
      <c r="AI14" s="724"/>
      <c r="AJ14" s="724"/>
      <c r="AK14" s="724"/>
      <c r="AL14" s="724"/>
      <c r="AM14" s="724"/>
      <c r="AN14" s="724"/>
      <c r="AO14" s="724"/>
      <c r="AP14" s="724"/>
      <c r="AQ14" s="724"/>
      <c r="AR14" s="724"/>
      <c r="AS14" s="724"/>
      <c r="AT14" s="724"/>
      <c r="AU14" s="724"/>
      <c r="AV14" s="724"/>
      <c r="AW14" s="724"/>
      <c r="AX14" s="724"/>
      <c r="AY14" s="724"/>
      <c r="AZ14" s="724"/>
      <c r="BA14" s="724"/>
      <c r="BB14" s="724"/>
      <c r="BC14" s="725">
        <f t="shared" si="0"/>
        <v>480006.24</v>
      </c>
      <c r="BD14" s="724">
        <f>+BC14-'BOULEVARD 5 orig.'!I19</f>
        <v>0.20000000001164153</v>
      </c>
      <c r="BE14" s="724">
        <f t="shared" si="1"/>
        <v>480006.24</v>
      </c>
      <c r="BF14" s="726">
        <f>VLOOKUP(A14,'BOULEVARD 5 orig.'!B19:AS317,42,0)</f>
        <v>0</v>
      </c>
      <c r="BG14" s="727">
        <f t="shared" si="3"/>
        <v>2</v>
      </c>
      <c r="BH14" s="728">
        <f t="shared" si="2"/>
        <v>240003.12</v>
      </c>
    </row>
    <row r="15" spans="1:60" x14ac:dyDescent="0.2">
      <c r="A15" s="729">
        <v>114</v>
      </c>
      <c r="B15" s="723" t="str">
        <f>'BOULEVARD 5'!H20</f>
        <v>4.Plan de pagos</v>
      </c>
      <c r="C15" s="724">
        <v>6000</v>
      </c>
      <c r="D15" s="724">
        <v>2669</v>
      </c>
      <c r="E15" s="724">
        <v>2669</v>
      </c>
      <c r="F15" s="724">
        <v>2669</v>
      </c>
      <c r="G15" s="724">
        <v>2669</v>
      </c>
      <c r="H15" s="724">
        <v>2669</v>
      </c>
      <c r="I15" s="724">
        <v>2669</v>
      </c>
      <c r="J15" s="724">
        <v>2669</v>
      </c>
      <c r="K15" s="724">
        <v>2669</v>
      </c>
      <c r="L15" s="724">
        <v>2669</v>
      </c>
      <c r="M15" s="724">
        <v>2669</v>
      </c>
      <c r="N15" s="724">
        <v>2669</v>
      </c>
      <c r="O15" s="724">
        <v>2669</v>
      </c>
      <c r="P15" s="724">
        <v>2669</v>
      </c>
      <c r="Q15" s="724">
        <v>2669</v>
      </c>
      <c r="R15" s="724">
        <v>2669</v>
      </c>
      <c r="S15" s="724">
        <v>2669</v>
      </c>
      <c r="T15" s="724">
        <v>2669</v>
      </c>
      <c r="U15" s="724">
        <v>2669</v>
      </c>
      <c r="V15" s="724">
        <v>2669</v>
      </c>
      <c r="W15" s="724">
        <v>2669</v>
      </c>
      <c r="X15" s="724">
        <v>2669</v>
      </c>
      <c r="Y15" s="724">
        <v>2669</v>
      </c>
      <c r="Z15" s="724">
        <v>2669</v>
      </c>
      <c r="AA15" s="724">
        <v>2669</v>
      </c>
      <c r="AB15" s="724">
        <v>2669</v>
      </c>
      <c r="AC15" s="724">
        <v>2669</v>
      </c>
      <c r="AD15" s="724">
        <v>2669</v>
      </c>
      <c r="AE15" s="724">
        <v>2669</v>
      </c>
      <c r="AF15" s="724">
        <v>2669</v>
      </c>
      <c r="AG15" s="724">
        <v>2669</v>
      </c>
      <c r="AH15" s="724">
        <v>2669</v>
      </c>
      <c r="AI15" s="724">
        <v>2669</v>
      </c>
      <c r="AJ15" s="724">
        <v>2669</v>
      </c>
      <c r="AK15" s="724">
        <v>2669</v>
      </c>
      <c r="AL15" s="724">
        <v>2679.75</v>
      </c>
      <c r="AM15" s="724"/>
      <c r="AN15" s="724"/>
      <c r="AO15" s="724"/>
      <c r="AP15" s="724"/>
      <c r="AQ15" s="724"/>
      <c r="AR15" s="724"/>
      <c r="AS15" s="724"/>
      <c r="AT15" s="724"/>
      <c r="AU15" s="724"/>
      <c r="AV15" s="724"/>
      <c r="AW15" s="724"/>
      <c r="AX15" s="724"/>
      <c r="AY15" s="724"/>
      <c r="AZ15" s="724"/>
      <c r="BA15" s="724"/>
      <c r="BB15" s="724"/>
      <c r="BC15" s="725">
        <f t="shared" si="0"/>
        <v>99425.75</v>
      </c>
      <c r="BD15" s="724">
        <f>+BC15-'BOULEVARD 5 orig.'!I20</f>
        <v>0</v>
      </c>
      <c r="BE15" s="724">
        <f t="shared" si="1"/>
        <v>99425.75</v>
      </c>
      <c r="BF15" s="726">
        <f>VLOOKUP(A15,'BOULEVARD 5 orig.'!B20:AS318,42,0)</f>
        <v>0</v>
      </c>
      <c r="BG15" s="727">
        <f t="shared" si="3"/>
        <v>36</v>
      </c>
      <c r="BH15" s="728">
        <f t="shared" si="2"/>
        <v>2761.8263888888887</v>
      </c>
    </row>
    <row r="16" spans="1:60" x14ac:dyDescent="0.2">
      <c r="A16" s="723">
        <v>201</v>
      </c>
      <c r="B16" s="723" t="str">
        <f>'BOULEVARD 5'!H21</f>
        <v>1.Disponible</v>
      </c>
      <c r="C16" s="724"/>
      <c r="D16" s="724"/>
      <c r="E16" s="724"/>
      <c r="F16" s="724"/>
      <c r="G16" s="724"/>
      <c r="H16" s="724"/>
      <c r="I16" s="724"/>
      <c r="J16" s="724"/>
      <c r="K16" s="724"/>
      <c r="L16" s="724"/>
      <c r="M16" s="724"/>
      <c r="N16" s="724"/>
      <c r="O16" s="724"/>
      <c r="P16" s="724"/>
      <c r="Q16" s="724"/>
      <c r="R16" s="724"/>
      <c r="S16" s="724"/>
      <c r="T16" s="724"/>
      <c r="U16" s="724"/>
      <c r="V16" s="724"/>
      <c r="W16" s="724"/>
      <c r="X16" s="724"/>
      <c r="Y16" s="724"/>
      <c r="Z16" s="724"/>
      <c r="AA16" s="724"/>
      <c r="AB16" s="724"/>
      <c r="AC16" s="724"/>
      <c r="AD16" s="724"/>
      <c r="AE16" s="724"/>
      <c r="AF16" s="724"/>
      <c r="AG16" s="724"/>
      <c r="AH16" s="724"/>
      <c r="AI16" s="724"/>
      <c r="AJ16" s="724"/>
      <c r="AK16" s="724"/>
      <c r="AL16" s="724"/>
      <c r="AM16" s="724"/>
      <c r="AN16" s="724"/>
      <c r="AO16" s="724"/>
      <c r="AP16" s="724"/>
      <c r="AQ16" s="724"/>
      <c r="AR16" s="724"/>
      <c r="AS16" s="724"/>
      <c r="AT16" s="724"/>
      <c r="AU16" s="724"/>
      <c r="AV16" s="724"/>
      <c r="AW16" s="724"/>
      <c r="AX16" s="724"/>
      <c r="AY16" s="724"/>
      <c r="AZ16" s="724"/>
      <c r="BA16" s="724"/>
      <c r="BB16" s="724"/>
      <c r="BC16" s="725">
        <f t="shared" si="0"/>
        <v>0</v>
      </c>
      <c r="BD16" s="724">
        <f>+BC16-'BOULEVARD 5 orig.'!I21</f>
        <v>-132993.12984007201</v>
      </c>
      <c r="BE16" s="724">
        <f t="shared" si="1"/>
        <v>0</v>
      </c>
      <c r="BF16" s="726">
        <f>VLOOKUP(A16,'BOULEVARD 5 orig.'!B21:AS319,42,0)</f>
        <v>0</v>
      </c>
      <c r="BG16" s="727">
        <f t="shared" si="3"/>
        <v>0</v>
      </c>
      <c r="BH16" s="728">
        <f t="shared" si="2"/>
        <v>0</v>
      </c>
    </row>
    <row r="17" spans="1:60" x14ac:dyDescent="0.2">
      <c r="A17" s="723">
        <v>202</v>
      </c>
      <c r="B17" s="723" t="str">
        <f>'BOULEVARD 5'!H22</f>
        <v>4.Plan de pagos</v>
      </c>
      <c r="C17" s="724"/>
      <c r="D17" s="724"/>
      <c r="E17" s="724"/>
      <c r="F17" s="724"/>
      <c r="G17" s="724"/>
      <c r="H17" s="724"/>
      <c r="I17" s="724"/>
      <c r="J17" s="724"/>
      <c r="K17" s="724"/>
      <c r="L17" s="724"/>
      <c r="M17" s="724"/>
      <c r="N17" s="724"/>
      <c r="O17" s="724"/>
      <c r="P17" s="724"/>
      <c r="Q17" s="724"/>
      <c r="R17" s="724"/>
      <c r="S17" s="724"/>
      <c r="T17" s="724"/>
      <c r="U17" s="724"/>
      <c r="V17" s="724"/>
      <c r="W17" s="724"/>
      <c r="X17" s="724"/>
      <c r="Y17" s="724"/>
      <c r="Z17" s="724"/>
      <c r="AA17" s="724">
        <v>10000</v>
      </c>
      <c r="AB17" s="724">
        <v>8731</v>
      </c>
      <c r="AC17" s="724">
        <v>8731</v>
      </c>
      <c r="AD17" s="724">
        <v>8731</v>
      </c>
      <c r="AE17" s="724">
        <v>8731</v>
      </c>
      <c r="AF17" s="724">
        <v>8731</v>
      </c>
      <c r="AG17" s="724">
        <v>8731</v>
      </c>
      <c r="AH17" s="724">
        <v>8731</v>
      </c>
      <c r="AI17" s="724">
        <v>8731</v>
      </c>
      <c r="AJ17" s="724">
        <v>8731</v>
      </c>
      <c r="AK17" s="724">
        <v>8731</v>
      </c>
      <c r="AL17" s="724">
        <v>8731</v>
      </c>
      <c r="AM17" s="724">
        <v>8731</v>
      </c>
      <c r="AN17" s="724">
        <v>8731</v>
      </c>
      <c r="AO17" s="724">
        <v>8727.19</v>
      </c>
      <c r="AP17" s="724"/>
      <c r="AQ17" s="724"/>
      <c r="AR17" s="724"/>
      <c r="AS17" s="724"/>
      <c r="AT17" s="724"/>
      <c r="AU17" s="724"/>
      <c r="AV17" s="724"/>
      <c r="AW17" s="724"/>
      <c r="AX17" s="724"/>
      <c r="AY17" s="724"/>
      <c r="AZ17" s="724"/>
      <c r="BA17" s="724"/>
      <c r="BB17" s="724"/>
      <c r="BC17" s="725">
        <f t="shared" si="0"/>
        <v>132230.19</v>
      </c>
      <c r="BD17" s="724">
        <f>+BC17-'BOULEVARD 5 orig.'!I22</f>
        <v>0</v>
      </c>
      <c r="BE17" s="724">
        <f t="shared" si="1"/>
        <v>132230.19</v>
      </c>
      <c r="BF17" s="726">
        <f>VLOOKUP(A17,'BOULEVARD 5 orig.'!B22:AS320,42,0)</f>
        <v>0</v>
      </c>
      <c r="BG17" s="727">
        <f t="shared" si="3"/>
        <v>15</v>
      </c>
      <c r="BH17" s="728">
        <f t="shared" si="2"/>
        <v>8815.3459999999995</v>
      </c>
    </row>
    <row r="18" spans="1:60" x14ac:dyDescent="0.2">
      <c r="A18" s="723">
        <v>203</v>
      </c>
      <c r="B18" s="723" t="str">
        <f>'BOULEVARD 5'!H23</f>
        <v>1.Disponible</v>
      </c>
      <c r="C18" s="724"/>
      <c r="D18" s="724"/>
      <c r="E18" s="724"/>
      <c r="F18" s="724"/>
      <c r="G18" s="724"/>
      <c r="H18" s="724"/>
      <c r="I18" s="724"/>
      <c r="J18" s="724"/>
      <c r="K18" s="724"/>
      <c r="L18" s="724"/>
      <c r="M18" s="724"/>
      <c r="N18" s="724"/>
      <c r="O18" s="724"/>
      <c r="P18" s="724"/>
      <c r="Q18" s="724"/>
      <c r="R18" s="724"/>
      <c r="S18" s="724"/>
      <c r="T18" s="724"/>
      <c r="U18" s="724"/>
      <c r="V18" s="724"/>
      <c r="W18" s="724"/>
      <c r="X18" s="724"/>
      <c r="Y18" s="724"/>
      <c r="Z18" s="724"/>
      <c r="AA18" s="724"/>
      <c r="AB18" s="724"/>
      <c r="AC18" s="724"/>
      <c r="AD18" s="724"/>
      <c r="AE18" s="724"/>
      <c r="AF18" s="724"/>
      <c r="AG18" s="724"/>
      <c r="AH18" s="724"/>
      <c r="AI18" s="724"/>
      <c r="AJ18" s="724"/>
      <c r="AK18" s="724"/>
      <c r="AL18" s="724"/>
      <c r="AM18" s="724"/>
      <c r="AN18" s="724"/>
      <c r="AO18" s="724"/>
      <c r="AP18" s="724"/>
      <c r="AQ18" s="724"/>
      <c r="AR18" s="724"/>
      <c r="AS18" s="724"/>
      <c r="AT18" s="724"/>
      <c r="AU18" s="724"/>
      <c r="AV18" s="724"/>
      <c r="AW18" s="724"/>
      <c r="AX18" s="724"/>
      <c r="AY18" s="724"/>
      <c r="AZ18" s="724"/>
      <c r="BA18" s="724"/>
      <c r="BB18" s="724"/>
      <c r="BC18" s="725">
        <f t="shared" si="0"/>
        <v>0</v>
      </c>
      <c r="BD18" s="724">
        <f>+BC18-'BOULEVARD 5 orig.'!I23</f>
        <v>-127392.80375713599</v>
      </c>
      <c r="BE18" s="724">
        <f t="shared" si="1"/>
        <v>0</v>
      </c>
      <c r="BF18" s="726">
        <f>VLOOKUP(A18,'BOULEVARD 5 orig.'!B23:AS321,42,0)</f>
        <v>0</v>
      </c>
      <c r="BG18" s="727">
        <f t="shared" si="3"/>
        <v>0</v>
      </c>
      <c r="BH18" s="728">
        <f t="shared" si="2"/>
        <v>0</v>
      </c>
    </row>
    <row r="19" spans="1:60" x14ac:dyDescent="0.2">
      <c r="A19" s="723">
        <v>204</v>
      </c>
      <c r="B19" s="723" t="str">
        <f>'BOULEVARD 5'!H24</f>
        <v>4.Plan de pagos</v>
      </c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>
        <v>10000</v>
      </c>
      <c r="W19" s="724">
        <v>4821</v>
      </c>
      <c r="X19" s="724">
        <v>4821</v>
      </c>
      <c r="Y19" s="724">
        <v>4821</v>
      </c>
      <c r="Z19" s="724">
        <v>4821</v>
      </c>
      <c r="AA19" s="724">
        <v>4821</v>
      </c>
      <c r="AB19" s="724">
        <v>4821</v>
      </c>
      <c r="AC19" s="724">
        <v>4821</v>
      </c>
      <c r="AD19" s="724">
        <v>4821</v>
      </c>
      <c r="AE19" s="724">
        <v>4821</v>
      </c>
      <c r="AF19" s="724">
        <v>4821</v>
      </c>
      <c r="AG19" s="724">
        <v>4821</v>
      </c>
      <c r="AH19" s="724">
        <v>4821</v>
      </c>
      <c r="AI19" s="724">
        <v>4821</v>
      </c>
      <c r="AJ19" s="724">
        <v>4821</v>
      </c>
      <c r="AK19" s="724">
        <v>4821</v>
      </c>
      <c r="AL19" s="724">
        <v>4821</v>
      </c>
      <c r="AM19" s="724">
        <v>4821</v>
      </c>
      <c r="AN19" s="724">
        <v>4821</v>
      </c>
      <c r="AO19" s="724">
        <v>4817</v>
      </c>
      <c r="AP19" s="724"/>
      <c r="AQ19" s="724"/>
      <c r="AR19" s="724"/>
      <c r="AS19" s="724"/>
      <c r="AT19" s="724"/>
      <c r="AU19" s="724"/>
      <c r="AV19" s="724"/>
      <c r="AW19" s="724"/>
      <c r="AX19" s="724"/>
      <c r="AY19" s="724"/>
      <c r="AZ19" s="724"/>
      <c r="BA19" s="724"/>
      <c r="BB19" s="724"/>
      <c r="BC19" s="725">
        <f t="shared" si="0"/>
        <v>101595</v>
      </c>
      <c r="BD19" s="724">
        <f>+BC19-'BOULEVARD 5 orig.'!I24</f>
        <v>0</v>
      </c>
      <c r="BE19" s="724">
        <f t="shared" si="1"/>
        <v>101595</v>
      </c>
      <c r="BF19" s="726">
        <f>VLOOKUP(A19,'BOULEVARD 5 orig.'!B24:AS322,42,0)</f>
        <v>0</v>
      </c>
      <c r="BG19" s="727">
        <f t="shared" si="3"/>
        <v>20</v>
      </c>
      <c r="BH19" s="728">
        <f t="shared" si="2"/>
        <v>5079.75</v>
      </c>
    </row>
    <row r="20" spans="1:60" x14ac:dyDescent="0.2">
      <c r="A20" s="723">
        <v>205</v>
      </c>
      <c r="B20" s="723" t="str">
        <f>'BOULEVARD 5'!H25</f>
        <v>4.Plan de pagos</v>
      </c>
      <c r="C20" s="724"/>
      <c r="D20" s="724"/>
      <c r="E20" s="724"/>
      <c r="F20" s="724"/>
      <c r="G20" s="724"/>
      <c r="H20" s="724"/>
      <c r="I20" s="724"/>
      <c r="J20" s="724"/>
      <c r="K20" s="724"/>
      <c r="L20" s="724"/>
      <c r="M20" s="724"/>
      <c r="N20" s="724"/>
      <c r="O20" s="724"/>
      <c r="P20" s="724"/>
      <c r="Q20" s="724"/>
      <c r="R20" s="724"/>
      <c r="S20" s="724"/>
      <c r="T20" s="724"/>
      <c r="U20" s="724"/>
      <c r="V20" s="724"/>
      <c r="W20" s="724"/>
      <c r="X20" s="724"/>
      <c r="Y20" s="724">
        <v>10000</v>
      </c>
      <c r="Z20" s="724">
        <v>7903</v>
      </c>
      <c r="AA20" s="724">
        <v>7903</v>
      </c>
      <c r="AB20" s="724">
        <v>7903</v>
      </c>
      <c r="AC20" s="724">
        <v>7903</v>
      </c>
      <c r="AD20" s="724">
        <v>7903</v>
      </c>
      <c r="AE20" s="724">
        <v>7903</v>
      </c>
      <c r="AF20" s="724">
        <v>7903</v>
      </c>
      <c r="AG20" s="724">
        <v>7903</v>
      </c>
      <c r="AH20" s="724">
        <v>7903</v>
      </c>
      <c r="AI20" s="724">
        <v>7903</v>
      </c>
      <c r="AJ20" s="724">
        <v>7903</v>
      </c>
      <c r="AK20" s="724">
        <v>7903</v>
      </c>
      <c r="AL20" s="724">
        <v>7903</v>
      </c>
      <c r="AM20" s="724">
        <v>7903</v>
      </c>
      <c r="AN20" s="724">
        <v>7903</v>
      </c>
      <c r="AO20" s="724">
        <v>7910.82</v>
      </c>
      <c r="AP20" s="724"/>
      <c r="AQ20" s="724"/>
      <c r="AR20" s="724"/>
      <c r="AS20" s="724"/>
      <c r="AT20" s="724"/>
      <c r="AU20" s="724"/>
      <c r="AV20" s="724"/>
      <c r="AW20" s="724"/>
      <c r="AX20" s="724"/>
      <c r="AY20" s="724"/>
      <c r="AZ20" s="724"/>
      <c r="BA20" s="724"/>
      <c r="BB20" s="724"/>
      <c r="BC20" s="725">
        <f t="shared" si="0"/>
        <v>136455.82</v>
      </c>
      <c r="BD20" s="724">
        <f>+BC20-'BOULEVARD 5 orig.'!I25</f>
        <v>0</v>
      </c>
      <c r="BE20" s="724">
        <f t="shared" si="1"/>
        <v>136455.82</v>
      </c>
      <c r="BF20" s="726">
        <f>VLOOKUP(A20,'BOULEVARD 5 orig.'!B25:AS323,42,0)</f>
        <v>0</v>
      </c>
      <c r="BG20" s="727">
        <f t="shared" si="3"/>
        <v>17</v>
      </c>
      <c r="BH20" s="728">
        <f t="shared" si="2"/>
        <v>8026.8129411764712</v>
      </c>
    </row>
    <row r="21" spans="1:60" x14ac:dyDescent="0.2">
      <c r="A21" s="723">
        <v>206</v>
      </c>
      <c r="B21" s="723" t="str">
        <f>'BOULEVARD 5'!H26</f>
        <v>1.Disponible</v>
      </c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724"/>
      <c r="AB21" s="724"/>
      <c r="AC21" s="724"/>
      <c r="AD21" s="724"/>
      <c r="AE21" s="724"/>
      <c r="AF21" s="724"/>
      <c r="AG21" s="724"/>
      <c r="AH21" s="724"/>
      <c r="AI21" s="724"/>
      <c r="AJ21" s="724"/>
      <c r="AK21" s="724"/>
      <c r="AL21" s="724"/>
      <c r="AM21" s="724"/>
      <c r="AN21" s="724"/>
      <c r="AO21" s="724"/>
      <c r="AP21" s="724"/>
      <c r="AQ21" s="724"/>
      <c r="AR21" s="724"/>
      <c r="AS21" s="724"/>
      <c r="AT21" s="724"/>
      <c r="AU21" s="724"/>
      <c r="AV21" s="724"/>
      <c r="AW21" s="724"/>
      <c r="AX21" s="724"/>
      <c r="AY21" s="724"/>
      <c r="AZ21" s="724"/>
      <c r="BA21" s="724"/>
      <c r="BB21" s="724"/>
      <c r="BC21" s="725">
        <f t="shared" si="0"/>
        <v>0</v>
      </c>
      <c r="BD21" s="724">
        <f>+BC21-'BOULEVARD 5 orig.'!I26</f>
        <v>-102123.44825209501</v>
      </c>
      <c r="BE21" s="724">
        <f t="shared" si="1"/>
        <v>0</v>
      </c>
      <c r="BF21" s="726">
        <f>VLOOKUP(A21,'BOULEVARD 5 orig.'!B26:AS324,42,0)</f>
        <v>0</v>
      </c>
      <c r="BG21" s="727">
        <f t="shared" si="3"/>
        <v>0</v>
      </c>
      <c r="BH21" s="728">
        <f t="shared" si="2"/>
        <v>0</v>
      </c>
    </row>
    <row r="22" spans="1:60" x14ac:dyDescent="0.2">
      <c r="A22" s="723">
        <v>207</v>
      </c>
      <c r="B22" s="723" t="str">
        <f>'BOULEVARD 5'!H27</f>
        <v>1.Disponible</v>
      </c>
      <c r="C22" s="724"/>
      <c r="D22" s="724"/>
      <c r="E22" s="724"/>
      <c r="F22" s="724"/>
      <c r="G22" s="724"/>
      <c r="H22" s="724"/>
      <c r="I22" s="724"/>
      <c r="J22" s="724"/>
      <c r="K22" s="724"/>
      <c r="L22" s="724"/>
      <c r="M22" s="724"/>
      <c r="N22" s="724"/>
      <c r="O22" s="724"/>
      <c r="P22" s="724"/>
      <c r="Q22" s="724"/>
      <c r="R22" s="724"/>
      <c r="S22" s="724"/>
      <c r="T22" s="724"/>
      <c r="U22" s="724"/>
      <c r="V22" s="724"/>
      <c r="W22" s="724"/>
      <c r="X22" s="724"/>
      <c r="Y22" s="724"/>
      <c r="Z22" s="724"/>
      <c r="AA22" s="724"/>
      <c r="AB22" s="724"/>
      <c r="AC22" s="724"/>
      <c r="AD22" s="724"/>
      <c r="AE22" s="724"/>
      <c r="AF22" s="724"/>
      <c r="AG22" s="724"/>
      <c r="AH22" s="724"/>
      <c r="AI22" s="724"/>
      <c r="AJ22" s="724"/>
      <c r="AK22" s="724"/>
      <c r="AL22" s="724"/>
      <c r="AM22" s="724"/>
      <c r="AN22" s="724"/>
      <c r="AO22" s="724"/>
      <c r="AP22" s="724"/>
      <c r="AQ22" s="724"/>
      <c r="AR22" s="724"/>
      <c r="AS22" s="724"/>
      <c r="AT22" s="724"/>
      <c r="AU22" s="724"/>
      <c r="AV22" s="724"/>
      <c r="AW22" s="724"/>
      <c r="AX22" s="724"/>
      <c r="AY22" s="724"/>
      <c r="AZ22" s="724"/>
      <c r="BA22" s="724"/>
      <c r="BB22" s="724"/>
      <c r="BC22" s="725">
        <f t="shared" si="0"/>
        <v>0</v>
      </c>
      <c r="BD22" s="724">
        <f>+BC22-'BOULEVARD 5 orig.'!I27</f>
        <v>-141422.84822378101</v>
      </c>
      <c r="BE22" s="724">
        <f t="shared" si="1"/>
        <v>0</v>
      </c>
      <c r="BF22" s="726">
        <f>VLOOKUP(A22,'BOULEVARD 5 orig.'!B27:AS325,42,0)</f>
        <v>0</v>
      </c>
      <c r="BG22" s="727">
        <f t="shared" si="3"/>
        <v>0</v>
      </c>
      <c r="BH22" s="728">
        <f t="shared" si="2"/>
        <v>0</v>
      </c>
    </row>
    <row r="23" spans="1:60" x14ac:dyDescent="0.2">
      <c r="A23" s="723">
        <v>208</v>
      </c>
      <c r="B23" s="723" t="str">
        <f>'BOULEVARD 5'!H28</f>
        <v>1.Disponible</v>
      </c>
      <c r="C23" s="724"/>
      <c r="D23" s="724"/>
      <c r="E23" s="724"/>
      <c r="F23" s="724"/>
      <c r="G23" s="724"/>
      <c r="H23" s="724"/>
      <c r="I23" s="724"/>
      <c r="J23" s="724"/>
      <c r="K23" s="724"/>
      <c r="L23" s="724"/>
      <c r="M23" s="724"/>
      <c r="N23" s="724"/>
      <c r="O23" s="724"/>
      <c r="P23" s="724"/>
      <c r="Q23" s="724"/>
      <c r="R23" s="724"/>
      <c r="S23" s="724"/>
      <c r="T23" s="724"/>
      <c r="U23" s="724"/>
      <c r="V23" s="724"/>
      <c r="W23" s="724"/>
      <c r="X23" s="724"/>
      <c r="Y23" s="724"/>
      <c r="Z23" s="724"/>
      <c r="AA23" s="724"/>
      <c r="AB23" s="724"/>
      <c r="AC23" s="724"/>
      <c r="AD23" s="724"/>
      <c r="AE23" s="724"/>
      <c r="AF23" s="724"/>
      <c r="AG23" s="724"/>
      <c r="AH23" s="724"/>
      <c r="AI23" s="724"/>
      <c r="AJ23" s="724"/>
      <c r="AK23" s="724"/>
      <c r="AL23" s="724"/>
      <c r="AM23" s="724"/>
      <c r="AN23" s="724"/>
      <c r="AO23" s="724"/>
      <c r="AP23" s="724"/>
      <c r="AQ23" s="724"/>
      <c r="AR23" s="724"/>
      <c r="AS23" s="724"/>
      <c r="AT23" s="724"/>
      <c r="AU23" s="724"/>
      <c r="AV23" s="724"/>
      <c r="AW23" s="724"/>
      <c r="AX23" s="724"/>
      <c r="AY23" s="724"/>
      <c r="AZ23" s="724"/>
      <c r="BA23" s="724"/>
      <c r="BB23" s="724"/>
      <c r="BC23" s="725">
        <f t="shared" si="0"/>
        <v>0</v>
      </c>
      <c r="BD23" s="724">
        <f>+BC23-'BOULEVARD 5 orig.'!I28</f>
        <v>-141446.231631225</v>
      </c>
      <c r="BE23" s="724">
        <f t="shared" si="1"/>
        <v>0</v>
      </c>
      <c r="BF23" s="726">
        <f>VLOOKUP(A23,'BOULEVARD 5 orig.'!B28:AS326,42,0)</f>
        <v>0</v>
      </c>
      <c r="BG23" s="727">
        <f t="shared" si="3"/>
        <v>0</v>
      </c>
      <c r="BH23" s="728">
        <f t="shared" si="2"/>
        <v>0</v>
      </c>
    </row>
    <row r="24" spans="1:60" x14ac:dyDescent="0.2">
      <c r="A24" s="735">
        <v>209</v>
      </c>
      <c r="B24" s="735" t="str">
        <f>'BOULEVARD 5'!H29</f>
        <v>4.Plan de pagos</v>
      </c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4"/>
      <c r="P24" s="724"/>
      <c r="Q24" s="724"/>
      <c r="R24" s="724"/>
      <c r="S24" s="724"/>
      <c r="T24" s="724"/>
      <c r="U24" s="724"/>
      <c r="V24" s="724"/>
      <c r="W24" s="724"/>
      <c r="X24" s="724"/>
      <c r="Y24" s="724"/>
      <c r="Z24" s="724"/>
      <c r="AA24" s="724"/>
      <c r="AB24" s="724"/>
      <c r="AC24" s="724"/>
      <c r="AD24" s="724">
        <v>15000</v>
      </c>
      <c r="AE24" s="724">
        <v>185104</v>
      </c>
      <c r="AF24" s="724"/>
      <c r="AG24" s="724"/>
      <c r="AH24" s="724"/>
      <c r="AI24" s="724"/>
      <c r="AJ24" s="724"/>
      <c r="AK24" s="724"/>
      <c r="AL24" s="724"/>
      <c r="AM24" s="724"/>
      <c r="AN24" s="724"/>
      <c r="AO24" s="724"/>
      <c r="AP24" s="724"/>
      <c r="AQ24" s="724"/>
      <c r="AR24" s="724"/>
      <c r="AS24" s="724"/>
      <c r="AT24" s="724"/>
      <c r="AU24" s="724"/>
      <c r="AV24" s="724"/>
      <c r="AW24" s="724"/>
      <c r="AX24" s="724"/>
      <c r="AY24" s="724"/>
      <c r="AZ24" s="724"/>
      <c r="BA24" s="724"/>
      <c r="BB24" s="724"/>
      <c r="BC24" s="725">
        <f t="shared" si="0"/>
        <v>200104</v>
      </c>
      <c r="BD24" s="724">
        <f>+BC24-'BOULEVARD 5 orig.'!I29</f>
        <v>71862.88688757598</v>
      </c>
      <c r="BE24" s="724">
        <f t="shared" si="1"/>
        <v>200104</v>
      </c>
      <c r="BF24" s="726">
        <f>VLOOKUP(A24,'BOULEVARD 5 orig.'!B29:AS327,42,0)</f>
        <v>0</v>
      </c>
      <c r="BG24" s="727">
        <f t="shared" si="3"/>
        <v>2</v>
      </c>
      <c r="BH24" s="728">
        <f t="shared" si="2"/>
        <v>100052</v>
      </c>
    </row>
    <row r="25" spans="1:60" x14ac:dyDescent="0.2">
      <c r="A25" s="723">
        <v>210</v>
      </c>
      <c r="B25" s="723" t="str">
        <f>'BOULEVARD 5'!H30</f>
        <v>4.Plan de pagos</v>
      </c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4"/>
      <c r="P25" s="724"/>
      <c r="Q25" s="724"/>
      <c r="R25" s="724"/>
      <c r="S25" s="724"/>
      <c r="T25" s="724"/>
      <c r="U25" s="724"/>
      <c r="V25" s="724"/>
      <c r="W25" s="724"/>
      <c r="X25" s="724"/>
      <c r="Y25" s="724"/>
      <c r="Z25" s="724"/>
      <c r="AA25" s="724"/>
      <c r="AB25" s="724"/>
      <c r="AC25" s="724"/>
      <c r="AD25" s="724"/>
      <c r="AE25" s="724">
        <v>15000</v>
      </c>
      <c r="AF25" s="724">
        <v>8731.66</v>
      </c>
      <c r="AG25" s="724">
        <v>8731.66</v>
      </c>
      <c r="AH25" s="724">
        <v>8731.66</v>
      </c>
      <c r="AI25" s="724">
        <v>8731.66</v>
      </c>
      <c r="AJ25" s="724">
        <v>8731.66</v>
      </c>
      <c r="AK25" s="724">
        <v>8731.66</v>
      </c>
      <c r="AL25" s="724">
        <v>8731.66</v>
      </c>
      <c r="AM25" s="724">
        <v>8731.66</v>
      </c>
      <c r="AN25" s="724">
        <v>8731.66</v>
      </c>
      <c r="AO25" s="724">
        <v>8731.66</v>
      </c>
      <c r="AP25" s="724">
        <v>8731.66</v>
      </c>
      <c r="AQ25" s="724"/>
      <c r="AR25" s="724"/>
      <c r="AS25" s="724"/>
      <c r="AT25" s="724"/>
      <c r="AU25" s="724"/>
      <c r="AV25" s="724"/>
      <c r="AW25" s="724"/>
      <c r="AX25" s="724"/>
      <c r="AY25" s="724"/>
      <c r="AZ25" s="724"/>
      <c r="BA25" s="724"/>
      <c r="BB25" s="724"/>
      <c r="BC25" s="725">
        <f t="shared" si="0"/>
        <v>111048.26000000002</v>
      </c>
      <c r="BD25" s="724">
        <f>+BC25-'BOULEVARD 5 orig.'!I30</f>
        <v>7296.0811691610288</v>
      </c>
      <c r="BE25" s="724">
        <f t="shared" si="1"/>
        <v>111048.26000000002</v>
      </c>
      <c r="BF25" s="726">
        <f>VLOOKUP(A25,'BOULEVARD 5 orig.'!B30:AS328,42,0)</f>
        <v>0</v>
      </c>
      <c r="BG25" s="727">
        <f t="shared" si="3"/>
        <v>12</v>
      </c>
      <c r="BH25" s="728">
        <f t="shared" si="2"/>
        <v>9254.0216666666693</v>
      </c>
    </row>
    <row r="26" spans="1:60" x14ac:dyDescent="0.2">
      <c r="A26" s="723">
        <v>211</v>
      </c>
      <c r="B26" s="723" t="str">
        <f>'BOULEVARD 5'!H31</f>
        <v>1.Disponible</v>
      </c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724"/>
      <c r="AB26" s="724"/>
      <c r="AC26" s="724"/>
      <c r="AD26" s="724"/>
      <c r="AE26" s="724"/>
      <c r="AF26" s="724"/>
      <c r="AG26" s="724"/>
      <c r="AH26" s="724"/>
      <c r="AI26" s="724"/>
      <c r="AJ26" s="724"/>
      <c r="AK26" s="724"/>
      <c r="AL26" s="724"/>
      <c r="AM26" s="724"/>
      <c r="AN26" s="724"/>
      <c r="AO26" s="724"/>
      <c r="AP26" s="724"/>
      <c r="AQ26" s="724"/>
      <c r="AR26" s="724"/>
      <c r="AS26" s="724"/>
      <c r="AT26" s="724"/>
      <c r="AU26" s="724"/>
      <c r="AV26" s="724"/>
      <c r="AW26" s="724"/>
      <c r="AX26" s="724"/>
      <c r="AY26" s="724"/>
      <c r="AZ26" s="724"/>
      <c r="BA26" s="724"/>
      <c r="BB26" s="724"/>
      <c r="BC26" s="725">
        <f t="shared" si="0"/>
        <v>0</v>
      </c>
      <c r="BD26" s="724">
        <f>+BC26-'BOULEVARD 5 orig.'!I31</f>
        <v>-154362.69723517401</v>
      </c>
      <c r="BE26" s="724">
        <f t="shared" si="1"/>
        <v>0</v>
      </c>
      <c r="BF26" s="726">
        <f>VLOOKUP(A26,'BOULEVARD 5 orig.'!B31:AS329,42,0)</f>
        <v>0</v>
      </c>
      <c r="BG26" s="727">
        <f t="shared" si="3"/>
        <v>0</v>
      </c>
      <c r="BH26" s="728">
        <f t="shared" si="2"/>
        <v>0</v>
      </c>
    </row>
    <row r="27" spans="1:60" x14ac:dyDescent="0.2">
      <c r="A27" s="723">
        <v>212</v>
      </c>
      <c r="B27" s="723" t="str">
        <f>'BOULEVARD 5'!H32</f>
        <v>4.Plan de pagos</v>
      </c>
      <c r="C27" s="724"/>
      <c r="D27" s="724"/>
      <c r="E27" s="724"/>
      <c r="F27" s="724"/>
      <c r="G27" s="724"/>
      <c r="H27" s="724"/>
      <c r="I27" s="724"/>
      <c r="J27" s="724"/>
      <c r="K27" s="724">
        <v>8000</v>
      </c>
      <c r="L27" s="724">
        <v>2888</v>
      </c>
      <c r="M27" s="724">
        <v>2888</v>
      </c>
      <c r="N27" s="724">
        <v>2888</v>
      </c>
      <c r="O27" s="724">
        <v>2888</v>
      </c>
      <c r="P27" s="724">
        <v>2888</v>
      </c>
      <c r="Q27" s="724">
        <v>2888</v>
      </c>
      <c r="R27" s="724">
        <v>2888</v>
      </c>
      <c r="S27" s="724">
        <v>2888</v>
      </c>
      <c r="T27" s="724">
        <v>2888</v>
      </c>
      <c r="U27" s="724">
        <v>2888</v>
      </c>
      <c r="V27" s="724">
        <v>2888</v>
      </c>
      <c r="W27" s="724">
        <v>2888</v>
      </c>
      <c r="X27" s="724">
        <v>2888</v>
      </c>
      <c r="Y27" s="724">
        <v>2888</v>
      </c>
      <c r="Z27" s="724">
        <v>2888</v>
      </c>
      <c r="AA27" s="724">
        <v>2888</v>
      </c>
      <c r="AB27" s="724">
        <v>2888</v>
      </c>
      <c r="AC27" s="724">
        <v>2888</v>
      </c>
      <c r="AD27" s="724">
        <v>2888</v>
      </c>
      <c r="AE27" s="724">
        <v>2888</v>
      </c>
      <c r="AF27" s="724">
        <v>2888</v>
      </c>
      <c r="AG27" s="724">
        <v>2889.5</v>
      </c>
      <c r="AH27" s="724"/>
      <c r="AI27" s="724"/>
      <c r="AJ27" s="724"/>
      <c r="AK27" s="724"/>
      <c r="AL27" s="724"/>
      <c r="AM27" s="724"/>
      <c r="AN27" s="724"/>
      <c r="AO27" s="724"/>
      <c r="AP27" s="724"/>
      <c r="AQ27" s="724"/>
      <c r="AR27" s="724"/>
      <c r="AS27" s="724"/>
      <c r="AT27" s="724"/>
      <c r="AU27" s="724"/>
      <c r="AV27" s="724"/>
      <c r="AW27" s="724"/>
      <c r="AX27" s="724"/>
      <c r="AY27" s="724"/>
      <c r="AZ27" s="724"/>
      <c r="BA27" s="724"/>
      <c r="BB27" s="724"/>
      <c r="BC27" s="725">
        <f t="shared" si="0"/>
        <v>71537.5</v>
      </c>
      <c r="BD27" s="724">
        <f>+BC27-'BOULEVARD 5 orig.'!I32</f>
        <v>0</v>
      </c>
      <c r="BE27" s="724">
        <f t="shared" si="1"/>
        <v>71537.5</v>
      </c>
      <c r="BF27" s="726">
        <f>VLOOKUP(A27,'BOULEVARD 5 orig.'!B32:AS330,42,0)</f>
        <v>0</v>
      </c>
      <c r="BG27" s="727">
        <f t="shared" si="3"/>
        <v>23</v>
      </c>
      <c r="BH27" s="728">
        <f t="shared" si="2"/>
        <v>3110.3260869565215</v>
      </c>
    </row>
    <row r="28" spans="1:60" x14ac:dyDescent="0.2">
      <c r="A28" s="723">
        <v>213</v>
      </c>
      <c r="B28" s="723" t="str">
        <f>'BOULEVARD 5'!H33</f>
        <v>4.Plan de pagos</v>
      </c>
      <c r="C28" s="724"/>
      <c r="D28" s="724"/>
      <c r="E28" s="724"/>
      <c r="F28" s="724"/>
      <c r="G28" s="724"/>
      <c r="H28" s="724"/>
      <c r="I28" s="724"/>
      <c r="J28" s="724"/>
      <c r="K28" s="724"/>
      <c r="L28" s="724"/>
      <c r="M28" s="724"/>
      <c r="N28" s="724"/>
      <c r="O28" s="724"/>
      <c r="P28" s="724"/>
      <c r="Q28" s="724"/>
      <c r="R28" s="724"/>
      <c r="S28" s="724"/>
      <c r="T28" s="724"/>
      <c r="U28" s="724"/>
      <c r="V28" s="724"/>
      <c r="W28" s="724"/>
      <c r="X28" s="724"/>
      <c r="Y28" s="724"/>
      <c r="Z28" s="724">
        <v>10000</v>
      </c>
      <c r="AA28" s="724">
        <v>4420</v>
      </c>
      <c r="AB28" s="724">
        <v>4420</v>
      </c>
      <c r="AC28" s="724">
        <v>4420</v>
      </c>
      <c r="AD28" s="724">
        <v>4420</v>
      </c>
      <c r="AE28" s="724">
        <v>4420</v>
      </c>
      <c r="AF28" s="724">
        <v>4420</v>
      </c>
      <c r="AG28" s="724">
        <v>4420</v>
      </c>
      <c r="AH28" s="724">
        <v>4420</v>
      </c>
      <c r="AI28" s="724">
        <v>4420</v>
      </c>
      <c r="AJ28" s="724">
        <v>4420</v>
      </c>
      <c r="AK28" s="724">
        <v>4420</v>
      </c>
      <c r="AL28" s="724">
        <v>4420</v>
      </c>
      <c r="AM28" s="724">
        <v>4420</v>
      </c>
      <c r="AN28" s="724">
        <v>4420</v>
      </c>
      <c r="AO28" s="724">
        <v>4420</v>
      </c>
      <c r="AP28" s="724">
        <v>4418.74</v>
      </c>
      <c r="AQ28" s="724"/>
      <c r="AR28" s="724"/>
      <c r="AS28" s="724"/>
      <c r="AT28" s="724"/>
      <c r="AU28" s="724"/>
      <c r="AV28" s="724"/>
      <c r="AW28" s="724"/>
      <c r="AX28" s="724"/>
      <c r="AY28" s="724"/>
      <c r="AZ28" s="724"/>
      <c r="BA28" s="724"/>
      <c r="BB28" s="724"/>
      <c r="BC28" s="725">
        <f t="shared" si="0"/>
        <v>80718.740000000005</v>
      </c>
      <c r="BD28" s="724">
        <f>+BC28-'BOULEVARD 5 orig.'!I33</f>
        <v>0</v>
      </c>
      <c r="BE28" s="724">
        <f t="shared" si="1"/>
        <v>80718.740000000005</v>
      </c>
      <c r="BF28" s="726">
        <f>VLOOKUP(A28,'BOULEVARD 5 orig.'!B33:AS331,42,0)</f>
        <v>0</v>
      </c>
      <c r="BG28" s="727">
        <f t="shared" si="3"/>
        <v>17</v>
      </c>
      <c r="BH28" s="728">
        <f t="shared" si="2"/>
        <v>4748.1611764705885</v>
      </c>
    </row>
    <row r="29" spans="1:60" x14ac:dyDescent="0.2">
      <c r="A29" s="723">
        <v>214</v>
      </c>
      <c r="B29" s="723" t="str">
        <f>'BOULEVARD 5'!H34</f>
        <v>4.Plan de pagos</v>
      </c>
      <c r="C29" s="724"/>
      <c r="D29" s="724"/>
      <c r="E29" s="724"/>
      <c r="F29" s="724"/>
      <c r="G29" s="724"/>
      <c r="H29" s="724"/>
      <c r="I29" s="724"/>
      <c r="J29" s="724"/>
      <c r="K29" s="724">
        <v>5500</v>
      </c>
      <c r="L29" s="724">
        <v>3026</v>
      </c>
      <c r="M29" s="724">
        <v>3026</v>
      </c>
      <c r="N29" s="724">
        <v>3026</v>
      </c>
      <c r="O29" s="724">
        <v>3026</v>
      </c>
      <c r="P29" s="724">
        <v>3026</v>
      </c>
      <c r="Q29" s="724">
        <v>3026</v>
      </c>
      <c r="R29" s="724">
        <v>3026</v>
      </c>
      <c r="S29" s="724">
        <v>3026</v>
      </c>
      <c r="T29" s="724">
        <v>3026</v>
      </c>
      <c r="U29" s="724">
        <v>3026</v>
      </c>
      <c r="V29" s="724">
        <v>3026</v>
      </c>
      <c r="W29" s="724">
        <v>3026</v>
      </c>
      <c r="X29" s="724">
        <v>3026</v>
      </c>
      <c r="Y29" s="724">
        <v>3026</v>
      </c>
      <c r="Z29" s="724">
        <v>3026</v>
      </c>
      <c r="AA29" s="724">
        <v>3026</v>
      </c>
      <c r="AB29" s="724">
        <v>3026</v>
      </c>
      <c r="AC29" s="724">
        <v>3026</v>
      </c>
      <c r="AD29" s="724">
        <v>3026</v>
      </c>
      <c r="AE29" s="724">
        <v>3026</v>
      </c>
      <c r="AF29" s="724">
        <v>3026</v>
      </c>
      <c r="AG29" s="724">
        <v>3026.5</v>
      </c>
      <c r="AH29" s="724"/>
      <c r="AI29" s="724"/>
      <c r="AJ29" s="724"/>
      <c r="AK29" s="724"/>
      <c r="AL29" s="724"/>
      <c r="AM29" s="724"/>
      <c r="AN29" s="724"/>
      <c r="AO29" s="724"/>
      <c r="AP29" s="724"/>
      <c r="AQ29" s="724"/>
      <c r="AR29" s="724"/>
      <c r="AS29" s="724"/>
      <c r="AT29" s="724"/>
      <c r="AU29" s="724"/>
      <c r="AV29" s="724"/>
      <c r="AW29" s="724"/>
      <c r="AX29" s="724"/>
      <c r="AY29" s="724"/>
      <c r="AZ29" s="724"/>
      <c r="BA29" s="724"/>
      <c r="BB29" s="724"/>
      <c r="BC29" s="725">
        <f t="shared" si="0"/>
        <v>72072.5</v>
      </c>
      <c r="BD29" s="724">
        <f>+BC29-'BOULEVARD 5 orig.'!I34</f>
        <v>0</v>
      </c>
      <c r="BE29" s="724">
        <f t="shared" si="1"/>
        <v>72072.5</v>
      </c>
      <c r="BF29" s="726">
        <f>VLOOKUP(A29,'BOULEVARD 5 orig.'!B34:AS332,42,0)</f>
        <v>0</v>
      </c>
      <c r="BG29" s="727">
        <f t="shared" si="3"/>
        <v>23</v>
      </c>
      <c r="BH29" s="728">
        <f t="shared" si="2"/>
        <v>3133.586956521739</v>
      </c>
    </row>
    <row r="30" spans="1:60" x14ac:dyDescent="0.2">
      <c r="A30" s="723">
        <v>215</v>
      </c>
      <c r="B30" s="723" t="str">
        <f>'BOULEVARD 5'!H35</f>
        <v>4.Plan de pagos</v>
      </c>
      <c r="C30" s="724"/>
      <c r="D30" s="724"/>
      <c r="E30" s="724"/>
      <c r="F30" s="724"/>
      <c r="G30" s="724"/>
      <c r="H30" s="724"/>
      <c r="I30" s="724"/>
      <c r="J30" s="724"/>
      <c r="K30" s="724"/>
      <c r="L30" s="724"/>
      <c r="M30" s="724"/>
      <c r="N30" s="724"/>
      <c r="O30" s="724">
        <v>8000</v>
      </c>
      <c r="P30" s="724">
        <v>4922</v>
      </c>
      <c r="Q30" s="724">
        <v>4922</v>
      </c>
      <c r="R30" s="724">
        <v>4922</v>
      </c>
      <c r="S30" s="724">
        <v>4922</v>
      </c>
      <c r="T30" s="724">
        <v>4922</v>
      </c>
      <c r="U30" s="724">
        <v>4922</v>
      </c>
      <c r="V30" s="724">
        <v>4922</v>
      </c>
      <c r="W30" s="724">
        <v>4922</v>
      </c>
      <c r="X30" s="724">
        <v>4922</v>
      </c>
      <c r="Y30" s="724">
        <v>4922</v>
      </c>
      <c r="Z30" s="724">
        <v>4922</v>
      </c>
      <c r="AA30" s="724">
        <v>4922</v>
      </c>
      <c r="AB30" s="724">
        <v>4922</v>
      </c>
      <c r="AC30" s="724">
        <v>4922</v>
      </c>
      <c r="AD30" s="724">
        <v>4922</v>
      </c>
      <c r="AE30" s="724">
        <v>4922</v>
      </c>
      <c r="AF30" s="724">
        <v>4922</v>
      </c>
      <c r="AG30" s="724">
        <v>4926</v>
      </c>
      <c r="AH30" s="724"/>
      <c r="AI30" s="724"/>
      <c r="AJ30" s="724"/>
      <c r="AK30" s="724"/>
      <c r="AL30" s="724"/>
      <c r="AM30" s="724"/>
      <c r="AN30" s="724"/>
      <c r="AO30" s="724"/>
      <c r="AP30" s="724"/>
      <c r="AQ30" s="724"/>
      <c r="AR30" s="724"/>
      <c r="AS30" s="724"/>
      <c r="AT30" s="724"/>
      <c r="AU30" s="724"/>
      <c r="AV30" s="724"/>
      <c r="AW30" s="724"/>
      <c r="AX30" s="724"/>
      <c r="AY30" s="724"/>
      <c r="AZ30" s="724"/>
      <c r="BA30" s="724"/>
      <c r="BB30" s="724"/>
      <c r="BC30" s="725">
        <f t="shared" si="0"/>
        <v>96600</v>
      </c>
      <c r="BD30" s="724">
        <f>+BC30-'BOULEVARD 5 orig.'!I35</f>
        <v>0</v>
      </c>
      <c r="BE30" s="724">
        <f t="shared" si="1"/>
        <v>96600</v>
      </c>
      <c r="BF30" s="726">
        <f>VLOOKUP(A30,'BOULEVARD 5 orig.'!B35:AS333,42,0)</f>
        <v>0</v>
      </c>
      <c r="BG30" s="727">
        <f t="shared" si="3"/>
        <v>19</v>
      </c>
      <c r="BH30" s="728">
        <f t="shared" si="2"/>
        <v>5084.2105263157891</v>
      </c>
    </row>
    <row r="31" spans="1:60" x14ac:dyDescent="0.2">
      <c r="A31" s="723">
        <v>216</v>
      </c>
      <c r="B31" s="723" t="str">
        <f>'BOULEVARD 5'!H36</f>
        <v>4.Plan de pagos</v>
      </c>
      <c r="C31" s="724"/>
      <c r="D31" s="724"/>
      <c r="E31" s="724"/>
      <c r="F31" s="724"/>
      <c r="G31" s="724"/>
      <c r="H31" s="724"/>
      <c r="I31" s="724"/>
      <c r="J31" s="724"/>
      <c r="K31" s="724"/>
      <c r="L31" s="724"/>
      <c r="M31" s="724"/>
      <c r="N31" s="724"/>
      <c r="O31" s="724">
        <v>8000</v>
      </c>
      <c r="P31" s="724">
        <v>5006</v>
      </c>
      <c r="Q31" s="724">
        <v>5006</v>
      </c>
      <c r="R31" s="724">
        <v>5006</v>
      </c>
      <c r="S31" s="724">
        <v>5006</v>
      </c>
      <c r="T31" s="724">
        <v>5006</v>
      </c>
      <c r="U31" s="724">
        <v>5006</v>
      </c>
      <c r="V31" s="724">
        <v>5006</v>
      </c>
      <c r="W31" s="724">
        <v>5006</v>
      </c>
      <c r="X31" s="724">
        <v>5006</v>
      </c>
      <c r="Y31" s="724">
        <v>5006</v>
      </c>
      <c r="Z31" s="724">
        <v>5006</v>
      </c>
      <c r="AA31" s="724">
        <v>5006</v>
      </c>
      <c r="AB31" s="724">
        <v>5006</v>
      </c>
      <c r="AC31" s="724">
        <v>5006</v>
      </c>
      <c r="AD31" s="724">
        <v>5006</v>
      </c>
      <c r="AE31" s="724">
        <v>5006</v>
      </c>
      <c r="AF31" s="724">
        <v>5006</v>
      </c>
      <c r="AG31" s="724">
        <v>4998</v>
      </c>
      <c r="AH31" s="724"/>
      <c r="AI31" s="724"/>
      <c r="AJ31" s="724"/>
      <c r="AK31" s="724"/>
      <c r="AL31" s="724"/>
      <c r="AM31" s="724"/>
      <c r="AN31" s="724"/>
      <c r="AO31" s="724"/>
      <c r="AP31" s="724"/>
      <c r="AQ31" s="724"/>
      <c r="AR31" s="724"/>
      <c r="AS31" s="724"/>
      <c r="AT31" s="724"/>
      <c r="AU31" s="724"/>
      <c r="AV31" s="724"/>
      <c r="AW31" s="724"/>
      <c r="AX31" s="724"/>
      <c r="AY31" s="724"/>
      <c r="AZ31" s="724"/>
      <c r="BA31" s="724"/>
      <c r="BB31" s="724"/>
      <c r="BC31" s="725">
        <f t="shared" si="0"/>
        <v>98100</v>
      </c>
      <c r="BD31" s="724">
        <f>+BC31-'BOULEVARD 5 orig.'!I36</f>
        <v>0</v>
      </c>
      <c r="BE31" s="724">
        <f t="shared" si="1"/>
        <v>98100</v>
      </c>
      <c r="BF31" s="726">
        <f>VLOOKUP(A31,'BOULEVARD 5 orig.'!B36:AS334,42,0)</f>
        <v>0</v>
      </c>
      <c r="BG31" s="727">
        <f t="shared" si="3"/>
        <v>19</v>
      </c>
      <c r="BH31" s="728">
        <f t="shared" si="2"/>
        <v>5163.1578947368425</v>
      </c>
    </row>
    <row r="32" spans="1:60" x14ac:dyDescent="0.2">
      <c r="A32" s="723">
        <v>301</v>
      </c>
      <c r="B32" s="723" t="str">
        <f>'BOULEVARD 5'!H37</f>
        <v>4.Plan de pagos</v>
      </c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  <c r="P32" s="724"/>
      <c r="Q32" s="724"/>
      <c r="R32" s="724"/>
      <c r="S32" s="724">
        <v>10000</v>
      </c>
      <c r="T32" s="724">
        <v>6900</v>
      </c>
      <c r="U32" s="724">
        <v>6900</v>
      </c>
      <c r="V32" s="724">
        <v>6900</v>
      </c>
      <c r="W32" s="724">
        <v>6900</v>
      </c>
      <c r="X32" s="724">
        <v>6900</v>
      </c>
      <c r="Y32" s="724">
        <v>6900</v>
      </c>
      <c r="Z32" s="724">
        <v>6900</v>
      </c>
      <c r="AA32" s="724">
        <v>6900</v>
      </c>
      <c r="AB32" s="724">
        <v>6900</v>
      </c>
      <c r="AC32" s="724">
        <v>6900</v>
      </c>
      <c r="AD32" s="724">
        <v>6900</v>
      </c>
      <c r="AE32" s="724">
        <v>6900</v>
      </c>
      <c r="AF32" s="724">
        <v>6900</v>
      </c>
      <c r="AG32" s="724">
        <v>6900</v>
      </c>
      <c r="AH32" s="724">
        <v>6900</v>
      </c>
      <c r="AI32" s="724">
        <v>6900</v>
      </c>
      <c r="AJ32" s="724">
        <v>6900</v>
      </c>
      <c r="AK32" s="724"/>
      <c r="AL32" s="724"/>
      <c r="AM32" s="724"/>
      <c r="AN32" s="724"/>
      <c r="AO32" s="724"/>
      <c r="AP32" s="724"/>
      <c r="AQ32" s="724"/>
      <c r="AR32" s="724"/>
      <c r="AS32" s="724"/>
      <c r="AT32" s="724"/>
      <c r="AU32" s="724"/>
      <c r="AV32" s="724"/>
      <c r="AW32" s="724"/>
      <c r="AX32" s="724"/>
      <c r="AY32" s="724"/>
      <c r="AZ32" s="724"/>
      <c r="BA32" s="724"/>
      <c r="BB32" s="724"/>
      <c r="BC32" s="725">
        <f t="shared" si="0"/>
        <v>127300</v>
      </c>
      <c r="BD32" s="724">
        <f>+BC32-'BOULEVARD 5 orig.'!I37</f>
        <v>0</v>
      </c>
      <c r="BE32" s="724">
        <f t="shared" si="1"/>
        <v>127300</v>
      </c>
      <c r="BF32" s="726">
        <f>VLOOKUP(A32,'BOULEVARD 5 orig.'!B37:AS335,42,0)</f>
        <v>0</v>
      </c>
      <c r="BG32" s="727">
        <f t="shared" si="3"/>
        <v>18</v>
      </c>
      <c r="BH32" s="728">
        <f t="shared" si="2"/>
        <v>7072.2222222222226</v>
      </c>
    </row>
    <row r="33" spans="1:60" x14ac:dyDescent="0.2">
      <c r="A33" s="723">
        <v>302</v>
      </c>
      <c r="B33" s="723" t="str">
        <f>'BOULEVARD 5'!H38</f>
        <v>4.Plan de pagos</v>
      </c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4"/>
      <c r="P33" s="724"/>
      <c r="Q33" s="724"/>
      <c r="R33" s="724"/>
      <c r="S33" s="724"/>
      <c r="T33" s="724"/>
      <c r="U33" s="724"/>
      <c r="V33" s="724"/>
      <c r="W33" s="724"/>
      <c r="X33" s="724"/>
      <c r="Y33" s="724"/>
      <c r="Z33" s="724"/>
      <c r="AA33" s="724"/>
      <c r="AB33" s="724"/>
      <c r="AC33" s="724"/>
      <c r="AD33" s="724"/>
      <c r="AE33" s="724"/>
      <c r="AF33" s="724"/>
      <c r="AG33" s="724"/>
      <c r="AH33" s="724"/>
      <c r="AI33" s="724"/>
      <c r="AJ33" s="724"/>
      <c r="AK33" s="724"/>
      <c r="AL33" s="724"/>
      <c r="AM33" s="724"/>
      <c r="AN33" s="724"/>
      <c r="AO33" s="724"/>
      <c r="AP33" s="724"/>
      <c r="AQ33" s="724"/>
      <c r="AR33" s="724"/>
      <c r="AS33" s="724"/>
      <c r="AT33" s="724"/>
      <c r="AU33" s="724"/>
      <c r="AV33" s="724"/>
      <c r="AW33" s="724"/>
      <c r="AX33" s="724"/>
      <c r="AY33" s="724"/>
      <c r="AZ33" s="724"/>
      <c r="BA33" s="724"/>
      <c r="BB33" s="724"/>
      <c r="BC33" s="725">
        <f t="shared" si="0"/>
        <v>0</v>
      </c>
      <c r="BD33" s="724">
        <f>+BC33-'BOULEVARD 5 orig.'!I38</f>
        <v>-137342.443624732</v>
      </c>
      <c r="BE33" s="724">
        <f t="shared" si="1"/>
        <v>0</v>
      </c>
      <c r="BF33" s="726">
        <f>VLOOKUP(A33,'BOULEVARD 5 orig.'!B38:AS336,42,0)</f>
        <v>0</v>
      </c>
      <c r="BG33" s="727">
        <f t="shared" si="3"/>
        <v>0</v>
      </c>
      <c r="BH33" s="728">
        <f t="shared" si="2"/>
        <v>0</v>
      </c>
    </row>
    <row r="34" spans="1:60" x14ac:dyDescent="0.2">
      <c r="A34" s="723">
        <v>303</v>
      </c>
      <c r="B34" s="723" t="str">
        <f>'BOULEVARD 5'!H39</f>
        <v>2. Reserva</v>
      </c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724"/>
      <c r="AB34" s="724"/>
      <c r="AC34" s="724"/>
      <c r="AD34" s="724"/>
      <c r="AE34" s="724"/>
      <c r="AF34" s="724"/>
      <c r="AG34" s="724"/>
      <c r="AH34" s="724"/>
      <c r="AI34" s="724"/>
      <c r="AJ34" s="724"/>
      <c r="AK34" s="724"/>
      <c r="AL34" s="724"/>
      <c r="AM34" s="724"/>
      <c r="AN34" s="724"/>
      <c r="AO34" s="724"/>
      <c r="AP34" s="724"/>
      <c r="AQ34" s="724"/>
      <c r="AR34" s="724"/>
      <c r="AS34" s="724"/>
      <c r="AT34" s="724"/>
      <c r="AU34" s="724"/>
      <c r="AV34" s="724"/>
      <c r="AW34" s="724"/>
      <c r="AX34" s="724"/>
      <c r="AY34" s="724"/>
      <c r="AZ34" s="724"/>
      <c r="BA34" s="724"/>
      <c r="BB34" s="724"/>
      <c r="BC34" s="725">
        <f t="shared" si="0"/>
        <v>0</v>
      </c>
      <c r="BD34" s="724">
        <f>+BC34-'BOULEVARD 5 orig.'!I39</f>
        <v>-93491.844645199715</v>
      </c>
      <c r="BE34" s="724">
        <f t="shared" si="1"/>
        <v>0</v>
      </c>
      <c r="BF34" s="726">
        <f>VLOOKUP(A34,'BOULEVARD 5 orig.'!B39:AS337,42,0)</f>
        <v>0</v>
      </c>
      <c r="BG34" s="727">
        <f t="shared" si="3"/>
        <v>0</v>
      </c>
      <c r="BH34" s="728">
        <f t="shared" si="2"/>
        <v>0</v>
      </c>
    </row>
    <row r="35" spans="1:60" x14ac:dyDescent="0.2">
      <c r="A35" s="723">
        <v>304</v>
      </c>
      <c r="B35" s="723" t="str">
        <f>'BOULEVARD 5'!H40</f>
        <v>4.Plan de pagos</v>
      </c>
      <c r="C35" s="724"/>
      <c r="D35" s="724"/>
      <c r="E35" s="724"/>
      <c r="F35" s="724"/>
      <c r="G35" s="724"/>
      <c r="H35" s="724"/>
      <c r="I35" s="724"/>
      <c r="J35" s="724"/>
      <c r="K35" s="724"/>
      <c r="L35" s="724"/>
      <c r="M35" s="724"/>
      <c r="N35" s="724"/>
      <c r="O35" s="724"/>
      <c r="P35" s="724"/>
      <c r="Q35" s="724"/>
      <c r="R35" s="724"/>
      <c r="S35" s="724"/>
      <c r="T35" s="724"/>
      <c r="U35" s="724"/>
      <c r="V35" s="724"/>
      <c r="W35" s="724"/>
      <c r="X35" s="724"/>
      <c r="Y35" s="724"/>
      <c r="Z35" s="724"/>
      <c r="AA35" s="724">
        <v>10000</v>
      </c>
      <c r="AB35" s="724">
        <v>5244</v>
      </c>
      <c r="AC35" s="724">
        <v>5244</v>
      </c>
      <c r="AD35" s="724">
        <v>5244</v>
      </c>
      <c r="AE35" s="724">
        <v>5244</v>
      </c>
      <c r="AF35" s="724">
        <v>5244</v>
      </c>
      <c r="AG35" s="724">
        <v>5244</v>
      </c>
      <c r="AH35" s="724">
        <v>5244</v>
      </c>
      <c r="AI35" s="724">
        <v>5244</v>
      </c>
      <c r="AJ35" s="724">
        <v>5244</v>
      </c>
      <c r="AK35" s="724">
        <v>5244</v>
      </c>
      <c r="AL35" s="724">
        <v>5244</v>
      </c>
      <c r="AM35" s="724">
        <v>5244</v>
      </c>
      <c r="AN35" s="724">
        <v>5244</v>
      </c>
      <c r="AO35" s="724">
        <v>5243.2</v>
      </c>
      <c r="AP35" s="724"/>
      <c r="AQ35" s="724"/>
      <c r="AR35" s="724"/>
      <c r="AS35" s="724"/>
      <c r="AT35" s="724"/>
      <c r="AU35" s="724"/>
      <c r="AV35" s="724"/>
      <c r="AW35" s="724"/>
      <c r="AX35" s="724"/>
      <c r="AY35" s="724"/>
      <c r="AZ35" s="724"/>
      <c r="BA35" s="724"/>
      <c r="BB35" s="724"/>
      <c r="BC35" s="725">
        <f t="shared" si="0"/>
        <v>83415.199999999997</v>
      </c>
      <c r="BD35" s="724">
        <f>+BC35-'BOULEVARD 5 orig.'!I40</f>
        <v>0</v>
      </c>
      <c r="BE35" s="724">
        <f t="shared" si="1"/>
        <v>83415.199999999997</v>
      </c>
      <c r="BF35" s="726">
        <f>VLOOKUP(A35,'BOULEVARD 5 orig.'!B40:AS338,42,0)</f>
        <v>0</v>
      </c>
      <c r="BG35" s="727">
        <f t="shared" si="3"/>
        <v>15</v>
      </c>
      <c r="BH35" s="728">
        <f t="shared" si="2"/>
        <v>5561.0133333333333</v>
      </c>
    </row>
    <row r="36" spans="1:60" x14ac:dyDescent="0.2">
      <c r="A36" s="736">
        <v>305</v>
      </c>
      <c r="B36" s="736" t="str">
        <f>'BOULEVARD 5'!H41</f>
        <v>4.Plan de pagos</v>
      </c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724"/>
      <c r="AB36" s="737">
        <v>15000</v>
      </c>
      <c r="AC36" s="737">
        <v>3500</v>
      </c>
      <c r="AD36" s="737">
        <v>3500</v>
      </c>
      <c r="AE36" s="737">
        <v>15000</v>
      </c>
      <c r="AF36" s="737">
        <v>3500</v>
      </c>
      <c r="AG36" s="737">
        <v>3500</v>
      </c>
      <c r="AH36" s="737">
        <v>3500</v>
      </c>
      <c r="AI36" s="737">
        <v>3500</v>
      </c>
      <c r="AJ36" s="737">
        <v>20000</v>
      </c>
      <c r="AK36" s="737">
        <v>3500</v>
      </c>
      <c r="AL36" s="737">
        <v>3500</v>
      </c>
      <c r="AM36" s="737">
        <v>3500</v>
      </c>
      <c r="AN36" s="737">
        <v>3500</v>
      </c>
      <c r="AO36" s="737">
        <v>26265.61</v>
      </c>
      <c r="AP36" s="724"/>
      <c r="AQ36" s="724"/>
      <c r="AR36" s="724"/>
      <c r="AS36" s="724"/>
      <c r="AT36" s="724"/>
      <c r="AU36" s="724"/>
      <c r="AV36" s="724"/>
      <c r="AW36" s="724"/>
      <c r="AX36" s="724"/>
      <c r="AY36" s="724"/>
      <c r="AZ36" s="724"/>
      <c r="BA36" s="724"/>
      <c r="BB36" s="724"/>
      <c r="BC36" s="725">
        <f t="shared" si="0"/>
        <v>111265.61</v>
      </c>
      <c r="BD36" s="724">
        <f>+BC36-'BOULEVARD 5 orig.'!I41</f>
        <v>19.049083228004747</v>
      </c>
      <c r="BE36" s="724">
        <f t="shared" si="1"/>
        <v>111265.61</v>
      </c>
      <c r="BF36" s="726">
        <f>VLOOKUP(A36,'BOULEVARD 5 orig.'!B41:AS339,42,0)</f>
        <v>0</v>
      </c>
      <c r="BG36" s="727">
        <f t="shared" si="3"/>
        <v>14</v>
      </c>
      <c r="BH36" s="728">
        <f t="shared" si="2"/>
        <v>7947.5435714285713</v>
      </c>
    </row>
    <row r="37" spans="1:60" x14ac:dyDescent="0.2">
      <c r="A37" s="723">
        <v>306</v>
      </c>
      <c r="B37" s="723" t="str">
        <f>'BOULEVARD 5'!H42</f>
        <v>2.Reserva</v>
      </c>
      <c r="C37" s="724"/>
      <c r="D37" s="724"/>
      <c r="E37" s="724"/>
      <c r="F37" s="724"/>
      <c r="G37" s="724"/>
      <c r="H37" s="724"/>
      <c r="I37" s="724"/>
      <c r="J37" s="724"/>
      <c r="K37" s="724"/>
      <c r="L37" s="724"/>
      <c r="M37" s="724"/>
      <c r="N37" s="724"/>
      <c r="O37" s="724"/>
      <c r="P37" s="724"/>
      <c r="Q37" s="724"/>
      <c r="R37" s="724"/>
      <c r="S37" s="724"/>
      <c r="T37" s="724"/>
      <c r="U37" s="724"/>
      <c r="V37" s="724"/>
      <c r="W37" s="724"/>
      <c r="X37" s="724"/>
      <c r="Y37" s="724"/>
      <c r="Z37" s="724"/>
      <c r="AA37" s="724"/>
      <c r="AB37" s="724"/>
      <c r="AC37" s="724"/>
      <c r="AD37" s="724"/>
      <c r="AE37" s="724"/>
      <c r="AF37" s="724"/>
      <c r="AG37" s="724"/>
      <c r="AH37" s="724"/>
      <c r="AI37" s="724"/>
      <c r="AJ37" s="724"/>
      <c r="AK37" s="724"/>
      <c r="AL37" s="724"/>
      <c r="AM37" s="724"/>
      <c r="AN37" s="724"/>
      <c r="AO37" s="724"/>
      <c r="AP37" s="724"/>
      <c r="AQ37" s="724"/>
      <c r="AR37" s="724"/>
      <c r="AS37" s="724"/>
      <c r="AT37" s="724"/>
      <c r="AU37" s="724"/>
      <c r="AV37" s="724"/>
      <c r="AW37" s="724"/>
      <c r="AX37" s="724"/>
      <c r="AY37" s="724"/>
      <c r="AZ37" s="724"/>
      <c r="BA37" s="724"/>
      <c r="BB37" s="724"/>
      <c r="BC37" s="725">
        <f t="shared" si="0"/>
        <v>0</v>
      </c>
      <c r="BD37" s="724">
        <f>+BC37-'BOULEVARD 5 orig.'!I42</f>
        <v>-110404.75824877301</v>
      </c>
      <c r="BE37" s="724">
        <f t="shared" si="1"/>
        <v>0</v>
      </c>
      <c r="BF37" s="726">
        <f>VLOOKUP(A37,'BOULEVARD 5 orig.'!B42:AS340,42,0)</f>
        <v>0</v>
      </c>
      <c r="BG37" s="727">
        <f t="shared" si="3"/>
        <v>0</v>
      </c>
      <c r="BH37" s="728">
        <f t="shared" si="2"/>
        <v>0</v>
      </c>
    </row>
    <row r="38" spans="1:60" x14ac:dyDescent="0.2">
      <c r="A38" s="723">
        <v>307</v>
      </c>
      <c r="B38" s="723" t="str">
        <f>'BOULEVARD 5'!H43</f>
        <v>2.Reserva</v>
      </c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724"/>
      <c r="O38" s="724"/>
      <c r="P38" s="724"/>
      <c r="Q38" s="724"/>
      <c r="R38" s="724"/>
      <c r="S38" s="724"/>
      <c r="T38" s="724"/>
      <c r="U38" s="724"/>
      <c r="V38" s="724"/>
      <c r="W38" s="724"/>
      <c r="X38" s="724"/>
      <c r="Y38" s="724"/>
      <c r="Z38" s="724"/>
      <c r="AA38" s="724"/>
      <c r="AB38" s="724"/>
      <c r="AC38" s="724"/>
      <c r="AD38" s="724"/>
      <c r="AE38" s="724"/>
      <c r="AF38" s="724"/>
      <c r="AG38" s="724"/>
      <c r="AH38" s="724"/>
      <c r="AI38" s="724"/>
      <c r="AJ38" s="724"/>
      <c r="AK38" s="724"/>
      <c r="AL38" s="724"/>
      <c r="AM38" s="724"/>
      <c r="AN38" s="724"/>
      <c r="AO38" s="724"/>
      <c r="AP38" s="724"/>
      <c r="AQ38" s="724"/>
      <c r="AR38" s="724"/>
      <c r="AS38" s="724"/>
      <c r="AT38" s="724"/>
      <c r="AU38" s="724"/>
      <c r="AV38" s="724"/>
      <c r="AW38" s="724"/>
      <c r="AX38" s="724"/>
      <c r="AY38" s="724"/>
      <c r="AZ38" s="724"/>
      <c r="BA38" s="724"/>
      <c r="BB38" s="724"/>
      <c r="BC38" s="725">
        <f t="shared" si="0"/>
        <v>0</v>
      </c>
      <c r="BD38" s="724">
        <f>+BC38-'BOULEVARD 5 orig.'!I43</f>
        <v>-105646.234833836</v>
      </c>
      <c r="BE38" s="724">
        <f t="shared" si="1"/>
        <v>0</v>
      </c>
      <c r="BF38" s="726">
        <f>VLOOKUP(A38,'BOULEVARD 5 orig.'!B43:AS341,42,0)</f>
        <v>0</v>
      </c>
      <c r="BG38" s="727">
        <f t="shared" si="3"/>
        <v>0</v>
      </c>
      <c r="BH38" s="728">
        <f t="shared" si="2"/>
        <v>0</v>
      </c>
    </row>
    <row r="39" spans="1:60" x14ac:dyDescent="0.2">
      <c r="A39" s="723">
        <v>308</v>
      </c>
      <c r="B39" s="723" t="str">
        <f>'BOULEVARD 5'!H44</f>
        <v>4.Plan de pagos</v>
      </c>
      <c r="C39" s="724"/>
      <c r="D39" s="724"/>
      <c r="E39" s="724"/>
      <c r="F39" s="724"/>
      <c r="G39" s="724"/>
      <c r="H39" s="724"/>
      <c r="I39" s="724"/>
      <c r="J39" s="724"/>
      <c r="K39" s="724"/>
      <c r="L39" s="724"/>
      <c r="M39" s="724"/>
      <c r="N39" s="724"/>
      <c r="O39" s="724"/>
      <c r="P39" s="724"/>
      <c r="Q39" s="724"/>
      <c r="R39" s="724"/>
      <c r="S39" s="724"/>
      <c r="T39" s="724"/>
      <c r="U39" s="724"/>
      <c r="V39" s="724"/>
      <c r="W39" s="724"/>
      <c r="X39" s="724"/>
      <c r="Y39" s="724"/>
      <c r="Z39" s="724"/>
      <c r="AA39" s="724">
        <v>10000</v>
      </c>
      <c r="AB39" s="724">
        <v>6666</v>
      </c>
      <c r="AC39" s="724">
        <v>6666</v>
      </c>
      <c r="AD39" s="724">
        <v>6666</v>
      </c>
      <c r="AE39" s="724">
        <v>6666</v>
      </c>
      <c r="AF39" s="724">
        <v>6666</v>
      </c>
      <c r="AG39" s="724">
        <v>6666</v>
      </c>
      <c r="AH39" s="724">
        <v>6666</v>
      </c>
      <c r="AI39" s="724">
        <v>6666</v>
      </c>
      <c r="AJ39" s="724">
        <v>6666</v>
      </c>
      <c r="AK39" s="724">
        <v>6666</v>
      </c>
      <c r="AL39" s="724">
        <v>6666</v>
      </c>
      <c r="AM39" s="724">
        <v>6666</v>
      </c>
      <c r="AN39" s="724">
        <v>6666</v>
      </c>
      <c r="AO39" s="724">
        <v>6670.19</v>
      </c>
      <c r="AP39" s="724"/>
      <c r="AQ39" s="724"/>
      <c r="AR39" s="724"/>
      <c r="AS39" s="724"/>
      <c r="AT39" s="724"/>
      <c r="AU39" s="724"/>
      <c r="AV39" s="724"/>
      <c r="AW39" s="724"/>
      <c r="AX39" s="724"/>
      <c r="AY39" s="724"/>
      <c r="AZ39" s="724"/>
      <c r="BA39" s="724"/>
      <c r="BB39" s="724"/>
      <c r="BC39" s="725">
        <f t="shared" si="0"/>
        <v>103328.19</v>
      </c>
      <c r="BD39" s="724">
        <f>+BC39-'BOULEVARD 5 orig.'!I44</f>
        <v>0</v>
      </c>
      <c r="BE39" s="724">
        <f t="shared" si="1"/>
        <v>103328.19</v>
      </c>
      <c r="BF39" s="726">
        <f>VLOOKUP(A39,'BOULEVARD 5 orig.'!B44:AS342,42,0)</f>
        <v>0</v>
      </c>
      <c r="BG39" s="727">
        <f t="shared" si="3"/>
        <v>15</v>
      </c>
      <c r="BH39" s="728">
        <f t="shared" si="2"/>
        <v>6888.5460000000003</v>
      </c>
    </row>
    <row r="40" spans="1:60" x14ac:dyDescent="0.2">
      <c r="A40" s="723">
        <v>309</v>
      </c>
      <c r="B40" s="723" t="str">
        <f>'BOULEVARD 5'!H45</f>
        <v>4.Plan de pagos</v>
      </c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724"/>
      <c r="O40" s="724"/>
      <c r="P40" s="724"/>
      <c r="Q40" s="724"/>
      <c r="R40" s="724"/>
      <c r="S40" s="724"/>
      <c r="T40" s="724">
        <v>5000</v>
      </c>
      <c r="U40" s="724">
        <v>2500</v>
      </c>
      <c r="V40" s="724">
        <v>2500</v>
      </c>
      <c r="W40" s="724">
        <v>2500</v>
      </c>
      <c r="X40" s="724">
        <v>27500</v>
      </c>
      <c r="Y40" s="724">
        <v>2500</v>
      </c>
      <c r="Z40" s="724">
        <v>2500</v>
      </c>
      <c r="AA40" s="724">
        <v>2500</v>
      </c>
      <c r="AB40" s="724">
        <v>2500</v>
      </c>
      <c r="AC40" s="724">
        <v>2500</v>
      </c>
      <c r="AD40" s="724">
        <v>2500</v>
      </c>
      <c r="AE40" s="724">
        <v>2500</v>
      </c>
      <c r="AF40" s="724">
        <v>37500</v>
      </c>
      <c r="AG40" s="724">
        <v>2500</v>
      </c>
      <c r="AH40" s="724">
        <v>2500</v>
      </c>
      <c r="AI40" s="724">
        <v>2500</v>
      </c>
      <c r="AJ40" s="724">
        <v>32590</v>
      </c>
      <c r="AK40" s="724"/>
      <c r="AL40" s="724"/>
      <c r="AM40" s="724"/>
      <c r="AN40" s="724"/>
      <c r="AO40" s="724"/>
      <c r="AP40" s="724"/>
      <c r="AQ40" s="724"/>
      <c r="AR40" s="724"/>
      <c r="AS40" s="724"/>
      <c r="AT40" s="724"/>
      <c r="AU40" s="724"/>
      <c r="AV40" s="724"/>
      <c r="AW40" s="724"/>
      <c r="AX40" s="724"/>
      <c r="AY40" s="724"/>
      <c r="AZ40" s="724"/>
      <c r="BA40" s="724"/>
      <c r="BB40" s="724"/>
      <c r="BC40" s="725">
        <f t="shared" si="0"/>
        <v>135090</v>
      </c>
      <c r="BD40" s="724">
        <f>+BC40-'BOULEVARD 5 orig.'!I45</f>
        <v>0</v>
      </c>
      <c r="BE40" s="724">
        <f t="shared" si="1"/>
        <v>135090</v>
      </c>
      <c r="BF40" s="726">
        <f>VLOOKUP(A40,'BOULEVARD 5 orig.'!B45:AS343,42,0)</f>
        <v>0</v>
      </c>
      <c r="BG40" s="727">
        <f t="shared" si="3"/>
        <v>17</v>
      </c>
      <c r="BH40" s="728">
        <f t="shared" si="2"/>
        <v>7946.4705882352937</v>
      </c>
    </row>
    <row r="41" spans="1:60" x14ac:dyDescent="0.2">
      <c r="A41" s="723">
        <v>310</v>
      </c>
      <c r="B41" s="723" t="str">
        <f>'BOULEVARD 5'!H46</f>
        <v>2.Reserva</v>
      </c>
      <c r="C41" s="724"/>
      <c r="D41" s="724"/>
      <c r="E41" s="724"/>
      <c r="F41" s="724"/>
      <c r="G41" s="724"/>
      <c r="H41" s="724"/>
      <c r="I41" s="724"/>
      <c r="J41" s="724"/>
      <c r="K41" s="724"/>
      <c r="L41" s="724"/>
      <c r="M41" s="724"/>
      <c r="N41" s="724"/>
      <c r="O41" s="724"/>
      <c r="P41" s="724"/>
      <c r="Q41" s="724"/>
      <c r="R41" s="724"/>
      <c r="S41" s="724"/>
      <c r="T41" s="724"/>
      <c r="U41" s="724"/>
      <c r="V41" s="724"/>
      <c r="W41" s="724"/>
      <c r="X41" s="724"/>
      <c r="Y41" s="724"/>
      <c r="Z41" s="724"/>
      <c r="AA41" s="724"/>
      <c r="AB41" s="724"/>
      <c r="AC41" s="724"/>
      <c r="AD41" s="724"/>
      <c r="AE41" s="724"/>
      <c r="AF41" s="724"/>
      <c r="AG41" s="724"/>
      <c r="AH41" s="724"/>
      <c r="AI41" s="724"/>
      <c r="AJ41" s="724"/>
      <c r="AK41" s="724"/>
      <c r="AL41" s="724"/>
      <c r="AM41" s="724"/>
      <c r="AN41" s="724"/>
      <c r="AO41" s="724"/>
      <c r="AP41" s="724"/>
      <c r="AQ41" s="724"/>
      <c r="AR41" s="724"/>
      <c r="AS41" s="724"/>
      <c r="AT41" s="724"/>
      <c r="AU41" s="724"/>
      <c r="AV41" s="724"/>
      <c r="AW41" s="724"/>
      <c r="AX41" s="724"/>
      <c r="AY41" s="724"/>
      <c r="AZ41" s="724"/>
      <c r="BA41" s="724"/>
      <c r="BB41" s="724"/>
      <c r="BC41" s="725">
        <f t="shared" si="0"/>
        <v>0</v>
      </c>
      <c r="BD41" s="724">
        <f>+BC41-'BOULEVARD 5 orig.'!I46</f>
        <v>-102123.44825209501</v>
      </c>
      <c r="BE41" s="724">
        <f t="shared" si="1"/>
        <v>0</v>
      </c>
      <c r="BF41" s="726">
        <f>VLOOKUP(A41,'BOULEVARD 5 orig.'!B46:AS344,42,0)</f>
        <v>0</v>
      </c>
      <c r="BG41" s="727">
        <f t="shared" si="3"/>
        <v>0</v>
      </c>
      <c r="BH41" s="728">
        <f t="shared" si="2"/>
        <v>0</v>
      </c>
    </row>
    <row r="42" spans="1:60" x14ac:dyDescent="0.2">
      <c r="A42" s="723">
        <v>311</v>
      </c>
      <c r="B42" s="723" t="str">
        <f>'BOULEVARD 5'!H47</f>
        <v>4.Plan de pagos</v>
      </c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4"/>
      <c r="P42" s="724"/>
      <c r="Q42" s="724"/>
      <c r="R42" s="724"/>
      <c r="S42" s="724"/>
      <c r="T42" s="724"/>
      <c r="U42" s="724">
        <v>10000</v>
      </c>
      <c r="V42" s="724"/>
      <c r="W42" s="724">
        <v>129140</v>
      </c>
      <c r="X42" s="724"/>
      <c r="Y42" s="724"/>
      <c r="Z42" s="724"/>
      <c r="AA42" s="724"/>
      <c r="AB42" s="724"/>
      <c r="AC42" s="724"/>
      <c r="AD42" s="724"/>
      <c r="AE42" s="724"/>
      <c r="AF42" s="724"/>
      <c r="AG42" s="724"/>
      <c r="AH42" s="724"/>
      <c r="AI42" s="724"/>
      <c r="AJ42" s="724"/>
      <c r="AK42" s="724"/>
      <c r="AL42" s="724"/>
      <c r="AM42" s="724"/>
      <c r="AN42" s="724"/>
      <c r="AO42" s="724"/>
      <c r="AP42" s="724"/>
      <c r="AQ42" s="724"/>
      <c r="AR42" s="724"/>
      <c r="AS42" s="724"/>
      <c r="AT42" s="724"/>
      <c r="AU42" s="724"/>
      <c r="AV42" s="724"/>
      <c r="AW42" s="724"/>
      <c r="AX42" s="724"/>
      <c r="AY42" s="724"/>
      <c r="AZ42" s="724"/>
      <c r="BA42" s="724"/>
      <c r="BB42" s="724"/>
      <c r="BC42" s="725">
        <f t="shared" si="0"/>
        <v>139140</v>
      </c>
      <c r="BD42" s="724">
        <f>+BC42-'BOULEVARD 5 orig.'!I47</f>
        <v>0</v>
      </c>
      <c r="BE42" s="724">
        <f t="shared" si="1"/>
        <v>139140</v>
      </c>
      <c r="BF42" s="726">
        <f>VLOOKUP(A42,'BOULEVARD 5 orig.'!B47:AS345,42,0)</f>
        <v>0</v>
      </c>
      <c r="BG42" s="727">
        <f t="shared" si="3"/>
        <v>2</v>
      </c>
      <c r="BH42" s="728">
        <f t="shared" si="2"/>
        <v>69570</v>
      </c>
    </row>
    <row r="43" spans="1:60" x14ac:dyDescent="0.2">
      <c r="A43" s="723">
        <v>312</v>
      </c>
      <c r="B43" s="723" t="str">
        <f>'BOULEVARD 5'!H48</f>
        <v>4.Plan de pagos</v>
      </c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4"/>
      <c r="Q43" s="724"/>
      <c r="R43" s="724"/>
      <c r="S43" s="724"/>
      <c r="T43" s="724"/>
      <c r="U43" s="724"/>
      <c r="V43" s="724"/>
      <c r="W43" s="724"/>
      <c r="X43" s="724"/>
      <c r="Y43" s="724">
        <v>8000</v>
      </c>
      <c r="Z43" s="724">
        <v>7851</v>
      </c>
      <c r="AA43" s="724">
        <v>7851</v>
      </c>
      <c r="AB43" s="724">
        <v>7851</v>
      </c>
      <c r="AC43" s="724">
        <v>7851</v>
      </c>
      <c r="AD43" s="724">
        <v>7851</v>
      </c>
      <c r="AE43" s="724">
        <v>7851</v>
      </c>
      <c r="AF43" s="724">
        <v>7851</v>
      </c>
      <c r="AG43" s="724">
        <v>7851</v>
      </c>
      <c r="AH43" s="724">
        <v>7851</v>
      </c>
      <c r="AI43" s="724">
        <v>7851</v>
      </c>
      <c r="AJ43" s="724">
        <v>7851</v>
      </c>
      <c r="AK43" s="724">
        <v>7851</v>
      </c>
      <c r="AL43" s="724">
        <v>7851</v>
      </c>
      <c r="AM43" s="724">
        <v>7851</v>
      </c>
      <c r="AN43" s="724">
        <v>7851</v>
      </c>
      <c r="AO43" s="724">
        <v>7851</v>
      </c>
      <c r="AP43" s="724">
        <v>7846.32</v>
      </c>
      <c r="AQ43" s="724"/>
      <c r="AR43" s="724"/>
      <c r="AS43" s="724"/>
      <c r="AT43" s="724"/>
      <c r="AU43" s="724"/>
      <c r="AV43" s="724"/>
      <c r="AW43" s="724"/>
      <c r="AX43" s="724"/>
      <c r="AY43" s="724"/>
      <c r="AZ43" s="724"/>
      <c r="BA43" s="724"/>
      <c r="BB43" s="724"/>
      <c r="BC43" s="725">
        <f t="shared" si="0"/>
        <v>141462.32</v>
      </c>
      <c r="BD43" s="724">
        <f>+BC43-'BOULEVARD 5 orig.'!I48</f>
        <v>0</v>
      </c>
      <c r="BE43" s="724">
        <f t="shared" si="1"/>
        <v>141462.32</v>
      </c>
      <c r="BF43" s="726">
        <f>VLOOKUP(A43,'BOULEVARD 5 orig.'!B48:AS346,42,0)</f>
        <v>0</v>
      </c>
      <c r="BG43" s="727">
        <f t="shared" si="3"/>
        <v>18</v>
      </c>
      <c r="BH43" s="728">
        <f t="shared" si="2"/>
        <v>7859.0177777777781</v>
      </c>
    </row>
    <row r="44" spans="1:60" x14ac:dyDescent="0.2">
      <c r="A44" s="723">
        <v>313</v>
      </c>
      <c r="B44" s="723" t="str">
        <f>'BOULEVARD 5'!H49</f>
        <v>4.Plan de pagos</v>
      </c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>
        <v>28000</v>
      </c>
      <c r="R44" s="724">
        <v>4253</v>
      </c>
      <c r="S44" s="724">
        <v>4253</v>
      </c>
      <c r="T44" s="724">
        <v>4253</v>
      </c>
      <c r="U44" s="724">
        <v>4253</v>
      </c>
      <c r="V44" s="724">
        <v>4253</v>
      </c>
      <c r="W44" s="724">
        <v>4253</v>
      </c>
      <c r="X44" s="724">
        <v>4253</v>
      </c>
      <c r="Y44" s="724">
        <v>4253</v>
      </c>
      <c r="Z44" s="724">
        <v>4253</v>
      </c>
      <c r="AA44" s="724">
        <v>4253</v>
      </c>
      <c r="AB44" s="724">
        <v>4253</v>
      </c>
      <c r="AC44" s="724">
        <v>4253</v>
      </c>
      <c r="AD44" s="724">
        <v>4253</v>
      </c>
      <c r="AE44" s="724">
        <v>4253</v>
      </c>
      <c r="AF44" s="724">
        <v>4253</v>
      </c>
      <c r="AG44" s="724">
        <v>4253</v>
      </c>
      <c r="AH44" s="724">
        <v>4253</v>
      </c>
      <c r="AI44" s="724">
        <v>4253</v>
      </c>
      <c r="AJ44" s="724">
        <v>4246</v>
      </c>
      <c r="AK44" s="724"/>
      <c r="AL44" s="724"/>
      <c r="AM44" s="724"/>
      <c r="AN44" s="724"/>
      <c r="AO44" s="724"/>
      <c r="AP44" s="724"/>
      <c r="AQ44" s="724"/>
      <c r="AR44" s="724"/>
      <c r="AS44" s="724"/>
      <c r="AT44" s="724"/>
      <c r="AU44" s="724"/>
      <c r="AV44" s="724"/>
      <c r="AW44" s="724"/>
      <c r="AX44" s="724"/>
      <c r="AY44" s="724"/>
      <c r="AZ44" s="724"/>
      <c r="BA44" s="724"/>
      <c r="BB44" s="724"/>
      <c r="BC44" s="725">
        <f t="shared" si="0"/>
        <v>108800</v>
      </c>
      <c r="BD44" s="724">
        <f>+BC44-'BOULEVARD 5 orig.'!I49</f>
        <v>0</v>
      </c>
      <c r="BE44" s="724">
        <f t="shared" si="1"/>
        <v>108800</v>
      </c>
      <c r="BF44" s="726">
        <f>VLOOKUP(A44,'BOULEVARD 5 orig.'!B49:AS347,42,0)</f>
        <v>0</v>
      </c>
      <c r="BG44" s="727">
        <f t="shared" si="3"/>
        <v>20</v>
      </c>
      <c r="BH44" s="728">
        <f t="shared" si="2"/>
        <v>5440</v>
      </c>
    </row>
    <row r="45" spans="1:60" x14ac:dyDescent="0.2">
      <c r="A45" s="723">
        <v>314</v>
      </c>
      <c r="B45" s="723" t="str">
        <f>'BOULEVARD 5'!H50</f>
        <v>4.Plan de pagos</v>
      </c>
      <c r="C45" s="724"/>
      <c r="D45" s="724"/>
      <c r="E45" s="724"/>
      <c r="F45" s="724"/>
      <c r="G45" s="724"/>
      <c r="H45" s="724"/>
      <c r="I45" s="724"/>
      <c r="J45" s="724"/>
      <c r="K45" s="724"/>
      <c r="L45" s="724"/>
      <c r="M45" s="724"/>
      <c r="N45" s="724"/>
      <c r="O45" s="724"/>
      <c r="P45" s="724"/>
      <c r="Q45" s="724"/>
      <c r="R45" s="724"/>
      <c r="S45" s="724"/>
      <c r="T45" s="724"/>
      <c r="U45" s="724"/>
      <c r="V45" s="724"/>
      <c r="W45" s="724"/>
      <c r="X45" s="724"/>
      <c r="Y45" s="724"/>
      <c r="Z45" s="724"/>
      <c r="AA45" s="724"/>
      <c r="AB45" s="724"/>
      <c r="AC45" s="724"/>
      <c r="AD45" s="724"/>
      <c r="AE45" s="724"/>
      <c r="AF45" s="724"/>
      <c r="AG45" s="724"/>
      <c r="AH45" s="724"/>
      <c r="AI45" s="724"/>
      <c r="AJ45" s="724"/>
      <c r="AK45" s="724"/>
      <c r="AL45" s="724"/>
      <c r="AM45" s="724"/>
      <c r="AN45" s="724"/>
      <c r="AO45" s="724"/>
      <c r="AP45" s="724"/>
      <c r="AQ45" s="724"/>
      <c r="AR45" s="724"/>
      <c r="AS45" s="724"/>
      <c r="AT45" s="724"/>
      <c r="AU45" s="724"/>
      <c r="AV45" s="724"/>
      <c r="AW45" s="724"/>
      <c r="AX45" s="724"/>
      <c r="AY45" s="724"/>
      <c r="AZ45" s="724"/>
      <c r="BA45" s="724"/>
      <c r="BB45" s="724"/>
      <c r="BC45" s="725">
        <f t="shared" si="0"/>
        <v>0</v>
      </c>
      <c r="BD45" s="724">
        <f>+BC45-'BOULEVARD 5 orig.'!I50</f>
        <v>-103752.178830839</v>
      </c>
      <c r="BE45" s="724">
        <f t="shared" si="1"/>
        <v>0</v>
      </c>
      <c r="BF45" s="726">
        <f>VLOOKUP(A45,'BOULEVARD 5 orig.'!B50:AS348,42,0)</f>
        <v>0</v>
      </c>
      <c r="BG45" s="727">
        <f t="shared" si="3"/>
        <v>0</v>
      </c>
      <c r="BH45" s="728">
        <f t="shared" si="2"/>
        <v>0</v>
      </c>
    </row>
    <row r="46" spans="1:60" x14ac:dyDescent="0.2">
      <c r="A46" s="736">
        <v>315</v>
      </c>
      <c r="B46" s="736" t="str">
        <f>'BOULEVARD 5'!H51</f>
        <v>4.Plan de pagos</v>
      </c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724"/>
      <c r="AB46" s="724">
        <v>10000</v>
      </c>
      <c r="AC46" s="724">
        <v>11110</v>
      </c>
      <c r="AD46" s="724">
        <v>11110</v>
      </c>
      <c r="AE46" s="724">
        <v>11110</v>
      </c>
      <c r="AF46" s="724">
        <v>11110</v>
      </c>
      <c r="AG46" s="724">
        <v>11110</v>
      </c>
      <c r="AH46" s="724">
        <v>11110</v>
      </c>
      <c r="AI46" s="724">
        <v>11110</v>
      </c>
      <c r="AJ46" s="724">
        <v>11110</v>
      </c>
      <c r="AK46" s="724">
        <v>11110</v>
      </c>
      <c r="AL46" s="724">
        <v>11110</v>
      </c>
      <c r="AM46" s="724">
        <v>11110</v>
      </c>
      <c r="AN46" s="724">
        <v>11110</v>
      </c>
      <c r="AO46" s="724">
        <v>11106.98</v>
      </c>
      <c r="AP46" s="724"/>
      <c r="AQ46" s="724"/>
      <c r="AR46" s="724"/>
      <c r="AS46" s="724"/>
      <c r="AT46" s="724"/>
      <c r="AU46" s="724"/>
      <c r="AV46" s="724"/>
      <c r="AW46" s="724"/>
      <c r="AX46" s="724"/>
      <c r="AY46" s="724"/>
      <c r="AZ46" s="724"/>
      <c r="BA46" s="724"/>
      <c r="BB46" s="724"/>
      <c r="BC46" s="725">
        <f t="shared" si="0"/>
        <v>154426.98000000001</v>
      </c>
      <c r="BD46" s="724">
        <f>+BC46-'BOULEVARD 5 orig.'!I51</f>
        <v>64.282764825999038</v>
      </c>
      <c r="BE46" s="724">
        <f t="shared" si="1"/>
        <v>154426.98000000001</v>
      </c>
      <c r="BF46" s="726">
        <f>VLOOKUP(A46,'BOULEVARD 5 orig.'!B51:AS349,42,0)</f>
        <v>0</v>
      </c>
      <c r="BG46" s="727">
        <f t="shared" si="3"/>
        <v>14</v>
      </c>
      <c r="BH46" s="728">
        <f t="shared" si="2"/>
        <v>11030.498571428572</v>
      </c>
    </row>
    <row r="47" spans="1:60" x14ac:dyDescent="0.2">
      <c r="A47" s="723">
        <v>316</v>
      </c>
      <c r="B47" s="723" t="str">
        <f>'BOULEVARD 5'!H52</f>
        <v>4.Plan de pagos</v>
      </c>
      <c r="C47" s="724"/>
      <c r="D47" s="724"/>
      <c r="E47" s="724"/>
      <c r="F47" s="724"/>
      <c r="G47" s="724"/>
      <c r="H47" s="724"/>
      <c r="I47" s="724"/>
      <c r="J47" s="724">
        <v>8000</v>
      </c>
      <c r="K47" s="724">
        <v>2735</v>
      </c>
      <c r="L47" s="724">
        <v>2735</v>
      </c>
      <c r="M47" s="724">
        <v>2735</v>
      </c>
      <c r="N47" s="724">
        <v>2735</v>
      </c>
      <c r="O47" s="724">
        <v>2735</v>
      </c>
      <c r="P47" s="724">
        <v>2735</v>
      </c>
      <c r="Q47" s="724">
        <v>2735</v>
      </c>
      <c r="R47" s="724">
        <v>2735</v>
      </c>
      <c r="S47" s="724">
        <v>2735</v>
      </c>
      <c r="T47" s="724">
        <v>2735</v>
      </c>
      <c r="U47" s="724">
        <v>2735</v>
      </c>
      <c r="V47" s="724">
        <v>2735</v>
      </c>
      <c r="W47" s="724">
        <v>2735</v>
      </c>
      <c r="X47" s="724">
        <v>2735</v>
      </c>
      <c r="Y47" s="724">
        <v>2735</v>
      </c>
      <c r="Z47" s="724">
        <v>2735</v>
      </c>
      <c r="AA47" s="724">
        <v>2735</v>
      </c>
      <c r="AB47" s="724">
        <v>2735</v>
      </c>
      <c r="AC47" s="724">
        <v>2735</v>
      </c>
      <c r="AD47" s="724">
        <v>2735</v>
      </c>
      <c r="AE47" s="724">
        <v>2735</v>
      </c>
      <c r="AF47" s="724">
        <v>2735</v>
      </c>
      <c r="AG47" s="724">
        <v>2726.44</v>
      </c>
      <c r="AH47" s="724"/>
      <c r="AI47" s="724"/>
      <c r="AJ47" s="724"/>
      <c r="AK47" s="724"/>
      <c r="AL47" s="724"/>
      <c r="AM47" s="724"/>
      <c r="AN47" s="724"/>
      <c r="AO47" s="724"/>
      <c r="AP47" s="724"/>
      <c r="AQ47" s="724"/>
      <c r="AR47" s="724"/>
      <c r="AS47" s="724"/>
      <c r="AT47" s="724"/>
      <c r="AU47" s="724"/>
      <c r="AV47" s="724"/>
      <c r="AW47" s="724"/>
      <c r="AX47" s="724"/>
      <c r="AY47" s="724"/>
      <c r="AZ47" s="724"/>
      <c r="BA47" s="724"/>
      <c r="BB47" s="724"/>
      <c r="BC47" s="725">
        <f t="shared" si="0"/>
        <v>70896.44</v>
      </c>
      <c r="BD47" s="724">
        <f>+BC47-'BOULEVARD 5 orig.'!I52</f>
        <v>0</v>
      </c>
      <c r="BE47" s="724">
        <f t="shared" si="1"/>
        <v>70896.44</v>
      </c>
      <c r="BF47" s="726">
        <f>VLOOKUP(A47,'BOULEVARD 5 orig.'!B52:AS350,42,0)</f>
        <v>0</v>
      </c>
      <c r="BG47" s="727">
        <f t="shared" si="3"/>
        <v>24</v>
      </c>
      <c r="BH47" s="728">
        <f t="shared" si="2"/>
        <v>2954.0183333333334</v>
      </c>
    </row>
    <row r="48" spans="1:60" x14ac:dyDescent="0.2">
      <c r="A48" s="723">
        <v>317</v>
      </c>
      <c r="B48" s="723" t="str">
        <f>'BOULEVARD 5'!H53</f>
        <v>4.Plan de pagos</v>
      </c>
      <c r="C48" s="724"/>
      <c r="D48" s="724"/>
      <c r="E48" s="724"/>
      <c r="F48" s="724"/>
      <c r="G48" s="724"/>
      <c r="H48" s="724"/>
      <c r="I48" s="724"/>
      <c r="J48" s="724"/>
      <c r="K48" s="724">
        <v>5500</v>
      </c>
      <c r="L48" s="724">
        <v>3031</v>
      </c>
      <c r="M48" s="724">
        <v>3031</v>
      </c>
      <c r="N48" s="724">
        <v>3031</v>
      </c>
      <c r="O48" s="724">
        <v>3031</v>
      </c>
      <c r="P48" s="724">
        <v>3031</v>
      </c>
      <c r="Q48" s="724">
        <v>3031</v>
      </c>
      <c r="R48" s="724">
        <v>3031</v>
      </c>
      <c r="S48" s="724">
        <v>3031</v>
      </c>
      <c r="T48" s="724">
        <v>3031</v>
      </c>
      <c r="U48" s="724">
        <v>3031</v>
      </c>
      <c r="V48" s="724">
        <v>3031</v>
      </c>
      <c r="W48" s="724">
        <v>3031</v>
      </c>
      <c r="X48" s="724">
        <v>3031</v>
      </c>
      <c r="Y48" s="724">
        <v>3031</v>
      </c>
      <c r="Z48" s="724">
        <v>3031</v>
      </c>
      <c r="AA48" s="724">
        <v>3031</v>
      </c>
      <c r="AB48" s="724">
        <v>3031</v>
      </c>
      <c r="AC48" s="724">
        <v>3031</v>
      </c>
      <c r="AD48" s="724">
        <v>3031</v>
      </c>
      <c r="AE48" s="724">
        <v>3031</v>
      </c>
      <c r="AF48" s="724">
        <v>3031</v>
      </c>
      <c r="AG48" s="724">
        <v>3036.5</v>
      </c>
      <c r="AH48" s="724"/>
      <c r="AI48" s="724"/>
      <c r="AJ48" s="724"/>
      <c r="AK48" s="724"/>
      <c r="AL48" s="724"/>
      <c r="AM48" s="724"/>
      <c r="AN48" s="724"/>
      <c r="AO48" s="724"/>
      <c r="AP48" s="724"/>
      <c r="AQ48" s="724"/>
      <c r="AR48" s="724"/>
      <c r="AS48" s="724"/>
      <c r="AT48" s="724"/>
      <c r="AU48" s="724"/>
      <c r="AV48" s="724"/>
      <c r="AW48" s="724"/>
      <c r="AX48" s="724"/>
      <c r="AY48" s="724"/>
      <c r="AZ48" s="724"/>
      <c r="BA48" s="724"/>
      <c r="BB48" s="724"/>
      <c r="BC48" s="725">
        <f t="shared" si="0"/>
        <v>72187.5</v>
      </c>
      <c r="BD48" s="724">
        <f>+BC48-'BOULEVARD 5 orig.'!I53</f>
        <v>0</v>
      </c>
      <c r="BE48" s="724">
        <f t="shared" si="1"/>
        <v>72187.5</v>
      </c>
      <c r="BF48" s="726">
        <f>VLOOKUP(A48,'BOULEVARD 5 orig.'!B53:AS351,42,0)</f>
        <v>0</v>
      </c>
      <c r="BG48" s="727">
        <f t="shared" si="3"/>
        <v>23</v>
      </c>
      <c r="BH48" s="728">
        <f t="shared" si="2"/>
        <v>3138.586956521739</v>
      </c>
    </row>
    <row r="49" spans="1:60" x14ac:dyDescent="0.2">
      <c r="A49" s="723">
        <v>318</v>
      </c>
      <c r="B49" s="723" t="str">
        <f>'BOULEVARD 5'!H54</f>
        <v>4.Plan de pagos</v>
      </c>
      <c r="C49" s="724"/>
      <c r="D49" s="724"/>
      <c r="E49" s="724"/>
      <c r="F49" s="724"/>
      <c r="G49" s="724"/>
      <c r="H49" s="724"/>
      <c r="I49" s="724"/>
      <c r="J49" s="724"/>
      <c r="K49" s="724">
        <v>5500</v>
      </c>
      <c r="L49" s="724">
        <v>3026</v>
      </c>
      <c r="M49" s="724">
        <v>3026</v>
      </c>
      <c r="N49" s="724">
        <v>3026</v>
      </c>
      <c r="O49" s="724">
        <v>3026</v>
      </c>
      <c r="P49" s="724">
        <v>3026</v>
      </c>
      <c r="Q49" s="724">
        <v>3026</v>
      </c>
      <c r="R49" s="724">
        <v>3026</v>
      </c>
      <c r="S49" s="724">
        <v>3026</v>
      </c>
      <c r="T49" s="724">
        <v>3026</v>
      </c>
      <c r="U49" s="724">
        <v>3026</v>
      </c>
      <c r="V49" s="724">
        <v>3026</v>
      </c>
      <c r="W49" s="724">
        <v>3026</v>
      </c>
      <c r="X49" s="724">
        <v>3026</v>
      </c>
      <c r="Y49" s="724">
        <v>3026</v>
      </c>
      <c r="Z49" s="724">
        <v>3026</v>
      </c>
      <c r="AA49" s="724">
        <v>3026</v>
      </c>
      <c r="AB49" s="724">
        <v>3026</v>
      </c>
      <c r="AC49" s="724">
        <v>3026</v>
      </c>
      <c r="AD49" s="724">
        <v>3026</v>
      </c>
      <c r="AE49" s="724">
        <v>3026</v>
      </c>
      <c r="AF49" s="724">
        <v>3026</v>
      </c>
      <c r="AG49" s="724">
        <v>3026.5</v>
      </c>
      <c r="AH49" s="724"/>
      <c r="AI49" s="724"/>
      <c r="AJ49" s="724"/>
      <c r="AK49" s="724"/>
      <c r="AL49" s="724"/>
      <c r="AM49" s="724"/>
      <c r="AN49" s="724"/>
      <c r="AO49" s="724"/>
      <c r="AP49" s="724"/>
      <c r="AQ49" s="724"/>
      <c r="AR49" s="724"/>
      <c r="AS49" s="724"/>
      <c r="AT49" s="724"/>
      <c r="AU49" s="724"/>
      <c r="AV49" s="724"/>
      <c r="AW49" s="724"/>
      <c r="AX49" s="724"/>
      <c r="AY49" s="724"/>
      <c r="AZ49" s="724"/>
      <c r="BA49" s="724"/>
      <c r="BB49" s="724"/>
      <c r="BC49" s="725">
        <f t="shared" si="0"/>
        <v>72072.5</v>
      </c>
      <c r="BD49" s="724">
        <f>+BC49-'BOULEVARD 5 orig.'!I54</f>
        <v>0</v>
      </c>
      <c r="BE49" s="724">
        <f t="shared" si="1"/>
        <v>72072.5</v>
      </c>
      <c r="BF49" s="726">
        <f>VLOOKUP(A49,'BOULEVARD 5 orig.'!B54:AS352,42,0)</f>
        <v>0</v>
      </c>
      <c r="BG49" s="727">
        <f t="shared" si="3"/>
        <v>23</v>
      </c>
      <c r="BH49" s="728">
        <f t="shared" si="2"/>
        <v>3133.586956521739</v>
      </c>
    </row>
    <row r="50" spans="1:60" x14ac:dyDescent="0.2">
      <c r="A50" s="723">
        <v>319</v>
      </c>
      <c r="B50" s="723" t="str">
        <f>'BOULEVARD 5'!H55</f>
        <v>4.Plan de pagos</v>
      </c>
      <c r="C50" s="724"/>
      <c r="D50" s="724"/>
      <c r="E50" s="724"/>
      <c r="F50" s="724"/>
      <c r="G50" s="724"/>
      <c r="H50" s="724"/>
      <c r="I50" s="724"/>
      <c r="J50" s="724"/>
      <c r="K50" s="724"/>
      <c r="L50" s="724"/>
      <c r="M50" s="724"/>
      <c r="N50" s="724">
        <v>8000</v>
      </c>
      <c r="O50" s="724">
        <v>4663</v>
      </c>
      <c r="P50" s="724">
        <v>4663</v>
      </c>
      <c r="Q50" s="724">
        <v>4663</v>
      </c>
      <c r="R50" s="724">
        <v>4663</v>
      </c>
      <c r="S50" s="724">
        <v>4663</v>
      </c>
      <c r="T50" s="724">
        <v>4663</v>
      </c>
      <c r="U50" s="724">
        <v>4663</v>
      </c>
      <c r="V50" s="724">
        <v>4663</v>
      </c>
      <c r="W50" s="724">
        <v>4663</v>
      </c>
      <c r="X50" s="724">
        <v>4663</v>
      </c>
      <c r="Y50" s="724">
        <v>4663</v>
      </c>
      <c r="Z50" s="724">
        <v>4663</v>
      </c>
      <c r="AA50" s="724">
        <v>4663</v>
      </c>
      <c r="AB50" s="724">
        <v>4663</v>
      </c>
      <c r="AC50" s="724">
        <v>4663</v>
      </c>
      <c r="AD50" s="724">
        <v>4663</v>
      </c>
      <c r="AE50" s="724">
        <v>4663</v>
      </c>
      <c r="AF50" s="724">
        <v>4663</v>
      </c>
      <c r="AG50" s="724">
        <v>4666</v>
      </c>
      <c r="AH50" s="724"/>
      <c r="AI50" s="724"/>
      <c r="AJ50" s="724"/>
      <c r="AK50" s="724"/>
      <c r="AL50" s="724"/>
      <c r="AM50" s="724"/>
      <c r="AN50" s="724"/>
      <c r="AO50" s="724"/>
      <c r="AP50" s="724"/>
      <c r="AQ50" s="724"/>
      <c r="AR50" s="724"/>
      <c r="AS50" s="724"/>
      <c r="AT50" s="724"/>
      <c r="AU50" s="724"/>
      <c r="AV50" s="724"/>
      <c r="AW50" s="724"/>
      <c r="AX50" s="724"/>
      <c r="AY50" s="724"/>
      <c r="AZ50" s="724"/>
      <c r="BA50" s="724"/>
      <c r="BB50" s="724"/>
      <c r="BC50" s="725">
        <f t="shared" si="0"/>
        <v>96600</v>
      </c>
      <c r="BD50" s="724">
        <f>+BC50-'BOULEVARD 5 orig.'!I55</f>
        <v>0</v>
      </c>
      <c r="BE50" s="724">
        <f t="shared" si="1"/>
        <v>96600</v>
      </c>
      <c r="BF50" s="726">
        <f>VLOOKUP(A50,'BOULEVARD 5 orig.'!B55:AS353,42,0)</f>
        <v>0</v>
      </c>
      <c r="BG50" s="727">
        <f t="shared" si="3"/>
        <v>20</v>
      </c>
      <c r="BH50" s="728">
        <f t="shared" si="2"/>
        <v>4830</v>
      </c>
    </row>
    <row r="51" spans="1:60" x14ac:dyDescent="0.2">
      <c r="A51" s="723">
        <v>320</v>
      </c>
      <c r="B51" s="723" t="str">
        <f>'BOULEVARD 5'!H56</f>
        <v>4.Plan de pagos</v>
      </c>
      <c r="C51" s="724"/>
      <c r="D51" s="724"/>
      <c r="E51" s="724"/>
      <c r="F51" s="724"/>
      <c r="G51" s="724"/>
      <c r="H51" s="724">
        <v>6000</v>
      </c>
      <c r="I51" s="724">
        <v>3684</v>
      </c>
      <c r="J51" s="724">
        <v>3684</v>
      </c>
      <c r="K51" s="724">
        <v>3684</v>
      </c>
      <c r="L51" s="724">
        <v>3684</v>
      </c>
      <c r="M51" s="724">
        <v>3684</v>
      </c>
      <c r="N51" s="724">
        <v>3684</v>
      </c>
      <c r="O51" s="724">
        <v>3684</v>
      </c>
      <c r="P51" s="724">
        <v>3684</v>
      </c>
      <c r="Q51" s="724">
        <v>3684</v>
      </c>
      <c r="R51" s="724">
        <v>3684</v>
      </c>
      <c r="S51" s="724">
        <v>3684</v>
      </c>
      <c r="T51" s="724">
        <v>3684</v>
      </c>
      <c r="U51" s="724">
        <v>3684</v>
      </c>
      <c r="V51" s="724">
        <v>3684</v>
      </c>
      <c r="W51" s="724">
        <v>3684</v>
      </c>
      <c r="X51" s="724">
        <v>3684</v>
      </c>
      <c r="Y51" s="724">
        <v>3684</v>
      </c>
      <c r="Z51" s="724">
        <v>3684</v>
      </c>
      <c r="AA51" s="724">
        <v>3684</v>
      </c>
      <c r="AB51" s="724">
        <v>3684</v>
      </c>
      <c r="AC51" s="724">
        <v>3684</v>
      </c>
      <c r="AD51" s="724">
        <v>3684</v>
      </c>
      <c r="AE51" s="724">
        <v>3684</v>
      </c>
      <c r="AF51" s="724">
        <v>3684</v>
      </c>
      <c r="AG51" s="724">
        <v>3684</v>
      </c>
      <c r="AH51" s="724"/>
      <c r="AI51" s="724"/>
      <c r="AJ51" s="724"/>
      <c r="AK51" s="724"/>
      <c r="AL51" s="724"/>
      <c r="AM51" s="724"/>
      <c r="AN51" s="724"/>
      <c r="AO51" s="724"/>
      <c r="AP51" s="724"/>
      <c r="AQ51" s="724"/>
      <c r="AR51" s="724"/>
      <c r="AS51" s="724"/>
      <c r="AT51" s="724"/>
      <c r="AU51" s="724"/>
      <c r="AV51" s="724"/>
      <c r="AW51" s="724"/>
      <c r="AX51" s="724"/>
      <c r="AY51" s="724"/>
      <c r="AZ51" s="724"/>
      <c r="BA51" s="724"/>
      <c r="BB51" s="724"/>
      <c r="BC51" s="725">
        <f t="shared" si="0"/>
        <v>98100</v>
      </c>
      <c r="BD51" s="724">
        <f>+BC51-'BOULEVARD 5 orig.'!I56</f>
        <v>0</v>
      </c>
      <c r="BE51" s="724">
        <f t="shared" si="1"/>
        <v>98100</v>
      </c>
      <c r="BF51" s="726">
        <f>VLOOKUP(A51,'BOULEVARD 5 orig.'!B56:AS354,42,0)</f>
        <v>0</v>
      </c>
      <c r="BG51" s="727">
        <f t="shared" si="3"/>
        <v>26</v>
      </c>
      <c r="BH51" s="728">
        <f t="shared" si="2"/>
        <v>3773.0769230769229</v>
      </c>
    </row>
    <row r="52" spans="1:60" x14ac:dyDescent="0.2">
      <c r="A52" s="723">
        <v>401</v>
      </c>
      <c r="B52" s="723" t="str">
        <f>'BOULEVARD 5'!H57</f>
        <v>4.Plan de pagos</v>
      </c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>
        <v>8000</v>
      </c>
      <c r="N52" s="724">
        <v>5370</v>
      </c>
      <c r="O52" s="724">
        <v>5370</v>
      </c>
      <c r="P52" s="724">
        <v>5370</v>
      </c>
      <c r="Q52" s="724">
        <v>5370</v>
      </c>
      <c r="R52" s="724">
        <v>5370</v>
      </c>
      <c r="S52" s="724">
        <v>5370</v>
      </c>
      <c r="T52" s="724">
        <v>5370</v>
      </c>
      <c r="U52" s="724">
        <v>5370</v>
      </c>
      <c r="V52" s="724">
        <v>5370</v>
      </c>
      <c r="W52" s="724">
        <v>5370</v>
      </c>
      <c r="X52" s="724">
        <v>5370</v>
      </c>
      <c r="Y52" s="724">
        <v>5370</v>
      </c>
      <c r="Z52" s="724">
        <v>5370</v>
      </c>
      <c r="AA52" s="724">
        <v>5370</v>
      </c>
      <c r="AB52" s="724">
        <v>5370</v>
      </c>
      <c r="AC52" s="724">
        <v>5370</v>
      </c>
      <c r="AD52" s="724">
        <v>5370</v>
      </c>
      <c r="AE52" s="724">
        <v>5370</v>
      </c>
      <c r="AF52" s="724">
        <v>5370</v>
      </c>
      <c r="AG52" s="724">
        <v>5370</v>
      </c>
      <c r="AH52" s="724"/>
      <c r="AI52" s="724"/>
      <c r="AJ52" s="724"/>
      <c r="AK52" s="724"/>
      <c r="AL52" s="724"/>
      <c r="AM52" s="724"/>
      <c r="AN52" s="724"/>
      <c r="AO52" s="724"/>
      <c r="AP52" s="724"/>
      <c r="AQ52" s="724"/>
      <c r="AR52" s="724"/>
      <c r="AS52" s="724"/>
      <c r="AT52" s="724"/>
      <c r="AU52" s="724"/>
      <c r="AV52" s="724"/>
      <c r="AW52" s="724"/>
      <c r="AX52" s="724"/>
      <c r="AY52" s="724"/>
      <c r="AZ52" s="724"/>
      <c r="BA52" s="724"/>
      <c r="BB52" s="724"/>
      <c r="BC52" s="725">
        <f t="shared" si="0"/>
        <v>115400</v>
      </c>
      <c r="BD52" s="724">
        <f>+BC52-'BOULEVARD 5 orig.'!I57</f>
        <v>0</v>
      </c>
      <c r="BE52" s="724">
        <f t="shared" si="1"/>
        <v>115400</v>
      </c>
      <c r="BF52" s="726">
        <f>VLOOKUP(A52,'BOULEVARD 5 orig.'!B57:AS355,42,0)</f>
        <v>0</v>
      </c>
      <c r="BG52" s="727">
        <f t="shared" si="3"/>
        <v>21</v>
      </c>
      <c r="BH52" s="728">
        <f t="shared" si="2"/>
        <v>5495.2380952380954</v>
      </c>
    </row>
    <row r="53" spans="1:60" x14ac:dyDescent="0.2">
      <c r="A53" s="723">
        <v>402</v>
      </c>
      <c r="B53" s="723" t="str">
        <f>'BOULEVARD 5'!H58</f>
        <v>4.Plan de pagos</v>
      </c>
      <c r="C53" s="724"/>
      <c r="D53" s="724"/>
      <c r="E53" s="724"/>
      <c r="F53" s="724"/>
      <c r="G53" s="724"/>
      <c r="H53" s="724"/>
      <c r="I53" s="724"/>
      <c r="J53" s="724"/>
      <c r="K53" s="724"/>
      <c r="L53" s="724">
        <v>5500</v>
      </c>
      <c r="M53" s="724">
        <v>5222</v>
      </c>
      <c r="N53" s="724">
        <v>5222</v>
      </c>
      <c r="O53" s="724">
        <v>5222</v>
      </c>
      <c r="P53" s="724">
        <v>5222</v>
      </c>
      <c r="Q53" s="724">
        <v>5222</v>
      </c>
      <c r="R53" s="724">
        <v>5222</v>
      </c>
      <c r="S53" s="724">
        <v>5222</v>
      </c>
      <c r="T53" s="724">
        <v>5222</v>
      </c>
      <c r="U53" s="724">
        <v>5222</v>
      </c>
      <c r="V53" s="724">
        <v>5222</v>
      </c>
      <c r="W53" s="724">
        <v>5222</v>
      </c>
      <c r="X53" s="724">
        <v>5222</v>
      </c>
      <c r="Y53" s="724">
        <v>5222</v>
      </c>
      <c r="Z53" s="724">
        <v>5222</v>
      </c>
      <c r="AA53" s="724">
        <v>5222</v>
      </c>
      <c r="AB53" s="724">
        <v>5222</v>
      </c>
      <c r="AC53" s="724">
        <v>5222</v>
      </c>
      <c r="AD53" s="724">
        <v>5222</v>
      </c>
      <c r="AE53" s="724">
        <v>5222</v>
      </c>
      <c r="AF53" s="724">
        <v>5222</v>
      </c>
      <c r="AG53" s="724">
        <v>5231.45</v>
      </c>
      <c r="AH53" s="724"/>
      <c r="AI53" s="724"/>
      <c r="AJ53" s="724"/>
      <c r="AK53" s="724"/>
      <c r="AL53" s="724"/>
      <c r="AM53" s="724"/>
      <c r="AN53" s="724"/>
      <c r="AO53" s="724"/>
      <c r="AP53" s="724"/>
      <c r="AQ53" s="724"/>
      <c r="AR53" s="724"/>
      <c r="AS53" s="724"/>
      <c r="AT53" s="724"/>
      <c r="AU53" s="724"/>
      <c r="AV53" s="724"/>
      <c r="AW53" s="724"/>
      <c r="AX53" s="724"/>
      <c r="AY53" s="724"/>
      <c r="AZ53" s="724"/>
      <c r="BA53" s="724"/>
      <c r="BB53" s="724"/>
      <c r="BC53" s="725">
        <f t="shared" si="0"/>
        <v>115171.45</v>
      </c>
      <c r="BD53" s="724">
        <f>+BC53-'BOULEVARD 5 orig.'!I58</f>
        <v>0</v>
      </c>
      <c r="BE53" s="724">
        <f t="shared" si="1"/>
        <v>115171.45</v>
      </c>
      <c r="BF53" s="726">
        <f>VLOOKUP(A53,'BOULEVARD 5 orig.'!B58:AS356,42,0)</f>
        <v>0</v>
      </c>
      <c r="BG53" s="727">
        <f t="shared" si="3"/>
        <v>22</v>
      </c>
      <c r="BH53" s="728">
        <f t="shared" si="2"/>
        <v>5235.0659090909094</v>
      </c>
    </row>
    <row r="54" spans="1:60" x14ac:dyDescent="0.2">
      <c r="A54" s="723">
        <v>403</v>
      </c>
      <c r="B54" s="723" t="str">
        <f>'BOULEVARD 5'!H59</f>
        <v>4.Plan de pagos</v>
      </c>
      <c r="C54" s="724"/>
      <c r="D54" s="724"/>
      <c r="E54" s="724"/>
      <c r="F54" s="724"/>
      <c r="G54" s="724"/>
      <c r="H54" s="724">
        <v>6000</v>
      </c>
      <c r="I54" s="724">
        <v>2560</v>
      </c>
      <c r="J54" s="724">
        <v>2560</v>
      </c>
      <c r="K54" s="724">
        <v>2560</v>
      </c>
      <c r="L54" s="724">
        <v>2560</v>
      </c>
      <c r="M54" s="724">
        <v>2560</v>
      </c>
      <c r="N54" s="724">
        <v>2560</v>
      </c>
      <c r="O54" s="724">
        <v>2560</v>
      </c>
      <c r="P54" s="724">
        <v>2560</v>
      </c>
      <c r="Q54" s="724">
        <v>2560</v>
      </c>
      <c r="R54" s="724">
        <v>2560</v>
      </c>
      <c r="S54" s="724">
        <v>2560</v>
      </c>
      <c r="T54" s="724">
        <v>2560</v>
      </c>
      <c r="U54" s="724">
        <v>2560</v>
      </c>
      <c r="V54" s="724">
        <v>2560</v>
      </c>
      <c r="W54" s="724">
        <v>2560</v>
      </c>
      <c r="X54" s="724">
        <v>2560</v>
      </c>
      <c r="Y54" s="724">
        <v>2560</v>
      </c>
      <c r="Z54" s="724">
        <v>2560</v>
      </c>
      <c r="AA54" s="724">
        <v>2560</v>
      </c>
      <c r="AB54" s="724">
        <v>2560</v>
      </c>
      <c r="AC54" s="724">
        <v>2560</v>
      </c>
      <c r="AD54" s="724">
        <v>2560</v>
      </c>
      <c r="AE54" s="724">
        <v>2560</v>
      </c>
      <c r="AF54" s="724">
        <v>2560</v>
      </c>
      <c r="AG54" s="724">
        <v>2560</v>
      </c>
      <c r="AH54" s="724"/>
      <c r="AI54" s="724"/>
      <c r="AJ54" s="724"/>
      <c r="AK54" s="724"/>
      <c r="AL54" s="724"/>
      <c r="AM54" s="724"/>
      <c r="AN54" s="724"/>
      <c r="AO54" s="724"/>
      <c r="AP54" s="724"/>
      <c r="AQ54" s="724"/>
      <c r="AR54" s="724"/>
      <c r="AS54" s="724"/>
      <c r="AT54" s="724"/>
      <c r="AU54" s="724"/>
      <c r="AV54" s="724"/>
      <c r="AW54" s="724"/>
      <c r="AX54" s="724"/>
      <c r="AY54" s="724"/>
      <c r="AZ54" s="724"/>
      <c r="BA54" s="724"/>
      <c r="BB54" s="724"/>
      <c r="BC54" s="725">
        <f t="shared" si="0"/>
        <v>70000</v>
      </c>
      <c r="BD54" s="724">
        <f>+BC54-'BOULEVARD 5 orig.'!I59</f>
        <v>0</v>
      </c>
      <c r="BE54" s="724">
        <f t="shared" si="1"/>
        <v>70000</v>
      </c>
      <c r="BF54" s="726">
        <f>VLOOKUP(A54,'BOULEVARD 5 orig.'!B59:AS357,42,0)</f>
        <v>0</v>
      </c>
      <c r="BG54" s="727">
        <f t="shared" si="3"/>
        <v>26</v>
      </c>
      <c r="BH54" s="728">
        <f t="shared" si="2"/>
        <v>2692.3076923076924</v>
      </c>
    </row>
    <row r="55" spans="1:60" x14ac:dyDescent="0.2">
      <c r="A55" s="723">
        <v>404</v>
      </c>
      <c r="B55" s="723" t="str">
        <f>'BOULEVARD 5'!H60</f>
        <v>4.Plan de pagos</v>
      </c>
      <c r="C55" s="724"/>
      <c r="D55" s="724"/>
      <c r="E55" s="724"/>
      <c r="F55" s="724"/>
      <c r="G55" s="724"/>
      <c r="H55" s="724"/>
      <c r="I55" s="724"/>
      <c r="J55" s="724">
        <v>8000</v>
      </c>
      <c r="K55" s="724">
        <v>2791</v>
      </c>
      <c r="L55" s="724">
        <v>2791</v>
      </c>
      <c r="M55" s="724">
        <v>2791</v>
      </c>
      <c r="N55" s="724">
        <v>2791</v>
      </c>
      <c r="O55" s="724">
        <v>2791</v>
      </c>
      <c r="P55" s="724">
        <v>2791</v>
      </c>
      <c r="Q55" s="724">
        <v>2791</v>
      </c>
      <c r="R55" s="724">
        <v>2791</v>
      </c>
      <c r="S55" s="724">
        <v>2791</v>
      </c>
      <c r="T55" s="724">
        <v>2791</v>
      </c>
      <c r="U55" s="724">
        <v>2791</v>
      </c>
      <c r="V55" s="724">
        <v>2791</v>
      </c>
      <c r="W55" s="724">
        <v>2791</v>
      </c>
      <c r="X55" s="724">
        <v>2791</v>
      </c>
      <c r="Y55" s="724">
        <v>2791</v>
      </c>
      <c r="Z55" s="724">
        <v>2791</v>
      </c>
      <c r="AA55" s="724">
        <v>2791</v>
      </c>
      <c r="AB55" s="724">
        <v>2791</v>
      </c>
      <c r="AC55" s="724">
        <v>2791</v>
      </c>
      <c r="AD55" s="724">
        <v>2791</v>
      </c>
      <c r="AE55" s="724">
        <v>2791</v>
      </c>
      <c r="AF55" s="724">
        <v>2791</v>
      </c>
      <c r="AG55" s="724">
        <v>2798</v>
      </c>
      <c r="AH55" s="724"/>
      <c r="AI55" s="724"/>
      <c r="AJ55" s="724"/>
      <c r="AK55" s="724"/>
      <c r="AL55" s="724"/>
      <c r="AM55" s="724"/>
      <c r="AN55" s="724"/>
      <c r="AO55" s="724"/>
      <c r="AP55" s="724"/>
      <c r="AQ55" s="724"/>
      <c r="AR55" s="724"/>
      <c r="AS55" s="724"/>
      <c r="AT55" s="724"/>
      <c r="AU55" s="724"/>
      <c r="AV55" s="724"/>
      <c r="AW55" s="724"/>
      <c r="AX55" s="724"/>
      <c r="AY55" s="724"/>
      <c r="AZ55" s="724"/>
      <c r="BA55" s="724"/>
      <c r="BB55" s="724"/>
      <c r="BC55" s="725">
        <f t="shared" si="0"/>
        <v>72200</v>
      </c>
      <c r="BD55" s="724">
        <f>+BC55-'BOULEVARD 5 orig.'!I60</f>
        <v>0</v>
      </c>
      <c r="BE55" s="724">
        <f t="shared" si="1"/>
        <v>72200</v>
      </c>
      <c r="BF55" s="726">
        <f>VLOOKUP(A55,'BOULEVARD 5 orig.'!B60:AS358,42,0)</f>
        <v>0</v>
      </c>
      <c r="BG55" s="727">
        <f t="shared" si="3"/>
        <v>24</v>
      </c>
      <c r="BH55" s="728">
        <f t="shared" si="2"/>
        <v>3008.3333333333335</v>
      </c>
    </row>
    <row r="56" spans="1:60" x14ac:dyDescent="0.2">
      <c r="A56" s="723">
        <v>405</v>
      </c>
      <c r="B56" s="723" t="str">
        <f>'BOULEVARD 5'!H61</f>
        <v>2.Reserva</v>
      </c>
      <c r="C56" s="724"/>
      <c r="D56" s="724"/>
      <c r="E56" s="724"/>
      <c r="F56" s="724"/>
      <c r="G56" s="724"/>
      <c r="H56" s="724"/>
      <c r="I56" s="724"/>
      <c r="J56" s="724"/>
      <c r="K56" s="724"/>
      <c r="L56" s="724"/>
      <c r="M56" s="724"/>
      <c r="N56" s="724"/>
      <c r="O56" s="724"/>
      <c r="P56" s="724"/>
      <c r="Q56" s="724"/>
      <c r="R56" s="724"/>
      <c r="S56" s="724"/>
      <c r="T56" s="724"/>
      <c r="U56" s="724"/>
      <c r="V56" s="724"/>
      <c r="W56" s="724"/>
      <c r="X56" s="724"/>
      <c r="Y56" s="724"/>
      <c r="Z56" s="724"/>
      <c r="AA56" s="724"/>
      <c r="AB56" s="724"/>
      <c r="AC56" s="724"/>
      <c r="AD56" s="724"/>
      <c r="AE56" s="724"/>
      <c r="AF56" s="724"/>
      <c r="AG56" s="724"/>
      <c r="AH56" s="724"/>
      <c r="AI56" s="724"/>
      <c r="AJ56" s="724"/>
      <c r="AK56" s="724"/>
      <c r="AL56" s="724"/>
      <c r="AM56" s="724"/>
      <c r="AN56" s="724"/>
      <c r="AO56" s="724"/>
      <c r="AP56" s="724"/>
      <c r="AQ56" s="724"/>
      <c r="AR56" s="724"/>
      <c r="AS56" s="724"/>
      <c r="AT56" s="724"/>
      <c r="AU56" s="724"/>
      <c r="AV56" s="724"/>
      <c r="AW56" s="724"/>
      <c r="AX56" s="724"/>
      <c r="AY56" s="724"/>
      <c r="AZ56" s="724"/>
      <c r="BA56" s="724"/>
      <c r="BB56" s="724"/>
      <c r="BC56" s="725">
        <f t="shared" si="0"/>
        <v>0</v>
      </c>
      <c r="BD56" s="724">
        <f>+BC56-'BOULEVARD 5 orig.'!I61</f>
        <v>-111265.61</v>
      </c>
      <c r="BE56" s="724">
        <f t="shared" si="1"/>
        <v>0</v>
      </c>
      <c r="BF56" s="726">
        <f>VLOOKUP(A56,'BOULEVARD 5 orig.'!B61:AS359,42,0)</f>
        <v>0</v>
      </c>
      <c r="BG56" s="727">
        <f t="shared" si="3"/>
        <v>0</v>
      </c>
      <c r="BH56" s="728">
        <f t="shared" si="2"/>
        <v>0</v>
      </c>
    </row>
    <row r="57" spans="1:60" x14ac:dyDescent="0.2">
      <c r="A57" s="738">
        <v>406</v>
      </c>
      <c r="B57" s="738" t="str">
        <f>'BOULEVARD 5'!H62</f>
        <v>4.Plan de pagos</v>
      </c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724"/>
      <c r="O57" s="724"/>
      <c r="P57" s="724"/>
      <c r="Q57" s="724"/>
      <c r="R57" s="724"/>
      <c r="S57" s="724"/>
      <c r="T57" s="724"/>
      <c r="U57" s="724"/>
      <c r="V57" s="724"/>
      <c r="W57" s="724"/>
      <c r="X57" s="724"/>
      <c r="Y57" s="724"/>
      <c r="Z57" s="724"/>
      <c r="AA57" s="724"/>
      <c r="AB57" s="724"/>
      <c r="AC57" s="739">
        <v>10000</v>
      </c>
      <c r="AD57" s="739">
        <v>8371</v>
      </c>
      <c r="AE57" s="739">
        <v>8371</v>
      </c>
      <c r="AF57" s="739">
        <v>8371</v>
      </c>
      <c r="AG57" s="739">
        <v>8371</v>
      </c>
      <c r="AH57" s="739">
        <v>8371</v>
      </c>
      <c r="AI57" s="739">
        <v>8371</v>
      </c>
      <c r="AJ57" s="739">
        <v>8371</v>
      </c>
      <c r="AK57" s="739">
        <v>8371</v>
      </c>
      <c r="AL57" s="739">
        <v>8371</v>
      </c>
      <c r="AM57" s="739">
        <v>8371</v>
      </c>
      <c r="AN57" s="739">
        <v>8371</v>
      </c>
      <c r="AO57" s="739">
        <v>8371</v>
      </c>
      <c r="AP57" s="724"/>
      <c r="AQ57" s="724"/>
      <c r="AR57" s="724"/>
      <c r="AS57" s="724"/>
      <c r="AT57" s="724"/>
      <c r="AU57" s="724"/>
      <c r="AV57" s="724"/>
      <c r="AW57" s="724"/>
      <c r="AX57" s="724"/>
      <c r="AY57" s="724"/>
      <c r="AZ57" s="724"/>
      <c r="BA57" s="724"/>
      <c r="BB57" s="724"/>
      <c r="BC57" s="725">
        <f t="shared" si="0"/>
        <v>110452</v>
      </c>
      <c r="BD57" s="724">
        <f>+BC57-'BOULEVARD 5 orig.'!I62</f>
        <v>47.241751226989436</v>
      </c>
      <c r="BE57" s="724">
        <f t="shared" si="1"/>
        <v>110452</v>
      </c>
      <c r="BF57" s="726">
        <f>VLOOKUP(A57,'BOULEVARD 5 orig.'!B62:AS360,42,0)</f>
        <v>0</v>
      </c>
      <c r="BG57" s="727">
        <f t="shared" si="3"/>
        <v>13</v>
      </c>
      <c r="BH57" s="728">
        <f t="shared" si="2"/>
        <v>8496.3076923076915</v>
      </c>
    </row>
    <row r="58" spans="1:60" x14ac:dyDescent="0.2">
      <c r="A58" s="723">
        <v>407</v>
      </c>
      <c r="B58" s="723" t="str">
        <f>'BOULEVARD 5'!H63</f>
        <v>4.Plan de pagos</v>
      </c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  <c r="P58" s="724"/>
      <c r="Q58" s="724"/>
      <c r="R58" s="724"/>
      <c r="S58" s="724"/>
      <c r="T58" s="724"/>
      <c r="U58" s="724"/>
      <c r="V58" s="724"/>
      <c r="W58" s="724"/>
      <c r="X58" s="724"/>
      <c r="Y58" s="724"/>
      <c r="Z58" s="724"/>
      <c r="AA58" s="724"/>
      <c r="AB58" s="724"/>
      <c r="AC58" s="724"/>
      <c r="AD58" s="724"/>
      <c r="AE58" s="724"/>
      <c r="AF58" s="724"/>
      <c r="AG58" s="724"/>
      <c r="AH58" s="724"/>
      <c r="AI58" s="724"/>
      <c r="AJ58" s="724"/>
      <c r="AK58" s="724"/>
      <c r="AL58" s="724"/>
      <c r="AM58" s="724"/>
      <c r="AN58" s="724"/>
      <c r="AO58" s="724"/>
      <c r="AP58" s="724"/>
      <c r="AQ58" s="724"/>
      <c r="AR58" s="724"/>
      <c r="AS58" s="724"/>
      <c r="AT58" s="724"/>
      <c r="AU58" s="724"/>
      <c r="AV58" s="724"/>
      <c r="AW58" s="724"/>
      <c r="AX58" s="724"/>
      <c r="AY58" s="724"/>
      <c r="AZ58" s="724"/>
      <c r="BA58" s="724"/>
      <c r="BB58" s="724"/>
      <c r="BC58" s="725">
        <f t="shared" si="0"/>
        <v>0</v>
      </c>
      <c r="BD58" s="724">
        <f>+BC58-'BOULEVARD 5 orig.'!I63</f>
        <v>-105646.234833836</v>
      </c>
      <c r="BE58" s="724">
        <f t="shared" si="1"/>
        <v>0</v>
      </c>
      <c r="BF58" s="726">
        <f>VLOOKUP(A58,'BOULEVARD 5 orig.'!B63:AS361,42,0)</f>
        <v>0</v>
      </c>
      <c r="BG58" s="727">
        <f t="shared" si="3"/>
        <v>0</v>
      </c>
      <c r="BH58" s="728">
        <f t="shared" si="2"/>
        <v>0</v>
      </c>
    </row>
    <row r="59" spans="1:60" x14ac:dyDescent="0.2">
      <c r="A59" s="723">
        <v>408</v>
      </c>
      <c r="B59" s="723" t="str">
        <f>'BOULEVARD 5'!H64</f>
        <v>4.Plan de pagos</v>
      </c>
      <c r="C59" s="724"/>
      <c r="D59" s="724"/>
      <c r="E59" s="724"/>
      <c r="F59" s="724"/>
      <c r="G59" s="724"/>
      <c r="H59" s="724"/>
      <c r="I59" s="724"/>
      <c r="J59" s="724"/>
      <c r="K59" s="724"/>
      <c r="L59" s="724"/>
      <c r="M59" s="724"/>
      <c r="N59" s="724">
        <v>8000</v>
      </c>
      <c r="O59" s="724">
        <v>4232</v>
      </c>
      <c r="P59" s="724">
        <v>4232</v>
      </c>
      <c r="Q59" s="724">
        <v>4232</v>
      </c>
      <c r="R59" s="724">
        <v>4232</v>
      </c>
      <c r="S59" s="724">
        <v>4232</v>
      </c>
      <c r="T59" s="724">
        <v>4232</v>
      </c>
      <c r="U59" s="724">
        <v>4232</v>
      </c>
      <c r="V59" s="724">
        <v>4232</v>
      </c>
      <c r="W59" s="724">
        <v>4232</v>
      </c>
      <c r="X59" s="724">
        <v>4232</v>
      </c>
      <c r="Y59" s="724">
        <v>4232</v>
      </c>
      <c r="Z59" s="724">
        <v>4232</v>
      </c>
      <c r="AA59" s="724">
        <v>4232</v>
      </c>
      <c r="AB59" s="724">
        <v>4232</v>
      </c>
      <c r="AC59" s="724">
        <v>4232</v>
      </c>
      <c r="AD59" s="724">
        <v>4232</v>
      </c>
      <c r="AE59" s="724">
        <v>4200</v>
      </c>
      <c r="AF59" s="724">
        <v>4200</v>
      </c>
      <c r="AG59" s="724">
        <v>4200</v>
      </c>
      <c r="AH59" s="724">
        <v>4200</v>
      </c>
      <c r="AI59" s="724">
        <v>4200</v>
      </c>
      <c r="AJ59" s="724">
        <v>4200</v>
      </c>
      <c r="AK59" s="724">
        <v>4200</v>
      </c>
      <c r="AL59" s="724">
        <v>4200</v>
      </c>
      <c r="AM59" s="724">
        <v>4200</v>
      </c>
      <c r="AN59" s="724">
        <v>4200</v>
      </c>
      <c r="AO59" s="724">
        <v>4200</v>
      </c>
      <c r="AP59" s="724">
        <v>4200</v>
      </c>
      <c r="AQ59" s="724"/>
      <c r="AR59" s="724"/>
      <c r="AS59" s="724"/>
      <c r="AT59" s="724"/>
      <c r="AU59" s="724"/>
      <c r="AV59" s="724"/>
      <c r="AW59" s="724"/>
      <c r="AX59" s="724"/>
      <c r="AY59" s="724"/>
      <c r="AZ59" s="724"/>
      <c r="BA59" s="724"/>
      <c r="BB59" s="724"/>
      <c r="BC59" s="725">
        <f t="shared" si="0"/>
        <v>126112</v>
      </c>
      <c r="BD59" s="724">
        <f>+BC59-'BOULEVARD 5 orig.'!I64</f>
        <v>37712</v>
      </c>
      <c r="BE59" s="724">
        <f t="shared" si="1"/>
        <v>126112</v>
      </c>
      <c r="BF59" s="726">
        <f>VLOOKUP(A59,'BOULEVARD 5 orig.'!B64:AS362,42,0)</f>
        <v>0</v>
      </c>
      <c r="BG59" s="727">
        <f t="shared" si="3"/>
        <v>29</v>
      </c>
      <c r="BH59" s="728">
        <f t="shared" si="2"/>
        <v>4348.6896551724139</v>
      </c>
    </row>
    <row r="60" spans="1:60" x14ac:dyDescent="0.2">
      <c r="A60" s="723">
        <v>409</v>
      </c>
      <c r="B60" s="723" t="str">
        <f>'BOULEVARD 5'!H65</f>
        <v>4.Plan de pagos</v>
      </c>
      <c r="C60" s="724"/>
      <c r="D60" s="724"/>
      <c r="E60" s="724"/>
      <c r="F60" s="724"/>
      <c r="G60" s="724"/>
      <c r="H60" s="724"/>
      <c r="I60" s="724"/>
      <c r="J60" s="724"/>
      <c r="K60" s="724"/>
      <c r="L60" s="724"/>
      <c r="M60" s="724"/>
      <c r="N60" s="724"/>
      <c r="O60" s="724"/>
      <c r="P60" s="724"/>
      <c r="Q60" s="724"/>
      <c r="R60" s="724"/>
      <c r="S60" s="724"/>
      <c r="T60" s="724">
        <v>10000</v>
      </c>
      <c r="U60" s="724">
        <v>7762</v>
      </c>
      <c r="V60" s="724">
        <v>7762</v>
      </c>
      <c r="W60" s="724">
        <v>7762</v>
      </c>
      <c r="X60" s="724">
        <v>7762</v>
      </c>
      <c r="Y60" s="724">
        <v>7762</v>
      </c>
      <c r="Z60" s="724">
        <v>7762</v>
      </c>
      <c r="AA60" s="724">
        <v>7762</v>
      </c>
      <c r="AB60" s="724">
        <v>7762</v>
      </c>
      <c r="AC60" s="724">
        <v>7762</v>
      </c>
      <c r="AD60" s="724">
        <v>7762</v>
      </c>
      <c r="AE60" s="724">
        <v>7762</v>
      </c>
      <c r="AF60" s="724">
        <v>7762</v>
      </c>
      <c r="AG60" s="724">
        <v>7762</v>
      </c>
      <c r="AH60" s="724">
        <v>7762</v>
      </c>
      <c r="AI60" s="724">
        <v>7762</v>
      </c>
      <c r="AJ60" s="724">
        <v>7760</v>
      </c>
      <c r="AK60" s="724"/>
      <c r="AL60" s="724"/>
      <c r="AM60" s="724"/>
      <c r="AN60" s="724"/>
      <c r="AO60" s="724"/>
      <c r="AP60" s="724"/>
      <c r="AQ60" s="724"/>
      <c r="AR60" s="724"/>
      <c r="AS60" s="724"/>
      <c r="AT60" s="724"/>
      <c r="AU60" s="724"/>
      <c r="AV60" s="724"/>
      <c r="AW60" s="724"/>
      <c r="AX60" s="724"/>
      <c r="AY60" s="724"/>
      <c r="AZ60" s="724"/>
      <c r="BA60" s="724"/>
      <c r="BB60" s="724"/>
      <c r="BC60" s="725">
        <f t="shared" si="0"/>
        <v>134190</v>
      </c>
      <c r="BD60" s="724">
        <f>+BC60-'BOULEVARD 5 orig.'!I65</f>
        <v>0</v>
      </c>
      <c r="BE60" s="724">
        <f t="shared" si="1"/>
        <v>134190</v>
      </c>
      <c r="BF60" s="726">
        <f>VLOOKUP(A60,'BOULEVARD 5 orig.'!B65:AS363,42,0)</f>
        <v>0</v>
      </c>
      <c r="BG60" s="727">
        <f t="shared" si="3"/>
        <v>17</v>
      </c>
      <c r="BH60" s="728">
        <f t="shared" si="2"/>
        <v>7893.5294117647063</v>
      </c>
    </row>
    <row r="61" spans="1:60" x14ac:dyDescent="0.2">
      <c r="A61" s="723">
        <v>410</v>
      </c>
      <c r="B61" s="723" t="str">
        <f>'BOULEVARD 5'!H66</f>
        <v>4.Plan de pagos</v>
      </c>
      <c r="C61" s="724"/>
      <c r="D61" s="724"/>
      <c r="E61" s="724"/>
      <c r="F61" s="724"/>
      <c r="G61" s="724"/>
      <c r="H61" s="724"/>
      <c r="I61" s="724"/>
      <c r="J61" s="724"/>
      <c r="K61" s="724"/>
      <c r="L61" s="724"/>
      <c r="M61" s="724"/>
      <c r="N61" s="724"/>
      <c r="O61" s="724"/>
      <c r="P61" s="724"/>
      <c r="Q61" s="724"/>
      <c r="R61" s="724"/>
      <c r="S61" s="724"/>
      <c r="T61" s="724"/>
      <c r="U61" s="724"/>
      <c r="V61" s="724"/>
      <c r="W61" s="724"/>
      <c r="X61" s="724"/>
      <c r="Y61" s="724"/>
      <c r="Z61" s="724"/>
      <c r="AA61" s="724"/>
      <c r="AB61" s="724"/>
      <c r="AC61" s="724"/>
      <c r="AD61" s="724"/>
      <c r="AE61" s="724">
        <v>15000</v>
      </c>
      <c r="AF61" s="724">
        <v>9504.0400000000009</v>
      </c>
      <c r="AG61" s="724">
        <v>9504.0400000000009</v>
      </c>
      <c r="AH61" s="724">
        <v>9504.0400000000009</v>
      </c>
      <c r="AI61" s="724">
        <v>9504.0400000000009</v>
      </c>
      <c r="AJ61" s="724">
        <v>9504.0400000000009</v>
      </c>
      <c r="AK61" s="724">
        <v>9504.0400000000009</v>
      </c>
      <c r="AL61" s="724">
        <v>9504.0400000000009</v>
      </c>
      <c r="AM61" s="724">
        <v>9504.0400000000009</v>
      </c>
      <c r="AN61" s="724">
        <v>9504.0400000000009</v>
      </c>
      <c r="AO61" s="724">
        <v>9504.0400000000009</v>
      </c>
      <c r="AP61" s="724">
        <v>9504.0400000000009</v>
      </c>
      <c r="AQ61" s="724"/>
      <c r="AR61" s="724"/>
      <c r="AS61" s="724"/>
      <c r="AT61" s="724"/>
      <c r="AU61" s="724"/>
      <c r="AV61" s="724"/>
      <c r="AW61" s="724"/>
      <c r="AX61" s="724"/>
      <c r="AY61" s="724"/>
      <c r="AZ61" s="724"/>
      <c r="BA61" s="724"/>
      <c r="BB61" s="724"/>
      <c r="BC61" s="725">
        <f t="shared" si="0"/>
        <v>119544.44000000003</v>
      </c>
      <c r="BD61" s="724">
        <f>+BC61-'BOULEVARD 5 orig.'!I66</f>
        <v>17420.99174790502</v>
      </c>
      <c r="BE61" s="724">
        <f t="shared" si="1"/>
        <v>119544.44000000003</v>
      </c>
      <c r="BF61" s="726">
        <f>VLOOKUP(A61,'BOULEVARD 5 orig.'!B66:AS364,42,0)</f>
        <v>0</v>
      </c>
      <c r="BG61" s="727">
        <f t="shared" si="3"/>
        <v>12</v>
      </c>
      <c r="BH61" s="728">
        <f t="shared" si="2"/>
        <v>9962.0366666666687</v>
      </c>
    </row>
    <row r="62" spans="1:60" x14ac:dyDescent="0.2">
      <c r="A62" s="723">
        <v>411</v>
      </c>
      <c r="B62" s="723" t="str">
        <f>'BOULEVARD 5'!H67</f>
        <v>2. Reserva</v>
      </c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4"/>
      <c r="P62" s="724"/>
      <c r="Q62" s="724"/>
      <c r="R62" s="724"/>
      <c r="S62" s="724"/>
      <c r="T62" s="724"/>
      <c r="U62" s="724"/>
      <c r="V62" s="724"/>
      <c r="W62" s="724"/>
      <c r="X62" s="724"/>
      <c r="Y62" s="724"/>
      <c r="Z62" s="724"/>
      <c r="AA62" s="724"/>
      <c r="AB62" s="724"/>
      <c r="AC62" s="724"/>
      <c r="AD62" s="724"/>
      <c r="AE62" s="724"/>
      <c r="AF62" s="724"/>
      <c r="AG62" s="724"/>
      <c r="AH62" s="724"/>
      <c r="AI62" s="724"/>
      <c r="AJ62" s="724"/>
      <c r="AK62" s="724"/>
      <c r="AL62" s="724"/>
      <c r="AM62" s="724"/>
      <c r="AN62" s="724"/>
      <c r="AO62" s="724"/>
      <c r="AP62" s="724"/>
      <c r="AQ62" s="724"/>
      <c r="AR62" s="724"/>
      <c r="AS62" s="724"/>
      <c r="AT62" s="724"/>
      <c r="AU62" s="724"/>
      <c r="AV62" s="724"/>
      <c r="AW62" s="724"/>
      <c r="AX62" s="724"/>
      <c r="AY62" s="724"/>
      <c r="AZ62" s="724"/>
      <c r="BA62" s="724"/>
      <c r="BB62" s="724"/>
      <c r="BC62" s="725">
        <f t="shared" si="0"/>
        <v>0</v>
      </c>
      <c r="BD62" s="724">
        <f>+BC62-'BOULEVARD 5 orig.'!I67</f>
        <v>-141422.84822378101</v>
      </c>
      <c r="BE62" s="724">
        <f t="shared" si="1"/>
        <v>0</v>
      </c>
      <c r="BF62" s="726">
        <f>VLOOKUP(A62,'BOULEVARD 5 orig.'!B67:AS365,42,0)</f>
        <v>0</v>
      </c>
      <c r="BG62" s="727">
        <f t="shared" si="3"/>
        <v>0</v>
      </c>
      <c r="BH62" s="728">
        <f t="shared" si="2"/>
        <v>0</v>
      </c>
    </row>
    <row r="63" spans="1:60" x14ac:dyDescent="0.2">
      <c r="A63" s="723">
        <v>412</v>
      </c>
      <c r="B63" s="723" t="str">
        <f>'BOULEVARD 5'!H68</f>
        <v>2. Reserva</v>
      </c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724"/>
      <c r="AB63" s="724"/>
      <c r="AC63" s="724"/>
      <c r="AD63" s="724"/>
      <c r="AE63" s="724"/>
      <c r="AF63" s="724"/>
      <c r="AG63" s="724"/>
      <c r="AH63" s="724"/>
      <c r="AI63" s="724"/>
      <c r="AJ63" s="724"/>
      <c r="AK63" s="724"/>
      <c r="AL63" s="724"/>
      <c r="AM63" s="724"/>
      <c r="AN63" s="724"/>
      <c r="AO63" s="724"/>
      <c r="AP63" s="724"/>
      <c r="AQ63" s="724"/>
      <c r="AR63" s="724"/>
      <c r="AS63" s="724"/>
      <c r="AT63" s="724"/>
      <c r="AU63" s="724"/>
      <c r="AV63" s="724"/>
      <c r="AW63" s="724"/>
      <c r="AX63" s="724"/>
      <c r="AY63" s="724"/>
      <c r="AZ63" s="724"/>
      <c r="BA63" s="724"/>
      <c r="BB63" s="724"/>
      <c r="BC63" s="725">
        <f t="shared" si="0"/>
        <v>0</v>
      </c>
      <c r="BD63" s="724">
        <f>+BC63-'BOULEVARD 5 orig.'!I68</f>
        <v>-141446.231631225</v>
      </c>
      <c r="BE63" s="724">
        <f t="shared" si="1"/>
        <v>0</v>
      </c>
      <c r="BF63" s="726">
        <f>VLOOKUP(A63,'BOULEVARD 5 orig.'!B68:AS366,42,0)</f>
        <v>0</v>
      </c>
      <c r="BG63" s="727">
        <f t="shared" si="3"/>
        <v>0</v>
      </c>
      <c r="BH63" s="728">
        <f t="shared" si="2"/>
        <v>0</v>
      </c>
    </row>
    <row r="64" spans="1:60" x14ac:dyDescent="0.2">
      <c r="A64" s="723">
        <v>413</v>
      </c>
      <c r="B64" s="723" t="str">
        <f>'BOULEVARD 5'!H69</f>
        <v>4.Plan de pagos</v>
      </c>
      <c r="C64" s="724"/>
      <c r="D64" s="724"/>
      <c r="E64" s="724"/>
      <c r="F64" s="724"/>
      <c r="G64" s="724"/>
      <c r="H64" s="724"/>
      <c r="I64" s="724"/>
      <c r="J64" s="724"/>
      <c r="K64" s="724"/>
      <c r="L64" s="724"/>
      <c r="M64" s="724"/>
      <c r="N64" s="724"/>
      <c r="O64" s="724"/>
      <c r="P64" s="724"/>
      <c r="Q64" s="724"/>
      <c r="R64" s="724"/>
      <c r="S64" s="724"/>
      <c r="T64" s="724"/>
      <c r="U64" s="724"/>
      <c r="V64" s="724"/>
      <c r="W64" s="724"/>
      <c r="X64" s="724"/>
      <c r="Y64" s="724">
        <v>10000</v>
      </c>
      <c r="Z64" s="724">
        <v>6022</v>
      </c>
      <c r="AA64" s="724">
        <v>6022</v>
      </c>
      <c r="AB64" s="724">
        <v>6022</v>
      </c>
      <c r="AC64" s="724">
        <v>6022</v>
      </c>
      <c r="AD64" s="724">
        <v>6022</v>
      </c>
      <c r="AE64" s="724">
        <v>6022</v>
      </c>
      <c r="AF64" s="724">
        <v>6022</v>
      </c>
      <c r="AG64" s="724">
        <v>6022</v>
      </c>
      <c r="AH64" s="724">
        <v>6022</v>
      </c>
      <c r="AI64" s="724">
        <v>6022</v>
      </c>
      <c r="AJ64" s="724">
        <v>6022</v>
      </c>
      <c r="AK64" s="724">
        <v>6022</v>
      </c>
      <c r="AL64" s="724">
        <v>6022</v>
      </c>
      <c r="AM64" s="724">
        <v>6022</v>
      </c>
      <c r="AN64" s="724">
        <v>6022</v>
      </c>
      <c r="AO64" s="724">
        <v>6024.43</v>
      </c>
      <c r="AP64" s="724"/>
      <c r="AQ64" s="724"/>
      <c r="AR64" s="724"/>
      <c r="AS64" s="724"/>
      <c r="AT64" s="724"/>
      <c r="AU64" s="724"/>
      <c r="AV64" s="724"/>
      <c r="AW64" s="724"/>
      <c r="AX64" s="724"/>
      <c r="AY64" s="724"/>
      <c r="AZ64" s="724"/>
      <c r="BA64" s="724"/>
      <c r="BB64" s="724"/>
      <c r="BC64" s="725">
        <f t="shared" si="0"/>
        <v>106354.43</v>
      </c>
      <c r="BD64" s="724">
        <f>+BC64-'BOULEVARD 5 orig.'!I69</f>
        <v>0</v>
      </c>
      <c r="BE64" s="724">
        <f t="shared" si="1"/>
        <v>106354.43</v>
      </c>
      <c r="BF64" s="726">
        <f>VLOOKUP(A64,'BOULEVARD 5 orig.'!B69:AS367,42,0)</f>
        <v>0</v>
      </c>
      <c r="BG64" s="727">
        <f t="shared" si="3"/>
        <v>17</v>
      </c>
      <c r="BH64" s="728">
        <f t="shared" si="2"/>
        <v>6256.1429411764702</v>
      </c>
    </row>
    <row r="65" spans="1:60" x14ac:dyDescent="0.2">
      <c r="A65" s="723">
        <v>414</v>
      </c>
      <c r="B65" s="723" t="str">
        <f>'BOULEVARD 5'!H70</f>
        <v>4.Plan de pagos</v>
      </c>
      <c r="C65" s="724"/>
      <c r="D65" s="724"/>
      <c r="E65" s="724"/>
      <c r="F65" s="724"/>
      <c r="G65" s="724"/>
      <c r="H65" s="724"/>
      <c r="I65" s="724"/>
      <c r="J65" s="724"/>
      <c r="K65" s="724"/>
      <c r="L65" s="724"/>
      <c r="M65" s="724"/>
      <c r="N65" s="724"/>
      <c r="O65" s="724"/>
      <c r="P65" s="724"/>
      <c r="Q65" s="724">
        <v>10000</v>
      </c>
      <c r="R65" s="724">
        <v>4147</v>
      </c>
      <c r="S65" s="724">
        <v>4147</v>
      </c>
      <c r="T65" s="724">
        <v>4147</v>
      </c>
      <c r="U65" s="724">
        <v>4147</v>
      </c>
      <c r="V65" s="724">
        <v>4147</v>
      </c>
      <c r="W65" s="724">
        <v>4147</v>
      </c>
      <c r="X65" s="724">
        <v>4147</v>
      </c>
      <c r="Y65" s="724">
        <v>4147</v>
      </c>
      <c r="Z65" s="724">
        <v>4147</v>
      </c>
      <c r="AA65" s="724">
        <v>4147</v>
      </c>
      <c r="AB65" s="724">
        <v>4147</v>
      </c>
      <c r="AC65" s="724">
        <v>4147</v>
      </c>
      <c r="AD65" s="724">
        <v>4147</v>
      </c>
      <c r="AE65" s="724">
        <v>4147</v>
      </c>
      <c r="AF65" s="724">
        <v>4147</v>
      </c>
      <c r="AG65" s="724">
        <v>4147</v>
      </c>
      <c r="AH65" s="724">
        <v>4147</v>
      </c>
      <c r="AI65" s="724">
        <v>4147</v>
      </c>
      <c r="AJ65" s="724">
        <v>4154</v>
      </c>
      <c r="AK65" s="724"/>
      <c r="AL65" s="724"/>
      <c r="AM65" s="724"/>
      <c r="AN65" s="724"/>
      <c r="AO65" s="724"/>
      <c r="AP65" s="724"/>
      <c r="AQ65" s="724"/>
      <c r="AR65" s="724"/>
      <c r="AS65" s="724"/>
      <c r="AT65" s="724"/>
      <c r="AU65" s="724"/>
      <c r="AV65" s="724"/>
      <c r="AW65" s="724"/>
      <c r="AX65" s="724"/>
      <c r="AY65" s="724"/>
      <c r="AZ65" s="724"/>
      <c r="BA65" s="724"/>
      <c r="BB65" s="724"/>
      <c r="BC65" s="725">
        <f t="shared" si="0"/>
        <v>88800</v>
      </c>
      <c r="BD65" s="724">
        <f>+BC65-'BOULEVARD 5 orig.'!I70</f>
        <v>0</v>
      </c>
      <c r="BE65" s="724">
        <f t="shared" si="1"/>
        <v>88800</v>
      </c>
      <c r="BF65" s="726">
        <f>VLOOKUP(A65,'BOULEVARD 5 orig.'!B70:AS368,42,0)</f>
        <v>0</v>
      </c>
      <c r="BG65" s="727">
        <f t="shared" si="3"/>
        <v>20</v>
      </c>
      <c r="BH65" s="728">
        <f t="shared" si="2"/>
        <v>4440</v>
      </c>
    </row>
    <row r="66" spans="1:60" x14ac:dyDescent="0.2">
      <c r="A66" s="735">
        <v>415</v>
      </c>
      <c r="B66" s="735" t="str">
        <f>'BOULEVARD 5'!H71</f>
        <v>4.Plan de pagos</v>
      </c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4"/>
      <c r="W66" s="724"/>
      <c r="X66" s="724"/>
      <c r="Y66" s="724"/>
      <c r="Z66" s="724"/>
      <c r="AA66" s="724"/>
      <c r="AB66" s="724"/>
      <c r="AC66" s="726"/>
      <c r="AD66" s="724">
        <v>15000</v>
      </c>
      <c r="AE66" s="724">
        <v>18044</v>
      </c>
      <c r="AF66" s="724">
        <v>18044</v>
      </c>
      <c r="AG66" s="724">
        <v>18044</v>
      </c>
      <c r="AH66" s="724">
        <v>18044</v>
      </c>
      <c r="AI66" s="724">
        <v>18044</v>
      </c>
      <c r="AJ66" s="724">
        <v>18044</v>
      </c>
      <c r="AK66" s="724">
        <v>18044</v>
      </c>
      <c r="AL66" s="724">
        <v>18044</v>
      </c>
      <c r="AM66" s="724">
        <v>18044</v>
      </c>
      <c r="AN66" s="724">
        <v>18044</v>
      </c>
      <c r="AO66" s="724">
        <v>18044</v>
      </c>
      <c r="AP66" s="724">
        <v>18042.97</v>
      </c>
      <c r="AQ66" s="724"/>
      <c r="AR66" s="724"/>
      <c r="AS66" s="724"/>
      <c r="AT66" s="724"/>
      <c r="AU66" s="724"/>
      <c r="AV66" s="724"/>
      <c r="AW66" s="724"/>
      <c r="AX66" s="724"/>
      <c r="AY66" s="724"/>
      <c r="AZ66" s="724"/>
      <c r="BA66" s="724"/>
      <c r="BB66" s="724"/>
      <c r="BC66" s="725">
        <f t="shared" si="0"/>
        <v>231526.97</v>
      </c>
      <c r="BD66" s="724">
        <f>+BC66-'BOULEVARD 5 orig.'!I71</f>
        <v>77164.27276482599</v>
      </c>
      <c r="BE66" s="724">
        <f t="shared" si="1"/>
        <v>231526.97</v>
      </c>
      <c r="BF66" s="726">
        <f>VLOOKUP(A66,'BOULEVARD 5 orig.'!B71:AS369,42,0)</f>
        <v>0</v>
      </c>
      <c r="BG66" s="727">
        <f t="shared" si="3"/>
        <v>13</v>
      </c>
      <c r="BH66" s="728">
        <f t="shared" ref="BH66:BH129" si="5">IFERROR((+BC66/BG66),0)</f>
        <v>17809.766923076924</v>
      </c>
    </row>
    <row r="67" spans="1:60" x14ac:dyDescent="0.2">
      <c r="A67" s="723">
        <v>416</v>
      </c>
      <c r="B67" s="723" t="str">
        <f>'BOULEVARD 5'!H72</f>
        <v>4.Plan de pagos</v>
      </c>
      <c r="C67" s="724"/>
      <c r="D67" s="724"/>
      <c r="E67" s="724"/>
      <c r="F67" s="724"/>
      <c r="G67" s="724"/>
      <c r="H67" s="724"/>
      <c r="I67" s="724"/>
      <c r="J67" s="724"/>
      <c r="K67" s="724"/>
      <c r="L67" s="724"/>
      <c r="M67" s="724"/>
      <c r="N67" s="724"/>
      <c r="O67" s="724"/>
      <c r="P67" s="724"/>
      <c r="Q67" s="724"/>
      <c r="R67" s="724"/>
      <c r="S67" s="724"/>
      <c r="T67" s="724"/>
      <c r="U67" s="724"/>
      <c r="V67" s="724"/>
      <c r="W67" s="724"/>
      <c r="X67" s="724"/>
      <c r="Y67" s="724"/>
      <c r="Z67" s="724">
        <v>10000</v>
      </c>
      <c r="AA67" s="724">
        <v>4371</v>
      </c>
      <c r="AB67" s="724">
        <v>4371</v>
      </c>
      <c r="AC67" s="724">
        <v>4371</v>
      </c>
      <c r="AD67" s="724">
        <v>4371</v>
      </c>
      <c r="AE67" s="724">
        <v>4371</v>
      </c>
      <c r="AF67" s="724">
        <v>4371</v>
      </c>
      <c r="AG67" s="724">
        <v>4371</v>
      </c>
      <c r="AH67" s="724">
        <v>4371</v>
      </c>
      <c r="AI67" s="724">
        <v>4371</v>
      </c>
      <c r="AJ67" s="724">
        <v>4371</v>
      </c>
      <c r="AK67" s="724">
        <v>4371</v>
      </c>
      <c r="AL67" s="724">
        <v>4371</v>
      </c>
      <c r="AM67" s="724">
        <v>4371</v>
      </c>
      <c r="AN67" s="724">
        <v>4371</v>
      </c>
      <c r="AO67" s="724">
        <v>4371</v>
      </c>
      <c r="AP67" s="724">
        <v>4366.18</v>
      </c>
      <c r="AQ67" s="724"/>
      <c r="AR67" s="724"/>
      <c r="AS67" s="724"/>
      <c r="AT67" s="724"/>
      <c r="AU67" s="724"/>
      <c r="AV67" s="724"/>
      <c r="AW67" s="724"/>
      <c r="AX67" s="724"/>
      <c r="AY67" s="724"/>
      <c r="AZ67" s="724"/>
      <c r="BA67" s="724"/>
      <c r="BB67" s="724"/>
      <c r="BC67" s="725">
        <f t="shared" ref="BC67:BC130" si="6">SUM(C67:BB67)</f>
        <v>79931.179999999993</v>
      </c>
      <c r="BD67" s="724">
        <f>+BC67-'BOULEVARD 5 orig.'!I72</f>
        <v>0</v>
      </c>
      <c r="BE67" s="724">
        <f t="shared" ref="BE67:BE130" si="7">SUM(C67:BB67)</f>
        <v>79931.179999999993</v>
      </c>
      <c r="BF67" s="726">
        <f>VLOOKUP(A67,'BOULEVARD 5 orig.'!B72:AS370,42,0)</f>
        <v>0</v>
      </c>
      <c r="BG67" s="727">
        <f t="shared" ref="BG67:BG130" si="8">COUNT(C67:BB67)</f>
        <v>17</v>
      </c>
      <c r="BH67" s="728">
        <f t="shared" si="5"/>
        <v>4701.8341176470585</v>
      </c>
    </row>
    <row r="68" spans="1:60" x14ac:dyDescent="0.2">
      <c r="A68" s="723">
        <v>417</v>
      </c>
      <c r="B68" s="723" t="str">
        <f>'BOULEVARD 5'!H73</f>
        <v>4.Plan de pagos</v>
      </c>
      <c r="C68" s="724"/>
      <c r="D68" s="724"/>
      <c r="E68" s="724"/>
      <c r="F68" s="724"/>
      <c r="G68" s="724"/>
      <c r="H68" s="724"/>
      <c r="I68" s="724"/>
      <c r="J68" s="724"/>
      <c r="K68" s="724">
        <v>5500</v>
      </c>
      <c r="L68" s="724">
        <v>3031</v>
      </c>
      <c r="M68" s="724">
        <v>3031</v>
      </c>
      <c r="N68" s="724">
        <v>3031</v>
      </c>
      <c r="O68" s="724">
        <v>3031</v>
      </c>
      <c r="P68" s="724">
        <v>3031</v>
      </c>
      <c r="Q68" s="724">
        <v>3031</v>
      </c>
      <c r="R68" s="724">
        <v>3031</v>
      </c>
      <c r="S68" s="724">
        <v>3031</v>
      </c>
      <c r="T68" s="724">
        <v>3031</v>
      </c>
      <c r="U68" s="724">
        <v>3031</v>
      </c>
      <c r="V68" s="724">
        <v>3031</v>
      </c>
      <c r="W68" s="724">
        <v>3031</v>
      </c>
      <c r="X68" s="724">
        <v>3031</v>
      </c>
      <c r="Y68" s="724">
        <v>3031</v>
      </c>
      <c r="Z68" s="724">
        <v>3031</v>
      </c>
      <c r="AA68" s="724">
        <v>3031</v>
      </c>
      <c r="AB68" s="724">
        <v>3031</v>
      </c>
      <c r="AC68" s="724">
        <v>3031</v>
      </c>
      <c r="AD68" s="724">
        <v>3031</v>
      </c>
      <c r="AE68" s="724">
        <v>3031</v>
      </c>
      <c r="AF68" s="724">
        <v>3031</v>
      </c>
      <c r="AG68" s="724">
        <v>3036.5</v>
      </c>
      <c r="AH68" s="724"/>
      <c r="AI68" s="724"/>
      <c r="AJ68" s="724"/>
      <c r="AK68" s="724"/>
      <c r="AL68" s="724"/>
      <c r="AM68" s="724"/>
      <c r="AN68" s="724"/>
      <c r="AO68" s="724"/>
      <c r="AP68" s="724"/>
      <c r="AQ68" s="724"/>
      <c r="AR68" s="724"/>
      <c r="AS68" s="724"/>
      <c r="AT68" s="724"/>
      <c r="AU68" s="724"/>
      <c r="AV68" s="724"/>
      <c r="AW68" s="724"/>
      <c r="AX68" s="724"/>
      <c r="AY68" s="724"/>
      <c r="AZ68" s="724"/>
      <c r="BA68" s="724"/>
      <c r="BB68" s="724"/>
      <c r="BC68" s="725">
        <f t="shared" si="6"/>
        <v>72187.5</v>
      </c>
      <c r="BD68" s="724">
        <f>+BC68-'BOULEVARD 5 orig.'!I73</f>
        <v>0</v>
      </c>
      <c r="BE68" s="724">
        <f t="shared" si="7"/>
        <v>72187.5</v>
      </c>
      <c r="BF68" s="726">
        <f>VLOOKUP(A68,'BOULEVARD 5 orig.'!B73:AS371,42,0)</f>
        <v>0</v>
      </c>
      <c r="BG68" s="727">
        <f t="shared" si="8"/>
        <v>23</v>
      </c>
      <c r="BH68" s="728">
        <f t="shared" si="5"/>
        <v>3138.586956521739</v>
      </c>
    </row>
    <row r="69" spans="1:60" x14ac:dyDescent="0.2">
      <c r="A69" s="738">
        <v>418</v>
      </c>
      <c r="B69" s="738" t="str">
        <f>'BOULEVARD 5'!H74</f>
        <v>4.Plan de pagos</v>
      </c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4"/>
      <c r="P69" s="724"/>
      <c r="Q69" s="724"/>
      <c r="R69" s="724"/>
      <c r="S69" s="724"/>
      <c r="T69" s="724"/>
      <c r="U69" s="724"/>
      <c r="V69" s="724"/>
      <c r="W69" s="724"/>
      <c r="X69" s="724"/>
      <c r="Y69" s="724"/>
      <c r="Z69" s="724"/>
      <c r="AA69" s="724"/>
      <c r="AB69" s="724"/>
      <c r="AC69" s="739">
        <v>10000</v>
      </c>
      <c r="AD69" s="739">
        <v>5423</v>
      </c>
      <c r="AE69" s="739">
        <v>5423</v>
      </c>
      <c r="AF69" s="739">
        <v>5423</v>
      </c>
      <c r="AG69" s="739">
        <v>5423</v>
      </c>
      <c r="AH69" s="739">
        <v>5423</v>
      </c>
      <c r="AI69" s="739">
        <v>5423</v>
      </c>
      <c r="AJ69" s="739">
        <v>5423</v>
      </c>
      <c r="AK69" s="739">
        <v>5423</v>
      </c>
      <c r="AL69" s="739">
        <v>5423</v>
      </c>
      <c r="AM69" s="739">
        <v>5423</v>
      </c>
      <c r="AN69" s="739">
        <v>5423</v>
      </c>
      <c r="AO69" s="739">
        <v>5423</v>
      </c>
      <c r="AP69" s="724"/>
      <c r="AQ69" s="724"/>
      <c r="AR69" s="724"/>
      <c r="AS69" s="724"/>
      <c r="AT69" s="724"/>
      <c r="AU69" s="724"/>
      <c r="AV69" s="724"/>
      <c r="AW69" s="724"/>
      <c r="AX69" s="724"/>
      <c r="AY69" s="724"/>
      <c r="AZ69" s="724"/>
      <c r="BA69" s="724"/>
      <c r="BB69" s="724"/>
      <c r="BC69" s="725">
        <f t="shared" si="6"/>
        <v>75076</v>
      </c>
      <c r="BD69" s="724">
        <f>+BC69-'BOULEVARD 5 orig.'!I74</f>
        <v>3003.5</v>
      </c>
      <c r="BE69" s="724">
        <f t="shared" si="7"/>
        <v>75076</v>
      </c>
      <c r="BF69" s="726">
        <f>VLOOKUP(A69,'BOULEVARD 5 orig.'!B74:AS372,42,0)</f>
        <v>0</v>
      </c>
      <c r="BG69" s="727">
        <f t="shared" si="8"/>
        <v>13</v>
      </c>
      <c r="BH69" s="728">
        <f t="shared" si="5"/>
        <v>5775.0769230769229</v>
      </c>
    </row>
    <row r="70" spans="1:60" x14ac:dyDescent="0.2">
      <c r="A70" s="723">
        <v>419</v>
      </c>
      <c r="B70" s="723" t="str">
        <f>'BOULEVARD 5'!H75</f>
        <v>4.Plan de pagos</v>
      </c>
      <c r="C70" s="724"/>
      <c r="D70" s="724"/>
      <c r="E70" s="724"/>
      <c r="F70" s="724"/>
      <c r="G70" s="724"/>
      <c r="H70" s="724"/>
      <c r="I70" s="724"/>
      <c r="J70" s="724"/>
      <c r="K70" s="724">
        <v>8000</v>
      </c>
      <c r="L70" s="724">
        <v>4027</v>
      </c>
      <c r="M70" s="724">
        <v>4027</v>
      </c>
      <c r="N70" s="724">
        <v>4027</v>
      </c>
      <c r="O70" s="724">
        <v>4027</v>
      </c>
      <c r="P70" s="724">
        <v>4027</v>
      </c>
      <c r="Q70" s="724">
        <v>4027</v>
      </c>
      <c r="R70" s="724">
        <v>4027</v>
      </c>
      <c r="S70" s="724">
        <v>4027</v>
      </c>
      <c r="T70" s="724">
        <v>4027</v>
      </c>
      <c r="U70" s="724">
        <v>4027</v>
      </c>
      <c r="V70" s="724">
        <v>4027</v>
      </c>
      <c r="W70" s="724">
        <v>4027</v>
      </c>
      <c r="X70" s="724">
        <v>4027</v>
      </c>
      <c r="Y70" s="724">
        <v>4027</v>
      </c>
      <c r="Z70" s="724">
        <v>4027</v>
      </c>
      <c r="AA70" s="724">
        <v>4027</v>
      </c>
      <c r="AB70" s="724">
        <v>4027</v>
      </c>
      <c r="AC70" s="724">
        <v>4027</v>
      </c>
      <c r="AD70" s="724">
        <v>4027</v>
      </c>
      <c r="AE70" s="724">
        <v>4027</v>
      </c>
      <c r="AF70" s="724">
        <v>4027</v>
      </c>
      <c r="AG70" s="724">
        <v>4033</v>
      </c>
      <c r="AH70" s="724"/>
      <c r="AI70" s="724"/>
      <c r="AJ70" s="724"/>
      <c r="AK70" s="724"/>
      <c r="AL70" s="724"/>
      <c r="AM70" s="724"/>
      <c r="AN70" s="724"/>
      <c r="AO70" s="724"/>
      <c r="AP70" s="724"/>
      <c r="AQ70" s="724"/>
      <c r="AR70" s="724"/>
      <c r="AS70" s="724"/>
      <c r="AT70" s="724"/>
      <c r="AU70" s="724"/>
      <c r="AV70" s="724"/>
      <c r="AW70" s="724"/>
      <c r="AX70" s="724"/>
      <c r="AY70" s="724"/>
      <c r="AZ70" s="724"/>
      <c r="BA70" s="724"/>
      <c r="BB70" s="724"/>
      <c r="BC70" s="725">
        <f t="shared" si="6"/>
        <v>96600</v>
      </c>
      <c r="BD70" s="724">
        <f>+BC70-'BOULEVARD 5 orig.'!I75</f>
        <v>0</v>
      </c>
      <c r="BE70" s="724">
        <f t="shared" si="7"/>
        <v>96600</v>
      </c>
      <c r="BF70" s="726">
        <f>VLOOKUP(A70,'BOULEVARD 5 orig.'!B75:AS373,42,0)</f>
        <v>0</v>
      </c>
      <c r="BG70" s="727">
        <f t="shared" si="8"/>
        <v>23</v>
      </c>
      <c r="BH70" s="728">
        <f t="shared" si="5"/>
        <v>4200</v>
      </c>
    </row>
    <row r="71" spans="1:60" x14ac:dyDescent="0.2">
      <c r="A71" s="723">
        <v>420</v>
      </c>
      <c r="B71" s="723" t="str">
        <f>'BOULEVARD 5'!H76</f>
        <v>4.Plan de pagos</v>
      </c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4"/>
      <c r="Q71" s="724"/>
      <c r="R71" s="724"/>
      <c r="S71" s="724">
        <v>10000</v>
      </c>
      <c r="T71" s="724">
        <v>6276</v>
      </c>
      <c r="U71" s="724">
        <v>6276</v>
      </c>
      <c r="V71" s="724">
        <v>6276</v>
      </c>
      <c r="W71" s="724">
        <v>6276</v>
      </c>
      <c r="X71" s="724">
        <v>6276</v>
      </c>
      <c r="Y71" s="724">
        <v>6276</v>
      </c>
      <c r="Z71" s="724">
        <v>6276</v>
      </c>
      <c r="AA71" s="724">
        <v>6276</v>
      </c>
      <c r="AB71" s="724">
        <v>6276</v>
      </c>
      <c r="AC71" s="724">
        <v>6276</v>
      </c>
      <c r="AD71" s="724">
        <v>6276</v>
      </c>
      <c r="AE71" s="724">
        <v>6276</v>
      </c>
      <c r="AF71" s="724">
        <v>6276</v>
      </c>
      <c r="AG71" s="724">
        <v>6276</v>
      </c>
      <c r="AH71" s="724">
        <v>6276</v>
      </c>
      <c r="AI71" s="724">
        <v>6276</v>
      </c>
      <c r="AJ71" s="724">
        <v>6284</v>
      </c>
      <c r="AK71" s="724"/>
      <c r="AL71" s="724"/>
      <c r="AM71" s="724"/>
      <c r="AN71" s="724"/>
      <c r="AO71" s="724"/>
      <c r="AP71" s="724"/>
      <c r="AQ71" s="724"/>
      <c r="AR71" s="724"/>
      <c r="AS71" s="724"/>
      <c r="AT71" s="724"/>
      <c r="AU71" s="724"/>
      <c r="AV71" s="724"/>
      <c r="AW71" s="724"/>
      <c r="AX71" s="724"/>
      <c r="AY71" s="724"/>
      <c r="AZ71" s="724"/>
      <c r="BA71" s="724"/>
      <c r="BB71" s="724"/>
      <c r="BC71" s="725">
        <f t="shared" si="6"/>
        <v>116700</v>
      </c>
      <c r="BD71" s="724">
        <f>+BC71-'BOULEVARD 5 orig.'!I76</f>
        <v>0</v>
      </c>
      <c r="BE71" s="724">
        <f t="shared" si="7"/>
        <v>116700</v>
      </c>
      <c r="BF71" s="726">
        <f>VLOOKUP(A71,'BOULEVARD 5 orig.'!B76:AS374,42,0)</f>
        <v>0</v>
      </c>
      <c r="BG71" s="727">
        <f t="shared" si="8"/>
        <v>18</v>
      </c>
      <c r="BH71" s="728">
        <f t="shared" si="5"/>
        <v>6483.333333333333</v>
      </c>
    </row>
    <row r="72" spans="1:60" x14ac:dyDescent="0.2">
      <c r="A72" s="723">
        <v>501</v>
      </c>
      <c r="B72" s="723" t="str">
        <f>'BOULEVARD 5'!H77</f>
        <v>4.Plan de pagos</v>
      </c>
      <c r="C72" s="724"/>
      <c r="D72" s="724"/>
      <c r="E72" s="724"/>
      <c r="F72" s="724"/>
      <c r="G72" s="724"/>
      <c r="H72" s="724"/>
      <c r="I72" s="724"/>
      <c r="J72" s="724"/>
      <c r="K72" s="724"/>
      <c r="L72" s="724"/>
      <c r="M72" s="724"/>
      <c r="N72" s="724"/>
      <c r="O72" s="724"/>
      <c r="P72" s="724"/>
      <c r="Q72" s="724"/>
      <c r="R72" s="724"/>
      <c r="S72" s="724"/>
      <c r="T72" s="724"/>
      <c r="U72" s="724"/>
      <c r="V72" s="724"/>
      <c r="W72" s="724"/>
      <c r="X72" s="724"/>
      <c r="Y72" s="724">
        <v>10000</v>
      </c>
      <c r="Z72" s="724">
        <v>8772</v>
      </c>
      <c r="AA72" s="724">
        <v>8772</v>
      </c>
      <c r="AB72" s="724">
        <v>8772</v>
      </c>
      <c r="AC72" s="724">
        <v>8772</v>
      </c>
      <c r="AD72" s="724">
        <v>8772</v>
      </c>
      <c r="AE72" s="724">
        <v>8772</v>
      </c>
      <c r="AF72" s="724">
        <v>8772</v>
      </c>
      <c r="AG72" s="724">
        <v>8772</v>
      </c>
      <c r="AH72" s="724">
        <v>8772</v>
      </c>
      <c r="AI72" s="724">
        <v>8772</v>
      </c>
      <c r="AJ72" s="724">
        <v>8772</v>
      </c>
      <c r="AK72" s="724">
        <v>8772</v>
      </c>
      <c r="AL72" s="724">
        <v>8772</v>
      </c>
      <c r="AM72" s="724">
        <v>8772</v>
      </c>
      <c r="AN72" s="724">
        <v>8772</v>
      </c>
      <c r="AO72" s="724">
        <v>8769.44</v>
      </c>
      <c r="AP72" s="724"/>
      <c r="AQ72" s="724"/>
      <c r="AR72" s="724"/>
      <c r="AS72" s="724"/>
      <c r="AT72" s="724"/>
      <c r="AU72" s="724"/>
      <c r="AV72" s="724"/>
      <c r="AW72" s="724"/>
      <c r="AX72" s="724"/>
      <c r="AY72" s="724"/>
      <c r="AZ72" s="724"/>
      <c r="BA72" s="724"/>
      <c r="BB72" s="724"/>
      <c r="BC72" s="725">
        <f t="shared" si="6"/>
        <v>150349.44</v>
      </c>
      <c r="BD72" s="724">
        <f>+BC72-'BOULEVARD 5 orig.'!I77</f>
        <v>0</v>
      </c>
      <c r="BE72" s="724">
        <f t="shared" si="7"/>
        <v>150349.44</v>
      </c>
      <c r="BF72" s="726">
        <f>VLOOKUP(A72,'BOULEVARD 5 orig.'!B77:AS375,42,0)</f>
        <v>0</v>
      </c>
      <c r="BG72" s="727">
        <f t="shared" si="8"/>
        <v>17</v>
      </c>
      <c r="BH72" s="728">
        <f t="shared" si="5"/>
        <v>8844.0847058823529</v>
      </c>
    </row>
    <row r="73" spans="1:60" x14ac:dyDescent="0.2">
      <c r="A73" s="735">
        <v>502</v>
      </c>
      <c r="B73" s="735" t="str">
        <f>'BOULEVARD 5'!H78</f>
        <v>4.Plan de pagos</v>
      </c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4"/>
      <c r="Q73" s="724"/>
      <c r="R73" s="724"/>
      <c r="S73" s="724"/>
      <c r="T73" s="724"/>
      <c r="U73" s="724"/>
      <c r="V73" s="724"/>
      <c r="W73" s="724"/>
      <c r="X73" s="724"/>
      <c r="Y73" s="724"/>
      <c r="Z73" s="724"/>
      <c r="AA73" s="724"/>
      <c r="AB73" s="724"/>
      <c r="AC73" s="724"/>
      <c r="AD73" s="724">
        <v>15000</v>
      </c>
      <c r="AE73" s="724">
        <v>18630</v>
      </c>
      <c r="AF73" s="724">
        <v>18630</v>
      </c>
      <c r="AG73" s="724">
        <v>18630</v>
      </c>
      <c r="AH73" s="724">
        <v>18630</v>
      </c>
      <c r="AI73" s="724">
        <v>18630</v>
      </c>
      <c r="AJ73" s="724">
        <v>18630</v>
      </c>
      <c r="AK73" s="724">
        <v>18630</v>
      </c>
      <c r="AL73" s="724">
        <v>18630</v>
      </c>
      <c r="AM73" s="724">
        <v>18630</v>
      </c>
      <c r="AN73" s="724">
        <v>18630</v>
      </c>
      <c r="AO73" s="724">
        <v>18630</v>
      </c>
      <c r="AP73" s="724">
        <v>18630</v>
      </c>
      <c r="AQ73" s="724"/>
      <c r="AR73" s="724"/>
      <c r="AS73" s="724"/>
      <c r="AT73" s="724"/>
      <c r="AU73" s="724"/>
      <c r="AV73" s="724"/>
      <c r="AW73" s="724"/>
      <c r="AX73" s="724"/>
      <c r="AY73" s="724"/>
      <c r="AZ73" s="724"/>
      <c r="BA73" s="724"/>
      <c r="BB73" s="724"/>
      <c r="BC73" s="725">
        <f t="shared" si="6"/>
        <v>238560</v>
      </c>
      <c r="BD73" s="724">
        <f>+BC73-'BOULEVARD 5 orig.'!I78</f>
        <v>85640.56733908999</v>
      </c>
      <c r="BE73" s="724">
        <f t="shared" si="7"/>
        <v>238560</v>
      </c>
      <c r="BF73" s="726">
        <f>VLOOKUP(A73,'BOULEVARD 5 orig.'!B78:AS376,42,0)</f>
        <v>0</v>
      </c>
      <c r="BG73" s="727">
        <f t="shared" si="8"/>
        <v>13</v>
      </c>
      <c r="BH73" s="728">
        <f t="shared" si="5"/>
        <v>18350.76923076923</v>
      </c>
    </row>
    <row r="74" spans="1:60" x14ac:dyDescent="0.2">
      <c r="A74" s="738">
        <v>503</v>
      </c>
      <c r="B74" s="738" t="str">
        <f>'BOULEVARD 5'!H79</f>
        <v>4.Plan de pagos</v>
      </c>
      <c r="C74" s="724"/>
      <c r="D74" s="724"/>
      <c r="E74" s="724"/>
      <c r="F74" s="724"/>
      <c r="G74" s="724"/>
      <c r="H74" s="724"/>
      <c r="I74" s="724"/>
      <c r="J74" s="724"/>
      <c r="K74" s="724"/>
      <c r="L74" s="724"/>
      <c r="M74" s="724"/>
      <c r="N74" s="724"/>
      <c r="O74" s="724"/>
      <c r="P74" s="724"/>
      <c r="Q74" s="724"/>
      <c r="R74" s="724"/>
      <c r="S74" s="724"/>
      <c r="T74" s="724"/>
      <c r="U74" s="724"/>
      <c r="V74" s="724"/>
      <c r="W74" s="724"/>
      <c r="X74" s="724"/>
      <c r="Y74" s="724"/>
      <c r="Z74" s="724"/>
      <c r="AA74" s="724"/>
      <c r="AB74" s="724"/>
      <c r="AC74" s="724">
        <v>10000</v>
      </c>
      <c r="AD74" s="724">
        <v>15000</v>
      </c>
      <c r="AE74" s="724">
        <v>18630</v>
      </c>
      <c r="AF74" s="724">
        <v>18630</v>
      </c>
      <c r="AG74" s="724">
        <v>18630</v>
      </c>
      <c r="AH74" s="724">
        <v>18630</v>
      </c>
      <c r="AI74" s="724">
        <v>18630</v>
      </c>
      <c r="AJ74" s="724">
        <v>18630</v>
      </c>
      <c r="AK74" s="724">
        <v>18630</v>
      </c>
      <c r="AL74" s="724">
        <v>18630</v>
      </c>
      <c r="AM74" s="724">
        <v>18630</v>
      </c>
      <c r="AN74" s="724">
        <v>18630</v>
      </c>
      <c r="AO74" s="724">
        <v>18630</v>
      </c>
      <c r="AP74" s="724">
        <v>18632.099999999999</v>
      </c>
      <c r="AQ74" s="724"/>
      <c r="AR74" s="724"/>
      <c r="AS74" s="724"/>
      <c r="AT74" s="724"/>
      <c r="AU74" s="724"/>
      <c r="AV74" s="724"/>
      <c r="AW74" s="724"/>
      <c r="AX74" s="724"/>
      <c r="AY74" s="724"/>
      <c r="AZ74" s="724"/>
      <c r="BA74" s="724"/>
      <c r="BB74" s="724"/>
      <c r="BC74" s="725">
        <f t="shared" si="6"/>
        <v>248562.1</v>
      </c>
      <c r="BD74" s="724">
        <f>+BC74-'BOULEVARD 5 orig.'!I79</f>
        <v>144852.1</v>
      </c>
      <c r="BE74" s="724">
        <f t="shared" si="7"/>
        <v>248562.1</v>
      </c>
      <c r="BF74" s="726">
        <f>VLOOKUP(A74,'BOULEVARD 5 orig.'!B79:AS377,42,0)</f>
        <v>0</v>
      </c>
      <c r="BG74" s="727">
        <f t="shared" si="8"/>
        <v>14</v>
      </c>
      <c r="BH74" s="728">
        <f t="shared" si="5"/>
        <v>17754.435714285715</v>
      </c>
    </row>
    <row r="75" spans="1:60" x14ac:dyDescent="0.2">
      <c r="A75" s="738">
        <v>504</v>
      </c>
      <c r="B75" s="738" t="str">
        <f>'BOULEVARD 5'!H80</f>
        <v>4.Plan de pagos</v>
      </c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4"/>
      <c r="P75" s="724"/>
      <c r="Q75" s="724"/>
      <c r="R75" s="724"/>
      <c r="S75" s="724"/>
      <c r="T75" s="724"/>
      <c r="U75" s="724"/>
      <c r="V75" s="724"/>
      <c r="W75" s="724"/>
      <c r="X75" s="724"/>
      <c r="Y75" s="724"/>
      <c r="Z75" s="724"/>
      <c r="AA75" s="724"/>
      <c r="AB75" s="724"/>
      <c r="AC75" s="739">
        <v>10000</v>
      </c>
      <c r="AD75" s="739">
        <v>7894</v>
      </c>
      <c r="AE75" s="739">
        <v>7894</v>
      </c>
      <c r="AF75" s="739">
        <v>7894</v>
      </c>
      <c r="AG75" s="739">
        <v>7894</v>
      </c>
      <c r="AH75" s="739">
        <v>7894</v>
      </c>
      <c r="AI75" s="739">
        <v>7894</v>
      </c>
      <c r="AJ75" s="739">
        <v>7894</v>
      </c>
      <c r="AK75" s="739">
        <v>7894</v>
      </c>
      <c r="AL75" s="739">
        <v>7894</v>
      </c>
      <c r="AM75" s="739">
        <v>7894</v>
      </c>
      <c r="AN75" s="739">
        <v>7894</v>
      </c>
      <c r="AO75" s="739">
        <v>7894</v>
      </c>
      <c r="AP75" s="724"/>
      <c r="AQ75" s="724"/>
      <c r="AR75" s="724"/>
      <c r="AS75" s="724"/>
      <c r="AT75" s="724"/>
      <c r="AU75" s="724"/>
      <c r="AV75" s="724"/>
      <c r="AW75" s="724"/>
      <c r="AX75" s="724"/>
      <c r="AY75" s="724"/>
      <c r="AZ75" s="724"/>
      <c r="BA75" s="724"/>
      <c r="BB75" s="724"/>
      <c r="BC75" s="725">
        <f t="shared" si="6"/>
        <v>104728</v>
      </c>
      <c r="BD75" s="724">
        <f>+BC75-'BOULEVARD 5 orig.'!I80</f>
        <v>15928</v>
      </c>
      <c r="BE75" s="724">
        <f t="shared" si="7"/>
        <v>104728</v>
      </c>
      <c r="BF75" s="726">
        <f>VLOOKUP(A75,'BOULEVARD 5 orig.'!B80:AS378,42,0)</f>
        <v>0</v>
      </c>
      <c r="BG75" s="727">
        <f t="shared" si="8"/>
        <v>13</v>
      </c>
      <c r="BH75" s="728">
        <f t="shared" si="5"/>
        <v>8056</v>
      </c>
    </row>
    <row r="76" spans="1:60" x14ac:dyDescent="0.2">
      <c r="A76" s="723">
        <v>505</v>
      </c>
      <c r="B76" s="723" t="str">
        <f>'BOULEVARD 5'!H81</f>
        <v>4.Plan de pagos</v>
      </c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>
        <v>10000</v>
      </c>
      <c r="T76" s="724">
        <v>7645</v>
      </c>
      <c r="U76" s="724">
        <v>7645</v>
      </c>
      <c r="V76" s="724">
        <v>7645</v>
      </c>
      <c r="W76" s="724">
        <v>7645</v>
      </c>
      <c r="X76" s="724">
        <v>7645</v>
      </c>
      <c r="Y76" s="724">
        <v>7645</v>
      </c>
      <c r="Z76" s="724">
        <v>7645</v>
      </c>
      <c r="AA76" s="724">
        <v>7645</v>
      </c>
      <c r="AB76" s="724">
        <v>7645</v>
      </c>
      <c r="AC76" s="724">
        <v>7645</v>
      </c>
      <c r="AD76" s="724">
        <v>7645</v>
      </c>
      <c r="AE76" s="724">
        <v>7645</v>
      </c>
      <c r="AF76" s="724">
        <v>7645</v>
      </c>
      <c r="AG76" s="724">
        <v>7645</v>
      </c>
      <c r="AH76" s="724">
        <v>7645</v>
      </c>
      <c r="AI76" s="724">
        <v>7645</v>
      </c>
      <c r="AJ76" s="724">
        <v>7647</v>
      </c>
      <c r="AK76" s="724"/>
      <c r="AL76" s="724"/>
      <c r="AM76" s="724"/>
      <c r="AN76" s="724"/>
      <c r="AO76" s="724"/>
      <c r="AP76" s="724"/>
      <c r="AQ76" s="724"/>
      <c r="AR76" s="724"/>
      <c r="AS76" s="724"/>
      <c r="AT76" s="724"/>
      <c r="AU76" s="724"/>
      <c r="AV76" s="724"/>
      <c r="AW76" s="724"/>
      <c r="AX76" s="724"/>
      <c r="AY76" s="724"/>
      <c r="AZ76" s="724"/>
      <c r="BA76" s="724"/>
      <c r="BB76" s="724"/>
      <c r="BC76" s="725">
        <f t="shared" si="6"/>
        <v>139967</v>
      </c>
      <c r="BD76" s="724">
        <f>+BC76-'BOULEVARD 5 orig.'!I81</f>
        <v>0</v>
      </c>
      <c r="BE76" s="724">
        <f t="shared" si="7"/>
        <v>139967</v>
      </c>
      <c r="BF76" s="726">
        <f>VLOOKUP(A76,'BOULEVARD 5 orig.'!B81:AS379,42,0)</f>
        <v>0</v>
      </c>
      <c r="BG76" s="727">
        <f t="shared" si="8"/>
        <v>18</v>
      </c>
      <c r="BH76" s="728">
        <f t="shared" si="5"/>
        <v>7775.9444444444443</v>
      </c>
    </row>
    <row r="77" spans="1:60" x14ac:dyDescent="0.2">
      <c r="A77" s="723">
        <v>506</v>
      </c>
      <c r="B77" s="723" t="str">
        <f>'BOULEVARD 5'!H82</f>
        <v>4.Plan de pagos</v>
      </c>
      <c r="C77" s="724"/>
      <c r="D77" s="724"/>
      <c r="E77" s="724"/>
      <c r="F77" s="724"/>
      <c r="G77" s="724"/>
      <c r="H77" s="724"/>
      <c r="I77" s="724"/>
      <c r="J77" s="724"/>
      <c r="K77" s="724"/>
      <c r="L77" s="724"/>
      <c r="M77" s="724"/>
      <c r="N77" s="724"/>
      <c r="O77" s="724"/>
      <c r="P77" s="724"/>
      <c r="Q77" s="724"/>
      <c r="R77" s="724"/>
      <c r="S77" s="724"/>
      <c r="T77" s="724"/>
      <c r="U77" s="724"/>
      <c r="V77" s="724">
        <v>10000</v>
      </c>
      <c r="W77" s="724">
        <v>9185</v>
      </c>
      <c r="X77" s="724">
        <v>9185</v>
      </c>
      <c r="Y77" s="724">
        <v>9185</v>
      </c>
      <c r="Z77" s="724">
        <v>9185</v>
      </c>
      <c r="AA77" s="724">
        <v>9185</v>
      </c>
      <c r="AB77" s="724">
        <v>9185</v>
      </c>
      <c r="AC77" s="724">
        <v>9185</v>
      </c>
      <c r="AD77" s="724">
        <v>9185</v>
      </c>
      <c r="AE77" s="724">
        <v>9185</v>
      </c>
      <c r="AF77" s="724">
        <v>9185</v>
      </c>
      <c r="AG77" s="724">
        <v>9185</v>
      </c>
      <c r="AH77" s="724">
        <v>9185</v>
      </c>
      <c r="AI77" s="724">
        <v>9185</v>
      </c>
      <c r="AJ77" s="724">
        <v>9190</v>
      </c>
      <c r="AK77" s="724"/>
      <c r="AL77" s="724"/>
      <c r="AM77" s="724"/>
      <c r="AN77" s="724"/>
      <c r="AO77" s="724"/>
      <c r="AP77" s="724"/>
      <c r="AQ77" s="724"/>
      <c r="AR77" s="724"/>
      <c r="AS77" s="724"/>
      <c r="AT77" s="724"/>
      <c r="AU77" s="724"/>
      <c r="AV77" s="724"/>
      <c r="AW77" s="724"/>
      <c r="AX77" s="724"/>
      <c r="AY77" s="724"/>
      <c r="AZ77" s="724"/>
      <c r="BA77" s="724"/>
      <c r="BB77" s="724"/>
      <c r="BC77" s="725">
        <f t="shared" si="6"/>
        <v>138595</v>
      </c>
      <c r="BD77" s="724">
        <f>+BC77-'BOULEVARD 5 orig.'!I82</f>
        <v>0</v>
      </c>
      <c r="BE77" s="724">
        <f t="shared" si="7"/>
        <v>138595</v>
      </c>
      <c r="BF77" s="726">
        <f>VLOOKUP(A77,'BOULEVARD 5 orig.'!B82:AS380,42,0)</f>
        <v>0</v>
      </c>
      <c r="BG77" s="727">
        <f t="shared" si="8"/>
        <v>15</v>
      </c>
      <c r="BH77" s="728">
        <f t="shared" si="5"/>
        <v>9239.6666666666661</v>
      </c>
    </row>
    <row r="78" spans="1:60" x14ac:dyDescent="0.2">
      <c r="A78" s="723">
        <v>507</v>
      </c>
      <c r="B78" s="723" t="str">
        <f>'BOULEVARD 5'!H83</f>
        <v>4.Plan de pagos</v>
      </c>
      <c r="C78" s="724"/>
      <c r="D78" s="724"/>
      <c r="E78" s="724"/>
      <c r="F78" s="724"/>
      <c r="G78" s="724"/>
      <c r="H78" s="724">
        <v>6000</v>
      </c>
      <c r="I78" s="724">
        <v>2652</v>
      </c>
      <c r="J78" s="724">
        <v>2652</v>
      </c>
      <c r="K78" s="724">
        <v>2652</v>
      </c>
      <c r="L78" s="724">
        <v>2652</v>
      </c>
      <c r="M78" s="724">
        <v>2652</v>
      </c>
      <c r="N78" s="724">
        <v>2652</v>
      </c>
      <c r="O78" s="724">
        <v>2652</v>
      </c>
      <c r="P78" s="724">
        <v>2652</v>
      </c>
      <c r="Q78" s="724">
        <v>2652</v>
      </c>
      <c r="R78" s="724">
        <v>2652</v>
      </c>
      <c r="S78" s="724">
        <v>2652</v>
      </c>
      <c r="T78" s="724">
        <v>2652</v>
      </c>
      <c r="U78" s="724">
        <v>2652</v>
      </c>
      <c r="V78" s="724">
        <v>2652</v>
      </c>
      <c r="W78" s="724">
        <v>2652</v>
      </c>
      <c r="X78" s="724">
        <v>2652</v>
      </c>
      <c r="Y78" s="724">
        <v>2652</v>
      </c>
      <c r="Z78" s="724">
        <v>2652</v>
      </c>
      <c r="AA78" s="724">
        <v>2652</v>
      </c>
      <c r="AB78" s="724">
        <v>2652</v>
      </c>
      <c r="AC78" s="724">
        <v>2652</v>
      </c>
      <c r="AD78" s="724">
        <v>2652</v>
      </c>
      <c r="AE78" s="724">
        <v>2652</v>
      </c>
      <c r="AF78" s="724">
        <v>2652</v>
      </c>
      <c r="AG78" s="724">
        <v>2652</v>
      </c>
      <c r="AH78" s="724"/>
      <c r="AI78" s="724"/>
      <c r="AJ78" s="724"/>
      <c r="AK78" s="724"/>
      <c r="AL78" s="724"/>
      <c r="AM78" s="724"/>
      <c r="AN78" s="724"/>
      <c r="AO78" s="724"/>
      <c r="AP78" s="724"/>
      <c r="AQ78" s="724"/>
      <c r="AR78" s="724"/>
      <c r="AS78" s="724"/>
      <c r="AT78" s="724"/>
      <c r="AU78" s="724"/>
      <c r="AV78" s="724"/>
      <c r="AW78" s="724"/>
      <c r="AX78" s="724"/>
      <c r="AY78" s="724"/>
      <c r="AZ78" s="724"/>
      <c r="BA78" s="724"/>
      <c r="BB78" s="724"/>
      <c r="BC78" s="725">
        <f t="shared" si="6"/>
        <v>72300</v>
      </c>
      <c r="BD78" s="724">
        <f>+BC78-'BOULEVARD 5 orig.'!I83</f>
        <v>0</v>
      </c>
      <c r="BE78" s="724">
        <f t="shared" si="7"/>
        <v>72300</v>
      </c>
      <c r="BF78" s="726">
        <f>VLOOKUP(A78,'BOULEVARD 5 orig.'!B83:AS381,42,0)</f>
        <v>0</v>
      </c>
      <c r="BG78" s="727">
        <f t="shared" si="8"/>
        <v>26</v>
      </c>
      <c r="BH78" s="728">
        <f t="shared" si="5"/>
        <v>2780.7692307692309</v>
      </c>
    </row>
    <row r="79" spans="1:60" x14ac:dyDescent="0.2">
      <c r="A79" s="723">
        <v>508</v>
      </c>
      <c r="B79" s="723" t="str">
        <f>'BOULEVARD 5'!H84</f>
        <v>4.Plan de pagos</v>
      </c>
      <c r="C79" s="724"/>
      <c r="D79" s="724"/>
      <c r="E79" s="724"/>
      <c r="F79" s="724"/>
      <c r="G79" s="724"/>
      <c r="H79" s="724"/>
      <c r="I79" s="724"/>
      <c r="J79" s="724"/>
      <c r="K79" s="724"/>
      <c r="L79" s="724"/>
      <c r="M79" s="724"/>
      <c r="N79" s="724"/>
      <c r="O79" s="724"/>
      <c r="P79" s="724">
        <v>8000</v>
      </c>
      <c r="Q79" s="724">
        <v>6494</v>
      </c>
      <c r="R79" s="724">
        <v>6494</v>
      </c>
      <c r="S79" s="724">
        <v>6494</v>
      </c>
      <c r="T79" s="724">
        <v>6494</v>
      </c>
      <c r="U79" s="724">
        <v>6494</v>
      </c>
      <c r="V79" s="724">
        <v>6494</v>
      </c>
      <c r="W79" s="724">
        <v>6494</v>
      </c>
      <c r="X79" s="724">
        <v>6494</v>
      </c>
      <c r="Y79" s="724">
        <v>6494</v>
      </c>
      <c r="Z79" s="724">
        <v>6494</v>
      </c>
      <c r="AA79" s="724">
        <v>6494</v>
      </c>
      <c r="AB79" s="724">
        <v>6494</v>
      </c>
      <c r="AC79" s="724">
        <v>6494</v>
      </c>
      <c r="AD79" s="724">
        <v>6494</v>
      </c>
      <c r="AE79" s="724">
        <v>6494</v>
      </c>
      <c r="AF79" s="724">
        <v>6494</v>
      </c>
      <c r="AG79" s="724">
        <v>6489</v>
      </c>
      <c r="AH79" s="724"/>
      <c r="AI79" s="724"/>
      <c r="AJ79" s="724"/>
      <c r="AK79" s="724"/>
      <c r="AL79" s="724"/>
      <c r="AM79" s="724"/>
      <c r="AN79" s="724"/>
      <c r="AO79" s="724"/>
      <c r="AP79" s="724"/>
      <c r="AQ79" s="724"/>
      <c r="AR79" s="724"/>
      <c r="AS79" s="724"/>
      <c r="AT79" s="724"/>
      <c r="AU79" s="724"/>
      <c r="AV79" s="724"/>
      <c r="AW79" s="724"/>
      <c r="AX79" s="724"/>
      <c r="AY79" s="724"/>
      <c r="AZ79" s="724"/>
      <c r="BA79" s="724"/>
      <c r="BB79" s="724"/>
      <c r="BC79" s="725">
        <f t="shared" si="6"/>
        <v>118393</v>
      </c>
      <c r="BD79" s="724">
        <f>+BC79-'BOULEVARD 5 orig.'!I84</f>
        <v>0</v>
      </c>
      <c r="BE79" s="724">
        <f t="shared" si="7"/>
        <v>118393</v>
      </c>
      <c r="BF79" s="726">
        <f>VLOOKUP(A79,'BOULEVARD 5 orig.'!B84:AS382,42,0)</f>
        <v>0</v>
      </c>
      <c r="BG79" s="727">
        <f t="shared" si="8"/>
        <v>18</v>
      </c>
      <c r="BH79" s="728">
        <f t="shared" si="5"/>
        <v>6577.3888888888887</v>
      </c>
    </row>
    <row r="80" spans="1:60" x14ac:dyDescent="0.2">
      <c r="A80" s="723">
        <v>509</v>
      </c>
      <c r="B80" s="723" t="str">
        <f>'BOULEVARD 5'!H85</f>
        <v>4.Plan de pagos</v>
      </c>
      <c r="C80" s="724"/>
      <c r="D80" s="724"/>
      <c r="E80" s="724"/>
      <c r="F80" s="724"/>
      <c r="G80" s="724"/>
      <c r="H80" s="724"/>
      <c r="I80" s="724"/>
      <c r="J80" s="724"/>
      <c r="K80" s="724"/>
      <c r="L80" s="724"/>
      <c r="M80" s="724"/>
      <c r="N80" s="724"/>
      <c r="O80" s="724"/>
      <c r="P80" s="724"/>
      <c r="Q80" s="724"/>
      <c r="R80" s="724">
        <v>10000</v>
      </c>
      <c r="S80" s="724">
        <v>6009</v>
      </c>
      <c r="T80" s="724">
        <v>6009</v>
      </c>
      <c r="U80" s="724">
        <v>6009</v>
      </c>
      <c r="V80" s="724">
        <v>6009</v>
      </c>
      <c r="W80" s="724">
        <v>6009</v>
      </c>
      <c r="X80" s="724">
        <v>6009</v>
      </c>
      <c r="Y80" s="724">
        <v>6009</v>
      </c>
      <c r="Z80" s="724">
        <v>6009</v>
      </c>
      <c r="AA80" s="724">
        <v>6009</v>
      </c>
      <c r="AB80" s="724">
        <v>6009</v>
      </c>
      <c r="AC80" s="724">
        <v>6009</v>
      </c>
      <c r="AD80" s="724">
        <v>6009</v>
      </c>
      <c r="AE80" s="724">
        <v>6009</v>
      </c>
      <c r="AF80" s="724">
        <v>6009</v>
      </c>
      <c r="AG80" s="724">
        <v>6009</v>
      </c>
      <c r="AH80" s="724">
        <v>6009</v>
      </c>
      <c r="AI80" s="724">
        <v>6009</v>
      </c>
      <c r="AJ80" s="724">
        <v>6008.5</v>
      </c>
      <c r="AK80" s="724"/>
      <c r="AL80" s="724"/>
      <c r="AM80" s="724"/>
      <c r="AN80" s="724"/>
      <c r="AO80" s="724"/>
      <c r="AP80" s="724"/>
      <c r="AQ80" s="724"/>
      <c r="AR80" s="724"/>
      <c r="AS80" s="724"/>
      <c r="AT80" s="724"/>
      <c r="AU80" s="724"/>
      <c r="AV80" s="724"/>
      <c r="AW80" s="724"/>
      <c r="AX80" s="724"/>
      <c r="AY80" s="724"/>
      <c r="AZ80" s="724"/>
      <c r="BA80" s="724"/>
      <c r="BB80" s="724"/>
      <c r="BC80" s="725">
        <f t="shared" si="6"/>
        <v>118161.5</v>
      </c>
      <c r="BD80" s="724">
        <f>+BC80-'BOULEVARD 5 orig.'!I85</f>
        <v>0</v>
      </c>
      <c r="BE80" s="724">
        <f t="shared" si="7"/>
        <v>118161.5</v>
      </c>
      <c r="BF80" s="726">
        <f>VLOOKUP(A80,'BOULEVARD 5 orig.'!B85:AS383,42,0)</f>
        <v>0</v>
      </c>
      <c r="BG80" s="727">
        <f t="shared" si="8"/>
        <v>19</v>
      </c>
      <c r="BH80" s="728">
        <f t="shared" si="5"/>
        <v>6219.0263157894733</v>
      </c>
    </row>
    <row r="81" spans="1:60" x14ac:dyDescent="0.2">
      <c r="A81" s="723">
        <v>510</v>
      </c>
      <c r="B81" s="723" t="str">
        <f>'BOULEVARD 5'!H86</f>
        <v>4.Plan de pagos</v>
      </c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4">
        <v>8000</v>
      </c>
      <c r="P81" s="724">
        <v>6133</v>
      </c>
      <c r="Q81" s="724">
        <v>6133</v>
      </c>
      <c r="R81" s="724">
        <v>6133</v>
      </c>
      <c r="S81" s="724">
        <v>6133</v>
      </c>
      <c r="T81" s="724">
        <v>6133</v>
      </c>
      <c r="U81" s="724">
        <v>6133</v>
      </c>
      <c r="V81" s="724">
        <v>6133</v>
      </c>
      <c r="W81" s="724">
        <v>6133</v>
      </c>
      <c r="X81" s="724">
        <v>6133</v>
      </c>
      <c r="Y81" s="724">
        <v>6133</v>
      </c>
      <c r="Z81" s="724">
        <v>6133</v>
      </c>
      <c r="AA81" s="724">
        <v>6133</v>
      </c>
      <c r="AB81" s="724">
        <v>6133</v>
      </c>
      <c r="AC81" s="724">
        <v>6133</v>
      </c>
      <c r="AD81" s="724">
        <v>6133</v>
      </c>
      <c r="AE81" s="724">
        <v>6133</v>
      </c>
      <c r="AF81" s="724">
        <v>6133</v>
      </c>
      <c r="AG81" s="724">
        <v>6132</v>
      </c>
      <c r="AH81" s="724"/>
      <c r="AI81" s="724"/>
      <c r="AJ81" s="724"/>
      <c r="AK81" s="724"/>
      <c r="AL81" s="724"/>
      <c r="AM81" s="724"/>
      <c r="AN81" s="724"/>
      <c r="AO81" s="724"/>
      <c r="AP81" s="724"/>
      <c r="AQ81" s="724"/>
      <c r="AR81" s="724"/>
      <c r="AS81" s="724"/>
      <c r="AT81" s="724"/>
      <c r="AU81" s="724"/>
      <c r="AV81" s="724"/>
      <c r="AW81" s="724"/>
      <c r="AX81" s="724"/>
      <c r="AY81" s="724"/>
      <c r="AZ81" s="724"/>
      <c r="BA81" s="724"/>
      <c r="BB81" s="724"/>
      <c r="BC81" s="725">
        <f t="shared" si="6"/>
        <v>118393</v>
      </c>
      <c r="BD81" s="724">
        <f>+BC81-'BOULEVARD 5 orig.'!I86</f>
        <v>0</v>
      </c>
      <c r="BE81" s="724">
        <f t="shared" si="7"/>
        <v>118393</v>
      </c>
      <c r="BF81" s="726">
        <f>VLOOKUP(A81,'BOULEVARD 5 orig.'!B86:AS384,42,0)</f>
        <v>0</v>
      </c>
      <c r="BG81" s="727">
        <f t="shared" si="8"/>
        <v>19</v>
      </c>
      <c r="BH81" s="728">
        <f t="shared" si="5"/>
        <v>6231.2105263157891</v>
      </c>
    </row>
    <row r="82" spans="1:60" x14ac:dyDescent="0.2">
      <c r="A82" s="723">
        <v>511</v>
      </c>
      <c r="B82" s="723" t="str">
        <f>'BOULEVARD 5'!H87</f>
        <v>4.Plan de pagos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  <c r="P82" s="724"/>
      <c r="Q82" s="724"/>
      <c r="R82" s="724">
        <v>5000</v>
      </c>
      <c r="S82" s="724">
        <v>5000</v>
      </c>
      <c r="T82" s="724">
        <v>6009</v>
      </c>
      <c r="U82" s="724">
        <v>6009</v>
      </c>
      <c r="V82" s="724">
        <v>6009</v>
      </c>
      <c r="W82" s="724">
        <v>6009</v>
      </c>
      <c r="X82" s="724">
        <v>6009</v>
      </c>
      <c r="Y82" s="724">
        <v>6009</v>
      </c>
      <c r="Z82" s="724">
        <v>6009</v>
      </c>
      <c r="AA82" s="724">
        <v>6009</v>
      </c>
      <c r="AB82" s="724">
        <v>6009</v>
      </c>
      <c r="AC82" s="724">
        <v>6009</v>
      </c>
      <c r="AD82" s="724">
        <v>6009</v>
      </c>
      <c r="AE82" s="724">
        <v>6009</v>
      </c>
      <c r="AF82" s="724">
        <v>6009</v>
      </c>
      <c r="AG82" s="724">
        <v>6009</v>
      </c>
      <c r="AH82" s="724">
        <v>6009</v>
      </c>
      <c r="AI82" s="724">
        <v>6009</v>
      </c>
      <c r="AJ82" s="724">
        <v>6009</v>
      </c>
      <c r="AK82" s="724">
        <v>6008.5</v>
      </c>
      <c r="AL82" s="724"/>
      <c r="AM82" s="724"/>
      <c r="AN82" s="724"/>
      <c r="AO82" s="724"/>
      <c r="AP82" s="724"/>
      <c r="AQ82" s="724"/>
      <c r="AR82" s="724"/>
      <c r="AS82" s="724"/>
      <c r="AT82" s="724"/>
      <c r="AU82" s="724"/>
      <c r="AV82" s="724"/>
      <c r="AW82" s="724"/>
      <c r="AX82" s="724"/>
      <c r="AY82" s="724"/>
      <c r="AZ82" s="724"/>
      <c r="BA82" s="724"/>
      <c r="BB82" s="724"/>
      <c r="BC82" s="725">
        <f t="shared" si="6"/>
        <v>118161.5</v>
      </c>
      <c r="BD82" s="724">
        <f>+BC82-'BOULEVARD 5 orig.'!I87</f>
        <v>0</v>
      </c>
      <c r="BE82" s="724">
        <f t="shared" si="7"/>
        <v>118161.5</v>
      </c>
      <c r="BF82" s="726">
        <f>VLOOKUP(A82,'BOULEVARD 5 orig.'!B87:AS385,42,0)</f>
        <v>0</v>
      </c>
      <c r="BG82" s="727">
        <f t="shared" si="8"/>
        <v>20</v>
      </c>
      <c r="BH82" s="728">
        <f t="shared" si="5"/>
        <v>5908.0749999999998</v>
      </c>
    </row>
    <row r="83" spans="1:60" x14ac:dyDescent="0.2">
      <c r="A83" s="723">
        <v>512</v>
      </c>
      <c r="B83" s="723" t="str">
        <f>'BOULEVARD 5'!H88</f>
        <v>4.Plan de pagos</v>
      </c>
      <c r="C83" s="724"/>
      <c r="D83" s="724"/>
      <c r="E83" s="724"/>
      <c r="F83" s="724"/>
      <c r="G83" s="724">
        <v>6000</v>
      </c>
      <c r="H83" s="724">
        <v>2477</v>
      </c>
      <c r="I83" s="724">
        <v>2477</v>
      </c>
      <c r="J83" s="724">
        <v>2477</v>
      </c>
      <c r="K83" s="724">
        <v>2477</v>
      </c>
      <c r="L83" s="724">
        <v>2477</v>
      </c>
      <c r="M83" s="724">
        <v>2477</v>
      </c>
      <c r="N83" s="724">
        <v>2477</v>
      </c>
      <c r="O83" s="724">
        <v>2477</v>
      </c>
      <c r="P83" s="724">
        <v>2477</v>
      </c>
      <c r="Q83" s="724">
        <v>2477</v>
      </c>
      <c r="R83" s="724">
        <v>2477</v>
      </c>
      <c r="S83" s="724">
        <v>2477</v>
      </c>
      <c r="T83" s="724">
        <v>2477</v>
      </c>
      <c r="U83" s="724">
        <v>2477</v>
      </c>
      <c r="V83" s="724">
        <v>2477</v>
      </c>
      <c r="W83" s="724">
        <v>2477</v>
      </c>
      <c r="X83" s="724">
        <v>2477</v>
      </c>
      <c r="Y83" s="724">
        <v>2477</v>
      </c>
      <c r="Z83" s="724">
        <v>2477</v>
      </c>
      <c r="AA83" s="724">
        <v>2477</v>
      </c>
      <c r="AB83" s="724">
        <v>2477</v>
      </c>
      <c r="AC83" s="724">
        <v>2477</v>
      </c>
      <c r="AD83" s="724">
        <v>2477</v>
      </c>
      <c r="AE83" s="724">
        <v>2477</v>
      </c>
      <c r="AF83" s="724">
        <v>2477</v>
      </c>
      <c r="AG83" s="724">
        <v>2475</v>
      </c>
      <c r="AH83" s="724"/>
      <c r="AI83" s="724"/>
      <c r="AJ83" s="724"/>
      <c r="AK83" s="724"/>
      <c r="AL83" s="724"/>
      <c r="AM83" s="724"/>
      <c r="AN83" s="724"/>
      <c r="AO83" s="724"/>
      <c r="AP83" s="724"/>
      <c r="AQ83" s="724"/>
      <c r="AR83" s="724"/>
      <c r="AS83" s="724"/>
      <c r="AT83" s="724"/>
      <c r="AU83" s="724"/>
      <c r="AV83" s="724"/>
      <c r="AW83" s="724"/>
      <c r="AX83" s="724"/>
      <c r="AY83" s="724"/>
      <c r="AZ83" s="724"/>
      <c r="BA83" s="724"/>
      <c r="BB83" s="724"/>
      <c r="BC83" s="725">
        <f t="shared" si="6"/>
        <v>70400</v>
      </c>
      <c r="BD83" s="724">
        <f>+BC83-'BOULEVARD 5 orig.'!I88</f>
        <v>0</v>
      </c>
      <c r="BE83" s="724">
        <f t="shared" si="7"/>
        <v>70400</v>
      </c>
      <c r="BF83" s="726">
        <f>VLOOKUP(A83,'BOULEVARD 5 orig.'!B88:AS386,42,0)</f>
        <v>0</v>
      </c>
      <c r="BG83" s="727">
        <f t="shared" si="8"/>
        <v>27</v>
      </c>
      <c r="BH83" s="728">
        <f t="shared" si="5"/>
        <v>2607.4074074074074</v>
      </c>
    </row>
    <row r="84" spans="1:60" x14ac:dyDescent="0.2">
      <c r="A84" s="723">
        <v>513</v>
      </c>
      <c r="B84" s="723" t="str">
        <f>'BOULEVARD 5'!H89</f>
        <v>4.Plan de pagos</v>
      </c>
      <c r="C84" s="724"/>
      <c r="D84" s="724"/>
      <c r="E84" s="724"/>
      <c r="F84" s="724"/>
      <c r="G84" s="724">
        <v>6000</v>
      </c>
      <c r="H84" s="724">
        <v>2415</v>
      </c>
      <c r="I84" s="724">
        <v>2415</v>
      </c>
      <c r="J84" s="724">
        <v>2415</v>
      </c>
      <c r="K84" s="724">
        <v>2415</v>
      </c>
      <c r="L84" s="724">
        <v>2415</v>
      </c>
      <c r="M84" s="724">
        <v>2415</v>
      </c>
      <c r="N84" s="724">
        <v>2415</v>
      </c>
      <c r="O84" s="724">
        <v>2415</v>
      </c>
      <c r="P84" s="724">
        <v>2415</v>
      </c>
      <c r="Q84" s="724">
        <v>2415</v>
      </c>
      <c r="R84" s="724">
        <v>2415</v>
      </c>
      <c r="S84" s="724">
        <v>2415</v>
      </c>
      <c r="T84" s="724">
        <v>2415</v>
      </c>
      <c r="U84" s="724">
        <v>2415</v>
      </c>
      <c r="V84" s="724">
        <v>2415</v>
      </c>
      <c r="W84" s="724">
        <v>2415</v>
      </c>
      <c r="X84" s="724">
        <v>2415</v>
      </c>
      <c r="Y84" s="724">
        <v>2415</v>
      </c>
      <c r="Z84" s="724">
        <v>2415</v>
      </c>
      <c r="AA84" s="724">
        <v>2415</v>
      </c>
      <c r="AB84" s="724">
        <v>2415</v>
      </c>
      <c r="AC84" s="724">
        <v>2415</v>
      </c>
      <c r="AD84" s="724">
        <v>2415</v>
      </c>
      <c r="AE84" s="724">
        <v>2415</v>
      </c>
      <c r="AF84" s="724">
        <v>2415</v>
      </c>
      <c r="AG84" s="724">
        <v>2425</v>
      </c>
      <c r="AH84" s="724"/>
      <c r="AI84" s="724"/>
      <c r="AJ84" s="724"/>
      <c r="AK84" s="724"/>
      <c r="AL84" s="724"/>
      <c r="AM84" s="724"/>
      <c r="AN84" s="724"/>
      <c r="AO84" s="724"/>
      <c r="AP84" s="724"/>
      <c r="AQ84" s="724"/>
      <c r="AR84" s="724"/>
      <c r="AS84" s="724"/>
      <c r="AT84" s="724"/>
      <c r="AU84" s="724"/>
      <c r="AV84" s="724"/>
      <c r="AW84" s="724"/>
      <c r="AX84" s="724"/>
      <c r="AY84" s="724"/>
      <c r="AZ84" s="724"/>
      <c r="BA84" s="724"/>
      <c r="BB84" s="724"/>
      <c r="BC84" s="725">
        <f t="shared" si="6"/>
        <v>68800</v>
      </c>
      <c r="BD84" s="724">
        <f>+BC84-'BOULEVARD 5 orig.'!I89</f>
        <v>0</v>
      </c>
      <c r="BE84" s="724">
        <f t="shared" si="7"/>
        <v>68800</v>
      </c>
      <c r="BF84" s="726">
        <f>VLOOKUP(A84,'BOULEVARD 5 orig.'!B89:AS387,42,0)</f>
        <v>0</v>
      </c>
      <c r="BG84" s="727">
        <f t="shared" si="8"/>
        <v>27</v>
      </c>
      <c r="BH84" s="728">
        <f t="shared" si="5"/>
        <v>2548.1481481481483</v>
      </c>
    </row>
    <row r="85" spans="1:60" x14ac:dyDescent="0.2">
      <c r="A85" s="723">
        <v>514</v>
      </c>
      <c r="B85" s="723" t="str">
        <f>'BOULEVARD 5'!H90</f>
        <v>4.Plan de pagos</v>
      </c>
      <c r="C85" s="724"/>
      <c r="D85" s="724"/>
      <c r="E85" s="724"/>
      <c r="F85" s="724"/>
      <c r="G85" s="724"/>
      <c r="H85" s="724"/>
      <c r="I85" s="724"/>
      <c r="J85" s="724"/>
      <c r="K85" s="724"/>
      <c r="L85" s="724"/>
      <c r="M85" s="724"/>
      <c r="N85" s="724"/>
      <c r="O85" s="724"/>
      <c r="P85" s="724"/>
      <c r="Q85" s="724"/>
      <c r="R85" s="724"/>
      <c r="S85" s="724"/>
      <c r="T85" s="724"/>
      <c r="U85" s="724"/>
      <c r="V85" s="724"/>
      <c r="W85" s="724"/>
      <c r="X85" s="724"/>
      <c r="Y85" s="724"/>
      <c r="Z85" s="724"/>
      <c r="AA85" s="724"/>
      <c r="AB85" s="724"/>
      <c r="AC85" s="724"/>
      <c r="AD85" s="724"/>
      <c r="AE85" s="724"/>
      <c r="AF85" s="724"/>
      <c r="AG85" s="724"/>
      <c r="AH85" s="724"/>
      <c r="AI85" s="724"/>
      <c r="AJ85" s="724"/>
      <c r="AK85" s="724"/>
      <c r="AL85" s="724"/>
      <c r="AM85" s="724"/>
      <c r="AN85" s="724"/>
      <c r="AO85" s="724"/>
      <c r="AP85" s="724"/>
      <c r="AQ85" s="724"/>
      <c r="AR85" s="724"/>
      <c r="AS85" s="724"/>
      <c r="AT85" s="724"/>
      <c r="AU85" s="724"/>
      <c r="AV85" s="724"/>
      <c r="AW85" s="724"/>
      <c r="AX85" s="724"/>
      <c r="AY85" s="724"/>
      <c r="AZ85" s="724"/>
      <c r="BA85" s="724"/>
      <c r="BB85" s="724"/>
      <c r="BC85" s="725">
        <f t="shared" si="6"/>
        <v>0</v>
      </c>
      <c r="BD85" s="724">
        <f>+BC85-'BOULEVARD 5 orig.'!I90</f>
        <v>-153507.84052580199</v>
      </c>
      <c r="BE85" s="724">
        <f t="shared" si="7"/>
        <v>0</v>
      </c>
      <c r="BF85" s="726">
        <f>VLOOKUP(A85,'BOULEVARD 5 orig.'!B90:AS388,42,0)</f>
        <v>0</v>
      </c>
      <c r="BG85" s="727">
        <f t="shared" si="8"/>
        <v>0</v>
      </c>
      <c r="BH85" s="728">
        <f t="shared" si="5"/>
        <v>0</v>
      </c>
    </row>
    <row r="86" spans="1:60" x14ac:dyDescent="0.2">
      <c r="A86" s="723">
        <v>515</v>
      </c>
      <c r="B86" s="723" t="str">
        <f>'BOULEVARD 5'!H91</f>
        <v>4.Plan de pagos</v>
      </c>
      <c r="C86" s="724">
        <v>6000</v>
      </c>
      <c r="D86" s="724">
        <v>1570</v>
      </c>
      <c r="E86" s="724">
        <v>1570</v>
      </c>
      <c r="F86" s="724">
        <v>1570</v>
      </c>
      <c r="G86" s="724">
        <v>1570</v>
      </c>
      <c r="H86" s="724">
        <v>1570</v>
      </c>
      <c r="I86" s="724">
        <v>1570</v>
      </c>
      <c r="J86" s="724">
        <v>1570</v>
      </c>
      <c r="K86" s="724">
        <v>1570</v>
      </c>
      <c r="L86" s="724">
        <v>1570</v>
      </c>
      <c r="M86" s="724">
        <v>1570</v>
      </c>
      <c r="N86" s="724">
        <v>1570</v>
      </c>
      <c r="O86" s="724">
        <v>1570</v>
      </c>
      <c r="P86" s="724">
        <v>1570</v>
      </c>
      <c r="Q86" s="724">
        <v>1570</v>
      </c>
      <c r="R86" s="724">
        <v>1570</v>
      </c>
      <c r="S86" s="724">
        <v>1570</v>
      </c>
      <c r="T86" s="724">
        <v>1570</v>
      </c>
      <c r="U86" s="724">
        <v>1570</v>
      </c>
      <c r="V86" s="724">
        <v>1570</v>
      </c>
      <c r="W86" s="724">
        <v>1570</v>
      </c>
      <c r="X86" s="724">
        <v>1570</v>
      </c>
      <c r="Y86" s="724">
        <v>1570</v>
      </c>
      <c r="Z86" s="724">
        <v>1570</v>
      </c>
      <c r="AA86" s="724">
        <v>1570</v>
      </c>
      <c r="AB86" s="724">
        <v>1570</v>
      </c>
      <c r="AC86" s="724">
        <v>1570</v>
      </c>
      <c r="AD86" s="724">
        <v>1570</v>
      </c>
      <c r="AE86" s="724">
        <v>1570</v>
      </c>
      <c r="AF86" s="724">
        <v>1570</v>
      </c>
      <c r="AG86" s="724">
        <v>1570</v>
      </c>
      <c r="AH86" s="724">
        <v>1570</v>
      </c>
      <c r="AI86" s="724">
        <v>1570</v>
      </c>
      <c r="AJ86" s="724">
        <v>1570</v>
      </c>
      <c r="AK86" s="724">
        <v>1570</v>
      </c>
      <c r="AL86" s="724">
        <v>1869.5</v>
      </c>
      <c r="AM86" s="724"/>
      <c r="AN86" s="724"/>
      <c r="AO86" s="724"/>
      <c r="AP86" s="724"/>
      <c r="AQ86" s="724"/>
      <c r="AR86" s="724"/>
      <c r="AS86" s="724"/>
      <c r="AT86" s="724"/>
      <c r="AU86" s="724"/>
      <c r="AV86" s="724"/>
      <c r="AW86" s="724"/>
      <c r="AX86" s="724"/>
      <c r="AY86" s="724"/>
      <c r="AZ86" s="724"/>
      <c r="BA86" s="724"/>
      <c r="BB86" s="724"/>
      <c r="BC86" s="725">
        <f t="shared" si="6"/>
        <v>61249.5</v>
      </c>
      <c r="BD86" s="724">
        <f>+BC86-'BOULEVARD 5 orig.'!I91</f>
        <v>0</v>
      </c>
      <c r="BE86" s="724">
        <f t="shared" si="7"/>
        <v>61249.5</v>
      </c>
      <c r="BF86" s="726">
        <f>VLOOKUP(A86,'BOULEVARD 5 orig.'!B91:AS389,42,0)</f>
        <v>0</v>
      </c>
      <c r="BG86" s="727">
        <f t="shared" si="8"/>
        <v>36</v>
      </c>
      <c r="BH86" s="728">
        <f t="shared" si="5"/>
        <v>1701.375</v>
      </c>
    </row>
    <row r="87" spans="1:60" x14ac:dyDescent="0.2">
      <c r="A87" s="723">
        <v>516</v>
      </c>
      <c r="B87" s="723" t="str">
        <f>'BOULEVARD 5'!H92</f>
        <v>4.Plan de pagos</v>
      </c>
      <c r="C87" s="724"/>
      <c r="D87" s="724"/>
      <c r="E87" s="724"/>
      <c r="F87" s="724"/>
      <c r="G87" s="724"/>
      <c r="H87" s="724"/>
      <c r="I87" s="724"/>
      <c r="J87" s="724"/>
      <c r="K87" s="724"/>
      <c r="L87" s="724"/>
      <c r="M87" s="724"/>
      <c r="N87" s="724"/>
      <c r="O87" s="724"/>
      <c r="P87" s="724"/>
      <c r="Q87" s="724"/>
      <c r="R87" s="724"/>
      <c r="S87" s="724"/>
      <c r="T87" s="724"/>
      <c r="U87" s="724">
        <v>10000</v>
      </c>
      <c r="V87" s="724">
        <v>6247</v>
      </c>
      <c r="W87" s="724">
        <v>6247</v>
      </c>
      <c r="X87" s="724">
        <v>6247</v>
      </c>
      <c r="Y87" s="724">
        <v>6247</v>
      </c>
      <c r="Z87" s="724">
        <v>6247</v>
      </c>
      <c r="AA87" s="724">
        <v>6247</v>
      </c>
      <c r="AB87" s="724">
        <v>6247</v>
      </c>
      <c r="AC87" s="724">
        <v>6247</v>
      </c>
      <c r="AD87" s="724">
        <v>6247</v>
      </c>
      <c r="AE87" s="724">
        <v>6247</v>
      </c>
      <c r="AF87" s="724">
        <v>6247</v>
      </c>
      <c r="AG87" s="724">
        <v>6247</v>
      </c>
      <c r="AH87" s="724">
        <v>6247</v>
      </c>
      <c r="AI87" s="724">
        <v>6247</v>
      </c>
      <c r="AJ87" s="724">
        <v>6252</v>
      </c>
      <c r="AK87" s="724"/>
      <c r="AL87" s="724"/>
      <c r="AM87" s="724"/>
      <c r="AN87" s="724"/>
      <c r="AO87" s="724"/>
      <c r="AP87" s="724"/>
      <c r="AQ87" s="724"/>
      <c r="AR87" s="724"/>
      <c r="AS87" s="724"/>
      <c r="AT87" s="724"/>
      <c r="AU87" s="724"/>
      <c r="AV87" s="724"/>
      <c r="AW87" s="724"/>
      <c r="AX87" s="724"/>
      <c r="AY87" s="724"/>
      <c r="AZ87" s="724"/>
      <c r="BA87" s="724"/>
      <c r="BB87" s="724"/>
      <c r="BC87" s="725">
        <f t="shared" si="6"/>
        <v>103710</v>
      </c>
      <c r="BD87" s="724">
        <f>+BC87-'BOULEVARD 5 orig.'!I92</f>
        <v>0</v>
      </c>
      <c r="BE87" s="724">
        <f t="shared" si="7"/>
        <v>103710</v>
      </c>
      <c r="BF87" s="726">
        <f>VLOOKUP(A87,'BOULEVARD 5 orig.'!B92:AS390,42,0)</f>
        <v>0</v>
      </c>
      <c r="BG87" s="727">
        <f t="shared" si="8"/>
        <v>16</v>
      </c>
      <c r="BH87" s="728">
        <f t="shared" si="5"/>
        <v>6481.875</v>
      </c>
    </row>
    <row r="88" spans="1:60" x14ac:dyDescent="0.2">
      <c r="A88" s="723">
        <v>517</v>
      </c>
      <c r="B88" s="723" t="str">
        <f>'BOULEVARD 5'!H93</f>
        <v>4.Plan de pagos</v>
      </c>
      <c r="C88" s="724"/>
      <c r="D88" s="724"/>
      <c r="E88" s="724"/>
      <c r="F88" s="724"/>
      <c r="G88" s="724"/>
      <c r="H88" s="724"/>
      <c r="I88" s="724"/>
      <c r="J88" s="724"/>
      <c r="K88" s="724"/>
      <c r="L88" s="724"/>
      <c r="M88" s="724"/>
      <c r="N88" s="724"/>
      <c r="O88" s="724"/>
      <c r="P88" s="724"/>
      <c r="Q88" s="724">
        <v>8000</v>
      </c>
      <c r="R88" s="724">
        <v>4166</v>
      </c>
      <c r="S88" s="724">
        <v>4166</v>
      </c>
      <c r="T88" s="724">
        <v>4166</v>
      </c>
      <c r="U88" s="724">
        <v>4166</v>
      </c>
      <c r="V88" s="724">
        <v>4166</v>
      </c>
      <c r="W88" s="724">
        <v>4166</v>
      </c>
      <c r="X88" s="724">
        <v>4166</v>
      </c>
      <c r="Y88" s="724">
        <v>4166</v>
      </c>
      <c r="Z88" s="724">
        <v>4166</v>
      </c>
      <c r="AA88" s="724">
        <v>4166</v>
      </c>
      <c r="AB88" s="724">
        <v>4166</v>
      </c>
      <c r="AC88" s="724">
        <v>4166</v>
      </c>
      <c r="AD88" s="724">
        <v>4166</v>
      </c>
      <c r="AE88" s="724">
        <v>4166</v>
      </c>
      <c r="AF88" s="724">
        <v>4166</v>
      </c>
      <c r="AG88" s="724">
        <v>4166</v>
      </c>
      <c r="AH88" s="724">
        <v>4166</v>
      </c>
      <c r="AI88" s="724">
        <v>4166</v>
      </c>
      <c r="AJ88" s="724">
        <v>4174.12</v>
      </c>
      <c r="AK88" s="724"/>
      <c r="AL88" s="724"/>
      <c r="AM88" s="724"/>
      <c r="AN88" s="724"/>
      <c r="AO88" s="724"/>
      <c r="AP88" s="724"/>
      <c r="AQ88" s="724"/>
      <c r="AR88" s="724"/>
      <c r="AS88" s="724"/>
      <c r="AT88" s="724"/>
      <c r="AU88" s="724"/>
      <c r="AV88" s="724"/>
      <c r="AW88" s="724"/>
      <c r="AX88" s="724"/>
      <c r="AY88" s="724"/>
      <c r="AZ88" s="724"/>
      <c r="BA88" s="724"/>
      <c r="BB88" s="724"/>
      <c r="BC88" s="725">
        <f t="shared" si="6"/>
        <v>87162.12</v>
      </c>
      <c r="BD88" s="724">
        <f>+BC88-'BOULEVARD 5 orig.'!I93</f>
        <v>0</v>
      </c>
      <c r="BE88" s="724">
        <f t="shared" si="7"/>
        <v>87162.12</v>
      </c>
      <c r="BF88" s="726">
        <f>VLOOKUP(A88,'BOULEVARD 5 orig.'!B93:AS391,42,0)</f>
        <v>0</v>
      </c>
      <c r="BG88" s="727">
        <f t="shared" si="8"/>
        <v>20</v>
      </c>
      <c r="BH88" s="728">
        <f t="shared" si="5"/>
        <v>4358.1059999999998</v>
      </c>
    </row>
    <row r="89" spans="1:60" x14ac:dyDescent="0.2">
      <c r="A89" s="723">
        <v>518</v>
      </c>
      <c r="B89" s="723" t="str">
        <f>'BOULEVARD 5'!H94</f>
        <v>4.Plan de pagos</v>
      </c>
      <c r="C89" s="724"/>
      <c r="D89" s="724"/>
      <c r="E89" s="724"/>
      <c r="F89" s="724"/>
      <c r="G89" s="724"/>
      <c r="H89" s="724"/>
      <c r="I89" s="724"/>
      <c r="J89" s="724"/>
      <c r="K89" s="724"/>
      <c r="L89" s="724"/>
      <c r="M89" s="724"/>
      <c r="N89" s="724"/>
      <c r="O89" s="724"/>
      <c r="P89" s="724"/>
      <c r="Q89" s="724"/>
      <c r="R89" s="724"/>
      <c r="S89" s="724"/>
      <c r="T89" s="724"/>
      <c r="U89" s="724"/>
      <c r="V89" s="724">
        <v>10000</v>
      </c>
      <c r="W89" s="724">
        <v>7397</v>
      </c>
      <c r="X89" s="724">
        <v>7397</v>
      </c>
      <c r="Y89" s="724">
        <v>7397</v>
      </c>
      <c r="Z89" s="724">
        <v>7397</v>
      </c>
      <c r="AA89" s="724">
        <v>7397</v>
      </c>
      <c r="AB89" s="724">
        <v>7397</v>
      </c>
      <c r="AC89" s="724">
        <v>7397</v>
      </c>
      <c r="AD89" s="724">
        <v>7397</v>
      </c>
      <c r="AE89" s="724">
        <v>7397</v>
      </c>
      <c r="AF89" s="724">
        <v>7397</v>
      </c>
      <c r="AG89" s="724">
        <v>7397</v>
      </c>
      <c r="AH89" s="724">
        <v>7397</v>
      </c>
      <c r="AI89" s="724">
        <v>7397</v>
      </c>
      <c r="AJ89" s="724">
        <v>7397</v>
      </c>
      <c r="AK89" s="724">
        <v>7397</v>
      </c>
      <c r="AL89" s="724">
        <v>7397</v>
      </c>
      <c r="AM89" s="724">
        <v>7397</v>
      </c>
      <c r="AN89" s="724">
        <v>7397</v>
      </c>
      <c r="AO89" s="724">
        <v>7403.44</v>
      </c>
      <c r="AP89" s="724"/>
      <c r="AQ89" s="724"/>
      <c r="AR89" s="724"/>
      <c r="AS89" s="724"/>
      <c r="AT89" s="724"/>
      <c r="AU89" s="724"/>
      <c r="AV89" s="724"/>
      <c r="AW89" s="724"/>
      <c r="AX89" s="724"/>
      <c r="AY89" s="724"/>
      <c r="AZ89" s="724"/>
      <c r="BA89" s="724"/>
      <c r="BB89" s="724"/>
      <c r="BC89" s="725">
        <f t="shared" si="6"/>
        <v>150549.44</v>
      </c>
      <c r="BD89" s="724">
        <f>+BC89-'BOULEVARD 5 orig.'!I94</f>
        <v>0</v>
      </c>
      <c r="BE89" s="724">
        <f t="shared" si="7"/>
        <v>150549.44</v>
      </c>
      <c r="BF89" s="726">
        <f>VLOOKUP(A89,'BOULEVARD 5 orig.'!B94:AS392,42,0)</f>
        <v>0</v>
      </c>
      <c r="BG89" s="727">
        <f t="shared" si="8"/>
        <v>20</v>
      </c>
      <c r="BH89" s="728">
        <f t="shared" si="5"/>
        <v>7527.4719999999998</v>
      </c>
    </row>
    <row r="90" spans="1:60" x14ac:dyDescent="0.2">
      <c r="A90" s="723">
        <v>519</v>
      </c>
      <c r="B90" s="723" t="str">
        <f>'BOULEVARD 5'!H95</f>
        <v>4.Plan de pagos</v>
      </c>
      <c r="C90" s="724"/>
      <c r="D90" s="724"/>
      <c r="E90" s="724"/>
      <c r="F90" s="724"/>
      <c r="G90" s="724"/>
      <c r="H90" s="724"/>
      <c r="I90" s="724"/>
      <c r="J90" s="724"/>
      <c r="K90" s="724"/>
      <c r="L90" s="724"/>
      <c r="M90" s="724"/>
      <c r="N90" s="724"/>
      <c r="O90" s="724"/>
      <c r="P90" s="724"/>
      <c r="Q90" s="724"/>
      <c r="R90" s="724"/>
      <c r="S90" s="724"/>
      <c r="T90" s="724"/>
      <c r="U90" s="724"/>
      <c r="V90" s="724"/>
      <c r="W90" s="724"/>
      <c r="X90" s="724"/>
      <c r="Y90" s="724"/>
      <c r="Z90" s="724"/>
      <c r="AA90" s="724"/>
      <c r="AB90" s="724"/>
      <c r="AC90" s="724"/>
      <c r="AD90" s="724"/>
      <c r="AE90" s="724"/>
      <c r="AF90" s="724">
        <v>10000</v>
      </c>
      <c r="AG90" s="724">
        <v>10210</v>
      </c>
      <c r="AH90" s="724">
        <v>10210</v>
      </c>
      <c r="AI90" s="724">
        <v>10210</v>
      </c>
      <c r="AJ90" s="724">
        <v>10210</v>
      </c>
      <c r="AK90" s="724">
        <v>10210</v>
      </c>
      <c r="AL90" s="724">
        <v>10210</v>
      </c>
      <c r="AM90" s="724">
        <v>10210</v>
      </c>
      <c r="AN90" s="724">
        <v>10210</v>
      </c>
      <c r="AO90" s="724">
        <v>10210</v>
      </c>
      <c r="AP90" s="724">
        <v>10210</v>
      </c>
      <c r="AQ90" s="724"/>
      <c r="AR90" s="724"/>
      <c r="AS90" s="724"/>
      <c r="AT90" s="724"/>
      <c r="AU90" s="724"/>
      <c r="AV90" s="724"/>
      <c r="AW90" s="724"/>
      <c r="AX90" s="724"/>
      <c r="AY90" s="724"/>
      <c r="AZ90" s="724"/>
      <c r="BA90" s="724"/>
      <c r="BB90" s="724"/>
      <c r="BC90" s="725">
        <f t="shared" si="6"/>
        <v>112100</v>
      </c>
      <c r="BD90" s="724">
        <f>+BC90-'BOULEVARD 5 orig.'!I95</f>
        <v>-40819.43266091001</v>
      </c>
      <c r="BE90" s="724">
        <f t="shared" si="7"/>
        <v>112100</v>
      </c>
      <c r="BF90" s="726">
        <f>VLOOKUP(A90,'BOULEVARD 5 orig.'!B95:AS393,42,0)</f>
        <v>0</v>
      </c>
      <c r="BG90" s="727">
        <f t="shared" si="8"/>
        <v>11</v>
      </c>
      <c r="BH90" s="728">
        <f t="shared" si="5"/>
        <v>10190.90909090909</v>
      </c>
    </row>
    <row r="91" spans="1:60" x14ac:dyDescent="0.2">
      <c r="A91" s="723">
        <v>601</v>
      </c>
      <c r="B91" s="723" t="str">
        <f>'BOULEVARD 5'!H96</f>
        <v>4.Plan de pagos</v>
      </c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4"/>
      <c r="P91" s="724"/>
      <c r="Q91" s="724"/>
      <c r="R91" s="724"/>
      <c r="S91" s="724"/>
      <c r="T91" s="724"/>
      <c r="U91" s="724"/>
      <c r="V91" s="724">
        <v>10000</v>
      </c>
      <c r="W91" s="724">
        <v>9851</v>
      </c>
      <c r="X91" s="724">
        <v>9851</v>
      </c>
      <c r="Y91" s="724">
        <v>9851</v>
      </c>
      <c r="Z91" s="724">
        <v>9851</v>
      </c>
      <c r="AA91" s="724">
        <v>9851</v>
      </c>
      <c r="AB91" s="724">
        <v>9851</v>
      </c>
      <c r="AC91" s="724">
        <v>9851</v>
      </c>
      <c r="AD91" s="724">
        <v>9851</v>
      </c>
      <c r="AE91" s="724">
        <v>9851</v>
      </c>
      <c r="AF91" s="724">
        <v>9851</v>
      </c>
      <c r="AG91" s="724">
        <v>9851</v>
      </c>
      <c r="AH91" s="724">
        <v>9851</v>
      </c>
      <c r="AI91" s="724">
        <v>9851</v>
      </c>
      <c r="AJ91" s="724">
        <v>9849.7999999999993</v>
      </c>
      <c r="AK91" s="724"/>
      <c r="AL91" s="724"/>
      <c r="AM91" s="724"/>
      <c r="AN91" s="724"/>
      <c r="AO91" s="724"/>
      <c r="AP91" s="724"/>
      <c r="AQ91" s="724"/>
      <c r="AR91" s="724"/>
      <c r="AS91" s="724"/>
      <c r="AT91" s="724"/>
      <c r="AU91" s="724"/>
      <c r="AV91" s="724"/>
      <c r="AW91" s="724"/>
      <c r="AX91" s="724"/>
      <c r="AY91" s="724"/>
      <c r="AZ91" s="724"/>
      <c r="BA91" s="724"/>
      <c r="BB91" s="724"/>
      <c r="BC91" s="725">
        <f t="shared" si="6"/>
        <v>147912.79999999999</v>
      </c>
      <c r="BD91" s="724">
        <f>+BC91-'BOULEVARD 5 orig.'!I96</f>
        <v>0</v>
      </c>
      <c r="BE91" s="724">
        <f t="shared" si="7"/>
        <v>147912.79999999999</v>
      </c>
      <c r="BF91" s="726">
        <f>VLOOKUP(A91,'BOULEVARD 5 orig.'!B96:AS394,42,0)</f>
        <v>0</v>
      </c>
      <c r="BG91" s="727">
        <f t="shared" si="8"/>
        <v>15</v>
      </c>
      <c r="BH91" s="728">
        <f t="shared" si="5"/>
        <v>9860.8533333333326</v>
      </c>
    </row>
    <row r="92" spans="1:60" x14ac:dyDescent="0.2">
      <c r="A92" s="735">
        <v>602</v>
      </c>
      <c r="B92" s="735" t="str">
        <f>'BOULEVARD 5'!H97</f>
        <v>4.Plan de pagos</v>
      </c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724"/>
      <c r="AB92" s="724"/>
      <c r="AC92" s="726"/>
      <c r="AD92" s="724">
        <v>10000</v>
      </c>
      <c r="AE92" s="724">
        <v>11908</v>
      </c>
      <c r="AF92" s="724">
        <v>11908</v>
      </c>
      <c r="AG92" s="724">
        <v>11908</v>
      </c>
      <c r="AH92" s="724">
        <v>11908</v>
      </c>
      <c r="AI92" s="724">
        <v>11908</v>
      </c>
      <c r="AJ92" s="724">
        <v>11908</v>
      </c>
      <c r="AK92" s="724">
        <v>11908</v>
      </c>
      <c r="AL92" s="724">
        <v>11908</v>
      </c>
      <c r="AM92" s="724">
        <v>11908</v>
      </c>
      <c r="AN92" s="724">
        <v>11908</v>
      </c>
      <c r="AO92" s="724">
        <v>11908</v>
      </c>
      <c r="AP92" s="724">
        <v>11906.33</v>
      </c>
      <c r="AQ92" s="724"/>
      <c r="AR92" s="724"/>
      <c r="AS92" s="724"/>
      <c r="AT92" s="724"/>
      <c r="AU92" s="724"/>
      <c r="AV92" s="724"/>
      <c r="AW92" s="724"/>
      <c r="AX92" s="724"/>
      <c r="AY92" s="724"/>
      <c r="AZ92" s="724"/>
      <c r="BA92" s="724"/>
      <c r="BB92" s="724"/>
      <c r="BC92" s="725">
        <f t="shared" si="6"/>
        <v>152894.32999999999</v>
      </c>
      <c r="BD92" s="724">
        <f>+BC92-'BOULEVARD 5 orig.'!I97</f>
        <v>-25.102660910022678</v>
      </c>
      <c r="BE92" s="724">
        <f t="shared" si="7"/>
        <v>152894.32999999999</v>
      </c>
      <c r="BF92" s="726">
        <f>VLOOKUP(A92,'BOULEVARD 5 orig.'!B97:AS395,42,0)</f>
        <v>0</v>
      </c>
      <c r="BG92" s="727">
        <f t="shared" si="8"/>
        <v>13</v>
      </c>
      <c r="BH92" s="728">
        <f t="shared" si="5"/>
        <v>11761.102307692307</v>
      </c>
    </row>
    <row r="93" spans="1:60" x14ac:dyDescent="0.2">
      <c r="A93" s="723">
        <v>603</v>
      </c>
      <c r="B93" s="723" t="str">
        <f>'BOULEVARD 5'!H98</f>
        <v>4.Plan de pagos</v>
      </c>
      <c r="C93" s="724"/>
      <c r="D93" s="724"/>
      <c r="E93" s="724"/>
      <c r="F93" s="724"/>
      <c r="G93" s="724"/>
      <c r="H93" s="724"/>
      <c r="I93" s="724"/>
      <c r="J93" s="724"/>
      <c r="K93" s="724"/>
      <c r="L93" s="724"/>
      <c r="M93" s="724"/>
      <c r="N93" s="724"/>
      <c r="O93" s="724"/>
      <c r="P93" s="724">
        <v>8000</v>
      </c>
      <c r="Q93" s="724">
        <v>4835</v>
      </c>
      <c r="R93" s="724">
        <v>4835</v>
      </c>
      <c r="S93" s="724">
        <v>4835</v>
      </c>
      <c r="T93" s="724">
        <v>4835</v>
      </c>
      <c r="U93" s="724">
        <v>4835</v>
      </c>
      <c r="V93" s="724">
        <v>4835</v>
      </c>
      <c r="W93" s="724">
        <v>4835</v>
      </c>
      <c r="X93" s="724">
        <v>4835</v>
      </c>
      <c r="Y93" s="724">
        <v>4835</v>
      </c>
      <c r="Z93" s="724">
        <v>4835</v>
      </c>
      <c r="AA93" s="724">
        <v>4835</v>
      </c>
      <c r="AB93" s="724">
        <v>4835</v>
      </c>
      <c r="AC93" s="724">
        <v>4835</v>
      </c>
      <c r="AD93" s="724">
        <v>4835</v>
      </c>
      <c r="AE93" s="724">
        <v>4835</v>
      </c>
      <c r="AF93" s="724">
        <v>4835</v>
      </c>
      <c r="AG93" s="724">
        <v>4840</v>
      </c>
      <c r="AH93" s="724"/>
      <c r="AI93" s="724"/>
      <c r="AJ93" s="724"/>
      <c r="AK93" s="724"/>
      <c r="AL93" s="724"/>
      <c r="AM93" s="724"/>
      <c r="AN93" s="724"/>
      <c r="AO93" s="724"/>
      <c r="AP93" s="724"/>
      <c r="AQ93" s="724"/>
      <c r="AR93" s="724"/>
      <c r="AS93" s="724"/>
      <c r="AT93" s="724"/>
      <c r="AU93" s="724"/>
      <c r="AV93" s="724"/>
      <c r="AW93" s="724"/>
      <c r="AX93" s="724"/>
      <c r="AY93" s="724"/>
      <c r="AZ93" s="724"/>
      <c r="BA93" s="724"/>
      <c r="BB93" s="724"/>
      <c r="BC93" s="725">
        <f t="shared" si="6"/>
        <v>90200</v>
      </c>
      <c r="BD93" s="724">
        <f>+BC93-'BOULEVARD 5 orig.'!I98</f>
        <v>0</v>
      </c>
      <c r="BE93" s="724">
        <f t="shared" si="7"/>
        <v>90200</v>
      </c>
      <c r="BF93" s="726">
        <f>VLOOKUP(A93,'BOULEVARD 5 orig.'!B98:AS396,42,0)</f>
        <v>0</v>
      </c>
      <c r="BG93" s="727">
        <f t="shared" si="8"/>
        <v>18</v>
      </c>
      <c r="BH93" s="728">
        <f t="shared" si="5"/>
        <v>5011.1111111111113</v>
      </c>
    </row>
    <row r="94" spans="1:60" x14ac:dyDescent="0.2">
      <c r="A94" s="723">
        <v>604</v>
      </c>
      <c r="B94" s="723" t="str">
        <f>'BOULEVARD 5'!H99</f>
        <v>4.Plan de pagos</v>
      </c>
      <c r="C94" s="724"/>
      <c r="D94" s="724"/>
      <c r="E94" s="724"/>
      <c r="F94" s="724"/>
      <c r="G94" s="724"/>
      <c r="H94" s="724"/>
      <c r="I94" s="724"/>
      <c r="J94" s="724"/>
      <c r="K94" s="724"/>
      <c r="L94" s="724"/>
      <c r="M94" s="724"/>
      <c r="N94" s="724"/>
      <c r="O94" s="724"/>
      <c r="P94" s="724">
        <v>8000</v>
      </c>
      <c r="Q94" s="724">
        <v>4753</v>
      </c>
      <c r="R94" s="724">
        <v>4753</v>
      </c>
      <c r="S94" s="724">
        <v>4753</v>
      </c>
      <c r="T94" s="724">
        <v>4753</v>
      </c>
      <c r="U94" s="724">
        <v>4753</v>
      </c>
      <c r="V94" s="724">
        <v>4753</v>
      </c>
      <c r="W94" s="724">
        <v>4753</v>
      </c>
      <c r="X94" s="724">
        <v>4753</v>
      </c>
      <c r="Y94" s="724">
        <v>4753</v>
      </c>
      <c r="Z94" s="724">
        <v>4753</v>
      </c>
      <c r="AA94" s="724">
        <v>4753</v>
      </c>
      <c r="AB94" s="724">
        <v>4753</v>
      </c>
      <c r="AC94" s="724">
        <v>4753</v>
      </c>
      <c r="AD94" s="724">
        <v>4753</v>
      </c>
      <c r="AE94" s="724">
        <v>4753</v>
      </c>
      <c r="AF94" s="724">
        <v>4753</v>
      </c>
      <c r="AG94" s="724">
        <v>4752</v>
      </c>
      <c r="AH94" s="724"/>
      <c r="AI94" s="724"/>
      <c r="AJ94" s="724"/>
      <c r="AK94" s="724"/>
      <c r="AL94" s="724"/>
      <c r="AM94" s="724"/>
      <c r="AN94" s="724"/>
      <c r="AO94" s="724"/>
      <c r="AP94" s="724"/>
      <c r="AQ94" s="724"/>
      <c r="AR94" s="724"/>
      <c r="AS94" s="724"/>
      <c r="AT94" s="724"/>
      <c r="AU94" s="724"/>
      <c r="AV94" s="724"/>
      <c r="AW94" s="724"/>
      <c r="AX94" s="724"/>
      <c r="AY94" s="724"/>
      <c r="AZ94" s="724"/>
      <c r="BA94" s="724"/>
      <c r="BB94" s="724"/>
      <c r="BC94" s="725">
        <f t="shared" si="6"/>
        <v>88800</v>
      </c>
      <c r="BD94" s="724">
        <f>+BC94-'BOULEVARD 5 orig.'!I99</f>
        <v>0</v>
      </c>
      <c r="BE94" s="724">
        <f t="shared" si="7"/>
        <v>88800</v>
      </c>
      <c r="BF94" s="726">
        <f>VLOOKUP(A94,'BOULEVARD 5 orig.'!B99:AS397,42,0)</f>
        <v>0</v>
      </c>
      <c r="BG94" s="727">
        <f t="shared" si="8"/>
        <v>18</v>
      </c>
      <c r="BH94" s="728">
        <f t="shared" si="5"/>
        <v>4933.333333333333</v>
      </c>
    </row>
    <row r="95" spans="1:60" x14ac:dyDescent="0.2">
      <c r="A95" s="723">
        <v>605</v>
      </c>
      <c r="B95" s="723" t="str">
        <f>'BOULEVARD 5'!H100</f>
        <v>4.Plan de pagos</v>
      </c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4"/>
      <c r="U95" s="724">
        <v>10000</v>
      </c>
      <c r="V95" s="724">
        <v>8494</v>
      </c>
      <c r="W95" s="724">
        <v>8494</v>
      </c>
      <c r="X95" s="724">
        <v>8494</v>
      </c>
      <c r="Y95" s="724">
        <v>8494</v>
      </c>
      <c r="Z95" s="724">
        <v>8494</v>
      </c>
      <c r="AA95" s="724">
        <v>8494</v>
      </c>
      <c r="AB95" s="724">
        <v>8494</v>
      </c>
      <c r="AC95" s="724">
        <v>8494</v>
      </c>
      <c r="AD95" s="724">
        <v>8494</v>
      </c>
      <c r="AE95" s="724">
        <v>8494</v>
      </c>
      <c r="AF95" s="724">
        <v>8494</v>
      </c>
      <c r="AG95" s="724">
        <v>8494</v>
      </c>
      <c r="AH95" s="724">
        <v>8494</v>
      </c>
      <c r="AI95" s="724">
        <v>8494</v>
      </c>
      <c r="AJ95" s="724">
        <v>8489</v>
      </c>
      <c r="AK95" s="724"/>
      <c r="AL95" s="724"/>
      <c r="AM95" s="724"/>
      <c r="AN95" s="724"/>
      <c r="AO95" s="724"/>
      <c r="AP95" s="724"/>
      <c r="AQ95" s="724"/>
      <c r="AR95" s="724"/>
      <c r="AS95" s="724"/>
      <c r="AT95" s="724"/>
      <c r="AU95" s="724"/>
      <c r="AV95" s="724"/>
      <c r="AW95" s="724"/>
      <c r="AX95" s="724"/>
      <c r="AY95" s="724"/>
      <c r="AZ95" s="724"/>
      <c r="BA95" s="724"/>
      <c r="BB95" s="724"/>
      <c r="BC95" s="725">
        <f t="shared" si="6"/>
        <v>137405</v>
      </c>
      <c r="BD95" s="724">
        <f>+BC95-'BOULEVARD 5 orig.'!I100</f>
        <v>0</v>
      </c>
      <c r="BE95" s="724">
        <f t="shared" si="7"/>
        <v>137405</v>
      </c>
      <c r="BF95" s="726">
        <f>VLOOKUP(A95,'BOULEVARD 5 orig.'!B100:AS398,42,0)</f>
        <v>0</v>
      </c>
      <c r="BG95" s="727">
        <f t="shared" si="8"/>
        <v>16</v>
      </c>
      <c r="BH95" s="728">
        <f t="shared" si="5"/>
        <v>8587.8125</v>
      </c>
    </row>
    <row r="96" spans="1:60" x14ac:dyDescent="0.2">
      <c r="A96" s="723">
        <v>606</v>
      </c>
      <c r="B96" s="723" t="str">
        <f>'BOULEVARD 5'!H101</f>
        <v>4.Plan de pagos</v>
      </c>
      <c r="C96" s="724"/>
      <c r="D96" s="724"/>
      <c r="E96" s="724"/>
      <c r="F96" s="724"/>
      <c r="G96" s="724"/>
      <c r="H96" s="724"/>
      <c r="I96" s="724"/>
      <c r="J96" s="724"/>
      <c r="K96" s="724"/>
      <c r="L96" s="724"/>
      <c r="M96" s="724"/>
      <c r="N96" s="724"/>
      <c r="O96" s="724"/>
      <c r="P96" s="724"/>
      <c r="Q96" s="724"/>
      <c r="R96" s="724"/>
      <c r="S96" s="724"/>
      <c r="T96" s="724">
        <v>10000</v>
      </c>
      <c r="U96" s="724">
        <v>8000</v>
      </c>
      <c r="V96" s="724">
        <v>8000</v>
      </c>
      <c r="W96" s="724">
        <v>8000</v>
      </c>
      <c r="X96" s="724">
        <v>8000</v>
      </c>
      <c r="Y96" s="724">
        <v>8000</v>
      </c>
      <c r="Z96" s="724">
        <v>8000</v>
      </c>
      <c r="AA96" s="724">
        <v>8000</v>
      </c>
      <c r="AB96" s="724">
        <v>8000</v>
      </c>
      <c r="AC96" s="724">
        <v>8000</v>
      </c>
      <c r="AD96" s="724">
        <v>8000</v>
      </c>
      <c r="AE96" s="724">
        <v>8000</v>
      </c>
      <c r="AF96" s="724">
        <v>8000</v>
      </c>
      <c r="AG96" s="724">
        <v>8000</v>
      </c>
      <c r="AH96" s="724">
        <v>8000</v>
      </c>
      <c r="AI96" s="724">
        <v>8000</v>
      </c>
      <c r="AJ96" s="724">
        <v>7995</v>
      </c>
      <c r="AK96" s="724"/>
      <c r="AL96" s="724"/>
      <c r="AM96" s="724"/>
      <c r="AN96" s="724"/>
      <c r="AO96" s="724"/>
      <c r="AP96" s="724"/>
      <c r="AQ96" s="724"/>
      <c r="AR96" s="724"/>
      <c r="AS96" s="724"/>
      <c r="AT96" s="724"/>
      <c r="AU96" s="724"/>
      <c r="AV96" s="724"/>
      <c r="AW96" s="724"/>
      <c r="AX96" s="724"/>
      <c r="AY96" s="724"/>
      <c r="AZ96" s="724"/>
      <c r="BA96" s="724"/>
      <c r="BB96" s="724"/>
      <c r="BC96" s="725">
        <f t="shared" si="6"/>
        <v>137995</v>
      </c>
      <c r="BD96" s="724">
        <f>+BC96-'BOULEVARD 5 orig.'!I101</f>
        <v>0</v>
      </c>
      <c r="BE96" s="724">
        <f t="shared" si="7"/>
        <v>137995</v>
      </c>
      <c r="BF96" s="726">
        <f>VLOOKUP(A96,'BOULEVARD 5 orig.'!B101:AS399,42,0)</f>
        <v>0</v>
      </c>
      <c r="BG96" s="727">
        <f t="shared" si="8"/>
        <v>17</v>
      </c>
      <c r="BH96" s="728">
        <f t="shared" si="5"/>
        <v>8117.3529411764703</v>
      </c>
    </row>
    <row r="97" spans="1:60" x14ac:dyDescent="0.2">
      <c r="A97" s="736">
        <v>607</v>
      </c>
      <c r="B97" s="736" t="str">
        <f>'BOULEVARD 5'!H102</f>
        <v>4.Plan de pagos</v>
      </c>
      <c r="C97" s="724"/>
      <c r="D97" s="724"/>
      <c r="E97" s="724"/>
      <c r="F97" s="724"/>
      <c r="G97" s="724"/>
      <c r="H97" s="724"/>
      <c r="I97" s="724"/>
      <c r="J97" s="724"/>
      <c r="K97" s="724"/>
      <c r="L97" s="724"/>
      <c r="M97" s="724"/>
      <c r="N97" s="724"/>
      <c r="O97" s="724"/>
      <c r="P97" s="724"/>
      <c r="Q97" s="724"/>
      <c r="R97" s="724"/>
      <c r="S97" s="724"/>
      <c r="T97" s="724"/>
      <c r="U97" s="724"/>
      <c r="V97" s="724"/>
      <c r="W97" s="724"/>
      <c r="X97" s="724"/>
      <c r="Y97" s="724"/>
      <c r="Z97" s="724"/>
      <c r="AA97" s="724"/>
      <c r="AB97" s="724">
        <v>10000</v>
      </c>
      <c r="AC97" s="724">
        <v>5167</v>
      </c>
      <c r="AD97" s="724">
        <v>5167</v>
      </c>
      <c r="AE97" s="724">
        <v>5167</v>
      </c>
      <c r="AF97" s="724">
        <v>5167</v>
      </c>
      <c r="AG97" s="724">
        <v>5167</v>
      </c>
      <c r="AH97" s="724">
        <v>5167</v>
      </c>
      <c r="AI97" s="724">
        <v>5167</v>
      </c>
      <c r="AJ97" s="724">
        <v>5167</v>
      </c>
      <c r="AK97" s="724">
        <v>5167</v>
      </c>
      <c r="AL97" s="724">
        <v>5167</v>
      </c>
      <c r="AM97" s="724">
        <v>5167</v>
      </c>
      <c r="AN97" s="724">
        <v>5167</v>
      </c>
      <c r="AO97" s="724">
        <v>5167</v>
      </c>
      <c r="AP97" s="724"/>
      <c r="AQ97" s="724"/>
      <c r="AR97" s="724"/>
      <c r="AS97" s="724"/>
      <c r="AT97" s="724"/>
      <c r="AU97" s="724"/>
      <c r="AV97" s="724"/>
      <c r="AW97" s="724"/>
      <c r="AX97" s="724"/>
      <c r="AY97" s="724"/>
      <c r="AZ97" s="724"/>
      <c r="BA97" s="724"/>
      <c r="BB97" s="724"/>
      <c r="BC97" s="725">
        <f t="shared" si="6"/>
        <v>77171</v>
      </c>
      <c r="BD97" s="724">
        <f>+BC97-'BOULEVARD 5 orig.'!I102</f>
        <v>4871</v>
      </c>
      <c r="BE97" s="724">
        <f t="shared" si="7"/>
        <v>77171</v>
      </c>
      <c r="BF97" s="726">
        <f>VLOOKUP(A97,'BOULEVARD 5 orig.'!B102:AS400,42,0)</f>
        <v>0</v>
      </c>
      <c r="BG97" s="727">
        <f t="shared" si="8"/>
        <v>14</v>
      </c>
      <c r="BH97" s="728">
        <f t="shared" si="5"/>
        <v>5512.2142857142853</v>
      </c>
    </row>
    <row r="98" spans="1:60" x14ac:dyDescent="0.2">
      <c r="A98" s="723">
        <v>608</v>
      </c>
      <c r="B98" s="723" t="str">
        <f>'BOULEVARD 5'!H103</f>
        <v>4.Plan de pagos</v>
      </c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>
        <v>8000</v>
      </c>
      <c r="O98" s="724">
        <v>19000</v>
      </c>
      <c r="P98" s="724"/>
      <c r="Q98" s="724"/>
      <c r="R98" s="724"/>
      <c r="S98" s="724">
        <v>19000</v>
      </c>
      <c r="T98" s="724"/>
      <c r="U98" s="724"/>
      <c r="V98" s="724"/>
      <c r="W98" s="724"/>
      <c r="X98" s="724">
        <v>19000</v>
      </c>
      <c r="Y98" s="724"/>
      <c r="Z98" s="724"/>
      <c r="AA98" s="724">
        <v>19000</v>
      </c>
      <c r="AB98" s="724"/>
      <c r="AC98" s="724"/>
      <c r="AD98" s="724"/>
      <c r="AE98" s="724">
        <v>19000</v>
      </c>
      <c r="AF98" s="724"/>
      <c r="AG98" s="724"/>
      <c r="AH98" s="724">
        <v>15393</v>
      </c>
      <c r="AI98" s="724"/>
      <c r="AJ98" s="724"/>
      <c r="AK98" s="724"/>
      <c r="AL98" s="724"/>
      <c r="AM98" s="724"/>
      <c r="AN98" s="724"/>
      <c r="AO98" s="724"/>
      <c r="AP98" s="724"/>
      <c r="AQ98" s="724"/>
      <c r="AR98" s="724"/>
      <c r="AS98" s="724"/>
      <c r="AT98" s="724"/>
      <c r="AU98" s="724"/>
      <c r="AV98" s="724"/>
      <c r="AW98" s="724"/>
      <c r="AX98" s="724"/>
      <c r="AY98" s="724"/>
      <c r="AZ98" s="724"/>
      <c r="BA98" s="724"/>
      <c r="BB98" s="724"/>
      <c r="BC98" s="725">
        <f t="shared" si="6"/>
        <v>118393</v>
      </c>
      <c r="BD98" s="724">
        <f>+BC98-'BOULEVARD 5 orig.'!I103</f>
        <v>0</v>
      </c>
      <c r="BE98" s="724">
        <f t="shared" si="7"/>
        <v>118393</v>
      </c>
      <c r="BF98" s="726">
        <f>VLOOKUP(A98,'BOULEVARD 5 orig.'!B103:AS401,42,0)</f>
        <v>0</v>
      </c>
      <c r="BG98" s="727">
        <f t="shared" si="8"/>
        <v>7</v>
      </c>
      <c r="BH98" s="728">
        <f t="shared" si="5"/>
        <v>16913.285714285714</v>
      </c>
    </row>
    <row r="99" spans="1:60" x14ac:dyDescent="0.2">
      <c r="A99" s="723">
        <v>609</v>
      </c>
      <c r="B99" s="723" t="str">
        <f>'BOULEVARD 5'!H104</f>
        <v>4.Plan de pagos</v>
      </c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4"/>
      <c r="P99" s="724"/>
      <c r="Q99" s="724">
        <v>10000</v>
      </c>
      <c r="R99" s="724">
        <v>5693</v>
      </c>
      <c r="S99" s="724">
        <v>5693</v>
      </c>
      <c r="T99" s="724">
        <v>5693</v>
      </c>
      <c r="U99" s="724">
        <v>5693</v>
      </c>
      <c r="V99" s="724">
        <v>5693</v>
      </c>
      <c r="W99" s="724">
        <v>5693</v>
      </c>
      <c r="X99" s="724">
        <v>5693</v>
      </c>
      <c r="Y99" s="724">
        <v>5693</v>
      </c>
      <c r="Z99" s="724">
        <v>5693</v>
      </c>
      <c r="AA99" s="724">
        <v>5693</v>
      </c>
      <c r="AB99" s="724">
        <v>5693</v>
      </c>
      <c r="AC99" s="724">
        <v>5693</v>
      </c>
      <c r="AD99" s="724">
        <v>5693</v>
      </c>
      <c r="AE99" s="724">
        <v>5693</v>
      </c>
      <c r="AF99" s="724">
        <v>5693</v>
      </c>
      <c r="AG99" s="724">
        <v>5693</v>
      </c>
      <c r="AH99" s="724">
        <v>5693</v>
      </c>
      <c r="AI99" s="724">
        <v>5693</v>
      </c>
      <c r="AJ99" s="724">
        <v>5687.5</v>
      </c>
      <c r="AK99" s="724"/>
      <c r="AL99" s="724"/>
      <c r="AM99" s="724"/>
      <c r="AN99" s="724"/>
      <c r="AO99" s="724"/>
      <c r="AP99" s="724"/>
      <c r="AQ99" s="724"/>
      <c r="AR99" s="724"/>
      <c r="AS99" s="724"/>
      <c r="AT99" s="724"/>
      <c r="AU99" s="724"/>
      <c r="AV99" s="724"/>
      <c r="AW99" s="724"/>
      <c r="AX99" s="724"/>
      <c r="AY99" s="724"/>
      <c r="AZ99" s="724"/>
      <c r="BA99" s="724"/>
      <c r="BB99" s="724"/>
      <c r="BC99" s="725">
        <f t="shared" si="6"/>
        <v>118161.5</v>
      </c>
      <c r="BD99" s="724">
        <f>+BC99-'BOULEVARD 5 orig.'!I104</f>
        <v>0</v>
      </c>
      <c r="BE99" s="724">
        <f t="shared" si="7"/>
        <v>118161.5</v>
      </c>
      <c r="BF99" s="726">
        <f>VLOOKUP(A99,'BOULEVARD 5 orig.'!B104:AS402,42,0)</f>
        <v>0</v>
      </c>
      <c r="BG99" s="727">
        <f t="shared" si="8"/>
        <v>20</v>
      </c>
      <c r="BH99" s="728">
        <f t="shared" si="5"/>
        <v>5908.0749999999998</v>
      </c>
    </row>
    <row r="100" spans="1:60" x14ac:dyDescent="0.2">
      <c r="A100" s="723">
        <v>610</v>
      </c>
      <c r="B100" s="723" t="str">
        <f>'BOULEVARD 5'!H105</f>
        <v>4.Plan de pagos</v>
      </c>
      <c r="C100" s="724"/>
      <c r="D100" s="724"/>
      <c r="E100" s="724"/>
      <c r="F100" s="724"/>
      <c r="G100" s="724"/>
      <c r="H100" s="724"/>
      <c r="I100" s="724"/>
      <c r="J100" s="724"/>
      <c r="K100" s="724"/>
      <c r="L100" s="724"/>
      <c r="M100" s="724"/>
      <c r="N100" s="724">
        <v>8000</v>
      </c>
      <c r="O100" s="724">
        <v>5810</v>
      </c>
      <c r="P100" s="724">
        <v>5810</v>
      </c>
      <c r="Q100" s="724">
        <v>5810</v>
      </c>
      <c r="R100" s="724">
        <v>5810</v>
      </c>
      <c r="S100" s="724">
        <v>5810</v>
      </c>
      <c r="T100" s="724">
        <v>5810</v>
      </c>
      <c r="U100" s="724">
        <v>5810</v>
      </c>
      <c r="V100" s="724">
        <v>5810</v>
      </c>
      <c r="W100" s="724">
        <v>5810</v>
      </c>
      <c r="X100" s="724">
        <v>5810</v>
      </c>
      <c r="Y100" s="724">
        <v>5810</v>
      </c>
      <c r="Z100" s="724">
        <v>5810</v>
      </c>
      <c r="AA100" s="724">
        <v>5810</v>
      </c>
      <c r="AB100" s="724">
        <v>5810</v>
      </c>
      <c r="AC100" s="724">
        <v>5810</v>
      </c>
      <c r="AD100" s="724">
        <v>5810</v>
      </c>
      <c r="AE100" s="724">
        <v>5810</v>
      </c>
      <c r="AF100" s="724">
        <v>5810</v>
      </c>
      <c r="AG100" s="724">
        <v>5813</v>
      </c>
      <c r="AH100" s="724"/>
      <c r="AI100" s="724"/>
      <c r="AJ100" s="724"/>
      <c r="AK100" s="724"/>
      <c r="AL100" s="724"/>
      <c r="AM100" s="724"/>
      <c r="AN100" s="724"/>
      <c r="AO100" s="724"/>
      <c r="AP100" s="724"/>
      <c r="AQ100" s="724"/>
      <c r="AR100" s="724"/>
      <c r="AS100" s="724"/>
      <c r="AT100" s="724"/>
      <c r="AU100" s="724"/>
      <c r="AV100" s="724"/>
      <c r="AW100" s="724"/>
      <c r="AX100" s="724"/>
      <c r="AY100" s="724"/>
      <c r="AZ100" s="724"/>
      <c r="BA100" s="724"/>
      <c r="BB100" s="724"/>
      <c r="BC100" s="725">
        <f t="shared" si="6"/>
        <v>118393</v>
      </c>
      <c r="BD100" s="724">
        <f>+BC100-'BOULEVARD 5 orig.'!I105</f>
        <v>0</v>
      </c>
      <c r="BE100" s="724">
        <f t="shared" si="7"/>
        <v>118393</v>
      </c>
      <c r="BF100" s="726">
        <f>VLOOKUP(A100,'BOULEVARD 5 orig.'!B105:AS403,42,0)</f>
        <v>0</v>
      </c>
      <c r="BG100" s="727">
        <f t="shared" si="8"/>
        <v>20</v>
      </c>
      <c r="BH100" s="728">
        <f t="shared" si="5"/>
        <v>5919.65</v>
      </c>
    </row>
    <row r="101" spans="1:60" x14ac:dyDescent="0.2">
      <c r="A101" s="723">
        <v>611</v>
      </c>
      <c r="B101" s="723" t="str">
        <f>'BOULEVARD 5'!H106</f>
        <v>4.Plan de pagos</v>
      </c>
      <c r="C101" s="724"/>
      <c r="D101" s="724"/>
      <c r="E101" s="724"/>
      <c r="F101" s="724"/>
      <c r="G101" s="724"/>
      <c r="H101" s="724"/>
      <c r="I101" s="724"/>
      <c r="J101" s="724"/>
      <c r="K101" s="724"/>
      <c r="L101" s="724"/>
      <c r="M101" s="724"/>
      <c r="N101" s="724"/>
      <c r="O101" s="724"/>
      <c r="P101" s="724"/>
      <c r="Q101" s="724"/>
      <c r="R101" s="724"/>
      <c r="S101" s="724"/>
      <c r="T101" s="724"/>
      <c r="U101" s="724"/>
      <c r="V101" s="724"/>
      <c r="W101" s="724"/>
      <c r="X101" s="724"/>
      <c r="Y101" s="724"/>
      <c r="Z101" s="724"/>
      <c r="AA101" s="724"/>
      <c r="AB101" s="724">
        <v>10000</v>
      </c>
      <c r="AC101" s="724">
        <v>20488</v>
      </c>
      <c r="AD101" s="724">
        <v>20488</v>
      </c>
      <c r="AE101" s="724">
        <v>20488</v>
      </c>
      <c r="AF101" s="724">
        <v>20488</v>
      </c>
      <c r="AG101" s="724">
        <v>20488</v>
      </c>
      <c r="AH101" s="724">
        <v>20488</v>
      </c>
      <c r="AI101" s="724">
        <v>20488</v>
      </c>
      <c r="AJ101" s="724">
        <v>20488</v>
      </c>
      <c r="AK101" s="724">
        <v>20488</v>
      </c>
      <c r="AL101" s="724">
        <v>20488</v>
      </c>
      <c r="AM101" s="724">
        <v>20488</v>
      </c>
      <c r="AN101" s="724">
        <v>20488</v>
      </c>
      <c r="AO101" s="724">
        <v>20490.7</v>
      </c>
      <c r="AP101" s="724"/>
      <c r="AQ101" s="724"/>
      <c r="AR101" s="724"/>
      <c r="AS101" s="724"/>
      <c r="AT101" s="724"/>
      <c r="AU101" s="724"/>
      <c r="AV101" s="724"/>
      <c r="AW101" s="724"/>
      <c r="AX101" s="724"/>
      <c r="AY101" s="724"/>
      <c r="AZ101" s="724"/>
      <c r="BA101" s="724"/>
      <c r="BB101" s="724"/>
      <c r="BC101" s="725">
        <f t="shared" si="6"/>
        <v>276346.7</v>
      </c>
      <c r="BD101" s="724">
        <f>+BC101-'BOULEVARD 5 orig.'!I106</f>
        <v>138202.03012436902</v>
      </c>
      <c r="BE101" s="724">
        <f t="shared" si="7"/>
        <v>276346.7</v>
      </c>
      <c r="BF101" s="726">
        <f>VLOOKUP(A101,'BOULEVARD 5 orig.'!B106:AS404,42,0)</f>
        <v>0</v>
      </c>
      <c r="BG101" s="727">
        <f t="shared" si="8"/>
        <v>14</v>
      </c>
      <c r="BH101" s="728">
        <f t="shared" si="5"/>
        <v>19739.05</v>
      </c>
    </row>
    <row r="102" spans="1:60" x14ac:dyDescent="0.2">
      <c r="A102" s="723">
        <v>612</v>
      </c>
      <c r="B102" s="723" t="str">
        <f>'BOULEVARD 5'!H107</f>
        <v>4.Plan de pagos</v>
      </c>
      <c r="C102" s="724"/>
      <c r="D102" s="724"/>
      <c r="E102" s="724"/>
      <c r="F102" s="724"/>
      <c r="G102" s="724">
        <v>6000</v>
      </c>
      <c r="H102" s="724">
        <v>2477</v>
      </c>
      <c r="I102" s="724">
        <v>2477</v>
      </c>
      <c r="J102" s="724">
        <v>2477</v>
      </c>
      <c r="K102" s="724">
        <v>2477</v>
      </c>
      <c r="L102" s="724">
        <v>2477</v>
      </c>
      <c r="M102" s="724">
        <v>2477</v>
      </c>
      <c r="N102" s="724">
        <v>2477</v>
      </c>
      <c r="O102" s="724">
        <v>2477</v>
      </c>
      <c r="P102" s="724">
        <v>2477</v>
      </c>
      <c r="Q102" s="724">
        <v>2477</v>
      </c>
      <c r="R102" s="724">
        <v>2477</v>
      </c>
      <c r="S102" s="724">
        <v>2477</v>
      </c>
      <c r="T102" s="724">
        <v>2477</v>
      </c>
      <c r="U102" s="724">
        <v>2477</v>
      </c>
      <c r="V102" s="724">
        <v>2477</v>
      </c>
      <c r="W102" s="724">
        <v>2477</v>
      </c>
      <c r="X102" s="724">
        <v>2477</v>
      </c>
      <c r="Y102" s="724">
        <v>2477</v>
      </c>
      <c r="Z102" s="724">
        <v>2477</v>
      </c>
      <c r="AA102" s="724">
        <v>2477</v>
      </c>
      <c r="AB102" s="724">
        <v>2477</v>
      </c>
      <c r="AC102" s="724">
        <v>2477</v>
      </c>
      <c r="AD102" s="724">
        <v>2786.38</v>
      </c>
      <c r="AE102" s="724">
        <v>2786.38</v>
      </c>
      <c r="AF102" s="724">
        <v>2786.38</v>
      </c>
      <c r="AG102" s="724">
        <v>2786.38</v>
      </c>
      <c r="AH102" s="724">
        <v>2786.38</v>
      </c>
      <c r="AI102" s="724">
        <v>2786.38</v>
      </c>
      <c r="AJ102" s="724">
        <v>2786.38</v>
      </c>
      <c r="AK102" s="724"/>
      <c r="AL102" s="724"/>
      <c r="AM102" s="724"/>
      <c r="AN102" s="724"/>
      <c r="AO102" s="724"/>
      <c r="AP102" s="724"/>
      <c r="AQ102" s="724"/>
      <c r="AR102" s="724"/>
      <c r="AS102" s="724"/>
      <c r="AT102" s="724"/>
      <c r="AU102" s="724"/>
      <c r="AV102" s="724"/>
      <c r="AW102" s="724"/>
      <c r="AX102" s="724"/>
      <c r="AY102" s="724"/>
      <c r="AZ102" s="724"/>
      <c r="BA102" s="724"/>
      <c r="BB102" s="724"/>
      <c r="BC102" s="725">
        <f t="shared" si="6"/>
        <v>79998.660000000018</v>
      </c>
      <c r="BD102" s="724">
        <f>+BC102-'BOULEVARD 5 orig.'!I107</f>
        <v>9598.660000000018</v>
      </c>
      <c r="BE102" s="724">
        <f t="shared" si="7"/>
        <v>79998.660000000018</v>
      </c>
      <c r="BF102" s="726">
        <f>VLOOKUP(A102,'BOULEVARD 5 orig.'!B107:AS405,42,0)</f>
        <v>0</v>
      </c>
      <c r="BG102" s="727">
        <f t="shared" si="8"/>
        <v>30</v>
      </c>
      <c r="BH102" s="728">
        <f t="shared" si="5"/>
        <v>2666.6220000000008</v>
      </c>
    </row>
    <row r="103" spans="1:60" x14ac:dyDescent="0.2">
      <c r="A103" s="723">
        <v>613</v>
      </c>
      <c r="B103" s="723" t="str">
        <f>'BOULEVARD 5'!H108</f>
        <v>4.Plan de pagos</v>
      </c>
      <c r="C103" s="724"/>
      <c r="D103" s="724"/>
      <c r="E103" s="724"/>
      <c r="F103" s="724"/>
      <c r="G103" s="724">
        <v>6000</v>
      </c>
      <c r="H103" s="724">
        <v>2415</v>
      </c>
      <c r="I103" s="724">
        <v>2415</v>
      </c>
      <c r="J103" s="724">
        <v>2415</v>
      </c>
      <c r="K103" s="724">
        <v>2415</v>
      </c>
      <c r="L103" s="724">
        <v>2415</v>
      </c>
      <c r="M103" s="724">
        <v>2415</v>
      </c>
      <c r="N103" s="724">
        <v>2415</v>
      </c>
      <c r="O103" s="724">
        <v>2415</v>
      </c>
      <c r="P103" s="724">
        <v>2415</v>
      </c>
      <c r="Q103" s="724">
        <v>2415</v>
      </c>
      <c r="R103" s="724">
        <v>2415</v>
      </c>
      <c r="S103" s="724">
        <v>2415</v>
      </c>
      <c r="T103" s="724">
        <v>2415</v>
      </c>
      <c r="U103" s="724">
        <v>2415</v>
      </c>
      <c r="V103" s="724">
        <v>2415</v>
      </c>
      <c r="W103" s="724">
        <v>2415</v>
      </c>
      <c r="X103" s="724">
        <v>2415</v>
      </c>
      <c r="Y103" s="724">
        <v>2415</v>
      </c>
      <c r="Z103" s="724">
        <v>2415</v>
      </c>
      <c r="AA103" s="724">
        <v>2415</v>
      </c>
      <c r="AB103" s="724">
        <v>2415</v>
      </c>
      <c r="AC103" s="724">
        <v>2415</v>
      </c>
      <c r="AD103" s="724">
        <v>2415</v>
      </c>
      <c r="AE103" s="724">
        <v>2415</v>
      </c>
      <c r="AF103" s="724">
        <v>2415</v>
      </c>
      <c r="AG103" s="724">
        <v>2425</v>
      </c>
      <c r="AH103" s="724"/>
      <c r="AI103" s="724"/>
      <c r="AJ103" s="724"/>
      <c r="AK103" s="724"/>
      <c r="AL103" s="724"/>
      <c r="AM103" s="724"/>
      <c r="AN103" s="724"/>
      <c r="AO103" s="724"/>
      <c r="AP103" s="724"/>
      <c r="AQ103" s="724"/>
      <c r="AR103" s="724"/>
      <c r="AS103" s="724"/>
      <c r="AT103" s="724"/>
      <c r="AU103" s="724"/>
      <c r="AV103" s="724"/>
      <c r="AW103" s="724"/>
      <c r="AX103" s="724"/>
      <c r="AY103" s="724"/>
      <c r="AZ103" s="724"/>
      <c r="BA103" s="724"/>
      <c r="BB103" s="724"/>
      <c r="BC103" s="725">
        <f t="shared" si="6"/>
        <v>68800</v>
      </c>
      <c r="BD103" s="724">
        <f>+BC103-'BOULEVARD 5 orig.'!I108</f>
        <v>0</v>
      </c>
      <c r="BE103" s="724">
        <f t="shared" si="7"/>
        <v>68800</v>
      </c>
      <c r="BF103" s="726">
        <f>VLOOKUP(A103,'BOULEVARD 5 orig.'!B108:AS406,42,0)</f>
        <v>0</v>
      </c>
      <c r="BG103" s="727">
        <f t="shared" si="8"/>
        <v>27</v>
      </c>
      <c r="BH103" s="728">
        <f t="shared" si="5"/>
        <v>2548.1481481481483</v>
      </c>
    </row>
    <row r="104" spans="1:60" x14ac:dyDescent="0.2">
      <c r="A104" s="723">
        <v>614</v>
      </c>
      <c r="B104" s="723" t="str">
        <f>'BOULEVARD 5'!H109</f>
        <v>4.Plan de pagos</v>
      </c>
      <c r="C104" s="724"/>
      <c r="D104" s="724"/>
      <c r="E104" s="724"/>
      <c r="F104" s="724"/>
      <c r="G104" s="724"/>
      <c r="H104" s="724"/>
      <c r="I104" s="724"/>
      <c r="J104" s="724"/>
      <c r="K104" s="724"/>
      <c r="L104" s="724"/>
      <c r="M104" s="724"/>
      <c r="N104" s="724"/>
      <c r="O104" s="724"/>
      <c r="P104" s="724"/>
      <c r="Q104" s="724"/>
      <c r="R104" s="724"/>
      <c r="S104" s="724"/>
      <c r="T104" s="724"/>
      <c r="U104" s="724"/>
      <c r="V104" s="724">
        <v>10000</v>
      </c>
      <c r="W104" s="724"/>
      <c r="X104" s="724"/>
      <c r="Y104" s="724"/>
      <c r="Z104" s="724">
        <v>10000</v>
      </c>
      <c r="AA104" s="724"/>
      <c r="AB104" s="724"/>
      <c r="AC104" s="724"/>
      <c r="AD104" s="724"/>
      <c r="AE104" s="724">
        <v>10000</v>
      </c>
      <c r="AF104" s="724"/>
      <c r="AG104" s="724"/>
      <c r="AH104" s="724">
        <v>70000</v>
      </c>
      <c r="AI104" s="724"/>
      <c r="AJ104" s="724">
        <v>30000</v>
      </c>
      <c r="AK104" s="724"/>
      <c r="AL104" s="724"/>
      <c r="AM104" s="724"/>
      <c r="AN104" s="724">
        <v>21908.400000000001</v>
      </c>
      <c r="AO104" s="724"/>
      <c r="AP104" s="724"/>
      <c r="AQ104" s="724"/>
      <c r="AR104" s="724"/>
      <c r="AS104" s="724"/>
      <c r="AT104" s="724"/>
      <c r="AU104" s="724"/>
      <c r="AV104" s="724"/>
      <c r="AW104" s="724"/>
      <c r="AX104" s="724"/>
      <c r="AY104" s="724"/>
      <c r="AZ104" s="724"/>
      <c r="BA104" s="724"/>
      <c r="BB104" s="724"/>
      <c r="BC104" s="725">
        <f t="shared" si="6"/>
        <v>151908.4</v>
      </c>
      <c r="BD104" s="724">
        <f>+BC104-'BOULEVARD 5 orig.'!I109</f>
        <v>0</v>
      </c>
      <c r="BE104" s="724">
        <f t="shared" si="7"/>
        <v>151908.4</v>
      </c>
      <c r="BF104" s="726">
        <f>VLOOKUP(A104,'BOULEVARD 5 orig.'!B109:AS407,42,0)</f>
        <v>0</v>
      </c>
      <c r="BG104" s="727">
        <f t="shared" si="8"/>
        <v>6</v>
      </c>
      <c r="BH104" s="728">
        <f t="shared" si="5"/>
        <v>25318.066666666666</v>
      </c>
    </row>
    <row r="105" spans="1:60" x14ac:dyDescent="0.2">
      <c r="A105" s="729">
        <v>615</v>
      </c>
      <c r="B105" s="723" t="str">
        <f>'BOULEVARD 5'!H110</f>
        <v>4.Plan de pagos</v>
      </c>
      <c r="C105" s="724"/>
      <c r="D105" s="724">
        <v>6500</v>
      </c>
      <c r="E105" s="724">
        <v>1000</v>
      </c>
      <c r="F105" s="724">
        <v>1000</v>
      </c>
      <c r="G105" s="724">
        <v>1000</v>
      </c>
      <c r="H105" s="724">
        <v>1000</v>
      </c>
      <c r="I105" s="724">
        <v>1000</v>
      </c>
      <c r="J105" s="724">
        <v>1000</v>
      </c>
      <c r="K105" s="724">
        <v>1000</v>
      </c>
      <c r="L105" s="724">
        <v>1000</v>
      </c>
      <c r="M105" s="724">
        <v>1000</v>
      </c>
      <c r="N105" s="724">
        <v>1000</v>
      </c>
      <c r="O105" s="724">
        <v>1000</v>
      </c>
      <c r="P105" s="724">
        <v>1000</v>
      </c>
      <c r="Q105" s="724">
        <v>1000</v>
      </c>
      <c r="R105" s="724">
        <v>1000</v>
      </c>
      <c r="S105" s="724">
        <v>1000</v>
      </c>
      <c r="T105" s="724">
        <v>1000</v>
      </c>
      <c r="U105" s="724">
        <v>1000</v>
      </c>
      <c r="V105" s="724">
        <v>1000</v>
      </c>
      <c r="W105" s="724">
        <v>1000</v>
      </c>
      <c r="X105" s="724">
        <v>1000</v>
      </c>
      <c r="Y105" s="724">
        <v>1000</v>
      </c>
      <c r="Z105" s="724">
        <v>1000</v>
      </c>
      <c r="AA105" s="724">
        <v>1000</v>
      </c>
      <c r="AB105" s="724">
        <v>1000</v>
      </c>
      <c r="AC105" s="724">
        <v>1000</v>
      </c>
      <c r="AD105" s="724">
        <v>1000</v>
      </c>
      <c r="AE105" s="724">
        <v>1000</v>
      </c>
      <c r="AF105" s="724">
        <v>19318.93</v>
      </c>
      <c r="AG105" s="724">
        <v>8431.08</v>
      </c>
      <c r="AH105" s="724"/>
      <c r="AI105" s="724"/>
      <c r="AJ105" s="724"/>
      <c r="AK105" s="724"/>
      <c r="AL105" s="724"/>
      <c r="AM105" s="724"/>
      <c r="AN105" s="724"/>
      <c r="AO105" s="724"/>
      <c r="AP105" s="724"/>
      <c r="AQ105" s="724"/>
      <c r="AR105" s="724"/>
      <c r="AS105" s="724"/>
      <c r="AT105" s="724"/>
      <c r="AU105" s="724"/>
      <c r="AV105" s="724"/>
      <c r="AW105" s="724"/>
      <c r="AX105" s="724"/>
      <c r="AY105" s="724"/>
      <c r="AZ105" s="724"/>
      <c r="BA105" s="724"/>
      <c r="BB105" s="724"/>
      <c r="BC105" s="725">
        <f t="shared" si="6"/>
        <v>61250.01</v>
      </c>
      <c r="BD105" s="724">
        <f>+BC105-'BOULEVARD 5 orig.'!I110</f>
        <v>0</v>
      </c>
      <c r="BE105" s="724">
        <f t="shared" si="7"/>
        <v>61250.01</v>
      </c>
      <c r="BF105" s="726">
        <f>VLOOKUP(A105,'BOULEVARD 5 orig.'!B110:AS408,42,0)</f>
        <v>0</v>
      </c>
      <c r="BG105" s="727">
        <f t="shared" si="8"/>
        <v>30</v>
      </c>
      <c r="BH105" s="728">
        <f t="shared" si="5"/>
        <v>2041.6670000000001</v>
      </c>
    </row>
    <row r="106" spans="1:60" x14ac:dyDescent="0.2">
      <c r="A106" s="723">
        <v>616</v>
      </c>
      <c r="B106" s="723" t="str">
        <f>'BOULEVARD 5'!H111</f>
        <v>4.Plan de pagos</v>
      </c>
      <c r="C106" s="724"/>
      <c r="D106" s="724"/>
      <c r="E106" s="724"/>
      <c r="F106" s="724"/>
      <c r="G106" s="724"/>
      <c r="H106" s="724"/>
      <c r="I106" s="724"/>
      <c r="J106" s="724"/>
      <c r="K106" s="724"/>
      <c r="L106" s="724"/>
      <c r="M106" s="724"/>
      <c r="N106" s="724"/>
      <c r="O106" s="724">
        <v>8000</v>
      </c>
      <c r="P106" s="724">
        <v>4567</v>
      </c>
      <c r="Q106" s="724">
        <v>4567</v>
      </c>
      <c r="R106" s="724">
        <v>4567</v>
      </c>
      <c r="S106" s="724">
        <v>4567</v>
      </c>
      <c r="T106" s="724">
        <v>4567</v>
      </c>
      <c r="U106" s="724">
        <v>4567</v>
      </c>
      <c r="V106" s="724">
        <v>4567</v>
      </c>
      <c r="W106" s="724">
        <v>4567</v>
      </c>
      <c r="X106" s="724">
        <v>4567</v>
      </c>
      <c r="Y106" s="724">
        <v>4567</v>
      </c>
      <c r="Z106" s="724">
        <v>4567</v>
      </c>
      <c r="AA106" s="724">
        <v>4567</v>
      </c>
      <c r="AB106" s="724">
        <v>4567</v>
      </c>
      <c r="AC106" s="724">
        <v>4567</v>
      </c>
      <c r="AD106" s="724">
        <v>4567</v>
      </c>
      <c r="AE106" s="724">
        <v>4567</v>
      </c>
      <c r="AF106" s="724">
        <v>4567</v>
      </c>
      <c r="AG106" s="724">
        <v>4561</v>
      </c>
      <c r="AH106" s="724"/>
      <c r="AI106" s="724"/>
      <c r="AJ106" s="724"/>
      <c r="AK106" s="724"/>
      <c r="AL106" s="724"/>
      <c r="AM106" s="724"/>
      <c r="AN106" s="724"/>
      <c r="AO106" s="724"/>
      <c r="AP106" s="724"/>
      <c r="AQ106" s="724"/>
      <c r="AR106" s="724"/>
      <c r="AS106" s="724"/>
      <c r="AT106" s="724"/>
      <c r="AU106" s="724"/>
      <c r="AV106" s="724"/>
      <c r="AW106" s="724"/>
      <c r="AX106" s="724"/>
      <c r="AY106" s="724"/>
      <c r="AZ106" s="724"/>
      <c r="BA106" s="724"/>
      <c r="BB106" s="724"/>
      <c r="BC106" s="725">
        <f t="shared" si="6"/>
        <v>90200</v>
      </c>
      <c r="BD106" s="724">
        <f>+BC106-'BOULEVARD 5 orig.'!I111</f>
        <v>0</v>
      </c>
      <c r="BE106" s="724">
        <f t="shared" si="7"/>
        <v>90200</v>
      </c>
      <c r="BF106" s="726">
        <f>VLOOKUP(A106,'BOULEVARD 5 orig.'!B111:AS409,42,0)</f>
        <v>0</v>
      </c>
      <c r="BG106" s="727">
        <f t="shared" si="8"/>
        <v>19</v>
      </c>
      <c r="BH106" s="728">
        <f t="shared" si="5"/>
        <v>4747.3684210526317</v>
      </c>
    </row>
    <row r="107" spans="1:60" x14ac:dyDescent="0.2">
      <c r="A107" s="723">
        <v>617</v>
      </c>
      <c r="B107" s="723" t="str">
        <f>'BOULEVARD 5'!H112</f>
        <v>4.Plan de pagos</v>
      </c>
      <c r="C107" s="724"/>
      <c r="D107" s="724"/>
      <c r="E107" s="724"/>
      <c r="F107" s="724"/>
      <c r="G107" s="724"/>
      <c r="H107" s="724"/>
      <c r="I107" s="724"/>
      <c r="J107" s="724"/>
      <c r="K107" s="724"/>
      <c r="L107" s="724"/>
      <c r="M107" s="724"/>
      <c r="N107" s="724"/>
      <c r="O107" s="724"/>
      <c r="P107" s="724"/>
      <c r="Q107" s="724">
        <v>12800</v>
      </c>
      <c r="R107" s="724">
        <v>4000</v>
      </c>
      <c r="S107" s="724">
        <v>4000</v>
      </c>
      <c r="T107" s="724">
        <v>4000</v>
      </c>
      <c r="U107" s="724">
        <v>4000</v>
      </c>
      <c r="V107" s="724">
        <v>4000</v>
      </c>
      <c r="W107" s="724">
        <v>4000</v>
      </c>
      <c r="X107" s="724">
        <v>4000</v>
      </c>
      <c r="Y107" s="724">
        <v>4000</v>
      </c>
      <c r="Z107" s="724">
        <v>4000</v>
      </c>
      <c r="AA107" s="724">
        <v>4000</v>
      </c>
      <c r="AB107" s="724">
        <v>4000</v>
      </c>
      <c r="AC107" s="724">
        <v>4000</v>
      </c>
      <c r="AD107" s="724">
        <v>4000</v>
      </c>
      <c r="AE107" s="724">
        <v>4000</v>
      </c>
      <c r="AF107" s="724">
        <v>4000</v>
      </c>
      <c r="AG107" s="724">
        <v>4000</v>
      </c>
      <c r="AH107" s="724">
        <v>4000</v>
      </c>
      <c r="AI107" s="724">
        <v>4000</v>
      </c>
      <c r="AJ107" s="724">
        <v>4000</v>
      </c>
      <c r="AK107" s="724"/>
      <c r="AL107" s="724"/>
      <c r="AM107" s="724"/>
      <c r="AN107" s="724"/>
      <c r="AO107" s="724"/>
      <c r="AP107" s="724"/>
      <c r="AQ107" s="724"/>
      <c r="AR107" s="724"/>
      <c r="AS107" s="724"/>
      <c r="AT107" s="724"/>
      <c r="AU107" s="724"/>
      <c r="AV107" s="724"/>
      <c r="AW107" s="724"/>
      <c r="AX107" s="724"/>
      <c r="AY107" s="724"/>
      <c r="AZ107" s="724"/>
      <c r="BA107" s="724"/>
      <c r="BB107" s="724"/>
      <c r="BC107" s="725">
        <f t="shared" si="6"/>
        <v>88800</v>
      </c>
      <c r="BD107" s="724">
        <f>+BC107-'BOULEVARD 5 orig.'!I112</f>
        <v>0</v>
      </c>
      <c r="BE107" s="724">
        <f t="shared" si="7"/>
        <v>88800</v>
      </c>
      <c r="BF107" s="726">
        <f>VLOOKUP(A107,'BOULEVARD 5 orig.'!B112:AS410,42,0)</f>
        <v>0</v>
      </c>
      <c r="BG107" s="727">
        <f t="shared" si="8"/>
        <v>20</v>
      </c>
      <c r="BH107" s="728">
        <f t="shared" si="5"/>
        <v>4440</v>
      </c>
    </row>
    <row r="108" spans="1:60" x14ac:dyDescent="0.2">
      <c r="A108" s="736">
        <v>618</v>
      </c>
      <c r="B108" s="736" t="str">
        <f>'BOULEVARD 5'!H113</f>
        <v>4.Plan de pagos</v>
      </c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4"/>
      <c r="P108" s="724"/>
      <c r="Q108" s="724"/>
      <c r="R108" s="724"/>
      <c r="S108" s="724"/>
      <c r="T108" s="724"/>
      <c r="U108" s="724"/>
      <c r="V108" s="724"/>
      <c r="W108" s="724"/>
      <c r="X108" s="724"/>
      <c r="Y108" s="724"/>
      <c r="Z108" s="724"/>
      <c r="AA108" s="724"/>
      <c r="AB108" s="724">
        <v>10000</v>
      </c>
      <c r="AC108" s="724">
        <v>6000</v>
      </c>
      <c r="AD108" s="724">
        <v>6000</v>
      </c>
      <c r="AE108" s="724">
        <v>20388</v>
      </c>
      <c r="AF108" s="724">
        <v>6000</v>
      </c>
      <c r="AG108" s="724">
        <v>6000</v>
      </c>
      <c r="AH108" s="724">
        <v>6000</v>
      </c>
      <c r="AI108" s="724">
        <v>6000</v>
      </c>
      <c r="AJ108" s="724">
        <v>29980</v>
      </c>
      <c r="AK108" s="724">
        <v>6000</v>
      </c>
      <c r="AL108" s="724">
        <v>6000</v>
      </c>
      <c r="AM108" s="724">
        <v>6000</v>
      </c>
      <c r="AN108" s="724">
        <v>6000</v>
      </c>
      <c r="AO108" s="724">
        <v>29981.439999999999</v>
      </c>
      <c r="AP108" s="724"/>
      <c r="AQ108" s="724"/>
      <c r="AR108" s="724"/>
      <c r="AS108" s="724"/>
      <c r="AT108" s="724"/>
      <c r="AU108" s="724"/>
      <c r="AV108" s="724"/>
      <c r="AW108" s="724"/>
      <c r="AX108" s="724"/>
      <c r="AY108" s="724"/>
      <c r="AZ108" s="724"/>
      <c r="BA108" s="724"/>
      <c r="BB108" s="724"/>
      <c r="BC108" s="725">
        <f t="shared" si="6"/>
        <v>150349.44</v>
      </c>
      <c r="BD108" s="724">
        <f>+BC108-'BOULEVARD 5 orig.'!I113</f>
        <v>94.495783885999117</v>
      </c>
      <c r="BE108" s="724">
        <f t="shared" si="7"/>
        <v>150349.44</v>
      </c>
      <c r="BF108" s="726">
        <f>VLOOKUP(A108,'BOULEVARD 5 orig.'!B113:AS411,42,0)</f>
        <v>0</v>
      </c>
      <c r="BG108" s="727">
        <f t="shared" si="8"/>
        <v>14</v>
      </c>
      <c r="BH108" s="728">
        <f t="shared" si="5"/>
        <v>10739.245714285715</v>
      </c>
    </row>
    <row r="109" spans="1:60" x14ac:dyDescent="0.2">
      <c r="A109" s="723">
        <v>619</v>
      </c>
      <c r="B109" s="723" t="str">
        <f>'BOULEVARD 5'!H114</f>
        <v>4.Plan de pagos</v>
      </c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4"/>
      <c r="P109" s="724"/>
      <c r="Q109" s="724"/>
      <c r="R109" s="724"/>
      <c r="S109" s="724"/>
      <c r="T109" s="724"/>
      <c r="U109" s="724"/>
      <c r="V109" s="724"/>
      <c r="W109" s="724"/>
      <c r="X109" s="724"/>
      <c r="Y109" s="724"/>
      <c r="Z109" s="724"/>
      <c r="AA109" s="724"/>
      <c r="AB109" s="724"/>
      <c r="AC109" s="724"/>
      <c r="AD109" s="724"/>
      <c r="AE109" s="724"/>
      <c r="AF109" s="724"/>
      <c r="AG109" s="724"/>
      <c r="AH109" s="724"/>
      <c r="AI109" s="724"/>
      <c r="AJ109" s="724"/>
      <c r="AK109" s="724"/>
      <c r="AL109" s="724"/>
      <c r="AM109" s="724"/>
      <c r="AN109" s="724"/>
      <c r="AO109" s="724"/>
      <c r="AP109" s="724"/>
      <c r="AQ109" s="724"/>
      <c r="AR109" s="724"/>
      <c r="AS109" s="724"/>
      <c r="AT109" s="724"/>
      <c r="AU109" s="724"/>
      <c r="AV109" s="724"/>
      <c r="AW109" s="724"/>
      <c r="AX109" s="724"/>
      <c r="AY109" s="724"/>
      <c r="AZ109" s="724"/>
      <c r="BA109" s="724"/>
      <c r="BB109" s="724"/>
      <c r="BC109" s="725">
        <f t="shared" si="6"/>
        <v>0</v>
      </c>
      <c r="BD109" s="724">
        <f>+BC109-'BOULEVARD 5 orig.'!I114</f>
        <v>-152919.43266091001</v>
      </c>
      <c r="BE109" s="724">
        <f t="shared" si="7"/>
        <v>0</v>
      </c>
      <c r="BF109" s="726">
        <f>VLOOKUP(A109,'BOULEVARD 5 orig.'!B114:AS412,42,0)</f>
        <v>0</v>
      </c>
      <c r="BG109" s="727">
        <f t="shared" si="8"/>
        <v>0</v>
      </c>
      <c r="BH109" s="728">
        <f t="shared" si="5"/>
        <v>0</v>
      </c>
    </row>
    <row r="110" spans="1:60" x14ac:dyDescent="0.2">
      <c r="A110" s="723">
        <v>701</v>
      </c>
      <c r="B110" s="723" t="str">
        <f>'BOULEVARD 5'!H115</f>
        <v>4.Plan de pagos</v>
      </c>
      <c r="C110" s="724">
        <v>6000</v>
      </c>
      <c r="D110" s="724">
        <v>3603</v>
      </c>
      <c r="E110" s="724">
        <v>3603</v>
      </c>
      <c r="F110" s="724">
        <v>3603</v>
      </c>
      <c r="G110" s="724">
        <v>3603</v>
      </c>
      <c r="H110" s="724">
        <v>3603</v>
      </c>
      <c r="I110" s="724">
        <v>3603</v>
      </c>
      <c r="J110" s="724">
        <v>3603</v>
      </c>
      <c r="K110" s="724">
        <v>3603</v>
      </c>
      <c r="L110" s="724">
        <v>3603</v>
      </c>
      <c r="M110" s="724">
        <v>3603</v>
      </c>
      <c r="N110" s="724">
        <v>3603</v>
      </c>
      <c r="O110" s="724">
        <v>3603</v>
      </c>
      <c r="P110" s="724">
        <v>3603</v>
      </c>
      <c r="Q110" s="724">
        <v>3603</v>
      </c>
      <c r="R110" s="724">
        <v>3603</v>
      </c>
      <c r="S110" s="724">
        <v>3603</v>
      </c>
      <c r="T110" s="724">
        <v>3603</v>
      </c>
      <c r="U110" s="724">
        <v>3603</v>
      </c>
      <c r="V110" s="724">
        <v>3603</v>
      </c>
      <c r="W110" s="724">
        <v>3603</v>
      </c>
      <c r="X110" s="724">
        <v>3603</v>
      </c>
      <c r="Y110" s="724">
        <v>3603</v>
      </c>
      <c r="Z110" s="724">
        <v>3603</v>
      </c>
      <c r="AA110" s="724">
        <v>3603</v>
      </c>
      <c r="AB110" s="724">
        <v>3603</v>
      </c>
      <c r="AC110" s="724">
        <v>3603</v>
      </c>
      <c r="AD110" s="724">
        <v>3603</v>
      </c>
      <c r="AE110" s="724">
        <v>3603</v>
      </c>
      <c r="AF110" s="724">
        <v>3603</v>
      </c>
      <c r="AG110" s="724">
        <v>3603</v>
      </c>
      <c r="AH110" s="724">
        <v>3603</v>
      </c>
      <c r="AI110" s="724">
        <v>3603</v>
      </c>
      <c r="AJ110" s="724">
        <v>3603</v>
      </c>
      <c r="AK110" s="724">
        <v>3603</v>
      </c>
      <c r="AL110" s="724">
        <v>3598</v>
      </c>
      <c r="AM110" s="724"/>
      <c r="AN110" s="724"/>
      <c r="AO110" s="724"/>
      <c r="AP110" s="724"/>
      <c r="AQ110" s="724"/>
      <c r="AR110" s="724"/>
      <c r="AS110" s="724"/>
      <c r="AT110" s="724"/>
      <c r="AU110" s="724"/>
      <c r="AV110" s="724"/>
      <c r="AW110" s="724"/>
      <c r="AX110" s="724"/>
      <c r="AY110" s="724"/>
      <c r="AZ110" s="724"/>
      <c r="BA110" s="724"/>
      <c r="BB110" s="724"/>
      <c r="BC110" s="725">
        <f t="shared" si="6"/>
        <v>132100</v>
      </c>
      <c r="BD110" s="724">
        <f>+BC110-'BOULEVARD 5 orig.'!I115</f>
        <v>0</v>
      </c>
      <c r="BE110" s="724">
        <f t="shared" si="7"/>
        <v>132100</v>
      </c>
      <c r="BF110" s="726">
        <f>VLOOKUP(A110,'BOULEVARD 5 orig.'!B115:AS413,42,0)</f>
        <v>0</v>
      </c>
      <c r="BG110" s="727">
        <f t="shared" si="8"/>
        <v>36</v>
      </c>
      <c r="BH110" s="728">
        <f t="shared" si="5"/>
        <v>3669.4444444444443</v>
      </c>
    </row>
    <row r="111" spans="1:60" x14ac:dyDescent="0.2">
      <c r="A111" s="723">
        <v>702</v>
      </c>
      <c r="B111" s="723" t="str">
        <f>'BOULEVARD 5'!H116</f>
        <v>4.Plan de pagos</v>
      </c>
      <c r="C111" s="724"/>
      <c r="D111" s="724">
        <v>6000</v>
      </c>
      <c r="E111" s="724">
        <v>4428</v>
      </c>
      <c r="F111" s="724">
        <v>4428</v>
      </c>
      <c r="G111" s="724">
        <v>4428</v>
      </c>
      <c r="H111" s="724">
        <v>4428</v>
      </c>
      <c r="I111" s="724">
        <v>4428</v>
      </c>
      <c r="J111" s="724">
        <v>4428</v>
      </c>
      <c r="K111" s="724">
        <v>4428</v>
      </c>
      <c r="L111" s="724">
        <v>4428</v>
      </c>
      <c r="M111" s="724">
        <v>4428</v>
      </c>
      <c r="N111" s="724">
        <v>4428</v>
      </c>
      <c r="O111" s="724">
        <v>4428</v>
      </c>
      <c r="P111" s="724">
        <v>4428</v>
      </c>
      <c r="Q111" s="724">
        <v>4428</v>
      </c>
      <c r="R111" s="724">
        <v>4428</v>
      </c>
      <c r="S111" s="724">
        <v>4428</v>
      </c>
      <c r="T111" s="724">
        <v>4428</v>
      </c>
      <c r="U111" s="724">
        <v>4428</v>
      </c>
      <c r="V111" s="724">
        <v>4428</v>
      </c>
      <c r="W111" s="724">
        <v>4428</v>
      </c>
      <c r="X111" s="724">
        <v>4428</v>
      </c>
      <c r="Y111" s="724">
        <v>4428</v>
      </c>
      <c r="Z111" s="724">
        <v>4428</v>
      </c>
      <c r="AA111" s="724">
        <v>4428</v>
      </c>
      <c r="AB111" s="724">
        <v>4428</v>
      </c>
      <c r="AC111" s="724">
        <v>4428</v>
      </c>
      <c r="AD111" s="724">
        <v>4428</v>
      </c>
      <c r="AE111" s="724">
        <v>4428</v>
      </c>
      <c r="AF111" s="724">
        <v>4428</v>
      </c>
      <c r="AG111" s="724">
        <v>4416</v>
      </c>
      <c r="AH111" s="724"/>
      <c r="AI111" s="724"/>
      <c r="AJ111" s="724"/>
      <c r="AK111" s="724"/>
      <c r="AL111" s="724"/>
      <c r="AM111" s="724"/>
      <c r="AN111" s="724"/>
      <c r="AO111" s="724"/>
      <c r="AP111" s="724"/>
      <c r="AQ111" s="724"/>
      <c r="AR111" s="724"/>
      <c r="AS111" s="724"/>
      <c r="AT111" s="724"/>
      <c r="AU111" s="724"/>
      <c r="AV111" s="724"/>
      <c r="AW111" s="724"/>
      <c r="AX111" s="724"/>
      <c r="AY111" s="724"/>
      <c r="AZ111" s="724"/>
      <c r="BA111" s="724"/>
      <c r="BB111" s="724"/>
      <c r="BC111" s="725">
        <f t="shared" si="6"/>
        <v>134400</v>
      </c>
      <c r="BD111" s="724">
        <f>+BC111-'BOULEVARD 5 orig.'!I116</f>
        <v>0</v>
      </c>
      <c r="BE111" s="724">
        <f t="shared" si="7"/>
        <v>134400</v>
      </c>
      <c r="BF111" s="726">
        <f>VLOOKUP(A111,'BOULEVARD 5 orig.'!B116:AS414,42,0)</f>
        <v>0</v>
      </c>
      <c r="BG111" s="727">
        <f t="shared" si="8"/>
        <v>30</v>
      </c>
      <c r="BH111" s="728">
        <f t="shared" si="5"/>
        <v>4480</v>
      </c>
    </row>
    <row r="112" spans="1:60" x14ac:dyDescent="0.2">
      <c r="A112" s="723">
        <v>703</v>
      </c>
      <c r="B112" s="723" t="str">
        <f>'BOULEVARD 5'!H117</f>
        <v>4.Plan de pagos</v>
      </c>
      <c r="C112" s="724"/>
      <c r="D112" s="724"/>
      <c r="E112" s="724"/>
      <c r="F112" s="724"/>
      <c r="G112" s="724"/>
      <c r="H112" s="724"/>
      <c r="I112" s="724"/>
      <c r="J112" s="724"/>
      <c r="K112" s="724"/>
      <c r="L112" s="724"/>
      <c r="M112" s="724"/>
      <c r="N112" s="724"/>
      <c r="O112" s="724">
        <v>8000</v>
      </c>
      <c r="P112" s="724">
        <v>4567</v>
      </c>
      <c r="Q112" s="724">
        <v>4567</v>
      </c>
      <c r="R112" s="724">
        <v>4567</v>
      </c>
      <c r="S112" s="724">
        <v>4567</v>
      </c>
      <c r="T112" s="724">
        <v>4567</v>
      </c>
      <c r="U112" s="724">
        <v>4567</v>
      </c>
      <c r="V112" s="724">
        <v>4567</v>
      </c>
      <c r="W112" s="724">
        <v>4567</v>
      </c>
      <c r="X112" s="724">
        <v>4567</v>
      </c>
      <c r="Y112" s="724">
        <v>4567</v>
      </c>
      <c r="Z112" s="724">
        <v>4567</v>
      </c>
      <c r="AA112" s="724">
        <v>4567</v>
      </c>
      <c r="AB112" s="724">
        <v>4567</v>
      </c>
      <c r="AC112" s="724">
        <v>4567</v>
      </c>
      <c r="AD112" s="724">
        <v>4567</v>
      </c>
      <c r="AE112" s="724">
        <v>4567</v>
      </c>
      <c r="AF112" s="724">
        <v>4567</v>
      </c>
      <c r="AG112" s="724">
        <v>4561</v>
      </c>
      <c r="AH112" s="724"/>
      <c r="AI112" s="724"/>
      <c r="AJ112" s="724"/>
      <c r="AK112" s="724"/>
      <c r="AL112" s="724"/>
      <c r="AM112" s="724"/>
      <c r="AN112" s="724"/>
      <c r="AO112" s="724"/>
      <c r="AP112" s="724"/>
      <c r="AQ112" s="724"/>
      <c r="AR112" s="724"/>
      <c r="AS112" s="724"/>
      <c r="AT112" s="724"/>
      <c r="AU112" s="724"/>
      <c r="AV112" s="724"/>
      <c r="AW112" s="724"/>
      <c r="AX112" s="724"/>
      <c r="AY112" s="724"/>
      <c r="AZ112" s="724"/>
      <c r="BA112" s="724"/>
      <c r="BB112" s="724"/>
      <c r="BC112" s="725">
        <f t="shared" si="6"/>
        <v>90200</v>
      </c>
      <c r="BD112" s="724">
        <f>+BC112-'BOULEVARD 5 orig.'!I117</f>
        <v>0</v>
      </c>
      <c r="BE112" s="724">
        <f t="shared" si="7"/>
        <v>90200</v>
      </c>
      <c r="BF112" s="726">
        <f>VLOOKUP(A112,'BOULEVARD 5 orig.'!B117:AS415,42,0)</f>
        <v>0</v>
      </c>
      <c r="BG112" s="727">
        <f t="shared" si="8"/>
        <v>19</v>
      </c>
      <c r="BH112" s="728">
        <f t="shared" si="5"/>
        <v>4747.3684210526317</v>
      </c>
    </row>
    <row r="113" spans="1:60" x14ac:dyDescent="0.2">
      <c r="A113" s="723">
        <v>704</v>
      </c>
      <c r="B113" s="723" t="str">
        <f>'BOULEVARD 5'!H118</f>
        <v>4.Plan de pagos</v>
      </c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>
        <v>8000</v>
      </c>
      <c r="Q113" s="724">
        <v>4753</v>
      </c>
      <c r="R113" s="724">
        <v>4753</v>
      </c>
      <c r="S113" s="724">
        <v>4753</v>
      </c>
      <c r="T113" s="724">
        <v>4753</v>
      </c>
      <c r="U113" s="724">
        <v>4753</v>
      </c>
      <c r="V113" s="724">
        <v>4753</v>
      </c>
      <c r="W113" s="724">
        <v>4753</v>
      </c>
      <c r="X113" s="724">
        <v>4753</v>
      </c>
      <c r="Y113" s="724">
        <v>4753</v>
      </c>
      <c r="Z113" s="724">
        <v>4753</v>
      </c>
      <c r="AA113" s="724">
        <v>4753</v>
      </c>
      <c r="AB113" s="724">
        <v>4753</v>
      </c>
      <c r="AC113" s="724">
        <v>4753</v>
      </c>
      <c r="AD113" s="724">
        <v>4753</v>
      </c>
      <c r="AE113" s="724">
        <v>4753</v>
      </c>
      <c r="AF113" s="724">
        <v>4753</v>
      </c>
      <c r="AG113" s="724">
        <v>4752</v>
      </c>
      <c r="AH113" s="724"/>
      <c r="AI113" s="724"/>
      <c r="AJ113" s="724"/>
      <c r="AK113" s="724"/>
      <c r="AL113" s="724"/>
      <c r="AM113" s="724"/>
      <c r="AN113" s="724"/>
      <c r="AO113" s="724"/>
      <c r="AP113" s="724"/>
      <c r="AQ113" s="724"/>
      <c r="AR113" s="724"/>
      <c r="AS113" s="724"/>
      <c r="AT113" s="724"/>
      <c r="AU113" s="724"/>
      <c r="AV113" s="724"/>
      <c r="AW113" s="724"/>
      <c r="AX113" s="724"/>
      <c r="AY113" s="724"/>
      <c r="AZ113" s="724"/>
      <c r="BA113" s="724"/>
      <c r="BB113" s="724"/>
      <c r="BC113" s="725">
        <f t="shared" si="6"/>
        <v>88800</v>
      </c>
      <c r="BD113" s="724">
        <f>+BC113-'BOULEVARD 5 orig.'!I118</f>
        <v>0</v>
      </c>
      <c r="BE113" s="724">
        <f t="shared" si="7"/>
        <v>88800</v>
      </c>
      <c r="BF113" s="726">
        <f>VLOOKUP(A113,'BOULEVARD 5 orig.'!B118:AS416,42,0)</f>
        <v>0</v>
      </c>
      <c r="BG113" s="727">
        <f t="shared" si="8"/>
        <v>18</v>
      </c>
      <c r="BH113" s="728">
        <f t="shared" si="5"/>
        <v>4933.333333333333</v>
      </c>
    </row>
    <row r="114" spans="1:60" x14ac:dyDescent="0.2">
      <c r="A114" s="723">
        <v>705</v>
      </c>
      <c r="B114" s="723" t="str">
        <f>'BOULEVARD 5'!H119</f>
        <v>4.Plan de pagos</v>
      </c>
      <c r="C114" s="724"/>
      <c r="D114" s="724"/>
      <c r="E114" s="724"/>
      <c r="F114" s="724"/>
      <c r="G114" s="724"/>
      <c r="H114" s="724"/>
      <c r="I114" s="724"/>
      <c r="J114" s="724"/>
      <c r="K114" s="724"/>
      <c r="L114" s="724"/>
      <c r="M114" s="724"/>
      <c r="N114" s="724"/>
      <c r="O114" s="724"/>
      <c r="P114" s="724"/>
      <c r="Q114" s="724"/>
      <c r="R114" s="724"/>
      <c r="S114" s="724"/>
      <c r="T114" s="724"/>
      <c r="U114" s="724"/>
      <c r="V114" s="724"/>
      <c r="W114" s="724"/>
      <c r="X114" s="724"/>
      <c r="Y114" s="724"/>
      <c r="Z114" s="724">
        <v>10000</v>
      </c>
      <c r="AA114" s="724">
        <v>8647</v>
      </c>
      <c r="AB114" s="724">
        <v>8647</v>
      </c>
      <c r="AC114" s="724">
        <v>8647</v>
      </c>
      <c r="AD114" s="724">
        <v>8647</v>
      </c>
      <c r="AE114" s="724">
        <v>8647</v>
      </c>
      <c r="AF114" s="724">
        <v>8647</v>
      </c>
      <c r="AG114" s="724">
        <v>8647</v>
      </c>
      <c r="AH114" s="724">
        <v>8647</v>
      </c>
      <c r="AI114" s="724">
        <v>8647</v>
      </c>
      <c r="AJ114" s="724">
        <v>8647</v>
      </c>
      <c r="AK114" s="724">
        <v>8647</v>
      </c>
      <c r="AL114" s="724">
        <v>8647</v>
      </c>
      <c r="AM114" s="724">
        <v>8647</v>
      </c>
      <c r="AN114" s="724">
        <v>8647</v>
      </c>
      <c r="AO114" s="724">
        <v>8643.18</v>
      </c>
      <c r="AP114" s="724"/>
      <c r="AQ114" s="724"/>
      <c r="AR114" s="724"/>
      <c r="AS114" s="724"/>
      <c r="AT114" s="724"/>
      <c r="AU114" s="724"/>
      <c r="AV114" s="724"/>
      <c r="AW114" s="724"/>
      <c r="AX114" s="724"/>
      <c r="AY114" s="724"/>
      <c r="AZ114" s="724"/>
      <c r="BA114" s="724"/>
      <c r="BB114" s="724"/>
      <c r="BC114" s="725">
        <f t="shared" si="6"/>
        <v>139701.18</v>
      </c>
      <c r="BD114" s="724">
        <f>+BC114-'BOULEVARD 5 orig.'!I119</f>
        <v>0</v>
      </c>
      <c r="BE114" s="724">
        <f t="shared" si="7"/>
        <v>139701.18</v>
      </c>
      <c r="BF114" s="726">
        <f>VLOOKUP(A114,'BOULEVARD 5 orig.'!B119:AS417,42,0)</f>
        <v>0</v>
      </c>
      <c r="BG114" s="727">
        <f t="shared" si="8"/>
        <v>16</v>
      </c>
      <c r="BH114" s="728">
        <f t="shared" si="5"/>
        <v>8731.3237499999996</v>
      </c>
    </row>
    <row r="115" spans="1:60" x14ac:dyDescent="0.2">
      <c r="A115" s="723">
        <v>706</v>
      </c>
      <c r="B115" s="723" t="str">
        <f>'BOULEVARD 5'!H120</f>
        <v>4.Plan de pagos</v>
      </c>
      <c r="C115" s="724"/>
      <c r="D115" s="724"/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4"/>
      <c r="U115" s="724"/>
      <c r="V115" s="724"/>
      <c r="W115" s="724"/>
      <c r="X115" s="724"/>
      <c r="Y115" s="724"/>
      <c r="Z115" s="724"/>
      <c r="AA115" s="724">
        <v>10000</v>
      </c>
      <c r="AB115" s="724">
        <v>9307</v>
      </c>
      <c r="AC115" s="724">
        <v>9307</v>
      </c>
      <c r="AD115" s="724">
        <v>9307</v>
      </c>
      <c r="AE115" s="724">
        <v>9307</v>
      </c>
      <c r="AF115" s="724">
        <v>9307</v>
      </c>
      <c r="AG115" s="724">
        <v>9307</v>
      </c>
      <c r="AH115" s="724">
        <v>9307</v>
      </c>
      <c r="AI115" s="724">
        <v>9307</v>
      </c>
      <c r="AJ115" s="724">
        <v>9307</v>
      </c>
      <c r="AK115" s="724">
        <v>9307</v>
      </c>
      <c r="AL115" s="724">
        <v>9307</v>
      </c>
      <c r="AM115" s="724">
        <v>9307</v>
      </c>
      <c r="AN115" s="724">
        <v>9307</v>
      </c>
      <c r="AO115" s="724">
        <v>9301.7000000000007</v>
      </c>
      <c r="AP115" s="724"/>
      <c r="AQ115" s="724"/>
      <c r="AR115" s="724"/>
      <c r="AS115" s="724"/>
      <c r="AT115" s="724"/>
      <c r="AU115" s="724"/>
      <c r="AV115" s="724"/>
      <c r="AW115" s="724"/>
      <c r="AX115" s="724"/>
      <c r="AY115" s="724"/>
      <c r="AZ115" s="724"/>
      <c r="BA115" s="724"/>
      <c r="BB115" s="724"/>
      <c r="BC115" s="725">
        <f t="shared" si="6"/>
        <v>140292.70000000001</v>
      </c>
      <c r="BD115" s="724">
        <f>+BC115-'BOULEVARD 5 orig.'!I120</f>
        <v>0</v>
      </c>
      <c r="BE115" s="724">
        <f t="shared" si="7"/>
        <v>140292.70000000001</v>
      </c>
      <c r="BF115" s="726">
        <f>VLOOKUP(A115,'BOULEVARD 5 orig.'!B120:AS418,42,0)</f>
        <v>0</v>
      </c>
      <c r="BG115" s="727">
        <f t="shared" si="8"/>
        <v>15</v>
      </c>
      <c r="BH115" s="728">
        <f t="shared" si="5"/>
        <v>9352.8466666666682</v>
      </c>
    </row>
    <row r="116" spans="1:60" x14ac:dyDescent="0.2">
      <c r="A116" s="736">
        <v>707</v>
      </c>
      <c r="B116" s="736" t="str">
        <f>'BOULEVARD 5'!H121</f>
        <v>4.Plan de pagos</v>
      </c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4"/>
      <c r="P116" s="724"/>
      <c r="Q116" s="724"/>
      <c r="R116" s="724"/>
      <c r="S116" s="724"/>
      <c r="T116" s="724"/>
      <c r="U116" s="724"/>
      <c r="V116" s="724"/>
      <c r="W116" s="724"/>
      <c r="X116" s="724"/>
      <c r="Y116" s="724"/>
      <c r="Z116" s="724"/>
      <c r="AA116" s="724"/>
      <c r="AB116" s="724">
        <v>10000</v>
      </c>
      <c r="AC116" s="724">
        <v>5303</v>
      </c>
      <c r="AD116" s="724">
        <v>5303</v>
      </c>
      <c r="AE116" s="724">
        <v>5303</v>
      </c>
      <c r="AF116" s="724">
        <v>5303</v>
      </c>
      <c r="AG116" s="724">
        <v>5303</v>
      </c>
      <c r="AH116" s="724">
        <v>5303</v>
      </c>
      <c r="AI116" s="724">
        <v>5303</v>
      </c>
      <c r="AJ116" s="724">
        <v>5303</v>
      </c>
      <c r="AK116" s="724">
        <v>5303</v>
      </c>
      <c r="AL116" s="724">
        <v>5303</v>
      </c>
      <c r="AM116" s="724">
        <v>5303</v>
      </c>
      <c r="AN116" s="724">
        <v>5303</v>
      </c>
      <c r="AO116" s="724">
        <v>5303</v>
      </c>
      <c r="AP116" s="724"/>
      <c r="AQ116" s="724"/>
      <c r="AR116" s="724"/>
      <c r="AS116" s="724"/>
      <c r="AT116" s="724"/>
      <c r="AU116" s="724"/>
      <c r="AV116" s="724"/>
      <c r="AW116" s="724"/>
      <c r="AX116" s="724"/>
      <c r="AY116" s="724"/>
      <c r="AZ116" s="724"/>
      <c r="BA116" s="724"/>
      <c r="BB116" s="724"/>
      <c r="BC116" s="725">
        <f t="shared" si="6"/>
        <v>78939</v>
      </c>
      <c r="BD116" s="724">
        <f>+BC116-'BOULEVARD 5 orig.'!I121</f>
        <v>6639</v>
      </c>
      <c r="BE116" s="724">
        <f t="shared" si="7"/>
        <v>78939</v>
      </c>
      <c r="BF116" s="726">
        <f>VLOOKUP(A116,'BOULEVARD 5 orig.'!B121:AS419,42,0)</f>
        <v>0</v>
      </c>
      <c r="BG116" s="727">
        <f t="shared" si="8"/>
        <v>14</v>
      </c>
      <c r="BH116" s="728">
        <f t="shared" si="5"/>
        <v>5638.5</v>
      </c>
    </row>
    <row r="117" spans="1:60" x14ac:dyDescent="0.2">
      <c r="A117" s="723">
        <v>708</v>
      </c>
      <c r="B117" s="723" t="str">
        <f>'BOULEVARD 5'!H122</f>
        <v>4.Plan de pagos</v>
      </c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>
        <v>7600</v>
      </c>
      <c r="N117" s="724"/>
      <c r="O117" s="724">
        <v>19000</v>
      </c>
      <c r="P117" s="724"/>
      <c r="Q117" s="724"/>
      <c r="R117" s="724"/>
      <c r="S117" s="724">
        <v>19000</v>
      </c>
      <c r="T117" s="724"/>
      <c r="U117" s="724"/>
      <c r="V117" s="724"/>
      <c r="W117" s="724"/>
      <c r="X117" s="724">
        <v>19000</v>
      </c>
      <c r="Y117" s="724"/>
      <c r="Z117" s="724"/>
      <c r="AA117" s="724">
        <v>19000</v>
      </c>
      <c r="AB117" s="724"/>
      <c r="AC117" s="724"/>
      <c r="AD117" s="724"/>
      <c r="AE117" s="724">
        <v>19000</v>
      </c>
      <c r="AF117" s="724"/>
      <c r="AG117" s="724"/>
      <c r="AH117" s="724">
        <v>15793</v>
      </c>
      <c r="AI117" s="724"/>
      <c r="AJ117" s="724"/>
      <c r="AK117" s="724"/>
      <c r="AL117" s="724"/>
      <c r="AM117" s="724"/>
      <c r="AN117" s="724"/>
      <c r="AO117" s="724"/>
      <c r="AP117" s="724"/>
      <c r="AQ117" s="724"/>
      <c r="AR117" s="724"/>
      <c r="AS117" s="724"/>
      <c r="AT117" s="724"/>
      <c r="AU117" s="724"/>
      <c r="AV117" s="724"/>
      <c r="AW117" s="724"/>
      <c r="AX117" s="724"/>
      <c r="AY117" s="724"/>
      <c r="AZ117" s="724"/>
      <c r="BA117" s="724"/>
      <c r="BB117" s="724"/>
      <c r="BC117" s="725">
        <f t="shared" si="6"/>
        <v>118393</v>
      </c>
      <c r="BD117" s="724">
        <f>+BC117-'BOULEVARD 5 orig.'!I122</f>
        <v>0</v>
      </c>
      <c r="BE117" s="724">
        <f t="shared" si="7"/>
        <v>118393</v>
      </c>
      <c r="BF117" s="726">
        <f>VLOOKUP(A117,'BOULEVARD 5 orig.'!B122:AS420,42,0)</f>
        <v>0</v>
      </c>
      <c r="BG117" s="727">
        <f t="shared" si="8"/>
        <v>7</v>
      </c>
      <c r="BH117" s="728">
        <f t="shared" si="5"/>
        <v>16913.285714285714</v>
      </c>
    </row>
    <row r="118" spans="1:60" x14ac:dyDescent="0.2">
      <c r="A118" s="729">
        <v>709</v>
      </c>
      <c r="B118" s="723" t="str">
        <f>'BOULEVARD 5'!H123</f>
        <v>4.Plan de pagos</v>
      </c>
      <c r="C118" s="730"/>
      <c r="D118" s="730"/>
      <c r="E118" s="730"/>
      <c r="F118" s="730"/>
      <c r="G118" s="730"/>
      <c r="H118" s="730"/>
      <c r="I118" s="730"/>
      <c r="J118" s="730"/>
      <c r="K118" s="730"/>
      <c r="L118" s="730"/>
      <c r="M118" s="730"/>
      <c r="N118" s="730"/>
      <c r="O118" s="730"/>
      <c r="P118" s="730"/>
      <c r="Q118" s="730"/>
      <c r="R118" s="730"/>
      <c r="S118" s="730"/>
      <c r="T118" s="730"/>
      <c r="U118" s="730"/>
      <c r="V118" s="730"/>
      <c r="W118" s="730"/>
      <c r="X118" s="730"/>
      <c r="Y118" s="730"/>
      <c r="Z118" s="730"/>
      <c r="AA118" s="730"/>
      <c r="AB118" s="730"/>
      <c r="AC118" s="730"/>
      <c r="AD118" s="730"/>
      <c r="AE118" s="730"/>
      <c r="AF118" s="730"/>
      <c r="AG118" s="730"/>
      <c r="AH118" s="730"/>
      <c r="AI118" s="730"/>
      <c r="AJ118" s="730"/>
      <c r="AK118" s="730"/>
      <c r="AL118" s="730"/>
      <c r="AM118" s="730"/>
      <c r="AN118" s="730"/>
      <c r="AO118" s="730"/>
      <c r="AP118" s="730"/>
      <c r="AQ118" s="730"/>
      <c r="AR118" s="730"/>
      <c r="AS118" s="730"/>
      <c r="AT118" s="730"/>
      <c r="AU118" s="730"/>
      <c r="AV118" s="730"/>
      <c r="AW118" s="730"/>
      <c r="AX118" s="730"/>
      <c r="AY118" s="730"/>
      <c r="AZ118" s="730"/>
      <c r="BA118" s="730"/>
      <c r="BB118" s="730"/>
      <c r="BC118" s="731">
        <f t="shared" si="6"/>
        <v>0</v>
      </c>
      <c r="BD118" s="730">
        <f>+BC118-'BOULEVARD 5 orig.'!I123</f>
        <v>-138144.66987563099</v>
      </c>
      <c r="BE118" s="730">
        <f t="shared" si="7"/>
        <v>0</v>
      </c>
      <c r="BF118" s="732">
        <f>VLOOKUP(A118,'BOULEVARD 5 orig.'!B123:AS421,42,0)</f>
        <v>0</v>
      </c>
      <c r="BG118" s="733">
        <f t="shared" si="8"/>
        <v>0</v>
      </c>
      <c r="BH118" s="734">
        <f t="shared" si="5"/>
        <v>0</v>
      </c>
    </row>
    <row r="119" spans="1:60" x14ac:dyDescent="0.2">
      <c r="A119" s="729">
        <v>710</v>
      </c>
      <c r="B119" s="723" t="str">
        <f>'BOULEVARD 5'!H124</f>
        <v>4.Plan de pagos</v>
      </c>
      <c r="C119" s="730"/>
      <c r="D119" s="730"/>
      <c r="E119" s="730"/>
      <c r="F119" s="730"/>
      <c r="G119" s="730"/>
      <c r="H119" s="730"/>
      <c r="I119" s="730"/>
      <c r="J119" s="730"/>
      <c r="K119" s="730"/>
      <c r="L119" s="730"/>
      <c r="M119" s="730"/>
      <c r="N119" s="730"/>
      <c r="O119" s="730"/>
      <c r="P119" s="730"/>
      <c r="Q119" s="730"/>
      <c r="R119" s="730"/>
      <c r="S119" s="730"/>
      <c r="T119" s="730"/>
      <c r="U119" s="730"/>
      <c r="V119" s="730"/>
      <c r="W119" s="730"/>
      <c r="X119" s="730"/>
      <c r="Y119" s="730"/>
      <c r="Z119" s="730"/>
      <c r="AA119" s="730"/>
      <c r="AB119" s="730"/>
      <c r="AC119" s="730"/>
      <c r="AD119" s="730"/>
      <c r="AE119" s="730"/>
      <c r="AF119" s="730"/>
      <c r="AG119" s="730"/>
      <c r="AH119" s="730"/>
      <c r="AI119" s="730"/>
      <c r="AJ119" s="730"/>
      <c r="AK119" s="730"/>
      <c r="AL119" s="730"/>
      <c r="AM119" s="730"/>
      <c r="AN119" s="730"/>
      <c r="AO119" s="730"/>
      <c r="AP119" s="730"/>
      <c r="AQ119" s="730"/>
      <c r="AR119" s="730"/>
      <c r="AS119" s="730"/>
      <c r="AT119" s="730"/>
      <c r="AU119" s="730"/>
      <c r="AV119" s="730"/>
      <c r="AW119" s="730"/>
      <c r="AX119" s="730"/>
      <c r="AY119" s="730"/>
      <c r="AZ119" s="730"/>
      <c r="BA119" s="730"/>
      <c r="BB119" s="730"/>
      <c r="BC119" s="731">
        <f t="shared" si="6"/>
        <v>0</v>
      </c>
      <c r="BD119" s="730">
        <f>+BC119-'BOULEVARD 5 orig.'!I124</f>
        <v>-118564.042442039</v>
      </c>
      <c r="BE119" s="730">
        <f t="shared" si="7"/>
        <v>0</v>
      </c>
      <c r="BF119" s="732">
        <f>VLOOKUP(A119,'BOULEVARD 5 orig.'!B124:AS422,42,0)</f>
        <v>0</v>
      </c>
      <c r="BG119" s="733">
        <f t="shared" si="8"/>
        <v>0</v>
      </c>
      <c r="BH119" s="734">
        <f t="shared" si="5"/>
        <v>0</v>
      </c>
    </row>
    <row r="120" spans="1:60" x14ac:dyDescent="0.2">
      <c r="A120" s="723">
        <v>711</v>
      </c>
      <c r="B120" s="723" t="str">
        <f>'BOULEVARD 5'!H125</f>
        <v>4.Plan de pagos</v>
      </c>
      <c r="C120" s="724"/>
      <c r="D120" s="724"/>
      <c r="E120" s="724"/>
      <c r="F120" s="724"/>
      <c r="G120" s="724"/>
      <c r="H120" s="724"/>
      <c r="I120" s="724"/>
      <c r="J120" s="724"/>
      <c r="K120" s="724"/>
      <c r="L120" s="724"/>
      <c r="M120" s="724"/>
      <c r="N120" s="724"/>
      <c r="O120" s="724"/>
      <c r="P120" s="724"/>
      <c r="Q120" s="724"/>
      <c r="R120" s="724"/>
      <c r="S120" s="724"/>
      <c r="T120" s="724"/>
      <c r="U120" s="724"/>
      <c r="V120" s="724"/>
      <c r="W120" s="724"/>
      <c r="X120" s="724"/>
      <c r="Y120" s="724"/>
      <c r="Z120" s="724"/>
      <c r="AA120" s="724">
        <v>60000</v>
      </c>
      <c r="AB120" s="724">
        <v>3782</v>
      </c>
      <c r="AC120" s="724">
        <v>3782</v>
      </c>
      <c r="AD120" s="724">
        <v>3782</v>
      </c>
      <c r="AE120" s="724">
        <v>3782</v>
      </c>
      <c r="AF120" s="724">
        <v>3782</v>
      </c>
      <c r="AG120" s="724">
        <v>3782</v>
      </c>
      <c r="AH120" s="724">
        <v>3782</v>
      </c>
      <c r="AI120" s="724">
        <v>3782</v>
      </c>
      <c r="AJ120" s="724">
        <v>3782</v>
      </c>
      <c r="AK120" s="724">
        <v>3782</v>
      </c>
      <c r="AL120" s="724">
        <v>3782</v>
      </c>
      <c r="AM120" s="724">
        <v>3782</v>
      </c>
      <c r="AN120" s="724">
        <v>3782</v>
      </c>
      <c r="AO120" s="724">
        <v>3782</v>
      </c>
      <c r="AP120" s="724">
        <v>3782</v>
      </c>
      <c r="AQ120" s="724">
        <v>3782.47</v>
      </c>
      <c r="AR120" s="724"/>
      <c r="AS120" s="724"/>
      <c r="AT120" s="724"/>
      <c r="AU120" s="724"/>
      <c r="AV120" s="724"/>
      <c r="AW120" s="724"/>
      <c r="AX120" s="724"/>
      <c r="AY120" s="724"/>
      <c r="AZ120" s="724"/>
      <c r="BA120" s="724"/>
      <c r="BB120" s="724"/>
      <c r="BC120" s="725">
        <f t="shared" si="6"/>
        <v>120512.47</v>
      </c>
      <c r="BD120" s="724">
        <f>+BC120-'BOULEVARD 5 orig.'!I125</f>
        <v>2350.9700000000012</v>
      </c>
      <c r="BE120" s="724">
        <f t="shared" si="7"/>
        <v>120512.47</v>
      </c>
      <c r="BF120" s="726">
        <f>VLOOKUP(A120,'BOULEVARD 5 orig.'!B125:AS423,42,0)</f>
        <v>0</v>
      </c>
      <c r="BG120" s="727">
        <f t="shared" si="8"/>
        <v>17</v>
      </c>
      <c r="BH120" s="728">
        <f t="shared" si="5"/>
        <v>7088.9688235294116</v>
      </c>
    </row>
    <row r="121" spans="1:60" x14ac:dyDescent="0.2">
      <c r="A121" s="723">
        <v>712</v>
      </c>
      <c r="B121" s="723" t="str">
        <f>'BOULEVARD 5'!H126</f>
        <v>4.Plan de pagos</v>
      </c>
      <c r="C121" s="724"/>
      <c r="D121" s="724"/>
      <c r="E121" s="724"/>
      <c r="F121" s="724">
        <v>6000</v>
      </c>
      <c r="G121" s="724">
        <v>2385</v>
      </c>
      <c r="H121" s="724">
        <v>2385</v>
      </c>
      <c r="I121" s="724">
        <v>2385</v>
      </c>
      <c r="J121" s="724">
        <v>2385</v>
      </c>
      <c r="K121" s="724">
        <v>2385</v>
      </c>
      <c r="L121" s="724">
        <v>2385</v>
      </c>
      <c r="M121" s="724">
        <v>2385</v>
      </c>
      <c r="N121" s="724">
        <v>2385</v>
      </c>
      <c r="O121" s="724">
        <v>2385</v>
      </c>
      <c r="P121" s="724">
        <v>2385</v>
      </c>
      <c r="Q121" s="724">
        <v>2385</v>
      </c>
      <c r="R121" s="724">
        <v>2385</v>
      </c>
      <c r="S121" s="724">
        <v>2385</v>
      </c>
      <c r="T121" s="724">
        <v>2385</v>
      </c>
      <c r="U121" s="724">
        <v>2385</v>
      </c>
      <c r="V121" s="724">
        <v>2385</v>
      </c>
      <c r="W121" s="724">
        <v>2385</v>
      </c>
      <c r="X121" s="724">
        <v>2385</v>
      </c>
      <c r="Y121" s="724">
        <v>2385</v>
      </c>
      <c r="Z121" s="724">
        <v>2385</v>
      </c>
      <c r="AA121" s="724">
        <v>2385</v>
      </c>
      <c r="AB121" s="724">
        <v>2385</v>
      </c>
      <c r="AC121" s="724">
        <v>2385</v>
      </c>
      <c r="AD121" s="724">
        <v>2385</v>
      </c>
      <c r="AE121" s="724">
        <v>2385</v>
      </c>
      <c r="AF121" s="724">
        <v>2385</v>
      </c>
      <c r="AG121" s="724">
        <v>2390</v>
      </c>
      <c r="AH121" s="724"/>
      <c r="AI121" s="724"/>
      <c r="AJ121" s="724"/>
      <c r="AK121" s="724"/>
      <c r="AL121" s="724"/>
      <c r="AM121" s="724"/>
      <c r="AN121" s="724"/>
      <c r="AO121" s="724"/>
      <c r="AP121" s="724"/>
      <c r="AQ121" s="724"/>
      <c r="AR121" s="724"/>
      <c r="AS121" s="724"/>
      <c r="AT121" s="724"/>
      <c r="AU121" s="724"/>
      <c r="AV121" s="724"/>
      <c r="AW121" s="724"/>
      <c r="AX121" s="724"/>
      <c r="AY121" s="724"/>
      <c r="AZ121" s="724"/>
      <c r="BA121" s="724"/>
      <c r="BB121" s="724"/>
      <c r="BC121" s="725">
        <f t="shared" si="6"/>
        <v>70400</v>
      </c>
      <c r="BD121" s="724">
        <f>+BC121-'BOULEVARD 5 orig.'!I126</f>
        <v>0</v>
      </c>
      <c r="BE121" s="724">
        <f t="shared" si="7"/>
        <v>70400</v>
      </c>
      <c r="BF121" s="726">
        <f>VLOOKUP(A121,'BOULEVARD 5 orig.'!B126:AS424,42,0)</f>
        <v>0</v>
      </c>
      <c r="BG121" s="727">
        <f t="shared" si="8"/>
        <v>28</v>
      </c>
      <c r="BH121" s="728">
        <f t="shared" si="5"/>
        <v>2514.2857142857142</v>
      </c>
    </row>
    <row r="122" spans="1:60" x14ac:dyDescent="0.2">
      <c r="A122" s="723">
        <v>713</v>
      </c>
      <c r="B122" s="723" t="str">
        <f>'BOULEVARD 5'!H127</f>
        <v>4.Plan de pagos</v>
      </c>
      <c r="C122" s="724"/>
      <c r="D122" s="724"/>
      <c r="E122" s="724"/>
      <c r="F122" s="724">
        <v>6000</v>
      </c>
      <c r="G122" s="724">
        <v>2326</v>
      </c>
      <c r="H122" s="724">
        <v>2326</v>
      </c>
      <c r="I122" s="724">
        <v>2326</v>
      </c>
      <c r="J122" s="724">
        <v>2326</v>
      </c>
      <c r="K122" s="724">
        <v>2326</v>
      </c>
      <c r="L122" s="724">
        <v>2326</v>
      </c>
      <c r="M122" s="724">
        <v>2326</v>
      </c>
      <c r="N122" s="724">
        <v>2326</v>
      </c>
      <c r="O122" s="724">
        <v>2326</v>
      </c>
      <c r="P122" s="724">
        <v>2326</v>
      </c>
      <c r="Q122" s="724">
        <v>2326</v>
      </c>
      <c r="R122" s="724">
        <v>2326</v>
      </c>
      <c r="S122" s="724">
        <v>2326</v>
      </c>
      <c r="T122" s="724">
        <v>2326</v>
      </c>
      <c r="U122" s="724">
        <v>2326</v>
      </c>
      <c r="V122" s="724">
        <v>2326</v>
      </c>
      <c r="W122" s="724">
        <v>2326</v>
      </c>
      <c r="X122" s="724">
        <v>2326</v>
      </c>
      <c r="Y122" s="724">
        <v>2326</v>
      </c>
      <c r="Z122" s="724">
        <v>2326</v>
      </c>
      <c r="AA122" s="724">
        <v>2326</v>
      </c>
      <c r="AB122" s="724">
        <v>2326</v>
      </c>
      <c r="AC122" s="724">
        <v>2326</v>
      </c>
      <c r="AD122" s="724">
        <v>2326</v>
      </c>
      <c r="AE122" s="724">
        <v>2326</v>
      </c>
      <c r="AF122" s="724">
        <v>2326</v>
      </c>
      <c r="AG122" s="724">
        <v>2324</v>
      </c>
      <c r="AH122" s="724"/>
      <c r="AI122" s="724"/>
      <c r="AJ122" s="724"/>
      <c r="AK122" s="724"/>
      <c r="AL122" s="724"/>
      <c r="AM122" s="724"/>
      <c r="AN122" s="724"/>
      <c r="AO122" s="724"/>
      <c r="AP122" s="724"/>
      <c r="AQ122" s="724"/>
      <c r="AR122" s="724"/>
      <c r="AS122" s="724"/>
      <c r="AT122" s="724"/>
      <c r="AU122" s="724"/>
      <c r="AV122" s="724"/>
      <c r="AW122" s="724"/>
      <c r="AX122" s="724"/>
      <c r="AY122" s="724"/>
      <c r="AZ122" s="724"/>
      <c r="BA122" s="724"/>
      <c r="BB122" s="724"/>
      <c r="BC122" s="725">
        <f t="shared" si="6"/>
        <v>68800</v>
      </c>
      <c r="BD122" s="724">
        <f>+BC122-'BOULEVARD 5 orig.'!I127</f>
        <v>0</v>
      </c>
      <c r="BE122" s="724">
        <f t="shared" si="7"/>
        <v>68800</v>
      </c>
      <c r="BF122" s="726">
        <f>VLOOKUP(A122,'BOULEVARD 5 orig.'!B127:AS425,42,0)</f>
        <v>0</v>
      </c>
      <c r="BG122" s="727">
        <f t="shared" si="8"/>
        <v>28</v>
      </c>
      <c r="BH122" s="728">
        <f t="shared" si="5"/>
        <v>2457.1428571428573</v>
      </c>
    </row>
    <row r="123" spans="1:60" x14ac:dyDescent="0.2">
      <c r="A123" s="723">
        <v>714</v>
      </c>
      <c r="B123" s="723" t="str">
        <f>'BOULEVARD 5'!H128</f>
        <v>4.Plan de pagos</v>
      </c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4"/>
      <c r="P123" s="724">
        <v>8000</v>
      </c>
      <c r="Q123" s="724">
        <v>7989</v>
      </c>
      <c r="R123" s="724">
        <v>7989</v>
      </c>
      <c r="S123" s="724">
        <v>7989</v>
      </c>
      <c r="T123" s="724">
        <v>7989</v>
      </c>
      <c r="U123" s="724">
        <v>7989</v>
      </c>
      <c r="V123" s="724">
        <v>7989</v>
      </c>
      <c r="W123" s="724">
        <v>7989</v>
      </c>
      <c r="X123" s="724">
        <v>7989</v>
      </c>
      <c r="Y123" s="724">
        <v>7989</v>
      </c>
      <c r="Z123" s="724">
        <v>7989</v>
      </c>
      <c r="AA123" s="724">
        <v>7989</v>
      </c>
      <c r="AB123" s="724">
        <v>7989</v>
      </c>
      <c r="AC123" s="724">
        <v>7989</v>
      </c>
      <c r="AD123" s="724">
        <v>7989</v>
      </c>
      <c r="AE123" s="724">
        <v>7989</v>
      </c>
      <c r="AF123" s="724">
        <v>7989</v>
      </c>
      <c r="AG123" s="724">
        <v>7984</v>
      </c>
      <c r="AH123" s="724"/>
      <c r="AI123" s="724"/>
      <c r="AJ123" s="724"/>
      <c r="AK123" s="724"/>
      <c r="AL123" s="724"/>
      <c r="AM123" s="724"/>
      <c r="AN123" s="724"/>
      <c r="AO123" s="724"/>
      <c r="AP123" s="724"/>
      <c r="AQ123" s="724"/>
      <c r="AR123" s="724"/>
      <c r="AS123" s="724"/>
      <c r="AT123" s="724"/>
      <c r="AU123" s="724"/>
      <c r="AV123" s="724"/>
      <c r="AW123" s="724"/>
      <c r="AX123" s="724"/>
      <c r="AY123" s="724"/>
      <c r="AZ123" s="724"/>
      <c r="BA123" s="724"/>
      <c r="BB123" s="724"/>
      <c r="BC123" s="725">
        <f t="shared" si="6"/>
        <v>143808</v>
      </c>
      <c r="BD123" s="724">
        <f>+BC123-'BOULEVARD 5 orig.'!I128</f>
        <v>0</v>
      </c>
      <c r="BE123" s="724">
        <f t="shared" si="7"/>
        <v>143808</v>
      </c>
      <c r="BF123" s="726">
        <f>VLOOKUP(A123,'BOULEVARD 5 orig.'!B128:AS426,42,0)</f>
        <v>0</v>
      </c>
      <c r="BG123" s="727">
        <f t="shared" si="8"/>
        <v>18</v>
      </c>
      <c r="BH123" s="728">
        <f t="shared" si="5"/>
        <v>7989.333333333333</v>
      </c>
    </row>
    <row r="124" spans="1:60" x14ac:dyDescent="0.2">
      <c r="A124" s="723">
        <v>715</v>
      </c>
      <c r="B124" s="723" t="str">
        <f>'BOULEVARD 5'!H129</f>
        <v>4.Plan de pagos</v>
      </c>
      <c r="C124" s="724">
        <v>6000</v>
      </c>
      <c r="D124" s="724">
        <v>1600</v>
      </c>
      <c r="E124" s="724">
        <v>1600</v>
      </c>
      <c r="F124" s="724">
        <v>1600</v>
      </c>
      <c r="G124" s="724">
        <v>1600</v>
      </c>
      <c r="H124" s="724">
        <v>1600</v>
      </c>
      <c r="I124" s="724">
        <v>1600</v>
      </c>
      <c r="J124" s="724">
        <v>1600</v>
      </c>
      <c r="K124" s="724">
        <v>1600</v>
      </c>
      <c r="L124" s="724">
        <v>1600</v>
      </c>
      <c r="M124" s="724">
        <v>1600</v>
      </c>
      <c r="N124" s="724">
        <v>1600</v>
      </c>
      <c r="O124" s="724">
        <v>1600</v>
      </c>
      <c r="P124" s="724">
        <v>1600</v>
      </c>
      <c r="Q124" s="724">
        <v>1600</v>
      </c>
      <c r="R124" s="724">
        <v>1600</v>
      </c>
      <c r="S124" s="724">
        <v>1600</v>
      </c>
      <c r="T124" s="724">
        <v>1600</v>
      </c>
      <c r="U124" s="724">
        <v>1600</v>
      </c>
      <c r="V124" s="724">
        <v>1600</v>
      </c>
      <c r="W124" s="724">
        <v>1600</v>
      </c>
      <c r="X124" s="724">
        <v>1600</v>
      </c>
      <c r="Y124" s="724">
        <v>1600</v>
      </c>
      <c r="Z124" s="724">
        <v>1600</v>
      </c>
      <c r="AA124" s="724">
        <v>1600</v>
      </c>
      <c r="AB124" s="724">
        <v>1600</v>
      </c>
      <c r="AC124" s="724">
        <v>1600</v>
      </c>
      <c r="AD124" s="724">
        <v>1600</v>
      </c>
      <c r="AE124" s="724">
        <v>1600</v>
      </c>
      <c r="AF124" s="724">
        <v>1600</v>
      </c>
      <c r="AG124" s="724">
        <v>1600</v>
      </c>
      <c r="AH124" s="724">
        <v>1600</v>
      </c>
      <c r="AI124" s="724">
        <v>1600</v>
      </c>
      <c r="AJ124" s="724">
        <v>1600</v>
      </c>
      <c r="AK124" s="724">
        <v>1600</v>
      </c>
      <c r="AL124" s="724">
        <v>1600</v>
      </c>
      <c r="AM124" s="724"/>
      <c r="AN124" s="724"/>
      <c r="AO124" s="724"/>
      <c r="AP124" s="724"/>
      <c r="AQ124" s="724"/>
      <c r="AR124" s="724"/>
      <c r="AS124" s="724"/>
      <c r="AT124" s="724"/>
      <c r="AU124" s="724"/>
      <c r="AV124" s="724"/>
      <c r="AW124" s="724"/>
      <c r="AX124" s="724"/>
      <c r="AY124" s="724"/>
      <c r="AZ124" s="724"/>
      <c r="BA124" s="724"/>
      <c r="BB124" s="724"/>
      <c r="BC124" s="725">
        <f t="shared" si="6"/>
        <v>62000</v>
      </c>
      <c r="BD124" s="724">
        <f>+BC124-'BOULEVARD 5 orig.'!I129</f>
        <v>0</v>
      </c>
      <c r="BE124" s="724">
        <f t="shared" si="7"/>
        <v>62000</v>
      </c>
      <c r="BF124" s="726">
        <f>VLOOKUP(A124,'BOULEVARD 5 orig.'!B129:AS427,42,0)</f>
        <v>0</v>
      </c>
      <c r="BG124" s="727">
        <f t="shared" si="8"/>
        <v>36</v>
      </c>
      <c r="BH124" s="728">
        <f t="shared" si="5"/>
        <v>1722.2222222222222</v>
      </c>
    </row>
    <row r="125" spans="1:60" x14ac:dyDescent="0.2">
      <c r="A125" s="723">
        <v>716</v>
      </c>
      <c r="B125" s="723" t="str">
        <f>'BOULEVARD 5'!H130</f>
        <v>4.Plan de pagos</v>
      </c>
      <c r="C125" s="724"/>
      <c r="D125" s="724"/>
      <c r="E125" s="724"/>
      <c r="F125" s="724"/>
      <c r="G125" s="724"/>
      <c r="H125" s="724"/>
      <c r="I125" s="724"/>
      <c r="J125" s="724"/>
      <c r="K125" s="724"/>
      <c r="L125" s="724"/>
      <c r="M125" s="724">
        <v>8000</v>
      </c>
      <c r="N125" s="724">
        <v>4110</v>
      </c>
      <c r="O125" s="724">
        <v>4110</v>
      </c>
      <c r="P125" s="724">
        <v>4110</v>
      </c>
      <c r="Q125" s="724">
        <v>4110</v>
      </c>
      <c r="R125" s="724">
        <v>4110</v>
      </c>
      <c r="S125" s="724">
        <v>4110</v>
      </c>
      <c r="T125" s="724">
        <v>4110</v>
      </c>
      <c r="U125" s="724">
        <v>4110</v>
      </c>
      <c r="V125" s="724">
        <v>4110</v>
      </c>
      <c r="W125" s="724">
        <v>4110</v>
      </c>
      <c r="X125" s="724">
        <v>4110</v>
      </c>
      <c r="Y125" s="724">
        <v>4110</v>
      </c>
      <c r="Z125" s="724">
        <v>4110</v>
      </c>
      <c r="AA125" s="724">
        <v>4110</v>
      </c>
      <c r="AB125" s="724">
        <v>4110</v>
      </c>
      <c r="AC125" s="724">
        <v>4110</v>
      </c>
      <c r="AD125" s="724">
        <v>4110</v>
      </c>
      <c r="AE125" s="724">
        <v>4110</v>
      </c>
      <c r="AF125" s="724">
        <v>4110</v>
      </c>
      <c r="AG125" s="724">
        <v>4110</v>
      </c>
      <c r="AH125" s="724"/>
      <c r="AI125" s="724"/>
      <c r="AJ125" s="724"/>
      <c r="AK125" s="724"/>
      <c r="AL125" s="724"/>
      <c r="AM125" s="724"/>
      <c r="AN125" s="724"/>
      <c r="AO125" s="724"/>
      <c r="AP125" s="724"/>
      <c r="AQ125" s="724"/>
      <c r="AR125" s="724"/>
      <c r="AS125" s="724"/>
      <c r="AT125" s="724"/>
      <c r="AU125" s="724"/>
      <c r="AV125" s="724"/>
      <c r="AW125" s="724"/>
      <c r="AX125" s="724"/>
      <c r="AY125" s="724"/>
      <c r="AZ125" s="724"/>
      <c r="BA125" s="724"/>
      <c r="BB125" s="724"/>
      <c r="BC125" s="725">
        <f t="shared" si="6"/>
        <v>90200</v>
      </c>
      <c r="BD125" s="724">
        <f>+BC125-'BOULEVARD 5 orig.'!I130</f>
        <v>0</v>
      </c>
      <c r="BE125" s="724">
        <f t="shared" si="7"/>
        <v>90200</v>
      </c>
      <c r="BF125" s="726">
        <f>VLOOKUP(A125,'BOULEVARD 5 orig.'!B130:AS428,42,0)</f>
        <v>0</v>
      </c>
      <c r="BG125" s="727">
        <f t="shared" si="8"/>
        <v>21</v>
      </c>
      <c r="BH125" s="728">
        <f t="shared" si="5"/>
        <v>4295.2380952380954</v>
      </c>
    </row>
    <row r="126" spans="1:60" x14ac:dyDescent="0.2">
      <c r="A126" s="723">
        <v>717</v>
      </c>
      <c r="B126" s="723" t="str">
        <f>'BOULEVARD 5'!H131</f>
        <v>4.Plan de pagos</v>
      </c>
      <c r="C126" s="724"/>
      <c r="D126" s="724"/>
      <c r="E126" s="724"/>
      <c r="F126" s="724"/>
      <c r="G126" s="724"/>
      <c r="H126" s="724"/>
      <c r="I126" s="724"/>
      <c r="J126" s="724"/>
      <c r="K126" s="724"/>
      <c r="L126" s="724"/>
      <c r="M126" s="724"/>
      <c r="N126" s="724"/>
      <c r="O126" s="724"/>
      <c r="P126" s="724">
        <v>8000</v>
      </c>
      <c r="Q126" s="724">
        <v>4040</v>
      </c>
      <c r="R126" s="724">
        <v>4040</v>
      </c>
      <c r="S126" s="724">
        <v>4040</v>
      </c>
      <c r="T126" s="724">
        <v>4040</v>
      </c>
      <c r="U126" s="724">
        <v>4040</v>
      </c>
      <c r="V126" s="724">
        <v>4040</v>
      </c>
      <c r="W126" s="724">
        <v>4040</v>
      </c>
      <c r="X126" s="724">
        <v>4040</v>
      </c>
      <c r="Y126" s="724">
        <v>4040</v>
      </c>
      <c r="Z126" s="724">
        <v>4040</v>
      </c>
      <c r="AA126" s="724">
        <v>4040</v>
      </c>
      <c r="AB126" s="724">
        <v>4040</v>
      </c>
      <c r="AC126" s="724">
        <v>4040</v>
      </c>
      <c r="AD126" s="724">
        <v>4040</v>
      </c>
      <c r="AE126" s="724">
        <v>4040</v>
      </c>
      <c r="AF126" s="724">
        <v>4040</v>
      </c>
      <c r="AG126" s="724">
        <v>4040</v>
      </c>
      <c r="AH126" s="724">
        <v>4040</v>
      </c>
      <c r="AI126" s="724">
        <v>4040</v>
      </c>
      <c r="AJ126" s="724">
        <v>4040</v>
      </c>
      <c r="AK126" s="724"/>
      <c r="AL126" s="724"/>
      <c r="AM126" s="724"/>
      <c r="AN126" s="724"/>
      <c r="AO126" s="724"/>
      <c r="AP126" s="724"/>
      <c r="AQ126" s="724"/>
      <c r="AR126" s="724"/>
      <c r="AS126" s="724"/>
      <c r="AT126" s="724"/>
      <c r="AU126" s="724"/>
      <c r="AV126" s="724"/>
      <c r="AW126" s="724"/>
      <c r="AX126" s="724"/>
      <c r="AY126" s="724"/>
      <c r="AZ126" s="724"/>
      <c r="BA126" s="724"/>
      <c r="BB126" s="724"/>
      <c r="BC126" s="725">
        <f t="shared" si="6"/>
        <v>88800</v>
      </c>
      <c r="BD126" s="724">
        <f>+BC126-'BOULEVARD 5 orig.'!I131</f>
        <v>0</v>
      </c>
      <c r="BE126" s="724">
        <f t="shared" si="7"/>
        <v>88800</v>
      </c>
      <c r="BF126" s="726">
        <f>VLOOKUP(A126,'BOULEVARD 5 orig.'!B131:AS429,42,0)</f>
        <v>0</v>
      </c>
      <c r="BG126" s="727">
        <f t="shared" si="8"/>
        <v>21</v>
      </c>
      <c r="BH126" s="728">
        <f t="shared" si="5"/>
        <v>4228.5714285714284</v>
      </c>
    </row>
    <row r="127" spans="1:60" x14ac:dyDescent="0.2">
      <c r="A127" s="723">
        <v>718</v>
      </c>
      <c r="B127" s="723" t="str">
        <f>'BOULEVARD 5'!H132</f>
        <v>4.Plan de pagos</v>
      </c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4"/>
      <c r="P127" s="724"/>
      <c r="Q127" s="724"/>
      <c r="R127" s="724"/>
      <c r="S127" s="724"/>
      <c r="T127" s="724"/>
      <c r="U127" s="724"/>
      <c r="V127" s="724"/>
      <c r="W127" s="724"/>
      <c r="X127" s="724"/>
      <c r="Y127" s="724"/>
      <c r="Z127" s="724"/>
      <c r="AA127" s="724"/>
      <c r="AB127" s="724"/>
      <c r="AC127" s="724"/>
      <c r="AD127" s="724"/>
      <c r="AE127" s="724"/>
      <c r="AF127" s="724"/>
      <c r="AG127" s="724"/>
      <c r="AH127" s="724"/>
      <c r="AI127" s="724"/>
      <c r="AJ127" s="724"/>
      <c r="AK127" s="724"/>
      <c r="AL127" s="724"/>
      <c r="AM127" s="724"/>
      <c r="AN127" s="724"/>
      <c r="AO127" s="724"/>
      <c r="AP127" s="724"/>
      <c r="AQ127" s="724"/>
      <c r="AR127" s="724"/>
      <c r="AS127" s="724"/>
      <c r="AT127" s="724"/>
      <c r="AU127" s="724"/>
      <c r="AV127" s="724"/>
      <c r="AW127" s="724"/>
      <c r="AX127" s="724"/>
      <c r="AY127" s="724"/>
      <c r="AZ127" s="724"/>
      <c r="BA127" s="724"/>
      <c r="BB127" s="724"/>
      <c r="BC127" s="725">
        <f t="shared" si="6"/>
        <v>0</v>
      </c>
      <c r="BD127" s="724">
        <f>+BC127-'BOULEVARD 5 orig.'!I132</f>
        <v>-150254.944216114</v>
      </c>
      <c r="BE127" s="724">
        <f t="shared" si="7"/>
        <v>0</v>
      </c>
      <c r="BF127" s="726">
        <f>VLOOKUP(A127,'BOULEVARD 5 orig.'!B132:AS430,42,0)</f>
        <v>0</v>
      </c>
      <c r="BG127" s="727">
        <f t="shared" si="8"/>
        <v>0</v>
      </c>
      <c r="BH127" s="728">
        <f t="shared" si="5"/>
        <v>0</v>
      </c>
    </row>
    <row r="128" spans="1:60" x14ac:dyDescent="0.2">
      <c r="A128" s="729">
        <v>719</v>
      </c>
      <c r="B128" s="723" t="str">
        <f>'BOULEVARD 5'!H133</f>
        <v>4.Plan de pagos</v>
      </c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4"/>
      <c r="P128" s="724"/>
      <c r="Q128" s="724"/>
      <c r="R128" s="724"/>
      <c r="S128" s="724"/>
      <c r="T128" s="724"/>
      <c r="U128" s="724"/>
      <c r="V128" s="724"/>
      <c r="W128" s="724"/>
      <c r="X128" s="724"/>
      <c r="Y128" s="724"/>
      <c r="Z128" s="724"/>
      <c r="AA128" s="724"/>
      <c r="AB128" s="724"/>
      <c r="AC128" s="724"/>
      <c r="AD128" s="724"/>
      <c r="AE128" s="724"/>
      <c r="AF128" s="724"/>
      <c r="AG128" s="724"/>
      <c r="AH128" s="724"/>
      <c r="AI128" s="724"/>
      <c r="AJ128" s="724"/>
      <c r="AK128" s="724"/>
      <c r="AL128" s="724"/>
      <c r="AM128" s="724"/>
      <c r="AN128" s="724"/>
      <c r="AO128" s="724"/>
      <c r="AP128" s="724"/>
      <c r="AQ128" s="724"/>
      <c r="AR128" s="724"/>
      <c r="AS128" s="724"/>
      <c r="AT128" s="724"/>
      <c r="AU128" s="724"/>
      <c r="AV128" s="724"/>
      <c r="AW128" s="724"/>
      <c r="AX128" s="724"/>
      <c r="AY128" s="724"/>
      <c r="AZ128" s="724"/>
      <c r="BA128" s="724"/>
      <c r="BB128" s="724"/>
      <c r="BC128" s="725">
        <f t="shared" si="6"/>
        <v>0</v>
      </c>
      <c r="BD128" s="724">
        <f>+BC128-'BOULEVARD 5 orig.'!I133</f>
        <v>-145637.554915152</v>
      </c>
      <c r="BE128" s="724">
        <f t="shared" si="7"/>
        <v>0</v>
      </c>
      <c r="BF128" s="726">
        <f>VLOOKUP(A128,'BOULEVARD 5 orig.'!B133:AS431,42,0)</f>
        <v>0</v>
      </c>
      <c r="BG128" s="727">
        <f t="shared" si="8"/>
        <v>0</v>
      </c>
      <c r="BH128" s="728">
        <f t="shared" si="5"/>
        <v>0</v>
      </c>
    </row>
    <row r="129" spans="1:60" x14ac:dyDescent="0.2">
      <c r="A129" s="723">
        <v>801</v>
      </c>
      <c r="B129" s="723" t="str">
        <f>'BOULEVARD 5'!H134</f>
        <v>4.Plan de pagos</v>
      </c>
      <c r="C129" s="724"/>
      <c r="D129" s="724"/>
      <c r="E129" s="724"/>
      <c r="F129" s="724"/>
      <c r="G129" s="724">
        <v>6000</v>
      </c>
      <c r="H129" s="724">
        <v>4200</v>
      </c>
      <c r="I129" s="724">
        <v>4200</v>
      </c>
      <c r="J129" s="724">
        <v>4200</v>
      </c>
      <c r="K129" s="724">
        <v>4200</v>
      </c>
      <c r="L129" s="724">
        <v>4200</v>
      </c>
      <c r="M129" s="724">
        <v>4200</v>
      </c>
      <c r="N129" s="724">
        <v>4200</v>
      </c>
      <c r="O129" s="724">
        <v>4200</v>
      </c>
      <c r="P129" s="724">
        <v>4200</v>
      </c>
      <c r="Q129" s="724">
        <v>4200</v>
      </c>
      <c r="R129" s="724">
        <v>4200</v>
      </c>
      <c r="S129" s="724">
        <v>4200</v>
      </c>
      <c r="T129" s="724">
        <v>4200</v>
      </c>
      <c r="U129" s="724">
        <v>4200</v>
      </c>
      <c r="V129" s="724">
        <v>4200</v>
      </c>
      <c r="W129" s="724">
        <v>4200</v>
      </c>
      <c r="X129" s="724">
        <v>4200</v>
      </c>
      <c r="Y129" s="724">
        <v>4200</v>
      </c>
      <c r="Z129" s="724">
        <v>4200</v>
      </c>
      <c r="AA129" s="724">
        <v>4200</v>
      </c>
      <c r="AB129" s="724">
        <v>4200</v>
      </c>
      <c r="AC129" s="724">
        <v>4200</v>
      </c>
      <c r="AD129" s="724">
        <v>4200</v>
      </c>
      <c r="AE129" s="724">
        <v>4200</v>
      </c>
      <c r="AF129" s="724">
        <v>4200</v>
      </c>
      <c r="AG129" s="724">
        <v>4200</v>
      </c>
      <c r="AH129" s="724"/>
      <c r="AI129" s="724"/>
      <c r="AJ129" s="724"/>
      <c r="AK129" s="724"/>
      <c r="AL129" s="724"/>
      <c r="AM129" s="724"/>
      <c r="AN129" s="724"/>
      <c r="AO129" s="724"/>
      <c r="AP129" s="724"/>
      <c r="AQ129" s="724"/>
      <c r="AR129" s="724"/>
      <c r="AS129" s="724"/>
      <c r="AT129" s="724"/>
      <c r="AU129" s="724"/>
      <c r="AV129" s="724"/>
      <c r="AW129" s="724"/>
      <c r="AX129" s="724"/>
      <c r="AY129" s="724"/>
      <c r="AZ129" s="724"/>
      <c r="BA129" s="724"/>
      <c r="BB129" s="724"/>
      <c r="BC129" s="725">
        <f t="shared" si="6"/>
        <v>115200</v>
      </c>
      <c r="BD129" s="724">
        <f>+BC129-'BOULEVARD 5 orig.'!I134</f>
        <v>0</v>
      </c>
      <c r="BE129" s="724">
        <f t="shared" si="7"/>
        <v>115200</v>
      </c>
      <c r="BF129" s="726">
        <f>VLOOKUP(A129,'BOULEVARD 5 orig.'!B134:AS432,42,0)</f>
        <v>0</v>
      </c>
      <c r="BG129" s="727">
        <f t="shared" si="8"/>
        <v>27</v>
      </c>
      <c r="BH129" s="728">
        <f t="shared" si="5"/>
        <v>4266.666666666667</v>
      </c>
    </row>
    <row r="130" spans="1:60" x14ac:dyDescent="0.2">
      <c r="A130" s="723">
        <v>802</v>
      </c>
      <c r="B130" s="723" t="str">
        <f>'BOULEVARD 5'!H135</f>
        <v>4.Plan de pagos</v>
      </c>
      <c r="C130" s="724"/>
      <c r="D130" s="724"/>
      <c r="E130" s="724"/>
      <c r="F130" s="724">
        <v>6000</v>
      </c>
      <c r="G130" s="724">
        <v>4100</v>
      </c>
      <c r="H130" s="724">
        <v>4100</v>
      </c>
      <c r="I130" s="724">
        <v>4100</v>
      </c>
      <c r="J130" s="724">
        <v>4100</v>
      </c>
      <c r="K130" s="724">
        <v>4100</v>
      </c>
      <c r="L130" s="724">
        <v>4100</v>
      </c>
      <c r="M130" s="724">
        <v>4100</v>
      </c>
      <c r="N130" s="724">
        <v>4100</v>
      </c>
      <c r="O130" s="724">
        <v>4100</v>
      </c>
      <c r="P130" s="724">
        <v>4100</v>
      </c>
      <c r="Q130" s="724">
        <v>4100</v>
      </c>
      <c r="R130" s="724">
        <v>4100</v>
      </c>
      <c r="S130" s="724">
        <v>4100</v>
      </c>
      <c r="T130" s="724">
        <v>4100</v>
      </c>
      <c r="U130" s="724">
        <v>4100</v>
      </c>
      <c r="V130" s="724">
        <v>4100</v>
      </c>
      <c r="W130" s="724">
        <v>4100</v>
      </c>
      <c r="X130" s="724">
        <v>4100</v>
      </c>
      <c r="Y130" s="724">
        <v>4100</v>
      </c>
      <c r="Z130" s="724">
        <v>4100</v>
      </c>
      <c r="AA130" s="724">
        <v>4100</v>
      </c>
      <c r="AB130" s="724">
        <v>4100</v>
      </c>
      <c r="AC130" s="724">
        <v>4100</v>
      </c>
      <c r="AD130" s="724">
        <v>4100</v>
      </c>
      <c r="AE130" s="724">
        <v>4100</v>
      </c>
      <c r="AF130" s="724">
        <v>4100</v>
      </c>
      <c r="AG130" s="724">
        <v>4100</v>
      </c>
      <c r="AH130" s="724"/>
      <c r="AI130" s="724"/>
      <c r="AJ130" s="724"/>
      <c r="AK130" s="724"/>
      <c r="AL130" s="724"/>
      <c r="AM130" s="724"/>
      <c r="AN130" s="724"/>
      <c r="AO130" s="724"/>
      <c r="AP130" s="724"/>
      <c r="AQ130" s="724"/>
      <c r="AR130" s="724"/>
      <c r="AS130" s="724"/>
      <c r="AT130" s="724"/>
      <c r="AU130" s="724"/>
      <c r="AV130" s="724"/>
      <c r="AW130" s="724"/>
      <c r="AX130" s="724"/>
      <c r="AY130" s="724"/>
      <c r="AZ130" s="724"/>
      <c r="BA130" s="724"/>
      <c r="BB130" s="724"/>
      <c r="BC130" s="725">
        <f t="shared" si="6"/>
        <v>116700</v>
      </c>
      <c r="BD130" s="724">
        <f>+BC130-'BOULEVARD 5 orig.'!I135</f>
        <v>0</v>
      </c>
      <c r="BE130" s="724">
        <f t="shared" si="7"/>
        <v>116700</v>
      </c>
      <c r="BF130" s="726">
        <f>VLOOKUP(A130,'BOULEVARD 5 orig.'!B135:AS433,42,0)</f>
        <v>0</v>
      </c>
      <c r="BG130" s="727">
        <f t="shared" si="8"/>
        <v>28</v>
      </c>
      <c r="BH130" s="728">
        <f t="shared" ref="BH130:BH193" si="9">IFERROR((+BC130/BG130),0)</f>
        <v>4167.8571428571431</v>
      </c>
    </row>
    <row r="131" spans="1:60" x14ac:dyDescent="0.2">
      <c r="A131" s="723">
        <v>803</v>
      </c>
      <c r="B131" s="723" t="str">
        <f>'BOULEVARD 5'!H136</f>
        <v>4.Plan de pagos</v>
      </c>
      <c r="C131" s="724">
        <v>6000</v>
      </c>
      <c r="D131" s="724">
        <v>1700</v>
      </c>
      <c r="E131" s="724">
        <v>1700</v>
      </c>
      <c r="F131" s="724">
        <v>1700</v>
      </c>
      <c r="G131" s="724">
        <v>1700</v>
      </c>
      <c r="H131" s="724">
        <v>1700</v>
      </c>
      <c r="I131" s="724">
        <v>1700</v>
      </c>
      <c r="J131" s="724">
        <v>1700</v>
      </c>
      <c r="K131" s="724">
        <v>1700</v>
      </c>
      <c r="L131" s="724">
        <v>1700</v>
      </c>
      <c r="M131" s="724">
        <v>1700</v>
      </c>
      <c r="N131" s="724">
        <v>1700</v>
      </c>
      <c r="O131" s="724">
        <v>1700</v>
      </c>
      <c r="P131" s="724">
        <v>1700</v>
      </c>
      <c r="Q131" s="724">
        <v>1700</v>
      </c>
      <c r="R131" s="724">
        <v>1700</v>
      </c>
      <c r="S131" s="724">
        <v>1700</v>
      </c>
      <c r="T131" s="724">
        <v>1700</v>
      </c>
      <c r="U131" s="724">
        <v>1700</v>
      </c>
      <c r="V131" s="724">
        <v>1700</v>
      </c>
      <c r="W131" s="724">
        <v>1700</v>
      </c>
      <c r="X131" s="724">
        <v>1700</v>
      </c>
      <c r="Y131" s="724">
        <v>1700</v>
      </c>
      <c r="Z131" s="724">
        <v>1700</v>
      </c>
      <c r="AA131" s="724">
        <v>1700</v>
      </c>
      <c r="AB131" s="724">
        <v>1700</v>
      </c>
      <c r="AC131" s="724">
        <v>1700</v>
      </c>
      <c r="AD131" s="724">
        <v>1700</v>
      </c>
      <c r="AE131" s="724">
        <v>1700</v>
      </c>
      <c r="AF131" s="724">
        <v>1700</v>
      </c>
      <c r="AG131" s="724">
        <v>1700</v>
      </c>
      <c r="AH131" s="724">
        <v>1700</v>
      </c>
      <c r="AI131" s="724">
        <v>1700</v>
      </c>
      <c r="AJ131" s="724">
        <v>1700</v>
      </c>
      <c r="AK131" s="724">
        <v>1700</v>
      </c>
      <c r="AL131" s="724">
        <v>2300</v>
      </c>
      <c r="AM131" s="724"/>
      <c r="AN131" s="724"/>
      <c r="AO131" s="724"/>
      <c r="AP131" s="724"/>
      <c r="AQ131" s="724"/>
      <c r="AR131" s="724"/>
      <c r="AS131" s="724"/>
      <c r="AT131" s="724"/>
      <c r="AU131" s="724"/>
      <c r="AV131" s="724"/>
      <c r="AW131" s="724"/>
      <c r="AX131" s="724"/>
      <c r="AY131" s="724"/>
      <c r="AZ131" s="724"/>
      <c r="BA131" s="724"/>
      <c r="BB131" s="724"/>
      <c r="BC131" s="725">
        <f t="shared" ref="BC131:BC194" si="10">SUM(C131:BB131)</f>
        <v>66100</v>
      </c>
      <c r="BD131" s="724">
        <f>+BC131-'BOULEVARD 5 orig.'!I136</f>
        <v>0</v>
      </c>
      <c r="BE131" s="724">
        <f t="shared" ref="BE131:BE194" si="11">SUM(C131:BB131)</f>
        <v>66100</v>
      </c>
      <c r="BF131" s="726">
        <f>VLOOKUP(A131,'BOULEVARD 5 orig.'!B136:AS434,42,0)</f>
        <v>0</v>
      </c>
      <c r="BG131" s="727">
        <f t="shared" ref="BG131:BG194" si="12">COUNT(C131:BB131)</f>
        <v>36</v>
      </c>
      <c r="BH131" s="728">
        <f t="shared" si="9"/>
        <v>1836.1111111111111</v>
      </c>
    </row>
    <row r="132" spans="1:60" x14ac:dyDescent="0.2">
      <c r="A132" s="723">
        <v>804</v>
      </c>
      <c r="B132" s="723" t="str">
        <f>'BOULEVARD 5'!H137</f>
        <v>4.Plan de pagos</v>
      </c>
      <c r="C132" s="724"/>
      <c r="D132" s="724"/>
      <c r="E132" s="724"/>
      <c r="F132" s="724">
        <v>6000</v>
      </c>
      <c r="G132" s="724">
        <v>1500</v>
      </c>
      <c r="H132" s="724">
        <v>1500</v>
      </c>
      <c r="I132" s="724">
        <v>1500</v>
      </c>
      <c r="J132" s="724">
        <v>1500</v>
      </c>
      <c r="K132" s="724">
        <v>1500</v>
      </c>
      <c r="L132" s="724">
        <v>1500</v>
      </c>
      <c r="M132" s="724">
        <v>1500</v>
      </c>
      <c r="N132" s="724">
        <v>1500</v>
      </c>
      <c r="O132" s="724">
        <v>1500</v>
      </c>
      <c r="P132" s="724">
        <v>1500</v>
      </c>
      <c r="Q132" s="724">
        <v>1500</v>
      </c>
      <c r="R132" s="724">
        <v>1500</v>
      </c>
      <c r="S132" s="724">
        <v>1500</v>
      </c>
      <c r="T132" s="724">
        <v>1500</v>
      </c>
      <c r="U132" s="724">
        <v>1500</v>
      </c>
      <c r="V132" s="724">
        <v>1500</v>
      </c>
      <c r="W132" s="724">
        <v>1500</v>
      </c>
      <c r="X132" s="724">
        <v>1500</v>
      </c>
      <c r="Y132" s="724">
        <v>1500</v>
      </c>
      <c r="Z132" s="724">
        <v>1500</v>
      </c>
      <c r="AA132" s="724">
        <v>1500</v>
      </c>
      <c r="AB132" s="724">
        <v>1500</v>
      </c>
      <c r="AC132" s="724">
        <v>1500</v>
      </c>
      <c r="AD132" s="724">
        <v>1500</v>
      </c>
      <c r="AE132" s="724">
        <v>1500</v>
      </c>
      <c r="AF132" s="724">
        <v>1500</v>
      </c>
      <c r="AG132" s="724">
        <v>25300</v>
      </c>
      <c r="AH132" s="724"/>
      <c r="AI132" s="724"/>
      <c r="AJ132" s="724"/>
      <c r="AK132" s="724"/>
      <c r="AL132" s="724"/>
      <c r="AM132" s="724"/>
      <c r="AN132" s="724"/>
      <c r="AO132" s="724"/>
      <c r="AP132" s="724"/>
      <c r="AQ132" s="724"/>
      <c r="AR132" s="724"/>
      <c r="AS132" s="724"/>
      <c r="AT132" s="724"/>
      <c r="AU132" s="724"/>
      <c r="AV132" s="724"/>
      <c r="AW132" s="724"/>
      <c r="AX132" s="724"/>
      <c r="AY132" s="724"/>
      <c r="AZ132" s="724"/>
      <c r="BA132" s="724"/>
      <c r="BB132" s="724"/>
      <c r="BC132" s="725">
        <f t="shared" si="10"/>
        <v>70300</v>
      </c>
      <c r="BD132" s="724">
        <f>+BC132-'BOULEVARD 5 orig.'!I137</f>
        <v>0</v>
      </c>
      <c r="BE132" s="724">
        <f t="shared" si="11"/>
        <v>70300</v>
      </c>
      <c r="BF132" s="726">
        <f>VLOOKUP(A132,'BOULEVARD 5 orig.'!B137:AS435,42,0)</f>
        <v>0</v>
      </c>
      <c r="BG132" s="727">
        <f t="shared" si="12"/>
        <v>28</v>
      </c>
      <c r="BH132" s="728">
        <f t="shared" si="9"/>
        <v>2510.7142857142858</v>
      </c>
    </row>
    <row r="133" spans="1:60" x14ac:dyDescent="0.2">
      <c r="A133" s="723">
        <v>805</v>
      </c>
      <c r="B133" s="723" t="str">
        <f>'BOULEVARD 5'!H138</f>
        <v>4.Plan de pagos</v>
      </c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4"/>
      <c r="P133" s="724"/>
      <c r="Q133" s="724">
        <v>8000</v>
      </c>
      <c r="R133" s="724">
        <v>4537</v>
      </c>
      <c r="S133" s="724">
        <v>4537</v>
      </c>
      <c r="T133" s="724">
        <v>4537</v>
      </c>
      <c r="U133" s="724">
        <v>4537</v>
      </c>
      <c r="V133" s="724">
        <v>4537</v>
      </c>
      <c r="W133" s="724">
        <v>4537</v>
      </c>
      <c r="X133" s="724">
        <v>4537</v>
      </c>
      <c r="Y133" s="724">
        <v>4537</v>
      </c>
      <c r="Z133" s="724">
        <v>4537</v>
      </c>
      <c r="AA133" s="724">
        <v>4537</v>
      </c>
      <c r="AB133" s="724">
        <v>4537</v>
      </c>
      <c r="AC133" s="724">
        <v>4537</v>
      </c>
      <c r="AD133" s="724">
        <v>4537</v>
      </c>
      <c r="AE133" s="724">
        <v>4537</v>
      </c>
      <c r="AF133" s="724">
        <v>4537</v>
      </c>
      <c r="AG133" s="724">
        <v>4537</v>
      </c>
      <c r="AH133" s="724">
        <v>4537</v>
      </c>
      <c r="AI133" s="724">
        <v>4537</v>
      </c>
      <c r="AJ133" s="724">
        <v>4534</v>
      </c>
      <c r="AK133" s="724"/>
      <c r="AL133" s="724"/>
      <c r="AM133" s="724"/>
      <c r="AN133" s="724"/>
      <c r="AO133" s="724"/>
      <c r="AP133" s="724"/>
      <c r="AQ133" s="724"/>
      <c r="AR133" s="724"/>
      <c r="AS133" s="724"/>
      <c r="AT133" s="724"/>
      <c r="AU133" s="724"/>
      <c r="AV133" s="724"/>
      <c r="AW133" s="724"/>
      <c r="AX133" s="724"/>
      <c r="AY133" s="724"/>
      <c r="AZ133" s="724"/>
      <c r="BA133" s="724"/>
      <c r="BB133" s="724"/>
      <c r="BC133" s="725">
        <f t="shared" si="10"/>
        <v>94200</v>
      </c>
      <c r="BD133" s="724">
        <f>+BC133-'BOULEVARD 5 orig.'!I138</f>
        <v>0</v>
      </c>
      <c r="BE133" s="724">
        <f t="shared" si="11"/>
        <v>94200</v>
      </c>
      <c r="BF133" s="726">
        <f>VLOOKUP(A133,'BOULEVARD 5 orig.'!B138:AS436,42,0)</f>
        <v>0</v>
      </c>
      <c r="BG133" s="727">
        <f t="shared" si="12"/>
        <v>20</v>
      </c>
      <c r="BH133" s="728">
        <f t="shared" si="9"/>
        <v>4710</v>
      </c>
    </row>
    <row r="134" spans="1:60" x14ac:dyDescent="0.2">
      <c r="A134" s="723">
        <v>806</v>
      </c>
      <c r="B134" s="723" t="str">
        <f>'BOULEVARD 5'!H139</f>
        <v>4.Plan de pagos</v>
      </c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4"/>
      <c r="P134" s="724"/>
      <c r="Q134" s="724"/>
      <c r="R134" s="724"/>
      <c r="S134" s="724"/>
      <c r="T134" s="724"/>
      <c r="U134" s="724">
        <v>10000</v>
      </c>
      <c r="V134" s="724">
        <v>6564</v>
      </c>
      <c r="W134" s="724">
        <v>6564</v>
      </c>
      <c r="X134" s="724">
        <v>6564</v>
      </c>
      <c r="Y134" s="724">
        <v>6564</v>
      </c>
      <c r="Z134" s="724">
        <v>6564</v>
      </c>
      <c r="AA134" s="724">
        <v>6564</v>
      </c>
      <c r="AB134" s="724">
        <v>6564</v>
      </c>
      <c r="AC134" s="724">
        <v>6564</v>
      </c>
      <c r="AD134" s="724">
        <v>6564</v>
      </c>
      <c r="AE134" s="724">
        <v>6564</v>
      </c>
      <c r="AF134" s="724">
        <v>6564</v>
      </c>
      <c r="AG134" s="724">
        <v>6564</v>
      </c>
      <c r="AH134" s="724">
        <v>6564</v>
      </c>
      <c r="AI134" s="724">
        <v>6564</v>
      </c>
      <c r="AJ134" s="724">
        <v>6569</v>
      </c>
      <c r="AK134" s="724"/>
      <c r="AL134" s="724"/>
      <c r="AM134" s="724"/>
      <c r="AN134" s="724"/>
      <c r="AO134" s="724"/>
      <c r="AP134" s="724"/>
      <c r="AQ134" s="724"/>
      <c r="AR134" s="724"/>
      <c r="AS134" s="724"/>
      <c r="AT134" s="724"/>
      <c r="AU134" s="724"/>
      <c r="AV134" s="724"/>
      <c r="AW134" s="724"/>
      <c r="AX134" s="724"/>
      <c r="AY134" s="724"/>
      <c r="AZ134" s="724"/>
      <c r="BA134" s="724"/>
      <c r="BB134" s="724"/>
      <c r="BC134" s="725">
        <f t="shared" si="10"/>
        <v>108465</v>
      </c>
      <c r="BD134" s="724">
        <f>+BC134-'BOULEVARD 5 orig.'!I139</f>
        <v>0</v>
      </c>
      <c r="BE134" s="724">
        <f t="shared" si="11"/>
        <v>108465</v>
      </c>
      <c r="BF134" s="726">
        <f>VLOOKUP(A134,'BOULEVARD 5 orig.'!B139:AS437,42,0)</f>
        <v>0</v>
      </c>
      <c r="BG134" s="727">
        <f t="shared" si="12"/>
        <v>16</v>
      </c>
      <c r="BH134" s="728">
        <f t="shared" si="9"/>
        <v>6779.0625</v>
      </c>
    </row>
    <row r="135" spans="1:60" x14ac:dyDescent="0.2">
      <c r="A135" s="723">
        <v>807</v>
      </c>
      <c r="B135" s="723" t="str">
        <f>'BOULEVARD 5'!H140</f>
        <v>4.Plan de pagos</v>
      </c>
      <c r="C135" s="724"/>
      <c r="D135" s="724"/>
      <c r="E135" s="724"/>
      <c r="F135" s="724"/>
      <c r="G135" s="724"/>
      <c r="H135" s="724"/>
      <c r="I135" s="724"/>
      <c r="J135" s="724"/>
      <c r="K135" s="724">
        <v>5500</v>
      </c>
      <c r="L135" s="724">
        <v>2500</v>
      </c>
      <c r="M135" s="724">
        <v>2500</v>
      </c>
      <c r="N135" s="724">
        <v>2500</v>
      </c>
      <c r="O135" s="724">
        <v>2500</v>
      </c>
      <c r="P135" s="724">
        <v>2500</v>
      </c>
      <c r="Q135" s="724">
        <v>2500</v>
      </c>
      <c r="R135" s="724">
        <v>2500</v>
      </c>
      <c r="S135" s="724">
        <v>12000</v>
      </c>
      <c r="T135" s="724">
        <v>2500</v>
      </c>
      <c r="U135" s="724">
        <v>2500</v>
      </c>
      <c r="V135" s="724">
        <v>2500</v>
      </c>
      <c r="W135" s="724">
        <v>2500</v>
      </c>
      <c r="X135" s="724">
        <v>12000</v>
      </c>
      <c r="Y135" s="724">
        <v>2500</v>
      </c>
      <c r="Z135" s="724">
        <v>2500</v>
      </c>
      <c r="AA135" s="724">
        <v>2500</v>
      </c>
      <c r="AB135" s="724">
        <v>2500</v>
      </c>
      <c r="AC135" s="724">
        <v>2500</v>
      </c>
      <c r="AD135" s="724">
        <v>2500</v>
      </c>
      <c r="AE135" s="724">
        <v>12000</v>
      </c>
      <c r="AF135" s="724">
        <v>3200</v>
      </c>
      <c r="AG135" s="724">
        <v>3000</v>
      </c>
      <c r="AH135" s="724"/>
      <c r="AI135" s="724"/>
      <c r="AJ135" s="724"/>
      <c r="AK135" s="724"/>
      <c r="AL135" s="724"/>
      <c r="AM135" s="724"/>
      <c r="AN135" s="724"/>
      <c r="AO135" s="724"/>
      <c r="AP135" s="724"/>
      <c r="AQ135" s="724"/>
      <c r="AR135" s="724"/>
      <c r="AS135" s="724"/>
      <c r="AT135" s="724"/>
      <c r="AU135" s="724"/>
      <c r="AV135" s="724"/>
      <c r="AW135" s="724"/>
      <c r="AX135" s="724"/>
      <c r="AY135" s="724"/>
      <c r="AZ135" s="724"/>
      <c r="BA135" s="724"/>
      <c r="BB135" s="724"/>
      <c r="BC135" s="725">
        <f t="shared" si="10"/>
        <v>90200</v>
      </c>
      <c r="BD135" s="724">
        <f>+BC135-'BOULEVARD 5 orig.'!I140</f>
        <v>0</v>
      </c>
      <c r="BE135" s="724">
        <f t="shared" si="11"/>
        <v>90200</v>
      </c>
      <c r="BF135" s="726">
        <f>VLOOKUP(A135,'BOULEVARD 5 orig.'!B140:AS438,42,0)</f>
        <v>0</v>
      </c>
      <c r="BG135" s="727">
        <f t="shared" si="12"/>
        <v>23</v>
      </c>
      <c r="BH135" s="728">
        <f t="shared" si="9"/>
        <v>3921.7391304347825</v>
      </c>
    </row>
    <row r="136" spans="1:60" x14ac:dyDescent="0.2">
      <c r="A136" s="723">
        <v>808</v>
      </c>
      <c r="B136" s="723" t="str">
        <f>'BOULEVARD 5'!H141</f>
        <v>4.Plan de pagos</v>
      </c>
      <c r="C136" s="724"/>
      <c r="D136" s="724"/>
      <c r="E136" s="724"/>
      <c r="F136" s="724"/>
      <c r="G136" s="724"/>
      <c r="H136" s="724"/>
      <c r="I136" s="724"/>
      <c r="J136" s="724"/>
      <c r="K136" s="724"/>
      <c r="L136" s="724"/>
      <c r="M136" s="724"/>
      <c r="N136" s="724"/>
      <c r="O136" s="724">
        <v>8000</v>
      </c>
      <c r="P136" s="724">
        <v>4489</v>
      </c>
      <c r="Q136" s="724">
        <v>4489</v>
      </c>
      <c r="R136" s="724">
        <v>4489</v>
      </c>
      <c r="S136" s="724">
        <v>4489</v>
      </c>
      <c r="T136" s="724">
        <v>4489</v>
      </c>
      <c r="U136" s="724">
        <v>4489</v>
      </c>
      <c r="V136" s="724">
        <v>4489</v>
      </c>
      <c r="W136" s="724">
        <v>4489</v>
      </c>
      <c r="X136" s="724">
        <v>4489</v>
      </c>
      <c r="Y136" s="724">
        <v>4489</v>
      </c>
      <c r="Z136" s="724">
        <v>4489</v>
      </c>
      <c r="AA136" s="724">
        <v>4489</v>
      </c>
      <c r="AB136" s="724">
        <v>4489</v>
      </c>
      <c r="AC136" s="724">
        <v>4489</v>
      </c>
      <c r="AD136" s="724">
        <v>4489</v>
      </c>
      <c r="AE136" s="724">
        <v>4489</v>
      </c>
      <c r="AF136" s="724">
        <v>4489</v>
      </c>
      <c r="AG136" s="724">
        <v>4487</v>
      </c>
      <c r="AH136" s="724"/>
      <c r="AI136" s="724"/>
      <c r="AJ136" s="724"/>
      <c r="AK136" s="724"/>
      <c r="AL136" s="724"/>
      <c r="AM136" s="724"/>
      <c r="AN136" s="724"/>
      <c r="AO136" s="724"/>
      <c r="AP136" s="724"/>
      <c r="AQ136" s="724"/>
      <c r="AR136" s="724"/>
      <c r="AS136" s="724"/>
      <c r="AT136" s="724"/>
      <c r="AU136" s="724"/>
      <c r="AV136" s="724"/>
      <c r="AW136" s="724"/>
      <c r="AX136" s="724"/>
      <c r="AY136" s="724"/>
      <c r="AZ136" s="724"/>
      <c r="BA136" s="724"/>
      <c r="BB136" s="724"/>
      <c r="BC136" s="725">
        <f t="shared" si="10"/>
        <v>88800</v>
      </c>
      <c r="BD136" s="724">
        <f>+BC136-'BOULEVARD 5 orig.'!I141</f>
        <v>0</v>
      </c>
      <c r="BE136" s="724">
        <f t="shared" si="11"/>
        <v>88800</v>
      </c>
      <c r="BF136" s="726">
        <f>VLOOKUP(A136,'BOULEVARD 5 orig.'!B141:AS439,42,0)</f>
        <v>0</v>
      </c>
      <c r="BG136" s="727">
        <f t="shared" si="12"/>
        <v>19</v>
      </c>
      <c r="BH136" s="728">
        <f t="shared" si="9"/>
        <v>4673.6842105263158</v>
      </c>
    </row>
    <row r="137" spans="1:60" x14ac:dyDescent="0.2">
      <c r="A137" s="723">
        <v>809</v>
      </c>
      <c r="B137" s="723" t="str">
        <f>'BOULEVARD 5'!H142</f>
        <v>4.Plan de pagos</v>
      </c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>
        <v>8000</v>
      </c>
      <c r="P137" s="724">
        <v>7283</v>
      </c>
      <c r="Q137" s="724">
        <v>7283</v>
      </c>
      <c r="R137" s="724">
        <v>7283</v>
      </c>
      <c r="S137" s="724">
        <v>7283</v>
      </c>
      <c r="T137" s="724">
        <v>7283</v>
      </c>
      <c r="U137" s="724">
        <v>7283</v>
      </c>
      <c r="V137" s="724">
        <v>7283</v>
      </c>
      <c r="W137" s="724">
        <v>7283</v>
      </c>
      <c r="X137" s="724">
        <v>7283</v>
      </c>
      <c r="Y137" s="724">
        <v>7283</v>
      </c>
      <c r="Z137" s="724">
        <v>7283</v>
      </c>
      <c r="AA137" s="724">
        <v>7283</v>
      </c>
      <c r="AB137" s="724">
        <v>7283</v>
      </c>
      <c r="AC137" s="724">
        <v>7283</v>
      </c>
      <c r="AD137" s="724">
        <v>7283</v>
      </c>
      <c r="AE137" s="724">
        <v>7283</v>
      </c>
      <c r="AF137" s="724">
        <v>7283</v>
      </c>
      <c r="AG137" s="724">
        <v>7289</v>
      </c>
      <c r="AH137" s="724"/>
      <c r="AI137" s="724"/>
      <c r="AJ137" s="724"/>
      <c r="AK137" s="724"/>
      <c r="AL137" s="724"/>
      <c r="AM137" s="724"/>
      <c r="AN137" s="724"/>
      <c r="AO137" s="724"/>
      <c r="AP137" s="724"/>
      <c r="AQ137" s="724"/>
      <c r="AR137" s="724"/>
      <c r="AS137" s="724"/>
      <c r="AT137" s="724"/>
      <c r="AU137" s="724"/>
      <c r="AV137" s="724"/>
      <c r="AW137" s="724"/>
      <c r="AX137" s="724"/>
      <c r="AY137" s="724"/>
      <c r="AZ137" s="724"/>
      <c r="BA137" s="724"/>
      <c r="BB137" s="724"/>
      <c r="BC137" s="725">
        <f t="shared" si="10"/>
        <v>139100</v>
      </c>
      <c r="BD137" s="724">
        <f>+BC137-'BOULEVARD 5 orig.'!I142</f>
        <v>0</v>
      </c>
      <c r="BE137" s="724">
        <f t="shared" si="11"/>
        <v>139100</v>
      </c>
      <c r="BF137" s="726">
        <f>VLOOKUP(A137,'BOULEVARD 5 orig.'!B142:AS440,42,0)</f>
        <v>0</v>
      </c>
      <c r="BG137" s="727">
        <f t="shared" si="12"/>
        <v>19</v>
      </c>
      <c r="BH137" s="728">
        <f t="shared" si="9"/>
        <v>7321.0526315789475</v>
      </c>
    </row>
    <row r="138" spans="1:60" x14ac:dyDescent="0.2">
      <c r="A138" s="723">
        <v>810</v>
      </c>
      <c r="B138" s="723" t="str">
        <f>'BOULEVARD 5'!H143</f>
        <v>4.Plan de pagos</v>
      </c>
      <c r="C138" s="724"/>
      <c r="D138" s="724"/>
      <c r="E138" s="724"/>
      <c r="F138" s="724">
        <v>6000</v>
      </c>
      <c r="G138" s="724">
        <v>1600</v>
      </c>
      <c r="H138" s="724">
        <v>1600</v>
      </c>
      <c r="I138" s="724">
        <v>1600</v>
      </c>
      <c r="J138" s="724">
        <v>1600</v>
      </c>
      <c r="K138" s="724">
        <v>1600</v>
      </c>
      <c r="L138" s="724">
        <v>6000</v>
      </c>
      <c r="M138" s="724">
        <v>1600</v>
      </c>
      <c r="N138" s="724">
        <v>1600</v>
      </c>
      <c r="O138" s="724">
        <v>1600</v>
      </c>
      <c r="P138" s="724">
        <v>1600</v>
      </c>
      <c r="Q138" s="724">
        <v>1600</v>
      </c>
      <c r="R138" s="724">
        <v>1600</v>
      </c>
      <c r="S138" s="724">
        <v>6000</v>
      </c>
      <c r="T138" s="724">
        <v>1600</v>
      </c>
      <c r="U138" s="724">
        <v>1600</v>
      </c>
      <c r="V138" s="724">
        <v>1600</v>
      </c>
      <c r="W138" s="724">
        <v>1600</v>
      </c>
      <c r="X138" s="724">
        <v>6000</v>
      </c>
      <c r="Y138" s="724">
        <v>1600</v>
      </c>
      <c r="Z138" s="724">
        <v>1600</v>
      </c>
      <c r="AA138" s="724">
        <v>1600</v>
      </c>
      <c r="AB138" s="724">
        <v>1600</v>
      </c>
      <c r="AC138" s="724">
        <v>1600</v>
      </c>
      <c r="AD138" s="724">
        <v>1600</v>
      </c>
      <c r="AE138" s="724">
        <v>6000</v>
      </c>
      <c r="AF138" s="724">
        <v>1600</v>
      </c>
      <c r="AG138" s="724">
        <v>4800</v>
      </c>
      <c r="AH138" s="724"/>
      <c r="AI138" s="724"/>
      <c r="AJ138" s="724"/>
      <c r="AK138" s="724"/>
      <c r="AL138" s="724"/>
      <c r="AM138" s="724"/>
      <c r="AN138" s="724"/>
      <c r="AO138" s="724"/>
      <c r="AP138" s="724"/>
      <c r="AQ138" s="724"/>
      <c r="AR138" s="724"/>
      <c r="AS138" s="724"/>
      <c r="AT138" s="724"/>
      <c r="AU138" s="724"/>
      <c r="AV138" s="724"/>
      <c r="AW138" s="724"/>
      <c r="AX138" s="724"/>
      <c r="AY138" s="724"/>
      <c r="AZ138" s="724"/>
      <c r="BA138" s="724"/>
      <c r="BB138" s="724"/>
      <c r="BC138" s="725">
        <f t="shared" si="10"/>
        <v>70000</v>
      </c>
      <c r="BD138" s="724">
        <f>+BC138-'BOULEVARD 5 orig.'!I143</f>
        <v>0</v>
      </c>
      <c r="BE138" s="724">
        <f t="shared" si="11"/>
        <v>70000</v>
      </c>
      <c r="BF138" s="726">
        <f>VLOOKUP(A138,'BOULEVARD 5 orig.'!B143:AS441,42,0)</f>
        <v>0</v>
      </c>
      <c r="BG138" s="727">
        <f t="shared" si="12"/>
        <v>28</v>
      </c>
      <c r="BH138" s="728">
        <f t="shared" si="9"/>
        <v>2500</v>
      </c>
    </row>
    <row r="139" spans="1:60" x14ac:dyDescent="0.2">
      <c r="A139" s="723">
        <v>811</v>
      </c>
      <c r="B139" s="723" t="str">
        <f>'BOULEVARD 5'!H144</f>
        <v>4.Plan de pagos</v>
      </c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4"/>
      <c r="P139" s="724"/>
      <c r="Q139" s="724"/>
      <c r="R139" s="724"/>
      <c r="S139" s="724">
        <v>10000</v>
      </c>
      <c r="T139" s="724">
        <v>854446.02</v>
      </c>
      <c r="U139" s="724"/>
      <c r="V139" s="724"/>
      <c r="W139" s="724"/>
      <c r="X139" s="724"/>
      <c r="Y139" s="724"/>
      <c r="Z139" s="724"/>
      <c r="AA139" s="724"/>
      <c r="AB139" s="724"/>
      <c r="AC139" s="724"/>
      <c r="AD139" s="724"/>
      <c r="AE139" s="724"/>
      <c r="AF139" s="724"/>
      <c r="AG139" s="724"/>
      <c r="AH139" s="724"/>
      <c r="AI139" s="724"/>
      <c r="AJ139" s="724"/>
      <c r="AK139" s="724"/>
      <c r="AL139" s="724"/>
      <c r="AM139" s="724"/>
      <c r="AN139" s="724"/>
      <c r="AO139" s="724"/>
      <c r="AP139" s="724"/>
      <c r="AQ139" s="724"/>
      <c r="AR139" s="724"/>
      <c r="AS139" s="724"/>
      <c r="AT139" s="724"/>
      <c r="AU139" s="724"/>
      <c r="AV139" s="724"/>
      <c r="AW139" s="724"/>
      <c r="AX139" s="724"/>
      <c r="AY139" s="724"/>
      <c r="AZ139" s="724"/>
      <c r="BA139" s="724"/>
      <c r="BB139" s="724"/>
      <c r="BC139" s="725">
        <f t="shared" si="10"/>
        <v>864446.02</v>
      </c>
      <c r="BD139" s="724">
        <f>+BC139-'BOULEVARD 5 orig.'!I144</f>
        <v>0</v>
      </c>
      <c r="BE139" s="724">
        <f t="shared" si="11"/>
        <v>864446.02</v>
      </c>
      <c r="BF139" s="726">
        <f>VLOOKUP(A139,'BOULEVARD 5 orig.'!B144:AS442,42,0)</f>
        <v>0</v>
      </c>
      <c r="BG139" s="727">
        <f t="shared" si="12"/>
        <v>2</v>
      </c>
      <c r="BH139" s="728">
        <f t="shared" si="9"/>
        <v>432223.01</v>
      </c>
    </row>
    <row r="140" spans="1:60" x14ac:dyDescent="0.2">
      <c r="A140" s="723">
        <v>812</v>
      </c>
      <c r="B140" s="723" t="str">
        <f>'BOULEVARD 5'!H145</f>
        <v>4.Plan de pagos</v>
      </c>
      <c r="C140" s="724"/>
      <c r="D140" s="724"/>
      <c r="E140" s="724"/>
      <c r="F140" s="724"/>
      <c r="G140" s="724"/>
      <c r="H140" s="724"/>
      <c r="I140" s="724"/>
      <c r="J140" s="724"/>
      <c r="K140" s="724"/>
      <c r="L140" s="724"/>
      <c r="M140" s="724"/>
      <c r="N140" s="724"/>
      <c r="O140" s="724"/>
      <c r="P140" s="724"/>
      <c r="Q140" s="724"/>
      <c r="R140" s="724"/>
      <c r="S140" s="724"/>
      <c r="T140" s="724">
        <v>10000</v>
      </c>
      <c r="U140" s="724">
        <v>84167.1</v>
      </c>
      <c r="V140" s="724"/>
      <c r="W140" s="724"/>
      <c r="X140" s="724"/>
      <c r="Y140" s="724"/>
      <c r="Z140" s="724"/>
      <c r="AA140" s="724"/>
      <c r="AB140" s="724"/>
      <c r="AC140" s="724"/>
      <c r="AD140" s="724"/>
      <c r="AE140" s="724"/>
      <c r="AF140" s="724"/>
      <c r="AG140" s="724"/>
      <c r="AH140" s="724"/>
      <c r="AI140" s="724"/>
      <c r="AJ140" s="724"/>
      <c r="AK140" s="724"/>
      <c r="AL140" s="724"/>
      <c r="AM140" s="724"/>
      <c r="AN140" s="724"/>
      <c r="AO140" s="724"/>
      <c r="AP140" s="724"/>
      <c r="AQ140" s="724"/>
      <c r="AR140" s="724"/>
      <c r="AS140" s="724"/>
      <c r="AT140" s="724"/>
      <c r="AU140" s="724"/>
      <c r="AV140" s="724"/>
      <c r="AW140" s="724"/>
      <c r="AX140" s="724"/>
      <c r="AY140" s="724"/>
      <c r="AZ140" s="724"/>
      <c r="BA140" s="724"/>
      <c r="BB140" s="724"/>
      <c r="BC140" s="725">
        <f t="shared" si="10"/>
        <v>94167.1</v>
      </c>
      <c r="BD140" s="724">
        <f>+BC140-'BOULEVARD 5 orig.'!I145</f>
        <v>0</v>
      </c>
      <c r="BE140" s="724">
        <f t="shared" si="11"/>
        <v>94167.1</v>
      </c>
      <c r="BF140" s="726">
        <f>VLOOKUP(A140,'BOULEVARD 5 orig.'!B145:AS443,42,0)</f>
        <v>0</v>
      </c>
      <c r="BG140" s="727">
        <f t="shared" si="12"/>
        <v>2</v>
      </c>
      <c r="BH140" s="728">
        <f t="shared" si="9"/>
        <v>47083.55</v>
      </c>
    </row>
    <row r="141" spans="1:60" x14ac:dyDescent="0.2">
      <c r="A141" s="723">
        <v>813</v>
      </c>
      <c r="B141" s="723" t="str">
        <f>'BOULEVARD 5'!H146</f>
        <v>4.Plan de pagos</v>
      </c>
      <c r="C141" s="724"/>
      <c r="D141" s="724"/>
      <c r="E141" s="724"/>
      <c r="F141" s="724"/>
      <c r="G141" s="724"/>
      <c r="H141" s="724"/>
      <c r="I141" s="724"/>
      <c r="J141" s="724"/>
      <c r="K141" s="724"/>
      <c r="L141" s="724"/>
      <c r="M141" s="724"/>
      <c r="N141" s="724"/>
      <c r="O141" s="724"/>
      <c r="P141" s="724"/>
      <c r="Q141" s="724">
        <v>8000</v>
      </c>
      <c r="R141" s="724">
        <v>4082</v>
      </c>
      <c r="S141" s="724">
        <v>4082</v>
      </c>
      <c r="T141" s="724">
        <v>4082</v>
      </c>
      <c r="U141" s="724">
        <v>4082</v>
      </c>
      <c r="V141" s="724">
        <v>4082</v>
      </c>
      <c r="W141" s="724"/>
      <c r="X141" s="724"/>
      <c r="Y141" s="724">
        <v>8164</v>
      </c>
      <c r="Z141" s="724">
        <v>8164</v>
      </c>
      <c r="AA141" s="724">
        <v>8164</v>
      </c>
      <c r="AB141" s="724">
        <v>8164</v>
      </c>
      <c r="AC141" s="724">
        <v>8164</v>
      </c>
      <c r="AD141" s="724">
        <v>8164</v>
      </c>
      <c r="AE141" s="724">
        <v>8164</v>
      </c>
      <c r="AF141" s="724">
        <v>4082</v>
      </c>
      <c r="AG141" s="724"/>
      <c r="AH141" s="724"/>
      <c r="AI141" s="724"/>
      <c r="AJ141" s="724"/>
      <c r="AK141" s="724"/>
      <c r="AL141" s="724"/>
      <c r="AM141" s="724"/>
      <c r="AN141" s="724"/>
      <c r="AO141" s="724"/>
      <c r="AP141" s="724"/>
      <c r="AQ141" s="724"/>
      <c r="AR141" s="724"/>
      <c r="AS141" s="724"/>
      <c r="AT141" s="724"/>
      <c r="AU141" s="724"/>
      <c r="AV141" s="724"/>
      <c r="AW141" s="724"/>
      <c r="AX141" s="724"/>
      <c r="AY141" s="724"/>
      <c r="AZ141" s="724"/>
      <c r="BA141" s="724"/>
      <c r="BB141" s="724"/>
      <c r="BC141" s="725">
        <f t="shared" si="10"/>
        <v>89640</v>
      </c>
      <c r="BD141" s="724">
        <f>+BC141-'BOULEVARD 5 orig.'!I146</f>
        <v>7.1499999999941792</v>
      </c>
      <c r="BE141" s="724">
        <f t="shared" si="11"/>
        <v>89640</v>
      </c>
      <c r="BF141" s="726">
        <f>VLOOKUP(A141,'BOULEVARD 5 orig.'!B146:AS444,42,0)</f>
        <v>0</v>
      </c>
      <c r="BG141" s="727">
        <f t="shared" si="12"/>
        <v>14</v>
      </c>
      <c r="BH141" s="728">
        <f t="shared" si="9"/>
        <v>6402.8571428571431</v>
      </c>
    </row>
    <row r="142" spans="1:60" x14ac:dyDescent="0.2">
      <c r="A142" s="723">
        <v>814</v>
      </c>
      <c r="B142" s="723" t="str">
        <f>'BOULEVARD 5'!H147</f>
        <v>4.Plan de pagos</v>
      </c>
      <c r="C142" s="724"/>
      <c r="D142" s="724"/>
      <c r="E142" s="724"/>
      <c r="F142" s="724"/>
      <c r="G142" s="724"/>
      <c r="H142" s="724"/>
      <c r="I142" s="724"/>
      <c r="J142" s="724"/>
      <c r="K142" s="724">
        <v>5500</v>
      </c>
      <c r="L142" s="724">
        <v>3768</v>
      </c>
      <c r="M142" s="724">
        <v>3768</v>
      </c>
      <c r="N142" s="724">
        <v>3768</v>
      </c>
      <c r="O142" s="724">
        <v>3768</v>
      </c>
      <c r="P142" s="724">
        <v>3768</v>
      </c>
      <c r="Q142" s="724">
        <v>3768</v>
      </c>
      <c r="R142" s="724">
        <v>3768</v>
      </c>
      <c r="S142" s="724">
        <v>3768</v>
      </c>
      <c r="T142" s="724">
        <v>3768</v>
      </c>
      <c r="U142" s="724">
        <v>3768</v>
      </c>
      <c r="V142" s="724">
        <v>3768</v>
      </c>
      <c r="W142" s="724">
        <v>3768</v>
      </c>
      <c r="X142" s="724">
        <v>3768</v>
      </c>
      <c r="Y142" s="724">
        <v>3768</v>
      </c>
      <c r="Z142" s="724">
        <v>3768</v>
      </c>
      <c r="AA142" s="724">
        <v>3768</v>
      </c>
      <c r="AB142" s="724">
        <v>3768</v>
      </c>
      <c r="AC142" s="724">
        <v>3768</v>
      </c>
      <c r="AD142" s="724">
        <v>3768</v>
      </c>
      <c r="AE142" s="724">
        <v>3768</v>
      </c>
      <c r="AF142" s="724">
        <v>3768</v>
      </c>
      <c r="AG142" s="724">
        <v>3772</v>
      </c>
      <c r="AH142" s="724"/>
      <c r="AI142" s="724"/>
      <c r="AJ142" s="724"/>
      <c r="AK142" s="724"/>
      <c r="AL142" s="724"/>
      <c r="AM142" s="724"/>
      <c r="AN142" s="724"/>
      <c r="AO142" s="724"/>
      <c r="AP142" s="724"/>
      <c r="AQ142" s="724"/>
      <c r="AR142" s="724"/>
      <c r="AS142" s="724"/>
      <c r="AT142" s="724"/>
      <c r="AU142" s="724"/>
      <c r="AV142" s="724"/>
      <c r="AW142" s="724"/>
      <c r="AX142" s="724"/>
      <c r="AY142" s="724"/>
      <c r="AZ142" s="724"/>
      <c r="BA142" s="724"/>
      <c r="BB142" s="724"/>
      <c r="BC142" s="725">
        <f t="shared" si="10"/>
        <v>88400</v>
      </c>
      <c r="BD142" s="724">
        <f>+BC142-'BOULEVARD 5 orig.'!I147</f>
        <v>0</v>
      </c>
      <c r="BE142" s="724">
        <f t="shared" si="11"/>
        <v>88400</v>
      </c>
      <c r="BF142" s="726">
        <f>VLOOKUP(A142,'BOULEVARD 5 orig.'!B147:AS445,42,0)</f>
        <v>0</v>
      </c>
      <c r="BG142" s="727">
        <f t="shared" si="12"/>
        <v>23</v>
      </c>
      <c r="BH142" s="728">
        <f t="shared" si="9"/>
        <v>3843.478260869565</v>
      </c>
    </row>
    <row r="143" spans="1:60" x14ac:dyDescent="0.2">
      <c r="A143" s="723">
        <v>815</v>
      </c>
      <c r="B143" s="723" t="str">
        <f>'BOULEVARD 5'!H148</f>
        <v>4.Plan de pagos</v>
      </c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>
        <v>8000</v>
      </c>
      <c r="O143" s="724">
        <v>7284</v>
      </c>
      <c r="P143" s="724">
        <v>7284</v>
      </c>
      <c r="Q143" s="724">
        <v>7284</v>
      </c>
      <c r="R143" s="724">
        <v>7284</v>
      </c>
      <c r="S143" s="724">
        <v>7284</v>
      </c>
      <c r="T143" s="724">
        <v>7284</v>
      </c>
      <c r="U143" s="724">
        <v>7284</v>
      </c>
      <c r="V143" s="724">
        <v>7284</v>
      </c>
      <c r="W143" s="724">
        <v>7284</v>
      </c>
      <c r="X143" s="724">
        <v>7284</v>
      </c>
      <c r="Y143" s="724">
        <v>7284</v>
      </c>
      <c r="Z143" s="724">
        <v>7284</v>
      </c>
      <c r="AA143" s="724">
        <v>7284</v>
      </c>
      <c r="AB143" s="724">
        <v>7284</v>
      </c>
      <c r="AC143" s="724">
        <v>7284</v>
      </c>
      <c r="AD143" s="724">
        <v>7284</v>
      </c>
      <c r="AE143" s="724">
        <v>7284</v>
      </c>
      <c r="AF143" s="724">
        <v>7284</v>
      </c>
      <c r="AG143" s="724">
        <v>7288</v>
      </c>
      <c r="AH143" s="724"/>
      <c r="AI143" s="724"/>
      <c r="AJ143" s="724"/>
      <c r="AK143" s="724"/>
      <c r="AL143" s="724"/>
      <c r="AM143" s="724"/>
      <c r="AN143" s="724"/>
      <c r="AO143" s="724"/>
      <c r="AP143" s="724"/>
      <c r="AQ143" s="724"/>
      <c r="AR143" s="724"/>
      <c r="AS143" s="724"/>
      <c r="AT143" s="724"/>
      <c r="AU143" s="724"/>
      <c r="AV143" s="724"/>
      <c r="AW143" s="724"/>
      <c r="AX143" s="724"/>
      <c r="AY143" s="724"/>
      <c r="AZ143" s="724"/>
      <c r="BA143" s="724"/>
      <c r="BB143" s="724"/>
      <c r="BC143" s="725">
        <f t="shared" si="10"/>
        <v>146400</v>
      </c>
      <c r="BD143" s="724">
        <f>+BC143-'BOULEVARD 5 orig.'!I148</f>
        <v>0</v>
      </c>
      <c r="BE143" s="724">
        <f t="shared" si="11"/>
        <v>146400</v>
      </c>
      <c r="BF143" s="726">
        <f>VLOOKUP(A143,'BOULEVARD 5 orig.'!B148:AS446,42,0)</f>
        <v>0</v>
      </c>
      <c r="BG143" s="727">
        <f t="shared" si="12"/>
        <v>20</v>
      </c>
      <c r="BH143" s="728">
        <f t="shared" si="9"/>
        <v>7320</v>
      </c>
    </row>
    <row r="144" spans="1:60" x14ac:dyDescent="0.2">
      <c r="A144" s="723">
        <v>816</v>
      </c>
      <c r="B144" s="723" t="str">
        <f>'BOULEVARD 5'!H149</f>
        <v>4.Plan de pagos</v>
      </c>
      <c r="C144" s="724">
        <v>6000</v>
      </c>
      <c r="D144" s="724">
        <v>1700</v>
      </c>
      <c r="E144" s="724">
        <v>1700</v>
      </c>
      <c r="F144" s="724">
        <v>1700</v>
      </c>
      <c r="G144" s="724">
        <v>1700</v>
      </c>
      <c r="H144" s="724">
        <v>1700</v>
      </c>
      <c r="I144" s="724">
        <v>1700</v>
      </c>
      <c r="J144" s="724">
        <v>1700</v>
      </c>
      <c r="K144" s="724">
        <v>1700</v>
      </c>
      <c r="L144" s="724">
        <v>1700</v>
      </c>
      <c r="M144" s="724">
        <v>1700</v>
      </c>
      <c r="N144" s="724">
        <v>1700</v>
      </c>
      <c r="O144" s="724">
        <v>1700</v>
      </c>
      <c r="P144" s="724">
        <v>1700</v>
      </c>
      <c r="Q144" s="724">
        <v>1700</v>
      </c>
      <c r="R144" s="724">
        <v>1700</v>
      </c>
      <c r="S144" s="724">
        <v>1700</v>
      </c>
      <c r="T144" s="724">
        <v>1700</v>
      </c>
      <c r="U144" s="724">
        <v>1700</v>
      </c>
      <c r="V144" s="724">
        <v>1700</v>
      </c>
      <c r="W144" s="724">
        <v>1700</v>
      </c>
      <c r="X144" s="724">
        <v>1700</v>
      </c>
      <c r="Y144" s="724">
        <v>1700</v>
      </c>
      <c r="Z144" s="724">
        <v>1700</v>
      </c>
      <c r="AA144" s="724">
        <v>1700</v>
      </c>
      <c r="AB144" s="724">
        <v>1700</v>
      </c>
      <c r="AC144" s="724">
        <v>1700</v>
      </c>
      <c r="AD144" s="724">
        <v>1700</v>
      </c>
      <c r="AE144" s="724">
        <v>1700</v>
      </c>
      <c r="AF144" s="724">
        <v>1700</v>
      </c>
      <c r="AG144" s="724">
        <v>1700</v>
      </c>
      <c r="AH144" s="724">
        <v>1700</v>
      </c>
      <c r="AI144" s="724">
        <v>1700</v>
      </c>
      <c r="AJ144" s="724">
        <v>1700</v>
      </c>
      <c r="AK144" s="724">
        <v>1700</v>
      </c>
      <c r="AL144" s="724">
        <v>1400</v>
      </c>
      <c r="AM144" s="724"/>
      <c r="AN144" s="724"/>
      <c r="AO144" s="724"/>
      <c r="AP144" s="724"/>
      <c r="AQ144" s="724"/>
      <c r="AR144" s="724"/>
      <c r="AS144" s="724"/>
      <c r="AT144" s="724"/>
      <c r="AU144" s="724"/>
      <c r="AV144" s="724"/>
      <c r="AW144" s="724"/>
      <c r="AX144" s="724"/>
      <c r="AY144" s="724"/>
      <c r="AZ144" s="724"/>
      <c r="BA144" s="724"/>
      <c r="BB144" s="724"/>
      <c r="BC144" s="725">
        <f t="shared" si="10"/>
        <v>65200</v>
      </c>
      <c r="BD144" s="724">
        <f>+BC144-'BOULEVARD 5 orig.'!I149</f>
        <v>0</v>
      </c>
      <c r="BE144" s="724">
        <f t="shared" si="11"/>
        <v>65200</v>
      </c>
      <c r="BF144" s="726">
        <f>VLOOKUP(A144,'BOULEVARD 5 orig.'!B149:AS447,42,0)</f>
        <v>0</v>
      </c>
      <c r="BG144" s="727">
        <f t="shared" si="12"/>
        <v>36</v>
      </c>
      <c r="BH144" s="728">
        <f t="shared" si="9"/>
        <v>1811.1111111111111</v>
      </c>
    </row>
    <row r="145" spans="1:60" x14ac:dyDescent="0.2">
      <c r="A145" s="723">
        <v>817</v>
      </c>
      <c r="B145" s="723" t="str">
        <f>'BOULEVARD 5'!H150</f>
        <v>4.Plan de pagos</v>
      </c>
      <c r="C145" s="724"/>
      <c r="D145" s="724">
        <v>6000</v>
      </c>
      <c r="E145" s="724">
        <v>1500</v>
      </c>
      <c r="F145" s="724">
        <v>1500</v>
      </c>
      <c r="G145" s="724">
        <v>1500</v>
      </c>
      <c r="H145" s="724">
        <v>1500</v>
      </c>
      <c r="I145" s="724">
        <v>1500</v>
      </c>
      <c r="J145" s="724">
        <v>1500</v>
      </c>
      <c r="K145" s="724">
        <v>1500</v>
      </c>
      <c r="L145" s="724">
        <v>1500</v>
      </c>
      <c r="M145" s="724">
        <v>1500</v>
      </c>
      <c r="N145" s="724">
        <v>1500</v>
      </c>
      <c r="O145" s="724">
        <v>1500</v>
      </c>
      <c r="P145" s="724">
        <v>1500</v>
      </c>
      <c r="Q145" s="724">
        <v>1500</v>
      </c>
      <c r="R145" s="724">
        <v>1500</v>
      </c>
      <c r="S145" s="724">
        <v>1500</v>
      </c>
      <c r="T145" s="724">
        <v>1500</v>
      </c>
      <c r="U145" s="724">
        <v>1500</v>
      </c>
      <c r="V145" s="724">
        <v>1500</v>
      </c>
      <c r="W145" s="724">
        <v>1500</v>
      </c>
      <c r="X145" s="724">
        <v>1500</v>
      </c>
      <c r="Y145" s="724">
        <v>1500</v>
      </c>
      <c r="Z145" s="724">
        <v>1500</v>
      </c>
      <c r="AA145" s="724">
        <v>1500</v>
      </c>
      <c r="AB145" s="724">
        <v>1500</v>
      </c>
      <c r="AC145" s="724">
        <v>1500</v>
      </c>
      <c r="AD145" s="724">
        <v>1500</v>
      </c>
      <c r="AE145" s="724">
        <v>1500</v>
      </c>
      <c r="AF145" s="724">
        <v>1500</v>
      </c>
      <c r="AG145" s="724">
        <v>1500</v>
      </c>
      <c r="AH145" s="724">
        <v>1500</v>
      </c>
      <c r="AI145" s="724">
        <v>1500</v>
      </c>
      <c r="AJ145" s="724">
        <v>1500</v>
      </c>
      <c r="AK145" s="724">
        <v>1500</v>
      </c>
      <c r="AL145" s="724">
        <v>10232.299999999999</v>
      </c>
      <c r="AM145" s="724"/>
      <c r="AN145" s="724"/>
      <c r="AO145" s="724"/>
      <c r="AP145" s="724"/>
      <c r="AQ145" s="724"/>
      <c r="AR145" s="724"/>
      <c r="AS145" s="724"/>
      <c r="AT145" s="724"/>
      <c r="AU145" s="724"/>
      <c r="AV145" s="724"/>
      <c r="AW145" s="724"/>
      <c r="AX145" s="724"/>
      <c r="AY145" s="724"/>
      <c r="AZ145" s="724"/>
      <c r="BA145" s="724"/>
      <c r="BB145" s="724"/>
      <c r="BC145" s="725">
        <f t="shared" si="10"/>
        <v>65732.3</v>
      </c>
      <c r="BD145" s="724">
        <f>+BC145-'BOULEVARD 5 orig.'!I150</f>
        <v>0</v>
      </c>
      <c r="BE145" s="724">
        <f t="shared" si="11"/>
        <v>65732.3</v>
      </c>
      <c r="BF145" s="726">
        <f>VLOOKUP(A145,'BOULEVARD 5 orig.'!B150:AS448,42,0)</f>
        <v>0</v>
      </c>
      <c r="BG145" s="727">
        <f t="shared" si="12"/>
        <v>35</v>
      </c>
      <c r="BH145" s="728">
        <f t="shared" si="9"/>
        <v>1878.0657142857144</v>
      </c>
    </row>
    <row r="146" spans="1:60" x14ac:dyDescent="0.2">
      <c r="A146" s="723">
        <v>818</v>
      </c>
      <c r="B146" s="723" t="str">
        <f>'BOULEVARD 5'!H151</f>
        <v>4.Plan de pagos</v>
      </c>
      <c r="C146" s="724"/>
      <c r="D146" s="724"/>
      <c r="E146" s="724"/>
      <c r="F146" s="724"/>
      <c r="G146" s="724">
        <v>6000</v>
      </c>
      <c r="H146" s="724">
        <v>2477</v>
      </c>
      <c r="I146" s="724">
        <v>2477</v>
      </c>
      <c r="J146" s="724">
        <v>2477</v>
      </c>
      <c r="K146" s="724">
        <v>2477</v>
      </c>
      <c r="L146" s="724">
        <v>2477</v>
      </c>
      <c r="M146" s="724">
        <v>2477</v>
      </c>
      <c r="N146" s="724">
        <v>2477</v>
      </c>
      <c r="O146" s="724">
        <v>2477</v>
      </c>
      <c r="P146" s="724">
        <v>2477</v>
      </c>
      <c r="Q146" s="724">
        <v>2477</v>
      </c>
      <c r="R146" s="724">
        <v>2477</v>
      </c>
      <c r="S146" s="724">
        <v>2477</v>
      </c>
      <c r="T146" s="724">
        <v>2477</v>
      </c>
      <c r="U146" s="724">
        <v>2477</v>
      </c>
      <c r="V146" s="724">
        <v>2477</v>
      </c>
      <c r="W146" s="724">
        <v>2477</v>
      </c>
      <c r="X146" s="724">
        <v>2477</v>
      </c>
      <c r="Y146" s="724">
        <v>2477</v>
      </c>
      <c r="Z146" s="724">
        <v>2477</v>
      </c>
      <c r="AA146" s="724">
        <v>2477</v>
      </c>
      <c r="AB146" s="724">
        <v>2477</v>
      </c>
      <c r="AC146" s="724">
        <v>2477</v>
      </c>
      <c r="AD146" s="724">
        <v>2477</v>
      </c>
      <c r="AE146" s="724">
        <v>2477</v>
      </c>
      <c r="AF146" s="724">
        <v>2477</v>
      </c>
      <c r="AG146" s="724">
        <v>2475</v>
      </c>
      <c r="AH146" s="724"/>
      <c r="AI146" s="724"/>
      <c r="AJ146" s="724"/>
      <c r="AK146" s="724"/>
      <c r="AL146" s="724"/>
      <c r="AM146" s="724"/>
      <c r="AN146" s="724"/>
      <c r="AO146" s="724"/>
      <c r="AP146" s="724"/>
      <c r="AQ146" s="724"/>
      <c r="AR146" s="724"/>
      <c r="AS146" s="724"/>
      <c r="AT146" s="724"/>
      <c r="AU146" s="724"/>
      <c r="AV146" s="724"/>
      <c r="AW146" s="724"/>
      <c r="AX146" s="724"/>
      <c r="AY146" s="724"/>
      <c r="AZ146" s="724"/>
      <c r="BA146" s="724"/>
      <c r="BB146" s="724"/>
      <c r="BC146" s="725">
        <f t="shared" si="10"/>
        <v>70400</v>
      </c>
      <c r="BD146" s="724">
        <f>+BC146-'BOULEVARD 5 orig.'!I151</f>
        <v>0</v>
      </c>
      <c r="BE146" s="724">
        <f t="shared" si="11"/>
        <v>70400</v>
      </c>
      <c r="BF146" s="726">
        <f>VLOOKUP(A146,'BOULEVARD 5 orig.'!B151:AS449,42,0)</f>
        <v>0</v>
      </c>
      <c r="BG146" s="727">
        <f t="shared" si="12"/>
        <v>27</v>
      </c>
      <c r="BH146" s="728">
        <f t="shared" si="9"/>
        <v>2607.4074074074074</v>
      </c>
    </row>
    <row r="147" spans="1:60" x14ac:dyDescent="0.2">
      <c r="A147" s="723">
        <v>819</v>
      </c>
      <c r="B147" s="723" t="str">
        <f>'BOULEVARD 5'!H152</f>
        <v>4.Plan de pagos</v>
      </c>
      <c r="C147" s="724"/>
      <c r="D147" s="724"/>
      <c r="E147" s="724">
        <v>6000</v>
      </c>
      <c r="F147" s="724">
        <v>3200</v>
      </c>
      <c r="G147" s="724">
        <v>3200</v>
      </c>
      <c r="H147" s="724">
        <v>3200</v>
      </c>
      <c r="I147" s="724">
        <v>3200</v>
      </c>
      <c r="J147" s="724">
        <v>3200</v>
      </c>
      <c r="K147" s="724">
        <v>3200</v>
      </c>
      <c r="L147" s="724">
        <v>3200</v>
      </c>
      <c r="M147" s="724">
        <v>3200</v>
      </c>
      <c r="N147" s="724">
        <v>3200</v>
      </c>
      <c r="O147" s="724">
        <v>3200</v>
      </c>
      <c r="P147" s="724">
        <v>3200</v>
      </c>
      <c r="Q147" s="724">
        <v>3200</v>
      </c>
      <c r="R147" s="724">
        <v>3200</v>
      </c>
      <c r="S147" s="724">
        <v>3200</v>
      </c>
      <c r="T147" s="724">
        <v>3200</v>
      </c>
      <c r="U147" s="724">
        <v>3200</v>
      </c>
      <c r="V147" s="724">
        <v>3200</v>
      </c>
      <c r="W147" s="724">
        <v>3200</v>
      </c>
      <c r="X147" s="724">
        <v>3200</v>
      </c>
      <c r="Y147" s="724">
        <v>3200</v>
      </c>
      <c r="Z147" s="724">
        <v>3200</v>
      </c>
      <c r="AA147" s="724">
        <v>3200</v>
      </c>
      <c r="AB147" s="724">
        <v>3200</v>
      </c>
      <c r="AC147" s="724">
        <v>3200</v>
      </c>
      <c r="AD147" s="724">
        <v>3200</v>
      </c>
      <c r="AE147" s="724">
        <v>3200</v>
      </c>
      <c r="AF147" s="724">
        <v>3200</v>
      </c>
      <c r="AG147" s="724">
        <v>4400</v>
      </c>
      <c r="AH147" s="724"/>
      <c r="AI147" s="724"/>
      <c r="AJ147" s="724"/>
      <c r="AK147" s="724"/>
      <c r="AL147" s="724"/>
      <c r="AM147" s="724"/>
      <c r="AN147" s="724"/>
      <c r="AO147" s="724"/>
      <c r="AP147" s="724"/>
      <c r="AQ147" s="724"/>
      <c r="AR147" s="724"/>
      <c r="AS147" s="724"/>
      <c r="AT147" s="724"/>
      <c r="AU147" s="724"/>
      <c r="AV147" s="724"/>
      <c r="AW147" s="724"/>
      <c r="AX147" s="724"/>
      <c r="AY147" s="724"/>
      <c r="AZ147" s="724"/>
      <c r="BA147" s="724"/>
      <c r="BB147" s="724"/>
      <c r="BC147" s="725">
        <f t="shared" si="10"/>
        <v>96800</v>
      </c>
      <c r="BD147" s="724">
        <f>+BC147-'BOULEVARD 5 orig.'!I152</f>
        <v>0</v>
      </c>
      <c r="BE147" s="724">
        <f t="shared" si="11"/>
        <v>96800</v>
      </c>
      <c r="BF147" s="726">
        <f>VLOOKUP(A147,'BOULEVARD 5 orig.'!B152:AS450,42,0)</f>
        <v>0</v>
      </c>
      <c r="BG147" s="727">
        <f t="shared" si="12"/>
        <v>29</v>
      </c>
      <c r="BH147" s="728">
        <f t="shared" si="9"/>
        <v>3337.9310344827586</v>
      </c>
    </row>
    <row r="148" spans="1:60" x14ac:dyDescent="0.2">
      <c r="A148" s="723">
        <v>820</v>
      </c>
      <c r="B148" s="723" t="str">
        <f>'BOULEVARD 5'!H153</f>
        <v>4.Plan de pagos</v>
      </c>
      <c r="C148" s="724"/>
      <c r="D148" s="724"/>
      <c r="E148" s="724"/>
      <c r="F148" s="724"/>
      <c r="G148" s="724"/>
      <c r="H148" s="724"/>
      <c r="I148" s="724"/>
      <c r="J148" s="724"/>
      <c r="K148" s="724"/>
      <c r="L148" s="724"/>
      <c r="M148" s="724">
        <v>8000</v>
      </c>
      <c r="N148" s="724">
        <v>4557</v>
      </c>
      <c r="O148" s="724">
        <v>4557</v>
      </c>
      <c r="P148" s="724">
        <v>4557</v>
      </c>
      <c r="Q148" s="724">
        <v>4557</v>
      </c>
      <c r="R148" s="724">
        <v>4557</v>
      </c>
      <c r="S148" s="724">
        <v>4557</v>
      </c>
      <c r="T148" s="724">
        <v>4557</v>
      </c>
      <c r="U148" s="724">
        <v>4557</v>
      </c>
      <c r="V148" s="724">
        <v>4557</v>
      </c>
      <c r="W148" s="724">
        <v>4557</v>
      </c>
      <c r="X148" s="724">
        <v>4557</v>
      </c>
      <c r="Y148" s="724">
        <v>4557</v>
      </c>
      <c r="Z148" s="724">
        <v>4557</v>
      </c>
      <c r="AA148" s="724">
        <v>4557</v>
      </c>
      <c r="AB148" s="724">
        <v>4557</v>
      </c>
      <c r="AC148" s="724">
        <v>4557</v>
      </c>
      <c r="AD148" s="724">
        <v>4557</v>
      </c>
      <c r="AE148" s="724">
        <v>4557</v>
      </c>
      <c r="AF148" s="724">
        <v>4557</v>
      </c>
      <c r="AG148" s="724">
        <v>4549.5</v>
      </c>
      <c r="AH148" s="724"/>
      <c r="AI148" s="724"/>
      <c r="AJ148" s="724"/>
      <c r="AK148" s="724"/>
      <c r="AL148" s="724"/>
      <c r="AM148" s="724"/>
      <c r="AN148" s="724"/>
      <c r="AO148" s="724"/>
      <c r="AP148" s="724"/>
      <c r="AQ148" s="724"/>
      <c r="AR148" s="724"/>
      <c r="AS148" s="724"/>
      <c r="AT148" s="724"/>
      <c r="AU148" s="724"/>
      <c r="AV148" s="724"/>
      <c r="AW148" s="724"/>
      <c r="AX148" s="724"/>
      <c r="AY148" s="724"/>
      <c r="AZ148" s="724"/>
      <c r="BA148" s="724"/>
      <c r="BB148" s="724"/>
      <c r="BC148" s="725">
        <f t="shared" si="10"/>
        <v>99132.5</v>
      </c>
      <c r="BD148" s="724">
        <f>+BC148-'BOULEVARD 5 orig.'!I153</f>
        <v>0</v>
      </c>
      <c r="BE148" s="724">
        <f t="shared" si="11"/>
        <v>99132.5</v>
      </c>
      <c r="BF148" s="726">
        <f>VLOOKUP(A148,'BOULEVARD 5 orig.'!B153:AS451,42,0)</f>
        <v>0</v>
      </c>
      <c r="BG148" s="727">
        <f t="shared" si="12"/>
        <v>21</v>
      </c>
      <c r="BH148" s="728">
        <f t="shared" si="9"/>
        <v>4720.5952380952385</v>
      </c>
    </row>
    <row r="149" spans="1:60" x14ac:dyDescent="0.2">
      <c r="A149" s="729">
        <v>901</v>
      </c>
      <c r="B149" s="723" t="str">
        <f>'BOULEVARD 5'!H154</f>
        <v>4.Plan de pagos</v>
      </c>
      <c r="C149" s="724">
        <v>6000</v>
      </c>
      <c r="D149" s="724">
        <v>2936</v>
      </c>
      <c r="E149" s="724">
        <v>2936</v>
      </c>
      <c r="F149" s="724">
        <v>2936</v>
      </c>
      <c r="G149" s="724">
        <v>2936</v>
      </c>
      <c r="H149" s="724">
        <v>2936</v>
      </c>
      <c r="I149" s="724">
        <v>2936</v>
      </c>
      <c r="J149" s="724">
        <v>2936</v>
      </c>
      <c r="K149" s="724">
        <v>2936</v>
      </c>
      <c r="L149" s="724">
        <v>2936</v>
      </c>
      <c r="M149" s="724">
        <v>2936</v>
      </c>
      <c r="N149" s="724">
        <v>2936</v>
      </c>
      <c r="O149" s="724">
        <v>2936</v>
      </c>
      <c r="P149" s="724">
        <v>2936</v>
      </c>
      <c r="Q149" s="724">
        <v>2936</v>
      </c>
      <c r="R149" s="724">
        <v>2936</v>
      </c>
      <c r="S149" s="724">
        <v>2936</v>
      </c>
      <c r="T149" s="724">
        <v>2936</v>
      </c>
      <c r="U149" s="724">
        <v>2936</v>
      </c>
      <c r="V149" s="724">
        <v>2936</v>
      </c>
      <c r="W149" s="724">
        <v>2936</v>
      </c>
      <c r="X149" s="724">
        <v>2936</v>
      </c>
      <c r="Y149" s="724">
        <v>2936</v>
      </c>
      <c r="Z149" s="724">
        <v>2936</v>
      </c>
      <c r="AA149" s="724">
        <v>2936</v>
      </c>
      <c r="AB149" s="724">
        <v>2936</v>
      </c>
      <c r="AC149" s="724">
        <v>2936</v>
      </c>
      <c r="AD149" s="724">
        <v>2936</v>
      </c>
      <c r="AE149" s="724">
        <v>2936</v>
      </c>
      <c r="AF149" s="724">
        <v>2936</v>
      </c>
      <c r="AG149" s="724">
        <v>2936</v>
      </c>
      <c r="AH149" s="724">
        <v>2936</v>
      </c>
      <c r="AI149" s="724">
        <v>2936</v>
      </c>
      <c r="AJ149" s="724">
        <v>2936</v>
      </c>
      <c r="AK149" s="724">
        <v>2936</v>
      </c>
      <c r="AL149" s="724">
        <v>2938.84</v>
      </c>
      <c r="AM149" s="724"/>
      <c r="AN149" s="724"/>
      <c r="AO149" s="724"/>
      <c r="AP149" s="724"/>
      <c r="AQ149" s="724"/>
      <c r="AR149" s="724"/>
      <c r="AS149" s="724"/>
      <c r="AT149" s="724"/>
      <c r="AU149" s="724"/>
      <c r="AV149" s="724"/>
      <c r="AW149" s="724"/>
      <c r="AX149" s="724"/>
      <c r="AY149" s="724"/>
      <c r="AZ149" s="724"/>
      <c r="BA149" s="724"/>
      <c r="BB149" s="724"/>
      <c r="BC149" s="725">
        <f t="shared" si="10"/>
        <v>108762.84</v>
      </c>
      <c r="BD149" s="724">
        <f>+BC149-'BOULEVARD 5 orig.'!I154</f>
        <v>0</v>
      </c>
      <c r="BE149" s="724">
        <f t="shared" si="11"/>
        <v>108762.84</v>
      </c>
      <c r="BF149" s="726">
        <f>VLOOKUP(A149,'BOULEVARD 5 orig.'!B154:AS452,42,0)</f>
        <v>0</v>
      </c>
      <c r="BG149" s="727">
        <f t="shared" si="12"/>
        <v>36</v>
      </c>
      <c r="BH149" s="728">
        <f t="shared" si="9"/>
        <v>3021.19</v>
      </c>
    </row>
    <row r="150" spans="1:60" x14ac:dyDescent="0.2">
      <c r="A150" s="723">
        <v>902</v>
      </c>
      <c r="B150" s="723" t="str">
        <f>'BOULEVARD 5'!H155</f>
        <v>4.Plan de pagos</v>
      </c>
      <c r="C150" s="724"/>
      <c r="D150" s="724"/>
      <c r="E150" s="724"/>
      <c r="F150" s="724"/>
      <c r="G150" s="724"/>
      <c r="H150" s="724"/>
      <c r="I150" s="724"/>
      <c r="J150" s="724"/>
      <c r="K150" s="724"/>
      <c r="L150" s="724"/>
      <c r="M150" s="724">
        <v>8000</v>
      </c>
      <c r="N150" s="724">
        <v>5584</v>
      </c>
      <c r="O150" s="724">
        <v>5584</v>
      </c>
      <c r="P150" s="724">
        <v>5584</v>
      </c>
      <c r="Q150" s="724">
        <v>5584</v>
      </c>
      <c r="R150" s="724">
        <v>5584</v>
      </c>
      <c r="S150" s="724">
        <v>5584</v>
      </c>
      <c r="T150" s="724">
        <v>5584</v>
      </c>
      <c r="U150" s="724">
        <v>5584</v>
      </c>
      <c r="V150" s="724">
        <v>5584</v>
      </c>
      <c r="W150" s="724">
        <v>5584</v>
      </c>
      <c r="X150" s="724">
        <v>5584</v>
      </c>
      <c r="Y150" s="724">
        <v>5584</v>
      </c>
      <c r="Z150" s="724">
        <v>5584</v>
      </c>
      <c r="AA150" s="724">
        <v>5584</v>
      </c>
      <c r="AB150" s="724">
        <v>5584</v>
      </c>
      <c r="AC150" s="724">
        <v>5584</v>
      </c>
      <c r="AD150" s="724">
        <v>5584</v>
      </c>
      <c r="AE150" s="724">
        <v>5584</v>
      </c>
      <c r="AF150" s="724">
        <v>5584</v>
      </c>
      <c r="AG150" s="724">
        <v>5574</v>
      </c>
      <c r="AH150" s="724"/>
      <c r="AI150" s="724"/>
      <c r="AJ150" s="724"/>
      <c r="AK150" s="724"/>
      <c r="AL150" s="724"/>
      <c r="AM150" s="724"/>
      <c r="AN150" s="724"/>
      <c r="AO150" s="724"/>
      <c r="AP150" s="724"/>
      <c r="AQ150" s="724"/>
      <c r="AR150" s="724"/>
      <c r="AS150" s="724"/>
      <c r="AT150" s="724"/>
      <c r="AU150" s="724"/>
      <c r="AV150" s="724"/>
      <c r="AW150" s="724"/>
      <c r="AX150" s="724"/>
      <c r="AY150" s="724"/>
      <c r="AZ150" s="724"/>
      <c r="BA150" s="724"/>
      <c r="BB150" s="724"/>
      <c r="BC150" s="725">
        <f t="shared" si="10"/>
        <v>119670</v>
      </c>
      <c r="BD150" s="724">
        <f>+BC150-'BOULEVARD 5 orig.'!I155</f>
        <v>0</v>
      </c>
      <c r="BE150" s="724">
        <f t="shared" si="11"/>
        <v>119670</v>
      </c>
      <c r="BF150" s="726">
        <f>VLOOKUP(A150,'BOULEVARD 5 orig.'!B155:AS453,42,0)</f>
        <v>0</v>
      </c>
      <c r="BG150" s="727">
        <f t="shared" si="12"/>
        <v>21</v>
      </c>
      <c r="BH150" s="728">
        <f t="shared" si="9"/>
        <v>5698.5714285714284</v>
      </c>
    </row>
    <row r="151" spans="1:60" x14ac:dyDescent="0.2">
      <c r="A151" s="723">
        <v>903</v>
      </c>
      <c r="B151" s="723" t="str">
        <f>'BOULEVARD 5'!H156</f>
        <v>4.Plan de pagos</v>
      </c>
      <c r="C151" s="724"/>
      <c r="D151" s="724"/>
      <c r="E151" s="724">
        <v>6000</v>
      </c>
      <c r="F151" s="724">
        <v>2300</v>
      </c>
      <c r="G151" s="724">
        <v>2300</v>
      </c>
      <c r="H151" s="724">
        <v>2300</v>
      </c>
      <c r="I151" s="724">
        <v>2300</v>
      </c>
      <c r="J151" s="724">
        <v>2300</v>
      </c>
      <c r="K151" s="724">
        <v>2300</v>
      </c>
      <c r="L151" s="724">
        <v>2300</v>
      </c>
      <c r="M151" s="724">
        <v>2300</v>
      </c>
      <c r="N151" s="724">
        <v>2300</v>
      </c>
      <c r="O151" s="724">
        <v>2300</v>
      </c>
      <c r="P151" s="724">
        <v>2300</v>
      </c>
      <c r="Q151" s="724">
        <v>2300</v>
      </c>
      <c r="R151" s="724">
        <v>2300</v>
      </c>
      <c r="S151" s="724">
        <v>2300</v>
      </c>
      <c r="T151" s="724">
        <v>2300</v>
      </c>
      <c r="U151" s="724">
        <v>2300</v>
      </c>
      <c r="V151" s="724">
        <v>2300</v>
      </c>
      <c r="W151" s="724">
        <v>2300</v>
      </c>
      <c r="X151" s="724">
        <v>2300</v>
      </c>
      <c r="Y151" s="724">
        <v>2300</v>
      </c>
      <c r="Z151" s="724">
        <v>2300</v>
      </c>
      <c r="AA151" s="724">
        <v>2300</v>
      </c>
      <c r="AB151" s="724">
        <v>2300</v>
      </c>
      <c r="AC151" s="724">
        <v>2300</v>
      </c>
      <c r="AD151" s="724">
        <v>2300</v>
      </c>
      <c r="AE151" s="724">
        <v>2300</v>
      </c>
      <c r="AF151" s="724">
        <v>2300</v>
      </c>
      <c r="AG151" s="724">
        <v>2300</v>
      </c>
      <c r="AH151" s="724"/>
      <c r="AI151" s="724"/>
      <c r="AJ151" s="724"/>
      <c r="AK151" s="724"/>
      <c r="AL151" s="724"/>
      <c r="AM151" s="724"/>
      <c r="AN151" s="724"/>
      <c r="AO151" s="724"/>
      <c r="AP151" s="724"/>
      <c r="AQ151" s="724"/>
      <c r="AR151" s="724"/>
      <c r="AS151" s="724"/>
      <c r="AT151" s="724"/>
      <c r="AU151" s="724"/>
      <c r="AV151" s="724"/>
      <c r="AW151" s="724"/>
      <c r="AX151" s="724"/>
      <c r="AY151" s="724"/>
      <c r="AZ151" s="724"/>
      <c r="BA151" s="724"/>
      <c r="BB151" s="724"/>
      <c r="BC151" s="725">
        <f t="shared" si="10"/>
        <v>70400</v>
      </c>
      <c r="BD151" s="724">
        <f>+BC151-'BOULEVARD 5 orig.'!I156</f>
        <v>0</v>
      </c>
      <c r="BE151" s="724">
        <f t="shared" si="11"/>
        <v>70400</v>
      </c>
      <c r="BF151" s="726">
        <f>VLOOKUP(A151,'BOULEVARD 5 orig.'!B156:AS454,42,0)</f>
        <v>0</v>
      </c>
      <c r="BG151" s="727">
        <f t="shared" si="12"/>
        <v>29</v>
      </c>
      <c r="BH151" s="728">
        <f t="shared" si="9"/>
        <v>2427.5862068965516</v>
      </c>
    </row>
    <row r="152" spans="1:60" x14ac:dyDescent="0.2">
      <c r="A152" s="723">
        <v>904</v>
      </c>
      <c r="B152" s="723" t="str">
        <f>'BOULEVARD 5'!H157</f>
        <v>4.Plan de pagos</v>
      </c>
      <c r="C152" s="724"/>
      <c r="D152" s="724"/>
      <c r="E152" s="724">
        <v>6000</v>
      </c>
      <c r="F152" s="724">
        <v>2274</v>
      </c>
      <c r="G152" s="724">
        <v>2274</v>
      </c>
      <c r="H152" s="724">
        <v>2274</v>
      </c>
      <c r="I152" s="724">
        <v>2274</v>
      </c>
      <c r="J152" s="724">
        <v>2274</v>
      </c>
      <c r="K152" s="724">
        <v>2274</v>
      </c>
      <c r="L152" s="724">
        <v>2274</v>
      </c>
      <c r="M152" s="724">
        <v>2274</v>
      </c>
      <c r="N152" s="724">
        <v>2274</v>
      </c>
      <c r="O152" s="724">
        <v>2274</v>
      </c>
      <c r="P152" s="724">
        <v>2274</v>
      </c>
      <c r="Q152" s="724">
        <v>2274</v>
      </c>
      <c r="R152" s="724">
        <v>2274</v>
      </c>
      <c r="S152" s="724">
        <v>2274</v>
      </c>
      <c r="T152" s="724">
        <v>2274</v>
      </c>
      <c r="U152" s="724">
        <v>2274</v>
      </c>
      <c r="V152" s="724">
        <v>2274</v>
      </c>
      <c r="W152" s="724">
        <v>2274</v>
      </c>
      <c r="X152" s="724">
        <v>2274</v>
      </c>
      <c r="Y152" s="724">
        <v>2274</v>
      </c>
      <c r="Z152" s="724">
        <v>2274</v>
      </c>
      <c r="AA152" s="724">
        <v>2274</v>
      </c>
      <c r="AB152" s="724">
        <v>2274</v>
      </c>
      <c r="AC152" s="724">
        <v>2274</v>
      </c>
      <c r="AD152" s="724">
        <v>2274</v>
      </c>
      <c r="AE152" s="724">
        <v>2274</v>
      </c>
      <c r="AF152" s="724">
        <v>2274</v>
      </c>
      <c r="AG152" s="724">
        <v>2271.08</v>
      </c>
      <c r="AH152" s="724"/>
      <c r="AI152" s="724"/>
      <c r="AJ152" s="724"/>
      <c r="AK152" s="724"/>
      <c r="AL152" s="724"/>
      <c r="AM152" s="724"/>
      <c r="AN152" s="724"/>
      <c r="AO152" s="724"/>
      <c r="AP152" s="724"/>
      <c r="AQ152" s="724"/>
      <c r="AR152" s="724"/>
      <c r="AS152" s="724"/>
      <c r="AT152" s="724"/>
      <c r="AU152" s="724"/>
      <c r="AV152" s="724"/>
      <c r="AW152" s="724"/>
      <c r="AX152" s="724"/>
      <c r="AY152" s="724"/>
      <c r="AZ152" s="724"/>
      <c r="BA152" s="724"/>
      <c r="BB152" s="724"/>
      <c r="BC152" s="725">
        <f t="shared" si="10"/>
        <v>69669.08</v>
      </c>
      <c r="BD152" s="724">
        <f>+BC152-'BOULEVARD 5 orig.'!I157</f>
        <v>0</v>
      </c>
      <c r="BE152" s="724">
        <f t="shared" si="11"/>
        <v>69669.08</v>
      </c>
      <c r="BF152" s="726">
        <f>VLOOKUP(A152,'BOULEVARD 5 orig.'!B157:AS455,42,0)</f>
        <v>0</v>
      </c>
      <c r="BG152" s="727">
        <f t="shared" si="12"/>
        <v>29</v>
      </c>
      <c r="BH152" s="728">
        <f t="shared" si="9"/>
        <v>2402.3820689655172</v>
      </c>
    </row>
    <row r="153" spans="1:60" x14ac:dyDescent="0.2">
      <c r="A153" s="723">
        <v>905</v>
      </c>
      <c r="B153" s="723" t="str">
        <f>'BOULEVARD 5'!H158</f>
        <v>4.Plan de pagos</v>
      </c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>
        <v>5000</v>
      </c>
      <c r="S153" s="724">
        <v>5000</v>
      </c>
      <c r="T153" s="724">
        <v>3776</v>
      </c>
      <c r="U153" s="724">
        <v>3776</v>
      </c>
      <c r="V153" s="724">
        <v>3776</v>
      </c>
      <c r="W153" s="724">
        <v>3776</v>
      </c>
      <c r="X153" s="724">
        <v>3776</v>
      </c>
      <c r="Y153" s="724">
        <v>3776</v>
      </c>
      <c r="Z153" s="724">
        <v>3776</v>
      </c>
      <c r="AA153" s="724">
        <v>3776</v>
      </c>
      <c r="AB153" s="724">
        <v>3776</v>
      </c>
      <c r="AC153" s="724">
        <v>3776</v>
      </c>
      <c r="AD153" s="724">
        <v>3776</v>
      </c>
      <c r="AE153" s="724">
        <v>20000</v>
      </c>
      <c r="AF153" s="724">
        <v>3776</v>
      </c>
      <c r="AG153" s="724">
        <v>3776</v>
      </c>
      <c r="AH153" s="724">
        <v>3776</v>
      </c>
      <c r="AI153" s="724">
        <v>3776</v>
      </c>
      <c r="AJ153" s="724">
        <v>3776</v>
      </c>
      <c r="AK153" s="724">
        <v>3784</v>
      </c>
      <c r="AL153" s="724"/>
      <c r="AM153" s="724"/>
      <c r="AN153" s="724"/>
      <c r="AO153" s="724"/>
      <c r="AP153" s="724"/>
      <c r="AQ153" s="724"/>
      <c r="AR153" s="724"/>
      <c r="AS153" s="724"/>
      <c r="AT153" s="724"/>
      <c r="AU153" s="724"/>
      <c r="AV153" s="724"/>
      <c r="AW153" s="724"/>
      <c r="AX153" s="724"/>
      <c r="AY153" s="724"/>
      <c r="AZ153" s="724"/>
      <c r="BA153" s="724"/>
      <c r="BB153" s="724"/>
      <c r="BC153" s="725">
        <f t="shared" si="10"/>
        <v>94200</v>
      </c>
      <c r="BD153" s="724">
        <f>+BC153-'BOULEVARD 5 orig.'!I158</f>
        <v>0</v>
      </c>
      <c r="BE153" s="724">
        <f t="shared" si="11"/>
        <v>94200</v>
      </c>
      <c r="BF153" s="726">
        <f>VLOOKUP(A153,'BOULEVARD 5 orig.'!B158:AS456,42,0)</f>
        <v>0</v>
      </c>
      <c r="BG153" s="727">
        <f t="shared" si="12"/>
        <v>20</v>
      </c>
      <c r="BH153" s="728">
        <f t="shared" si="9"/>
        <v>4710</v>
      </c>
    </row>
    <row r="154" spans="1:60" x14ac:dyDescent="0.2">
      <c r="A154" s="723">
        <v>906</v>
      </c>
      <c r="B154" s="723" t="str">
        <f>'BOULEVARD 5'!H159</f>
        <v>2.Reserva</v>
      </c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4"/>
      <c r="P154" s="724"/>
      <c r="Q154" s="724"/>
      <c r="R154" s="724"/>
      <c r="S154" s="724"/>
      <c r="T154" s="724"/>
      <c r="U154" s="724"/>
      <c r="V154" s="724"/>
      <c r="W154" s="724"/>
      <c r="X154" s="724">
        <v>8000</v>
      </c>
      <c r="Y154" s="724">
        <v>6020</v>
      </c>
      <c r="Z154" s="724">
        <v>6020</v>
      </c>
      <c r="AA154" s="724">
        <v>6020</v>
      </c>
      <c r="AB154" s="724">
        <v>6020</v>
      </c>
      <c r="AC154" s="724">
        <v>6020</v>
      </c>
      <c r="AD154" s="724">
        <v>6020</v>
      </c>
      <c r="AE154" s="724">
        <v>6020</v>
      </c>
      <c r="AF154" s="724">
        <v>6020</v>
      </c>
      <c r="AG154" s="724">
        <v>6020</v>
      </c>
      <c r="AH154" s="724">
        <v>6020</v>
      </c>
      <c r="AI154" s="724">
        <v>6020</v>
      </c>
      <c r="AJ154" s="724">
        <v>6020</v>
      </c>
      <c r="AK154" s="724">
        <v>6020</v>
      </c>
      <c r="AL154" s="724">
        <v>6020</v>
      </c>
      <c r="AM154" s="724">
        <v>6020</v>
      </c>
      <c r="AN154" s="724">
        <v>6020</v>
      </c>
      <c r="AO154" s="724">
        <v>6024.58</v>
      </c>
      <c r="AP154" s="724"/>
      <c r="AQ154" s="724"/>
      <c r="AR154" s="724"/>
      <c r="AS154" s="724"/>
      <c r="AT154" s="724"/>
      <c r="AU154" s="724"/>
      <c r="AV154" s="724"/>
      <c r="AW154" s="724"/>
      <c r="AX154" s="724"/>
      <c r="AY154" s="724"/>
      <c r="AZ154" s="724"/>
      <c r="BA154" s="724"/>
      <c r="BB154" s="724"/>
      <c r="BC154" s="725">
        <f t="shared" si="10"/>
        <v>110344.58</v>
      </c>
      <c r="BD154" s="724">
        <f>+BC154-'BOULEVARD 5 orig.'!I159</f>
        <v>0</v>
      </c>
      <c r="BE154" s="724">
        <f t="shared" si="11"/>
        <v>110344.58</v>
      </c>
      <c r="BF154" s="726">
        <f>VLOOKUP(A154,'BOULEVARD 5 orig.'!B159:AS457,42,0)</f>
        <v>0</v>
      </c>
      <c r="BG154" s="727">
        <f t="shared" si="12"/>
        <v>18</v>
      </c>
      <c r="BH154" s="728">
        <f t="shared" si="9"/>
        <v>6130.2544444444447</v>
      </c>
    </row>
    <row r="155" spans="1:60" x14ac:dyDescent="0.2">
      <c r="A155" s="723">
        <v>907</v>
      </c>
      <c r="B155" s="723" t="str">
        <f>'BOULEVARD 5'!H160</f>
        <v>4.Plan de pagos</v>
      </c>
      <c r="C155" s="724"/>
      <c r="D155" s="724"/>
      <c r="E155" s="724"/>
      <c r="F155" s="724"/>
      <c r="G155" s="724"/>
      <c r="H155" s="724"/>
      <c r="I155" s="724">
        <v>10000</v>
      </c>
      <c r="J155" s="724"/>
      <c r="K155" s="724"/>
      <c r="L155" s="724"/>
      <c r="M155" s="724"/>
      <c r="N155" s="724">
        <v>20050</v>
      </c>
      <c r="O155" s="724"/>
      <c r="P155" s="724"/>
      <c r="Q155" s="724"/>
      <c r="R155" s="724"/>
      <c r="S155" s="724"/>
      <c r="T155" s="724">
        <v>20050</v>
      </c>
      <c r="U155" s="724"/>
      <c r="V155" s="724"/>
      <c r="W155" s="724"/>
      <c r="X155" s="724"/>
      <c r="Y155" s="724"/>
      <c r="Z155" s="724">
        <v>20050</v>
      </c>
      <c r="AA155" s="724"/>
      <c r="AB155" s="724"/>
      <c r="AC155" s="724"/>
      <c r="AD155" s="724"/>
      <c r="AE155" s="724"/>
      <c r="AF155" s="724">
        <v>20050</v>
      </c>
      <c r="AG155" s="724"/>
      <c r="AH155" s="724"/>
      <c r="AI155" s="724"/>
      <c r="AJ155" s="724"/>
      <c r="AK155" s="724"/>
      <c r="AL155" s="724"/>
      <c r="AM155" s="724"/>
      <c r="AN155" s="724"/>
      <c r="AO155" s="724"/>
      <c r="AP155" s="724"/>
      <c r="AQ155" s="724"/>
      <c r="AR155" s="724"/>
      <c r="AS155" s="724"/>
      <c r="AT155" s="724"/>
      <c r="AU155" s="724"/>
      <c r="AV155" s="724"/>
      <c r="AW155" s="724"/>
      <c r="AX155" s="724"/>
      <c r="AY155" s="724"/>
      <c r="AZ155" s="724"/>
      <c r="BA155" s="724"/>
      <c r="BB155" s="724"/>
      <c r="BC155" s="725">
        <f t="shared" si="10"/>
        <v>90200</v>
      </c>
      <c r="BD155" s="724">
        <f>+BC155-'BOULEVARD 5 orig.'!I160</f>
        <v>0</v>
      </c>
      <c r="BE155" s="724">
        <f t="shared" si="11"/>
        <v>90200</v>
      </c>
      <c r="BF155" s="726">
        <f>VLOOKUP(A155,'BOULEVARD 5 orig.'!B160:AS458,42,0)</f>
        <v>0</v>
      </c>
      <c r="BG155" s="727">
        <f t="shared" si="12"/>
        <v>5</v>
      </c>
      <c r="BH155" s="728">
        <f t="shared" si="9"/>
        <v>18040</v>
      </c>
    </row>
    <row r="156" spans="1:60" x14ac:dyDescent="0.2">
      <c r="A156" s="723">
        <v>908</v>
      </c>
      <c r="B156" s="723" t="str">
        <f>'BOULEVARD 5'!H161</f>
        <v>4.Plan de pagos</v>
      </c>
      <c r="C156" s="724"/>
      <c r="D156" s="724"/>
      <c r="E156" s="724"/>
      <c r="F156" s="724"/>
      <c r="G156" s="724"/>
      <c r="H156" s="724"/>
      <c r="I156" s="724"/>
      <c r="J156" s="724"/>
      <c r="K156" s="724"/>
      <c r="L156" s="724"/>
      <c r="M156" s="724">
        <v>8000</v>
      </c>
      <c r="N156" s="724">
        <v>4040</v>
      </c>
      <c r="O156" s="724">
        <v>4040</v>
      </c>
      <c r="P156" s="724">
        <v>4040</v>
      </c>
      <c r="Q156" s="724">
        <v>4040</v>
      </c>
      <c r="R156" s="724">
        <v>4040</v>
      </c>
      <c r="S156" s="724">
        <v>4040</v>
      </c>
      <c r="T156" s="724">
        <v>4040</v>
      </c>
      <c r="U156" s="724">
        <v>4040</v>
      </c>
      <c r="V156" s="724">
        <v>4040</v>
      </c>
      <c r="W156" s="724">
        <v>4040</v>
      </c>
      <c r="X156" s="724">
        <v>4040</v>
      </c>
      <c r="Y156" s="724">
        <v>4040</v>
      </c>
      <c r="Z156" s="724">
        <v>4040</v>
      </c>
      <c r="AA156" s="724">
        <v>4040</v>
      </c>
      <c r="AB156" s="724">
        <v>4040</v>
      </c>
      <c r="AC156" s="724">
        <v>4040</v>
      </c>
      <c r="AD156" s="724">
        <v>4040</v>
      </c>
      <c r="AE156" s="724">
        <v>4040</v>
      </c>
      <c r="AF156" s="724">
        <v>4040</v>
      </c>
      <c r="AG156" s="724">
        <v>4040</v>
      </c>
      <c r="AH156" s="724"/>
      <c r="AI156" s="724"/>
      <c r="AJ156" s="724"/>
      <c r="AK156" s="724"/>
      <c r="AL156" s="724"/>
      <c r="AM156" s="724"/>
      <c r="AN156" s="724"/>
      <c r="AO156" s="724"/>
      <c r="AP156" s="724"/>
      <c r="AQ156" s="724"/>
      <c r="AR156" s="724"/>
      <c r="AS156" s="724"/>
      <c r="AT156" s="724"/>
      <c r="AU156" s="724"/>
      <c r="AV156" s="724"/>
      <c r="AW156" s="724"/>
      <c r="AX156" s="724"/>
      <c r="AY156" s="724"/>
      <c r="AZ156" s="724"/>
      <c r="BA156" s="724"/>
      <c r="BB156" s="724"/>
      <c r="BC156" s="725">
        <f t="shared" si="10"/>
        <v>88800</v>
      </c>
      <c r="BD156" s="724">
        <f>+BC156-'BOULEVARD 5 orig.'!I161</f>
        <v>0</v>
      </c>
      <c r="BE156" s="724">
        <f t="shared" si="11"/>
        <v>88800</v>
      </c>
      <c r="BF156" s="726">
        <f>VLOOKUP(A156,'BOULEVARD 5 orig.'!B161:AS459,42,0)</f>
        <v>0</v>
      </c>
      <c r="BG156" s="727">
        <f t="shared" si="12"/>
        <v>21</v>
      </c>
      <c r="BH156" s="728">
        <f t="shared" si="9"/>
        <v>4228.5714285714284</v>
      </c>
    </row>
    <row r="157" spans="1:60" x14ac:dyDescent="0.2">
      <c r="A157" s="723">
        <v>909</v>
      </c>
      <c r="B157" s="723" t="str">
        <f>'BOULEVARD 5'!H162</f>
        <v>4.Plan de pagos</v>
      </c>
      <c r="C157" s="724"/>
      <c r="D157" s="724"/>
      <c r="E157" s="724"/>
      <c r="F157" s="724"/>
      <c r="G157" s="724">
        <v>6000</v>
      </c>
      <c r="H157" s="724">
        <v>5000</v>
      </c>
      <c r="I157" s="724">
        <v>5000</v>
      </c>
      <c r="J157" s="724">
        <v>5000</v>
      </c>
      <c r="K157" s="724">
        <v>5000</v>
      </c>
      <c r="L157" s="724">
        <v>5000</v>
      </c>
      <c r="M157" s="724">
        <v>5000</v>
      </c>
      <c r="N157" s="724">
        <v>5000</v>
      </c>
      <c r="O157" s="724">
        <v>5000</v>
      </c>
      <c r="P157" s="724">
        <v>5000</v>
      </c>
      <c r="Q157" s="724">
        <v>5000</v>
      </c>
      <c r="R157" s="724">
        <v>5000</v>
      </c>
      <c r="S157" s="724">
        <v>5000</v>
      </c>
      <c r="T157" s="724">
        <v>5000</v>
      </c>
      <c r="U157" s="724">
        <v>5000</v>
      </c>
      <c r="V157" s="724">
        <v>5000</v>
      </c>
      <c r="W157" s="724">
        <v>5000</v>
      </c>
      <c r="X157" s="724">
        <v>5000</v>
      </c>
      <c r="Y157" s="724">
        <v>5000</v>
      </c>
      <c r="Z157" s="724">
        <v>5000</v>
      </c>
      <c r="AA157" s="724">
        <v>5000</v>
      </c>
      <c r="AB157" s="724">
        <v>5000</v>
      </c>
      <c r="AC157" s="724">
        <v>5000</v>
      </c>
      <c r="AD157" s="724">
        <v>5000</v>
      </c>
      <c r="AE157" s="724">
        <v>5000</v>
      </c>
      <c r="AF157" s="724">
        <v>5000</v>
      </c>
      <c r="AG157" s="724">
        <v>7300</v>
      </c>
      <c r="AH157" s="724"/>
      <c r="AI157" s="724"/>
      <c r="AJ157" s="724"/>
      <c r="AK157" s="724"/>
      <c r="AL157" s="724"/>
      <c r="AM157" s="724"/>
      <c r="AN157" s="724"/>
      <c r="AO157" s="724"/>
      <c r="AP157" s="724"/>
      <c r="AQ157" s="724"/>
      <c r="AR157" s="724"/>
      <c r="AS157" s="724"/>
      <c r="AT157" s="724"/>
      <c r="AU157" s="724"/>
      <c r="AV157" s="724"/>
      <c r="AW157" s="724"/>
      <c r="AX157" s="724"/>
      <c r="AY157" s="724"/>
      <c r="AZ157" s="724"/>
      <c r="BA157" s="724"/>
      <c r="BB157" s="724"/>
      <c r="BC157" s="725">
        <f t="shared" si="10"/>
        <v>138300</v>
      </c>
      <c r="BD157" s="724">
        <f>+BC157-'BOULEVARD 5 orig.'!I162</f>
        <v>0</v>
      </c>
      <c r="BE157" s="724">
        <f t="shared" si="11"/>
        <v>138300</v>
      </c>
      <c r="BF157" s="726">
        <f>VLOOKUP(A157,'BOULEVARD 5 orig.'!B162:AS460,42,0)</f>
        <v>0</v>
      </c>
      <c r="BG157" s="727">
        <f t="shared" si="12"/>
        <v>27</v>
      </c>
      <c r="BH157" s="728">
        <f t="shared" si="9"/>
        <v>5122.2222222222226</v>
      </c>
    </row>
    <row r="158" spans="1:60" x14ac:dyDescent="0.2">
      <c r="A158" s="723">
        <v>910</v>
      </c>
      <c r="B158" s="723" t="str">
        <f>'BOULEVARD 5'!H163</f>
        <v>1.Disponible</v>
      </c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4"/>
      <c r="P158" s="724"/>
      <c r="Q158" s="724"/>
      <c r="R158" s="724"/>
      <c r="S158" s="724"/>
      <c r="T158" s="724"/>
      <c r="U158" s="724"/>
      <c r="V158" s="724"/>
      <c r="W158" s="724"/>
      <c r="X158" s="724"/>
      <c r="Y158" s="724"/>
      <c r="Z158" s="724"/>
      <c r="AA158" s="724"/>
      <c r="AB158" s="724"/>
      <c r="AC158" s="724"/>
      <c r="AD158" s="724"/>
      <c r="AE158" s="724"/>
      <c r="AF158" s="724"/>
      <c r="AG158" s="724"/>
      <c r="AH158" s="724"/>
      <c r="AI158" s="724"/>
      <c r="AJ158" s="724"/>
      <c r="AK158" s="724"/>
      <c r="AL158" s="724"/>
      <c r="AM158" s="724"/>
      <c r="AN158" s="724"/>
      <c r="AO158" s="724"/>
      <c r="AP158" s="724"/>
      <c r="AQ158" s="724"/>
      <c r="AR158" s="724"/>
      <c r="AS158" s="724"/>
      <c r="AT158" s="724"/>
      <c r="AU158" s="724"/>
      <c r="AV158" s="724"/>
      <c r="AW158" s="724"/>
      <c r="AX158" s="724"/>
      <c r="AY158" s="724"/>
      <c r="AZ158" s="724"/>
      <c r="BA158" s="724"/>
      <c r="BB158" s="724"/>
      <c r="BC158" s="725">
        <f t="shared" si="10"/>
        <v>0</v>
      </c>
      <c r="BD158" s="724">
        <f>+BC158-'BOULEVARD 5 orig.'!I163</f>
        <v>-98258.364168812812</v>
      </c>
      <c r="BE158" s="724">
        <f t="shared" si="11"/>
        <v>0</v>
      </c>
      <c r="BF158" s="726">
        <f>VLOOKUP(A158,'BOULEVARD 5 orig.'!B163:AS461,42,0)</f>
        <v>0</v>
      </c>
      <c r="BG158" s="727">
        <f t="shared" si="12"/>
        <v>0</v>
      </c>
      <c r="BH158" s="728">
        <f t="shared" si="9"/>
        <v>0</v>
      </c>
    </row>
    <row r="159" spans="1:60" x14ac:dyDescent="0.2">
      <c r="A159" s="723">
        <v>911</v>
      </c>
      <c r="B159" s="723" t="str">
        <f>'BOULEVARD 5'!H164</f>
        <v>4.Plan de pagos</v>
      </c>
      <c r="C159" s="724"/>
      <c r="D159" s="724"/>
      <c r="E159" s="724"/>
      <c r="F159" s="724"/>
      <c r="G159" s="724"/>
      <c r="H159" s="724"/>
      <c r="I159" s="724">
        <v>8000</v>
      </c>
      <c r="J159" s="724">
        <v>4053</v>
      </c>
      <c r="K159" s="724">
        <v>4053</v>
      </c>
      <c r="L159" s="724">
        <v>4053</v>
      </c>
      <c r="M159" s="724">
        <v>4053</v>
      </c>
      <c r="N159" s="724">
        <v>4053</v>
      </c>
      <c r="O159" s="724">
        <v>4053</v>
      </c>
      <c r="P159" s="724">
        <v>4053</v>
      </c>
      <c r="Q159" s="724">
        <v>4053</v>
      </c>
      <c r="R159" s="724">
        <v>4053</v>
      </c>
      <c r="S159" s="724">
        <v>4053</v>
      </c>
      <c r="T159" s="724">
        <v>4053</v>
      </c>
      <c r="U159" s="724">
        <v>4053</v>
      </c>
      <c r="V159" s="724">
        <v>4053</v>
      </c>
      <c r="W159" s="724">
        <v>4053</v>
      </c>
      <c r="X159" s="724">
        <v>4053</v>
      </c>
      <c r="Y159" s="724">
        <v>4053</v>
      </c>
      <c r="Z159" s="724">
        <v>4053</v>
      </c>
      <c r="AA159" s="724">
        <v>4053</v>
      </c>
      <c r="AB159" s="724">
        <v>4053</v>
      </c>
      <c r="AC159" s="724">
        <v>4053</v>
      </c>
      <c r="AD159" s="724">
        <v>4053</v>
      </c>
      <c r="AE159" s="724">
        <v>4053</v>
      </c>
      <c r="AF159" s="724">
        <v>4053</v>
      </c>
      <c r="AG159" s="724">
        <v>4048.5</v>
      </c>
      <c r="AH159" s="724"/>
      <c r="AI159" s="724"/>
      <c r="AJ159" s="724"/>
      <c r="AK159" s="724"/>
      <c r="AL159" s="724"/>
      <c r="AM159" s="724"/>
      <c r="AN159" s="724"/>
      <c r="AO159" s="724"/>
      <c r="AP159" s="724"/>
      <c r="AQ159" s="724"/>
      <c r="AR159" s="724"/>
      <c r="AS159" s="724"/>
      <c r="AT159" s="724"/>
      <c r="AU159" s="724"/>
      <c r="AV159" s="724"/>
      <c r="AW159" s="724"/>
      <c r="AX159" s="724"/>
      <c r="AY159" s="724"/>
      <c r="AZ159" s="724"/>
      <c r="BA159" s="724"/>
      <c r="BB159" s="724"/>
      <c r="BC159" s="725">
        <f t="shared" si="10"/>
        <v>105267.5</v>
      </c>
      <c r="BD159" s="724">
        <f>+BC159-'BOULEVARD 5 orig.'!I164</f>
        <v>0</v>
      </c>
      <c r="BE159" s="724">
        <f t="shared" si="11"/>
        <v>105267.5</v>
      </c>
      <c r="BF159" s="726">
        <f>VLOOKUP(A159,'BOULEVARD 5 orig.'!B164:AS462,42,0)</f>
        <v>0</v>
      </c>
      <c r="BG159" s="727">
        <f t="shared" si="12"/>
        <v>25</v>
      </c>
      <c r="BH159" s="728">
        <f t="shared" si="9"/>
        <v>4210.7</v>
      </c>
    </row>
    <row r="160" spans="1:60" x14ac:dyDescent="0.2">
      <c r="A160" s="729">
        <v>912</v>
      </c>
      <c r="B160" s="723" t="str">
        <f>'BOULEVARD 5'!H165</f>
        <v>4.Plan de pagos</v>
      </c>
      <c r="C160" s="730"/>
      <c r="D160" s="730"/>
      <c r="E160" s="730"/>
      <c r="F160" s="730"/>
      <c r="G160" s="730"/>
      <c r="H160" s="730"/>
      <c r="I160" s="730"/>
      <c r="J160" s="730"/>
      <c r="K160" s="730">
        <f>8000+4062.73</f>
        <v>12062.73</v>
      </c>
      <c r="L160" s="730">
        <v>4062.73</v>
      </c>
      <c r="M160" s="730">
        <v>4062.73</v>
      </c>
      <c r="N160" s="730">
        <v>4062.73</v>
      </c>
      <c r="O160" s="730">
        <v>4062.73</v>
      </c>
      <c r="P160" s="730">
        <v>4062.73</v>
      </c>
      <c r="Q160" s="730">
        <v>4062.73</v>
      </c>
      <c r="R160" s="730">
        <v>4062.73</v>
      </c>
      <c r="S160" s="730">
        <v>4062.73</v>
      </c>
      <c r="T160" s="730">
        <v>4062.73</v>
      </c>
      <c r="U160" s="730">
        <v>4062.73</v>
      </c>
      <c r="V160" s="730">
        <v>4062.73</v>
      </c>
      <c r="W160" s="730">
        <v>4062.73</v>
      </c>
      <c r="X160" s="730">
        <v>4062.73</v>
      </c>
      <c r="Y160" s="730">
        <v>4062.73</v>
      </c>
      <c r="Z160" s="730">
        <v>4062.73</v>
      </c>
      <c r="AA160" s="730">
        <v>4062.73</v>
      </c>
      <c r="AB160" s="730">
        <v>4062.73</v>
      </c>
      <c r="AC160" s="730">
        <v>4062.73</v>
      </c>
      <c r="AD160" s="730">
        <v>4062.73</v>
      </c>
      <c r="AE160" s="730">
        <v>4062.73</v>
      </c>
      <c r="AF160" s="730">
        <v>4062.67</v>
      </c>
      <c r="AG160" s="730"/>
      <c r="AH160" s="730"/>
      <c r="AI160" s="730"/>
      <c r="AJ160" s="730"/>
      <c r="AK160" s="730"/>
      <c r="AL160" s="730"/>
      <c r="AM160" s="730"/>
      <c r="AN160" s="730"/>
      <c r="AO160" s="730"/>
      <c r="AP160" s="730"/>
      <c r="AQ160" s="730"/>
      <c r="AR160" s="730"/>
      <c r="AS160" s="730"/>
      <c r="AT160" s="730"/>
      <c r="AU160" s="730"/>
      <c r="AV160" s="730"/>
      <c r="AW160" s="730"/>
      <c r="AX160" s="730"/>
      <c r="AY160" s="730"/>
      <c r="AZ160" s="730"/>
      <c r="BA160" s="730"/>
      <c r="BB160" s="730"/>
      <c r="BC160" s="731">
        <f t="shared" si="10"/>
        <v>97380</v>
      </c>
      <c r="BD160" s="730">
        <f>+BC160-'BOULEVARD 5 orig.'!I165</f>
        <v>0</v>
      </c>
      <c r="BE160" s="730">
        <f t="shared" si="11"/>
        <v>97380</v>
      </c>
      <c r="BF160" s="732">
        <f>VLOOKUP(A160,'BOULEVARD 5 orig.'!B165:AS463,42,0)</f>
        <v>0</v>
      </c>
      <c r="BG160" s="733">
        <f t="shared" si="12"/>
        <v>22</v>
      </c>
      <c r="BH160" s="734">
        <f t="shared" si="9"/>
        <v>4426.363636363636</v>
      </c>
    </row>
    <row r="161" spans="1:60" x14ac:dyDescent="0.2">
      <c r="A161" s="723">
        <v>913</v>
      </c>
      <c r="B161" s="723" t="str">
        <f>'BOULEVARD 5'!H166</f>
        <v>4.Plan de pagos</v>
      </c>
      <c r="C161" s="724"/>
      <c r="D161" s="724"/>
      <c r="E161" s="724"/>
      <c r="F161" s="724"/>
      <c r="G161" s="724"/>
      <c r="H161" s="724"/>
      <c r="I161" s="724"/>
      <c r="J161" s="724"/>
      <c r="K161" s="724"/>
      <c r="L161" s="724"/>
      <c r="M161" s="724"/>
      <c r="N161" s="724"/>
      <c r="O161" s="724"/>
      <c r="P161" s="724">
        <v>8000</v>
      </c>
      <c r="Q161" s="724">
        <v>4847</v>
      </c>
      <c r="R161" s="724">
        <v>4847</v>
      </c>
      <c r="S161" s="724">
        <v>4847</v>
      </c>
      <c r="T161" s="724">
        <v>4847</v>
      </c>
      <c r="U161" s="724">
        <v>4847</v>
      </c>
      <c r="V161" s="724">
        <v>4847</v>
      </c>
      <c r="W161" s="724">
        <v>4847</v>
      </c>
      <c r="X161" s="724">
        <v>4847</v>
      </c>
      <c r="Y161" s="724">
        <v>4847</v>
      </c>
      <c r="Z161" s="724">
        <v>4847</v>
      </c>
      <c r="AA161" s="724">
        <v>4847</v>
      </c>
      <c r="AB161" s="724">
        <v>4847</v>
      </c>
      <c r="AC161" s="724">
        <v>4847</v>
      </c>
      <c r="AD161" s="724">
        <v>4847</v>
      </c>
      <c r="AE161" s="724">
        <v>4847</v>
      </c>
      <c r="AF161" s="724">
        <v>4847</v>
      </c>
      <c r="AG161" s="724">
        <v>4848</v>
      </c>
      <c r="AH161" s="724"/>
      <c r="AI161" s="724"/>
      <c r="AJ161" s="724"/>
      <c r="AK161" s="724"/>
      <c r="AL161" s="724"/>
      <c r="AM161" s="724"/>
      <c r="AN161" s="724"/>
      <c r="AO161" s="724"/>
      <c r="AP161" s="724"/>
      <c r="AQ161" s="724"/>
      <c r="AR161" s="724"/>
      <c r="AS161" s="724"/>
      <c r="AT161" s="724"/>
      <c r="AU161" s="724"/>
      <c r="AV161" s="724"/>
      <c r="AW161" s="724"/>
      <c r="AX161" s="724"/>
      <c r="AY161" s="724"/>
      <c r="AZ161" s="724"/>
      <c r="BA161" s="724"/>
      <c r="BB161" s="724"/>
      <c r="BC161" s="725">
        <f t="shared" si="10"/>
        <v>90400</v>
      </c>
      <c r="BD161" s="724">
        <f>+BC161-'BOULEVARD 5 orig.'!I166</f>
        <v>0</v>
      </c>
      <c r="BE161" s="724">
        <f t="shared" si="11"/>
        <v>90400</v>
      </c>
      <c r="BF161" s="726">
        <f>VLOOKUP(A161,'BOULEVARD 5 orig.'!B166:AS464,42,0)</f>
        <v>0</v>
      </c>
      <c r="BG161" s="727">
        <f t="shared" si="12"/>
        <v>18</v>
      </c>
      <c r="BH161" s="728">
        <f t="shared" si="9"/>
        <v>5022.2222222222226</v>
      </c>
    </row>
    <row r="162" spans="1:60" x14ac:dyDescent="0.2">
      <c r="A162" s="723">
        <v>914</v>
      </c>
      <c r="B162" s="723" t="str">
        <f>'BOULEVARD 5'!H167</f>
        <v>4.Plan de pagos</v>
      </c>
      <c r="C162" s="724"/>
      <c r="D162" s="724"/>
      <c r="E162" s="724"/>
      <c r="F162" s="724"/>
      <c r="G162" s="724"/>
      <c r="H162" s="724"/>
      <c r="I162" s="724"/>
      <c r="J162" s="724"/>
      <c r="K162" s="724"/>
      <c r="L162" s="724"/>
      <c r="M162" s="724">
        <v>8000</v>
      </c>
      <c r="N162" s="724">
        <v>4020</v>
      </c>
      <c r="O162" s="724">
        <v>4020</v>
      </c>
      <c r="P162" s="724">
        <v>4020</v>
      </c>
      <c r="Q162" s="724">
        <v>4020</v>
      </c>
      <c r="R162" s="724">
        <v>4020</v>
      </c>
      <c r="S162" s="724">
        <v>4020</v>
      </c>
      <c r="T162" s="724">
        <v>4020</v>
      </c>
      <c r="U162" s="724">
        <v>4020</v>
      </c>
      <c r="V162" s="724">
        <v>4020</v>
      </c>
      <c r="W162" s="724">
        <v>4020</v>
      </c>
      <c r="X162" s="724">
        <v>4020</v>
      </c>
      <c r="Y162" s="724">
        <v>4020</v>
      </c>
      <c r="Z162" s="724">
        <v>4020</v>
      </c>
      <c r="AA162" s="724">
        <v>4020</v>
      </c>
      <c r="AB162" s="724">
        <v>4020</v>
      </c>
      <c r="AC162" s="724">
        <v>4020</v>
      </c>
      <c r="AD162" s="724">
        <v>4020</v>
      </c>
      <c r="AE162" s="724">
        <v>4020</v>
      </c>
      <c r="AF162" s="724">
        <v>4020</v>
      </c>
      <c r="AG162" s="724">
        <v>4020</v>
      </c>
      <c r="AH162" s="724"/>
      <c r="AI162" s="724"/>
      <c r="AJ162" s="724"/>
      <c r="AK162" s="724"/>
      <c r="AL162" s="724"/>
      <c r="AM162" s="724"/>
      <c r="AN162" s="724"/>
      <c r="AO162" s="724"/>
      <c r="AP162" s="724"/>
      <c r="AQ162" s="724"/>
      <c r="AR162" s="724"/>
      <c r="AS162" s="724"/>
      <c r="AT162" s="724"/>
      <c r="AU162" s="724"/>
      <c r="AV162" s="724"/>
      <c r="AW162" s="724"/>
      <c r="AX162" s="724"/>
      <c r="AY162" s="724"/>
      <c r="AZ162" s="724"/>
      <c r="BA162" s="724"/>
      <c r="BB162" s="724"/>
      <c r="BC162" s="725">
        <f t="shared" si="10"/>
        <v>88400</v>
      </c>
      <c r="BD162" s="724">
        <f>+BC162-'BOULEVARD 5 orig.'!I167</f>
        <v>0</v>
      </c>
      <c r="BE162" s="724">
        <f t="shared" si="11"/>
        <v>88400</v>
      </c>
      <c r="BF162" s="726">
        <f>VLOOKUP(A162,'BOULEVARD 5 orig.'!B167:AS465,42,0)</f>
        <v>0</v>
      </c>
      <c r="BG162" s="727">
        <f t="shared" si="12"/>
        <v>21</v>
      </c>
      <c r="BH162" s="728">
        <f t="shared" si="9"/>
        <v>4209.5238095238092</v>
      </c>
    </row>
    <row r="163" spans="1:60" x14ac:dyDescent="0.2">
      <c r="A163" s="723">
        <v>915</v>
      </c>
      <c r="B163" s="723" t="str">
        <f>'BOULEVARD 5'!H168</f>
        <v>4.Plan de pagos</v>
      </c>
      <c r="C163" s="724"/>
      <c r="D163" s="724"/>
      <c r="E163" s="724"/>
      <c r="F163" s="724"/>
      <c r="G163" s="724"/>
      <c r="H163" s="724"/>
      <c r="I163" s="724">
        <v>6000</v>
      </c>
      <c r="J163" s="724">
        <v>5208</v>
      </c>
      <c r="K163" s="724">
        <v>5208</v>
      </c>
      <c r="L163" s="724">
        <v>5208</v>
      </c>
      <c r="M163" s="724">
        <v>5208</v>
      </c>
      <c r="N163" s="724">
        <v>5208</v>
      </c>
      <c r="O163" s="724">
        <v>5208</v>
      </c>
      <c r="P163" s="724">
        <v>5208</v>
      </c>
      <c r="Q163" s="724">
        <v>5208</v>
      </c>
      <c r="R163" s="724">
        <v>5208</v>
      </c>
      <c r="S163" s="724">
        <v>5208</v>
      </c>
      <c r="T163" s="724">
        <v>5208</v>
      </c>
      <c r="U163" s="724">
        <v>5208</v>
      </c>
      <c r="V163" s="724">
        <v>5208</v>
      </c>
      <c r="W163" s="724">
        <v>5208</v>
      </c>
      <c r="X163" s="724">
        <v>5208</v>
      </c>
      <c r="Y163" s="724">
        <v>5208</v>
      </c>
      <c r="Z163" s="724">
        <v>5208</v>
      </c>
      <c r="AA163" s="724">
        <v>5208</v>
      </c>
      <c r="AB163" s="724">
        <v>5208</v>
      </c>
      <c r="AC163" s="724">
        <v>5208</v>
      </c>
      <c r="AD163" s="724">
        <v>5208</v>
      </c>
      <c r="AE163" s="724">
        <v>5208</v>
      </c>
      <c r="AF163" s="724">
        <v>5208</v>
      </c>
      <c r="AG163" s="724">
        <v>5213.4399999999996</v>
      </c>
      <c r="AH163" s="724"/>
      <c r="AI163" s="724"/>
      <c r="AJ163" s="724"/>
      <c r="AK163" s="724"/>
      <c r="AL163" s="724"/>
      <c r="AM163" s="724"/>
      <c r="AN163" s="724"/>
      <c r="AO163" s="724"/>
      <c r="AP163" s="724"/>
      <c r="AQ163" s="724"/>
      <c r="AR163" s="724"/>
      <c r="AS163" s="724"/>
      <c r="AT163" s="724"/>
      <c r="AU163" s="724"/>
      <c r="AV163" s="724"/>
      <c r="AW163" s="724"/>
      <c r="AX163" s="724"/>
      <c r="AY163" s="724"/>
      <c r="AZ163" s="724"/>
      <c r="BA163" s="724"/>
      <c r="BB163" s="724"/>
      <c r="BC163" s="725">
        <f t="shared" si="10"/>
        <v>130997.44</v>
      </c>
      <c r="BD163" s="724">
        <f>+BC163-'BOULEVARD 5 orig.'!I168</f>
        <v>0</v>
      </c>
      <c r="BE163" s="724">
        <f t="shared" si="11"/>
        <v>130997.44</v>
      </c>
      <c r="BF163" s="726">
        <f>VLOOKUP(A163,'BOULEVARD 5 orig.'!B168:AS466,42,0)</f>
        <v>0</v>
      </c>
      <c r="BG163" s="727">
        <f t="shared" si="12"/>
        <v>25</v>
      </c>
      <c r="BH163" s="728">
        <f t="shared" si="9"/>
        <v>5239.8976000000002</v>
      </c>
    </row>
    <row r="164" spans="1:60" x14ac:dyDescent="0.2">
      <c r="A164" s="723">
        <v>916</v>
      </c>
      <c r="B164" s="723" t="str">
        <f>'BOULEVARD 5'!H169</f>
        <v>4.Plan de pagos</v>
      </c>
      <c r="C164" s="724"/>
      <c r="D164" s="724"/>
      <c r="E164" s="724">
        <v>6000</v>
      </c>
      <c r="F164" s="724">
        <v>2250</v>
      </c>
      <c r="G164" s="724">
        <v>2250</v>
      </c>
      <c r="H164" s="724">
        <v>2250</v>
      </c>
      <c r="I164" s="724">
        <v>2250</v>
      </c>
      <c r="J164" s="724">
        <v>2250</v>
      </c>
      <c r="K164" s="724">
        <v>2250</v>
      </c>
      <c r="L164" s="724">
        <v>2250</v>
      </c>
      <c r="M164" s="724">
        <v>2250</v>
      </c>
      <c r="N164" s="724">
        <v>2250</v>
      </c>
      <c r="O164" s="724">
        <v>2250</v>
      </c>
      <c r="P164" s="724">
        <v>2250</v>
      </c>
      <c r="Q164" s="724">
        <v>2250</v>
      </c>
      <c r="R164" s="724">
        <v>2250</v>
      </c>
      <c r="S164" s="724">
        <v>2250</v>
      </c>
      <c r="T164" s="724">
        <v>2250</v>
      </c>
      <c r="U164" s="724">
        <v>2250</v>
      </c>
      <c r="V164" s="724">
        <v>2250</v>
      </c>
      <c r="W164" s="724">
        <v>2250</v>
      </c>
      <c r="X164" s="724">
        <v>2250</v>
      </c>
      <c r="Y164" s="724">
        <v>2250</v>
      </c>
      <c r="Z164" s="724">
        <v>2250</v>
      </c>
      <c r="AA164" s="724">
        <v>2250</v>
      </c>
      <c r="AB164" s="724">
        <v>2250</v>
      </c>
      <c r="AC164" s="724">
        <v>2250</v>
      </c>
      <c r="AD164" s="724">
        <v>2250</v>
      </c>
      <c r="AE164" s="724">
        <v>2250</v>
      </c>
      <c r="AF164" s="724">
        <v>2250</v>
      </c>
      <c r="AG164" s="724">
        <v>2050</v>
      </c>
      <c r="AH164" s="724"/>
      <c r="AI164" s="724"/>
      <c r="AJ164" s="724"/>
      <c r="AK164" s="724"/>
      <c r="AL164" s="724"/>
      <c r="AM164" s="724"/>
      <c r="AN164" s="724"/>
      <c r="AO164" s="724"/>
      <c r="AP164" s="724"/>
      <c r="AQ164" s="724"/>
      <c r="AR164" s="724"/>
      <c r="AS164" s="724"/>
      <c r="AT164" s="724"/>
      <c r="AU164" s="724"/>
      <c r="AV164" s="724"/>
      <c r="AW164" s="724"/>
      <c r="AX164" s="724"/>
      <c r="AY164" s="724"/>
      <c r="AZ164" s="724"/>
      <c r="BA164" s="724"/>
      <c r="BB164" s="724"/>
      <c r="BC164" s="725">
        <f t="shared" si="10"/>
        <v>68800</v>
      </c>
      <c r="BD164" s="724">
        <f>+BC164-'BOULEVARD 5 orig.'!I169</f>
        <v>0</v>
      </c>
      <c r="BE164" s="724">
        <f t="shared" si="11"/>
        <v>68800</v>
      </c>
      <c r="BF164" s="726">
        <f>VLOOKUP(A164,'BOULEVARD 5 orig.'!B169:AS467,42,0)</f>
        <v>0</v>
      </c>
      <c r="BG164" s="727">
        <f t="shared" si="12"/>
        <v>29</v>
      </c>
      <c r="BH164" s="728">
        <f t="shared" si="9"/>
        <v>2372.4137931034484</v>
      </c>
    </row>
    <row r="165" spans="1:60" x14ac:dyDescent="0.2">
      <c r="A165" s="723">
        <v>917</v>
      </c>
      <c r="B165" s="723" t="str">
        <f>'BOULEVARD 5'!H170</f>
        <v>4.Plan de pagos</v>
      </c>
      <c r="C165" s="724"/>
      <c r="D165" s="724"/>
      <c r="E165" s="724">
        <v>6000</v>
      </c>
      <c r="F165" s="724">
        <v>2250</v>
      </c>
      <c r="G165" s="724">
        <v>2250</v>
      </c>
      <c r="H165" s="724">
        <v>2250</v>
      </c>
      <c r="I165" s="724">
        <v>2250</v>
      </c>
      <c r="J165" s="724">
        <v>2250</v>
      </c>
      <c r="K165" s="724">
        <v>2250</v>
      </c>
      <c r="L165" s="724">
        <v>2250</v>
      </c>
      <c r="M165" s="724">
        <v>2250</v>
      </c>
      <c r="N165" s="724">
        <v>2250</v>
      </c>
      <c r="O165" s="724">
        <v>2250</v>
      </c>
      <c r="P165" s="724">
        <v>2250</v>
      </c>
      <c r="Q165" s="724">
        <v>2250</v>
      </c>
      <c r="R165" s="724">
        <v>2250</v>
      </c>
      <c r="S165" s="724">
        <v>2250</v>
      </c>
      <c r="T165" s="724">
        <v>2250</v>
      </c>
      <c r="U165" s="724">
        <v>2250</v>
      </c>
      <c r="V165" s="724">
        <v>2250</v>
      </c>
      <c r="W165" s="724">
        <v>2250</v>
      </c>
      <c r="X165" s="724">
        <v>2250</v>
      </c>
      <c r="Y165" s="724">
        <v>2250</v>
      </c>
      <c r="Z165" s="724">
        <v>2250</v>
      </c>
      <c r="AA165" s="724">
        <v>2250</v>
      </c>
      <c r="AB165" s="724">
        <v>2250</v>
      </c>
      <c r="AC165" s="724">
        <v>2250</v>
      </c>
      <c r="AD165" s="724">
        <v>2250</v>
      </c>
      <c r="AE165" s="724">
        <v>2250</v>
      </c>
      <c r="AF165" s="724">
        <v>2250</v>
      </c>
      <c r="AG165" s="724">
        <v>3250</v>
      </c>
      <c r="AH165" s="724"/>
      <c r="AI165" s="724"/>
      <c r="AJ165" s="724"/>
      <c r="AK165" s="724"/>
      <c r="AL165" s="724"/>
      <c r="AM165" s="724"/>
      <c r="AN165" s="724"/>
      <c r="AO165" s="724"/>
      <c r="AP165" s="724"/>
      <c r="AQ165" s="724"/>
      <c r="AR165" s="724"/>
      <c r="AS165" s="724"/>
      <c r="AT165" s="724"/>
      <c r="AU165" s="724"/>
      <c r="AV165" s="724"/>
      <c r="AW165" s="724"/>
      <c r="AX165" s="724"/>
      <c r="AY165" s="724"/>
      <c r="AZ165" s="724"/>
      <c r="BA165" s="724"/>
      <c r="BB165" s="724"/>
      <c r="BC165" s="725">
        <f t="shared" si="10"/>
        <v>70000</v>
      </c>
      <c r="BD165" s="724">
        <f>+BC165-'BOULEVARD 5 orig.'!I170</f>
        <v>0</v>
      </c>
      <c r="BE165" s="724">
        <f t="shared" si="11"/>
        <v>70000</v>
      </c>
      <c r="BF165" s="726">
        <f>VLOOKUP(A165,'BOULEVARD 5 orig.'!B170:AS468,42,0)</f>
        <v>0</v>
      </c>
      <c r="BG165" s="727">
        <f t="shared" si="12"/>
        <v>29</v>
      </c>
      <c r="BH165" s="728">
        <f t="shared" si="9"/>
        <v>2413.7931034482758</v>
      </c>
    </row>
    <row r="166" spans="1:60" x14ac:dyDescent="0.2">
      <c r="A166" s="723">
        <v>918</v>
      </c>
      <c r="B166" s="723" t="str">
        <f>'BOULEVARD 5'!H171</f>
        <v>4.Plan de pagos</v>
      </c>
      <c r="C166" s="724"/>
      <c r="D166" s="724"/>
      <c r="E166" s="724"/>
      <c r="F166" s="724"/>
      <c r="G166" s="724">
        <v>6000</v>
      </c>
      <c r="H166" s="724">
        <v>2477</v>
      </c>
      <c r="I166" s="724">
        <v>2477</v>
      </c>
      <c r="J166" s="724">
        <v>2477</v>
      </c>
      <c r="K166" s="724">
        <v>2477</v>
      </c>
      <c r="L166" s="724">
        <v>2477</v>
      </c>
      <c r="M166" s="724">
        <v>2477</v>
      </c>
      <c r="N166" s="724">
        <v>2477</v>
      </c>
      <c r="O166" s="724">
        <v>2477</v>
      </c>
      <c r="P166" s="724">
        <v>2477</v>
      </c>
      <c r="Q166" s="724">
        <v>2477</v>
      </c>
      <c r="R166" s="724">
        <v>2477</v>
      </c>
      <c r="S166" s="724">
        <v>2477</v>
      </c>
      <c r="T166" s="724">
        <v>2477</v>
      </c>
      <c r="U166" s="724">
        <v>2477</v>
      </c>
      <c r="V166" s="724">
        <v>2477</v>
      </c>
      <c r="W166" s="724">
        <v>2477</v>
      </c>
      <c r="X166" s="724">
        <v>2477</v>
      </c>
      <c r="Y166" s="724">
        <v>2477</v>
      </c>
      <c r="Z166" s="724">
        <v>2477</v>
      </c>
      <c r="AA166" s="724">
        <v>2477</v>
      </c>
      <c r="AB166" s="724">
        <v>2477</v>
      </c>
      <c r="AC166" s="724">
        <v>2477</v>
      </c>
      <c r="AD166" s="724">
        <v>2477</v>
      </c>
      <c r="AE166" s="724">
        <v>2477</v>
      </c>
      <c r="AF166" s="724">
        <v>2477</v>
      </c>
      <c r="AG166" s="724">
        <v>2475</v>
      </c>
      <c r="AH166" s="724"/>
      <c r="AI166" s="724"/>
      <c r="AJ166" s="724"/>
      <c r="AK166" s="724"/>
      <c r="AL166" s="724"/>
      <c r="AM166" s="724"/>
      <c r="AN166" s="724"/>
      <c r="AO166" s="724"/>
      <c r="AP166" s="724"/>
      <c r="AQ166" s="724"/>
      <c r="AR166" s="724"/>
      <c r="AS166" s="724"/>
      <c r="AT166" s="724"/>
      <c r="AU166" s="724"/>
      <c r="AV166" s="724"/>
      <c r="AW166" s="724"/>
      <c r="AX166" s="724"/>
      <c r="AY166" s="724"/>
      <c r="AZ166" s="724"/>
      <c r="BA166" s="724"/>
      <c r="BB166" s="724"/>
      <c r="BC166" s="725">
        <f t="shared" si="10"/>
        <v>70400</v>
      </c>
      <c r="BD166" s="724">
        <f>+BC166-'BOULEVARD 5 orig.'!I171</f>
        <v>0</v>
      </c>
      <c r="BE166" s="724">
        <f t="shared" si="11"/>
        <v>70400</v>
      </c>
      <c r="BF166" s="726">
        <f>VLOOKUP(A166,'BOULEVARD 5 orig.'!B171:AS469,42,0)</f>
        <v>0</v>
      </c>
      <c r="BG166" s="727">
        <f t="shared" si="12"/>
        <v>27</v>
      </c>
      <c r="BH166" s="728">
        <f t="shared" si="9"/>
        <v>2607.4074074074074</v>
      </c>
    </row>
    <row r="167" spans="1:60" x14ac:dyDescent="0.2">
      <c r="A167" s="723">
        <v>919</v>
      </c>
      <c r="B167" s="723" t="str">
        <f>'BOULEVARD 5'!H172</f>
        <v>4.Plan de pagos</v>
      </c>
      <c r="C167" s="724">
        <v>6000</v>
      </c>
      <c r="D167" s="724">
        <v>2465</v>
      </c>
      <c r="E167" s="724">
        <v>2465</v>
      </c>
      <c r="F167" s="724">
        <v>2465</v>
      </c>
      <c r="G167" s="724">
        <v>2465</v>
      </c>
      <c r="H167" s="724">
        <v>2465</v>
      </c>
      <c r="I167" s="724">
        <v>2465</v>
      </c>
      <c r="J167" s="724">
        <v>2465</v>
      </c>
      <c r="K167" s="724">
        <v>2465</v>
      </c>
      <c r="L167" s="724">
        <v>2465</v>
      </c>
      <c r="M167" s="724">
        <v>2465</v>
      </c>
      <c r="N167" s="724">
        <v>2465</v>
      </c>
      <c r="O167" s="724">
        <v>2465</v>
      </c>
      <c r="P167" s="724">
        <v>2465</v>
      </c>
      <c r="Q167" s="724">
        <v>2465</v>
      </c>
      <c r="R167" s="724">
        <v>2465</v>
      </c>
      <c r="S167" s="724">
        <v>2465</v>
      </c>
      <c r="T167" s="724">
        <v>2465</v>
      </c>
      <c r="U167" s="724">
        <v>2465</v>
      </c>
      <c r="V167" s="724">
        <v>2465</v>
      </c>
      <c r="W167" s="724">
        <v>2465</v>
      </c>
      <c r="X167" s="724">
        <v>2465</v>
      </c>
      <c r="Y167" s="724">
        <v>2465</v>
      </c>
      <c r="Z167" s="724">
        <v>2465</v>
      </c>
      <c r="AA167" s="724">
        <v>2465</v>
      </c>
      <c r="AB167" s="724">
        <v>2465</v>
      </c>
      <c r="AC167" s="724">
        <v>2465</v>
      </c>
      <c r="AD167" s="724">
        <v>2465</v>
      </c>
      <c r="AE167" s="724">
        <v>2465</v>
      </c>
      <c r="AF167" s="724">
        <v>2465</v>
      </c>
      <c r="AG167" s="724">
        <v>2465</v>
      </c>
      <c r="AH167" s="724">
        <v>2465</v>
      </c>
      <c r="AI167" s="724">
        <v>2465</v>
      </c>
      <c r="AJ167" s="724">
        <v>2465</v>
      </c>
      <c r="AK167" s="724">
        <v>2465</v>
      </c>
      <c r="AL167" s="724">
        <v>2390</v>
      </c>
      <c r="AM167" s="724"/>
      <c r="AN167" s="724"/>
      <c r="AO167" s="724"/>
      <c r="AP167" s="724"/>
      <c r="AQ167" s="724"/>
      <c r="AR167" s="724"/>
      <c r="AS167" s="724"/>
      <c r="AT167" s="724"/>
      <c r="AU167" s="724"/>
      <c r="AV167" s="724"/>
      <c r="AW167" s="724"/>
      <c r="AX167" s="724"/>
      <c r="AY167" s="724"/>
      <c r="AZ167" s="724"/>
      <c r="BA167" s="724"/>
      <c r="BB167" s="724"/>
      <c r="BC167" s="725">
        <f t="shared" si="10"/>
        <v>92200</v>
      </c>
      <c r="BD167" s="724">
        <f>+BC167-'BOULEVARD 5 orig.'!I172</f>
        <v>0</v>
      </c>
      <c r="BE167" s="724">
        <f t="shared" si="11"/>
        <v>92200</v>
      </c>
      <c r="BF167" s="726">
        <f>VLOOKUP(A167,'BOULEVARD 5 orig.'!B172:AS470,42,0)</f>
        <v>0</v>
      </c>
      <c r="BG167" s="727">
        <f t="shared" si="12"/>
        <v>36</v>
      </c>
      <c r="BH167" s="728">
        <f t="shared" si="9"/>
        <v>2561.1111111111113</v>
      </c>
    </row>
    <row r="168" spans="1:60" x14ac:dyDescent="0.2">
      <c r="A168" s="729">
        <v>920</v>
      </c>
      <c r="B168" s="723" t="str">
        <f>'BOULEVARD 5'!H173</f>
        <v>4.Plan de pagos</v>
      </c>
      <c r="C168" s="730"/>
      <c r="D168" s="730"/>
      <c r="E168" s="730"/>
      <c r="F168" s="730"/>
      <c r="G168" s="730"/>
      <c r="H168" s="730"/>
      <c r="I168" s="730"/>
      <c r="J168" s="730"/>
      <c r="K168" s="730">
        <f>8000+3859.09</f>
        <v>11859.09</v>
      </c>
      <c r="L168" s="730">
        <v>3859.09</v>
      </c>
      <c r="M168" s="730">
        <v>3859.09</v>
      </c>
      <c r="N168" s="730">
        <v>3859.09</v>
      </c>
      <c r="O168" s="730">
        <v>3859.09</v>
      </c>
      <c r="P168" s="730">
        <v>3859.09</v>
      </c>
      <c r="Q168" s="730">
        <v>3859.09</v>
      </c>
      <c r="R168" s="730">
        <v>3859.09</v>
      </c>
      <c r="S168" s="730">
        <v>3859.09</v>
      </c>
      <c r="T168" s="730">
        <v>3859.09</v>
      </c>
      <c r="U168" s="730">
        <v>3859.09</v>
      </c>
      <c r="V168" s="730">
        <v>3859.09</v>
      </c>
      <c r="W168" s="730">
        <v>3859.09</v>
      </c>
      <c r="X168" s="730">
        <v>3859.09</v>
      </c>
      <c r="Y168" s="730">
        <v>3859.09</v>
      </c>
      <c r="Z168" s="730">
        <v>3859.09</v>
      </c>
      <c r="AA168" s="730">
        <v>3859.09</v>
      </c>
      <c r="AB168" s="730">
        <v>3859.09</v>
      </c>
      <c r="AC168" s="730">
        <v>3859.09</v>
      </c>
      <c r="AD168" s="730">
        <v>3859.09</v>
      </c>
      <c r="AE168" s="730">
        <v>3859.09</v>
      </c>
      <c r="AF168" s="730">
        <v>3859.11</v>
      </c>
      <c r="AG168" s="730"/>
      <c r="AH168" s="730"/>
      <c r="AI168" s="730"/>
      <c r="AJ168" s="730"/>
      <c r="AK168" s="730"/>
      <c r="AL168" s="730"/>
      <c r="AM168" s="730"/>
      <c r="AN168" s="730"/>
      <c r="AO168" s="730"/>
      <c r="AP168" s="730"/>
      <c r="AQ168" s="730"/>
      <c r="AR168" s="730"/>
      <c r="AS168" s="730"/>
      <c r="AT168" s="730"/>
      <c r="AU168" s="730"/>
      <c r="AV168" s="730"/>
      <c r="AW168" s="730"/>
      <c r="AX168" s="730"/>
      <c r="AY168" s="730"/>
      <c r="AZ168" s="730"/>
      <c r="BA168" s="730"/>
      <c r="BB168" s="730"/>
      <c r="BC168" s="731">
        <f t="shared" si="10"/>
        <v>92899.999999999956</v>
      </c>
      <c r="BD168" s="730">
        <f>+BC168-'BOULEVARD 5 orig.'!I173</f>
        <v>0</v>
      </c>
      <c r="BE168" s="730">
        <f t="shared" si="11"/>
        <v>92899.999999999956</v>
      </c>
      <c r="BF168" s="732">
        <f>VLOOKUP(A168,'BOULEVARD 5 orig.'!B173:AS471,42,0)</f>
        <v>0</v>
      </c>
      <c r="BG168" s="733">
        <f t="shared" si="12"/>
        <v>22</v>
      </c>
      <c r="BH168" s="734">
        <f t="shared" si="9"/>
        <v>4222.7272727272712</v>
      </c>
    </row>
    <row r="169" spans="1:60" x14ac:dyDescent="0.2">
      <c r="A169" s="723">
        <v>1001</v>
      </c>
      <c r="B169" s="723" t="str">
        <f>'BOULEVARD 5'!H174</f>
        <v>4.Plan de pagos</v>
      </c>
      <c r="C169" s="724"/>
      <c r="D169" s="724">
        <v>6000</v>
      </c>
      <c r="E169" s="724">
        <v>3579</v>
      </c>
      <c r="F169" s="724">
        <v>3579</v>
      </c>
      <c r="G169" s="724">
        <v>3579</v>
      </c>
      <c r="H169" s="724">
        <v>3579</v>
      </c>
      <c r="I169" s="724">
        <v>3579</v>
      </c>
      <c r="J169" s="724">
        <v>3579</v>
      </c>
      <c r="K169" s="724">
        <v>3579</v>
      </c>
      <c r="L169" s="724">
        <v>3579</v>
      </c>
      <c r="M169" s="724">
        <v>3579</v>
      </c>
      <c r="N169" s="724">
        <v>3579</v>
      </c>
      <c r="O169" s="724">
        <v>3579</v>
      </c>
      <c r="P169" s="724">
        <v>3579</v>
      </c>
      <c r="Q169" s="724">
        <v>3579</v>
      </c>
      <c r="R169" s="724">
        <v>3579</v>
      </c>
      <c r="S169" s="724">
        <v>3579</v>
      </c>
      <c r="T169" s="724">
        <v>3579</v>
      </c>
      <c r="U169" s="724">
        <v>3579</v>
      </c>
      <c r="V169" s="724">
        <v>3579</v>
      </c>
      <c r="W169" s="724">
        <v>3579</v>
      </c>
      <c r="X169" s="724">
        <v>3579</v>
      </c>
      <c r="Y169" s="724">
        <v>3579</v>
      </c>
      <c r="Z169" s="724">
        <v>3579</v>
      </c>
      <c r="AA169" s="724">
        <v>3579</v>
      </c>
      <c r="AB169" s="724">
        <v>3579</v>
      </c>
      <c r="AC169" s="724">
        <v>3579</v>
      </c>
      <c r="AD169" s="724">
        <v>3579</v>
      </c>
      <c r="AE169" s="724">
        <v>3579</v>
      </c>
      <c r="AF169" s="724">
        <v>3579</v>
      </c>
      <c r="AG169" s="724">
        <v>3588</v>
      </c>
      <c r="AH169" s="724"/>
      <c r="AI169" s="724"/>
      <c r="AJ169" s="724"/>
      <c r="AK169" s="724"/>
      <c r="AL169" s="724"/>
      <c r="AM169" s="724"/>
      <c r="AN169" s="724"/>
      <c r="AO169" s="724"/>
      <c r="AP169" s="724"/>
      <c r="AQ169" s="724"/>
      <c r="AR169" s="724"/>
      <c r="AS169" s="724"/>
      <c r="AT169" s="724"/>
      <c r="AU169" s="724"/>
      <c r="AV169" s="724"/>
      <c r="AW169" s="724"/>
      <c r="AX169" s="724"/>
      <c r="AY169" s="724"/>
      <c r="AZ169" s="724"/>
      <c r="BA169" s="724"/>
      <c r="BB169" s="724"/>
      <c r="BC169" s="725">
        <f t="shared" si="10"/>
        <v>109800</v>
      </c>
      <c r="BD169" s="724">
        <f>+BC169-'BOULEVARD 5 orig.'!I174</f>
        <v>0</v>
      </c>
      <c r="BE169" s="724">
        <f t="shared" si="11"/>
        <v>109800</v>
      </c>
      <c r="BF169" s="726">
        <f>VLOOKUP(A169,'BOULEVARD 5 orig.'!B174:AS472,42,0)</f>
        <v>0</v>
      </c>
      <c r="BG169" s="727">
        <f t="shared" si="12"/>
        <v>30</v>
      </c>
      <c r="BH169" s="728">
        <f t="shared" si="9"/>
        <v>3660</v>
      </c>
    </row>
    <row r="170" spans="1:60" x14ac:dyDescent="0.2">
      <c r="A170" s="723">
        <v>1002</v>
      </c>
      <c r="B170" s="723" t="str">
        <f>'BOULEVARD 5'!H175</f>
        <v>4.Plan de pagos</v>
      </c>
      <c r="C170" s="724">
        <v>6000</v>
      </c>
      <c r="D170" s="724">
        <v>6000</v>
      </c>
      <c r="E170" s="724">
        <v>6000</v>
      </c>
      <c r="F170" s="724">
        <v>6000</v>
      </c>
      <c r="G170" s="724">
        <v>6000</v>
      </c>
      <c r="H170" s="724">
        <v>6000</v>
      </c>
      <c r="I170" s="724">
        <v>6000</v>
      </c>
      <c r="J170" s="724">
        <v>6000</v>
      </c>
      <c r="K170" s="724">
        <v>6000</v>
      </c>
      <c r="L170" s="724">
        <v>6000</v>
      </c>
      <c r="M170" s="724">
        <v>6000</v>
      </c>
      <c r="N170" s="724">
        <v>6000</v>
      </c>
      <c r="O170" s="724">
        <v>6000</v>
      </c>
      <c r="P170" s="724">
        <v>6000</v>
      </c>
      <c r="Q170" s="724">
        <v>6000</v>
      </c>
      <c r="R170" s="724">
        <v>6000</v>
      </c>
      <c r="S170" s="724">
        <v>6000</v>
      </c>
      <c r="T170" s="724">
        <v>6000</v>
      </c>
      <c r="U170" s="724">
        <v>6000</v>
      </c>
      <c r="V170" s="724">
        <v>6000</v>
      </c>
      <c r="W170" s="724">
        <v>6000</v>
      </c>
      <c r="X170" s="724">
        <v>6000</v>
      </c>
      <c r="Y170" s="724">
        <v>6000</v>
      </c>
      <c r="Z170" s="724">
        <v>6000</v>
      </c>
      <c r="AA170" s="724">
        <v>6000</v>
      </c>
      <c r="AB170" s="724">
        <v>6000</v>
      </c>
      <c r="AC170" s="724">
        <v>6000</v>
      </c>
      <c r="AD170" s="724">
        <v>6000</v>
      </c>
      <c r="AE170" s="724">
        <v>6000</v>
      </c>
      <c r="AF170" s="724">
        <v>6000</v>
      </c>
      <c r="AG170" s="724">
        <v>6000</v>
      </c>
      <c r="AH170" s="724">
        <v>6000</v>
      </c>
      <c r="AI170" s="724">
        <v>6000</v>
      </c>
      <c r="AJ170" s="724">
        <v>6000</v>
      </c>
      <c r="AK170" s="724">
        <v>6000</v>
      </c>
      <c r="AL170" s="724">
        <v>6000</v>
      </c>
      <c r="AM170" s="724"/>
      <c r="AN170" s="724"/>
      <c r="AO170" s="724"/>
      <c r="AP170" s="724"/>
      <c r="AQ170" s="724"/>
      <c r="AR170" s="724"/>
      <c r="AS170" s="724"/>
      <c r="AT170" s="724"/>
      <c r="AU170" s="724"/>
      <c r="AV170" s="724"/>
      <c r="AW170" s="724"/>
      <c r="AX170" s="724"/>
      <c r="AY170" s="724"/>
      <c r="AZ170" s="724"/>
      <c r="BA170" s="724"/>
      <c r="BB170" s="724"/>
      <c r="BC170" s="725">
        <f t="shared" si="10"/>
        <v>216000</v>
      </c>
      <c r="BD170" s="724">
        <f>+BC170-'BOULEVARD 5 orig.'!I175</f>
        <v>0</v>
      </c>
      <c r="BE170" s="724">
        <f t="shared" si="11"/>
        <v>216000</v>
      </c>
      <c r="BF170" s="726">
        <f>VLOOKUP(A170,'BOULEVARD 5 orig.'!B175:AS473,42,0)</f>
        <v>0</v>
      </c>
      <c r="BG170" s="727">
        <f t="shared" si="12"/>
        <v>36</v>
      </c>
      <c r="BH170" s="728">
        <f t="shared" si="9"/>
        <v>6000</v>
      </c>
    </row>
    <row r="171" spans="1:60" x14ac:dyDescent="0.2">
      <c r="A171" s="723">
        <v>1003</v>
      </c>
      <c r="B171" s="723" t="str">
        <f>'BOULEVARD 5'!H176</f>
        <v>4.Plan de pagos</v>
      </c>
      <c r="C171" s="724"/>
      <c r="D171" s="724"/>
      <c r="E171" s="724">
        <v>6000</v>
      </c>
      <c r="F171" s="724">
        <v>2300</v>
      </c>
      <c r="G171" s="724">
        <v>2300</v>
      </c>
      <c r="H171" s="724">
        <v>2300</v>
      </c>
      <c r="I171" s="724">
        <v>2300</v>
      </c>
      <c r="J171" s="724">
        <v>2300</v>
      </c>
      <c r="K171" s="724">
        <v>2300</v>
      </c>
      <c r="L171" s="724">
        <v>2300</v>
      </c>
      <c r="M171" s="724">
        <v>2300</v>
      </c>
      <c r="N171" s="724">
        <v>2300</v>
      </c>
      <c r="O171" s="724">
        <v>2300</v>
      </c>
      <c r="P171" s="724">
        <v>2300</v>
      </c>
      <c r="Q171" s="724">
        <v>2300</v>
      </c>
      <c r="R171" s="724">
        <v>2300</v>
      </c>
      <c r="S171" s="724">
        <v>2300</v>
      </c>
      <c r="T171" s="724">
        <v>2300</v>
      </c>
      <c r="U171" s="724">
        <v>2300</v>
      </c>
      <c r="V171" s="724">
        <v>2300</v>
      </c>
      <c r="W171" s="724">
        <v>2300</v>
      </c>
      <c r="X171" s="724">
        <v>2300</v>
      </c>
      <c r="Y171" s="724">
        <v>2300</v>
      </c>
      <c r="Z171" s="724">
        <v>2300</v>
      </c>
      <c r="AA171" s="724">
        <v>2300</v>
      </c>
      <c r="AB171" s="724">
        <v>2300</v>
      </c>
      <c r="AC171" s="724">
        <v>2300</v>
      </c>
      <c r="AD171" s="724">
        <v>2300</v>
      </c>
      <c r="AE171" s="724">
        <v>2300</v>
      </c>
      <c r="AF171" s="724">
        <v>2300</v>
      </c>
      <c r="AG171" s="724">
        <v>2300</v>
      </c>
      <c r="AH171" s="724"/>
      <c r="AI171" s="724"/>
      <c r="AJ171" s="724"/>
      <c r="AK171" s="724"/>
      <c r="AL171" s="724"/>
      <c r="AM171" s="724"/>
      <c r="AN171" s="724"/>
      <c r="AO171" s="724"/>
      <c r="AP171" s="724"/>
      <c r="AQ171" s="724"/>
      <c r="AR171" s="724"/>
      <c r="AS171" s="724"/>
      <c r="AT171" s="724"/>
      <c r="AU171" s="724"/>
      <c r="AV171" s="724"/>
      <c r="AW171" s="724"/>
      <c r="AX171" s="724"/>
      <c r="AY171" s="724"/>
      <c r="AZ171" s="724"/>
      <c r="BA171" s="724"/>
      <c r="BB171" s="724"/>
      <c r="BC171" s="725">
        <f t="shared" si="10"/>
        <v>70400</v>
      </c>
      <c r="BD171" s="724">
        <f>+BC171-'BOULEVARD 5 orig.'!I176</f>
        <v>0</v>
      </c>
      <c r="BE171" s="724">
        <f t="shared" si="11"/>
        <v>70400</v>
      </c>
      <c r="BF171" s="726">
        <f>VLOOKUP(A171,'BOULEVARD 5 orig.'!B176:AS474,42,0)</f>
        <v>0</v>
      </c>
      <c r="BG171" s="727">
        <f t="shared" si="12"/>
        <v>29</v>
      </c>
      <c r="BH171" s="728">
        <f t="shared" si="9"/>
        <v>2427.5862068965516</v>
      </c>
    </row>
    <row r="172" spans="1:60" x14ac:dyDescent="0.2">
      <c r="A172" s="723">
        <v>1004</v>
      </c>
      <c r="B172" s="723" t="str">
        <f>'BOULEVARD 5'!H177</f>
        <v>4.Plan de pagos</v>
      </c>
      <c r="C172" s="724"/>
      <c r="D172" s="724"/>
      <c r="E172" s="724">
        <v>6000</v>
      </c>
      <c r="F172" s="724">
        <v>2274</v>
      </c>
      <c r="G172" s="724">
        <v>2274</v>
      </c>
      <c r="H172" s="724">
        <v>2274</v>
      </c>
      <c r="I172" s="724">
        <v>2274</v>
      </c>
      <c r="J172" s="724">
        <v>2274</v>
      </c>
      <c r="K172" s="724">
        <v>2274</v>
      </c>
      <c r="L172" s="724">
        <v>2274</v>
      </c>
      <c r="M172" s="724">
        <v>2274</v>
      </c>
      <c r="N172" s="724">
        <v>2274</v>
      </c>
      <c r="O172" s="724">
        <v>2274</v>
      </c>
      <c r="P172" s="724">
        <v>2274</v>
      </c>
      <c r="Q172" s="724">
        <v>2274</v>
      </c>
      <c r="R172" s="724">
        <v>2274</v>
      </c>
      <c r="S172" s="724">
        <v>2274</v>
      </c>
      <c r="T172" s="724">
        <v>2274</v>
      </c>
      <c r="U172" s="724">
        <v>2274</v>
      </c>
      <c r="V172" s="724">
        <v>2274</v>
      </c>
      <c r="W172" s="724">
        <v>2274</v>
      </c>
      <c r="X172" s="724">
        <v>2274</v>
      </c>
      <c r="Y172" s="724">
        <v>2274</v>
      </c>
      <c r="Z172" s="724">
        <v>2274</v>
      </c>
      <c r="AA172" s="724">
        <v>2274</v>
      </c>
      <c r="AB172" s="724">
        <v>2274</v>
      </c>
      <c r="AC172" s="724">
        <v>2274</v>
      </c>
      <c r="AD172" s="724">
        <v>2274</v>
      </c>
      <c r="AE172" s="724">
        <v>2274</v>
      </c>
      <c r="AF172" s="724">
        <v>2274</v>
      </c>
      <c r="AG172" s="724">
        <v>2271.08</v>
      </c>
      <c r="AH172" s="724"/>
      <c r="AI172" s="724"/>
      <c r="AJ172" s="724"/>
      <c r="AK172" s="724"/>
      <c r="AL172" s="724"/>
      <c r="AM172" s="724"/>
      <c r="AN172" s="724"/>
      <c r="AO172" s="724"/>
      <c r="AP172" s="724"/>
      <c r="AQ172" s="724"/>
      <c r="AR172" s="724"/>
      <c r="AS172" s="724"/>
      <c r="AT172" s="724"/>
      <c r="AU172" s="724"/>
      <c r="AV172" s="724"/>
      <c r="AW172" s="724"/>
      <c r="AX172" s="724"/>
      <c r="AY172" s="724"/>
      <c r="AZ172" s="724"/>
      <c r="BA172" s="724"/>
      <c r="BB172" s="724"/>
      <c r="BC172" s="725">
        <f t="shared" si="10"/>
        <v>69669.08</v>
      </c>
      <c r="BD172" s="724">
        <f>+BC172-'BOULEVARD 5 orig.'!I177</f>
        <v>0</v>
      </c>
      <c r="BE172" s="724">
        <f t="shared" si="11"/>
        <v>69669.08</v>
      </c>
      <c r="BF172" s="726">
        <f>VLOOKUP(A172,'BOULEVARD 5 orig.'!B177:AS475,42,0)</f>
        <v>0</v>
      </c>
      <c r="BG172" s="727">
        <f t="shared" si="12"/>
        <v>29</v>
      </c>
      <c r="BH172" s="728">
        <f t="shared" si="9"/>
        <v>2402.3820689655172</v>
      </c>
    </row>
    <row r="173" spans="1:60" x14ac:dyDescent="0.2">
      <c r="A173" s="723">
        <v>1005</v>
      </c>
      <c r="B173" s="723" t="str">
        <f>'BOULEVARD 5'!H178</f>
        <v>4.Plan de pagos</v>
      </c>
      <c r="C173" s="724"/>
      <c r="D173" s="724"/>
      <c r="E173" s="724"/>
      <c r="F173" s="724">
        <v>6000</v>
      </c>
      <c r="G173" s="724">
        <v>3267</v>
      </c>
      <c r="H173" s="724">
        <v>3267</v>
      </c>
      <c r="I173" s="724">
        <v>3267</v>
      </c>
      <c r="J173" s="724">
        <v>3267</v>
      </c>
      <c r="K173" s="724">
        <v>3267</v>
      </c>
      <c r="L173" s="724">
        <v>3267</v>
      </c>
      <c r="M173" s="724">
        <v>3267</v>
      </c>
      <c r="N173" s="724">
        <v>3267</v>
      </c>
      <c r="O173" s="724">
        <v>3267</v>
      </c>
      <c r="P173" s="724">
        <v>3267</v>
      </c>
      <c r="Q173" s="724">
        <v>3267</v>
      </c>
      <c r="R173" s="724">
        <v>3267</v>
      </c>
      <c r="S173" s="724">
        <v>3267</v>
      </c>
      <c r="T173" s="724">
        <v>3267</v>
      </c>
      <c r="U173" s="724">
        <v>3267</v>
      </c>
      <c r="V173" s="724">
        <v>3267</v>
      </c>
      <c r="W173" s="724">
        <v>3267</v>
      </c>
      <c r="X173" s="724">
        <v>3267</v>
      </c>
      <c r="Y173" s="724">
        <v>3267</v>
      </c>
      <c r="Z173" s="724">
        <v>3267</v>
      </c>
      <c r="AA173" s="724">
        <v>3267</v>
      </c>
      <c r="AB173" s="724">
        <v>3267</v>
      </c>
      <c r="AC173" s="724">
        <v>3267</v>
      </c>
      <c r="AD173" s="724">
        <v>3267</v>
      </c>
      <c r="AE173" s="724">
        <v>3267</v>
      </c>
      <c r="AF173" s="724">
        <v>3267</v>
      </c>
      <c r="AG173" s="724">
        <v>3258</v>
      </c>
      <c r="AH173" s="724"/>
      <c r="AI173" s="724"/>
      <c r="AJ173" s="724"/>
      <c r="AK173" s="724"/>
      <c r="AL173" s="724"/>
      <c r="AM173" s="724"/>
      <c r="AN173" s="724"/>
      <c r="AO173" s="724"/>
      <c r="AP173" s="724"/>
      <c r="AQ173" s="724"/>
      <c r="AR173" s="724"/>
      <c r="AS173" s="724"/>
      <c r="AT173" s="724"/>
      <c r="AU173" s="724"/>
      <c r="AV173" s="724"/>
      <c r="AW173" s="724"/>
      <c r="AX173" s="724"/>
      <c r="AY173" s="724"/>
      <c r="AZ173" s="724"/>
      <c r="BA173" s="724"/>
      <c r="BB173" s="724"/>
      <c r="BC173" s="725">
        <f t="shared" si="10"/>
        <v>94200</v>
      </c>
      <c r="BD173" s="724">
        <f>+BC173-'BOULEVARD 5 orig.'!I178</f>
        <v>0</v>
      </c>
      <c r="BE173" s="724">
        <f t="shared" si="11"/>
        <v>94200</v>
      </c>
      <c r="BF173" s="726">
        <f>VLOOKUP(A173,'BOULEVARD 5 orig.'!B178:AS476,42,0)</f>
        <v>0</v>
      </c>
      <c r="BG173" s="727">
        <f t="shared" si="12"/>
        <v>28</v>
      </c>
      <c r="BH173" s="728">
        <f t="shared" si="9"/>
        <v>3364.2857142857142</v>
      </c>
    </row>
    <row r="174" spans="1:60" x14ac:dyDescent="0.2">
      <c r="A174" s="723">
        <v>1006</v>
      </c>
      <c r="B174" s="723" t="str">
        <f>'BOULEVARD 5'!H179</f>
        <v>4.Plan de pagos</v>
      </c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>
        <v>8000</v>
      </c>
      <c r="O174" s="724">
        <v>4547</v>
      </c>
      <c r="P174" s="724">
        <v>4547</v>
      </c>
      <c r="Q174" s="724">
        <v>4547</v>
      </c>
      <c r="R174" s="724">
        <v>4547</v>
      </c>
      <c r="S174" s="724">
        <v>4547</v>
      </c>
      <c r="T174" s="724">
        <v>4547</v>
      </c>
      <c r="U174" s="724">
        <v>4547</v>
      </c>
      <c r="V174" s="724">
        <v>4547</v>
      </c>
      <c r="W174" s="724">
        <v>4547</v>
      </c>
      <c r="X174" s="724">
        <v>4547</v>
      </c>
      <c r="Y174" s="724">
        <v>4547</v>
      </c>
      <c r="Z174" s="724">
        <v>4547</v>
      </c>
      <c r="AA174" s="724">
        <v>4547</v>
      </c>
      <c r="AB174" s="724">
        <v>4547</v>
      </c>
      <c r="AC174" s="724">
        <v>4547</v>
      </c>
      <c r="AD174" s="724">
        <v>4547</v>
      </c>
      <c r="AE174" s="724">
        <v>4547</v>
      </c>
      <c r="AF174" s="724">
        <v>4547</v>
      </c>
      <c r="AG174" s="724">
        <v>4554</v>
      </c>
      <c r="AH174" s="724"/>
      <c r="AI174" s="724"/>
      <c r="AJ174" s="724"/>
      <c r="AK174" s="724"/>
      <c r="AL174" s="724"/>
      <c r="AM174" s="724"/>
      <c r="AN174" s="724"/>
      <c r="AO174" s="724"/>
      <c r="AP174" s="724"/>
      <c r="AQ174" s="724"/>
      <c r="AR174" s="724"/>
      <c r="AS174" s="724"/>
      <c r="AT174" s="724"/>
      <c r="AU174" s="724"/>
      <c r="AV174" s="724"/>
      <c r="AW174" s="724"/>
      <c r="AX174" s="724"/>
      <c r="AY174" s="724"/>
      <c r="AZ174" s="724"/>
      <c r="BA174" s="724"/>
      <c r="BB174" s="724"/>
      <c r="BC174" s="725">
        <f t="shared" si="10"/>
        <v>94400</v>
      </c>
      <c r="BD174" s="724">
        <f>+BC174-'BOULEVARD 5 orig.'!I179</f>
        <v>0</v>
      </c>
      <c r="BE174" s="724">
        <f t="shared" si="11"/>
        <v>94400</v>
      </c>
      <c r="BF174" s="726">
        <f>VLOOKUP(A174,'BOULEVARD 5 orig.'!B179:AS477,42,0)</f>
        <v>0</v>
      </c>
      <c r="BG174" s="727">
        <f t="shared" si="12"/>
        <v>20</v>
      </c>
      <c r="BH174" s="728">
        <f t="shared" si="9"/>
        <v>4720</v>
      </c>
    </row>
    <row r="175" spans="1:60" x14ac:dyDescent="0.2">
      <c r="A175" s="723">
        <v>1007</v>
      </c>
      <c r="B175" s="723" t="str">
        <f>'BOULEVARD 5'!H180</f>
        <v>4.Plan de pagos</v>
      </c>
      <c r="C175" s="724"/>
      <c r="D175" s="724"/>
      <c r="E175" s="724"/>
      <c r="F175" s="724"/>
      <c r="G175" s="724"/>
      <c r="H175" s="724"/>
      <c r="I175" s="724">
        <v>6000</v>
      </c>
      <c r="J175" s="724">
        <v>3508</v>
      </c>
      <c r="K175" s="724">
        <v>3508</v>
      </c>
      <c r="L175" s="724">
        <v>3508</v>
      </c>
      <c r="M175" s="724">
        <v>3508</v>
      </c>
      <c r="N175" s="724">
        <v>3508</v>
      </c>
      <c r="O175" s="724">
        <v>3508</v>
      </c>
      <c r="P175" s="724">
        <v>3508</v>
      </c>
      <c r="Q175" s="724">
        <v>3508</v>
      </c>
      <c r="R175" s="724">
        <v>3508</v>
      </c>
      <c r="S175" s="724">
        <v>3508</v>
      </c>
      <c r="T175" s="724">
        <v>3508</v>
      </c>
      <c r="U175" s="724">
        <v>3508</v>
      </c>
      <c r="V175" s="724">
        <v>3508</v>
      </c>
      <c r="W175" s="724">
        <v>3508</v>
      </c>
      <c r="X175" s="724">
        <v>3508</v>
      </c>
      <c r="Y175" s="724">
        <v>3508</v>
      </c>
      <c r="Z175" s="724">
        <v>3508</v>
      </c>
      <c r="AA175" s="724">
        <v>3508</v>
      </c>
      <c r="AB175" s="724">
        <v>3508</v>
      </c>
      <c r="AC175" s="724">
        <v>3508</v>
      </c>
      <c r="AD175" s="724">
        <v>3508</v>
      </c>
      <c r="AE175" s="724">
        <v>3508</v>
      </c>
      <c r="AF175" s="724">
        <v>3508</v>
      </c>
      <c r="AG175" s="724">
        <v>3516</v>
      </c>
      <c r="AH175" s="724"/>
      <c r="AI175" s="724"/>
      <c r="AJ175" s="724"/>
      <c r="AK175" s="724"/>
      <c r="AL175" s="724"/>
      <c r="AM175" s="724"/>
      <c r="AN175" s="724"/>
      <c r="AO175" s="724"/>
      <c r="AP175" s="724"/>
      <c r="AQ175" s="724"/>
      <c r="AR175" s="724"/>
      <c r="AS175" s="724"/>
      <c r="AT175" s="724"/>
      <c r="AU175" s="724"/>
      <c r="AV175" s="724"/>
      <c r="AW175" s="724"/>
      <c r="AX175" s="724"/>
      <c r="AY175" s="724"/>
      <c r="AZ175" s="724"/>
      <c r="BA175" s="724"/>
      <c r="BB175" s="724"/>
      <c r="BC175" s="725">
        <f t="shared" si="10"/>
        <v>90200</v>
      </c>
      <c r="BD175" s="724">
        <f>+BC175-'BOULEVARD 5 orig.'!I180</f>
        <v>0</v>
      </c>
      <c r="BE175" s="724">
        <f t="shared" si="11"/>
        <v>90200</v>
      </c>
      <c r="BF175" s="726">
        <f>VLOOKUP(A175,'BOULEVARD 5 orig.'!B180:AS478,42,0)</f>
        <v>0</v>
      </c>
      <c r="BG175" s="727">
        <f t="shared" si="12"/>
        <v>25</v>
      </c>
      <c r="BH175" s="728">
        <f t="shared" si="9"/>
        <v>3608</v>
      </c>
    </row>
    <row r="176" spans="1:60" x14ac:dyDescent="0.2">
      <c r="A176" s="729">
        <v>1008</v>
      </c>
      <c r="B176" s="723" t="str">
        <f>'BOULEVARD 5'!H181</f>
        <v>4.Plan de pagos</v>
      </c>
      <c r="C176" s="724"/>
      <c r="D176" s="724"/>
      <c r="E176" s="724"/>
      <c r="F176" s="724"/>
      <c r="G176" s="724"/>
      <c r="H176" s="724"/>
      <c r="I176" s="724"/>
      <c r="J176" s="724"/>
      <c r="K176" s="724"/>
      <c r="L176" s="724"/>
      <c r="M176" s="724"/>
      <c r="N176" s="724"/>
      <c r="O176" s="724"/>
      <c r="P176" s="724">
        <v>8000</v>
      </c>
      <c r="Q176" s="724">
        <v>4501</v>
      </c>
      <c r="R176" s="724">
        <v>4501</v>
      </c>
      <c r="S176" s="724">
        <v>4501</v>
      </c>
      <c r="T176" s="724">
        <v>4501</v>
      </c>
      <c r="U176" s="724">
        <v>4501</v>
      </c>
      <c r="V176" s="724">
        <v>4501</v>
      </c>
      <c r="W176" s="724">
        <v>4501</v>
      </c>
      <c r="X176" s="724">
        <v>4501</v>
      </c>
      <c r="Y176" s="724">
        <v>4501</v>
      </c>
      <c r="Z176" s="724">
        <v>4501</v>
      </c>
      <c r="AA176" s="724">
        <v>4501</v>
      </c>
      <c r="AB176" s="724">
        <v>4501</v>
      </c>
      <c r="AC176" s="724">
        <v>4501</v>
      </c>
      <c r="AD176" s="724">
        <v>4501</v>
      </c>
      <c r="AE176" s="724">
        <v>4501</v>
      </c>
      <c r="AF176" s="724">
        <v>4501</v>
      </c>
      <c r="AG176" s="724">
        <v>4494</v>
      </c>
      <c r="AH176" s="724"/>
      <c r="AI176" s="724"/>
      <c r="AJ176" s="724"/>
      <c r="AK176" s="724"/>
      <c r="AL176" s="724"/>
      <c r="AM176" s="724"/>
      <c r="AN176" s="724"/>
      <c r="AO176" s="724"/>
      <c r="AP176" s="724"/>
      <c r="AQ176" s="724"/>
      <c r="AR176" s="724"/>
      <c r="AS176" s="724"/>
      <c r="AT176" s="724"/>
      <c r="AU176" s="724"/>
      <c r="AV176" s="724"/>
      <c r="AW176" s="724"/>
      <c r="AX176" s="724"/>
      <c r="AY176" s="724"/>
      <c r="AZ176" s="724"/>
      <c r="BA176" s="724"/>
      <c r="BB176" s="724"/>
      <c r="BC176" s="725">
        <f t="shared" si="10"/>
        <v>84510</v>
      </c>
      <c r="BD176" s="724">
        <f>+BC176-'BOULEVARD 5 orig.'!I181</f>
        <v>0</v>
      </c>
      <c r="BE176" s="724">
        <f t="shared" si="11"/>
        <v>84510</v>
      </c>
      <c r="BF176" s="726">
        <f>VLOOKUP(A176,'BOULEVARD 5 orig.'!B181:AS479,42,0)</f>
        <v>0</v>
      </c>
      <c r="BG176" s="727">
        <f t="shared" si="12"/>
        <v>18</v>
      </c>
      <c r="BH176" s="728">
        <f t="shared" si="9"/>
        <v>4695</v>
      </c>
    </row>
    <row r="177" spans="1:60" x14ac:dyDescent="0.2">
      <c r="A177" s="723">
        <v>1009</v>
      </c>
      <c r="B177" s="723" t="str">
        <f>'BOULEVARD 5'!H182</f>
        <v>4.Plan de pagos</v>
      </c>
      <c r="C177" s="724"/>
      <c r="D177" s="724"/>
      <c r="E177" s="724"/>
      <c r="F177" s="724"/>
      <c r="G177" s="724"/>
      <c r="H177" s="724"/>
      <c r="I177" s="724"/>
      <c r="J177" s="724"/>
      <c r="K177" s="724"/>
      <c r="L177" s="724"/>
      <c r="M177" s="724"/>
      <c r="N177" s="724"/>
      <c r="O177" s="724"/>
      <c r="P177" s="724"/>
      <c r="Q177" s="724"/>
      <c r="R177" s="724"/>
      <c r="S177" s="724"/>
      <c r="T177" s="724"/>
      <c r="U177" s="724"/>
      <c r="V177" s="724"/>
      <c r="W177" s="724">
        <v>10000</v>
      </c>
      <c r="X177" s="724">
        <v>7894</v>
      </c>
      <c r="Y177" s="724">
        <v>7894</v>
      </c>
      <c r="Z177" s="724">
        <v>7894</v>
      </c>
      <c r="AA177" s="724">
        <v>7894</v>
      </c>
      <c r="AB177" s="724">
        <v>7894</v>
      </c>
      <c r="AC177" s="724">
        <v>7894</v>
      </c>
      <c r="AD177" s="724">
        <v>7894</v>
      </c>
      <c r="AE177" s="724">
        <v>7894</v>
      </c>
      <c r="AF177" s="724">
        <v>7894</v>
      </c>
      <c r="AG177" s="724">
        <v>7894</v>
      </c>
      <c r="AH177" s="724">
        <v>7894</v>
      </c>
      <c r="AI177" s="724">
        <v>7894</v>
      </c>
      <c r="AJ177" s="724">
        <v>7894</v>
      </c>
      <c r="AK177" s="724">
        <v>7894</v>
      </c>
      <c r="AL177" s="724">
        <v>7894</v>
      </c>
      <c r="AM177" s="724">
        <v>7894</v>
      </c>
      <c r="AN177" s="724">
        <v>7894</v>
      </c>
      <c r="AO177" s="724">
        <v>7886.48</v>
      </c>
      <c r="AP177" s="724"/>
      <c r="AQ177" s="724"/>
      <c r="AR177" s="724"/>
      <c r="AS177" s="724"/>
      <c r="AT177" s="724"/>
      <c r="AU177" s="724"/>
      <c r="AV177" s="724"/>
      <c r="AW177" s="724"/>
      <c r="AX177" s="724"/>
      <c r="AY177" s="724"/>
      <c r="AZ177" s="724"/>
      <c r="BA177" s="724"/>
      <c r="BB177" s="724"/>
      <c r="BC177" s="725">
        <f t="shared" si="10"/>
        <v>152084.48000000001</v>
      </c>
      <c r="BD177" s="724">
        <f>+BC177-'BOULEVARD 5 orig.'!I182</f>
        <v>0</v>
      </c>
      <c r="BE177" s="724">
        <f t="shared" si="11"/>
        <v>152084.48000000001</v>
      </c>
      <c r="BF177" s="726">
        <f>VLOOKUP(A177,'BOULEVARD 5 orig.'!B182:AS480,42,0)</f>
        <v>0</v>
      </c>
      <c r="BG177" s="727">
        <f t="shared" si="12"/>
        <v>19</v>
      </c>
      <c r="BH177" s="728">
        <f t="shared" si="9"/>
        <v>8004.4463157894743</v>
      </c>
    </row>
    <row r="178" spans="1:60" x14ac:dyDescent="0.2">
      <c r="A178" s="723">
        <v>1010</v>
      </c>
      <c r="B178" s="723" t="str">
        <f>'BOULEVARD 5'!H183</f>
        <v>4.Plan de pagos</v>
      </c>
      <c r="C178" s="724"/>
      <c r="D178" s="724"/>
      <c r="E178" s="724"/>
      <c r="F178" s="724"/>
      <c r="G178" s="724"/>
      <c r="H178" s="724">
        <v>6000</v>
      </c>
      <c r="I178" s="724">
        <v>3156</v>
      </c>
      <c r="J178" s="724">
        <v>3156</v>
      </c>
      <c r="K178" s="724">
        <v>3156</v>
      </c>
      <c r="L178" s="724">
        <v>3156</v>
      </c>
      <c r="M178" s="724">
        <v>3156</v>
      </c>
      <c r="N178" s="724">
        <v>3156</v>
      </c>
      <c r="O178" s="724">
        <v>3156</v>
      </c>
      <c r="P178" s="724">
        <v>3156</v>
      </c>
      <c r="Q178" s="724">
        <v>3156</v>
      </c>
      <c r="R178" s="724">
        <v>3156</v>
      </c>
      <c r="S178" s="724">
        <v>3156</v>
      </c>
      <c r="T178" s="724">
        <v>3156</v>
      </c>
      <c r="U178" s="724">
        <v>3156</v>
      </c>
      <c r="V178" s="724">
        <v>3156</v>
      </c>
      <c r="W178" s="724">
        <v>3156</v>
      </c>
      <c r="X178" s="724">
        <v>3156</v>
      </c>
      <c r="Y178" s="724">
        <v>3156</v>
      </c>
      <c r="Z178" s="724">
        <v>3156</v>
      </c>
      <c r="AA178" s="724">
        <v>3156</v>
      </c>
      <c r="AB178" s="724">
        <v>3156</v>
      </c>
      <c r="AC178" s="724">
        <v>3156</v>
      </c>
      <c r="AD178" s="724">
        <v>3156</v>
      </c>
      <c r="AE178" s="724">
        <v>3156</v>
      </c>
      <c r="AF178" s="724">
        <v>3156</v>
      </c>
      <c r="AG178" s="724">
        <v>3156</v>
      </c>
      <c r="AH178" s="724"/>
      <c r="AI178" s="724"/>
      <c r="AJ178" s="724"/>
      <c r="AK178" s="724"/>
      <c r="AL178" s="724"/>
      <c r="AM178" s="724"/>
      <c r="AN178" s="724"/>
      <c r="AO178" s="724"/>
      <c r="AP178" s="724"/>
      <c r="AQ178" s="724"/>
      <c r="AR178" s="724"/>
      <c r="AS178" s="724"/>
      <c r="AT178" s="724"/>
      <c r="AU178" s="724"/>
      <c r="AV178" s="724"/>
      <c r="AW178" s="724"/>
      <c r="AX178" s="724"/>
      <c r="AY178" s="724"/>
      <c r="AZ178" s="724"/>
      <c r="BA178" s="724"/>
      <c r="BB178" s="724"/>
      <c r="BC178" s="725">
        <f t="shared" si="10"/>
        <v>84900</v>
      </c>
      <c r="BD178" s="724">
        <f>+BC178-'BOULEVARD 5 orig.'!I183</f>
        <v>0</v>
      </c>
      <c r="BE178" s="724">
        <f t="shared" si="11"/>
        <v>84900</v>
      </c>
      <c r="BF178" s="726">
        <f>VLOOKUP(A178,'BOULEVARD 5 orig.'!B183:AS481,42,0)</f>
        <v>0</v>
      </c>
      <c r="BG178" s="727">
        <f t="shared" si="12"/>
        <v>26</v>
      </c>
      <c r="BH178" s="728">
        <f t="shared" si="9"/>
        <v>3265.3846153846152</v>
      </c>
    </row>
    <row r="179" spans="1:60" x14ac:dyDescent="0.2">
      <c r="A179" s="723">
        <v>1011</v>
      </c>
      <c r="B179" s="723" t="str">
        <f>'BOULEVARD 5'!H184</f>
        <v>4.Plan de pagos</v>
      </c>
      <c r="C179" s="724">
        <v>6000</v>
      </c>
      <c r="D179" s="724">
        <v>3050</v>
      </c>
      <c r="E179" s="724">
        <v>3050</v>
      </c>
      <c r="F179" s="724">
        <v>3050</v>
      </c>
      <c r="G179" s="724">
        <v>3050</v>
      </c>
      <c r="H179" s="724">
        <v>3050</v>
      </c>
      <c r="I179" s="724">
        <v>3050</v>
      </c>
      <c r="J179" s="724">
        <v>3050</v>
      </c>
      <c r="K179" s="724">
        <v>3050</v>
      </c>
      <c r="L179" s="724">
        <v>3050</v>
      </c>
      <c r="M179" s="724">
        <v>3050</v>
      </c>
      <c r="N179" s="724">
        <v>3050</v>
      </c>
      <c r="O179" s="724">
        <v>3050</v>
      </c>
      <c r="P179" s="724">
        <v>3050</v>
      </c>
      <c r="Q179" s="724">
        <v>3050</v>
      </c>
      <c r="R179" s="724">
        <v>3050</v>
      </c>
      <c r="S179" s="724">
        <v>3050</v>
      </c>
      <c r="T179" s="724">
        <v>3050</v>
      </c>
      <c r="U179" s="724">
        <v>3050</v>
      </c>
      <c r="V179" s="724">
        <v>3050</v>
      </c>
      <c r="W179" s="724">
        <v>3050</v>
      </c>
      <c r="X179" s="724">
        <v>3050</v>
      </c>
      <c r="Y179" s="724">
        <v>3050</v>
      </c>
      <c r="Z179" s="724">
        <v>3050</v>
      </c>
      <c r="AA179" s="724">
        <v>3050</v>
      </c>
      <c r="AB179" s="724">
        <v>3050</v>
      </c>
      <c r="AC179" s="724">
        <v>3050</v>
      </c>
      <c r="AD179" s="724">
        <v>3050</v>
      </c>
      <c r="AE179" s="724">
        <v>3050</v>
      </c>
      <c r="AF179" s="724">
        <v>3050</v>
      </c>
      <c r="AG179" s="724">
        <v>3050</v>
      </c>
      <c r="AH179" s="724">
        <v>3050</v>
      </c>
      <c r="AI179" s="724">
        <v>3050</v>
      </c>
      <c r="AJ179" s="724">
        <v>3050</v>
      </c>
      <c r="AK179" s="724">
        <v>3050</v>
      </c>
      <c r="AL179" s="724">
        <v>3525</v>
      </c>
      <c r="AM179" s="724"/>
      <c r="AN179" s="724"/>
      <c r="AO179" s="724"/>
      <c r="AP179" s="724"/>
      <c r="AQ179" s="724"/>
      <c r="AR179" s="724"/>
      <c r="AS179" s="724"/>
      <c r="AT179" s="724"/>
      <c r="AU179" s="724"/>
      <c r="AV179" s="724"/>
      <c r="AW179" s="724"/>
      <c r="AX179" s="724"/>
      <c r="AY179" s="724"/>
      <c r="AZ179" s="724"/>
      <c r="BA179" s="724"/>
      <c r="BB179" s="724"/>
      <c r="BC179" s="725">
        <f t="shared" si="10"/>
        <v>113225</v>
      </c>
      <c r="BD179" s="724">
        <f>+BC179-'BOULEVARD 5 orig.'!I184</f>
        <v>0</v>
      </c>
      <c r="BE179" s="724">
        <f t="shared" si="11"/>
        <v>113225</v>
      </c>
      <c r="BF179" s="726">
        <f>VLOOKUP(A179,'BOULEVARD 5 orig.'!B184:AS482,42,0)</f>
        <v>0</v>
      </c>
      <c r="BG179" s="727">
        <f t="shared" si="12"/>
        <v>36</v>
      </c>
      <c r="BH179" s="728">
        <f t="shared" si="9"/>
        <v>3145.1388888888887</v>
      </c>
    </row>
    <row r="180" spans="1:60" x14ac:dyDescent="0.2">
      <c r="A180" s="729">
        <v>1012</v>
      </c>
      <c r="B180" s="723" t="str">
        <f>'BOULEVARD 5'!H185</f>
        <v>4.Plan de pagos</v>
      </c>
      <c r="C180" s="730"/>
      <c r="D180" s="730"/>
      <c r="E180" s="730"/>
      <c r="F180" s="730"/>
      <c r="G180" s="730"/>
      <c r="H180" s="730"/>
      <c r="I180" s="730"/>
      <c r="J180" s="730"/>
      <c r="K180" s="730">
        <f>8000+4062.73</f>
        <v>12062.73</v>
      </c>
      <c r="L180" s="730">
        <v>4062.73</v>
      </c>
      <c r="M180" s="730">
        <v>4062.73</v>
      </c>
      <c r="N180" s="730">
        <v>4062.73</v>
      </c>
      <c r="O180" s="730">
        <v>4062.73</v>
      </c>
      <c r="P180" s="730">
        <v>4062.73</v>
      </c>
      <c r="Q180" s="730">
        <v>4062.73</v>
      </c>
      <c r="R180" s="730">
        <v>4062.73</v>
      </c>
      <c r="S180" s="730">
        <v>4062.73</v>
      </c>
      <c r="T180" s="730">
        <v>4062.73</v>
      </c>
      <c r="U180" s="730">
        <v>4062.73</v>
      </c>
      <c r="V180" s="730">
        <v>4062.73</v>
      </c>
      <c r="W180" s="730">
        <v>4062.73</v>
      </c>
      <c r="X180" s="730">
        <v>4062.73</v>
      </c>
      <c r="Y180" s="730">
        <v>4062.73</v>
      </c>
      <c r="Z180" s="730">
        <v>4062.73</v>
      </c>
      <c r="AA180" s="730">
        <v>4062.73</v>
      </c>
      <c r="AB180" s="730">
        <v>4062.73</v>
      </c>
      <c r="AC180" s="730">
        <v>4062.73</v>
      </c>
      <c r="AD180" s="730">
        <v>4062.73</v>
      </c>
      <c r="AE180" s="730">
        <v>4062.73</v>
      </c>
      <c r="AF180" s="730">
        <v>4062.67</v>
      </c>
      <c r="AG180" s="730"/>
      <c r="AH180" s="730"/>
      <c r="AI180" s="730"/>
      <c r="AJ180" s="730"/>
      <c r="AK180" s="730"/>
      <c r="AL180" s="730"/>
      <c r="AM180" s="730"/>
      <c r="AN180" s="730"/>
      <c r="AO180" s="730"/>
      <c r="AP180" s="730"/>
      <c r="AQ180" s="730"/>
      <c r="AR180" s="730"/>
      <c r="AS180" s="730"/>
      <c r="AT180" s="730"/>
      <c r="AU180" s="730"/>
      <c r="AV180" s="730"/>
      <c r="AW180" s="730"/>
      <c r="AX180" s="730"/>
      <c r="AY180" s="730"/>
      <c r="AZ180" s="730"/>
      <c r="BA180" s="730"/>
      <c r="BB180" s="730"/>
      <c r="BC180" s="731">
        <f t="shared" si="10"/>
        <v>97380</v>
      </c>
      <c r="BD180" s="730">
        <f>+BC180-'BOULEVARD 5 orig.'!I185</f>
        <v>0</v>
      </c>
      <c r="BE180" s="730">
        <f t="shared" si="11"/>
        <v>97380</v>
      </c>
      <c r="BF180" s="732">
        <f>VLOOKUP(A180,'BOULEVARD 5 orig.'!B185:AS483,42,0)</f>
        <v>0</v>
      </c>
      <c r="BG180" s="733">
        <f t="shared" si="12"/>
        <v>22</v>
      </c>
      <c r="BH180" s="734">
        <f t="shared" si="9"/>
        <v>4426.363636363636</v>
      </c>
    </row>
    <row r="181" spans="1:60" x14ac:dyDescent="0.2">
      <c r="A181" s="723">
        <v>1013</v>
      </c>
      <c r="B181" s="723" t="str">
        <f>'BOULEVARD 5'!H186</f>
        <v>4.Plan de pagos</v>
      </c>
      <c r="C181" s="724"/>
      <c r="D181" s="724"/>
      <c r="E181" s="724"/>
      <c r="F181" s="724"/>
      <c r="G181" s="724"/>
      <c r="H181" s="724"/>
      <c r="I181" s="724">
        <v>6000</v>
      </c>
      <c r="J181" s="724">
        <v>3517</v>
      </c>
      <c r="K181" s="724">
        <v>3517</v>
      </c>
      <c r="L181" s="724">
        <v>3517</v>
      </c>
      <c r="M181" s="724">
        <v>3517</v>
      </c>
      <c r="N181" s="724">
        <v>3517</v>
      </c>
      <c r="O181" s="724">
        <v>3517</v>
      </c>
      <c r="P181" s="724">
        <v>3517</v>
      </c>
      <c r="Q181" s="724">
        <v>3517</v>
      </c>
      <c r="R181" s="724">
        <v>3517</v>
      </c>
      <c r="S181" s="724">
        <v>3517</v>
      </c>
      <c r="T181" s="724">
        <v>3517</v>
      </c>
      <c r="U181" s="724">
        <v>3517</v>
      </c>
      <c r="V181" s="724">
        <v>3517</v>
      </c>
      <c r="W181" s="724">
        <v>3517</v>
      </c>
      <c r="X181" s="724">
        <v>3517</v>
      </c>
      <c r="Y181" s="724">
        <v>3517</v>
      </c>
      <c r="Z181" s="724">
        <v>3517</v>
      </c>
      <c r="AA181" s="724">
        <v>3517</v>
      </c>
      <c r="AB181" s="724">
        <v>3517</v>
      </c>
      <c r="AC181" s="724">
        <v>3517</v>
      </c>
      <c r="AD181" s="724">
        <v>3517</v>
      </c>
      <c r="AE181" s="724">
        <v>3517</v>
      </c>
      <c r="AF181" s="724">
        <v>3517</v>
      </c>
      <c r="AG181" s="724">
        <v>3509</v>
      </c>
      <c r="AH181" s="724"/>
      <c r="AI181" s="724"/>
      <c r="AJ181" s="724"/>
      <c r="AK181" s="724"/>
      <c r="AL181" s="724"/>
      <c r="AM181" s="724"/>
      <c r="AN181" s="724"/>
      <c r="AO181" s="724"/>
      <c r="AP181" s="724"/>
      <c r="AQ181" s="724"/>
      <c r="AR181" s="724"/>
      <c r="AS181" s="724"/>
      <c r="AT181" s="724"/>
      <c r="AU181" s="724"/>
      <c r="AV181" s="724"/>
      <c r="AW181" s="724"/>
      <c r="AX181" s="724"/>
      <c r="AY181" s="724"/>
      <c r="AZ181" s="724"/>
      <c r="BA181" s="724"/>
      <c r="BB181" s="724"/>
      <c r="BC181" s="725">
        <f t="shared" si="10"/>
        <v>90400</v>
      </c>
      <c r="BD181" s="724">
        <f>+BC181-'BOULEVARD 5 orig.'!I186</f>
        <v>0</v>
      </c>
      <c r="BE181" s="724">
        <f t="shared" si="11"/>
        <v>90400</v>
      </c>
      <c r="BF181" s="726">
        <f>VLOOKUP(A181,'BOULEVARD 5 orig.'!B186:AS484,42,0)</f>
        <v>0</v>
      </c>
      <c r="BG181" s="727">
        <f t="shared" si="12"/>
        <v>25</v>
      </c>
      <c r="BH181" s="728">
        <f t="shared" si="9"/>
        <v>3616</v>
      </c>
    </row>
    <row r="182" spans="1:60" x14ac:dyDescent="0.2">
      <c r="A182" s="723">
        <v>1014</v>
      </c>
      <c r="B182" s="723" t="str">
        <f>'BOULEVARD 5'!H187</f>
        <v>4.Plan de pagos</v>
      </c>
      <c r="C182" s="724"/>
      <c r="D182" s="724"/>
      <c r="E182" s="724"/>
      <c r="F182" s="724">
        <v>6000</v>
      </c>
      <c r="G182" s="724">
        <v>3052</v>
      </c>
      <c r="H182" s="724">
        <v>3052</v>
      </c>
      <c r="I182" s="724">
        <v>3052</v>
      </c>
      <c r="J182" s="724">
        <v>3052</v>
      </c>
      <c r="K182" s="724">
        <v>3052</v>
      </c>
      <c r="L182" s="724">
        <v>3052</v>
      </c>
      <c r="M182" s="724">
        <v>3052</v>
      </c>
      <c r="N182" s="724">
        <v>3052</v>
      </c>
      <c r="O182" s="724">
        <v>3052</v>
      </c>
      <c r="P182" s="724">
        <v>3052</v>
      </c>
      <c r="Q182" s="724">
        <v>3052</v>
      </c>
      <c r="R182" s="724">
        <v>3052</v>
      </c>
      <c r="S182" s="724">
        <v>3052</v>
      </c>
      <c r="T182" s="724">
        <v>3052</v>
      </c>
      <c r="U182" s="724">
        <v>3052</v>
      </c>
      <c r="V182" s="724">
        <v>3052</v>
      </c>
      <c r="W182" s="724">
        <v>3052</v>
      </c>
      <c r="X182" s="724">
        <v>3052</v>
      </c>
      <c r="Y182" s="724">
        <v>3052</v>
      </c>
      <c r="Z182" s="724">
        <v>3052</v>
      </c>
      <c r="AA182" s="724">
        <v>3052</v>
      </c>
      <c r="AB182" s="724">
        <v>3052</v>
      </c>
      <c r="AC182" s="724">
        <v>3052</v>
      </c>
      <c r="AD182" s="724">
        <v>3052</v>
      </c>
      <c r="AE182" s="724">
        <v>3052</v>
      </c>
      <c r="AF182" s="724">
        <v>3052</v>
      </c>
      <c r="AG182" s="724">
        <v>3048</v>
      </c>
      <c r="AH182" s="724"/>
      <c r="AI182" s="724"/>
      <c r="AJ182" s="724"/>
      <c r="AK182" s="724"/>
      <c r="AL182" s="724"/>
      <c r="AM182" s="724"/>
      <c r="AN182" s="724"/>
      <c r="AO182" s="724"/>
      <c r="AP182" s="724"/>
      <c r="AQ182" s="724"/>
      <c r="AR182" s="724"/>
      <c r="AS182" s="724"/>
      <c r="AT182" s="724"/>
      <c r="AU182" s="724"/>
      <c r="AV182" s="724"/>
      <c r="AW182" s="724"/>
      <c r="AX182" s="724"/>
      <c r="AY182" s="724"/>
      <c r="AZ182" s="724"/>
      <c r="BA182" s="724"/>
      <c r="BB182" s="724"/>
      <c r="BC182" s="725">
        <f t="shared" si="10"/>
        <v>88400</v>
      </c>
      <c r="BD182" s="724">
        <f>+BC182-'BOULEVARD 5 orig.'!I187</f>
        <v>0</v>
      </c>
      <c r="BE182" s="724">
        <f t="shared" si="11"/>
        <v>88400</v>
      </c>
      <c r="BF182" s="726">
        <f>VLOOKUP(A182,'BOULEVARD 5 orig.'!B187:AS485,42,0)</f>
        <v>0</v>
      </c>
      <c r="BG182" s="727">
        <f t="shared" si="12"/>
        <v>28</v>
      </c>
      <c r="BH182" s="728">
        <f t="shared" si="9"/>
        <v>3157.1428571428573</v>
      </c>
    </row>
    <row r="183" spans="1:60" x14ac:dyDescent="0.2">
      <c r="A183" s="723">
        <v>1015</v>
      </c>
      <c r="B183" s="723" t="str">
        <f>'BOULEVARD 5'!H188</f>
        <v>4.Plan de pagos</v>
      </c>
      <c r="C183" s="724"/>
      <c r="D183" s="724">
        <v>6000</v>
      </c>
      <c r="E183" s="724">
        <v>4393</v>
      </c>
      <c r="F183" s="724">
        <v>4393</v>
      </c>
      <c r="G183" s="724">
        <v>4393</v>
      </c>
      <c r="H183" s="724">
        <v>4393</v>
      </c>
      <c r="I183" s="724">
        <v>4393</v>
      </c>
      <c r="J183" s="724">
        <v>4393</v>
      </c>
      <c r="K183" s="724">
        <v>4393</v>
      </c>
      <c r="L183" s="724">
        <v>4393</v>
      </c>
      <c r="M183" s="724">
        <v>4393</v>
      </c>
      <c r="N183" s="724">
        <v>4393</v>
      </c>
      <c r="O183" s="724">
        <v>4393</v>
      </c>
      <c r="P183" s="724">
        <v>4393</v>
      </c>
      <c r="Q183" s="724">
        <v>4393</v>
      </c>
      <c r="R183" s="724">
        <v>4393</v>
      </c>
      <c r="S183" s="724">
        <v>4393</v>
      </c>
      <c r="T183" s="724">
        <v>4393</v>
      </c>
      <c r="U183" s="724">
        <v>4393</v>
      </c>
      <c r="V183" s="724">
        <v>4393</v>
      </c>
      <c r="W183" s="724">
        <v>4393</v>
      </c>
      <c r="X183" s="724">
        <v>4393</v>
      </c>
      <c r="Y183" s="724">
        <v>4393</v>
      </c>
      <c r="Z183" s="724">
        <v>4393</v>
      </c>
      <c r="AA183" s="724">
        <v>4393</v>
      </c>
      <c r="AB183" s="724">
        <v>4393</v>
      </c>
      <c r="AC183" s="724">
        <v>4393</v>
      </c>
      <c r="AD183" s="724">
        <v>4393</v>
      </c>
      <c r="AE183" s="724">
        <v>4393</v>
      </c>
      <c r="AF183" s="724">
        <v>4393</v>
      </c>
      <c r="AG183" s="724">
        <v>4356</v>
      </c>
      <c r="AH183" s="724"/>
      <c r="AI183" s="724"/>
      <c r="AJ183" s="724"/>
      <c r="AK183" s="724"/>
      <c r="AL183" s="724"/>
      <c r="AM183" s="724"/>
      <c r="AN183" s="724"/>
      <c r="AO183" s="724"/>
      <c r="AP183" s="724"/>
      <c r="AQ183" s="724"/>
      <c r="AR183" s="724"/>
      <c r="AS183" s="724"/>
      <c r="AT183" s="724"/>
      <c r="AU183" s="724"/>
      <c r="AV183" s="724"/>
      <c r="AW183" s="724"/>
      <c r="AX183" s="724"/>
      <c r="AY183" s="724"/>
      <c r="AZ183" s="724"/>
      <c r="BA183" s="724"/>
      <c r="BB183" s="724"/>
      <c r="BC183" s="725">
        <f t="shared" si="10"/>
        <v>133360</v>
      </c>
      <c r="BD183" s="724">
        <f>+BC183-'BOULEVARD 5 orig.'!I188</f>
        <v>0</v>
      </c>
      <c r="BE183" s="724">
        <f t="shared" si="11"/>
        <v>133360</v>
      </c>
      <c r="BF183" s="726">
        <f>VLOOKUP(A183,'BOULEVARD 5 orig.'!B188:AS486,42,0)</f>
        <v>0</v>
      </c>
      <c r="BG183" s="727">
        <f t="shared" si="12"/>
        <v>30</v>
      </c>
      <c r="BH183" s="728">
        <f t="shared" si="9"/>
        <v>4445.333333333333</v>
      </c>
    </row>
    <row r="184" spans="1:60" x14ac:dyDescent="0.2">
      <c r="A184" s="723">
        <v>1016</v>
      </c>
      <c r="B184" s="723" t="str">
        <f>'BOULEVARD 5'!H189</f>
        <v>4.Plan de pagos</v>
      </c>
      <c r="C184" s="724"/>
      <c r="D184" s="724">
        <v>6000</v>
      </c>
      <c r="E184" s="724">
        <v>2000</v>
      </c>
      <c r="F184" s="724">
        <v>2000</v>
      </c>
      <c r="G184" s="724">
        <v>2000</v>
      </c>
      <c r="H184" s="724">
        <v>2000</v>
      </c>
      <c r="I184" s="724">
        <v>2000</v>
      </c>
      <c r="J184" s="724">
        <v>2000</v>
      </c>
      <c r="K184" s="724">
        <v>2000</v>
      </c>
      <c r="L184" s="724">
        <v>2000</v>
      </c>
      <c r="M184" s="724">
        <v>2000</v>
      </c>
      <c r="N184" s="724">
        <v>2000</v>
      </c>
      <c r="O184" s="724">
        <v>2000</v>
      </c>
      <c r="P184" s="724">
        <v>2000</v>
      </c>
      <c r="Q184" s="724">
        <v>2000</v>
      </c>
      <c r="R184" s="724">
        <v>2000</v>
      </c>
      <c r="S184" s="724">
        <v>2000</v>
      </c>
      <c r="T184" s="724">
        <v>2000</v>
      </c>
      <c r="U184" s="724">
        <v>2000</v>
      </c>
      <c r="V184" s="724">
        <v>2000</v>
      </c>
      <c r="W184" s="724">
        <v>2000</v>
      </c>
      <c r="X184" s="724">
        <v>2000</v>
      </c>
      <c r="Y184" s="724">
        <v>2000</v>
      </c>
      <c r="Z184" s="724">
        <v>2000</v>
      </c>
      <c r="AA184" s="724">
        <v>2000</v>
      </c>
      <c r="AB184" s="724">
        <v>2000</v>
      </c>
      <c r="AC184" s="724">
        <v>2000</v>
      </c>
      <c r="AD184" s="724">
        <v>2000</v>
      </c>
      <c r="AE184" s="724">
        <v>2000</v>
      </c>
      <c r="AF184" s="724">
        <v>2000</v>
      </c>
      <c r="AG184" s="724">
        <v>3200</v>
      </c>
      <c r="AH184" s="724"/>
      <c r="AI184" s="724"/>
      <c r="AJ184" s="724"/>
      <c r="AK184" s="724"/>
      <c r="AL184" s="724"/>
      <c r="AM184" s="724"/>
      <c r="AN184" s="724"/>
      <c r="AO184" s="724"/>
      <c r="AP184" s="724"/>
      <c r="AQ184" s="724"/>
      <c r="AR184" s="724"/>
      <c r="AS184" s="724"/>
      <c r="AT184" s="724"/>
      <c r="AU184" s="724"/>
      <c r="AV184" s="724"/>
      <c r="AW184" s="724"/>
      <c r="AX184" s="724"/>
      <c r="AY184" s="724"/>
      <c r="AZ184" s="724"/>
      <c r="BA184" s="724"/>
      <c r="BB184" s="724"/>
      <c r="BC184" s="725">
        <f t="shared" si="10"/>
        <v>65200</v>
      </c>
      <c r="BD184" s="724">
        <f>+BC184-'BOULEVARD 5 orig.'!I189</f>
        <v>0</v>
      </c>
      <c r="BE184" s="724">
        <f t="shared" si="11"/>
        <v>65200</v>
      </c>
      <c r="BF184" s="726">
        <f>VLOOKUP(A184,'BOULEVARD 5 orig.'!B189:AS487,42,0)</f>
        <v>0</v>
      </c>
      <c r="BG184" s="727">
        <f t="shared" si="12"/>
        <v>30</v>
      </c>
      <c r="BH184" s="728">
        <f t="shared" si="9"/>
        <v>2173.3333333333335</v>
      </c>
    </row>
    <row r="185" spans="1:60" x14ac:dyDescent="0.2">
      <c r="A185" s="723">
        <v>1017</v>
      </c>
      <c r="B185" s="723" t="str">
        <f>'BOULEVARD 5'!H190</f>
        <v>4.Plan de pagos</v>
      </c>
      <c r="C185" s="724"/>
      <c r="D185" s="724">
        <v>6000</v>
      </c>
      <c r="E185" s="724">
        <v>2000</v>
      </c>
      <c r="F185" s="724">
        <v>2000</v>
      </c>
      <c r="G185" s="724">
        <v>2000</v>
      </c>
      <c r="H185" s="724">
        <v>2000</v>
      </c>
      <c r="I185" s="724">
        <v>2000</v>
      </c>
      <c r="J185" s="724">
        <v>2000</v>
      </c>
      <c r="K185" s="724">
        <v>2000</v>
      </c>
      <c r="L185" s="724">
        <v>2000</v>
      </c>
      <c r="M185" s="724">
        <v>2000</v>
      </c>
      <c r="N185" s="724">
        <v>2000</v>
      </c>
      <c r="O185" s="724">
        <v>2000</v>
      </c>
      <c r="P185" s="724">
        <v>2000</v>
      </c>
      <c r="Q185" s="724">
        <v>2000</v>
      </c>
      <c r="R185" s="724">
        <v>2000</v>
      </c>
      <c r="S185" s="724">
        <v>2000</v>
      </c>
      <c r="T185" s="724">
        <v>2000</v>
      </c>
      <c r="U185" s="724">
        <v>2000</v>
      </c>
      <c r="V185" s="724">
        <v>2000</v>
      </c>
      <c r="W185" s="724">
        <v>2000</v>
      </c>
      <c r="X185" s="724">
        <v>2000</v>
      </c>
      <c r="Y185" s="724">
        <v>2000</v>
      </c>
      <c r="Z185" s="724">
        <v>2000</v>
      </c>
      <c r="AA185" s="724">
        <v>2000</v>
      </c>
      <c r="AB185" s="724">
        <v>2000</v>
      </c>
      <c r="AC185" s="724">
        <v>2000</v>
      </c>
      <c r="AD185" s="724">
        <v>2000</v>
      </c>
      <c r="AE185" s="724">
        <v>2000</v>
      </c>
      <c r="AF185" s="724">
        <v>2000</v>
      </c>
      <c r="AG185" s="724">
        <v>4400</v>
      </c>
      <c r="AH185" s="724"/>
      <c r="AI185" s="724"/>
      <c r="AJ185" s="724"/>
      <c r="AK185" s="724"/>
      <c r="AL185" s="724"/>
      <c r="AM185" s="724"/>
      <c r="AN185" s="724"/>
      <c r="AO185" s="724"/>
      <c r="AP185" s="724"/>
      <c r="AQ185" s="724"/>
      <c r="AR185" s="724"/>
      <c r="AS185" s="724"/>
      <c r="AT185" s="724"/>
      <c r="AU185" s="724"/>
      <c r="AV185" s="724"/>
      <c r="AW185" s="724"/>
      <c r="AX185" s="724"/>
      <c r="AY185" s="724"/>
      <c r="AZ185" s="724"/>
      <c r="BA185" s="724"/>
      <c r="BB185" s="724"/>
      <c r="BC185" s="725">
        <f t="shared" si="10"/>
        <v>66400</v>
      </c>
      <c r="BD185" s="724">
        <f>+BC185-'BOULEVARD 5 orig.'!I190</f>
        <v>0</v>
      </c>
      <c r="BE185" s="724">
        <f t="shared" si="11"/>
        <v>66400</v>
      </c>
      <c r="BF185" s="726">
        <f>VLOOKUP(A185,'BOULEVARD 5 orig.'!B190:AS488,42,0)</f>
        <v>0</v>
      </c>
      <c r="BG185" s="727">
        <f t="shared" si="12"/>
        <v>30</v>
      </c>
      <c r="BH185" s="728">
        <f t="shared" si="9"/>
        <v>2213.3333333333335</v>
      </c>
    </row>
    <row r="186" spans="1:60" x14ac:dyDescent="0.2">
      <c r="A186" s="723">
        <v>1018</v>
      </c>
      <c r="B186" s="723" t="str">
        <f>'BOULEVARD 5'!H191</f>
        <v>4.Plan de pagos</v>
      </c>
      <c r="C186" s="724"/>
      <c r="D186" s="724"/>
      <c r="E186" s="724"/>
      <c r="F186" s="724"/>
      <c r="G186" s="724">
        <v>69127.17</v>
      </c>
      <c r="H186" s="724"/>
      <c r="I186" s="724"/>
      <c r="J186" s="724"/>
      <c r="K186" s="724"/>
      <c r="L186" s="724"/>
      <c r="M186" s="724"/>
      <c r="N186" s="724"/>
      <c r="O186" s="724"/>
      <c r="P186" s="724"/>
      <c r="Q186" s="724"/>
      <c r="R186" s="724"/>
      <c r="S186" s="724"/>
      <c r="T186" s="724"/>
      <c r="U186" s="724"/>
      <c r="V186" s="724"/>
      <c r="W186" s="724"/>
      <c r="X186" s="724"/>
      <c r="Y186" s="724"/>
      <c r="Z186" s="724"/>
      <c r="AA186" s="724"/>
      <c r="AB186" s="724"/>
      <c r="AC186" s="724"/>
      <c r="AD186" s="724"/>
      <c r="AE186" s="724"/>
      <c r="AF186" s="724"/>
      <c r="AG186" s="724"/>
      <c r="AH186" s="724"/>
      <c r="AI186" s="724"/>
      <c r="AJ186" s="724"/>
      <c r="AK186" s="724"/>
      <c r="AL186" s="724"/>
      <c r="AM186" s="724"/>
      <c r="AN186" s="724"/>
      <c r="AO186" s="724"/>
      <c r="AP186" s="724"/>
      <c r="AQ186" s="724"/>
      <c r="AR186" s="724"/>
      <c r="AS186" s="724"/>
      <c r="AT186" s="724"/>
      <c r="AU186" s="724"/>
      <c r="AV186" s="724"/>
      <c r="AW186" s="724"/>
      <c r="AX186" s="724"/>
      <c r="AY186" s="724"/>
      <c r="AZ186" s="724"/>
      <c r="BA186" s="724"/>
      <c r="BB186" s="724"/>
      <c r="BC186" s="725">
        <f t="shared" si="10"/>
        <v>69127.17</v>
      </c>
      <c r="BD186" s="724">
        <f>+BC186-'BOULEVARD 5 orig.'!I191</f>
        <v>0</v>
      </c>
      <c r="BE186" s="724">
        <f t="shared" si="11"/>
        <v>69127.17</v>
      </c>
      <c r="BF186" s="726">
        <f>VLOOKUP(A186,'BOULEVARD 5 orig.'!B191:AS489,42,0)</f>
        <v>0</v>
      </c>
      <c r="BG186" s="727">
        <f t="shared" si="12"/>
        <v>1</v>
      </c>
      <c r="BH186" s="728">
        <f t="shared" si="9"/>
        <v>69127.17</v>
      </c>
    </row>
    <row r="187" spans="1:60" x14ac:dyDescent="0.2">
      <c r="A187" s="723">
        <v>1019</v>
      </c>
      <c r="B187" s="723" t="str">
        <f>'BOULEVARD 5'!H192</f>
        <v>4.Plan de pagos</v>
      </c>
      <c r="C187" s="724"/>
      <c r="D187" s="724"/>
      <c r="E187" s="724"/>
      <c r="F187" s="724"/>
      <c r="G187" s="724"/>
      <c r="H187" s="724"/>
      <c r="I187" s="724"/>
      <c r="J187" s="724"/>
      <c r="K187" s="724"/>
      <c r="L187" s="724"/>
      <c r="M187" s="724"/>
      <c r="N187" s="724"/>
      <c r="O187" s="724"/>
      <c r="P187" s="724"/>
      <c r="Q187" s="724"/>
      <c r="R187" s="724"/>
      <c r="S187" s="724"/>
      <c r="T187" s="724"/>
      <c r="U187" s="724"/>
      <c r="V187" s="724"/>
      <c r="W187" s="724"/>
      <c r="X187" s="724"/>
      <c r="Y187" s="724"/>
      <c r="Z187" s="724"/>
      <c r="AA187" s="724"/>
      <c r="AB187" s="724"/>
      <c r="AC187" s="724"/>
      <c r="AD187" s="724"/>
      <c r="AE187" s="724"/>
      <c r="AF187" s="724">
        <v>10000</v>
      </c>
      <c r="AG187" s="724">
        <v>8750</v>
      </c>
      <c r="AH187" s="724">
        <v>8750</v>
      </c>
      <c r="AI187" s="724">
        <v>8750</v>
      </c>
      <c r="AJ187" s="724">
        <v>8750</v>
      </c>
      <c r="AK187" s="724">
        <v>8750</v>
      </c>
      <c r="AL187" s="724">
        <v>8750</v>
      </c>
      <c r="AM187" s="724">
        <v>8750</v>
      </c>
      <c r="AN187" s="724">
        <v>8750</v>
      </c>
      <c r="AO187" s="724">
        <v>8750</v>
      </c>
      <c r="AP187" s="724">
        <v>8750</v>
      </c>
      <c r="AQ187" s="724"/>
      <c r="AR187" s="724"/>
      <c r="AS187" s="724"/>
      <c r="AT187" s="724"/>
      <c r="AU187" s="724"/>
      <c r="AV187" s="724"/>
      <c r="AW187" s="724"/>
      <c r="AX187" s="724"/>
      <c r="AY187" s="724"/>
      <c r="AZ187" s="724"/>
      <c r="BA187" s="724"/>
      <c r="BB187" s="724"/>
      <c r="BC187" s="725">
        <f t="shared" si="10"/>
        <v>97500</v>
      </c>
      <c r="BD187" s="724">
        <f>+BC187-'BOULEVARD 5 orig.'!I192</f>
        <v>-57068.920000000013</v>
      </c>
      <c r="BE187" s="724">
        <f t="shared" si="11"/>
        <v>97500</v>
      </c>
      <c r="BF187" s="726">
        <f>VLOOKUP(A187,'BOULEVARD 5 orig.'!B192:AS490,42,0)</f>
        <v>0</v>
      </c>
      <c r="BG187" s="727">
        <f t="shared" si="12"/>
        <v>11</v>
      </c>
      <c r="BH187" s="728">
        <f t="shared" si="9"/>
        <v>8863.636363636364</v>
      </c>
    </row>
    <row r="188" spans="1:60" x14ac:dyDescent="0.2">
      <c r="A188" s="723">
        <v>1020</v>
      </c>
      <c r="B188" s="723" t="str">
        <f>'BOULEVARD 5'!H193</f>
        <v>2. Reserva</v>
      </c>
      <c r="C188" s="724"/>
      <c r="D188" s="724"/>
      <c r="E188" s="724"/>
      <c r="F188" s="724"/>
      <c r="G188" s="724"/>
      <c r="H188" s="724"/>
      <c r="I188" s="724"/>
      <c r="J188" s="724"/>
      <c r="K188" s="724"/>
      <c r="L188" s="724"/>
      <c r="M188" s="724"/>
      <c r="N188" s="724"/>
      <c r="O188" s="724"/>
      <c r="P188" s="724"/>
      <c r="Q188" s="724"/>
      <c r="R188" s="724"/>
      <c r="S188" s="724"/>
      <c r="T188" s="724"/>
      <c r="U188" s="724"/>
      <c r="V188" s="724"/>
      <c r="W188" s="724"/>
      <c r="X188" s="724"/>
      <c r="Y188" s="724"/>
      <c r="Z188" s="724"/>
      <c r="AA188" s="724"/>
      <c r="AB188" s="724"/>
      <c r="AC188" s="724"/>
      <c r="AD188" s="724"/>
      <c r="AE188" s="724"/>
      <c r="AF188" s="724"/>
      <c r="AG188" s="724"/>
      <c r="AH188" s="724"/>
      <c r="AI188" s="724"/>
      <c r="AJ188" s="724"/>
      <c r="AK188" s="724"/>
      <c r="AL188" s="724"/>
      <c r="AM188" s="724"/>
      <c r="AN188" s="724"/>
      <c r="AO188" s="724"/>
      <c r="AP188" s="724"/>
      <c r="AQ188" s="724"/>
      <c r="AR188" s="724"/>
      <c r="AS188" s="724"/>
      <c r="AT188" s="724"/>
      <c r="AU188" s="724"/>
      <c r="AV188" s="724"/>
      <c r="AW188" s="724"/>
      <c r="AX188" s="724"/>
      <c r="AY188" s="724"/>
      <c r="AZ188" s="724"/>
      <c r="BA188" s="724"/>
      <c r="BB188" s="724"/>
      <c r="BC188" s="725">
        <f t="shared" si="10"/>
        <v>0</v>
      </c>
      <c r="BD188" s="724">
        <f>+BC188-'BOULEVARD 5 orig.'!I193</f>
        <v>-125997.37</v>
      </c>
      <c r="BE188" s="724">
        <f t="shared" si="11"/>
        <v>0</v>
      </c>
      <c r="BF188" s="726">
        <f>VLOOKUP(A188,'BOULEVARD 5 orig.'!B193:AS491,42,0)</f>
        <v>0</v>
      </c>
      <c r="BG188" s="727">
        <f t="shared" si="12"/>
        <v>0</v>
      </c>
      <c r="BH188" s="728">
        <f t="shared" si="9"/>
        <v>0</v>
      </c>
    </row>
    <row r="189" spans="1:60" x14ac:dyDescent="0.2">
      <c r="A189" s="723">
        <v>1101</v>
      </c>
      <c r="B189" s="723" t="str">
        <f>'BOULEVARD 5'!H194</f>
        <v>4.Plan de pagos</v>
      </c>
      <c r="C189" s="724"/>
      <c r="D189" s="724"/>
      <c r="E189" s="724"/>
      <c r="F189" s="724"/>
      <c r="G189" s="724"/>
      <c r="H189" s="724"/>
      <c r="I189" s="724"/>
      <c r="J189" s="724"/>
      <c r="K189" s="724"/>
      <c r="L189" s="724"/>
      <c r="M189" s="724"/>
      <c r="N189" s="724"/>
      <c r="O189" s="724">
        <v>8000</v>
      </c>
      <c r="P189" s="724">
        <v>6094</v>
      </c>
      <c r="Q189" s="724">
        <v>6094</v>
      </c>
      <c r="R189" s="724">
        <v>6094</v>
      </c>
      <c r="S189" s="724">
        <v>6094</v>
      </c>
      <c r="T189" s="724">
        <v>6094</v>
      </c>
      <c r="U189" s="724">
        <v>6094</v>
      </c>
      <c r="V189" s="724">
        <v>6094</v>
      </c>
      <c r="W189" s="724">
        <v>6094</v>
      </c>
      <c r="X189" s="724">
        <v>6094</v>
      </c>
      <c r="Y189" s="724">
        <v>6094</v>
      </c>
      <c r="Z189" s="724">
        <v>6094</v>
      </c>
      <c r="AA189" s="724">
        <v>6094</v>
      </c>
      <c r="AB189" s="724">
        <v>6094</v>
      </c>
      <c r="AC189" s="724">
        <v>6094</v>
      </c>
      <c r="AD189" s="724">
        <v>6094</v>
      </c>
      <c r="AE189" s="724">
        <v>6094</v>
      </c>
      <c r="AF189" s="724">
        <v>6094</v>
      </c>
      <c r="AG189" s="724">
        <v>6102</v>
      </c>
      <c r="AH189" s="724"/>
      <c r="AI189" s="724"/>
      <c r="AJ189" s="724"/>
      <c r="AK189" s="724"/>
      <c r="AL189" s="724"/>
      <c r="AM189" s="724"/>
      <c r="AN189" s="724"/>
      <c r="AO189" s="724"/>
      <c r="AP189" s="724"/>
      <c r="AQ189" s="724"/>
      <c r="AR189" s="724"/>
      <c r="AS189" s="724"/>
      <c r="AT189" s="724"/>
      <c r="AU189" s="724"/>
      <c r="AV189" s="724"/>
      <c r="AW189" s="724"/>
      <c r="AX189" s="724"/>
      <c r="AY189" s="724"/>
      <c r="AZ189" s="724"/>
      <c r="BA189" s="724"/>
      <c r="BB189" s="724"/>
      <c r="BC189" s="725">
        <f t="shared" si="10"/>
        <v>117700</v>
      </c>
      <c r="BD189" s="724">
        <f>+BC189-'BOULEVARD 5 orig.'!I194</f>
        <v>0</v>
      </c>
      <c r="BE189" s="724">
        <f t="shared" si="11"/>
        <v>117700</v>
      </c>
      <c r="BF189" s="726">
        <f>VLOOKUP(A189,'BOULEVARD 5 orig.'!B194:AS492,42,0)</f>
        <v>0</v>
      </c>
      <c r="BG189" s="727">
        <f t="shared" si="12"/>
        <v>19</v>
      </c>
      <c r="BH189" s="728">
        <f t="shared" si="9"/>
        <v>6194.7368421052633</v>
      </c>
    </row>
    <row r="190" spans="1:60" x14ac:dyDescent="0.2">
      <c r="A190" s="723">
        <v>1102</v>
      </c>
      <c r="B190" s="723" t="str">
        <f>'BOULEVARD 5'!H195</f>
        <v>4.Plan de pagos</v>
      </c>
      <c r="C190" s="724"/>
      <c r="D190" s="724">
        <v>6000</v>
      </c>
      <c r="E190" s="724">
        <v>3215</v>
      </c>
      <c r="F190" s="724">
        <v>3215</v>
      </c>
      <c r="G190" s="724">
        <v>3215</v>
      </c>
      <c r="H190" s="724">
        <v>3215</v>
      </c>
      <c r="I190" s="724">
        <v>3215</v>
      </c>
      <c r="J190" s="724">
        <v>3215</v>
      </c>
      <c r="K190" s="724">
        <v>3215</v>
      </c>
      <c r="L190" s="724">
        <v>3215</v>
      </c>
      <c r="M190" s="724">
        <v>3215</v>
      </c>
      <c r="N190" s="724">
        <v>3215</v>
      </c>
      <c r="O190" s="724">
        <v>3215</v>
      </c>
      <c r="P190" s="724">
        <v>3215</v>
      </c>
      <c r="Q190" s="724">
        <v>3215</v>
      </c>
      <c r="R190" s="724">
        <v>3215</v>
      </c>
      <c r="S190" s="724">
        <v>3215</v>
      </c>
      <c r="T190" s="724">
        <v>3215</v>
      </c>
      <c r="U190" s="724">
        <v>3215</v>
      </c>
      <c r="V190" s="724">
        <v>3215</v>
      </c>
      <c r="W190" s="724">
        <v>3215</v>
      </c>
      <c r="X190" s="724">
        <v>3215</v>
      </c>
      <c r="Y190" s="724">
        <v>3215</v>
      </c>
      <c r="Z190" s="724">
        <v>3215</v>
      </c>
      <c r="AA190" s="724">
        <v>3215</v>
      </c>
      <c r="AB190" s="724">
        <v>3215</v>
      </c>
      <c r="AC190" s="724">
        <v>3215</v>
      </c>
      <c r="AD190" s="724">
        <v>3215</v>
      </c>
      <c r="AE190" s="724">
        <v>3215</v>
      </c>
      <c r="AF190" s="724">
        <v>3215</v>
      </c>
      <c r="AG190" s="724">
        <v>3215</v>
      </c>
      <c r="AH190" s="724">
        <v>3215</v>
      </c>
      <c r="AI190" s="724">
        <v>3215</v>
      </c>
      <c r="AJ190" s="724">
        <v>3215</v>
      </c>
      <c r="AK190" s="724">
        <v>3215</v>
      </c>
      <c r="AL190" s="724">
        <v>3205</v>
      </c>
      <c r="AM190" s="724"/>
      <c r="AN190" s="724"/>
      <c r="AO190" s="724"/>
      <c r="AP190" s="724"/>
      <c r="AQ190" s="724"/>
      <c r="AR190" s="724"/>
      <c r="AS190" s="724"/>
      <c r="AT190" s="724"/>
      <c r="AU190" s="724"/>
      <c r="AV190" s="724"/>
      <c r="AW190" s="724"/>
      <c r="AX190" s="724"/>
      <c r="AY190" s="724"/>
      <c r="AZ190" s="724"/>
      <c r="BA190" s="724"/>
      <c r="BB190" s="724"/>
      <c r="BC190" s="725">
        <f t="shared" si="10"/>
        <v>115300</v>
      </c>
      <c r="BD190" s="724">
        <f>+BC190-'BOULEVARD 5 orig.'!I195</f>
        <v>0</v>
      </c>
      <c r="BE190" s="724">
        <f t="shared" si="11"/>
        <v>115300</v>
      </c>
      <c r="BF190" s="726">
        <f>VLOOKUP(A190,'BOULEVARD 5 orig.'!B195:AS493,42,0)</f>
        <v>0</v>
      </c>
      <c r="BG190" s="727">
        <f t="shared" si="12"/>
        <v>35</v>
      </c>
      <c r="BH190" s="728">
        <f t="shared" si="9"/>
        <v>3294.2857142857142</v>
      </c>
    </row>
    <row r="191" spans="1:60" x14ac:dyDescent="0.2">
      <c r="A191" s="723">
        <v>1103</v>
      </c>
      <c r="B191" s="723" t="str">
        <f>'BOULEVARD 5'!H196</f>
        <v>4.Plan de pagos</v>
      </c>
      <c r="C191" s="724"/>
      <c r="D191" s="724"/>
      <c r="E191" s="724">
        <v>6000</v>
      </c>
      <c r="F191" s="724">
        <v>6225</v>
      </c>
      <c r="G191" s="724">
        <v>6225</v>
      </c>
      <c r="H191" s="724">
        <v>6225</v>
      </c>
      <c r="I191" s="724">
        <v>6225</v>
      </c>
      <c r="J191" s="724">
        <v>6225</v>
      </c>
      <c r="K191" s="724">
        <v>6225</v>
      </c>
      <c r="L191" s="724">
        <v>6225</v>
      </c>
      <c r="M191" s="724">
        <v>6225</v>
      </c>
      <c r="N191" s="724">
        <v>6225</v>
      </c>
      <c r="O191" s="724">
        <v>6225</v>
      </c>
      <c r="P191" s="724">
        <v>6225</v>
      </c>
      <c r="Q191" s="724">
        <v>6225</v>
      </c>
      <c r="R191" s="724">
        <v>6225</v>
      </c>
      <c r="S191" s="724">
        <v>6225</v>
      </c>
      <c r="T191" s="724">
        <v>6225</v>
      </c>
      <c r="U191" s="724">
        <v>6225</v>
      </c>
      <c r="V191" s="724">
        <v>6225</v>
      </c>
      <c r="W191" s="724">
        <v>6225</v>
      </c>
      <c r="X191" s="724">
        <v>6225</v>
      </c>
      <c r="Y191" s="724">
        <v>6225</v>
      </c>
      <c r="Z191" s="724">
        <v>6225</v>
      </c>
      <c r="AA191" s="724">
        <v>6225</v>
      </c>
      <c r="AB191" s="724">
        <v>6225</v>
      </c>
      <c r="AC191" s="724">
        <v>6225</v>
      </c>
      <c r="AD191" s="724">
        <v>6225</v>
      </c>
      <c r="AE191" s="724">
        <v>6225</v>
      </c>
      <c r="AF191" s="724">
        <v>6225</v>
      </c>
      <c r="AG191" s="724">
        <v>6225</v>
      </c>
      <c r="AH191" s="724"/>
      <c r="AI191" s="724"/>
      <c r="AJ191" s="724"/>
      <c r="AK191" s="724"/>
      <c r="AL191" s="724"/>
      <c r="AM191" s="724"/>
      <c r="AN191" s="724"/>
      <c r="AO191" s="724"/>
      <c r="AP191" s="724"/>
      <c r="AQ191" s="724"/>
      <c r="AR191" s="724"/>
      <c r="AS191" s="724"/>
      <c r="AT191" s="724"/>
      <c r="AU191" s="724"/>
      <c r="AV191" s="724"/>
      <c r="AW191" s="724"/>
      <c r="AX191" s="724"/>
      <c r="AY191" s="724"/>
      <c r="AZ191" s="724"/>
      <c r="BA191" s="724"/>
      <c r="BB191" s="724"/>
      <c r="BC191" s="725">
        <f t="shared" si="10"/>
        <v>180300</v>
      </c>
      <c r="BD191" s="724">
        <f>+BC191-'BOULEVARD 5 orig.'!I196</f>
        <v>0</v>
      </c>
      <c r="BE191" s="724">
        <f t="shared" si="11"/>
        <v>180300</v>
      </c>
      <c r="BF191" s="726">
        <f>VLOOKUP(A191,'BOULEVARD 5 orig.'!B196:AS494,42,0)</f>
        <v>0</v>
      </c>
      <c r="BG191" s="727">
        <f t="shared" si="12"/>
        <v>29</v>
      </c>
      <c r="BH191" s="728">
        <f t="shared" si="9"/>
        <v>6217.2413793103451</v>
      </c>
    </row>
    <row r="192" spans="1:60" x14ac:dyDescent="0.2">
      <c r="A192" s="723">
        <v>1104</v>
      </c>
      <c r="B192" s="723" t="str">
        <f>'BOULEVARD 5'!H197</f>
        <v>4.Plan de pagos</v>
      </c>
      <c r="C192" s="724"/>
      <c r="D192" s="724"/>
      <c r="E192" s="724"/>
      <c r="F192" s="724"/>
      <c r="G192" s="724"/>
      <c r="H192" s="724"/>
      <c r="I192" s="724"/>
      <c r="J192" s="724"/>
      <c r="K192" s="724"/>
      <c r="L192" s="724"/>
      <c r="M192" s="724"/>
      <c r="N192" s="724">
        <v>8000</v>
      </c>
      <c r="O192" s="724">
        <v>4253</v>
      </c>
      <c r="P192" s="724">
        <v>4253</v>
      </c>
      <c r="Q192" s="724">
        <v>4253</v>
      </c>
      <c r="R192" s="724">
        <v>4253</v>
      </c>
      <c r="S192" s="724">
        <v>4253</v>
      </c>
      <c r="T192" s="724">
        <v>4253</v>
      </c>
      <c r="U192" s="724">
        <v>4253</v>
      </c>
      <c r="V192" s="724">
        <v>4253</v>
      </c>
      <c r="W192" s="724">
        <v>4253</v>
      </c>
      <c r="X192" s="724">
        <v>4253</v>
      </c>
      <c r="Y192" s="724">
        <v>4253</v>
      </c>
      <c r="Z192" s="724">
        <v>4253</v>
      </c>
      <c r="AA192" s="724">
        <v>4253</v>
      </c>
      <c r="AB192" s="724">
        <v>4253</v>
      </c>
      <c r="AC192" s="724">
        <v>4253</v>
      </c>
      <c r="AD192" s="724">
        <v>4253</v>
      </c>
      <c r="AE192" s="724">
        <v>4253</v>
      </c>
      <c r="AF192" s="724">
        <v>4253</v>
      </c>
      <c r="AG192" s="724">
        <v>4246</v>
      </c>
      <c r="AH192" s="724"/>
      <c r="AI192" s="724"/>
      <c r="AJ192" s="724"/>
      <c r="AK192" s="724"/>
      <c r="AL192" s="724"/>
      <c r="AM192" s="724"/>
      <c r="AN192" s="724"/>
      <c r="AO192" s="724"/>
      <c r="AP192" s="724"/>
      <c r="AQ192" s="724"/>
      <c r="AR192" s="724"/>
      <c r="AS192" s="724"/>
      <c r="AT192" s="724"/>
      <c r="AU192" s="724"/>
      <c r="AV192" s="724"/>
      <c r="AW192" s="724"/>
      <c r="AX192" s="724"/>
      <c r="AY192" s="724"/>
      <c r="AZ192" s="724"/>
      <c r="BA192" s="724"/>
      <c r="BB192" s="724"/>
      <c r="BC192" s="725">
        <f t="shared" si="10"/>
        <v>88800</v>
      </c>
      <c r="BD192" s="724">
        <f>+BC192-'BOULEVARD 5 orig.'!I197</f>
        <v>0</v>
      </c>
      <c r="BE192" s="724">
        <f t="shared" si="11"/>
        <v>88800</v>
      </c>
      <c r="BF192" s="726">
        <f>VLOOKUP(A192,'BOULEVARD 5 orig.'!B197:AS495,42,0)</f>
        <v>0</v>
      </c>
      <c r="BG192" s="727">
        <f t="shared" si="12"/>
        <v>20</v>
      </c>
      <c r="BH192" s="728">
        <f t="shared" si="9"/>
        <v>4440</v>
      </c>
    </row>
    <row r="193" spans="1:60" x14ac:dyDescent="0.2">
      <c r="A193" s="723">
        <v>1105</v>
      </c>
      <c r="B193" s="723" t="str">
        <f>'BOULEVARD 5'!H198</f>
        <v>4.Plan de pagos</v>
      </c>
      <c r="C193" s="724">
        <v>15000</v>
      </c>
      <c r="D193" s="724">
        <v>1000</v>
      </c>
      <c r="E193" s="724">
        <v>1000</v>
      </c>
      <c r="F193" s="724">
        <v>1000</v>
      </c>
      <c r="G193" s="724">
        <v>1000</v>
      </c>
      <c r="H193" s="724">
        <v>1000</v>
      </c>
      <c r="I193" s="724">
        <v>1000</v>
      </c>
      <c r="J193" s="724">
        <v>1000</v>
      </c>
      <c r="K193" s="724">
        <v>1000</v>
      </c>
      <c r="L193" s="724">
        <v>1000</v>
      </c>
      <c r="M193" s="724">
        <v>1000</v>
      </c>
      <c r="N193" s="724">
        <v>1000</v>
      </c>
      <c r="O193" s="724">
        <v>1000</v>
      </c>
      <c r="P193" s="724">
        <v>1000</v>
      </c>
      <c r="Q193" s="724">
        <v>1000</v>
      </c>
      <c r="R193" s="724">
        <v>1000</v>
      </c>
      <c r="S193" s="724">
        <v>1000</v>
      </c>
      <c r="T193" s="724">
        <v>1000</v>
      </c>
      <c r="U193" s="724">
        <v>1000</v>
      </c>
      <c r="V193" s="724">
        <v>1000</v>
      </c>
      <c r="W193" s="724">
        <v>1000</v>
      </c>
      <c r="X193" s="724">
        <v>1000</v>
      </c>
      <c r="Y193" s="724">
        <v>1000</v>
      </c>
      <c r="Z193" s="724">
        <v>1000</v>
      </c>
      <c r="AA193" s="724">
        <v>1000</v>
      </c>
      <c r="AB193" s="724">
        <v>1000</v>
      </c>
      <c r="AC193" s="724">
        <v>1000</v>
      </c>
      <c r="AD193" s="724">
        <v>1000</v>
      </c>
      <c r="AE193" s="724">
        <v>1000</v>
      </c>
      <c r="AF193" s="724">
        <v>1000</v>
      </c>
      <c r="AG193" s="724">
        <v>1000</v>
      </c>
      <c r="AH193" s="724">
        <v>1000</v>
      </c>
      <c r="AI193" s="724">
        <v>1000</v>
      </c>
      <c r="AJ193" s="724">
        <v>1000</v>
      </c>
      <c r="AK193" s="724">
        <v>1000</v>
      </c>
      <c r="AL193" s="724">
        <v>16892.7</v>
      </c>
      <c r="AM193" s="724"/>
      <c r="AN193" s="724"/>
      <c r="AO193" s="724"/>
      <c r="AP193" s="724"/>
      <c r="AQ193" s="724"/>
      <c r="AR193" s="724"/>
      <c r="AS193" s="724"/>
      <c r="AT193" s="724"/>
      <c r="AU193" s="724"/>
      <c r="AV193" s="724"/>
      <c r="AW193" s="724"/>
      <c r="AX193" s="724"/>
      <c r="AY193" s="724"/>
      <c r="AZ193" s="724"/>
      <c r="BA193" s="724"/>
      <c r="BB193" s="724"/>
      <c r="BC193" s="725">
        <f t="shared" si="10"/>
        <v>65892.7</v>
      </c>
      <c r="BD193" s="724">
        <f>+BC193-'BOULEVARD 5 orig.'!I198</f>
        <v>0</v>
      </c>
      <c r="BE193" s="724">
        <f t="shared" si="11"/>
        <v>65892.7</v>
      </c>
      <c r="BF193" s="726">
        <f>VLOOKUP(A193,'BOULEVARD 5 orig.'!B198:AS496,42,0)</f>
        <v>0</v>
      </c>
      <c r="BG193" s="727">
        <f t="shared" si="12"/>
        <v>36</v>
      </c>
      <c r="BH193" s="728">
        <f t="shared" si="9"/>
        <v>1830.3527777777776</v>
      </c>
    </row>
    <row r="194" spans="1:60" x14ac:dyDescent="0.2">
      <c r="A194" s="723">
        <v>1106</v>
      </c>
      <c r="B194" s="723" t="str">
        <f>'BOULEVARD 5'!H199</f>
        <v>4.Plan de pagos</v>
      </c>
      <c r="C194" s="724"/>
      <c r="D194" s="724">
        <v>12000</v>
      </c>
      <c r="E194" s="724">
        <v>1869</v>
      </c>
      <c r="F194" s="724">
        <v>1869</v>
      </c>
      <c r="G194" s="724">
        <v>1869</v>
      </c>
      <c r="H194" s="724">
        <v>1869</v>
      </c>
      <c r="I194" s="724">
        <v>1869</v>
      </c>
      <c r="J194" s="724">
        <v>1869</v>
      </c>
      <c r="K194" s="724">
        <v>1869</v>
      </c>
      <c r="L194" s="724">
        <v>1869</v>
      </c>
      <c r="M194" s="724">
        <v>1869</v>
      </c>
      <c r="N194" s="724">
        <v>1869</v>
      </c>
      <c r="O194" s="724">
        <v>1869</v>
      </c>
      <c r="P194" s="724">
        <v>1869</v>
      </c>
      <c r="Q194" s="724">
        <v>1869</v>
      </c>
      <c r="R194" s="724">
        <v>1869</v>
      </c>
      <c r="S194" s="724">
        <v>1869</v>
      </c>
      <c r="T194" s="724">
        <v>1869</v>
      </c>
      <c r="U194" s="724">
        <v>1869</v>
      </c>
      <c r="V194" s="724">
        <v>1869</v>
      </c>
      <c r="W194" s="724">
        <v>1869</v>
      </c>
      <c r="X194" s="724">
        <v>1869</v>
      </c>
      <c r="Y194" s="724">
        <v>1869</v>
      </c>
      <c r="Z194" s="724">
        <v>1869</v>
      </c>
      <c r="AA194" s="724">
        <v>1869</v>
      </c>
      <c r="AB194" s="724">
        <v>1869</v>
      </c>
      <c r="AC194" s="724">
        <v>1869</v>
      </c>
      <c r="AD194" s="724">
        <v>1869</v>
      </c>
      <c r="AE194" s="724">
        <v>1869</v>
      </c>
      <c r="AF194" s="724">
        <v>1869</v>
      </c>
      <c r="AG194" s="724">
        <v>1868</v>
      </c>
      <c r="AH194" s="724"/>
      <c r="AI194" s="724"/>
      <c r="AJ194" s="724"/>
      <c r="AK194" s="724"/>
      <c r="AL194" s="724"/>
      <c r="AM194" s="724"/>
      <c r="AN194" s="724"/>
      <c r="AO194" s="724"/>
      <c r="AP194" s="724"/>
      <c r="AQ194" s="724"/>
      <c r="AR194" s="724"/>
      <c r="AS194" s="724"/>
      <c r="AT194" s="724"/>
      <c r="AU194" s="724"/>
      <c r="AV194" s="724"/>
      <c r="AW194" s="724"/>
      <c r="AX194" s="724"/>
      <c r="AY194" s="724"/>
      <c r="AZ194" s="724"/>
      <c r="BA194" s="724"/>
      <c r="BB194" s="724"/>
      <c r="BC194" s="725">
        <f t="shared" si="10"/>
        <v>66200</v>
      </c>
      <c r="BD194" s="724">
        <f>+BC194-'BOULEVARD 5 orig.'!I199</f>
        <v>0</v>
      </c>
      <c r="BE194" s="724">
        <f t="shared" si="11"/>
        <v>66200</v>
      </c>
      <c r="BF194" s="726">
        <f>VLOOKUP(A194,'BOULEVARD 5 orig.'!B199:AS497,42,0)</f>
        <v>0</v>
      </c>
      <c r="BG194" s="727">
        <f t="shared" si="12"/>
        <v>30</v>
      </c>
      <c r="BH194" s="728">
        <f t="shared" ref="BH194:BH257" si="13">IFERROR((+BC194/BG194),0)</f>
        <v>2206.6666666666665</v>
      </c>
    </row>
    <row r="195" spans="1:60" x14ac:dyDescent="0.2">
      <c r="A195" s="729">
        <v>1107</v>
      </c>
      <c r="B195" s="723" t="str">
        <f>'BOULEVARD 5'!H200</f>
        <v>4.Plan de pagos</v>
      </c>
      <c r="C195" s="730"/>
      <c r="D195" s="730"/>
      <c r="E195" s="730"/>
      <c r="F195" s="730"/>
      <c r="G195" s="730"/>
      <c r="H195" s="730">
        <v>6000</v>
      </c>
      <c r="I195" s="730">
        <v>2501</v>
      </c>
      <c r="J195" s="730">
        <v>2501</v>
      </c>
      <c r="K195" s="730">
        <v>2501</v>
      </c>
      <c r="L195" s="730">
        <v>2501</v>
      </c>
      <c r="M195" s="730">
        <v>2501</v>
      </c>
      <c r="N195" s="730">
        <v>2501</v>
      </c>
      <c r="O195" s="730">
        <v>2501</v>
      </c>
      <c r="P195" s="730">
        <v>2501</v>
      </c>
      <c r="Q195" s="730">
        <v>2501</v>
      </c>
      <c r="R195" s="730">
        <v>2501</v>
      </c>
      <c r="S195" s="730">
        <v>2501</v>
      </c>
      <c r="T195" s="730">
        <v>2501</v>
      </c>
      <c r="U195" s="730">
        <v>2501</v>
      </c>
      <c r="V195" s="730">
        <v>2501</v>
      </c>
      <c r="W195" s="730">
        <v>2501</v>
      </c>
      <c r="X195" s="730">
        <v>2501</v>
      </c>
      <c r="Y195" s="730">
        <v>2501</v>
      </c>
      <c r="Z195" s="730">
        <v>2501</v>
      </c>
      <c r="AA195" s="730">
        <v>2501</v>
      </c>
      <c r="AB195" s="730">
        <v>2501</v>
      </c>
      <c r="AC195" s="730">
        <v>2501</v>
      </c>
      <c r="AD195" s="730">
        <v>2501</v>
      </c>
      <c r="AE195" s="730">
        <v>2501</v>
      </c>
      <c r="AF195" s="730">
        <v>2501</v>
      </c>
      <c r="AG195" s="730">
        <v>2496</v>
      </c>
      <c r="AH195" s="730"/>
      <c r="AI195" s="730"/>
      <c r="AJ195" s="730"/>
      <c r="AK195" s="730"/>
      <c r="AL195" s="730"/>
      <c r="AM195" s="730"/>
      <c r="AN195" s="730"/>
      <c r="AO195" s="730"/>
      <c r="AP195" s="730"/>
      <c r="AQ195" s="730"/>
      <c r="AR195" s="730"/>
      <c r="AS195" s="730"/>
      <c r="AT195" s="730"/>
      <c r="AU195" s="730"/>
      <c r="AV195" s="730"/>
      <c r="AW195" s="730"/>
      <c r="AX195" s="730"/>
      <c r="AY195" s="730"/>
      <c r="AZ195" s="730"/>
      <c r="BA195" s="730"/>
      <c r="BB195" s="730"/>
      <c r="BC195" s="731">
        <f t="shared" ref="BC195:BC258" si="14">SUM(C195:BB195)</f>
        <v>68520</v>
      </c>
      <c r="BD195" s="730">
        <f>+BC195-'BOULEVARD 5 orig.'!I200</f>
        <v>0</v>
      </c>
      <c r="BE195" s="730">
        <f t="shared" ref="BE195:BE258" si="15">SUM(C195:BB195)</f>
        <v>68520</v>
      </c>
      <c r="BF195" s="732">
        <f>VLOOKUP(A195,'BOULEVARD 5 orig.'!B200:AS498,42,0)</f>
        <v>0</v>
      </c>
      <c r="BG195" s="733">
        <f t="shared" ref="BG195:BG258" si="16">COUNT(C195:BB195)</f>
        <v>26</v>
      </c>
      <c r="BH195" s="734">
        <f t="shared" si="13"/>
        <v>2635.3846153846152</v>
      </c>
    </row>
    <row r="196" spans="1:60" x14ac:dyDescent="0.2">
      <c r="A196" s="723">
        <v>1108</v>
      </c>
      <c r="B196" s="723" t="str">
        <f>'BOULEVARD 5'!H201</f>
        <v>4.Plan de pagos</v>
      </c>
      <c r="C196" s="724"/>
      <c r="D196" s="724"/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4"/>
      <c r="P196" s="724"/>
      <c r="Q196" s="724"/>
      <c r="R196" s="724"/>
      <c r="S196" s="724"/>
      <c r="T196" s="724"/>
      <c r="U196" s="724"/>
      <c r="V196" s="724"/>
      <c r="W196" s="724"/>
      <c r="X196" s="724"/>
      <c r="Y196" s="724"/>
      <c r="Z196" s="724"/>
      <c r="AA196" s="724"/>
      <c r="AB196" s="724"/>
      <c r="AC196" s="724"/>
      <c r="AD196" s="724"/>
      <c r="AE196" s="724"/>
      <c r="AF196" s="724"/>
      <c r="AG196" s="724"/>
      <c r="AH196" s="724"/>
      <c r="AI196" s="724"/>
      <c r="AJ196" s="724"/>
      <c r="AK196" s="724"/>
      <c r="AL196" s="724"/>
      <c r="AM196" s="724"/>
      <c r="AN196" s="724"/>
      <c r="AO196" s="724"/>
      <c r="AP196" s="724"/>
      <c r="AQ196" s="724"/>
      <c r="AR196" s="724"/>
      <c r="AS196" s="724"/>
      <c r="AT196" s="724"/>
      <c r="AU196" s="724"/>
      <c r="AV196" s="724"/>
      <c r="AW196" s="724"/>
      <c r="AX196" s="724"/>
      <c r="AY196" s="724"/>
      <c r="AZ196" s="724"/>
      <c r="BA196" s="724"/>
      <c r="BB196" s="724"/>
      <c r="BC196" s="725">
        <f t="shared" si="14"/>
        <v>0</v>
      </c>
      <c r="BD196" s="724">
        <f>+BC196-'BOULEVARD 5 orig.'!I201</f>
        <v>-110138.98</v>
      </c>
      <c r="BE196" s="724">
        <f t="shared" si="15"/>
        <v>0</v>
      </c>
      <c r="BF196" s="726">
        <f>VLOOKUP(A196,'BOULEVARD 5 orig.'!B201:AS499,42,0)</f>
        <v>0</v>
      </c>
      <c r="BG196" s="727">
        <f t="shared" si="16"/>
        <v>0</v>
      </c>
      <c r="BH196" s="728">
        <f t="shared" si="13"/>
        <v>0</v>
      </c>
    </row>
    <row r="197" spans="1:60" x14ac:dyDescent="0.2">
      <c r="A197" s="723">
        <v>1109</v>
      </c>
      <c r="B197" s="723" t="str">
        <f>'BOULEVARD 5'!H202</f>
        <v>4.Plan de pagos</v>
      </c>
      <c r="C197" s="724"/>
      <c r="D197" s="724"/>
      <c r="E197" s="724"/>
      <c r="F197" s="724"/>
      <c r="G197" s="724"/>
      <c r="H197" s="724"/>
      <c r="I197" s="724"/>
      <c r="J197" s="724"/>
      <c r="K197" s="724"/>
      <c r="L197" s="724">
        <v>5500</v>
      </c>
      <c r="M197" s="724">
        <v>5371</v>
      </c>
      <c r="N197" s="724">
        <v>5371</v>
      </c>
      <c r="O197" s="724">
        <v>5371</v>
      </c>
      <c r="P197" s="724">
        <v>5371</v>
      </c>
      <c r="Q197" s="724">
        <v>5371</v>
      </c>
      <c r="R197" s="724">
        <v>5371</v>
      </c>
      <c r="S197" s="724">
        <v>5371</v>
      </c>
      <c r="T197" s="724">
        <v>5371</v>
      </c>
      <c r="U197" s="724">
        <v>5371</v>
      </c>
      <c r="V197" s="724">
        <v>5371</v>
      </c>
      <c r="W197" s="724">
        <v>5371</v>
      </c>
      <c r="X197" s="724">
        <v>5371</v>
      </c>
      <c r="Y197" s="724">
        <v>5371</v>
      </c>
      <c r="Z197" s="724">
        <v>5371</v>
      </c>
      <c r="AA197" s="724">
        <v>5371</v>
      </c>
      <c r="AB197" s="724">
        <v>5371</v>
      </c>
      <c r="AC197" s="724">
        <v>5371</v>
      </c>
      <c r="AD197" s="724">
        <v>5371</v>
      </c>
      <c r="AE197" s="724">
        <v>5371</v>
      </c>
      <c r="AF197" s="724">
        <v>5371</v>
      </c>
      <c r="AG197" s="724">
        <v>5365.73</v>
      </c>
      <c r="AH197" s="724"/>
      <c r="AI197" s="724"/>
      <c r="AJ197" s="724"/>
      <c r="AK197" s="724"/>
      <c r="AL197" s="724"/>
      <c r="AM197" s="724"/>
      <c r="AN197" s="724"/>
      <c r="AO197" s="724"/>
      <c r="AP197" s="724"/>
      <c r="AQ197" s="724"/>
      <c r="AR197" s="724"/>
      <c r="AS197" s="724"/>
      <c r="AT197" s="724"/>
      <c r="AU197" s="724"/>
      <c r="AV197" s="724"/>
      <c r="AW197" s="724"/>
      <c r="AX197" s="724"/>
      <c r="AY197" s="724"/>
      <c r="AZ197" s="724"/>
      <c r="BA197" s="724"/>
      <c r="BB197" s="724"/>
      <c r="BC197" s="725">
        <f t="shared" si="14"/>
        <v>118285.73</v>
      </c>
      <c r="BD197" s="724">
        <f>+BC197-'BOULEVARD 5 orig.'!I202</f>
        <v>0</v>
      </c>
      <c r="BE197" s="724">
        <f t="shared" si="15"/>
        <v>118285.73</v>
      </c>
      <c r="BF197" s="726">
        <f>VLOOKUP(A197,'BOULEVARD 5 orig.'!B202:AS500,42,0)</f>
        <v>0</v>
      </c>
      <c r="BG197" s="727">
        <f t="shared" si="16"/>
        <v>22</v>
      </c>
      <c r="BH197" s="728">
        <f t="shared" si="13"/>
        <v>5376.6240909090911</v>
      </c>
    </row>
    <row r="198" spans="1:60" x14ac:dyDescent="0.2">
      <c r="A198" s="723">
        <v>1110</v>
      </c>
      <c r="B198" s="723" t="str">
        <f>'BOULEVARD 5'!H203</f>
        <v>4.Plan de pagos</v>
      </c>
      <c r="C198" s="724"/>
      <c r="D198" s="724"/>
      <c r="E198" s="724"/>
      <c r="F198" s="724"/>
      <c r="G198" s="724"/>
      <c r="H198" s="724">
        <v>6000</v>
      </c>
      <c r="I198" s="724">
        <v>3954</v>
      </c>
      <c r="J198" s="724">
        <v>3954</v>
      </c>
      <c r="K198" s="724">
        <v>3954</v>
      </c>
      <c r="L198" s="724">
        <v>3954</v>
      </c>
      <c r="M198" s="724">
        <v>3954</v>
      </c>
      <c r="N198" s="724">
        <v>3954</v>
      </c>
      <c r="O198" s="724">
        <v>3954</v>
      </c>
      <c r="P198" s="724">
        <v>3954</v>
      </c>
      <c r="Q198" s="724">
        <v>3954</v>
      </c>
      <c r="R198" s="724">
        <v>3954</v>
      </c>
      <c r="S198" s="724">
        <v>3954</v>
      </c>
      <c r="T198" s="724">
        <v>3954</v>
      </c>
      <c r="U198" s="724">
        <v>3954</v>
      </c>
      <c r="V198" s="724">
        <v>3954</v>
      </c>
      <c r="W198" s="724">
        <v>3954</v>
      </c>
      <c r="X198" s="724">
        <v>3954</v>
      </c>
      <c r="Y198" s="724">
        <v>3954</v>
      </c>
      <c r="Z198" s="724">
        <v>3954</v>
      </c>
      <c r="AA198" s="724">
        <v>3954</v>
      </c>
      <c r="AB198" s="724">
        <v>3954</v>
      </c>
      <c r="AC198" s="724">
        <v>3954</v>
      </c>
      <c r="AD198" s="724">
        <v>3954</v>
      </c>
      <c r="AE198" s="724">
        <v>3954</v>
      </c>
      <c r="AF198" s="724">
        <v>3954</v>
      </c>
      <c r="AG198" s="724">
        <v>3954</v>
      </c>
      <c r="AH198" s="724">
        <v>3954</v>
      </c>
      <c r="AI198" s="724">
        <v>3954</v>
      </c>
      <c r="AJ198" s="724">
        <v>3942</v>
      </c>
      <c r="AK198" s="724"/>
      <c r="AL198" s="724"/>
      <c r="AM198" s="724"/>
      <c r="AN198" s="724"/>
      <c r="AO198" s="724"/>
      <c r="AP198" s="724"/>
      <c r="AQ198" s="724"/>
      <c r="AR198" s="724"/>
      <c r="AS198" s="724"/>
      <c r="AT198" s="724"/>
      <c r="AU198" s="724"/>
      <c r="AV198" s="724"/>
      <c r="AW198" s="724"/>
      <c r="AX198" s="724"/>
      <c r="AY198" s="724"/>
      <c r="AZ198" s="724"/>
      <c r="BA198" s="724"/>
      <c r="BB198" s="724"/>
      <c r="BC198" s="725">
        <f t="shared" si="14"/>
        <v>116700</v>
      </c>
      <c r="BD198" s="724">
        <f>+BC198-'BOULEVARD 5 orig.'!I203</f>
        <v>0</v>
      </c>
      <c r="BE198" s="724">
        <f t="shared" si="15"/>
        <v>116700</v>
      </c>
      <c r="BF198" s="726">
        <f>VLOOKUP(A198,'BOULEVARD 5 orig.'!B203:AS501,42,0)</f>
        <v>0</v>
      </c>
      <c r="BG198" s="727">
        <f t="shared" si="16"/>
        <v>29</v>
      </c>
      <c r="BH198" s="728">
        <f t="shared" si="13"/>
        <v>4024.1379310344828</v>
      </c>
    </row>
    <row r="199" spans="1:60" x14ac:dyDescent="0.2">
      <c r="A199" s="723">
        <v>1111</v>
      </c>
      <c r="B199" s="723" t="str">
        <f>'BOULEVARD 5'!H204</f>
        <v>4.Plan de pagos</v>
      </c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>
        <v>8000</v>
      </c>
      <c r="O199" s="724">
        <v>5863</v>
      </c>
      <c r="P199" s="724">
        <v>5863</v>
      </c>
      <c r="Q199" s="724">
        <v>5863</v>
      </c>
      <c r="R199" s="724">
        <v>5863</v>
      </c>
      <c r="S199" s="724">
        <v>5863</v>
      </c>
      <c r="T199" s="724">
        <v>5863</v>
      </c>
      <c r="U199" s="724">
        <v>5863</v>
      </c>
      <c r="V199" s="724">
        <v>5863</v>
      </c>
      <c r="W199" s="724">
        <v>5863</v>
      </c>
      <c r="X199" s="724">
        <v>5863</v>
      </c>
      <c r="Y199" s="724">
        <v>5863</v>
      </c>
      <c r="Z199" s="724">
        <v>5863</v>
      </c>
      <c r="AA199" s="724">
        <v>5863</v>
      </c>
      <c r="AB199" s="724">
        <v>5863</v>
      </c>
      <c r="AC199" s="724">
        <v>5863</v>
      </c>
      <c r="AD199" s="724">
        <v>5863</v>
      </c>
      <c r="AE199" s="724">
        <v>5863</v>
      </c>
      <c r="AF199" s="724">
        <v>5863</v>
      </c>
      <c r="AG199" s="724">
        <v>5868.5</v>
      </c>
      <c r="AH199" s="724"/>
      <c r="AI199" s="724"/>
      <c r="AJ199" s="724"/>
      <c r="AK199" s="724"/>
      <c r="AL199" s="724"/>
      <c r="AM199" s="724"/>
      <c r="AN199" s="724"/>
      <c r="AO199" s="724"/>
      <c r="AP199" s="724"/>
      <c r="AQ199" s="724"/>
      <c r="AR199" s="724"/>
      <c r="AS199" s="724"/>
      <c r="AT199" s="724"/>
      <c r="AU199" s="724"/>
      <c r="AV199" s="724"/>
      <c r="AW199" s="724"/>
      <c r="AX199" s="724"/>
      <c r="AY199" s="724"/>
      <c r="AZ199" s="724"/>
      <c r="BA199" s="724"/>
      <c r="BB199" s="724"/>
      <c r="BC199" s="725">
        <f t="shared" si="14"/>
        <v>119402.5</v>
      </c>
      <c r="BD199" s="724">
        <f>+BC199-'BOULEVARD 5 orig.'!I204</f>
        <v>0</v>
      </c>
      <c r="BE199" s="724">
        <f t="shared" si="15"/>
        <v>119402.5</v>
      </c>
      <c r="BF199" s="726">
        <f>VLOOKUP(A199,'BOULEVARD 5 orig.'!B204:AS502,42,0)</f>
        <v>0</v>
      </c>
      <c r="BG199" s="727">
        <f t="shared" si="16"/>
        <v>20</v>
      </c>
      <c r="BH199" s="728">
        <f t="shared" si="13"/>
        <v>5970.125</v>
      </c>
    </row>
    <row r="200" spans="1:60" x14ac:dyDescent="0.2">
      <c r="A200" s="723">
        <v>1112</v>
      </c>
      <c r="B200" s="723" t="str">
        <f>'BOULEVARD 5'!H205</f>
        <v>4.Plan de pagos</v>
      </c>
      <c r="C200" s="724"/>
      <c r="D200" s="724"/>
      <c r="E200" s="724"/>
      <c r="F200" s="724">
        <v>75062.720000000001</v>
      </c>
      <c r="G200" s="724">
        <v>22799</v>
      </c>
      <c r="H200" s="724">
        <v>22799</v>
      </c>
      <c r="I200" s="724">
        <v>22799</v>
      </c>
      <c r="J200" s="724">
        <v>22799</v>
      </c>
      <c r="K200" s="724">
        <v>22799</v>
      </c>
      <c r="L200" s="724">
        <v>22799</v>
      </c>
      <c r="M200" s="724">
        <v>22799</v>
      </c>
      <c r="N200" s="724">
        <v>22799</v>
      </c>
      <c r="O200" s="724">
        <v>22799</v>
      </c>
      <c r="P200" s="724">
        <v>22799</v>
      </c>
      <c r="Q200" s="724">
        <v>22799</v>
      </c>
      <c r="R200" s="724">
        <v>22799</v>
      </c>
      <c r="S200" s="724">
        <v>22799</v>
      </c>
      <c r="T200" s="724">
        <v>22799</v>
      </c>
      <c r="U200" s="724">
        <v>22799</v>
      </c>
      <c r="V200" s="724">
        <v>22799</v>
      </c>
      <c r="W200" s="724">
        <v>22799</v>
      </c>
      <c r="X200" s="724">
        <v>22799</v>
      </c>
      <c r="Y200" s="724">
        <v>22799</v>
      </c>
      <c r="Z200" s="724">
        <v>22799</v>
      </c>
      <c r="AA200" s="724">
        <v>22799</v>
      </c>
      <c r="AB200" s="724">
        <v>22799</v>
      </c>
      <c r="AC200" s="724">
        <v>22799</v>
      </c>
      <c r="AD200" s="724">
        <v>22799</v>
      </c>
      <c r="AE200" s="724">
        <v>22799</v>
      </c>
      <c r="AF200" s="724">
        <v>22799</v>
      </c>
      <c r="AG200" s="724">
        <v>22790.45</v>
      </c>
      <c r="AH200" s="724"/>
      <c r="AI200" s="724"/>
      <c r="AJ200" s="724"/>
      <c r="AK200" s="724"/>
      <c r="AL200" s="724"/>
      <c r="AM200" s="724"/>
      <c r="AN200" s="724"/>
      <c r="AO200" s="724"/>
      <c r="AP200" s="724"/>
      <c r="AQ200" s="724"/>
      <c r="AR200" s="724"/>
      <c r="AS200" s="724"/>
      <c r="AT200" s="724"/>
      <c r="AU200" s="724"/>
      <c r="AV200" s="724"/>
      <c r="AW200" s="724"/>
      <c r="AX200" s="724"/>
      <c r="AY200" s="724"/>
      <c r="AZ200" s="724"/>
      <c r="BA200" s="724"/>
      <c r="BB200" s="724"/>
      <c r="BC200" s="725">
        <f t="shared" si="14"/>
        <v>690627.16999999993</v>
      </c>
      <c r="BD200" s="724">
        <f>+BC200-'BOULEVARD 5 orig.'!I205</f>
        <v>0</v>
      </c>
      <c r="BE200" s="724">
        <f t="shared" si="15"/>
        <v>690627.16999999993</v>
      </c>
      <c r="BF200" s="726">
        <f>VLOOKUP(A200,'BOULEVARD 5 orig.'!B205:AS503,42,0)</f>
        <v>0</v>
      </c>
      <c r="BG200" s="727">
        <f t="shared" si="16"/>
        <v>28</v>
      </c>
      <c r="BH200" s="728">
        <f t="shared" si="13"/>
        <v>24665.256071428568</v>
      </c>
    </row>
    <row r="201" spans="1:60" x14ac:dyDescent="0.2">
      <c r="A201" s="723">
        <v>1113</v>
      </c>
      <c r="B201" s="723" t="str">
        <f>'BOULEVARD 5'!H206</f>
        <v>4.Plan de pagos</v>
      </c>
      <c r="C201" s="724"/>
      <c r="D201" s="724">
        <v>6000</v>
      </c>
      <c r="E201" s="724">
        <v>2000</v>
      </c>
      <c r="F201" s="724">
        <v>2000</v>
      </c>
      <c r="G201" s="724">
        <v>2000</v>
      </c>
      <c r="H201" s="724">
        <v>2000</v>
      </c>
      <c r="I201" s="724">
        <v>2000</v>
      </c>
      <c r="J201" s="724">
        <v>2000</v>
      </c>
      <c r="K201" s="724">
        <v>2000</v>
      </c>
      <c r="L201" s="724">
        <v>2000</v>
      </c>
      <c r="M201" s="724">
        <v>2000</v>
      </c>
      <c r="N201" s="724">
        <v>2000</v>
      </c>
      <c r="O201" s="724">
        <v>2000</v>
      </c>
      <c r="P201" s="724">
        <v>2000</v>
      </c>
      <c r="Q201" s="724">
        <v>2000</v>
      </c>
      <c r="R201" s="724">
        <v>2000</v>
      </c>
      <c r="S201" s="724">
        <v>2000</v>
      </c>
      <c r="T201" s="724">
        <v>2000</v>
      </c>
      <c r="U201" s="724">
        <v>2000</v>
      </c>
      <c r="V201" s="724">
        <v>2000</v>
      </c>
      <c r="W201" s="724">
        <v>2000</v>
      </c>
      <c r="X201" s="724">
        <v>2000</v>
      </c>
      <c r="Y201" s="724">
        <v>2000</v>
      </c>
      <c r="Z201" s="724">
        <v>2000</v>
      </c>
      <c r="AA201" s="724">
        <v>2000</v>
      </c>
      <c r="AB201" s="724">
        <v>2000</v>
      </c>
      <c r="AC201" s="724">
        <v>2000</v>
      </c>
      <c r="AD201" s="724">
        <v>2000</v>
      </c>
      <c r="AE201" s="724">
        <v>2000</v>
      </c>
      <c r="AF201" s="724">
        <v>2000</v>
      </c>
      <c r="AG201" s="724">
        <v>2639</v>
      </c>
      <c r="AH201" s="724"/>
      <c r="AI201" s="724"/>
      <c r="AJ201" s="724"/>
      <c r="AK201" s="724"/>
      <c r="AL201" s="724"/>
      <c r="AM201" s="724"/>
      <c r="AN201" s="724"/>
      <c r="AO201" s="724"/>
      <c r="AP201" s="724"/>
      <c r="AQ201" s="724"/>
      <c r="AR201" s="724"/>
      <c r="AS201" s="724"/>
      <c r="AT201" s="724"/>
      <c r="AU201" s="724"/>
      <c r="AV201" s="724"/>
      <c r="AW201" s="724"/>
      <c r="AX201" s="724"/>
      <c r="AY201" s="724"/>
      <c r="AZ201" s="724"/>
      <c r="BA201" s="724"/>
      <c r="BB201" s="724"/>
      <c r="BC201" s="725">
        <f t="shared" si="14"/>
        <v>64639</v>
      </c>
      <c r="BD201" s="724">
        <f>+BC201-'BOULEVARD 5 orig.'!I206</f>
        <v>0</v>
      </c>
      <c r="BE201" s="724">
        <f t="shared" si="15"/>
        <v>64639</v>
      </c>
      <c r="BF201" s="726">
        <f>VLOOKUP(A201,'BOULEVARD 5 orig.'!B206:AS504,42,0)</f>
        <v>0</v>
      </c>
      <c r="BG201" s="727">
        <f t="shared" si="16"/>
        <v>30</v>
      </c>
      <c r="BH201" s="728">
        <f t="shared" si="13"/>
        <v>2154.6333333333332</v>
      </c>
    </row>
    <row r="202" spans="1:60" x14ac:dyDescent="0.2">
      <c r="A202" s="723">
        <v>1114</v>
      </c>
      <c r="B202" s="723" t="str">
        <f>'BOULEVARD 5'!H207</f>
        <v>4.Plan de pagos</v>
      </c>
      <c r="C202" s="724"/>
      <c r="D202" s="724"/>
      <c r="E202" s="724"/>
      <c r="F202" s="724"/>
      <c r="G202" s="724"/>
      <c r="H202" s="724"/>
      <c r="I202" s="724"/>
      <c r="J202" s="724"/>
      <c r="K202" s="724"/>
      <c r="L202" s="724"/>
      <c r="M202" s="724"/>
      <c r="N202" s="724"/>
      <c r="O202" s="724">
        <v>8000</v>
      </c>
      <c r="P202" s="724">
        <v>3684</v>
      </c>
      <c r="Q202" s="724">
        <v>3684</v>
      </c>
      <c r="R202" s="724">
        <v>3684</v>
      </c>
      <c r="S202" s="724">
        <v>3684</v>
      </c>
      <c r="T202" s="724">
        <v>3684</v>
      </c>
      <c r="U202" s="724">
        <v>3684</v>
      </c>
      <c r="V202" s="724">
        <v>3684</v>
      </c>
      <c r="W202" s="724">
        <v>3684</v>
      </c>
      <c r="X202" s="724">
        <v>3684</v>
      </c>
      <c r="Y202" s="724">
        <v>3684</v>
      </c>
      <c r="Z202" s="724">
        <v>3684</v>
      </c>
      <c r="AA202" s="724">
        <v>3684</v>
      </c>
      <c r="AB202" s="724">
        <v>3684</v>
      </c>
      <c r="AC202" s="724">
        <v>3684</v>
      </c>
      <c r="AD202" s="724">
        <v>3684</v>
      </c>
      <c r="AE202" s="724">
        <v>3684</v>
      </c>
      <c r="AF202" s="724">
        <v>3684</v>
      </c>
      <c r="AG202" s="724">
        <v>3684</v>
      </c>
      <c r="AH202" s="724">
        <v>3684</v>
      </c>
      <c r="AI202" s="724">
        <v>3684</v>
      </c>
      <c r="AJ202" s="724">
        <v>3674.52</v>
      </c>
      <c r="AK202" s="724"/>
      <c r="AL202" s="724"/>
      <c r="AM202" s="724"/>
      <c r="AN202" s="724"/>
      <c r="AO202" s="724"/>
      <c r="AP202" s="724"/>
      <c r="AQ202" s="724"/>
      <c r="AR202" s="724"/>
      <c r="AS202" s="724"/>
      <c r="AT202" s="724"/>
      <c r="AU202" s="724"/>
      <c r="AV202" s="724"/>
      <c r="AW202" s="724"/>
      <c r="AX202" s="724"/>
      <c r="AY202" s="724"/>
      <c r="AZ202" s="724"/>
      <c r="BA202" s="724"/>
      <c r="BB202" s="724"/>
      <c r="BC202" s="725">
        <f t="shared" si="14"/>
        <v>85354.52</v>
      </c>
      <c r="BD202" s="724">
        <f>+BC202-'BOULEVARD 5 orig.'!I207</f>
        <v>7368</v>
      </c>
      <c r="BE202" s="724">
        <f t="shared" si="15"/>
        <v>85354.52</v>
      </c>
      <c r="BF202" s="726">
        <f>VLOOKUP(A202,'BOULEVARD 5 orig.'!B207:AS505,42,0)</f>
        <v>0</v>
      </c>
      <c r="BG202" s="727">
        <f t="shared" si="16"/>
        <v>22</v>
      </c>
      <c r="BH202" s="728">
        <f t="shared" si="13"/>
        <v>3879.7509090909093</v>
      </c>
    </row>
    <row r="203" spans="1:60" x14ac:dyDescent="0.2">
      <c r="A203" s="736">
        <v>1115</v>
      </c>
      <c r="B203" s="736" t="str">
        <f>'BOULEVARD 5'!H208</f>
        <v>4.Plan de pagos</v>
      </c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724"/>
      <c r="AB203" s="737">
        <v>10000</v>
      </c>
      <c r="AC203" s="737">
        <v>8025</v>
      </c>
      <c r="AD203" s="737">
        <v>8025</v>
      </c>
      <c r="AE203" s="737">
        <v>8025</v>
      </c>
      <c r="AF203" s="737">
        <v>8025</v>
      </c>
      <c r="AG203" s="737">
        <v>8025</v>
      </c>
      <c r="AH203" s="737">
        <v>8025</v>
      </c>
      <c r="AI203" s="737">
        <v>8025</v>
      </c>
      <c r="AJ203" s="737">
        <v>8025</v>
      </c>
      <c r="AK203" s="737">
        <v>8025</v>
      </c>
      <c r="AL203" s="737">
        <v>8025</v>
      </c>
      <c r="AM203" s="737">
        <v>8025</v>
      </c>
      <c r="AN203" s="737">
        <v>8025</v>
      </c>
      <c r="AO203" s="737">
        <v>8030.2</v>
      </c>
      <c r="AP203" s="724"/>
      <c r="AQ203" s="724"/>
      <c r="AR203" s="724"/>
      <c r="AS203" s="724"/>
      <c r="AT203" s="724"/>
      <c r="AU203" s="724"/>
      <c r="AV203" s="724"/>
      <c r="AW203" s="724"/>
      <c r="AX203" s="724"/>
      <c r="AY203" s="724"/>
      <c r="AZ203" s="724"/>
      <c r="BA203" s="724"/>
      <c r="BB203" s="724"/>
      <c r="BC203" s="725">
        <f t="shared" si="14"/>
        <v>114330.2</v>
      </c>
      <c r="BD203" s="724">
        <f>+BC203-'BOULEVARD 5 orig.'!I208</f>
        <v>67.179522898994037</v>
      </c>
      <c r="BE203" s="724">
        <f t="shared" si="15"/>
        <v>114330.2</v>
      </c>
      <c r="BF203" s="726">
        <f>VLOOKUP(A203,'BOULEVARD 5 orig.'!B208:AS506,42,0)</f>
        <v>0</v>
      </c>
      <c r="BG203" s="727">
        <f t="shared" si="16"/>
        <v>14</v>
      </c>
      <c r="BH203" s="728">
        <f t="shared" si="13"/>
        <v>8166.4428571428571</v>
      </c>
    </row>
    <row r="204" spans="1:60" x14ac:dyDescent="0.2">
      <c r="A204" s="723">
        <v>1116</v>
      </c>
      <c r="B204" s="723" t="str">
        <f>'BOULEVARD 5'!H209</f>
        <v>4.Plan de pagos</v>
      </c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>
        <v>8000</v>
      </c>
      <c r="O204" s="724">
        <v>4253</v>
      </c>
      <c r="P204" s="724">
        <v>4253</v>
      </c>
      <c r="Q204" s="724">
        <v>4253</v>
      </c>
      <c r="R204" s="724">
        <v>4253</v>
      </c>
      <c r="S204" s="724">
        <v>4253</v>
      </c>
      <c r="T204" s="724">
        <v>4253</v>
      </c>
      <c r="U204" s="724">
        <v>4253</v>
      </c>
      <c r="V204" s="724">
        <v>4253</v>
      </c>
      <c r="W204" s="724">
        <v>4253</v>
      </c>
      <c r="X204" s="724">
        <v>4253</v>
      </c>
      <c r="Y204" s="724">
        <v>4253</v>
      </c>
      <c r="Z204" s="724">
        <v>4253</v>
      </c>
      <c r="AA204" s="724">
        <v>4253</v>
      </c>
      <c r="AB204" s="724">
        <v>4253</v>
      </c>
      <c r="AC204" s="724">
        <v>4253</v>
      </c>
      <c r="AD204" s="724">
        <v>4253</v>
      </c>
      <c r="AE204" s="724">
        <v>4253</v>
      </c>
      <c r="AF204" s="724">
        <v>4253</v>
      </c>
      <c r="AG204" s="724">
        <v>4246</v>
      </c>
      <c r="AH204" s="724"/>
      <c r="AI204" s="724"/>
      <c r="AJ204" s="724"/>
      <c r="AK204" s="724"/>
      <c r="AL204" s="724"/>
      <c r="AM204" s="724"/>
      <c r="AN204" s="724"/>
      <c r="AO204" s="724"/>
      <c r="AP204" s="724"/>
      <c r="AQ204" s="724"/>
      <c r="AR204" s="724"/>
      <c r="AS204" s="724"/>
      <c r="AT204" s="724"/>
      <c r="AU204" s="724"/>
      <c r="AV204" s="724"/>
      <c r="AW204" s="724"/>
      <c r="AX204" s="724"/>
      <c r="AY204" s="724"/>
      <c r="AZ204" s="724"/>
      <c r="BA204" s="724"/>
      <c r="BB204" s="724"/>
      <c r="BC204" s="725">
        <f t="shared" si="14"/>
        <v>88800</v>
      </c>
      <c r="BD204" s="724">
        <f>+BC204-'BOULEVARD 5 orig.'!I209</f>
        <v>0</v>
      </c>
      <c r="BE204" s="724">
        <f t="shared" si="15"/>
        <v>88800</v>
      </c>
      <c r="BF204" s="726">
        <f>VLOOKUP(A204,'BOULEVARD 5 orig.'!B209:AS507,42,0)</f>
        <v>0</v>
      </c>
      <c r="BG204" s="727">
        <f t="shared" si="16"/>
        <v>20</v>
      </c>
      <c r="BH204" s="728">
        <f t="shared" si="13"/>
        <v>4440</v>
      </c>
    </row>
    <row r="205" spans="1:60" x14ac:dyDescent="0.2">
      <c r="A205" s="723">
        <v>1117</v>
      </c>
      <c r="B205" s="723" t="str">
        <f>'BOULEVARD 5'!H210</f>
        <v>4.Plan de pagos</v>
      </c>
      <c r="C205" s="724"/>
      <c r="D205" s="724"/>
      <c r="E205" s="724"/>
      <c r="F205" s="724"/>
      <c r="G205" s="724"/>
      <c r="H205" s="724"/>
      <c r="I205" s="724"/>
      <c r="J205" s="724"/>
      <c r="K205" s="724"/>
      <c r="L205" s="724">
        <v>5500</v>
      </c>
      <c r="M205" s="724">
        <v>5292</v>
      </c>
      <c r="N205" s="724">
        <v>5292</v>
      </c>
      <c r="O205" s="724">
        <v>5292</v>
      </c>
      <c r="P205" s="724">
        <v>5292</v>
      </c>
      <c r="Q205" s="724">
        <v>5292</v>
      </c>
      <c r="R205" s="724">
        <v>5292</v>
      </c>
      <c r="S205" s="724">
        <v>5292</v>
      </c>
      <c r="T205" s="724">
        <v>5292</v>
      </c>
      <c r="U205" s="724">
        <v>5292</v>
      </c>
      <c r="V205" s="724">
        <v>5292</v>
      </c>
      <c r="W205" s="724">
        <v>5292</v>
      </c>
      <c r="X205" s="724">
        <v>5292</v>
      </c>
      <c r="Y205" s="724">
        <v>5292</v>
      </c>
      <c r="Z205" s="724">
        <v>5292</v>
      </c>
      <c r="AA205" s="724">
        <v>5292</v>
      </c>
      <c r="AB205" s="724">
        <v>5292</v>
      </c>
      <c r="AC205" s="724">
        <v>5292</v>
      </c>
      <c r="AD205" s="724">
        <v>5292</v>
      </c>
      <c r="AE205" s="724">
        <v>5292</v>
      </c>
      <c r="AF205" s="724">
        <v>5292</v>
      </c>
      <c r="AG205" s="724">
        <v>5294.22</v>
      </c>
      <c r="AH205" s="724"/>
      <c r="AI205" s="724"/>
      <c r="AJ205" s="724"/>
      <c r="AK205" s="724"/>
      <c r="AL205" s="724"/>
      <c r="AM205" s="724"/>
      <c r="AN205" s="724"/>
      <c r="AO205" s="724"/>
      <c r="AP205" s="724"/>
      <c r="AQ205" s="724"/>
      <c r="AR205" s="724"/>
      <c r="AS205" s="724"/>
      <c r="AT205" s="724"/>
      <c r="AU205" s="724"/>
      <c r="AV205" s="724"/>
      <c r="AW205" s="724"/>
      <c r="AX205" s="724"/>
      <c r="AY205" s="724"/>
      <c r="AZ205" s="724"/>
      <c r="BA205" s="724"/>
      <c r="BB205" s="724"/>
      <c r="BC205" s="725">
        <f t="shared" si="14"/>
        <v>116634.22</v>
      </c>
      <c r="BD205" s="724">
        <f>+BC205-'BOULEVARD 5 orig.'!I210</f>
        <v>0</v>
      </c>
      <c r="BE205" s="724">
        <f t="shared" si="15"/>
        <v>116634.22</v>
      </c>
      <c r="BF205" s="726">
        <f>VLOOKUP(A205,'BOULEVARD 5 orig.'!B210:AS508,42,0)</f>
        <v>0</v>
      </c>
      <c r="BG205" s="727">
        <f t="shared" si="16"/>
        <v>22</v>
      </c>
      <c r="BH205" s="728">
        <f t="shared" si="13"/>
        <v>5301.5554545454543</v>
      </c>
    </row>
    <row r="206" spans="1:60" x14ac:dyDescent="0.2">
      <c r="A206" s="723">
        <v>1118</v>
      </c>
      <c r="B206" s="723" t="str">
        <f>'BOULEVARD 5'!H211</f>
        <v>4.Plan de pagos</v>
      </c>
      <c r="C206" s="724"/>
      <c r="D206" s="724"/>
      <c r="E206" s="724"/>
      <c r="F206" s="724"/>
      <c r="G206" s="724"/>
      <c r="H206" s="724"/>
      <c r="I206" s="724"/>
      <c r="J206" s="724"/>
      <c r="K206" s="724"/>
      <c r="L206" s="724"/>
      <c r="M206" s="724"/>
      <c r="N206" s="724"/>
      <c r="O206" s="724"/>
      <c r="P206" s="724"/>
      <c r="Q206" s="724"/>
      <c r="R206" s="724">
        <v>10000</v>
      </c>
      <c r="S206" s="724">
        <v>6006</v>
      </c>
      <c r="T206" s="724">
        <v>6006</v>
      </c>
      <c r="U206" s="724">
        <v>6006</v>
      </c>
      <c r="V206" s="724">
        <v>6006</v>
      </c>
      <c r="W206" s="724">
        <v>6006</v>
      </c>
      <c r="X206" s="724">
        <v>6006</v>
      </c>
      <c r="Y206" s="724">
        <v>6006</v>
      </c>
      <c r="Z206" s="724">
        <v>6006</v>
      </c>
      <c r="AA206" s="724">
        <v>6006</v>
      </c>
      <c r="AB206" s="724">
        <v>6006</v>
      </c>
      <c r="AC206" s="724">
        <v>6006</v>
      </c>
      <c r="AD206" s="724">
        <v>6006</v>
      </c>
      <c r="AE206" s="724">
        <v>6006</v>
      </c>
      <c r="AF206" s="724">
        <v>6006</v>
      </c>
      <c r="AG206" s="724">
        <v>6006</v>
      </c>
      <c r="AH206" s="724">
        <v>6006</v>
      </c>
      <c r="AI206" s="724">
        <v>6006</v>
      </c>
      <c r="AJ206" s="724">
        <v>5998</v>
      </c>
      <c r="AK206" s="724"/>
      <c r="AL206" s="724"/>
      <c r="AM206" s="724"/>
      <c r="AN206" s="724"/>
      <c r="AO206" s="724"/>
      <c r="AP206" s="724"/>
      <c r="AQ206" s="724"/>
      <c r="AR206" s="724"/>
      <c r="AS206" s="724"/>
      <c r="AT206" s="724"/>
      <c r="AU206" s="724"/>
      <c r="AV206" s="724"/>
      <c r="AW206" s="724"/>
      <c r="AX206" s="724"/>
      <c r="AY206" s="724"/>
      <c r="AZ206" s="724"/>
      <c r="BA206" s="724"/>
      <c r="BB206" s="724"/>
      <c r="BC206" s="725">
        <f t="shared" si="14"/>
        <v>118100</v>
      </c>
      <c r="BD206" s="724">
        <f>+BC206-'BOULEVARD 5 orig.'!I211</f>
        <v>0</v>
      </c>
      <c r="BE206" s="724">
        <f t="shared" si="15"/>
        <v>118100</v>
      </c>
      <c r="BF206" s="726">
        <f>VLOOKUP(A206,'BOULEVARD 5 orig.'!B211:AS509,42,0)</f>
        <v>0</v>
      </c>
      <c r="BG206" s="727">
        <f t="shared" si="16"/>
        <v>19</v>
      </c>
      <c r="BH206" s="728">
        <f t="shared" si="13"/>
        <v>6215.7894736842109</v>
      </c>
    </row>
    <row r="207" spans="1:60" x14ac:dyDescent="0.2">
      <c r="A207" s="723">
        <v>1201</v>
      </c>
      <c r="B207" s="723" t="str">
        <f>'BOULEVARD 5'!H212</f>
        <v>4.Plan de pagos</v>
      </c>
      <c r="C207" s="724"/>
      <c r="D207" s="724"/>
      <c r="E207" s="724"/>
      <c r="F207" s="724"/>
      <c r="G207" s="724"/>
      <c r="H207" s="724"/>
      <c r="I207" s="724"/>
      <c r="J207" s="724"/>
      <c r="K207" s="724"/>
      <c r="L207" s="724"/>
      <c r="M207" s="724"/>
      <c r="N207" s="724"/>
      <c r="O207" s="724"/>
      <c r="P207" s="724"/>
      <c r="Q207" s="724"/>
      <c r="R207" s="724">
        <v>10000</v>
      </c>
      <c r="S207" s="724">
        <v>6411</v>
      </c>
      <c r="T207" s="724">
        <v>6411</v>
      </c>
      <c r="U207" s="724">
        <v>6411</v>
      </c>
      <c r="V207" s="724">
        <v>6411</v>
      </c>
      <c r="W207" s="724">
        <v>6411</v>
      </c>
      <c r="X207" s="724">
        <v>6411</v>
      </c>
      <c r="Y207" s="724">
        <v>6411</v>
      </c>
      <c r="Z207" s="724">
        <v>6411</v>
      </c>
      <c r="AA207" s="724">
        <v>6411</v>
      </c>
      <c r="AB207" s="724">
        <v>6411</v>
      </c>
      <c r="AC207" s="724">
        <v>6411</v>
      </c>
      <c r="AD207" s="724">
        <v>6411</v>
      </c>
      <c r="AE207" s="724">
        <v>6411</v>
      </c>
      <c r="AF207" s="724">
        <v>6411</v>
      </c>
      <c r="AG207" s="724">
        <v>6411</v>
      </c>
      <c r="AH207" s="724">
        <v>6411</v>
      </c>
      <c r="AI207" s="724">
        <v>6411</v>
      </c>
      <c r="AJ207" s="724">
        <v>6413</v>
      </c>
      <c r="AK207" s="724"/>
      <c r="AL207" s="724"/>
      <c r="AM207" s="724"/>
      <c r="AN207" s="724"/>
      <c r="AO207" s="724"/>
      <c r="AP207" s="724"/>
      <c r="AQ207" s="724"/>
      <c r="AR207" s="724"/>
      <c r="AS207" s="724"/>
      <c r="AT207" s="724"/>
      <c r="AU207" s="724"/>
      <c r="AV207" s="724"/>
      <c r="AW207" s="724"/>
      <c r="AX207" s="724"/>
      <c r="AY207" s="724"/>
      <c r="AZ207" s="724"/>
      <c r="BA207" s="724"/>
      <c r="BB207" s="724"/>
      <c r="BC207" s="725">
        <f t="shared" si="14"/>
        <v>125400</v>
      </c>
      <c r="BD207" s="724">
        <f>+BC207-'BOULEVARD 5 orig.'!I212</f>
        <v>0</v>
      </c>
      <c r="BE207" s="724">
        <f t="shared" si="15"/>
        <v>125400</v>
      </c>
      <c r="BF207" s="726">
        <f>VLOOKUP(A207,'BOULEVARD 5 orig.'!B212:AS510,42,0)</f>
        <v>0</v>
      </c>
      <c r="BG207" s="727">
        <f t="shared" si="16"/>
        <v>19</v>
      </c>
      <c r="BH207" s="728">
        <f t="shared" si="13"/>
        <v>6600</v>
      </c>
    </row>
    <row r="208" spans="1:60" x14ac:dyDescent="0.2">
      <c r="A208" s="723">
        <v>1202</v>
      </c>
      <c r="B208" s="723" t="str">
        <f>'BOULEVARD 5'!H213</f>
        <v>4.Plan de pagos</v>
      </c>
      <c r="C208" s="724"/>
      <c r="D208" s="724"/>
      <c r="E208" s="724"/>
      <c r="F208" s="724"/>
      <c r="G208" s="724"/>
      <c r="H208" s="724"/>
      <c r="I208" s="724"/>
      <c r="J208" s="724"/>
      <c r="K208" s="724"/>
      <c r="L208" s="724"/>
      <c r="M208" s="724"/>
      <c r="N208" s="724">
        <v>8000</v>
      </c>
      <c r="O208" s="724">
        <v>6242</v>
      </c>
      <c r="P208" s="724">
        <v>6242</v>
      </c>
      <c r="Q208" s="724">
        <v>6242</v>
      </c>
      <c r="R208" s="724">
        <v>6242</v>
      </c>
      <c r="S208" s="724">
        <v>6242</v>
      </c>
      <c r="T208" s="724">
        <v>6242</v>
      </c>
      <c r="U208" s="724">
        <v>6242</v>
      </c>
      <c r="V208" s="724">
        <v>6242</v>
      </c>
      <c r="W208" s="724">
        <v>6242</v>
      </c>
      <c r="X208" s="724">
        <v>6242</v>
      </c>
      <c r="Y208" s="724">
        <v>6242</v>
      </c>
      <c r="Z208" s="724">
        <v>6242</v>
      </c>
      <c r="AA208" s="724">
        <v>6242</v>
      </c>
      <c r="AB208" s="724">
        <v>6242</v>
      </c>
      <c r="AC208" s="724">
        <v>6242</v>
      </c>
      <c r="AD208" s="724">
        <v>6242</v>
      </c>
      <c r="AE208" s="724">
        <v>6242</v>
      </c>
      <c r="AF208" s="724">
        <v>6242</v>
      </c>
      <c r="AG208" s="724">
        <v>6244</v>
      </c>
      <c r="AH208" s="724"/>
      <c r="AI208" s="724"/>
      <c r="AJ208" s="724"/>
      <c r="AK208" s="724"/>
      <c r="AL208" s="724"/>
      <c r="AM208" s="724"/>
      <c r="AN208" s="724"/>
      <c r="AO208" s="724"/>
      <c r="AP208" s="724"/>
      <c r="AQ208" s="724"/>
      <c r="AR208" s="724"/>
      <c r="AS208" s="724"/>
      <c r="AT208" s="724"/>
      <c r="AU208" s="724"/>
      <c r="AV208" s="724"/>
      <c r="AW208" s="724"/>
      <c r="AX208" s="724"/>
      <c r="AY208" s="724"/>
      <c r="AZ208" s="724"/>
      <c r="BA208" s="724"/>
      <c r="BB208" s="724"/>
      <c r="BC208" s="725">
        <f t="shared" si="14"/>
        <v>126600</v>
      </c>
      <c r="BD208" s="724">
        <f>+BC208-'BOULEVARD 5 orig.'!I213</f>
        <v>0</v>
      </c>
      <c r="BE208" s="724">
        <f t="shared" si="15"/>
        <v>126600</v>
      </c>
      <c r="BF208" s="726">
        <f>VLOOKUP(A208,'BOULEVARD 5 orig.'!B213:AS511,42,0)</f>
        <v>0</v>
      </c>
      <c r="BG208" s="727">
        <f t="shared" si="16"/>
        <v>20</v>
      </c>
      <c r="BH208" s="728">
        <f t="shared" si="13"/>
        <v>6330</v>
      </c>
    </row>
    <row r="209" spans="1:60" x14ac:dyDescent="0.2">
      <c r="A209" s="723">
        <v>1203</v>
      </c>
      <c r="B209" s="723" t="str">
        <f>'BOULEVARD 5'!H214</f>
        <v>4.Plan de pagos</v>
      </c>
      <c r="C209" s="724"/>
      <c r="D209" s="724"/>
      <c r="E209" s="724"/>
      <c r="F209" s="724"/>
      <c r="G209" s="724"/>
      <c r="H209" s="724">
        <v>6000</v>
      </c>
      <c r="I209" s="724">
        <v>3368</v>
      </c>
      <c r="J209" s="724">
        <v>3368</v>
      </c>
      <c r="K209" s="724">
        <v>3368</v>
      </c>
      <c r="L209" s="724">
        <v>3368</v>
      </c>
      <c r="M209" s="724">
        <v>3368</v>
      </c>
      <c r="N209" s="724">
        <v>3368</v>
      </c>
      <c r="O209" s="724">
        <v>3368</v>
      </c>
      <c r="P209" s="724">
        <v>3368</v>
      </c>
      <c r="Q209" s="724">
        <v>3368</v>
      </c>
      <c r="R209" s="724">
        <v>3368</v>
      </c>
      <c r="S209" s="724">
        <v>3368</v>
      </c>
      <c r="T209" s="724">
        <v>3368</v>
      </c>
      <c r="U209" s="724">
        <v>3368</v>
      </c>
      <c r="V209" s="724">
        <v>3368</v>
      </c>
      <c r="W209" s="724">
        <v>3368</v>
      </c>
      <c r="X209" s="724">
        <v>3368</v>
      </c>
      <c r="Y209" s="724">
        <v>3368</v>
      </c>
      <c r="Z209" s="724">
        <v>3368</v>
      </c>
      <c r="AA209" s="724">
        <v>3368</v>
      </c>
      <c r="AB209" s="724">
        <v>3368</v>
      </c>
      <c r="AC209" s="724">
        <v>3368</v>
      </c>
      <c r="AD209" s="724">
        <v>3368</v>
      </c>
      <c r="AE209" s="724">
        <v>3368</v>
      </c>
      <c r="AF209" s="724">
        <v>3368</v>
      </c>
      <c r="AG209" s="724">
        <v>3368</v>
      </c>
      <c r="AH209" s="724"/>
      <c r="AI209" s="724"/>
      <c r="AJ209" s="724"/>
      <c r="AK209" s="724"/>
      <c r="AL209" s="724"/>
      <c r="AM209" s="724"/>
      <c r="AN209" s="724"/>
      <c r="AO209" s="724"/>
      <c r="AP209" s="724"/>
      <c r="AQ209" s="724"/>
      <c r="AR209" s="724"/>
      <c r="AS209" s="724"/>
      <c r="AT209" s="724"/>
      <c r="AU209" s="724"/>
      <c r="AV209" s="724"/>
      <c r="AW209" s="724"/>
      <c r="AX209" s="724"/>
      <c r="AY209" s="724"/>
      <c r="AZ209" s="724"/>
      <c r="BA209" s="724"/>
      <c r="BB209" s="724"/>
      <c r="BC209" s="725">
        <f t="shared" si="14"/>
        <v>90200</v>
      </c>
      <c r="BD209" s="724">
        <f>+BC209-'BOULEVARD 5 orig.'!I214</f>
        <v>0</v>
      </c>
      <c r="BE209" s="724">
        <f t="shared" si="15"/>
        <v>90200</v>
      </c>
      <c r="BF209" s="726">
        <f>VLOOKUP(A209,'BOULEVARD 5 orig.'!B214:AS512,42,0)</f>
        <v>0</v>
      </c>
      <c r="BG209" s="727">
        <f t="shared" si="16"/>
        <v>26</v>
      </c>
      <c r="BH209" s="728">
        <f t="shared" si="13"/>
        <v>3469.2307692307691</v>
      </c>
    </row>
    <row r="210" spans="1:60" x14ac:dyDescent="0.2">
      <c r="A210" s="723">
        <v>1204</v>
      </c>
      <c r="B210" s="723" t="str">
        <f>'BOULEVARD 5'!H215</f>
        <v>4.Plan de pagos</v>
      </c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>
        <v>8000</v>
      </c>
      <c r="O210" s="724">
        <v>4253</v>
      </c>
      <c r="P210" s="724">
        <v>4253</v>
      </c>
      <c r="Q210" s="724">
        <v>4253</v>
      </c>
      <c r="R210" s="724">
        <v>4253</v>
      </c>
      <c r="S210" s="724">
        <v>4253</v>
      </c>
      <c r="T210" s="724">
        <v>4253</v>
      </c>
      <c r="U210" s="724">
        <v>4253</v>
      </c>
      <c r="V210" s="724">
        <v>4253</v>
      </c>
      <c r="W210" s="724">
        <v>4253</v>
      </c>
      <c r="X210" s="724">
        <v>4253</v>
      </c>
      <c r="Y210" s="724">
        <v>4253</v>
      </c>
      <c r="Z210" s="724">
        <v>4253</v>
      </c>
      <c r="AA210" s="724">
        <v>4253</v>
      </c>
      <c r="AB210" s="724">
        <v>4253</v>
      </c>
      <c r="AC210" s="724">
        <v>4253</v>
      </c>
      <c r="AD210" s="724">
        <v>4253</v>
      </c>
      <c r="AE210" s="724">
        <v>4253</v>
      </c>
      <c r="AF210" s="724">
        <v>4253</v>
      </c>
      <c r="AG210" s="724">
        <v>4246</v>
      </c>
      <c r="AH210" s="724"/>
      <c r="AI210" s="724"/>
      <c r="AJ210" s="724"/>
      <c r="AK210" s="724"/>
      <c r="AL210" s="724"/>
      <c r="AM210" s="724"/>
      <c r="AN210" s="724"/>
      <c r="AO210" s="724"/>
      <c r="AP210" s="724"/>
      <c r="AQ210" s="724"/>
      <c r="AR210" s="724"/>
      <c r="AS210" s="724"/>
      <c r="AT210" s="724"/>
      <c r="AU210" s="724"/>
      <c r="AV210" s="724"/>
      <c r="AW210" s="724"/>
      <c r="AX210" s="724"/>
      <c r="AY210" s="724"/>
      <c r="AZ210" s="724"/>
      <c r="BA210" s="724"/>
      <c r="BB210" s="724"/>
      <c r="BC210" s="725">
        <f t="shared" si="14"/>
        <v>88800</v>
      </c>
      <c r="BD210" s="724">
        <f>+BC210-'BOULEVARD 5 orig.'!I215</f>
        <v>0</v>
      </c>
      <c r="BE210" s="724">
        <f t="shared" si="15"/>
        <v>88800</v>
      </c>
      <c r="BF210" s="726">
        <f>VLOOKUP(A210,'BOULEVARD 5 orig.'!B215:AS513,42,0)</f>
        <v>0</v>
      </c>
      <c r="BG210" s="727">
        <f t="shared" si="16"/>
        <v>20</v>
      </c>
      <c r="BH210" s="728">
        <f t="shared" si="13"/>
        <v>4440</v>
      </c>
    </row>
    <row r="211" spans="1:60" x14ac:dyDescent="0.2">
      <c r="A211" s="723">
        <v>1205</v>
      </c>
      <c r="B211" s="723" t="str">
        <f>'BOULEVARD 5'!H216</f>
        <v>4.Plan de pagos</v>
      </c>
      <c r="C211" s="724">
        <v>6000</v>
      </c>
      <c r="D211" s="724">
        <v>1726</v>
      </c>
      <c r="E211" s="724">
        <v>1726</v>
      </c>
      <c r="F211" s="724">
        <v>1726</v>
      </c>
      <c r="G211" s="724">
        <v>1726</v>
      </c>
      <c r="H211" s="724">
        <v>1726</v>
      </c>
      <c r="I211" s="724">
        <v>1726</v>
      </c>
      <c r="J211" s="724">
        <v>1726</v>
      </c>
      <c r="K211" s="724">
        <v>1726</v>
      </c>
      <c r="L211" s="724">
        <v>1726</v>
      </c>
      <c r="M211" s="724">
        <v>1726</v>
      </c>
      <c r="N211" s="724">
        <v>1726</v>
      </c>
      <c r="O211" s="724">
        <v>1726</v>
      </c>
      <c r="P211" s="724">
        <v>1726</v>
      </c>
      <c r="Q211" s="724">
        <v>1726</v>
      </c>
      <c r="R211" s="724">
        <v>1726</v>
      </c>
      <c r="S211" s="724">
        <v>1726</v>
      </c>
      <c r="T211" s="724">
        <v>1726</v>
      </c>
      <c r="U211" s="724">
        <v>1726</v>
      </c>
      <c r="V211" s="724">
        <v>1726</v>
      </c>
      <c r="W211" s="724">
        <v>1726</v>
      </c>
      <c r="X211" s="724">
        <v>1726</v>
      </c>
      <c r="Y211" s="724">
        <v>1726</v>
      </c>
      <c r="Z211" s="724">
        <v>1726</v>
      </c>
      <c r="AA211" s="724">
        <v>1726</v>
      </c>
      <c r="AB211" s="724">
        <v>1726</v>
      </c>
      <c r="AC211" s="724">
        <v>1726</v>
      </c>
      <c r="AD211" s="724">
        <v>1726</v>
      </c>
      <c r="AE211" s="724">
        <v>1726</v>
      </c>
      <c r="AF211" s="724">
        <v>1726</v>
      </c>
      <c r="AG211" s="724">
        <v>1726</v>
      </c>
      <c r="AH211" s="724">
        <v>1726</v>
      </c>
      <c r="AI211" s="724">
        <v>1726</v>
      </c>
      <c r="AJ211" s="724">
        <v>1726</v>
      </c>
      <c r="AK211" s="724">
        <v>1726</v>
      </c>
      <c r="AL211" s="724">
        <v>1716</v>
      </c>
      <c r="AM211" s="724"/>
      <c r="AN211" s="724"/>
      <c r="AO211" s="724"/>
      <c r="AP211" s="724"/>
      <c r="AQ211" s="724"/>
      <c r="AR211" s="724"/>
      <c r="AS211" s="724"/>
      <c r="AT211" s="724"/>
      <c r="AU211" s="724"/>
      <c r="AV211" s="724"/>
      <c r="AW211" s="724"/>
      <c r="AX211" s="724"/>
      <c r="AY211" s="724"/>
      <c r="AZ211" s="724"/>
      <c r="BA211" s="724"/>
      <c r="BB211" s="724"/>
      <c r="BC211" s="725">
        <f t="shared" si="14"/>
        <v>66400</v>
      </c>
      <c r="BD211" s="724">
        <f>+BC211-'BOULEVARD 5 orig.'!I216</f>
        <v>0</v>
      </c>
      <c r="BE211" s="724">
        <f t="shared" si="15"/>
        <v>66400</v>
      </c>
      <c r="BF211" s="726">
        <f>VLOOKUP(A211,'BOULEVARD 5 orig.'!B216:AS514,42,0)</f>
        <v>0</v>
      </c>
      <c r="BG211" s="727">
        <f t="shared" si="16"/>
        <v>36</v>
      </c>
      <c r="BH211" s="728">
        <f t="shared" si="13"/>
        <v>1844.4444444444443</v>
      </c>
    </row>
    <row r="212" spans="1:60" x14ac:dyDescent="0.2">
      <c r="A212" s="723">
        <v>1206</v>
      </c>
      <c r="B212" s="723" t="str">
        <f>'BOULEVARD 5'!H217</f>
        <v>4.Plan de pagos</v>
      </c>
      <c r="C212" s="724"/>
      <c r="D212" s="724"/>
      <c r="E212" s="724">
        <v>6000</v>
      </c>
      <c r="F212" s="724">
        <v>2254</v>
      </c>
      <c r="G212" s="724">
        <v>2254</v>
      </c>
      <c r="H212" s="724">
        <v>2254</v>
      </c>
      <c r="I212" s="724">
        <v>2254</v>
      </c>
      <c r="J212" s="724">
        <v>2254</v>
      </c>
      <c r="K212" s="724">
        <v>2254</v>
      </c>
      <c r="L212" s="724">
        <v>2254</v>
      </c>
      <c r="M212" s="724">
        <v>2254</v>
      </c>
      <c r="N212" s="724">
        <v>2254</v>
      </c>
      <c r="O212" s="724">
        <v>2254</v>
      </c>
      <c r="P212" s="724">
        <v>2254</v>
      </c>
      <c r="Q212" s="724">
        <v>2254</v>
      </c>
      <c r="R212" s="724">
        <v>2254</v>
      </c>
      <c r="S212" s="724">
        <v>2254</v>
      </c>
      <c r="T212" s="724">
        <v>2254</v>
      </c>
      <c r="U212" s="724">
        <v>2254</v>
      </c>
      <c r="V212" s="724">
        <v>2254</v>
      </c>
      <c r="W212" s="724">
        <v>2254</v>
      </c>
      <c r="X212" s="724">
        <v>2254</v>
      </c>
      <c r="Y212" s="724">
        <v>2254</v>
      </c>
      <c r="Z212" s="724">
        <v>2254</v>
      </c>
      <c r="AA212" s="724">
        <v>2254</v>
      </c>
      <c r="AB212" s="724">
        <v>2254</v>
      </c>
      <c r="AC212" s="724">
        <v>2254</v>
      </c>
      <c r="AD212" s="724">
        <v>2254</v>
      </c>
      <c r="AE212" s="724">
        <v>2254</v>
      </c>
      <c r="AF212" s="724">
        <v>2254</v>
      </c>
      <c r="AG212" s="724">
        <v>2260.4899999999998</v>
      </c>
      <c r="AH212" s="724"/>
      <c r="AI212" s="724"/>
      <c r="AJ212" s="724"/>
      <c r="AK212" s="724"/>
      <c r="AL212" s="724"/>
      <c r="AM212" s="724"/>
      <c r="AN212" s="724"/>
      <c r="AO212" s="724"/>
      <c r="AP212" s="724"/>
      <c r="AQ212" s="724"/>
      <c r="AR212" s="724"/>
      <c r="AS212" s="724"/>
      <c r="AT212" s="724"/>
      <c r="AU212" s="724"/>
      <c r="AV212" s="724"/>
      <c r="AW212" s="724"/>
      <c r="AX212" s="724"/>
      <c r="AY212" s="724"/>
      <c r="AZ212" s="724"/>
      <c r="BA212" s="724"/>
      <c r="BB212" s="724"/>
      <c r="BC212" s="725">
        <f t="shared" si="14"/>
        <v>69118.490000000005</v>
      </c>
      <c r="BD212" s="724">
        <f>+BC212-'BOULEVARD 5 orig.'!I217</f>
        <v>0</v>
      </c>
      <c r="BE212" s="724">
        <f t="shared" si="15"/>
        <v>69118.490000000005</v>
      </c>
      <c r="BF212" s="726">
        <f>VLOOKUP(A212,'BOULEVARD 5 orig.'!B217:AS515,42,0)</f>
        <v>0</v>
      </c>
      <c r="BG212" s="727">
        <f t="shared" si="16"/>
        <v>29</v>
      </c>
      <c r="BH212" s="728">
        <f t="shared" si="13"/>
        <v>2383.396206896552</v>
      </c>
    </row>
    <row r="213" spans="1:60" x14ac:dyDescent="0.2">
      <c r="A213" s="729">
        <v>1207</v>
      </c>
      <c r="B213" s="723" t="str">
        <f>'BOULEVARD 5'!H218</f>
        <v>4.Plan de pagos</v>
      </c>
      <c r="C213" s="724">
        <v>6000</v>
      </c>
      <c r="D213" s="724">
        <v>1500</v>
      </c>
      <c r="E213" s="724">
        <v>1500</v>
      </c>
      <c r="F213" s="724">
        <v>1500</v>
      </c>
      <c r="G213" s="724">
        <v>1500</v>
      </c>
      <c r="H213" s="724">
        <v>1500</v>
      </c>
      <c r="I213" s="724">
        <v>1500</v>
      </c>
      <c r="J213" s="724">
        <v>1500</v>
      </c>
      <c r="K213" s="724">
        <v>1500</v>
      </c>
      <c r="L213" s="724">
        <v>1500</v>
      </c>
      <c r="M213" s="724">
        <v>1500</v>
      </c>
      <c r="N213" s="724">
        <v>1500</v>
      </c>
      <c r="O213" s="724">
        <v>1500</v>
      </c>
      <c r="P213" s="724">
        <v>1500</v>
      </c>
      <c r="Q213" s="724">
        <v>1500</v>
      </c>
      <c r="R213" s="724">
        <v>1500</v>
      </c>
      <c r="S213" s="724">
        <v>1500</v>
      </c>
      <c r="T213" s="724">
        <v>1500</v>
      </c>
      <c r="U213" s="724">
        <v>1500</v>
      </c>
      <c r="V213" s="724">
        <v>1500</v>
      </c>
      <c r="W213" s="724">
        <v>1500</v>
      </c>
      <c r="X213" s="724">
        <v>1500</v>
      </c>
      <c r="Y213" s="724">
        <v>1500</v>
      </c>
      <c r="Z213" s="724">
        <v>1500</v>
      </c>
      <c r="AA213" s="724">
        <v>1500</v>
      </c>
      <c r="AB213" s="724">
        <v>1500</v>
      </c>
      <c r="AC213" s="724">
        <v>1500</v>
      </c>
      <c r="AD213" s="724">
        <v>1500</v>
      </c>
      <c r="AE213" s="724">
        <v>1500</v>
      </c>
      <c r="AF213" s="724">
        <v>1500</v>
      </c>
      <c r="AG213" s="724">
        <v>1500</v>
      </c>
      <c r="AH213" s="724">
        <v>1500</v>
      </c>
      <c r="AI213" s="724">
        <v>1500</v>
      </c>
      <c r="AJ213" s="724">
        <v>1500</v>
      </c>
      <c r="AK213" s="724">
        <v>1500</v>
      </c>
      <c r="AL213" s="724">
        <v>10932</v>
      </c>
      <c r="AM213" s="724"/>
      <c r="AN213" s="724"/>
      <c r="AO213" s="724"/>
      <c r="AP213" s="724"/>
      <c r="AQ213" s="724"/>
      <c r="AR213" s="724"/>
      <c r="AS213" s="724"/>
      <c r="AT213" s="724"/>
      <c r="AU213" s="724"/>
      <c r="AV213" s="724"/>
      <c r="AW213" s="724"/>
      <c r="AX213" s="724"/>
      <c r="AY213" s="724"/>
      <c r="AZ213" s="724"/>
      <c r="BA213" s="724"/>
      <c r="BB213" s="724"/>
      <c r="BC213" s="725">
        <f t="shared" si="14"/>
        <v>67932</v>
      </c>
      <c r="BD213" s="724">
        <f>+BC213-'BOULEVARD 5 orig.'!I218</f>
        <v>0</v>
      </c>
      <c r="BE213" s="724">
        <f t="shared" si="15"/>
        <v>67932</v>
      </c>
      <c r="BF213" s="726">
        <f>VLOOKUP(A213,'BOULEVARD 5 orig.'!B218:AS516,42,0)</f>
        <v>0</v>
      </c>
      <c r="BG213" s="727">
        <f t="shared" si="16"/>
        <v>36</v>
      </c>
      <c r="BH213" s="728">
        <f t="shared" si="13"/>
        <v>1887</v>
      </c>
    </row>
    <row r="214" spans="1:60" x14ac:dyDescent="0.2">
      <c r="A214" s="723">
        <v>1208</v>
      </c>
      <c r="B214" s="723" t="str">
        <f>'BOULEVARD 5'!H219</f>
        <v>4.Plan de pagos</v>
      </c>
      <c r="C214" s="724"/>
      <c r="D214" s="724">
        <v>6000</v>
      </c>
      <c r="E214" s="724">
        <v>3624</v>
      </c>
      <c r="F214" s="724">
        <v>3624</v>
      </c>
      <c r="G214" s="724">
        <v>3624</v>
      </c>
      <c r="H214" s="724">
        <v>3624</v>
      </c>
      <c r="I214" s="724">
        <v>3624</v>
      </c>
      <c r="J214" s="724">
        <v>3624</v>
      </c>
      <c r="K214" s="724">
        <v>3624</v>
      </c>
      <c r="L214" s="724">
        <v>3624</v>
      </c>
      <c r="M214" s="724">
        <v>3624</v>
      </c>
      <c r="N214" s="724">
        <v>3624</v>
      </c>
      <c r="O214" s="724">
        <v>3624</v>
      </c>
      <c r="P214" s="724">
        <v>3624</v>
      </c>
      <c r="Q214" s="724">
        <v>3624</v>
      </c>
      <c r="R214" s="724">
        <v>3624</v>
      </c>
      <c r="S214" s="724">
        <v>3624</v>
      </c>
      <c r="T214" s="724">
        <v>3624</v>
      </c>
      <c r="U214" s="724">
        <v>3624</v>
      </c>
      <c r="V214" s="724">
        <v>3624</v>
      </c>
      <c r="W214" s="724">
        <v>3624</v>
      </c>
      <c r="X214" s="724">
        <v>3624</v>
      </c>
      <c r="Y214" s="724">
        <v>3624</v>
      </c>
      <c r="Z214" s="724">
        <v>3624</v>
      </c>
      <c r="AA214" s="724">
        <v>3624</v>
      </c>
      <c r="AB214" s="724">
        <v>3624</v>
      </c>
      <c r="AC214" s="724">
        <v>3624</v>
      </c>
      <c r="AD214" s="724">
        <v>3624</v>
      </c>
      <c r="AE214" s="724">
        <v>3624</v>
      </c>
      <c r="AF214" s="724">
        <v>3624</v>
      </c>
      <c r="AG214" s="724">
        <v>3628</v>
      </c>
      <c r="AH214" s="724"/>
      <c r="AI214" s="724"/>
      <c r="AJ214" s="724"/>
      <c r="AK214" s="724"/>
      <c r="AL214" s="724"/>
      <c r="AM214" s="724"/>
      <c r="AN214" s="724"/>
      <c r="AO214" s="724"/>
      <c r="AP214" s="724"/>
      <c r="AQ214" s="724"/>
      <c r="AR214" s="724"/>
      <c r="AS214" s="724"/>
      <c r="AT214" s="724"/>
      <c r="AU214" s="724"/>
      <c r="AV214" s="724"/>
      <c r="AW214" s="724"/>
      <c r="AX214" s="724"/>
      <c r="AY214" s="724"/>
      <c r="AZ214" s="724"/>
      <c r="BA214" s="724"/>
      <c r="BB214" s="724"/>
      <c r="BC214" s="725">
        <f t="shared" si="14"/>
        <v>111100</v>
      </c>
      <c r="BD214" s="724">
        <f>+BC214-'BOULEVARD 5 orig.'!I219</f>
        <v>0</v>
      </c>
      <c r="BE214" s="724">
        <f t="shared" si="15"/>
        <v>111100</v>
      </c>
      <c r="BF214" s="726">
        <f>VLOOKUP(A214,'BOULEVARD 5 orig.'!B219:AS517,42,0)</f>
        <v>0</v>
      </c>
      <c r="BG214" s="727">
        <f t="shared" si="16"/>
        <v>30</v>
      </c>
      <c r="BH214" s="728">
        <f t="shared" si="13"/>
        <v>3703.3333333333335</v>
      </c>
    </row>
    <row r="215" spans="1:60" x14ac:dyDescent="0.2">
      <c r="A215" s="723">
        <v>1209</v>
      </c>
      <c r="B215" s="723" t="str">
        <f>'BOULEVARD 5'!H220</f>
        <v>4.Plan de pagos</v>
      </c>
      <c r="C215" s="724">
        <v>6000</v>
      </c>
      <c r="D215" s="724">
        <v>2997</v>
      </c>
      <c r="E215" s="724">
        <v>2997</v>
      </c>
      <c r="F215" s="724">
        <v>2997</v>
      </c>
      <c r="G215" s="724">
        <v>2997</v>
      </c>
      <c r="H215" s="724">
        <v>2997</v>
      </c>
      <c r="I215" s="724">
        <v>2997</v>
      </c>
      <c r="J215" s="724">
        <v>2997</v>
      </c>
      <c r="K215" s="724">
        <v>2997</v>
      </c>
      <c r="L215" s="724">
        <v>2997</v>
      </c>
      <c r="M215" s="724">
        <v>2997</v>
      </c>
      <c r="N215" s="724">
        <v>2997</v>
      </c>
      <c r="O215" s="724">
        <v>2997</v>
      </c>
      <c r="P215" s="724">
        <v>2997</v>
      </c>
      <c r="Q215" s="724">
        <v>2997</v>
      </c>
      <c r="R215" s="724">
        <v>2997</v>
      </c>
      <c r="S215" s="724">
        <v>2997</v>
      </c>
      <c r="T215" s="724">
        <v>2997</v>
      </c>
      <c r="U215" s="724">
        <v>2997</v>
      </c>
      <c r="V215" s="724">
        <v>2997</v>
      </c>
      <c r="W215" s="724">
        <v>2997</v>
      </c>
      <c r="X215" s="724">
        <v>2997</v>
      </c>
      <c r="Y215" s="724">
        <v>2997</v>
      </c>
      <c r="Z215" s="724">
        <v>2997</v>
      </c>
      <c r="AA215" s="724">
        <v>2997</v>
      </c>
      <c r="AB215" s="724">
        <v>2997</v>
      </c>
      <c r="AC215" s="724">
        <v>2997</v>
      </c>
      <c r="AD215" s="724">
        <v>2997</v>
      </c>
      <c r="AE215" s="724">
        <v>2997</v>
      </c>
      <c r="AF215" s="724">
        <v>2997</v>
      </c>
      <c r="AG215" s="724">
        <v>2997</v>
      </c>
      <c r="AH215" s="724">
        <v>2997</v>
      </c>
      <c r="AI215" s="724">
        <v>2997</v>
      </c>
      <c r="AJ215" s="724">
        <v>2997</v>
      </c>
      <c r="AK215" s="724">
        <v>2997</v>
      </c>
      <c r="AL215" s="724">
        <v>3002</v>
      </c>
      <c r="AM215" s="724"/>
      <c r="AN215" s="724"/>
      <c r="AO215" s="724"/>
      <c r="AP215" s="724"/>
      <c r="AQ215" s="724"/>
      <c r="AR215" s="724"/>
      <c r="AS215" s="724"/>
      <c r="AT215" s="724"/>
      <c r="AU215" s="724"/>
      <c r="AV215" s="724"/>
      <c r="AW215" s="724"/>
      <c r="AX215" s="724"/>
      <c r="AY215" s="724"/>
      <c r="AZ215" s="724"/>
      <c r="BA215" s="724"/>
      <c r="BB215" s="724"/>
      <c r="BC215" s="725">
        <f t="shared" si="14"/>
        <v>110900</v>
      </c>
      <c r="BD215" s="724">
        <f>+BC215-'BOULEVARD 5 orig.'!I220</f>
        <v>0</v>
      </c>
      <c r="BE215" s="724">
        <f t="shared" si="15"/>
        <v>110900</v>
      </c>
      <c r="BF215" s="726">
        <f>VLOOKUP(A215,'BOULEVARD 5 orig.'!B220:AS518,42,0)</f>
        <v>0</v>
      </c>
      <c r="BG215" s="727">
        <f t="shared" si="16"/>
        <v>36</v>
      </c>
      <c r="BH215" s="728">
        <f t="shared" si="13"/>
        <v>3080.5555555555557</v>
      </c>
    </row>
    <row r="216" spans="1:60" x14ac:dyDescent="0.2">
      <c r="A216" s="723">
        <v>1210</v>
      </c>
      <c r="B216" s="723" t="str">
        <f>'BOULEVARD 5'!H221</f>
        <v>4.Plan de pagos</v>
      </c>
      <c r="C216" s="724"/>
      <c r="D216" s="724">
        <v>6000</v>
      </c>
      <c r="E216" s="724">
        <v>3624</v>
      </c>
      <c r="F216" s="724">
        <v>3624</v>
      </c>
      <c r="G216" s="724">
        <v>3624</v>
      </c>
      <c r="H216" s="724">
        <v>3624</v>
      </c>
      <c r="I216" s="724">
        <v>3624</v>
      </c>
      <c r="J216" s="724">
        <v>3624</v>
      </c>
      <c r="K216" s="724">
        <v>3624</v>
      </c>
      <c r="L216" s="724">
        <v>3624</v>
      </c>
      <c r="M216" s="724">
        <v>3624</v>
      </c>
      <c r="N216" s="724">
        <v>3624</v>
      </c>
      <c r="O216" s="724">
        <v>3624</v>
      </c>
      <c r="P216" s="724">
        <v>3624</v>
      </c>
      <c r="Q216" s="724">
        <v>3624</v>
      </c>
      <c r="R216" s="724">
        <v>3624</v>
      </c>
      <c r="S216" s="724">
        <v>3624</v>
      </c>
      <c r="T216" s="724">
        <v>3624</v>
      </c>
      <c r="U216" s="724">
        <v>3624</v>
      </c>
      <c r="V216" s="724">
        <v>3624</v>
      </c>
      <c r="W216" s="724">
        <v>3624</v>
      </c>
      <c r="X216" s="724">
        <v>3624</v>
      </c>
      <c r="Y216" s="724">
        <v>3624</v>
      </c>
      <c r="Z216" s="724">
        <v>3624</v>
      </c>
      <c r="AA216" s="724">
        <v>3624</v>
      </c>
      <c r="AB216" s="724">
        <v>3624</v>
      </c>
      <c r="AC216" s="724">
        <v>3624</v>
      </c>
      <c r="AD216" s="724">
        <v>3624</v>
      </c>
      <c r="AE216" s="724">
        <v>3624</v>
      </c>
      <c r="AF216" s="724">
        <v>3624</v>
      </c>
      <c r="AG216" s="724">
        <v>3628</v>
      </c>
      <c r="AH216" s="724"/>
      <c r="AI216" s="724"/>
      <c r="AJ216" s="724"/>
      <c r="AK216" s="724"/>
      <c r="AL216" s="724"/>
      <c r="AM216" s="724"/>
      <c r="AN216" s="724"/>
      <c r="AO216" s="724"/>
      <c r="AP216" s="724"/>
      <c r="AQ216" s="724"/>
      <c r="AR216" s="724"/>
      <c r="AS216" s="724"/>
      <c r="AT216" s="724"/>
      <c r="AU216" s="724"/>
      <c r="AV216" s="724"/>
      <c r="AW216" s="724"/>
      <c r="AX216" s="724"/>
      <c r="AY216" s="724"/>
      <c r="AZ216" s="724"/>
      <c r="BA216" s="724"/>
      <c r="BB216" s="724"/>
      <c r="BC216" s="725">
        <f t="shared" si="14"/>
        <v>111100</v>
      </c>
      <c r="BD216" s="724">
        <f>+BC216-'BOULEVARD 5 orig.'!I221</f>
        <v>0</v>
      </c>
      <c r="BE216" s="724">
        <f t="shared" si="15"/>
        <v>111100</v>
      </c>
      <c r="BF216" s="726">
        <f>VLOOKUP(A216,'BOULEVARD 5 orig.'!B221:AS519,42,0)</f>
        <v>0</v>
      </c>
      <c r="BG216" s="727">
        <f t="shared" si="16"/>
        <v>30</v>
      </c>
      <c r="BH216" s="728">
        <f t="shared" si="13"/>
        <v>3703.3333333333335</v>
      </c>
    </row>
    <row r="217" spans="1:60" x14ac:dyDescent="0.2">
      <c r="A217" s="723">
        <v>1211</v>
      </c>
      <c r="B217" s="723" t="str">
        <f>'BOULEVARD 5'!H222</f>
        <v>4.Plan de pagos</v>
      </c>
      <c r="C217" s="724"/>
      <c r="D217" s="724"/>
      <c r="E217" s="724"/>
      <c r="F217" s="724"/>
      <c r="G217" s="724"/>
      <c r="H217" s="724"/>
      <c r="I217" s="724"/>
      <c r="J217" s="724"/>
      <c r="K217" s="724">
        <v>5500</v>
      </c>
      <c r="L217" s="724">
        <v>5177</v>
      </c>
      <c r="M217" s="724">
        <v>5177</v>
      </c>
      <c r="N217" s="724">
        <v>5177</v>
      </c>
      <c r="O217" s="724">
        <v>5177</v>
      </c>
      <c r="P217" s="724">
        <v>5177</v>
      </c>
      <c r="Q217" s="724">
        <v>5177</v>
      </c>
      <c r="R217" s="724">
        <v>5177</v>
      </c>
      <c r="S217" s="724">
        <v>5177</v>
      </c>
      <c r="T217" s="724">
        <v>5177</v>
      </c>
      <c r="U217" s="724">
        <v>5177</v>
      </c>
      <c r="V217" s="724">
        <v>5177</v>
      </c>
      <c r="W217" s="724">
        <v>5177</v>
      </c>
      <c r="X217" s="724">
        <v>5177</v>
      </c>
      <c r="Y217" s="724">
        <v>5177</v>
      </c>
      <c r="Z217" s="724">
        <v>5177</v>
      </c>
      <c r="AA217" s="724">
        <v>5177</v>
      </c>
      <c r="AB217" s="724">
        <v>5177</v>
      </c>
      <c r="AC217" s="724">
        <v>5177</v>
      </c>
      <c r="AD217" s="724">
        <v>5177</v>
      </c>
      <c r="AE217" s="724">
        <v>5177</v>
      </c>
      <c r="AF217" s="724">
        <v>5177</v>
      </c>
      <c r="AG217" s="724">
        <v>5185.5</v>
      </c>
      <c r="AH217" s="724"/>
      <c r="AI217" s="724"/>
      <c r="AJ217" s="724"/>
      <c r="AK217" s="724"/>
      <c r="AL217" s="724"/>
      <c r="AM217" s="724"/>
      <c r="AN217" s="724"/>
      <c r="AO217" s="724"/>
      <c r="AP217" s="724"/>
      <c r="AQ217" s="724"/>
      <c r="AR217" s="724"/>
      <c r="AS217" s="724"/>
      <c r="AT217" s="724"/>
      <c r="AU217" s="724"/>
      <c r="AV217" s="724"/>
      <c r="AW217" s="724"/>
      <c r="AX217" s="724"/>
      <c r="AY217" s="724"/>
      <c r="AZ217" s="724"/>
      <c r="BA217" s="724"/>
      <c r="BB217" s="724"/>
      <c r="BC217" s="725">
        <f t="shared" si="14"/>
        <v>119402.5</v>
      </c>
      <c r="BD217" s="724">
        <f>+BC217-'BOULEVARD 5 orig.'!I222</f>
        <v>0</v>
      </c>
      <c r="BE217" s="724">
        <f t="shared" si="15"/>
        <v>119402.5</v>
      </c>
      <c r="BF217" s="726">
        <f>VLOOKUP(A217,'BOULEVARD 5 orig.'!B222:AS520,42,0)</f>
        <v>0</v>
      </c>
      <c r="BG217" s="727">
        <f t="shared" si="16"/>
        <v>23</v>
      </c>
      <c r="BH217" s="728">
        <f t="shared" si="13"/>
        <v>5191.413043478261</v>
      </c>
    </row>
    <row r="218" spans="1:60" x14ac:dyDescent="0.2">
      <c r="A218" s="723">
        <v>1212</v>
      </c>
      <c r="B218" s="723" t="str">
        <f>'BOULEVARD 5'!H223</f>
        <v>4.Plan de pagos</v>
      </c>
      <c r="C218" s="724"/>
      <c r="D218" s="724">
        <v>6000</v>
      </c>
      <c r="E218" s="724">
        <v>2000</v>
      </c>
      <c r="F218" s="724">
        <v>2000</v>
      </c>
      <c r="G218" s="724">
        <v>2000</v>
      </c>
      <c r="H218" s="724">
        <v>2000</v>
      </c>
      <c r="I218" s="724">
        <v>2000</v>
      </c>
      <c r="J218" s="724">
        <v>2000</v>
      </c>
      <c r="K218" s="724">
        <v>2000</v>
      </c>
      <c r="L218" s="724">
        <v>2000</v>
      </c>
      <c r="M218" s="724">
        <v>2000</v>
      </c>
      <c r="N218" s="724">
        <v>2000</v>
      </c>
      <c r="O218" s="724">
        <v>2000</v>
      </c>
      <c r="P218" s="724">
        <v>2000</v>
      </c>
      <c r="Q218" s="724">
        <v>2000</v>
      </c>
      <c r="R218" s="724">
        <v>2000</v>
      </c>
      <c r="S218" s="724">
        <v>2000</v>
      </c>
      <c r="T218" s="724">
        <v>2000</v>
      </c>
      <c r="U218" s="724">
        <v>2000</v>
      </c>
      <c r="V218" s="724">
        <v>2000</v>
      </c>
      <c r="W218" s="724">
        <v>2000</v>
      </c>
      <c r="X218" s="724">
        <v>2000</v>
      </c>
      <c r="Y218" s="724">
        <v>2000</v>
      </c>
      <c r="Z218" s="724">
        <v>2000</v>
      </c>
      <c r="AA218" s="724">
        <v>2000</v>
      </c>
      <c r="AB218" s="724">
        <v>2000</v>
      </c>
      <c r="AC218" s="724">
        <v>2000</v>
      </c>
      <c r="AD218" s="724">
        <v>2000</v>
      </c>
      <c r="AE218" s="724">
        <v>2000</v>
      </c>
      <c r="AF218" s="724">
        <v>2000</v>
      </c>
      <c r="AG218" s="724">
        <v>4700</v>
      </c>
      <c r="AH218" s="724"/>
      <c r="AI218" s="724"/>
      <c r="AJ218" s="724"/>
      <c r="AK218" s="724"/>
      <c r="AL218" s="724"/>
      <c r="AM218" s="724"/>
      <c r="AN218" s="724"/>
      <c r="AO218" s="724"/>
      <c r="AP218" s="724"/>
      <c r="AQ218" s="724"/>
      <c r="AR218" s="724"/>
      <c r="AS218" s="724"/>
      <c r="AT218" s="724"/>
      <c r="AU218" s="724"/>
      <c r="AV218" s="724"/>
      <c r="AW218" s="724"/>
      <c r="AX218" s="724"/>
      <c r="AY218" s="724"/>
      <c r="AZ218" s="724"/>
      <c r="BA218" s="724"/>
      <c r="BB218" s="724"/>
      <c r="BC218" s="725">
        <f t="shared" si="14"/>
        <v>66700</v>
      </c>
      <c r="BD218" s="724">
        <f>+BC218-'BOULEVARD 5 orig.'!I223</f>
        <v>0</v>
      </c>
      <c r="BE218" s="724">
        <f t="shared" si="15"/>
        <v>66700</v>
      </c>
      <c r="BF218" s="726">
        <f>VLOOKUP(A218,'BOULEVARD 5 orig.'!B223:AS521,42,0)</f>
        <v>0</v>
      </c>
      <c r="BG218" s="727">
        <f t="shared" si="16"/>
        <v>30</v>
      </c>
      <c r="BH218" s="728">
        <f t="shared" si="13"/>
        <v>2223.3333333333335</v>
      </c>
    </row>
    <row r="219" spans="1:60" x14ac:dyDescent="0.2">
      <c r="A219" s="723">
        <v>1213</v>
      </c>
      <c r="B219" s="723" t="str">
        <f>'BOULEVARD 5'!H224</f>
        <v>4.Plan de pagos</v>
      </c>
      <c r="C219" s="724"/>
      <c r="D219" s="724">
        <v>6000</v>
      </c>
      <c r="E219" s="724">
        <v>2000</v>
      </c>
      <c r="F219" s="724">
        <v>2000</v>
      </c>
      <c r="G219" s="724">
        <v>2000</v>
      </c>
      <c r="H219" s="724">
        <v>2000</v>
      </c>
      <c r="I219" s="724">
        <v>2000</v>
      </c>
      <c r="J219" s="724">
        <v>2000</v>
      </c>
      <c r="K219" s="724">
        <v>2000</v>
      </c>
      <c r="L219" s="724">
        <v>2000</v>
      </c>
      <c r="M219" s="724">
        <v>2000</v>
      </c>
      <c r="N219" s="724">
        <v>2000</v>
      </c>
      <c r="O219" s="724">
        <v>2000</v>
      </c>
      <c r="P219" s="724">
        <v>2000</v>
      </c>
      <c r="Q219" s="724">
        <v>2000</v>
      </c>
      <c r="R219" s="724">
        <v>2000</v>
      </c>
      <c r="S219" s="724">
        <v>2000</v>
      </c>
      <c r="T219" s="724">
        <v>2000</v>
      </c>
      <c r="U219" s="724">
        <v>2000</v>
      </c>
      <c r="V219" s="724">
        <v>2000</v>
      </c>
      <c r="W219" s="724">
        <v>2000</v>
      </c>
      <c r="X219" s="724">
        <v>2000</v>
      </c>
      <c r="Y219" s="724">
        <v>2000</v>
      </c>
      <c r="Z219" s="724">
        <v>2000</v>
      </c>
      <c r="AA219" s="724">
        <v>2000</v>
      </c>
      <c r="AB219" s="724">
        <v>2000</v>
      </c>
      <c r="AC219" s="724">
        <v>2000</v>
      </c>
      <c r="AD219" s="724">
        <v>2000</v>
      </c>
      <c r="AE219" s="724">
        <v>2000</v>
      </c>
      <c r="AF219" s="724">
        <v>2000</v>
      </c>
      <c r="AG219" s="724">
        <v>2639</v>
      </c>
      <c r="AH219" s="724"/>
      <c r="AI219" s="724"/>
      <c r="AJ219" s="724"/>
      <c r="AK219" s="724"/>
      <c r="AL219" s="724"/>
      <c r="AM219" s="724"/>
      <c r="AN219" s="724"/>
      <c r="AO219" s="724"/>
      <c r="AP219" s="724"/>
      <c r="AQ219" s="724"/>
      <c r="AR219" s="724"/>
      <c r="AS219" s="724"/>
      <c r="AT219" s="724"/>
      <c r="AU219" s="724"/>
      <c r="AV219" s="724"/>
      <c r="AW219" s="724"/>
      <c r="AX219" s="724"/>
      <c r="AY219" s="724"/>
      <c r="AZ219" s="724"/>
      <c r="BA219" s="724"/>
      <c r="BB219" s="724"/>
      <c r="BC219" s="725">
        <f t="shared" si="14"/>
        <v>64639</v>
      </c>
      <c r="BD219" s="724">
        <f>+BC219-'BOULEVARD 5 orig.'!I224</f>
        <v>0</v>
      </c>
      <c r="BE219" s="724">
        <f t="shared" si="15"/>
        <v>64639</v>
      </c>
      <c r="BF219" s="726">
        <f>VLOOKUP(A219,'BOULEVARD 5 orig.'!B224:AS522,42,0)</f>
        <v>0</v>
      </c>
      <c r="BG219" s="727">
        <f t="shared" si="16"/>
        <v>30</v>
      </c>
      <c r="BH219" s="728">
        <f t="shared" si="13"/>
        <v>2154.6333333333332</v>
      </c>
    </row>
    <row r="220" spans="1:60" x14ac:dyDescent="0.2">
      <c r="A220" s="723">
        <v>1214</v>
      </c>
      <c r="B220" s="723" t="str">
        <f>'BOULEVARD 5'!H225</f>
        <v>4.Plan de pagos</v>
      </c>
      <c r="C220" s="724"/>
      <c r="D220" s="724"/>
      <c r="E220" s="724"/>
      <c r="F220" s="724">
        <v>6000</v>
      </c>
      <c r="G220" s="724">
        <v>2693</v>
      </c>
      <c r="H220" s="724">
        <v>2693</v>
      </c>
      <c r="I220" s="724">
        <v>2693</v>
      </c>
      <c r="J220" s="724">
        <v>2693</v>
      </c>
      <c r="K220" s="724">
        <v>2693</v>
      </c>
      <c r="L220" s="724">
        <v>2693</v>
      </c>
      <c r="M220" s="724">
        <v>2693</v>
      </c>
      <c r="N220" s="724">
        <v>2693</v>
      </c>
      <c r="O220" s="724">
        <v>2693</v>
      </c>
      <c r="P220" s="724">
        <v>2693</v>
      </c>
      <c r="Q220" s="724">
        <v>2693</v>
      </c>
      <c r="R220" s="724">
        <v>2693</v>
      </c>
      <c r="S220" s="724">
        <v>2693</v>
      </c>
      <c r="T220" s="724">
        <v>2693</v>
      </c>
      <c r="U220" s="724">
        <v>2693</v>
      </c>
      <c r="V220" s="724">
        <v>2693</v>
      </c>
      <c r="W220" s="724">
        <v>2693</v>
      </c>
      <c r="X220" s="724">
        <v>2693</v>
      </c>
      <c r="Y220" s="724">
        <v>2693</v>
      </c>
      <c r="Z220" s="724">
        <v>2693</v>
      </c>
      <c r="AA220" s="724">
        <v>2693</v>
      </c>
      <c r="AB220" s="724">
        <v>2693</v>
      </c>
      <c r="AC220" s="724">
        <v>2693</v>
      </c>
      <c r="AD220" s="724">
        <v>2693</v>
      </c>
      <c r="AE220" s="724">
        <v>2693</v>
      </c>
      <c r="AF220" s="724">
        <v>2693</v>
      </c>
      <c r="AG220" s="724">
        <v>2682</v>
      </c>
      <c r="AH220" s="724"/>
      <c r="AI220" s="724"/>
      <c r="AJ220" s="724"/>
      <c r="AK220" s="724"/>
      <c r="AL220" s="724"/>
      <c r="AM220" s="724"/>
      <c r="AN220" s="724"/>
      <c r="AO220" s="724"/>
      <c r="AP220" s="724"/>
      <c r="AQ220" s="724"/>
      <c r="AR220" s="724"/>
      <c r="AS220" s="724"/>
      <c r="AT220" s="724"/>
      <c r="AU220" s="724"/>
      <c r="AV220" s="724"/>
      <c r="AW220" s="724"/>
      <c r="AX220" s="724"/>
      <c r="AY220" s="724"/>
      <c r="AZ220" s="724"/>
      <c r="BA220" s="724"/>
      <c r="BB220" s="724"/>
      <c r="BC220" s="725">
        <f t="shared" si="14"/>
        <v>78700</v>
      </c>
      <c r="BD220" s="724">
        <f>+BC220-'BOULEVARD 5 orig.'!I225</f>
        <v>0</v>
      </c>
      <c r="BE220" s="724">
        <f t="shared" si="15"/>
        <v>78700</v>
      </c>
      <c r="BF220" s="726">
        <f>VLOOKUP(A220,'BOULEVARD 5 orig.'!B225:AS523,42,0)</f>
        <v>0</v>
      </c>
      <c r="BG220" s="727">
        <f t="shared" si="16"/>
        <v>28</v>
      </c>
      <c r="BH220" s="728">
        <f t="shared" si="13"/>
        <v>2810.7142857142858</v>
      </c>
    </row>
    <row r="221" spans="1:60" x14ac:dyDescent="0.2">
      <c r="A221" s="723">
        <v>1215</v>
      </c>
      <c r="B221" s="723" t="str">
        <f>'BOULEVARD 5'!H226</f>
        <v>4.Plan de pagos</v>
      </c>
      <c r="C221" s="724"/>
      <c r="D221" s="724">
        <v>6000</v>
      </c>
      <c r="E221" s="724">
        <v>2755</v>
      </c>
      <c r="F221" s="724">
        <v>2755</v>
      </c>
      <c r="G221" s="724">
        <v>2755</v>
      </c>
      <c r="H221" s="724">
        <v>2755</v>
      </c>
      <c r="I221" s="724">
        <v>2755</v>
      </c>
      <c r="J221" s="724">
        <v>2755</v>
      </c>
      <c r="K221" s="724">
        <v>2755</v>
      </c>
      <c r="L221" s="724">
        <v>2755</v>
      </c>
      <c r="M221" s="724">
        <v>2755</v>
      </c>
      <c r="N221" s="724">
        <v>2755</v>
      </c>
      <c r="O221" s="724">
        <v>2755</v>
      </c>
      <c r="P221" s="724">
        <v>2755</v>
      </c>
      <c r="Q221" s="724">
        <v>2755</v>
      </c>
      <c r="R221" s="724">
        <v>2755</v>
      </c>
      <c r="S221" s="724">
        <v>2755</v>
      </c>
      <c r="T221" s="724">
        <v>2755</v>
      </c>
      <c r="U221" s="724">
        <v>2755</v>
      </c>
      <c r="V221" s="724">
        <v>2755</v>
      </c>
      <c r="W221" s="724">
        <v>2755</v>
      </c>
      <c r="X221" s="724">
        <v>2755</v>
      </c>
      <c r="Y221" s="724">
        <v>2755</v>
      </c>
      <c r="Z221" s="724">
        <v>2755</v>
      </c>
      <c r="AA221" s="724">
        <v>2755</v>
      </c>
      <c r="AB221" s="724">
        <v>2755</v>
      </c>
      <c r="AC221" s="724">
        <v>2755</v>
      </c>
      <c r="AD221" s="724">
        <v>2755</v>
      </c>
      <c r="AE221" s="724">
        <v>2755</v>
      </c>
      <c r="AF221" s="724">
        <v>2755</v>
      </c>
      <c r="AG221" s="724">
        <v>2760</v>
      </c>
      <c r="AH221" s="724"/>
      <c r="AI221" s="724"/>
      <c r="AJ221" s="724"/>
      <c r="AK221" s="724"/>
      <c r="AL221" s="724"/>
      <c r="AM221" s="724"/>
      <c r="AN221" s="724"/>
      <c r="AO221" s="724"/>
      <c r="AP221" s="724"/>
      <c r="AQ221" s="724"/>
      <c r="AR221" s="724"/>
      <c r="AS221" s="724"/>
      <c r="AT221" s="724"/>
      <c r="AU221" s="724"/>
      <c r="AV221" s="724"/>
      <c r="AW221" s="724"/>
      <c r="AX221" s="724"/>
      <c r="AY221" s="724"/>
      <c r="AZ221" s="724"/>
      <c r="BA221" s="724"/>
      <c r="BB221" s="724"/>
      <c r="BC221" s="725">
        <f t="shared" si="14"/>
        <v>85900</v>
      </c>
      <c r="BD221" s="724">
        <f>+BC221-'BOULEVARD 5 orig.'!I226</f>
        <v>0</v>
      </c>
      <c r="BE221" s="724">
        <f t="shared" si="15"/>
        <v>85900</v>
      </c>
      <c r="BF221" s="726">
        <f>VLOOKUP(A221,'BOULEVARD 5 orig.'!B226:AS524,42,0)</f>
        <v>0</v>
      </c>
      <c r="BG221" s="727">
        <f t="shared" si="16"/>
        <v>30</v>
      </c>
      <c r="BH221" s="728">
        <f t="shared" si="13"/>
        <v>2863.3333333333335</v>
      </c>
    </row>
    <row r="222" spans="1:60" x14ac:dyDescent="0.2">
      <c r="A222" s="723">
        <v>1216</v>
      </c>
      <c r="B222" s="723" t="str">
        <f>'BOULEVARD 5'!H227</f>
        <v>4.Plan de pagos</v>
      </c>
      <c r="C222" s="724"/>
      <c r="D222" s="724"/>
      <c r="E222" s="724"/>
      <c r="F222" s="724"/>
      <c r="G222" s="724"/>
      <c r="H222" s="724"/>
      <c r="I222" s="724"/>
      <c r="J222" s="724"/>
      <c r="K222" s="724"/>
      <c r="L222" s="724"/>
      <c r="M222" s="724"/>
      <c r="N222" s="724"/>
      <c r="O222" s="724"/>
      <c r="P222" s="724"/>
      <c r="Q222" s="724"/>
      <c r="R222" s="724"/>
      <c r="S222" s="724"/>
      <c r="T222" s="724"/>
      <c r="U222" s="724"/>
      <c r="V222" s="724"/>
      <c r="W222" s="724"/>
      <c r="X222" s="724"/>
      <c r="Y222" s="724"/>
      <c r="Z222" s="724"/>
      <c r="AA222" s="724"/>
      <c r="AB222" s="724"/>
      <c r="AC222" s="724"/>
      <c r="AD222" s="724"/>
      <c r="AE222" s="724">
        <v>519578.08</v>
      </c>
      <c r="AF222" s="724">
        <v>32100</v>
      </c>
      <c r="AG222" s="724">
        <v>32100</v>
      </c>
      <c r="AH222" s="724">
        <v>32100</v>
      </c>
      <c r="AI222" s="724">
        <v>32100</v>
      </c>
      <c r="AJ222" s="724">
        <v>32100</v>
      </c>
      <c r="AK222" s="724">
        <v>32100</v>
      </c>
      <c r="AL222" s="724">
        <v>32100</v>
      </c>
      <c r="AM222" s="724">
        <v>32100</v>
      </c>
      <c r="AN222" s="724">
        <v>32100</v>
      </c>
      <c r="AO222" s="724">
        <v>32100</v>
      </c>
      <c r="AP222" s="724">
        <v>208578.07</v>
      </c>
      <c r="AQ222" s="726"/>
      <c r="AR222" s="724"/>
      <c r="AS222" s="724"/>
      <c r="AT222" s="724"/>
      <c r="AU222" s="724"/>
      <c r="AV222" s="724"/>
      <c r="AW222" s="724"/>
      <c r="AX222" s="724"/>
      <c r="AY222" s="724"/>
      <c r="AZ222" s="724"/>
      <c r="BA222" s="724"/>
      <c r="BB222" s="724"/>
      <c r="BC222" s="725">
        <f t="shared" si="14"/>
        <v>1049156.1500000001</v>
      </c>
      <c r="BD222" s="724">
        <f>+BC222-'BOULEVARD 5 orig.'!I227</f>
        <v>936529.96804400813</v>
      </c>
      <c r="BE222" s="724">
        <f t="shared" si="15"/>
        <v>1049156.1500000001</v>
      </c>
      <c r="BF222" s="726">
        <f>VLOOKUP(A222,'BOULEVARD 5 orig.'!B227:AS525,42,0)</f>
        <v>0</v>
      </c>
      <c r="BG222" s="727">
        <f t="shared" si="16"/>
        <v>12</v>
      </c>
      <c r="BH222" s="728">
        <f t="shared" si="13"/>
        <v>87429.679166666683</v>
      </c>
    </row>
    <row r="223" spans="1:60" x14ac:dyDescent="0.2">
      <c r="A223" s="723">
        <v>1217</v>
      </c>
      <c r="B223" s="723" t="str">
        <f>'BOULEVARD 5'!H228</f>
        <v>4.Plan de pagos</v>
      </c>
      <c r="C223" s="724"/>
      <c r="D223" s="724"/>
      <c r="E223" s="724"/>
      <c r="F223" s="724"/>
      <c r="G223" s="724"/>
      <c r="H223" s="724"/>
      <c r="I223" s="724"/>
      <c r="J223" s="724"/>
      <c r="K223" s="724"/>
      <c r="L223" s="724"/>
      <c r="M223" s="724"/>
      <c r="N223" s="724"/>
      <c r="O223" s="724"/>
      <c r="P223" s="724">
        <v>8000</v>
      </c>
      <c r="Q223" s="724">
        <v>6906</v>
      </c>
      <c r="R223" s="724">
        <v>6906</v>
      </c>
      <c r="S223" s="724">
        <v>6906</v>
      </c>
      <c r="T223" s="724">
        <v>6906</v>
      </c>
      <c r="U223" s="724">
        <v>6906</v>
      </c>
      <c r="V223" s="724">
        <v>6906</v>
      </c>
      <c r="W223" s="724">
        <v>6906</v>
      </c>
      <c r="X223" s="724">
        <v>6906</v>
      </c>
      <c r="Y223" s="724">
        <v>6906</v>
      </c>
      <c r="Z223" s="724">
        <v>6906</v>
      </c>
      <c r="AA223" s="724">
        <v>6906</v>
      </c>
      <c r="AB223" s="724">
        <v>6906</v>
      </c>
      <c r="AC223" s="724">
        <v>6906</v>
      </c>
      <c r="AD223" s="724">
        <v>6906</v>
      </c>
      <c r="AE223" s="724">
        <v>6906</v>
      </c>
      <c r="AF223" s="724">
        <v>6906</v>
      </c>
      <c r="AG223" s="724">
        <v>6904</v>
      </c>
      <c r="AH223" s="724"/>
      <c r="AI223" s="724"/>
      <c r="AJ223" s="724"/>
      <c r="AK223" s="724"/>
      <c r="AL223" s="724"/>
      <c r="AM223" s="724"/>
      <c r="AN223" s="724"/>
      <c r="AO223" s="724"/>
      <c r="AP223" s="724"/>
      <c r="AQ223" s="724"/>
      <c r="AR223" s="724"/>
      <c r="AS223" s="724"/>
      <c r="AT223" s="724"/>
      <c r="AU223" s="724"/>
      <c r="AV223" s="724"/>
      <c r="AW223" s="724"/>
      <c r="AX223" s="724"/>
      <c r="AY223" s="724"/>
      <c r="AZ223" s="724"/>
      <c r="BA223" s="724"/>
      <c r="BB223" s="724"/>
      <c r="BC223" s="725">
        <f t="shared" si="14"/>
        <v>125400</v>
      </c>
      <c r="BD223" s="724">
        <f>+BC223-'BOULEVARD 5 orig.'!I228</f>
        <v>0</v>
      </c>
      <c r="BE223" s="724">
        <f t="shared" si="15"/>
        <v>125400</v>
      </c>
      <c r="BF223" s="726">
        <f>VLOOKUP(A223,'BOULEVARD 5 orig.'!B228:AS526,42,0)</f>
        <v>0</v>
      </c>
      <c r="BG223" s="727">
        <f t="shared" si="16"/>
        <v>18</v>
      </c>
      <c r="BH223" s="728">
        <f t="shared" si="13"/>
        <v>6966.666666666667</v>
      </c>
    </row>
    <row r="224" spans="1:60" x14ac:dyDescent="0.2">
      <c r="A224" s="723">
        <v>1218</v>
      </c>
      <c r="B224" s="723" t="str">
        <f>'BOULEVARD 5'!H229</f>
        <v>4.Plan de pagos</v>
      </c>
      <c r="C224" s="724"/>
      <c r="D224" s="724"/>
      <c r="E224" s="724"/>
      <c r="F224" s="724"/>
      <c r="G224" s="724"/>
      <c r="H224" s="724"/>
      <c r="I224" s="724"/>
      <c r="J224" s="724"/>
      <c r="K224" s="724"/>
      <c r="L224" s="724"/>
      <c r="M224" s="724"/>
      <c r="N224" s="724"/>
      <c r="O224" s="724"/>
      <c r="P224" s="724"/>
      <c r="Q224" s="724"/>
      <c r="R224" s="724"/>
      <c r="S224" s="724"/>
      <c r="T224" s="724"/>
      <c r="U224" s="724"/>
      <c r="V224" s="724"/>
      <c r="W224" s="724">
        <v>10000</v>
      </c>
      <c r="X224" s="724">
        <v>6950</v>
      </c>
      <c r="Y224" s="724">
        <v>6950</v>
      </c>
      <c r="Z224" s="724">
        <v>6950</v>
      </c>
      <c r="AA224" s="724">
        <v>6950</v>
      </c>
      <c r="AB224" s="724">
        <v>6950</v>
      </c>
      <c r="AC224" s="724">
        <v>6950</v>
      </c>
      <c r="AD224" s="724">
        <v>6950</v>
      </c>
      <c r="AE224" s="724">
        <v>6950</v>
      </c>
      <c r="AF224" s="724">
        <v>6950</v>
      </c>
      <c r="AG224" s="724">
        <v>6950</v>
      </c>
      <c r="AH224" s="724">
        <v>6950</v>
      </c>
      <c r="AI224" s="724">
        <v>6950</v>
      </c>
      <c r="AJ224" s="724">
        <v>6950</v>
      </c>
      <c r="AK224" s="724">
        <v>6950</v>
      </c>
      <c r="AL224" s="724">
        <v>6950</v>
      </c>
      <c r="AM224" s="724">
        <v>6950</v>
      </c>
      <c r="AN224" s="724">
        <v>6950</v>
      </c>
      <c r="AO224" s="724">
        <v>6942.55</v>
      </c>
      <c r="AP224" s="724"/>
      <c r="AQ224" s="724"/>
      <c r="AR224" s="724"/>
      <c r="AS224" s="724"/>
      <c r="AT224" s="724"/>
      <c r="AU224" s="724"/>
      <c r="AV224" s="724"/>
      <c r="AW224" s="724"/>
      <c r="AX224" s="724"/>
      <c r="AY224" s="724"/>
      <c r="AZ224" s="724"/>
      <c r="BA224" s="724"/>
      <c r="BB224" s="724"/>
      <c r="BC224" s="725">
        <f t="shared" si="14"/>
        <v>135092.54999999999</v>
      </c>
      <c r="BD224" s="724">
        <f>+BC224-'BOULEVARD 5 orig.'!I229</f>
        <v>0</v>
      </c>
      <c r="BE224" s="724">
        <f t="shared" si="15"/>
        <v>135092.54999999999</v>
      </c>
      <c r="BF224" s="726">
        <f>VLOOKUP(A224,'BOULEVARD 5 orig.'!B229:AS527,42,0)</f>
        <v>0</v>
      </c>
      <c r="BG224" s="727">
        <f t="shared" si="16"/>
        <v>19</v>
      </c>
      <c r="BH224" s="728">
        <f t="shared" si="13"/>
        <v>7110.1342105263147</v>
      </c>
    </row>
    <row r="225" spans="1:60" x14ac:dyDescent="0.2">
      <c r="A225" s="723">
        <v>1301</v>
      </c>
      <c r="B225" s="723" t="str">
        <f>'BOULEVARD 5'!H230</f>
        <v>4.Plan de pagos</v>
      </c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>
        <v>10000</v>
      </c>
      <c r="S225" s="724">
        <v>6411</v>
      </c>
      <c r="T225" s="724">
        <v>6411</v>
      </c>
      <c r="U225" s="724">
        <v>6411</v>
      </c>
      <c r="V225" s="724">
        <v>6411</v>
      </c>
      <c r="W225" s="724">
        <v>6411</v>
      </c>
      <c r="X225" s="724">
        <v>6411</v>
      </c>
      <c r="Y225" s="724">
        <v>6411</v>
      </c>
      <c r="Z225" s="724">
        <v>6411</v>
      </c>
      <c r="AA225" s="724">
        <v>6411</v>
      </c>
      <c r="AB225" s="724">
        <v>6411</v>
      </c>
      <c r="AC225" s="724">
        <v>6411</v>
      </c>
      <c r="AD225" s="724">
        <v>6411</v>
      </c>
      <c r="AE225" s="724">
        <v>6411</v>
      </c>
      <c r="AF225" s="724">
        <v>6411</v>
      </c>
      <c r="AG225" s="724">
        <v>6411</v>
      </c>
      <c r="AH225" s="724">
        <v>6411</v>
      </c>
      <c r="AI225" s="724">
        <v>6411</v>
      </c>
      <c r="AJ225" s="724">
        <v>6413</v>
      </c>
      <c r="AK225" s="724"/>
      <c r="AL225" s="724"/>
      <c r="AM225" s="724"/>
      <c r="AN225" s="724"/>
      <c r="AO225" s="724"/>
      <c r="AP225" s="724"/>
      <c r="AQ225" s="724"/>
      <c r="AR225" s="724"/>
      <c r="AS225" s="724"/>
      <c r="AT225" s="724"/>
      <c r="AU225" s="724"/>
      <c r="AV225" s="724"/>
      <c r="AW225" s="724"/>
      <c r="AX225" s="724"/>
      <c r="AY225" s="724"/>
      <c r="AZ225" s="724"/>
      <c r="BA225" s="724"/>
      <c r="BB225" s="724"/>
      <c r="BC225" s="725">
        <f t="shared" si="14"/>
        <v>125400</v>
      </c>
      <c r="BD225" s="724">
        <f>+BC225-'BOULEVARD 5 orig.'!I230</f>
        <v>0</v>
      </c>
      <c r="BE225" s="724">
        <f t="shared" si="15"/>
        <v>125400</v>
      </c>
      <c r="BF225" s="726">
        <f>VLOOKUP(A225,'BOULEVARD 5 orig.'!B230:AS528,42,0)</f>
        <v>0</v>
      </c>
      <c r="BG225" s="727">
        <f t="shared" si="16"/>
        <v>19</v>
      </c>
      <c r="BH225" s="728">
        <f t="shared" si="13"/>
        <v>6600</v>
      </c>
    </row>
    <row r="226" spans="1:60" x14ac:dyDescent="0.2">
      <c r="A226" s="723">
        <v>1302</v>
      </c>
      <c r="B226" s="723" t="str">
        <f>'BOULEVARD 5'!H231</f>
        <v>4.Plan de pagos</v>
      </c>
      <c r="C226" s="724"/>
      <c r="D226" s="724"/>
      <c r="E226" s="724"/>
      <c r="F226" s="724"/>
      <c r="G226" s="724"/>
      <c r="H226" s="724"/>
      <c r="I226" s="724"/>
      <c r="J226" s="724"/>
      <c r="K226" s="724"/>
      <c r="L226" s="724"/>
      <c r="M226" s="724"/>
      <c r="N226" s="724"/>
      <c r="O226" s="724"/>
      <c r="P226" s="724"/>
      <c r="Q226" s="724"/>
      <c r="R226" s="724"/>
      <c r="S226" s="724"/>
      <c r="T226" s="724"/>
      <c r="U226" s="724"/>
      <c r="V226" s="724"/>
      <c r="W226" s="724">
        <v>10000</v>
      </c>
      <c r="X226" s="724">
        <v>6951</v>
      </c>
      <c r="Y226" s="724">
        <v>6951</v>
      </c>
      <c r="Z226" s="724">
        <v>6951</v>
      </c>
      <c r="AA226" s="724">
        <v>6951</v>
      </c>
      <c r="AB226" s="724">
        <v>6951</v>
      </c>
      <c r="AC226" s="724">
        <v>6951</v>
      </c>
      <c r="AD226" s="724">
        <v>6951</v>
      </c>
      <c r="AE226" s="724">
        <v>6951</v>
      </c>
      <c r="AF226" s="724">
        <v>6951</v>
      </c>
      <c r="AG226" s="724">
        <v>6951</v>
      </c>
      <c r="AH226" s="724">
        <v>6951</v>
      </c>
      <c r="AI226" s="724">
        <v>6951</v>
      </c>
      <c r="AJ226" s="724">
        <v>6951</v>
      </c>
      <c r="AK226" s="724">
        <v>6951</v>
      </c>
      <c r="AL226" s="724">
        <v>6951</v>
      </c>
      <c r="AM226" s="724">
        <v>6951</v>
      </c>
      <c r="AN226" s="724">
        <v>6951</v>
      </c>
      <c r="AO226" s="724">
        <v>6958.53</v>
      </c>
      <c r="AP226" s="724"/>
      <c r="AQ226" s="724"/>
      <c r="AR226" s="724"/>
      <c r="AS226" s="724"/>
      <c r="AT226" s="724"/>
      <c r="AU226" s="724"/>
      <c r="AV226" s="724"/>
      <c r="AW226" s="724"/>
      <c r="AX226" s="724"/>
      <c r="AY226" s="724"/>
      <c r="AZ226" s="724"/>
      <c r="BA226" s="724"/>
      <c r="BB226" s="724"/>
      <c r="BC226" s="725">
        <f t="shared" si="14"/>
        <v>135125.53</v>
      </c>
      <c r="BD226" s="724">
        <f>+BC226-'BOULEVARD 5 orig.'!I231</f>
        <v>0</v>
      </c>
      <c r="BE226" s="724">
        <f t="shared" si="15"/>
        <v>135125.53</v>
      </c>
      <c r="BF226" s="726">
        <f>VLOOKUP(A226,'BOULEVARD 5 orig.'!B231:AS529,42,0)</f>
        <v>0</v>
      </c>
      <c r="BG226" s="727">
        <f t="shared" si="16"/>
        <v>19</v>
      </c>
      <c r="BH226" s="728">
        <f t="shared" si="13"/>
        <v>7111.87</v>
      </c>
    </row>
    <row r="227" spans="1:60" x14ac:dyDescent="0.2">
      <c r="A227" s="723">
        <v>1303</v>
      </c>
      <c r="B227" s="723" t="str">
        <f>'BOULEVARD 5'!H232</f>
        <v>4.Plan de pagos</v>
      </c>
      <c r="C227" s="724"/>
      <c r="D227" s="724"/>
      <c r="E227" s="724"/>
      <c r="F227" s="724"/>
      <c r="G227" s="724"/>
      <c r="H227" s="724">
        <v>6000</v>
      </c>
      <c r="I227" s="724">
        <v>3368</v>
      </c>
      <c r="J227" s="724">
        <v>3368</v>
      </c>
      <c r="K227" s="724">
        <v>3368</v>
      </c>
      <c r="L227" s="724">
        <v>3368</v>
      </c>
      <c r="M227" s="724">
        <v>3368</v>
      </c>
      <c r="N227" s="724">
        <v>3368</v>
      </c>
      <c r="O227" s="724">
        <v>3368</v>
      </c>
      <c r="P227" s="724">
        <v>3368</v>
      </c>
      <c r="Q227" s="724">
        <v>3368</v>
      </c>
      <c r="R227" s="724">
        <v>3368</v>
      </c>
      <c r="S227" s="724">
        <v>3368</v>
      </c>
      <c r="T227" s="724">
        <v>3368</v>
      </c>
      <c r="U227" s="724">
        <v>3368</v>
      </c>
      <c r="V227" s="724">
        <v>3368</v>
      </c>
      <c r="W227" s="724">
        <v>3368</v>
      </c>
      <c r="X227" s="724">
        <v>3368</v>
      </c>
      <c r="Y227" s="724">
        <v>3368</v>
      </c>
      <c r="Z227" s="724">
        <v>3368</v>
      </c>
      <c r="AA227" s="724">
        <v>3368</v>
      </c>
      <c r="AB227" s="724">
        <v>3368</v>
      </c>
      <c r="AC227" s="724">
        <v>3368</v>
      </c>
      <c r="AD227" s="724">
        <v>3368</v>
      </c>
      <c r="AE227" s="724">
        <v>3368</v>
      </c>
      <c r="AF227" s="724">
        <v>3368</v>
      </c>
      <c r="AG227" s="724">
        <v>3368</v>
      </c>
      <c r="AH227" s="724"/>
      <c r="AI227" s="724"/>
      <c r="AJ227" s="724"/>
      <c r="AK227" s="724"/>
      <c r="AL227" s="724"/>
      <c r="AM227" s="724"/>
      <c r="AN227" s="724"/>
      <c r="AO227" s="724"/>
      <c r="AP227" s="724"/>
      <c r="AQ227" s="724"/>
      <c r="AR227" s="724"/>
      <c r="AS227" s="724"/>
      <c r="AT227" s="724"/>
      <c r="AU227" s="724"/>
      <c r="AV227" s="724"/>
      <c r="AW227" s="724"/>
      <c r="AX227" s="724"/>
      <c r="AY227" s="724"/>
      <c r="AZ227" s="724"/>
      <c r="BA227" s="724"/>
      <c r="BB227" s="724"/>
      <c r="BC227" s="725">
        <f t="shared" si="14"/>
        <v>90200</v>
      </c>
      <c r="BD227" s="724">
        <f>+BC227-'BOULEVARD 5 orig.'!I232</f>
        <v>0</v>
      </c>
      <c r="BE227" s="724">
        <f t="shared" si="15"/>
        <v>90200</v>
      </c>
      <c r="BF227" s="726">
        <f>VLOOKUP(A227,'BOULEVARD 5 orig.'!B232:AS530,42,0)</f>
        <v>0</v>
      </c>
      <c r="BG227" s="727">
        <f t="shared" si="16"/>
        <v>26</v>
      </c>
      <c r="BH227" s="728">
        <f t="shared" si="13"/>
        <v>3469.2307692307691</v>
      </c>
    </row>
    <row r="228" spans="1:60" x14ac:dyDescent="0.2">
      <c r="A228" s="723">
        <v>1304</v>
      </c>
      <c r="B228" s="723" t="str">
        <f>'BOULEVARD 5'!H233</f>
        <v>4.Plan de pagos</v>
      </c>
      <c r="C228" s="724"/>
      <c r="D228" s="724"/>
      <c r="E228" s="724"/>
      <c r="F228" s="724"/>
      <c r="G228" s="724"/>
      <c r="H228" s="724"/>
      <c r="I228" s="724"/>
      <c r="J228" s="724">
        <v>4000</v>
      </c>
      <c r="K228" s="724">
        <v>3651</v>
      </c>
      <c r="L228" s="724">
        <v>3651</v>
      </c>
      <c r="M228" s="724">
        <v>3651</v>
      </c>
      <c r="N228" s="724">
        <v>3651</v>
      </c>
      <c r="O228" s="724">
        <v>3651</v>
      </c>
      <c r="P228" s="724">
        <v>3651</v>
      </c>
      <c r="Q228" s="724">
        <v>3651</v>
      </c>
      <c r="R228" s="724">
        <v>3651</v>
      </c>
      <c r="S228" s="724">
        <v>3651</v>
      </c>
      <c r="T228" s="724">
        <v>3651</v>
      </c>
      <c r="U228" s="724">
        <v>3651</v>
      </c>
      <c r="V228" s="724">
        <v>3651</v>
      </c>
      <c r="W228" s="724">
        <v>3651</v>
      </c>
      <c r="X228" s="724">
        <v>3651</v>
      </c>
      <c r="Y228" s="724">
        <v>3651</v>
      </c>
      <c r="Z228" s="724">
        <v>3651</v>
      </c>
      <c r="AA228" s="724">
        <v>3651</v>
      </c>
      <c r="AB228" s="724">
        <v>3651</v>
      </c>
      <c r="AC228" s="724">
        <v>3651</v>
      </c>
      <c r="AD228" s="724">
        <v>3651</v>
      </c>
      <c r="AE228" s="724">
        <v>3651</v>
      </c>
      <c r="AF228" s="724">
        <v>3651</v>
      </c>
      <c r="AG228" s="724">
        <v>3659.06</v>
      </c>
      <c r="AH228" s="724"/>
      <c r="AI228" s="724"/>
      <c r="AJ228" s="724"/>
      <c r="AK228" s="724"/>
      <c r="AL228" s="724"/>
      <c r="AM228" s="724"/>
      <c r="AN228" s="724"/>
      <c r="AO228" s="724"/>
      <c r="AP228" s="724"/>
      <c r="AQ228" s="724"/>
      <c r="AR228" s="724"/>
      <c r="AS228" s="724"/>
      <c r="AT228" s="724"/>
      <c r="AU228" s="724"/>
      <c r="AV228" s="724"/>
      <c r="AW228" s="724"/>
      <c r="AX228" s="724"/>
      <c r="AY228" s="724"/>
      <c r="AZ228" s="724"/>
      <c r="BA228" s="724"/>
      <c r="BB228" s="724"/>
      <c r="BC228" s="725">
        <f t="shared" si="14"/>
        <v>87981.06</v>
      </c>
      <c r="BD228" s="724">
        <f>+BC228-'BOULEVARD 5 orig.'!I233</f>
        <v>0</v>
      </c>
      <c r="BE228" s="724">
        <f t="shared" si="15"/>
        <v>87981.06</v>
      </c>
      <c r="BF228" s="726">
        <f>VLOOKUP(A228,'BOULEVARD 5 orig.'!B233:AS531,42,0)</f>
        <v>0</v>
      </c>
      <c r="BG228" s="727">
        <f t="shared" si="16"/>
        <v>24</v>
      </c>
      <c r="BH228" s="728">
        <f t="shared" si="13"/>
        <v>3665.8775000000001</v>
      </c>
    </row>
    <row r="229" spans="1:60" x14ac:dyDescent="0.2">
      <c r="A229" s="738">
        <v>1305</v>
      </c>
      <c r="B229" s="738" t="str">
        <f>'BOULEVARD 5'!H234</f>
        <v>4.Plan de pagos</v>
      </c>
      <c r="C229" s="724"/>
      <c r="D229" s="724"/>
      <c r="E229" s="724"/>
      <c r="F229" s="724"/>
      <c r="G229" s="724"/>
      <c r="H229" s="724"/>
      <c r="I229" s="724"/>
      <c r="J229" s="724"/>
      <c r="K229" s="724"/>
      <c r="L229" s="724"/>
      <c r="M229" s="724"/>
      <c r="N229" s="724"/>
      <c r="O229" s="724"/>
      <c r="P229" s="724"/>
      <c r="Q229" s="724"/>
      <c r="R229" s="724"/>
      <c r="S229" s="724"/>
      <c r="T229" s="724"/>
      <c r="U229" s="724"/>
      <c r="V229" s="724"/>
      <c r="W229" s="724"/>
      <c r="X229" s="724"/>
      <c r="Y229" s="724"/>
      <c r="Z229" s="724"/>
      <c r="AA229" s="724"/>
      <c r="AB229" s="724"/>
      <c r="AC229" s="739">
        <v>10000</v>
      </c>
      <c r="AD229" s="739">
        <v>4700</v>
      </c>
      <c r="AE229" s="739">
        <v>4700</v>
      </c>
      <c r="AF229" s="739">
        <v>4700</v>
      </c>
      <c r="AG229" s="739">
        <v>4700</v>
      </c>
      <c r="AH229" s="739">
        <v>4700</v>
      </c>
      <c r="AI229" s="739">
        <v>4700</v>
      </c>
      <c r="AJ229" s="739">
        <v>4700</v>
      </c>
      <c r="AK229" s="739">
        <v>4700</v>
      </c>
      <c r="AL229" s="739">
        <v>4700</v>
      </c>
      <c r="AM229" s="739">
        <v>4700</v>
      </c>
      <c r="AN229" s="739">
        <v>4700</v>
      </c>
      <c r="AO229" s="739">
        <v>4700</v>
      </c>
      <c r="AP229" s="724"/>
      <c r="AQ229" s="724"/>
      <c r="AR229" s="724"/>
      <c r="AS229" s="724"/>
      <c r="AT229" s="724"/>
      <c r="AU229" s="724"/>
      <c r="AV229" s="724"/>
      <c r="AW229" s="724"/>
      <c r="AX229" s="724"/>
      <c r="AY229" s="724"/>
      <c r="AZ229" s="724"/>
      <c r="BA229" s="724"/>
      <c r="BB229" s="724"/>
      <c r="BC229" s="725">
        <f t="shared" si="14"/>
        <v>66400</v>
      </c>
      <c r="BD229" s="724">
        <f>+BC229-'BOULEVARD 5 orig.'!I234</f>
        <v>0</v>
      </c>
      <c r="BE229" s="724">
        <f t="shared" si="15"/>
        <v>66400</v>
      </c>
      <c r="BF229" s="726">
        <f>VLOOKUP(A229,'BOULEVARD 5 orig.'!B234:AS532,42,0)</f>
        <v>0</v>
      </c>
      <c r="BG229" s="727">
        <f t="shared" si="16"/>
        <v>13</v>
      </c>
      <c r="BH229" s="728">
        <f t="shared" si="13"/>
        <v>5107.6923076923076</v>
      </c>
    </row>
    <row r="230" spans="1:60" x14ac:dyDescent="0.2">
      <c r="A230" s="723">
        <v>1306</v>
      </c>
      <c r="B230" s="723" t="str">
        <f>'BOULEVARD 5'!H235</f>
        <v>4.Plan de pagos</v>
      </c>
      <c r="C230" s="724"/>
      <c r="D230" s="724"/>
      <c r="E230" s="724">
        <v>6000</v>
      </c>
      <c r="F230" s="724">
        <v>2250</v>
      </c>
      <c r="G230" s="724">
        <v>2250</v>
      </c>
      <c r="H230" s="724">
        <v>2250</v>
      </c>
      <c r="I230" s="724">
        <v>2250</v>
      </c>
      <c r="J230" s="724">
        <v>2250</v>
      </c>
      <c r="K230" s="724">
        <v>2250</v>
      </c>
      <c r="L230" s="724">
        <v>2250</v>
      </c>
      <c r="M230" s="724">
        <v>2250</v>
      </c>
      <c r="N230" s="724">
        <v>2250</v>
      </c>
      <c r="O230" s="724">
        <v>2250</v>
      </c>
      <c r="P230" s="724">
        <v>2250</v>
      </c>
      <c r="Q230" s="724">
        <v>2250</v>
      </c>
      <c r="R230" s="724">
        <v>2250</v>
      </c>
      <c r="S230" s="724">
        <v>2250</v>
      </c>
      <c r="T230" s="724">
        <v>2250</v>
      </c>
      <c r="U230" s="724">
        <v>2250</v>
      </c>
      <c r="V230" s="724">
        <v>2250</v>
      </c>
      <c r="W230" s="724">
        <v>2250</v>
      </c>
      <c r="X230" s="724">
        <v>2250</v>
      </c>
      <c r="Y230" s="724">
        <v>2250</v>
      </c>
      <c r="Z230" s="724">
        <v>2250</v>
      </c>
      <c r="AA230" s="724">
        <v>2250</v>
      </c>
      <c r="AB230" s="724">
        <v>2250</v>
      </c>
      <c r="AC230" s="724">
        <v>2250</v>
      </c>
      <c r="AD230" s="724">
        <v>2250</v>
      </c>
      <c r="AE230" s="724">
        <v>2250</v>
      </c>
      <c r="AF230" s="724">
        <v>2250</v>
      </c>
      <c r="AG230" s="724">
        <v>3050</v>
      </c>
      <c r="AH230" s="724"/>
      <c r="AI230" s="724"/>
      <c r="AJ230" s="724"/>
      <c r="AK230" s="724"/>
      <c r="AL230" s="724"/>
      <c r="AM230" s="724"/>
      <c r="AN230" s="724"/>
      <c r="AO230" s="724"/>
      <c r="AP230" s="724"/>
      <c r="AQ230" s="724"/>
      <c r="AR230" s="724"/>
      <c r="AS230" s="724"/>
      <c r="AT230" s="724"/>
      <c r="AU230" s="724"/>
      <c r="AV230" s="724"/>
      <c r="AW230" s="724"/>
      <c r="AX230" s="724"/>
      <c r="AY230" s="724"/>
      <c r="AZ230" s="724"/>
      <c r="BA230" s="724"/>
      <c r="BB230" s="724"/>
      <c r="BC230" s="725">
        <f t="shared" si="14"/>
        <v>69800</v>
      </c>
      <c r="BD230" s="724">
        <f>+BC230-'BOULEVARD 5 orig.'!I235</f>
        <v>0</v>
      </c>
      <c r="BE230" s="724">
        <f t="shared" si="15"/>
        <v>69800</v>
      </c>
      <c r="BF230" s="726">
        <f>VLOOKUP(A230,'BOULEVARD 5 orig.'!B235:AS533,42,0)</f>
        <v>0</v>
      </c>
      <c r="BG230" s="727">
        <f t="shared" si="16"/>
        <v>29</v>
      </c>
      <c r="BH230" s="728">
        <f t="shared" si="13"/>
        <v>2406.8965517241381</v>
      </c>
    </row>
    <row r="231" spans="1:60" x14ac:dyDescent="0.2">
      <c r="A231" s="729">
        <v>1307</v>
      </c>
      <c r="B231" s="723" t="str">
        <f>'BOULEVARD 5'!H236</f>
        <v>4.Plan de pagos</v>
      </c>
      <c r="C231" s="724"/>
      <c r="D231" s="724"/>
      <c r="E231" s="724"/>
      <c r="F231" s="724"/>
      <c r="G231" s="724"/>
      <c r="H231" s="724"/>
      <c r="I231" s="724"/>
      <c r="J231" s="724">
        <v>6000</v>
      </c>
      <c r="K231" s="724">
        <v>2800</v>
      </c>
      <c r="L231" s="724">
        <v>40000</v>
      </c>
      <c r="M231" s="724"/>
      <c r="N231" s="724"/>
      <c r="O231" s="724"/>
      <c r="P231" s="724"/>
      <c r="Q231" s="724"/>
      <c r="R231" s="724"/>
      <c r="S231" s="724"/>
      <c r="T231" s="724"/>
      <c r="U231" s="724"/>
      <c r="V231" s="724"/>
      <c r="W231" s="724"/>
      <c r="X231" s="724">
        <v>19132</v>
      </c>
      <c r="Y231" s="724"/>
      <c r="Z231" s="724"/>
      <c r="AA231" s="724"/>
      <c r="AB231" s="724"/>
      <c r="AC231" s="724"/>
      <c r="AD231" s="724"/>
      <c r="AE231" s="724"/>
      <c r="AF231" s="724"/>
      <c r="AG231" s="724"/>
      <c r="AH231" s="724"/>
      <c r="AI231" s="724"/>
      <c r="AJ231" s="724"/>
      <c r="AK231" s="724"/>
      <c r="AL231" s="724"/>
      <c r="AM231" s="724"/>
      <c r="AN231" s="724"/>
      <c r="AO231" s="724"/>
      <c r="AP231" s="724"/>
      <c r="AQ231" s="724"/>
      <c r="AR231" s="724"/>
      <c r="AS231" s="724"/>
      <c r="AT231" s="724"/>
      <c r="AU231" s="724"/>
      <c r="AV231" s="724"/>
      <c r="AW231" s="724"/>
      <c r="AX231" s="724"/>
      <c r="AY231" s="724"/>
      <c r="AZ231" s="724"/>
      <c r="BA231" s="724"/>
      <c r="BB231" s="724"/>
      <c r="BC231" s="725">
        <f t="shared" si="14"/>
        <v>67932</v>
      </c>
      <c r="BD231" s="724">
        <f>+BC231-'BOULEVARD 5 orig.'!I236</f>
        <v>0</v>
      </c>
      <c r="BE231" s="724">
        <f t="shared" si="15"/>
        <v>67932</v>
      </c>
      <c r="BF231" s="726">
        <f>VLOOKUP(A231,'BOULEVARD 5 orig.'!B236:AS534,42,0)</f>
        <v>0</v>
      </c>
      <c r="BG231" s="727">
        <f t="shared" si="16"/>
        <v>4</v>
      </c>
      <c r="BH231" s="728">
        <f t="shared" si="13"/>
        <v>16983</v>
      </c>
    </row>
    <row r="232" spans="1:60" x14ac:dyDescent="0.2">
      <c r="A232" s="723">
        <v>1308</v>
      </c>
      <c r="B232" s="723" t="str">
        <f>'BOULEVARD 5'!H237</f>
        <v>4.Plan de pagos</v>
      </c>
      <c r="C232" s="724"/>
      <c r="D232" s="724"/>
      <c r="E232" s="724"/>
      <c r="F232" s="724"/>
      <c r="G232" s="724"/>
      <c r="H232" s="724"/>
      <c r="I232" s="724"/>
      <c r="J232" s="724">
        <v>8000</v>
      </c>
      <c r="K232" s="724">
        <v>4800</v>
      </c>
      <c r="L232" s="724">
        <v>4800</v>
      </c>
      <c r="M232" s="724">
        <v>4800</v>
      </c>
      <c r="N232" s="724">
        <v>4800</v>
      </c>
      <c r="O232" s="724">
        <v>4800</v>
      </c>
      <c r="P232" s="724">
        <v>4800</v>
      </c>
      <c r="Q232" s="724">
        <v>4800</v>
      </c>
      <c r="R232" s="724">
        <v>4800</v>
      </c>
      <c r="S232" s="724">
        <v>4800</v>
      </c>
      <c r="T232" s="724">
        <v>4800</v>
      </c>
      <c r="U232" s="724">
        <v>4800</v>
      </c>
      <c r="V232" s="724">
        <v>4800</v>
      </c>
      <c r="W232" s="724">
        <v>4800</v>
      </c>
      <c r="X232" s="724">
        <v>4800</v>
      </c>
      <c r="Y232" s="724">
        <v>4800</v>
      </c>
      <c r="Z232" s="724">
        <v>4800</v>
      </c>
      <c r="AA232" s="724">
        <v>4800</v>
      </c>
      <c r="AB232" s="724">
        <v>4800</v>
      </c>
      <c r="AC232" s="724">
        <v>4800</v>
      </c>
      <c r="AD232" s="724">
        <v>4800</v>
      </c>
      <c r="AE232" s="724">
        <v>4800</v>
      </c>
      <c r="AF232" s="724">
        <v>4800</v>
      </c>
      <c r="AG232" s="724">
        <v>4793</v>
      </c>
      <c r="AH232" s="724"/>
      <c r="AI232" s="724"/>
      <c r="AJ232" s="724"/>
      <c r="AK232" s="724"/>
      <c r="AL232" s="724"/>
      <c r="AM232" s="724"/>
      <c r="AN232" s="724"/>
      <c r="AO232" s="724"/>
      <c r="AP232" s="724"/>
      <c r="AQ232" s="724"/>
      <c r="AR232" s="724"/>
      <c r="AS232" s="724"/>
      <c r="AT232" s="724"/>
      <c r="AU232" s="724"/>
      <c r="AV232" s="724"/>
      <c r="AW232" s="724"/>
      <c r="AX232" s="724"/>
      <c r="AY232" s="724"/>
      <c r="AZ232" s="724"/>
      <c r="BA232" s="724"/>
      <c r="BB232" s="724"/>
      <c r="BC232" s="725">
        <f t="shared" si="14"/>
        <v>118393</v>
      </c>
      <c r="BD232" s="724">
        <f>+BC232-'BOULEVARD 5 orig.'!I237</f>
        <v>0</v>
      </c>
      <c r="BE232" s="724">
        <f t="shared" si="15"/>
        <v>118393</v>
      </c>
      <c r="BF232" s="726">
        <f>VLOOKUP(A232,'BOULEVARD 5 orig.'!B237:AS535,42,0)</f>
        <v>0</v>
      </c>
      <c r="BG232" s="727">
        <f t="shared" si="16"/>
        <v>24</v>
      </c>
      <c r="BH232" s="728">
        <f t="shared" si="13"/>
        <v>4933.041666666667</v>
      </c>
    </row>
    <row r="233" spans="1:60" x14ac:dyDescent="0.2">
      <c r="A233" s="723">
        <v>1309</v>
      </c>
      <c r="B233" s="723" t="str">
        <f>'BOULEVARD 5'!H238</f>
        <v>1.Disponible</v>
      </c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4"/>
      <c r="P233" s="724"/>
      <c r="Q233" s="724"/>
      <c r="R233" s="724"/>
      <c r="S233" s="724"/>
      <c r="T233" s="724"/>
      <c r="U233" s="724"/>
      <c r="V233" s="724"/>
      <c r="W233" s="724"/>
      <c r="X233" s="724"/>
      <c r="Y233" s="724"/>
      <c r="Z233" s="724"/>
      <c r="AA233" s="724"/>
      <c r="AB233" s="724"/>
      <c r="AC233" s="724"/>
      <c r="AD233" s="724"/>
      <c r="AE233" s="724"/>
      <c r="AF233" s="724"/>
      <c r="AG233" s="724"/>
      <c r="AH233" s="724"/>
      <c r="AI233" s="724"/>
      <c r="AJ233" s="724"/>
      <c r="AK233" s="724"/>
      <c r="AL233" s="724"/>
      <c r="AM233" s="724"/>
      <c r="AN233" s="724"/>
      <c r="AO233" s="724"/>
      <c r="AP233" s="724"/>
      <c r="AQ233" s="724"/>
      <c r="AR233" s="724"/>
      <c r="AS233" s="724"/>
      <c r="AT233" s="724"/>
      <c r="AU233" s="724"/>
      <c r="AV233" s="724"/>
      <c r="AW233" s="724"/>
      <c r="AX233" s="724"/>
      <c r="AY233" s="724"/>
      <c r="AZ233" s="724"/>
      <c r="BA233" s="724"/>
      <c r="BB233" s="724"/>
      <c r="BC233" s="725">
        <f t="shared" si="14"/>
        <v>0</v>
      </c>
      <c r="BD233" s="724">
        <f>+BC233-'BOULEVARD 5 orig.'!I238</f>
        <v>-142227.76356653598</v>
      </c>
      <c r="BE233" s="724">
        <f t="shared" si="15"/>
        <v>0</v>
      </c>
      <c r="BF233" s="726">
        <f>VLOOKUP(A233,'BOULEVARD 5 orig.'!B238:AS536,42,0)</f>
        <v>0</v>
      </c>
      <c r="BG233" s="727">
        <f t="shared" si="16"/>
        <v>0</v>
      </c>
      <c r="BH233" s="728">
        <f t="shared" si="13"/>
        <v>0</v>
      </c>
    </row>
    <row r="234" spans="1:60" x14ac:dyDescent="0.2">
      <c r="A234" s="723">
        <v>1310</v>
      </c>
      <c r="B234" s="723" t="str">
        <f>'BOULEVARD 5'!H239</f>
        <v>4.Plan de pagos</v>
      </c>
      <c r="C234" s="724">
        <v>6000</v>
      </c>
      <c r="D234" s="724">
        <v>3000</v>
      </c>
      <c r="E234" s="724">
        <v>3000</v>
      </c>
      <c r="F234" s="724">
        <v>3000</v>
      </c>
      <c r="G234" s="724">
        <v>3000</v>
      </c>
      <c r="H234" s="724">
        <v>3000</v>
      </c>
      <c r="I234" s="724">
        <v>3000</v>
      </c>
      <c r="J234" s="724">
        <v>3000</v>
      </c>
      <c r="K234" s="724">
        <v>3000</v>
      </c>
      <c r="L234" s="724">
        <v>3000</v>
      </c>
      <c r="M234" s="724">
        <v>3000</v>
      </c>
      <c r="N234" s="724">
        <v>3000</v>
      </c>
      <c r="O234" s="724">
        <v>3000</v>
      </c>
      <c r="P234" s="724">
        <v>3000</v>
      </c>
      <c r="Q234" s="724">
        <v>3000</v>
      </c>
      <c r="R234" s="724">
        <v>3000</v>
      </c>
      <c r="S234" s="724">
        <v>3000</v>
      </c>
      <c r="T234" s="724">
        <v>3000</v>
      </c>
      <c r="U234" s="724">
        <v>3000</v>
      </c>
      <c r="V234" s="724">
        <v>3000</v>
      </c>
      <c r="W234" s="724">
        <v>3000</v>
      </c>
      <c r="X234" s="724">
        <v>3000</v>
      </c>
      <c r="Y234" s="724">
        <v>3000</v>
      </c>
      <c r="Z234" s="724">
        <v>3000</v>
      </c>
      <c r="AA234" s="724">
        <v>3000</v>
      </c>
      <c r="AB234" s="724">
        <v>3000</v>
      </c>
      <c r="AC234" s="724">
        <v>3000</v>
      </c>
      <c r="AD234" s="724">
        <v>3000</v>
      </c>
      <c r="AE234" s="724">
        <v>3000</v>
      </c>
      <c r="AF234" s="724">
        <v>3000</v>
      </c>
      <c r="AG234" s="724">
        <v>3000</v>
      </c>
      <c r="AH234" s="724">
        <v>3000</v>
      </c>
      <c r="AI234" s="724">
        <v>3000</v>
      </c>
      <c r="AJ234" s="724">
        <v>3000</v>
      </c>
      <c r="AK234" s="724">
        <v>3000</v>
      </c>
      <c r="AL234" s="724">
        <v>3100</v>
      </c>
      <c r="AM234" s="724"/>
      <c r="AN234" s="724"/>
      <c r="AO234" s="724"/>
      <c r="AP234" s="724"/>
      <c r="AQ234" s="724"/>
      <c r="AR234" s="724"/>
      <c r="AS234" s="724"/>
      <c r="AT234" s="724"/>
      <c r="AU234" s="724"/>
      <c r="AV234" s="724"/>
      <c r="AW234" s="724"/>
      <c r="AX234" s="724"/>
      <c r="AY234" s="724"/>
      <c r="AZ234" s="724"/>
      <c r="BA234" s="724"/>
      <c r="BB234" s="724"/>
      <c r="BC234" s="725">
        <f t="shared" si="14"/>
        <v>111100</v>
      </c>
      <c r="BD234" s="724">
        <f>+BC234-'BOULEVARD 5 orig.'!I239</f>
        <v>0</v>
      </c>
      <c r="BE234" s="724">
        <f t="shared" si="15"/>
        <v>111100</v>
      </c>
      <c r="BF234" s="726">
        <f>VLOOKUP(A234,'BOULEVARD 5 orig.'!B239:AS537,42,0)</f>
        <v>0</v>
      </c>
      <c r="BG234" s="727">
        <f t="shared" si="16"/>
        <v>36</v>
      </c>
      <c r="BH234" s="728">
        <f t="shared" si="13"/>
        <v>3086.1111111111113</v>
      </c>
    </row>
    <row r="235" spans="1:60" x14ac:dyDescent="0.2">
      <c r="A235" s="723">
        <v>1311</v>
      </c>
      <c r="B235" s="723" t="str">
        <f>'BOULEVARD 5'!H240</f>
        <v>4.Plan de pagos</v>
      </c>
      <c r="C235" s="724"/>
      <c r="D235" s="724"/>
      <c r="E235" s="724"/>
      <c r="F235" s="724"/>
      <c r="G235" s="724"/>
      <c r="H235" s="724"/>
      <c r="I235" s="724"/>
      <c r="J235" s="724">
        <v>8000</v>
      </c>
      <c r="K235" s="724">
        <v>4096</v>
      </c>
      <c r="L235" s="724">
        <v>4096</v>
      </c>
      <c r="M235" s="724">
        <v>4096</v>
      </c>
      <c r="N235" s="724">
        <v>4096</v>
      </c>
      <c r="O235" s="724">
        <v>4096</v>
      </c>
      <c r="P235" s="724">
        <v>4096</v>
      </c>
      <c r="Q235" s="724">
        <v>4096</v>
      </c>
      <c r="R235" s="724">
        <v>4096</v>
      </c>
      <c r="S235" s="724">
        <v>4096</v>
      </c>
      <c r="T235" s="724">
        <v>4096</v>
      </c>
      <c r="U235" s="724">
        <v>4096</v>
      </c>
      <c r="V235" s="724">
        <v>4096</v>
      </c>
      <c r="W235" s="724">
        <v>4096</v>
      </c>
      <c r="X235" s="724">
        <v>4096</v>
      </c>
      <c r="Y235" s="724">
        <v>4096</v>
      </c>
      <c r="Z235" s="724">
        <v>4096</v>
      </c>
      <c r="AA235" s="724">
        <v>4096</v>
      </c>
      <c r="AB235" s="724">
        <v>4096</v>
      </c>
      <c r="AC235" s="724">
        <v>4096</v>
      </c>
      <c r="AD235" s="724">
        <v>4096</v>
      </c>
      <c r="AE235" s="724">
        <v>4096</v>
      </c>
      <c r="AF235" s="724">
        <v>4096</v>
      </c>
      <c r="AG235" s="724">
        <v>4089</v>
      </c>
      <c r="AH235" s="724"/>
      <c r="AI235" s="724"/>
      <c r="AJ235" s="724"/>
      <c r="AK235" s="724"/>
      <c r="AL235" s="724"/>
      <c r="AM235" s="724"/>
      <c r="AN235" s="724"/>
      <c r="AO235" s="724"/>
      <c r="AP235" s="724"/>
      <c r="AQ235" s="724"/>
      <c r="AR235" s="724"/>
      <c r="AS235" s="724"/>
      <c r="AT235" s="724"/>
      <c r="AU235" s="724"/>
      <c r="AV235" s="724"/>
      <c r="AW235" s="724"/>
      <c r="AX235" s="724"/>
      <c r="AY235" s="724"/>
      <c r="AZ235" s="724"/>
      <c r="BA235" s="724"/>
      <c r="BB235" s="724"/>
      <c r="BC235" s="725">
        <f t="shared" si="14"/>
        <v>102201</v>
      </c>
      <c r="BD235" s="724">
        <f>+BC235-'BOULEVARD 5 orig.'!I240</f>
        <v>0</v>
      </c>
      <c r="BE235" s="724">
        <f t="shared" si="15"/>
        <v>102201</v>
      </c>
      <c r="BF235" s="726">
        <f>VLOOKUP(A235,'BOULEVARD 5 orig.'!B240:AS538,42,0)</f>
        <v>0</v>
      </c>
      <c r="BG235" s="727">
        <f t="shared" si="16"/>
        <v>24</v>
      </c>
      <c r="BH235" s="728">
        <f t="shared" si="13"/>
        <v>4258.375</v>
      </c>
    </row>
    <row r="236" spans="1:60" x14ac:dyDescent="0.2">
      <c r="A236" s="723">
        <v>1312</v>
      </c>
      <c r="B236" s="723" t="str">
        <f>'BOULEVARD 5'!H241</f>
        <v>4.Plan de pagos</v>
      </c>
      <c r="C236" s="724"/>
      <c r="D236" s="724">
        <v>6000</v>
      </c>
      <c r="E236" s="724">
        <v>2000</v>
      </c>
      <c r="F236" s="724">
        <v>2000</v>
      </c>
      <c r="G236" s="724">
        <v>2000</v>
      </c>
      <c r="H236" s="724">
        <v>2000</v>
      </c>
      <c r="I236" s="724">
        <v>2000</v>
      </c>
      <c r="J236" s="724">
        <v>2000</v>
      </c>
      <c r="K236" s="724">
        <v>2000</v>
      </c>
      <c r="L236" s="724">
        <v>2000</v>
      </c>
      <c r="M236" s="724">
        <v>2000</v>
      </c>
      <c r="N236" s="724">
        <v>2000</v>
      </c>
      <c r="O236" s="724">
        <v>2000</v>
      </c>
      <c r="P236" s="724">
        <v>2000</v>
      </c>
      <c r="Q236" s="724">
        <v>2000</v>
      </c>
      <c r="R236" s="724">
        <v>2000</v>
      </c>
      <c r="S236" s="724">
        <v>2000</v>
      </c>
      <c r="T236" s="724">
        <v>2000</v>
      </c>
      <c r="U236" s="724">
        <v>2000</v>
      </c>
      <c r="V236" s="724">
        <v>2000</v>
      </c>
      <c r="W236" s="724">
        <v>2000</v>
      </c>
      <c r="X236" s="724">
        <v>2000</v>
      </c>
      <c r="Y236" s="724">
        <v>2000</v>
      </c>
      <c r="Z236" s="724">
        <v>2000</v>
      </c>
      <c r="AA236" s="724">
        <v>2000</v>
      </c>
      <c r="AB236" s="724">
        <v>2000</v>
      </c>
      <c r="AC236" s="724">
        <v>2000</v>
      </c>
      <c r="AD236" s="724">
        <v>2000</v>
      </c>
      <c r="AE236" s="724">
        <v>2000</v>
      </c>
      <c r="AF236" s="724">
        <v>2000</v>
      </c>
      <c r="AG236" s="724">
        <v>4700</v>
      </c>
      <c r="AH236" s="724"/>
      <c r="AI236" s="724"/>
      <c r="AJ236" s="724"/>
      <c r="AK236" s="724"/>
      <c r="AL236" s="724"/>
      <c r="AM236" s="724"/>
      <c r="AN236" s="724"/>
      <c r="AO236" s="724"/>
      <c r="AP236" s="724"/>
      <c r="AQ236" s="724"/>
      <c r="AR236" s="724"/>
      <c r="AS236" s="724"/>
      <c r="AT236" s="724"/>
      <c r="AU236" s="724"/>
      <c r="AV236" s="724"/>
      <c r="AW236" s="724"/>
      <c r="AX236" s="724"/>
      <c r="AY236" s="724"/>
      <c r="AZ236" s="724"/>
      <c r="BA236" s="724"/>
      <c r="BB236" s="724"/>
      <c r="BC236" s="725">
        <f t="shared" si="14"/>
        <v>66700</v>
      </c>
      <c r="BD236" s="724">
        <f>+BC236-'BOULEVARD 5 orig.'!I241</f>
        <v>0</v>
      </c>
      <c r="BE236" s="724">
        <f t="shared" si="15"/>
        <v>66700</v>
      </c>
      <c r="BF236" s="726">
        <f>VLOOKUP(A236,'BOULEVARD 5 orig.'!B241:AS539,42,0)</f>
        <v>0</v>
      </c>
      <c r="BG236" s="727">
        <f t="shared" si="16"/>
        <v>30</v>
      </c>
      <c r="BH236" s="728">
        <f t="shared" si="13"/>
        <v>2223.3333333333335</v>
      </c>
    </row>
    <row r="237" spans="1:60" x14ac:dyDescent="0.2">
      <c r="A237" s="723">
        <v>1313</v>
      </c>
      <c r="B237" s="723" t="str">
        <f>'BOULEVARD 5'!H242</f>
        <v>4.Plan de pagos</v>
      </c>
      <c r="C237" s="724"/>
      <c r="D237" s="724">
        <v>6000</v>
      </c>
      <c r="E237" s="724">
        <v>2000</v>
      </c>
      <c r="F237" s="724">
        <v>2000</v>
      </c>
      <c r="G237" s="724">
        <v>2000</v>
      </c>
      <c r="H237" s="724">
        <v>2000</v>
      </c>
      <c r="I237" s="724">
        <v>2000</v>
      </c>
      <c r="J237" s="724">
        <v>2000</v>
      </c>
      <c r="K237" s="724">
        <v>2000</v>
      </c>
      <c r="L237" s="724">
        <v>2000</v>
      </c>
      <c r="M237" s="724">
        <v>2000</v>
      </c>
      <c r="N237" s="724">
        <v>2000</v>
      </c>
      <c r="O237" s="724">
        <v>2000</v>
      </c>
      <c r="P237" s="724">
        <v>2000</v>
      </c>
      <c r="Q237" s="724">
        <v>2000</v>
      </c>
      <c r="R237" s="724">
        <v>2000</v>
      </c>
      <c r="S237" s="724">
        <v>2000</v>
      </c>
      <c r="T237" s="724">
        <v>2000</v>
      </c>
      <c r="U237" s="724">
        <v>2000</v>
      </c>
      <c r="V237" s="724">
        <v>2000</v>
      </c>
      <c r="W237" s="724">
        <v>2000</v>
      </c>
      <c r="X237" s="724">
        <v>2000</v>
      </c>
      <c r="Y237" s="724">
        <v>2000</v>
      </c>
      <c r="Z237" s="724">
        <v>2000</v>
      </c>
      <c r="AA237" s="724">
        <v>2000</v>
      </c>
      <c r="AB237" s="724">
        <v>2000</v>
      </c>
      <c r="AC237" s="724">
        <v>2000</v>
      </c>
      <c r="AD237" s="724">
        <v>2000</v>
      </c>
      <c r="AE237" s="724">
        <v>2000</v>
      </c>
      <c r="AF237" s="724">
        <v>2000</v>
      </c>
      <c r="AG237" s="724">
        <v>2639</v>
      </c>
      <c r="AH237" s="724"/>
      <c r="AI237" s="724"/>
      <c r="AJ237" s="724"/>
      <c r="AK237" s="724"/>
      <c r="AL237" s="724"/>
      <c r="AM237" s="724"/>
      <c r="AN237" s="724"/>
      <c r="AO237" s="724"/>
      <c r="AP237" s="724"/>
      <c r="AQ237" s="724"/>
      <c r="AR237" s="724"/>
      <c r="AS237" s="724"/>
      <c r="AT237" s="724"/>
      <c r="AU237" s="724"/>
      <c r="AV237" s="724"/>
      <c r="AW237" s="724"/>
      <c r="AX237" s="724"/>
      <c r="AY237" s="724"/>
      <c r="AZ237" s="724"/>
      <c r="BA237" s="724"/>
      <c r="BB237" s="724"/>
      <c r="BC237" s="725">
        <f t="shared" si="14"/>
        <v>64639</v>
      </c>
      <c r="BD237" s="724">
        <f>+BC237-'BOULEVARD 5 orig.'!I242</f>
        <v>0</v>
      </c>
      <c r="BE237" s="724">
        <f t="shared" si="15"/>
        <v>64639</v>
      </c>
      <c r="BF237" s="726">
        <f>VLOOKUP(A237,'BOULEVARD 5 orig.'!B242:AS540,42,0)</f>
        <v>0</v>
      </c>
      <c r="BG237" s="727">
        <f t="shared" si="16"/>
        <v>30</v>
      </c>
      <c r="BH237" s="728">
        <f t="shared" si="13"/>
        <v>2154.6333333333332</v>
      </c>
    </row>
    <row r="238" spans="1:60" x14ac:dyDescent="0.2">
      <c r="A238" s="723">
        <v>1314</v>
      </c>
      <c r="B238" s="723" t="str">
        <f>'BOULEVARD 5'!H243</f>
        <v>4.Plan de pagos</v>
      </c>
      <c r="C238" s="724">
        <v>6000</v>
      </c>
      <c r="D238" s="724">
        <v>1300</v>
      </c>
      <c r="E238" s="724">
        <v>1300</v>
      </c>
      <c r="F238" s="724">
        <v>1300</v>
      </c>
      <c r="G238" s="724">
        <v>1300</v>
      </c>
      <c r="H238" s="724">
        <v>1300</v>
      </c>
      <c r="I238" s="724">
        <v>1300</v>
      </c>
      <c r="J238" s="724">
        <v>1300</v>
      </c>
      <c r="K238" s="724">
        <v>1300</v>
      </c>
      <c r="L238" s="724">
        <v>1300</v>
      </c>
      <c r="M238" s="724">
        <v>1300</v>
      </c>
      <c r="N238" s="724">
        <v>1300</v>
      </c>
      <c r="O238" s="724">
        <v>1300</v>
      </c>
      <c r="P238" s="724">
        <v>1300</v>
      </c>
      <c r="Q238" s="724">
        <v>1300</v>
      </c>
      <c r="R238" s="724">
        <v>1300</v>
      </c>
      <c r="S238" s="724">
        <v>1300</v>
      </c>
      <c r="T238" s="724">
        <v>1300</v>
      </c>
      <c r="U238" s="724">
        <v>1300</v>
      </c>
      <c r="V238" s="724">
        <v>1300</v>
      </c>
      <c r="W238" s="724">
        <v>1300</v>
      </c>
      <c r="X238" s="724">
        <v>1300</v>
      </c>
      <c r="Y238" s="724">
        <v>1300</v>
      </c>
      <c r="Z238" s="724">
        <v>1300</v>
      </c>
      <c r="AA238" s="724">
        <v>1300</v>
      </c>
      <c r="AB238" s="724">
        <v>1300</v>
      </c>
      <c r="AC238" s="724">
        <v>1300</v>
      </c>
      <c r="AD238" s="724">
        <v>1300</v>
      </c>
      <c r="AE238" s="724">
        <v>1300</v>
      </c>
      <c r="AF238" s="724">
        <v>1300</v>
      </c>
      <c r="AG238" s="724">
        <v>1300</v>
      </c>
      <c r="AH238" s="724">
        <v>1300</v>
      </c>
      <c r="AI238" s="724">
        <v>1300</v>
      </c>
      <c r="AJ238" s="724">
        <v>1300</v>
      </c>
      <c r="AK238" s="724">
        <v>1300</v>
      </c>
      <c r="AL238" s="724">
        <v>21400</v>
      </c>
      <c r="AM238" s="724"/>
      <c r="AN238" s="724"/>
      <c r="AO238" s="724"/>
      <c r="AP238" s="724"/>
      <c r="AQ238" s="724"/>
      <c r="AR238" s="724"/>
      <c r="AS238" s="724"/>
      <c r="AT238" s="724"/>
      <c r="AU238" s="724"/>
      <c r="AV238" s="724"/>
      <c r="AW238" s="724"/>
      <c r="AX238" s="724"/>
      <c r="AY238" s="724"/>
      <c r="AZ238" s="724"/>
      <c r="BA238" s="724"/>
      <c r="BB238" s="724"/>
      <c r="BC238" s="725">
        <f t="shared" si="14"/>
        <v>71600</v>
      </c>
      <c r="BD238" s="724">
        <f>+BC238-'BOULEVARD 5 orig.'!I243</f>
        <v>0</v>
      </c>
      <c r="BE238" s="724">
        <f t="shared" si="15"/>
        <v>71600</v>
      </c>
      <c r="BF238" s="726">
        <f>VLOOKUP(A238,'BOULEVARD 5 orig.'!B243:AS541,42,0)</f>
        <v>0</v>
      </c>
      <c r="BG238" s="727">
        <f t="shared" si="16"/>
        <v>36</v>
      </c>
      <c r="BH238" s="728">
        <f t="shared" si="13"/>
        <v>1988.8888888888889</v>
      </c>
    </row>
    <row r="239" spans="1:60" x14ac:dyDescent="0.2">
      <c r="A239" s="723">
        <v>1315</v>
      </c>
      <c r="B239" s="723" t="str">
        <f>'BOULEVARD 5'!H244</f>
        <v>4.Plan de pagos</v>
      </c>
      <c r="C239" s="724"/>
      <c r="D239" s="724"/>
      <c r="E239" s="724"/>
      <c r="F239" s="724"/>
      <c r="G239" s="724"/>
      <c r="H239" s="724"/>
      <c r="I239" s="724"/>
      <c r="J239" s="724"/>
      <c r="K239" s="724"/>
      <c r="L239" s="724"/>
      <c r="M239" s="724"/>
      <c r="N239" s="724"/>
      <c r="O239" s="724"/>
      <c r="P239" s="724"/>
      <c r="Q239" s="724"/>
      <c r="R239" s="724"/>
      <c r="S239" s="724"/>
      <c r="T239" s="724"/>
      <c r="U239" s="724"/>
      <c r="V239" s="724"/>
      <c r="W239" s="724"/>
      <c r="X239" s="724"/>
      <c r="Y239" s="724"/>
      <c r="Z239" s="724"/>
      <c r="AA239" s="724"/>
      <c r="AB239" s="724"/>
      <c r="AC239" s="724"/>
      <c r="AD239" s="724"/>
      <c r="AE239" s="724">
        <v>536136.99</v>
      </c>
      <c r="AF239" s="724">
        <v>32100</v>
      </c>
      <c r="AG239" s="724">
        <v>32100</v>
      </c>
      <c r="AH239" s="724">
        <v>32100</v>
      </c>
      <c r="AI239" s="724">
        <v>32100</v>
      </c>
      <c r="AJ239" s="724">
        <v>32100</v>
      </c>
      <c r="AK239" s="724">
        <v>32100</v>
      </c>
      <c r="AL239" s="724">
        <v>32100</v>
      </c>
      <c r="AM239" s="724">
        <v>32100</v>
      </c>
      <c r="AN239" s="724">
        <v>32100</v>
      </c>
      <c r="AO239" s="724">
        <v>32100</v>
      </c>
      <c r="AP239" s="724">
        <v>215137</v>
      </c>
      <c r="AQ239" s="726"/>
      <c r="AR239" s="724"/>
      <c r="AS239" s="724"/>
      <c r="AT239" s="724"/>
      <c r="AU239" s="724"/>
      <c r="AV239" s="724"/>
      <c r="AW239" s="724"/>
      <c r="AX239" s="724"/>
      <c r="AY239" s="724"/>
      <c r="AZ239" s="724"/>
      <c r="BA239" s="724"/>
      <c r="BB239" s="724"/>
      <c r="BC239" s="725">
        <f t="shared" si="14"/>
        <v>1072273.99</v>
      </c>
      <c r="BD239" s="724">
        <f>+BC239-'BOULEVARD 5 orig.'!I244</f>
        <v>965052.12017236603</v>
      </c>
      <c r="BE239" s="724">
        <f t="shared" si="15"/>
        <v>1072273.99</v>
      </c>
      <c r="BF239" s="726">
        <f>VLOOKUP(A239,'BOULEVARD 5 orig.'!B244:AS542,42,0)</f>
        <v>0</v>
      </c>
      <c r="BG239" s="727">
        <f t="shared" si="16"/>
        <v>12</v>
      </c>
      <c r="BH239" s="728">
        <f t="shared" si="13"/>
        <v>89356.165833333333</v>
      </c>
    </row>
    <row r="240" spans="1:60" x14ac:dyDescent="0.2">
      <c r="A240" s="723">
        <v>1316</v>
      </c>
      <c r="B240" s="723" t="str">
        <f>'BOULEVARD 5'!H245</f>
        <v>4.Plan de pagos</v>
      </c>
      <c r="C240" s="724"/>
      <c r="D240" s="724"/>
      <c r="E240" s="724"/>
      <c r="F240" s="724"/>
      <c r="G240" s="724"/>
      <c r="H240" s="724"/>
      <c r="I240" s="724"/>
      <c r="J240" s="724"/>
      <c r="K240" s="724">
        <v>8000</v>
      </c>
      <c r="L240" s="724">
        <v>3636</v>
      </c>
      <c r="M240" s="724">
        <v>3636</v>
      </c>
      <c r="N240" s="724">
        <v>3636</v>
      </c>
      <c r="O240" s="724">
        <v>3636</v>
      </c>
      <c r="P240" s="724">
        <v>3636</v>
      </c>
      <c r="Q240" s="724">
        <v>3636</v>
      </c>
      <c r="R240" s="724">
        <v>3636</v>
      </c>
      <c r="S240" s="724">
        <v>3636</v>
      </c>
      <c r="T240" s="724">
        <v>3636</v>
      </c>
      <c r="U240" s="724">
        <v>3636</v>
      </c>
      <c r="V240" s="724">
        <v>3636</v>
      </c>
      <c r="W240" s="724">
        <v>3636</v>
      </c>
      <c r="X240" s="724">
        <v>3636</v>
      </c>
      <c r="Y240" s="724">
        <v>3636</v>
      </c>
      <c r="Z240" s="724">
        <v>3636</v>
      </c>
      <c r="AA240" s="724">
        <v>3636</v>
      </c>
      <c r="AB240" s="724">
        <v>3636</v>
      </c>
      <c r="AC240" s="724">
        <v>3636</v>
      </c>
      <c r="AD240" s="724">
        <v>3636</v>
      </c>
      <c r="AE240" s="724">
        <v>3636</v>
      </c>
      <c r="AF240" s="724">
        <v>3636</v>
      </c>
      <c r="AG240" s="724">
        <v>3625.06</v>
      </c>
      <c r="AH240" s="724"/>
      <c r="AI240" s="724"/>
      <c r="AJ240" s="724"/>
      <c r="AK240" s="724"/>
      <c r="AL240" s="724"/>
      <c r="AM240" s="724"/>
      <c r="AN240" s="724"/>
      <c r="AO240" s="724"/>
      <c r="AP240" s="724"/>
      <c r="AQ240" s="724"/>
      <c r="AR240" s="724"/>
      <c r="AS240" s="724"/>
      <c r="AT240" s="724"/>
      <c r="AU240" s="724"/>
      <c r="AV240" s="724"/>
      <c r="AW240" s="724"/>
      <c r="AX240" s="724"/>
      <c r="AY240" s="724"/>
      <c r="AZ240" s="724"/>
      <c r="BA240" s="724"/>
      <c r="BB240" s="724"/>
      <c r="BC240" s="725">
        <f t="shared" si="14"/>
        <v>87981.06</v>
      </c>
      <c r="BD240" s="724">
        <f>+BC240-'BOULEVARD 5 orig.'!I245</f>
        <v>0</v>
      </c>
      <c r="BE240" s="724">
        <f t="shared" si="15"/>
        <v>87981.06</v>
      </c>
      <c r="BF240" s="726">
        <f>VLOOKUP(A240,'BOULEVARD 5 orig.'!B245:AS543,42,0)</f>
        <v>0</v>
      </c>
      <c r="BG240" s="727">
        <f t="shared" si="16"/>
        <v>23</v>
      </c>
      <c r="BH240" s="728">
        <f t="shared" si="13"/>
        <v>3825.2634782608693</v>
      </c>
    </row>
    <row r="241" spans="1:60" x14ac:dyDescent="0.2">
      <c r="A241" s="723">
        <v>1317</v>
      </c>
      <c r="B241" s="723" t="str">
        <f>'BOULEVARD 5'!H246</f>
        <v>4.Plan de pagos</v>
      </c>
      <c r="C241" s="724"/>
      <c r="D241" s="724"/>
      <c r="E241" s="724"/>
      <c r="F241" s="724"/>
      <c r="G241" s="724"/>
      <c r="H241" s="724"/>
      <c r="I241" s="724"/>
      <c r="J241" s="724"/>
      <c r="K241" s="724"/>
      <c r="L241" s="724"/>
      <c r="M241" s="724"/>
      <c r="N241" s="724"/>
      <c r="O241" s="724"/>
      <c r="P241" s="724"/>
      <c r="Q241" s="724"/>
      <c r="R241" s="724"/>
      <c r="S241" s="724"/>
      <c r="T241" s="724">
        <v>10000</v>
      </c>
      <c r="U241" s="724">
        <v>7605</v>
      </c>
      <c r="V241" s="724">
        <v>7605</v>
      </c>
      <c r="W241" s="724">
        <v>7605</v>
      </c>
      <c r="X241" s="724">
        <v>7605</v>
      </c>
      <c r="Y241" s="724">
        <v>7605</v>
      </c>
      <c r="Z241" s="724">
        <v>7605</v>
      </c>
      <c r="AA241" s="724">
        <v>7605</v>
      </c>
      <c r="AB241" s="724">
        <v>7605</v>
      </c>
      <c r="AC241" s="724">
        <v>7605</v>
      </c>
      <c r="AD241" s="724">
        <v>7605</v>
      </c>
      <c r="AE241" s="724">
        <v>7605</v>
      </c>
      <c r="AF241" s="724">
        <v>7605</v>
      </c>
      <c r="AG241" s="724">
        <v>7605</v>
      </c>
      <c r="AH241" s="724">
        <v>7605</v>
      </c>
      <c r="AI241" s="724">
        <v>7605</v>
      </c>
      <c r="AJ241" s="724">
        <v>7610</v>
      </c>
      <c r="AK241" s="724"/>
      <c r="AL241" s="724"/>
      <c r="AM241" s="724"/>
      <c r="AN241" s="724"/>
      <c r="AO241" s="724"/>
      <c r="AP241" s="724"/>
      <c r="AQ241" s="724"/>
      <c r="AR241" s="724"/>
      <c r="AS241" s="724"/>
      <c r="AT241" s="724"/>
      <c r="AU241" s="724"/>
      <c r="AV241" s="724"/>
      <c r="AW241" s="724"/>
      <c r="AX241" s="724"/>
      <c r="AY241" s="724"/>
      <c r="AZ241" s="724"/>
      <c r="BA241" s="724"/>
      <c r="BB241" s="724"/>
      <c r="BC241" s="725">
        <f t="shared" si="14"/>
        <v>131685</v>
      </c>
      <c r="BD241" s="724">
        <f>+BC241-'BOULEVARD 5 orig.'!I246</f>
        <v>0</v>
      </c>
      <c r="BE241" s="724">
        <f t="shared" si="15"/>
        <v>131685</v>
      </c>
      <c r="BF241" s="726">
        <f>VLOOKUP(A241,'BOULEVARD 5 orig.'!B246:AS544,42,0)</f>
        <v>0</v>
      </c>
      <c r="BG241" s="727">
        <f t="shared" si="16"/>
        <v>17</v>
      </c>
      <c r="BH241" s="728">
        <f t="shared" si="13"/>
        <v>7746.1764705882351</v>
      </c>
    </row>
    <row r="242" spans="1:60" x14ac:dyDescent="0.2">
      <c r="A242" s="723">
        <v>1318</v>
      </c>
      <c r="B242" s="723" t="str">
        <f>'BOULEVARD 5'!H247</f>
        <v>2,Reserva</v>
      </c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724"/>
      <c r="AB242" s="724"/>
      <c r="AC242" s="724"/>
      <c r="AD242" s="724"/>
      <c r="AE242" s="724"/>
      <c r="AF242" s="724"/>
      <c r="AG242" s="724"/>
      <c r="AH242" s="724"/>
      <c r="AI242" s="724"/>
      <c r="AJ242" s="724"/>
      <c r="AK242" s="724"/>
      <c r="AL242" s="724"/>
      <c r="AM242" s="724"/>
      <c r="AN242" s="724"/>
      <c r="AO242" s="724"/>
      <c r="AP242" s="724"/>
      <c r="AQ242" s="724"/>
      <c r="AR242" s="724"/>
      <c r="AS242" s="724"/>
      <c r="AT242" s="724"/>
      <c r="AU242" s="724"/>
      <c r="AV242" s="724"/>
      <c r="AW242" s="724"/>
      <c r="AX242" s="724"/>
      <c r="AY242" s="724"/>
      <c r="AZ242" s="724"/>
      <c r="BA242" s="724"/>
      <c r="BB242" s="724"/>
      <c r="BC242" s="725">
        <f t="shared" si="14"/>
        <v>0</v>
      </c>
      <c r="BD242" s="724">
        <f>+BC242-'BOULEVARD 5 orig.'!I247</f>
        <v>-135125.53</v>
      </c>
      <c r="BE242" s="724">
        <f t="shared" si="15"/>
        <v>0</v>
      </c>
      <c r="BF242" s="726">
        <f>VLOOKUP(A242,'BOULEVARD 5 orig.'!B247:AS545,42,0)</f>
        <v>0</v>
      </c>
      <c r="BG242" s="727">
        <f t="shared" si="16"/>
        <v>0</v>
      </c>
      <c r="BH242" s="728">
        <f t="shared" si="13"/>
        <v>0</v>
      </c>
    </row>
    <row r="243" spans="1:60" x14ac:dyDescent="0.2">
      <c r="A243" s="723">
        <v>1401</v>
      </c>
      <c r="B243" s="723" t="str">
        <f>'BOULEVARD 5'!H248</f>
        <v>4.Plan de pagos</v>
      </c>
      <c r="C243" s="724"/>
      <c r="D243" s="724"/>
      <c r="E243" s="724"/>
      <c r="F243" s="724"/>
      <c r="G243" s="724"/>
      <c r="H243" s="724">
        <v>6000</v>
      </c>
      <c r="I243" s="724">
        <v>5000</v>
      </c>
      <c r="J243" s="724">
        <v>5000</v>
      </c>
      <c r="K243" s="724">
        <v>5000</v>
      </c>
      <c r="L243" s="724">
        <v>5000</v>
      </c>
      <c r="M243" s="724">
        <v>5000</v>
      </c>
      <c r="N243" s="724">
        <v>5000</v>
      </c>
      <c r="O243" s="724">
        <v>5000</v>
      </c>
      <c r="P243" s="724">
        <v>5000</v>
      </c>
      <c r="Q243" s="724">
        <v>5000</v>
      </c>
      <c r="R243" s="724">
        <v>5000</v>
      </c>
      <c r="S243" s="724">
        <v>5000</v>
      </c>
      <c r="T243" s="724">
        <v>5000</v>
      </c>
      <c r="U243" s="724">
        <v>5000</v>
      </c>
      <c r="V243" s="724">
        <v>5000</v>
      </c>
      <c r="W243" s="724">
        <v>5000</v>
      </c>
      <c r="X243" s="724">
        <v>5000</v>
      </c>
      <c r="Y243" s="724">
        <v>5000</v>
      </c>
      <c r="Z243" s="724">
        <v>5000</v>
      </c>
      <c r="AA243" s="724">
        <v>5000</v>
      </c>
      <c r="AB243" s="724">
        <v>5000</v>
      </c>
      <c r="AC243" s="724">
        <v>5000</v>
      </c>
      <c r="AD243" s="724">
        <v>6300</v>
      </c>
      <c r="AE243" s="724"/>
      <c r="AF243" s="724"/>
      <c r="AG243" s="724"/>
      <c r="AH243" s="724"/>
      <c r="AI243" s="724"/>
      <c r="AJ243" s="724"/>
      <c r="AK243" s="724"/>
      <c r="AL243" s="724"/>
      <c r="AM243" s="724"/>
      <c r="AN243" s="724"/>
      <c r="AO243" s="724"/>
      <c r="AP243" s="724"/>
      <c r="AQ243" s="724"/>
      <c r="AR243" s="724"/>
      <c r="AS243" s="724"/>
      <c r="AT243" s="724"/>
      <c r="AU243" s="724"/>
      <c r="AV243" s="724"/>
      <c r="AW243" s="724"/>
      <c r="AX243" s="724"/>
      <c r="AY243" s="724"/>
      <c r="AZ243" s="724"/>
      <c r="BA243" s="724"/>
      <c r="BB243" s="724"/>
      <c r="BC243" s="725">
        <f t="shared" si="14"/>
        <v>117300</v>
      </c>
      <c r="BD243" s="724">
        <f>+BC243-'BOULEVARD 5 orig.'!I248</f>
        <v>0</v>
      </c>
      <c r="BE243" s="724">
        <f t="shared" si="15"/>
        <v>117300</v>
      </c>
      <c r="BF243" s="726">
        <f>VLOOKUP(A243,'BOULEVARD 5 orig.'!B248:AS546,42,0)</f>
        <v>0</v>
      </c>
      <c r="BG243" s="727">
        <f t="shared" si="16"/>
        <v>23</v>
      </c>
      <c r="BH243" s="728">
        <f t="shared" si="13"/>
        <v>5100</v>
      </c>
    </row>
    <row r="244" spans="1:60" x14ac:dyDescent="0.2">
      <c r="A244" s="723">
        <v>1402</v>
      </c>
      <c r="B244" s="723" t="str">
        <f>'BOULEVARD 5'!H249</f>
        <v>4.Plan de pagos</v>
      </c>
      <c r="C244" s="724"/>
      <c r="D244" s="724"/>
      <c r="E244" s="724"/>
      <c r="F244" s="724"/>
      <c r="G244" s="724"/>
      <c r="H244" s="724"/>
      <c r="I244" s="724"/>
      <c r="J244" s="724"/>
      <c r="K244" s="724"/>
      <c r="L244" s="724"/>
      <c r="M244" s="724"/>
      <c r="N244" s="724"/>
      <c r="O244" s="724"/>
      <c r="P244" s="724"/>
      <c r="Q244" s="724"/>
      <c r="R244" s="724"/>
      <c r="S244" s="724"/>
      <c r="T244" s="724"/>
      <c r="U244" s="724"/>
      <c r="V244" s="724">
        <v>10000</v>
      </c>
      <c r="W244" s="724">
        <v>8230</v>
      </c>
      <c r="X244" s="724">
        <v>8230</v>
      </c>
      <c r="Y244" s="724">
        <v>8230</v>
      </c>
      <c r="Z244" s="724">
        <v>8230</v>
      </c>
      <c r="AA244" s="724">
        <v>8230</v>
      </c>
      <c r="AB244" s="724">
        <v>8230</v>
      </c>
      <c r="AC244" s="724">
        <v>8230</v>
      </c>
      <c r="AD244" s="724">
        <v>8230</v>
      </c>
      <c r="AE244" s="724">
        <v>8230</v>
      </c>
      <c r="AF244" s="724">
        <v>8230</v>
      </c>
      <c r="AG244" s="724">
        <v>8230</v>
      </c>
      <c r="AH244" s="724">
        <v>8230</v>
      </c>
      <c r="AI244" s="724">
        <v>8230</v>
      </c>
      <c r="AJ244" s="724">
        <v>8230</v>
      </c>
      <c r="AK244" s="724"/>
      <c r="AL244" s="724"/>
      <c r="AM244" s="724"/>
      <c r="AN244" s="724"/>
      <c r="AO244" s="724"/>
      <c r="AP244" s="724"/>
      <c r="AQ244" s="724"/>
      <c r="AR244" s="724"/>
      <c r="AS244" s="724"/>
      <c r="AT244" s="724"/>
      <c r="AU244" s="724"/>
      <c r="AV244" s="724"/>
      <c r="AW244" s="724"/>
      <c r="AX244" s="724"/>
      <c r="AY244" s="724"/>
      <c r="AZ244" s="724"/>
      <c r="BA244" s="724"/>
      <c r="BB244" s="724"/>
      <c r="BC244" s="725">
        <f t="shared" si="14"/>
        <v>125220</v>
      </c>
      <c r="BD244" s="724">
        <f>+BC244-'BOULEVARD 5 orig.'!I249</f>
        <v>18</v>
      </c>
      <c r="BE244" s="724">
        <f t="shared" si="15"/>
        <v>125220</v>
      </c>
      <c r="BF244" s="726">
        <f>VLOOKUP(A244,'BOULEVARD 5 orig.'!B249:AS547,42,0)</f>
        <v>0</v>
      </c>
      <c r="BG244" s="727">
        <f t="shared" si="16"/>
        <v>15</v>
      </c>
      <c r="BH244" s="728">
        <f t="shared" si="13"/>
        <v>8348</v>
      </c>
    </row>
    <row r="245" spans="1:60" x14ac:dyDescent="0.2">
      <c r="A245" s="729">
        <v>1403</v>
      </c>
      <c r="B245" s="723" t="str">
        <f>'BOULEVARD 5'!H250</f>
        <v>4.Plan de pagos</v>
      </c>
      <c r="C245" s="724">
        <v>6000</v>
      </c>
      <c r="D245" s="724">
        <v>2266</v>
      </c>
      <c r="E245" s="724">
        <v>2266</v>
      </c>
      <c r="F245" s="724">
        <v>2266</v>
      </c>
      <c r="G245" s="724">
        <v>2266</v>
      </c>
      <c r="H245" s="724">
        <v>2266</v>
      </c>
      <c r="I245" s="724">
        <v>2266</v>
      </c>
      <c r="J245" s="724">
        <v>2266</v>
      </c>
      <c r="K245" s="724">
        <v>2266</v>
      </c>
      <c r="L245" s="724">
        <v>2266</v>
      </c>
      <c r="M245" s="724">
        <v>2266</v>
      </c>
      <c r="N245" s="724">
        <v>2266</v>
      </c>
      <c r="O245" s="724">
        <v>2266</v>
      </c>
      <c r="P245" s="724">
        <v>2266</v>
      </c>
      <c r="Q245" s="724">
        <v>2266</v>
      </c>
      <c r="R245" s="724">
        <v>2266</v>
      </c>
      <c r="S245" s="724">
        <v>2266</v>
      </c>
      <c r="T245" s="724">
        <v>2266</v>
      </c>
      <c r="U245" s="724">
        <v>2266</v>
      </c>
      <c r="V245" s="724">
        <v>2266</v>
      </c>
      <c r="W245" s="724">
        <v>2266</v>
      </c>
      <c r="X245" s="724">
        <v>2266</v>
      </c>
      <c r="Y245" s="724">
        <v>2266</v>
      </c>
      <c r="Z245" s="724">
        <v>2266</v>
      </c>
      <c r="AA245" s="724">
        <v>2266</v>
      </c>
      <c r="AB245" s="724">
        <v>2266</v>
      </c>
      <c r="AC245" s="724">
        <v>2266</v>
      </c>
      <c r="AD245" s="724">
        <v>2266</v>
      </c>
      <c r="AE245" s="724">
        <v>2266</v>
      </c>
      <c r="AF245" s="724">
        <v>2266</v>
      </c>
      <c r="AG245" s="724">
        <v>2266</v>
      </c>
      <c r="AH245" s="724">
        <v>2266</v>
      </c>
      <c r="AI245" s="724">
        <v>2266</v>
      </c>
      <c r="AJ245" s="724">
        <v>2266</v>
      </c>
      <c r="AK245" s="724">
        <v>2266</v>
      </c>
      <c r="AL245" s="724">
        <v>2283.54</v>
      </c>
      <c r="AM245" s="724"/>
      <c r="AN245" s="724"/>
      <c r="AO245" s="724"/>
      <c r="AP245" s="724"/>
      <c r="AQ245" s="724"/>
      <c r="AR245" s="724"/>
      <c r="AS245" s="724"/>
      <c r="AT245" s="724"/>
      <c r="AU245" s="724"/>
      <c r="AV245" s="724"/>
      <c r="AW245" s="724"/>
      <c r="AX245" s="724"/>
      <c r="AY245" s="724"/>
      <c r="AZ245" s="724"/>
      <c r="BA245" s="724"/>
      <c r="BB245" s="724"/>
      <c r="BC245" s="725">
        <f t="shared" si="14"/>
        <v>85327.54</v>
      </c>
      <c r="BD245" s="724">
        <f>+BC245-'BOULEVARD 5 orig.'!I250</f>
        <v>0</v>
      </c>
      <c r="BE245" s="724">
        <f t="shared" si="15"/>
        <v>85327.54</v>
      </c>
      <c r="BF245" s="726">
        <f>VLOOKUP(A245,'BOULEVARD 5 orig.'!B250:AS548,42,0)</f>
        <v>0</v>
      </c>
      <c r="BG245" s="727">
        <f t="shared" si="16"/>
        <v>36</v>
      </c>
      <c r="BH245" s="728">
        <f t="shared" si="13"/>
        <v>2370.2094444444442</v>
      </c>
    </row>
    <row r="246" spans="1:60" x14ac:dyDescent="0.2">
      <c r="A246" s="723">
        <v>1404</v>
      </c>
      <c r="B246" s="723" t="str">
        <f>'BOULEVARD 5'!H251</f>
        <v>4.Plan de pagos</v>
      </c>
      <c r="C246" s="724">
        <v>6000</v>
      </c>
      <c r="D246" s="724">
        <v>4600</v>
      </c>
      <c r="E246" s="724">
        <v>4600</v>
      </c>
      <c r="F246" s="724">
        <v>4600</v>
      </c>
      <c r="G246" s="724">
        <v>4600</v>
      </c>
      <c r="H246" s="724">
        <v>4600</v>
      </c>
      <c r="I246" s="724">
        <v>4600</v>
      </c>
      <c r="J246" s="724">
        <v>4600</v>
      </c>
      <c r="K246" s="724">
        <v>4600</v>
      </c>
      <c r="L246" s="724">
        <v>4600</v>
      </c>
      <c r="M246" s="724">
        <v>4600</v>
      </c>
      <c r="N246" s="724">
        <v>4600</v>
      </c>
      <c r="O246" s="724">
        <v>4600</v>
      </c>
      <c r="P246" s="724">
        <v>4600</v>
      </c>
      <c r="Q246" s="724">
        <v>4600</v>
      </c>
      <c r="R246" s="724">
        <v>4600</v>
      </c>
      <c r="S246" s="724">
        <v>4600</v>
      </c>
      <c r="T246" s="724">
        <v>4600</v>
      </c>
      <c r="U246" s="724">
        <v>4600</v>
      </c>
      <c r="V246" s="724">
        <v>4600</v>
      </c>
      <c r="W246" s="724">
        <v>4600</v>
      </c>
      <c r="X246" s="724">
        <v>4600</v>
      </c>
      <c r="Y246" s="724">
        <v>4600</v>
      </c>
      <c r="Z246" s="724">
        <v>4600</v>
      </c>
      <c r="AA246" s="724">
        <v>4600</v>
      </c>
      <c r="AB246" s="724">
        <v>4600</v>
      </c>
      <c r="AC246" s="724">
        <v>4600</v>
      </c>
      <c r="AD246" s="724">
        <v>4600</v>
      </c>
      <c r="AE246" s="724">
        <v>4600</v>
      </c>
      <c r="AF246" s="724">
        <v>4600</v>
      </c>
      <c r="AG246" s="724">
        <v>4600</v>
      </c>
      <c r="AH246" s="724">
        <v>4600</v>
      </c>
      <c r="AI246" s="724">
        <v>4600</v>
      </c>
      <c r="AJ246" s="724">
        <v>4600</v>
      </c>
      <c r="AK246" s="724">
        <v>6071</v>
      </c>
      <c r="AL246" s="724">
        <v>6100</v>
      </c>
      <c r="AM246" s="724"/>
      <c r="AN246" s="724"/>
      <c r="AO246" s="724"/>
      <c r="AP246" s="724"/>
      <c r="AQ246" s="724"/>
      <c r="AR246" s="724"/>
      <c r="AS246" s="724"/>
      <c r="AT246" s="724"/>
      <c r="AU246" s="724"/>
      <c r="AV246" s="724"/>
      <c r="AW246" s="724"/>
      <c r="AX246" s="724"/>
      <c r="AY246" s="724"/>
      <c r="AZ246" s="724"/>
      <c r="BA246" s="724"/>
      <c r="BB246" s="724"/>
      <c r="BC246" s="725">
        <f t="shared" si="14"/>
        <v>169971</v>
      </c>
      <c r="BD246" s="724">
        <f>+BC246-'BOULEVARD 5 orig.'!I251</f>
        <v>0</v>
      </c>
      <c r="BE246" s="724">
        <f t="shared" si="15"/>
        <v>169971</v>
      </c>
      <c r="BF246" s="726">
        <f>VLOOKUP(A246,'BOULEVARD 5 orig.'!B251:AS549,42,0)</f>
        <v>0</v>
      </c>
      <c r="BG246" s="727">
        <f t="shared" si="16"/>
        <v>36</v>
      </c>
      <c r="BH246" s="728">
        <f t="shared" si="13"/>
        <v>4721.416666666667</v>
      </c>
    </row>
    <row r="247" spans="1:60" x14ac:dyDescent="0.2">
      <c r="A247" s="723">
        <v>1405</v>
      </c>
      <c r="B247" s="723" t="str">
        <f>'BOULEVARD 5'!H252</f>
        <v>4.Plan de pagos</v>
      </c>
      <c r="C247" s="724"/>
      <c r="D247" s="724">
        <v>6000</v>
      </c>
      <c r="E247" s="724">
        <v>4279</v>
      </c>
      <c r="F247" s="724">
        <v>4279</v>
      </c>
      <c r="G247" s="724">
        <v>4279</v>
      </c>
      <c r="H247" s="724">
        <v>4279</v>
      </c>
      <c r="I247" s="724">
        <v>4279</v>
      </c>
      <c r="J247" s="724">
        <v>4279</v>
      </c>
      <c r="K247" s="724">
        <v>4279</v>
      </c>
      <c r="L247" s="724">
        <v>4279</v>
      </c>
      <c r="M247" s="724">
        <v>4279</v>
      </c>
      <c r="N247" s="724">
        <v>4279</v>
      </c>
      <c r="O247" s="724">
        <v>4279</v>
      </c>
      <c r="P247" s="724">
        <v>4279</v>
      </c>
      <c r="Q247" s="724">
        <v>4279</v>
      </c>
      <c r="R247" s="724">
        <v>4279</v>
      </c>
      <c r="S247" s="724">
        <v>4279</v>
      </c>
      <c r="T247" s="724">
        <v>4279</v>
      </c>
      <c r="U247" s="724">
        <v>4279</v>
      </c>
      <c r="V247" s="724">
        <v>4279</v>
      </c>
      <c r="W247" s="724">
        <v>4279</v>
      </c>
      <c r="X247" s="724">
        <v>4279</v>
      </c>
      <c r="Y247" s="724">
        <v>4279</v>
      </c>
      <c r="Z247" s="724">
        <v>4279</v>
      </c>
      <c r="AA247" s="724">
        <v>4279</v>
      </c>
      <c r="AB247" s="724">
        <v>4279</v>
      </c>
      <c r="AC247" s="724">
        <v>4279</v>
      </c>
      <c r="AD247" s="724">
        <v>4279</v>
      </c>
      <c r="AE247" s="724">
        <v>4279</v>
      </c>
      <c r="AF247" s="724">
        <v>4279</v>
      </c>
      <c r="AG247" s="724">
        <v>4288</v>
      </c>
      <c r="AH247" s="724"/>
      <c r="AI247" s="724"/>
      <c r="AJ247" s="724"/>
      <c r="AK247" s="724"/>
      <c r="AL247" s="724"/>
      <c r="AM247" s="724"/>
      <c r="AN247" s="724"/>
      <c r="AO247" s="724"/>
      <c r="AP247" s="724"/>
      <c r="AQ247" s="724"/>
      <c r="AR247" s="724"/>
      <c r="AS247" s="724"/>
      <c r="AT247" s="724"/>
      <c r="AU247" s="724"/>
      <c r="AV247" s="724"/>
      <c r="AW247" s="724"/>
      <c r="AX247" s="724"/>
      <c r="AY247" s="724"/>
      <c r="AZ247" s="724"/>
      <c r="BA247" s="724"/>
      <c r="BB247" s="724"/>
      <c r="BC247" s="725">
        <f t="shared" si="14"/>
        <v>130100</v>
      </c>
      <c r="BD247" s="724">
        <f>+BC247-'BOULEVARD 5 orig.'!I252</f>
        <v>0</v>
      </c>
      <c r="BE247" s="724">
        <f t="shared" si="15"/>
        <v>130100</v>
      </c>
      <c r="BF247" s="726">
        <f>VLOOKUP(A247,'BOULEVARD 5 orig.'!B252:AS550,42,0)</f>
        <v>0</v>
      </c>
      <c r="BG247" s="727">
        <f t="shared" si="16"/>
        <v>30</v>
      </c>
      <c r="BH247" s="728">
        <f t="shared" si="13"/>
        <v>4336.666666666667</v>
      </c>
    </row>
    <row r="248" spans="1:60" x14ac:dyDescent="0.2">
      <c r="A248" s="723">
        <v>1406</v>
      </c>
      <c r="B248" s="723" t="str">
        <f>'BOULEVARD 5'!H253</f>
        <v>4.Plan de pagos</v>
      </c>
      <c r="C248" s="724">
        <v>6000</v>
      </c>
      <c r="D248" s="724">
        <v>1690</v>
      </c>
      <c r="E248" s="724">
        <v>1690</v>
      </c>
      <c r="F248" s="724">
        <v>1690</v>
      </c>
      <c r="G248" s="724">
        <v>1690</v>
      </c>
      <c r="H248" s="724">
        <v>1690</v>
      </c>
      <c r="I248" s="724">
        <v>1690</v>
      </c>
      <c r="J248" s="724">
        <v>1690</v>
      </c>
      <c r="K248" s="724">
        <v>1690</v>
      </c>
      <c r="L248" s="724">
        <v>1690</v>
      </c>
      <c r="M248" s="724">
        <v>1690</v>
      </c>
      <c r="N248" s="724">
        <v>1690</v>
      </c>
      <c r="O248" s="724">
        <v>1690</v>
      </c>
      <c r="P248" s="724">
        <v>1690</v>
      </c>
      <c r="Q248" s="724">
        <v>1690</v>
      </c>
      <c r="R248" s="724">
        <v>1690</v>
      </c>
      <c r="S248" s="724">
        <v>1690</v>
      </c>
      <c r="T248" s="724">
        <v>1690</v>
      </c>
      <c r="U248" s="724">
        <v>1690</v>
      </c>
      <c r="V248" s="724">
        <v>1690</v>
      </c>
      <c r="W248" s="724">
        <v>1690</v>
      </c>
      <c r="X248" s="724">
        <v>1690</v>
      </c>
      <c r="Y248" s="724">
        <v>1690</v>
      </c>
      <c r="Z248" s="724">
        <v>1690</v>
      </c>
      <c r="AA248" s="724">
        <v>1690</v>
      </c>
      <c r="AB248" s="724">
        <v>1690</v>
      </c>
      <c r="AC248" s="724">
        <v>1690</v>
      </c>
      <c r="AD248" s="724">
        <v>1690</v>
      </c>
      <c r="AE248" s="724">
        <v>1690</v>
      </c>
      <c r="AF248" s="724">
        <v>1690</v>
      </c>
      <c r="AG248" s="724">
        <v>1690</v>
      </c>
      <c r="AH248" s="724">
        <v>1690</v>
      </c>
      <c r="AI248" s="724">
        <v>1690</v>
      </c>
      <c r="AJ248" s="724">
        <v>1690</v>
      </c>
      <c r="AK248" s="724">
        <v>1690</v>
      </c>
      <c r="AL248" s="724">
        <v>1740</v>
      </c>
      <c r="AM248" s="724"/>
      <c r="AN248" s="724"/>
      <c r="AO248" s="724"/>
      <c r="AP248" s="724"/>
      <c r="AQ248" s="724"/>
      <c r="AR248" s="724"/>
      <c r="AS248" s="724"/>
      <c r="AT248" s="724"/>
      <c r="AU248" s="724"/>
      <c r="AV248" s="724"/>
      <c r="AW248" s="724"/>
      <c r="AX248" s="724"/>
      <c r="AY248" s="724"/>
      <c r="AZ248" s="724"/>
      <c r="BA248" s="724"/>
      <c r="BB248" s="724"/>
      <c r="BC248" s="725">
        <f t="shared" si="14"/>
        <v>65200</v>
      </c>
      <c r="BD248" s="724">
        <f>+BC248-'BOULEVARD 5 orig.'!I253</f>
        <v>0</v>
      </c>
      <c r="BE248" s="724">
        <f t="shared" si="15"/>
        <v>65200</v>
      </c>
      <c r="BF248" s="726">
        <f>VLOOKUP(A248,'BOULEVARD 5 orig.'!B253:AS551,42,0)</f>
        <v>0</v>
      </c>
      <c r="BG248" s="727">
        <f t="shared" si="16"/>
        <v>36</v>
      </c>
      <c r="BH248" s="728">
        <f t="shared" si="13"/>
        <v>1811.1111111111111</v>
      </c>
    </row>
    <row r="249" spans="1:60" x14ac:dyDescent="0.2">
      <c r="A249" s="729">
        <v>1407</v>
      </c>
      <c r="B249" s="723" t="str">
        <f>'BOULEVARD 5'!H254</f>
        <v>4.Plan de pagos</v>
      </c>
      <c r="C249" s="724"/>
      <c r="D249" s="724"/>
      <c r="E249" s="724"/>
      <c r="F249" s="724"/>
      <c r="G249" s="724"/>
      <c r="H249" s="724">
        <v>6000</v>
      </c>
      <c r="I249" s="724">
        <v>4056</v>
      </c>
      <c r="J249" s="724">
        <v>4056</v>
      </c>
      <c r="K249" s="724">
        <v>4056</v>
      </c>
      <c r="L249" s="724">
        <v>4056</v>
      </c>
      <c r="M249" s="724">
        <v>4056</v>
      </c>
      <c r="N249" s="724">
        <v>4056</v>
      </c>
      <c r="O249" s="724">
        <v>4056</v>
      </c>
      <c r="P249" s="724">
        <v>4056</v>
      </c>
      <c r="Q249" s="724">
        <v>4056</v>
      </c>
      <c r="R249" s="724">
        <v>4056</v>
      </c>
      <c r="S249" s="724">
        <v>4056</v>
      </c>
      <c r="T249" s="724">
        <v>4056</v>
      </c>
      <c r="U249" s="724">
        <v>4056</v>
      </c>
      <c r="V249" s="724">
        <v>4056</v>
      </c>
      <c r="W249" s="724">
        <v>4056</v>
      </c>
      <c r="X249" s="724">
        <v>4056</v>
      </c>
      <c r="Y249" s="724">
        <v>4056</v>
      </c>
      <c r="Z249" s="724">
        <v>4056</v>
      </c>
      <c r="AA249" s="724">
        <v>4056</v>
      </c>
      <c r="AB249" s="724">
        <v>4056</v>
      </c>
      <c r="AC249" s="724">
        <v>4056</v>
      </c>
      <c r="AD249" s="724">
        <v>4056</v>
      </c>
      <c r="AE249" s="724">
        <v>4056</v>
      </c>
      <c r="AF249" s="724">
        <v>4056</v>
      </c>
      <c r="AG249" s="724">
        <v>4066</v>
      </c>
      <c r="AH249" s="724"/>
      <c r="AI249" s="724"/>
      <c r="AJ249" s="724"/>
      <c r="AK249" s="724"/>
      <c r="AL249" s="724"/>
      <c r="AM249" s="724"/>
      <c r="AN249" s="724"/>
      <c r="AO249" s="724"/>
      <c r="AP249" s="724"/>
      <c r="AQ249" s="724"/>
      <c r="AR249" s="724"/>
      <c r="AS249" s="724"/>
      <c r="AT249" s="724"/>
      <c r="AU249" s="724"/>
      <c r="AV249" s="724"/>
      <c r="AW249" s="724"/>
      <c r="AX249" s="724"/>
      <c r="AY249" s="724"/>
      <c r="AZ249" s="724"/>
      <c r="BA249" s="724"/>
      <c r="BB249" s="724"/>
      <c r="BC249" s="725">
        <f t="shared" si="14"/>
        <v>107410</v>
      </c>
      <c r="BD249" s="724">
        <f>+BC249-'BOULEVARD 5 orig.'!I254</f>
        <v>0</v>
      </c>
      <c r="BE249" s="724">
        <f t="shared" si="15"/>
        <v>107410</v>
      </c>
      <c r="BF249" s="726">
        <f>VLOOKUP(A249,'BOULEVARD 5 orig.'!B254:AS552,42,0)</f>
        <v>0</v>
      </c>
      <c r="BG249" s="727">
        <f t="shared" si="16"/>
        <v>26</v>
      </c>
      <c r="BH249" s="728">
        <f t="shared" si="13"/>
        <v>4131.1538461538457</v>
      </c>
    </row>
    <row r="250" spans="1:60" x14ac:dyDescent="0.2">
      <c r="A250" s="723">
        <v>1408</v>
      </c>
      <c r="B250" s="723" t="str">
        <f>'BOULEVARD 5'!H255</f>
        <v>2.Reserva</v>
      </c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724"/>
      <c r="AB250" s="724"/>
      <c r="AC250" s="724"/>
      <c r="AD250" s="724"/>
      <c r="AE250" s="724"/>
      <c r="AF250" s="724"/>
      <c r="AG250" s="724"/>
      <c r="AH250" s="724"/>
      <c r="AI250" s="724"/>
      <c r="AJ250" s="724"/>
      <c r="AK250" s="724"/>
      <c r="AL250" s="724"/>
      <c r="AM250" s="724"/>
      <c r="AN250" s="724"/>
      <c r="AO250" s="724"/>
      <c r="AP250" s="724"/>
      <c r="AQ250" s="724"/>
      <c r="AR250" s="724"/>
      <c r="AS250" s="724"/>
      <c r="AT250" s="724"/>
      <c r="AU250" s="724"/>
      <c r="AV250" s="724"/>
      <c r="AW250" s="724"/>
      <c r="AX250" s="724"/>
      <c r="AY250" s="724"/>
      <c r="AZ250" s="724"/>
      <c r="BA250" s="724"/>
      <c r="BB250" s="724"/>
      <c r="BC250" s="725">
        <f t="shared" si="14"/>
        <v>0</v>
      </c>
      <c r="BD250" s="724">
        <f>+BC250-'BOULEVARD 5 orig.'!I255</f>
        <v>-133158.94869894901</v>
      </c>
      <c r="BE250" s="724">
        <f t="shared" si="15"/>
        <v>0</v>
      </c>
      <c r="BF250" s="726">
        <f>VLOOKUP(A250,'BOULEVARD 5 orig.'!B255:AS553,42,0)</f>
        <v>0</v>
      </c>
      <c r="BG250" s="727">
        <f t="shared" si="16"/>
        <v>0</v>
      </c>
      <c r="BH250" s="728">
        <f t="shared" si="13"/>
        <v>0</v>
      </c>
    </row>
    <row r="251" spans="1:60" x14ac:dyDescent="0.2">
      <c r="A251" s="729">
        <v>1409</v>
      </c>
      <c r="B251" s="723" t="str">
        <f>'BOULEVARD 5'!H256</f>
        <v>4.Plan de pagos</v>
      </c>
      <c r="C251" s="730"/>
      <c r="D251" s="730"/>
      <c r="E251" s="730"/>
      <c r="F251" s="730"/>
      <c r="G251" s="730"/>
      <c r="H251" s="730">
        <v>6000</v>
      </c>
      <c r="I251" s="730">
        <v>3194</v>
      </c>
      <c r="J251" s="730">
        <v>3194</v>
      </c>
      <c r="K251" s="730">
        <v>3194</v>
      </c>
      <c r="L251" s="730">
        <v>3194</v>
      </c>
      <c r="M251" s="730">
        <v>3194</v>
      </c>
      <c r="N251" s="730">
        <v>3194</v>
      </c>
      <c r="O251" s="730">
        <v>3194</v>
      </c>
      <c r="P251" s="730">
        <v>3194</v>
      </c>
      <c r="Q251" s="730">
        <v>3194</v>
      </c>
      <c r="R251" s="730">
        <v>3194</v>
      </c>
      <c r="S251" s="730">
        <v>3194</v>
      </c>
      <c r="T251" s="730">
        <v>3194</v>
      </c>
      <c r="U251" s="730">
        <v>3194</v>
      </c>
      <c r="V251" s="730">
        <v>3194</v>
      </c>
      <c r="W251" s="730">
        <v>3194</v>
      </c>
      <c r="X251" s="730">
        <v>3194</v>
      </c>
      <c r="Y251" s="730">
        <v>3194</v>
      </c>
      <c r="Z251" s="730">
        <v>3194</v>
      </c>
      <c r="AA251" s="730">
        <v>3194</v>
      </c>
      <c r="AB251" s="730">
        <v>3194</v>
      </c>
      <c r="AC251" s="730">
        <v>3194</v>
      </c>
      <c r="AD251" s="730">
        <v>3194</v>
      </c>
      <c r="AE251" s="730">
        <v>3194</v>
      </c>
      <c r="AF251" s="730">
        <v>3194</v>
      </c>
      <c r="AG251" s="730">
        <v>3184</v>
      </c>
      <c r="AH251" s="730"/>
      <c r="AI251" s="730"/>
      <c r="AJ251" s="730"/>
      <c r="AK251" s="730"/>
      <c r="AL251" s="730"/>
      <c r="AM251" s="730"/>
      <c r="AN251" s="730"/>
      <c r="AO251" s="730"/>
      <c r="AP251" s="730"/>
      <c r="AQ251" s="730"/>
      <c r="AR251" s="730"/>
      <c r="AS251" s="730"/>
      <c r="AT251" s="730"/>
      <c r="AU251" s="730"/>
      <c r="AV251" s="730"/>
      <c r="AW251" s="730"/>
      <c r="AX251" s="730"/>
      <c r="AY251" s="730"/>
      <c r="AZ251" s="730"/>
      <c r="BA251" s="730"/>
      <c r="BB251" s="730"/>
      <c r="BC251" s="731">
        <f t="shared" si="14"/>
        <v>85840</v>
      </c>
      <c r="BD251" s="730">
        <f>+BC251-'BOULEVARD 5 orig.'!I256</f>
        <v>0</v>
      </c>
      <c r="BE251" s="730">
        <f t="shared" si="15"/>
        <v>85840</v>
      </c>
      <c r="BF251" s="732">
        <f>VLOOKUP(A251,'BOULEVARD 5 orig.'!B256:AS554,42,0)</f>
        <v>0</v>
      </c>
      <c r="BG251" s="733">
        <f t="shared" si="16"/>
        <v>26</v>
      </c>
      <c r="BH251" s="734">
        <f t="shared" si="13"/>
        <v>3301.5384615384614</v>
      </c>
    </row>
    <row r="252" spans="1:60" x14ac:dyDescent="0.2">
      <c r="A252" s="723">
        <v>1410</v>
      </c>
      <c r="B252" s="723" t="str">
        <f>'BOULEVARD 5'!H257</f>
        <v>4.Plan de pagos</v>
      </c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>
        <v>8000</v>
      </c>
      <c r="O252" s="724">
        <v>4253</v>
      </c>
      <c r="P252" s="724">
        <v>4253</v>
      </c>
      <c r="Q252" s="724">
        <v>4253</v>
      </c>
      <c r="R252" s="724">
        <v>4253</v>
      </c>
      <c r="S252" s="724">
        <v>4253</v>
      </c>
      <c r="T252" s="724">
        <v>4253</v>
      </c>
      <c r="U252" s="724">
        <v>4253</v>
      </c>
      <c r="V252" s="724">
        <v>4253</v>
      </c>
      <c r="W252" s="724">
        <v>4253</v>
      </c>
      <c r="X252" s="724">
        <v>4253</v>
      </c>
      <c r="Y252" s="724">
        <v>4253</v>
      </c>
      <c r="Z252" s="724">
        <v>4253</v>
      </c>
      <c r="AA252" s="724">
        <v>4253</v>
      </c>
      <c r="AB252" s="724">
        <v>4253</v>
      </c>
      <c r="AC252" s="724">
        <v>4253</v>
      </c>
      <c r="AD252" s="724">
        <v>4253</v>
      </c>
      <c r="AE252" s="724">
        <v>4253</v>
      </c>
      <c r="AF252" s="724">
        <v>4253</v>
      </c>
      <c r="AG252" s="724">
        <v>4246</v>
      </c>
      <c r="AH252" s="724"/>
      <c r="AI252" s="724"/>
      <c r="AJ252" s="724"/>
      <c r="AK252" s="724"/>
      <c r="AL252" s="724"/>
      <c r="AM252" s="724"/>
      <c r="AN252" s="724"/>
      <c r="AO252" s="724"/>
      <c r="AP252" s="724"/>
      <c r="AQ252" s="724"/>
      <c r="AR252" s="724"/>
      <c r="AS252" s="724"/>
      <c r="AT252" s="724"/>
      <c r="AU252" s="724"/>
      <c r="AV252" s="724"/>
      <c r="AW252" s="724"/>
      <c r="AX252" s="724"/>
      <c r="AY252" s="724"/>
      <c r="AZ252" s="724"/>
      <c r="BA252" s="724"/>
      <c r="BB252" s="724"/>
      <c r="BC252" s="725">
        <f t="shared" si="14"/>
        <v>88800</v>
      </c>
      <c r="BD252" s="724">
        <f>+BC252-'BOULEVARD 5 orig.'!I257</f>
        <v>0</v>
      </c>
      <c r="BE252" s="724">
        <f t="shared" si="15"/>
        <v>88800</v>
      </c>
      <c r="BF252" s="726">
        <f>VLOOKUP(A252,'BOULEVARD 5 orig.'!B257:AS555,42,0)</f>
        <v>0</v>
      </c>
      <c r="BG252" s="727">
        <f t="shared" si="16"/>
        <v>20</v>
      </c>
      <c r="BH252" s="728">
        <f t="shared" si="13"/>
        <v>4440</v>
      </c>
    </row>
    <row r="253" spans="1:60" x14ac:dyDescent="0.2">
      <c r="A253" s="723">
        <v>1411</v>
      </c>
      <c r="B253" s="723" t="str">
        <f>'BOULEVARD 5'!H258</f>
        <v>4.Plan de pagos</v>
      </c>
      <c r="C253" s="724"/>
      <c r="D253" s="724"/>
      <c r="E253" s="724"/>
      <c r="F253" s="724">
        <v>6000</v>
      </c>
      <c r="G253" s="724">
        <v>4900</v>
      </c>
      <c r="H253" s="724">
        <v>4900</v>
      </c>
      <c r="I253" s="724">
        <v>4900</v>
      </c>
      <c r="J253" s="724">
        <v>4900</v>
      </c>
      <c r="K253" s="724">
        <v>4900</v>
      </c>
      <c r="L253" s="724">
        <v>4900</v>
      </c>
      <c r="M253" s="724">
        <v>4900</v>
      </c>
      <c r="N253" s="724">
        <v>4900</v>
      </c>
      <c r="O253" s="724">
        <v>4900</v>
      </c>
      <c r="P253" s="724">
        <v>4900</v>
      </c>
      <c r="Q253" s="724">
        <v>4900</v>
      </c>
      <c r="R253" s="724">
        <v>4900</v>
      </c>
      <c r="S253" s="724">
        <v>4900</v>
      </c>
      <c r="T253" s="724">
        <v>4900</v>
      </c>
      <c r="U253" s="724">
        <v>4900</v>
      </c>
      <c r="V253" s="724">
        <v>4900</v>
      </c>
      <c r="W253" s="724">
        <v>4900</v>
      </c>
      <c r="X253" s="724">
        <v>4900</v>
      </c>
      <c r="Y253" s="724">
        <v>4900</v>
      </c>
      <c r="Z253" s="724">
        <v>4900</v>
      </c>
      <c r="AA253" s="724">
        <v>4900</v>
      </c>
      <c r="AB253" s="724">
        <v>4900</v>
      </c>
      <c r="AC253" s="724">
        <v>4900</v>
      </c>
      <c r="AD253" s="724">
        <v>4900</v>
      </c>
      <c r="AE253" s="724">
        <v>4900</v>
      </c>
      <c r="AF253" s="724">
        <v>4900</v>
      </c>
      <c r="AG253" s="724">
        <v>4900</v>
      </c>
      <c r="AH253" s="724"/>
      <c r="AI253" s="724"/>
      <c r="AJ253" s="724"/>
      <c r="AK253" s="724"/>
      <c r="AL253" s="724"/>
      <c r="AM253" s="724"/>
      <c r="AN253" s="724"/>
      <c r="AO253" s="724"/>
      <c r="AP253" s="724"/>
      <c r="AQ253" s="724"/>
      <c r="AR253" s="724"/>
      <c r="AS253" s="724"/>
      <c r="AT253" s="724"/>
      <c r="AU253" s="724"/>
      <c r="AV253" s="724"/>
      <c r="AW253" s="724"/>
      <c r="AX253" s="724"/>
      <c r="AY253" s="724"/>
      <c r="AZ253" s="724"/>
      <c r="BA253" s="724"/>
      <c r="BB253" s="724"/>
      <c r="BC253" s="725">
        <f t="shared" si="14"/>
        <v>138300</v>
      </c>
      <c r="BD253" s="724">
        <f>+BC253-'BOULEVARD 5 orig.'!I258</f>
        <v>0</v>
      </c>
      <c r="BE253" s="724">
        <f t="shared" si="15"/>
        <v>138300</v>
      </c>
      <c r="BF253" s="726">
        <f>VLOOKUP(A253,'BOULEVARD 5 orig.'!B258:AS556,42,0)</f>
        <v>0</v>
      </c>
      <c r="BG253" s="727">
        <f t="shared" si="16"/>
        <v>28</v>
      </c>
      <c r="BH253" s="728">
        <f t="shared" si="13"/>
        <v>4939.2857142857147</v>
      </c>
    </row>
    <row r="254" spans="1:60" x14ac:dyDescent="0.2">
      <c r="A254" s="723">
        <v>1412</v>
      </c>
      <c r="B254" s="723" t="str">
        <f>'BOULEVARD 5'!H259</f>
        <v>4.Plan de pagos</v>
      </c>
      <c r="C254" s="724"/>
      <c r="D254" s="724">
        <v>6000</v>
      </c>
      <c r="E254" s="724">
        <v>1750</v>
      </c>
      <c r="F254" s="724">
        <v>1750</v>
      </c>
      <c r="G254" s="724">
        <v>1750</v>
      </c>
      <c r="H254" s="724">
        <v>1750</v>
      </c>
      <c r="I254" s="724">
        <v>1750</v>
      </c>
      <c r="J254" s="724">
        <v>1750</v>
      </c>
      <c r="K254" s="724">
        <v>1750</v>
      </c>
      <c r="L254" s="724">
        <v>1750</v>
      </c>
      <c r="M254" s="724">
        <v>1750</v>
      </c>
      <c r="N254" s="724">
        <v>1750</v>
      </c>
      <c r="O254" s="724">
        <v>1750</v>
      </c>
      <c r="P254" s="724">
        <v>1750</v>
      </c>
      <c r="Q254" s="724">
        <v>1750</v>
      </c>
      <c r="R254" s="724">
        <v>1750</v>
      </c>
      <c r="S254" s="724">
        <v>1750</v>
      </c>
      <c r="T254" s="724">
        <v>1750</v>
      </c>
      <c r="U254" s="724">
        <v>1750</v>
      </c>
      <c r="V254" s="724">
        <v>1750</v>
      </c>
      <c r="W254" s="724">
        <v>1750</v>
      </c>
      <c r="X254" s="724">
        <v>1750</v>
      </c>
      <c r="Y254" s="724">
        <v>1750</v>
      </c>
      <c r="Z254" s="724">
        <v>1750</v>
      </c>
      <c r="AA254" s="724">
        <v>1750</v>
      </c>
      <c r="AB254" s="724">
        <v>1750</v>
      </c>
      <c r="AC254" s="724">
        <v>1750</v>
      </c>
      <c r="AD254" s="724">
        <v>1750</v>
      </c>
      <c r="AE254" s="724">
        <v>1750</v>
      </c>
      <c r="AF254" s="724">
        <v>1750</v>
      </c>
      <c r="AG254" s="724">
        <v>1750</v>
      </c>
      <c r="AH254" s="724">
        <v>1750</v>
      </c>
      <c r="AI254" s="724">
        <v>1750</v>
      </c>
      <c r="AJ254" s="724">
        <v>1750</v>
      </c>
      <c r="AK254" s="724">
        <v>1750</v>
      </c>
      <c r="AL254" s="724">
        <v>2450</v>
      </c>
      <c r="AM254" s="724"/>
      <c r="AN254" s="724"/>
      <c r="AO254" s="724"/>
      <c r="AP254" s="724"/>
      <c r="AQ254" s="724"/>
      <c r="AR254" s="724"/>
      <c r="AS254" s="724"/>
      <c r="AT254" s="724"/>
      <c r="AU254" s="724"/>
      <c r="AV254" s="724"/>
      <c r="AW254" s="724"/>
      <c r="AX254" s="724"/>
      <c r="AY254" s="724"/>
      <c r="AZ254" s="724"/>
      <c r="BA254" s="724"/>
      <c r="BB254" s="724"/>
      <c r="BC254" s="725">
        <f t="shared" si="14"/>
        <v>66200</v>
      </c>
      <c r="BD254" s="724">
        <f>+BC254-'BOULEVARD 5 orig.'!I259</f>
        <v>0</v>
      </c>
      <c r="BE254" s="724">
        <f t="shared" si="15"/>
        <v>66200</v>
      </c>
      <c r="BF254" s="726">
        <f>VLOOKUP(A254,'BOULEVARD 5 orig.'!B259:AS557,42,0)</f>
        <v>0</v>
      </c>
      <c r="BG254" s="727">
        <f t="shared" si="16"/>
        <v>35</v>
      </c>
      <c r="BH254" s="728">
        <f t="shared" si="13"/>
        <v>1891.4285714285713</v>
      </c>
    </row>
    <row r="255" spans="1:60" x14ac:dyDescent="0.2">
      <c r="A255" s="736">
        <v>1501</v>
      </c>
      <c r="B255" s="736" t="str">
        <f>'BOULEVARD 5'!H260</f>
        <v>2. Reserva</v>
      </c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4"/>
      <c r="P255" s="724"/>
      <c r="Q255" s="724"/>
      <c r="R255" s="724"/>
      <c r="S255" s="724"/>
      <c r="T255" s="724"/>
      <c r="U255" s="724"/>
      <c r="V255" s="724"/>
      <c r="W255" s="724"/>
      <c r="X255" s="724"/>
      <c r="Y255" s="724"/>
      <c r="Z255" s="724"/>
      <c r="AA255" s="724"/>
      <c r="AB255" s="724"/>
      <c r="AC255" s="724"/>
      <c r="AD255" s="724"/>
      <c r="AE255" s="724"/>
      <c r="AF255" s="724"/>
      <c r="AG255" s="724"/>
      <c r="AH255" s="724"/>
      <c r="AI255" s="724">
        <v>10000</v>
      </c>
      <c r="AJ255" s="724">
        <v>21200</v>
      </c>
      <c r="AK255" s="724">
        <v>21200</v>
      </c>
      <c r="AL255" s="724">
        <v>21200</v>
      </c>
      <c r="AM255" s="724">
        <v>21200</v>
      </c>
      <c r="AN255" s="724">
        <v>21200</v>
      </c>
      <c r="AO255" s="724">
        <v>21200</v>
      </c>
      <c r="AP255" s="724">
        <v>20890</v>
      </c>
      <c r="AQ255" s="724"/>
      <c r="AR255" s="724"/>
      <c r="AS255" s="724"/>
      <c r="AT255" s="724"/>
      <c r="AU255" s="724"/>
      <c r="AV255" s="724"/>
      <c r="AW255" s="724"/>
      <c r="AX255" s="724"/>
      <c r="AY255" s="724"/>
      <c r="AZ255" s="724"/>
      <c r="BA255" s="724"/>
      <c r="BB255" s="724"/>
      <c r="BC255" s="725">
        <f t="shared" si="14"/>
        <v>158090</v>
      </c>
      <c r="BD255" s="724">
        <f>+BC255-'BOULEVARD 5 orig.'!I260</f>
        <v>34890</v>
      </c>
      <c r="BE255" s="724">
        <f t="shared" si="15"/>
        <v>158090</v>
      </c>
      <c r="BF255" s="726">
        <f>VLOOKUP(A255,'BOULEVARD 5 orig.'!B260:AS558,42,0)</f>
        <v>0</v>
      </c>
      <c r="BG255" s="727">
        <f t="shared" si="16"/>
        <v>8</v>
      </c>
      <c r="BH255" s="728">
        <f t="shared" si="13"/>
        <v>19761.25</v>
      </c>
    </row>
    <row r="256" spans="1:60" x14ac:dyDescent="0.2">
      <c r="A256" s="723">
        <v>1502</v>
      </c>
      <c r="B256" s="723" t="str">
        <f>'BOULEVARD 5'!H261</f>
        <v>4.Plan de pagos</v>
      </c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>
        <v>10000</v>
      </c>
      <c r="W256" s="724">
        <v>8690</v>
      </c>
      <c r="X256" s="724">
        <v>8690</v>
      </c>
      <c r="Y256" s="724">
        <v>8690</v>
      </c>
      <c r="Z256" s="724">
        <v>8690</v>
      </c>
      <c r="AA256" s="724">
        <v>8690</v>
      </c>
      <c r="AB256" s="724">
        <v>8690</v>
      </c>
      <c r="AC256" s="724">
        <v>8690</v>
      </c>
      <c r="AD256" s="724">
        <v>8690</v>
      </c>
      <c r="AE256" s="724">
        <v>8690</v>
      </c>
      <c r="AF256" s="724">
        <v>8690</v>
      </c>
      <c r="AG256" s="724">
        <v>8690</v>
      </c>
      <c r="AH256" s="724">
        <v>8690</v>
      </c>
      <c r="AI256" s="724">
        <v>8690</v>
      </c>
      <c r="AJ256" s="724">
        <v>8690</v>
      </c>
      <c r="AK256" s="724"/>
      <c r="AL256" s="724"/>
      <c r="AM256" s="724"/>
      <c r="AN256" s="724"/>
      <c r="AO256" s="724"/>
      <c r="AP256" s="724"/>
      <c r="AQ256" s="724"/>
      <c r="AR256" s="724"/>
      <c r="AS256" s="724"/>
      <c r="AT256" s="724"/>
      <c r="AU256" s="724"/>
      <c r="AV256" s="724"/>
      <c r="AW256" s="724"/>
      <c r="AX256" s="724"/>
      <c r="AY256" s="724"/>
      <c r="AZ256" s="724"/>
      <c r="BA256" s="724"/>
      <c r="BB256" s="724"/>
      <c r="BC256" s="725">
        <f t="shared" si="14"/>
        <v>131660</v>
      </c>
      <c r="BD256" s="724">
        <f>+BC256-'BOULEVARD 5 orig.'!I261</f>
        <v>0</v>
      </c>
      <c r="BE256" s="724">
        <f t="shared" si="15"/>
        <v>131660</v>
      </c>
      <c r="BF256" s="726">
        <f>VLOOKUP(A256,'BOULEVARD 5 orig.'!B261:AS559,42,0)</f>
        <v>0</v>
      </c>
      <c r="BG256" s="727">
        <f t="shared" si="16"/>
        <v>15</v>
      </c>
      <c r="BH256" s="728">
        <f t="shared" si="13"/>
        <v>8777.3333333333339</v>
      </c>
    </row>
    <row r="257" spans="1:60" x14ac:dyDescent="0.2">
      <c r="A257" s="729">
        <v>1503</v>
      </c>
      <c r="B257" s="723" t="str">
        <f>'BOULEVARD 5'!H262</f>
        <v>4.Plan de pagos</v>
      </c>
      <c r="C257" s="724">
        <v>6000</v>
      </c>
      <c r="D257" s="724">
        <v>1000</v>
      </c>
      <c r="E257" s="724">
        <v>1000</v>
      </c>
      <c r="F257" s="724">
        <v>1000</v>
      </c>
      <c r="G257" s="724">
        <v>1000</v>
      </c>
      <c r="H257" s="724">
        <v>1000</v>
      </c>
      <c r="I257" s="724">
        <v>1000</v>
      </c>
      <c r="J257" s="724">
        <v>1000</v>
      </c>
      <c r="K257" s="724">
        <v>1000</v>
      </c>
      <c r="L257" s="724">
        <v>1000</v>
      </c>
      <c r="M257" s="724">
        <v>1000</v>
      </c>
      <c r="N257" s="724">
        <v>1000</v>
      </c>
      <c r="O257" s="724">
        <v>1000</v>
      </c>
      <c r="P257" s="724">
        <v>1000</v>
      </c>
      <c r="Q257" s="724">
        <v>1000</v>
      </c>
      <c r="R257" s="724">
        <v>1000</v>
      </c>
      <c r="S257" s="724">
        <v>1000</v>
      </c>
      <c r="T257" s="724">
        <v>1000</v>
      </c>
      <c r="U257" s="724">
        <v>1000</v>
      </c>
      <c r="V257" s="724">
        <v>1000</v>
      </c>
      <c r="W257" s="724">
        <v>1000</v>
      </c>
      <c r="X257" s="724">
        <v>1000</v>
      </c>
      <c r="Y257" s="724">
        <v>1000</v>
      </c>
      <c r="Z257" s="724">
        <v>1000</v>
      </c>
      <c r="AA257" s="724">
        <v>1000</v>
      </c>
      <c r="AB257" s="724">
        <v>1000</v>
      </c>
      <c r="AC257" s="724">
        <v>1000</v>
      </c>
      <c r="AD257" s="724">
        <v>1000</v>
      </c>
      <c r="AE257" s="724">
        <v>1000</v>
      </c>
      <c r="AF257" s="724">
        <v>1000</v>
      </c>
      <c r="AG257" s="724">
        <v>1000</v>
      </c>
      <c r="AH257" s="724">
        <v>1000</v>
      </c>
      <c r="AI257" s="724">
        <v>1000</v>
      </c>
      <c r="AJ257" s="724">
        <v>1000</v>
      </c>
      <c r="AK257" s="724">
        <v>33396.720000000001</v>
      </c>
      <c r="AL257" s="724">
        <v>12830.82</v>
      </c>
      <c r="AM257" s="724"/>
      <c r="AN257" s="724"/>
      <c r="AO257" s="724"/>
      <c r="AP257" s="724"/>
      <c r="AQ257" s="724"/>
      <c r="AR257" s="724"/>
      <c r="AS257" s="724"/>
      <c r="AT257" s="724"/>
      <c r="AU257" s="724"/>
      <c r="AV257" s="724"/>
      <c r="AW257" s="724"/>
      <c r="AX257" s="724"/>
      <c r="AY257" s="724"/>
      <c r="AZ257" s="724"/>
      <c r="BA257" s="724"/>
      <c r="BB257" s="724"/>
      <c r="BC257" s="725">
        <f t="shared" si="14"/>
        <v>85227.540000000008</v>
      </c>
      <c r="BD257" s="724">
        <f>+BC257-'BOULEVARD 5 orig.'!I262</f>
        <v>0</v>
      </c>
      <c r="BE257" s="724">
        <f t="shared" si="15"/>
        <v>85227.540000000008</v>
      </c>
      <c r="BF257" s="726">
        <f>VLOOKUP(A257,'BOULEVARD 5 orig.'!B262:AS560,42,0)</f>
        <v>0</v>
      </c>
      <c r="BG257" s="727">
        <f t="shared" si="16"/>
        <v>36</v>
      </c>
      <c r="BH257" s="728">
        <f t="shared" si="13"/>
        <v>2367.4316666666668</v>
      </c>
    </row>
    <row r="258" spans="1:60" x14ac:dyDescent="0.2">
      <c r="A258" s="723">
        <v>1504</v>
      </c>
      <c r="B258" s="723" t="str">
        <f>'BOULEVARD 5'!H263</f>
        <v>4.Plan de pagos</v>
      </c>
      <c r="C258" s="724"/>
      <c r="D258" s="724"/>
      <c r="E258" s="724">
        <v>6000</v>
      </c>
      <c r="F258" s="724">
        <v>1000</v>
      </c>
      <c r="G258" s="724">
        <v>1000</v>
      </c>
      <c r="H258" s="724">
        <v>1000</v>
      </c>
      <c r="I258" s="724">
        <v>1000</v>
      </c>
      <c r="J258" s="724">
        <v>1000</v>
      </c>
      <c r="K258" s="724">
        <v>1000</v>
      </c>
      <c r="L258" s="724">
        <v>1000</v>
      </c>
      <c r="M258" s="724">
        <v>1000</v>
      </c>
      <c r="N258" s="724">
        <v>1000</v>
      </c>
      <c r="O258" s="724">
        <v>1000</v>
      </c>
      <c r="P258" s="724">
        <v>1000</v>
      </c>
      <c r="Q258" s="724">
        <v>1000</v>
      </c>
      <c r="R258" s="724">
        <v>1000</v>
      </c>
      <c r="S258" s="724">
        <v>1000</v>
      </c>
      <c r="T258" s="724">
        <v>1000</v>
      </c>
      <c r="U258" s="724">
        <v>1000</v>
      </c>
      <c r="V258" s="724">
        <v>1000</v>
      </c>
      <c r="W258" s="724">
        <v>1000</v>
      </c>
      <c r="X258" s="724">
        <v>1000</v>
      </c>
      <c r="Y258" s="724">
        <v>1000</v>
      </c>
      <c r="Z258" s="724">
        <v>1000</v>
      </c>
      <c r="AA258" s="724">
        <v>1000</v>
      </c>
      <c r="AB258" s="724">
        <v>1000</v>
      </c>
      <c r="AC258" s="724">
        <v>1000</v>
      </c>
      <c r="AD258" s="724">
        <v>1000</v>
      </c>
      <c r="AE258" s="724">
        <v>1000</v>
      </c>
      <c r="AF258" s="724">
        <v>1000</v>
      </c>
      <c r="AG258" s="724">
        <v>55800</v>
      </c>
      <c r="AH258" s="724"/>
      <c r="AI258" s="724"/>
      <c r="AJ258" s="724"/>
      <c r="AK258" s="724"/>
      <c r="AL258" s="724"/>
      <c r="AM258" s="724"/>
      <c r="AN258" s="724"/>
      <c r="AO258" s="724"/>
      <c r="AP258" s="724"/>
      <c r="AQ258" s="724"/>
      <c r="AR258" s="724"/>
      <c r="AS258" s="724"/>
      <c r="AT258" s="724"/>
      <c r="AU258" s="724"/>
      <c r="AV258" s="724"/>
      <c r="AW258" s="724"/>
      <c r="AX258" s="724"/>
      <c r="AY258" s="724"/>
      <c r="AZ258" s="724"/>
      <c r="BA258" s="724"/>
      <c r="BB258" s="724"/>
      <c r="BC258" s="725">
        <f t="shared" si="14"/>
        <v>88800</v>
      </c>
      <c r="BD258" s="724">
        <f>+BC258-'BOULEVARD 5 orig.'!I263</f>
        <v>0</v>
      </c>
      <c r="BE258" s="724">
        <f t="shared" si="15"/>
        <v>88800</v>
      </c>
      <c r="BF258" s="726">
        <f>VLOOKUP(A258,'BOULEVARD 5 orig.'!B263:AS561,42,0)</f>
        <v>0</v>
      </c>
      <c r="BG258" s="727">
        <f t="shared" si="16"/>
        <v>29</v>
      </c>
      <c r="BH258" s="728">
        <f t="shared" ref="BH258:BH299" si="17">IFERROR((+BC258/BG258),0)</f>
        <v>3062.0689655172414</v>
      </c>
    </row>
    <row r="259" spans="1:60" x14ac:dyDescent="0.2">
      <c r="A259" s="723">
        <v>1505</v>
      </c>
      <c r="B259" s="723" t="str">
        <f>'BOULEVARD 5'!H264</f>
        <v>4.Plan de pagos</v>
      </c>
      <c r="C259" s="724"/>
      <c r="D259" s="724"/>
      <c r="E259" s="724"/>
      <c r="F259" s="724"/>
      <c r="G259" s="724"/>
      <c r="H259" s="724"/>
      <c r="I259" s="724"/>
      <c r="J259" s="724"/>
      <c r="K259" s="724"/>
      <c r="L259" s="724"/>
      <c r="M259" s="724"/>
      <c r="N259" s="724"/>
      <c r="O259" s="724"/>
      <c r="P259" s="724"/>
      <c r="Q259" s="724"/>
      <c r="R259" s="724"/>
      <c r="S259" s="724">
        <v>10000</v>
      </c>
      <c r="T259" s="724">
        <v>6929</v>
      </c>
      <c r="U259" s="724">
        <v>6929</v>
      </c>
      <c r="V259" s="724">
        <v>6929</v>
      </c>
      <c r="W259" s="724">
        <v>6929</v>
      </c>
      <c r="X259" s="724">
        <v>6929</v>
      </c>
      <c r="Y259" s="724">
        <v>6929</v>
      </c>
      <c r="Z259" s="724">
        <v>6929</v>
      </c>
      <c r="AA259" s="724">
        <v>6929</v>
      </c>
      <c r="AB259" s="724">
        <v>6929</v>
      </c>
      <c r="AC259" s="724">
        <v>6929</v>
      </c>
      <c r="AD259" s="724">
        <v>6929</v>
      </c>
      <c r="AE259" s="724">
        <v>6929</v>
      </c>
      <c r="AF259" s="724">
        <v>6929</v>
      </c>
      <c r="AG259" s="724">
        <v>6929</v>
      </c>
      <c r="AH259" s="724">
        <v>6929</v>
      </c>
      <c r="AI259" s="724">
        <v>6929</v>
      </c>
      <c r="AJ259" s="724">
        <v>6936</v>
      </c>
      <c r="AK259" s="724"/>
      <c r="AL259" s="724"/>
      <c r="AM259" s="724"/>
      <c r="AN259" s="724"/>
      <c r="AO259" s="724"/>
      <c r="AP259" s="724"/>
      <c r="AQ259" s="724"/>
      <c r="AR259" s="724"/>
      <c r="AS259" s="724"/>
      <c r="AT259" s="724"/>
      <c r="AU259" s="724"/>
      <c r="AV259" s="724"/>
      <c r="AW259" s="724"/>
      <c r="AX259" s="724"/>
      <c r="AY259" s="724"/>
      <c r="AZ259" s="724"/>
      <c r="BA259" s="724"/>
      <c r="BB259" s="724"/>
      <c r="BC259" s="725">
        <f t="shared" ref="BC259:BC298" si="18">SUM(C259:BB259)</f>
        <v>127800</v>
      </c>
      <c r="BD259" s="724">
        <f>+BC259-'BOULEVARD 5 orig.'!I264</f>
        <v>0</v>
      </c>
      <c r="BE259" s="724">
        <f t="shared" ref="BE259:BE298" si="19">SUM(C259:BB259)</f>
        <v>127800</v>
      </c>
      <c r="BF259" s="726">
        <f>VLOOKUP(A259,'BOULEVARD 5 orig.'!B264:AS562,42,0)</f>
        <v>0</v>
      </c>
      <c r="BG259" s="727">
        <f t="shared" ref="BG259:BG298" si="20">COUNT(C259:BB259)</f>
        <v>18</v>
      </c>
      <c r="BH259" s="728">
        <f t="shared" si="17"/>
        <v>7100</v>
      </c>
    </row>
    <row r="260" spans="1:60" x14ac:dyDescent="0.2">
      <c r="A260" s="723">
        <v>1506</v>
      </c>
      <c r="B260" s="723" t="str">
        <f>'BOULEVARD 5'!H265</f>
        <v>1.Disponible</v>
      </c>
      <c r="C260" s="724"/>
      <c r="D260" s="724"/>
      <c r="E260" s="724"/>
      <c r="F260" s="724"/>
      <c r="G260" s="724"/>
      <c r="H260" s="724"/>
      <c r="I260" s="724"/>
      <c r="J260" s="724"/>
      <c r="K260" s="724"/>
      <c r="L260" s="724"/>
      <c r="M260" s="724"/>
      <c r="N260" s="724"/>
      <c r="O260" s="724"/>
      <c r="P260" s="724"/>
      <c r="Q260" s="724"/>
      <c r="R260" s="724"/>
      <c r="S260" s="724"/>
      <c r="T260" s="724"/>
      <c r="U260" s="724"/>
      <c r="V260" s="724"/>
      <c r="W260" s="724"/>
      <c r="X260" s="724"/>
      <c r="Y260" s="724"/>
      <c r="Z260" s="724"/>
      <c r="AA260" s="724"/>
      <c r="AB260" s="724"/>
      <c r="AC260" s="724"/>
      <c r="AD260" s="724"/>
      <c r="AE260" s="724"/>
      <c r="AF260" s="724"/>
      <c r="AG260" s="724"/>
      <c r="AH260" s="724"/>
      <c r="AI260" s="724"/>
      <c r="AJ260" s="724"/>
      <c r="AK260" s="724"/>
      <c r="AL260" s="724"/>
      <c r="AM260" s="724"/>
      <c r="AN260" s="724"/>
      <c r="AO260" s="724"/>
      <c r="AP260" s="724"/>
      <c r="AQ260" s="724"/>
      <c r="AR260" s="724"/>
      <c r="AS260" s="724"/>
      <c r="AT260" s="724"/>
      <c r="AU260" s="724"/>
      <c r="AV260" s="724"/>
      <c r="AW260" s="724"/>
      <c r="AX260" s="724"/>
      <c r="AY260" s="724"/>
      <c r="AZ260" s="724"/>
      <c r="BA260" s="724"/>
      <c r="BB260" s="724"/>
      <c r="BC260" s="725">
        <f t="shared" si="18"/>
        <v>0</v>
      </c>
      <c r="BD260" s="724">
        <f>+BC260-'BOULEVARD 5 orig.'!I265</f>
        <v>-99632.632441067908</v>
      </c>
      <c r="BE260" s="724">
        <f t="shared" si="19"/>
        <v>0</v>
      </c>
      <c r="BF260" s="726">
        <f>VLOOKUP(A260,'BOULEVARD 5 orig.'!B265:AS563,42,0)</f>
        <v>0</v>
      </c>
      <c r="BG260" s="727">
        <f t="shared" si="20"/>
        <v>0</v>
      </c>
      <c r="BH260" s="728">
        <f t="shared" si="17"/>
        <v>0</v>
      </c>
    </row>
    <row r="261" spans="1:60" x14ac:dyDescent="0.2">
      <c r="A261" s="729">
        <v>1507</v>
      </c>
      <c r="B261" s="723" t="str">
        <f>'BOULEVARD 5'!H266</f>
        <v>4.Plan de pagos</v>
      </c>
      <c r="C261" s="724">
        <v>6000</v>
      </c>
      <c r="D261" s="724">
        <v>3075</v>
      </c>
      <c r="E261" s="724">
        <v>3075</v>
      </c>
      <c r="F261" s="724">
        <v>3075</v>
      </c>
      <c r="G261" s="724">
        <v>3075</v>
      </c>
      <c r="H261" s="724">
        <v>3075</v>
      </c>
      <c r="I261" s="724">
        <v>3075</v>
      </c>
      <c r="J261" s="724">
        <v>3075</v>
      </c>
      <c r="K261" s="724">
        <v>3075</v>
      </c>
      <c r="L261" s="724">
        <v>3075</v>
      </c>
      <c r="M261" s="724">
        <v>3075</v>
      </c>
      <c r="N261" s="724">
        <v>3075</v>
      </c>
      <c r="O261" s="724">
        <v>3075</v>
      </c>
      <c r="P261" s="724">
        <v>3075</v>
      </c>
      <c r="Q261" s="724">
        <v>3075</v>
      </c>
      <c r="R261" s="724">
        <v>3075</v>
      </c>
      <c r="S261" s="724">
        <v>3075</v>
      </c>
      <c r="T261" s="724">
        <v>3075</v>
      </c>
      <c r="U261" s="724">
        <v>3075</v>
      </c>
      <c r="V261" s="724">
        <v>3075</v>
      </c>
      <c r="W261" s="724">
        <v>3075</v>
      </c>
      <c r="X261" s="724">
        <v>3075</v>
      </c>
      <c r="Y261" s="724">
        <v>3075</v>
      </c>
      <c r="Z261" s="724">
        <v>3075</v>
      </c>
      <c r="AA261" s="724">
        <v>3075</v>
      </c>
      <c r="AB261" s="724">
        <v>3075</v>
      </c>
      <c r="AC261" s="724">
        <v>3075</v>
      </c>
      <c r="AD261" s="724">
        <v>3075</v>
      </c>
      <c r="AE261" s="724">
        <v>3075</v>
      </c>
      <c r="AF261" s="724">
        <v>3075</v>
      </c>
      <c r="AG261" s="724">
        <v>3075</v>
      </c>
      <c r="AH261" s="724">
        <v>3075</v>
      </c>
      <c r="AI261" s="724">
        <v>3075</v>
      </c>
      <c r="AJ261" s="724">
        <v>3075</v>
      </c>
      <c r="AK261" s="724">
        <v>3075</v>
      </c>
      <c r="AL261" s="724">
        <v>3611</v>
      </c>
      <c r="AM261" s="724"/>
      <c r="AN261" s="724"/>
      <c r="AO261" s="724"/>
      <c r="AP261" s="724"/>
      <c r="AQ261" s="724"/>
      <c r="AR261" s="724"/>
      <c r="AS261" s="724"/>
      <c r="AT261" s="724"/>
      <c r="AU261" s="724"/>
      <c r="AV261" s="724"/>
      <c r="AW261" s="724"/>
      <c r="AX261" s="724"/>
      <c r="AY261" s="724"/>
      <c r="AZ261" s="724"/>
      <c r="BA261" s="724"/>
      <c r="BB261" s="724"/>
      <c r="BC261" s="725">
        <f t="shared" si="18"/>
        <v>114161</v>
      </c>
      <c r="BD261" s="724">
        <f>+BC261-'BOULEVARD 5 orig.'!I266</f>
        <v>0</v>
      </c>
      <c r="BE261" s="724">
        <f t="shared" si="19"/>
        <v>114161</v>
      </c>
      <c r="BF261" s="726">
        <f>VLOOKUP(A261,'BOULEVARD 5 orig.'!B266:AS564,42,0)</f>
        <v>0</v>
      </c>
      <c r="BG261" s="727">
        <f t="shared" si="20"/>
        <v>36</v>
      </c>
      <c r="BH261" s="728">
        <f t="shared" si="17"/>
        <v>3171.1388888888887</v>
      </c>
    </row>
    <row r="262" spans="1:60" x14ac:dyDescent="0.2">
      <c r="A262" s="729">
        <v>1508</v>
      </c>
      <c r="B262" s="723" t="str">
        <f>'BOULEVARD 5'!H267</f>
        <v>4.Plan de pagos</v>
      </c>
      <c r="C262" s="724">
        <v>6000</v>
      </c>
      <c r="D262" s="724">
        <v>3100</v>
      </c>
      <c r="E262" s="724">
        <v>3100</v>
      </c>
      <c r="F262" s="724">
        <v>3100</v>
      </c>
      <c r="G262" s="724">
        <v>3100</v>
      </c>
      <c r="H262" s="724">
        <v>3100</v>
      </c>
      <c r="I262" s="724">
        <v>3100</v>
      </c>
      <c r="J262" s="724">
        <v>3100</v>
      </c>
      <c r="K262" s="724">
        <v>3100</v>
      </c>
      <c r="L262" s="724">
        <v>3100</v>
      </c>
      <c r="M262" s="724">
        <v>3100</v>
      </c>
      <c r="N262" s="724">
        <v>3100</v>
      </c>
      <c r="O262" s="724">
        <v>3100</v>
      </c>
      <c r="P262" s="724">
        <v>3100</v>
      </c>
      <c r="Q262" s="724">
        <v>3100</v>
      </c>
      <c r="R262" s="724">
        <v>3100</v>
      </c>
      <c r="S262" s="724">
        <v>3100</v>
      </c>
      <c r="T262" s="724">
        <v>3100</v>
      </c>
      <c r="U262" s="724">
        <v>3100</v>
      </c>
      <c r="V262" s="724">
        <v>3100</v>
      </c>
      <c r="W262" s="724">
        <v>3100</v>
      </c>
      <c r="X262" s="724">
        <v>3100</v>
      </c>
      <c r="Y262" s="724">
        <v>3100</v>
      </c>
      <c r="Z262" s="724">
        <v>3100</v>
      </c>
      <c r="AA262" s="724">
        <v>3100</v>
      </c>
      <c r="AB262" s="724">
        <v>3100</v>
      </c>
      <c r="AC262" s="724">
        <v>3100</v>
      </c>
      <c r="AD262" s="724">
        <v>3100</v>
      </c>
      <c r="AE262" s="724">
        <v>3100</v>
      </c>
      <c r="AF262" s="724">
        <v>3100</v>
      </c>
      <c r="AG262" s="724">
        <v>3100</v>
      </c>
      <c r="AH262" s="724">
        <v>3100</v>
      </c>
      <c r="AI262" s="724">
        <v>3100</v>
      </c>
      <c r="AJ262" s="724">
        <v>3100</v>
      </c>
      <c r="AK262" s="724">
        <v>3100</v>
      </c>
      <c r="AL262" s="724">
        <v>2760</v>
      </c>
      <c r="AM262" s="724"/>
      <c r="AN262" s="724"/>
      <c r="AO262" s="724"/>
      <c r="AP262" s="724"/>
      <c r="AQ262" s="724"/>
      <c r="AR262" s="724"/>
      <c r="AS262" s="724"/>
      <c r="AT262" s="724"/>
      <c r="AU262" s="724"/>
      <c r="AV262" s="724"/>
      <c r="AW262" s="724"/>
      <c r="AX262" s="724"/>
      <c r="AY262" s="724"/>
      <c r="AZ262" s="724"/>
      <c r="BA262" s="724"/>
      <c r="BB262" s="724"/>
      <c r="BC262" s="725">
        <f t="shared" si="18"/>
        <v>114160</v>
      </c>
      <c r="BD262" s="724">
        <f>+BC262-'BOULEVARD 5 orig.'!I267</f>
        <v>0</v>
      </c>
      <c r="BE262" s="724">
        <f t="shared" si="19"/>
        <v>114160</v>
      </c>
      <c r="BF262" s="726">
        <f>VLOOKUP(A262,'BOULEVARD 5 orig.'!B267:AS565,42,0)</f>
        <v>0</v>
      </c>
      <c r="BG262" s="727">
        <f t="shared" si="20"/>
        <v>36</v>
      </c>
      <c r="BH262" s="728">
        <f t="shared" si="17"/>
        <v>3171.1111111111113</v>
      </c>
    </row>
    <row r="263" spans="1:60" x14ac:dyDescent="0.2">
      <c r="A263" s="723">
        <v>1509</v>
      </c>
      <c r="B263" s="723" t="str">
        <f>'BOULEVARD 5'!H268</f>
        <v>4.Plan de pagos</v>
      </c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4"/>
      <c r="P263" s="724"/>
      <c r="Q263" s="724"/>
      <c r="R263" s="724"/>
      <c r="S263" s="724"/>
      <c r="T263" s="724"/>
      <c r="U263" s="724"/>
      <c r="V263" s="724"/>
      <c r="W263" s="724"/>
      <c r="X263" s="724"/>
      <c r="Y263" s="724"/>
      <c r="Z263" s="724"/>
      <c r="AA263" s="724"/>
      <c r="AB263" s="724"/>
      <c r="AC263" s="724"/>
      <c r="AD263" s="724"/>
      <c r="AE263" s="724">
        <v>541277.04</v>
      </c>
      <c r="AF263" s="724">
        <v>32400</v>
      </c>
      <c r="AG263" s="724">
        <v>32400</v>
      </c>
      <c r="AH263" s="724">
        <v>32400</v>
      </c>
      <c r="AI263" s="724">
        <v>32400</v>
      </c>
      <c r="AJ263" s="724">
        <v>32400</v>
      </c>
      <c r="AK263" s="724">
        <v>32400</v>
      </c>
      <c r="AL263" s="724">
        <v>32400</v>
      </c>
      <c r="AM263" s="724">
        <v>32400</v>
      </c>
      <c r="AN263" s="724">
        <v>32400</v>
      </c>
      <c r="AO263" s="724">
        <v>32400</v>
      </c>
      <c r="AP263" s="724">
        <v>217277.04</v>
      </c>
      <c r="AQ263" s="726"/>
      <c r="AR263" s="724"/>
      <c r="AS263" s="724"/>
      <c r="AT263" s="724"/>
      <c r="AU263" s="724"/>
      <c r="AV263" s="724"/>
      <c r="AW263" s="724"/>
      <c r="AX263" s="724"/>
      <c r="AY263" s="724"/>
      <c r="AZ263" s="724"/>
      <c r="BA263" s="724"/>
      <c r="BB263" s="724"/>
      <c r="BC263" s="725">
        <f t="shared" si="18"/>
        <v>1082554.08</v>
      </c>
      <c r="BD263" s="724">
        <f>+BC263-'BOULEVARD 5 orig.'!I268</f>
        <v>974338.11035501212</v>
      </c>
      <c r="BE263" s="724">
        <f t="shared" si="19"/>
        <v>1082554.08</v>
      </c>
      <c r="BF263" s="726">
        <f>VLOOKUP(A263,'BOULEVARD 5 orig.'!B268:AS566,42,0)</f>
        <v>0</v>
      </c>
      <c r="BG263" s="727">
        <f t="shared" si="20"/>
        <v>12</v>
      </c>
      <c r="BH263" s="728">
        <f t="shared" si="17"/>
        <v>90212.840000000011</v>
      </c>
    </row>
    <row r="264" spans="1:60" x14ac:dyDescent="0.2">
      <c r="A264" s="723">
        <v>1510</v>
      </c>
      <c r="B264" s="723" t="str">
        <f>'BOULEVARD 5'!H269</f>
        <v>4.Plan de pagos</v>
      </c>
      <c r="C264" s="724"/>
      <c r="D264" s="724"/>
      <c r="E264" s="724"/>
      <c r="F264" s="724">
        <v>6000</v>
      </c>
      <c r="G264" s="724">
        <v>3064</v>
      </c>
      <c r="H264" s="724">
        <v>3064</v>
      </c>
      <c r="I264" s="724">
        <v>3064</v>
      </c>
      <c r="J264" s="724">
        <v>3064</v>
      </c>
      <c r="K264" s="724">
        <v>3064</v>
      </c>
      <c r="L264" s="724">
        <v>3064</v>
      </c>
      <c r="M264" s="724">
        <v>3064</v>
      </c>
      <c r="N264" s="724">
        <v>3064</v>
      </c>
      <c r="O264" s="724">
        <v>3064</v>
      </c>
      <c r="P264" s="724">
        <v>3064</v>
      </c>
      <c r="Q264" s="724">
        <v>3064</v>
      </c>
      <c r="R264" s="724">
        <v>3064</v>
      </c>
      <c r="S264" s="724">
        <v>3064</v>
      </c>
      <c r="T264" s="724">
        <v>3064</v>
      </c>
      <c r="U264" s="724">
        <v>3064</v>
      </c>
      <c r="V264" s="724">
        <v>3064</v>
      </c>
      <c r="W264" s="724">
        <v>3064</v>
      </c>
      <c r="X264" s="724">
        <v>3064</v>
      </c>
      <c r="Y264" s="724">
        <v>3064</v>
      </c>
      <c r="Z264" s="724">
        <v>3064</v>
      </c>
      <c r="AA264" s="724">
        <v>3064</v>
      </c>
      <c r="AB264" s="724">
        <v>3064</v>
      </c>
      <c r="AC264" s="724">
        <v>3064</v>
      </c>
      <c r="AD264" s="724">
        <v>3064</v>
      </c>
      <c r="AE264" s="724">
        <v>3064</v>
      </c>
      <c r="AF264" s="724">
        <v>3064</v>
      </c>
      <c r="AG264" s="724">
        <v>3136</v>
      </c>
      <c r="AH264" s="724"/>
      <c r="AI264" s="724"/>
      <c r="AJ264" s="724"/>
      <c r="AK264" s="724"/>
      <c r="AL264" s="724"/>
      <c r="AM264" s="724"/>
      <c r="AN264" s="724"/>
      <c r="AO264" s="724"/>
      <c r="AP264" s="724"/>
      <c r="AQ264" s="724"/>
      <c r="AR264" s="724"/>
      <c r="AS264" s="724"/>
      <c r="AT264" s="724"/>
      <c r="AU264" s="724"/>
      <c r="AV264" s="724"/>
      <c r="AW264" s="724"/>
      <c r="AX264" s="724"/>
      <c r="AY264" s="724"/>
      <c r="AZ264" s="724"/>
      <c r="BA264" s="724"/>
      <c r="BB264" s="724"/>
      <c r="BC264" s="725">
        <f t="shared" si="18"/>
        <v>88800</v>
      </c>
      <c r="BD264" s="724">
        <f>+BC264-'BOULEVARD 5 orig.'!I269</f>
        <v>0</v>
      </c>
      <c r="BE264" s="724">
        <f t="shared" si="19"/>
        <v>88800</v>
      </c>
      <c r="BF264" s="726">
        <f>VLOOKUP(A264,'BOULEVARD 5 orig.'!B269:AS567,42,0)</f>
        <v>0</v>
      </c>
      <c r="BG264" s="727">
        <f t="shared" si="20"/>
        <v>28</v>
      </c>
      <c r="BH264" s="728">
        <f t="shared" si="17"/>
        <v>3171.4285714285716</v>
      </c>
    </row>
    <row r="265" spans="1:60" x14ac:dyDescent="0.2">
      <c r="A265" s="723">
        <v>1511</v>
      </c>
      <c r="B265" s="723" t="str">
        <f>'BOULEVARD 5'!H270</f>
        <v>4.Plan de pagos</v>
      </c>
      <c r="C265" s="724"/>
      <c r="D265" s="724"/>
      <c r="E265" s="724"/>
      <c r="F265" s="724"/>
      <c r="G265" s="724"/>
      <c r="H265" s="724">
        <v>6000</v>
      </c>
      <c r="I265" s="724">
        <v>5292</v>
      </c>
      <c r="J265" s="724">
        <v>5292</v>
      </c>
      <c r="K265" s="724">
        <v>5292</v>
      </c>
      <c r="L265" s="724">
        <v>5292</v>
      </c>
      <c r="M265" s="724">
        <v>5292</v>
      </c>
      <c r="N265" s="724">
        <v>5292</v>
      </c>
      <c r="O265" s="724">
        <v>5292</v>
      </c>
      <c r="P265" s="724">
        <v>5292</v>
      </c>
      <c r="Q265" s="724">
        <v>5292</v>
      </c>
      <c r="R265" s="724">
        <v>5292</v>
      </c>
      <c r="S265" s="724">
        <v>5292</v>
      </c>
      <c r="T265" s="724">
        <v>5292</v>
      </c>
      <c r="U265" s="724">
        <v>5292</v>
      </c>
      <c r="V265" s="724">
        <v>5292</v>
      </c>
      <c r="W265" s="724">
        <v>5292</v>
      </c>
      <c r="X265" s="724">
        <v>5292</v>
      </c>
      <c r="Y265" s="724">
        <v>5292</v>
      </c>
      <c r="Z265" s="724">
        <v>5292</v>
      </c>
      <c r="AA265" s="724">
        <v>5292</v>
      </c>
      <c r="AB265" s="724">
        <v>5292</v>
      </c>
      <c r="AC265" s="724">
        <v>5292</v>
      </c>
      <c r="AD265" s="724">
        <v>5292</v>
      </c>
      <c r="AE265" s="724">
        <v>5292</v>
      </c>
      <c r="AF265" s="724">
        <v>5292</v>
      </c>
      <c r="AG265" s="724">
        <v>5292</v>
      </c>
      <c r="AH265" s="724"/>
      <c r="AI265" s="724"/>
      <c r="AJ265" s="724"/>
      <c r="AK265" s="724"/>
      <c r="AL265" s="724"/>
      <c r="AM265" s="724"/>
      <c r="AN265" s="724"/>
      <c r="AO265" s="724"/>
      <c r="AP265" s="724"/>
      <c r="AQ265" s="724"/>
      <c r="AR265" s="724"/>
      <c r="AS265" s="724"/>
      <c r="AT265" s="724"/>
      <c r="AU265" s="724"/>
      <c r="AV265" s="724"/>
      <c r="AW265" s="724"/>
      <c r="AX265" s="724"/>
      <c r="AY265" s="724"/>
      <c r="AZ265" s="724"/>
      <c r="BA265" s="724"/>
      <c r="BB265" s="724"/>
      <c r="BC265" s="725">
        <f t="shared" si="18"/>
        <v>138300</v>
      </c>
      <c r="BD265" s="724">
        <f>+BC265-'BOULEVARD 5 orig.'!I270</f>
        <v>0</v>
      </c>
      <c r="BE265" s="724">
        <f t="shared" si="19"/>
        <v>138300</v>
      </c>
      <c r="BF265" s="726">
        <f>VLOOKUP(A265,'BOULEVARD 5 orig.'!B270:AS568,42,0)</f>
        <v>0</v>
      </c>
      <c r="BG265" s="727">
        <f t="shared" si="20"/>
        <v>26</v>
      </c>
      <c r="BH265" s="728">
        <f t="shared" si="17"/>
        <v>5319.2307692307695</v>
      </c>
    </row>
    <row r="266" spans="1:60" x14ac:dyDescent="0.2">
      <c r="A266" s="723">
        <v>1512</v>
      </c>
      <c r="B266" s="723" t="str">
        <f>'BOULEVARD 5'!H271</f>
        <v>1.Disponible</v>
      </c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724"/>
      <c r="AB266" s="724"/>
      <c r="AC266" s="724"/>
      <c r="AD266" s="724"/>
      <c r="AE266" s="724"/>
      <c r="AF266" s="724"/>
      <c r="AG266" s="724"/>
      <c r="AH266" s="724"/>
      <c r="AI266" s="724"/>
      <c r="AJ266" s="724"/>
      <c r="AK266" s="724"/>
      <c r="AL266" s="724"/>
      <c r="AM266" s="724"/>
      <c r="AN266" s="724"/>
      <c r="AO266" s="724"/>
      <c r="AP266" s="724"/>
      <c r="AQ266" s="724"/>
      <c r="AR266" s="724"/>
      <c r="AS266" s="724"/>
      <c r="AT266" s="724"/>
      <c r="AU266" s="724"/>
      <c r="AV266" s="724"/>
      <c r="AW266" s="724"/>
      <c r="AX266" s="724"/>
      <c r="AY266" s="724"/>
      <c r="AZ266" s="724"/>
      <c r="BA266" s="724"/>
      <c r="BB266" s="724"/>
      <c r="BC266" s="725">
        <f t="shared" si="18"/>
        <v>0</v>
      </c>
      <c r="BD266" s="724">
        <f>+BC266-'BOULEVARD 5 orig.'!I271</f>
        <v>-94935.617554408498</v>
      </c>
      <c r="BE266" s="724">
        <f t="shared" si="19"/>
        <v>0</v>
      </c>
      <c r="BF266" s="726">
        <f>VLOOKUP(A266,'BOULEVARD 5 orig.'!B271:AS569,42,0)</f>
        <v>0</v>
      </c>
      <c r="BG266" s="727">
        <f t="shared" si="20"/>
        <v>0</v>
      </c>
      <c r="BH266" s="728">
        <f t="shared" si="17"/>
        <v>0</v>
      </c>
    </row>
    <row r="267" spans="1:60" x14ac:dyDescent="0.2">
      <c r="A267" s="723">
        <v>1601</v>
      </c>
      <c r="B267" s="723" t="str">
        <f>'BOULEVARD 5'!H272</f>
        <v>4.Plan de pagos</v>
      </c>
      <c r="C267" s="724"/>
      <c r="D267" s="724"/>
      <c r="E267" s="724"/>
      <c r="F267" s="724"/>
      <c r="G267" s="724"/>
      <c r="H267" s="724">
        <v>6000</v>
      </c>
      <c r="I267" s="724">
        <v>4780</v>
      </c>
      <c r="J267" s="724">
        <v>4780</v>
      </c>
      <c r="K267" s="724">
        <v>4780</v>
      </c>
      <c r="L267" s="724">
        <v>4780</v>
      </c>
      <c r="M267" s="724">
        <v>4780</v>
      </c>
      <c r="N267" s="724">
        <v>4780</v>
      </c>
      <c r="O267" s="724">
        <v>4780</v>
      </c>
      <c r="P267" s="724">
        <v>4780</v>
      </c>
      <c r="Q267" s="724">
        <v>4780</v>
      </c>
      <c r="R267" s="724">
        <v>4780</v>
      </c>
      <c r="S267" s="724">
        <v>4780</v>
      </c>
      <c r="T267" s="724">
        <v>4780</v>
      </c>
      <c r="U267" s="724">
        <v>4780</v>
      </c>
      <c r="V267" s="724">
        <v>4780</v>
      </c>
      <c r="W267" s="724">
        <v>4780</v>
      </c>
      <c r="X267" s="724">
        <v>4780</v>
      </c>
      <c r="Y267" s="724">
        <v>4780</v>
      </c>
      <c r="Z267" s="724">
        <v>4780</v>
      </c>
      <c r="AA267" s="724">
        <v>4780</v>
      </c>
      <c r="AB267" s="724">
        <v>4780</v>
      </c>
      <c r="AC267" s="724">
        <v>4780</v>
      </c>
      <c r="AD267" s="724">
        <v>4780</v>
      </c>
      <c r="AE267" s="724">
        <v>4780</v>
      </c>
      <c r="AF267" s="724">
        <v>4780</v>
      </c>
      <c r="AG267" s="724">
        <v>4863.8999999999996</v>
      </c>
      <c r="AH267" s="724"/>
      <c r="AI267" s="724"/>
      <c r="AJ267" s="724"/>
      <c r="AK267" s="724"/>
      <c r="AL267" s="724"/>
      <c r="AM267" s="724"/>
      <c r="AN267" s="724"/>
      <c r="AO267" s="724"/>
      <c r="AP267" s="724"/>
      <c r="AQ267" s="724"/>
      <c r="AR267" s="724"/>
      <c r="AS267" s="724"/>
      <c r="AT267" s="724"/>
      <c r="AU267" s="724"/>
      <c r="AV267" s="724"/>
      <c r="AW267" s="724"/>
      <c r="AX267" s="724"/>
      <c r="AY267" s="724"/>
      <c r="AZ267" s="724"/>
      <c r="BA267" s="724"/>
      <c r="BB267" s="724"/>
      <c r="BC267" s="725">
        <f t="shared" si="18"/>
        <v>125583.9</v>
      </c>
      <c r="BD267" s="724">
        <f>+BC267-'BOULEVARD 5 orig.'!I272</f>
        <v>0</v>
      </c>
      <c r="BE267" s="724">
        <f t="shared" si="19"/>
        <v>125583.9</v>
      </c>
      <c r="BF267" s="726">
        <f>VLOOKUP(A267,'BOULEVARD 5 orig.'!B272:AS570,42,0)</f>
        <v>0</v>
      </c>
      <c r="BG267" s="727">
        <f t="shared" si="20"/>
        <v>26</v>
      </c>
      <c r="BH267" s="728">
        <f t="shared" si="17"/>
        <v>4830.1499999999996</v>
      </c>
    </row>
    <row r="268" spans="1:60" x14ac:dyDescent="0.2">
      <c r="A268" s="729">
        <v>1602</v>
      </c>
      <c r="B268" s="723" t="str">
        <f>'BOULEVARD 5'!H273</f>
        <v>4.Plan de pagos</v>
      </c>
      <c r="C268" s="730"/>
      <c r="D268" s="730"/>
      <c r="E268" s="730"/>
      <c r="F268" s="730"/>
      <c r="G268" s="730"/>
      <c r="H268" s="730"/>
      <c r="I268" s="730"/>
      <c r="J268" s="730"/>
      <c r="K268" s="730"/>
      <c r="L268" s="730"/>
      <c r="M268" s="730"/>
      <c r="N268" s="730"/>
      <c r="O268" s="730"/>
      <c r="P268" s="730"/>
      <c r="Q268" s="730"/>
      <c r="R268" s="730"/>
      <c r="S268" s="730"/>
      <c r="T268" s="730"/>
      <c r="U268" s="730"/>
      <c r="V268" s="730"/>
      <c r="W268" s="730"/>
      <c r="X268" s="730"/>
      <c r="Y268" s="730"/>
      <c r="Z268" s="730"/>
      <c r="AA268" s="730"/>
      <c r="AB268" s="730"/>
      <c r="AC268" s="730"/>
      <c r="AD268" s="730"/>
      <c r="AE268" s="730"/>
      <c r="AF268" s="730"/>
      <c r="AG268" s="730"/>
      <c r="AH268" s="730"/>
      <c r="AI268" s="730"/>
      <c r="AJ268" s="730"/>
      <c r="AK268" s="730"/>
      <c r="AL268" s="730"/>
      <c r="AM268" s="730"/>
      <c r="AN268" s="730"/>
      <c r="AO268" s="730"/>
      <c r="AP268" s="730"/>
      <c r="AQ268" s="730"/>
      <c r="AR268" s="730"/>
      <c r="AS268" s="730"/>
      <c r="AT268" s="730"/>
      <c r="AU268" s="730"/>
      <c r="AV268" s="730"/>
      <c r="AW268" s="730"/>
      <c r="AX268" s="730"/>
      <c r="AY268" s="730"/>
      <c r="AZ268" s="730"/>
      <c r="BA268" s="730"/>
      <c r="BB268" s="730"/>
      <c r="BC268" s="731">
        <f t="shared" si="18"/>
        <v>0</v>
      </c>
      <c r="BD268" s="730">
        <f>+BC268-'BOULEVARD 5 orig.'!I273</f>
        <v>-129720</v>
      </c>
      <c r="BE268" s="730">
        <f t="shared" si="19"/>
        <v>0</v>
      </c>
      <c r="BF268" s="732">
        <f>VLOOKUP(A268,'BOULEVARD 5 orig.'!B273:AS571,42,0)</f>
        <v>0</v>
      </c>
      <c r="BG268" s="733">
        <f t="shared" si="20"/>
        <v>0</v>
      </c>
      <c r="BH268" s="734">
        <f t="shared" si="17"/>
        <v>0</v>
      </c>
    </row>
    <row r="269" spans="1:60" x14ac:dyDescent="0.2">
      <c r="A269" s="723">
        <v>1603</v>
      </c>
      <c r="B269" s="723" t="str">
        <f>'BOULEVARD 5'!H274</f>
        <v>4.Plan de pagos</v>
      </c>
      <c r="C269" s="724"/>
      <c r="D269" s="724">
        <v>6000</v>
      </c>
      <c r="E269" s="724">
        <v>5001</v>
      </c>
      <c r="F269" s="724">
        <v>5001</v>
      </c>
      <c r="G269" s="724">
        <v>5001</v>
      </c>
      <c r="H269" s="724">
        <v>5001</v>
      </c>
      <c r="I269" s="724">
        <v>5001</v>
      </c>
      <c r="J269" s="724">
        <v>5001</v>
      </c>
      <c r="K269" s="724">
        <v>5001</v>
      </c>
      <c r="L269" s="724">
        <v>5001</v>
      </c>
      <c r="M269" s="724">
        <v>5001</v>
      </c>
      <c r="N269" s="724">
        <v>5001</v>
      </c>
      <c r="O269" s="724">
        <v>5001</v>
      </c>
      <c r="P269" s="724">
        <v>5001</v>
      </c>
      <c r="Q269" s="724">
        <v>5001</v>
      </c>
      <c r="R269" s="724">
        <v>5001</v>
      </c>
      <c r="S269" s="724">
        <v>5001</v>
      </c>
      <c r="T269" s="724">
        <v>5001</v>
      </c>
      <c r="U269" s="724">
        <v>5001</v>
      </c>
      <c r="V269" s="724">
        <v>5001</v>
      </c>
      <c r="W269" s="724">
        <v>5001</v>
      </c>
      <c r="X269" s="724">
        <v>5001</v>
      </c>
      <c r="Y269" s="724">
        <v>5001</v>
      </c>
      <c r="Z269" s="724">
        <v>5001</v>
      </c>
      <c r="AA269" s="724">
        <v>5001</v>
      </c>
      <c r="AB269" s="724">
        <v>5001</v>
      </c>
      <c r="AC269" s="724">
        <v>5001</v>
      </c>
      <c r="AD269" s="724">
        <v>5001</v>
      </c>
      <c r="AE269" s="724">
        <v>5001</v>
      </c>
      <c r="AF269" s="724">
        <v>5001</v>
      </c>
      <c r="AG269" s="724">
        <v>5001</v>
      </c>
      <c r="AH269" s="724">
        <v>5001.6099999999997</v>
      </c>
      <c r="AI269" s="724"/>
      <c r="AJ269" s="724"/>
      <c r="AK269" s="724"/>
      <c r="AL269" s="724"/>
      <c r="AM269" s="724"/>
      <c r="AN269" s="724"/>
      <c r="AO269" s="724"/>
      <c r="AP269" s="724"/>
      <c r="AQ269" s="724"/>
      <c r="AR269" s="724"/>
      <c r="AS269" s="724"/>
      <c r="AT269" s="724"/>
      <c r="AU269" s="724"/>
      <c r="AV269" s="724"/>
      <c r="AW269" s="724"/>
      <c r="AX269" s="724"/>
      <c r="AY269" s="724"/>
      <c r="AZ269" s="724"/>
      <c r="BA269" s="724"/>
      <c r="BB269" s="724"/>
      <c r="BC269" s="725">
        <f t="shared" si="18"/>
        <v>156030.60999999999</v>
      </c>
      <c r="BD269" s="724">
        <f>+BC269-'BOULEVARD 5 orig.'!I274</f>
        <v>0</v>
      </c>
      <c r="BE269" s="724">
        <f t="shared" si="19"/>
        <v>156030.60999999999</v>
      </c>
      <c r="BF269" s="726">
        <f>VLOOKUP(A269,'BOULEVARD 5 orig.'!B274:AS572,42,0)</f>
        <v>0</v>
      </c>
      <c r="BG269" s="727">
        <f t="shared" si="20"/>
        <v>31</v>
      </c>
      <c r="BH269" s="728">
        <f t="shared" si="17"/>
        <v>5033.2454838709673</v>
      </c>
    </row>
    <row r="270" spans="1:60" x14ac:dyDescent="0.2">
      <c r="A270" s="723">
        <v>1604</v>
      </c>
      <c r="B270" s="723" t="str">
        <f>'BOULEVARD 5'!H275</f>
        <v>4.Plan de pagos</v>
      </c>
      <c r="C270" s="724"/>
      <c r="D270" s="724"/>
      <c r="E270" s="724">
        <v>6000</v>
      </c>
      <c r="F270" s="724">
        <v>2982</v>
      </c>
      <c r="G270" s="724">
        <v>2982</v>
      </c>
      <c r="H270" s="724">
        <v>2982</v>
      </c>
      <c r="I270" s="724">
        <v>2982</v>
      </c>
      <c r="J270" s="724">
        <v>2982</v>
      </c>
      <c r="K270" s="724">
        <v>2982</v>
      </c>
      <c r="L270" s="724">
        <v>2982</v>
      </c>
      <c r="M270" s="724">
        <v>2982</v>
      </c>
      <c r="N270" s="724">
        <v>2982</v>
      </c>
      <c r="O270" s="724">
        <v>2982</v>
      </c>
      <c r="P270" s="724">
        <v>2982</v>
      </c>
      <c r="Q270" s="724">
        <v>2982</v>
      </c>
      <c r="R270" s="724">
        <v>2982</v>
      </c>
      <c r="S270" s="724">
        <v>2982</v>
      </c>
      <c r="T270" s="724">
        <v>2982</v>
      </c>
      <c r="U270" s="724">
        <v>2982</v>
      </c>
      <c r="V270" s="724">
        <v>2982</v>
      </c>
      <c r="W270" s="724">
        <v>2982</v>
      </c>
      <c r="X270" s="724">
        <v>2982</v>
      </c>
      <c r="Y270" s="724">
        <v>2982</v>
      </c>
      <c r="Z270" s="724">
        <v>2982</v>
      </c>
      <c r="AA270" s="724">
        <v>2982</v>
      </c>
      <c r="AB270" s="724">
        <v>2982</v>
      </c>
      <c r="AC270" s="724">
        <v>2982</v>
      </c>
      <c r="AD270" s="724">
        <v>2982</v>
      </c>
      <c r="AE270" s="724">
        <v>2982</v>
      </c>
      <c r="AF270" s="724">
        <v>2982</v>
      </c>
      <c r="AG270" s="724">
        <v>2986</v>
      </c>
      <c r="AH270" s="724"/>
      <c r="AI270" s="724"/>
      <c r="AJ270" s="724"/>
      <c r="AK270" s="724"/>
      <c r="AL270" s="724"/>
      <c r="AM270" s="724"/>
      <c r="AN270" s="724"/>
      <c r="AO270" s="724"/>
      <c r="AP270" s="724"/>
      <c r="AQ270" s="724"/>
      <c r="AR270" s="724"/>
      <c r="AS270" s="724"/>
      <c r="AT270" s="724"/>
      <c r="AU270" s="724"/>
      <c r="AV270" s="724"/>
      <c r="AW270" s="724"/>
      <c r="AX270" s="724"/>
      <c r="AY270" s="724"/>
      <c r="AZ270" s="724"/>
      <c r="BA270" s="724"/>
      <c r="BB270" s="724"/>
      <c r="BC270" s="725">
        <f t="shared" si="18"/>
        <v>89500</v>
      </c>
      <c r="BD270" s="724">
        <f>+BC270-'BOULEVARD 5 orig.'!I275</f>
        <v>0</v>
      </c>
      <c r="BE270" s="724">
        <f t="shared" si="19"/>
        <v>89500</v>
      </c>
      <c r="BF270" s="726">
        <f>VLOOKUP(A270,'BOULEVARD 5 orig.'!B275:AS573,42,0)</f>
        <v>0</v>
      </c>
      <c r="BG270" s="727">
        <f t="shared" si="20"/>
        <v>29</v>
      </c>
      <c r="BH270" s="728">
        <f t="shared" si="17"/>
        <v>3086.2068965517242</v>
      </c>
    </row>
    <row r="271" spans="1:60" x14ac:dyDescent="0.2">
      <c r="A271" s="723">
        <v>1605</v>
      </c>
      <c r="B271" s="723" t="str">
        <f>'BOULEVARD 5'!H276</f>
        <v>4.Plan de pagos</v>
      </c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>
        <v>10000</v>
      </c>
      <c r="U271" s="724">
        <v>8085</v>
      </c>
      <c r="V271" s="724">
        <v>8085</v>
      </c>
      <c r="W271" s="724">
        <v>8085</v>
      </c>
      <c r="X271" s="724">
        <v>8085</v>
      </c>
      <c r="Y271" s="724">
        <v>8085</v>
      </c>
      <c r="Z271" s="724">
        <v>8085</v>
      </c>
      <c r="AA271" s="724">
        <v>8085</v>
      </c>
      <c r="AB271" s="724">
        <v>8085</v>
      </c>
      <c r="AC271" s="724">
        <v>8085</v>
      </c>
      <c r="AD271" s="724">
        <v>8085</v>
      </c>
      <c r="AE271" s="724">
        <v>8085</v>
      </c>
      <c r="AF271" s="724">
        <v>8085</v>
      </c>
      <c r="AG271" s="724">
        <v>8085</v>
      </c>
      <c r="AH271" s="724">
        <v>8085</v>
      </c>
      <c r="AI271" s="724">
        <v>8085</v>
      </c>
      <c r="AJ271" s="724">
        <v>8080</v>
      </c>
      <c r="AK271" s="724"/>
      <c r="AL271" s="724"/>
      <c r="AM271" s="724"/>
      <c r="AN271" s="724"/>
      <c r="AO271" s="724"/>
      <c r="AP271" s="724"/>
      <c r="AQ271" s="724"/>
      <c r="AR271" s="724"/>
      <c r="AS271" s="724"/>
      <c r="AT271" s="724"/>
      <c r="AU271" s="724"/>
      <c r="AV271" s="724"/>
      <c r="AW271" s="724"/>
      <c r="AX271" s="724"/>
      <c r="AY271" s="724"/>
      <c r="AZ271" s="724"/>
      <c r="BA271" s="724"/>
      <c r="BB271" s="724"/>
      <c r="BC271" s="725">
        <f t="shared" si="18"/>
        <v>139355</v>
      </c>
      <c r="BD271" s="724">
        <f>+BC271-'BOULEVARD 5 orig.'!I276</f>
        <v>0</v>
      </c>
      <c r="BE271" s="724">
        <f t="shared" si="19"/>
        <v>139355</v>
      </c>
      <c r="BF271" s="726">
        <f>VLOOKUP(A271,'BOULEVARD 5 orig.'!B276:AS574,42,0)</f>
        <v>0</v>
      </c>
      <c r="BG271" s="727">
        <f t="shared" si="20"/>
        <v>17</v>
      </c>
      <c r="BH271" s="728">
        <f t="shared" si="17"/>
        <v>8197.3529411764703</v>
      </c>
    </row>
    <row r="272" spans="1:60" x14ac:dyDescent="0.2">
      <c r="A272" s="723">
        <v>1606</v>
      </c>
      <c r="B272" s="723" t="str">
        <f>'BOULEVARD 5'!H277</f>
        <v>1.Disponible</v>
      </c>
      <c r="C272" s="724"/>
      <c r="D272" s="724"/>
      <c r="E272" s="724"/>
      <c r="F272" s="724"/>
      <c r="G272" s="724"/>
      <c r="H272" s="724"/>
      <c r="I272" s="724"/>
      <c r="J272" s="724"/>
      <c r="K272" s="724"/>
      <c r="L272" s="724"/>
      <c r="M272" s="724"/>
      <c r="N272" s="724"/>
      <c r="O272" s="724"/>
      <c r="P272" s="724"/>
      <c r="Q272" s="724"/>
      <c r="R272" s="724"/>
      <c r="S272" s="724"/>
      <c r="T272" s="724"/>
      <c r="U272" s="724"/>
      <c r="V272" s="724"/>
      <c r="W272" s="724"/>
      <c r="X272" s="724"/>
      <c r="Y272" s="724"/>
      <c r="Z272" s="724"/>
      <c r="AA272" s="724"/>
      <c r="AB272" s="724"/>
      <c r="AC272" s="724"/>
      <c r="AD272" s="724"/>
      <c r="AE272" s="724"/>
      <c r="AF272" s="724"/>
      <c r="AG272" s="724"/>
      <c r="AH272" s="724"/>
      <c r="AI272" s="724"/>
      <c r="AJ272" s="724"/>
      <c r="AK272" s="724"/>
      <c r="AL272" s="724"/>
      <c r="AM272" s="724"/>
      <c r="AN272" s="724"/>
      <c r="AO272" s="724"/>
      <c r="AP272" s="724"/>
      <c r="AQ272" s="724"/>
      <c r="AR272" s="724"/>
      <c r="AS272" s="724"/>
      <c r="AT272" s="724"/>
      <c r="AU272" s="724"/>
      <c r="AV272" s="724"/>
      <c r="AW272" s="724"/>
      <c r="AX272" s="724"/>
      <c r="AY272" s="724"/>
      <c r="AZ272" s="724"/>
      <c r="BA272" s="724"/>
      <c r="BB272" s="724"/>
      <c r="BC272" s="725">
        <f t="shared" si="18"/>
        <v>0</v>
      </c>
      <c r="BD272" s="724">
        <f>+BC272-'BOULEVARD 5 orig.'!I277</f>
        <v>-99632.632441067908</v>
      </c>
      <c r="BE272" s="724">
        <f t="shared" si="19"/>
        <v>0</v>
      </c>
      <c r="BF272" s="726">
        <f>VLOOKUP(A272,'BOULEVARD 5 orig.'!B277:AS575,42,0)</f>
        <v>0</v>
      </c>
      <c r="BG272" s="727">
        <f t="shared" si="20"/>
        <v>0</v>
      </c>
      <c r="BH272" s="728">
        <f t="shared" si="17"/>
        <v>0</v>
      </c>
    </row>
    <row r="273" spans="1:60" x14ac:dyDescent="0.2">
      <c r="A273" s="723">
        <v>1607</v>
      </c>
      <c r="B273" s="723" t="str">
        <f>'BOULEVARD 5'!H278</f>
        <v>4.Plan de pagos</v>
      </c>
      <c r="C273" s="724"/>
      <c r="D273" s="724"/>
      <c r="E273" s="724">
        <v>6000</v>
      </c>
      <c r="F273" s="724">
        <v>1500</v>
      </c>
      <c r="G273" s="724">
        <v>1500</v>
      </c>
      <c r="H273" s="724">
        <v>1500</v>
      </c>
      <c r="I273" s="724">
        <v>1500</v>
      </c>
      <c r="J273" s="724">
        <v>1500</v>
      </c>
      <c r="K273" s="724">
        <v>1500</v>
      </c>
      <c r="L273" s="724">
        <v>1500</v>
      </c>
      <c r="M273" s="724">
        <v>1500</v>
      </c>
      <c r="N273" s="724">
        <v>1500</v>
      </c>
      <c r="O273" s="724">
        <v>1500</v>
      </c>
      <c r="P273" s="724">
        <v>1500</v>
      </c>
      <c r="Q273" s="724">
        <v>1500</v>
      </c>
      <c r="R273" s="724">
        <v>1500</v>
      </c>
      <c r="S273" s="724">
        <v>1500</v>
      </c>
      <c r="T273" s="724">
        <v>1500</v>
      </c>
      <c r="U273" s="724">
        <v>1500</v>
      </c>
      <c r="V273" s="724">
        <v>10000</v>
      </c>
      <c r="W273" s="724">
        <v>92510</v>
      </c>
      <c r="X273" s="724"/>
      <c r="Y273" s="724"/>
      <c r="Z273" s="724"/>
      <c r="AA273" s="724"/>
      <c r="AB273" s="724"/>
      <c r="AC273" s="724"/>
      <c r="AD273" s="724"/>
      <c r="AE273" s="724"/>
      <c r="AF273" s="724"/>
      <c r="AG273" s="724"/>
      <c r="AH273" s="724"/>
      <c r="AI273" s="724"/>
      <c r="AJ273" s="724"/>
      <c r="AK273" s="724"/>
      <c r="AL273" s="724"/>
      <c r="AM273" s="724"/>
      <c r="AN273" s="724"/>
      <c r="AO273" s="724"/>
      <c r="AP273" s="724"/>
      <c r="AQ273" s="724"/>
      <c r="AR273" s="724"/>
      <c r="AS273" s="724"/>
      <c r="AT273" s="724"/>
      <c r="AU273" s="724"/>
      <c r="AV273" s="724"/>
      <c r="AW273" s="724"/>
      <c r="AX273" s="724"/>
      <c r="AY273" s="724"/>
      <c r="AZ273" s="724"/>
      <c r="BA273" s="724"/>
      <c r="BB273" s="724"/>
      <c r="BC273" s="725">
        <f t="shared" si="18"/>
        <v>132510</v>
      </c>
      <c r="BD273" s="724">
        <f>+BC273-'BOULEVARD 5 orig.'!I278</f>
        <v>16010</v>
      </c>
      <c r="BE273" s="724">
        <f t="shared" si="19"/>
        <v>132510</v>
      </c>
      <c r="BF273" s="726">
        <f>VLOOKUP(A273,'BOULEVARD 5 orig.'!B278:AS576,42,0)</f>
        <v>0</v>
      </c>
      <c r="BG273" s="727">
        <f t="shared" si="20"/>
        <v>19</v>
      </c>
      <c r="BH273" s="728">
        <f t="shared" si="17"/>
        <v>6974.2105263157891</v>
      </c>
    </row>
    <row r="274" spans="1:60" x14ac:dyDescent="0.2">
      <c r="A274" s="729">
        <v>1608</v>
      </c>
      <c r="B274" s="723" t="str">
        <f>'BOULEVARD 5'!H279</f>
        <v>4.Plan de pagos</v>
      </c>
      <c r="C274" s="724">
        <v>6000</v>
      </c>
      <c r="D274" s="724">
        <v>3100</v>
      </c>
      <c r="E274" s="724">
        <v>3100</v>
      </c>
      <c r="F274" s="724">
        <v>3100</v>
      </c>
      <c r="G274" s="724">
        <v>3100</v>
      </c>
      <c r="H274" s="724">
        <v>3100</v>
      </c>
      <c r="I274" s="724">
        <v>3100</v>
      </c>
      <c r="J274" s="724">
        <v>3100</v>
      </c>
      <c r="K274" s="724">
        <v>3100</v>
      </c>
      <c r="L274" s="724">
        <v>3100</v>
      </c>
      <c r="M274" s="724">
        <v>3100</v>
      </c>
      <c r="N274" s="724">
        <v>3100</v>
      </c>
      <c r="O274" s="724">
        <v>3100</v>
      </c>
      <c r="P274" s="724">
        <v>3100</v>
      </c>
      <c r="Q274" s="724">
        <v>3100</v>
      </c>
      <c r="R274" s="724">
        <v>3100</v>
      </c>
      <c r="S274" s="724">
        <v>3100</v>
      </c>
      <c r="T274" s="724">
        <v>3100</v>
      </c>
      <c r="U274" s="724">
        <v>3100</v>
      </c>
      <c r="V274" s="724">
        <v>3100</v>
      </c>
      <c r="W274" s="724">
        <v>3100</v>
      </c>
      <c r="X274" s="724">
        <v>3100</v>
      </c>
      <c r="Y274" s="724">
        <v>3100</v>
      </c>
      <c r="Z274" s="724">
        <v>3100</v>
      </c>
      <c r="AA274" s="724">
        <v>3100</v>
      </c>
      <c r="AB274" s="724">
        <v>3100</v>
      </c>
      <c r="AC274" s="724">
        <v>3100</v>
      </c>
      <c r="AD274" s="724">
        <v>3100</v>
      </c>
      <c r="AE274" s="724">
        <v>3100</v>
      </c>
      <c r="AF274" s="724">
        <v>3100</v>
      </c>
      <c r="AG274" s="724">
        <v>3100</v>
      </c>
      <c r="AH274" s="724">
        <v>3100</v>
      </c>
      <c r="AI274" s="724">
        <v>3100</v>
      </c>
      <c r="AJ274" s="724">
        <v>3100</v>
      </c>
      <c r="AK274" s="724">
        <v>3100</v>
      </c>
      <c r="AL274" s="724">
        <v>4048</v>
      </c>
      <c r="AM274" s="724"/>
      <c r="AN274" s="724"/>
      <c r="AO274" s="724"/>
      <c r="AP274" s="724"/>
      <c r="AQ274" s="724"/>
      <c r="AR274" s="724"/>
      <c r="AS274" s="724"/>
      <c r="AT274" s="724"/>
      <c r="AU274" s="724"/>
      <c r="AV274" s="724"/>
      <c r="AW274" s="724"/>
      <c r="AX274" s="724"/>
      <c r="AY274" s="724"/>
      <c r="AZ274" s="724"/>
      <c r="BA274" s="724"/>
      <c r="BB274" s="724"/>
      <c r="BC274" s="725">
        <f t="shared" si="18"/>
        <v>115448</v>
      </c>
      <c r="BD274" s="724">
        <f>+BC274-'BOULEVARD 5 orig.'!I279</f>
        <v>0</v>
      </c>
      <c r="BE274" s="724">
        <f t="shared" si="19"/>
        <v>115448</v>
      </c>
      <c r="BF274" s="726">
        <f>VLOOKUP(A274,'BOULEVARD 5 orig.'!B279:AS577,42,0)</f>
        <v>0</v>
      </c>
      <c r="BG274" s="727">
        <f t="shared" si="20"/>
        <v>36</v>
      </c>
      <c r="BH274" s="728">
        <f t="shared" si="17"/>
        <v>3206.8888888888887</v>
      </c>
    </row>
    <row r="275" spans="1:60" x14ac:dyDescent="0.2">
      <c r="A275" s="723">
        <v>1609</v>
      </c>
      <c r="B275" s="723" t="str">
        <f>'BOULEVARD 5'!H280</f>
        <v>4.Plan de pagos</v>
      </c>
      <c r="C275" s="724">
        <v>6000</v>
      </c>
      <c r="D275" s="724">
        <v>2290</v>
      </c>
      <c r="E275" s="724">
        <v>2290</v>
      </c>
      <c r="F275" s="724">
        <v>2290</v>
      </c>
      <c r="G275" s="724">
        <v>2290</v>
      </c>
      <c r="H275" s="724">
        <v>2290</v>
      </c>
      <c r="I275" s="724">
        <v>2290</v>
      </c>
      <c r="J275" s="724">
        <v>2290</v>
      </c>
      <c r="K275" s="724">
        <v>2290</v>
      </c>
      <c r="L275" s="724">
        <v>2290</v>
      </c>
      <c r="M275" s="724">
        <v>2290</v>
      </c>
      <c r="N275" s="724">
        <v>2290</v>
      </c>
      <c r="O275" s="724">
        <v>2290</v>
      </c>
      <c r="P275" s="724">
        <v>2290</v>
      </c>
      <c r="Q275" s="724">
        <v>2290</v>
      </c>
      <c r="R275" s="724">
        <v>2290</v>
      </c>
      <c r="S275" s="724">
        <v>2290</v>
      </c>
      <c r="T275" s="724">
        <v>2290</v>
      </c>
      <c r="U275" s="724">
        <v>2290</v>
      </c>
      <c r="V275" s="724">
        <v>2290</v>
      </c>
      <c r="W275" s="724">
        <v>2290</v>
      </c>
      <c r="X275" s="724">
        <v>2290</v>
      </c>
      <c r="Y275" s="724">
        <v>2290</v>
      </c>
      <c r="Z275" s="724">
        <v>2290</v>
      </c>
      <c r="AA275" s="724">
        <v>2290</v>
      </c>
      <c r="AB275" s="724">
        <v>2290</v>
      </c>
      <c r="AC275" s="724">
        <v>2290</v>
      </c>
      <c r="AD275" s="724">
        <v>2290</v>
      </c>
      <c r="AE275" s="724">
        <v>2290</v>
      </c>
      <c r="AF275" s="724">
        <v>2290</v>
      </c>
      <c r="AG275" s="724">
        <v>2290</v>
      </c>
      <c r="AH275" s="724">
        <v>2290</v>
      </c>
      <c r="AI275" s="724">
        <v>2290</v>
      </c>
      <c r="AJ275" s="724">
        <v>2290</v>
      </c>
      <c r="AK275" s="724">
        <v>2290</v>
      </c>
      <c r="AL275" s="724">
        <v>2290.58</v>
      </c>
      <c r="AM275" s="724"/>
      <c r="AN275" s="724"/>
      <c r="AO275" s="724"/>
      <c r="AP275" s="724"/>
      <c r="AQ275" s="724"/>
      <c r="AR275" s="724"/>
      <c r="AS275" s="724"/>
      <c r="AT275" s="724"/>
      <c r="AU275" s="724"/>
      <c r="AV275" s="724"/>
      <c r="AW275" s="724"/>
      <c r="AX275" s="724"/>
      <c r="AY275" s="724"/>
      <c r="AZ275" s="724"/>
      <c r="BA275" s="724"/>
      <c r="BB275" s="724"/>
      <c r="BC275" s="725">
        <f t="shared" si="18"/>
        <v>86150.58</v>
      </c>
      <c r="BD275" s="724">
        <f>+BC275-'BOULEVARD 5 orig.'!I280</f>
        <v>0</v>
      </c>
      <c r="BE275" s="724">
        <f t="shared" si="19"/>
        <v>86150.58</v>
      </c>
      <c r="BF275" s="726">
        <f>VLOOKUP(A275,'BOULEVARD 5 orig.'!B280:AS578,42,0)</f>
        <v>0</v>
      </c>
      <c r="BG275" s="727">
        <f t="shared" si="20"/>
        <v>36</v>
      </c>
      <c r="BH275" s="728">
        <f t="shared" si="17"/>
        <v>2393.0716666666667</v>
      </c>
    </row>
    <row r="276" spans="1:60" x14ac:dyDescent="0.2">
      <c r="A276" s="723">
        <v>1610</v>
      </c>
      <c r="B276" s="723" t="str">
        <f>'BOULEVARD 5'!H281</f>
        <v>4.Plan de pagos</v>
      </c>
      <c r="C276" s="724"/>
      <c r="D276" s="724"/>
      <c r="E276" s="724"/>
      <c r="F276" s="724">
        <f>6000+89008.13</f>
        <v>95008.13</v>
      </c>
      <c r="G276" s="724">
        <v>29447</v>
      </c>
      <c r="H276" s="724">
        <v>29447</v>
      </c>
      <c r="I276" s="724">
        <v>29447</v>
      </c>
      <c r="J276" s="724">
        <v>29447</v>
      </c>
      <c r="K276" s="724">
        <v>29447</v>
      </c>
      <c r="L276" s="724">
        <v>29447</v>
      </c>
      <c r="M276" s="724">
        <v>29447</v>
      </c>
      <c r="N276" s="724">
        <v>29447</v>
      </c>
      <c r="O276" s="724">
        <v>29447</v>
      </c>
      <c r="P276" s="724">
        <v>29447</v>
      </c>
      <c r="Q276" s="724">
        <v>29447</v>
      </c>
      <c r="R276" s="724">
        <v>29447</v>
      </c>
      <c r="S276" s="724">
        <v>29447</v>
      </c>
      <c r="T276" s="724">
        <v>29447</v>
      </c>
      <c r="U276" s="724">
        <v>29447</v>
      </c>
      <c r="V276" s="724">
        <v>29447</v>
      </c>
      <c r="W276" s="724">
        <v>29447</v>
      </c>
      <c r="X276" s="724">
        <v>29447</v>
      </c>
      <c r="Y276" s="724">
        <v>29447</v>
      </c>
      <c r="Z276" s="724">
        <v>29447</v>
      </c>
      <c r="AA276" s="724">
        <v>29447</v>
      </c>
      <c r="AB276" s="724">
        <v>29447</v>
      </c>
      <c r="AC276" s="724">
        <v>29447</v>
      </c>
      <c r="AD276" s="724">
        <v>29447</v>
      </c>
      <c r="AE276" s="724">
        <v>29447</v>
      </c>
      <c r="AF276" s="724">
        <v>29447</v>
      </c>
      <c r="AG276" s="724">
        <v>29451.21</v>
      </c>
      <c r="AH276" s="724"/>
      <c r="AI276" s="724"/>
      <c r="AJ276" s="724"/>
      <c r="AK276" s="724"/>
      <c r="AL276" s="724"/>
      <c r="AM276" s="724"/>
      <c r="AN276" s="724"/>
      <c r="AO276" s="724"/>
      <c r="AP276" s="724"/>
      <c r="AQ276" s="724"/>
      <c r="AR276" s="724"/>
      <c r="AS276" s="724"/>
      <c r="AT276" s="724"/>
      <c r="AU276" s="724"/>
      <c r="AV276" s="724"/>
      <c r="AW276" s="724"/>
      <c r="AX276" s="724"/>
      <c r="AY276" s="724"/>
      <c r="AZ276" s="724"/>
      <c r="BA276" s="724"/>
      <c r="BB276" s="724"/>
      <c r="BC276" s="725">
        <f t="shared" si="18"/>
        <v>890081.34</v>
      </c>
      <c r="BD276" s="724">
        <f>+BC276-'BOULEVARD 5 orig.'!I281</f>
        <v>0</v>
      </c>
      <c r="BE276" s="724">
        <f t="shared" si="19"/>
        <v>890081.34</v>
      </c>
      <c r="BF276" s="726">
        <f>VLOOKUP(A276,'BOULEVARD 5 orig.'!B281:AS579,42,0)</f>
        <v>0</v>
      </c>
      <c r="BG276" s="727">
        <f t="shared" si="20"/>
        <v>28</v>
      </c>
      <c r="BH276" s="728">
        <f t="shared" si="17"/>
        <v>31788.619285714285</v>
      </c>
    </row>
    <row r="277" spans="1:60" x14ac:dyDescent="0.2">
      <c r="A277" s="723">
        <v>1611</v>
      </c>
      <c r="B277" s="723" t="str">
        <f>'BOULEVARD 5'!H282</f>
        <v>2. Reserva</v>
      </c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4"/>
      <c r="P277" s="724"/>
      <c r="Q277" s="724"/>
      <c r="R277" s="724"/>
      <c r="S277" s="724"/>
      <c r="T277" s="724"/>
      <c r="U277" s="724"/>
      <c r="V277" s="724"/>
      <c r="W277" s="724"/>
      <c r="X277" s="724"/>
      <c r="Y277" s="724"/>
      <c r="Z277" s="724"/>
      <c r="AA277" s="724"/>
      <c r="AB277" s="724"/>
      <c r="AC277" s="724"/>
      <c r="AD277" s="724"/>
      <c r="AE277" s="724"/>
      <c r="AF277" s="724"/>
      <c r="AG277" s="724"/>
      <c r="AH277" s="724"/>
      <c r="AI277" s="724">
        <v>10000</v>
      </c>
      <c r="AJ277" s="724">
        <v>13500</v>
      </c>
      <c r="AK277" s="724">
        <v>13500</v>
      </c>
      <c r="AL277" s="724">
        <v>13500</v>
      </c>
      <c r="AM277" s="724">
        <v>13500</v>
      </c>
      <c r="AN277" s="724">
        <v>13500</v>
      </c>
      <c r="AO277" s="724">
        <v>13500</v>
      </c>
      <c r="AP277" s="724">
        <v>13500</v>
      </c>
      <c r="AQ277" s="724"/>
      <c r="AR277" s="724"/>
      <c r="AS277" s="724"/>
      <c r="AT277" s="724"/>
      <c r="AU277" s="724"/>
      <c r="AV277" s="724"/>
      <c r="AW277" s="724"/>
      <c r="AX277" s="724"/>
      <c r="AY277" s="724"/>
      <c r="AZ277" s="724"/>
      <c r="BA277" s="724"/>
      <c r="BB277" s="724"/>
      <c r="BC277" s="725">
        <f t="shared" si="18"/>
        <v>104500</v>
      </c>
      <c r="BD277" s="724">
        <f>+BC277-'BOULEVARD 5 orig.'!I282</f>
        <v>-39300</v>
      </c>
      <c r="BE277" s="724">
        <f t="shared" si="19"/>
        <v>104500</v>
      </c>
      <c r="BF277" s="726">
        <f>VLOOKUP(A277,'BOULEVARD 5 orig.'!B282:AS580,42,0)</f>
        <v>0</v>
      </c>
      <c r="BG277" s="727">
        <f t="shared" si="20"/>
        <v>8</v>
      </c>
      <c r="BH277" s="728">
        <f t="shared" si="17"/>
        <v>13062.5</v>
      </c>
    </row>
    <row r="278" spans="1:60" x14ac:dyDescent="0.2">
      <c r="A278" s="723">
        <v>1612</v>
      </c>
      <c r="B278" s="723" t="str">
        <f>'BOULEVARD 5'!H283</f>
        <v>1.Disponible</v>
      </c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4"/>
      <c r="P278" s="724"/>
      <c r="Q278" s="724"/>
      <c r="R278" s="724"/>
      <c r="S278" s="724"/>
      <c r="T278" s="724"/>
      <c r="U278" s="724"/>
      <c r="V278" s="724"/>
      <c r="W278" s="724"/>
      <c r="X278" s="724"/>
      <c r="Y278" s="724"/>
      <c r="Z278" s="724"/>
      <c r="AA278" s="724"/>
      <c r="AB278" s="724"/>
      <c r="AC278" s="724"/>
      <c r="AD278" s="724"/>
      <c r="AE278" s="724"/>
      <c r="AF278" s="724"/>
      <c r="AG278" s="724"/>
      <c r="AH278" s="724"/>
      <c r="AI278" s="724"/>
      <c r="AJ278" s="724"/>
      <c r="AK278" s="724"/>
      <c r="AL278" s="724"/>
      <c r="AM278" s="724"/>
      <c r="AN278" s="724"/>
      <c r="AO278" s="724"/>
      <c r="AP278" s="724"/>
      <c r="AQ278" s="724"/>
      <c r="AR278" s="724"/>
      <c r="AS278" s="724"/>
      <c r="AT278" s="724"/>
      <c r="AU278" s="724"/>
      <c r="AV278" s="724"/>
      <c r="AW278" s="724"/>
      <c r="AX278" s="724"/>
      <c r="AY278" s="724"/>
      <c r="AZ278" s="724"/>
      <c r="BA278" s="724"/>
      <c r="BB278" s="724"/>
      <c r="BC278" s="725">
        <f t="shared" si="18"/>
        <v>0</v>
      </c>
      <c r="BD278" s="724">
        <f>+BC278-'BOULEVARD 5 orig.'!I283</f>
        <v>-98258.364168812812</v>
      </c>
      <c r="BE278" s="724">
        <f t="shared" si="19"/>
        <v>0</v>
      </c>
      <c r="BF278" s="726">
        <f>VLOOKUP(A278,'BOULEVARD 5 orig.'!B283:AS581,42,0)</f>
        <v>0</v>
      </c>
      <c r="BG278" s="727">
        <f t="shared" si="20"/>
        <v>0</v>
      </c>
      <c r="BH278" s="728">
        <f t="shared" si="17"/>
        <v>0</v>
      </c>
    </row>
    <row r="279" spans="1:60" x14ac:dyDescent="0.2">
      <c r="A279" s="729">
        <v>1701</v>
      </c>
      <c r="B279" s="723" t="str">
        <f>'BOULEVARD 5'!H284</f>
        <v>4.Plan de pagos</v>
      </c>
      <c r="C279" s="724">
        <v>6000</v>
      </c>
      <c r="D279" s="724">
        <v>3800</v>
      </c>
      <c r="E279" s="724">
        <v>3800</v>
      </c>
      <c r="F279" s="724">
        <v>3800</v>
      </c>
      <c r="G279" s="724">
        <v>3800</v>
      </c>
      <c r="H279" s="724">
        <v>3800</v>
      </c>
      <c r="I279" s="724">
        <v>3800</v>
      </c>
      <c r="J279" s="724">
        <v>3800</v>
      </c>
      <c r="K279" s="724">
        <v>3800</v>
      </c>
      <c r="L279" s="724">
        <v>3800</v>
      </c>
      <c r="M279" s="724">
        <v>3800</v>
      </c>
      <c r="N279" s="724">
        <v>3800</v>
      </c>
      <c r="O279" s="724">
        <v>3800</v>
      </c>
      <c r="P279" s="724">
        <v>3800</v>
      </c>
      <c r="Q279" s="724">
        <v>3800</v>
      </c>
      <c r="R279" s="724">
        <v>3800</v>
      </c>
      <c r="S279" s="724">
        <v>3800</v>
      </c>
      <c r="T279" s="724">
        <v>3800</v>
      </c>
      <c r="U279" s="724">
        <v>3800</v>
      </c>
      <c r="V279" s="724">
        <v>3800</v>
      </c>
      <c r="W279" s="724">
        <v>3800</v>
      </c>
      <c r="X279" s="724">
        <v>3800</v>
      </c>
      <c r="Y279" s="724">
        <v>3800</v>
      </c>
      <c r="Z279" s="724">
        <v>3800</v>
      </c>
      <c r="AA279" s="724">
        <v>3800</v>
      </c>
      <c r="AB279" s="724">
        <v>3800</v>
      </c>
      <c r="AC279" s="724">
        <v>3800</v>
      </c>
      <c r="AD279" s="724">
        <v>3800</v>
      </c>
      <c r="AE279" s="724">
        <v>3800</v>
      </c>
      <c r="AF279" s="724">
        <v>3800</v>
      </c>
      <c r="AG279" s="724">
        <v>3800</v>
      </c>
      <c r="AH279" s="724">
        <v>3800</v>
      </c>
      <c r="AI279" s="724">
        <v>3800</v>
      </c>
      <c r="AJ279" s="724">
        <v>3800</v>
      </c>
      <c r="AK279" s="724">
        <v>3800</v>
      </c>
      <c r="AL279" s="724">
        <v>3870</v>
      </c>
      <c r="AM279" s="724"/>
      <c r="AN279" s="724"/>
      <c r="AO279" s="724"/>
      <c r="AP279" s="724"/>
      <c r="AQ279" s="724"/>
      <c r="AR279" s="724"/>
      <c r="AS279" s="724"/>
      <c r="AT279" s="724"/>
      <c r="AU279" s="724"/>
      <c r="AV279" s="724"/>
      <c r="AW279" s="724"/>
      <c r="AX279" s="724"/>
      <c r="AY279" s="724"/>
      <c r="AZ279" s="724"/>
      <c r="BA279" s="724"/>
      <c r="BB279" s="724"/>
      <c r="BC279" s="725">
        <f t="shared" si="18"/>
        <v>139070</v>
      </c>
      <c r="BD279" s="724">
        <f>+BC279-'BOULEVARD 5 orig.'!I284</f>
        <v>0</v>
      </c>
      <c r="BE279" s="724">
        <f t="shared" si="19"/>
        <v>139070</v>
      </c>
      <c r="BF279" s="726">
        <f>VLOOKUP(A279,'BOULEVARD 5 orig.'!B284:AS582,42,0)</f>
        <v>0</v>
      </c>
      <c r="BG279" s="727">
        <f t="shared" si="20"/>
        <v>36</v>
      </c>
      <c r="BH279" s="728">
        <f t="shared" si="17"/>
        <v>3863.0555555555557</v>
      </c>
    </row>
    <row r="280" spans="1:60" x14ac:dyDescent="0.2">
      <c r="A280" s="723">
        <v>1702</v>
      </c>
      <c r="B280" s="723" t="str">
        <f>'BOULEVARD 5'!H285</f>
        <v>4.Plan de pagos</v>
      </c>
      <c r="C280" s="724"/>
      <c r="D280" s="724">
        <v>6000</v>
      </c>
      <c r="E280" s="724">
        <v>2000</v>
      </c>
      <c r="F280" s="724">
        <v>2000</v>
      </c>
      <c r="G280" s="724">
        <v>2000</v>
      </c>
      <c r="H280" s="724">
        <v>2000</v>
      </c>
      <c r="I280" s="724">
        <v>2000</v>
      </c>
      <c r="J280" s="724">
        <v>2000</v>
      </c>
      <c r="K280" s="724">
        <v>2000</v>
      </c>
      <c r="L280" s="724">
        <v>2000</v>
      </c>
      <c r="M280" s="724">
        <v>2000</v>
      </c>
      <c r="N280" s="724">
        <v>2000</v>
      </c>
      <c r="O280" s="724">
        <v>2000</v>
      </c>
      <c r="P280" s="724">
        <v>2000</v>
      </c>
      <c r="Q280" s="724">
        <v>2000</v>
      </c>
      <c r="R280" s="724">
        <v>2000</v>
      </c>
      <c r="S280" s="724">
        <v>2000</v>
      </c>
      <c r="T280" s="724">
        <v>2000</v>
      </c>
      <c r="U280" s="724">
        <v>2000</v>
      </c>
      <c r="V280" s="724">
        <v>2000</v>
      </c>
      <c r="W280" s="724">
        <v>2000</v>
      </c>
      <c r="X280" s="724">
        <v>2000</v>
      </c>
      <c r="Y280" s="724">
        <v>2000</v>
      </c>
      <c r="Z280" s="724">
        <v>2000</v>
      </c>
      <c r="AA280" s="724">
        <v>2000</v>
      </c>
      <c r="AB280" s="724">
        <v>2000</v>
      </c>
      <c r="AC280" s="724">
        <v>2000</v>
      </c>
      <c r="AD280" s="724">
        <v>2000</v>
      </c>
      <c r="AE280" s="724">
        <v>2000</v>
      </c>
      <c r="AF280" s="724">
        <v>2000</v>
      </c>
      <c r="AG280" s="724">
        <v>4700</v>
      </c>
      <c r="AH280" s="724"/>
      <c r="AI280" s="724"/>
      <c r="AJ280" s="724"/>
      <c r="AK280" s="724"/>
      <c r="AL280" s="724"/>
      <c r="AM280" s="724"/>
      <c r="AN280" s="724"/>
      <c r="AO280" s="724"/>
      <c r="AP280" s="724"/>
      <c r="AQ280" s="724"/>
      <c r="AR280" s="724"/>
      <c r="AS280" s="724"/>
      <c r="AT280" s="724"/>
      <c r="AU280" s="724"/>
      <c r="AV280" s="724"/>
      <c r="AW280" s="724"/>
      <c r="AX280" s="724"/>
      <c r="AY280" s="724"/>
      <c r="AZ280" s="724"/>
      <c r="BA280" s="724"/>
      <c r="BB280" s="724"/>
      <c r="BC280" s="725">
        <f t="shared" si="18"/>
        <v>66700</v>
      </c>
      <c r="BD280" s="724">
        <f>+BC280-'BOULEVARD 5 orig.'!I285</f>
        <v>0</v>
      </c>
      <c r="BE280" s="724">
        <f t="shared" si="19"/>
        <v>66700</v>
      </c>
      <c r="BF280" s="726">
        <f>VLOOKUP(A280,'BOULEVARD 5 orig.'!B285:AS583,42,0)</f>
        <v>0</v>
      </c>
      <c r="BG280" s="727">
        <f t="shared" si="20"/>
        <v>30</v>
      </c>
      <c r="BH280" s="728">
        <f t="shared" si="17"/>
        <v>2223.3333333333335</v>
      </c>
    </row>
    <row r="281" spans="1:60" x14ac:dyDescent="0.2">
      <c r="A281" s="736">
        <v>1703</v>
      </c>
      <c r="B281" s="736" t="str">
        <f>'BOULEVARD 5'!H286</f>
        <v>4.Plan de pagos</v>
      </c>
      <c r="C281" s="724"/>
      <c r="D281" s="724"/>
      <c r="E281" s="724"/>
      <c r="F281" s="724"/>
      <c r="G281" s="724"/>
      <c r="H281" s="724"/>
      <c r="I281" s="724"/>
      <c r="J281" s="724"/>
      <c r="K281" s="724"/>
      <c r="L281" s="724"/>
      <c r="M281" s="724"/>
      <c r="N281" s="724"/>
      <c r="O281" s="724"/>
      <c r="P281" s="724"/>
      <c r="Q281" s="724"/>
      <c r="R281" s="724"/>
      <c r="S281" s="724"/>
      <c r="T281" s="724"/>
      <c r="U281" s="724"/>
      <c r="V281" s="724"/>
      <c r="W281" s="724"/>
      <c r="X281" s="724"/>
      <c r="Y281" s="724"/>
      <c r="Z281" s="724"/>
      <c r="AA281" s="724"/>
      <c r="AB281" s="724">
        <v>10000</v>
      </c>
      <c r="AC281" s="724">
        <v>10385</v>
      </c>
      <c r="AD281" s="724">
        <v>10385</v>
      </c>
      <c r="AE281" s="724">
        <v>10385</v>
      </c>
      <c r="AF281" s="724">
        <v>10385</v>
      </c>
      <c r="AG281" s="724">
        <v>10385</v>
      </c>
      <c r="AH281" s="724">
        <v>10385</v>
      </c>
      <c r="AI281" s="724">
        <v>10385</v>
      </c>
      <c r="AJ281" s="724">
        <v>10385</v>
      </c>
      <c r="AK281" s="724">
        <v>10385</v>
      </c>
      <c r="AL281" s="724">
        <v>10385</v>
      </c>
      <c r="AM281" s="724">
        <v>10385</v>
      </c>
      <c r="AN281" s="724">
        <v>10385</v>
      </c>
      <c r="AO281" s="724">
        <v>10385</v>
      </c>
      <c r="AP281" s="724"/>
      <c r="AQ281" s="724"/>
      <c r="AR281" s="724"/>
      <c r="AS281" s="724"/>
      <c r="AT281" s="724"/>
      <c r="AU281" s="724"/>
      <c r="AV281" s="724"/>
      <c r="AW281" s="724"/>
      <c r="AX281" s="724"/>
      <c r="AY281" s="724"/>
      <c r="AZ281" s="724"/>
      <c r="BA281" s="724"/>
      <c r="BB281" s="724"/>
      <c r="BC281" s="725">
        <f t="shared" si="18"/>
        <v>145005</v>
      </c>
      <c r="BD281" s="724">
        <f>+BC281-'BOULEVARD 5 orig.'!I286</f>
        <v>3881.052723552013</v>
      </c>
      <c r="BE281" s="724">
        <f t="shared" si="19"/>
        <v>145005</v>
      </c>
      <c r="BF281" s="726">
        <f>VLOOKUP(A281,'BOULEVARD 5 orig.'!B286:AS584,42,0)</f>
        <v>0</v>
      </c>
      <c r="BG281" s="727">
        <f t="shared" si="20"/>
        <v>14</v>
      </c>
      <c r="BH281" s="728">
        <f t="shared" si="17"/>
        <v>10357.5</v>
      </c>
    </row>
    <row r="282" spans="1:60" x14ac:dyDescent="0.2">
      <c r="A282" s="723">
        <v>1704</v>
      </c>
      <c r="B282" s="723" t="str">
        <f>'BOULEVARD 5'!H287</f>
        <v>4.Plan de pagos</v>
      </c>
      <c r="C282" s="724">
        <v>6000</v>
      </c>
      <c r="D282" s="724">
        <v>1600</v>
      </c>
      <c r="E282" s="724">
        <v>1600</v>
      </c>
      <c r="F282" s="724">
        <v>1600</v>
      </c>
      <c r="G282" s="724">
        <v>1600</v>
      </c>
      <c r="H282" s="724">
        <v>1600</v>
      </c>
      <c r="I282" s="724">
        <v>1600</v>
      </c>
      <c r="J282" s="724">
        <v>1600</v>
      </c>
      <c r="K282" s="724">
        <v>1600</v>
      </c>
      <c r="L282" s="724">
        <v>1600</v>
      </c>
      <c r="M282" s="724">
        <v>1600</v>
      </c>
      <c r="N282" s="724">
        <v>1600</v>
      </c>
      <c r="O282" s="724">
        <v>1600</v>
      </c>
      <c r="P282" s="724">
        <v>1600</v>
      </c>
      <c r="Q282" s="724">
        <v>1600</v>
      </c>
      <c r="R282" s="724">
        <v>1600</v>
      </c>
      <c r="S282" s="724">
        <v>1600</v>
      </c>
      <c r="T282" s="724">
        <v>1600</v>
      </c>
      <c r="U282" s="724">
        <v>1600</v>
      </c>
      <c r="V282" s="724">
        <v>1600</v>
      </c>
      <c r="W282" s="724">
        <v>1600</v>
      </c>
      <c r="X282" s="724">
        <v>1600</v>
      </c>
      <c r="Y282" s="724">
        <v>1600</v>
      </c>
      <c r="Z282" s="724">
        <v>1600</v>
      </c>
      <c r="AA282" s="724">
        <v>1600</v>
      </c>
      <c r="AB282" s="724">
        <v>1600</v>
      </c>
      <c r="AC282" s="724">
        <v>1600</v>
      </c>
      <c r="AD282" s="724">
        <v>1600</v>
      </c>
      <c r="AE282" s="724">
        <v>1600</v>
      </c>
      <c r="AF282" s="724">
        <v>1600</v>
      </c>
      <c r="AG282" s="724">
        <v>1600</v>
      </c>
      <c r="AH282" s="724">
        <v>1600</v>
      </c>
      <c r="AI282" s="724">
        <v>1600</v>
      </c>
      <c r="AJ282" s="724">
        <v>1600</v>
      </c>
      <c r="AK282" s="724">
        <v>1600</v>
      </c>
      <c r="AL282" s="724">
        <v>1600</v>
      </c>
      <c r="AM282" s="724"/>
      <c r="AN282" s="724"/>
      <c r="AO282" s="724"/>
      <c r="AP282" s="724"/>
      <c r="AQ282" s="724"/>
      <c r="AR282" s="724"/>
      <c r="AS282" s="724"/>
      <c r="AT282" s="724"/>
      <c r="AU282" s="724"/>
      <c r="AV282" s="724"/>
      <c r="AW282" s="724"/>
      <c r="AX282" s="724"/>
      <c r="AY282" s="724"/>
      <c r="AZ282" s="724"/>
      <c r="BA282" s="724"/>
      <c r="BB282" s="724"/>
      <c r="BC282" s="725">
        <f t="shared" si="18"/>
        <v>62000</v>
      </c>
      <c r="BD282" s="724">
        <f>+BC282-'BOULEVARD 5 orig.'!I287</f>
        <v>0</v>
      </c>
      <c r="BE282" s="724">
        <f t="shared" si="19"/>
        <v>62000</v>
      </c>
      <c r="BF282" s="726">
        <f>VLOOKUP(A282,'BOULEVARD 5 orig.'!B287:AS585,42,0)</f>
        <v>0</v>
      </c>
      <c r="BG282" s="727">
        <f t="shared" si="20"/>
        <v>36</v>
      </c>
      <c r="BH282" s="728">
        <f t="shared" si="17"/>
        <v>1722.2222222222222</v>
      </c>
    </row>
    <row r="283" spans="1:60" x14ac:dyDescent="0.2">
      <c r="A283" s="736">
        <v>1705</v>
      </c>
      <c r="B283" s="736" t="str">
        <f>'BOULEVARD 5'!H288</f>
        <v>4.Plan de pagos</v>
      </c>
      <c r="C283" s="724"/>
      <c r="D283" s="724"/>
      <c r="E283" s="724"/>
      <c r="F283" s="724"/>
      <c r="G283" s="724"/>
      <c r="H283" s="724"/>
      <c r="I283" s="724"/>
      <c r="J283" s="724"/>
      <c r="K283" s="724"/>
      <c r="L283" s="724"/>
      <c r="M283" s="724"/>
      <c r="N283" s="724"/>
      <c r="O283" s="724"/>
      <c r="P283" s="724"/>
      <c r="Q283" s="724"/>
      <c r="R283" s="724"/>
      <c r="S283" s="724"/>
      <c r="T283" s="724"/>
      <c r="U283" s="724"/>
      <c r="V283" s="724"/>
      <c r="W283" s="724"/>
      <c r="X283" s="724"/>
      <c r="Y283" s="724"/>
      <c r="Z283" s="724"/>
      <c r="AA283" s="724"/>
      <c r="AB283" s="724">
        <v>10000</v>
      </c>
      <c r="AC283" s="724">
        <v>65592.83</v>
      </c>
      <c r="AD283" s="724">
        <v>69050.44</v>
      </c>
      <c r="AE283" s="724"/>
      <c r="AF283" s="724"/>
      <c r="AG283" s="724"/>
      <c r="AH283" s="724"/>
      <c r="AI283" s="724"/>
      <c r="AJ283" s="724"/>
      <c r="AK283" s="724"/>
      <c r="AL283" s="724"/>
      <c r="AM283" s="724"/>
      <c r="AN283" s="724"/>
      <c r="AO283" s="724"/>
      <c r="AP283" s="724"/>
      <c r="AQ283" s="724"/>
      <c r="AR283" s="724"/>
      <c r="AS283" s="724"/>
      <c r="AT283" s="724"/>
      <c r="AU283" s="724"/>
      <c r="AV283" s="724"/>
      <c r="AW283" s="724"/>
      <c r="AX283" s="724"/>
      <c r="AY283" s="724"/>
      <c r="AZ283" s="724"/>
      <c r="BA283" s="724"/>
      <c r="BB283" s="724"/>
      <c r="BC283" s="725">
        <f t="shared" si="18"/>
        <v>144643.27000000002</v>
      </c>
      <c r="BD283" s="724">
        <f>+BC283-'BOULEVARD 5 orig.'!I288</f>
        <v>38.946000000025379</v>
      </c>
      <c r="BE283" s="724">
        <f t="shared" si="19"/>
        <v>144643.27000000002</v>
      </c>
      <c r="BF283" s="726">
        <f>VLOOKUP(A283,'BOULEVARD 5 orig.'!B288:AS586,42,0)</f>
        <v>0</v>
      </c>
      <c r="BG283" s="727">
        <f t="shared" si="20"/>
        <v>3</v>
      </c>
      <c r="BH283" s="728">
        <f t="shared" si="17"/>
        <v>48214.42333333334</v>
      </c>
    </row>
    <row r="284" spans="1:60" x14ac:dyDescent="0.2">
      <c r="A284" s="729">
        <v>1706</v>
      </c>
      <c r="B284" s="723" t="str">
        <f>'BOULEVARD 5'!H289</f>
        <v>4.Plan de pagos</v>
      </c>
      <c r="C284" s="724">
        <v>6000</v>
      </c>
      <c r="D284" s="724">
        <v>2400</v>
      </c>
      <c r="E284" s="724">
        <v>2400</v>
      </c>
      <c r="F284" s="724">
        <v>2400</v>
      </c>
      <c r="G284" s="724">
        <v>2400</v>
      </c>
      <c r="H284" s="724">
        <v>2400</v>
      </c>
      <c r="I284" s="724">
        <v>2400</v>
      </c>
      <c r="J284" s="724">
        <v>2400</v>
      </c>
      <c r="K284" s="724">
        <v>2400</v>
      </c>
      <c r="L284" s="724">
        <v>2400</v>
      </c>
      <c r="M284" s="724">
        <v>2400</v>
      </c>
      <c r="N284" s="724">
        <v>2400</v>
      </c>
      <c r="O284" s="724">
        <v>2400</v>
      </c>
      <c r="P284" s="724">
        <v>2400</v>
      </c>
      <c r="Q284" s="724">
        <v>2400</v>
      </c>
      <c r="R284" s="724">
        <v>2400</v>
      </c>
      <c r="S284" s="724">
        <v>2400</v>
      </c>
      <c r="T284" s="724">
        <v>2400</v>
      </c>
      <c r="U284" s="724">
        <v>2400</v>
      </c>
      <c r="V284" s="724">
        <v>2400</v>
      </c>
      <c r="W284" s="724">
        <v>2400</v>
      </c>
      <c r="X284" s="724">
        <v>2400</v>
      </c>
      <c r="Y284" s="724">
        <v>2400</v>
      </c>
      <c r="Z284" s="724">
        <v>2400</v>
      </c>
      <c r="AA284" s="724">
        <v>2400</v>
      </c>
      <c r="AB284" s="724">
        <v>2400</v>
      </c>
      <c r="AC284" s="724">
        <v>2400</v>
      </c>
      <c r="AD284" s="724">
        <v>2400</v>
      </c>
      <c r="AE284" s="724">
        <v>2400</v>
      </c>
      <c r="AF284" s="724">
        <v>2400</v>
      </c>
      <c r="AG284" s="724">
        <v>2400</v>
      </c>
      <c r="AH284" s="724">
        <v>2400</v>
      </c>
      <c r="AI284" s="724">
        <v>2400</v>
      </c>
      <c r="AJ284" s="724">
        <v>2400</v>
      </c>
      <c r="AK284" s="724">
        <v>1200</v>
      </c>
      <c r="AL284" s="724">
        <v>651</v>
      </c>
      <c r="AM284" s="724"/>
      <c r="AN284" s="724"/>
      <c r="AO284" s="724"/>
      <c r="AP284" s="724"/>
      <c r="AQ284" s="724"/>
      <c r="AR284" s="724"/>
      <c r="AS284" s="724"/>
      <c r="AT284" s="724"/>
      <c r="AU284" s="724"/>
      <c r="AV284" s="724"/>
      <c r="AW284" s="724"/>
      <c r="AX284" s="724"/>
      <c r="AY284" s="724"/>
      <c r="AZ284" s="724"/>
      <c r="BA284" s="724"/>
      <c r="BB284" s="724"/>
      <c r="BC284" s="725">
        <f t="shared" si="18"/>
        <v>87051</v>
      </c>
      <c r="BD284" s="724">
        <f>+BC284-'BOULEVARD 5 orig.'!I289</f>
        <v>0</v>
      </c>
      <c r="BE284" s="724">
        <f t="shared" si="19"/>
        <v>87051</v>
      </c>
      <c r="BF284" s="726">
        <f>VLOOKUP(A284,'BOULEVARD 5 orig.'!B289:AS587,42,0)</f>
        <v>0</v>
      </c>
      <c r="BG284" s="727">
        <f t="shared" si="20"/>
        <v>36</v>
      </c>
      <c r="BH284" s="728">
        <f t="shared" si="17"/>
        <v>2418.0833333333335</v>
      </c>
    </row>
    <row r="285" spans="1:60" x14ac:dyDescent="0.2">
      <c r="A285" s="723">
        <v>1707</v>
      </c>
      <c r="B285" s="723" t="str">
        <f>'BOULEVARD 5'!H290</f>
        <v>4.Plan de pagos</v>
      </c>
      <c r="C285" s="724"/>
      <c r="D285" s="724"/>
      <c r="E285" s="724"/>
      <c r="F285" s="724"/>
      <c r="G285" s="724"/>
      <c r="H285" s="724"/>
      <c r="I285" s="724"/>
      <c r="J285" s="724"/>
      <c r="K285" s="724"/>
      <c r="L285" s="724"/>
      <c r="M285" s="724"/>
      <c r="N285" s="724"/>
      <c r="O285" s="724"/>
      <c r="P285" s="724"/>
      <c r="Q285" s="724"/>
      <c r="R285" s="724"/>
      <c r="S285" s="724"/>
      <c r="T285" s="724"/>
      <c r="U285" s="724"/>
      <c r="V285" s="724"/>
      <c r="W285" s="724"/>
      <c r="X285" s="724"/>
      <c r="Y285" s="724"/>
      <c r="Z285" s="724"/>
      <c r="AA285" s="724">
        <v>10000</v>
      </c>
      <c r="AB285" s="724">
        <v>5050</v>
      </c>
      <c r="AC285" s="724">
        <v>5050</v>
      </c>
      <c r="AD285" s="724">
        <v>5050</v>
      </c>
      <c r="AE285" s="724">
        <v>5050</v>
      </c>
      <c r="AF285" s="724">
        <v>5050</v>
      </c>
      <c r="AG285" s="724">
        <v>5050</v>
      </c>
      <c r="AH285" s="724">
        <v>5050</v>
      </c>
      <c r="AI285" s="724">
        <v>5050</v>
      </c>
      <c r="AJ285" s="724">
        <v>5050</v>
      </c>
      <c r="AK285" s="724">
        <v>5050</v>
      </c>
      <c r="AL285" s="724">
        <v>5050</v>
      </c>
      <c r="AM285" s="724">
        <v>5050</v>
      </c>
      <c r="AN285" s="724">
        <v>5050</v>
      </c>
      <c r="AO285" s="724">
        <v>5050</v>
      </c>
      <c r="AP285" s="724">
        <v>5050</v>
      </c>
      <c r="AQ285" s="724">
        <v>5050</v>
      </c>
      <c r="AR285" s="724"/>
      <c r="AS285" s="724"/>
      <c r="AT285" s="724"/>
      <c r="AU285" s="724"/>
      <c r="AV285" s="724"/>
      <c r="AW285" s="724"/>
      <c r="AX285" s="724"/>
      <c r="AY285" s="724"/>
      <c r="AZ285" s="724"/>
      <c r="BA285" s="724"/>
      <c r="BB285" s="724"/>
      <c r="BC285" s="725">
        <f t="shared" si="18"/>
        <v>90800</v>
      </c>
      <c r="BD285" s="724">
        <f>+BC285-'BOULEVARD 5 orig.'!I290</f>
        <v>0</v>
      </c>
      <c r="BE285" s="724">
        <f t="shared" si="19"/>
        <v>90800</v>
      </c>
      <c r="BF285" s="726">
        <f>VLOOKUP(A285,'BOULEVARD 5 orig.'!B290:AS588,42,0)</f>
        <v>0</v>
      </c>
      <c r="BG285" s="727">
        <f t="shared" si="20"/>
        <v>17</v>
      </c>
      <c r="BH285" s="728">
        <f t="shared" si="17"/>
        <v>5341.1764705882351</v>
      </c>
    </row>
    <row r="286" spans="1:60" x14ac:dyDescent="0.2">
      <c r="A286" s="723">
        <v>1708</v>
      </c>
      <c r="B286" s="723" t="str">
        <f>'BOULEVARD 5'!H291</f>
        <v>4.Plan de pagos</v>
      </c>
      <c r="C286" s="724"/>
      <c r="D286" s="724"/>
      <c r="E286" s="724"/>
      <c r="F286" s="724"/>
      <c r="G286" s="724"/>
      <c r="H286" s="724"/>
      <c r="I286" s="724"/>
      <c r="J286" s="724"/>
      <c r="K286" s="724"/>
      <c r="L286" s="724"/>
      <c r="M286" s="724"/>
      <c r="N286" s="724"/>
      <c r="O286" s="724"/>
      <c r="P286" s="724"/>
      <c r="Q286" s="724"/>
      <c r="R286" s="724"/>
      <c r="S286" s="724"/>
      <c r="T286" s="724"/>
      <c r="U286" s="724"/>
      <c r="V286" s="724"/>
      <c r="W286" s="724"/>
      <c r="X286" s="724"/>
      <c r="Y286" s="724"/>
      <c r="Z286" s="724"/>
      <c r="AA286" s="724"/>
      <c r="AB286" s="724"/>
      <c r="AC286" s="724"/>
      <c r="AD286" s="724"/>
      <c r="AE286" s="724"/>
      <c r="AF286" s="724"/>
      <c r="AG286" s="724"/>
      <c r="AH286" s="724">
        <v>10000</v>
      </c>
      <c r="AI286" s="724">
        <v>14200</v>
      </c>
      <c r="AJ286" s="724">
        <v>14200</v>
      </c>
      <c r="AK286" s="724">
        <v>14200</v>
      </c>
      <c r="AL286" s="724">
        <v>14200</v>
      </c>
      <c r="AM286" s="724">
        <v>14200</v>
      </c>
      <c r="AN286" s="724">
        <v>14200</v>
      </c>
      <c r="AO286" s="724">
        <v>14200</v>
      </c>
      <c r="AP286" s="724">
        <v>14200</v>
      </c>
      <c r="AQ286" s="724"/>
      <c r="AR286" s="724"/>
      <c r="AS286" s="724"/>
      <c r="AT286" s="724"/>
      <c r="AU286" s="724"/>
      <c r="AV286" s="724"/>
      <c r="AW286" s="724"/>
      <c r="AX286" s="724"/>
      <c r="AY286" s="724"/>
      <c r="AZ286" s="724"/>
      <c r="BA286" s="724"/>
      <c r="BB286" s="724"/>
      <c r="BC286" s="725">
        <f t="shared" si="18"/>
        <v>123600</v>
      </c>
      <c r="BD286" s="724">
        <f>+BC286-'BOULEVARD 5 orig.'!I291</f>
        <v>-30204.211998451996</v>
      </c>
      <c r="BE286" s="724">
        <f t="shared" si="19"/>
        <v>123600</v>
      </c>
      <c r="BF286" s="726">
        <f>VLOOKUP(A286,'BOULEVARD 5 orig.'!B291:AS589,42,0)</f>
        <v>0</v>
      </c>
      <c r="BG286" s="727">
        <f t="shared" si="20"/>
        <v>9</v>
      </c>
      <c r="BH286" s="728">
        <f t="shared" si="17"/>
        <v>13733.333333333334</v>
      </c>
    </row>
    <row r="287" spans="1:60" x14ac:dyDescent="0.2">
      <c r="A287" s="729">
        <v>1801</v>
      </c>
      <c r="B287" s="723" t="str">
        <f>'BOULEVARD 5'!H292</f>
        <v>4.Plan de pagos</v>
      </c>
      <c r="C287" s="724">
        <v>6000</v>
      </c>
      <c r="D287" s="724">
        <v>3800</v>
      </c>
      <c r="E287" s="724">
        <v>3800</v>
      </c>
      <c r="F287" s="724">
        <v>3800</v>
      </c>
      <c r="G287" s="724">
        <v>3800</v>
      </c>
      <c r="H287" s="724">
        <v>3800</v>
      </c>
      <c r="I287" s="724">
        <v>3800</v>
      </c>
      <c r="J287" s="724">
        <v>3800</v>
      </c>
      <c r="K287" s="724">
        <v>3800</v>
      </c>
      <c r="L287" s="724">
        <v>3800</v>
      </c>
      <c r="M287" s="724">
        <v>3800</v>
      </c>
      <c r="N287" s="724">
        <v>3800</v>
      </c>
      <c r="O287" s="724">
        <v>3800</v>
      </c>
      <c r="P287" s="724">
        <v>3800</v>
      </c>
      <c r="Q287" s="724">
        <v>3800</v>
      </c>
      <c r="R287" s="724">
        <v>3800</v>
      </c>
      <c r="S287" s="724">
        <v>3800</v>
      </c>
      <c r="T287" s="724">
        <v>3800</v>
      </c>
      <c r="U287" s="724">
        <v>3800</v>
      </c>
      <c r="V287" s="724">
        <v>3800</v>
      </c>
      <c r="W287" s="724">
        <v>3800</v>
      </c>
      <c r="X287" s="724">
        <v>3800</v>
      </c>
      <c r="Y287" s="724">
        <v>3800</v>
      </c>
      <c r="Z287" s="724">
        <v>3800</v>
      </c>
      <c r="AA287" s="724">
        <v>3800</v>
      </c>
      <c r="AB287" s="724">
        <v>3800</v>
      </c>
      <c r="AC287" s="724">
        <v>3800</v>
      </c>
      <c r="AD287" s="724">
        <v>3800</v>
      </c>
      <c r="AE287" s="724">
        <v>3800</v>
      </c>
      <c r="AF287" s="724">
        <v>3800</v>
      </c>
      <c r="AG287" s="724">
        <v>3800</v>
      </c>
      <c r="AH287" s="724">
        <v>3800</v>
      </c>
      <c r="AI287" s="724">
        <v>3800</v>
      </c>
      <c r="AJ287" s="724">
        <v>3800</v>
      </c>
      <c r="AK287" s="724">
        <v>3800</v>
      </c>
      <c r="AL287" s="724">
        <v>3952</v>
      </c>
      <c r="AM287" s="724"/>
      <c r="AN287" s="724"/>
      <c r="AO287" s="724"/>
      <c r="AP287" s="724"/>
      <c r="AQ287" s="724"/>
      <c r="AR287" s="724"/>
      <c r="AS287" s="724"/>
      <c r="AT287" s="724"/>
      <c r="AU287" s="724"/>
      <c r="AV287" s="724"/>
      <c r="AW287" s="724"/>
      <c r="AX287" s="724"/>
      <c r="AY287" s="724"/>
      <c r="AZ287" s="724"/>
      <c r="BA287" s="724"/>
      <c r="BB287" s="724"/>
      <c r="BC287" s="725">
        <f t="shared" si="18"/>
        <v>139152</v>
      </c>
      <c r="BD287" s="724">
        <f>+BC287-'BOULEVARD 5 orig.'!I292</f>
        <v>0</v>
      </c>
      <c r="BE287" s="724">
        <f t="shared" si="19"/>
        <v>139152</v>
      </c>
      <c r="BF287" s="726">
        <f>VLOOKUP(A287,'BOULEVARD 5 orig.'!B292:AS590,42,0)</f>
        <v>0</v>
      </c>
      <c r="BG287" s="727">
        <f t="shared" si="20"/>
        <v>36</v>
      </c>
      <c r="BH287" s="728">
        <f t="shared" si="17"/>
        <v>3865.3333333333335</v>
      </c>
    </row>
    <row r="288" spans="1:60" x14ac:dyDescent="0.2">
      <c r="A288" s="723">
        <v>1802</v>
      </c>
      <c r="B288" s="723" t="str">
        <f>'BOULEVARD 5'!H293</f>
        <v>4.Plan de pagos</v>
      </c>
      <c r="C288" s="724">
        <v>6000</v>
      </c>
      <c r="D288" s="724"/>
      <c r="E288" s="724"/>
      <c r="F288" s="724">
        <v>2818</v>
      </c>
      <c r="G288" s="724">
        <v>2818</v>
      </c>
      <c r="H288" s="724">
        <v>2818</v>
      </c>
      <c r="I288" s="724">
        <v>2818</v>
      </c>
      <c r="J288" s="724">
        <v>2818</v>
      </c>
      <c r="K288" s="724">
        <v>2818</v>
      </c>
      <c r="L288" s="724">
        <v>2818</v>
      </c>
      <c r="M288" s="724">
        <v>2818</v>
      </c>
      <c r="N288" s="724">
        <v>2818</v>
      </c>
      <c r="O288" s="724">
        <v>2818</v>
      </c>
      <c r="P288" s="724">
        <v>2818</v>
      </c>
      <c r="Q288" s="724">
        <v>2818</v>
      </c>
      <c r="R288" s="724">
        <v>2818</v>
      </c>
      <c r="S288" s="724">
        <v>2818</v>
      </c>
      <c r="T288" s="724">
        <v>2818</v>
      </c>
      <c r="U288" s="724">
        <v>2818</v>
      </c>
      <c r="V288" s="724">
        <v>2818</v>
      </c>
      <c r="W288" s="724">
        <v>2818</v>
      </c>
      <c r="X288" s="724">
        <v>2818</v>
      </c>
      <c r="Y288" s="724">
        <v>2818</v>
      </c>
      <c r="Z288" s="724">
        <v>2818</v>
      </c>
      <c r="AA288" s="724">
        <v>2818</v>
      </c>
      <c r="AB288" s="724">
        <v>2818</v>
      </c>
      <c r="AC288" s="724">
        <v>2818</v>
      </c>
      <c r="AD288" s="724">
        <v>2818</v>
      </c>
      <c r="AE288" s="724">
        <v>2818</v>
      </c>
      <c r="AF288" s="724">
        <v>2818</v>
      </c>
      <c r="AG288" s="724">
        <v>2814</v>
      </c>
      <c r="AH288" s="724"/>
      <c r="AI288" s="724"/>
      <c r="AJ288" s="724"/>
      <c r="AK288" s="724"/>
      <c r="AL288" s="724"/>
      <c r="AM288" s="724"/>
      <c r="AN288" s="724"/>
      <c r="AO288" s="724"/>
      <c r="AP288" s="724"/>
      <c r="AQ288" s="724"/>
      <c r="AR288" s="724"/>
      <c r="AS288" s="724"/>
      <c r="AT288" s="724"/>
      <c r="AU288" s="724"/>
      <c r="AV288" s="724"/>
      <c r="AW288" s="724"/>
      <c r="AX288" s="724"/>
      <c r="AY288" s="724"/>
      <c r="AZ288" s="724"/>
      <c r="BA288" s="724"/>
      <c r="BB288" s="724"/>
      <c r="BC288" s="725">
        <f t="shared" si="18"/>
        <v>84900</v>
      </c>
      <c r="BD288" s="724">
        <f>+BC288-'BOULEVARD 5 orig.'!I293</f>
        <v>0</v>
      </c>
      <c r="BE288" s="724">
        <f t="shared" si="19"/>
        <v>84900</v>
      </c>
      <c r="BF288" s="726">
        <f>VLOOKUP(A288,'BOULEVARD 5 orig.'!B293:AS591,42,0)</f>
        <v>0</v>
      </c>
      <c r="BG288" s="727">
        <f t="shared" si="20"/>
        <v>29</v>
      </c>
      <c r="BH288" s="728">
        <f t="shared" si="17"/>
        <v>2927.5862068965516</v>
      </c>
    </row>
    <row r="289" spans="1:60" x14ac:dyDescent="0.2">
      <c r="A289" s="723">
        <v>1803</v>
      </c>
      <c r="B289" s="723" t="str">
        <f>'BOULEVARD 5'!H294</f>
        <v>2. Reserva</v>
      </c>
      <c r="C289" s="724"/>
      <c r="D289" s="724"/>
      <c r="E289" s="724"/>
      <c r="F289" s="724"/>
      <c r="G289" s="724"/>
      <c r="H289" s="724"/>
      <c r="I289" s="724"/>
      <c r="J289" s="724"/>
      <c r="K289" s="724"/>
      <c r="L289" s="724"/>
      <c r="M289" s="724"/>
      <c r="N289" s="724"/>
      <c r="O289" s="724"/>
      <c r="P289" s="724"/>
      <c r="Q289" s="724"/>
      <c r="R289" s="724"/>
      <c r="S289" s="724"/>
      <c r="T289" s="724"/>
      <c r="U289" s="724"/>
      <c r="V289" s="724"/>
      <c r="W289" s="724"/>
      <c r="X289" s="724"/>
      <c r="Y289" s="724"/>
      <c r="Z289" s="724"/>
      <c r="AA289" s="724"/>
      <c r="AB289" s="724"/>
      <c r="AC289" s="724"/>
      <c r="AD289" s="724"/>
      <c r="AE289" s="724"/>
      <c r="AF289" s="724"/>
      <c r="AG289" s="724"/>
      <c r="AH289" s="724"/>
      <c r="AI289" s="724"/>
      <c r="AJ289" s="724"/>
      <c r="AK289" s="724"/>
      <c r="AL289" s="724"/>
      <c r="AM289" s="724"/>
      <c r="AN289" s="724"/>
      <c r="AO289" s="724"/>
      <c r="AP289" s="724"/>
      <c r="AQ289" s="724"/>
      <c r="AR289" s="724"/>
      <c r="AS289" s="724"/>
      <c r="AT289" s="724"/>
      <c r="AU289" s="724"/>
      <c r="AV289" s="724"/>
      <c r="AW289" s="724"/>
      <c r="AX289" s="724"/>
      <c r="AY289" s="724"/>
      <c r="AZ289" s="724"/>
      <c r="BA289" s="724"/>
      <c r="BB289" s="724"/>
      <c r="BC289" s="725">
        <f t="shared" si="18"/>
        <v>0</v>
      </c>
      <c r="BD289" s="724">
        <f>+BC289-'BOULEVARD 5 orig.'!I294</f>
        <v>-141123.94727644799</v>
      </c>
      <c r="BE289" s="724">
        <f t="shared" si="19"/>
        <v>0</v>
      </c>
      <c r="BF289" s="726">
        <f>VLOOKUP(A289,'BOULEVARD 5 orig.'!B294:AS592,42,0)</f>
        <v>0</v>
      </c>
      <c r="BG289" s="727">
        <f t="shared" si="20"/>
        <v>0</v>
      </c>
      <c r="BH289" s="728">
        <f t="shared" si="17"/>
        <v>0</v>
      </c>
    </row>
    <row r="290" spans="1:60" x14ac:dyDescent="0.2">
      <c r="A290" s="723">
        <v>1804</v>
      </c>
      <c r="B290" s="723" t="str">
        <f>'BOULEVARD 5'!H295</f>
        <v>4.Plan de pagos</v>
      </c>
      <c r="C290" s="724">
        <v>6000</v>
      </c>
      <c r="D290" s="724">
        <v>1600</v>
      </c>
      <c r="E290" s="724">
        <v>1600</v>
      </c>
      <c r="F290" s="724">
        <v>1600</v>
      </c>
      <c r="G290" s="724">
        <v>1600</v>
      </c>
      <c r="H290" s="724">
        <v>1600</v>
      </c>
      <c r="I290" s="724">
        <v>1600</v>
      </c>
      <c r="J290" s="724">
        <v>1600</v>
      </c>
      <c r="K290" s="724">
        <v>1600</v>
      </c>
      <c r="L290" s="724">
        <v>1600</v>
      </c>
      <c r="M290" s="724">
        <v>1600</v>
      </c>
      <c r="N290" s="724">
        <v>1600</v>
      </c>
      <c r="O290" s="724">
        <v>1600</v>
      </c>
      <c r="P290" s="724">
        <v>1600</v>
      </c>
      <c r="Q290" s="724">
        <v>1600</v>
      </c>
      <c r="R290" s="724">
        <v>1600</v>
      </c>
      <c r="S290" s="724">
        <v>1600</v>
      </c>
      <c r="T290" s="724">
        <v>1600</v>
      </c>
      <c r="U290" s="724">
        <v>1600</v>
      </c>
      <c r="V290" s="724">
        <v>1600</v>
      </c>
      <c r="W290" s="724">
        <v>1600</v>
      </c>
      <c r="X290" s="724">
        <v>1600</v>
      </c>
      <c r="Y290" s="724">
        <v>1600</v>
      </c>
      <c r="Z290" s="724">
        <v>1600</v>
      </c>
      <c r="AA290" s="724">
        <v>1600</v>
      </c>
      <c r="AB290" s="724">
        <v>1600</v>
      </c>
      <c r="AC290" s="724">
        <v>1600</v>
      </c>
      <c r="AD290" s="724">
        <v>1600</v>
      </c>
      <c r="AE290" s="724">
        <v>1600</v>
      </c>
      <c r="AF290" s="724">
        <v>1600</v>
      </c>
      <c r="AG290" s="724">
        <v>1600</v>
      </c>
      <c r="AH290" s="724">
        <v>1600</v>
      </c>
      <c r="AI290" s="724">
        <v>1600</v>
      </c>
      <c r="AJ290" s="724">
        <v>1600</v>
      </c>
      <c r="AK290" s="724">
        <v>1600</v>
      </c>
      <c r="AL290" s="724">
        <v>1600</v>
      </c>
      <c r="AM290" s="724"/>
      <c r="AN290" s="724"/>
      <c r="AO290" s="724"/>
      <c r="AP290" s="724"/>
      <c r="AQ290" s="724"/>
      <c r="AR290" s="724"/>
      <c r="AS290" s="724"/>
      <c r="AT290" s="724"/>
      <c r="AU290" s="724"/>
      <c r="AV290" s="724"/>
      <c r="AW290" s="724"/>
      <c r="AX290" s="724"/>
      <c r="AY290" s="724"/>
      <c r="AZ290" s="724"/>
      <c r="BA290" s="724"/>
      <c r="BB290" s="724"/>
      <c r="BC290" s="725">
        <f t="shared" si="18"/>
        <v>62000</v>
      </c>
      <c r="BD290" s="724">
        <f>+BC290-'BOULEVARD 5 orig.'!I295</f>
        <v>0</v>
      </c>
      <c r="BE290" s="724">
        <f t="shared" si="19"/>
        <v>62000</v>
      </c>
      <c r="BF290" s="726">
        <f>VLOOKUP(A290,'BOULEVARD 5 orig.'!B295:AS593,42,0)</f>
        <v>0</v>
      </c>
      <c r="BG290" s="727">
        <f t="shared" si="20"/>
        <v>36</v>
      </c>
      <c r="BH290" s="728">
        <f t="shared" si="17"/>
        <v>1722.2222222222222</v>
      </c>
    </row>
    <row r="291" spans="1:60" x14ac:dyDescent="0.2">
      <c r="A291" s="723">
        <v>1805</v>
      </c>
      <c r="B291" s="723" t="str">
        <f>'BOULEVARD 5'!H296</f>
        <v>2.Reserva</v>
      </c>
      <c r="C291" s="724"/>
      <c r="D291" s="724"/>
      <c r="E291" s="724"/>
      <c r="F291" s="724"/>
      <c r="G291" s="724"/>
      <c r="H291" s="724"/>
      <c r="I291" s="724"/>
      <c r="J291" s="724"/>
      <c r="K291" s="724"/>
      <c r="L291" s="724"/>
      <c r="M291" s="724"/>
      <c r="N291" s="724"/>
      <c r="O291" s="724"/>
      <c r="P291" s="724"/>
      <c r="Q291" s="724"/>
      <c r="R291" s="724"/>
      <c r="S291" s="724"/>
      <c r="T291" s="724"/>
      <c r="U291" s="724"/>
      <c r="V291" s="724"/>
      <c r="W291" s="724"/>
      <c r="X291" s="724"/>
      <c r="Y291" s="724"/>
      <c r="Z291" s="724"/>
      <c r="AA291" s="724"/>
      <c r="AB291" s="724"/>
      <c r="AC291" s="724"/>
      <c r="AD291" s="724"/>
      <c r="AE291" s="724"/>
      <c r="AF291" s="724"/>
      <c r="AG291" s="724"/>
      <c r="AH291" s="724"/>
      <c r="AI291" s="724"/>
      <c r="AJ291" s="724"/>
      <c r="AK291" s="724"/>
      <c r="AL291" s="724"/>
      <c r="AM291" s="724"/>
      <c r="AN291" s="724"/>
      <c r="AO291" s="724"/>
      <c r="AP291" s="724"/>
      <c r="AQ291" s="724"/>
      <c r="AR291" s="724"/>
      <c r="AS291" s="724"/>
      <c r="AT291" s="724"/>
      <c r="AU291" s="724"/>
      <c r="AV291" s="724"/>
      <c r="AW291" s="724"/>
      <c r="AX291" s="724"/>
      <c r="AY291" s="724"/>
      <c r="AZ291" s="724"/>
      <c r="BA291" s="724"/>
      <c r="BB291" s="724"/>
      <c r="BC291" s="725">
        <f t="shared" si="18"/>
        <v>0</v>
      </c>
      <c r="BD291" s="724">
        <f>+BC291-'BOULEVARD 5 orig.'!I296</f>
        <v>-141604.32379894701</v>
      </c>
      <c r="BE291" s="724">
        <f t="shared" si="19"/>
        <v>0</v>
      </c>
      <c r="BF291" s="726">
        <f>VLOOKUP(A291,'BOULEVARD 5 orig.'!B296:AS594,42,0)</f>
        <v>0</v>
      </c>
      <c r="BG291" s="727">
        <f t="shared" si="20"/>
        <v>0</v>
      </c>
      <c r="BH291" s="728">
        <f t="shared" si="17"/>
        <v>0</v>
      </c>
    </row>
    <row r="292" spans="1:60" x14ac:dyDescent="0.2">
      <c r="A292" s="723">
        <v>1806</v>
      </c>
      <c r="B292" s="723" t="str">
        <f>'BOULEVARD 5'!H297</f>
        <v>4.Plan de pagos</v>
      </c>
      <c r="C292" s="724">
        <v>6000</v>
      </c>
      <c r="D292" s="724">
        <v>2290</v>
      </c>
      <c r="E292" s="724">
        <v>2290</v>
      </c>
      <c r="F292" s="724">
        <v>2290</v>
      </c>
      <c r="G292" s="724">
        <v>2290</v>
      </c>
      <c r="H292" s="724">
        <v>2290</v>
      </c>
      <c r="I292" s="724">
        <v>2290</v>
      </c>
      <c r="J292" s="724">
        <v>2290</v>
      </c>
      <c r="K292" s="724">
        <v>2290</v>
      </c>
      <c r="L292" s="724">
        <v>2290</v>
      </c>
      <c r="M292" s="724">
        <v>2290</v>
      </c>
      <c r="N292" s="724">
        <v>2290</v>
      </c>
      <c r="O292" s="724">
        <v>2290</v>
      </c>
      <c r="P292" s="724">
        <v>2290</v>
      </c>
      <c r="Q292" s="724">
        <v>2290</v>
      </c>
      <c r="R292" s="724">
        <v>2290</v>
      </c>
      <c r="S292" s="724">
        <v>2290</v>
      </c>
      <c r="T292" s="724">
        <v>2290</v>
      </c>
      <c r="U292" s="724">
        <v>2290</v>
      </c>
      <c r="V292" s="724">
        <v>2290</v>
      </c>
      <c r="W292" s="724">
        <v>2290</v>
      </c>
      <c r="X292" s="724">
        <v>2290</v>
      </c>
      <c r="Y292" s="724">
        <v>2290</v>
      </c>
      <c r="Z292" s="724">
        <v>2290</v>
      </c>
      <c r="AA292" s="724">
        <v>2290</v>
      </c>
      <c r="AB292" s="724">
        <v>2290</v>
      </c>
      <c r="AC292" s="724">
        <v>2290</v>
      </c>
      <c r="AD292" s="724">
        <v>2290</v>
      </c>
      <c r="AE292" s="724">
        <v>2290</v>
      </c>
      <c r="AF292" s="724">
        <v>2290</v>
      </c>
      <c r="AG292" s="724">
        <v>2290</v>
      </c>
      <c r="AH292" s="724">
        <v>2290</v>
      </c>
      <c r="AI292" s="724">
        <v>2290</v>
      </c>
      <c r="AJ292" s="724">
        <v>2290</v>
      </c>
      <c r="AK292" s="724">
        <v>2290</v>
      </c>
      <c r="AL292" s="724">
        <v>2290.58</v>
      </c>
      <c r="AM292" s="724"/>
      <c r="AN292" s="724"/>
      <c r="AO292" s="724"/>
      <c r="AP292" s="724"/>
      <c r="AQ292" s="724"/>
      <c r="AR292" s="724"/>
      <c r="AS292" s="724"/>
      <c r="AT292" s="724"/>
      <c r="AU292" s="724"/>
      <c r="AV292" s="724"/>
      <c r="AW292" s="724"/>
      <c r="AX292" s="724"/>
      <c r="AY292" s="724"/>
      <c r="AZ292" s="724"/>
      <c r="BA292" s="724"/>
      <c r="BB292" s="724"/>
      <c r="BC292" s="725">
        <f t="shared" si="18"/>
        <v>86150.58</v>
      </c>
      <c r="BD292" s="724">
        <f>+BC292-'BOULEVARD 5 orig.'!I297</f>
        <v>0</v>
      </c>
      <c r="BE292" s="724">
        <f t="shared" si="19"/>
        <v>86150.58</v>
      </c>
      <c r="BF292" s="726">
        <f>VLOOKUP(A292,'BOULEVARD 5 orig.'!B297:AS595,42,0)</f>
        <v>0</v>
      </c>
      <c r="BG292" s="727">
        <f t="shared" si="20"/>
        <v>36</v>
      </c>
      <c r="BH292" s="728">
        <f t="shared" si="17"/>
        <v>2393.0716666666667</v>
      </c>
    </row>
    <row r="293" spans="1:60" x14ac:dyDescent="0.2">
      <c r="A293" s="729">
        <v>1807</v>
      </c>
      <c r="B293" s="723" t="str">
        <f>'BOULEVARD 5'!H298</f>
        <v>4.Plan de pagos</v>
      </c>
      <c r="C293" s="724">
        <v>6000</v>
      </c>
      <c r="D293" s="724">
        <v>3050</v>
      </c>
      <c r="E293" s="724">
        <v>3050</v>
      </c>
      <c r="F293" s="724">
        <v>3050</v>
      </c>
      <c r="G293" s="724">
        <v>3050</v>
      </c>
      <c r="H293" s="724">
        <v>3050</v>
      </c>
      <c r="I293" s="724">
        <v>3050</v>
      </c>
      <c r="J293" s="724">
        <v>3050</v>
      </c>
      <c r="K293" s="724">
        <v>3050</v>
      </c>
      <c r="L293" s="724">
        <v>3050</v>
      </c>
      <c r="M293" s="724">
        <v>3050</v>
      </c>
      <c r="N293" s="724">
        <v>3050</v>
      </c>
      <c r="O293" s="724">
        <v>3050</v>
      </c>
      <c r="P293" s="724">
        <v>3050</v>
      </c>
      <c r="Q293" s="724">
        <v>3050</v>
      </c>
      <c r="R293" s="724">
        <v>3050</v>
      </c>
      <c r="S293" s="724">
        <v>3050</v>
      </c>
      <c r="T293" s="724">
        <v>3050</v>
      </c>
      <c r="U293" s="724">
        <v>3050</v>
      </c>
      <c r="V293" s="724">
        <v>3050</v>
      </c>
      <c r="W293" s="724">
        <v>3050</v>
      </c>
      <c r="X293" s="724">
        <v>3050</v>
      </c>
      <c r="Y293" s="724">
        <v>3050</v>
      </c>
      <c r="Z293" s="724">
        <v>3050</v>
      </c>
      <c r="AA293" s="724">
        <v>3050</v>
      </c>
      <c r="AB293" s="724">
        <v>3050</v>
      </c>
      <c r="AC293" s="724">
        <v>3050</v>
      </c>
      <c r="AD293" s="724">
        <v>3050</v>
      </c>
      <c r="AE293" s="724">
        <v>3050</v>
      </c>
      <c r="AF293" s="724">
        <v>3050</v>
      </c>
      <c r="AG293" s="724">
        <v>3050</v>
      </c>
      <c r="AH293" s="724">
        <v>3050</v>
      </c>
      <c r="AI293" s="724">
        <v>3050</v>
      </c>
      <c r="AJ293" s="724">
        <v>3050</v>
      </c>
      <c r="AK293" s="724">
        <v>3050</v>
      </c>
      <c r="AL293" s="724">
        <v>3456</v>
      </c>
      <c r="AM293" s="724"/>
      <c r="AN293" s="724"/>
      <c r="AO293" s="724"/>
      <c r="AP293" s="724"/>
      <c r="AQ293" s="724"/>
      <c r="AR293" s="724"/>
      <c r="AS293" s="724"/>
      <c r="AT293" s="724"/>
      <c r="AU293" s="724"/>
      <c r="AV293" s="724"/>
      <c r="AW293" s="724"/>
      <c r="AX293" s="724"/>
      <c r="AY293" s="724"/>
      <c r="AZ293" s="724"/>
      <c r="BA293" s="724"/>
      <c r="BB293" s="724"/>
      <c r="BC293" s="725">
        <f t="shared" si="18"/>
        <v>113156</v>
      </c>
      <c r="BD293" s="724">
        <f>+BC293-'BOULEVARD 5 orig.'!I298</f>
        <v>0</v>
      </c>
      <c r="BE293" s="724">
        <f t="shared" si="19"/>
        <v>113156</v>
      </c>
      <c r="BF293" s="726">
        <f>VLOOKUP(A293,'BOULEVARD 5 orig.'!B298:AS596,42,0)</f>
        <v>0</v>
      </c>
      <c r="BG293" s="727">
        <f t="shared" si="20"/>
        <v>36</v>
      </c>
      <c r="BH293" s="728">
        <f t="shared" si="17"/>
        <v>3143.2222222222222</v>
      </c>
    </row>
    <row r="294" spans="1:60" x14ac:dyDescent="0.2">
      <c r="A294" s="723">
        <v>1808</v>
      </c>
      <c r="B294" s="723" t="str">
        <f>'BOULEVARD 5'!H299</f>
        <v>4.Plan de pagos</v>
      </c>
      <c r="C294" s="724"/>
      <c r="D294" s="724"/>
      <c r="E294" s="724"/>
      <c r="F294" s="724"/>
      <c r="G294" s="724"/>
      <c r="H294" s="724"/>
      <c r="I294" s="724">
        <v>8000</v>
      </c>
      <c r="J294" s="724">
        <v>2800</v>
      </c>
      <c r="K294" s="724">
        <v>2800</v>
      </c>
      <c r="L294" s="724">
        <v>11150</v>
      </c>
      <c r="M294" s="724">
        <v>2800</v>
      </c>
      <c r="N294" s="724">
        <v>2800</v>
      </c>
      <c r="O294" s="724">
        <v>2800</v>
      </c>
      <c r="P294" s="724">
        <v>2800</v>
      </c>
      <c r="Q294" s="724">
        <v>2800</v>
      </c>
      <c r="R294" s="724">
        <v>2800</v>
      </c>
      <c r="S294" s="724">
        <v>22300</v>
      </c>
      <c r="T294" s="724">
        <v>2800</v>
      </c>
      <c r="U294" s="724">
        <v>2800</v>
      </c>
      <c r="V294" s="724">
        <v>2800</v>
      </c>
      <c r="W294" s="724">
        <v>2800</v>
      </c>
      <c r="X294" s="724">
        <v>16725</v>
      </c>
      <c r="Y294" s="724">
        <v>2800</v>
      </c>
      <c r="Z294" s="724">
        <v>2800</v>
      </c>
      <c r="AA294" s="724">
        <v>2800</v>
      </c>
      <c r="AB294" s="724">
        <v>2800</v>
      </c>
      <c r="AC294" s="724">
        <v>2800</v>
      </c>
      <c r="AD294" s="724">
        <v>2800</v>
      </c>
      <c r="AE294" s="724">
        <v>22300</v>
      </c>
      <c r="AF294" s="724">
        <v>2800</v>
      </c>
      <c r="AG294" s="724">
        <v>8133.51</v>
      </c>
      <c r="AH294" s="724"/>
      <c r="AI294" s="724"/>
      <c r="AJ294" s="724"/>
      <c r="AK294" s="724"/>
      <c r="AL294" s="724"/>
      <c r="AM294" s="724"/>
      <c r="AN294" s="724"/>
      <c r="AO294" s="724"/>
      <c r="AP294" s="724"/>
      <c r="AQ294" s="724"/>
      <c r="AR294" s="724"/>
      <c r="AS294" s="724"/>
      <c r="AT294" s="724"/>
      <c r="AU294" s="724"/>
      <c r="AV294" s="724"/>
      <c r="AW294" s="724"/>
      <c r="AX294" s="724"/>
      <c r="AY294" s="724"/>
      <c r="AZ294" s="724"/>
      <c r="BA294" s="724"/>
      <c r="BB294" s="724"/>
      <c r="BC294" s="725">
        <f t="shared" si="18"/>
        <v>141808.51</v>
      </c>
      <c r="BD294" s="724">
        <f>+BC294-'BOULEVARD 5 orig.'!I299</f>
        <v>0</v>
      </c>
      <c r="BE294" s="724">
        <f t="shared" si="19"/>
        <v>141808.51</v>
      </c>
      <c r="BF294" s="726">
        <f>VLOOKUP(A294,'BOULEVARD 5 orig.'!B299:AS597,42,0)</f>
        <v>0</v>
      </c>
      <c r="BG294" s="727">
        <f t="shared" si="20"/>
        <v>25</v>
      </c>
      <c r="BH294" s="728">
        <f t="shared" si="17"/>
        <v>5672.3404</v>
      </c>
    </row>
    <row r="295" spans="1:60" x14ac:dyDescent="0.2">
      <c r="A295" s="729">
        <v>1901</v>
      </c>
      <c r="B295" s="723" t="str">
        <f>'BOULEVARD 5'!H300</f>
        <v>4.Plan de pagos</v>
      </c>
      <c r="C295" s="730">
        <v>15000</v>
      </c>
      <c r="D295" s="730">
        <v>1000</v>
      </c>
      <c r="E295" s="730">
        <v>1000</v>
      </c>
      <c r="F295" s="730">
        <v>1000</v>
      </c>
      <c r="G295" s="730">
        <v>1000</v>
      </c>
      <c r="H295" s="730">
        <v>1000</v>
      </c>
      <c r="I295" s="730">
        <v>1000</v>
      </c>
      <c r="J295" s="730">
        <v>1000</v>
      </c>
      <c r="K295" s="730">
        <v>1000</v>
      </c>
      <c r="L295" s="730">
        <v>1000</v>
      </c>
      <c r="M295" s="730">
        <v>1000</v>
      </c>
      <c r="N295" s="730">
        <v>1000</v>
      </c>
      <c r="O295" s="730">
        <v>1000</v>
      </c>
      <c r="P295" s="730">
        <v>1000</v>
      </c>
      <c r="Q295" s="730">
        <v>1000</v>
      </c>
      <c r="R295" s="730">
        <v>1000</v>
      </c>
      <c r="S295" s="730">
        <v>1000</v>
      </c>
      <c r="T295" s="730">
        <v>1000</v>
      </c>
      <c r="U295" s="730">
        <v>1000</v>
      </c>
      <c r="V295" s="730">
        <v>1000</v>
      </c>
      <c r="W295" s="730">
        <v>1000</v>
      </c>
      <c r="X295" s="730">
        <v>1000</v>
      </c>
      <c r="Y295" s="730">
        <v>1000</v>
      </c>
      <c r="Z295" s="730">
        <v>1000</v>
      </c>
      <c r="AA295" s="730">
        <v>1000</v>
      </c>
      <c r="AB295" s="730">
        <v>1000</v>
      </c>
      <c r="AC295" s="730">
        <v>1000</v>
      </c>
      <c r="AD295" s="730">
        <v>1000</v>
      </c>
      <c r="AE295" s="730">
        <v>1000</v>
      </c>
      <c r="AF295" s="730">
        <v>1000</v>
      </c>
      <c r="AG295" s="730">
        <v>1000</v>
      </c>
      <c r="AH295" s="730">
        <v>1000</v>
      </c>
      <c r="AI295" s="730">
        <v>1000</v>
      </c>
      <c r="AJ295" s="730">
        <v>1000</v>
      </c>
      <c r="AK295" s="730">
        <v>1000</v>
      </c>
      <c r="AL295" s="730">
        <v>24882</v>
      </c>
      <c r="AM295" s="730"/>
      <c r="AN295" s="730"/>
      <c r="AO295" s="730"/>
      <c r="AP295" s="730"/>
      <c r="AQ295" s="730"/>
      <c r="AR295" s="730"/>
      <c r="AS295" s="730"/>
      <c r="AT295" s="730"/>
      <c r="AU295" s="730"/>
      <c r="AV295" s="730"/>
      <c r="AW295" s="730"/>
      <c r="AX295" s="730"/>
      <c r="AY295" s="730"/>
      <c r="AZ295" s="730"/>
      <c r="BA295" s="730"/>
      <c r="BB295" s="730"/>
      <c r="BC295" s="731">
        <f t="shared" si="18"/>
        <v>73882</v>
      </c>
      <c r="BD295" s="730">
        <f>+BC295-'BOULEVARD 5 orig.'!I300</f>
        <v>0</v>
      </c>
      <c r="BE295" s="730">
        <f t="shared" si="19"/>
        <v>73882</v>
      </c>
      <c r="BF295" s="732">
        <f>VLOOKUP(A295,'BOULEVARD 5 orig.'!B300:AS598,42,0)</f>
        <v>0</v>
      </c>
      <c r="BG295" s="733">
        <f t="shared" si="20"/>
        <v>36</v>
      </c>
      <c r="BH295" s="734">
        <f t="shared" si="17"/>
        <v>2052.2777777777778</v>
      </c>
    </row>
    <row r="296" spans="1:60" x14ac:dyDescent="0.2">
      <c r="A296" s="729">
        <v>1902</v>
      </c>
      <c r="B296" s="723" t="str">
        <f>'BOULEVARD 5'!H301</f>
        <v>4.Plan de pagos</v>
      </c>
      <c r="C296" s="730"/>
      <c r="D296" s="730"/>
      <c r="E296" s="730"/>
      <c r="F296" s="730"/>
      <c r="G296" s="730"/>
      <c r="H296" s="730">
        <v>6000</v>
      </c>
      <c r="I296" s="730">
        <v>4507</v>
      </c>
      <c r="J296" s="730">
        <v>4507</v>
      </c>
      <c r="K296" s="730">
        <v>4507</v>
      </c>
      <c r="L296" s="730">
        <v>4507</v>
      </c>
      <c r="M296" s="730">
        <v>4507</v>
      </c>
      <c r="N296" s="730">
        <v>4507</v>
      </c>
      <c r="O296" s="730">
        <v>4507</v>
      </c>
      <c r="P296" s="730">
        <v>4507</v>
      </c>
      <c r="Q296" s="730">
        <v>4507</v>
      </c>
      <c r="R296" s="730">
        <v>4507</v>
      </c>
      <c r="S296" s="730">
        <v>4507</v>
      </c>
      <c r="T296" s="730">
        <v>4507</v>
      </c>
      <c r="U296" s="730">
        <v>4507</v>
      </c>
      <c r="V296" s="730">
        <v>4507</v>
      </c>
      <c r="W296" s="730">
        <v>4507</v>
      </c>
      <c r="X296" s="730">
        <v>4507</v>
      </c>
      <c r="Y296" s="730">
        <v>4507</v>
      </c>
      <c r="Z296" s="730">
        <v>4507</v>
      </c>
      <c r="AA296" s="730">
        <v>4507</v>
      </c>
      <c r="AB296" s="730">
        <v>4507</v>
      </c>
      <c r="AC296" s="730">
        <v>4507</v>
      </c>
      <c r="AD296" s="730">
        <v>4507</v>
      </c>
      <c r="AE296" s="730">
        <v>4507</v>
      </c>
      <c r="AF296" s="730">
        <v>4507</v>
      </c>
      <c r="AG296" s="730">
        <v>4507</v>
      </c>
      <c r="AH296" s="730">
        <v>4507</v>
      </c>
      <c r="AI296" s="730">
        <v>4507</v>
      </c>
      <c r="AJ296" s="730">
        <v>4511</v>
      </c>
      <c r="AK296" s="730"/>
      <c r="AL296" s="730"/>
      <c r="AM296" s="730"/>
      <c r="AN296" s="730"/>
      <c r="AO296" s="730"/>
      <c r="AP296" s="730"/>
      <c r="AQ296" s="730"/>
      <c r="AR296" s="730"/>
      <c r="AS296" s="730"/>
      <c r="AT296" s="730"/>
      <c r="AU296" s="730"/>
      <c r="AV296" s="730"/>
      <c r="AW296" s="730"/>
      <c r="AX296" s="730"/>
      <c r="AY296" s="730"/>
      <c r="AZ296" s="730"/>
      <c r="BA296" s="730"/>
      <c r="BB296" s="730"/>
      <c r="BC296" s="731">
        <f t="shared" si="18"/>
        <v>132200</v>
      </c>
      <c r="BD296" s="730">
        <f>+BC296-'BOULEVARD 5 orig.'!I301</f>
        <v>0</v>
      </c>
      <c r="BE296" s="730">
        <f t="shared" si="19"/>
        <v>132200</v>
      </c>
      <c r="BF296" s="732">
        <f>VLOOKUP(A296,'BOULEVARD 5 orig.'!B301:AS599,42,0)</f>
        <v>0</v>
      </c>
      <c r="BG296" s="733">
        <f t="shared" si="20"/>
        <v>29</v>
      </c>
      <c r="BH296" s="734">
        <f t="shared" si="17"/>
        <v>4558.6206896551721</v>
      </c>
    </row>
    <row r="297" spans="1:60" x14ac:dyDescent="0.2">
      <c r="A297" s="729">
        <v>1903</v>
      </c>
      <c r="B297" s="723" t="str">
        <f>'BOULEVARD 5'!H302</f>
        <v>4.Plan de pagos</v>
      </c>
      <c r="C297" s="730"/>
      <c r="D297" s="730"/>
      <c r="E297" s="730"/>
      <c r="F297" s="730"/>
      <c r="G297" s="730"/>
      <c r="H297" s="730">
        <v>6000</v>
      </c>
      <c r="I297" s="730">
        <v>4523</v>
      </c>
      <c r="J297" s="730">
        <v>4523</v>
      </c>
      <c r="K297" s="730">
        <v>4523</v>
      </c>
      <c r="L297" s="730">
        <v>4523</v>
      </c>
      <c r="M297" s="730">
        <v>4523</v>
      </c>
      <c r="N297" s="730">
        <v>4523</v>
      </c>
      <c r="O297" s="730">
        <v>4523</v>
      </c>
      <c r="P297" s="730">
        <v>4523</v>
      </c>
      <c r="Q297" s="730">
        <v>4523</v>
      </c>
      <c r="R297" s="730">
        <v>4523</v>
      </c>
      <c r="S297" s="730">
        <v>4523</v>
      </c>
      <c r="T297" s="730">
        <v>4523</v>
      </c>
      <c r="U297" s="730">
        <v>4523</v>
      </c>
      <c r="V297" s="730">
        <v>4523</v>
      </c>
      <c r="W297" s="730">
        <v>4523</v>
      </c>
      <c r="X297" s="730">
        <v>4523</v>
      </c>
      <c r="Y297" s="730">
        <v>4523</v>
      </c>
      <c r="Z297" s="730">
        <v>4523</v>
      </c>
      <c r="AA297" s="730">
        <v>4523</v>
      </c>
      <c r="AB297" s="730">
        <v>4523</v>
      </c>
      <c r="AC297" s="730">
        <v>4523</v>
      </c>
      <c r="AD297" s="730">
        <v>4523</v>
      </c>
      <c r="AE297" s="730">
        <v>4523</v>
      </c>
      <c r="AF297" s="730">
        <v>4523</v>
      </c>
      <c r="AG297" s="730">
        <v>4523</v>
      </c>
      <c r="AH297" s="730">
        <v>4523</v>
      </c>
      <c r="AI297" s="730">
        <v>4523</v>
      </c>
      <c r="AJ297" s="730">
        <v>4529</v>
      </c>
      <c r="AK297" s="730"/>
      <c r="AL297" s="730"/>
      <c r="AM297" s="730"/>
      <c r="AN297" s="730"/>
      <c r="AO297" s="730"/>
      <c r="AP297" s="730"/>
      <c r="AQ297" s="730"/>
      <c r="AR297" s="730"/>
      <c r="AS297" s="730"/>
      <c r="AT297" s="730"/>
      <c r="AU297" s="730"/>
      <c r="AV297" s="730"/>
      <c r="AW297" s="730"/>
      <c r="AX297" s="730"/>
      <c r="AY297" s="730"/>
      <c r="AZ297" s="730"/>
      <c r="BA297" s="730"/>
      <c r="BB297" s="730"/>
      <c r="BC297" s="731">
        <f t="shared" si="18"/>
        <v>132650</v>
      </c>
      <c r="BD297" s="730">
        <f>+BC297-'BOULEVARD 5 orig.'!I302</f>
        <v>0</v>
      </c>
      <c r="BE297" s="730">
        <f t="shared" si="19"/>
        <v>132650</v>
      </c>
      <c r="BF297" s="732">
        <f>VLOOKUP(A297,'BOULEVARD 5 orig.'!B302:AS600,42,0)</f>
        <v>0</v>
      </c>
      <c r="BG297" s="733">
        <f t="shared" si="20"/>
        <v>29</v>
      </c>
      <c r="BH297" s="734">
        <f t="shared" si="17"/>
        <v>4574.1379310344828</v>
      </c>
    </row>
    <row r="298" spans="1:60" x14ac:dyDescent="0.2">
      <c r="A298" s="729">
        <v>1904</v>
      </c>
      <c r="B298" s="723" t="str">
        <f>'BOULEVARD 5'!H303</f>
        <v>4.Plan de pagos</v>
      </c>
      <c r="C298" s="730"/>
      <c r="D298" s="730"/>
      <c r="E298" s="730"/>
      <c r="F298" s="730"/>
      <c r="G298" s="730"/>
      <c r="H298" s="730">
        <v>6000</v>
      </c>
      <c r="I298" s="730">
        <v>4507</v>
      </c>
      <c r="J298" s="730">
        <v>4507</v>
      </c>
      <c r="K298" s="730">
        <v>4507</v>
      </c>
      <c r="L298" s="730">
        <v>4507</v>
      </c>
      <c r="M298" s="730">
        <v>4507</v>
      </c>
      <c r="N298" s="730">
        <v>4507</v>
      </c>
      <c r="O298" s="730">
        <v>4507</v>
      </c>
      <c r="P298" s="730">
        <v>4507</v>
      </c>
      <c r="Q298" s="730">
        <v>4507</v>
      </c>
      <c r="R298" s="730">
        <v>4507</v>
      </c>
      <c r="S298" s="730">
        <v>4507</v>
      </c>
      <c r="T298" s="730">
        <v>4507</v>
      </c>
      <c r="U298" s="730">
        <v>4507</v>
      </c>
      <c r="V298" s="730">
        <v>4507</v>
      </c>
      <c r="W298" s="730">
        <v>4507</v>
      </c>
      <c r="X298" s="730">
        <v>4507</v>
      </c>
      <c r="Y298" s="730">
        <v>4507</v>
      </c>
      <c r="Z298" s="730">
        <v>4507</v>
      </c>
      <c r="AA298" s="730">
        <v>4507</v>
      </c>
      <c r="AB298" s="730">
        <v>4507</v>
      </c>
      <c r="AC298" s="730">
        <v>4507</v>
      </c>
      <c r="AD298" s="730">
        <v>4507</v>
      </c>
      <c r="AE298" s="730">
        <v>4507</v>
      </c>
      <c r="AF298" s="730">
        <v>4507</v>
      </c>
      <c r="AG298" s="730">
        <v>4507</v>
      </c>
      <c r="AH298" s="730">
        <v>4507</v>
      </c>
      <c r="AI298" s="730">
        <v>4507</v>
      </c>
      <c r="AJ298" s="730">
        <v>4511</v>
      </c>
      <c r="AK298" s="730"/>
      <c r="AL298" s="730"/>
      <c r="AM298" s="730"/>
      <c r="AN298" s="730"/>
      <c r="AO298" s="730"/>
      <c r="AP298" s="730"/>
      <c r="AQ298" s="730"/>
      <c r="AR298" s="730"/>
      <c r="AS298" s="730"/>
      <c r="AT298" s="730"/>
      <c r="AU298" s="730"/>
      <c r="AV298" s="730"/>
      <c r="AW298" s="730"/>
      <c r="AX298" s="730"/>
      <c r="AY298" s="730"/>
      <c r="AZ298" s="730"/>
      <c r="BA298" s="730"/>
      <c r="BB298" s="730"/>
      <c r="BC298" s="731">
        <f t="shared" si="18"/>
        <v>132200</v>
      </c>
      <c r="BD298" s="730">
        <f>+BC298-'BOULEVARD 5 orig.'!I303</f>
        <v>0</v>
      </c>
      <c r="BE298" s="730">
        <f t="shared" si="19"/>
        <v>132200</v>
      </c>
      <c r="BF298" s="732">
        <f>VLOOKUP(A298,'BOULEVARD 5 orig.'!B303:AS601,42,0)</f>
        <v>0</v>
      </c>
      <c r="BG298" s="733">
        <f t="shared" si="20"/>
        <v>29</v>
      </c>
      <c r="BH298" s="734">
        <f t="shared" si="17"/>
        <v>4558.6206896551721</v>
      </c>
    </row>
    <row r="299" spans="1:60" ht="13.5" thickBot="1" x14ac:dyDescent="0.25">
      <c r="A299" s="729">
        <v>1905</v>
      </c>
      <c r="B299" s="723" t="str">
        <f>'BOULEVARD 5'!H304</f>
        <v>4.Plan de pagos</v>
      </c>
      <c r="C299" s="730"/>
      <c r="D299" s="730"/>
      <c r="E299" s="730"/>
      <c r="F299" s="730"/>
      <c r="G299" s="730"/>
      <c r="H299" s="730">
        <v>6000</v>
      </c>
      <c r="I299" s="730">
        <v>4661</v>
      </c>
      <c r="J299" s="730">
        <v>4661</v>
      </c>
      <c r="K299" s="730">
        <v>4661</v>
      </c>
      <c r="L299" s="730">
        <v>4661</v>
      </c>
      <c r="M299" s="730">
        <v>4661</v>
      </c>
      <c r="N299" s="730">
        <v>4661</v>
      </c>
      <c r="O299" s="730">
        <v>4661</v>
      </c>
      <c r="P299" s="730">
        <v>4661</v>
      </c>
      <c r="Q299" s="730">
        <v>4661</v>
      </c>
      <c r="R299" s="730">
        <v>4661</v>
      </c>
      <c r="S299" s="730">
        <v>4661</v>
      </c>
      <c r="T299" s="730">
        <v>4661</v>
      </c>
      <c r="U299" s="730">
        <v>4661</v>
      </c>
      <c r="V299" s="730">
        <v>4661</v>
      </c>
      <c r="W299" s="730">
        <v>4661</v>
      </c>
      <c r="X299" s="730">
        <v>4661</v>
      </c>
      <c r="Y299" s="730">
        <v>4661</v>
      </c>
      <c r="Z299" s="730">
        <v>4661</v>
      </c>
      <c r="AA299" s="730">
        <v>4661</v>
      </c>
      <c r="AB299" s="730">
        <v>4661</v>
      </c>
      <c r="AC299" s="730">
        <v>4661</v>
      </c>
      <c r="AD299" s="730">
        <v>4661</v>
      </c>
      <c r="AE299" s="730">
        <v>4661</v>
      </c>
      <c r="AF299" s="730">
        <v>4661</v>
      </c>
      <c r="AG299" s="730">
        <v>4661</v>
      </c>
      <c r="AH299" s="730">
        <v>4661</v>
      </c>
      <c r="AI299" s="730">
        <v>4661</v>
      </c>
      <c r="AJ299" s="730">
        <v>4653</v>
      </c>
      <c r="AK299" s="730"/>
      <c r="AL299" s="730"/>
      <c r="AM299" s="730"/>
      <c r="AN299" s="730"/>
      <c r="AO299" s="730"/>
      <c r="AP299" s="730"/>
      <c r="AQ299" s="730"/>
      <c r="AR299" s="730"/>
      <c r="AS299" s="730"/>
      <c r="AT299" s="730"/>
      <c r="AU299" s="730"/>
      <c r="AV299" s="730"/>
      <c r="AW299" s="730"/>
      <c r="AX299" s="730"/>
      <c r="AY299" s="730"/>
      <c r="AZ299" s="730"/>
      <c r="BA299" s="730"/>
      <c r="BB299" s="730"/>
      <c r="BC299" s="740">
        <f>SUM(C299:BB299)</f>
        <v>136500</v>
      </c>
      <c r="BD299" s="730">
        <f>+BC299-'BOULEVARD 5 orig.'!I304</f>
        <v>0</v>
      </c>
      <c r="BE299" s="730">
        <f>SUM(C299:BB299)</f>
        <v>136500</v>
      </c>
      <c r="BF299" s="732">
        <f>VLOOKUP(A299,'BOULEVARD 5 orig.'!B304:AS602,42,0)</f>
        <v>0</v>
      </c>
      <c r="BG299" s="733">
        <f>COUNT(C299:BB299)</f>
        <v>29</v>
      </c>
      <c r="BH299" s="734">
        <f t="shared" si="17"/>
        <v>4706.8965517241377</v>
      </c>
    </row>
    <row r="300" spans="1:60" x14ac:dyDescent="0.2">
      <c r="A300" s="726"/>
      <c r="B300" s="726"/>
      <c r="C300" s="724"/>
      <c r="D300" s="724"/>
      <c r="E300" s="724"/>
      <c r="F300" s="724"/>
      <c r="G300" s="724"/>
      <c r="H300" s="724"/>
      <c r="I300" s="724"/>
      <c r="J300" s="724"/>
      <c r="K300" s="724"/>
      <c r="L300" s="724"/>
      <c r="M300" s="724"/>
      <c r="N300" s="724"/>
      <c r="O300" s="724"/>
      <c r="P300" s="724"/>
      <c r="Q300" s="724"/>
      <c r="R300" s="724"/>
      <c r="S300" s="724"/>
      <c r="T300" s="724"/>
      <c r="U300" s="724"/>
      <c r="V300" s="724"/>
      <c r="W300" s="724"/>
      <c r="X300" s="724"/>
      <c r="Y300" s="724"/>
      <c r="Z300" s="724"/>
      <c r="AA300" s="724"/>
      <c r="AB300" s="724"/>
      <c r="AC300" s="724"/>
      <c r="AD300" s="724"/>
      <c r="AE300" s="724"/>
      <c r="AF300" s="724"/>
      <c r="AG300" s="724"/>
      <c r="AH300" s="724"/>
      <c r="AI300" s="724"/>
      <c r="AJ300" s="724"/>
      <c r="AK300" s="724"/>
      <c r="AL300" s="724"/>
      <c r="AM300" s="724"/>
      <c r="AN300" s="724"/>
      <c r="AO300" s="724"/>
      <c r="AP300" s="724"/>
      <c r="AQ300" s="724"/>
      <c r="AR300" s="724"/>
      <c r="AS300" s="724"/>
      <c r="AT300" s="724"/>
      <c r="AU300" s="724"/>
      <c r="AV300" s="724"/>
      <c r="AW300" s="724"/>
      <c r="AX300" s="724"/>
      <c r="AY300" s="724"/>
      <c r="AZ300" s="724"/>
      <c r="BA300" s="724"/>
      <c r="BB300" s="724"/>
      <c r="BC300" s="724"/>
      <c r="BD300" s="724"/>
      <c r="BE300" s="724"/>
      <c r="BF300" s="726"/>
      <c r="BG300" s="726"/>
      <c r="BH300" s="726"/>
    </row>
    <row r="301" spans="1:60" x14ac:dyDescent="0.2">
      <c r="A301" s="726" t="s">
        <v>895</v>
      </c>
      <c r="B301" s="726"/>
      <c r="C301" s="746">
        <v>240000</v>
      </c>
      <c r="D301" s="746">
        <v>231447</v>
      </c>
      <c r="E301" s="746">
        <v>229681</v>
      </c>
      <c r="F301" s="746">
        <v>417628.85</v>
      </c>
      <c r="G301" s="746">
        <v>397821.17</v>
      </c>
      <c r="H301" s="746">
        <v>526320</v>
      </c>
      <c r="I301" s="746">
        <v>426343</v>
      </c>
      <c r="J301" s="746">
        <v>443429</v>
      </c>
      <c r="K301" s="746">
        <v>526286.55000000005</v>
      </c>
      <c r="L301" s="746">
        <v>537872.55000000005</v>
      </c>
      <c r="M301" s="746">
        <v>540107.55000000005</v>
      </c>
      <c r="N301" s="746">
        <v>628238.55000000005</v>
      </c>
      <c r="O301" s="746">
        <v>677841.55</v>
      </c>
      <c r="P301" s="746">
        <v>686586.55</v>
      </c>
      <c r="Q301" s="746">
        <v>756504.55</v>
      </c>
      <c r="R301" s="746">
        <v>753835.55</v>
      </c>
      <c r="S301" s="746">
        <v>860072.55</v>
      </c>
      <c r="T301" s="746">
        <v>1698407.57</v>
      </c>
      <c r="U301" s="746">
        <v>934030.64999999991</v>
      </c>
      <c r="V301" s="746">
        <v>900615.55</v>
      </c>
      <c r="W301" s="746">
        <v>1072928.5499999998</v>
      </c>
      <c r="X301" s="746">
        <v>1790369.79</v>
      </c>
      <c r="Y301" s="746">
        <v>1233786.5499999998</v>
      </c>
      <c r="Z301" s="746">
        <v>1316384.5499999998</v>
      </c>
      <c r="AA301" s="745">
        <v>1371088.5499999998</v>
      </c>
      <c r="AB301" s="746">
        <v>1028214.7699999999</v>
      </c>
      <c r="AC301" s="747">
        <f t="shared" ref="AC301:BB301" si="21">SUM(AC2:AC300)</f>
        <v>1143422.3799999999</v>
      </c>
      <c r="AD301" s="748">
        <f t="shared" si="21"/>
        <v>1194877.3699999999</v>
      </c>
      <c r="AE301" s="748">
        <f>SUM(AE2:AE300)</f>
        <v>3052315.04</v>
      </c>
      <c r="AF301" s="747">
        <f t="shared" si="21"/>
        <v>1321529.46</v>
      </c>
      <c r="AG301" s="747">
        <f t="shared" si="21"/>
        <v>1344248.7799999998</v>
      </c>
      <c r="AH301" s="747">
        <f t="shared" si="21"/>
        <v>861800.69000000006</v>
      </c>
      <c r="AI301" s="747">
        <f t="shared" si="21"/>
        <v>779813.08000000007</v>
      </c>
      <c r="AJ301" s="747">
        <f t="shared" si="21"/>
        <v>895093.52</v>
      </c>
      <c r="AK301" s="747">
        <f t="shared" si="21"/>
        <v>618672.92000000004</v>
      </c>
      <c r="AL301" s="747">
        <f t="shared" si="21"/>
        <v>663529.30999999994</v>
      </c>
      <c r="AM301" s="747">
        <f t="shared" si="21"/>
        <v>477272.7</v>
      </c>
      <c r="AN301" s="747">
        <f t="shared" si="21"/>
        <v>499181.1</v>
      </c>
      <c r="AO301" s="747">
        <f t="shared" si="21"/>
        <v>524022.36000000004</v>
      </c>
      <c r="AP301" s="747">
        <f t="shared" si="21"/>
        <v>823652.45000000007</v>
      </c>
      <c r="AQ301" s="747">
        <f t="shared" si="21"/>
        <v>8832.4699999999993</v>
      </c>
      <c r="AR301" s="747">
        <f t="shared" si="21"/>
        <v>0</v>
      </c>
      <c r="AS301" s="747">
        <f t="shared" si="21"/>
        <v>0</v>
      </c>
      <c r="AT301" s="747">
        <f t="shared" si="21"/>
        <v>0</v>
      </c>
      <c r="AU301" s="747">
        <f t="shared" si="21"/>
        <v>0</v>
      </c>
      <c r="AV301" s="747">
        <f t="shared" si="21"/>
        <v>0</v>
      </c>
      <c r="AW301" s="747">
        <f t="shared" si="21"/>
        <v>0</v>
      </c>
      <c r="AX301" s="747">
        <f t="shared" si="21"/>
        <v>0</v>
      </c>
      <c r="AY301" s="747">
        <f t="shared" si="21"/>
        <v>0</v>
      </c>
      <c r="AZ301" s="747">
        <f t="shared" si="21"/>
        <v>0</v>
      </c>
      <c r="BA301" s="747">
        <f t="shared" si="21"/>
        <v>0</v>
      </c>
      <c r="BB301" s="747">
        <f t="shared" si="21"/>
        <v>0</v>
      </c>
      <c r="BC301" s="742">
        <f>SUM(BC2:BC300)</f>
        <v>32649504.909999985</v>
      </c>
      <c r="BD301" s="724"/>
      <c r="BE301" s="724"/>
      <c r="BF301" s="726"/>
      <c r="BG301" s="726"/>
      <c r="BH301" s="726"/>
    </row>
    <row r="302" spans="1:60" x14ac:dyDescent="0.2">
      <c r="A302" s="726" t="s">
        <v>896</v>
      </c>
      <c r="B302" s="726"/>
      <c r="C302" s="746"/>
      <c r="D302" s="746"/>
      <c r="E302" s="746"/>
      <c r="F302" s="746"/>
      <c r="G302" s="746"/>
      <c r="H302" s="746"/>
      <c r="I302" s="746"/>
      <c r="J302" s="746"/>
      <c r="K302" s="746"/>
      <c r="L302" s="746"/>
      <c r="M302" s="746"/>
      <c r="N302" s="746"/>
      <c r="O302" s="746"/>
      <c r="P302" s="746"/>
      <c r="Q302" s="746"/>
      <c r="R302" s="746"/>
      <c r="S302" s="746"/>
      <c r="T302" s="746"/>
      <c r="U302" s="746"/>
      <c r="V302" s="746"/>
      <c r="W302" s="746"/>
      <c r="X302" s="746"/>
      <c r="Y302" s="746"/>
      <c r="Z302" s="746"/>
      <c r="AA302" s="746"/>
      <c r="AB302" s="746"/>
      <c r="AC302" s="746"/>
      <c r="AD302" s="746"/>
      <c r="AE302" s="746"/>
      <c r="AF302" s="746"/>
      <c r="AG302" s="746"/>
      <c r="AH302" s="746"/>
      <c r="AI302" s="746"/>
      <c r="AJ302" s="746"/>
      <c r="AK302" s="746"/>
      <c r="AL302" s="746"/>
      <c r="AM302" s="746"/>
      <c r="AN302" s="746"/>
      <c r="AO302" s="746"/>
      <c r="AP302" s="746"/>
      <c r="AQ302" s="746"/>
      <c r="AR302" s="746"/>
      <c r="AS302" s="746"/>
      <c r="AT302" s="746"/>
      <c r="AU302" s="746"/>
      <c r="AV302" s="746"/>
      <c r="AW302" s="746"/>
      <c r="AX302" s="746"/>
      <c r="AY302" s="746"/>
      <c r="AZ302" s="746"/>
      <c r="BA302" s="746"/>
      <c r="BB302" s="746"/>
      <c r="BC302" s="724"/>
      <c r="BD302" s="724"/>
      <c r="BE302" s="724"/>
      <c r="BF302" s="726"/>
      <c r="BG302" s="726"/>
      <c r="BH302" s="726"/>
    </row>
    <row r="303" spans="1:60" x14ac:dyDescent="0.2">
      <c r="A303" s="743" t="s">
        <v>897</v>
      </c>
      <c r="B303" s="743"/>
      <c r="C303" s="745">
        <f>+C301</f>
        <v>240000</v>
      </c>
      <c r="D303" s="745">
        <f>+D301+C303</f>
        <v>471447</v>
      </c>
      <c r="E303" s="745">
        <f>+E301+D303</f>
        <v>701128</v>
      </c>
      <c r="F303" s="745">
        <f>+F301+E303</f>
        <v>1118756.8500000001</v>
      </c>
      <c r="G303" s="745">
        <f t="shared" ref="G303:W303" si="22">+G301+F303</f>
        <v>1516578.02</v>
      </c>
      <c r="H303" s="745">
        <f t="shared" si="22"/>
        <v>2042898.02</v>
      </c>
      <c r="I303" s="745">
        <f t="shared" si="22"/>
        <v>2469241.02</v>
      </c>
      <c r="J303" s="745">
        <f t="shared" si="22"/>
        <v>2912670.02</v>
      </c>
      <c r="K303" s="745">
        <f t="shared" si="22"/>
        <v>3438956.5700000003</v>
      </c>
      <c r="L303" s="745">
        <f>+L301+K303</f>
        <v>3976829.12</v>
      </c>
      <c r="M303" s="745">
        <f t="shared" si="22"/>
        <v>4516936.67</v>
      </c>
      <c r="N303" s="745">
        <f t="shared" si="22"/>
        <v>5145175.22</v>
      </c>
      <c r="O303" s="745">
        <f t="shared" si="22"/>
        <v>5823016.7699999996</v>
      </c>
      <c r="P303" s="745">
        <f t="shared" si="22"/>
        <v>6509603.3199999994</v>
      </c>
      <c r="Q303" s="745">
        <f t="shared" si="22"/>
        <v>7266107.8699999992</v>
      </c>
      <c r="R303" s="745">
        <f t="shared" si="22"/>
        <v>8019943.419999999</v>
      </c>
      <c r="S303" s="745">
        <f t="shared" si="22"/>
        <v>8880015.9699999988</v>
      </c>
      <c r="T303" s="745">
        <f t="shared" si="22"/>
        <v>10578423.539999999</v>
      </c>
      <c r="U303" s="745">
        <f t="shared" si="22"/>
        <v>11512454.189999999</v>
      </c>
      <c r="V303" s="745">
        <f t="shared" si="22"/>
        <v>12413069.74</v>
      </c>
      <c r="W303" s="745">
        <f t="shared" si="22"/>
        <v>13485998.289999999</v>
      </c>
      <c r="X303" s="745">
        <f>+X301+W303</f>
        <v>15276368.079999998</v>
      </c>
      <c r="Y303" s="745">
        <f>+Y301+X303</f>
        <v>16510154.629999999</v>
      </c>
      <c r="Z303" s="745">
        <f>+Z301+Y303</f>
        <v>17826539.18</v>
      </c>
      <c r="AA303" s="745">
        <f>+Z303+AA301</f>
        <v>19197627.73</v>
      </c>
      <c r="AB303" s="745">
        <f>+AA303+AB301</f>
        <v>20225842.5</v>
      </c>
      <c r="AC303" s="745">
        <f t="shared" ref="AC303:BB303" si="23">+AB303+AC301</f>
        <v>21369264.879999999</v>
      </c>
      <c r="AD303" s="745">
        <f t="shared" si="23"/>
        <v>22564142.25</v>
      </c>
      <c r="AE303" s="745">
        <f t="shared" si="23"/>
        <v>25616457.289999999</v>
      </c>
      <c r="AF303" s="745">
        <f t="shared" si="23"/>
        <v>26937986.75</v>
      </c>
      <c r="AG303" s="745">
        <f t="shared" si="23"/>
        <v>28282235.530000001</v>
      </c>
      <c r="AH303" s="745">
        <f t="shared" si="23"/>
        <v>29144036.220000003</v>
      </c>
      <c r="AI303" s="745">
        <f t="shared" si="23"/>
        <v>29923849.300000004</v>
      </c>
      <c r="AJ303" s="745">
        <f t="shared" si="23"/>
        <v>30818942.820000004</v>
      </c>
      <c r="AK303" s="745">
        <f t="shared" si="23"/>
        <v>31437615.740000006</v>
      </c>
      <c r="AL303" s="745">
        <f t="shared" si="23"/>
        <v>32101145.050000004</v>
      </c>
      <c r="AM303" s="745">
        <f t="shared" si="23"/>
        <v>32578417.750000004</v>
      </c>
      <c r="AN303" s="745">
        <f t="shared" si="23"/>
        <v>33077598.850000005</v>
      </c>
      <c r="AO303" s="745">
        <f t="shared" si="23"/>
        <v>33601621.210000008</v>
      </c>
      <c r="AP303" s="745">
        <f t="shared" si="23"/>
        <v>34425273.660000011</v>
      </c>
      <c r="AQ303" s="745">
        <f t="shared" si="23"/>
        <v>34434106.13000001</v>
      </c>
      <c r="AR303" s="745">
        <f t="shared" si="23"/>
        <v>34434106.13000001</v>
      </c>
      <c r="AS303" s="745">
        <f t="shared" si="23"/>
        <v>34434106.13000001</v>
      </c>
      <c r="AT303" s="745">
        <f t="shared" si="23"/>
        <v>34434106.13000001</v>
      </c>
      <c r="AU303" s="745">
        <f t="shared" si="23"/>
        <v>34434106.13000001</v>
      </c>
      <c r="AV303" s="745">
        <f t="shared" si="23"/>
        <v>34434106.13000001</v>
      </c>
      <c r="AW303" s="745">
        <f t="shared" si="23"/>
        <v>34434106.13000001</v>
      </c>
      <c r="AX303" s="745">
        <f t="shared" si="23"/>
        <v>34434106.13000001</v>
      </c>
      <c r="AY303" s="745">
        <f t="shared" si="23"/>
        <v>34434106.13000001</v>
      </c>
      <c r="AZ303" s="745">
        <f t="shared" si="23"/>
        <v>34434106.13000001</v>
      </c>
      <c r="BA303" s="745">
        <f t="shared" si="23"/>
        <v>34434106.13000001</v>
      </c>
      <c r="BB303" s="745">
        <f t="shared" si="23"/>
        <v>34434106.13000001</v>
      </c>
      <c r="BC303" s="744">
        <f>BB303-BC301</f>
        <v>1784601.2200000249</v>
      </c>
      <c r="BD303" s="724"/>
      <c r="BE303" s="724"/>
      <c r="BF303" s="726"/>
      <c r="BG303" s="726"/>
      <c r="BH303" s="726"/>
    </row>
    <row r="304" spans="1:60" x14ac:dyDescent="0.2">
      <c r="A304" s="726"/>
      <c r="B304" s="726"/>
      <c r="C304" s="724"/>
      <c r="D304" s="724"/>
      <c r="E304" s="724"/>
      <c r="F304" s="724"/>
      <c r="G304" s="724"/>
      <c r="H304" s="724"/>
      <c r="I304" s="724"/>
      <c r="J304" s="724"/>
      <c r="K304" s="724"/>
      <c r="L304" s="724"/>
      <c r="M304" s="724"/>
      <c r="N304" s="724"/>
      <c r="O304" s="724"/>
      <c r="P304" s="724"/>
      <c r="Q304" s="724"/>
      <c r="R304" s="724"/>
      <c r="S304" s="724"/>
      <c r="T304" s="724"/>
      <c r="U304" s="724"/>
      <c r="V304" s="724"/>
      <c r="W304" s="724"/>
      <c r="X304" s="724"/>
      <c r="Y304" s="724"/>
      <c r="Z304" s="724"/>
      <c r="AA304" s="724"/>
      <c r="AB304" s="724"/>
      <c r="AC304" s="724"/>
      <c r="AD304" s="724"/>
      <c r="AE304" s="724"/>
      <c r="AF304" s="724"/>
      <c r="AG304" s="724"/>
      <c r="AH304" s="724"/>
      <c r="AI304" s="724"/>
      <c r="AJ304" s="724"/>
      <c r="AK304" s="724"/>
      <c r="AL304" s="724"/>
      <c r="AM304" s="724"/>
      <c r="AN304" s="724"/>
      <c r="AO304" s="724"/>
      <c r="AP304" s="724"/>
      <c r="AQ304" s="724"/>
      <c r="AR304" s="724"/>
      <c r="AS304" s="724"/>
      <c r="AT304" s="724"/>
      <c r="AU304" s="724"/>
      <c r="AV304" s="724"/>
      <c r="AW304" s="724"/>
      <c r="AX304" s="724"/>
      <c r="AY304" s="724"/>
      <c r="AZ304" s="724"/>
      <c r="BA304" s="724"/>
      <c r="BB304" s="724"/>
      <c r="BC304" s="724"/>
      <c r="BD304" s="724"/>
      <c r="BE304" s="724"/>
      <c r="BF304" s="726"/>
      <c r="BG304" s="726"/>
      <c r="BH304" s="726"/>
    </row>
    <row r="305" spans="1:60" s="312" customFormat="1" x14ac:dyDescent="0.2">
      <c r="A305" s="743" t="s">
        <v>898</v>
      </c>
      <c r="B305" s="743"/>
      <c r="C305" s="745">
        <f t="shared" ref="C305:K305" si="24">+C4+C15+C105+C118+C119+C149+C160+C168+C176+C180+C195+C213+C231+C245+C249+C251+C257+C261+C262+C268+C274+C279+C284+C287+C293+C295+C296+C297+C298+C299</f>
        <v>87000</v>
      </c>
      <c r="D305" s="745">
        <f t="shared" si="24"/>
        <v>40196</v>
      </c>
      <c r="E305" s="745">
        <f t="shared" si="24"/>
        <v>34696</v>
      </c>
      <c r="F305" s="745">
        <f>+F4+F15+F105+F118+F119+F149+F160+F168+F176+F180+F195+F213+F231+F245+F249+F251+F257+F261+F262+F268+F274+F279+F284+F287+F293+F295+F296+F297+F298+F299</f>
        <v>34696</v>
      </c>
      <c r="G305" s="745">
        <f>+G4+G15+G105+G118+G119+G149+G160+G168+G176+G180+G195+G213+G231+G245+G249+G251+G257+G261+G262+G268+G274+G279+G284+G287+G293+G295+G296+G297+G298+G299</f>
        <v>34696</v>
      </c>
      <c r="H305" s="745">
        <f>+H4+H15+H105+H118+H119+H149+H160+H168+H176+H180+H195+H213+H231+H245+H249+H251+H257+H261+H262+H268+H274+H279+H284+H287+H293+H295+H296+H297+H298+H299</f>
        <v>82696</v>
      </c>
      <c r="I305" s="745">
        <f>+I4+I15+I105+I118+I119+I149+I160+I168+I176+I180+I195+I213+I231+I245+I249+I251+I257+I261+I262+I268+I274+I279+I284+I287+I293+I295+I296+I297+I298+I299</f>
        <v>67906</v>
      </c>
      <c r="J305" s="745">
        <f>+J4+J15+J105+J118+J119+J149+J160+J168+J176+J180+J195+J213+J231+J245+J249+J251+J257+J261+J262+J268+J274+J279+J284+J287+J293+J295+J296+J297+J298+J299</f>
        <v>73906</v>
      </c>
      <c r="K305" s="745">
        <f t="shared" si="24"/>
        <v>106690.55</v>
      </c>
      <c r="L305" s="745">
        <f>+L4+L15+L105+L118+L119+L149+L160+L168+L176+L180+L195+L213+L231+L245+L249+L251+L257+L261+L262+L268+L274+L279+L284+L287+L293+L295+L296+L297+L298+L299</f>
        <v>119890.55</v>
      </c>
      <c r="M305" s="745">
        <f t="shared" ref="M305:BB305" si="25">+M4+M15+M105+M118+M119+M149+M160+M168+M176+M180+M195+M213+M231+M245+M249+M251+M257+M261+M262+M268+M274+M279+M284+M287+M293+M295+M296+M297+M298+M299</f>
        <v>79890.55</v>
      </c>
      <c r="N305" s="745">
        <f t="shared" si="25"/>
        <v>79890.55</v>
      </c>
      <c r="O305" s="745">
        <f t="shared" si="25"/>
        <v>79890.55</v>
      </c>
      <c r="P305" s="745">
        <f t="shared" si="25"/>
        <v>87890.55</v>
      </c>
      <c r="Q305" s="745">
        <f t="shared" si="25"/>
        <v>84391.55</v>
      </c>
      <c r="R305" s="745">
        <f t="shared" si="25"/>
        <v>84391.55</v>
      </c>
      <c r="S305" s="745">
        <f t="shared" si="25"/>
        <v>84391.55</v>
      </c>
      <c r="T305" s="745">
        <f t="shared" si="25"/>
        <v>84391.55</v>
      </c>
      <c r="U305" s="745">
        <f t="shared" si="25"/>
        <v>84391.55</v>
      </c>
      <c r="V305" s="745">
        <f t="shared" si="25"/>
        <v>84391.55</v>
      </c>
      <c r="W305" s="745">
        <f t="shared" si="25"/>
        <v>84391.55</v>
      </c>
      <c r="X305" s="745">
        <f>+X4+X15+X105+X118+X119+X149+X160+X168+X176+X180+X195+X213+X231+X245+X249+X251+X257+X261+X262+X268+X274+X279+X284+X287+X293+X295+X296+X297+X298+X299</f>
        <v>103523.55</v>
      </c>
      <c r="Y305" s="745">
        <f>+Y4+Y15+Y105+Y118+Y119+Y149+Y160+Y168+Y176+Y180+Y195+Y213+Y231+Y245+Y249+Y251+Y257+Y261+Y262+Y268+Y274+Y279+Y284+Y287+Y293+Y295+Y296+Y297+Y298+Y299</f>
        <v>84391.55</v>
      </c>
      <c r="Z305" s="745">
        <f>+Z4+Z15+Z105+Z118+Z119+Z149+Z160+Z168+Z176+Z180+Z195+Z213+Z231+Z245+Z249+Z251+Z257+Z261+Z262+Z268+Z274+Z279+Z284+Z287+Z293+Z295+Z296+Z297+Z298+Z299</f>
        <v>84391.55</v>
      </c>
      <c r="AA305" s="745">
        <f>+AA4+AA15+AA105+AA118+AA119+AA149+AA160+AA168+AA176+AA180+AA195+AA213+AA231+AA245+AA249+AA251+AA257+AA261+AA262+AA268+AA274+AA279+AA284+AA287+AA293+AA295+AA296+AA297+AA298+AA299</f>
        <v>84391.55</v>
      </c>
      <c r="AB305" s="745">
        <f>+AB4+AB15+AB105+AB118+AB119+AB149+AB160+AB168+AB176+AB180+AB195+AB213+AB231+AB245+AB249+AB251+AB257+AB261+AB262+AB268+AB274+AB279+AB284+AB287+AB293+AB295+AB296+AB297+AB298+AB299</f>
        <v>84391.55</v>
      </c>
      <c r="AC305" s="745">
        <f t="shared" si="25"/>
        <v>84391.55</v>
      </c>
      <c r="AD305" s="745">
        <f t="shared" si="25"/>
        <v>84391.55</v>
      </c>
      <c r="AE305" s="745">
        <f t="shared" si="25"/>
        <v>84391.55</v>
      </c>
      <c r="AF305" s="745">
        <f t="shared" si="25"/>
        <v>102710.38</v>
      </c>
      <c r="AG305" s="745">
        <f t="shared" si="25"/>
        <v>79826.080000000002</v>
      </c>
      <c r="AH305" s="745">
        <f t="shared" si="25"/>
        <v>57155</v>
      </c>
      <c r="AI305" s="745">
        <f t="shared" si="25"/>
        <v>57155</v>
      </c>
      <c r="AJ305" s="745">
        <f t="shared" si="25"/>
        <v>57173</v>
      </c>
      <c r="AK305" s="745">
        <f t="shared" si="25"/>
        <v>64892.72</v>
      </c>
      <c r="AL305" s="745">
        <f t="shared" si="25"/>
        <v>78894.95</v>
      </c>
      <c r="AM305" s="745">
        <f t="shared" si="25"/>
        <v>0</v>
      </c>
      <c r="AN305" s="745">
        <f t="shared" si="25"/>
        <v>0</v>
      </c>
      <c r="AO305" s="745">
        <f t="shared" si="25"/>
        <v>0</v>
      </c>
      <c r="AP305" s="745">
        <f t="shared" si="25"/>
        <v>0</v>
      </c>
      <c r="AQ305" s="745">
        <f t="shared" si="25"/>
        <v>0</v>
      </c>
      <c r="AR305" s="745">
        <f t="shared" si="25"/>
        <v>0</v>
      </c>
      <c r="AS305" s="745">
        <f t="shared" si="25"/>
        <v>0</v>
      </c>
      <c r="AT305" s="745">
        <f t="shared" si="25"/>
        <v>0</v>
      </c>
      <c r="AU305" s="745">
        <f t="shared" si="25"/>
        <v>0</v>
      </c>
      <c r="AV305" s="745">
        <f t="shared" si="25"/>
        <v>0</v>
      </c>
      <c r="AW305" s="745">
        <f t="shared" si="25"/>
        <v>0</v>
      </c>
      <c r="AX305" s="745">
        <f t="shared" si="25"/>
        <v>0</v>
      </c>
      <c r="AY305" s="745">
        <f t="shared" si="25"/>
        <v>0</v>
      </c>
      <c r="AZ305" s="745">
        <f t="shared" si="25"/>
        <v>0</v>
      </c>
      <c r="BA305" s="745">
        <f t="shared" si="25"/>
        <v>0</v>
      </c>
      <c r="BB305" s="745">
        <f t="shared" si="25"/>
        <v>0</v>
      </c>
      <c r="BC305" s="741"/>
      <c r="BD305" s="741"/>
      <c r="BE305" s="741"/>
      <c r="BF305" s="743"/>
      <c r="BG305" s="743"/>
      <c r="BH305" s="743"/>
    </row>
    <row r="306" spans="1:60" x14ac:dyDescent="0.2">
      <c r="A306" s="726"/>
      <c r="B306" s="726"/>
      <c r="C306" s="724"/>
      <c r="D306" s="724"/>
      <c r="E306" s="724"/>
      <c r="F306" s="724"/>
      <c r="G306" s="724"/>
      <c r="H306" s="724"/>
      <c r="I306" s="724"/>
      <c r="J306" s="724"/>
      <c r="K306" s="724"/>
      <c r="L306" s="724"/>
      <c r="M306" s="724"/>
      <c r="N306" s="724"/>
      <c r="O306" s="724"/>
      <c r="P306" s="724"/>
      <c r="Q306" s="724"/>
      <c r="R306" s="724"/>
      <c r="S306" s="724"/>
      <c r="T306" s="724"/>
      <c r="U306" s="724"/>
      <c r="V306" s="724"/>
      <c r="W306" s="724"/>
      <c r="X306" s="724"/>
      <c r="Y306" s="724"/>
      <c r="Z306" s="724"/>
      <c r="AA306" s="724"/>
      <c r="AB306" s="724"/>
      <c r="AC306" s="724"/>
      <c r="AD306" s="724"/>
      <c r="AE306" s="724"/>
      <c r="AF306" s="724"/>
      <c r="AG306" s="724"/>
      <c r="AH306" s="724"/>
      <c r="AI306" s="724"/>
      <c r="AJ306" s="724"/>
      <c r="AK306" s="724"/>
      <c r="AL306" s="724"/>
      <c r="AM306" s="724"/>
      <c r="AN306" s="724"/>
      <c r="AO306" s="724"/>
      <c r="AP306" s="724"/>
      <c r="AQ306" s="724"/>
      <c r="AR306" s="724"/>
      <c r="AS306" s="724"/>
      <c r="AT306" s="724"/>
      <c r="AU306" s="724"/>
      <c r="AV306" s="724"/>
      <c r="AW306" s="724"/>
      <c r="AX306" s="724"/>
      <c r="AY306" s="724"/>
      <c r="AZ306" s="724"/>
      <c r="BA306" s="724"/>
      <c r="BB306" s="724"/>
      <c r="BC306" s="724"/>
      <c r="BD306" s="724"/>
      <c r="BE306" s="724"/>
      <c r="BF306" s="726"/>
      <c r="BG306" s="726"/>
      <c r="BH306" s="726"/>
    </row>
    <row r="307" spans="1:60" s="312" customFormat="1" x14ac:dyDescent="0.2">
      <c r="A307" s="743" t="s">
        <v>899</v>
      </c>
      <c r="B307" s="743"/>
      <c r="C307" s="749">
        <f t="shared" ref="C307:AH307" si="26">+C4+C118+C119+C160+C168+C180+C195+C251+C268+C295+C296+C297+C298+C299</f>
        <v>15000</v>
      </c>
      <c r="D307" s="749">
        <f t="shared" si="26"/>
        <v>1000</v>
      </c>
      <c r="E307" s="749">
        <f t="shared" si="26"/>
        <v>1000</v>
      </c>
      <c r="F307" s="749">
        <f t="shared" si="26"/>
        <v>1000</v>
      </c>
      <c r="G307" s="749">
        <f t="shared" si="26"/>
        <v>1000</v>
      </c>
      <c r="H307" s="749">
        <f t="shared" si="26"/>
        <v>43000</v>
      </c>
      <c r="I307" s="749">
        <f t="shared" si="26"/>
        <v>30154</v>
      </c>
      <c r="J307" s="749">
        <f t="shared" si="26"/>
        <v>30154</v>
      </c>
      <c r="K307" s="749">
        <f t="shared" si="26"/>
        <v>66138.55</v>
      </c>
      <c r="L307" s="749">
        <f>+L4+L118+L119+L160+L168+L180+L195+L251+L268+L295+L296+L297+L298+L299</f>
        <v>42138.55</v>
      </c>
      <c r="M307" s="749">
        <f t="shared" si="26"/>
        <v>42138.55</v>
      </c>
      <c r="N307" s="749">
        <f t="shared" si="26"/>
        <v>42138.55</v>
      </c>
      <c r="O307" s="749">
        <f t="shared" si="26"/>
        <v>42138.55</v>
      </c>
      <c r="P307" s="749">
        <f t="shared" si="26"/>
        <v>42138.55</v>
      </c>
      <c r="Q307" s="749">
        <f t="shared" si="26"/>
        <v>42138.55</v>
      </c>
      <c r="R307" s="749">
        <f t="shared" si="26"/>
        <v>42138.55</v>
      </c>
      <c r="S307" s="749">
        <f t="shared" si="26"/>
        <v>42138.55</v>
      </c>
      <c r="T307" s="749">
        <f t="shared" si="26"/>
        <v>42138.55</v>
      </c>
      <c r="U307" s="749">
        <f t="shared" si="26"/>
        <v>42138.55</v>
      </c>
      <c r="V307" s="749">
        <f t="shared" si="26"/>
        <v>42138.55</v>
      </c>
      <c r="W307" s="749">
        <f t="shared" si="26"/>
        <v>42138.55</v>
      </c>
      <c r="X307" s="749">
        <f>+X4+X118+X119+X160+X168+X180+X195+X251+X268+X295+X296+X297+X298+X299</f>
        <v>42138.55</v>
      </c>
      <c r="Y307" s="749">
        <f>+Y4+Y118+Y119+Y160+Y168+Y180+Y195+Y251+Y268+Y295+Y296+Y297+Y298+Y299</f>
        <v>42138.55</v>
      </c>
      <c r="Z307" s="749">
        <f>+Z4+Z118+Z119+Z160+Z168+Z180+Z195+Z251+Z268+Z295+Z296+Z297+Z298+Z299</f>
        <v>42138.55</v>
      </c>
      <c r="AA307" s="749">
        <f>+AA4+AA118+AA119+AA160+AA168+AA180+AA195+AA251+AA268+AA295+AA296+AA297+AA298+AA299</f>
        <v>42138.55</v>
      </c>
      <c r="AB307" s="749">
        <f t="shared" si="26"/>
        <v>42138.55</v>
      </c>
      <c r="AC307" s="749">
        <f t="shared" si="26"/>
        <v>42138.55</v>
      </c>
      <c r="AD307" s="749">
        <f t="shared" si="26"/>
        <v>42138.55</v>
      </c>
      <c r="AE307" s="749">
        <f t="shared" si="26"/>
        <v>42138.55</v>
      </c>
      <c r="AF307" s="749">
        <f>+AF4+AF118+AF119+AF160+AF168+AF180+AF195+AF251+AF268+AF295+AF296+AF297+AF298+AF299</f>
        <v>42138.45</v>
      </c>
      <c r="AG307" s="749">
        <f>+AG4+AG118+AG119+AG160+AG168+AG180+AG195+AG251+AG268+AG295+AG296+AG297+AG298+AG299</f>
        <v>30139</v>
      </c>
      <c r="AH307" s="749">
        <f t="shared" si="26"/>
        <v>24459</v>
      </c>
      <c r="AI307" s="749">
        <f t="shared" ref="AI307:BB307" si="27">+AI4+AI118+AI119+AI160+AI168+AI180+AI195+AI251+AI268+AI295+AI296+AI297+AI298+AI299</f>
        <v>24459</v>
      </c>
      <c r="AJ307" s="749">
        <f t="shared" si="27"/>
        <v>24477</v>
      </c>
      <c r="AK307" s="749">
        <f t="shared" si="27"/>
        <v>1000</v>
      </c>
      <c r="AL307" s="749">
        <f t="shared" si="27"/>
        <v>24882</v>
      </c>
      <c r="AM307" s="749">
        <f t="shared" si="27"/>
        <v>0</v>
      </c>
      <c r="AN307" s="749">
        <f t="shared" si="27"/>
        <v>0</v>
      </c>
      <c r="AO307" s="749">
        <f t="shared" si="27"/>
        <v>0</v>
      </c>
      <c r="AP307" s="749">
        <f t="shared" si="27"/>
        <v>0</v>
      </c>
      <c r="AQ307" s="749">
        <f t="shared" si="27"/>
        <v>0</v>
      </c>
      <c r="AR307" s="749">
        <f t="shared" si="27"/>
        <v>0</v>
      </c>
      <c r="AS307" s="749">
        <f t="shared" si="27"/>
        <v>0</v>
      </c>
      <c r="AT307" s="749">
        <f t="shared" si="27"/>
        <v>0</v>
      </c>
      <c r="AU307" s="749">
        <f t="shared" si="27"/>
        <v>0</v>
      </c>
      <c r="AV307" s="749">
        <f t="shared" si="27"/>
        <v>0</v>
      </c>
      <c r="AW307" s="749">
        <f t="shared" si="27"/>
        <v>0</v>
      </c>
      <c r="AX307" s="749">
        <f t="shared" si="27"/>
        <v>0</v>
      </c>
      <c r="AY307" s="749">
        <f t="shared" si="27"/>
        <v>0</v>
      </c>
      <c r="AZ307" s="749">
        <f t="shared" si="27"/>
        <v>0</v>
      </c>
      <c r="BA307" s="749">
        <f t="shared" si="27"/>
        <v>0</v>
      </c>
      <c r="BB307" s="749">
        <f t="shared" si="27"/>
        <v>0</v>
      </c>
      <c r="BC307" s="741"/>
      <c r="BD307" s="741"/>
      <c r="BE307" s="741"/>
      <c r="BF307" s="743"/>
      <c r="BG307" s="743"/>
      <c r="BH307" s="743"/>
    </row>
    <row r="308" spans="1:60" s="312" customFormat="1" x14ac:dyDescent="0.2">
      <c r="A308" s="743" t="s">
        <v>900</v>
      </c>
      <c r="B308" s="743"/>
      <c r="C308" s="745">
        <f t="shared" ref="C308:AH308" si="28">+C15+C105+C149+C176+C213+C231+C245+C249+C257+C261+C262+C274+C279+C284+C287+C293</f>
        <v>72000</v>
      </c>
      <c r="D308" s="745">
        <f t="shared" si="28"/>
        <v>39196</v>
      </c>
      <c r="E308" s="745">
        <f t="shared" si="28"/>
        <v>33696</v>
      </c>
      <c r="F308" s="745">
        <f t="shared" si="28"/>
        <v>33696</v>
      </c>
      <c r="G308" s="745">
        <f t="shared" si="28"/>
        <v>33696</v>
      </c>
      <c r="H308" s="745">
        <f t="shared" si="28"/>
        <v>39696</v>
      </c>
      <c r="I308" s="745">
        <f t="shared" si="28"/>
        <v>37752</v>
      </c>
      <c r="J308" s="745">
        <f t="shared" si="28"/>
        <v>43752</v>
      </c>
      <c r="K308" s="745">
        <f t="shared" si="28"/>
        <v>40552</v>
      </c>
      <c r="L308" s="745">
        <f t="shared" si="28"/>
        <v>77752</v>
      </c>
      <c r="M308" s="745">
        <f t="shared" si="28"/>
        <v>37752</v>
      </c>
      <c r="N308" s="745">
        <f t="shared" si="28"/>
        <v>37752</v>
      </c>
      <c r="O308" s="745">
        <f t="shared" si="28"/>
        <v>37752</v>
      </c>
      <c r="P308" s="745">
        <f t="shared" si="28"/>
        <v>45752</v>
      </c>
      <c r="Q308" s="745">
        <f t="shared" si="28"/>
        <v>42253</v>
      </c>
      <c r="R308" s="745">
        <f t="shared" si="28"/>
        <v>42253</v>
      </c>
      <c r="S308" s="745">
        <f t="shared" si="28"/>
        <v>42253</v>
      </c>
      <c r="T308" s="745">
        <f t="shared" si="28"/>
        <v>42253</v>
      </c>
      <c r="U308" s="745">
        <f t="shared" si="28"/>
        <v>42253</v>
      </c>
      <c r="V308" s="745">
        <f t="shared" si="28"/>
        <v>42253</v>
      </c>
      <c r="W308" s="745">
        <f t="shared" si="28"/>
        <v>42253</v>
      </c>
      <c r="X308" s="745">
        <f t="shared" si="28"/>
        <v>61385</v>
      </c>
      <c r="Y308" s="745">
        <f t="shared" si="28"/>
        <v>42253</v>
      </c>
      <c r="Z308" s="745">
        <f t="shared" si="28"/>
        <v>42253</v>
      </c>
      <c r="AA308" s="745">
        <f t="shared" si="28"/>
        <v>42253</v>
      </c>
      <c r="AB308" s="745">
        <f t="shared" si="28"/>
        <v>42253</v>
      </c>
      <c r="AC308" s="745">
        <f t="shared" si="28"/>
        <v>42253</v>
      </c>
      <c r="AD308" s="745">
        <f t="shared" si="28"/>
        <v>42253</v>
      </c>
      <c r="AE308" s="745">
        <f>+AE15+AE105+AE149+AE176+AE213+AE231+AE245+AE249+AE257+AE261+AE262+AE274+AE279+AE284+AE287+AE293</f>
        <v>42253</v>
      </c>
      <c r="AF308" s="745">
        <f>+AF15+AF105+AF149+AF176+AF213+AF231+AF245+AF249+AF257+AF261+AF262+AF274+AF279+AF284+AF287+AF293</f>
        <v>60571.93</v>
      </c>
      <c r="AG308" s="745">
        <f>+AG15+AG105+AG149+AG176+AG213+AG231+AG245+AG249+AG257+AG261+AG262+AG274+AG279+AG284+AG287+AG293</f>
        <v>49687.08</v>
      </c>
      <c r="AH308" s="745">
        <f t="shared" si="28"/>
        <v>32696</v>
      </c>
      <c r="AI308" s="745">
        <f t="shared" ref="AI308:BB308" si="29">+AI15+AI105+AI149+AI176+AI213+AI231+AI245+AI249+AI257+AI261+AI262+AI274+AI279+AI284+AI287+AI293</f>
        <v>32696</v>
      </c>
      <c r="AJ308" s="745">
        <f t="shared" si="29"/>
        <v>32696</v>
      </c>
      <c r="AK308" s="745">
        <f t="shared" si="29"/>
        <v>63892.72</v>
      </c>
      <c r="AL308" s="745">
        <f t="shared" si="29"/>
        <v>54012.95</v>
      </c>
      <c r="AM308" s="745">
        <f t="shared" si="29"/>
        <v>0</v>
      </c>
      <c r="AN308" s="745">
        <f t="shared" si="29"/>
        <v>0</v>
      </c>
      <c r="AO308" s="745">
        <f t="shared" si="29"/>
        <v>0</v>
      </c>
      <c r="AP308" s="745">
        <f t="shared" si="29"/>
        <v>0</v>
      </c>
      <c r="AQ308" s="745">
        <f t="shared" si="29"/>
        <v>0</v>
      </c>
      <c r="AR308" s="745">
        <f t="shared" si="29"/>
        <v>0</v>
      </c>
      <c r="AS308" s="745">
        <f t="shared" si="29"/>
        <v>0</v>
      </c>
      <c r="AT308" s="745">
        <f t="shared" si="29"/>
        <v>0</v>
      </c>
      <c r="AU308" s="745">
        <f t="shared" si="29"/>
        <v>0</v>
      </c>
      <c r="AV308" s="745">
        <f t="shared" si="29"/>
        <v>0</v>
      </c>
      <c r="AW308" s="745">
        <f t="shared" si="29"/>
        <v>0</v>
      </c>
      <c r="AX308" s="745">
        <f t="shared" si="29"/>
        <v>0</v>
      </c>
      <c r="AY308" s="745">
        <f t="shared" si="29"/>
        <v>0</v>
      </c>
      <c r="AZ308" s="745">
        <f t="shared" si="29"/>
        <v>0</v>
      </c>
      <c r="BA308" s="745">
        <f t="shared" si="29"/>
        <v>0</v>
      </c>
      <c r="BB308" s="745">
        <f t="shared" si="29"/>
        <v>0</v>
      </c>
      <c r="BC308" s="741"/>
      <c r="BD308" s="741"/>
      <c r="BE308" s="741"/>
      <c r="BF308" s="743"/>
      <c r="BG308" s="743"/>
      <c r="BH308" s="743"/>
    </row>
    <row r="309" spans="1:60" s="312" customFormat="1" x14ac:dyDescent="0.2">
      <c r="A309" s="743" t="s">
        <v>48</v>
      </c>
      <c r="B309" s="743"/>
      <c r="C309" s="745">
        <f t="shared" ref="C309:BB309" si="30">+C305-C307-C308</f>
        <v>0</v>
      </c>
      <c r="D309" s="745">
        <f t="shared" si="30"/>
        <v>0</v>
      </c>
      <c r="E309" s="745">
        <f t="shared" si="30"/>
        <v>0</v>
      </c>
      <c r="F309" s="745">
        <f t="shared" si="30"/>
        <v>0</v>
      </c>
      <c r="G309" s="745">
        <f t="shared" si="30"/>
        <v>0</v>
      </c>
      <c r="H309" s="745">
        <f t="shared" si="30"/>
        <v>0</v>
      </c>
      <c r="I309" s="745">
        <f t="shared" si="30"/>
        <v>0</v>
      </c>
      <c r="J309" s="745">
        <f t="shared" si="30"/>
        <v>0</v>
      </c>
      <c r="K309" s="745">
        <f t="shared" si="30"/>
        <v>0</v>
      </c>
      <c r="L309" s="745">
        <f t="shared" si="30"/>
        <v>0</v>
      </c>
      <c r="M309" s="745">
        <f t="shared" si="30"/>
        <v>0</v>
      </c>
      <c r="N309" s="745">
        <f t="shared" si="30"/>
        <v>0</v>
      </c>
      <c r="O309" s="745">
        <f t="shared" si="30"/>
        <v>0</v>
      </c>
      <c r="P309" s="745">
        <f t="shared" si="30"/>
        <v>0</v>
      </c>
      <c r="Q309" s="745">
        <f t="shared" si="30"/>
        <v>0</v>
      </c>
      <c r="R309" s="745">
        <f t="shared" si="30"/>
        <v>0</v>
      </c>
      <c r="S309" s="745">
        <f t="shared" si="30"/>
        <v>0</v>
      </c>
      <c r="T309" s="745">
        <f t="shared" si="30"/>
        <v>0</v>
      </c>
      <c r="U309" s="745">
        <f t="shared" si="30"/>
        <v>0</v>
      </c>
      <c r="V309" s="745">
        <f t="shared" si="30"/>
        <v>0</v>
      </c>
      <c r="W309" s="745">
        <f t="shared" si="30"/>
        <v>0</v>
      </c>
      <c r="X309" s="745">
        <f t="shared" si="30"/>
        <v>0</v>
      </c>
      <c r="Y309" s="745">
        <f t="shared" si="30"/>
        <v>0</v>
      </c>
      <c r="Z309" s="745">
        <f t="shared" si="30"/>
        <v>0</v>
      </c>
      <c r="AA309" s="745">
        <f t="shared" si="30"/>
        <v>0</v>
      </c>
      <c r="AB309" s="745">
        <f t="shared" si="30"/>
        <v>0</v>
      </c>
      <c r="AC309" s="745">
        <f t="shared" si="30"/>
        <v>0</v>
      </c>
      <c r="AD309" s="745">
        <f t="shared" si="30"/>
        <v>0</v>
      </c>
      <c r="AE309" s="745">
        <f t="shared" si="30"/>
        <v>0</v>
      </c>
      <c r="AF309" s="745">
        <f t="shared" si="30"/>
        <v>0</v>
      </c>
      <c r="AG309" s="745">
        <f>+AG305-AG307-AG308</f>
        <v>0</v>
      </c>
      <c r="AH309" s="745">
        <f t="shared" si="30"/>
        <v>0</v>
      </c>
      <c r="AI309" s="745">
        <f t="shared" si="30"/>
        <v>0</v>
      </c>
      <c r="AJ309" s="745">
        <f t="shared" si="30"/>
        <v>0</v>
      </c>
      <c r="AK309" s="745">
        <f t="shared" si="30"/>
        <v>0</v>
      </c>
      <c r="AL309" s="745">
        <f t="shared" si="30"/>
        <v>0</v>
      </c>
      <c r="AM309" s="745">
        <f t="shared" si="30"/>
        <v>0</v>
      </c>
      <c r="AN309" s="745">
        <f t="shared" si="30"/>
        <v>0</v>
      </c>
      <c r="AO309" s="745">
        <f t="shared" si="30"/>
        <v>0</v>
      </c>
      <c r="AP309" s="745">
        <f t="shared" si="30"/>
        <v>0</v>
      </c>
      <c r="AQ309" s="745">
        <f t="shared" si="30"/>
        <v>0</v>
      </c>
      <c r="AR309" s="745">
        <f t="shared" si="30"/>
        <v>0</v>
      </c>
      <c r="AS309" s="745">
        <f t="shared" si="30"/>
        <v>0</v>
      </c>
      <c r="AT309" s="745">
        <f t="shared" si="30"/>
        <v>0</v>
      </c>
      <c r="AU309" s="745">
        <f t="shared" si="30"/>
        <v>0</v>
      </c>
      <c r="AV309" s="745">
        <f t="shared" si="30"/>
        <v>0</v>
      </c>
      <c r="AW309" s="745">
        <f t="shared" si="30"/>
        <v>0</v>
      </c>
      <c r="AX309" s="745">
        <f t="shared" si="30"/>
        <v>0</v>
      </c>
      <c r="AY309" s="745">
        <f t="shared" si="30"/>
        <v>0</v>
      </c>
      <c r="AZ309" s="745">
        <f t="shared" si="30"/>
        <v>0</v>
      </c>
      <c r="BA309" s="745">
        <f t="shared" si="30"/>
        <v>0</v>
      </c>
      <c r="BB309" s="745">
        <f t="shared" si="30"/>
        <v>0</v>
      </c>
      <c r="BC309" s="741"/>
      <c r="BD309" s="741"/>
      <c r="BE309" s="741"/>
      <c r="BF309" s="743"/>
      <c r="BG309" s="743"/>
      <c r="BH309" s="743"/>
    </row>
    <row r="310" spans="1:60" s="312" customFormat="1" x14ac:dyDescent="0.2">
      <c r="A310" s="743"/>
      <c r="B310" s="743"/>
      <c r="C310" s="741"/>
      <c r="D310" s="741"/>
      <c r="E310" s="741"/>
      <c r="F310" s="741"/>
      <c r="G310" s="741"/>
      <c r="H310" s="741"/>
      <c r="I310" s="741"/>
      <c r="J310" s="741"/>
      <c r="K310" s="741"/>
      <c r="L310" s="741"/>
      <c r="M310" s="741"/>
      <c r="N310" s="741"/>
      <c r="O310" s="741"/>
      <c r="P310" s="741"/>
      <c r="Q310" s="741"/>
      <c r="R310" s="741"/>
      <c r="S310" s="741"/>
      <c r="T310" s="741"/>
      <c r="U310" s="741"/>
      <c r="V310" s="741"/>
      <c r="W310" s="741"/>
      <c r="X310" s="741"/>
      <c r="Y310" s="741"/>
      <c r="Z310" s="741"/>
      <c r="AA310" s="741"/>
      <c r="AB310" s="741"/>
      <c r="AC310" s="741"/>
      <c r="AD310" s="741"/>
      <c r="AE310" s="741"/>
      <c r="AF310" s="741"/>
      <c r="AG310" s="741"/>
      <c r="AH310" s="741"/>
      <c r="AI310" s="741"/>
      <c r="AJ310" s="741"/>
      <c r="AK310" s="741"/>
      <c r="AL310" s="741"/>
      <c r="AM310" s="741"/>
      <c r="AN310" s="741"/>
      <c r="AO310" s="741"/>
      <c r="AP310" s="741"/>
      <c r="AQ310" s="741"/>
      <c r="AR310" s="741"/>
      <c r="AS310" s="741"/>
      <c r="AT310" s="741"/>
      <c r="AU310" s="741"/>
      <c r="AV310" s="741"/>
      <c r="AW310" s="741"/>
      <c r="AX310" s="741"/>
      <c r="AY310" s="741"/>
      <c r="AZ310" s="741"/>
      <c r="BA310" s="741"/>
      <c r="BB310" s="741"/>
      <c r="BC310" s="741"/>
      <c r="BD310" s="741"/>
      <c r="BE310" s="741"/>
      <c r="BF310" s="743"/>
      <c r="BG310" s="743"/>
      <c r="BH310" s="743"/>
    </row>
    <row r="311" spans="1:60" s="312" customFormat="1" x14ac:dyDescent="0.2">
      <c r="A311" s="743" t="s">
        <v>901</v>
      </c>
      <c r="B311" s="743"/>
      <c r="C311" s="745">
        <f t="shared" ref="C311:AH311" si="31">+C301-C305</f>
        <v>153000</v>
      </c>
      <c r="D311" s="745">
        <f t="shared" si="31"/>
        <v>191251</v>
      </c>
      <c r="E311" s="745">
        <f t="shared" si="31"/>
        <v>194985</v>
      </c>
      <c r="F311" s="745">
        <f t="shared" si="31"/>
        <v>382932.85</v>
      </c>
      <c r="G311" s="745">
        <f t="shared" si="31"/>
        <v>363125.17</v>
      </c>
      <c r="H311" s="745">
        <f t="shared" si="31"/>
        <v>443624</v>
      </c>
      <c r="I311" s="745">
        <f t="shared" si="31"/>
        <v>358437</v>
      </c>
      <c r="J311" s="745">
        <f t="shared" si="31"/>
        <v>369523</v>
      </c>
      <c r="K311" s="745">
        <f t="shared" si="31"/>
        <v>419596.00000000006</v>
      </c>
      <c r="L311" s="745">
        <f t="shared" si="31"/>
        <v>417982.00000000006</v>
      </c>
      <c r="M311" s="745">
        <f t="shared" si="31"/>
        <v>460217.00000000006</v>
      </c>
      <c r="N311" s="745">
        <f t="shared" si="31"/>
        <v>548348</v>
      </c>
      <c r="O311" s="745">
        <f t="shared" si="31"/>
        <v>597951</v>
      </c>
      <c r="P311" s="745">
        <f t="shared" si="31"/>
        <v>598696</v>
      </c>
      <c r="Q311" s="745">
        <f t="shared" si="31"/>
        <v>672113</v>
      </c>
      <c r="R311" s="745">
        <f t="shared" si="31"/>
        <v>669444</v>
      </c>
      <c r="S311" s="745">
        <f t="shared" si="31"/>
        <v>775681</v>
      </c>
      <c r="T311" s="745">
        <f t="shared" si="31"/>
        <v>1614016.02</v>
      </c>
      <c r="U311" s="745">
        <f t="shared" si="31"/>
        <v>849639.09999999986</v>
      </c>
      <c r="V311" s="745">
        <f t="shared" si="31"/>
        <v>816224</v>
      </c>
      <c r="W311" s="745">
        <f t="shared" si="31"/>
        <v>988536.99999999977</v>
      </c>
      <c r="X311" s="745">
        <f t="shared" si="31"/>
        <v>1686846.24</v>
      </c>
      <c r="Y311" s="745">
        <f t="shared" si="31"/>
        <v>1149394.9999999998</v>
      </c>
      <c r="Z311" s="745">
        <f>+Z301-Z305</f>
        <v>1231992.9999999998</v>
      </c>
      <c r="AA311" s="745">
        <f t="shared" si="31"/>
        <v>1286696.9999999998</v>
      </c>
      <c r="AB311" s="745">
        <f t="shared" si="31"/>
        <v>943823.21999999986</v>
      </c>
      <c r="AC311" s="745">
        <f t="shared" si="31"/>
        <v>1059030.8299999998</v>
      </c>
      <c r="AD311" s="745">
        <f t="shared" si="31"/>
        <v>1110485.8199999998</v>
      </c>
      <c r="AE311" s="745">
        <f t="shared" si="31"/>
        <v>2967923.49</v>
      </c>
      <c r="AF311" s="745">
        <f>+AF301-AF305</f>
        <v>1218819.08</v>
      </c>
      <c r="AG311" s="745">
        <f t="shared" si="31"/>
        <v>1264422.6999999997</v>
      </c>
      <c r="AH311" s="745">
        <f t="shared" si="31"/>
        <v>804645.69000000006</v>
      </c>
      <c r="AI311" s="745">
        <f>+AI301-AI305</f>
        <v>722658.08000000007</v>
      </c>
      <c r="AJ311" s="745">
        <f>+AJ301-AJ305</f>
        <v>837920.52</v>
      </c>
      <c r="AK311" s="745">
        <f>+AK301-AK305</f>
        <v>553780.20000000007</v>
      </c>
      <c r="AL311" s="745">
        <f>+AL301-AL305</f>
        <v>584634.36</v>
      </c>
      <c r="AM311" s="745">
        <f>+AM301-AM305</f>
        <v>477272.7</v>
      </c>
      <c r="AN311" s="745">
        <f t="shared" ref="AN311:BB311" si="32">+AN301-AN305</f>
        <v>499181.1</v>
      </c>
      <c r="AO311" s="745">
        <f t="shared" si="32"/>
        <v>524022.36000000004</v>
      </c>
      <c r="AP311" s="745">
        <f t="shared" si="32"/>
        <v>823652.45000000007</v>
      </c>
      <c r="AQ311" s="745">
        <f t="shared" si="32"/>
        <v>8832.4699999999993</v>
      </c>
      <c r="AR311" s="745">
        <f t="shared" si="32"/>
        <v>0</v>
      </c>
      <c r="AS311" s="745">
        <f t="shared" si="32"/>
        <v>0</v>
      </c>
      <c r="AT311" s="745">
        <f t="shared" si="32"/>
        <v>0</v>
      </c>
      <c r="AU311" s="745">
        <f t="shared" si="32"/>
        <v>0</v>
      </c>
      <c r="AV311" s="745">
        <f t="shared" si="32"/>
        <v>0</v>
      </c>
      <c r="AW311" s="745">
        <f t="shared" si="32"/>
        <v>0</v>
      </c>
      <c r="AX311" s="745">
        <f t="shared" si="32"/>
        <v>0</v>
      </c>
      <c r="AY311" s="745">
        <f t="shared" si="32"/>
        <v>0</v>
      </c>
      <c r="AZ311" s="745">
        <f t="shared" si="32"/>
        <v>0</v>
      </c>
      <c r="BA311" s="745">
        <f t="shared" si="32"/>
        <v>0</v>
      </c>
      <c r="BB311" s="745">
        <f t="shared" si="32"/>
        <v>0</v>
      </c>
      <c r="BC311" s="741"/>
      <c r="BD311" s="741"/>
      <c r="BE311" s="741"/>
      <c r="BF311" s="743"/>
      <c r="BG311" s="743"/>
      <c r="BH311" s="743"/>
    </row>
    <row r="312" spans="1:60" s="312" customFormat="1" x14ac:dyDescent="0.2">
      <c r="A312" s="743"/>
      <c r="B312" s="743"/>
      <c r="C312" s="741"/>
      <c r="D312" s="741"/>
      <c r="E312" s="741"/>
      <c r="F312" s="741"/>
      <c r="G312" s="741"/>
      <c r="H312" s="741"/>
      <c r="I312" s="741"/>
      <c r="J312" s="741"/>
      <c r="K312" s="741"/>
      <c r="L312" s="741"/>
      <c r="M312" s="741"/>
      <c r="N312" s="741"/>
      <c r="O312" s="741"/>
      <c r="P312" s="741"/>
      <c r="Q312" s="741"/>
      <c r="R312" s="741"/>
      <c r="S312" s="741"/>
      <c r="T312" s="741"/>
      <c r="U312" s="741"/>
      <c r="V312" s="741"/>
      <c r="W312" s="741"/>
      <c r="X312" s="741"/>
      <c r="Y312" s="741"/>
      <c r="Z312" s="741"/>
      <c r="AA312" s="741"/>
      <c r="AB312" s="741"/>
      <c r="AC312" s="741"/>
      <c r="AD312" s="741"/>
      <c r="AE312" s="741"/>
      <c r="AF312" s="741"/>
      <c r="AG312" s="741"/>
      <c r="AH312" s="741"/>
      <c r="AI312" s="741"/>
      <c r="AJ312" s="741"/>
      <c r="AK312" s="741"/>
      <c r="AL312" s="741"/>
      <c r="AM312" s="741"/>
      <c r="AN312" s="741"/>
      <c r="AO312" s="741"/>
      <c r="AP312" s="741"/>
      <c r="AQ312" s="741"/>
      <c r="AR312" s="741"/>
      <c r="AS312" s="741"/>
      <c r="AT312" s="741"/>
      <c r="AU312" s="741"/>
      <c r="AV312" s="741"/>
      <c r="AW312" s="741"/>
      <c r="AX312" s="741"/>
      <c r="AY312" s="741"/>
      <c r="AZ312" s="741"/>
      <c r="BA312" s="741"/>
      <c r="BB312" s="741"/>
      <c r="BC312" s="741"/>
      <c r="BD312" s="741"/>
      <c r="BE312" s="741"/>
      <c r="BF312" s="743"/>
      <c r="BG312" s="743"/>
      <c r="BH312" s="743"/>
    </row>
    <row r="313" spans="1:60" s="312" customFormat="1" x14ac:dyDescent="0.2">
      <c r="A313" s="743" t="s">
        <v>902</v>
      </c>
      <c r="B313" s="743"/>
      <c r="C313" s="745">
        <f>SUM(C311:C312)</f>
        <v>153000</v>
      </c>
      <c r="D313" s="745">
        <f t="shared" ref="D313:AC313" si="33">+C313+D311</f>
        <v>344251</v>
      </c>
      <c r="E313" s="745">
        <f t="shared" si="33"/>
        <v>539236</v>
      </c>
      <c r="F313" s="745">
        <f t="shared" si="33"/>
        <v>922168.85</v>
      </c>
      <c r="G313" s="745">
        <f t="shared" si="33"/>
        <v>1285294.02</v>
      </c>
      <c r="H313" s="745">
        <f t="shared" si="33"/>
        <v>1728918.02</v>
      </c>
      <c r="I313" s="745">
        <f t="shared" si="33"/>
        <v>2087355.02</v>
      </c>
      <c r="J313" s="745">
        <f t="shared" si="33"/>
        <v>2456878.02</v>
      </c>
      <c r="K313" s="745">
        <f t="shared" si="33"/>
        <v>2876474.02</v>
      </c>
      <c r="L313" s="745">
        <f t="shared" si="33"/>
        <v>3294456.02</v>
      </c>
      <c r="M313" s="745">
        <f t="shared" si="33"/>
        <v>3754673.02</v>
      </c>
      <c r="N313" s="745">
        <f t="shared" si="33"/>
        <v>4303021.0199999996</v>
      </c>
      <c r="O313" s="745">
        <f t="shared" si="33"/>
        <v>4900972.0199999996</v>
      </c>
      <c r="P313" s="745">
        <f t="shared" si="33"/>
        <v>5499668.0199999996</v>
      </c>
      <c r="Q313" s="745">
        <f t="shared" si="33"/>
        <v>6171781.0199999996</v>
      </c>
      <c r="R313" s="745">
        <f t="shared" si="33"/>
        <v>6841225.0199999996</v>
      </c>
      <c r="S313" s="745">
        <f t="shared" si="33"/>
        <v>7616906.0199999996</v>
      </c>
      <c r="T313" s="745">
        <f t="shared" si="33"/>
        <v>9230922.0399999991</v>
      </c>
      <c r="U313" s="745">
        <f t="shared" si="33"/>
        <v>10080561.139999999</v>
      </c>
      <c r="V313" s="745">
        <f t="shared" si="33"/>
        <v>10896785.139999999</v>
      </c>
      <c r="W313" s="745">
        <f t="shared" si="33"/>
        <v>11885322.139999999</v>
      </c>
      <c r="X313" s="745">
        <f t="shared" si="33"/>
        <v>13572168.379999999</v>
      </c>
      <c r="Y313" s="745">
        <f t="shared" si="33"/>
        <v>14721563.379999999</v>
      </c>
      <c r="Z313" s="745">
        <f t="shared" si="33"/>
        <v>15953556.379999999</v>
      </c>
      <c r="AA313" s="745">
        <f t="shared" si="33"/>
        <v>17240253.379999999</v>
      </c>
      <c r="AB313" s="745">
        <f t="shared" si="33"/>
        <v>18184076.599999998</v>
      </c>
      <c r="AC313" s="745">
        <f t="shared" si="33"/>
        <v>19243107.429999996</v>
      </c>
      <c r="AD313" s="745">
        <f t="shared" ref="AD313:AI313" si="34">+AC313+AD311</f>
        <v>20353593.249999996</v>
      </c>
      <c r="AE313" s="745">
        <f t="shared" si="34"/>
        <v>23321516.739999995</v>
      </c>
      <c r="AF313" s="745">
        <f t="shared" si="34"/>
        <v>24540335.819999993</v>
      </c>
      <c r="AG313" s="745">
        <f t="shared" si="34"/>
        <v>25804758.519999992</v>
      </c>
      <c r="AH313" s="745">
        <f t="shared" si="34"/>
        <v>26609404.209999993</v>
      </c>
      <c r="AI313" s="745">
        <f t="shared" si="34"/>
        <v>27332062.289999992</v>
      </c>
      <c r="AJ313" s="745">
        <f t="shared" ref="AJ313:BB313" si="35">+AI313+AJ311</f>
        <v>28169982.809999991</v>
      </c>
      <c r="AK313" s="745">
        <f t="shared" si="35"/>
        <v>28723763.00999999</v>
      </c>
      <c r="AL313" s="745">
        <f t="shared" si="35"/>
        <v>29308397.36999999</v>
      </c>
      <c r="AM313" s="745">
        <f t="shared" si="35"/>
        <v>29785670.069999989</v>
      </c>
      <c r="AN313" s="745">
        <f t="shared" si="35"/>
        <v>30284851.169999991</v>
      </c>
      <c r="AO313" s="745">
        <f t="shared" si="35"/>
        <v>30808873.52999999</v>
      </c>
      <c r="AP313" s="745">
        <f t="shared" si="35"/>
        <v>31632525.979999989</v>
      </c>
      <c r="AQ313" s="745">
        <f t="shared" si="35"/>
        <v>31641358.449999988</v>
      </c>
      <c r="AR313" s="745">
        <f t="shared" si="35"/>
        <v>31641358.449999988</v>
      </c>
      <c r="AS313" s="745">
        <f t="shared" si="35"/>
        <v>31641358.449999988</v>
      </c>
      <c r="AT313" s="745">
        <f t="shared" si="35"/>
        <v>31641358.449999988</v>
      </c>
      <c r="AU313" s="745">
        <f t="shared" si="35"/>
        <v>31641358.449999988</v>
      </c>
      <c r="AV313" s="745">
        <f t="shared" si="35"/>
        <v>31641358.449999988</v>
      </c>
      <c r="AW313" s="745">
        <f t="shared" si="35"/>
        <v>31641358.449999988</v>
      </c>
      <c r="AX313" s="745">
        <f t="shared" si="35"/>
        <v>31641358.449999988</v>
      </c>
      <c r="AY313" s="745">
        <f t="shared" si="35"/>
        <v>31641358.449999988</v>
      </c>
      <c r="AZ313" s="745">
        <f t="shared" si="35"/>
        <v>31641358.449999988</v>
      </c>
      <c r="BA313" s="745">
        <f t="shared" si="35"/>
        <v>31641358.449999988</v>
      </c>
      <c r="BB313" s="745">
        <f t="shared" si="35"/>
        <v>31641358.449999988</v>
      </c>
      <c r="BC313" s="741"/>
      <c r="BD313" s="741"/>
      <c r="BE313" s="741"/>
      <c r="BF313" s="743"/>
      <c r="BG313" s="743"/>
      <c r="BH313" s="743"/>
    </row>
    <row r="314" spans="1:60" x14ac:dyDescent="0.2"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  <c r="X314" s="310"/>
      <c r="Y314" s="310"/>
      <c r="Z314" s="310"/>
      <c r="AA314" s="310"/>
      <c r="AB314" s="310"/>
      <c r="AC314" s="310"/>
      <c r="AD314" s="310"/>
      <c r="AE314" s="310"/>
      <c r="AF314" s="310"/>
      <c r="AG314" s="310"/>
      <c r="AH314" s="310"/>
      <c r="AI314" s="310"/>
      <c r="AJ314" s="310"/>
      <c r="AK314" s="310"/>
      <c r="AL314" s="310"/>
      <c r="AM314" s="310"/>
      <c r="AN314" s="310"/>
      <c r="AO314" s="310"/>
      <c r="AP314" s="310"/>
      <c r="AQ314" s="310"/>
      <c r="AR314" s="310"/>
      <c r="AS314" s="310"/>
      <c r="AT314" s="310"/>
      <c r="AU314" s="310"/>
      <c r="AV314" s="310"/>
      <c r="AW314" s="310"/>
      <c r="AX314" s="310"/>
      <c r="AY314" s="310"/>
      <c r="AZ314" s="310"/>
      <c r="BA314" s="310"/>
      <c r="BB314" s="310"/>
      <c r="BC314" s="310"/>
      <c r="BD314" s="310"/>
      <c r="BE314" s="310"/>
    </row>
    <row r="315" spans="1:60" x14ac:dyDescent="0.2"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  <c r="X315" s="310"/>
      <c r="Y315" s="310"/>
      <c r="Z315" s="310"/>
      <c r="AA315" s="310"/>
      <c r="AB315" s="310"/>
      <c r="AC315" s="310"/>
      <c r="AD315" s="310"/>
      <c r="AE315" s="310"/>
      <c r="AF315" s="310"/>
      <c r="AG315" s="310"/>
      <c r="AH315" s="310"/>
      <c r="AI315" s="310"/>
      <c r="AJ315" s="310"/>
      <c r="AK315" s="310"/>
      <c r="AL315" s="310"/>
      <c r="AM315" s="310"/>
      <c r="AN315" s="310"/>
      <c r="AO315" s="310"/>
      <c r="AP315" s="310"/>
      <c r="AQ315" s="310"/>
      <c r="AR315" s="310"/>
      <c r="AS315" s="310"/>
      <c r="AT315" s="310"/>
      <c r="AU315" s="310"/>
      <c r="AV315" s="310"/>
      <c r="AW315" s="310"/>
      <c r="AX315" s="310"/>
      <c r="AY315" s="310"/>
      <c r="AZ315" s="310"/>
      <c r="BA315" s="310"/>
      <c r="BB315" s="310"/>
      <c r="BC315" s="310"/>
      <c r="BD315" s="310"/>
      <c r="BE315" s="310"/>
    </row>
    <row r="316" spans="1:60" x14ac:dyDescent="0.2"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  <c r="AA316" s="310"/>
      <c r="AB316" s="310"/>
      <c r="AC316" s="310"/>
      <c r="AD316" s="310"/>
      <c r="AE316" s="310"/>
      <c r="AF316" s="310"/>
      <c r="AG316" s="310"/>
      <c r="AH316" s="310"/>
      <c r="AI316" s="310"/>
      <c r="AJ316" s="310"/>
      <c r="AK316" s="310"/>
      <c r="AL316" s="310"/>
      <c r="AM316" s="310"/>
      <c r="AN316" s="310"/>
      <c r="AO316" s="310"/>
      <c r="AP316" s="310"/>
      <c r="AQ316" s="310"/>
      <c r="AR316" s="310"/>
      <c r="AS316" s="310"/>
      <c r="AT316" s="310"/>
      <c r="AU316" s="310"/>
      <c r="AV316" s="310"/>
      <c r="AW316" s="310"/>
      <c r="AX316" s="310"/>
      <c r="AY316" s="310"/>
      <c r="AZ316" s="310"/>
      <c r="BA316" s="310"/>
      <c r="BB316" s="310"/>
      <c r="BC316" s="310"/>
      <c r="BD316" s="310"/>
      <c r="BE316" s="310"/>
    </row>
    <row r="317" spans="1:60" x14ac:dyDescent="0.2"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  <c r="AA317" s="310"/>
      <c r="AB317" s="310"/>
      <c r="AC317" s="310"/>
      <c r="AD317" s="310"/>
      <c r="AE317" s="310"/>
      <c r="AF317" s="310"/>
      <c r="AG317" s="310"/>
      <c r="AH317" s="310"/>
      <c r="AI317" s="310"/>
      <c r="AJ317" s="310"/>
      <c r="AK317" s="310"/>
      <c r="AL317" s="310"/>
      <c r="AM317" s="310"/>
      <c r="AN317" s="310"/>
      <c r="AO317" s="310"/>
      <c r="AP317" s="310"/>
      <c r="AQ317" s="310"/>
      <c r="AR317" s="310"/>
      <c r="AS317" s="310"/>
      <c r="AT317" s="310"/>
      <c r="AU317" s="310"/>
      <c r="AV317" s="310"/>
      <c r="AW317" s="310"/>
      <c r="AX317" s="310"/>
      <c r="AY317" s="310"/>
      <c r="AZ317" s="310"/>
      <c r="BA317" s="310"/>
      <c r="BB317" s="310"/>
      <c r="BC317" s="310"/>
      <c r="BD317" s="310"/>
      <c r="BE317" s="310"/>
    </row>
    <row r="318" spans="1:60" x14ac:dyDescent="0.2"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  <c r="AH318" s="310"/>
      <c r="AI318" s="310"/>
      <c r="AJ318" s="310"/>
      <c r="AK318" s="310"/>
      <c r="AL318" s="310"/>
      <c r="AM318" s="310"/>
      <c r="AN318" s="310"/>
      <c r="AO318" s="310"/>
      <c r="AP318" s="310"/>
      <c r="AQ318" s="310"/>
      <c r="AR318" s="310"/>
      <c r="AS318" s="310"/>
      <c r="AT318" s="310"/>
      <c r="AU318" s="310"/>
      <c r="AV318" s="310"/>
      <c r="AW318" s="310"/>
      <c r="AX318" s="310"/>
      <c r="AY318" s="310"/>
      <c r="AZ318" s="310"/>
      <c r="BA318" s="310"/>
      <c r="BB318" s="310"/>
      <c r="BC318" s="310"/>
      <c r="BD318" s="310"/>
      <c r="BE318" s="310"/>
    </row>
    <row r="319" spans="1:60" x14ac:dyDescent="0.2"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  <c r="AH319" s="310"/>
      <c r="AI319" s="310"/>
      <c r="AJ319" s="310"/>
      <c r="AK319" s="310"/>
      <c r="AL319" s="310"/>
      <c r="AM319" s="310"/>
      <c r="AN319" s="310"/>
      <c r="AO319" s="310"/>
      <c r="AP319" s="310"/>
      <c r="AQ319" s="310"/>
      <c r="AR319" s="310"/>
      <c r="AS319" s="310"/>
      <c r="AT319" s="310"/>
      <c r="AU319" s="310"/>
      <c r="AV319" s="310"/>
      <c r="AW319" s="310"/>
      <c r="AX319" s="310"/>
      <c r="AY319" s="310"/>
      <c r="AZ319" s="310"/>
      <c r="BA319" s="310"/>
      <c r="BB319" s="310"/>
      <c r="BC319" s="310"/>
      <c r="BD319" s="310"/>
      <c r="BE319" s="310"/>
    </row>
    <row r="320" spans="1:60" x14ac:dyDescent="0.2"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  <c r="AA320" s="310"/>
      <c r="AB320" s="310"/>
      <c r="AC320" s="310"/>
      <c r="AD320" s="310"/>
      <c r="AE320" s="310"/>
      <c r="AF320" s="310"/>
      <c r="AG320" s="310"/>
      <c r="AH320" s="310"/>
      <c r="AI320" s="310"/>
      <c r="AJ320" s="310"/>
      <c r="AK320" s="310"/>
      <c r="AL320" s="310"/>
      <c r="AM320" s="310"/>
      <c r="AN320" s="310"/>
      <c r="AO320" s="310"/>
      <c r="AP320" s="310"/>
      <c r="AQ320" s="310"/>
      <c r="AR320" s="310"/>
      <c r="AS320" s="310"/>
      <c r="AT320" s="310"/>
      <c r="AU320" s="310"/>
      <c r="AV320" s="310"/>
      <c r="AW320" s="310"/>
      <c r="AX320" s="310"/>
      <c r="AY320" s="310"/>
      <c r="AZ320" s="310"/>
      <c r="BA320" s="310"/>
      <c r="BB320" s="310"/>
      <c r="BC320" s="310"/>
      <c r="BD320" s="310"/>
      <c r="BE320" s="310"/>
    </row>
    <row r="321" spans="3:57" x14ac:dyDescent="0.2"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  <c r="AA321" s="310"/>
      <c r="AB321" s="310"/>
      <c r="AC321" s="310"/>
      <c r="AD321" s="310"/>
      <c r="AE321" s="310"/>
      <c r="AF321" s="310"/>
      <c r="AG321" s="310"/>
      <c r="AH321" s="310"/>
      <c r="AI321" s="310"/>
      <c r="AJ321" s="310"/>
      <c r="AK321" s="310"/>
      <c r="AL321" s="310"/>
      <c r="AM321" s="310"/>
      <c r="AN321" s="310"/>
      <c r="AO321" s="310"/>
      <c r="AP321" s="310"/>
      <c r="AQ321" s="310"/>
      <c r="AR321" s="310"/>
      <c r="AS321" s="310"/>
      <c r="AT321" s="310"/>
      <c r="AU321" s="310"/>
      <c r="AV321" s="310"/>
      <c r="AW321" s="310"/>
      <c r="AX321" s="310"/>
      <c r="AY321" s="310"/>
      <c r="AZ321" s="310"/>
      <c r="BA321" s="310"/>
      <c r="BB321" s="310"/>
      <c r="BC321" s="310"/>
      <c r="BD321" s="310"/>
      <c r="BE321" s="310"/>
    </row>
    <row r="322" spans="3:57" x14ac:dyDescent="0.2"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  <c r="AA322" s="310"/>
      <c r="AB322" s="310"/>
      <c r="AC322" s="310"/>
      <c r="AD322" s="310"/>
      <c r="AE322" s="310"/>
      <c r="AF322" s="310"/>
      <c r="AG322" s="310"/>
      <c r="AH322" s="310"/>
      <c r="AI322" s="310"/>
      <c r="AJ322" s="310"/>
      <c r="AK322" s="310"/>
      <c r="AL322" s="310"/>
      <c r="AM322" s="310"/>
      <c r="AN322" s="310"/>
      <c r="AO322" s="310"/>
      <c r="AP322" s="310"/>
      <c r="AQ322" s="310"/>
      <c r="AR322" s="310"/>
      <c r="AS322" s="310"/>
      <c r="AT322" s="310"/>
      <c r="AU322" s="310"/>
      <c r="AV322" s="310"/>
      <c r="AW322" s="310"/>
      <c r="AX322" s="310"/>
      <c r="AY322" s="310"/>
      <c r="AZ322" s="310"/>
      <c r="BA322" s="310"/>
      <c r="BB322" s="310"/>
      <c r="BC322" s="310"/>
      <c r="BD322" s="310"/>
      <c r="BE322" s="310"/>
    </row>
    <row r="323" spans="3:57" x14ac:dyDescent="0.2"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  <c r="AA323" s="310"/>
      <c r="AB323" s="310"/>
      <c r="AC323" s="310"/>
      <c r="AD323" s="310"/>
      <c r="AE323" s="310"/>
      <c r="AF323" s="310"/>
      <c r="AG323" s="310"/>
      <c r="AH323" s="310"/>
      <c r="AI323" s="310"/>
      <c r="AJ323" s="310"/>
      <c r="AK323" s="310"/>
      <c r="AL323" s="310"/>
      <c r="AM323" s="310"/>
      <c r="AN323" s="310"/>
      <c r="AO323" s="310"/>
      <c r="AP323" s="310"/>
      <c r="AQ323" s="310"/>
      <c r="AR323" s="310"/>
      <c r="AS323" s="310"/>
      <c r="AT323" s="310"/>
      <c r="AU323" s="310"/>
      <c r="AV323" s="310"/>
      <c r="AW323" s="310"/>
      <c r="AX323" s="310"/>
      <c r="AY323" s="310"/>
      <c r="AZ323" s="310"/>
      <c r="BA323" s="310"/>
      <c r="BB323" s="310"/>
      <c r="BC323" s="310"/>
      <c r="BD323" s="310"/>
      <c r="BE323" s="310"/>
    </row>
    <row r="324" spans="3:57" x14ac:dyDescent="0.2"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  <c r="AA324" s="310"/>
      <c r="AB324" s="310"/>
      <c r="AC324" s="310"/>
      <c r="AD324" s="310"/>
      <c r="AE324" s="310"/>
      <c r="AF324" s="310"/>
      <c r="AG324" s="310"/>
      <c r="AH324" s="310"/>
      <c r="AI324" s="310"/>
      <c r="AJ324" s="310"/>
      <c r="AK324" s="310"/>
      <c r="AL324" s="310"/>
      <c r="AM324" s="310"/>
      <c r="AN324" s="310"/>
      <c r="AO324" s="310"/>
      <c r="AP324" s="310"/>
      <c r="AQ324" s="310"/>
      <c r="AR324" s="310"/>
      <c r="AS324" s="310"/>
      <c r="AT324" s="310"/>
      <c r="AU324" s="310"/>
      <c r="AV324" s="310"/>
      <c r="AW324" s="310"/>
      <c r="AX324" s="310"/>
      <c r="AY324" s="310"/>
      <c r="AZ324" s="310"/>
      <c r="BA324" s="310"/>
      <c r="BB324" s="310"/>
      <c r="BC324" s="310"/>
      <c r="BD324" s="310"/>
      <c r="BE324" s="310"/>
    </row>
    <row r="325" spans="3:57" x14ac:dyDescent="0.2"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  <c r="AA325" s="310"/>
      <c r="AB325" s="310"/>
      <c r="AC325" s="310"/>
      <c r="AD325" s="310"/>
      <c r="AE325" s="310"/>
      <c r="AF325" s="310"/>
      <c r="AG325" s="310"/>
      <c r="AH325" s="310"/>
      <c r="AI325" s="310"/>
      <c r="AJ325" s="310"/>
      <c r="AK325" s="310"/>
      <c r="AL325" s="310"/>
      <c r="AM325" s="310"/>
      <c r="AN325" s="310"/>
      <c r="AO325" s="310"/>
      <c r="AP325" s="310"/>
      <c r="AQ325" s="310"/>
      <c r="AR325" s="310"/>
      <c r="AS325" s="310"/>
      <c r="AT325" s="310"/>
      <c r="AU325" s="310"/>
      <c r="AV325" s="310"/>
      <c r="AW325" s="310"/>
      <c r="AX325" s="310"/>
      <c r="AY325" s="310"/>
      <c r="AZ325" s="310"/>
      <c r="BA325" s="310"/>
      <c r="BB325" s="310"/>
      <c r="BC325" s="310"/>
      <c r="BD325" s="310"/>
      <c r="BE325" s="310"/>
    </row>
    <row r="326" spans="3:57" x14ac:dyDescent="0.2"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  <c r="AA326" s="310"/>
      <c r="AB326" s="310"/>
      <c r="AC326" s="310"/>
      <c r="AD326" s="310"/>
      <c r="AE326" s="310"/>
      <c r="AF326" s="310"/>
      <c r="AG326" s="310"/>
      <c r="AH326" s="310"/>
      <c r="AI326" s="310"/>
      <c r="AJ326" s="310"/>
      <c r="AK326" s="310"/>
      <c r="AL326" s="310"/>
      <c r="AM326" s="310"/>
      <c r="AN326" s="310"/>
      <c r="AO326" s="310"/>
      <c r="AP326" s="310"/>
      <c r="AQ326" s="310"/>
      <c r="AR326" s="310"/>
      <c r="AS326" s="310"/>
      <c r="AT326" s="310"/>
      <c r="AU326" s="310"/>
      <c r="AV326" s="310"/>
      <c r="AW326" s="310"/>
      <c r="AX326" s="310"/>
      <c r="AY326" s="310"/>
      <c r="AZ326" s="310"/>
      <c r="BA326" s="310"/>
      <c r="BB326" s="310"/>
      <c r="BC326" s="310"/>
      <c r="BD326" s="310"/>
      <c r="BE326" s="310"/>
    </row>
    <row r="327" spans="3:57" x14ac:dyDescent="0.2"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  <c r="AA327" s="310"/>
      <c r="AB327" s="310"/>
      <c r="AC327" s="310"/>
      <c r="AD327" s="310"/>
      <c r="AE327" s="310"/>
      <c r="AF327" s="310"/>
      <c r="AG327" s="310"/>
      <c r="AH327" s="310"/>
      <c r="AI327" s="310"/>
      <c r="AJ327" s="310"/>
      <c r="AK327" s="310"/>
      <c r="AL327" s="310"/>
      <c r="AM327" s="310"/>
      <c r="AN327" s="310"/>
      <c r="AO327" s="310"/>
      <c r="AP327" s="310"/>
      <c r="AQ327" s="310"/>
      <c r="AR327" s="310"/>
      <c r="AS327" s="310"/>
      <c r="AT327" s="310"/>
      <c r="AU327" s="310"/>
      <c r="AV327" s="310"/>
      <c r="AW327" s="310"/>
      <c r="AX327" s="310"/>
      <c r="AY327" s="310"/>
      <c r="AZ327" s="310"/>
      <c r="BA327" s="310"/>
      <c r="BB327" s="310"/>
      <c r="BC327" s="310"/>
      <c r="BD327" s="310"/>
      <c r="BE327" s="310"/>
    </row>
    <row r="328" spans="3:57" x14ac:dyDescent="0.2"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  <c r="AA328" s="310"/>
      <c r="AB328" s="310"/>
      <c r="AC328" s="310"/>
      <c r="AD328" s="310"/>
      <c r="AE328" s="310"/>
      <c r="AF328" s="310"/>
      <c r="AG328" s="310"/>
      <c r="AH328" s="310"/>
      <c r="AI328" s="310"/>
      <c r="AJ328" s="310"/>
      <c r="AK328" s="310"/>
      <c r="AL328" s="310"/>
      <c r="AM328" s="310"/>
      <c r="AN328" s="310"/>
      <c r="AO328" s="310"/>
      <c r="AP328" s="310"/>
      <c r="AQ328" s="310"/>
      <c r="AR328" s="310"/>
      <c r="AS328" s="310"/>
      <c r="AT328" s="310"/>
      <c r="AU328" s="310"/>
      <c r="AV328" s="310"/>
      <c r="AW328" s="310"/>
      <c r="AX328" s="310"/>
      <c r="AY328" s="310"/>
      <c r="AZ328" s="310"/>
      <c r="BA328" s="310"/>
      <c r="BB328" s="310"/>
      <c r="BC328" s="310"/>
      <c r="BD328" s="310"/>
      <c r="BE328" s="310"/>
    </row>
    <row r="329" spans="3:57" x14ac:dyDescent="0.2"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  <c r="X329" s="310"/>
      <c r="Y329" s="310"/>
      <c r="Z329" s="310"/>
      <c r="AA329" s="310"/>
      <c r="AB329" s="310"/>
      <c r="AC329" s="310"/>
      <c r="AD329" s="310"/>
      <c r="AE329" s="310"/>
      <c r="AF329" s="310"/>
      <c r="AG329" s="310"/>
      <c r="AH329" s="310"/>
      <c r="AI329" s="310"/>
      <c r="AJ329" s="310"/>
      <c r="AK329" s="310"/>
      <c r="AL329" s="310"/>
      <c r="AM329" s="310"/>
      <c r="AN329" s="310"/>
      <c r="AO329" s="310"/>
      <c r="AP329" s="310"/>
      <c r="AQ329" s="310"/>
      <c r="AR329" s="310"/>
      <c r="AS329" s="310"/>
      <c r="AT329" s="310"/>
      <c r="AU329" s="310"/>
      <c r="AV329" s="310"/>
      <c r="AW329" s="310"/>
      <c r="AX329" s="310"/>
      <c r="AY329" s="310"/>
      <c r="AZ329" s="310"/>
      <c r="BA329" s="310"/>
      <c r="BB329" s="310"/>
      <c r="BC329" s="310"/>
      <c r="BD329" s="310"/>
      <c r="BE329" s="310"/>
    </row>
    <row r="330" spans="3:57" x14ac:dyDescent="0.2"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  <c r="X330" s="310"/>
      <c r="Y330" s="310"/>
      <c r="Z330" s="310"/>
      <c r="AA330" s="310"/>
      <c r="AB330" s="310"/>
      <c r="AC330" s="310"/>
      <c r="AD330" s="310"/>
      <c r="AE330" s="310"/>
      <c r="AF330" s="310"/>
      <c r="AG330" s="310"/>
      <c r="AH330" s="310"/>
      <c r="AI330" s="310"/>
      <c r="AJ330" s="310"/>
      <c r="AK330" s="310"/>
      <c r="AL330" s="310"/>
      <c r="AM330" s="310"/>
      <c r="AN330" s="310"/>
      <c r="AO330" s="310"/>
      <c r="AP330" s="310"/>
      <c r="AQ330" s="310"/>
      <c r="AR330" s="310"/>
      <c r="AS330" s="310"/>
      <c r="AT330" s="310"/>
      <c r="AU330" s="310"/>
      <c r="AV330" s="310"/>
      <c r="AW330" s="310"/>
      <c r="AX330" s="310"/>
      <c r="AY330" s="310"/>
      <c r="AZ330" s="310"/>
      <c r="BA330" s="310"/>
      <c r="BB330" s="310"/>
      <c r="BC330" s="310"/>
      <c r="BD330" s="310"/>
      <c r="BE330" s="310"/>
    </row>
    <row r="331" spans="3:57" x14ac:dyDescent="0.2"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  <c r="X331" s="310"/>
      <c r="Y331" s="310"/>
      <c r="Z331" s="310"/>
      <c r="AA331" s="310"/>
      <c r="AB331" s="310"/>
      <c r="AC331" s="310"/>
      <c r="AD331" s="310"/>
      <c r="AE331" s="310"/>
      <c r="AF331" s="310"/>
      <c r="AG331" s="310"/>
      <c r="AH331" s="310"/>
      <c r="AI331" s="310"/>
      <c r="AJ331" s="310"/>
      <c r="AK331" s="310"/>
      <c r="AL331" s="310"/>
      <c r="AM331" s="310"/>
      <c r="AN331" s="310"/>
      <c r="AO331" s="310"/>
      <c r="AP331" s="310"/>
      <c r="AQ331" s="310"/>
      <c r="AR331" s="310"/>
      <c r="AS331" s="310"/>
      <c r="AT331" s="310"/>
      <c r="AU331" s="310"/>
      <c r="AV331" s="310"/>
      <c r="AW331" s="310"/>
      <c r="AX331" s="310"/>
      <c r="AY331" s="310"/>
      <c r="AZ331" s="310"/>
      <c r="BA331" s="310"/>
      <c r="BB331" s="310"/>
      <c r="BC331" s="310"/>
      <c r="BD331" s="310"/>
      <c r="BE331" s="310"/>
    </row>
    <row r="332" spans="3:57" x14ac:dyDescent="0.2"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  <c r="AH332" s="310"/>
      <c r="AI332" s="310"/>
      <c r="AJ332" s="310"/>
      <c r="AK332" s="310"/>
      <c r="AL332" s="310"/>
      <c r="AM332" s="310"/>
      <c r="AN332" s="310"/>
      <c r="AO332" s="310"/>
      <c r="AP332" s="310"/>
      <c r="AQ332" s="310"/>
      <c r="AR332" s="310"/>
      <c r="AS332" s="310"/>
      <c r="AT332" s="310"/>
      <c r="AU332" s="310"/>
      <c r="AV332" s="310"/>
      <c r="AW332" s="310"/>
      <c r="AX332" s="310"/>
      <c r="AY332" s="310"/>
      <c r="AZ332" s="310"/>
      <c r="BA332" s="310"/>
      <c r="BB332" s="310"/>
      <c r="BC332" s="310"/>
      <c r="BD332" s="310"/>
      <c r="BE332" s="310"/>
    </row>
    <row r="333" spans="3:57" x14ac:dyDescent="0.2"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  <c r="X333" s="310"/>
      <c r="Y333" s="310"/>
      <c r="Z333" s="310"/>
      <c r="AA333" s="310"/>
      <c r="AB333" s="310"/>
      <c r="AC333" s="310"/>
      <c r="AD333" s="310"/>
      <c r="AE333" s="310"/>
      <c r="AF333" s="310"/>
      <c r="AG333" s="310"/>
      <c r="AH333" s="310"/>
      <c r="AI333" s="310"/>
      <c r="AJ333" s="310"/>
      <c r="AK333" s="310"/>
      <c r="AL333" s="310"/>
      <c r="AM333" s="310"/>
      <c r="AN333" s="310"/>
      <c r="AO333" s="310"/>
      <c r="AP333" s="310"/>
      <c r="AQ333" s="310"/>
      <c r="AR333" s="310"/>
      <c r="AS333" s="310"/>
      <c r="AT333" s="310"/>
      <c r="AU333" s="310"/>
      <c r="AV333" s="310"/>
      <c r="AW333" s="310"/>
      <c r="AX333" s="310"/>
      <c r="AY333" s="310"/>
      <c r="AZ333" s="310"/>
      <c r="BA333" s="310"/>
      <c r="BB333" s="310"/>
      <c r="BC333" s="310"/>
      <c r="BD333" s="310"/>
      <c r="BE333" s="310"/>
    </row>
    <row r="334" spans="3:57" x14ac:dyDescent="0.2"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  <c r="AA334" s="310"/>
      <c r="AB334" s="310"/>
      <c r="AC334" s="310"/>
      <c r="AD334" s="310"/>
      <c r="AE334" s="310"/>
      <c r="AF334" s="310"/>
      <c r="AG334" s="310"/>
      <c r="AH334" s="310"/>
      <c r="AI334" s="310"/>
      <c r="AJ334" s="310"/>
      <c r="AK334" s="310"/>
      <c r="AL334" s="310"/>
      <c r="AM334" s="310"/>
      <c r="AN334" s="310"/>
      <c r="AO334" s="310"/>
      <c r="AP334" s="310"/>
      <c r="AQ334" s="310"/>
      <c r="AR334" s="310"/>
      <c r="AS334" s="310"/>
      <c r="AT334" s="310"/>
      <c r="AU334" s="310"/>
      <c r="AV334" s="310"/>
      <c r="AW334" s="310"/>
      <c r="AX334" s="310"/>
      <c r="AY334" s="310"/>
      <c r="AZ334" s="310"/>
      <c r="BA334" s="310"/>
      <c r="BB334" s="310"/>
      <c r="BC334" s="310"/>
      <c r="BD334" s="310"/>
      <c r="BE334" s="310"/>
    </row>
    <row r="335" spans="3:57" x14ac:dyDescent="0.2"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  <c r="X335" s="310"/>
      <c r="Y335" s="310"/>
      <c r="Z335" s="310"/>
      <c r="AA335" s="310"/>
      <c r="AB335" s="310"/>
      <c r="AC335" s="310"/>
      <c r="AD335" s="310"/>
      <c r="AE335" s="310"/>
      <c r="AF335" s="310"/>
      <c r="AG335" s="310"/>
      <c r="AH335" s="310"/>
      <c r="AI335" s="310"/>
      <c r="AJ335" s="310"/>
      <c r="AK335" s="310"/>
      <c r="AL335" s="310"/>
      <c r="AM335" s="310"/>
      <c r="AN335" s="310"/>
      <c r="AO335" s="310"/>
      <c r="AP335" s="310"/>
      <c r="AQ335" s="310"/>
      <c r="AR335" s="310"/>
      <c r="AS335" s="310"/>
      <c r="AT335" s="310"/>
      <c r="AU335" s="310"/>
      <c r="AV335" s="310"/>
      <c r="AW335" s="310"/>
      <c r="AX335" s="310"/>
      <c r="AY335" s="310"/>
      <c r="AZ335" s="310"/>
      <c r="BA335" s="310"/>
      <c r="BB335" s="310"/>
      <c r="BC335" s="310"/>
      <c r="BD335" s="310"/>
      <c r="BE335" s="310"/>
    </row>
    <row r="336" spans="3:57" x14ac:dyDescent="0.2"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  <c r="X336" s="310"/>
      <c r="Y336" s="310"/>
      <c r="Z336" s="310"/>
      <c r="AA336" s="310"/>
      <c r="AB336" s="310"/>
      <c r="AC336" s="310"/>
      <c r="AD336" s="310"/>
      <c r="AE336" s="310"/>
      <c r="AF336" s="310"/>
      <c r="AG336" s="310"/>
      <c r="AH336" s="310"/>
      <c r="AI336" s="310"/>
      <c r="AJ336" s="310"/>
      <c r="AK336" s="310"/>
      <c r="AL336" s="310"/>
      <c r="AM336" s="310"/>
      <c r="AN336" s="310"/>
      <c r="AO336" s="310"/>
      <c r="AP336" s="310"/>
      <c r="AQ336" s="310"/>
      <c r="AR336" s="310"/>
      <c r="AS336" s="310"/>
      <c r="AT336" s="310"/>
      <c r="AU336" s="310"/>
      <c r="AV336" s="310"/>
      <c r="AW336" s="310"/>
      <c r="AX336" s="310"/>
      <c r="AY336" s="310"/>
      <c r="AZ336" s="310"/>
      <c r="BA336" s="310"/>
      <c r="BB336" s="310"/>
      <c r="BC336" s="310"/>
      <c r="BD336" s="310"/>
      <c r="BE336" s="310"/>
    </row>
    <row r="337" spans="3:57" x14ac:dyDescent="0.2"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  <c r="X337" s="310"/>
      <c r="Y337" s="310"/>
      <c r="Z337" s="310"/>
      <c r="AA337" s="310"/>
      <c r="AB337" s="310"/>
      <c r="AC337" s="310"/>
      <c r="AD337" s="310"/>
      <c r="AE337" s="310"/>
      <c r="AF337" s="310"/>
      <c r="AG337" s="310"/>
      <c r="AH337" s="310"/>
      <c r="AI337" s="310"/>
      <c r="AJ337" s="310"/>
      <c r="AK337" s="310"/>
      <c r="AL337" s="310"/>
      <c r="AM337" s="310"/>
      <c r="AN337" s="310"/>
      <c r="AO337" s="310"/>
      <c r="AP337" s="310"/>
      <c r="AQ337" s="310"/>
      <c r="AR337" s="310"/>
      <c r="AS337" s="310"/>
      <c r="AT337" s="310"/>
      <c r="AU337" s="310"/>
      <c r="AV337" s="310"/>
      <c r="AW337" s="310"/>
      <c r="AX337" s="310"/>
      <c r="AY337" s="310"/>
      <c r="AZ337" s="310"/>
      <c r="BA337" s="310"/>
      <c r="BB337" s="310"/>
      <c r="BC337" s="310"/>
      <c r="BD337" s="310"/>
      <c r="BE337" s="310"/>
    </row>
    <row r="338" spans="3:57" x14ac:dyDescent="0.2"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  <c r="X338" s="310"/>
      <c r="Y338" s="310"/>
      <c r="Z338" s="310"/>
      <c r="AA338" s="310"/>
      <c r="AB338" s="310"/>
      <c r="AC338" s="310"/>
      <c r="AD338" s="310"/>
      <c r="AE338" s="310"/>
      <c r="AF338" s="310"/>
      <c r="AG338" s="310"/>
      <c r="AH338" s="310"/>
      <c r="AI338" s="310"/>
      <c r="AJ338" s="310"/>
      <c r="AK338" s="310"/>
      <c r="AL338" s="310"/>
      <c r="AM338" s="310"/>
      <c r="AN338" s="310"/>
      <c r="AO338" s="310"/>
      <c r="AP338" s="310"/>
      <c r="AQ338" s="310"/>
      <c r="AR338" s="310"/>
      <c r="AS338" s="310"/>
      <c r="AT338" s="310"/>
      <c r="AU338" s="310"/>
      <c r="AV338" s="310"/>
      <c r="AW338" s="310"/>
      <c r="AX338" s="310"/>
      <c r="AY338" s="310"/>
      <c r="AZ338" s="310"/>
      <c r="BA338" s="310"/>
      <c r="BB338" s="310"/>
      <c r="BC338" s="310"/>
      <c r="BD338" s="310"/>
      <c r="BE338" s="310"/>
    </row>
    <row r="339" spans="3:57" x14ac:dyDescent="0.2"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  <c r="X339" s="310"/>
      <c r="Y339" s="310"/>
      <c r="Z339" s="310"/>
      <c r="AA339" s="310"/>
      <c r="AB339" s="310"/>
      <c r="AC339" s="310"/>
      <c r="AD339" s="310"/>
      <c r="AE339" s="310"/>
      <c r="AF339" s="310"/>
      <c r="AG339" s="310"/>
      <c r="AH339" s="310"/>
      <c r="AI339" s="310"/>
      <c r="AJ339" s="310"/>
      <c r="AK339" s="310"/>
      <c r="AL339" s="310"/>
      <c r="AM339" s="310"/>
      <c r="AN339" s="310"/>
      <c r="AO339" s="310"/>
      <c r="AP339" s="310"/>
      <c r="AQ339" s="310"/>
      <c r="AR339" s="310"/>
      <c r="AS339" s="310"/>
      <c r="AT339" s="310"/>
      <c r="AU339" s="310"/>
      <c r="AV339" s="310"/>
      <c r="AW339" s="310"/>
      <c r="AX339" s="310"/>
      <c r="AY339" s="310"/>
      <c r="AZ339" s="310"/>
      <c r="BA339" s="310"/>
      <c r="BB339" s="310"/>
      <c r="BC339" s="310"/>
      <c r="BD339" s="310"/>
      <c r="BE339" s="310"/>
    </row>
    <row r="340" spans="3:57" x14ac:dyDescent="0.2"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  <c r="X340" s="310"/>
      <c r="Y340" s="310"/>
      <c r="Z340" s="310"/>
      <c r="AA340" s="310"/>
      <c r="AB340" s="310"/>
      <c r="AC340" s="310"/>
      <c r="AD340" s="310"/>
      <c r="AE340" s="310"/>
      <c r="AF340" s="310"/>
      <c r="AG340" s="310"/>
      <c r="AH340" s="310"/>
      <c r="AI340" s="310"/>
      <c r="AJ340" s="310"/>
      <c r="AK340" s="310"/>
      <c r="AL340" s="310"/>
      <c r="AM340" s="310"/>
      <c r="AN340" s="310"/>
      <c r="AO340" s="310"/>
      <c r="AP340" s="310"/>
      <c r="AQ340" s="310"/>
      <c r="AR340" s="310"/>
      <c r="AS340" s="310"/>
      <c r="AT340" s="310"/>
      <c r="AU340" s="310"/>
      <c r="AV340" s="310"/>
      <c r="AW340" s="310"/>
      <c r="AX340" s="310"/>
      <c r="AY340" s="310"/>
      <c r="AZ340" s="310"/>
      <c r="BA340" s="310"/>
      <c r="BB340" s="310"/>
      <c r="BC340" s="310"/>
      <c r="BD340" s="310"/>
      <c r="BE340" s="310"/>
    </row>
    <row r="341" spans="3:57" x14ac:dyDescent="0.2"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  <c r="X341" s="310"/>
      <c r="Y341" s="310"/>
      <c r="Z341" s="310"/>
      <c r="AA341" s="310"/>
      <c r="AB341" s="310"/>
      <c r="AC341" s="310"/>
      <c r="AD341" s="310"/>
      <c r="AE341" s="310"/>
      <c r="AF341" s="310"/>
      <c r="AG341" s="310"/>
      <c r="AH341" s="310"/>
      <c r="AI341" s="310"/>
      <c r="AJ341" s="310"/>
      <c r="AK341" s="310"/>
      <c r="AL341" s="310"/>
      <c r="AM341" s="310"/>
      <c r="AN341" s="310"/>
      <c r="AO341" s="310"/>
      <c r="AP341" s="310"/>
      <c r="AQ341" s="310"/>
      <c r="AR341" s="310"/>
      <c r="AS341" s="310"/>
      <c r="AT341" s="310"/>
      <c r="AU341" s="310"/>
      <c r="AV341" s="310"/>
      <c r="AW341" s="310"/>
      <c r="AX341" s="310"/>
      <c r="AY341" s="310"/>
      <c r="AZ341" s="310"/>
      <c r="BA341" s="310"/>
      <c r="BB341" s="310"/>
      <c r="BC341" s="310"/>
      <c r="BD341" s="310"/>
      <c r="BE341" s="310"/>
    </row>
  </sheetData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C362-7684-42BE-9CF4-1D83F9132606}">
  <sheetPr>
    <tabColor theme="1"/>
  </sheetPr>
  <dimension ref="A2:AR306"/>
  <sheetViews>
    <sheetView showGridLines="0" zoomScale="80" zoomScaleNormal="80" workbookViewId="0">
      <pane xSplit="8" ySplit="7" topLeftCell="I98" activePane="bottomRight" state="frozen"/>
      <selection pane="topRight" activeCell="I99" sqref="I99"/>
      <selection pane="bottomLeft" activeCell="I99" sqref="I99"/>
      <selection pane="bottomRight" activeCell="I99" sqref="I99"/>
    </sheetView>
  </sheetViews>
  <sheetFormatPr defaultColWidth="11" defaultRowHeight="15" customHeight="1" outlineLevelCol="1" x14ac:dyDescent="0.25"/>
  <cols>
    <col min="1" max="1" width="3.28515625" style="315" bestFit="1" customWidth="1"/>
    <col min="2" max="2" width="0.85546875" style="316" customWidth="1"/>
    <col min="3" max="3" width="7.7109375" style="318" customWidth="1"/>
    <col min="4" max="5" width="11.7109375" style="315" hidden="1" customWidth="1"/>
    <col min="6" max="6" width="13.7109375" style="315" customWidth="1"/>
    <col min="7" max="7" width="45.7109375" style="315" customWidth="1" outlineLevel="1"/>
    <col min="8" max="8" width="14.7109375" style="318" customWidth="1" outlineLevel="1"/>
    <col min="9" max="9" width="13.7109375" style="316" customWidth="1" outlineLevel="1"/>
    <col min="10" max="17" width="13.7109375" style="315" customWidth="1" outlineLevel="1"/>
    <col min="18" max="18" width="13.7109375" style="315" customWidth="1"/>
    <col min="19" max="27" width="13.7109375" style="315" customWidth="1" outlineLevel="1"/>
    <col min="28" max="28" width="13.7109375" style="315" customWidth="1" outlineLevel="1" collapsed="1"/>
    <col min="29" max="29" width="13.7109375" style="315" customWidth="1" outlineLevel="1"/>
    <col min="30" max="30" width="13.7109375" style="315" customWidth="1"/>
    <col min="31" max="37" width="13.7109375" style="315" customWidth="1" outlineLevel="1"/>
    <col min="38" max="42" width="13.7109375" style="315" customWidth="1"/>
    <col min="43" max="16384" width="11" style="315"/>
  </cols>
  <sheetData>
    <row r="2" spans="2:44" ht="22.5" customHeight="1" x14ac:dyDescent="0.25">
      <c r="C2" s="314" t="s">
        <v>341</v>
      </c>
      <c r="F2" s="314"/>
      <c r="AJ2" s="317"/>
      <c r="AK2" s="317"/>
      <c r="AL2" s="317"/>
      <c r="AM2" s="317"/>
      <c r="AN2" s="317"/>
      <c r="AO2" s="317"/>
      <c r="AP2" s="317"/>
    </row>
    <row r="3" spans="2:44" ht="16.5" customHeight="1" x14ac:dyDescent="0.25">
      <c r="B3" s="421"/>
      <c r="C3" s="426" t="s">
        <v>342</v>
      </c>
    </row>
    <row r="4" spans="2:44" ht="15" customHeight="1" x14ac:dyDescent="0.25">
      <c r="B4" s="423"/>
      <c r="C4" s="663" t="s">
        <v>839</v>
      </c>
      <c r="F4" s="671">
        <f>'BOULEVARD 5'!D3</f>
        <v>46048</v>
      </c>
    </row>
    <row r="5" spans="2:44" ht="12.75" customHeight="1" x14ac:dyDescent="0.25">
      <c r="B5" s="423"/>
      <c r="C5" s="664"/>
      <c r="D5" s="664"/>
      <c r="E5" s="664"/>
      <c r="F5" s="664"/>
      <c r="G5" s="664"/>
      <c r="H5" s="664"/>
      <c r="I5" s="665"/>
      <c r="J5" s="665"/>
      <c r="K5" s="665"/>
      <c r="L5" s="665"/>
      <c r="M5" s="665"/>
      <c r="N5" s="665"/>
      <c r="O5" s="665"/>
      <c r="P5" s="665"/>
      <c r="Q5" s="665"/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  <c r="AC5" s="665"/>
      <c r="AD5" s="665"/>
      <c r="AE5" s="665"/>
      <c r="AF5" s="665"/>
      <c r="AG5" s="665"/>
      <c r="AH5" s="665"/>
      <c r="AI5" s="665"/>
      <c r="AJ5" s="665"/>
      <c r="AK5" s="665"/>
      <c r="AL5" s="665"/>
      <c r="AM5" s="665"/>
      <c r="AN5" s="665"/>
      <c r="AO5" s="665"/>
      <c r="AP5" s="665"/>
      <c r="AQ5" s="665"/>
    </row>
    <row r="6" spans="2:44" ht="12.75" customHeight="1" x14ac:dyDescent="0.25">
      <c r="B6" s="423"/>
      <c r="C6" s="664"/>
      <c r="D6" s="664"/>
      <c r="E6" s="664"/>
      <c r="F6" s="664"/>
      <c r="G6" s="664"/>
      <c r="H6" s="664"/>
      <c r="I6" s="664">
        <v>1</v>
      </c>
      <c r="J6" s="664">
        <f t="shared" ref="J6:AP6" si="0">IF(J7="No aplica","",I6+1)</f>
        <v>2</v>
      </c>
      <c r="K6" s="664">
        <f t="shared" si="0"/>
        <v>3</v>
      </c>
      <c r="L6" s="664">
        <f t="shared" si="0"/>
        <v>4</v>
      </c>
      <c r="M6" s="664">
        <f t="shared" si="0"/>
        <v>5</v>
      </c>
      <c r="N6" s="664">
        <f t="shared" si="0"/>
        <v>6</v>
      </c>
      <c r="O6" s="664">
        <f t="shared" si="0"/>
        <v>7</v>
      </c>
      <c r="P6" s="664">
        <f t="shared" si="0"/>
        <v>8</v>
      </c>
      <c r="Q6" s="664">
        <f t="shared" si="0"/>
        <v>9</v>
      </c>
      <c r="R6" s="664">
        <f t="shared" si="0"/>
        <v>10</v>
      </c>
      <c r="S6" s="664">
        <f t="shared" si="0"/>
        <v>11</v>
      </c>
      <c r="T6" s="664">
        <f t="shared" si="0"/>
        <v>12</v>
      </c>
      <c r="U6" s="664">
        <f t="shared" si="0"/>
        <v>13</v>
      </c>
      <c r="V6" s="664">
        <f t="shared" si="0"/>
        <v>14</v>
      </c>
      <c r="W6" s="664">
        <f t="shared" si="0"/>
        <v>15</v>
      </c>
      <c r="X6" s="664">
        <f t="shared" si="0"/>
        <v>16</v>
      </c>
      <c r="Y6" s="664">
        <f t="shared" si="0"/>
        <v>17</v>
      </c>
      <c r="Z6" s="664">
        <f t="shared" si="0"/>
        <v>18</v>
      </c>
      <c r="AA6" s="664">
        <f t="shared" si="0"/>
        <v>19</v>
      </c>
      <c r="AB6" s="664">
        <f t="shared" si="0"/>
        <v>20</v>
      </c>
      <c r="AC6" s="664">
        <f t="shared" si="0"/>
        <v>21</v>
      </c>
      <c r="AD6" s="664">
        <f t="shared" si="0"/>
        <v>22</v>
      </c>
      <c r="AE6" s="664">
        <f t="shared" si="0"/>
        <v>23</v>
      </c>
      <c r="AF6" s="664">
        <f t="shared" si="0"/>
        <v>24</v>
      </c>
      <c r="AG6" s="664">
        <f t="shared" si="0"/>
        <v>25</v>
      </c>
      <c r="AH6" s="664">
        <f t="shared" si="0"/>
        <v>26</v>
      </c>
      <c r="AI6" s="664">
        <f t="shared" si="0"/>
        <v>27</v>
      </c>
      <c r="AJ6" s="664">
        <f t="shared" si="0"/>
        <v>28</v>
      </c>
      <c r="AK6" s="664">
        <f t="shared" si="0"/>
        <v>29</v>
      </c>
      <c r="AL6" s="664">
        <f t="shared" si="0"/>
        <v>30</v>
      </c>
      <c r="AM6" s="664">
        <f t="shared" si="0"/>
        <v>31</v>
      </c>
      <c r="AN6" s="664">
        <f t="shared" si="0"/>
        <v>32</v>
      </c>
      <c r="AO6" s="664">
        <f t="shared" si="0"/>
        <v>33</v>
      </c>
      <c r="AP6" s="664">
        <f t="shared" si="0"/>
        <v>34</v>
      </c>
      <c r="AQ6" s="665"/>
    </row>
    <row r="7" spans="2:44" ht="12.75" customHeight="1" x14ac:dyDescent="0.25">
      <c r="B7" s="423"/>
      <c r="C7" s="664" t="str">
        <f>C8</f>
        <v>Apto.</v>
      </c>
      <c r="D7" s="664" t="str">
        <f t="shared" ref="D7:H7" si="1">D8</f>
        <v>Tipo.</v>
      </c>
      <c r="E7" s="664" t="str">
        <f t="shared" si="1"/>
        <v>Notas</v>
      </c>
      <c r="F7" s="664" t="str">
        <f t="shared" si="1"/>
        <v>Vendedor</v>
      </c>
      <c r="G7" s="664" t="str">
        <f t="shared" si="1"/>
        <v>Cliente</v>
      </c>
      <c r="H7" s="664" t="str">
        <f t="shared" si="1"/>
        <v>Fecha Reserva</v>
      </c>
      <c r="I7" s="665">
        <f t="shared" ref="I7:AL7" si="2">IF(I8&lt;=$F$4,I8,"No  aplica")</f>
        <v>45016</v>
      </c>
      <c r="J7" s="665">
        <f t="shared" si="2"/>
        <v>45046</v>
      </c>
      <c r="K7" s="665">
        <f t="shared" si="2"/>
        <v>45077</v>
      </c>
      <c r="L7" s="665">
        <f t="shared" si="2"/>
        <v>45107</v>
      </c>
      <c r="M7" s="665">
        <f t="shared" si="2"/>
        <v>45138</v>
      </c>
      <c r="N7" s="665">
        <f t="shared" si="2"/>
        <v>45169</v>
      </c>
      <c r="O7" s="665">
        <f t="shared" si="2"/>
        <v>45199</v>
      </c>
      <c r="P7" s="665">
        <f t="shared" si="2"/>
        <v>45230</v>
      </c>
      <c r="Q7" s="665">
        <f t="shared" si="2"/>
        <v>45260</v>
      </c>
      <c r="R7" s="665">
        <f t="shared" si="2"/>
        <v>45291</v>
      </c>
      <c r="S7" s="665">
        <f t="shared" si="2"/>
        <v>45322</v>
      </c>
      <c r="T7" s="665">
        <f t="shared" si="2"/>
        <v>45351</v>
      </c>
      <c r="U7" s="665">
        <f t="shared" si="2"/>
        <v>45382</v>
      </c>
      <c r="V7" s="665">
        <f t="shared" si="2"/>
        <v>45412</v>
      </c>
      <c r="W7" s="665">
        <f t="shared" si="2"/>
        <v>45443</v>
      </c>
      <c r="X7" s="665">
        <f t="shared" si="2"/>
        <v>45473</v>
      </c>
      <c r="Y7" s="665">
        <f t="shared" si="2"/>
        <v>45504</v>
      </c>
      <c r="Z7" s="665">
        <f t="shared" si="2"/>
        <v>45535</v>
      </c>
      <c r="AA7" s="665">
        <f t="shared" si="2"/>
        <v>45565</v>
      </c>
      <c r="AB7" s="665">
        <f t="shared" si="2"/>
        <v>45596</v>
      </c>
      <c r="AC7" s="665">
        <f t="shared" si="2"/>
        <v>45626</v>
      </c>
      <c r="AD7" s="665">
        <f t="shared" si="2"/>
        <v>45657</v>
      </c>
      <c r="AE7" s="665">
        <f t="shared" si="2"/>
        <v>45688</v>
      </c>
      <c r="AF7" s="665">
        <f t="shared" si="2"/>
        <v>45716</v>
      </c>
      <c r="AG7" s="665">
        <f t="shared" si="2"/>
        <v>45747</v>
      </c>
      <c r="AH7" s="665">
        <f t="shared" si="2"/>
        <v>45777</v>
      </c>
      <c r="AI7" s="665">
        <f t="shared" si="2"/>
        <v>45808</v>
      </c>
      <c r="AJ7" s="665">
        <f t="shared" si="2"/>
        <v>45838</v>
      </c>
      <c r="AK7" s="665">
        <f t="shared" si="2"/>
        <v>45869</v>
      </c>
      <c r="AL7" s="665">
        <f t="shared" si="2"/>
        <v>45900</v>
      </c>
      <c r="AM7" s="665">
        <f>IF(AM8&lt;=$F$4,AM8,"No  aplica")</f>
        <v>45930</v>
      </c>
      <c r="AN7" s="665">
        <f>IF(AN8&lt;=$F$4,AN8,"No aplica")</f>
        <v>45961</v>
      </c>
      <c r="AO7" s="665">
        <f t="shared" ref="AO7:AQ7" si="3">IF(AO8&lt;=$F$4,AO8,"No aplica")</f>
        <v>45991</v>
      </c>
      <c r="AP7" s="665">
        <f t="shared" si="3"/>
        <v>46022</v>
      </c>
      <c r="AQ7" s="665" t="str">
        <f t="shared" si="3"/>
        <v>No aplica</v>
      </c>
    </row>
    <row r="8" spans="2:44" ht="45" customHeight="1" x14ac:dyDescent="0.25">
      <c r="B8" s="677" t="s">
        <v>903</v>
      </c>
      <c r="C8" s="425" t="s">
        <v>131</v>
      </c>
      <c r="D8" s="425" t="s">
        <v>132</v>
      </c>
      <c r="E8" s="425" t="s">
        <v>331</v>
      </c>
      <c r="F8" s="425" t="s">
        <v>65</v>
      </c>
      <c r="G8" s="425" t="s">
        <v>66</v>
      </c>
      <c r="H8" s="425" t="s">
        <v>133</v>
      </c>
      <c r="I8" s="501">
        <v>45016</v>
      </c>
      <c r="J8" s="501">
        <v>45046</v>
      </c>
      <c r="K8" s="501">
        <v>45077</v>
      </c>
      <c r="L8" s="501">
        <v>45107</v>
      </c>
      <c r="M8" s="501">
        <v>45138</v>
      </c>
      <c r="N8" s="501">
        <v>45169</v>
      </c>
      <c r="O8" s="501">
        <v>45199</v>
      </c>
      <c r="P8" s="501">
        <v>45230</v>
      </c>
      <c r="Q8" s="501">
        <v>45260</v>
      </c>
      <c r="R8" s="501">
        <v>45291</v>
      </c>
      <c r="S8" s="501">
        <v>45322</v>
      </c>
      <c r="T8" s="501">
        <v>45351</v>
      </c>
      <c r="U8" s="501">
        <v>45382</v>
      </c>
      <c r="V8" s="501">
        <v>45412</v>
      </c>
      <c r="W8" s="501">
        <v>45443</v>
      </c>
      <c r="X8" s="501">
        <v>45473</v>
      </c>
      <c r="Y8" s="501">
        <v>45504</v>
      </c>
      <c r="Z8" s="501">
        <v>45535</v>
      </c>
      <c r="AA8" s="501">
        <v>45565</v>
      </c>
      <c r="AB8" s="501">
        <v>45596</v>
      </c>
      <c r="AC8" s="501">
        <v>45626</v>
      </c>
      <c r="AD8" s="501">
        <v>45657</v>
      </c>
      <c r="AE8" s="501">
        <v>45688</v>
      </c>
      <c r="AF8" s="501">
        <v>45716</v>
      </c>
      <c r="AG8" s="501">
        <v>45747</v>
      </c>
      <c r="AH8" s="501">
        <v>45777</v>
      </c>
      <c r="AI8" s="501">
        <v>45808</v>
      </c>
      <c r="AJ8" s="501">
        <v>45838</v>
      </c>
      <c r="AK8" s="501">
        <v>45869</v>
      </c>
      <c r="AL8" s="501">
        <v>45900</v>
      </c>
      <c r="AM8" s="501">
        <v>45930</v>
      </c>
      <c r="AN8" s="501">
        <v>45961</v>
      </c>
      <c r="AO8" s="501">
        <v>45991</v>
      </c>
      <c r="AP8" s="501">
        <v>46022</v>
      </c>
      <c r="AQ8" s="502" t="s">
        <v>845</v>
      </c>
      <c r="AR8" s="502" t="s">
        <v>345</v>
      </c>
    </row>
    <row r="9" spans="2:44" s="429" customFormat="1" ht="13.9" customHeight="1" x14ac:dyDescent="0.25">
      <c r="B9" s="678" t="str">
        <f>IF('B5-Status cobranza'!A9&gt;0,'B5-Status cobranza'!A9,"")</f>
        <v/>
      </c>
      <c r="C9" s="436">
        <f>'BOULEVARD 5'!B7</f>
        <v>101</v>
      </c>
      <c r="D9" s="436" t="s">
        <v>355</v>
      </c>
      <c r="E9" s="436"/>
      <c r="F9" s="436" t="str">
        <f>IF('BOULEVARD 5'!E7="","",'BOULEVARD 5'!E7)</f>
        <v>Jose Franco</v>
      </c>
      <c r="G9" s="429" t="str">
        <f>IF('BOULEVARD 5'!F7="","",'BOULEVARD 5'!F7)</f>
        <v>Karla Michelle Abril Valencia De Galicia</v>
      </c>
      <c r="H9" s="473">
        <f>IF('BOULEVARD 5'!G7="","",'BOULEVARD 5'!G7)</f>
        <v>45012</v>
      </c>
      <c r="I9" s="554">
        <f>IF(OR($B9="F&amp;F",$B9="CE",$H9=""),"",IF(TEXT(I$8,"yyyymm")=TEXT($H9,"yyyymm"),1,IF(TEXT(I$8,"yyyymm")&gt;TEXT($H9,"yyyymm"),2,IF(I$8&lt;$H9,"",0))))</f>
        <v>1</v>
      </c>
      <c r="J9" s="554">
        <f t="shared" ref="J9:Y24" si="4">IF(OR($B9="F&amp;F",$B9="CE",$H9=""),"",IF(TEXT(J$8,"yyyymm")=TEXT($H9,"yyyymm"),1,IF(TEXT(J$8,"yyyymm")&gt;TEXT($H9,"yyyymm"),2,IF(J$8&lt;$H9,"",0))))</f>
        <v>2</v>
      </c>
      <c r="K9" s="554">
        <f t="shared" si="4"/>
        <v>2</v>
      </c>
      <c r="L9" s="554">
        <f t="shared" si="4"/>
        <v>2</v>
      </c>
      <c r="M9" s="554">
        <f t="shared" si="4"/>
        <v>2</v>
      </c>
      <c r="N9" s="554">
        <f t="shared" si="4"/>
        <v>2</v>
      </c>
      <c r="O9" s="554">
        <f t="shared" si="4"/>
        <v>2</v>
      </c>
      <c r="P9" s="554">
        <f t="shared" si="4"/>
        <v>2</v>
      </c>
      <c r="Q9" s="554">
        <f t="shared" si="4"/>
        <v>2</v>
      </c>
      <c r="R9" s="554">
        <f t="shared" si="4"/>
        <v>2</v>
      </c>
      <c r="S9" s="554">
        <f t="shared" si="4"/>
        <v>2</v>
      </c>
      <c r="T9" s="554">
        <f t="shared" si="4"/>
        <v>2</v>
      </c>
      <c r="U9" s="554">
        <f t="shared" si="4"/>
        <v>2</v>
      </c>
      <c r="V9" s="554">
        <f t="shared" si="4"/>
        <v>2</v>
      </c>
      <c r="W9" s="554">
        <f t="shared" si="4"/>
        <v>2</v>
      </c>
      <c r="X9" s="554">
        <f t="shared" si="4"/>
        <v>2</v>
      </c>
      <c r="Y9" s="554">
        <f t="shared" si="4"/>
        <v>2</v>
      </c>
      <c r="Z9" s="554">
        <f t="shared" ref="Z9:AO24" si="5">IF(OR($B9="F&amp;F",$B9="CE",$H9=""),"",IF(TEXT(Z$8,"yyyymm")=TEXT($H9,"yyyymm"),1,IF(TEXT(Z$8,"yyyymm")&gt;TEXT($H9,"yyyymm"),2,IF(Z$8&lt;$H9,"",0))))</f>
        <v>2</v>
      </c>
      <c r="AA9" s="554">
        <f t="shared" si="5"/>
        <v>2</v>
      </c>
      <c r="AB9" s="554">
        <f t="shared" si="5"/>
        <v>2</v>
      </c>
      <c r="AC9" s="554">
        <f t="shared" si="5"/>
        <v>2</v>
      </c>
      <c r="AD9" s="554">
        <f t="shared" si="5"/>
        <v>2</v>
      </c>
      <c r="AE9" s="554">
        <f t="shared" si="5"/>
        <v>2</v>
      </c>
      <c r="AF9" s="554">
        <f t="shared" si="5"/>
        <v>2</v>
      </c>
      <c r="AG9" s="554">
        <f t="shared" si="5"/>
        <v>2</v>
      </c>
      <c r="AH9" s="554">
        <f t="shared" si="5"/>
        <v>2</v>
      </c>
      <c r="AI9" s="554">
        <f t="shared" si="5"/>
        <v>2</v>
      </c>
      <c r="AJ9" s="554">
        <f t="shared" si="5"/>
        <v>2</v>
      </c>
      <c r="AK9" s="554">
        <f t="shared" si="5"/>
        <v>2</v>
      </c>
      <c r="AL9" s="554">
        <f t="shared" si="5"/>
        <v>2</v>
      </c>
      <c r="AM9" s="554">
        <f t="shared" si="5"/>
        <v>2</v>
      </c>
      <c r="AN9" s="554">
        <f t="shared" si="5"/>
        <v>2</v>
      </c>
      <c r="AO9" s="554">
        <f t="shared" si="5"/>
        <v>2</v>
      </c>
      <c r="AP9" s="554">
        <f t="shared" ref="AP9:AP72" si="6">IF(OR($B9="F&amp;F",$B9="CE",$H9=""),"",IF(TEXT(AP$8,"yyyymm")=TEXT($H9,"yyyymm"),1,IF(TEXT(AP$8,"yyyymm")&gt;TEXT($H9,"yyyymm"),2,IF(AP$8&lt;$H9,"",0))))</f>
        <v>2</v>
      </c>
      <c r="AQ9" s="429" t="str">
        <f>IF(H9="","No Vendido","Vendido")</f>
        <v>Vendido</v>
      </c>
      <c r="AR9" s="447">
        <f>_xlfn.XLOOKUP(C9,'BOULEVARD 5'!B:B,'BOULEVARD 5'!AU:AU)</f>
        <v>0.97379844961240314</v>
      </c>
    </row>
    <row r="10" spans="2:44" s="429" customFormat="1" ht="13.9" customHeight="1" x14ac:dyDescent="0.25">
      <c r="B10" s="678" t="str">
        <f>IF('B5-Status cobranza'!A10&gt;0,'B5-Status cobranza'!A10,"")</f>
        <v/>
      </c>
      <c r="C10" s="436">
        <v>102</v>
      </c>
      <c r="D10" s="436" t="s">
        <v>358</v>
      </c>
      <c r="E10" s="436"/>
      <c r="F10" s="436" t="str">
        <f>IF('BOULEVARD 5'!E8="","",'BOULEVARD 5'!E8)</f>
        <v>Erwin Cardona</v>
      </c>
      <c r="G10" s="429" t="str">
        <f>IF('BOULEVARD 5'!F8="","",'BOULEVARD 5'!F8)</f>
        <v>Irma Leticia Villatoro Bucaro</v>
      </c>
      <c r="H10" s="473">
        <f>IF('BOULEVARD 5'!G8="","",'BOULEVARD 5'!G8)</f>
        <v>46012</v>
      </c>
      <c r="I10" s="554" t="str">
        <f t="shared" ref="I10:X25" si="7">IF(OR($B10="F&amp;F",$B10="CE",$H10=""),"",IF(TEXT(I$8,"yyyymm")=TEXT($H10,"yyyymm"),1,IF(TEXT(I$8,"yyyymm")&gt;TEXT($H10,"yyyymm"),2,IF(I$8&lt;$H10,"",0))))</f>
        <v/>
      </c>
      <c r="J10" s="554" t="str">
        <f t="shared" si="4"/>
        <v/>
      </c>
      <c r="K10" s="554" t="str">
        <f t="shared" si="4"/>
        <v/>
      </c>
      <c r="L10" s="554" t="str">
        <f t="shared" si="4"/>
        <v/>
      </c>
      <c r="M10" s="554" t="str">
        <f t="shared" si="4"/>
        <v/>
      </c>
      <c r="N10" s="554" t="str">
        <f t="shared" si="4"/>
        <v/>
      </c>
      <c r="O10" s="554" t="str">
        <f t="shared" si="4"/>
        <v/>
      </c>
      <c r="P10" s="554" t="str">
        <f t="shared" si="4"/>
        <v/>
      </c>
      <c r="Q10" s="554" t="str">
        <f t="shared" si="4"/>
        <v/>
      </c>
      <c r="R10" s="554" t="str">
        <f t="shared" si="4"/>
        <v/>
      </c>
      <c r="S10" s="554" t="str">
        <f t="shared" si="4"/>
        <v/>
      </c>
      <c r="T10" s="554" t="str">
        <f t="shared" si="4"/>
        <v/>
      </c>
      <c r="U10" s="554" t="str">
        <f t="shared" si="4"/>
        <v/>
      </c>
      <c r="V10" s="554" t="str">
        <f t="shared" si="4"/>
        <v/>
      </c>
      <c r="W10" s="554" t="str">
        <f t="shared" si="4"/>
        <v/>
      </c>
      <c r="X10" s="554" t="str">
        <f t="shared" si="4"/>
        <v/>
      </c>
      <c r="Y10" s="554" t="str">
        <f t="shared" si="4"/>
        <v/>
      </c>
      <c r="Z10" s="554" t="str">
        <f t="shared" si="5"/>
        <v/>
      </c>
      <c r="AA10" s="554" t="str">
        <f t="shared" si="5"/>
        <v/>
      </c>
      <c r="AB10" s="554" t="str">
        <f t="shared" si="5"/>
        <v/>
      </c>
      <c r="AC10" s="554" t="str">
        <f t="shared" si="5"/>
        <v/>
      </c>
      <c r="AD10" s="554" t="str">
        <f t="shared" si="5"/>
        <v/>
      </c>
      <c r="AE10" s="554" t="str">
        <f t="shared" si="5"/>
        <v/>
      </c>
      <c r="AF10" s="554" t="str">
        <f t="shared" si="5"/>
        <v/>
      </c>
      <c r="AG10" s="554" t="str">
        <f t="shared" si="5"/>
        <v/>
      </c>
      <c r="AH10" s="554" t="str">
        <f t="shared" si="5"/>
        <v/>
      </c>
      <c r="AI10" s="554" t="str">
        <f t="shared" si="5"/>
        <v/>
      </c>
      <c r="AJ10" s="554" t="str">
        <f t="shared" si="5"/>
        <v/>
      </c>
      <c r="AK10" s="554" t="str">
        <f t="shared" si="5"/>
        <v/>
      </c>
      <c r="AL10" s="554" t="str">
        <f t="shared" si="5"/>
        <v/>
      </c>
      <c r="AM10" s="554" t="str">
        <f t="shared" si="5"/>
        <v/>
      </c>
      <c r="AN10" s="554" t="str">
        <f t="shared" si="5"/>
        <v/>
      </c>
      <c r="AO10" s="554" t="str">
        <f t="shared" si="5"/>
        <v/>
      </c>
      <c r="AP10" s="554">
        <f t="shared" si="6"/>
        <v>1</v>
      </c>
      <c r="AQ10" s="429" t="str">
        <f t="shared" ref="AQ10:AQ73" si="8">IF(H10="","No Vendido","Vendido")</f>
        <v>Vendido</v>
      </c>
      <c r="AR10" s="447">
        <f>_xlfn.XLOOKUP(C10,'BOULEVARD 5'!B:B,'BOULEVARD 5'!AU:AU)</f>
        <v>0.11867933168316833</v>
      </c>
    </row>
    <row r="11" spans="2:44" s="429" customFormat="1" ht="13.9" customHeight="1" x14ac:dyDescent="0.25">
      <c r="B11" s="678" t="str">
        <f>IF('B5-Status cobranza'!A11&gt;0,'B5-Status cobranza'!A11,"")</f>
        <v>F&amp;F</v>
      </c>
      <c r="C11" s="475">
        <v>103</v>
      </c>
      <c r="D11" s="475" t="s">
        <v>362</v>
      </c>
      <c r="E11" s="475"/>
      <c r="F11" s="475" t="str">
        <f>IF('BOULEVARD 5'!E9="","",'BOULEVARD 5'!E9)</f>
        <v>Ronaldo</v>
      </c>
      <c r="G11" s="476" t="str">
        <f>IF('BOULEVARD 5'!F9="","",'BOULEVARD 5'!F9)</f>
        <v>International Coffee Industry, S.A</v>
      </c>
      <c r="H11" s="473">
        <f>IF('BOULEVARD 5'!G9="","",'BOULEVARD 5'!G9)</f>
        <v>45300</v>
      </c>
      <c r="I11" s="554" t="str">
        <f t="shared" si="7"/>
        <v/>
      </c>
      <c r="J11" s="554" t="str">
        <f t="shared" si="4"/>
        <v/>
      </c>
      <c r="K11" s="554" t="str">
        <f t="shared" si="4"/>
        <v/>
      </c>
      <c r="L11" s="554" t="str">
        <f t="shared" si="4"/>
        <v/>
      </c>
      <c r="M11" s="554" t="str">
        <f t="shared" si="4"/>
        <v/>
      </c>
      <c r="N11" s="554" t="str">
        <f t="shared" si="4"/>
        <v/>
      </c>
      <c r="O11" s="554" t="str">
        <f t="shared" si="4"/>
        <v/>
      </c>
      <c r="P11" s="554" t="str">
        <f t="shared" si="4"/>
        <v/>
      </c>
      <c r="Q11" s="554" t="str">
        <f t="shared" si="4"/>
        <v/>
      </c>
      <c r="R11" s="554" t="str">
        <f t="shared" si="4"/>
        <v/>
      </c>
      <c r="S11" s="554" t="str">
        <f t="shared" si="4"/>
        <v/>
      </c>
      <c r="T11" s="554" t="str">
        <f t="shared" si="4"/>
        <v/>
      </c>
      <c r="U11" s="554" t="str">
        <f t="shared" si="4"/>
        <v/>
      </c>
      <c r="V11" s="554" t="str">
        <f t="shared" si="4"/>
        <v/>
      </c>
      <c r="W11" s="554" t="str">
        <f t="shared" si="4"/>
        <v/>
      </c>
      <c r="X11" s="554" t="str">
        <f t="shared" si="4"/>
        <v/>
      </c>
      <c r="Y11" s="554" t="str">
        <f t="shared" si="4"/>
        <v/>
      </c>
      <c r="Z11" s="554" t="str">
        <f t="shared" si="5"/>
        <v/>
      </c>
      <c r="AA11" s="554" t="str">
        <f t="shared" si="5"/>
        <v/>
      </c>
      <c r="AB11" s="554" t="str">
        <f t="shared" si="5"/>
        <v/>
      </c>
      <c r="AC11" s="554" t="str">
        <f t="shared" si="5"/>
        <v/>
      </c>
      <c r="AD11" s="554" t="str">
        <f t="shared" si="5"/>
        <v/>
      </c>
      <c r="AE11" s="554" t="str">
        <f t="shared" si="5"/>
        <v/>
      </c>
      <c r="AF11" s="554" t="str">
        <f t="shared" si="5"/>
        <v/>
      </c>
      <c r="AG11" s="554" t="str">
        <f t="shared" si="5"/>
        <v/>
      </c>
      <c r="AH11" s="554" t="str">
        <f t="shared" si="5"/>
        <v/>
      </c>
      <c r="AI11" s="554" t="str">
        <f t="shared" si="5"/>
        <v/>
      </c>
      <c r="AJ11" s="554" t="str">
        <f t="shared" si="5"/>
        <v/>
      </c>
      <c r="AK11" s="554" t="str">
        <f t="shared" si="5"/>
        <v/>
      </c>
      <c r="AL11" s="554" t="str">
        <f t="shared" si="5"/>
        <v/>
      </c>
      <c r="AM11" s="554" t="str">
        <f t="shared" si="5"/>
        <v/>
      </c>
      <c r="AN11" s="554" t="str">
        <f t="shared" si="5"/>
        <v/>
      </c>
      <c r="AO11" s="554" t="str">
        <f t="shared" si="5"/>
        <v/>
      </c>
      <c r="AP11" s="554" t="str">
        <f t="shared" si="6"/>
        <v/>
      </c>
      <c r="AQ11" s="429" t="str">
        <f t="shared" si="8"/>
        <v>Vendido</v>
      </c>
      <c r="AR11" s="447">
        <f>_xlfn.XLOOKUP(C11,'BOULEVARD 5'!B:B,'BOULEVARD 5'!AU:AU)</f>
        <v>0</v>
      </c>
    </row>
    <row r="12" spans="2:44" s="429" customFormat="1" ht="13.9" customHeight="1" x14ac:dyDescent="0.25">
      <c r="B12" s="678" t="str">
        <f>IF('B5-Status cobranza'!A12&gt;0,'B5-Status cobranza'!A12,"")</f>
        <v/>
      </c>
      <c r="C12" s="436">
        <v>104</v>
      </c>
      <c r="D12" s="436" t="s">
        <v>365</v>
      </c>
      <c r="E12" s="436"/>
      <c r="F12" s="436" t="str">
        <f>IF('BOULEVARD 5'!E10="","",'BOULEVARD 5'!E10)</f>
        <v>Antonio Rada</v>
      </c>
      <c r="G12" s="429" t="str">
        <f>IF('BOULEVARD 5'!F10="","",'BOULEVARD 5'!F10)</f>
        <v>Jonathan José Morales Salazar</v>
      </c>
      <c r="H12" s="473">
        <f>IF('BOULEVARD 5'!G10="","",'BOULEVARD 5'!G10)</f>
        <v>45140</v>
      </c>
      <c r="I12" s="554" t="str">
        <f t="shared" si="7"/>
        <v/>
      </c>
      <c r="J12" s="554" t="str">
        <f t="shared" si="4"/>
        <v/>
      </c>
      <c r="K12" s="554" t="str">
        <f t="shared" si="4"/>
        <v/>
      </c>
      <c r="L12" s="554" t="str">
        <f t="shared" si="4"/>
        <v/>
      </c>
      <c r="M12" s="554" t="str">
        <f t="shared" si="4"/>
        <v/>
      </c>
      <c r="N12" s="554">
        <f t="shared" si="4"/>
        <v>1</v>
      </c>
      <c r="O12" s="554">
        <f t="shared" si="4"/>
        <v>2</v>
      </c>
      <c r="P12" s="554">
        <f t="shared" si="4"/>
        <v>2</v>
      </c>
      <c r="Q12" s="554">
        <f t="shared" si="4"/>
        <v>2</v>
      </c>
      <c r="R12" s="554">
        <f t="shared" si="4"/>
        <v>2</v>
      </c>
      <c r="S12" s="554">
        <f t="shared" si="4"/>
        <v>2</v>
      </c>
      <c r="T12" s="554">
        <f t="shared" si="4"/>
        <v>2</v>
      </c>
      <c r="U12" s="554">
        <f t="shared" si="4"/>
        <v>2</v>
      </c>
      <c r="V12" s="554">
        <f t="shared" si="4"/>
        <v>2</v>
      </c>
      <c r="W12" s="554">
        <f t="shared" si="4"/>
        <v>2</v>
      </c>
      <c r="X12" s="554">
        <f t="shared" si="4"/>
        <v>2</v>
      </c>
      <c r="Y12" s="554">
        <f t="shared" si="4"/>
        <v>2</v>
      </c>
      <c r="Z12" s="554">
        <f t="shared" si="5"/>
        <v>2</v>
      </c>
      <c r="AA12" s="554">
        <f t="shared" si="5"/>
        <v>2</v>
      </c>
      <c r="AB12" s="554">
        <f t="shared" si="5"/>
        <v>2</v>
      </c>
      <c r="AC12" s="554">
        <f t="shared" si="5"/>
        <v>2</v>
      </c>
      <c r="AD12" s="554">
        <f t="shared" si="5"/>
        <v>2</v>
      </c>
      <c r="AE12" s="554">
        <f t="shared" si="5"/>
        <v>2</v>
      </c>
      <c r="AF12" s="554">
        <f t="shared" si="5"/>
        <v>2</v>
      </c>
      <c r="AG12" s="554">
        <f t="shared" si="5"/>
        <v>2</v>
      </c>
      <c r="AH12" s="554">
        <f t="shared" si="5"/>
        <v>2</v>
      </c>
      <c r="AI12" s="554">
        <f t="shared" si="5"/>
        <v>2</v>
      </c>
      <c r="AJ12" s="554">
        <f t="shared" si="5"/>
        <v>2</v>
      </c>
      <c r="AK12" s="554">
        <f t="shared" si="5"/>
        <v>2</v>
      </c>
      <c r="AL12" s="554">
        <f t="shared" si="5"/>
        <v>2</v>
      </c>
      <c r="AM12" s="554">
        <f t="shared" si="5"/>
        <v>2</v>
      </c>
      <c r="AN12" s="554">
        <f t="shared" si="5"/>
        <v>2</v>
      </c>
      <c r="AO12" s="554">
        <f t="shared" si="5"/>
        <v>2</v>
      </c>
      <c r="AP12" s="554">
        <f t="shared" si="6"/>
        <v>2</v>
      </c>
      <c r="AQ12" s="429" t="str">
        <f t="shared" si="8"/>
        <v>Vendido</v>
      </c>
      <c r="AR12" s="447">
        <f>_xlfn.XLOOKUP(C12,'BOULEVARD 5'!B:B,'BOULEVARD 5'!AU:AU)</f>
        <v>1</v>
      </c>
    </row>
    <row r="13" spans="2:44" s="429" customFormat="1" ht="13.9" customHeight="1" x14ac:dyDescent="0.25">
      <c r="B13" s="678" t="str">
        <f>IF('B5-Status cobranza'!A13&gt;0,'B5-Status cobranza'!A13,"")</f>
        <v/>
      </c>
      <c r="C13" s="436">
        <v>105</v>
      </c>
      <c r="D13" s="436" t="s">
        <v>369</v>
      </c>
      <c r="E13" s="436"/>
      <c r="F13" s="436" t="str">
        <f>IF('BOULEVARD 5'!E11="","",'BOULEVARD 5'!E11)</f>
        <v>Erwin Cardona</v>
      </c>
      <c r="G13" s="429" t="str">
        <f>IF('BOULEVARD 5'!F11="","",'BOULEVARD 5'!F11)</f>
        <v>Nery Adolfo Ortíz Alvarez</v>
      </c>
      <c r="H13" s="473">
        <f>IF('BOULEVARD 5'!G11="","",'BOULEVARD 5'!G11)</f>
        <v>46000</v>
      </c>
      <c r="I13" s="554" t="str">
        <f t="shared" si="7"/>
        <v/>
      </c>
      <c r="J13" s="554" t="str">
        <f t="shared" si="4"/>
        <v/>
      </c>
      <c r="K13" s="554" t="str">
        <f t="shared" si="4"/>
        <v/>
      </c>
      <c r="L13" s="554" t="str">
        <f t="shared" si="4"/>
        <v/>
      </c>
      <c r="M13" s="554" t="str">
        <f t="shared" si="4"/>
        <v/>
      </c>
      <c r="N13" s="554" t="str">
        <f t="shared" si="4"/>
        <v/>
      </c>
      <c r="O13" s="554" t="str">
        <f t="shared" si="4"/>
        <v/>
      </c>
      <c r="P13" s="554" t="str">
        <f t="shared" si="4"/>
        <v/>
      </c>
      <c r="Q13" s="554" t="str">
        <f t="shared" si="4"/>
        <v/>
      </c>
      <c r="R13" s="554" t="str">
        <f t="shared" si="4"/>
        <v/>
      </c>
      <c r="S13" s="554" t="str">
        <f t="shared" si="4"/>
        <v/>
      </c>
      <c r="T13" s="554" t="str">
        <f t="shared" si="4"/>
        <v/>
      </c>
      <c r="U13" s="554" t="str">
        <f t="shared" si="4"/>
        <v/>
      </c>
      <c r="V13" s="554" t="str">
        <f t="shared" si="4"/>
        <v/>
      </c>
      <c r="W13" s="554" t="str">
        <f t="shared" si="4"/>
        <v/>
      </c>
      <c r="X13" s="554" t="str">
        <f t="shared" si="4"/>
        <v/>
      </c>
      <c r="Y13" s="554" t="str">
        <f t="shared" si="4"/>
        <v/>
      </c>
      <c r="Z13" s="554" t="str">
        <f t="shared" si="5"/>
        <v/>
      </c>
      <c r="AA13" s="554" t="str">
        <f t="shared" si="5"/>
        <v/>
      </c>
      <c r="AB13" s="554" t="str">
        <f t="shared" si="5"/>
        <v/>
      </c>
      <c r="AC13" s="554" t="str">
        <f t="shared" si="5"/>
        <v/>
      </c>
      <c r="AD13" s="554" t="str">
        <f t="shared" si="5"/>
        <v/>
      </c>
      <c r="AE13" s="554" t="str">
        <f t="shared" si="5"/>
        <v/>
      </c>
      <c r="AF13" s="554" t="str">
        <f t="shared" si="5"/>
        <v/>
      </c>
      <c r="AG13" s="554" t="str">
        <f t="shared" si="5"/>
        <v/>
      </c>
      <c r="AH13" s="554" t="str">
        <f t="shared" si="5"/>
        <v/>
      </c>
      <c r="AI13" s="554" t="str">
        <f t="shared" si="5"/>
        <v/>
      </c>
      <c r="AJ13" s="554" t="str">
        <f t="shared" si="5"/>
        <v/>
      </c>
      <c r="AK13" s="554" t="str">
        <f t="shared" si="5"/>
        <v/>
      </c>
      <c r="AL13" s="554" t="str">
        <f t="shared" si="5"/>
        <v/>
      </c>
      <c r="AM13" s="554" t="str">
        <f t="shared" si="5"/>
        <v/>
      </c>
      <c r="AN13" s="554" t="str">
        <f t="shared" si="5"/>
        <v/>
      </c>
      <c r="AO13" s="554" t="str">
        <f t="shared" si="5"/>
        <v/>
      </c>
      <c r="AP13" s="554">
        <f t="shared" si="6"/>
        <v>1</v>
      </c>
      <c r="AQ13" s="429" t="str">
        <f t="shared" si="8"/>
        <v>Vendido</v>
      </c>
      <c r="AR13" s="447">
        <f>_xlfn.XLOOKUP(C13,'BOULEVARD 5'!B:B,'BOULEVARD 5'!AU:AU)</f>
        <v>0.11976047904191617</v>
      </c>
    </row>
    <row r="14" spans="2:44" s="429" customFormat="1" ht="13.9" customHeight="1" x14ac:dyDescent="0.25">
      <c r="B14" s="678" t="str">
        <f>IF('B5-Status cobranza'!A14&gt;0,'B5-Status cobranza'!A14,"")</f>
        <v/>
      </c>
      <c r="C14" s="436">
        <v>106</v>
      </c>
      <c r="D14" s="436" t="s">
        <v>371</v>
      </c>
      <c r="E14" s="436"/>
      <c r="F14" s="436" t="str">
        <f>IF('BOULEVARD 5'!E12="","",'BOULEVARD 5'!E12)</f>
        <v>Erwin Cardona</v>
      </c>
      <c r="G14" s="429" t="str">
        <f>IF('BOULEVARD 5'!F12="","",'BOULEVARD 5'!F12)</f>
        <v>Claudia Ruth Marianella Paiz Herrera de Alvarez</v>
      </c>
      <c r="H14" s="473">
        <f>IF('BOULEVARD 5'!G12="","",'BOULEVARD 5'!G12)</f>
        <v>46013</v>
      </c>
      <c r="I14" s="554" t="str">
        <f t="shared" si="7"/>
        <v/>
      </c>
      <c r="J14" s="554" t="str">
        <f t="shared" si="4"/>
        <v/>
      </c>
      <c r="K14" s="554" t="str">
        <f t="shared" si="4"/>
        <v/>
      </c>
      <c r="L14" s="554" t="str">
        <f t="shared" si="4"/>
        <v/>
      </c>
      <c r="M14" s="554" t="str">
        <f t="shared" si="4"/>
        <v/>
      </c>
      <c r="N14" s="554" t="str">
        <f t="shared" si="4"/>
        <v/>
      </c>
      <c r="O14" s="554" t="str">
        <f t="shared" si="4"/>
        <v/>
      </c>
      <c r="P14" s="554" t="str">
        <f t="shared" si="4"/>
        <v/>
      </c>
      <c r="Q14" s="554" t="str">
        <f t="shared" si="4"/>
        <v/>
      </c>
      <c r="R14" s="554" t="str">
        <f t="shared" si="4"/>
        <v/>
      </c>
      <c r="S14" s="554" t="str">
        <f t="shared" si="4"/>
        <v/>
      </c>
      <c r="T14" s="554" t="str">
        <f t="shared" si="4"/>
        <v/>
      </c>
      <c r="U14" s="554" t="str">
        <f t="shared" si="4"/>
        <v/>
      </c>
      <c r="V14" s="554" t="str">
        <f t="shared" si="4"/>
        <v/>
      </c>
      <c r="W14" s="554" t="str">
        <f t="shared" si="4"/>
        <v/>
      </c>
      <c r="X14" s="554" t="str">
        <f t="shared" si="4"/>
        <v/>
      </c>
      <c r="Y14" s="554" t="str">
        <f t="shared" si="4"/>
        <v/>
      </c>
      <c r="Z14" s="554" t="str">
        <f t="shared" si="5"/>
        <v/>
      </c>
      <c r="AA14" s="554" t="str">
        <f t="shared" si="5"/>
        <v/>
      </c>
      <c r="AB14" s="554" t="str">
        <f t="shared" si="5"/>
        <v/>
      </c>
      <c r="AC14" s="554" t="str">
        <f t="shared" si="5"/>
        <v/>
      </c>
      <c r="AD14" s="554" t="str">
        <f t="shared" si="5"/>
        <v/>
      </c>
      <c r="AE14" s="554" t="str">
        <f t="shared" si="5"/>
        <v/>
      </c>
      <c r="AF14" s="554" t="str">
        <f t="shared" si="5"/>
        <v/>
      </c>
      <c r="AG14" s="554" t="str">
        <f t="shared" si="5"/>
        <v/>
      </c>
      <c r="AH14" s="554" t="str">
        <f t="shared" si="5"/>
        <v/>
      </c>
      <c r="AI14" s="554" t="str">
        <f t="shared" si="5"/>
        <v/>
      </c>
      <c r="AJ14" s="554" t="str">
        <f t="shared" si="5"/>
        <v/>
      </c>
      <c r="AK14" s="554" t="str">
        <f t="shared" si="5"/>
        <v/>
      </c>
      <c r="AL14" s="554" t="str">
        <f t="shared" si="5"/>
        <v/>
      </c>
      <c r="AM14" s="554" t="str">
        <f t="shared" si="5"/>
        <v/>
      </c>
      <c r="AN14" s="554" t="str">
        <f t="shared" si="5"/>
        <v/>
      </c>
      <c r="AO14" s="554" t="str">
        <f t="shared" si="5"/>
        <v/>
      </c>
      <c r="AP14" s="554">
        <f t="shared" si="6"/>
        <v>1</v>
      </c>
      <c r="AQ14" s="429" t="str">
        <f t="shared" si="8"/>
        <v>Vendido</v>
      </c>
      <c r="AR14" s="447">
        <f>_xlfn.XLOOKUP(C14,'BOULEVARD 5'!B:B,'BOULEVARD 5'!AU:AU)</f>
        <v>0.25529661016949151</v>
      </c>
    </row>
    <row r="15" spans="2:44" s="429" customFormat="1" ht="13.9" customHeight="1" x14ac:dyDescent="0.25">
      <c r="B15" s="678" t="str">
        <f>IF('B5-Status cobranza'!A15&gt;0,'B5-Status cobranza'!A15,"")</f>
        <v/>
      </c>
      <c r="C15" s="436">
        <v>107</v>
      </c>
      <c r="D15" s="436" t="s">
        <v>373</v>
      </c>
      <c r="E15" s="436"/>
      <c r="F15" s="436" t="str">
        <f>IF('BOULEVARD 5'!E13="","",'BOULEVARD 5'!E13)</f>
        <v/>
      </c>
      <c r="G15" s="429" t="str">
        <f>IF('BOULEVARD 5'!F13="","",'BOULEVARD 5'!F13)</f>
        <v/>
      </c>
      <c r="H15" s="473" t="str">
        <f>IF('BOULEVARD 5'!G13="","",'BOULEVARD 5'!G13)</f>
        <v/>
      </c>
      <c r="I15" s="554" t="str">
        <f t="shared" si="7"/>
        <v/>
      </c>
      <c r="J15" s="554" t="str">
        <f t="shared" si="4"/>
        <v/>
      </c>
      <c r="K15" s="554" t="str">
        <f t="shared" si="4"/>
        <v/>
      </c>
      <c r="L15" s="554" t="str">
        <f t="shared" si="4"/>
        <v/>
      </c>
      <c r="M15" s="554" t="str">
        <f t="shared" si="4"/>
        <v/>
      </c>
      <c r="N15" s="554" t="str">
        <f t="shared" si="4"/>
        <v/>
      </c>
      <c r="O15" s="554" t="str">
        <f t="shared" si="4"/>
        <v/>
      </c>
      <c r="P15" s="554" t="str">
        <f t="shared" si="4"/>
        <v/>
      </c>
      <c r="Q15" s="554" t="str">
        <f t="shared" si="4"/>
        <v/>
      </c>
      <c r="R15" s="554" t="str">
        <f t="shared" si="4"/>
        <v/>
      </c>
      <c r="S15" s="554" t="str">
        <f t="shared" si="4"/>
        <v/>
      </c>
      <c r="T15" s="554" t="str">
        <f t="shared" si="4"/>
        <v/>
      </c>
      <c r="U15" s="554" t="str">
        <f t="shared" si="4"/>
        <v/>
      </c>
      <c r="V15" s="554" t="str">
        <f t="shared" si="4"/>
        <v/>
      </c>
      <c r="W15" s="554" t="str">
        <f t="shared" si="4"/>
        <v/>
      </c>
      <c r="X15" s="554" t="str">
        <f t="shared" si="4"/>
        <v/>
      </c>
      <c r="Y15" s="554" t="str">
        <f t="shared" si="4"/>
        <v/>
      </c>
      <c r="Z15" s="554" t="str">
        <f t="shared" si="5"/>
        <v/>
      </c>
      <c r="AA15" s="554" t="str">
        <f t="shared" si="5"/>
        <v/>
      </c>
      <c r="AB15" s="554" t="str">
        <f t="shared" si="5"/>
        <v/>
      </c>
      <c r="AC15" s="554" t="str">
        <f t="shared" si="5"/>
        <v/>
      </c>
      <c r="AD15" s="554" t="str">
        <f t="shared" si="5"/>
        <v/>
      </c>
      <c r="AE15" s="554" t="str">
        <f t="shared" si="5"/>
        <v/>
      </c>
      <c r="AF15" s="554" t="str">
        <f t="shared" si="5"/>
        <v/>
      </c>
      <c r="AG15" s="554" t="str">
        <f t="shared" si="5"/>
        <v/>
      </c>
      <c r="AH15" s="554" t="str">
        <f t="shared" si="5"/>
        <v/>
      </c>
      <c r="AI15" s="554" t="str">
        <f t="shared" si="5"/>
        <v/>
      </c>
      <c r="AJ15" s="554" t="str">
        <f t="shared" si="5"/>
        <v/>
      </c>
      <c r="AK15" s="554" t="str">
        <f t="shared" si="5"/>
        <v/>
      </c>
      <c r="AL15" s="554" t="str">
        <f t="shared" si="5"/>
        <v/>
      </c>
      <c r="AM15" s="554" t="str">
        <f t="shared" si="5"/>
        <v/>
      </c>
      <c r="AN15" s="554" t="str">
        <f t="shared" si="5"/>
        <v/>
      </c>
      <c r="AO15" s="554" t="str">
        <f t="shared" si="5"/>
        <v/>
      </c>
      <c r="AP15" s="554" t="str">
        <f t="shared" si="6"/>
        <v/>
      </c>
      <c r="AQ15" s="429" t="str">
        <f t="shared" si="8"/>
        <v>No Vendido</v>
      </c>
      <c r="AR15" s="447">
        <f>_xlfn.XLOOKUP(C15,'BOULEVARD 5'!B:B,'BOULEVARD 5'!AU:AU)</f>
        <v>0</v>
      </c>
    </row>
    <row r="16" spans="2:44" s="429" customFormat="1" ht="13.9" customHeight="1" x14ac:dyDescent="0.25">
      <c r="B16" s="678" t="str">
        <f>IF('B5-Status cobranza'!A16&gt;0,'B5-Status cobranza'!A16,"")</f>
        <v/>
      </c>
      <c r="C16" s="436">
        <v>108</v>
      </c>
      <c r="D16" s="436" t="s">
        <v>375</v>
      </c>
      <c r="E16" s="436"/>
      <c r="F16" s="436" t="str">
        <f>IF('BOULEVARD 5'!E14="","",'BOULEVARD 5'!E14)</f>
        <v/>
      </c>
      <c r="G16" s="429" t="str">
        <f>IF('BOULEVARD 5'!F14="","",'BOULEVARD 5'!F14)</f>
        <v/>
      </c>
      <c r="H16" s="473" t="str">
        <f>IF('BOULEVARD 5'!G14="","",'BOULEVARD 5'!G14)</f>
        <v/>
      </c>
      <c r="I16" s="554" t="str">
        <f t="shared" si="7"/>
        <v/>
      </c>
      <c r="J16" s="554" t="str">
        <f t="shared" si="4"/>
        <v/>
      </c>
      <c r="K16" s="554" t="str">
        <f t="shared" si="4"/>
        <v/>
      </c>
      <c r="L16" s="554" t="str">
        <f t="shared" si="4"/>
        <v/>
      </c>
      <c r="M16" s="554" t="str">
        <f t="shared" si="4"/>
        <v/>
      </c>
      <c r="N16" s="554" t="str">
        <f t="shared" si="4"/>
        <v/>
      </c>
      <c r="O16" s="554" t="str">
        <f t="shared" si="4"/>
        <v/>
      </c>
      <c r="P16" s="554" t="str">
        <f t="shared" si="4"/>
        <v/>
      </c>
      <c r="Q16" s="554" t="str">
        <f t="shared" si="4"/>
        <v/>
      </c>
      <c r="R16" s="554" t="str">
        <f t="shared" si="4"/>
        <v/>
      </c>
      <c r="S16" s="554" t="str">
        <f t="shared" si="4"/>
        <v/>
      </c>
      <c r="T16" s="554" t="str">
        <f t="shared" si="4"/>
        <v/>
      </c>
      <c r="U16" s="554" t="str">
        <f t="shared" si="4"/>
        <v/>
      </c>
      <c r="V16" s="554" t="str">
        <f t="shared" si="4"/>
        <v/>
      </c>
      <c r="W16" s="554" t="str">
        <f t="shared" si="4"/>
        <v/>
      </c>
      <c r="X16" s="554" t="str">
        <f t="shared" si="4"/>
        <v/>
      </c>
      <c r="Y16" s="554" t="str">
        <f t="shared" si="4"/>
        <v/>
      </c>
      <c r="Z16" s="554" t="str">
        <f t="shared" si="5"/>
        <v/>
      </c>
      <c r="AA16" s="554" t="str">
        <f t="shared" si="5"/>
        <v/>
      </c>
      <c r="AB16" s="554" t="str">
        <f t="shared" si="5"/>
        <v/>
      </c>
      <c r="AC16" s="554" t="str">
        <f t="shared" si="5"/>
        <v/>
      </c>
      <c r="AD16" s="554" t="str">
        <f t="shared" si="5"/>
        <v/>
      </c>
      <c r="AE16" s="554" t="str">
        <f t="shared" si="5"/>
        <v/>
      </c>
      <c r="AF16" s="554" t="str">
        <f t="shared" si="5"/>
        <v/>
      </c>
      <c r="AG16" s="554" t="str">
        <f t="shared" si="5"/>
        <v/>
      </c>
      <c r="AH16" s="554" t="str">
        <f t="shared" si="5"/>
        <v/>
      </c>
      <c r="AI16" s="554" t="str">
        <f t="shared" si="5"/>
        <v/>
      </c>
      <c r="AJ16" s="554" t="str">
        <f t="shared" si="5"/>
        <v/>
      </c>
      <c r="AK16" s="554" t="str">
        <f t="shared" si="5"/>
        <v/>
      </c>
      <c r="AL16" s="554" t="str">
        <f t="shared" si="5"/>
        <v/>
      </c>
      <c r="AM16" s="554" t="str">
        <f t="shared" si="5"/>
        <v/>
      </c>
      <c r="AN16" s="554" t="str">
        <f t="shared" si="5"/>
        <v/>
      </c>
      <c r="AO16" s="554" t="str">
        <f t="shared" si="5"/>
        <v/>
      </c>
      <c r="AP16" s="554" t="str">
        <f t="shared" si="6"/>
        <v/>
      </c>
      <c r="AQ16" s="429" t="str">
        <f t="shared" si="8"/>
        <v>No Vendido</v>
      </c>
      <c r="AR16" s="447">
        <f>_xlfn.XLOOKUP(C16,'BOULEVARD 5'!B:B,'BOULEVARD 5'!AU:AU)</f>
        <v>0</v>
      </c>
    </row>
    <row r="17" spans="1:44" s="429" customFormat="1" ht="13.9" customHeight="1" x14ac:dyDescent="0.25">
      <c r="B17" s="678" t="str">
        <f>IF('B5-Status cobranza'!A17&gt;0,'B5-Status cobranza'!A17,"")</f>
        <v/>
      </c>
      <c r="C17" s="436">
        <v>109</v>
      </c>
      <c r="D17" s="436" t="s">
        <v>376</v>
      </c>
      <c r="E17" s="436"/>
      <c r="F17" s="436" t="str">
        <f>IF('BOULEVARD 5'!E15="","",'BOULEVARD 5'!E15)</f>
        <v>Antonio Rada</v>
      </c>
      <c r="G17" s="429" t="str">
        <f>IF('BOULEVARD 5'!F15="","",'BOULEVARD 5'!F15)</f>
        <v>Laura Elisa Ovalle Gonzalez</v>
      </c>
      <c r="H17" s="473">
        <f>IF('BOULEVARD 5'!G15="","",'BOULEVARD 5'!G15)</f>
        <v>45471</v>
      </c>
      <c r="I17" s="554" t="str">
        <f t="shared" si="7"/>
        <v/>
      </c>
      <c r="J17" s="554" t="str">
        <f t="shared" si="4"/>
        <v/>
      </c>
      <c r="K17" s="554" t="str">
        <f t="shared" si="4"/>
        <v/>
      </c>
      <c r="L17" s="554" t="str">
        <f t="shared" si="4"/>
        <v/>
      </c>
      <c r="M17" s="554" t="str">
        <f t="shared" si="4"/>
        <v/>
      </c>
      <c r="N17" s="554" t="str">
        <f t="shared" si="4"/>
        <v/>
      </c>
      <c r="O17" s="554" t="str">
        <f t="shared" si="4"/>
        <v/>
      </c>
      <c r="P17" s="554" t="str">
        <f t="shared" si="4"/>
        <v/>
      </c>
      <c r="Q17" s="554" t="str">
        <f t="shared" si="4"/>
        <v/>
      </c>
      <c r="R17" s="554" t="str">
        <f t="shared" si="4"/>
        <v/>
      </c>
      <c r="S17" s="554" t="str">
        <f t="shared" si="4"/>
        <v/>
      </c>
      <c r="T17" s="554" t="str">
        <f t="shared" si="4"/>
        <v/>
      </c>
      <c r="U17" s="554" t="str">
        <f t="shared" si="4"/>
        <v/>
      </c>
      <c r="V17" s="554" t="str">
        <f t="shared" si="4"/>
        <v/>
      </c>
      <c r="W17" s="554" t="str">
        <f t="shared" si="4"/>
        <v/>
      </c>
      <c r="X17" s="554">
        <f t="shared" si="4"/>
        <v>1</v>
      </c>
      <c r="Y17" s="554">
        <f t="shared" si="4"/>
        <v>2</v>
      </c>
      <c r="Z17" s="554">
        <f t="shared" si="5"/>
        <v>2</v>
      </c>
      <c r="AA17" s="554">
        <f t="shared" si="5"/>
        <v>2</v>
      </c>
      <c r="AB17" s="554">
        <f t="shared" si="5"/>
        <v>2</v>
      </c>
      <c r="AC17" s="554">
        <f t="shared" si="5"/>
        <v>2</v>
      </c>
      <c r="AD17" s="554">
        <f t="shared" si="5"/>
        <v>2</v>
      </c>
      <c r="AE17" s="554">
        <f t="shared" si="5"/>
        <v>2</v>
      </c>
      <c r="AF17" s="554">
        <f t="shared" si="5"/>
        <v>2</v>
      </c>
      <c r="AG17" s="554">
        <f t="shared" si="5"/>
        <v>2</v>
      </c>
      <c r="AH17" s="554">
        <f t="shared" si="5"/>
        <v>2</v>
      </c>
      <c r="AI17" s="554">
        <f t="shared" si="5"/>
        <v>2</v>
      </c>
      <c r="AJ17" s="554">
        <f t="shared" si="5"/>
        <v>2</v>
      </c>
      <c r="AK17" s="554">
        <f t="shared" si="5"/>
        <v>2</v>
      </c>
      <c r="AL17" s="554">
        <f t="shared" si="5"/>
        <v>2</v>
      </c>
      <c r="AM17" s="554">
        <f t="shared" si="5"/>
        <v>2</v>
      </c>
      <c r="AN17" s="554">
        <f t="shared" si="5"/>
        <v>2</v>
      </c>
      <c r="AO17" s="554">
        <f t="shared" si="5"/>
        <v>2</v>
      </c>
      <c r="AP17" s="554">
        <f t="shared" si="6"/>
        <v>2</v>
      </c>
      <c r="AQ17" s="429" t="str">
        <f t="shared" si="8"/>
        <v>Vendido</v>
      </c>
      <c r="AR17" s="447">
        <f>_xlfn.XLOOKUP(C17,'BOULEVARD 5'!B:B,'BOULEVARD 5'!AU:AU)</f>
        <v>0.99997309585945282</v>
      </c>
    </row>
    <row r="18" spans="1:44" s="429" customFormat="1" ht="13.9" customHeight="1" x14ac:dyDescent="0.25">
      <c r="B18" s="678" t="str">
        <f>IF('B5-Status cobranza'!A18&gt;0,'B5-Status cobranza'!A18,"")</f>
        <v/>
      </c>
      <c r="C18" s="436">
        <v>110</v>
      </c>
      <c r="D18" s="436" t="s">
        <v>378</v>
      </c>
      <c r="E18" s="436"/>
      <c r="F18" s="436" t="str">
        <f>IF('BOULEVARD 5'!E16="","",'BOULEVARD 5'!E16)</f>
        <v>Antonio Rada</v>
      </c>
      <c r="G18" s="429" t="str">
        <f>IF('BOULEVARD 5'!F16="","",'BOULEVARD 5'!F16)</f>
        <v>Karla Suzel Ruiz Sanchinelli De Alonzo</v>
      </c>
      <c r="H18" s="473">
        <f>IF('BOULEVARD 5'!G16="","",'BOULEVARD 5'!G16)</f>
        <v>45088</v>
      </c>
      <c r="I18" s="554" t="str">
        <f t="shared" si="7"/>
        <v/>
      </c>
      <c r="J18" s="554" t="str">
        <f t="shared" si="4"/>
        <v/>
      </c>
      <c r="K18" s="554" t="str">
        <f t="shared" si="4"/>
        <v/>
      </c>
      <c r="L18" s="554">
        <f t="shared" si="4"/>
        <v>1</v>
      </c>
      <c r="M18" s="554">
        <f t="shared" si="4"/>
        <v>2</v>
      </c>
      <c r="N18" s="554">
        <f t="shared" si="4"/>
        <v>2</v>
      </c>
      <c r="O18" s="554">
        <f t="shared" si="4"/>
        <v>2</v>
      </c>
      <c r="P18" s="554">
        <f t="shared" si="4"/>
        <v>2</v>
      </c>
      <c r="Q18" s="554">
        <f t="shared" si="4"/>
        <v>2</v>
      </c>
      <c r="R18" s="554">
        <f t="shared" si="4"/>
        <v>2</v>
      </c>
      <c r="S18" s="554">
        <f t="shared" si="4"/>
        <v>2</v>
      </c>
      <c r="T18" s="554">
        <f t="shared" si="4"/>
        <v>2</v>
      </c>
      <c r="U18" s="554">
        <f t="shared" si="4"/>
        <v>2</v>
      </c>
      <c r="V18" s="554">
        <f t="shared" si="4"/>
        <v>2</v>
      </c>
      <c r="W18" s="554">
        <f t="shared" si="4"/>
        <v>2</v>
      </c>
      <c r="X18" s="554">
        <f t="shared" si="4"/>
        <v>2</v>
      </c>
      <c r="Y18" s="554">
        <f t="shared" si="4"/>
        <v>2</v>
      </c>
      <c r="Z18" s="554">
        <f t="shared" si="5"/>
        <v>2</v>
      </c>
      <c r="AA18" s="554">
        <f t="shared" si="5"/>
        <v>2</v>
      </c>
      <c r="AB18" s="554">
        <f t="shared" si="5"/>
        <v>2</v>
      </c>
      <c r="AC18" s="554">
        <f t="shared" si="5"/>
        <v>2</v>
      </c>
      <c r="AD18" s="554">
        <f t="shared" si="5"/>
        <v>2</v>
      </c>
      <c r="AE18" s="554">
        <f t="shared" si="5"/>
        <v>2</v>
      </c>
      <c r="AF18" s="554">
        <f t="shared" si="5"/>
        <v>2</v>
      </c>
      <c r="AG18" s="554">
        <f t="shared" si="5"/>
        <v>2</v>
      </c>
      <c r="AH18" s="554">
        <f t="shared" si="5"/>
        <v>2</v>
      </c>
      <c r="AI18" s="554">
        <f t="shared" si="5"/>
        <v>2</v>
      </c>
      <c r="AJ18" s="554">
        <f t="shared" si="5"/>
        <v>2</v>
      </c>
      <c r="AK18" s="554">
        <f t="shared" si="5"/>
        <v>2</v>
      </c>
      <c r="AL18" s="554">
        <f t="shared" si="5"/>
        <v>2</v>
      </c>
      <c r="AM18" s="554">
        <f t="shared" si="5"/>
        <v>2</v>
      </c>
      <c r="AN18" s="554">
        <f t="shared" si="5"/>
        <v>2</v>
      </c>
      <c r="AO18" s="554">
        <f t="shared" si="5"/>
        <v>2</v>
      </c>
      <c r="AP18" s="554">
        <f t="shared" si="6"/>
        <v>2</v>
      </c>
      <c r="AQ18" s="429" t="str">
        <f t="shared" si="8"/>
        <v>Vendido</v>
      </c>
      <c r="AR18" s="447">
        <f>_xlfn.XLOOKUP(C18,'BOULEVARD 5'!B:B,'BOULEVARD 5'!AU:AU)</f>
        <v>1.1050220264317181</v>
      </c>
    </row>
    <row r="19" spans="1:44" s="429" customFormat="1" ht="13.9" customHeight="1" x14ac:dyDescent="0.25">
      <c r="B19" s="678" t="str">
        <f>IF('B5-Status cobranza'!A19&gt;0,'B5-Status cobranza'!A19,"")</f>
        <v/>
      </c>
      <c r="C19" s="436">
        <v>111</v>
      </c>
      <c r="D19" s="436" t="s">
        <v>380</v>
      </c>
      <c r="E19" s="436"/>
      <c r="F19" s="436" t="str">
        <f>IF('BOULEVARD 5'!E17="","",'BOULEVARD 5'!E17)</f>
        <v>Jose Franco</v>
      </c>
      <c r="G19" s="429" t="str">
        <f>IF('BOULEVARD 5'!F17="","",'BOULEVARD 5'!F17)</f>
        <v>Jonathan José Morales Salazar / Ingrid Liseth Barillas López</v>
      </c>
      <c r="H19" s="473">
        <f>IF('BOULEVARD 5'!G17="","",'BOULEVARD 5'!G17)</f>
        <v>45012</v>
      </c>
      <c r="I19" s="554">
        <f t="shared" si="7"/>
        <v>1</v>
      </c>
      <c r="J19" s="554">
        <f t="shared" si="4"/>
        <v>2</v>
      </c>
      <c r="K19" s="554">
        <f t="shared" si="4"/>
        <v>2</v>
      </c>
      <c r="L19" s="554">
        <f t="shared" si="4"/>
        <v>2</v>
      </c>
      <c r="M19" s="554">
        <f t="shared" si="4"/>
        <v>2</v>
      </c>
      <c r="N19" s="554">
        <f t="shared" si="4"/>
        <v>2</v>
      </c>
      <c r="O19" s="554">
        <f t="shared" si="4"/>
        <v>2</v>
      </c>
      <c r="P19" s="554">
        <f t="shared" si="4"/>
        <v>2</v>
      </c>
      <c r="Q19" s="554">
        <f t="shared" si="4"/>
        <v>2</v>
      </c>
      <c r="R19" s="554">
        <f t="shared" si="4"/>
        <v>2</v>
      </c>
      <c r="S19" s="554">
        <f t="shared" si="4"/>
        <v>2</v>
      </c>
      <c r="T19" s="554">
        <f t="shared" si="4"/>
        <v>2</v>
      </c>
      <c r="U19" s="554">
        <f t="shared" si="4"/>
        <v>2</v>
      </c>
      <c r="V19" s="554">
        <f t="shared" si="4"/>
        <v>2</v>
      </c>
      <c r="W19" s="554">
        <f t="shared" si="4"/>
        <v>2</v>
      </c>
      <c r="X19" s="554">
        <f t="shared" si="4"/>
        <v>2</v>
      </c>
      <c r="Y19" s="554">
        <f t="shared" si="4"/>
        <v>2</v>
      </c>
      <c r="Z19" s="554">
        <f t="shared" si="5"/>
        <v>2</v>
      </c>
      <c r="AA19" s="554">
        <f t="shared" si="5"/>
        <v>2</v>
      </c>
      <c r="AB19" s="554">
        <f t="shared" si="5"/>
        <v>2</v>
      </c>
      <c r="AC19" s="554">
        <f t="shared" si="5"/>
        <v>2</v>
      </c>
      <c r="AD19" s="554">
        <f t="shared" si="5"/>
        <v>2</v>
      </c>
      <c r="AE19" s="554">
        <f t="shared" si="5"/>
        <v>2</v>
      </c>
      <c r="AF19" s="554">
        <f t="shared" si="5"/>
        <v>2</v>
      </c>
      <c r="AG19" s="554">
        <f t="shared" si="5"/>
        <v>2</v>
      </c>
      <c r="AH19" s="554">
        <f t="shared" si="5"/>
        <v>2</v>
      </c>
      <c r="AI19" s="554">
        <f t="shared" si="5"/>
        <v>2</v>
      </c>
      <c r="AJ19" s="554">
        <f t="shared" si="5"/>
        <v>2</v>
      </c>
      <c r="AK19" s="554">
        <f t="shared" si="5"/>
        <v>2</v>
      </c>
      <c r="AL19" s="554">
        <f t="shared" si="5"/>
        <v>2</v>
      </c>
      <c r="AM19" s="554">
        <f t="shared" si="5"/>
        <v>2</v>
      </c>
      <c r="AN19" s="554">
        <f t="shared" si="5"/>
        <v>2</v>
      </c>
      <c r="AO19" s="554">
        <f t="shared" si="5"/>
        <v>2</v>
      </c>
      <c r="AP19" s="554">
        <f t="shared" si="6"/>
        <v>2</v>
      </c>
      <c r="AQ19" s="429" t="str">
        <f t="shared" si="8"/>
        <v>Vendido</v>
      </c>
      <c r="AR19" s="447">
        <f>_xlfn.XLOOKUP(C19,'BOULEVARD 5'!B:B,'BOULEVARD 5'!AU:AU)</f>
        <v>0.96212338593974178</v>
      </c>
    </row>
    <row r="20" spans="1:44" s="429" customFormat="1" ht="13.9" customHeight="1" x14ac:dyDescent="0.25">
      <c r="B20" s="678" t="str">
        <f>IF('B5-Status cobranza'!A20&gt;0,'B5-Status cobranza'!A20,"")</f>
        <v/>
      </c>
      <c r="C20" s="436">
        <v>112</v>
      </c>
      <c r="D20" s="436" t="s">
        <v>382</v>
      </c>
      <c r="E20" s="436"/>
      <c r="F20" s="436" t="str">
        <f>IF('BOULEVARD 5'!E18="","",'BOULEVARD 5'!E18)</f>
        <v>Brenda Búcaro</v>
      </c>
      <c r="G20" s="429" t="str">
        <f>IF('BOULEVARD 5'!F18="","",'BOULEVARD 5'!F18)</f>
        <v>Herbert Osiel Ramos Alfaro / Paula María Vásquez Cifuentes</v>
      </c>
      <c r="H20" s="473">
        <f>IF('BOULEVARD 5'!G18="","",'BOULEVARD 5'!G18)</f>
        <v>45006</v>
      </c>
      <c r="I20" s="554">
        <f t="shared" si="7"/>
        <v>1</v>
      </c>
      <c r="J20" s="554">
        <f t="shared" si="4"/>
        <v>2</v>
      </c>
      <c r="K20" s="554">
        <f t="shared" si="4"/>
        <v>2</v>
      </c>
      <c r="L20" s="554">
        <f t="shared" si="4"/>
        <v>2</v>
      </c>
      <c r="M20" s="554">
        <f t="shared" si="4"/>
        <v>2</v>
      </c>
      <c r="N20" s="554">
        <f t="shared" si="4"/>
        <v>2</v>
      </c>
      <c r="O20" s="554">
        <f t="shared" si="4"/>
        <v>2</v>
      </c>
      <c r="P20" s="554">
        <f t="shared" si="4"/>
        <v>2</v>
      </c>
      <c r="Q20" s="554">
        <f t="shared" si="4"/>
        <v>2</v>
      </c>
      <c r="R20" s="554">
        <f t="shared" si="4"/>
        <v>2</v>
      </c>
      <c r="S20" s="554">
        <f t="shared" si="4"/>
        <v>2</v>
      </c>
      <c r="T20" s="554">
        <f t="shared" si="4"/>
        <v>2</v>
      </c>
      <c r="U20" s="554">
        <f t="shared" si="4"/>
        <v>2</v>
      </c>
      <c r="V20" s="554">
        <f t="shared" si="4"/>
        <v>2</v>
      </c>
      <c r="W20" s="554">
        <f t="shared" si="4"/>
        <v>2</v>
      </c>
      <c r="X20" s="554">
        <f t="shared" si="4"/>
        <v>2</v>
      </c>
      <c r="Y20" s="554">
        <f t="shared" si="4"/>
        <v>2</v>
      </c>
      <c r="Z20" s="554">
        <f t="shared" si="5"/>
        <v>2</v>
      </c>
      <c r="AA20" s="554">
        <f t="shared" si="5"/>
        <v>2</v>
      </c>
      <c r="AB20" s="554">
        <f t="shared" si="5"/>
        <v>2</v>
      </c>
      <c r="AC20" s="554">
        <f t="shared" si="5"/>
        <v>2</v>
      </c>
      <c r="AD20" s="554">
        <f t="shared" si="5"/>
        <v>2</v>
      </c>
      <c r="AE20" s="554">
        <f t="shared" si="5"/>
        <v>2</v>
      </c>
      <c r="AF20" s="554">
        <f t="shared" si="5"/>
        <v>2</v>
      </c>
      <c r="AG20" s="554">
        <f t="shared" si="5"/>
        <v>2</v>
      </c>
      <c r="AH20" s="554">
        <f t="shared" si="5"/>
        <v>2</v>
      </c>
      <c r="AI20" s="554">
        <f t="shared" si="5"/>
        <v>2</v>
      </c>
      <c r="AJ20" s="554">
        <f t="shared" si="5"/>
        <v>2</v>
      </c>
      <c r="AK20" s="554">
        <f t="shared" si="5"/>
        <v>2</v>
      </c>
      <c r="AL20" s="554">
        <f t="shared" si="5"/>
        <v>2</v>
      </c>
      <c r="AM20" s="554">
        <f t="shared" si="5"/>
        <v>2</v>
      </c>
      <c r="AN20" s="554">
        <f t="shared" si="5"/>
        <v>2</v>
      </c>
      <c r="AO20" s="554">
        <f t="shared" si="5"/>
        <v>2</v>
      </c>
      <c r="AP20" s="554">
        <f t="shared" si="6"/>
        <v>2</v>
      </c>
      <c r="AQ20" s="429" t="str">
        <f t="shared" si="8"/>
        <v>Vendido</v>
      </c>
      <c r="AR20" s="447">
        <f>_xlfn.XLOOKUP(C20,'BOULEVARD 5'!B:B,'BOULEVARD 5'!AU:AU)</f>
        <v>0.9740200286123033</v>
      </c>
    </row>
    <row r="21" spans="1:44" s="429" customFormat="1" ht="13.9" customHeight="1" x14ac:dyDescent="0.25">
      <c r="A21" s="429" t="s">
        <v>388</v>
      </c>
      <c r="B21" s="678"/>
      <c r="C21" s="477">
        <v>113</v>
      </c>
      <c r="D21" s="436" t="s">
        <v>385</v>
      </c>
      <c r="E21" s="641" t="s">
        <v>386</v>
      </c>
      <c r="F21" s="436" t="str">
        <f>IF('BOULEVARD 5'!E19="","",'BOULEVARD 5'!E19)</f>
        <v>Antonio Rada</v>
      </c>
      <c r="G21" s="429" t="str">
        <f>IF('BOULEVARD 5'!F19="","",'BOULEVARD 5'!F19)</f>
        <v>Rodrigo Rodas Pazos</v>
      </c>
      <c r="H21" s="473">
        <f>IF('BOULEVARD 5'!G19="","",'BOULEVARD 5'!G19)</f>
        <v>45616</v>
      </c>
      <c r="I21" s="554" t="str">
        <f t="shared" si="7"/>
        <v/>
      </c>
      <c r="J21" s="554" t="str">
        <f t="shared" si="4"/>
        <v/>
      </c>
      <c r="K21" s="554" t="str">
        <f t="shared" si="4"/>
        <v/>
      </c>
      <c r="L21" s="554" t="str">
        <f t="shared" si="4"/>
        <v/>
      </c>
      <c r="M21" s="554" t="str">
        <f t="shared" si="4"/>
        <v/>
      </c>
      <c r="N21" s="554" t="str">
        <f t="shared" si="4"/>
        <v/>
      </c>
      <c r="O21" s="554" t="str">
        <f t="shared" si="4"/>
        <v/>
      </c>
      <c r="P21" s="554" t="str">
        <f t="shared" si="4"/>
        <v/>
      </c>
      <c r="Q21" s="554" t="str">
        <f t="shared" si="4"/>
        <v/>
      </c>
      <c r="R21" s="554" t="str">
        <f t="shared" si="4"/>
        <v/>
      </c>
      <c r="S21" s="554" t="str">
        <f t="shared" si="4"/>
        <v/>
      </c>
      <c r="T21" s="554" t="str">
        <f t="shared" si="4"/>
        <v/>
      </c>
      <c r="U21" s="554" t="str">
        <f t="shared" si="4"/>
        <v/>
      </c>
      <c r="V21" s="554" t="str">
        <f t="shared" si="4"/>
        <v/>
      </c>
      <c r="W21" s="554" t="str">
        <f t="shared" si="4"/>
        <v/>
      </c>
      <c r="X21" s="554" t="str">
        <f t="shared" si="4"/>
        <v/>
      </c>
      <c r="Y21" s="554" t="str">
        <f t="shared" si="4"/>
        <v/>
      </c>
      <c r="Z21" s="554" t="str">
        <f t="shared" si="5"/>
        <v/>
      </c>
      <c r="AA21" s="554" t="str">
        <f t="shared" si="5"/>
        <v/>
      </c>
      <c r="AB21" s="554" t="str">
        <f t="shared" si="5"/>
        <v/>
      </c>
      <c r="AC21" s="554">
        <f t="shared" si="5"/>
        <v>1</v>
      </c>
      <c r="AD21" s="554">
        <f t="shared" si="5"/>
        <v>2</v>
      </c>
      <c r="AE21" s="554">
        <f t="shared" si="5"/>
        <v>2</v>
      </c>
      <c r="AF21" s="554">
        <f t="shared" si="5"/>
        <v>2</v>
      </c>
      <c r="AG21" s="554">
        <f t="shared" si="5"/>
        <v>2</v>
      </c>
      <c r="AH21" s="554">
        <f t="shared" si="5"/>
        <v>2</v>
      </c>
      <c r="AI21" s="554">
        <f t="shared" si="5"/>
        <v>2</v>
      </c>
      <c r="AJ21" s="554">
        <f t="shared" si="5"/>
        <v>2</v>
      </c>
      <c r="AK21" s="554">
        <f t="shared" si="5"/>
        <v>2</v>
      </c>
      <c r="AL21" s="554">
        <f t="shared" si="5"/>
        <v>2</v>
      </c>
      <c r="AM21" s="554">
        <f t="shared" si="5"/>
        <v>2</v>
      </c>
      <c r="AN21" s="554">
        <f t="shared" si="5"/>
        <v>2</v>
      </c>
      <c r="AO21" s="554">
        <f t="shared" si="5"/>
        <v>2</v>
      </c>
      <c r="AP21" s="554">
        <f t="shared" si="6"/>
        <v>2</v>
      </c>
      <c r="AQ21" s="429" t="str">
        <f t="shared" si="8"/>
        <v>Vendido</v>
      </c>
      <c r="AR21" s="447">
        <f>_xlfn.XLOOKUP(C21,'BOULEVARD 5'!B:B,'BOULEVARD 5'!AU:AU)</f>
        <v>1</v>
      </c>
    </row>
    <row r="22" spans="1:44" s="429" customFormat="1" ht="13.9" customHeight="1" x14ac:dyDescent="0.25">
      <c r="B22" s="678" t="str">
        <f>IF('B5-Status cobranza'!A22&gt;0,'B5-Status cobranza'!A22,"")</f>
        <v>F&amp;F</v>
      </c>
      <c r="C22" s="475">
        <v>114</v>
      </c>
      <c r="D22" s="475" t="s">
        <v>389</v>
      </c>
      <c r="E22" s="475"/>
      <c r="F22" s="475" t="str">
        <f>IF('BOULEVARD 5'!E20="","",'BOULEVARD 5'!E20)</f>
        <v>Antonio Rada</v>
      </c>
      <c r="G22" s="476" t="str">
        <f>IF('BOULEVARD 5'!F20="","",'BOULEVARD 5'!F20)</f>
        <v>Mauricio Arimany Monzon</v>
      </c>
      <c r="H22" s="473">
        <f>IF('BOULEVARD 5'!G20="","",'BOULEVARD 5'!G20)</f>
        <v>45012</v>
      </c>
      <c r="I22" s="554" t="str">
        <f t="shared" si="7"/>
        <v/>
      </c>
      <c r="J22" s="554" t="str">
        <f t="shared" si="4"/>
        <v/>
      </c>
      <c r="K22" s="554" t="str">
        <f t="shared" si="4"/>
        <v/>
      </c>
      <c r="L22" s="554" t="str">
        <f t="shared" si="4"/>
        <v/>
      </c>
      <c r="M22" s="554" t="str">
        <f t="shared" si="4"/>
        <v/>
      </c>
      <c r="N22" s="554" t="str">
        <f t="shared" si="4"/>
        <v/>
      </c>
      <c r="O22" s="554" t="str">
        <f t="shared" si="4"/>
        <v/>
      </c>
      <c r="P22" s="554" t="str">
        <f t="shared" si="4"/>
        <v/>
      </c>
      <c r="Q22" s="554" t="str">
        <f t="shared" si="4"/>
        <v/>
      </c>
      <c r="R22" s="554" t="str">
        <f t="shared" si="4"/>
        <v/>
      </c>
      <c r="S22" s="554" t="str">
        <f t="shared" si="4"/>
        <v/>
      </c>
      <c r="T22" s="554" t="str">
        <f t="shared" si="4"/>
        <v/>
      </c>
      <c r="U22" s="554" t="str">
        <f t="shared" si="4"/>
        <v/>
      </c>
      <c r="V22" s="554" t="str">
        <f t="shared" si="4"/>
        <v/>
      </c>
      <c r="W22" s="554" t="str">
        <f t="shared" si="4"/>
        <v/>
      </c>
      <c r="X22" s="554" t="str">
        <f t="shared" si="4"/>
        <v/>
      </c>
      <c r="Y22" s="554" t="str">
        <f t="shared" si="4"/>
        <v/>
      </c>
      <c r="Z22" s="554" t="str">
        <f t="shared" si="5"/>
        <v/>
      </c>
      <c r="AA22" s="554" t="str">
        <f t="shared" si="5"/>
        <v/>
      </c>
      <c r="AB22" s="554" t="str">
        <f t="shared" si="5"/>
        <v/>
      </c>
      <c r="AC22" s="554" t="str">
        <f t="shared" si="5"/>
        <v/>
      </c>
      <c r="AD22" s="554" t="str">
        <f t="shared" si="5"/>
        <v/>
      </c>
      <c r="AE22" s="554" t="str">
        <f t="shared" si="5"/>
        <v/>
      </c>
      <c r="AF22" s="554" t="str">
        <f t="shared" si="5"/>
        <v/>
      </c>
      <c r="AG22" s="554" t="str">
        <f t="shared" si="5"/>
        <v/>
      </c>
      <c r="AH22" s="554" t="str">
        <f t="shared" si="5"/>
        <v/>
      </c>
      <c r="AI22" s="554" t="str">
        <f t="shared" si="5"/>
        <v/>
      </c>
      <c r="AJ22" s="554" t="str">
        <f t="shared" si="5"/>
        <v/>
      </c>
      <c r="AK22" s="554" t="str">
        <f t="shared" si="5"/>
        <v/>
      </c>
      <c r="AL22" s="554" t="str">
        <f t="shared" si="5"/>
        <v/>
      </c>
      <c r="AM22" s="554" t="str">
        <f t="shared" si="5"/>
        <v/>
      </c>
      <c r="AN22" s="554" t="str">
        <f t="shared" si="5"/>
        <v/>
      </c>
      <c r="AO22" s="554" t="str">
        <f t="shared" si="5"/>
        <v/>
      </c>
      <c r="AP22" s="554" t="str">
        <f t="shared" si="6"/>
        <v/>
      </c>
      <c r="AQ22" s="429" t="str">
        <f t="shared" ref="AQ22:AQ23" si="9">IF(H22="","No Vendido","Vendido")</f>
        <v>Vendido</v>
      </c>
      <c r="AR22" s="447">
        <f>_xlfn.XLOOKUP(C22,'BOULEVARD 5'!B:B,'BOULEVARD 5'!AU:AU)</f>
        <v>0.65091789601788275</v>
      </c>
    </row>
    <row r="23" spans="1:44" s="429" customFormat="1" ht="13.9" customHeight="1" x14ac:dyDescent="0.25">
      <c r="B23" s="678" t="str">
        <f>IF('B5-Status cobranza'!A23&gt;0,'B5-Status cobranza'!A23,"")</f>
        <v/>
      </c>
      <c r="C23" s="436">
        <v>201</v>
      </c>
      <c r="D23" s="436" t="s">
        <v>391</v>
      </c>
      <c r="E23" s="436"/>
      <c r="F23" s="436" t="str">
        <f>IF('BOULEVARD 5'!E21="","",'BOULEVARD 5'!E21)</f>
        <v/>
      </c>
      <c r="G23" s="429" t="str">
        <f>IF('BOULEVARD 5'!F21="","",'BOULEVARD 5'!F21)</f>
        <v/>
      </c>
      <c r="H23" s="473" t="str">
        <f>IF('BOULEVARD 5'!G21="","",'BOULEVARD 5'!G21)</f>
        <v/>
      </c>
      <c r="I23" s="554" t="str">
        <f t="shared" si="7"/>
        <v/>
      </c>
      <c r="J23" s="554" t="str">
        <f t="shared" si="4"/>
        <v/>
      </c>
      <c r="K23" s="554" t="str">
        <f t="shared" si="4"/>
        <v/>
      </c>
      <c r="L23" s="554" t="str">
        <f t="shared" si="4"/>
        <v/>
      </c>
      <c r="M23" s="554" t="str">
        <f t="shared" si="4"/>
        <v/>
      </c>
      <c r="N23" s="554" t="str">
        <f t="shared" si="4"/>
        <v/>
      </c>
      <c r="O23" s="554" t="str">
        <f t="shared" si="4"/>
        <v/>
      </c>
      <c r="P23" s="554" t="str">
        <f t="shared" si="4"/>
        <v/>
      </c>
      <c r="Q23" s="554" t="str">
        <f t="shared" si="4"/>
        <v/>
      </c>
      <c r="R23" s="554" t="str">
        <f t="shared" si="4"/>
        <v/>
      </c>
      <c r="S23" s="554" t="str">
        <f t="shared" si="4"/>
        <v/>
      </c>
      <c r="T23" s="554" t="str">
        <f t="shared" si="4"/>
        <v/>
      </c>
      <c r="U23" s="554" t="str">
        <f t="shared" si="4"/>
        <v/>
      </c>
      <c r="V23" s="554" t="str">
        <f t="shared" si="4"/>
        <v/>
      </c>
      <c r="W23" s="554" t="str">
        <f t="shared" si="4"/>
        <v/>
      </c>
      <c r="X23" s="554" t="str">
        <f t="shared" si="4"/>
        <v/>
      </c>
      <c r="Y23" s="554" t="str">
        <f t="shared" si="4"/>
        <v/>
      </c>
      <c r="Z23" s="554" t="str">
        <f t="shared" si="5"/>
        <v/>
      </c>
      <c r="AA23" s="554" t="str">
        <f t="shared" si="5"/>
        <v/>
      </c>
      <c r="AB23" s="554" t="str">
        <f t="shared" si="5"/>
        <v/>
      </c>
      <c r="AC23" s="554" t="str">
        <f t="shared" si="5"/>
        <v/>
      </c>
      <c r="AD23" s="554" t="str">
        <f t="shared" si="5"/>
        <v/>
      </c>
      <c r="AE23" s="554" t="str">
        <f t="shared" si="5"/>
        <v/>
      </c>
      <c r="AF23" s="554" t="str">
        <f t="shared" si="5"/>
        <v/>
      </c>
      <c r="AG23" s="554" t="str">
        <f t="shared" si="5"/>
        <v/>
      </c>
      <c r="AH23" s="554" t="str">
        <f t="shared" si="5"/>
        <v/>
      </c>
      <c r="AI23" s="554" t="str">
        <f t="shared" si="5"/>
        <v/>
      </c>
      <c r="AJ23" s="554" t="str">
        <f t="shared" si="5"/>
        <v/>
      </c>
      <c r="AK23" s="554" t="str">
        <f t="shared" si="5"/>
        <v/>
      </c>
      <c r="AL23" s="554" t="str">
        <f t="shared" si="5"/>
        <v/>
      </c>
      <c r="AM23" s="554" t="str">
        <f t="shared" si="5"/>
        <v/>
      </c>
      <c r="AN23" s="554" t="str">
        <f t="shared" si="5"/>
        <v/>
      </c>
      <c r="AO23" s="554" t="str">
        <f t="shared" si="5"/>
        <v/>
      </c>
      <c r="AP23" s="554" t="str">
        <f t="shared" si="6"/>
        <v/>
      </c>
      <c r="AQ23" s="429" t="str">
        <f t="shared" si="9"/>
        <v>No Vendido</v>
      </c>
      <c r="AR23" s="447">
        <f>_xlfn.XLOOKUP(C23,'BOULEVARD 5'!B:B,'BOULEVARD 5'!AU:AU)</f>
        <v>0</v>
      </c>
    </row>
    <row r="24" spans="1:44" s="429" customFormat="1" ht="13.9" customHeight="1" x14ac:dyDescent="0.25">
      <c r="B24" s="678" t="str">
        <f>IF('B5-Status cobranza'!A24&gt;0,'B5-Status cobranza'!A24,"")</f>
        <v/>
      </c>
      <c r="C24" s="436">
        <v>202</v>
      </c>
      <c r="D24" s="436" t="s">
        <v>194</v>
      </c>
      <c r="E24" s="436"/>
      <c r="F24" s="436" t="str">
        <f>IF('BOULEVARD 5'!E22="","",'BOULEVARD 5'!E22)</f>
        <v>Antonio Rada</v>
      </c>
      <c r="G24" s="429" t="str">
        <f>IF('BOULEVARD 5'!F22="","",'BOULEVARD 5'!F22)</f>
        <v>Bella Rosana Chaveque Gonzalez</v>
      </c>
      <c r="H24" s="473">
        <f>IF('BOULEVARD 5'!G22="","",'BOULEVARD 5'!G22)</f>
        <v>45736</v>
      </c>
      <c r="I24" s="554" t="str">
        <f t="shared" si="7"/>
        <v/>
      </c>
      <c r="J24" s="554" t="str">
        <f t="shared" si="4"/>
        <v/>
      </c>
      <c r="K24" s="554" t="str">
        <f t="shared" si="4"/>
        <v/>
      </c>
      <c r="L24" s="554" t="str">
        <f t="shared" si="4"/>
        <v/>
      </c>
      <c r="M24" s="554" t="str">
        <f t="shared" si="4"/>
        <v/>
      </c>
      <c r="N24" s="554" t="str">
        <f t="shared" si="4"/>
        <v/>
      </c>
      <c r="O24" s="554" t="str">
        <f t="shared" si="4"/>
        <v/>
      </c>
      <c r="P24" s="554" t="str">
        <f t="shared" si="4"/>
        <v/>
      </c>
      <c r="Q24" s="554" t="str">
        <f t="shared" si="4"/>
        <v/>
      </c>
      <c r="R24" s="554" t="str">
        <f t="shared" si="4"/>
        <v/>
      </c>
      <c r="S24" s="554" t="str">
        <f t="shared" si="4"/>
        <v/>
      </c>
      <c r="T24" s="554" t="str">
        <f t="shared" si="4"/>
        <v/>
      </c>
      <c r="U24" s="554" t="str">
        <f t="shared" si="4"/>
        <v/>
      </c>
      <c r="V24" s="554" t="str">
        <f t="shared" si="4"/>
        <v/>
      </c>
      <c r="W24" s="554" t="str">
        <f t="shared" si="4"/>
        <v/>
      </c>
      <c r="X24" s="554" t="str">
        <f t="shared" si="4"/>
        <v/>
      </c>
      <c r="Y24" s="554" t="str">
        <f t="shared" ref="Y24:AN39" si="10">IF(OR($B24="F&amp;F",$B24="CE",$H24=""),"",IF(TEXT(Y$8,"yyyymm")=TEXT($H24,"yyyymm"),1,IF(TEXT(Y$8,"yyyymm")&gt;TEXT($H24,"yyyymm"),2,IF(Y$8&lt;$H24,"",0))))</f>
        <v/>
      </c>
      <c r="Z24" s="554" t="str">
        <f t="shared" si="5"/>
        <v/>
      </c>
      <c r="AA24" s="554" t="str">
        <f t="shared" si="5"/>
        <v/>
      </c>
      <c r="AB24" s="554" t="str">
        <f t="shared" si="5"/>
        <v/>
      </c>
      <c r="AC24" s="554" t="str">
        <f t="shared" si="5"/>
        <v/>
      </c>
      <c r="AD24" s="554" t="str">
        <f t="shared" si="5"/>
        <v/>
      </c>
      <c r="AE24" s="554" t="str">
        <f t="shared" si="5"/>
        <v/>
      </c>
      <c r="AF24" s="554" t="str">
        <f t="shared" si="5"/>
        <v/>
      </c>
      <c r="AG24" s="554">
        <f t="shared" si="5"/>
        <v>1</v>
      </c>
      <c r="AH24" s="554">
        <f t="shared" si="5"/>
        <v>2</v>
      </c>
      <c r="AI24" s="554">
        <f t="shared" si="5"/>
        <v>2</v>
      </c>
      <c r="AJ24" s="554">
        <f t="shared" si="5"/>
        <v>2</v>
      </c>
      <c r="AK24" s="554">
        <f t="shared" si="5"/>
        <v>2</v>
      </c>
      <c r="AL24" s="554">
        <f t="shared" si="5"/>
        <v>2</v>
      </c>
      <c r="AM24" s="554">
        <f t="shared" si="5"/>
        <v>2</v>
      </c>
      <c r="AN24" s="554">
        <f t="shared" si="5"/>
        <v>2</v>
      </c>
      <c r="AO24" s="554">
        <f t="shared" ref="AO24:AO43" si="11">IF(OR($B24="F&amp;F",$B24="CE",$H24=""),"",IF(TEXT(AO$8,"yyyymm")=TEXT($H24,"yyyymm"),1,IF(TEXT(AO$8,"yyyymm")&gt;TEXT($H24,"yyyymm"),2,IF(AO$8&lt;$H24,"",0))))</f>
        <v>2</v>
      </c>
      <c r="AP24" s="554">
        <f t="shared" si="6"/>
        <v>2</v>
      </c>
      <c r="AQ24" s="429" t="str">
        <f t="shared" si="8"/>
        <v>Vendido</v>
      </c>
      <c r="AR24" s="447">
        <f>_xlfn.XLOOKUP(C24,'BOULEVARD 5'!B:B,'BOULEVARD 5'!AU:AU)</f>
        <v>0.75625694858337567</v>
      </c>
    </row>
    <row r="25" spans="1:44" s="429" customFormat="1" ht="13.9" customHeight="1" x14ac:dyDescent="0.25">
      <c r="B25" s="678" t="str">
        <f>IF('B5-Status cobranza'!A25&gt;0,'B5-Status cobranza'!A25,"")</f>
        <v/>
      </c>
      <c r="C25" s="436">
        <v>203</v>
      </c>
      <c r="D25" s="436" t="s">
        <v>393</v>
      </c>
      <c r="E25" s="436"/>
      <c r="F25" s="436" t="str">
        <f>IF('BOULEVARD 5'!E23="","",'BOULEVARD 5'!E23)</f>
        <v/>
      </c>
      <c r="G25" s="429" t="str">
        <f>IF('BOULEVARD 5'!F23="","",'BOULEVARD 5'!F23)</f>
        <v/>
      </c>
      <c r="H25" s="473" t="str">
        <f>IF('BOULEVARD 5'!G23="","",'BOULEVARD 5'!G23)</f>
        <v/>
      </c>
      <c r="I25" s="554" t="str">
        <f t="shared" si="7"/>
        <v/>
      </c>
      <c r="J25" s="554" t="str">
        <f t="shared" si="7"/>
        <v/>
      </c>
      <c r="K25" s="554" t="str">
        <f t="shared" si="7"/>
        <v/>
      </c>
      <c r="L25" s="554" t="str">
        <f t="shared" si="7"/>
        <v/>
      </c>
      <c r="M25" s="554" t="str">
        <f t="shared" si="7"/>
        <v/>
      </c>
      <c r="N25" s="554" t="str">
        <f t="shared" si="7"/>
        <v/>
      </c>
      <c r="O25" s="554" t="str">
        <f t="shared" si="7"/>
        <v/>
      </c>
      <c r="P25" s="554" t="str">
        <f t="shared" si="7"/>
        <v/>
      </c>
      <c r="Q25" s="554" t="str">
        <f t="shared" si="7"/>
        <v/>
      </c>
      <c r="R25" s="554" t="str">
        <f t="shared" si="7"/>
        <v/>
      </c>
      <c r="S25" s="554" t="str">
        <f t="shared" si="7"/>
        <v/>
      </c>
      <c r="T25" s="554" t="str">
        <f t="shared" si="7"/>
        <v/>
      </c>
      <c r="U25" s="554" t="str">
        <f t="shared" si="7"/>
        <v/>
      </c>
      <c r="V25" s="554" t="str">
        <f t="shared" si="7"/>
        <v/>
      </c>
      <c r="W25" s="554" t="str">
        <f t="shared" si="7"/>
        <v/>
      </c>
      <c r="X25" s="554" t="str">
        <f t="shared" si="7"/>
        <v/>
      </c>
      <c r="Y25" s="554" t="str">
        <f t="shared" si="10"/>
        <v/>
      </c>
      <c r="Z25" s="554" t="str">
        <f t="shared" si="10"/>
        <v/>
      </c>
      <c r="AA25" s="554" t="str">
        <f t="shared" si="10"/>
        <v/>
      </c>
      <c r="AB25" s="554" t="str">
        <f t="shared" si="10"/>
        <v/>
      </c>
      <c r="AC25" s="554" t="str">
        <f t="shared" si="10"/>
        <v/>
      </c>
      <c r="AD25" s="554" t="str">
        <f t="shared" si="10"/>
        <v/>
      </c>
      <c r="AE25" s="554" t="str">
        <f t="shared" si="10"/>
        <v/>
      </c>
      <c r="AF25" s="554" t="str">
        <f t="shared" si="10"/>
        <v/>
      </c>
      <c r="AG25" s="554" t="str">
        <f t="shared" si="10"/>
        <v/>
      </c>
      <c r="AH25" s="554" t="str">
        <f t="shared" si="10"/>
        <v/>
      </c>
      <c r="AI25" s="554" t="str">
        <f t="shared" si="10"/>
        <v/>
      </c>
      <c r="AJ25" s="554" t="str">
        <f t="shared" si="10"/>
        <v/>
      </c>
      <c r="AK25" s="554" t="str">
        <f t="shared" si="10"/>
        <v/>
      </c>
      <c r="AL25" s="554" t="str">
        <f t="shared" si="10"/>
        <v/>
      </c>
      <c r="AM25" s="554" t="str">
        <f t="shared" si="10"/>
        <v/>
      </c>
      <c r="AN25" s="554" t="str">
        <f t="shared" si="10"/>
        <v/>
      </c>
      <c r="AO25" s="554" t="str">
        <f t="shared" si="11"/>
        <v/>
      </c>
      <c r="AP25" s="554" t="str">
        <f t="shared" si="6"/>
        <v/>
      </c>
      <c r="AQ25" s="429" t="str">
        <f t="shared" si="8"/>
        <v>No Vendido</v>
      </c>
      <c r="AR25" s="447">
        <f>_xlfn.XLOOKUP(C25,'BOULEVARD 5'!B:B,'BOULEVARD 5'!AU:AU)</f>
        <v>0</v>
      </c>
    </row>
    <row r="26" spans="1:44" s="429" customFormat="1" ht="13.9" customHeight="1" x14ac:dyDescent="0.25">
      <c r="B26" s="678" t="str">
        <f>IF('B5-Status cobranza'!A26&gt;0,'B5-Status cobranza'!A26,"")</f>
        <v/>
      </c>
      <c r="C26" s="436">
        <v>204</v>
      </c>
      <c r="D26" s="436" t="s">
        <v>172</v>
      </c>
      <c r="E26" s="436"/>
      <c r="F26" s="436" t="str">
        <f>IF('BOULEVARD 5'!E24="","",'BOULEVARD 5'!E24)</f>
        <v>Antonio Rada</v>
      </c>
      <c r="G26" s="429" t="str">
        <f>IF('BOULEVARD 5'!F24="","",'BOULEVARD 5'!F24)</f>
        <v>Paulette Leslie Wauthion Jimenez</v>
      </c>
      <c r="H26" s="473">
        <f>IF('BOULEVARD 5'!G24="","",'BOULEVARD 5'!G24)</f>
        <v>45596</v>
      </c>
      <c r="I26" s="554" t="str">
        <f t="shared" ref="I26:X41" si="12">IF(OR($B26="F&amp;F",$B26="CE",$H26=""),"",IF(TEXT(I$8,"yyyymm")=TEXT($H26,"yyyymm"),1,IF(TEXT(I$8,"yyyymm")&gt;TEXT($H26,"yyyymm"),2,IF(I$8&lt;$H26,"",0))))</f>
        <v/>
      </c>
      <c r="J26" s="554" t="str">
        <f t="shared" si="12"/>
        <v/>
      </c>
      <c r="K26" s="554" t="str">
        <f t="shared" si="12"/>
        <v/>
      </c>
      <c r="L26" s="554" t="str">
        <f t="shared" si="12"/>
        <v/>
      </c>
      <c r="M26" s="554" t="str">
        <f t="shared" si="12"/>
        <v/>
      </c>
      <c r="N26" s="554" t="str">
        <f t="shared" si="12"/>
        <v/>
      </c>
      <c r="O26" s="554" t="str">
        <f t="shared" si="12"/>
        <v/>
      </c>
      <c r="P26" s="554" t="str">
        <f t="shared" si="12"/>
        <v/>
      </c>
      <c r="Q26" s="554" t="str">
        <f t="shared" si="12"/>
        <v/>
      </c>
      <c r="R26" s="554" t="str">
        <f t="shared" si="12"/>
        <v/>
      </c>
      <c r="S26" s="554" t="str">
        <f t="shared" si="12"/>
        <v/>
      </c>
      <c r="T26" s="554" t="str">
        <f t="shared" si="12"/>
        <v/>
      </c>
      <c r="U26" s="554" t="str">
        <f t="shared" si="12"/>
        <v/>
      </c>
      <c r="V26" s="554" t="str">
        <f t="shared" si="12"/>
        <v/>
      </c>
      <c r="W26" s="554" t="str">
        <f t="shared" si="12"/>
        <v/>
      </c>
      <c r="X26" s="554" t="str">
        <f t="shared" si="12"/>
        <v/>
      </c>
      <c r="Y26" s="554" t="str">
        <f t="shared" si="10"/>
        <v/>
      </c>
      <c r="Z26" s="554" t="str">
        <f t="shared" si="10"/>
        <v/>
      </c>
      <c r="AA26" s="554" t="str">
        <f t="shared" si="10"/>
        <v/>
      </c>
      <c r="AB26" s="554">
        <f t="shared" si="10"/>
        <v>1</v>
      </c>
      <c r="AC26" s="554">
        <f t="shared" si="10"/>
        <v>2</v>
      </c>
      <c r="AD26" s="554">
        <f t="shared" si="10"/>
        <v>2</v>
      </c>
      <c r="AE26" s="554">
        <f t="shared" si="10"/>
        <v>2</v>
      </c>
      <c r="AF26" s="554">
        <f t="shared" si="10"/>
        <v>2</v>
      </c>
      <c r="AG26" s="554">
        <f t="shared" si="10"/>
        <v>2</v>
      </c>
      <c r="AH26" s="554">
        <f t="shared" si="10"/>
        <v>2</v>
      </c>
      <c r="AI26" s="554">
        <f t="shared" si="10"/>
        <v>2</v>
      </c>
      <c r="AJ26" s="554">
        <f t="shared" si="10"/>
        <v>2</v>
      </c>
      <c r="AK26" s="554">
        <f t="shared" si="10"/>
        <v>2</v>
      </c>
      <c r="AL26" s="554">
        <f t="shared" si="10"/>
        <v>2</v>
      </c>
      <c r="AM26" s="554">
        <f t="shared" si="10"/>
        <v>2</v>
      </c>
      <c r="AN26" s="554">
        <f t="shared" si="10"/>
        <v>2</v>
      </c>
      <c r="AO26" s="554">
        <f t="shared" si="11"/>
        <v>2</v>
      </c>
      <c r="AP26" s="554">
        <f t="shared" si="6"/>
        <v>2</v>
      </c>
      <c r="AQ26" s="429" t="str">
        <f t="shared" si="8"/>
        <v>Vendido</v>
      </c>
      <c r="AR26" s="447">
        <f>_xlfn.XLOOKUP(C26,'BOULEVARD 5'!B:B,'BOULEVARD 5'!AU:AU)</f>
        <v>1.1319454697573699</v>
      </c>
    </row>
    <row r="27" spans="1:44" s="429" customFormat="1" ht="13.9" customHeight="1" x14ac:dyDescent="0.25">
      <c r="B27" s="678" t="str">
        <f>IF('B5-Status cobranza'!A27&gt;0,'B5-Status cobranza'!A27,"")</f>
        <v/>
      </c>
      <c r="C27" s="436">
        <v>205</v>
      </c>
      <c r="D27" s="436" t="s">
        <v>395</v>
      </c>
      <c r="E27" s="436"/>
      <c r="F27" s="436" t="str">
        <f>IF('BOULEVARD 5'!E25="","",'BOULEVARD 5'!E25)</f>
        <v>Sofia Paredes</v>
      </c>
      <c r="G27" s="429" t="str">
        <f>IF('BOULEVARD 5'!F25="","",'BOULEVARD 5'!F25)</f>
        <v>Javier Adolfo Hernandez Leon</v>
      </c>
      <c r="H27" s="473">
        <f>IF('BOULEVARD 5'!G25="","",'BOULEVARD 5'!G25)</f>
        <v>45706</v>
      </c>
      <c r="I27" s="554" t="str">
        <f t="shared" si="12"/>
        <v/>
      </c>
      <c r="J27" s="554" t="str">
        <f t="shared" si="12"/>
        <v/>
      </c>
      <c r="K27" s="554" t="str">
        <f t="shared" si="12"/>
        <v/>
      </c>
      <c r="L27" s="554" t="str">
        <f t="shared" si="12"/>
        <v/>
      </c>
      <c r="M27" s="554" t="str">
        <f t="shared" si="12"/>
        <v/>
      </c>
      <c r="N27" s="554" t="str">
        <f t="shared" si="12"/>
        <v/>
      </c>
      <c r="O27" s="554" t="str">
        <f t="shared" si="12"/>
        <v/>
      </c>
      <c r="P27" s="554" t="str">
        <f t="shared" si="12"/>
        <v/>
      </c>
      <c r="Q27" s="554" t="str">
        <f t="shared" si="12"/>
        <v/>
      </c>
      <c r="R27" s="554" t="str">
        <f t="shared" si="12"/>
        <v/>
      </c>
      <c r="S27" s="554" t="str">
        <f t="shared" si="12"/>
        <v/>
      </c>
      <c r="T27" s="554" t="str">
        <f t="shared" si="12"/>
        <v/>
      </c>
      <c r="U27" s="554" t="str">
        <f t="shared" si="12"/>
        <v/>
      </c>
      <c r="V27" s="554" t="str">
        <f t="shared" si="12"/>
        <v/>
      </c>
      <c r="W27" s="554" t="str">
        <f t="shared" si="12"/>
        <v/>
      </c>
      <c r="X27" s="554" t="str">
        <f t="shared" si="12"/>
        <v/>
      </c>
      <c r="Y27" s="554" t="str">
        <f t="shared" si="10"/>
        <v/>
      </c>
      <c r="Z27" s="554" t="str">
        <f t="shared" si="10"/>
        <v/>
      </c>
      <c r="AA27" s="554" t="str">
        <f t="shared" si="10"/>
        <v/>
      </c>
      <c r="AB27" s="554" t="str">
        <f t="shared" si="10"/>
        <v/>
      </c>
      <c r="AC27" s="554" t="str">
        <f t="shared" si="10"/>
        <v/>
      </c>
      <c r="AD27" s="554" t="str">
        <f t="shared" si="10"/>
        <v/>
      </c>
      <c r="AE27" s="554" t="str">
        <f t="shared" si="10"/>
        <v/>
      </c>
      <c r="AF27" s="554">
        <f t="shared" si="10"/>
        <v>1</v>
      </c>
      <c r="AG27" s="554">
        <f t="shared" si="10"/>
        <v>2</v>
      </c>
      <c r="AH27" s="554">
        <f t="shared" si="10"/>
        <v>2</v>
      </c>
      <c r="AI27" s="554">
        <f t="shared" si="10"/>
        <v>2</v>
      </c>
      <c r="AJ27" s="554">
        <f t="shared" si="10"/>
        <v>2</v>
      </c>
      <c r="AK27" s="554">
        <f t="shared" si="10"/>
        <v>2</v>
      </c>
      <c r="AL27" s="554">
        <f t="shared" si="10"/>
        <v>2</v>
      </c>
      <c r="AM27" s="554">
        <f t="shared" si="10"/>
        <v>2</v>
      </c>
      <c r="AN27" s="554">
        <f t="shared" si="10"/>
        <v>2</v>
      </c>
      <c r="AO27" s="554">
        <f t="shared" si="11"/>
        <v>2</v>
      </c>
      <c r="AP27" s="554">
        <f t="shared" si="6"/>
        <v>2</v>
      </c>
      <c r="AQ27" s="429" t="str">
        <f t="shared" si="8"/>
        <v>Vendido</v>
      </c>
      <c r="AR27" s="447">
        <f>_xlfn.XLOOKUP(C27,'BOULEVARD 5'!B:B,'BOULEVARD 5'!AU:AU)</f>
        <v>0.7103617859611997</v>
      </c>
    </row>
    <row r="28" spans="1:44" s="429" customFormat="1" ht="13.9" customHeight="1" x14ac:dyDescent="0.25">
      <c r="B28" s="678" t="str">
        <f>IF('B5-Status cobranza'!A28&gt;0,'B5-Status cobranza'!A28,"")</f>
        <v/>
      </c>
      <c r="C28" s="436">
        <v>206</v>
      </c>
      <c r="D28" s="436" t="s">
        <v>397</v>
      </c>
      <c r="E28" s="436"/>
      <c r="F28" s="436" t="str">
        <f>IF('BOULEVARD 5'!E26="","",'BOULEVARD 5'!E26)</f>
        <v/>
      </c>
      <c r="G28" s="429" t="str">
        <f>IF('BOULEVARD 5'!F26="","",'BOULEVARD 5'!F26)</f>
        <v/>
      </c>
      <c r="H28" s="473" t="str">
        <f>IF('BOULEVARD 5'!G26="","",'BOULEVARD 5'!G26)</f>
        <v/>
      </c>
      <c r="I28" s="554" t="str">
        <f t="shared" si="12"/>
        <v/>
      </c>
      <c r="J28" s="554" t="str">
        <f t="shared" si="12"/>
        <v/>
      </c>
      <c r="K28" s="554" t="str">
        <f t="shared" si="12"/>
        <v/>
      </c>
      <c r="L28" s="554" t="str">
        <f t="shared" si="12"/>
        <v/>
      </c>
      <c r="M28" s="554" t="str">
        <f t="shared" si="12"/>
        <v/>
      </c>
      <c r="N28" s="554" t="str">
        <f t="shared" si="12"/>
        <v/>
      </c>
      <c r="O28" s="554" t="str">
        <f t="shared" si="12"/>
        <v/>
      </c>
      <c r="P28" s="554" t="str">
        <f t="shared" si="12"/>
        <v/>
      </c>
      <c r="Q28" s="554" t="str">
        <f t="shared" si="12"/>
        <v/>
      </c>
      <c r="R28" s="554" t="str">
        <f t="shared" si="12"/>
        <v/>
      </c>
      <c r="S28" s="554" t="str">
        <f t="shared" si="12"/>
        <v/>
      </c>
      <c r="T28" s="554" t="str">
        <f t="shared" si="12"/>
        <v/>
      </c>
      <c r="U28" s="554" t="str">
        <f t="shared" si="12"/>
        <v/>
      </c>
      <c r="V28" s="554" t="str">
        <f t="shared" si="12"/>
        <v/>
      </c>
      <c r="W28" s="554" t="str">
        <f t="shared" si="12"/>
        <v/>
      </c>
      <c r="X28" s="554" t="str">
        <f t="shared" si="12"/>
        <v/>
      </c>
      <c r="Y28" s="554" t="str">
        <f t="shared" si="10"/>
        <v/>
      </c>
      <c r="Z28" s="554" t="str">
        <f t="shared" si="10"/>
        <v/>
      </c>
      <c r="AA28" s="554" t="str">
        <f t="shared" si="10"/>
        <v/>
      </c>
      <c r="AB28" s="554" t="str">
        <f t="shared" si="10"/>
        <v/>
      </c>
      <c r="AC28" s="554" t="str">
        <f t="shared" si="10"/>
        <v/>
      </c>
      <c r="AD28" s="554" t="str">
        <f t="shared" si="10"/>
        <v/>
      </c>
      <c r="AE28" s="554" t="str">
        <f t="shared" si="10"/>
        <v/>
      </c>
      <c r="AF28" s="554" t="str">
        <f t="shared" si="10"/>
        <v/>
      </c>
      <c r="AG28" s="554" t="str">
        <f t="shared" si="10"/>
        <v/>
      </c>
      <c r="AH28" s="554" t="str">
        <f t="shared" si="10"/>
        <v/>
      </c>
      <c r="AI28" s="554" t="str">
        <f t="shared" si="10"/>
        <v/>
      </c>
      <c r="AJ28" s="554" t="str">
        <f t="shared" si="10"/>
        <v/>
      </c>
      <c r="AK28" s="554" t="str">
        <f t="shared" si="10"/>
        <v/>
      </c>
      <c r="AL28" s="554" t="str">
        <f t="shared" si="10"/>
        <v/>
      </c>
      <c r="AM28" s="554" t="str">
        <f t="shared" si="10"/>
        <v/>
      </c>
      <c r="AN28" s="554" t="str">
        <f t="shared" si="10"/>
        <v/>
      </c>
      <c r="AO28" s="554" t="str">
        <f t="shared" si="11"/>
        <v/>
      </c>
      <c r="AP28" s="554" t="str">
        <f t="shared" si="6"/>
        <v/>
      </c>
      <c r="AQ28" s="429" t="str">
        <f t="shared" si="8"/>
        <v>No Vendido</v>
      </c>
      <c r="AR28" s="447">
        <f>_xlfn.XLOOKUP(C28,'BOULEVARD 5'!B:B,'BOULEVARD 5'!AU:AU)</f>
        <v>0</v>
      </c>
    </row>
    <row r="29" spans="1:44" s="429" customFormat="1" ht="13.9" customHeight="1" x14ac:dyDescent="0.25">
      <c r="B29" s="678" t="str">
        <f>IF('B5-Status cobranza'!A29&gt;0,'B5-Status cobranza'!A29,"")</f>
        <v/>
      </c>
      <c r="C29" s="436">
        <v>207</v>
      </c>
      <c r="D29" s="436" t="s">
        <v>398</v>
      </c>
      <c r="E29" s="436"/>
      <c r="F29" s="436" t="str">
        <f>IF('BOULEVARD 5'!E27="","",'BOULEVARD 5'!E27)</f>
        <v>Anahí Cisneros</v>
      </c>
      <c r="G29" s="429" t="str">
        <f>IF('BOULEVARD 5'!F27="","",'BOULEVARD 5'!F27)</f>
        <v/>
      </c>
      <c r="H29" s="473" t="str">
        <f>IF('BOULEVARD 5'!G27="","",'BOULEVARD 5'!G27)</f>
        <v/>
      </c>
      <c r="I29" s="554" t="str">
        <f t="shared" si="12"/>
        <v/>
      </c>
      <c r="J29" s="554" t="str">
        <f t="shared" si="12"/>
        <v/>
      </c>
      <c r="K29" s="554" t="str">
        <f t="shared" si="12"/>
        <v/>
      </c>
      <c r="L29" s="554" t="str">
        <f t="shared" si="12"/>
        <v/>
      </c>
      <c r="M29" s="554" t="str">
        <f t="shared" si="12"/>
        <v/>
      </c>
      <c r="N29" s="554" t="str">
        <f t="shared" si="12"/>
        <v/>
      </c>
      <c r="O29" s="554" t="str">
        <f t="shared" si="12"/>
        <v/>
      </c>
      <c r="P29" s="554" t="str">
        <f t="shared" si="12"/>
        <v/>
      </c>
      <c r="Q29" s="554" t="str">
        <f t="shared" si="12"/>
        <v/>
      </c>
      <c r="R29" s="554" t="str">
        <f t="shared" si="12"/>
        <v/>
      </c>
      <c r="S29" s="554" t="str">
        <f t="shared" si="12"/>
        <v/>
      </c>
      <c r="T29" s="554" t="str">
        <f t="shared" si="12"/>
        <v/>
      </c>
      <c r="U29" s="554" t="str">
        <f t="shared" si="12"/>
        <v/>
      </c>
      <c r="V29" s="554" t="str">
        <f t="shared" si="12"/>
        <v/>
      </c>
      <c r="W29" s="554" t="str">
        <f t="shared" si="12"/>
        <v/>
      </c>
      <c r="X29" s="554" t="str">
        <f t="shared" si="12"/>
        <v/>
      </c>
      <c r="Y29" s="554" t="str">
        <f t="shared" si="10"/>
        <v/>
      </c>
      <c r="Z29" s="554" t="str">
        <f t="shared" si="10"/>
        <v/>
      </c>
      <c r="AA29" s="554" t="str">
        <f t="shared" si="10"/>
        <v/>
      </c>
      <c r="AB29" s="554" t="str">
        <f t="shared" si="10"/>
        <v/>
      </c>
      <c r="AC29" s="554" t="str">
        <f t="shared" si="10"/>
        <v/>
      </c>
      <c r="AD29" s="554" t="str">
        <f t="shared" si="10"/>
        <v/>
      </c>
      <c r="AE29" s="554" t="str">
        <f t="shared" si="10"/>
        <v/>
      </c>
      <c r="AF29" s="554" t="str">
        <f t="shared" si="10"/>
        <v/>
      </c>
      <c r="AG29" s="554" t="str">
        <f t="shared" si="10"/>
        <v/>
      </c>
      <c r="AH29" s="554" t="str">
        <f t="shared" si="10"/>
        <v/>
      </c>
      <c r="AI29" s="554" t="str">
        <f t="shared" si="10"/>
        <v/>
      </c>
      <c r="AJ29" s="554" t="str">
        <f t="shared" si="10"/>
        <v/>
      </c>
      <c r="AK29" s="554" t="str">
        <f t="shared" si="10"/>
        <v/>
      </c>
      <c r="AL29" s="554" t="str">
        <f t="shared" si="10"/>
        <v/>
      </c>
      <c r="AM29" s="554" t="str">
        <f t="shared" si="10"/>
        <v/>
      </c>
      <c r="AN29" s="554" t="str">
        <f t="shared" si="10"/>
        <v/>
      </c>
      <c r="AO29" s="554" t="str">
        <f t="shared" si="11"/>
        <v/>
      </c>
      <c r="AP29" s="554" t="str">
        <f t="shared" si="6"/>
        <v/>
      </c>
      <c r="AQ29" s="429" t="str">
        <f t="shared" si="8"/>
        <v>No Vendido</v>
      </c>
      <c r="AR29" s="447">
        <f>_xlfn.XLOOKUP(C29,'BOULEVARD 5'!B:B,'BOULEVARD 5'!AU:AU)</f>
        <v>0</v>
      </c>
    </row>
    <row r="30" spans="1:44" s="429" customFormat="1" ht="13.9" customHeight="1" x14ac:dyDescent="0.25">
      <c r="B30" s="678" t="str">
        <f>IF('B5-Status cobranza'!A30&gt;0,'B5-Status cobranza'!A30,"")</f>
        <v/>
      </c>
      <c r="C30" s="436">
        <v>208</v>
      </c>
      <c r="D30" s="436" t="s">
        <v>399</v>
      </c>
      <c r="E30" s="436"/>
      <c r="F30" s="436" t="str">
        <f>IF('BOULEVARD 5'!E28="","",'BOULEVARD 5'!E28)</f>
        <v/>
      </c>
      <c r="G30" s="429" t="str">
        <f>IF('BOULEVARD 5'!F28="","",'BOULEVARD 5'!F28)</f>
        <v/>
      </c>
      <c r="H30" s="473" t="str">
        <f>IF('BOULEVARD 5'!G28="","",'BOULEVARD 5'!G28)</f>
        <v/>
      </c>
      <c r="I30" s="554" t="str">
        <f t="shared" si="12"/>
        <v/>
      </c>
      <c r="J30" s="554" t="str">
        <f t="shared" si="12"/>
        <v/>
      </c>
      <c r="K30" s="554" t="str">
        <f t="shared" si="12"/>
        <v/>
      </c>
      <c r="L30" s="554" t="str">
        <f t="shared" si="12"/>
        <v/>
      </c>
      <c r="M30" s="554" t="str">
        <f t="shared" si="12"/>
        <v/>
      </c>
      <c r="N30" s="554" t="str">
        <f t="shared" si="12"/>
        <v/>
      </c>
      <c r="O30" s="554" t="str">
        <f t="shared" si="12"/>
        <v/>
      </c>
      <c r="P30" s="554" t="str">
        <f t="shared" si="12"/>
        <v/>
      </c>
      <c r="Q30" s="554" t="str">
        <f t="shared" si="12"/>
        <v/>
      </c>
      <c r="R30" s="554" t="str">
        <f t="shared" si="12"/>
        <v/>
      </c>
      <c r="S30" s="554" t="str">
        <f t="shared" si="12"/>
        <v/>
      </c>
      <c r="T30" s="554" t="str">
        <f t="shared" si="12"/>
        <v/>
      </c>
      <c r="U30" s="554" t="str">
        <f t="shared" si="12"/>
        <v/>
      </c>
      <c r="V30" s="554" t="str">
        <f t="shared" si="12"/>
        <v/>
      </c>
      <c r="W30" s="554" t="str">
        <f t="shared" si="12"/>
        <v/>
      </c>
      <c r="X30" s="554" t="str">
        <f t="shared" si="12"/>
        <v/>
      </c>
      <c r="Y30" s="554" t="str">
        <f t="shared" si="10"/>
        <v/>
      </c>
      <c r="Z30" s="554" t="str">
        <f t="shared" si="10"/>
        <v/>
      </c>
      <c r="AA30" s="554" t="str">
        <f t="shared" si="10"/>
        <v/>
      </c>
      <c r="AB30" s="554" t="str">
        <f t="shared" si="10"/>
        <v/>
      </c>
      <c r="AC30" s="554" t="str">
        <f t="shared" si="10"/>
        <v/>
      </c>
      <c r="AD30" s="554" t="str">
        <f t="shared" si="10"/>
        <v/>
      </c>
      <c r="AE30" s="554" t="str">
        <f t="shared" si="10"/>
        <v/>
      </c>
      <c r="AF30" s="554" t="str">
        <f t="shared" si="10"/>
        <v/>
      </c>
      <c r="AG30" s="554" t="str">
        <f t="shared" si="10"/>
        <v/>
      </c>
      <c r="AH30" s="554" t="str">
        <f t="shared" si="10"/>
        <v/>
      </c>
      <c r="AI30" s="554" t="str">
        <f t="shared" si="10"/>
        <v/>
      </c>
      <c r="AJ30" s="554" t="str">
        <f t="shared" si="10"/>
        <v/>
      </c>
      <c r="AK30" s="554" t="str">
        <f t="shared" si="10"/>
        <v/>
      </c>
      <c r="AL30" s="554" t="str">
        <f t="shared" si="10"/>
        <v/>
      </c>
      <c r="AM30" s="554" t="str">
        <f t="shared" si="10"/>
        <v/>
      </c>
      <c r="AN30" s="554" t="str">
        <f t="shared" si="10"/>
        <v/>
      </c>
      <c r="AO30" s="554" t="str">
        <f t="shared" si="11"/>
        <v/>
      </c>
      <c r="AP30" s="554" t="str">
        <f t="shared" si="6"/>
        <v/>
      </c>
      <c r="AQ30" s="429" t="str">
        <f t="shared" si="8"/>
        <v>No Vendido</v>
      </c>
      <c r="AR30" s="447">
        <f>_xlfn.XLOOKUP(C30,'BOULEVARD 5'!B:B,'BOULEVARD 5'!AU:AU)</f>
        <v>0</v>
      </c>
    </row>
    <row r="31" spans="1:44" s="429" customFormat="1" ht="13.9" customHeight="1" x14ac:dyDescent="0.25">
      <c r="A31" s="429" t="s">
        <v>388</v>
      </c>
      <c r="B31" s="678"/>
      <c r="C31" s="436">
        <v>209</v>
      </c>
      <c r="D31" s="436" t="s">
        <v>400</v>
      </c>
      <c r="E31" s="641" t="s">
        <v>386</v>
      </c>
      <c r="F31" s="436" t="str">
        <f>IF('BOULEVARD 5'!E29="","",'BOULEVARD 5'!E29)</f>
        <v>Antonio Rada</v>
      </c>
      <c r="G31" s="429" t="str">
        <f>IF('BOULEVARD 5'!F29="","",'BOULEVARD 5'!F29)</f>
        <v>Igor Alejandro Salazar Zamora</v>
      </c>
      <c r="H31" s="473">
        <f>IF('BOULEVARD 5'!G29="","",'BOULEVARD 5'!G29)</f>
        <v>45838</v>
      </c>
      <c r="I31" s="554" t="str">
        <f t="shared" si="12"/>
        <v/>
      </c>
      <c r="J31" s="554" t="str">
        <f t="shared" si="12"/>
        <v/>
      </c>
      <c r="K31" s="554" t="str">
        <f t="shared" si="12"/>
        <v/>
      </c>
      <c r="L31" s="554" t="str">
        <f t="shared" si="12"/>
        <v/>
      </c>
      <c r="M31" s="554" t="str">
        <f t="shared" si="12"/>
        <v/>
      </c>
      <c r="N31" s="554" t="str">
        <f t="shared" si="12"/>
        <v/>
      </c>
      <c r="O31" s="554" t="str">
        <f t="shared" si="12"/>
        <v/>
      </c>
      <c r="P31" s="554" t="str">
        <f t="shared" si="12"/>
        <v/>
      </c>
      <c r="Q31" s="554" t="str">
        <f t="shared" si="12"/>
        <v/>
      </c>
      <c r="R31" s="554" t="str">
        <f t="shared" si="12"/>
        <v/>
      </c>
      <c r="S31" s="554" t="str">
        <f t="shared" si="12"/>
        <v/>
      </c>
      <c r="T31" s="554" t="str">
        <f t="shared" si="12"/>
        <v/>
      </c>
      <c r="U31" s="554" t="str">
        <f t="shared" si="12"/>
        <v/>
      </c>
      <c r="V31" s="554" t="str">
        <f t="shared" si="12"/>
        <v/>
      </c>
      <c r="W31" s="554" t="str">
        <f t="shared" si="12"/>
        <v/>
      </c>
      <c r="X31" s="554" t="str">
        <f t="shared" si="12"/>
        <v/>
      </c>
      <c r="Y31" s="554" t="str">
        <f t="shared" si="10"/>
        <v/>
      </c>
      <c r="Z31" s="554" t="str">
        <f t="shared" si="10"/>
        <v/>
      </c>
      <c r="AA31" s="554" t="str">
        <f t="shared" si="10"/>
        <v/>
      </c>
      <c r="AB31" s="554" t="str">
        <f t="shared" si="10"/>
        <v/>
      </c>
      <c r="AC31" s="554" t="str">
        <f t="shared" si="10"/>
        <v/>
      </c>
      <c r="AD31" s="554" t="str">
        <f t="shared" si="10"/>
        <v/>
      </c>
      <c r="AE31" s="554" t="str">
        <f t="shared" si="10"/>
        <v/>
      </c>
      <c r="AF31" s="554" t="str">
        <f t="shared" si="10"/>
        <v/>
      </c>
      <c r="AG31" s="554" t="str">
        <f t="shared" si="10"/>
        <v/>
      </c>
      <c r="AH31" s="554" t="str">
        <f t="shared" si="10"/>
        <v/>
      </c>
      <c r="AI31" s="554" t="str">
        <f t="shared" si="10"/>
        <v/>
      </c>
      <c r="AJ31" s="554">
        <f t="shared" si="10"/>
        <v>1</v>
      </c>
      <c r="AK31" s="554">
        <f t="shared" si="10"/>
        <v>2</v>
      </c>
      <c r="AL31" s="554">
        <f t="shared" si="10"/>
        <v>2</v>
      </c>
      <c r="AM31" s="554">
        <f t="shared" si="10"/>
        <v>2</v>
      </c>
      <c r="AN31" s="554">
        <f t="shared" si="10"/>
        <v>2</v>
      </c>
      <c r="AO31" s="554">
        <f t="shared" si="11"/>
        <v>2</v>
      </c>
      <c r="AP31" s="554">
        <f t="shared" si="6"/>
        <v>2</v>
      </c>
      <c r="AQ31" s="429" t="str">
        <f t="shared" si="8"/>
        <v>Vendido</v>
      </c>
      <c r="AR31" s="447">
        <f>_xlfn.XLOOKUP(C31,'BOULEVARD 5'!B:B,'BOULEVARD 5'!AU:AU)</f>
        <v>1</v>
      </c>
    </row>
    <row r="32" spans="1:44" s="429" customFormat="1" ht="13.9" customHeight="1" x14ac:dyDescent="0.25">
      <c r="B32" s="678" t="str">
        <f>IF('B5-Status cobranza'!A32&gt;0,'B5-Status cobranza'!A32,"")</f>
        <v/>
      </c>
      <c r="C32" s="436">
        <v>210</v>
      </c>
      <c r="D32" s="436" t="s">
        <v>175</v>
      </c>
      <c r="E32" s="436"/>
      <c r="F32" s="436" t="str">
        <f>IF('BOULEVARD 5'!E30="","",'BOULEVARD 5'!E30)</f>
        <v>Laura Molina</v>
      </c>
      <c r="G32" s="429" t="str">
        <f>IF('BOULEVARD 5'!F30="","",'BOULEVARD 5'!F30)</f>
        <v>Carlos Alejandro de León Samayoa</v>
      </c>
      <c r="H32" s="473">
        <f>IF('BOULEVARD 5'!G30="","",'BOULEVARD 5'!G30)</f>
        <v>45859</v>
      </c>
      <c r="I32" s="554" t="str">
        <f t="shared" si="12"/>
        <v/>
      </c>
      <c r="J32" s="554" t="str">
        <f t="shared" si="12"/>
        <v/>
      </c>
      <c r="K32" s="554" t="str">
        <f t="shared" si="12"/>
        <v/>
      </c>
      <c r="L32" s="554" t="str">
        <f t="shared" si="12"/>
        <v/>
      </c>
      <c r="M32" s="554" t="str">
        <f t="shared" si="12"/>
        <v/>
      </c>
      <c r="N32" s="554" t="str">
        <f t="shared" si="12"/>
        <v/>
      </c>
      <c r="O32" s="554" t="str">
        <f t="shared" si="12"/>
        <v/>
      </c>
      <c r="P32" s="554" t="str">
        <f t="shared" si="12"/>
        <v/>
      </c>
      <c r="Q32" s="554" t="str">
        <f t="shared" si="12"/>
        <v/>
      </c>
      <c r="R32" s="554" t="str">
        <f t="shared" si="12"/>
        <v/>
      </c>
      <c r="S32" s="554" t="str">
        <f t="shared" si="12"/>
        <v/>
      </c>
      <c r="T32" s="554" t="str">
        <f t="shared" si="12"/>
        <v/>
      </c>
      <c r="U32" s="554" t="str">
        <f t="shared" si="12"/>
        <v/>
      </c>
      <c r="V32" s="554" t="str">
        <f t="shared" si="12"/>
        <v/>
      </c>
      <c r="W32" s="554" t="str">
        <f t="shared" si="12"/>
        <v/>
      </c>
      <c r="X32" s="554" t="str">
        <f t="shared" si="12"/>
        <v/>
      </c>
      <c r="Y32" s="554" t="str">
        <f t="shared" si="10"/>
        <v/>
      </c>
      <c r="Z32" s="554" t="str">
        <f t="shared" si="10"/>
        <v/>
      </c>
      <c r="AA32" s="554" t="str">
        <f t="shared" si="10"/>
        <v/>
      </c>
      <c r="AB32" s="554" t="str">
        <f t="shared" si="10"/>
        <v/>
      </c>
      <c r="AC32" s="554" t="str">
        <f t="shared" si="10"/>
        <v/>
      </c>
      <c r="AD32" s="554" t="str">
        <f t="shared" si="10"/>
        <v/>
      </c>
      <c r="AE32" s="554" t="str">
        <f t="shared" si="10"/>
        <v/>
      </c>
      <c r="AF32" s="554" t="str">
        <f t="shared" si="10"/>
        <v/>
      </c>
      <c r="AG32" s="554" t="str">
        <f t="shared" si="10"/>
        <v/>
      </c>
      <c r="AH32" s="554" t="str">
        <f t="shared" si="10"/>
        <v/>
      </c>
      <c r="AI32" s="554" t="str">
        <f t="shared" si="10"/>
        <v/>
      </c>
      <c r="AJ32" s="554" t="str">
        <f t="shared" si="10"/>
        <v/>
      </c>
      <c r="AK32" s="554">
        <f t="shared" si="10"/>
        <v>1</v>
      </c>
      <c r="AL32" s="554">
        <f t="shared" si="10"/>
        <v>2</v>
      </c>
      <c r="AM32" s="554">
        <f t="shared" si="10"/>
        <v>2</v>
      </c>
      <c r="AN32" s="554">
        <f t="shared" si="10"/>
        <v>2</v>
      </c>
      <c r="AO32" s="554">
        <f t="shared" si="11"/>
        <v>2</v>
      </c>
      <c r="AP32" s="554">
        <f t="shared" si="6"/>
        <v>2</v>
      </c>
      <c r="AQ32" s="429" t="str">
        <f t="shared" si="8"/>
        <v>Vendido</v>
      </c>
      <c r="AR32" s="447">
        <f>_xlfn.XLOOKUP(C32,'BOULEVARD 5'!B:B,'BOULEVARD 5'!AU:AU)</f>
        <v>0.60685263918019106</v>
      </c>
    </row>
    <row r="33" spans="1:44" s="429" customFormat="1" ht="13.9" customHeight="1" x14ac:dyDescent="0.25">
      <c r="B33" s="678" t="str">
        <f>IF('B5-Status cobranza'!A33&gt;0,'B5-Status cobranza'!A33,"")</f>
        <v/>
      </c>
      <c r="C33" s="436">
        <v>211</v>
      </c>
      <c r="D33" s="436" t="s">
        <v>125</v>
      </c>
      <c r="E33" s="436"/>
      <c r="F33" s="436" t="str">
        <f>IF('BOULEVARD 5'!E31="","",'BOULEVARD 5'!E31)</f>
        <v/>
      </c>
      <c r="G33" s="429" t="str">
        <f>IF('BOULEVARD 5'!F31="","",'BOULEVARD 5'!F31)</f>
        <v/>
      </c>
      <c r="H33" s="473" t="str">
        <f>IF('BOULEVARD 5'!G31="","",'BOULEVARD 5'!G31)</f>
        <v/>
      </c>
      <c r="I33" s="554" t="str">
        <f t="shared" si="12"/>
        <v/>
      </c>
      <c r="J33" s="554" t="str">
        <f t="shared" si="12"/>
        <v/>
      </c>
      <c r="K33" s="554" t="str">
        <f t="shared" si="12"/>
        <v/>
      </c>
      <c r="L33" s="554" t="str">
        <f t="shared" si="12"/>
        <v/>
      </c>
      <c r="M33" s="554" t="str">
        <f t="shared" si="12"/>
        <v/>
      </c>
      <c r="N33" s="554" t="str">
        <f t="shared" si="12"/>
        <v/>
      </c>
      <c r="O33" s="554" t="str">
        <f t="shared" si="12"/>
        <v/>
      </c>
      <c r="P33" s="554" t="str">
        <f t="shared" si="12"/>
        <v/>
      </c>
      <c r="Q33" s="554" t="str">
        <f t="shared" si="12"/>
        <v/>
      </c>
      <c r="R33" s="554" t="str">
        <f t="shared" si="12"/>
        <v/>
      </c>
      <c r="S33" s="554" t="str">
        <f t="shared" si="12"/>
        <v/>
      </c>
      <c r="T33" s="554" t="str">
        <f t="shared" si="12"/>
        <v/>
      </c>
      <c r="U33" s="554" t="str">
        <f t="shared" si="12"/>
        <v/>
      </c>
      <c r="V33" s="554" t="str">
        <f t="shared" si="12"/>
        <v/>
      </c>
      <c r="W33" s="554" t="str">
        <f t="shared" si="12"/>
        <v/>
      </c>
      <c r="X33" s="554" t="str">
        <f t="shared" si="12"/>
        <v/>
      </c>
      <c r="Y33" s="554" t="str">
        <f t="shared" si="10"/>
        <v/>
      </c>
      <c r="Z33" s="554" t="str">
        <f t="shared" si="10"/>
        <v/>
      </c>
      <c r="AA33" s="554" t="str">
        <f t="shared" si="10"/>
        <v/>
      </c>
      <c r="AB33" s="554" t="str">
        <f t="shared" si="10"/>
        <v/>
      </c>
      <c r="AC33" s="554" t="str">
        <f t="shared" si="10"/>
        <v/>
      </c>
      <c r="AD33" s="554" t="str">
        <f t="shared" si="10"/>
        <v/>
      </c>
      <c r="AE33" s="554" t="str">
        <f t="shared" si="10"/>
        <v/>
      </c>
      <c r="AF33" s="554" t="str">
        <f t="shared" si="10"/>
        <v/>
      </c>
      <c r="AG33" s="554" t="str">
        <f t="shared" si="10"/>
        <v/>
      </c>
      <c r="AH33" s="554" t="str">
        <f t="shared" si="10"/>
        <v/>
      </c>
      <c r="AI33" s="554" t="str">
        <f t="shared" si="10"/>
        <v/>
      </c>
      <c r="AJ33" s="554" t="str">
        <f t="shared" si="10"/>
        <v/>
      </c>
      <c r="AK33" s="554" t="str">
        <f t="shared" si="10"/>
        <v/>
      </c>
      <c r="AL33" s="554" t="str">
        <f t="shared" si="10"/>
        <v/>
      </c>
      <c r="AM33" s="554" t="str">
        <f t="shared" si="10"/>
        <v/>
      </c>
      <c r="AN33" s="554" t="str">
        <f t="shared" si="10"/>
        <v/>
      </c>
      <c r="AO33" s="554" t="str">
        <f t="shared" si="11"/>
        <v/>
      </c>
      <c r="AP33" s="554" t="str">
        <f t="shared" si="6"/>
        <v/>
      </c>
      <c r="AQ33" s="429" t="str">
        <f t="shared" si="8"/>
        <v>No Vendido</v>
      </c>
      <c r="AR33" s="447">
        <f>_xlfn.XLOOKUP(C33,'BOULEVARD 5'!B:B,'BOULEVARD 5'!AU:AU)</f>
        <v>0</v>
      </c>
    </row>
    <row r="34" spans="1:44" s="429" customFormat="1" ht="13.9" customHeight="1" x14ac:dyDescent="0.25">
      <c r="B34" s="678" t="str">
        <f>IF('B5-Status cobranza'!A34&gt;0,'B5-Status cobranza'!A34,"")</f>
        <v/>
      </c>
      <c r="C34" s="436">
        <v>212</v>
      </c>
      <c r="D34" s="436" t="s">
        <v>178</v>
      </c>
      <c r="E34" s="436"/>
      <c r="F34" s="436" t="str">
        <f>IF('BOULEVARD 5'!E32="","",'BOULEVARD 5'!E32)</f>
        <v>Antonio Rada</v>
      </c>
      <c r="G34" s="429" t="str">
        <f>IF('BOULEVARD 5'!F32="","",'BOULEVARD 5'!F32)</f>
        <v>Julio Eduardo Farnes Bucaro</v>
      </c>
      <c r="H34" s="473">
        <f>IF('BOULEVARD 5'!G32="","",'BOULEVARD 5'!G32)</f>
        <v>45244</v>
      </c>
      <c r="I34" s="554" t="str">
        <f t="shared" si="12"/>
        <v/>
      </c>
      <c r="J34" s="554" t="str">
        <f t="shared" si="12"/>
        <v/>
      </c>
      <c r="K34" s="554" t="str">
        <f t="shared" si="12"/>
        <v/>
      </c>
      <c r="L34" s="554" t="str">
        <f t="shared" si="12"/>
        <v/>
      </c>
      <c r="M34" s="554" t="str">
        <f t="shared" si="12"/>
        <v/>
      </c>
      <c r="N34" s="554" t="str">
        <f t="shared" si="12"/>
        <v/>
      </c>
      <c r="O34" s="554" t="str">
        <f t="shared" si="12"/>
        <v/>
      </c>
      <c r="P34" s="554" t="str">
        <f t="shared" si="12"/>
        <v/>
      </c>
      <c r="Q34" s="554">
        <f t="shared" si="12"/>
        <v>1</v>
      </c>
      <c r="R34" s="554">
        <f t="shared" si="12"/>
        <v>2</v>
      </c>
      <c r="S34" s="554">
        <f t="shared" si="12"/>
        <v>2</v>
      </c>
      <c r="T34" s="554">
        <f t="shared" si="12"/>
        <v>2</v>
      </c>
      <c r="U34" s="554">
        <f t="shared" si="12"/>
        <v>2</v>
      </c>
      <c r="V34" s="554">
        <f t="shared" si="12"/>
        <v>2</v>
      </c>
      <c r="W34" s="554">
        <f t="shared" si="12"/>
        <v>2</v>
      </c>
      <c r="X34" s="554">
        <f t="shared" si="12"/>
        <v>2</v>
      </c>
      <c r="Y34" s="554">
        <f t="shared" si="10"/>
        <v>2</v>
      </c>
      <c r="Z34" s="554">
        <f t="shared" si="10"/>
        <v>2</v>
      </c>
      <c r="AA34" s="554">
        <f t="shared" si="10"/>
        <v>2</v>
      </c>
      <c r="AB34" s="554">
        <f t="shared" si="10"/>
        <v>2</v>
      </c>
      <c r="AC34" s="554">
        <f t="shared" si="10"/>
        <v>2</v>
      </c>
      <c r="AD34" s="554">
        <f t="shared" si="10"/>
        <v>2</v>
      </c>
      <c r="AE34" s="554">
        <f t="shared" si="10"/>
        <v>2</v>
      </c>
      <c r="AF34" s="554">
        <f t="shared" si="10"/>
        <v>2</v>
      </c>
      <c r="AG34" s="554">
        <f t="shared" si="10"/>
        <v>2</v>
      </c>
      <c r="AH34" s="554">
        <f t="shared" si="10"/>
        <v>2</v>
      </c>
      <c r="AI34" s="554">
        <f t="shared" si="10"/>
        <v>2</v>
      </c>
      <c r="AJ34" s="554">
        <f t="shared" si="10"/>
        <v>2</v>
      </c>
      <c r="AK34" s="554">
        <f t="shared" si="10"/>
        <v>2</v>
      </c>
      <c r="AL34" s="554">
        <f t="shared" si="10"/>
        <v>2</v>
      </c>
      <c r="AM34" s="554">
        <f t="shared" si="10"/>
        <v>2</v>
      </c>
      <c r="AN34" s="554">
        <f t="shared" si="10"/>
        <v>2</v>
      </c>
      <c r="AO34" s="554">
        <f t="shared" si="11"/>
        <v>2</v>
      </c>
      <c r="AP34" s="554">
        <f t="shared" si="6"/>
        <v>2</v>
      </c>
      <c r="AQ34" s="429" t="str">
        <f t="shared" si="8"/>
        <v>Vendido</v>
      </c>
      <c r="AR34" s="447">
        <f>_xlfn.XLOOKUP(C34,'BOULEVARD 5'!B:B,'BOULEVARD 5'!AU:AU)</f>
        <v>0.99997903197623628</v>
      </c>
    </row>
    <row r="35" spans="1:44" s="429" customFormat="1" ht="13.9" customHeight="1" x14ac:dyDescent="0.25">
      <c r="B35" s="678" t="str">
        <f>IF('B5-Status cobranza'!A35&gt;0,'B5-Status cobranza'!A35,"")</f>
        <v/>
      </c>
      <c r="C35" s="436">
        <v>213</v>
      </c>
      <c r="D35" s="436" t="s">
        <v>406</v>
      </c>
      <c r="E35" s="436"/>
      <c r="F35" s="436" t="str">
        <f>IF('BOULEVARD 5'!E33="","",'BOULEVARD 5'!E33)</f>
        <v>Sofia Paredes</v>
      </c>
      <c r="G35" s="429" t="str">
        <f>IF('BOULEVARD 5'!F33="","",'BOULEVARD 5'!F33)</f>
        <v xml:space="preserve">Carlos Humberto Rivera Carrillo </v>
      </c>
      <c r="H35" s="473">
        <f>IF('BOULEVARD 5'!G33="","",'BOULEVARD 5'!G33)</f>
        <v>45695</v>
      </c>
      <c r="I35" s="554" t="str">
        <f t="shared" si="12"/>
        <v/>
      </c>
      <c r="J35" s="554" t="str">
        <f t="shared" si="12"/>
        <v/>
      </c>
      <c r="K35" s="554" t="str">
        <f t="shared" si="12"/>
        <v/>
      </c>
      <c r="L35" s="554" t="str">
        <f t="shared" si="12"/>
        <v/>
      </c>
      <c r="M35" s="554" t="str">
        <f t="shared" si="12"/>
        <v/>
      </c>
      <c r="N35" s="554" t="str">
        <f t="shared" si="12"/>
        <v/>
      </c>
      <c r="O35" s="554" t="str">
        <f t="shared" si="12"/>
        <v/>
      </c>
      <c r="P35" s="554" t="str">
        <f t="shared" si="12"/>
        <v/>
      </c>
      <c r="Q35" s="554" t="str">
        <f t="shared" si="12"/>
        <v/>
      </c>
      <c r="R35" s="554" t="str">
        <f t="shared" si="12"/>
        <v/>
      </c>
      <c r="S35" s="554" t="str">
        <f t="shared" si="12"/>
        <v/>
      </c>
      <c r="T35" s="554" t="str">
        <f t="shared" si="12"/>
        <v/>
      </c>
      <c r="U35" s="554" t="str">
        <f t="shared" si="12"/>
        <v/>
      </c>
      <c r="V35" s="554" t="str">
        <f t="shared" si="12"/>
        <v/>
      </c>
      <c r="W35" s="554" t="str">
        <f t="shared" si="12"/>
        <v/>
      </c>
      <c r="X35" s="554" t="str">
        <f t="shared" si="12"/>
        <v/>
      </c>
      <c r="Y35" s="554" t="str">
        <f t="shared" si="10"/>
        <v/>
      </c>
      <c r="Z35" s="554" t="str">
        <f t="shared" si="10"/>
        <v/>
      </c>
      <c r="AA35" s="554" t="str">
        <f t="shared" si="10"/>
        <v/>
      </c>
      <c r="AB35" s="554" t="str">
        <f t="shared" si="10"/>
        <v/>
      </c>
      <c r="AC35" s="554" t="str">
        <f t="shared" si="10"/>
        <v/>
      </c>
      <c r="AD35" s="554" t="str">
        <f t="shared" si="10"/>
        <v/>
      </c>
      <c r="AE35" s="554" t="str">
        <f t="shared" si="10"/>
        <v/>
      </c>
      <c r="AF35" s="554">
        <f t="shared" si="10"/>
        <v>1</v>
      </c>
      <c r="AG35" s="554">
        <f t="shared" si="10"/>
        <v>2</v>
      </c>
      <c r="AH35" s="554">
        <f t="shared" si="10"/>
        <v>2</v>
      </c>
      <c r="AI35" s="554">
        <f t="shared" si="10"/>
        <v>2</v>
      </c>
      <c r="AJ35" s="554">
        <f t="shared" si="10"/>
        <v>2</v>
      </c>
      <c r="AK35" s="554">
        <f t="shared" si="10"/>
        <v>2</v>
      </c>
      <c r="AL35" s="554">
        <f t="shared" si="10"/>
        <v>2</v>
      </c>
      <c r="AM35" s="554">
        <f t="shared" si="10"/>
        <v>2</v>
      </c>
      <c r="AN35" s="554">
        <f t="shared" si="10"/>
        <v>2</v>
      </c>
      <c r="AO35" s="554">
        <f t="shared" si="11"/>
        <v>2</v>
      </c>
      <c r="AP35" s="554">
        <f t="shared" si="6"/>
        <v>2</v>
      </c>
      <c r="AQ35" s="429" t="str">
        <f t="shared" si="8"/>
        <v>Vendido</v>
      </c>
      <c r="AR35" s="447">
        <f>_xlfn.XLOOKUP(C35,'BOULEVARD 5'!B:B,'BOULEVARD 5'!AU:AU)</f>
        <v>0.70045345108211543</v>
      </c>
    </row>
    <row r="36" spans="1:44" s="429" customFormat="1" ht="13.9" customHeight="1" x14ac:dyDescent="0.25">
      <c r="B36" s="678" t="str">
        <f>IF('B5-Status cobranza'!A36&gt;0,'B5-Status cobranza'!A36,"")</f>
        <v/>
      </c>
      <c r="C36" s="436">
        <v>214</v>
      </c>
      <c r="D36" s="436" t="s">
        <v>200</v>
      </c>
      <c r="E36" s="436"/>
      <c r="F36" s="436" t="str">
        <f>IF('BOULEVARD 5'!E34="","",'BOULEVARD 5'!E34)</f>
        <v>Antonio Rada</v>
      </c>
      <c r="G36" s="429" t="str">
        <f>IF('BOULEVARD 5'!F34="","",'BOULEVARD 5'!F34)</f>
        <v>Jorge Daniel Baca Chiroy</v>
      </c>
      <c r="H36" s="473">
        <f>IF('BOULEVARD 5'!G34="","",'BOULEVARD 5'!G34)</f>
        <v>45259</v>
      </c>
      <c r="I36" s="554" t="str">
        <f t="shared" si="12"/>
        <v/>
      </c>
      <c r="J36" s="554" t="str">
        <f t="shared" si="12"/>
        <v/>
      </c>
      <c r="K36" s="554" t="str">
        <f t="shared" si="12"/>
        <v/>
      </c>
      <c r="L36" s="554" t="str">
        <f t="shared" si="12"/>
        <v/>
      </c>
      <c r="M36" s="554" t="str">
        <f t="shared" si="12"/>
        <v/>
      </c>
      <c r="N36" s="554" t="str">
        <f t="shared" si="12"/>
        <v/>
      </c>
      <c r="O36" s="554" t="str">
        <f t="shared" si="12"/>
        <v/>
      </c>
      <c r="P36" s="554" t="str">
        <f t="shared" si="12"/>
        <v/>
      </c>
      <c r="Q36" s="554">
        <f t="shared" si="12"/>
        <v>1</v>
      </c>
      <c r="R36" s="554">
        <f t="shared" si="12"/>
        <v>2</v>
      </c>
      <c r="S36" s="554">
        <f t="shared" si="12"/>
        <v>2</v>
      </c>
      <c r="T36" s="554">
        <f t="shared" si="12"/>
        <v>2</v>
      </c>
      <c r="U36" s="554">
        <f t="shared" si="12"/>
        <v>2</v>
      </c>
      <c r="V36" s="554">
        <f t="shared" si="12"/>
        <v>2</v>
      </c>
      <c r="W36" s="554">
        <f t="shared" si="12"/>
        <v>2</v>
      </c>
      <c r="X36" s="554">
        <f t="shared" si="12"/>
        <v>2</v>
      </c>
      <c r="Y36" s="554">
        <f t="shared" si="10"/>
        <v>2</v>
      </c>
      <c r="Z36" s="554">
        <f t="shared" si="10"/>
        <v>2</v>
      </c>
      <c r="AA36" s="554">
        <f t="shared" si="10"/>
        <v>2</v>
      </c>
      <c r="AB36" s="554">
        <f t="shared" si="10"/>
        <v>2</v>
      </c>
      <c r="AC36" s="554">
        <f t="shared" si="10"/>
        <v>2</v>
      </c>
      <c r="AD36" s="554">
        <f t="shared" si="10"/>
        <v>2</v>
      </c>
      <c r="AE36" s="554">
        <f t="shared" si="10"/>
        <v>2</v>
      </c>
      <c r="AF36" s="554">
        <f t="shared" si="10"/>
        <v>2</v>
      </c>
      <c r="AG36" s="554">
        <f t="shared" si="10"/>
        <v>2</v>
      </c>
      <c r="AH36" s="554">
        <f t="shared" si="10"/>
        <v>2</v>
      </c>
      <c r="AI36" s="554">
        <f t="shared" si="10"/>
        <v>2</v>
      </c>
      <c r="AJ36" s="554">
        <f t="shared" si="10"/>
        <v>2</v>
      </c>
      <c r="AK36" s="554">
        <f t="shared" si="10"/>
        <v>2</v>
      </c>
      <c r="AL36" s="554">
        <f t="shared" si="10"/>
        <v>2</v>
      </c>
      <c r="AM36" s="554">
        <f t="shared" si="10"/>
        <v>2</v>
      </c>
      <c r="AN36" s="554">
        <f t="shared" si="10"/>
        <v>2</v>
      </c>
      <c r="AO36" s="554">
        <f t="shared" si="11"/>
        <v>2</v>
      </c>
      <c r="AP36" s="554">
        <f t="shared" si="6"/>
        <v>2</v>
      </c>
      <c r="AQ36" s="429" t="str">
        <f t="shared" si="8"/>
        <v>Vendido</v>
      </c>
      <c r="AR36" s="447">
        <f>_xlfn.XLOOKUP(C36,'BOULEVARD 5'!B:B,'BOULEVARD 5'!AU:AU)</f>
        <v>1</v>
      </c>
    </row>
    <row r="37" spans="1:44" s="429" customFormat="1" ht="13.9" customHeight="1" x14ac:dyDescent="0.25">
      <c r="B37" s="678" t="str">
        <f>IF('B5-Status cobranza'!A37&gt;0,'B5-Status cobranza'!A37,"")</f>
        <v/>
      </c>
      <c r="C37" s="436">
        <v>215</v>
      </c>
      <c r="D37" s="436" t="s">
        <v>409</v>
      </c>
      <c r="E37" s="436"/>
      <c r="F37" s="436" t="str">
        <f>IF('BOULEVARD 5'!E35="","",'BOULEVARD 5'!E35)</f>
        <v>Antonio Rada</v>
      </c>
      <c r="G37" s="429" t="str">
        <f>IF('BOULEVARD 5'!F35="","",'BOULEVARD 5'!F35)</f>
        <v>Lidia Elizabeth Pocasangre Rac</v>
      </c>
      <c r="H37" s="473">
        <f>IF('BOULEVARD 5'!G35="","",'BOULEVARD 5'!G35)</f>
        <v>45353</v>
      </c>
      <c r="I37" s="554" t="str">
        <f t="shared" si="12"/>
        <v/>
      </c>
      <c r="J37" s="554" t="str">
        <f t="shared" si="12"/>
        <v/>
      </c>
      <c r="K37" s="554" t="str">
        <f t="shared" si="12"/>
        <v/>
      </c>
      <c r="L37" s="554" t="str">
        <f t="shared" si="12"/>
        <v/>
      </c>
      <c r="M37" s="554" t="str">
        <f t="shared" si="12"/>
        <v/>
      </c>
      <c r="N37" s="554" t="str">
        <f t="shared" si="12"/>
        <v/>
      </c>
      <c r="O37" s="554" t="str">
        <f t="shared" si="12"/>
        <v/>
      </c>
      <c r="P37" s="554" t="str">
        <f t="shared" si="12"/>
        <v/>
      </c>
      <c r="Q37" s="554" t="str">
        <f t="shared" si="12"/>
        <v/>
      </c>
      <c r="R37" s="554" t="str">
        <f t="shared" si="12"/>
        <v/>
      </c>
      <c r="S37" s="554" t="str">
        <f t="shared" si="12"/>
        <v/>
      </c>
      <c r="T37" s="554" t="str">
        <f t="shared" si="12"/>
        <v/>
      </c>
      <c r="U37" s="554">
        <f t="shared" si="12"/>
        <v>1</v>
      </c>
      <c r="V37" s="554">
        <f t="shared" si="12"/>
        <v>2</v>
      </c>
      <c r="W37" s="554">
        <f t="shared" si="12"/>
        <v>2</v>
      </c>
      <c r="X37" s="554">
        <f t="shared" si="12"/>
        <v>2</v>
      </c>
      <c r="Y37" s="554">
        <f t="shared" si="10"/>
        <v>2</v>
      </c>
      <c r="Z37" s="554">
        <f t="shared" si="10"/>
        <v>2</v>
      </c>
      <c r="AA37" s="554">
        <f t="shared" si="10"/>
        <v>2</v>
      </c>
      <c r="AB37" s="554">
        <f t="shared" si="10"/>
        <v>2</v>
      </c>
      <c r="AC37" s="554">
        <f t="shared" si="10"/>
        <v>2</v>
      </c>
      <c r="AD37" s="554">
        <f t="shared" si="10"/>
        <v>2</v>
      </c>
      <c r="AE37" s="554">
        <f t="shared" si="10"/>
        <v>2</v>
      </c>
      <c r="AF37" s="554">
        <f t="shared" si="10"/>
        <v>2</v>
      </c>
      <c r="AG37" s="554">
        <f t="shared" si="10"/>
        <v>2</v>
      </c>
      <c r="AH37" s="554">
        <f t="shared" si="10"/>
        <v>2</v>
      </c>
      <c r="AI37" s="554">
        <f t="shared" si="10"/>
        <v>2</v>
      </c>
      <c r="AJ37" s="554">
        <f t="shared" si="10"/>
        <v>2</v>
      </c>
      <c r="AK37" s="554">
        <f t="shared" si="10"/>
        <v>2</v>
      </c>
      <c r="AL37" s="554">
        <f t="shared" si="10"/>
        <v>2</v>
      </c>
      <c r="AM37" s="554">
        <f t="shared" si="10"/>
        <v>2</v>
      </c>
      <c r="AN37" s="554">
        <f t="shared" si="10"/>
        <v>2</v>
      </c>
      <c r="AO37" s="554">
        <f t="shared" si="11"/>
        <v>2</v>
      </c>
      <c r="AP37" s="554">
        <f t="shared" si="6"/>
        <v>2</v>
      </c>
      <c r="AQ37" s="429" t="str">
        <f t="shared" si="8"/>
        <v>Vendido</v>
      </c>
      <c r="AR37" s="447">
        <f>_xlfn.XLOOKUP(C37,'BOULEVARD 5'!B:B,'BOULEVARD 5'!AU:AU)</f>
        <v>1.0351966873706004</v>
      </c>
    </row>
    <row r="38" spans="1:44" s="429" customFormat="1" ht="13.9" customHeight="1" x14ac:dyDescent="0.25">
      <c r="A38" s="429" t="s">
        <v>388</v>
      </c>
      <c r="B38" s="678"/>
      <c r="C38" s="436">
        <v>216</v>
      </c>
      <c r="D38" s="436" t="s">
        <v>184</v>
      </c>
      <c r="E38" s="641" t="s">
        <v>386</v>
      </c>
      <c r="F38" s="436" t="str">
        <f>IF('BOULEVARD 5'!E36="","",'BOULEVARD 5'!E36)</f>
        <v>Antonio Rada</v>
      </c>
      <c r="G38" s="429" t="str">
        <f>IF('BOULEVARD 5'!F36="","",'BOULEVARD 5'!F36)</f>
        <v>Narvesters Gabriell Moreno Cedeño</v>
      </c>
      <c r="H38" s="473">
        <f>IF('BOULEVARD 5'!G36="","",'BOULEVARD 5'!G36)</f>
        <v>45360</v>
      </c>
      <c r="I38" s="554" t="str">
        <f t="shared" si="12"/>
        <v/>
      </c>
      <c r="J38" s="554" t="str">
        <f t="shared" si="12"/>
        <v/>
      </c>
      <c r="K38" s="554" t="str">
        <f t="shared" si="12"/>
        <v/>
      </c>
      <c r="L38" s="554" t="str">
        <f t="shared" si="12"/>
        <v/>
      </c>
      <c r="M38" s="554" t="str">
        <f t="shared" si="12"/>
        <v/>
      </c>
      <c r="N38" s="554" t="str">
        <f t="shared" si="12"/>
        <v/>
      </c>
      <c r="O38" s="554" t="str">
        <f t="shared" si="12"/>
        <v/>
      </c>
      <c r="P38" s="554" t="str">
        <f t="shared" si="12"/>
        <v/>
      </c>
      <c r="Q38" s="554" t="str">
        <f t="shared" si="12"/>
        <v/>
      </c>
      <c r="R38" s="554" t="str">
        <f t="shared" si="12"/>
        <v/>
      </c>
      <c r="S38" s="554" t="str">
        <f t="shared" si="12"/>
        <v/>
      </c>
      <c r="T38" s="554" t="str">
        <f t="shared" si="12"/>
        <v/>
      </c>
      <c r="U38" s="554">
        <f t="shared" si="12"/>
        <v>1</v>
      </c>
      <c r="V38" s="554">
        <f t="shared" si="12"/>
        <v>2</v>
      </c>
      <c r="W38" s="554">
        <f t="shared" si="12"/>
        <v>2</v>
      </c>
      <c r="X38" s="554">
        <f t="shared" si="12"/>
        <v>2</v>
      </c>
      <c r="Y38" s="554">
        <f t="shared" si="10"/>
        <v>2</v>
      </c>
      <c r="Z38" s="554">
        <f t="shared" si="10"/>
        <v>2</v>
      </c>
      <c r="AA38" s="554">
        <f t="shared" si="10"/>
        <v>2</v>
      </c>
      <c r="AB38" s="554">
        <f t="shared" si="10"/>
        <v>2</v>
      </c>
      <c r="AC38" s="554">
        <f t="shared" si="10"/>
        <v>2</v>
      </c>
      <c r="AD38" s="554">
        <f t="shared" si="10"/>
        <v>2</v>
      </c>
      <c r="AE38" s="554">
        <f t="shared" si="10"/>
        <v>2</v>
      </c>
      <c r="AF38" s="554">
        <f t="shared" si="10"/>
        <v>2</v>
      </c>
      <c r="AG38" s="554">
        <f t="shared" si="10"/>
        <v>2</v>
      </c>
      <c r="AH38" s="554">
        <f t="shared" si="10"/>
        <v>2</v>
      </c>
      <c r="AI38" s="554">
        <f t="shared" si="10"/>
        <v>2</v>
      </c>
      <c r="AJ38" s="554">
        <f t="shared" si="10"/>
        <v>2</v>
      </c>
      <c r="AK38" s="554">
        <f t="shared" si="10"/>
        <v>2</v>
      </c>
      <c r="AL38" s="554">
        <f t="shared" si="10"/>
        <v>2</v>
      </c>
      <c r="AM38" s="554">
        <f t="shared" si="10"/>
        <v>2</v>
      </c>
      <c r="AN38" s="554">
        <f t="shared" si="10"/>
        <v>2</v>
      </c>
      <c r="AO38" s="554">
        <f t="shared" si="11"/>
        <v>2</v>
      </c>
      <c r="AP38" s="554">
        <f t="shared" si="6"/>
        <v>2</v>
      </c>
      <c r="AQ38" s="429" t="str">
        <f t="shared" si="8"/>
        <v>Vendido</v>
      </c>
      <c r="AR38" s="447">
        <f>_xlfn.XLOOKUP(C38,'BOULEVARD 5'!B:B,'BOULEVARD 5'!AU:AU)</f>
        <v>7.9582059123343525</v>
      </c>
    </row>
    <row r="39" spans="1:44" s="429" customFormat="1" ht="13.9" customHeight="1" x14ac:dyDescent="0.25">
      <c r="B39" s="678" t="str">
        <f>IF('B5-Status cobranza'!A39&gt;0,'B5-Status cobranza'!A39,"")</f>
        <v/>
      </c>
      <c r="C39" s="436">
        <v>301</v>
      </c>
      <c r="D39" s="436" t="s">
        <v>412</v>
      </c>
      <c r="E39" s="436"/>
      <c r="F39" s="436" t="str">
        <f>IF('BOULEVARD 5'!E37="","",'BOULEVARD 5'!E37)</f>
        <v>Antonio Rada</v>
      </c>
      <c r="G39" s="429" t="str">
        <f>IF('BOULEVARD 5'!F37="","",'BOULEVARD 5'!F37)</f>
        <v>Jonathan Kiril Thomas Menkos</v>
      </c>
      <c r="H39" s="473">
        <f>IF('BOULEVARD 5'!G37="","",'BOULEVARD 5'!G37)</f>
        <v>45494</v>
      </c>
      <c r="I39" s="554" t="str">
        <f t="shared" si="12"/>
        <v/>
      </c>
      <c r="J39" s="554" t="str">
        <f t="shared" si="12"/>
        <v/>
      </c>
      <c r="K39" s="554" t="str">
        <f t="shared" si="12"/>
        <v/>
      </c>
      <c r="L39" s="554" t="str">
        <f t="shared" si="12"/>
        <v/>
      </c>
      <c r="M39" s="554" t="str">
        <f t="shared" si="12"/>
        <v/>
      </c>
      <c r="N39" s="554" t="str">
        <f t="shared" si="12"/>
        <v/>
      </c>
      <c r="O39" s="554" t="str">
        <f t="shared" si="12"/>
        <v/>
      </c>
      <c r="P39" s="554" t="str">
        <f t="shared" si="12"/>
        <v/>
      </c>
      <c r="Q39" s="554" t="str">
        <f t="shared" si="12"/>
        <v/>
      </c>
      <c r="R39" s="554" t="str">
        <f t="shared" si="12"/>
        <v/>
      </c>
      <c r="S39" s="554" t="str">
        <f t="shared" si="12"/>
        <v/>
      </c>
      <c r="T39" s="554" t="str">
        <f t="shared" si="12"/>
        <v/>
      </c>
      <c r="U39" s="554" t="str">
        <f t="shared" si="12"/>
        <v/>
      </c>
      <c r="V39" s="554" t="str">
        <f t="shared" si="12"/>
        <v/>
      </c>
      <c r="W39" s="554" t="str">
        <f t="shared" si="12"/>
        <v/>
      </c>
      <c r="X39" s="554" t="str">
        <f t="shared" si="12"/>
        <v/>
      </c>
      <c r="Y39" s="554">
        <f t="shared" si="10"/>
        <v>1</v>
      </c>
      <c r="Z39" s="554">
        <f t="shared" si="10"/>
        <v>2</v>
      </c>
      <c r="AA39" s="554">
        <f t="shared" si="10"/>
        <v>2</v>
      </c>
      <c r="AB39" s="554">
        <f t="shared" si="10"/>
        <v>2</v>
      </c>
      <c r="AC39" s="554">
        <f t="shared" si="10"/>
        <v>2</v>
      </c>
      <c r="AD39" s="554">
        <f t="shared" si="10"/>
        <v>2</v>
      </c>
      <c r="AE39" s="554">
        <f t="shared" si="10"/>
        <v>2</v>
      </c>
      <c r="AF39" s="554">
        <f t="shared" si="10"/>
        <v>2</v>
      </c>
      <c r="AG39" s="554">
        <f t="shared" si="10"/>
        <v>2</v>
      </c>
      <c r="AH39" s="554">
        <f t="shared" si="10"/>
        <v>2</v>
      </c>
      <c r="AI39" s="554">
        <f t="shared" si="10"/>
        <v>2</v>
      </c>
      <c r="AJ39" s="554">
        <f t="shared" si="10"/>
        <v>2</v>
      </c>
      <c r="AK39" s="554">
        <f t="shared" si="10"/>
        <v>2</v>
      </c>
      <c r="AL39" s="554">
        <f t="shared" si="10"/>
        <v>2</v>
      </c>
      <c r="AM39" s="554">
        <f t="shared" si="10"/>
        <v>2</v>
      </c>
      <c r="AN39" s="554">
        <f t="shared" si="10"/>
        <v>2</v>
      </c>
      <c r="AO39" s="554">
        <f t="shared" si="11"/>
        <v>2</v>
      </c>
      <c r="AP39" s="554">
        <f t="shared" si="6"/>
        <v>2</v>
      </c>
      <c r="AQ39" s="429" t="str">
        <f t="shared" si="8"/>
        <v>Vendido</v>
      </c>
      <c r="AR39" s="447">
        <f>_xlfn.XLOOKUP(C39,'BOULEVARD 5'!B:B,'BOULEVARD 5'!AU:AU)</f>
        <v>1</v>
      </c>
    </row>
    <row r="40" spans="1:44" s="429" customFormat="1" ht="13.9" customHeight="1" x14ac:dyDescent="0.25">
      <c r="B40" s="678" t="str">
        <f>IF('B5-Status cobranza'!A40&gt;0,'B5-Status cobranza'!A40,"")</f>
        <v/>
      </c>
      <c r="C40" s="436">
        <v>302</v>
      </c>
      <c r="D40" s="436" t="s">
        <v>186</v>
      </c>
      <c r="E40" s="436"/>
      <c r="F40" s="436" t="str">
        <f>IF('BOULEVARD 5'!E38="","",'BOULEVARD 5'!E38)</f>
        <v>Anahí Cisneros</v>
      </c>
      <c r="G40" s="429" t="str">
        <f>IF('BOULEVARD 5'!F38="","",'BOULEVARD 5'!F38)</f>
        <v>José Ignacio Ramírez Soto</v>
      </c>
      <c r="H40" s="473">
        <f>IF('BOULEVARD 5'!G38="","",'BOULEVARD 5'!G38)</f>
        <v>45898</v>
      </c>
      <c r="I40" s="554" t="str">
        <f t="shared" si="12"/>
        <v/>
      </c>
      <c r="J40" s="554" t="str">
        <f t="shared" si="12"/>
        <v/>
      </c>
      <c r="K40" s="554" t="str">
        <f t="shared" si="12"/>
        <v/>
      </c>
      <c r="L40" s="554" t="str">
        <f t="shared" si="12"/>
        <v/>
      </c>
      <c r="M40" s="554" t="str">
        <f t="shared" si="12"/>
        <v/>
      </c>
      <c r="N40" s="554" t="str">
        <f t="shared" si="12"/>
        <v/>
      </c>
      <c r="O40" s="554" t="str">
        <f t="shared" si="12"/>
        <v/>
      </c>
      <c r="P40" s="554" t="str">
        <f t="shared" si="12"/>
        <v/>
      </c>
      <c r="Q40" s="554" t="str">
        <f t="shared" si="12"/>
        <v/>
      </c>
      <c r="R40" s="554" t="str">
        <f t="shared" si="12"/>
        <v/>
      </c>
      <c r="S40" s="554" t="str">
        <f t="shared" si="12"/>
        <v/>
      </c>
      <c r="T40" s="554" t="str">
        <f t="shared" si="12"/>
        <v/>
      </c>
      <c r="U40" s="554" t="str">
        <f t="shared" si="12"/>
        <v/>
      </c>
      <c r="V40" s="554" t="str">
        <f t="shared" si="12"/>
        <v/>
      </c>
      <c r="W40" s="554" t="str">
        <f t="shared" si="12"/>
        <v/>
      </c>
      <c r="X40" s="554" t="str">
        <f t="shared" si="12"/>
        <v/>
      </c>
      <c r="Y40" s="554" t="str">
        <f t="shared" ref="Y40:AN55" si="13">IF(OR($B40="F&amp;F",$B40="CE",$H40=""),"",IF(TEXT(Y$8,"yyyymm")=TEXT($H40,"yyyymm"),1,IF(TEXT(Y$8,"yyyymm")&gt;TEXT($H40,"yyyymm"),2,IF(Y$8&lt;$H40,"",0))))</f>
        <v/>
      </c>
      <c r="Z40" s="554" t="str">
        <f t="shared" si="13"/>
        <v/>
      </c>
      <c r="AA40" s="554" t="str">
        <f t="shared" si="13"/>
        <v/>
      </c>
      <c r="AB40" s="554" t="str">
        <f t="shared" si="13"/>
        <v/>
      </c>
      <c r="AC40" s="554" t="str">
        <f t="shared" si="13"/>
        <v/>
      </c>
      <c r="AD40" s="554" t="str">
        <f t="shared" si="13"/>
        <v/>
      </c>
      <c r="AE40" s="554" t="str">
        <f t="shared" si="13"/>
        <v/>
      </c>
      <c r="AF40" s="554" t="str">
        <f t="shared" si="13"/>
        <v/>
      </c>
      <c r="AG40" s="554" t="str">
        <f t="shared" si="13"/>
        <v/>
      </c>
      <c r="AH40" s="554" t="str">
        <f t="shared" si="13"/>
        <v/>
      </c>
      <c r="AI40" s="554" t="str">
        <f t="shared" si="13"/>
        <v/>
      </c>
      <c r="AJ40" s="554" t="str">
        <f t="shared" si="13"/>
        <v/>
      </c>
      <c r="AK40" s="554" t="str">
        <f t="shared" si="13"/>
        <v/>
      </c>
      <c r="AL40" s="554">
        <f t="shared" si="13"/>
        <v>1</v>
      </c>
      <c r="AM40" s="554">
        <f t="shared" si="13"/>
        <v>2</v>
      </c>
      <c r="AN40" s="554">
        <f t="shared" si="13"/>
        <v>2</v>
      </c>
      <c r="AO40" s="554">
        <f t="shared" si="11"/>
        <v>2</v>
      </c>
      <c r="AP40" s="554">
        <f t="shared" si="6"/>
        <v>2</v>
      </c>
      <c r="AQ40" s="429" t="str">
        <f t="shared" si="8"/>
        <v>Vendido</v>
      </c>
      <c r="AR40" s="447">
        <f>_xlfn.XLOOKUP(C40,'BOULEVARD 5'!B:B,'BOULEVARD 5'!AU:AU)</f>
        <v>0.45921521297577339</v>
      </c>
    </row>
    <row r="41" spans="1:44" s="429" customFormat="1" ht="13.9" customHeight="1" x14ac:dyDescent="0.25">
      <c r="B41" s="678" t="str">
        <f>IF('B5-Status cobranza'!A41&gt;0,'B5-Status cobranza'!A41,"")</f>
        <v/>
      </c>
      <c r="C41" s="436">
        <v>303</v>
      </c>
      <c r="D41" s="436" t="s">
        <v>192</v>
      </c>
      <c r="E41" s="436"/>
      <c r="F41" s="436" t="str">
        <f>IF('BOULEVARD 5'!E39="","",'BOULEVARD 5'!E39)</f>
        <v>Erwin Cardona</v>
      </c>
      <c r="G41" s="429" t="str">
        <f>IF('BOULEVARD 5'!F39="","",'BOULEVARD 5'!F39)</f>
        <v>Pedro Antonio Gomar Chávez</v>
      </c>
      <c r="H41" s="473" t="str">
        <f>IF('BOULEVARD 5'!G39="","",'BOULEVARD 5'!G39)</f>
        <v>27/11/205</v>
      </c>
      <c r="I41" s="554" t="str">
        <f t="shared" si="12"/>
        <v/>
      </c>
      <c r="J41" s="554" t="str">
        <f t="shared" si="12"/>
        <v/>
      </c>
      <c r="K41" s="554" t="str">
        <f t="shared" si="12"/>
        <v/>
      </c>
      <c r="L41" s="554" t="str">
        <f t="shared" si="12"/>
        <v/>
      </c>
      <c r="M41" s="554" t="str">
        <f t="shared" si="12"/>
        <v/>
      </c>
      <c r="N41" s="554" t="str">
        <f t="shared" si="12"/>
        <v/>
      </c>
      <c r="O41" s="554" t="str">
        <f t="shared" si="12"/>
        <v/>
      </c>
      <c r="P41" s="554" t="str">
        <f t="shared" si="12"/>
        <v/>
      </c>
      <c r="Q41" s="554" t="str">
        <f t="shared" si="12"/>
        <v/>
      </c>
      <c r="R41" s="554" t="str">
        <f t="shared" si="12"/>
        <v/>
      </c>
      <c r="S41" s="554" t="str">
        <f t="shared" si="12"/>
        <v/>
      </c>
      <c r="T41" s="554" t="str">
        <f t="shared" si="12"/>
        <v/>
      </c>
      <c r="U41" s="554" t="str">
        <f t="shared" si="12"/>
        <v/>
      </c>
      <c r="V41" s="554" t="str">
        <f t="shared" si="12"/>
        <v/>
      </c>
      <c r="W41" s="554" t="str">
        <f t="shared" si="12"/>
        <v/>
      </c>
      <c r="X41" s="554" t="str">
        <f t="shared" ref="X41:AM56" si="14">IF(OR($B41="F&amp;F",$B41="CE",$H41=""),"",IF(TEXT(X$8,"yyyymm")=TEXT($H41,"yyyymm"),1,IF(TEXT(X$8,"yyyymm")&gt;TEXT($H41,"yyyymm"),2,IF(X$8&lt;$H41,"",0))))</f>
        <v/>
      </c>
      <c r="Y41" s="554" t="str">
        <f t="shared" si="13"/>
        <v/>
      </c>
      <c r="Z41" s="554" t="str">
        <f t="shared" si="13"/>
        <v/>
      </c>
      <c r="AA41" s="554" t="str">
        <f t="shared" si="13"/>
        <v/>
      </c>
      <c r="AB41" s="554" t="str">
        <f t="shared" si="13"/>
        <v/>
      </c>
      <c r="AC41" s="554" t="str">
        <f t="shared" si="13"/>
        <v/>
      </c>
      <c r="AD41" s="554" t="str">
        <f t="shared" si="13"/>
        <v/>
      </c>
      <c r="AE41" s="554" t="str">
        <f t="shared" si="13"/>
        <v/>
      </c>
      <c r="AF41" s="554" t="str">
        <f t="shared" si="13"/>
        <v/>
      </c>
      <c r="AG41" s="554" t="str">
        <f t="shared" si="13"/>
        <v/>
      </c>
      <c r="AH41" s="554" t="str">
        <f t="shared" si="13"/>
        <v/>
      </c>
      <c r="AI41" s="554" t="str">
        <f t="shared" si="13"/>
        <v/>
      </c>
      <c r="AJ41" s="554" t="str">
        <f t="shared" si="13"/>
        <v/>
      </c>
      <c r="AK41" s="554" t="str">
        <f t="shared" si="13"/>
        <v/>
      </c>
      <c r="AL41" s="554" t="str">
        <f t="shared" si="13"/>
        <v/>
      </c>
      <c r="AM41" s="554" t="str">
        <f t="shared" si="13"/>
        <v/>
      </c>
      <c r="AN41" s="554" t="str">
        <f t="shared" si="13"/>
        <v/>
      </c>
      <c r="AO41" s="554" t="str">
        <f t="shared" si="11"/>
        <v/>
      </c>
      <c r="AP41" s="554" t="str">
        <f t="shared" si="6"/>
        <v/>
      </c>
      <c r="AQ41" s="429" t="str">
        <f t="shared" si="8"/>
        <v>Vendido</v>
      </c>
      <c r="AR41" s="447">
        <f>_xlfn.XLOOKUP(C41,'BOULEVARD 5'!B:B,'BOULEVARD 5'!AU:AU)</f>
        <v>0</v>
      </c>
    </row>
    <row r="42" spans="1:44" s="429" customFormat="1" ht="13.9" customHeight="1" x14ac:dyDescent="0.25">
      <c r="B42" s="678" t="str">
        <f>IF('B5-Status cobranza'!A42&gt;0,'B5-Status cobranza'!A42,"")</f>
        <v/>
      </c>
      <c r="C42" s="436">
        <v>304</v>
      </c>
      <c r="D42" s="436" t="s">
        <v>198</v>
      </c>
      <c r="E42" s="436"/>
      <c r="F42" s="436" t="str">
        <f>IF('BOULEVARD 5'!E40="","",'BOULEVARD 5'!E40)</f>
        <v>Antonio Rada</v>
      </c>
      <c r="G42" s="429" t="str">
        <f>IF('BOULEVARD 5'!F40="","",'BOULEVARD 5'!F40)</f>
        <v>Ricardo Alberto Vásquez Monterroso</v>
      </c>
      <c r="H42" s="473">
        <f>IF('BOULEVARD 5'!G40="","",'BOULEVARD 5'!G40)</f>
        <v>45719</v>
      </c>
      <c r="I42" s="554" t="str">
        <f t="shared" ref="I42:X57" si="15">IF(OR($B42="F&amp;F",$B42="CE",$H42=""),"",IF(TEXT(I$8,"yyyymm")=TEXT($H42,"yyyymm"),1,IF(TEXT(I$8,"yyyymm")&gt;TEXT($H42,"yyyymm"),2,IF(I$8&lt;$H42,"",0))))</f>
        <v/>
      </c>
      <c r="J42" s="554" t="str">
        <f t="shared" si="15"/>
        <v/>
      </c>
      <c r="K42" s="554" t="str">
        <f t="shared" si="15"/>
        <v/>
      </c>
      <c r="L42" s="554" t="str">
        <f t="shared" si="15"/>
        <v/>
      </c>
      <c r="M42" s="554" t="str">
        <f t="shared" si="15"/>
        <v/>
      </c>
      <c r="N42" s="554" t="str">
        <f t="shared" si="15"/>
        <v/>
      </c>
      <c r="O42" s="554" t="str">
        <f t="shared" si="15"/>
        <v/>
      </c>
      <c r="P42" s="554" t="str">
        <f t="shared" si="15"/>
        <v/>
      </c>
      <c r="Q42" s="554" t="str">
        <f t="shared" si="15"/>
        <v/>
      </c>
      <c r="R42" s="554" t="str">
        <f t="shared" si="15"/>
        <v/>
      </c>
      <c r="S42" s="554" t="str">
        <f t="shared" si="15"/>
        <v/>
      </c>
      <c r="T42" s="554" t="str">
        <f t="shared" si="15"/>
        <v/>
      </c>
      <c r="U42" s="554" t="str">
        <f t="shared" si="15"/>
        <v/>
      </c>
      <c r="V42" s="554" t="str">
        <f t="shared" si="15"/>
        <v/>
      </c>
      <c r="W42" s="554" t="str">
        <f t="shared" si="15"/>
        <v/>
      </c>
      <c r="X42" s="554" t="str">
        <f t="shared" si="14"/>
        <v/>
      </c>
      <c r="Y42" s="554" t="str">
        <f t="shared" si="13"/>
        <v/>
      </c>
      <c r="Z42" s="554" t="str">
        <f t="shared" si="13"/>
        <v/>
      </c>
      <c r="AA42" s="554" t="str">
        <f t="shared" si="13"/>
        <v/>
      </c>
      <c r="AB42" s="554" t="str">
        <f t="shared" si="13"/>
        <v/>
      </c>
      <c r="AC42" s="554" t="str">
        <f t="shared" si="13"/>
        <v/>
      </c>
      <c r="AD42" s="554" t="str">
        <f t="shared" si="13"/>
        <v/>
      </c>
      <c r="AE42" s="554" t="str">
        <f t="shared" si="13"/>
        <v/>
      </c>
      <c r="AF42" s="554" t="str">
        <f t="shared" si="13"/>
        <v/>
      </c>
      <c r="AG42" s="554">
        <f t="shared" si="13"/>
        <v>1</v>
      </c>
      <c r="AH42" s="554">
        <f t="shared" si="13"/>
        <v>2</v>
      </c>
      <c r="AI42" s="554">
        <f t="shared" si="13"/>
        <v>2</v>
      </c>
      <c r="AJ42" s="554">
        <f t="shared" si="13"/>
        <v>2</v>
      </c>
      <c r="AK42" s="554">
        <f t="shared" si="13"/>
        <v>2</v>
      </c>
      <c r="AL42" s="554">
        <f t="shared" si="13"/>
        <v>2</v>
      </c>
      <c r="AM42" s="554">
        <f t="shared" si="13"/>
        <v>2</v>
      </c>
      <c r="AN42" s="554">
        <f t="shared" si="13"/>
        <v>2</v>
      </c>
      <c r="AO42" s="554">
        <f t="shared" si="11"/>
        <v>2</v>
      </c>
      <c r="AP42" s="554">
        <f t="shared" si="6"/>
        <v>2</v>
      </c>
      <c r="AQ42" s="429" t="str">
        <f t="shared" si="8"/>
        <v>Vendido</v>
      </c>
      <c r="AR42" s="447">
        <f>_xlfn.XLOOKUP(C42,'BOULEVARD 5'!B:B,'BOULEVARD 5'!AU:AU)</f>
        <v>0.748544629755728</v>
      </c>
    </row>
    <row r="43" spans="1:44" s="429" customFormat="1" ht="13.9" customHeight="1" x14ac:dyDescent="0.25">
      <c r="B43" s="678" t="str">
        <f>IF('B5-Status cobranza'!A43&gt;0,'B5-Status cobranza'!A43,"")</f>
        <v/>
      </c>
      <c r="C43" s="436">
        <v>305</v>
      </c>
      <c r="D43" s="436" t="s">
        <v>391</v>
      </c>
      <c r="E43" s="436"/>
      <c r="F43" s="436" t="str">
        <f>IF('BOULEVARD 5'!E41="","",'BOULEVARD 5'!E41)</f>
        <v>Antonio Rada</v>
      </c>
      <c r="G43" s="429" t="str">
        <f>IF('BOULEVARD 5'!F41="","",'BOULEVARD 5'!F41)</f>
        <v>Josue Alejandro Arias Perez</v>
      </c>
      <c r="H43" s="473">
        <f>IF('BOULEVARD 5'!G41="","",'BOULEVARD 5'!G41)</f>
        <v>45748</v>
      </c>
      <c r="I43" s="554" t="str">
        <f t="shared" si="15"/>
        <v/>
      </c>
      <c r="J43" s="554" t="str">
        <f t="shared" si="15"/>
        <v/>
      </c>
      <c r="K43" s="554" t="str">
        <f t="shared" si="15"/>
        <v/>
      </c>
      <c r="L43" s="554" t="str">
        <f t="shared" si="15"/>
        <v/>
      </c>
      <c r="M43" s="554" t="str">
        <f t="shared" si="15"/>
        <v/>
      </c>
      <c r="N43" s="554" t="str">
        <f t="shared" si="15"/>
        <v/>
      </c>
      <c r="O43" s="554" t="str">
        <f t="shared" si="15"/>
        <v/>
      </c>
      <c r="P43" s="554" t="str">
        <f t="shared" si="15"/>
        <v/>
      </c>
      <c r="Q43" s="554" t="str">
        <f t="shared" si="15"/>
        <v/>
      </c>
      <c r="R43" s="554" t="str">
        <f t="shared" si="15"/>
        <v/>
      </c>
      <c r="S43" s="554" t="str">
        <f t="shared" si="15"/>
        <v/>
      </c>
      <c r="T43" s="554" t="str">
        <f t="shared" si="15"/>
        <v/>
      </c>
      <c r="U43" s="554" t="str">
        <f t="shared" si="15"/>
        <v/>
      </c>
      <c r="V43" s="554" t="str">
        <f t="shared" si="15"/>
        <v/>
      </c>
      <c r="W43" s="554" t="str">
        <f t="shared" si="15"/>
        <v/>
      </c>
      <c r="X43" s="554" t="str">
        <f t="shared" si="14"/>
        <v/>
      </c>
      <c r="Y43" s="554" t="str">
        <f t="shared" si="13"/>
        <v/>
      </c>
      <c r="Z43" s="554" t="str">
        <f t="shared" si="13"/>
        <v/>
      </c>
      <c r="AA43" s="554" t="str">
        <f t="shared" si="13"/>
        <v/>
      </c>
      <c r="AB43" s="554" t="str">
        <f t="shared" si="13"/>
        <v/>
      </c>
      <c r="AC43" s="554" t="str">
        <f t="shared" si="13"/>
        <v/>
      </c>
      <c r="AD43" s="554" t="str">
        <f t="shared" si="13"/>
        <v/>
      </c>
      <c r="AE43" s="554" t="str">
        <f t="shared" si="13"/>
        <v/>
      </c>
      <c r="AF43" s="554" t="str">
        <f t="shared" si="13"/>
        <v/>
      </c>
      <c r="AG43" s="554" t="str">
        <f t="shared" si="13"/>
        <v/>
      </c>
      <c r="AH43" s="554">
        <f t="shared" si="13"/>
        <v>1</v>
      </c>
      <c r="AI43" s="554">
        <f t="shared" si="13"/>
        <v>2</v>
      </c>
      <c r="AJ43" s="554">
        <f t="shared" si="13"/>
        <v>2</v>
      </c>
      <c r="AK43" s="554">
        <f t="shared" si="13"/>
        <v>2</v>
      </c>
      <c r="AL43" s="554">
        <f t="shared" si="13"/>
        <v>2</v>
      </c>
      <c r="AM43" s="554">
        <f t="shared" si="13"/>
        <v>2</v>
      </c>
      <c r="AN43" s="554">
        <f t="shared" si="13"/>
        <v>2</v>
      </c>
      <c r="AO43" s="554">
        <f t="shared" si="11"/>
        <v>2</v>
      </c>
      <c r="AP43" s="554">
        <f t="shared" si="6"/>
        <v>2</v>
      </c>
      <c r="AQ43" s="429" t="str">
        <f t="shared" si="8"/>
        <v>Vendido</v>
      </c>
      <c r="AR43" s="447">
        <f>_xlfn.XLOOKUP(C43,'BOULEVARD 5'!B:B,'BOULEVARD 5'!AU:AU)</f>
        <v>0.5483315573740436</v>
      </c>
    </row>
    <row r="44" spans="1:44" s="429" customFormat="1" ht="13.9" customHeight="1" x14ac:dyDescent="0.25">
      <c r="B44" s="678" t="str">
        <f>IF('B5-Status cobranza'!A44&gt;0,'B5-Status cobranza'!A44,"")</f>
        <v/>
      </c>
      <c r="C44" s="436">
        <v>306</v>
      </c>
      <c r="D44" s="436" t="s">
        <v>194</v>
      </c>
      <c r="E44" s="436"/>
      <c r="F44" s="436" t="str">
        <f>IF('BOULEVARD 5'!E42="","",'BOULEVARD 5'!E42)</f>
        <v>Anahí Cisneros</v>
      </c>
      <c r="G44" s="429" t="str">
        <f>IF('BOULEVARD 5'!F42="","",'BOULEVARD 5'!F42)</f>
        <v>Ricardo José Ruiz Álvarez</v>
      </c>
      <c r="H44" s="473">
        <f>IF('BOULEVARD 5'!G42="","",'BOULEVARD 5'!G42)</f>
        <v>46033</v>
      </c>
      <c r="I44" s="554" t="str">
        <f t="shared" si="15"/>
        <v/>
      </c>
      <c r="J44" s="554" t="str">
        <f t="shared" si="15"/>
        <v/>
      </c>
      <c r="K44" s="554" t="str">
        <f t="shared" si="15"/>
        <v/>
      </c>
      <c r="L44" s="554" t="str">
        <f t="shared" si="15"/>
        <v/>
      </c>
      <c r="M44" s="554" t="str">
        <f t="shared" si="15"/>
        <v/>
      </c>
      <c r="N44" s="554" t="str">
        <f t="shared" si="15"/>
        <v/>
      </c>
      <c r="O44" s="554" t="str">
        <f t="shared" si="15"/>
        <v/>
      </c>
      <c r="P44" s="554" t="str">
        <f t="shared" si="15"/>
        <v/>
      </c>
      <c r="Q44" s="554" t="str">
        <f t="shared" si="15"/>
        <v/>
      </c>
      <c r="R44" s="554" t="str">
        <f t="shared" si="15"/>
        <v/>
      </c>
      <c r="S44" s="554" t="str">
        <f t="shared" si="15"/>
        <v/>
      </c>
      <c r="T44" s="554" t="str">
        <f t="shared" si="15"/>
        <v/>
      </c>
      <c r="U44" s="554" t="str">
        <f t="shared" si="15"/>
        <v/>
      </c>
      <c r="V44" s="554" t="str">
        <f t="shared" si="15"/>
        <v/>
      </c>
      <c r="W44" s="554" t="str">
        <f t="shared" si="15"/>
        <v/>
      </c>
      <c r="X44" s="554" t="str">
        <f t="shared" si="14"/>
        <v/>
      </c>
      <c r="Y44" s="554" t="str">
        <f t="shared" si="13"/>
        <v/>
      </c>
      <c r="Z44" s="554" t="str">
        <f t="shared" si="13"/>
        <v/>
      </c>
      <c r="AA44" s="554" t="str">
        <f t="shared" si="13"/>
        <v/>
      </c>
      <c r="AB44" s="554" t="str">
        <f t="shared" si="13"/>
        <v/>
      </c>
      <c r="AC44" s="554" t="str">
        <f t="shared" si="13"/>
        <v/>
      </c>
      <c r="AD44" s="554" t="str">
        <f t="shared" si="13"/>
        <v/>
      </c>
      <c r="AE44" s="554" t="str">
        <f t="shared" si="13"/>
        <v/>
      </c>
      <c r="AF44" s="554" t="str">
        <f t="shared" si="13"/>
        <v/>
      </c>
      <c r="AG44" s="554" t="str">
        <f t="shared" si="13"/>
        <v/>
      </c>
      <c r="AH44" s="554" t="str">
        <f t="shared" si="13"/>
        <v/>
      </c>
      <c r="AI44" s="554" t="str">
        <f t="shared" si="13"/>
        <v/>
      </c>
      <c r="AJ44" s="554" t="str">
        <f t="shared" si="13"/>
        <v/>
      </c>
      <c r="AK44" s="554" t="str">
        <f t="shared" si="13"/>
        <v/>
      </c>
      <c r="AL44" s="554" t="str">
        <f t="shared" si="13"/>
        <v/>
      </c>
      <c r="AM44" s="554" t="str">
        <f t="shared" si="13"/>
        <v/>
      </c>
      <c r="AN44" s="554" t="str">
        <f t="shared" si="13"/>
        <v/>
      </c>
      <c r="AO44" s="554" t="str">
        <f t="shared" ref="AO44:AO63" si="16">IF(OR($B44="F&amp;F",$B44="CE",$H44=""),"",IF(TEXT(AO$8,"yyyymm")=TEXT($H44,"yyyymm"),1,IF(TEXT(AO$8,"yyyymm")&gt;TEXT($H44,"yyyymm"),2,IF(AO$8&lt;$H44,"",0))))</f>
        <v/>
      </c>
      <c r="AP44" s="554" t="str">
        <f t="shared" si="6"/>
        <v/>
      </c>
      <c r="AQ44" s="429" t="str">
        <f t="shared" si="8"/>
        <v>Vendido</v>
      </c>
      <c r="AR44" s="447">
        <f>_xlfn.XLOOKUP(C44,'BOULEVARD 5'!B:B,'BOULEVARD 5'!AU:AU)</f>
        <v>0.12903225806451613</v>
      </c>
    </row>
    <row r="45" spans="1:44" s="429" customFormat="1" ht="13.9" customHeight="1" x14ac:dyDescent="0.25">
      <c r="B45" s="678" t="str">
        <f>IF('B5-Status cobranza'!A45&gt;0,'B5-Status cobranza'!A45,"")</f>
        <v/>
      </c>
      <c r="C45" s="436">
        <v>307</v>
      </c>
      <c r="D45" s="436" t="s">
        <v>393</v>
      </c>
      <c r="E45" s="436"/>
      <c r="F45" s="436" t="str">
        <f>IF('BOULEVARD 5'!E43="","",'BOULEVARD 5'!E43)</f>
        <v>Erwin Cardona</v>
      </c>
      <c r="G45" s="429" t="str">
        <f>IF('BOULEVARD 5'!F43="","",'BOULEVARD 5'!F43)</f>
        <v>Héctor Salvador Júarez Hernández/Angee Brizel Canelas Diaz</v>
      </c>
      <c r="H45" s="473">
        <f>IF('BOULEVARD 5'!G43="","",'BOULEVARD 5'!G43)</f>
        <v>45999</v>
      </c>
      <c r="I45" s="554" t="str">
        <f t="shared" si="15"/>
        <v/>
      </c>
      <c r="J45" s="554" t="str">
        <f t="shared" si="15"/>
        <v/>
      </c>
      <c r="K45" s="554" t="str">
        <f t="shared" si="15"/>
        <v/>
      </c>
      <c r="L45" s="554" t="str">
        <f t="shared" si="15"/>
        <v/>
      </c>
      <c r="M45" s="554" t="str">
        <f t="shared" si="15"/>
        <v/>
      </c>
      <c r="N45" s="554" t="str">
        <f t="shared" si="15"/>
        <v/>
      </c>
      <c r="O45" s="554" t="str">
        <f t="shared" si="15"/>
        <v/>
      </c>
      <c r="P45" s="554" t="str">
        <f t="shared" si="15"/>
        <v/>
      </c>
      <c r="Q45" s="554" t="str">
        <f t="shared" si="15"/>
        <v/>
      </c>
      <c r="R45" s="554" t="str">
        <f t="shared" si="15"/>
        <v/>
      </c>
      <c r="S45" s="554" t="str">
        <f t="shared" si="15"/>
        <v/>
      </c>
      <c r="T45" s="554" t="str">
        <f t="shared" si="15"/>
        <v/>
      </c>
      <c r="U45" s="554" t="str">
        <f t="shared" si="15"/>
        <v/>
      </c>
      <c r="V45" s="554" t="str">
        <f t="shared" si="15"/>
        <v/>
      </c>
      <c r="W45" s="554" t="str">
        <f t="shared" si="15"/>
        <v/>
      </c>
      <c r="X45" s="554" t="str">
        <f t="shared" si="14"/>
        <v/>
      </c>
      <c r="Y45" s="554" t="str">
        <f t="shared" si="13"/>
        <v/>
      </c>
      <c r="Z45" s="554" t="str">
        <f t="shared" si="13"/>
        <v/>
      </c>
      <c r="AA45" s="554" t="str">
        <f t="shared" si="13"/>
        <v/>
      </c>
      <c r="AB45" s="554" t="str">
        <f t="shared" si="13"/>
        <v/>
      </c>
      <c r="AC45" s="554" t="str">
        <f t="shared" si="13"/>
        <v/>
      </c>
      <c r="AD45" s="554" t="str">
        <f t="shared" si="13"/>
        <v/>
      </c>
      <c r="AE45" s="554" t="str">
        <f t="shared" si="13"/>
        <v/>
      </c>
      <c r="AF45" s="554" t="str">
        <f t="shared" si="13"/>
        <v/>
      </c>
      <c r="AG45" s="554" t="str">
        <f t="shared" si="13"/>
        <v/>
      </c>
      <c r="AH45" s="554" t="str">
        <f t="shared" si="13"/>
        <v/>
      </c>
      <c r="AI45" s="554" t="str">
        <f t="shared" si="13"/>
        <v/>
      </c>
      <c r="AJ45" s="554" t="str">
        <f t="shared" si="13"/>
        <v/>
      </c>
      <c r="AK45" s="554" t="str">
        <f t="shared" si="13"/>
        <v/>
      </c>
      <c r="AL45" s="554" t="str">
        <f t="shared" si="13"/>
        <v/>
      </c>
      <c r="AM45" s="554" t="str">
        <f t="shared" si="13"/>
        <v/>
      </c>
      <c r="AN45" s="554" t="str">
        <f t="shared" si="13"/>
        <v/>
      </c>
      <c r="AO45" s="554" t="str">
        <f t="shared" si="16"/>
        <v/>
      </c>
      <c r="AP45" s="554">
        <f t="shared" si="6"/>
        <v>1</v>
      </c>
      <c r="AQ45" s="429" t="str">
        <f t="shared" si="8"/>
        <v>Vendido</v>
      </c>
      <c r="AR45" s="447">
        <f>_xlfn.XLOOKUP(C45,'BOULEVARD 5'!B:B,'BOULEVARD 5'!AU:AU)</f>
        <v>0.2706359945872801</v>
      </c>
    </row>
    <row r="46" spans="1:44" s="429" customFormat="1" ht="13.9" customHeight="1" x14ac:dyDescent="0.25">
      <c r="B46" s="678" t="str">
        <f>IF('B5-Status cobranza'!A46&gt;0,'B5-Status cobranza'!A46,"")</f>
        <v/>
      </c>
      <c r="C46" s="436">
        <v>308</v>
      </c>
      <c r="D46" s="436" t="s">
        <v>172</v>
      </c>
      <c r="E46" s="436"/>
      <c r="F46" s="436" t="str">
        <f>IF('BOULEVARD 5'!E44="","",'BOULEVARD 5'!E44)</f>
        <v>Antonio Rada</v>
      </c>
      <c r="G46" s="429" t="str">
        <f>IF('BOULEVARD 5'!F44="","",'BOULEVARD 5'!F44)</f>
        <v>Ricardo Alberto Vásquez Monterroso</v>
      </c>
      <c r="H46" s="473">
        <f>IF('BOULEVARD 5'!G44="","",'BOULEVARD 5'!G44)</f>
        <v>45719</v>
      </c>
      <c r="I46" s="554" t="str">
        <f t="shared" si="15"/>
        <v/>
      </c>
      <c r="J46" s="554" t="str">
        <f t="shared" si="15"/>
        <v/>
      </c>
      <c r="K46" s="554" t="str">
        <f t="shared" si="15"/>
        <v/>
      </c>
      <c r="L46" s="554" t="str">
        <f t="shared" si="15"/>
        <v/>
      </c>
      <c r="M46" s="554" t="str">
        <f t="shared" si="15"/>
        <v/>
      </c>
      <c r="N46" s="554" t="str">
        <f t="shared" si="15"/>
        <v/>
      </c>
      <c r="O46" s="554" t="str">
        <f t="shared" si="15"/>
        <v/>
      </c>
      <c r="P46" s="554" t="str">
        <f t="shared" si="15"/>
        <v/>
      </c>
      <c r="Q46" s="554" t="str">
        <f t="shared" si="15"/>
        <v/>
      </c>
      <c r="R46" s="554" t="str">
        <f t="shared" si="15"/>
        <v/>
      </c>
      <c r="S46" s="554" t="str">
        <f t="shared" si="15"/>
        <v/>
      </c>
      <c r="T46" s="554" t="str">
        <f t="shared" si="15"/>
        <v/>
      </c>
      <c r="U46" s="554" t="str">
        <f t="shared" si="15"/>
        <v/>
      </c>
      <c r="V46" s="554" t="str">
        <f t="shared" si="15"/>
        <v/>
      </c>
      <c r="W46" s="554" t="str">
        <f t="shared" si="15"/>
        <v/>
      </c>
      <c r="X46" s="554" t="str">
        <f t="shared" si="14"/>
        <v/>
      </c>
      <c r="Y46" s="554" t="str">
        <f t="shared" si="13"/>
        <v/>
      </c>
      <c r="Z46" s="554" t="str">
        <f t="shared" si="13"/>
        <v/>
      </c>
      <c r="AA46" s="554" t="str">
        <f t="shared" si="13"/>
        <v/>
      </c>
      <c r="AB46" s="554" t="str">
        <f t="shared" si="13"/>
        <v/>
      </c>
      <c r="AC46" s="554" t="str">
        <f t="shared" si="13"/>
        <v/>
      </c>
      <c r="AD46" s="554" t="str">
        <f t="shared" si="13"/>
        <v/>
      </c>
      <c r="AE46" s="554" t="str">
        <f t="shared" si="13"/>
        <v/>
      </c>
      <c r="AF46" s="554" t="str">
        <f t="shared" si="13"/>
        <v/>
      </c>
      <c r="AG46" s="554">
        <f t="shared" si="13"/>
        <v>1</v>
      </c>
      <c r="AH46" s="554">
        <f t="shared" si="13"/>
        <v>2</v>
      </c>
      <c r="AI46" s="554">
        <f t="shared" si="13"/>
        <v>2</v>
      </c>
      <c r="AJ46" s="554">
        <f t="shared" si="13"/>
        <v>2</v>
      </c>
      <c r="AK46" s="554">
        <f t="shared" si="13"/>
        <v>2</v>
      </c>
      <c r="AL46" s="554">
        <f t="shared" si="13"/>
        <v>2</v>
      </c>
      <c r="AM46" s="554">
        <f t="shared" si="13"/>
        <v>2</v>
      </c>
      <c r="AN46" s="554">
        <f t="shared" si="13"/>
        <v>2</v>
      </c>
      <c r="AO46" s="554">
        <f t="shared" si="16"/>
        <v>2</v>
      </c>
      <c r="AP46" s="554">
        <f t="shared" si="6"/>
        <v>2</v>
      </c>
      <c r="AQ46" s="429" t="str">
        <f t="shared" si="8"/>
        <v>Vendido</v>
      </c>
      <c r="AR46" s="447">
        <f>_xlfn.XLOOKUP(C46,'BOULEVARD 5'!B:B,'BOULEVARD 5'!AU:AU)</f>
        <v>0.74190789560912662</v>
      </c>
    </row>
    <row r="47" spans="1:44" s="429" customFormat="1" ht="13.9" customHeight="1" x14ac:dyDescent="0.25">
      <c r="B47" s="678" t="str">
        <f>IF('B5-Status cobranza'!A47&gt;0,'B5-Status cobranza'!A47,"")</f>
        <v/>
      </c>
      <c r="C47" s="436">
        <v>309</v>
      </c>
      <c r="D47" s="436" t="s">
        <v>395</v>
      </c>
      <c r="E47" s="436"/>
      <c r="F47" s="436" t="str">
        <f>IF('BOULEVARD 5'!E45="","",'BOULEVARD 5'!E45)</f>
        <v>Antonio Rada</v>
      </c>
      <c r="G47" s="429" t="str">
        <f>IF('BOULEVARD 5'!F45="","",'BOULEVARD 5'!F45)</f>
        <v>Leonel Bernardo Molina Gramajo</v>
      </c>
      <c r="H47" s="473">
        <f>IF('BOULEVARD 5'!G45="","",'BOULEVARD 5'!G45)</f>
        <v>45516</v>
      </c>
      <c r="I47" s="554" t="str">
        <f t="shared" si="15"/>
        <v/>
      </c>
      <c r="J47" s="554" t="str">
        <f t="shared" si="15"/>
        <v/>
      </c>
      <c r="K47" s="554" t="str">
        <f t="shared" si="15"/>
        <v/>
      </c>
      <c r="L47" s="554" t="str">
        <f t="shared" si="15"/>
        <v/>
      </c>
      <c r="M47" s="554" t="str">
        <f t="shared" si="15"/>
        <v/>
      </c>
      <c r="N47" s="554" t="str">
        <f t="shared" si="15"/>
        <v/>
      </c>
      <c r="O47" s="554" t="str">
        <f t="shared" si="15"/>
        <v/>
      </c>
      <c r="P47" s="554" t="str">
        <f t="shared" si="15"/>
        <v/>
      </c>
      <c r="Q47" s="554" t="str">
        <f t="shared" si="15"/>
        <v/>
      </c>
      <c r="R47" s="554" t="str">
        <f t="shared" si="15"/>
        <v/>
      </c>
      <c r="S47" s="554" t="str">
        <f t="shared" si="15"/>
        <v/>
      </c>
      <c r="T47" s="554" t="str">
        <f t="shared" si="15"/>
        <v/>
      </c>
      <c r="U47" s="554" t="str">
        <f t="shared" si="15"/>
        <v/>
      </c>
      <c r="V47" s="554" t="str">
        <f t="shared" si="15"/>
        <v/>
      </c>
      <c r="W47" s="554" t="str">
        <f t="shared" si="15"/>
        <v/>
      </c>
      <c r="X47" s="554" t="str">
        <f t="shared" si="14"/>
        <v/>
      </c>
      <c r="Y47" s="554" t="str">
        <f t="shared" si="13"/>
        <v/>
      </c>
      <c r="Z47" s="554">
        <f t="shared" si="13"/>
        <v>1</v>
      </c>
      <c r="AA47" s="554">
        <f t="shared" si="13"/>
        <v>2</v>
      </c>
      <c r="AB47" s="554">
        <f t="shared" si="13"/>
        <v>2</v>
      </c>
      <c r="AC47" s="554">
        <f t="shared" si="13"/>
        <v>2</v>
      </c>
      <c r="AD47" s="554">
        <f t="shared" si="13"/>
        <v>2</v>
      </c>
      <c r="AE47" s="554">
        <f t="shared" si="13"/>
        <v>2</v>
      </c>
      <c r="AF47" s="554">
        <f t="shared" si="13"/>
        <v>2</v>
      </c>
      <c r="AG47" s="554">
        <f t="shared" si="13"/>
        <v>2</v>
      </c>
      <c r="AH47" s="554">
        <f t="shared" si="13"/>
        <v>2</v>
      </c>
      <c r="AI47" s="554">
        <f t="shared" si="13"/>
        <v>2</v>
      </c>
      <c r="AJ47" s="554">
        <f t="shared" si="13"/>
        <v>2</v>
      </c>
      <c r="AK47" s="554">
        <f t="shared" si="13"/>
        <v>2</v>
      </c>
      <c r="AL47" s="554">
        <f t="shared" si="13"/>
        <v>2</v>
      </c>
      <c r="AM47" s="554">
        <f t="shared" si="13"/>
        <v>2</v>
      </c>
      <c r="AN47" s="554">
        <f t="shared" si="13"/>
        <v>2</v>
      </c>
      <c r="AO47" s="554">
        <f t="shared" si="16"/>
        <v>2</v>
      </c>
      <c r="AP47" s="554">
        <f t="shared" si="6"/>
        <v>2</v>
      </c>
      <c r="AQ47" s="429" t="str">
        <f t="shared" si="8"/>
        <v>Vendido</v>
      </c>
      <c r="AR47" s="447">
        <f>_xlfn.XLOOKUP(C47,'BOULEVARD 5'!B:B,'BOULEVARD 5'!AU:AU)</f>
        <v>0.42564216448293729</v>
      </c>
    </row>
    <row r="48" spans="1:44" s="429" customFormat="1" ht="13.9" customHeight="1" x14ac:dyDescent="0.25">
      <c r="B48" s="678" t="str">
        <f>IF('B5-Status cobranza'!A48&gt;0,'B5-Status cobranza'!A48,"")</f>
        <v/>
      </c>
      <c r="C48" s="436">
        <v>310</v>
      </c>
      <c r="D48" s="436" t="s">
        <v>397</v>
      </c>
      <c r="E48" s="436"/>
      <c r="F48" s="436" t="str">
        <f>IF('BOULEVARD 5'!E46="","",'BOULEVARD 5'!E46)</f>
        <v>Erwin Cardona</v>
      </c>
      <c r="G48" s="429" t="str">
        <f>IF('BOULEVARD 5'!F46="","",'BOULEVARD 5'!F46)</f>
        <v>Fernando Javier Rosales Gramajo</v>
      </c>
      <c r="H48" s="473">
        <f>IF('BOULEVARD 5'!G46="","",'BOULEVARD 5'!G46)</f>
        <v>46000</v>
      </c>
      <c r="I48" s="554" t="str">
        <f t="shared" si="15"/>
        <v/>
      </c>
      <c r="J48" s="554" t="str">
        <f t="shared" si="15"/>
        <v/>
      </c>
      <c r="K48" s="554" t="str">
        <f t="shared" si="15"/>
        <v/>
      </c>
      <c r="L48" s="554" t="str">
        <f t="shared" si="15"/>
        <v/>
      </c>
      <c r="M48" s="554" t="str">
        <f t="shared" si="15"/>
        <v/>
      </c>
      <c r="N48" s="554" t="str">
        <f t="shared" si="15"/>
        <v/>
      </c>
      <c r="O48" s="554" t="str">
        <f t="shared" si="15"/>
        <v/>
      </c>
      <c r="P48" s="554" t="str">
        <f t="shared" si="15"/>
        <v/>
      </c>
      <c r="Q48" s="554" t="str">
        <f t="shared" si="15"/>
        <v/>
      </c>
      <c r="R48" s="554" t="str">
        <f t="shared" si="15"/>
        <v/>
      </c>
      <c r="S48" s="554" t="str">
        <f t="shared" si="15"/>
        <v/>
      </c>
      <c r="T48" s="554" t="str">
        <f t="shared" si="15"/>
        <v/>
      </c>
      <c r="U48" s="554" t="str">
        <f t="shared" si="15"/>
        <v/>
      </c>
      <c r="V48" s="554" t="str">
        <f t="shared" si="15"/>
        <v/>
      </c>
      <c r="W48" s="554" t="str">
        <f t="shared" si="15"/>
        <v/>
      </c>
      <c r="X48" s="554" t="str">
        <f t="shared" si="14"/>
        <v/>
      </c>
      <c r="Y48" s="554" t="str">
        <f t="shared" si="13"/>
        <v/>
      </c>
      <c r="Z48" s="554" t="str">
        <f t="shared" si="13"/>
        <v/>
      </c>
      <c r="AA48" s="554" t="str">
        <f t="shared" si="13"/>
        <v/>
      </c>
      <c r="AB48" s="554" t="str">
        <f t="shared" si="13"/>
        <v/>
      </c>
      <c r="AC48" s="554" t="str">
        <f t="shared" si="13"/>
        <v/>
      </c>
      <c r="AD48" s="554" t="str">
        <f t="shared" si="13"/>
        <v/>
      </c>
      <c r="AE48" s="554" t="str">
        <f t="shared" si="13"/>
        <v/>
      </c>
      <c r="AF48" s="554" t="str">
        <f t="shared" si="13"/>
        <v/>
      </c>
      <c r="AG48" s="554" t="str">
        <f t="shared" si="13"/>
        <v/>
      </c>
      <c r="AH48" s="554" t="str">
        <f t="shared" si="13"/>
        <v/>
      </c>
      <c r="AI48" s="554" t="str">
        <f t="shared" si="13"/>
        <v/>
      </c>
      <c r="AJ48" s="554" t="str">
        <f t="shared" si="13"/>
        <v/>
      </c>
      <c r="AK48" s="554" t="str">
        <f t="shared" si="13"/>
        <v/>
      </c>
      <c r="AL48" s="554" t="str">
        <f t="shared" si="13"/>
        <v/>
      </c>
      <c r="AM48" s="554" t="str">
        <f t="shared" si="13"/>
        <v/>
      </c>
      <c r="AN48" s="554" t="str">
        <f t="shared" si="13"/>
        <v/>
      </c>
      <c r="AO48" s="554" t="str">
        <f t="shared" si="16"/>
        <v/>
      </c>
      <c r="AP48" s="554">
        <f t="shared" si="6"/>
        <v>1</v>
      </c>
      <c r="AQ48" s="429" t="str">
        <f t="shared" si="8"/>
        <v>Vendido</v>
      </c>
      <c r="AR48" s="447">
        <f>_xlfn.XLOOKUP(C48,'BOULEVARD 5'!B:B,'BOULEVARD 5'!AU:AU)</f>
        <v>0.14164305949008499</v>
      </c>
    </row>
    <row r="49" spans="1:44" s="429" customFormat="1" ht="13.9" customHeight="1" x14ac:dyDescent="0.25">
      <c r="A49" s="429" t="s">
        <v>388</v>
      </c>
      <c r="B49" s="678"/>
      <c r="C49" s="436">
        <v>311</v>
      </c>
      <c r="D49" s="436" t="s">
        <v>398</v>
      </c>
      <c r="E49" s="641" t="s">
        <v>386</v>
      </c>
      <c r="F49" s="436" t="str">
        <f>IF('BOULEVARD 5'!E47="","",'BOULEVARD 5'!E47)</f>
        <v>Diana Alvarez</v>
      </c>
      <c r="G49" s="429" t="str">
        <f>IF('BOULEVARD 5'!F47="","",'BOULEVARD 5'!F47)</f>
        <v>Miguel Angel Teletor Riz</v>
      </c>
      <c r="H49" s="473">
        <f>IF('BOULEVARD 5'!G47="","",'BOULEVARD 5'!G47)</f>
        <v>45562</v>
      </c>
      <c r="I49" s="554" t="str">
        <f t="shared" si="15"/>
        <v/>
      </c>
      <c r="J49" s="554" t="str">
        <f t="shared" si="15"/>
        <v/>
      </c>
      <c r="K49" s="554" t="str">
        <f t="shared" si="15"/>
        <v/>
      </c>
      <c r="L49" s="554" t="str">
        <f t="shared" si="15"/>
        <v/>
      </c>
      <c r="M49" s="554" t="str">
        <f t="shared" si="15"/>
        <v/>
      </c>
      <c r="N49" s="554" t="str">
        <f t="shared" si="15"/>
        <v/>
      </c>
      <c r="O49" s="554" t="str">
        <f t="shared" si="15"/>
        <v/>
      </c>
      <c r="P49" s="554" t="str">
        <f t="shared" si="15"/>
        <v/>
      </c>
      <c r="Q49" s="554" t="str">
        <f t="shared" si="15"/>
        <v/>
      </c>
      <c r="R49" s="554" t="str">
        <f t="shared" si="15"/>
        <v/>
      </c>
      <c r="S49" s="554" t="str">
        <f t="shared" si="15"/>
        <v/>
      </c>
      <c r="T49" s="554" t="str">
        <f t="shared" si="15"/>
        <v/>
      </c>
      <c r="U49" s="554" t="str">
        <f t="shared" si="15"/>
        <v/>
      </c>
      <c r="V49" s="554" t="str">
        <f t="shared" si="15"/>
        <v/>
      </c>
      <c r="W49" s="554" t="str">
        <f t="shared" si="15"/>
        <v/>
      </c>
      <c r="X49" s="554" t="str">
        <f t="shared" si="14"/>
        <v/>
      </c>
      <c r="Y49" s="554" t="str">
        <f t="shared" si="13"/>
        <v/>
      </c>
      <c r="Z49" s="554" t="str">
        <f t="shared" si="13"/>
        <v/>
      </c>
      <c r="AA49" s="554">
        <f t="shared" si="13"/>
        <v>1</v>
      </c>
      <c r="AB49" s="554">
        <f t="shared" si="13"/>
        <v>2</v>
      </c>
      <c r="AC49" s="554">
        <f t="shared" si="13"/>
        <v>2</v>
      </c>
      <c r="AD49" s="554">
        <f t="shared" si="13"/>
        <v>2</v>
      </c>
      <c r="AE49" s="554">
        <f t="shared" si="13"/>
        <v>2</v>
      </c>
      <c r="AF49" s="554">
        <f t="shared" si="13"/>
        <v>2</v>
      </c>
      <c r="AG49" s="554">
        <f t="shared" si="13"/>
        <v>2</v>
      </c>
      <c r="AH49" s="554">
        <f t="shared" si="13"/>
        <v>2</v>
      </c>
      <c r="AI49" s="554">
        <f t="shared" si="13"/>
        <v>2</v>
      </c>
      <c r="AJ49" s="554">
        <f t="shared" si="13"/>
        <v>2</v>
      </c>
      <c r="AK49" s="554">
        <f t="shared" si="13"/>
        <v>2</v>
      </c>
      <c r="AL49" s="554">
        <f t="shared" si="13"/>
        <v>2</v>
      </c>
      <c r="AM49" s="554">
        <f t="shared" si="13"/>
        <v>2</v>
      </c>
      <c r="AN49" s="554">
        <f t="shared" si="13"/>
        <v>2</v>
      </c>
      <c r="AO49" s="554">
        <f t="shared" si="16"/>
        <v>2</v>
      </c>
      <c r="AP49" s="554">
        <f t="shared" si="6"/>
        <v>2</v>
      </c>
      <c r="AQ49" s="429" t="str">
        <f t="shared" si="8"/>
        <v>Vendido</v>
      </c>
      <c r="AR49" s="447">
        <f>_xlfn.XLOOKUP(C49,'BOULEVARD 5'!B:B,'BOULEVARD 5'!AU:AU)</f>
        <v>1</v>
      </c>
    </row>
    <row r="50" spans="1:44" s="429" customFormat="1" ht="13.9" customHeight="1" x14ac:dyDescent="0.25">
      <c r="B50" s="678" t="str">
        <f>IF('B5-Status cobranza'!A50&gt;0,'B5-Status cobranza'!A50,"")</f>
        <v/>
      </c>
      <c r="C50" s="436">
        <v>312</v>
      </c>
      <c r="D50" s="436" t="s">
        <v>399</v>
      </c>
      <c r="E50" s="436"/>
      <c r="F50" s="436" t="str">
        <f>IF('BOULEVARD 5'!E48="","",'BOULEVARD 5'!E48)</f>
        <v>Antonio Rada</v>
      </c>
      <c r="G50" s="429" t="str">
        <f>IF('BOULEVARD 5'!F48="","",'BOULEVARD 5'!F48)</f>
        <v>Freddy Alejandro Chinchilla Culajay</v>
      </c>
      <c r="H50" s="473">
        <f>IF('BOULEVARD 5'!G48="","",'BOULEVARD 5'!G48)</f>
        <v>45650</v>
      </c>
      <c r="I50" s="554" t="str">
        <f t="shared" si="15"/>
        <v/>
      </c>
      <c r="J50" s="554" t="str">
        <f t="shared" si="15"/>
        <v/>
      </c>
      <c r="K50" s="554" t="str">
        <f t="shared" si="15"/>
        <v/>
      </c>
      <c r="L50" s="554" t="str">
        <f t="shared" si="15"/>
        <v/>
      </c>
      <c r="M50" s="554" t="str">
        <f t="shared" si="15"/>
        <v/>
      </c>
      <c r="N50" s="554" t="str">
        <f t="shared" si="15"/>
        <v/>
      </c>
      <c r="O50" s="554" t="str">
        <f t="shared" si="15"/>
        <v/>
      </c>
      <c r="P50" s="554" t="str">
        <f t="shared" si="15"/>
        <v/>
      </c>
      <c r="Q50" s="554" t="str">
        <f t="shared" si="15"/>
        <v/>
      </c>
      <c r="R50" s="554" t="str">
        <f t="shared" si="15"/>
        <v/>
      </c>
      <c r="S50" s="554" t="str">
        <f t="shared" si="15"/>
        <v/>
      </c>
      <c r="T50" s="554" t="str">
        <f t="shared" si="15"/>
        <v/>
      </c>
      <c r="U50" s="554" t="str">
        <f t="shared" si="15"/>
        <v/>
      </c>
      <c r="V50" s="554" t="str">
        <f t="shared" si="15"/>
        <v/>
      </c>
      <c r="W50" s="554" t="str">
        <f t="shared" si="15"/>
        <v/>
      </c>
      <c r="X50" s="554" t="str">
        <f t="shared" si="14"/>
        <v/>
      </c>
      <c r="Y50" s="554" t="str">
        <f t="shared" si="13"/>
        <v/>
      </c>
      <c r="Z50" s="554" t="str">
        <f t="shared" si="13"/>
        <v/>
      </c>
      <c r="AA50" s="554" t="str">
        <f t="shared" si="13"/>
        <v/>
      </c>
      <c r="AB50" s="554" t="str">
        <f t="shared" si="13"/>
        <v/>
      </c>
      <c r="AC50" s="554" t="str">
        <f t="shared" si="13"/>
        <v/>
      </c>
      <c r="AD50" s="554">
        <f t="shared" si="13"/>
        <v>1</v>
      </c>
      <c r="AE50" s="554">
        <f t="shared" si="13"/>
        <v>2</v>
      </c>
      <c r="AF50" s="554">
        <f t="shared" si="13"/>
        <v>2</v>
      </c>
      <c r="AG50" s="554">
        <f t="shared" si="13"/>
        <v>2</v>
      </c>
      <c r="AH50" s="554">
        <f t="shared" si="13"/>
        <v>2</v>
      </c>
      <c r="AI50" s="554">
        <f t="shared" si="13"/>
        <v>2</v>
      </c>
      <c r="AJ50" s="554">
        <f t="shared" si="13"/>
        <v>2</v>
      </c>
      <c r="AK50" s="554">
        <f t="shared" si="13"/>
        <v>2</v>
      </c>
      <c r="AL50" s="554">
        <f t="shared" si="13"/>
        <v>2</v>
      </c>
      <c r="AM50" s="554">
        <f t="shared" si="13"/>
        <v>2</v>
      </c>
      <c r="AN50" s="554">
        <f t="shared" si="13"/>
        <v>2</v>
      </c>
      <c r="AO50" s="554">
        <f t="shared" si="16"/>
        <v>2</v>
      </c>
      <c r="AP50" s="554">
        <f t="shared" si="6"/>
        <v>2</v>
      </c>
      <c r="AQ50" s="429" t="str">
        <f t="shared" si="8"/>
        <v>Vendido</v>
      </c>
      <c r="AR50" s="447">
        <f>_xlfn.XLOOKUP(C50,'BOULEVARD 5'!B:B,'BOULEVARD 5'!AU:AU)</f>
        <v>0.72253869440286289</v>
      </c>
    </row>
    <row r="51" spans="1:44" s="429" customFormat="1" ht="13.9" customHeight="1" x14ac:dyDescent="0.25">
      <c r="B51" s="678" t="str">
        <f>IF('B5-Status cobranza'!A51&gt;0,'B5-Status cobranza'!A51,"")</f>
        <v/>
      </c>
      <c r="C51" s="436">
        <v>313</v>
      </c>
      <c r="D51" s="436" t="s">
        <v>400</v>
      </c>
      <c r="E51" s="436"/>
      <c r="F51" s="436" t="str">
        <f>IF('BOULEVARD 5'!E49="","",'BOULEVARD 5'!E49)</f>
        <v>Antonio Rada</v>
      </c>
      <c r="G51" s="429" t="str">
        <f>IF('BOULEVARD 5'!F49="","",'BOULEVARD 5'!F49)</f>
        <v>Leslly Franzoli Cortez Avila</v>
      </c>
      <c r="H51" s="473">
        <f>IF('BOULEVARD 5'!G49="","",'BOULEVARD 5'!G49)</f>
        <v>45419</v>
      </c>
      <c r="I51" s="554" t="str">
        <f t="shared" si="15"/>
        <v/>
      </c>
      <c r="J51" s="554" t="str">
        <f t="shared" si="15"/>
        <v/>
      </c>
      <c r="K51" s="554" t="str">
        <f t="shared" si="15"/>
        <v/>
      </c>
      <c r="L51" s="554" t="str">
        <f t="shared" si="15"/>
        <v/>
      </c>
      <c r="M51" s="554" t="str">
        <f t="shared" si="15"/>
        <v/>
      </c>
      <c r="N51" s="554" t="str">
        <f t="shared" si="15"/>
        <v/>
      </c>
      <c r="O51" s="554" t="str">
        <f t="shared" si="15"/>
        <v/>
      </c>
      <c r="P51" s="554" t="str">
        <f t="shared" si="15"/>
        <v/>
      </c>
      <c r="Q51" s="554" t="str">
        <f t="shared" si="15"/>
        <v/>
      </c>
      <c r="R51" s="554" t="str">
        <f t="shared" si="15"/>
        <v/>
      </c>
      <c r="S51" s="554" t="str">
        <f t="shared" si="15"/>
        <v/>
      </c>
      <c r="T51" s="554" t="str">
        <f t="shared" si="15"/>
        <v/>
      </c>
      <c r="U51" s="554" t="str">
        <f t="shared" si="15"/>
        <v/>
      </c>
      <c r="V51" s="554" t="str">
        <f t="shared" si="15"/>
        <v/>
      </c>
      <c r="W51" s="554">
        <f t="shared" si="15"/>
        <v>1</v>
      </c>
      <c r="X51" s="554">
        <f t="shared" si="14"/>
        <v>2</v>
      </c>
      <c r="Y51" s="554">
        <f t="shared" si="13"/>
        <v>2</v>
      </c>
      <c r="Z51" s="554">
        <f t="shared" si="13"/>
        <v>2</v>
      </c>
      <c r="AA51" s="554">
        <f t="shared" si="13"/>
        <v>2</v>
      </c>
      <c r="AB51" s="554">
        <f t="shared" si="13"/>
        <v>2</v>
      </c>
      <c r="AC51" s="554">
        <f t="shared" si="13"/>
        <v>2</v>
      </c>
      <c r="AD51" s="554">
        <f t="shared" si="13"/>
        <v>2</v>
      </c>
      <c r="AE51" s="554">
        <f t="shared" si="13"/>
        <v>2</v>
      </c>
      <c r="AF51" s="554">
        <f t="shared" si="13"/>
        <v>2</v>
      </c>
      <c r="AG51" s="554">
        <f t="shared" si="13"/>
        <v>2</v>
      </c>
      <c r="AH51" s="554">
        <f t="shared" si="13"/>
        <v>2</v>
      </c>
      <c r="AI51" s="554">
        <f t="shared" si="13"/>
        <v>2</v>
      </c>
      <c r="AJ51" s="554">
        <f t="shared" si="13"/>
        <v>2</v>
      </c>
      <c r="AK51" s="554">
        <f t="shared" si="13"/>
        <v>2</v>
      </c>
      <c r="AL51" s="554">
        <f t="shared" si="13"/>
        <v>2</v>
      </c>
      <c r="AM51" s="554">
        <f t="shared" si="13"/>
        <v>2</v>
      </c>
      <c r="AN51" s="554">
        <f t="shared" si="13"/>
        <v>2</v>
      </c>
      <c r="AO51" s="554">
        <f t="shared" si="16"/>
        <v>2</v>
      </c>
      <c r="AP51" s="554">
        <f t="shared" si="6"/>
        <v>2</v>
      </c>
      <c r="AQ51" s="429" t="str">
        <f t="shared" si="8"/>
        <v>Vendido</v>
      </c>
      <c r="AR51" s="447">
        <f>_xlfn.XLOOKUP(C51,'BOULEVARD 5'!B:B,'BOULEVARD 5'!AU:AU)</f>
        <v>1.0000643382352941</v>
      </c>
    </row>
    <row r="52" spans="1:44" s="429" customFormat="1" ht="13.9" customHeight="1" x14ac:dyDescent="0.25">
      <c r="B52" s="678" t="str">
        <f>IF('B5-Status cobranza'!A52&gt;0,'B5-Status cobranza'!A52,"")</f>
        <v/>
      </c>
      <c r="C52" s="436">
        <v>314</v>
      </c>
      <c r="D52" s="436" t="s">
        <v>175</v>
      </c>
      <c r="E52" s="436"/>
      <c r="F52" s="436" t="str">
        <f>IF('BOULEVARD 5'!E50="","",'BOULEVARD 5'!E50)</f>
        <v>Laura Molina</v>
      </c>
      <c r="G52" s="429" t="str">
        <f>IF('BOULEVARD 5'!F50="","",'BOULEVARD 5'!F50)</f>
        <v>Arcely Contreras</v>
      </c>
      <c r="H52" s="473">
        <f>IF('BOULEVARD 5'!G50="","",'BOULEVARD 5'!G50)</f>
        <v>45880</v>
      </c>
      <c r="I52" s="554" t="str">
        <f t="shared" si="15"/>
        <v/>
      </c>
      <c r="J52" s="554" t="str">
        <f t="shared" si="15"/>
        <v/>
      </c>
      <c r="K52" s="554" t="str">
        <f t="shared" si="15"/>
        <v/>
      </c>
      <c r="L52" s="554" t="str">
        <f t="shared" si="15"/>
        <v/>
      </c>
      <c r="M52" s="554" t="str">
        <f t="shared" si="15"/>
        <v/>
      </c>
      <c r="N52" s="554" t="str">
        <f t="shared" si="15"/>
        <v/>
      </c>
      <c r="O52" s="554" t="str">
        <f t="shared" si="15"/>
        <v/>
      </c>
      <c r="P52" s="554" t="str">
        <f t="shared" si="15"/>
        <v/>
      </c>
      <c r="Q52" s="554" t="str">
        <f t="shared" si="15"/>
        <v/>
      </c>
      <c r="R52" s="554" t="str">
        <f t="shared" si="15"/>
        <v/>
      </c>
      <c r="S52" s="554" t="str">
        <f t="shared" si="15"/>
        <v/>
      </c>
      <c r="T52" s="554" t="str">
        <f t="shared" si="15"/>
        <v/>
      </c>
      <c r="U52" s="554" t="str">
        <f t="shared" si="15"/>
        <v/>
      </c>
      <c r="V52" s="554" t="str">
        <f t="shared" si="15"/>
        <v/>
      </c>
      <c r="W52" s="554" t="str">
        <f t="shared" si="15"/>
        <v/>
      </c>
      <c r="X52" s="554" t="str">
        <f t="shared" si="14"/>
        <v/>
      </c>
      <c r="Y52" s="554" t="str">
        <f t="shared" si="13"/>
        <v/>
      </c>
      <c r="Z52" s="554" t="str">
        <f t="shared" si="13"/>
        <v/>
      </c>
      <c r="AA52" s="554" t="str">
        <f t="shared" si="13"/>
        <v/>
      </c>
      <c r="AB52" s="554" t="str">
        <f t="shared" si="13"/>
        <v/>
      </c>
      <c r="AC52" s="554" t="str">
        <f t="shared" si="13"/>
        <v/>
      </c>
      <c r="AD52" s="554" t="str">
        <f t="shared" si="13"/>
        <v/>
      </c>
      <c r="AE52" s="554" t="str">
        <f t="shared" si="13"/>
        <v/>
      </c>
      <c r="AF52" s="554" t="str">
        <f t="shared" si="13"/>
        <v/>
      </c>
      <c r="AG52" s="554" t="str">
        <f t="shared" si="13"/>
        <v/>
      </c>
      <c r="AH52" s="554" t="str">
        <f t="shared" si="13"/>
        <v/>
      </c>
      <c r="AI52" s="554" t="str">
        <f t="shared" si="13"/>
        <v/>
      </c>
      <c r="AJ52" s="554" t="str">
        <f t="shared" si="13"/>
        <v/>
      </c>
      <c r="AK52" s="554" t="str">
        <f t="shared" si="13"/>
        <v/>
      </c>
      <c r="AL52" s="554">
        <f t="shared" si="13"/>
        <v>1</v>
      </c>
      <c r="AM52" s="554">
        <f t="shared" si="13"/>
        <v>2</v>
      </c>
      <c r="AN52" s="554">
        <f t="shared" si="13"/>
        <v>2</v>
      </c>
      <c r="AO52" s="554">
        <f t="shared" si="16"/>
        <v>2</v>
      </c>
      <c r="AP52" s="554">
        <f t="shared" si="6"/>
        <v>2</v>
      </c>
      <c r="AQ52" s="429" t="str">
        <f t="shared" si="8"/>
        <v>Vendido</v>
      </c>
      <c r="AR52" s="447">
        <f>_xlfn.XLOOKUP(C52,'BOULEVARD 5'!B:B,'BOULEVARD 5'!AU:AU)</f>
        <v>0.42287449280013562</v>
      </c>
    </row>
    <row r="53" spans="1:44" s="429" customFormat="1" ht="13.9" customHeight="1" x14ac:dyDescent="0.25">
      <c r="B53" s="678" t="str">
        <f>IF('B5-Status cobranza'!A53&gt;0,'B5-Status cobranza'!A53,"")</f>
        <v/>
      </c>
      <c r="C53" s="436">
        <v>315</v>
      </c>
      <c r="D53" s="436" t="s">
        <v>125</v>
      </c>
      <c r="E53" s="436"/>
      <c r="F53" s="436" t="str">
        <f>IF('BOULEVARD 5'!E51="","",'BOULEVARD 5'!E51)</f>
        <v>Sofia Paredes</v>
      </c>
      <c r="G53" s="429" t="str">
        <f>IF('BOULEVARD 5'!F51="","",'BOULEVARD 5'!F51)</f>
        <v>Lilian America Roldan Ochoa</v>
      </c>
      <c r="H53" s="473">
        <f>IF('BOULEVARD 5'!G51="","",'BOULEVARD 5'!G51)</f>
        <v>45752</v>
      </c>
      <c r="I53" s="554" t="str">
        <f t="shared" si="15"/>
        <v/>
      </c>
      <c r="J53" s="554" t="str">
        <f t="shared" si="15"/>
        <v/>
      </c>
      <c r="K53" s="554" t="str">
        <f t="shared" si="15"/>
        <v/>
      </c>
      <c r="L53" s="554" t="str">
        <f t="shared" si="15"/>
        <v/>
      </c>
      <c r="M53" s="554" t="str">
        <f t="shared" si="15"/>
        <v/>
      </c>
      <c r="N53" s="554" t="str">
        <f t="shared" si="15"/>
        <v/>
      </c>
      <c r="O53" s="554" t="str">
        <f t="shared" si="15"/>
        <v/>
      </c>
      <c r="P53" s="554" t="str">
        <f t="shared" si="15"/>
        <v/>
      </c>
      <c r="Q53" s="554" t="str">
        <f t="shared" si="15"/>
        <v/>
      </c>
      <c r="R53" s="554" t="str">
        <f t="shared" si="15"/>
        <v/>
      </c>
      <c r="S53" s="554" t="str">
        <f t="shared" si="15"/>
        <v/>
      </c>
      <c r="T53" s="554" t="str">
        <f t="shared" si="15"/>
        <v/>
      </c>
      <c r="U53" s="554" t="str">
        <f t="shared" si="15"/>
        <v/>
      </c>
      <c r="V53" s="554" t="str">
        <f t="shared" si="15"/>
        <v/>
      </c>
      <c r="W53" s="554" t="str">
        <f t="shared" si="15"/>
        <v/>
      </c>
      <c r="X53" s="554" t="str">
        <f t="shared" si="14"/>
        <v/>
      </c>
      <c r="Y53" s="554" t="str">
        <f t="shared" si="13"/>
        <v/>
      </c>
      <c r="Z53" s="554" t="str">
        <f t="shared" si="13"/>
        <v/>
      </c>
      <c r="AA53" s="554" t="str">
        <f t="shared" si="13"/>
        <v/>
      </c>
      <c r="AB53" s="554" t="str">
        <f t="shared" si="13"/>
        <v/>
      </c>
      <c r="AC53" s="554" t="str">
        <f t="shared" si="13"/>
        <v/>
      </c>
      <c r="AD53" s="554" t="str">
        <f t="shared" si="13"/>
        <v/>
      </c>
      <c r="AE53" s="554" t="str">
        <f t="shared" si="13"/>
        <v/>
      </c>
      <c r="AF53" s="554" t="str">
        <f t="shared" si="13"/>
        <v/>
      </c>
      <c r="AG53" s="554" t="str">
        <f t="shared" si="13"/>
        <v/>
      </c>
      <c r="AH53" s="554">
        <f t="shared" si="13"/>
        <v>1</v>
      </c>
      <c r="AI53" s="554">
        <f t="shared" si="13"/>
        <v>2</v>
      </c>
      <c r="AJ53" s="554">
        <f t="shared" si="13"/>
        <v>2</v>
      </c>
      <c r="AK53" s="554">
        <f t="shared" si="13"/>
        <v>2</v>
      </c>
      <c r="AL53" s="554">
        <f t="shared" si="13"/>
        <v>2</v>
      </c>
      <c r="AM53" s="554">
        <f t="shared" si="13"/>
        <v>2</v>
      </c>
      <c r="AN53" s="554">
        <f t="shared" si="13"/>
        <v>2</v>
      </c>
      <c r="AO53" s="554">
        <f t="shared" si="16"/>
        <v>2</v>
      </c>
      <c r="AP53" s="554">
        <f t="shared" si="6"/>
        <v>2</v>
      </c>
      <c r="AQ53" s="429" t="str">
        <f t="shared" si="8"/>
        <v>Vendido</v>
      </c>
      <c r="AR53" s="447">
        <f>_xlfn.XLOOKUP(C53,'BOULEVARD 5'!B:B,'BOULEVARD 5'!AU:AU)</f>
        <v>0.63475958895003892</v>
      </c>
    </row>
    <row r="54" spans="1:44" s="429" customFormat="1" ht="13.9" customHeight="1" x14ac:dyDescent="0.25">
      <c r="B54" s="678" t="str">
        <f>IF('B5-Status cobranza'!A54&gt;0,'B5-Status cobranza'!A54,"")</f>
        <v/>
      </c>
      <c r="C54" s="436">
        <v>316</v>
      </c>
      <c r="D54" s="436" t="s">
        <v>178</v>
      </c>
      <c r="E54" s="436"/>
      <c r="F54" s="436" t="str">
        <f>IF('BOULEVARD 5'!E52="","",'BOULEVARD 5'!E52)</f>
        <v>Antonio Rada</v>
      </c>
      <c r="G54" s="429" t="str">
        <f>IF('BOULEVARD 5'!F52="","",'BOULEVARD 5'!F52)</f>
        <v>Allan Omar Alvarado Vásquez</v>
      </c>
      <c r="H54" s="473">
        <f>IF('BOULEVARD 5'!G52="","",'BOULEVARD 5'!G52)</f>
        <v>45228</v>
      </c>
      <c r="I54" s="554" t="str">
        <f t="shared" si="15"/>
        <v/>
      </c>
      <c r="J54" s="554" t="str">
        <f t="shared" si="15"/>
        <v/>
      </c>
      <c r="K54" s="554" t="str">
        <f t="shared" si="15"/>
        <v/>
      </c>
      <c r="L54" s="554" t="str">
        <f t="shared" si="15"/>
        <v/>
      </c>
      <c r="M54" s="554" t="str">
        <f t="shared" si="15"/>
        <v/>
      </c>
      <c r="N54" s="554" t="str">
        <f t="shared" si="15"/>
        <v/>
      </c>
      <c r="O54" s="554" t="str">
        <f t="shared" si="15"/>
        <v/>
      </c>
      <c r="P54" s="554">
        <f t="shared" si="15"/>
        <v>1</v>
      </c>
      <c r="Q54" s="554">
        <f t="shared" si="15"/>
        <v>2</v>
      </c>
      <c r="R54" s="554">
        <f t="shared" si="15"/>
        <v>2</v>
      </c>
      <c r="S54" s="554">
        <f t="shared" si="15"/>
        <v>2</v>
      </c>
      <c r="T54" s="554">
        <f t="shared" si="15"/>
        <v>2</v>
      </c>
      <c r="U54" s="554">
        <f t="shared" si="15"/>
        <v>2</v>
      </c>
      <c r="V54" s="554">
        <f t="shared" si="15"/>
        <v>2</v>
      </c>
      <c r="W54" s="554">
        <f t="shared" si="15"/>
        <v>2</v>
      </c>
      <c r="X54" s="554">
        <f t="shared" si="14"/>
        <v>2</v>
      </c>
      <c r="Y54" s="554">
        <f t="shared" si="13"/>
        <v>2</v>
      </c>
      <c r="Z54" s="554">
        <f t="shared" si="13"/>
        <v>2</v>
      </c>
      <c r="AA54" s="554">
        <f t="shared" si="13"/>
        <v>2</v>
      </c>
      <c r="AB54" s="554">
        <f t="shared" si="13"/>
        <v>2</v>
      </c>
      <c r="AC54" s="554">
        <f t="shared" si="13"/>
        <v>2</v>
      </c>
      <c r="AD54" s="554">
        <f t="shared" si="13"/>
        <v>2</v>
      </c>
      <c r="AE54" s="554">
        <f t="shared" si="13"/>
        <v>2</v>
      </c>
      <c r="AF54" s="554">
        <f t="shared" si="13"/>
        <v>2</v>
      </c>
      <c r="AG54" s="554">
        <f t="shared" si="13"/>
        <v>2</v>
      </c>
      <c r="AH54" s="554">
        <f t="shared" si="13"/>
        <v>2</v>
      </c>
      <c r="AI54" s="554">
        <f t="shared" si="13"/>
        <v>2</v>
      </c>
      <c r="AJ54" s="554">
        <f t="shared" si="13"/>
        <v>2</v>
      </c>
      <c r="AK54" s="554">
        <f t="shared" si="13"/>
        <v>2</v>
      </c>
      <c r="AL54" s="554">
        <f t="shared" si="13"/>
        <v>2</v>
      </c>
      <c r="AM54" s="554">
        <f t="shared" si="13"/>
        <v>2</v>
      </c>
      <c r="AN54" s="554">
        <f t="shared" si="13"/>
        <v>2</v>
      </c>
      <c r="AO54" s="554">
        <f t="shared" si="16"/>
        <v>2</v>
      </c>
      <c r="AP54" s="554">
        <f t="shared" si="6"/>
        <v>2</v>
      </c>
      <c r="AQ54" s="429" t="str">
        <f t="shared" si="8"/>
        <v>Vendido</v>
      </c>
      <c r="AR54" s="447">
        <f>_xlfn.XLOOKUP(C54,'BOULEVARD 5'!B:B,'BOULEVARD 5'!AU:AU)</f>
        <v>1.0001207394898812</v>
      </c>
    </row>
    <row r="55" spans="1:44" s="429" customFormat="1" ht="13.9" customHeight="1" x14ac:dyDescent="0.25">
      <c r="B55" s="678" t="str">
        <f>IF('B5-Status cobranza'!A55&gt;0,'B5-Status cobranza'!A55,"")</f>
        <v/>
      </c>
      <c r="C55" s="436">
        <v>317</v>
      </c>
      <c r="D55" s="436" t="s">
        <v>406</v>
      </c>
      <c r="E55" s="436"/>
      <c r="F55" s="436" t="str">
        <f>IF('BOULEVARD 5'!E53="","",'BOULEVARD 5'!E53)</f>
        <v>Antonio Rada</v>
      </c>
      <c r="G55" s="429" t="str">
        <f>IF('BOULEVARD 5'!F53="","",'BOULEVARD 5'!F53)</f>
        <v>Antonio Meneses Hernandez</v>
      </c>
      <c r="H55" s="473">
        <f>IF('BOULEVARD 5'!G53="","",'BOULEVARD 5'!G53)</f>
        <v>45258</v>
      </c>
      <c r="I55" s="554" t="str">
        <f t="shared" si="15"/>
        <v/>
      </c>
      <c r="J55" s="554" t="str">
        <f t="shared" si="15"/>
        <v/>
      </c>
      <c r="K55" s="554" t="str">
        <f t="shared" si="15"/>
        <v/>
      </c>
      <c r="L55" s="554" t="str">
        <f t="shared" si="15"/>
        <v/>
      </c>
      <c r="M55" s="554" t="str">
        <f t="shared" si="15"/>
        <v/>
      </c>
      <c r="N55" s="554" t="str">
        <f t="shared" si="15"/>
        <v/>
      </c>
      <c r="O55" s="554" t="str">
        <f t="shared" si="15"/>
        <v/>
      </c>
      <c r="P55" s="554" t="str">
        <f t="shared" si="15"/>
        <v/>
      </c>
      <c r="Q55" s="554">
        <f t="shared" si="15"/>
        <v>1</v>
      </c>
      <c r="R55" s="554">
        <f t="shared" si="15"/>
        <v>2</v>
      </c>
      <c r="S55" s="554">
        <f t="shared" si="15"/>
        <v>2</v>
      </c>
      <c r="T55" s="554">
        <f t="shared" si="15"/>
        <v>2</v>
      </c>
      <c r="U55" s="554">
        <f t="shared" si="15"/>
        <v>2</v>
      </c>
      <c r="V55" s="554">
        <f t="shared" si="15"/>
        <v>2</v>
      </c>
      <c r="W55" s="554">
        <f t="shared" si="15"/>
        <v>2</v>
      </c>
      <c r="X55" s="554">
        <f t="shared" si="14"/>
        <v>2</v>
      </c>
      <c r="Y55" s="554">
        <f t="shared" si="13"/>
        <v>2</v>
      </c>
      <c r="Z55" s="554">
        <f t="shared" si="13"/>
        <v>2</v>
      </c>
      <c r="AA55" s="554">
        <f t="shared" si="13"/>
        <v>2</v>
      </c>
      <c r="AB55" s="554">
        <f t="shared" si="13"/>
        <v>2</v>
      </c>
      <c r="AC55" s="554">
        <f t="shared" si="13"/>
        <v>2</v>
      </c>
      <c r="AD55" s="554">
        <f t="shared" si="13"/>
        <v>2</v>
      </c>
      <c r="AE55" s="554">
        <f t="shared" si="13"/>
        <v>2</v>
      </c>
      <c r="AF55" s="554">
        <f t="shared" si="13"/>
        <v>2</v>
      </c>
      <c r="AG55" s="554">
        <f t="shared" si="13"/>
        <v>2</v>
      </c>
      <c r="AH55" s="554">
        <f t="shared" si="13"/>
        <v>2</v>
      </c>
      <c r="AI55" s="554">
        <f t="shared" si="13"/>
        <v>2</v>
      </c>
      <c r="AJ55" s="554">
        <f t="shared" si="13"/>
        <v>2</v>
      </c>
      <c r="AK55" s="554">
        <f t="shared" si="13"/>
        <v>2</v>
      </c>
      <c r="AL55" s="554">
        <f t="shared" si="13"/>
        <v>2</v>
      </c>
      <c r="AM55" s="554">
        <f t="shared" si="13"/>
        <v>2</v>
      </c>
      <c r="AN55" s="554">
        <f t="shared" ref="AN55:AP74" si="17">IF(OR($B55="F&amp;F",$B55="CE",$H55=""),"",IF(TEXT(AN$8,"yyyymm")=TEXT($H55,"yyyymm"),1,IF(TEXT(AN$8,"yyyymm")&gt;TEXT($H55,"yyyymm"),2,IF(AN$8&lt;$H55,"",0))))</f>
        <v>2</v>
      </c>
      <c r="AO55" s="554">
        <f t="shared" si="16"/>
        <v>2</v>
      </c>
      <c r="AP55" s="554">
        <f t="shared" si="6"/>
        <v>2</v>
      </c>
      <c r="AQ55" s="429" t="str">
        <f t="shared" si="8"/>
        <v>Vendido</v>
      </c>
      <c r="AR55" s="447">
        <f>_xlfn.XLOOKUP(C55,'BOULEVARD 5'!B:B,'BOULEVARD 5'!AU:AU)</f>
        <v>1.0419878787878787</v>
      </c>
    </row>
    <row r="56" spans="1:44" s="429" customFormat="1" ht="13.9" customHeight="1" x14ac:dyDescent="0.25">
      <c r="B56" s="678" t="str">
        <f>IF('B5-Status cobranza'!A56&gt;0,'B5-Status cobranza'!A56,"")</f>
        <v/>
      </c>
      <c r="C56" s="436">
        <v>318</v>
      </c>
      <c r="D56" s="436" t="s">
        <v>200</v>
      </c>
      <c r="E56" s="436"/>
      <c r="F56" s="436" t="str">
        <f>IF('BOULEVARD 5'!E54="","",'BOULEVARD 5'!E54)</f>
        <v>Antonio Rada</v>
      </c>
      <c r="G56" s="429" t="str">
        <f>IF('BOULEVARD 5'!F54="","",'BOULEVARD 5'!F54)</f>
        <v>Jose Reynaldo Linares</v>
      </c>
      <c r="H56" s="473">
        <f>IF('BOULEVARD 5'!G54="","",'BOULEVARD 5'!G54)</f>
        <v>45242</v>
      </c>
      <c r="I56" s="554" t="str">
        <f t="shared" si="15"/>
        <v/>
      </c>
      <c r="J56" s="554" t="str">
        <f t="shared" si="15"/>
        <v/>
      </c>
      <c r="K56" s="554" t="str">
        <f t="shared" si="15"/>
        <v/>
      </c>
      <c r="L56" s="554" t="str">
        <f t="shared" si="15"/>
        <v/>
      </c>
      <c r="M56" s="554" t="str">
        <f t="shared" si="15"/>
        <v/>
      </c>
      <c r="N56" s="554" t="str">
        <f t="shared" si="15"/>
        <v/>
      </c>
      <c r="O56" s="554" t="str">
        <f t="shared" si="15"/>
        <v/>
      </c>
      <c r="P56" s="554" t="str">
        <f t="shared" si="15"/>
        <v/>
      </c>
      <c r="Q56" s="554">
        <f t="shared" si="15"/>
        <v>1</v>
      </c>
      <c r="R56" s="554">
        <f t="shared" si="15"/>
        <v>2</v>
      </c>
      <c r="S56" s="554">
        <f t="shared" si="15"/>
        <v>2</v>
      </c>
      <c r="T56" s="554">
        <f t="shared" si="15"/>
        <v>2</v>
      </c>
      <c r="U56" s="554">
        <f t="shared" si="15"/>
        <v>2</v>
      </c>
      <c r="V56" s="554">
        <f t="shared" si="15"/>
        <v>2</v>
      </c>
      <c r="W56" s="554">
        <f t="shared" si="15"/>
        <v>2</v>
      </c>
      <c r="X56" s="554">
        <f t="shared" si="14"/>
        <v>2</v>
      </c>
      <c r="Y56" s="554">
        <f t="shared" si="14"/>
        <v>2</v>
      </c>
      <c r="Z56" s="554">
        <f t="shared" si="14"/>
        <v>2</v>
      </c>
      <c r="AA56" s="554">
        <f t="shared" si="14"/>
        <v>2</v>
      </c>
      <c r="AB56" s="554">
        <f t="shared" si="14"/>
        <v>2</v>
      </c>
      <c r="AC56" s="554">
        <f t="shared" si="14"/>
        <v>2</v>
      </c>
      <c r="AD56" s="554">
        <f t="shared" si="14"/>
        <v>2</v>
      </c>
      <c r="AE56" s="554">
        <f t="shared" si="14"/>
        <v>2</v>
      </c>
      <c r="AF56" s="554">
        <f t="shared" si="14"/>
        <v>2</v>
      </c>
      <c r="AG56" s="554">
        <f t="shared" si="14"/>
        <v>2</v>
      </c>
      <c r="AH56" s="554">
        <f t="shared" si="14"/>
        <v>2</v>
      </c>
      <c r="AI56" s="554">
        <f t="shared" si="14"/>
        <v>2</v>
      </c>
      <c r="AJ56" s="554">
        <f t="shared" si="14"/>
        <v>2</v>
      </c>
      <c r="AK56" s="554">
        <f t="shared" si="14"/>
        <v>2</v>
      </c>
      <c r="AL56" s="554">
        <f t="shared" si="14"/>
        <v>2</v>
      </c>
      <c r="AM56" s="554">
        <f t="shared" si="14"/>
        <v>2</v>
      </c>
      <c r="AN56" s="554">
        <f t="shared" si="17"/>
        <v>2</v>
      </c>
      <c r="AO56" s="554">
        <f t="shared" si="16"/>
        <v>2</v>
      </c>
      <c r="AP56" s="554">
        <f t="shared" si="6"/>
        <v>2</v>
      </c>
      <c r="AQ56" s="429" t="str">
        <f t="shared" si="8"/>
        <v>Vendido</v>
      </c>
      <c r="AR56" s="447">
        <f>_xlfn.XLOOKUP(C56,'BOULEVARD 5'!B:B,'BOULEVARD 5'!AU:AU)</f>
        <v>1</v>
      </c>
    </row>
    <row r="57" spans="1:44" s="429" customFormat="1" ht="13.9" customHeight="1" x14ac:dyDescent="0.25">
      <c r="B57" s="678" t="str">
        <f>IF('B5-Status cobranza'!A57&gt;0,'B5-Status cobranza'!A57,"")</f>
        <v/>
      </c>
      <c r="C57" s="436">
        <v>319</v>
      </c>
      <c r="D57" s="436" t="s">
        <v>409</v>
      </c>
      <c r="E57" s="436"/>
      <c r="F57" s="436" t="str">
        <f>IF('BOULEVARD 5'!E55="","",'BOULEVARD 5'!E55)</f>
        <v>Antonio Rada</v>
      </c>
      <c r="G57" s="429" t="str">
        <f>IF('BOULEVARD 5'!F55="","",'BOULEVARD 5'!F55)</f>
        <v>Aaron Fabrizio Tello Merida</v>
      </c>
      <c r="H57" s="473">
        <f>IF('BOULEVARD 5'!G55="","",'BOULEVARD 5'!G55)</f>
        <v>45340</v>
      </c>
      <c r="I57" s="554" t="str">
        <f t="shared" si="15"/>
        <v/>
      </c>
      <c r="J57" s="554" t="str">
        <f t="shared" si="15"/>
        <v/>
      </c>
      <c r="K57" s="554" t="str">
        <f t="shared" si="15"/>
        <v/>
      </c>
      <c r="L57" s="554" t="str">
        <f t="shared" si="15"/>
        <v/>
      </c>
      <c r="M57" s="554" t="str">
        <f t="shared" si="15"/>
        <v/>
      </c>
      <c r="N57" s="554" t="str">
        <f t="shared" si="15"/>
        <v/>
      </c>
      <c r="O57" s="554" t="str">
        <f t="shared" si="15"/>
        <v/>
      </c>
      <c r="P57" s="554" t="str">
        <f t="shared" si="15"/>
        <v/>
      </c>
      <c r="Q57" s="554" t="str">
        <f t="shared" si="15"/>
        <v/>
      </c>
      <c r="R57" s="554" t="str">
        <f t="shared" si="15"/>
        <v/>
      </c>
      <c r="S57" s="554" t="str">
        <f t="shared" si="15"/>
        <v/>
      </c>
      <c r="T57" s="554">
        <f t="shared" si="15"/>
        <v>1</v>
      </c>
      <c r="U57" s="554">
        <f t="shared" si="15"/>
        <v>2</v>
      </c>
      <c r="V57" s="554">
        <f t="shared" si="15"/>
        <v>2</v>
      </c>
      <c r="W57" s="554">
        <f t="shared" si="15"/>
        <v>2</v>
      </c>
      <c r="X57" s="554">
        <f t="shared" si="15"/>
        <v>2</v>
      </c>
      <c r="Y57" s="554">
        <f t="shared" ref="Y57:AM72" si="18">IF(OR($B57="F&amp;F",$B57="CE",$H57=""),"",IF(TEXT(Y$8,"yyyymm")=TEXT($H57,"yyyymm"),1,IF(TEXT(Y$8,"yyyymm")&gt;TEXT($H57,"yyyymm"),2,IF(Y$8&lt;$H57,"",0))))</f>
        <v>2</v>
      </c>
      <c r="Z57" s="554">
        <f t="shared" si="18"/>
        <v>2</v>
      </c>
      <c r="AA57" s="554">
        <f t="shared" si="18"/>
        <v>2</v>
      </c>
      <c r="AB57" s="554">
        <f t="shared" si="18"/>
        <v>2</v>
      </c>
      <c r="AC57" s="554">
        <f t="shared" si="18"/>
        <v>2</v>
      </c>
      <c r="AD57" s="554">
        <f t="shared" si="18"/>
        <v>2</v>
      </c>
      <c r="AE57" s="554">
        <f t="shared" si="18"/>
        <v>2</v>
      </c>
      <c r="AF57" s="554">
        <f t="shared" si="18"/>
        <v>2</v>
      </c>
      <c r="AG57" s="554">
        <f t="shared" si="18"/>
        <v>2</v>
      </c>
      <c r="AH57" s="554">
        <f t="shared" si="18"/>
        <v>2</v>
      </c>
      <c r="AI57" s="554">
        <f t="shared" si="18"/>
        <v>2</v>
      </c>
      <c r="AJ57" s="554">
        <f t="shared" si="18"/>
        <v>2</v>
      </c>
      <c r="AK57" s="554">
        <f t="shared" si="18"/>
        <v>2</v>
      </c>
      <c r="AL57" s="554">
        <f t="shared" si="18"/>
        <v>2</v>
      </c>
      <c r="AM57" s="554">
        <f t="shared" si="18"/>
        <v>2</v>
      </c>
      <c r="AN57" s="554">
        <f t="shared" si="17"/>
        <v>2</v>
      </c>
      <c r="AO57" s="554">
        <f t="shared" si="16"/>
        <v>2</v>
      </c>
      <c r="AP57" s="554">
        <f t="shared" si="6"/>
        <v>2</v>
      </c>
      <c r="AQ57" s="429" t="str">
        <f t="shared" si="8"/>
        <v>Vendido</v>
      </c>
      <c r="AR57" s="447">
        <f>_xlfn.XLOOKUP(C57,'BOULEVARD 5'!B:B,'BOULEVARD 5'!AU:AU)</f>
        <v>1.9979296066252588</v>
      </c>
    </row>
    <row r="58" spans="1:44" s="429" customFormat="1" ht="13.9" customHeight="1" x14ac:dyDescent="0.25">
      <c r="B58" s="678" t="str">
        <f>IF('B5-Status cobranza'!A58&gt;0,'B5-Status cobranza'!A58,"")</f>
        <v/>
      </c>
      <c r="C58" s="436">
        <v>320</v>
      </c>
      <c r="D58" s="436" t="s">
        <v>184</v>
      </c>
      <c r="E58" s="436"/>
      <c r="F58" s="436" t="str">
        <f>IF('BOULEVARD 5'!E56="","",'BOULEVARD 5'!E56)</f>
        <v>Antonio Rada</v>
      </c>
      <c r="G58" s="429" t="str">
        <f>IF('BOULEVARD 5'!F56="","",'BOULEVARD 5'!F56)</f>
        <v>Santiago Taracena Puga</v>
      </c>
      <c r="H58" s="473">
        <f>IF('BOULEVARD 5'!G56="","",'BOULEVARD 5'!G56)</f>
        <v>45150</v>
      </c>
      <c r="I58" s="554" t="str">
        <f t="shared" ref="I58:X73" si="19">IF(OR($B58="F&amp;F",$B58="CE",$H58=""),"",IF(TEXT(I$8,"yyyymm")=TEXT($H58,"yyyymm"),1,IF(TEXT(I$8,"yyyymm")&gt;TEXT($H58,"yyyymm"),2,IF(I$8&lt;$H58,"",0))))</f>
        <v/>
      </c>
      <c r="J58" s="554" t="str">
        <f t="shared" si="19"/>
        <v/>
      </c>
      <c r="K58" s="554" t="str">
        <f t="shared" si="19"/>
        <v/>
      </c>
      <c r="L58" s="554" t="str">
        <f t="shared" si="19"/>
        <v/>
      </c>
      <c r="M58" s="554" t="str">
        <f t="shared" si="19"/>
        <v/>
      </c>
      <c r="N58" s="554">
        <f t="shared" si="19"/>
        <v>1</v>
      </c>
      <c r="O58" s="554">
        <f t="shared" si="19"/>
        <v>2</v>
      </c>
      <c r="P58" s="554">
        <f t="shared" si="19"/>
        <v>2</v>
      </c>
      <c r="Q58" s="554">
        <f t="shared" si="19"/>
        <v>2</v>
      </c>
      <c r="R58" s="554">
        <f t="shared" si="19"/>
        <v>2</v>
      </c>
      <c r="S58" s="554">
        <f t="shared" si="19"/>
        <v>2</v>
      </c>
      <c r="T58" s="554">
        <f t="shared" si="19"/>
        <v>2</v>
      </c>
      <c r="U58" s="554">
        <f t="shared" si="19"/>
        <v>2</v>
      </c>
      <c r="V58" s="554">
        <f t="shared" si="19"/>
        <v>2</v>
      </c>
      <c r="W58" s="554">
        <f t="shared" si="19"/>
        <v>2</v>
      </c>
      <c r="X58" s="554">
        <f t="shared" si="19"/>
        <v>2</v>
      </c>
      <c r="Y58" s="554">
        <f t="shared" si="18"/>
        <v>2</v>
      </c>
      <c r="Z58" s="554">
        <f t="shared" si="18"/>
        <v>2</v>
      </c>
      <c r="AA58" s="554">
        <f t="shared" si="18"/>
        <v>2</v>
      </c>
      <c r="AB58" s="554">
        <f t="shared" si="18"/>
        <v>2</v>
      </c>
      <c r="AC58" s="554">
        <f t="shared" si="18"/>
        <v>2</v>
      </c>
      <c r="AD58" s="554">
        <f t="shared" si="18"/>
        <v>2</v>
      </c>
      <c r="AE58" s="554">
        <f t="shared" si="18"/>
        <v>2</v>
      </c>
      <c r="AF58" s="554">
        <f t="shared" si="18"/>
        <v>2</v>
      </c>
      <c r="AG58" s="554">
        <f t="shared" si="18"/>
        <v>2</v>
      </c>
      <c r="AH58" s="554">
        <f t="shared" si="18"/>
        <v>2</v>
      </c>
      <c r="AI58" s="554">
        <f t="shared" si="18"/>
        <v>2</v>
      </c>
      <c r="AJ58" s="554">
        <f t="shared" si="18"/>
        <v>2</v>
      </c>
      <c r="AK58" s="554">
        <f t="shared" si="18"/>
        <v>2</v>
      </c>
      <c r="AL58" s="554">
        <f t="shared" si="18"/>
        <v>2</v>
      </c>
      <c r="AM58" s="554">
        <f t="shared" si="18"/>
        <v>2</v>
      </c>
      <c r="AN58" s="554">
        <f t="shared" si="17"/>
        <v>2</v>
      </c>
      <c r="AO58" s="554">
        <f t="shared" si="16"/>
        <v>2</v>
      </c>
      <c r="AP58" s="554">
        <f t="shared" si="6"/>
        <v>2</v>
      </c>
      <c r="AQ58" s="429" t="str">
        <f t="shared" si="8"/>
        <v>Vendido</v>
      </c>
      <c r="AR58" s="447">
        <f>_xlfn.XLOOKUP(C58,'BOULEVARD 5'!B:B,'BOULEVARD 5'!AU:AU)</f>
        <v>1</v>
      </c>
    </row>
    <row r="59" spans="1:44" s="429" customFormat="1" ht="13.9" customHeight="1" x14ac:dyDescent="0.25">
      <c r="B59" s="678" t="str">
        <f>IF('B5-Status cobranza'!A59&gt;0,'B5-Status cobranza'!A59,"")</f>
        <v/>
      </c>
      <c r="C59" s="436">
        <v>401</v>
      </c>
      <c r="D59" s="436" t="s">
        <v>412</v>
      </c>
      <c r="E59" s="436"/>
      <c r="F59" s="436" t="str">
        <f>IF('BOULEVARD 5'!E57="","",'BOULEVARD 5'!E57)</f>
        <v>Antonio Rada</v>
      </c>
      <c r="G59" s="429" t="str">
        <f>IF('BOULEVARD 5'!F57="","",'BOULEVARD 5'!F57)</f>
        <v>Sara Veronica Ortíz De León</v>
      </c>
      <c r="H59" s="473">
        <f>IF('BOULEVARD 5'!G57="","",'BOULEVARD 5'!G57)</f>
        <v>45320</v>
      </c>
      <c r="I59" s="554" t="str">
        <f t="shared" si="19"/>
        <v/>
      </c>
      <c r="J59" s="554" t="str">
        <f t="shared" si="19"/>
        <v/>
      </c>
      <c r="K59" s="554" t="str">
        <f t="shared" si="19"/>
        <v/>
      </c>
      <c r="L59" s="554" t="str">
        <f t="shared" si="19"/>
        <v/>
      </c>
      <c r="M59" s="554" t="str">
        <f t="shared" si="19"/>
        <v/>
      </c>
      <c r="N59" s="554" t="str">
        <f t="shared" si="19"/>
        <v/>
      </c>
      <c r="O59" s="554" t="str">
        <f t="shared" si="19"/>
        <v/>
      </c>
      <c r="P59" s="554" t="str">
        <f t="shared" si="19"/>
        <v/>
      </c>
      <c r="Q59" s="554" t="str">
        <f t="shared" si="19"/>
        <v/>
      </c>
      <c r="R59" s="554" t="str">
        <f t="shared" si="19"/>
        <v/>
      </c>
      <c r="S59" s="554">
        <f t="shared" si="19"/>
        <v>1</v>
      </c>
      <c r="T59" s="554">
        <f t="shared" si="19"/>
        <v>2</v>
      </c>
      <c r="U59" s="554">
        <f t="shared" si="19"/>
        <v>2</v>
      </c>
      <c r="V59" s="554">
        <f t="shared" si="19"/>
        <v>2</v>
      </c>
      <c r="W59" s="554">
        <f t="shared" si="19"/>
        <v>2</v>
      </c>
      <c r="X59" s="554">
        <f t="shared" si="19"/>
        <v>2</v>
      </c>
      <c r="Y59" s="554">
        <f t="shared" si="18"/>
        <v>2</v>
      </c>
      <c r="Z59" s="554">
        <f t="shared" si="18"/>
        <v>2</v>
      </c>
      <c r="AA59" s="554">
        <f t="shared" si="18"/>
        <v>2</v>
      </c>
      <c r="AB59" s="554">
        <f t="shared" si="18"/>
        <v>2</v>
      </c>
      <c r="AC59" s="554">
        <f t="shared" si="18"/>
        <v>2</v>
      </c>
      <c r="AD59" s="554">
        <f t="shared" si="18"/>
        <v>2</v>
      </c>
      <c r="AE59" s="554">
        <f t="shared" si="18"/>
        <v>2</v>
      </c>
      <c r="AF59" s="554">
        <f t="shared" si="18"/>
        <v>2</v>
      </c>
      <c r="AG59" s="554">
        <f t="shared" si="18"/>
        <v>2</v>
      </c>
      <c r="AH59" s="554">
        <f t="shared" si="18"/>
        <v>2</v>
      </c>
      <c r="AI59" s="554">
        <f t="shared" si="18"/>
        <v>2</v>
      </c>
      <c r="AJ59" s="554">
        <f t="shared" si="18"/>
        <v>2</v>
      </c>
      <c r="AK59" s="554">
        <f t="shared" si="18"/>
        <v>2</v>
      </c>
      <c r="AL59" s="554">
        <f t="shared" si="18"/>
        <v>2</v>
      </c>
      <c r="AM59" s="554">
        <f t="shared" si="18"/>
        <v>2</v>
      </c>
      <c r="AN59" s="554">
        <f t="shared" si="17"/>
        <v>2</v>
      </c>
      <c r="AO59" s="554">
        <f t="shared" si="16"/>
        <v>2</v>
      </c>
      <c r="AP59" s="554">
        <f t="shared" si="6"/>
        <v>2</v>
      </c>
      <c r="AQ59" s="429" t="str">
        <f t="shared" si="8"/>
        <v>Vendido</v>
      </c>
      <c r="AR59" s="447">
        <f>_xlfn.XLOOKUP(C59,'BOULEVARD 5'!B:B,'BOULEVARD 5'!AU:AU)</f>
        <v>1.0465337954939342</v>
      </c>
    </row>
    <row r="60" spans="1:44" s="429" customFormat="1" ht="13.9" customHeight="1" x14ac:dyDescent="0.25">
      <c r="B60" s="678" t="str">
        <f>IF('B5-Status cobranza'!A60&gt;0,'B5-Status cobranza'!A60,"")</f>
        <v/>
      </c>
      <c r="C60" s="436">
        <v>402</v>
      </c>
      <c r="D60" s="436" t="s">
        <v>186</v>
      </c>
      <c r="E60" s="436"/>
      <c r="F60" s="436" t="str">
        <f>IF('BOULEVARD 5'!E58="","",'BOULEVARD 5'!E58)</f>
        <v>Antonio Rada</v>
      </c>
      <c r="G60" s="429" t="str">
        <f>IF('BOULEVARD 5'!F58="","",'BOULEVARD 5'!F58)</f>
        <v>Guillermo Vinicio Cotto Mux</v>
      </c>
      <c r="H60" s="473">
        <f>IF('BOULEVARD 5'!G58="","",'BOULEVARD 5'!G58)</f>
        <v>45263</v>
      </c>
      <c r="I60" s="554" t="str">
        <f t="shared" si="19"/>
        <v/>
      </c>
      <c r="J60" s="554" t="str">
        <f t="shared" si="19"/>
        <v/>
      </c>
      <c r="K60" s="554" t="str">
        <f t="shared" si="19"/>
        <v/>
      </c>
      <c r="L60" s="554" t="str">
        <f t="shared" si="19"/>
        <v/>
      </c>
      <c r="M60" s="554" t="str">
        <f t="shared" si="19"/>
        <v/>
      </c>
      <c r="N60" s="554" t="str">
        <f t="shared" si="19"/>
        <v/>
      </c>
      <c r="O60" s="554" t="str">
        <f t="shared" si="19"/>
        <v/>
      </c>
      <c r="P60" s="554" t="str">
        <f t="shared" si="19"/>
        <v/>
      </c>
      <c r="Q60" s="554" t="str">
        <f t="shared" si="19"/>
        <v/>
      </c>
      <c r="R60" s="554">
        <f t="shared" si="19"/>
        <v>1</v>
      </c>
      <c r="S60" s="554">
        <f t="shared" si="19"/>
        <v>2</v>
      </c>
      <c r="T60" s="554">
        <f t="shared" si="19"/>
        <v>2</v>
      </c>
      <c r="U60" s="554">
        <f t="shared" si="19"/>
        <v>2</v>
      </c>
      <c r="V60" s="554">
        <f t="shared" si="19"/>
        <v>2</v>
      </c>
      <c r="W60" s="554">
        <f t="shared" si="19"/>
        <v>2</v>
      </c>
      <c r="X60" s="554">
        <f t="shared" si="19"/>
        <v>2</v>
      </c>
      <c r="Y60" s="554">
        <f t="shared" si="18"/>
        <v>2</v>
      </c>
      <c r="Z60" s="554">
        <f t="shared" si="18"/>
        <v>2</v>
      </c>
      <c r="AA60" s="554">
        <f t="shared" si="18"/>
        <v>2</v>
      </c>
      <c r="AB60" s="554">
        <f t="shared" si="18"/>
        <v>2</v>
      </c>
      <c r="AC60" s="554">
        <f t="shared" si="18"/>
        <v>2</v>
      </c>
      <c r="AD60" s="554">
        <f t="shared" si="18"/>
        <v>2</v>
      </c>
      <c r="AE60" s="554">
        <f t="shared" si="18"/>
        <v>2</v>
      </c>
      <c r="AF60" s="554">
        <f t="shared" si="18"/>
        <v>2</v>
      </c>
      <c r="AG60" s="554">
        <f t="shared" si="18"/>
        <v>2</v>
      </c>
      <c r="AH60" s="554">
        <f t="shared" si="18"/>
        <v>2</v>
      </c>
      <c r="AI60" s="554">
        <f t="shared" si="18"/>
        <v>2</v>
      </c>
      <c r="AJ60" s="554">
        <f t="shared" si="18"/>
        <v>2</v>
      </c>
      <c r="AK60" s="554">
        <f t="shared" si="18"/>
        <v>2</v>
      </c>
      <c r="AL60" s="554">
        <f t="shared" si="18"/>
        <v>2</v>
      </c>
      <c r="AM60" s="554">
        <f t="shared" si="18"/>
        <v>2</v>
      </c>
      <c r="AN60" s="554">
        <f t="shared" si="17"/>
        <v>2</v>
      </c>
      <c r="AO60" s="554">
        <f t="shared" si="16"/>
        <v>2</v>
      </c>
      <c r="AP60" s="554">
        <f t="shared" si="6"/>
        <v>2</v>
      </c>
      <c r="AQ60" s="429" t="str">
        <f t="shared" si="8"/>
        <v>Vendido</v>
      </c>
      <c r="AR60" s="447">
        <f>_xlfn.XLOOKUP(C60,'BOULEVARD 5'!B:B,'BOULEVARD 5'!AU:AU)</f>
        <v>1</v>
      </c>
    </row>
    <row r="61" spans="1:44" s="429" customFormat="1" ht="13.9" customHeight="1" x14ac:dyDescent="0.25">
      <c r="B61" s="678" t="str">
        <f>IF('B5-Status cobranza'!A61&gt;0,'B5-Status cobranza'!A61,"")</f>
        <v/>
      </c>
      <c r="C61" s="436">
        <v>403</v>
      </c>
      <c r="D61" s="436" t="s">
        <v>192</v>
      </c>
      <c r="E61" s="436"/>
      <c r="F61" s="436" t="str">
        <f>IF('BOULEVARD 5'!E59="","",'BOULEVARD 5'!E59)</f>
        <v>Antonio Rada</v>
      </c>
      <c r="G61" s="429" t="str">
        <f>IF('BOULEVARD 5'!F59="","",'BOULEVARD 5'!F59)</f>
        <v>Denis Estuardo Mazariegos Fuentes</v>
      </c>
      <c r="H61" s="473">
        <f>IF('BOULEVARD 5'!G59="","",'BOULEVARD 5'!G59)</f>
        <v>45158</v>
      </c>
      <c r="I61" s="554" t="str">
        <f t="shared" si="19"/>
        <v/>
      </c>
      <c r="J61" s="554" t="str">
        <f t="shared" si="19"/>
        <v/>
      </c>
      <c r="K61" s="554" t="str">
        <f t="shared" si="19"/>
        <v/>
      </c>
      <c r="L61" s="554" t="str">
        <f t="shared" si="19"/>
        <v/>
      </c>
      <c r="M61" s="554" t="str">
        <f t="shared" si="19"/>
        <v/>
      </c>
      <c r="N61" s="554">
        <f t="shared" si="19"/>
        <v>1</v>
      </c>
      <c r="O61" s="554">
        <f t="shared" si="19"/>
        <v>2</v>
      </c>
      <c r="P61" s="554">
        <f t="shared" si="19"/>
        <v>2</v>
      </c>
      <c r="Q61" s="554">
        <f t="shared" si="19"/>
        <v>2</v>
      </c>
      <c r="R61" s="554">
        <f t="shared" si="19"/>
        <v>2</v>
      </c>
      <c r="S61" s="554">
        <f t="shared" si="19"/>
        <v>2</v>
      </c>
      <c r="T61" s="554">
        <f t="shared" si="19"/>
        <v>2</v>
      </c>
      <c r="U61" s="554">
        <f t="shared" si="19"/>
        <v>2</v>
      </c>
      <c r="V61" s="554">
        <f t="shared" si="19"/>
        <v>2</v>
      </c>
      <c r="W61" s="554">
        <f t="shared" si="19"/>
        <v>2</v>
      </c>
      <c r="X61" s="554">
        <f t="shared" si="19"/>
        <v>2</v>
      </c>
      <c r="Y61" s="554">
        <f t="shared" si="18"/>
        <v>2</v>
      </c>
      <c r="Z61" s="554">
        <f t="shared" si="18"/>
        <v>2</v>
      </c>
      <c r="AA61" s="554">
        <f t="shared" si="18"/>
        <v>2</v>
      </c>
      <c r="AB61" s="554">
        <f t="shared" si="18"/>
        <v>2</v>
      </c>
      <c r="AC61" s="554">
        <f t="shared" si="18"/>
        <v>2</v>
      </c>
      <c r="AD61" s="554">
        <f t="shared" si="18"/>
        <v>2</v>
      </c>
      <c r="AE61" s="554">
        <f t="shared" si="18"/>
        <v>2</v>
      </c>
      <c r="AF61" s="554">
        <f t="shared" si="18"/>
        <v>2</v>
      </c>
      <c r="AG61" s="554">
        <f t="shared" si="18"/>
        <v>2</v>
      </c>
      <c r="AH61" s="554">
        <f t="shared" si="18"/>
        <v>2</v>
      </c>
      <c r="AI61" s="554">
        <f t="shared" si="18"/>
        <v>2</v>
      </c>
      <c r="AJ61" s="554">
        <f t="shared" si="18"/>
        <v>2</v>
      </c>
      <c r="AK61" s="554">
        <f t="shared" si="18"/>
        <v>2</v>
      </c>
      <c r="AL61" s="554">
        <f t="shared" si="18"/>
        <v>2</v>
      </c>
      <c r="AM61" s="554">
        <f t="shared" si="18"/>
        <v>2</v>
      </c>
      <c r="AN61" s="554">
        <f t="shared" si="17"/>
        <v>2</v>
      </c>
      <c r="AO61" s="554">
        <f t="shared" si="16"/>
        <v>2</v>
      </c>
      <c r="AP61" s="554">
        <f t="shared" si="6"/>
        <v>2</v>
      </c>
      <c r="AQ61" s="429" t="str">
        <f t="shared" si="8"/>
        <v>Vendido</v>
      </c>
      <c r="AR61" s="447">
        <f>_xlfn.XLOOKUP(C61,'BOULEVARD 5'!B:B,'BOULEVARD 5'!AU:AU)</f>
        <v>0.89028571428571424</v>
      </c>
    </row>
    <row r="62" spans="1:44" s="429" customFormat="1" ht="13.9" customHeight="1" x14ac:dyDescent="0.25">
      <c r="B62" s="678" t="str">
        <f>IF('B5-Status cobranza'!A62&gt;0,'B5-Status cobranza'!A62,"")</f>
        <v/>
      </c>
      <c r="C62" s="436">
        <v>404</v>
      </c>
      <c r="D62" s="436" t="s">
        <v>198</v>
      </c>
      <c r="E62" s="436"/>
      <c r="F62" s="436" t="str">
        <f>IF('BOULEVARD 5'!E60="","",'BOULEVARD 5'!E60)</f>
        <v>Brenda Búcaro</v>
      </c>
      <c r="G62" s="429" t="str">
        <f>IF('BOULEVARD 5'!F60="","",'BOULEVARD 5'!F60)</f>
        <v>Gerson Andre Villatoro Urizar</v>
      </c>
      <c r="H62" s="473">
        <f>IF('BOULEVARD 5'!G60="","",'BOULEVARD 5'!G60)</f>
        <v>45230</v>
      </c>
      <c r="I62" s="554" t="str">
        <f t="shared" si="19"/>
        <v/>
      </c>
      <c r="J62" s="554" t="str">
        <f t="shared" si="19"/>
        <v/>
      </c>
      <c r="K62" s="554" t="str">
        <f t="shared" si="19"/>
        <v/>
      </c>
      <c r="L62" s="554" t="str">
        <f t="shared" si="19"/>
        <v/>
      </c>
      <c r="M62" s="554" t="str">
        <f t="shared" si="19"/>
        <v/>
      </c>
      <c r="N62" s="554" t="str">
        <f t="shared" si="19"/>
        <v/>
      </c>
      <c r="O62" s="554" t="str">
        <f t="shared" si="19"/>
        <v/>
      </c>
      <c r="P62" s="554">
        <f t="shared" si="19"/>
        <v>1</v>
      </c>
      <c r="Q62" s="554">
        <f t="shared" si="19"/>
        <v>2</v>
      </c>
      <c r="R62" s="554">
        <f t="shared" si="19"/>
        <v>2</v>
      </c>
      <c r="S62" s="554">
        <f t="shared" si="19"/>
        <v>2</v>
      </c>
      <c r="T62" s="554">
        <f t="shared" si="19"/>
        <v>2</v>
      </c>
      <c r="U62" s="554">
        <f t="shared" si="19"/>
        <v>2</v>
      </c>
      <c r="V62" s="554">
        <f t="shared" si="19"/>
        <v>2</v>
      </c>
      <c r="W62" s="554">
        <f t="shared" si="19"/>
        <v>2</v>
      </c>
      <c r="X62" s="554">
        <f t="shared" si="19"/>
        <v>2</v>
      </c>
      <c r="Y62" s="554">
        <f t="shared" si="18"/>
        <v>2</v>
      </c>
      <c r="Z62" s="554">
        <f t="shared" si="18"/>
        <v>2</v>
      </c>
      <c r="AA62" s="554">
        <f t="shared" si="18"/>
        <v>2</v>
      </c>
      <c r="AB62" s="554">
        <f t="shared" si="18"/>
        <v>2</v>
      </c>
      <c r="AC62" s="554">
        <f t="shared" si="18"/>
        <v>2</v>
      </c>
      <c r="AD62" s="554">
        <f t="shared" si="18"/>
        <v>2</v>
      </c>
      <c r="AE62" s="554">
        <f t="shared" si="18"/>
        <v>2</v>
      </c>
      <c r="AF62" s="554">
        <f t="shared" si="18"/>
        <v>2</v>
      </c>
      <c r="AG62" s="554">
        <f t="shared" si="18"/>
        <v>2</v>
      </c>
      <c r="AH62" s="554">
        <f t="shared" si="18"/>
        <v>2</v>
      </c>
      <c r="AI62" s="554">
        <f t="shared" si="18"/>
        <v>2</v>
      </c>
      <c r="AJ62" s="554">
        <f t="shared" si="18"/>
        <v>2</v>
      </c>
      <c r="AK62" s="554">
        <f t="shared" si="18"/>
        <v>2</v>
      </c>
      <c r="AL62" s="554">
        <f t="shared" si="18"/>
        <v>2</v>
      </c>
      <c r="AM62" s="554">
        <f t="shared" si="18"/>
        <v>2</v>
      </c>
      <c r="AN62" s="554">
        <f t="shared" si="17"/>
        <v>2</v>
      </c>
      <c r="AO62" s="554">
        <f t="shared" si="16"/>
        <v>2</v>
      </c>
      <c r="AP62" s="554">
        <f t="shared" si="6"/>
        <v>2</v>
      </c>
      <c r="AQ62" s="429" t="str">
        <f t="shared" si="8"/>
        <v>Vendido</v>
      </c>
      <c r="AR62" s="447">
        <f>_xlfn.XLOOKUP(C62,'BOULEVARD 5'!B:B,'BOULEVARD 5'!AU:AU)</f>
        <v>1.3185595567867037</v>
      </c>
    </row>
    <row r="63" spans="1:44" s="429" customFormat="1" ht="13.9" customHeight="1" x14ac:dyDescent="0.25">
      <c r="B63" s="678" t="str">
        <f>IF('B5-Status cobranza'!A63&gt;0,'B5-Status cobranza'!A63,"")</f>
        <v/>
      </c>
      <c r="C63" s="436">
        <v>405</v>
      </c>
      <c r="D63" s="436" t="s">
        <v>391</v>
      </c>
      <c r="E63" s="436"/>
      <c r="F63" s="436" t="str">
        <f>IF('BOULEVARD 5'!E61="","",'BOULEVARD 5'!E61)</f>
        <v/>
      </c>
      <c r="G63" s="429" t="str">
        <f>IF('BOULEVARD 5'!F61="","",'BOULEVARD 5'!F61)</f>
        <v>Mario Saul Aragón Zepeda</v>
      </c>
      <c r="H63" s="473">
        <f>IF('BOULEVARD 5'!G61="","",'BOULEVARD 5'!G61)</f>
        <v>45995</v>
      </c>
      <c r="I63" s="554" t="str">
        <f t="shared" si="19"/>
        <v/>
      </c>
      <c r="J63" s="554" t="str">
        <f t="shared" si="19"/>
        <v/>
      </c>
      <c r="K63" s="554" t="str">
        <f t="shared" si="19"/>
        <v/>
      </c>
      <c r="L63" s="554" t="str">
        <f t="shared" si="19"/>
        <v/>
      </c>
      <c r="M63" s="554" t="str">
        <f t="shared" si="19"/>
        <v/>
      </c>
      <c r="N63" s="554" t="str">
        <f t="shared" si="19"/>
        <v/>
      </c>
      <c r="O63" s="554" t="str">
        <f t="shared" si="19"/>
        <v/>
      </c>
      <c r="P63" s="554" t="str">
        <f t="shared" si="19"/>
        <v/>
      </c>
      <c r="Q63" s="554" t="str">
        <f t="shared" si="19"/>
        <v/>
      </c>
      <c r="R63" s="554" t="str">
        <f t="shared" si="19"/>
        <v/>
      </c>
      <c r="S63" s="554" t="str">
        <f t="shared" si="19"/>
        <v/>
      </c>
      <c r="T63" s="554" t="str">
        <f t="shared" si="19"/>
        <v/>
      </c>
      <c r="U63" s="554" t="str">
        <f t="shared" si="19"/>
        <v/>
      </c>
      <c r="V63" s="554" t="str">
        <f t="shared" si="19"/>
        <v/>
      </c>
      <c r="W63" s="554" t="str">
        <f t="shared" si="19"/>
        <v/>
      </c>
      <c r="X63" s="554" t="str">
        <f t="shared" si="19"/>
        <v/>
      </c>
      <c r="Y63" s="554" t="str">
        <f t="shared" si="18"/>
        <v/>
      </c>
      <c r="Z63" s="554" t="str">
        <f t="shared" si="18"/>
        <v/>
      </c>
      <c r="AA63" s="554" t="str">
        <f t="shared" si="18"/>
        <v/>
      </c>
      <c r="AB63" s="554" t="str">
        <f t="shared" si="18"/>
        <v/>
      </c>
      <c r="AC63" s="554" t="str">
        <f t="shared" si="18"/>
        <v/>
      </c>
      <c r="AD63" s="554" t="str">
        <f t="shared" si="18"/>
        <v/>
      </c>
      <c r="AE63" s="554" t="str">
        <f t="shared" si="18"/>
        <v/>
      </c>
      <c r="AF63" s="554" t="str">
        <f t="shared" si="18"/>
        <v/>
      </c>
      <c r="AG63" s="554" t="str">
        <f t="shared" si="18"/>
        <v/>
      </c>
      <c r="AH63" s="554" t="str">
        <f t="shared" si="18"/>
        <v/>
      </c>
      <c r="AI63" s="554" t="str">
        <f t="shared" si="18"/>
        <v/>
      </c>
      <c r="AJ63" s="554" t="str">
        <f t="shared" si="18"/>
        <v/>
      </c>
      <c r="AK63" s="554" t="str">
        <f t="shared" si="18"/>
        <v/>
      </c>
      <c r="AL63" s="554" t="str">
        <f t="shared" si="18"/>
        <v/>
      </c>
      <c r="AM63" s="554" t="str">
        <f t="shared" si="18"/>
        <v/>
      </c>
      <c r="AN63" s="554" t="str">
        <f t="shared" si="17"/>
        <v/>
      </c>
      <c r="AO63" s="554" t="str">
        <f t="shared" si="16"/>
        <v/>
      </c>
      <c r="AP63" s="554">
        <f t="shared" si="6"/>
        <v>1</v>
      </c>
      <c r="AQ63" s="429" t="str">
        <f t="shared" si="8"/>
        <v>Vendido</v>
      </c>
      <c r="AR63" s="447">
        <f>_xlfn.XLOOKUP(C63,'BOULEVARD 5'!B:B,'BOULEVARD 5'!AU:AU)</f>
        <v>0.12804097311139565</v>
      </c>
    </row>
    <row r="64" spans="1:44" s="429" customFormat="1" ht="13.9" customHeight="1" x14ac:dyDescent="0.25">
      <c r="B64" s="678" t="str">
        <f>IF('B5-Status cobranza'!A64&gt;0,'B5-Status cobranza'!A64,"")</f>
        <v/>
      </c>
      <c r="C64" s="436">
        <v>406</v>
      </c>
      <c r="D64" s="436" t="s">
        <v>194</v>
      </c>
      <c r="E64" s="436"/>
      <c r="F64" s="436" t="str">
        <f>IF('BOULEVARD 5'!E62="","",'BOULEVARD 5'!E62)</f>
        <v>SIN DATOS</v>
      </c>
      <c r="G64" s="429" t="str">
        <f>IF('BOULEVARD 5'!F62="","",'BOULEVARD 5'!F62)</f>
        <v xml:space="preserve">Andrea Joanna Hidalgo Mendizábal </v>
      </c>
      <c r="H64" s="473">
        <f>IF('BOULEVARD 5'!G62="","",'BOULEVARD 5'!G62)</f>
        <v>45800</v>
      </c>
      <c r="I64" s="554" t="str">
        <f t="shared" si="19"/>
        <v/>
      </c>
      <c r="J64" s="554" t="str">
        <f t="shared" si="19"/>
        <v/>
      </c>
      <c r="K64" s="554" t="str">
        <f t="shared" si="19"/>
        <v/>
      </c>
      <c r="L64" s="554" t="str">
        <f t="shared" si="19"/>
        <v/>
      </c>
      <c r="M64" s="554" t="str">
        <f t="shared" si="19"/>
        <v/>
      </c>
      <c r="N64" s="554" t="str">
        <f t="shared" si="19"/>
        <v/>
      </c>
      <c r="O64" s="554" t="str">
        <f t="shared" si="19"/>
        <v/>
      </c>
      <c r="P64" s="554" t="str">
        <f t="shared" si="19"/>
        <v/>
      </c>
      <c r="Q64" s="554" t="str">
        <f t="shared" si="19"/>
        <v/>
      </c>
      <c r="R64" s="554" t="str">
        <f t="shared" si="19"/>
        <v/>
      </c>
      <c r="S64" s="554" t="str">
        <f t="shared" si="19"/>
        <v/>
      </c>
      <c r="T64" s="554" t="str">
        <f t="shared" si="19"/>
        <v/>
      </c>
      <c r="U64" s="554" t="str">
        <f t="shared" si="19"/>
        <v/>
      </c>
      <c r="V64" s="554" t="str">
        <f t="shared" si="19"/>
        <v/>
      </c>
      <c r="W64" s="554" t="str">
        <f t="shared" si="19"/>
        <v/>
      </c>
      <c r="X64" s="554" t="str">
        <f t="shared" si="19"/>
        <v/>
      </c>
      <c r="Y64" s="554" t="str">
        <f t="shared" si="18"/>
        <v/>
      </c>
      <c r="Z64" s="554" t="str">
        <f t="shared" si="18"/>
        <v/>
      </c>
      <c r="AA64" s="554" t="str">
        <f t="shared" si="18"/>
        <v/>
      </c>
      <c r="AB64" s="554" t="str">
        <f t="shared" si="18"/>
        <v/>
      </c>
      <c r="AC64" s="554" t="str">
        <f t="shared" si="18"/>
        <v/>
      </c>
      <c r="AD64" s="554" t="str">
        <f t="shared" si="18"/>
        <v/>
      </c>
      <c r="AE64" s="554" t="str">
        <f t="shared" si="18"/>
        <v/>
      </c>
      <c r="AF64" s="554" t="str">
        <f t="shared" si="18"/>
        <v/>
      </c>
      <c r="AG64" s="554" t="str">
        <f t="shared" si="18"/>
        <v/>
      </c>
      <c r="AH64" s="554" t="str">
        <f t="shared" si="18"/>
        <v/>
      </c>
      <c r="AI64" s="554">
        <f t="shared" si="18"/>
        <v>1</v>
      </c>
      <c r="AJ64" s="554">
        <f t="shared" si="18"/>
        <v>2</v>
      </c>
      <c r="AK64" s="554">
        <f t="shared" si="18"/>
        <v>2</v>
      </c>
      <c r="AL64" s="554">
        <f t="shared" si="18"/>
        <v>2</v>
      </c>
      <c r="AM64" s="554">
        <f t="shared" si="18"/>
        <v>2</v>
      </c>
      <c r="AN64" s="554">
        <f t="shared" si="17"/>
        <v>2</v>
      </c>
      <c r="AO64" s="554">
        <f t="shared" si="17"/>
        <v>2</v>
      </c>
      <c r="AP64" s="554">
        <f t="shared" si="6"/>
        <v>2</v>
      </c>
      <c r="AQ64" s="429" t="str">
        <f t="shared" si="8"/>
        <v>Vendido</v>
      </c>
      <c r="AR64" s="447">
        <f>_xlfn.XLOOKUP(C64,'BOULEVARD 5'!B:B,'BOULEVARD 5'!AU:AU)</f>
        <v>0.69685402350722536</v>
      </c>
    </row>
    <row r="65" spans="1:44" s="429" customFormat="1" ht="13.9" customHeight="1" x14ac:dyDescent="0.25">
      <c r="B65" s="678" t="str">
        <f>IF('B5-Status cobranza'!A65&gt;0,'B5-Status cobranza'!A65,"")</f>
        <v/>
      </c>
      <c r="C65" s="436">
        <v>407</v>
      </c>
      <c r="D65" s="436" t="s">
        <v>393</v>
      </c>
      <c r="E65" s="436"/>
      <c r="F65" s="436" t="str">
        <f>IF('BOULEVARD 5'!E63="","",'BOULEVARD 5'!E63)</f>
        <v>Laura Molina</v>
      </c>
      <c r="G65" s="429" t="str">
        <f>IF('BOULEVARD 5'!F63="","",'BOULEVARD 5'!F63)</f>
        <v>Alberto Antonio Arrecis Rosales</v>
      </c>
      <c r="H65" s="473">
        <f>IF('BOULEVARD 5'!G63="","",'BOULEVARD 5'!G63)</f>
        <v>45883</v>
      </c>
      <c r="I65" s="554" t="str">
        <f t="shared" si="19"/>
        <v/>
      </c>
      <c r="J65" s="554" t="str">
        <f t="shared" si="19"/>
        <v/>
      </c>
      <c r="K65" s="554" t="str">
        <f t="shared" si="19"/>
        <v/>
      </c>
      <c r="L65" s="554" t="str">
        <f t="shared" si="19"/>
        <v/>
      </c>
      <c r="M65" s="554" t="str">
        <f t="shared" si="19"/>
        <v/>
      </c>
      <c r="N65" s="554" t="str">
        <f t="shared" si="19"/>
        <v/>
      </c>
      <c r="O65" s="554" t="str">
        <f t="shared" si="19"/>
        <v/>
      </c>
      <c r="P65" s="554" t="str">
        <f t="shared" si="19"/>
        <v/>
      </c>
      <c r="Q65" s="554" t="str">
        <f t="shared" si="19"/>
        <v/>
      </c>
      <c r="R65" s="554" t="str">
        <f t="shared" si="19"/>
        <v/>
      </c>
      <c r="S65" s="554" t="str">
        <f t="shared" si="19"/>
        <v/>
      </c>
      <c r="T65" s="554" t="str">
        <f t="shared" si="19"/>
        <v/>
      </c>
      <c r="U65" s="554" t="str">
        <f t="shared" si="19"/>
        <v/>
      </c>
      <c r="V65" s="554" t="str">
        <f t="shared" si="19"/>
        <v/>
      </c>
      <c r="W65" s="554" t="str">
        <f t="shared" si="19"/>
        <v/>
      </c>
      <c r="X65" s="554" t="str">
        <f t="shared" si="19"/>
        <v/>
      </c>
      <c r="Y65" s="554" t="str">
        <f t="shared" si="18"/>
        <v/>
      </c>
      <c r="Z65" s="554" t="str">
        <f t="shared" si="18"/>
        <v/>
      </c>
      <c r="AA65" s="554" t="str">
        <f t="shared" si="18"/>
        <v/>
      </c>
      <c r="AB65" s="554" t="str">
        <f t="shared" si="18"/>
        <v/>
      </c>
      <c r="AC65" s="554" t="str">
        <f t="shared" si="18"/>
        <v/>
      </c>
      <c r="AD65" s="554" t="str">
        <f t="shared" si="18"/>
        <v/>
      </c>
      <c r="AE65" s="554" t="str">
        <f t="shared" si="18"/>
        <v/>
      </c>
      <c r="AF65" s="554" t="str">
        <f t="shared" si="18"/>
        <v/>
      </c>
      <c r="AG65" s="554" t="str">
        <f t="shared" si="18"/>
        <v/>
      </c>
      <c r="AH65" s="554" t="str">
        <f t="shared" si="18"/>
        <v/>
      </c>
      <c r="AI65" s="554" t="str">
        <f t="shared" si="18"/>
        <v/>
      </c>
      <c r="AJ65" s="554" t="str">
        <f t="shared" si="18"/>
        <v/>
      </c>
      <c r="AK65" s="554" t="str">
        <f t="shared" si="18"/>
        <v/>
      </c>
      <c r="AL65" s="554">
        <f t="shared" si="18"/>
        <v>1</v>
      </c>
      <c r="AM65" s="554">
        <f t="shared" si="18"/>
        <v>2</v>
      </c>
      <c r="AN65" s="554">
        <f t="shared" si="17"/>
        <v>2</v>
      </c>
      <c r="AO65" s="554">
        <f t="shared" si="17"/>
        <v>2</v>
      </c>
      <c r="AP65" s="554">
        <f t="shared" si="6"/>
        <v>2</v>
      </c>
      <c r="AQ65" s="429" t="str">
        <f t="shared" si="8"/>
        <v>Vendido</v>
      </c>
      <c r="AR65" s="447">
        <f>_xlfn.XLOOKUP(C65,'BOULEVARD 5'!B:B,'BOULEVARD 5'!AU:AU)</f>
        <v>0.42791255240760512</v>
      </c>
    </row>
    <row r="66" spans="1:44" s="429" customFormat="1" ht="13.9" customHeight="1" x14ac:dyDescent="0.25">
      <c r="A66" s="429" t="s">
        <v>388</v>
      </c>
      <c r="B66" s="678"/>
      <c r="C66" s="436">
        <v>408</v>
      </c>
      <c r="D66" s="436" t="s">
        <v>172</v>
      </c>
      <c r="E66" s="642" t="s">
        <v>336</v>
      </c>
      <c r="F66" s="436" t="str">
        <f>IF('BOULEVARD 5'!E64="","",'BOULEVARD 5'!E64)</f>
        <v>Antonio Rada</v>
      </c>
      <c r="G66" s="429" t="str">
        <f>IF('BOULEVARD 5'!F64="","",'BOULEVARD 5'!F64)</f>
        <v>Maria Gabriela Chang Quan De Garcia</v>
      </c>
      <c r="H66" s="473">
        <f>IF('BOULEVARD 5'!G64="","",'BOULEVARD 5'!G64)</f>
        <v>45335</v>
      </c>
      <c r="I66" s="554" t="str">
        <f t="shared" si="19"/>
        <v/>
      </c>
      <c r="J66" s="554" t="str">
        <f t="shared" si="19"/>
        <v/>
      </c>
      <c r="K66" s="554" t="str">
        <f t="shared" si="19"/>
        <v/>
      </c>
      <c r="L66" s="554" t="str">
        <f t="shared" si="19"/>
        <v/>
      </c>
      <c r="M66" s="554" t="str">
        <f t="shared" si="19"/>
        <v/>
      </c>
      <c r="N66" s="554" t="str">
        <f t="shared" si="19"/>
        <v/>
      </c>
      <c r="O66" s="554" t="str">
        <f t="shared" si="19"/>
        <v/>
      </c>
      <c r="P66" s="554" t="str">
        <f t="shared" si="19"/>
        <v/>
      </c>
      <c r="Q66" s="554" t="str">
        <f t="shared" si="19"/>
        <v/>
      </c>
      <c r="R66" s="554" t="str">
        <f t="shared" si="19"/>
        <v/>
      </c>
      <c r="S66" s="554" t="str">
        <f t="shared" si="19"/>
        <v/>
      </c>
      <c r="T66" s="554">
        <f t="shared" si="19"/>
        <v>1</v>
      </c>
      <c r="U66" s="554">
        <f t="shared" si="19"/>
        <v>2</v>
      </c>
      <c r="V66" s="554">
        <f t="shared" si="19"/>
        <v>2</v>
      </c>
      <c r="W66" s="554">
        <f t="shared" si="19"/>
        <v>2</v>
      </c>
      <c r="X66" s="554">
        <f t="shared" si="19"/>
        <v>2</v>
      </c>
      <c r="Y66" s="554">
        <f t="shared" si="18"/>
        <v>2</v>
      </c>
      <c r="Z66" s="554">
        <f t="shared" si="18"/>
        <v>2</v>
      </c>
      <c r="AA66" s="554">
        <f t="shared" si="18"/>
        <v>2</v>
      </c>
      <c r="AB66" s="554">
        <f t="shared" si="18"/>
        <v>2</v>
      </c>
      <c r="AC66" s="554">
        <f t="shared" si="18"/>
        <v>2</v>
      </c>
      <c r="AD66" s="554">
        <f t="shared" si="18"/>
        <v>2</v>
      </c>
      <c r="AE66" s="554">
        <f t="shared" si="18"/>
        <v>2</v>
      </c>
      <c r="AF66" s="554">
        <f t="shared" si="18"/>
        <v>2</v>
      </c>
      <c r="AG66" s="554">
        <f t="shared" si="18"/>
        <v>2</v>
      </c>
      <c r="AH66" s="554">
        <f t="shared" si="18"/>
        <v>2</v>
      </c>
      <c r="AI66" s="554">
        <f t="shared" si="18"/>
        <v>2</v>
      </c>
      <c r="AJ66" s="554">
        <f t="shared" si="18"/>
        <v>2</v>
      </c>
      <c r="AK66" s="554">
        <f t="shared" si="18"/>
        <v>2</v>
      </c>
      <c r="AL66" s="554">
        <f t="shared" si="18"/>
        <v>2</v>
      </c>
      <c r="AM66" s="554">
        <f t="shared" si="18"/>
        <v>2</v>
      </c>
      <c r="AN66" s="554">
        <f t="shared" si="17"/>
        <v>2</v>
      </c>
      <c r="AO66" s="554">
        <f t="shared" si="17"/>
        <v>2</v>
      </c>
      <c r="AP66" s="554">
        <f t="shared" si="6"/>
        <v>2</v>
      </c>
      <c r="AQ66" s="429" t="str">
        <f t="shared" si="8"/>
        <v>Vendido</v>
      </c>
      <c r="AR66" s="447">
        <f>_xlfn.XLOOKUP(C66,'BOULEVARD 5'!B:B,'BOULEVARD 5'!AU:AU)</f>
        <v>0.65610859728506787</v>
      </c>
    </row>
    <row r="67" spans="1:44" s="429" customFormat="1" ht="13.9" customHeight="1" x14ac:dyDescent="0.25">
      <c r="B67" s="678" t="str">
        <f>IF('B5-Status cobranza'!A67&gt;0,'B5-Status cobranza'!A67,"")</f>
        <v/>
      </c>
      <c r="C67" s="436">
        <v>409</v>
      </c>
      <c r="D67" s="436" t="s">
        <v>395</v>
      </c>
      <c r="E67" s="436"/>
      <c r="F67" s="436" t="str">
        <f>IF('BOULEVARD 5'!E65="","",'BOULEVARD 5'!E65)</f>
        <v>Antonio Rada</v>
      </c>
      <c r="G67" s="429" t="str">
        <f>IF('BOULEVARD 5'!F65="","",'BOULEVARD 5'!F65)</f>
        <v>Rafael Leonidas Tabic Borja</v>
      </c>
      <c r="H67" s="473">
        <f>IF('BOULEVARD 5'!G65="","",'BOULEVARD 5'!G65)</f>
        <v>45512</v>
      </c>
      <c r="I67" s="554" t="str">
        <f t="shared" si="19"/>
        <v/>
      </c>
      <c r="J67" s="554" t="str">
        <f t="shared" si="19"/>
        <v/>
      </c>
      <c r="K67" s="554" t="str">
        <f t="shared" si="19"/>
        <v/>
      </c>
      <c r="L67" s="554" t="str">
        <f t="shared" si="19"/>
        <v/>
      </c>
      <c r="M67" s="554" t="str">
        <f t="shared" si="19"/>
        <v/>
      </c>
      <c r="N67" s="554" t="str">
        <f t="shared" si="19"/>
        <v/>
      </c>
      <c r="O67" s="554" t="str">
        <f t="shared" si="19"/>
        <v/>
      </c>
      <c r="P67" s="554" t="str">
        <f t="shared" si="19"/>
        <v/>
      </c>
      <c r="Q67" s="554" t="str">
        <f t="shared" si="19"/>
        <v/>
      </c>
      <c r="R67" s="554" t="str">
        <f t="shared" si="19"/>
        <v/>
      </c>
      <c r="S67" s="554" t="str">
        <f t="shared" si="19"/>
        <v/>
      </c>
      <c r="T67" s="554" t="str">
        <f t="shared" si="19"/>
        <v/>
      </c>
      <c r="U67" s="554" t="str">
        <f t="shared" si="19"/>
        <v/>
      </c>
      <c r="V67" s="554" t="str">
        <f t="shared" si="19"/>
        <v/>
      </c>
      <c r="W67" s="554" t="str">
        <f t="shared" si="19"/>
        <v/>
      </c>
      <c r="X67" s="554" t="str">
        <f t="shared" si="19"/>
        <v/>
      </c>
      <c r="Y67" s="554" t="str">
        <f t="shared" si="18"/>
        <v/>
      </c>
      <c r="Z67" s="554">
        <f t="shared" si="18"/>
        <v>1</v>
      </c>
      <c r="AA67" s="554">
        <f t="shared" si="18"/>
        <v>2</v>
      </c>
      <c r="AB67" s="554">
        <f t="shared" si="18"/>
        <v>2</v>
      </c>
      <c r="AC67" s="554">
        <f t="shared" si="18"/>
        <v>2</v>
      </c>
      <c r="AD67" s="554">
        <f t="shared" si="18"/>
        <v>2</v>
      </c>
      <c r="AE67" s="554">
        <f t="shared" si="18"/>
        <v>2</v>
      </c>
      <c r="AF67" s="554">
        <f t="shared" si="18"/>
        <v>2</v>
      </c>
      <c r="AG67" s="554">
        <f t="shared" si="18"/>
        <v>2</v>
      </c>
      <c r="AH67" s="554">
        <f t="shared" si="18"/>
        <v>2</v>
      </c>
      <c r="AI67" s="554">
        <f t="shared" si="18"/>
        <v>2</v>
      </c>
      <c r="AJ67" s="554">
        <f t="shared" si="18"/>
        <v>2</v>
      </c>
      <c r="AK67" s="554">
        <f t="shared" si="18"/>
        <v>2</v>
      </c>
      <c r="AL67" s="554">
        <f t="shared" si="18"/>
        <v>2</v>
      </c>
      <c r="AM67" s="554">
        <f t="shared" si="18"/>
        <v>2</v>
      </c>
      <c r="AN67" s="554">
        <f t="shared" si="17"/>
        <v>2</v>
      </c>
      <c r="AO67" s="554">
        <f t="shared" si="17"/>
        <v>2</v>
      </c>
      <c r="AP67" s="554">
        <f t="shared" si="6"/>
        <v>2</v>
      </c>
      <c r="AQ67" s="429" t="str">
        <f t="shared" si="8"/>
        <v>Vendido</v>
      </c>
      <c r="AR67" s="447">
        <f>_xlfn.XLOOKUP(C67,'BOULEVARD 5'!B:B,'BOULEVARD 5'!AU:AU)</f>
        <v>1.0283925776883522</v>
      </c>
    </row>
    <row r="68" spans="1:44" s="429" customFormat="1" ht="13.9" customHeight="1" x14ac:dyDescent="0.25">
      <c r="B68" s="678" t="str">
        <f>IF('B5-Status cobranza'!A68&gt;0,'B5-Status cobranza'!A68,"")</f>
        <v/>
      </c>
      <c r="C68" s="436">
        <v>410</v>
      </c>
      <c r="D68" s="436" t="s">
        <v>397</v>
      </c>
      <c r="E68" s="436"/>
      <c r="F68" s="436" t="str">
        <f>IF('BOULEVARD 5'!E66="","",'BOULEVARD 5'!E66)</f>
        <v>Anahí Cisneros</v>
      </c>
      <c r="G68" s="429" t="str">
        <f>IF('BOULEVARD 5'!F66="","",'BOULEVARD 5'!F66)</f>
        <v>Josué Ernesto Herrera Aguilar</v>
      </c>
      <c r="H68" s="473">
        <f>IF('BOULEVARD 5'!G66="","",'BOULEVARD 5'!G66)</f>
        <v>45849</v>
      </c>
      <c r="I68" s="554" t="str">
        <f t="shared" si="19"/>
        <v/>
      </c>
      <c r="J68" s="554" t="str">
        <f t="shared" si="19"/>
        <v/>
      </c>
      <c r="K68" s="554" t="str">
        <f t="shared" si="19"/>
        <v/>
      </c>
      <c r="L68" s="554" t="str">
        <f t="shared" si="19"/>
        <v/>
      </c>
      <c r="M68" s="554" t="str">
        <f t="shared" si="19"/>
        <v/>
      </c>
      <c r="N68" s="554" t="str">
        <f t="shared" si="19"/>
        <v/>
      </c>
      <c r="O68" s="554" t="str">
        <f t="shared" si="19"/>
        <v/>
      </c>
      <c r="P68" s="554" t="str">
        <f t="shared" si="19"/>
        <v/>
      </c>
      <c r="Q68" s="554" t="str">
        <f t="shared" si="19"/>
        <v/>
      </c>
      <c r="R68" s="554" t="str">
        <f t="shared" si="19"/>
        <v/>
      </c>
      <c r="S68" s="554" t="str">
        <f t="shared" si="19"/>
        <v/>
      </c>
      <c r="T68" s="554" t="str">
        <f t="shared" si="19"/>
        <v/>
      </c>
      <c r="U68" s="554" t="str">
        <f t="shared" si="19"/>
        <v/>
      </c>
      <c r="V68" s="554" t="str">
        <f t="shared" si="19"/>
        <v/>
      </c>
      <c r="W68" s="554" t="str">
        <f t="shared" si="19"/>
        <v/>
      </c>
      <c r="X68" s="554" t="str">
        <f t="shared" si="19"/>
        <v/>
      </c>
      <c r="Y68" s="554" t="str">
        <f t="shared" si="18"/>
        <v/>
      </c>
      <c r="Z68" s="554" t="str">
        <f t="shared" si="18"/>
        <v/>
      </c>
      <c r="AA68" s="554" t="str">
        <f t="shared" si="18"/>
        <v/>
      </c>
      <c r="AB68" s="554" t="str">
        <f t="shared" si="18"/>
        <v/>
      </c>
      <c r="AC68" s="554" t="str">
        <f t="shared" si="18"/>
        <v/>
      </c>
      <c r="AD68" s="554" t="str">
        <f t="shared" si="18"/>
        <v/>
      </c>
      <c r="AE68" s="554" t="str">
        <f t="shared" si="18"/>
        <v/>
      </c>
      <c r="AF68" s="554" t="str">
        <f t="shared" si="18"/>
        <v/>
      </c>
      <c r="AG68" s="554" t="str">
        <f t="shared" si="18"/>
        <v/>
      </c>
      <c r="AH68" s="554" t="str">
        <f t="shared" si="18"/>
        <v/>
      </c>
      <c r="AI68" s="554" t="str">
        <f t="shared" si="18"/>
        <v/>
      </c>
      <c r="AJ68" s="554" t="str">
        <f t="shared" si="18"/>
        <v/>
      </c>
      <c r="AK68" s="554">
        <f t="shared" si="18"/>
        <v>1</v>
      </c>
      <c r="AL68" s="554">
        <f t="shared" si="18"/>
        <v>2</v>
      </c>
      <c r="AM68" s="554">
        <f t="shared" si="18"/>
        <v>2</v>
      </c>
      <c r="AN68" s="554">
        <f t="shared" si="17"/>
        <v>2</v>
      </c>
      <c r="AO68" s="554">
        <f t="shared" si="17"/>
        <v>2</v>
      </c>
      <c r="AP68" s="554">
        <f t="shared" si="6"/>
        <v>2</v>
      </c>
      <c r="AQ68" s="429" t="str">
        <f t="shared" si="8"/>
        <v>Vendido</v>
      </c>
      <c r="AR68" s="447">
        <f>_xlfn.XLOOKUP(C68,'BOULEVARD 5'!B:B,'BOULEVARD 5'!AU:AU)</f>
        <v>0.60221526005017556</v>
      </c>
    </row>
    <row r="69" spans="1:44" s="429" customFormat="1" ht="13.9" customHeight="1" x14ac:dyDescent="0.25">
      <c r="B69" s="678" t="str">
        <f>IF('B5-Status cobranza'!A69&gt;0,'B5-Status cobranza'!A69,"")</f>
        <v/>
      </c>
      <c r="C69" s="436">
        <v>411</v>
      </c>
      <c r="D69" s="436" t="s">
        <v>398</v>
      </c>
      <c r="E69" s="436"/>
      <c r="F69" s="436" t="str">
        <f>IF('BOULEVARD 5'!E67="","",'BOULEVARD 5'!E67)</f>
        <v>Anahí Cisneros</v>
      </c>
      <c r="G69" s="429" t="str">
        <f>IF('BOULEVARD 5'!F67="","",'BOULEVARD 5'!F67)</f>
        <v>Sonia Elizabeth Gómez Méndez de García</v>
      </c>
      <c r="H69" s="473">
        <f>IF('BOULEVARD 5'!G67="","",'BOULEVARD 5'!G67)</f>
        <v>45971</v>
      </c>
      <c r="I69" s="554" t="str">
        <f t="shared" si="19"/>
        <v/>
      </c>
      <c r="J69" s="554" t="str">
        <f t="shared" si="19"/>
        <v/>
      </c>
      <c r="K69" s="554" t="str">
        <f t="shared" si="19"/>
        <v/>
      </c>
      <c r="L69" s="554" t="str">
        <f t="shared" si="19"/>
        <v/>
      </c>
      <c r="M69" s="554" t="str">
        <f t="shared" si="19"/>
        <v/>
      </c>
      <c r="N69" s="554" t="str">
        <f t="shared" si="19"/>
        <v/>
      </c>
      <c r="O69" s="554" t="str">
        <f t="shared" si="19"/>
        <v/>
      </c>
      <c r="P69" s="554" t="str">
        <f t="shared" si="19"/>
        <v/>
      </c>
      <c r="Q69" s="554" t="str">
        <f t="shared" si="19"/>
        <v/>
      </c>
      <c r="R69" s="554" t="str">
        <f t="shared" si="19"/>
        <v/>
      </c>
      <c r="S69" s="554" t="str">
        <f t="shared" si="19"/>
        <v/>
      </c>
      <c r="T69" s="554" t="str">
        <f t="shared" si="19"/>
        <v/>
      </c>
      <c r="U69" s="554" t="str">
        <f t="shared" si="19"/>
        <v/>
      </c>
      <c r="V69" s="554" t="str">
        <f t="shared" si="19"/>
        <v/>
      </c>
      <c r="W69" s="554" t="str">
        <f t="shared" si="19"/>
        <v/>
      </c>
      <c r="X69" s="554" t="str">
        <f t="shared" si="19"/>
        <v/>
      </c>
      <c r="Y69" s="554" t="str">
        <f t="shared" si="18"/>
        <v/>
      </c>
      <c r="Z69" s="554" t="str">
        <f t="shared" si="18"/>
        <v/>
      </c>
      <c r="AA69" s="554" t="str">
        <f t="shared" si="18"/>
        <v/>
      </c>
      <c r="AB69" s="554" t="str">
        <f t="shared" si="18"/>
        <v/>
      </c>
      <c r="AC69" s="554" t="str">
        <f t="shared" si="18"/>
        <v/>
      </c>
      <c r="AD69" s="554" t="str">
        <f t="shared" si="18"/>
        <v/>
      </c>
      <c r="AE69" s="554" t="str">
        <f t="shared" si="18"/>
        <v/>
      </c>
      <c r="AF69" s="554" t="str">
        <f t="shared" si="18"/>
        <v/>
      </c>
      <c r="AG69" s="554" t="str">
        <f t="shared" si="18"/>
        <v/>
      </c>
      <c r="AH69" s="554" t="str">
        <f t="shared" si="18"/>
        <v/>
      </c>
      <c r="AI69" s="554" t="str">
        <f t="shared" si="18"/>
        <v/>
      </c>
      <c r="AJ69" s="554" t="str">
        <f t="shared" si="18"/>
        <v/>
      </c>
      <c r="AK69" s="554" t="str">
        <f t="shared" si="18"/>
        <v/>
      </c>
      <c r="AL69" s="554" t="str">
        <f t="shared" si="18"/>
        <v/>
      </c>
      <c r="AM69" s="554" t="str">
        <f t="shared" si="18"/>
        <v/>
      </c>
      <c r="AN69" s="554" t="str">
        <f t="shared" si="17"/>
        <v/>
      </c>
      <c r="AO69" s="554">
        <f t="shared" si="17"/>
        <v>1</v>
      </c>
      <c r="AP69" s="554">
        <f t="shared" si="6"/>
        <v>2</v>
      </c>
      <c r="AQ69" s="429" t="str">
        <f t="shared" si="8"/>
        <v>Vendido</v>
      </c>
      <c r="AR69" s="447">
        <f>_xlfn.XLOOKUP(C69,'BOULEVARD 5'!B:B,'BOULEVARD 5'!AU:AU)</f>
        <v>0.12270678712187133</v>
      </c>
    </row>
    <row r="70" spans="1:44" s="429" customFormat="1" ht="13.9" customHeight="1" x14ac:dyDescent="0.25">
      <c r="B70" s="678" t="str">
        <f>IF('B5-Status cobranza'!A70&gt;0,'B5-Status cobranza'!A70,"")</f>
        <v/>
      </c>
      <c r="C70" s="436">
        <v>412</v>
      </c>
      <c r="D70" s="436" t="s">
        <v>399</v>
      </c>
      <c r="E70" s="436"/>
      <c r="F70" s="436" t="str">
        <f>IF('BOULEVARD 5'!E68="","",'BOULEVARD 5'!E68)</f>
        <v>Anahí Cisneros</v>
      </c>
      <c r="G70" s="429" t="str">
        <f>IF('BOULEVARD 5'!F68="","",'BOULEVARD 5'!F68)</f>
        <v>Silvia Rose Mary Monzón Paniagua</v>
      </c>
      <c r="H70" s="473">
        <f>IF('BOULEVARD 5'!G68="","",'BOULEVARD 5'!G68)</f>
        <v>45971</v>
      </c>
      <c r="I70" s="554" t="str">
        <f t="shared" si="19"/>
        <v/>
      </c>
      <c r="J70" s="554" t="str">
        <f t="shared" si="19"/>
        <v/>
      </c>
      <c r="K70" s="554" t="str">
        <f t="shared" si="19"/>
        <v/>
      </c>
      <c r="L70" s="554" t="str">
        <f t="shared" si="19"/>
        <v/>
      </c>
      <c r="M70" s="554" t="str">
        <f t="shared" si="19"/>
        <v/>
      </c>
      <c r="N70" s="554" t="str">
        <f t="shared" si="19"/>
        <v/>
      </c>
      <c r="O70" s="554" t="str">
        <f t="shared" si="19"/>
        <v/>
      </c>
      <c r="P70" s="554" t="str">
        <f t="shared" si="19"/>
        <v/>
      </c>
      <c r="Q70" s="554" t="str">
        <f t="shared" si="19"/>
        <v/>
      </c>
      <c r="R70" s="554" t="str">
        <f t="shared" si="19"/>
        <v/>
      </c>
      <c r="S70" s="554" t="str">
        <f t="shared" si="19"/>
        <v/>
      </c>
      <c r="T70" s="554" t="str">
        <f t="shared" si="19"/>
        <v/>
      </c>
      <c r="U70" s="554" t="str">
        <f t="shared" si="19"/>
        <v/>
      </c>
      <c r="V70" s="554" t="str">
        <f t="shared" si="19"/>
        <v/>
      </c>
      <c r="W70" s="554" t="str">
        <f t="shared" si="19"/>
        <v/>
      </c>
      <c r="X70" s="554" t="str">
        <f t="shared" si="19"/>
        <v/>
      </c>
      <c r="Y70" s="554" t="str">
        <f t="shared" si="18"/>
        <v/>
      </c>
      <c r="Z70" s="554" t="str">
        <f t="shared" si="18"/>
        <v/>
      </c>
      <c r="AA70" s="554" t="str">
        <f t="shared" si="18"/>
        <v/>
      </c>
      <c r="AB70" s="554" t="str">
        <f t="shared" si="18"/>
        <v/>
      </c>
      <c r="AC70" s="554" t="str">
        <f t="shared" si="18"/>
        <v/>
      </c>
      <c r="AD70" s="554" t="str">
        <f t="shared" si="18"/>
        <v/>
      </c>
      <c r="AE70" s="554" t="str">
        <f t="shared" si="18"/>
        <v/>
      </c>
      <c r="AF70" s="554" t="str">
        <f t="shared" si="18"/>
        <v/>
      </c>
      <c r="AG70" s="554" t="str">
        <f t="shared" si="18"/>
        <v/>
      </c>
      <c r="AH70" s="554" t="str">
        <f t="shared" si="18"/>
        <v/>
      </c>
      <c r="AI70" s="554" t="str">
        <f t="shared" si="18"/>
        <v/>
      </c>
      <c r="AJ70" s="554" t="str">
        <f t="shared" si="18"/>
        <v/>
      </c>
      <c r="AK70" s="554" t="str">
        <f t="shared" si="18"/>
        <v/>
      </c>
      <c r="AL70" s="554" t="str">
        <f t="shared" si="18"/>
        <v/>
      </c>
      <c r="AM70" s="554" t="str">
        <f t="shared" si="18"/>
        <v/>
      </c>
      <c r="AN70" s="554" t="str">
        <f t="shared" si="17"/>
        <v/>
      </c>
      <c r="AO70" s="554">
        <f t="shared" si="17"/>
        <v>1</v>
      </c>
      <c r="AP70" s="554">
        <f t="shared" si="6"/>
        <v>2</v>
      </c>
      <c r="AQ70" s="429" t="str">
        <f t="shared" si="8"/>
        <v>Vendido</v>
      </c>
      <c r="AR70" s="447">
        <f>_xlfn.XLOOKUP(C70,'BOULEVARD 5'!B:B,'BOULEVARD 5'!AU:AU)</f>
        <v>0.97807259073842301</v>
      </c>
    </row>
    <row r="71" spans="1:44" s="429" customFormat="1" ht="13.9" customHeight="1" x14ac:dyDescent="0.25">
      <c r="B71" s="678" t="str">
        <f>IF('B5-Status cobranza'!A71&gt;0,'B5-Status cobranza'!A71,"")</f>
        <v/>
      </c>
      <c r="C71" s="436">
        <v>413</v>
      </c>
      <c r="D71" s="436" t="s">
        <v>400</v>
      </c>
      <c r="E71" s="436"/>
      <c r="F71" s="436" t="str">
        <f>IF('BOULEVARD 5'!E69="","",'BOULEVARD 5'!E69)</f>
        <v>Sofia Paredes</v>
      </c>
      <c r="G71" s="429" t="str">
        <f>IF('BOULEVARD 5'!F69="","",'BOULEVARD 5'!F69)</f>
        <v>Cindy Carolina Toscano Merida</v>
      </c>
      <c r="H71" s="473">
        <f>IF('BOULEVARD 5'!G69="","",'BOULEVARD 5'!G69)</f>
        <v>45688</v>
      </c>
      <c r="I71" s="554" t="str">
        <f t="shared" si="19"/>
        <v/>
      </c>
      <c r="J71" s="554" t="str">
        <f t="shared" si="19"/>
        <v/>
      </c>
      <c r="K71" s="554" t="str">
        <f t="shared" si="19"/>
        <v/>
      </c>
      <c r="L71" s="554" t="str">
        <f t="shared" si="19"/>
        <v/>
      </c>
      <c r="M71" s="554" t="str">
        <f t="shared" si="19"/>
        <v/>
      </c>
      <c r="N71" s="554" t="str">
        <f t="shared" si="19"/>
        <v/>
      </c>
      <c r="O71" s="554" t="str">
        <f t="shared" si="19"/>
        <v/>
      </c>
      <c r="P71" s="554" t="str">
        <f t="shared" si="19"/>
        <v/>
      </c>
      <c r="Q71" s="554" t="str">
        <f t="shared" si="19"/>
        <v/>
      </c>
      <c r="R71" s="554" t="str">
        <f t="shared" si="19"/>
        <v/>
      </c>
      <c r="S71" s="554" t="str">
        <f t="shared" si="19"/>
        <v/>
      </c>
      <c r="T71" s="554" t="str">
        <f t="shared" si="19"/>
        <v/>
      </c>
      <c r="U71" s="554" t="str">
        <f t="shared" si="19"/>
        <v/>
      </c>
      <c r="V71" s="554" t="str">
        <f t="shared" si="19"/>
        <v/>
      </c>
      <c r="W71" s="554" t="str">
        <f t="shared" si="19"/>
        <v/>
      </c>
      <c r="X71" s="554" t="str">
        <f t="shared" si="19"/>
        <v/>
      </c>
      <c r="Y71" s="554" t="str">
        <f t="shared" si="18"/>
        <v/>
      </c>
      <c r="Z71" s="554" t="str">
        <f t="shared" si="18"/>
        <v/>
      </c>
      <c r="AA71" s="554" t="str">
        <f t="shared" si="18"/>
        <v/>
      </c>
      <c r="AB71" s="554" t="str">
        <f t="shared" si="18"/>
        <v/>
      </c>
      <c r="AC71" s="554" t="str">
        <f t="shared" si="18"/>
        <v/>
      </c>
      <c r="AD71" s="554" t="str">
        <f t="shared" si="18"/>
        <v/>
      </c>
      <c r="AE71" s="554">
        <f t="shared" si="18"/>
        <v>1</v>
      </c>
      <c r="AF71" s="554">
        <f t="shared" si="18"/>
        <v>2</v>
      </c>
      <c r="AG71" s="554">
        <f t="shared" si="18"/>
        <v>2</v>
      </c>
      <c r="AH71" s="554">
        <f t="shared" si="18"/>
        <v>2</v>
      </c>
      <c r="AI71" s="554">
        <f t="shared" si="18"/>
        <v>2</v>
      </c>
      <c r="AJ71" s="554">
        <f t="shared" si="18"/>
        <v>2</v>
      </c>
      <c r="AK71" s="554">
        <f t="shared" si="18"/>
        <v>2</v>
      </c>
      <c r="AL71" s="554">
        <f t="shared" si="18"/>
        <v>2</v>
      </c>
      <c r="AM71" s="554">
        <f t="shared" si="18"/>
        <v>2</v>
      </c>
      <c r="AN71" s="554">
        <f t="shared" si="17"/>
        <v>2</v>
      </c>
      <c r="AO71" s="554">
        <f t="shared" si="17"/>
        <v>2</v>
      </c>
      <c r="AP71" s="554">
        <f t="shared" si="6"/>
        <v>2</v>
      </c>
      <c r="AQ71" s="429" t="str">
        <f t="shared" si="8"/>
        <v>Vendido</v>
      </c>
      <c r="AR71" s="447">
        <f>_xlfn.XLOOKUP(C71,'BOULEVARD 5'!B:B,'BOULEVARD 5'!AU:AU)</f>
        <v>0.77348917200722156</v>
      </c>
    </row>
    <row r="72" spans="1:44" s="429" customFormat="1" ht="13.9" customHeight="1" x14ac:dyDescent="0.25">
      <c r="B72" s="678" t="str">
        <f>IF('B5-Status cobranza'!A72&gt;0,'B5-Status cobranza'!A72,"")</f>
        <v/>
      </c>
      <c r="C72" s="436">
        <v>414</v>
      </c>
      <c r="D72" s="436" t="s">
        <v>175</v>
      </c>
      <c r="E72" s="436"/>
      <c r="F72" s="436" t="str">
        <f>IF('BOULEVARD 5'!E70="","",'BOULEVARD 5'!E70)</f>
        <v>Antonio Rada</v>
      </c>
      <c r="G72" s="429" t="str">
        <f>IF('BOULEVARD 5'!F70="","",'BOULEVARD 5'!F70)</f>
        <v>Carolina Rivas Le Sage De Alonzo</v>
      </c>
      <c r="H72" s="473">
        <f>IF('BOULEVARD 5'!G70="","",'BOULEVARD 5'!G70)</f>
        <v>45439</v>
      </c>
      <c r="I72" s="554" t="str">
        <f t="shared" si="19"/>
        <v/>
      </c>
      <c r="J72" s="554" t="str">
        <f t="shared" si="19"/>
        <v/>
      </c>
      <c r="K72" s="554" t="str">
        <f t="shared" si="19"/>
        <v/>
      </c>
      <c r="L72" s="554" t="str">
        <f t="shared" si="19"/>
        <v/>
      </c>
      <c r="M72" s="554" t="str">
        <f t="shared" si="19"/>
        <v/>
      </c>
      <c r="N72" s="554" t="str">
        <f t="shared" si="19"/>
        <v/>
      </c>
      <c r="O72" s="554" t="str">
        <f t="shared" si="19"/>
        <v/>
      </c>
      <c r="P72" s="554" t="str">
        <f t="shared" si="19"/>
        <v/>
      </c>
      <c r="Q72" s="554" t="str">
        <f t="shared" si="19"/>
        <v/>
      </c>
      <c r="R72" s="554" t="str">
        <f t="shared" si="19"/>
        <v/>
      </c>
      <c r="S72" s="554" t="str">
        <f t="shared" si="19"/>
        <v/>
      </c>
      <c r="T72" s="554" t="str">
        <f t="shared" si="19"/>
        <v/>
      </c>
      <c r="U72" s="554" t="str">
        <f t="shared" si="19"/>
        <v/>
      </c>
      <c r="V72" s="554" t="str">
        <f t="shared" si="19"/>
        <v/>
      </c>
      <c r="W72" s="554">
        <f t="shared" si="19"/>
        <v>1</v>
      </c>
      <c r="X72" s="554">
        <f t="shared" si="19"/>
        <v>2</v>
      </c>
      <c r="Y72" s="554">
        <f t="shared" si="18"/>
        <v>2</v>
      </c>
      <c r="Z72" s="554">
        <f t="shared" si="18"/>
        <v>2</v>
      </c>
      <c r="AA72" s="554">
        <f t="shared" si="18"/>
        <v>2</v>
      </c>
      <c r="AB72" s="554">
        <f t="shared" si="18"/>
        <v>2</v>
      </c>
      <c r="AC72" s="554">
        <f t="shared" si="18"/>
        <v>2</v>
      </c>
      <c r="AD72" s="554">
        <f t="shared" si="18"/>
        <v>2</v>
      </c>
      <c r="AE72" s="554">
        <f t="shared" si="18"/>
        <v>2</v>
      </c>
      <c r="AF72" s="554">
        <f t="shared" si="18"/>
        <v>2</v>
      </c>
      <c r="AG72" s="554">
        <f t="shared" si="18"/>
        <v>2</v>
      </c>
      <c r="AH72" s="554">
        <f t="shared" si="18"/>
        <v>2</v>
      </c>
      <c r="AI72" s="554">
        <f t="shared" si="18"/>
        <v>2</v>
      </c>
      <c r="AJ72" s="554">
        <f t="shared" si="18"/>
        <v>2</v>
      </c>
      <c r="AK72" s="554">
        <f t="shared" si="18"/>
        <v>2</v>
      </c>
      <c r="AL72" s="554">
        <f t="shared" si="18"/>
        <v>2</v>
      </c>
      <c r="AM72" s="554">
        <f t="shared" si="18"/>
        <v>2</v>
      </c>
      <c r="AN72" s="554">
        <f t="shared" si="17"/>
        <v>2</v>
      </c>
      <c r="AO72" s="554">
        <f t="shared" si="17"/>
        <v>2</v>
      </c>
      <c r="AP72" s="554">
        <f t="shared" si="6"/>
        <v>2</v>
      </c>
      <c r="AQ72" s="429" t="str">
        <f t="shared" si="8"/>
        <v>Vendido</v>
      </c>
      <c r="AR72" s="447">
        <f>_xlfn.XLOOKUP(C72,'BOULEVARD 5'!B:B,'BOULEVARD 5'!AU:AU)</f>
        <v>1.9008220720720721</v>
      </c>
    </row>
    <row r="73" spans="1:44" s="429" customFormat="1" ht="13.9" customHeight="1" x14ac:dyDescent="0.25">
      <c r="B73" s="678" t="str">
        <f>IF('B5-Status cobranza'!A73&gt;0,'B5-Status cobranza'!A73,"")</f>
        <v/>
      </c>
      <c r="C73" s="436">
        <v>415</v>
      </c>
      <c r="D73" s="436" t="s">
        <v>125</v>
      </c>
      <c r="E73" s="436"/>
      <c r="F73" s="436" t="str">
        <f>IF('BOULEVARD 5'!E71="","",'BOULEVARD 5'!E71)</f>
        <v>Anahí Cisneros</v>
      </c>
      <c r="G73" s="429" t="str">
        <f>IF('BOULEVARD 5'!F71="","",'BOULEVARD 5'!F71)</f>
        <v>Kevin Mario Andrés Leal Morales / Flor de María Herrera Reyes de Gil</v>
      </c>
      <c r="H73" s="473">
        <f>IF('BOULEVARD 5'!G71="","",'BOULEVARD 5'!G71)</f>
        <v>45818</v>
      </c>
      <c r="I73" s="554" t="str">
        <f t="shared" si="19"/>
        <v/>
      </c>
      <c r="J73" s="554" t="str">
        <f t="shared" si="19"/>
        <v/>
      </c>
      <c r="K73" s="554" t="str">
        <f t="shared" si="19"/>
        <v/>
      </c>
      <c r="L73" s="554" t="str">
        <f t="shared" si="19"/>
        <v/>
      </c>
      <c r="M73" s="554" t="str">
        <f t="shared" si="19"/>
        <v/>
      </c>
      <c r="N73" s="554" t="str">
        <f t="shared" si="19"/>
        <v/>
      </c>
      <c r="O73" s="554" t="str">
        <f t="shared" si="19"/>
        <v/>
      </c>
      <c r="P73" s="554" t="str">
        <f t="shared" si="19"/>
        <v/>
      </c>
      <c r="Q73" s="554" t="str">
        <f t="shared" si="19"/>
        <v/>
      </c>
      <c r="R73" s="554" t="str">
        <f t="shared" si="19"/>
        <v/>
      </c>
      <c r="S73" s="554" t="str">
        <f t="shared" si="19"/>
        <v/>
      </c>
      <c r="T73" s="554" t="str">
        <f t="shared" si="19"/>
        <v/>
      </c>
      <c r="U73" s="554" t="str">
        <f t="shared" si="19"/>
        <v/>
      </c>
      <c r="V73" s="554" t="str">
        <f t="shared" si="19"/>
        <v/>
      </c>
      <c r="W73" s="554" t="str">
        <f t="shared" si="19"/>
        <v/>
      </c>
      <c r="X73" s="554" t="str">
        <f t="shared" ref="X73:AM88" si="20">IF(OR($B73="F&amp;F",$B73="CE",$H73=""),"",IF(TEXT(X$8,"yyyymm")=TEXT($H73,"yyyymm"),1,IF(TEXT(X$8,"yyyymm")&gt;TEXT($H73,"yyyymm"),2,IF(X$8&lt;$H73,"",0))))</f>
        <v/>
      </c>
      <c r="Y73" s="554" t="str">
        <f t="shared" si="20"/>
        <v/>
      </c>
      <c r="Z73" s="554" t="str">
        <f t="shared" si="20"/>
        <v/>
      </c>
      <c r="AA73" s="554" t="str">
        <f t="shared" si="20"/>
        <v/>
      </c>
      <c r="AB73" s="554" t="str">
        <f t="shared" si="20"/>
        <v/>
      </c>
      <c r="AC73" s="554" t="str">
        <f t="shared" si="20"/>
        <v/>
      </c>
      <c r="AD73" s="554" t="str">
        <f t="shared" si="20"/>
        <v/>
      </c>
      <c r="AE73" s="554" t="str">
        <f t="shared" si="20"/>
        <v/>
      </c>
      <c r="AF73" s="554" t="str">
        <f t="shared" si="20"/>
        <v/>
      </c>
      <c r="AG73" s="554" t="str">
        <f t="shared" si="20"/>
        <v/>
      </c>
      <c r="AH73" s="554" t="str">
        <f t="shared" si="20"/>
        <v/>
      </c>
      <c r="AI73" s="554" t="str">
        <f t="shared" si="20"/>
        <v/>
      </c>
      <c r="AJ73" s="554">
        <f t="shared" si="20"/>
        <v>1</v>
      </c>
      <c r="AK73" s="554">
        <f t="shared" si="20"/>
        <v>2</v>
      </c>
      <c r="AL73" s="554">
        <f t="shared" si="20"/>
        <v>2</v>
      </c>
      <c r="AM73" s="554">
        <f t="shared" si="20"/>
        <v>2</v>
      </c>
      <c r="AN73" s="554">
        <f t="shared" si="17"/>
        <v>2</v>
      </c>
      <c r="AO73" s="554">
        <f t="shared" si="17"/>
        <v>2</v>
      </c>
      <c r="AP73" s="554">
        <f t="shared" si="17"/>
        <v>2</v>
      </c>
      <c r="AQ73" s="429" t="str">
        <f t="shared" si="8"/>
        <v>Vendido</v>
      </c>
      <c r="AR73" s="447">
        <f>_xlfn.XLOOKUP(C73,'BOULEVARD 5'!B:B,'BOULEVARD 5'!AU:AU)</f>
        <v>0.61033062368500746</v>
      </c>
    </row>
    <row r="74" spans="1:44" s="466" customFormat="1" ht="13.9" customHeight="1" x14ac:dyDescent="0.25">
      <c r="B74" s="678" t="str">
        <f>IF('B5-Status cobranza'!A74&gt;0,'B5-Status cobranza'!A74,"")</f>
        <v/>
      </c>
      <c r="C74" s="477">
        <v>416</v>
      </c>
      <c r="D74" s="477" t="s">
        <v>178</v>
      </c>
      <c r="E74" s="477"/>
      <c r="F74" s="477" t="str">
        <f>IF('BOULEVARD 5'!E72="","",'BOULEVARD 5'!E72)</f>
        <v>Sofia Paredes</v>
      </c>
      <c r="G74" s="466" t="str">
        <f>IF('BOULEVARD 5'!F72="","",'BOULEVARD 5'!F72)</f>
        <v xml:space="preserve">Carlos Humberto Rivera Carrillo </v>
      </c>
      <c r="H74" s="478">
        <f>IF('BOULEVARD 5'!G72="","",'BOULEVARD 5'!G72)</f>
        <v>45695</v>
      </c>
      <c r="I74" s="554" t="str">
        <f t="shared" ref="I74:X89" si="21">IF(OR($B74="F&amp;F",$B74="CE",$H74=""),"",IF(TEXT(I$8,"yyyymm")=TEXT($H74,"yyyymm"),1,IF(TEXT(I$8,"yyyymm")&gt;TEXT($H74,"yyyymm"),2,IF(I$8&lt;$H74,"",0))))</f>
        <v/>
      </c>
      <c r="J74" s="554" t="str">
        <f t="shared" si="21"/>
        <v/>
      </c>
      <c r="K74" s="554" t="str">
        <f t="shared" si="21"/>
        <v/>
      </c>
      <c r="L74" s="554" t="str">
        <f t="shared" si="21"/>
        <v/>
      </c>
      <c r="M74" s="554" t="str">
        <f t="shared" si="21"/>
        <v/>
      </c>
      <c r="N74" s="554" t="str">
        <f t="shared" si="21"/>
        <v/>
      </c>
      <c r="O74" s="554" t="str">
        <f t="shared" si="21"/>
        <v/>
      </c>
      <c r="P74" s="554" t="str">
        <f t="shared" si="21"/>
        <v/>
      </c>
      <c r="Q74" s="554" t="str">
        <f t="shared" si="21"/>
        <v/>
      </c>
      <c r="R74" s="554" t="str">
        <f t="shared" si="21"/>
        <v/>
      </c>
      <c r="S74" s="554" t="str">
        <f t="shared" si="21"/>
        <v/>
      </c>
      <c r="T74" s="554" t="str">
        <f t="shared" si="21"/>
        <v/>
      </c>
      <c r="U74" s="554" t="str">
        <f t="shared" si="21"/>
        <v/>
      </c>
      <c r="V74" s="554" t="str">
        <f t="shared" si="21"/>
        <v/>
      </c>
      <c r="W74" s="554" t="str">
        <f t="shared" si="21"/>
        <v/>
      </c>
      <c r="X74" s="554" t="str">
        <f t="shared" si="20"/>
        <v/>
      </c>
      <c r="Y74" s="554" t="str">
        <f t="shared" si="20"/>
        <v/>
      </c>
      <c r="Z74" s="554" t="str">
        <f t="shared" si="20"/>
        <v/>
      </c>
      <c r="AA74" s="554" t="str">
        <f t="shared" si="20"/>
        <v/>
      </c>
      <c r="AB74" s="554" t="str">
        <f t="shared" si="20"/>
        <v/>
      </c>
      <c r="AC74" s="554" t="str">
        <f t="shared" si="20"/>
        <v/>
      </c>
      <c r="AD74" s="554" t="str">
        <f t="shared" si="20"/>
        <v/>
      </c>
      <c r="AE74" s="554" t="str">
        <f t="shared" si="20"/>
        <v/>
      </c>
      <c r="AF74" s="554">
        <f t="shared" si="20"/>
        <v>1</v>
      </c>
      <c r="AG74" s="554">
        <f t="shared" si="20"/>
        <v>2</v>
      </c>
      <c r="AH74" s="554">
        <f t="shared" si="20"/>
        <v>2</v>
      </c>
      <c r="AI74" s="554">
        <f t="shared" si="20"/>
        <v>2</v>
      </c>
      <c r="AJ74" s="554">
        <f t="shared" si="20"/>
        <v>2</v>
      </c>
      <c r="AK74" s="554">
        <f t="shared" si="20"/>
        <v>2</v>
      </c>
      <c r="AL74" s="554">
        <f t="shared" si="20"/>
        <v>2</v>
      </c>
      <c r="AM74" s="554">
        <f t="shared" si="20"/>
        <v>2</v>
      </c>
      <c r="AN74" s="554">
        <f t="shared" si="17"/>
        <v>2</v>
      </c>
      <c r="AO74" s="554">
        <f t="shared" si="17"/>
        <v>2</v>
      </c>
      <c r="AP74" s="554">
        <f t="shared" si="17"/>
        <v>2</v>
      </c>
      <c r="AQ74" s="429" t="str">
        <f t="shared" ref="AQ74:AQ137" si="22">IF(H74="","No Vendido","Vendido")</f>
        <v>Vendido</v>
      </c>
      <c r="AR74" s="447">
        <f>_xlfn.XLOOKUP(C74,'BOULEVARD 5'!B:B,'BOULEVARD 5'!AU:AU)</f>
        <v>0.70735500214059155</v>
      </c>
    </row>
    <row r="75" spans="1:44" s="429" customFormat="1" ht="13.9" customHeight="1" x14ac:dyDescent="0.25">
      <c r="B75" s="678" t="str">
        <f>IF('B5-Status cobranza'!A75&gt;0,'B5-Status cobranza'!A75,"")</f>
        <v/>
      </c>
      <c r="C75" s="436">
        <v>417</v>
      </c>
      <c r="D75" s="436" t="s">
        <v>406</v>
      </c>
      <c r="E75" s="436"/>
      <c r="F75" s="436" t="str">
        <f>IF('BOULEVARD 5'!E73="","",'BOULEVARD 5'!E73)</f>
        <v>Antonio Rada</v>
      </c>
      <c r="G75" s="429" t="str">
        <f>IF('BOULEVARD 5'!F73="","",'BOULEVARD 5'!F73)</f>
        <v>Miguel Angel Flores Linares</v>
      </c>
      <c r="H75" s="473">
        <f>IF('BOULEVARD 5'!G73="","",'BOULEVARD 5'!G73)</f>
        <v>45249</v>
      </c>
      <c r="I75" s="554" t="str">
        <f t="shared" si="21"/>
        <v/>
      </c>
      <c r="J75" s="554" t="str">
        <f t="shared" si="21"/>
        <v/>
      </c>
      <c r="K75" s="554" t="str">
        <f t="shared" si="21"/>
        <v/>
      </c>
      <c r="L75" s="554" t="str">
        <f t="shared" si="21"/>
        <v/>
      </c>
      <c r="M75" s="554" t="str">
        <f t="shared" si="21"/>
        <v/>
      </c>
      <c r="N75" s="554" t="str">
        <f t="shared" si="21"/>
        <v/>
      </c>
      <c r="O75" s="554" t="str">
        <f t="shared" si="21"/>
        <v/>
      </c>
      <c r="P75" s="554" t="str">
        <f t="shared" si="21"/>
        <v/>
      </c>
      <c r="Q75" s="554">
        <f t="shared" si="21"/>
        <v>1</v>
      </c>
      <c r="R75" s="554">
        <f t="shared" si="21"/>
        <v>2</v>
      </c>
      <c r="S75" s="554">
        <f t="shared" si="21"/>
        <v>2</v>
      </c>
      <c r="T75" s="554">
        <f t="shared" si="21"/>
        <v>2</v>
      </c>
      <c r="U75" s="554">
        <f t="shared" si="21"/>
        <v>2</v>
      </c>
      <c r="V75" s="554">
        <f t="shared" si="21"/>
        <v>2</v>
      </c>
      <c r="W75" s="554">
        <f t="shared" si="21"/>
        <v>2</v>
      </c>
      <c r="X75" s="554">
        <f t="shared" si="20"/>
        <v>2</v>
      </c>
      <c r="Y75" s="554">
        <f t="shared" si="20"/>
        <v>2</v>
      </c>
      <c r="Z75" s="554">
        <f t="shared" si="20"/>
        <v>2</v>
      </c>
      <c r="AA75" s="554">
        <f t="shared" si="20"/>
        <v>2</v>
      </c>
      <c r="AB75" s="554">
        <f t="shared" si="20"/>
        <v>2</v>
      </c>
      <c r="AC75" s="554">
        <f t="shared" si="20"/>
        <v>2</v>
      </c>
      <c r="AD75" s="554">
        <f t="shared" si="20"/>
        <v>2</v>
      </c>
      <c r="AE75" s="554">
        <f t="shared" si="20"/>
        <v>2</v>
      </c>
      <c r="AF75" s="554">
        <f t="shared" si="20"/>
        <v>2</v>
      </c>
      <c r="AG75" s="554">
        <f t="shared" si="20"/>
        <v>2</v>
      </c>
      <c r="AH75" s="554">
        <f t="shared" si="20"/>
        <v>2</v>
      </c>
      <c r="AI75" s="554">
        <f t="shared" si="20"/>
        <v>2</v>
      </c>
      <c r="AJ75" s="554">
        <f t="shared" si="20"/>
        <v>2</v>
      </c>
      <c r="AK75" s="554">
        <f t="shared" si="20"/>
        <v>2</v>
      </c>
      <c r="AL75" s="554">
        <f t="shared" si="20"/>
        <v>2</v>
      </c>
      <c r="AM75" s="554">
        <f t="shared" si="20"/>
        <v>2</v>
      </c>
      <c r="AN75" s="554">
        <f t="shared" ref="AN75:AP94" si="23">IF(OR($B75="F&amp;F",$B75="CE",$H75=""),"",IF(TEXT(AN$8,"yyyymm")=TEXT($H75,"yyyymm"),1,IF(TEXT(AN$8,"yyyymm")&gt;TEXT($H75,"yyyymm"),2,IF(AN$8&lt;$H75,"",0))))</f>
        <v>2</v>
      </c>
      <c r="AO75" s="554">
        <f t="shared" si="23"/>
        <v>2</v>
      </c>
      <c r="AP75" s="554">
        <f t="shared" si="23"/>
        <v>2</v>
      </c>
      <c r="AQ75" s="429" t="str">
        <f t="shared" si="22"/>
        <v>Vendido</v>
      </c>
      <c r="AR75" s="447">
        <f>_xlfn.XLOOKUP(C75,'BOULEVARD 5'!B:B,'BOULEVARD 5'!AU:AU)</f>
        <v>1</v>
      </c>
    </row>
    <row r="76" spans="1:44" s="429" customFormat="1" ht="13.9" customHeight="1" x14ac:dyDescent="0.25">
      <c r="B76" s="678" t="str">
        <f>IF('B5-Status cobranza'!A76&gt;0,'B5-Status cobranza'!A76,"")</f>
        <v/>
      </c>
      <c r="C76" s="436">
        <v>418</v>
      </c>
      <c r="D76" s="436" t="s">
        <v>200</v>
      </c>
      <c r="E76" s="436"/>
      <c r="F76" s="436" t="str">
        <f>IF('BOULEVARD 5'!E74="","",'BOULEVARD 5'!E74)</f>
        <v>Antonio Rada</v>
      </c>
      <c r="G76" s="429" t="str">
        <f>IF('BOULEVARD 5'!F74="","",'BOULEVARD 5'!F74)</f>
        <v xml:space="preserve">Antonio Vicente Tzep Tahay </v>
      </c>
      <c r="H76" s="473">
        <f>IF('BOULEVARD 5'!G74="","",'BOULEVARD 5'!G74)</f>
        <v>45785</v>
      </c>
      <c r="I76" s="554" t="str">
        <f t="shared" si="21"/>
        <v/>
      </c>
      <c r="J76" s="554" t="str">
        <f t="shared" si="21"/>
        <v/>
      </c>
      <c r="K76" s="554" t="str">
        <f t="shared" si="21"/>
        <v/>
      </c>
      <c r="L76" s="554" t="str">
        <f t="shared" si="21"/>
        <v/>
      </c>
      <c r="M76" s="554" t="str">
        <f t="shared" si="21"/>
        <v/>
      </c>
      <c r="N76" s="554" t="str">
        <f t="shared" si="21"/>
        <v/>
      </c>
      <c r="O76" s="554" t="str">
        <f t="shared" si="21"/>
        <v/>
      </c>
      <c r="P76" s="554" t="str">
        <f t="shared" si="21"/>
        <v/>
      </c>
      <c r="Q76" s="554" t="str">
        <f t="shared" si="21"/>
        <v/>
      </c>
      <c r="R76" s="554" t="str">
        <f t="shared" si="21"/>
        <v/>
      </c>
      <c r="S76" s="554" t="str">
        <f t="shared" si="21"/>
        <v/>
      </c>
      <c r="T76" s="554" t="str">
        <f t="shared" si="21"/>
        <v/>
      </c>
      <c r="U76" s="554" t="str">
        <f t="shared" si="21"/>
        <v/>
      </c>
      <c r="V76" s="554" t="str">
        <f t="shared" si="21"/>
        <v/>
      </c>
      <c r="W76" s="554" t="str">
        <f t="shared" si="21"/>
        <v/>
      </c>
      <c r="X76" s="554" t="str">
        <f t="shared" si="20"/>
        <v/>
      </c>
      <c r="Y76" s="554" t="str">
        <f t="shared" si="20"/>
        <v/>
      </c>
      <c r="Z76" s="554" t="str">
        <f t="shared" si="20"/>
        <v/>
      </c>
      <c r="AA76" s="554" t="str">
        <f t="shared" si="20"/>
        <v/>
      </c>
      <c r="AB76" s="554" t="str">
        <f t="shared" si="20"/>
        <v/>
      </c>
      <c r="AC76" s="554" t="str">
        <f t="shared" si="20"/>
        <v/>
      </c>
      <c r="AD76" s="554" t="str">
        <f t="shared" si="20"/>
        <v/>
      </c>
      <c r="AE76" s="554" t="str">
        <f t="shared" si="20"/>
        <v/>
      </c>
      <c r="AF76" s="554" t="str">
        <f t="shared" si="20"/>
        <v/>
      </c>
      <c r="AG76" s="554" t="str">
        <f t="shared" si="20"/>
        <v/>
      </c>
      <c r="AH76" s="554" t="str">
        <f t="shared" si="20"/>
        <v/>
      </c>
      <c r="AI76" s="554">
        <f t="shared" si="20"/>
        <v>1</v>
      </c>
      <c r="AJ76" s="554">
        <f t="shared" si="20"/>
        <v>2</v>
      </c>
      <c r="AK76" s="554">
        <f t="shared" si="20"/>
        <v>2</v>
      </c>
      <c r="AL76" s="554">
        <f t="shared" si="20"/>
        <v>2</v>
      </c>
      <c r="AM76" s="554">
        <f t="shared" si="20"/>
        <v>2</v>
      </c>
      <c r="AN76" s="554">
        <f t="shared" si="23"/>
        <v>2</v>
      </c>
      <c r="AO76" s="554">
        <f t="shared" si="23"/>
        <v>2</v>
      </c>
      <c r="AP76" s="554">
        <f t="shared" si="23"/>
        <v>2</v>
      </c>
      <c r="AQ76" s="429" t="str">
        <f t="shared" si="22"/>
        <v>Vendido</v>
      </c>
      <c r="AR76" s="447">
        <f>_xlfn.XLOOKUP(C76,'BOULEVARD 5'!B:B,'BOULEVARD 5'!AU:AU)</f>
        <v>0.42215191981084949</v>
      </c>
    </row>
    <row r="77" spans="1:44" s="429" customFormat="1" ht="13.9" customHeight="1" x14ac:dyDescent="0.25">
      <c r="B77" s="678" t="str">
        <f>IF('B5-Status cobranza'!A77&gt;0,'B5-Status cobranza'!A77,"")</f>
        <v/>
      </c>
      <c r="C77" s="436">
        <v>419</v>
      </c>
      <c r="D77" s="436" t="s">
        <v>409</v>
      </c>
      <c r="E77" s="436"/>
      <c r="F77" s="436" t="str">
        <f>IF('BOULEVARD 5'!E75="","",'BOULEVARD 5'!E75)</f>
        <v>Antonio Rada</v>
      </c>
      <c r="G77" s="429" t="str">
        <f>IF('BOULEVARD 5'!F75="","",'BOULEVARD 5'!F75)</f>
        <v>Andrea Elizabeth Ortiz Perez</v>
      </c>
      <c r="H77" s="473">
        <f>IF('BOULEVARD 5'!G75="","",'BOULEVARD 5'!G75)</f>
        <v>45231</v>
      </c>
      <c r="I77" s="554" t="str">
        <f t="shared" si="21"/>
        <v/>
      </c>
      <c r="J77" s="554" t="str">
        <f t="shared" si="21"/>
        <v/>
      </c>
      <c r="K77" s="554" t="str">
        <f t="shared" si="21"/>
        <v/>
      </c>
      <c r="L77" s="554" t="str">
        <f t="shared" si="21"/>
        <v/>
      </c>
      <c r="M77" s="554" t="str">
        <f t="shared" si="21"/>
        <v/>
      </c>
      <c r="N77" s="554" t="str">
        <f t="shared" si="21"/>
        <v/>
      </c>
      <c r="O77" s="554" t="str">
        <f t="shared" si="21"/>
        <v/>
      </c>
      <c r="P77" s="554" t="str">
        <f t="shared" si="21"/>
        <v/>
      </c>
      <c r="Q77" s="554">
        <f t="shared" si="21"/>
        <v>1</v>
      </c>
      <c r="R77" s="554">
        <f t="shared" si="21"/>
        <v>2</v>
      </c>
      <c r="S77" s="554">
        <f t="shared" si="21"/>
        <v>2</v>
      </c>
      <c r="T77" s="554">
        <f t="shared" si="21"/>
        <v>2</v>
      </c>
      <c r="U77" s="554">
        <f t="shared" si="21"/>
        <v>2</v>
      </c>
      <c r="V77" s="554">
        <f t="shared" si="21"/>
        <v>2</v>
      </c>
      <c r="W77" s="554">
        <f t="shared" si="21"/>
        <v>2</v>
      </c>
      <c r="X77" s="554">
        <f t="shared" si="20"/>
        <v>2</v>
      </c>
      <c r="Y77" s="554">
        <f t="shared" si="20"/>
        <v>2</v>
      </c>
      <c r="Z77" s="554">
        <f t="shared" si="20"/>
        <v>2</v>
      </c>
      <c r="AA77" s="554">
        <f t="shared" si="20"/>
        <v>2</v>
      </c>
      <c r="AB77" s="554">
        <f t="shared" si="20"/>
        <v>2</v>
      </c>
      <c r="AC77" s="554">
        <f t="shared" si="20"/>
        <v>2</v>
      </c>
      <c r="AD77" s="554">
        <f t="shared" si="20"/>
        <v>2</v>
      </c>
      <c r="AE77" s="554">
        <f t="shared" si="20"/>
        <v>2</v>
      </c>
      <c r="AF77" s="554">
        <f t="shared" si="20"/>
        <v>2</v>
      </c>
      <c r="AG77" s="554">
        <f t="shared" si="20"/>
        <v>2</v>
      </c>
      <c r="AH77" s="554">
        <f t="shared" si="20"/>
        <v>2</v>
      </c>
      <c r="AI77" s="554">
        <f t="shared" si="20"/>
        <v>2</v>
      </c>
      <c r="AJ77" s="554">
        <f t="shared" si="20"/>
        <v>2</v>
      </c>
      <c r="AK77" s="554">
        <f t="shared" si="20"/>
        <v>2</v>
      </c>
      <c r="AL77" s="554">
        <f t="shared" si="20"/>
        <v>2</v>
      </c>
      <c r="AM77" s="554">
        <f t="shared" si="20"/>
        <v>2</v>
      </c>
      <c r="AN77" s="554">
        <f t="shared" si="23"/>
        <v>2</v>
      </c>
      <c r="AO77" s="554">
        <f t="shared" si="23"/>
        <v>2</v>
      </c>
      <c r="AP77" s="554">
        <f t="shared" si="23"/>
        <v>2</v>
      </c>
      <c r="AQ77" s="429" t="str">
        <f t="shared" si="22"/>
        <v>Vendido</v>
      </c>
      <c r="AR77" s="447">
        <f>_xlfn.XLOOKUP(C77,'BOULEVARD 5'!B:B,'BOULEVARD 5'!AU:AU)</f>
        <v>0.99993788819875773</v>
      </c>
    </row>
    <row r="78" spans="1:44" s="429" customFormat="1" ht="13.9" customHeight="1" x14ac:dyDescent="0.25">
      <c r="B78" s="678" t="str">
        <f>IF('B5-Status cobranza'!A78&gt;0,'B5-Status cobranza'!A78,"")</f>
        <v/>
      </c>
      <c r="C78" s="436">
        <v>420</v>
      </c>
      <c r="D78" s="436" t="s">
        <v>184</v>
      </c>
      <c r="E78" s="436"/>
      <c r="F78" s="436" t="str">
        <f>IF('BOULEVARD 5'!E76="","",'BOULEVARD 5'!E76)</f>
        <v>Antonio Rada</v>
      </c>
      <c r="G78" s="429" t="str">
        <f>IF('BOULEVARD 5'!F76="","",'BOULEVARD 5'!F76)</f>
        <v>Rodriga Virginia Figueroa Perez</v>
      </c>
      <c r="H78" s="473">
        <f>IF('BOULEVARD 5'!G76="","",'BOULEVARD 5'!G76)</f>
        <v>45490</v>
      </c>
      <c r="I78" s="554" t="str">
        <f t="shared" si="21"/>
        <v/>
      </c>
      <c r="J78" s="554" t="str">
        <f t="shared" si="21"/>
        <v/>
      </c>
      <c r="K78" s="554" t="str">
        <f t="shared" si="21"/>
        <v/>
      </c>
      <c r="L78" s="554" t="str">
        <f t="shared" si="21"/>
        <v/>
      </c>
      <c r="M78" s="554" t="str">
        <f t="shared" si="21"/>
        <v/>
      </c>
      <c r="N78" s="554" t="str">
        <f t="shared" si="21"/>
        <v/>
      </c>
      <c r="O78" s="554" t="str">
        <f t="shared" si="21"/>
        <v/>
      </c>
      <c r="P78" s="554" t="str">
        <f t="shared" si="21"/>
        <v/>
      </c>
      <c r="Q78" s="554" t="str">
        <f t="shared" si="21"/>
        <v/>
      </c>
      <c r="R78" s="554" t="str">
        <f t="shared" si="21"/>
        <v/>
      </c>
      <c r="S78" s="554" t="str">
        <f t="shared" si="21"/>
        <v/>
      </c>
      <c r="T78" s="554" t="str">
        <f t="shared" si="21"/>
        <v/>
      </c>
      <c r="U78" s="554" t="str">
        <f t="shared" si="21"/>
        <v/>
      </c>
      <c r="V78" s="554" t="str">
        <f t="shared" si="21"/>
        <v/>
      </c>
      <c r="W78" s="554" t="str">
        <f t="shared" si="21"/>
        <v/>
      </c>
      <c r="X78" s="554" t="str">
        <f t="shared" si="20"/>
        <v/>
      </c>
      <c r="Y78" s="554">
        <f t="shared" si="20"/>
        <v>1</v>
      </c>
      <c r="Z78" s="554">
        <f t="shared" si="20"/>
        <v>2</v>
      </c>
      <c r="AA78" s="554">
        <f t="shared" si="20"/>
        <v>2</v>
      </c>
      <c r="AB78" s="554">
        <f t="shared" si="20"/>
        <v>2</v>
      </c>
      <c r="AC78" s="554">
        <f t="shared" si="20"/>
        <v>2</v>
      </c>
      <c r="AD78" s="554">
        <f t="shared" si="20"/>
        <v>2</v>
      </c>
      <c r="AE78" s="554">
        <f t="shared" si="20"/>
        <v>2</v>
      </c>
      <c r="AF78" s="554">
        <f t="shared" si="20"/>
        <v>2</v>
      </c>
      <c r="AG78" s="554">
        <f t="shared" si="20"/>
        <v>2</v>
      </c>
      <c r="AH78" s="554">
        <f t="shared" si="20"/>
        <v>2</v>
      </c>
      <c r="AI78" s="554">
        <f t="shared" si="20"/>
        <v>2</v>
      </c>
      <c r="AJ78" s="554">
        <f t="shared" si="20"/>
        <v>2</v>
      </c>
      <c r="AK78" s="554">
        <f t="shared" si="20"/>
        <v>2</v>
      </c>
      <c r="AL78" s="554">
        <f t="shared" si="20"/>
        <v>2</v>
      </c>
      <c r="AM78" s="554">
        <f t="shared" si="20"/>
        <v>2</v>
      </c>
      <c r="AN78" s="554">
        <f t="shared" si="23"/>
        <v>2</v>
      </c>
      <c r="AO78" s="554">
        <f t="shared" si="23"/>
        <v>2</v>
      </c>
      <c r="AP78" s="554">
        <f t="shared" si="23"/>
        <v>2</v>
      </c>
      <c r="AQ78" s="429" t="str">
        <f t="shared" si="22"/>
        <v>Vendido</v>
      </c>
      <c r="AR78" s="447">
        <f>_xlfn.XLOOKUP(C78,'BOULEVARD 5'!B:B,'BOULEVARD 5'!AU:AU)</f>
        <v>1</v>
      </c>
    </row>
    <row r="79" spans="1:44" s="429" customFormat="1" ht="13.9" customHeight="1" x14ac:dyDescent="0.25">
      <c r="B79" s="678" t="str">
        <f>IF('B5-Status cobranza'!A79&gt;0,'B5-Status cobranza'!A79,"")</f>
        <v/>
      </c>
      <c r="C79" s="436">
        <v>501</v>
      </c>
      <c r="D79" s="436" t="s">
        <v>456</v>
      </c>
      <c r="E79" s="436"/>
      <c r="F79" s="436" t="str">
        <f>IF('BOULEVARD 5'!E77="","",'BOULEVARD 5'!E77)</f>
        <v>Sofia Paredes</v>
      </c>
      <c r="G79" s="429" t="str">
        <f>IF('BOULEVARD 5'!F77="","",'BOULEVARD 5'!F77)</f>
        <v>Erick Guillermo Ruano Garcia</v>
      </c>
      <c r="H79" s="473">
        <f>IF('BOULEVARD 5'!G77="","",'BOULEVARD 5'!G77)</f>
        <v>45681</v>
      </c>
      <c r="I79" s="554" t="str">
        <f t="shared" si="21"/>
        <v/>
      </c>
      <c r="J79" s="554" t="str">
        <f t="shared" si="21"/>
        <v/>
      </c>
      <c r="K79" s="554" t="str">
        <f t="shared" si="21"/>
        <v/>
      </c>
      <c r="L79" s="554" t="str">
        <f t="shared" si="21"/>
        <v/>
      </c>
      <c r="M79" s="554" t="str">
        <f t="shared" si="21"/>
        <v/>
      </c>
      <c r="N79" s="554" t="str">
        <f t="shared" si="21"/>
        <v/>
      </c>
      <c r="O79" s="554" t="str">
        <f t="shared" si="21"/>
        <v/>
      </c>
      <c r="P79" s="554" t="str">
        <f t="shared" si="21"/>
        <v/>
      </c>
      <c r="Q79" s="554" t="str">
        <f t="shared" si="21"/>
        <v/>
      </c>
      <c r="R79" s="554" t="str">
        <f t="shared" si="21"/>
        <v/>
      </c>
      <c r="S79" s="554" t="str">
        <f t="shared" si="21"/>
        <v/>
      </c>
      <c r="T79" s="554" t="str">
        <f t="shared" si="21"/>
        <v/>
      </c>
      <c r="U79" s="554" t="str">
        <f t="shared" si="21"/>
        <v/>
      </c>
      <c r="V79" s="554" t="str">
        <f t="shared" si="21"/>
        <v/>
      </c>
      <c r="W79" s="554" t="str">
        <f t="shared" si="21"/>
        <v/>
      </c>
      <c r="X79" s="554" t="str">
        <f t="shared" si="20"/>
        <v/>
      </c>
      <c r="Y79" s="554" t="str">
        <f t="shared" si="20"/>
        <v/>
      </c>
      <c r="Z79" s="554" t="str">
        <f t="shared" si="20"/>
        <v/>
      </c>
      <c r="AA79" s="554" t="str">
        <f t="shared" si="20"/>
        <v/>
      </c>
      <c r="AB79" s="554" t="str">
        <f t="shared" si="20"/>
        <v/>
      </c>
      <c r="AC79" s="554" t="str">
        <f t="shared" si="20"/>
        <v/>
      </c>
      <c r="AD79" s="554" t="str">
        <f t="shared" si="20"/>
        <v/>
      </c>
      <c r="AE79" s="554">
        <f t="shared" si="20"/>
        <v>1</v>
      </c>
      <c r="AF79" s="554">
        <f t="shared" si="20"/>
        <v>2</v>
      </c>
      <c r="AG79" s="554">
        <f t="shared" si="20"/>
        <v>2</v>
      </c>
      <c r="AH79" s="554">
        <f t="shared" si="20"/>
        <v>2</v>
      </c>
      <c r="AI79" s="554">
        <f t="shared" si="20"/>
        <v>2</v>
      </c>
      <c r="AJ79" s="554">
        <f t="shared" si="20"/>
        <v>2</v>
      </c>
      <c r="AK79" s="554">
        <f t="shared" si="20"/>
        <v>2</v>
      </c>
      <c r="AL79" s="554">
        <f t="shared" si="20"/>
        <v>2</v>
      </c>
      <c r="AM79" s="554">
        <f t="shared" si="20"/>
        <v>2</v>
      </c>
      <c r="AN79" s="554">
        <f t="shared" si="23"/>
        <v>2</v>
      </c>
      <c r="AO79" s="554">
        <f t="shared" si="23"/>
        <v>2</v>
      </c>
      <c r="AP79" s="554">
        <f t="shared" si="23"/>
        <v>2</v>
      </c>
      <c r="AQ79" s="429" t="str">
        <f t="shared" si="22"/>
        <v>Vendido</v>
      </c>
      <c r="AR79" s="447">
        <f>_xlfn.XLOOKUP(C79,'BOULEVARD 5'!B:B,'BOULEVARD 5'!AU:AU)</f>
        <v>0.76664070049080324</v>
      </c>
    </row>
    <row r="80" spans="1:44" s="429" customFormat="1" ht="13.9" customHeight="1" x14ac:dyDescent="0.25">
      <c r="B80" s="678" t="str">
        <f>IF('B5-Status cobranza'!A80&gt;0,'B5-Status cobranza'!A80,"")</f>
        <v/>
      </c>
      <c r="C80" s="436">
        <v>502</v>
      </c>
      <c r="D80" s="436" t="s">
        <v>134</v>
      </c>
      <c r="E80" s="436"/>
      <c r="F80" s="436" t="str">
        <f>IF('BOULEVARD 5'!E78="","",'BOULEVARD 5'!E78)</f>
        <v>Laura Molina</v>
      </c>
      <c r="G80" s="429" t="str">
        <f>IF('BOULEVARD 5'!F78="","",'BOULEVARD 5'!F78)</f>
        <v>Rudy Baldemar Villeda Vanegas / Marcia Corina Hernández Ruiz de Villeda</v>
      </c>
      <c r="H80" s="473">
        <f>IF('BOULEVARD 5'!G78="","",'BOULEVARD 5'!G78)</f>
        <v>45832</v>
      </c>
      <c r="I80" s="554" t="str">
        <f t="shared" si="21"/>
        <v/>
      </c>
      <c r="J80" s="554" t="str">
        <f t="shared" si="21"/>
        <v/>
      </c>
      <c r="K80" s="554" t="str">
        <f t="shared" si="21"/>
        <v/>
      </c>
      <c r="L80" s="554" t="str">
        <f t="shared" si="21"/>
        <v/>
      </c>
      <c r="M80" s="554" t="str">
        <f t="shared" si="21"/>
        <v/>
      </c>
      <c r="N80" s="554" t="str">
        <f t="shared" si="21"/>
        <v/>
      </c>
      <c r="O80" s="554" t="str">
        <f t="shared" si="21"/>
        <v/>
      </c>
      <c r="P80" s="554" t="str">
        <f t="shared" si="21"/>
        <v/>
      </c>
      <c r="Q80" s="554" t="str">
        <f t="shared" si="21"/>
        <v/>
      </c>
      <c r="R80" s="554" t="str">
        <f t="shared" si="21"/>
        <v/>
      </c>
      <c r="S80" s="554" t="str">
        <f t="shared" si="21"/>
        <v/>
      </c>
      <c r="T80" s="554" t="str">
        <f t="shared" si="21"/>
        <v/>
      </c>
      <c r="U80" s="554" t="str">
        <f t="shared" si="21"/>
        <v/>
      </c>
      <c r="V80" s="554" t="str">
        <f t="shared" si="21"/>
        <v/>
      </c>
      <c r="W80" s="554" t="str">
        <f t="shared" si="21"/>
        <v/>
      </c>
      <c r="X80" s="554" t="str">
        <f t="shared" si="20"/>
        <v/>
      </c>
      <c r="Y80" s="554" t="str">
        <f t="shared" si="20"/>
        <v/>
      </c>
      <c r="Z80" s="554" t="str">
        <f t="shared" si="20"/>
        <v/>
      </c>
      <c r="AA80" s="554" t="str">
        <f t="shared" si="20"/>
        <v/>
      </c>
      <c r="AB80" s="554" t="str">
        <f t="shared" si="20"/>
        <v/>
      </c>
      <c r="AC80" s="554" t="str">
        <f t="shared" si="20"/>
        <v/>
      </c>
      <c r="AD80" s="554" t="str">
        <f t="shared" si="20"/>
        <v/>
      </c>
      <c r="AE80" s="554" t="str">
        <f t="shared" si="20"/>
        <v/>
      </c>
      <c r="AF80" s="554" t="str">
        <f t="shared" si="20"/>
        <v/>
      </c>
      <c r="AG80" s="554" t="str">
        <f t="shared" si="20"/>
        <v/>
      </c>
      <c r="AH80" s="554" t="str">
        <f t="shared" si="20"/>
        <v/>
      </c>
      <c r="AI80" s="554" t="str">
        <f t="shared" si="20"/>
        <v/>
      </c>
      <c r="AJ80" s="554">
        <f t="shared" si="20"/>
        <v>1</v>
      </c>
      <c r="AK80" s="554">
        <f t="shared" si="20"/>
        <v>2</v>
      </c>
      <c r="AL80" s="554">
        <f t="shared" si="20"/>
        <v>2</v>
      </c>
      <c r="AM80" s="554">
        <f t="shared" si="20"/>
        <v>2</v>
      </c>
      <c r="AN80" s="554">
        <f t="shared" si="23"/>
        <v>2</v>
      </c>
      <c r="AO80" s="554">
        <f t="shared" si="23"/>
        <v>2</v>
      </c>
      <c r="AP80" s="554">
        <f t="shared" si="23"/>
        <v>2</v>
      </c>
      <c r="AQ80" s="429" t="str">
        <f t="shared" si="22"/>
        <v>Vendido</v>
      </c>
      <c r="AR80" s="447">
        <f>_xlfn.XLOOKUP(C80,'BOULEVARD 5'!B:B,'BOULEVARD 5'!AU:AU)</f>
        <v>0.60952682760589383</v>
      </c>
    </row>
    <row r="81" spans="2:44" s="429" customFormat="1" ht="13.9" customHeight="1" x14ac:dyDescent="0.25">
      <c r="B81" s="678" t="str">
        <f>IF('B5-Status cobranza'!A81&gt;0,'B5-Status cobranza'!A81,"")</f>
        <v/>
      </c>
      <c r="C81" s="436">
        <v>503</v>
      </c>
      <c r="D81" s="436" t="s">
        <v>400</v>
      </c>
      <c r="E81" s="436"/>
      <c r="F81" s="436" t="str">
        <f>IF('BOULEVARD 5'!E79="","",'BOULEVARD 5'!E79)</f>
        <v>Antonio Rada</v>
      </c>
      <c r="G81" s="429" t="str">
        <f>IF('BOULEVARD 5'!F79="","",'BOULEVARD 5'!F79)</f>
        <v>David Eduardo Orellana Rivera</v>
      </c>
      <c r="H81" s="473">
        <f>IF('BOULEVARD 5'!G79="","",'BOULEVARD 5'!G79)</f>
        <v>45798</v>
      </c>
      <c r="I81" s="554" t="str">
        <f t="shared" si="21"/>
        <v/>
      </c>
      <c r="J81" s="554" t="str">
        <f t="shared" si="21"/>
        <v/>
      </c>
      <c r="K81" s="554" t="str">
        <f t="shared" si="21"/>
        <v/>
      </c>
      <c r="L81" s="554" t="str">
        <f t="shared" si="21"/>
        <v/>
      </c>
      <c r="M81" s="554" t="str">
        <f t="shared" si="21"/>
        <v/>
      </c>
      <c r="N81" s="554" t="str">
        <f t="shared" si="21"/>
        <v/>
      </c>
      <c r="O81" s="554" t="str">
        <f t="shared" si="21"/>
        <v/>
      </c>
      <c r="P81" s="554" t="str">
        <f t="shared" si="21"/>
        <v/>
      </c>
      <c r="Q81" s="554" t="str">
        <f t="shared" si="21"/>
        <v/>
      </c>
      <c r="R81" s="554" t="str">
        <f t="shared" si="21"/>
        <v/>
      </c>
      <c r="S81" s="554" t="str">
        <f t="shared" si="21"/>
        <v/>
      </c>
      <c r="T81" s="554" t="str">
        <f t="shared" si="21"/>
        <v/>
      </c>
      <c r="U81" s="554" t="str">
        <f t="shared" si="21"/>
        <v/>
      </c>
      <c r="V81" s="554" t="str">
        <f t="shared" si="21"/>
        <v/>
      </c>
      <c r="W81" s="554" t="str">
        <f t="shared" si="21"/>
        <v/>
      </c>
      <c r="X81" s="554" t="str">
        <f t="shared" si="20"/>
        <v/>
      </c>
      <c r="Y81" s="554" t="str">
        <f t="shared" si="20"/>
        <v/>
      </c>
      <c r="Z81" s="554" t="str">
        <f t="shared" si="20"/>
        <v/>
      </c>
      <c r="AA81" s="554" t="str">
        <f t="shared" si="20"/>
        <v/>
      </c>
      <c r="AB81" s="554" t="str">
        <f t="shared" si="20"/>
        <v/>
      </c>
      <c r="AC81" s="554" t="str">
        <f t="shared" si="20"/>
        <v/>
      </c>
      <c r="AD81" s="554" t="str">
        <f t="shared" si="20"/>
        <v/>
      </c>
      <c r="AE81" s="554" t="str">
        <f t="shared" si="20"/>
        <v/>
      </c>
      <c r="AF81" s="554" t="str">
        <f t="shared" si="20"/>
        <v/>
      </c>
      <c r="AG81" s="554" t="str">
        <f t="shared" si="20"/>
        <v/>
      </c>
      <c r="AH81" s="554" t="str">
        <f t="shared" si="20"/>
        <v/>
      </c>
      <c r="AI81" s="554">
        <f t="shared" si="20"/>
        <v>1</v>
      </c>
      <c r="AJ81" s="554">
        <f t="shared" si="20"/>
        <v>2</v>
      </c>
      <c r="AK81" s="554">
        <f t="shared" si="20"/>
        <v>2</v>
      </c>
      <c r="AL81" s="554">
        <f t="shared" si="20"/>
        <v>2</v>
      </c>
      <c r="AM81" s="554">
        <f t="shared" si="20"/>
        <v>2</v>
      </c>
      <c r="AN81" s="554">
        <f t="shared" si="23"/>
        <v>2</v>
      </c>
      <c r="AO81" s="554">
        <f t="shared" si="23"/>
        <v>2</v>
      </c>
      <c r="AP81" s="554">
        <f t="shared" si="23"/>
        <v>2</v>
      </c>
      <c r="AQ81" s="429" t="str">
        <f t="shared" si="22"/>
        <v>Vendido</v>
      </c>
      <c r="AR81" s="447">
        <f>_xlfn.XLOOKUP(C81,'BOULEVARD 5'!B:B,'BOULEVARD 5'!AU:AU)</f>
        <v>0.62309513806668448</v>
      </c>
    </row>
    <row r="82" spans="2:44" s="429" customFormat="1" ht="13.9" customHeight="1" x14ac:dyDescent="0.25">
      <c r="B82" s="678" t="str">
        <f>IF('B5-Status cobranza'!A82&gt;0,'B5-Status cobranza'!A82,"")</f>
        <v/>
      </c>
      <c r="C82" s="436">
        <v>504</v>
      </c>
      <c r="D82" s="436" t="s">
        <v>175</v>
      </c>
      <c r="E82" s="436"/>
      <c r="F82" s="436" t="str">
        <f>IF('BOULEVARD 5'!E80="","",'BOULEVARD 5'!E80)</f>
        <v>Antonio Rada</v>
      </c>
      <c r="G82" s="429" t="str">
        <f>IF('BOULEVARD 5'!F80="","",'BOULEVARD 5'!F80)</f>
        <v>Jaquelyn Andrea España Siliezar</v>
      </c>
      <c r="H82" s="473">
        <f>IF('BOULEVARD 5'!G80="","",'BOULEVARD 5'!G80)</f>
        <v>45788</v>
      </c>
      <c r="I82" s="554" t="str">
        <f t="shared" si="21"/>
        <v/>
      </c>
      <c r="J82" s="554" t="str">
        <f t="shared" si="21"/>
        <v/>
      </c>
      <c r="K82" s="554" t="str">
        <f t="shared" si="21"/>
        <v/>
      </c>
      <c r="L82" s="554" t="str">
        <f t="shared" si="21"/>
        <v/>
      </c>
      <c r="M82" s="554" t="str">
        <f t="shared" si="21"/>
        <v/>
      </c>
      <c r="N82" s="554" t="str">
        <f t="shared" si="21"/>
        <v/>
      </c>
      <c r="O82" s="554" t="str">
        <f t="shared" si="21"/>
        <v/>
      </c>
      <c r="P82" s="554" t="str">
        <f t="shared" si="21"/>
        <v/>
      </c>
      <c r="Q82" s="554" t="str">
        <f t="shared" si="21"/>
        <v/>
      </c>
      <c r="R82" s="554" t="str">
        <f t="shared" si="21"/>
        <v/>
      </c>
      <c r="S82" s="554" t="str">
        <f t="shared" si="21"/>
        <v/>
      </c>
      <c r="T82" s="554" t="str">
        <f t="shared" si="21"/>
        <v/>
      </c>
      <c r="U82" s="554" t="str">
        <f t="shared" si="21"/>
        <v/>
      </c>
      <c r="V82" s="554" t="str">
        <f t="shared" si="21"/>
        <v/>
      </c>
      <c r="W82" s="554" t="str">
        <f t="shared" si="21"/>
        <v/>
      </c>
      <c r="X82" s="554" t="str">
        <f t="shared" si="20"/>
        <v/>
      </c>
      <c r="Y82" s="554" t="str">
        <f t="shared" si="20"/>
        <v/>
      </c>
      <c r="Z82" s="554" t="str">
        <f t="shared" si="20"/>
        <v/>
      </c>
      <c r="AA82" s="554" t="str">
        <f t="shared" si="20"/>
        <v/>
      </c>
      <c r="AB82" s="554" t="str">
        <f t="shared" si="20"/>
        <v/>
      </c>
      <c r="AC82" s="554" t="str">
        <f t="shared" si="20"/>
        <v/>
      </c>
      <c r="AD82" s="554" t="str">
        <f t="shared" si="20"/>
        <v/>
      </c>
      <c r="AE82" s="554" t="str">
        <f t="shared" si="20"/>
        <v/>
      </c>
      <c r="AF82" s="554" t="str">
        <f t="shared" si="20"/>
        <v/>
      </c>
      <c r="AG82" s="554" t="str">
        <f t="shared" si="20"/>
        <v/>
      </c>
      <c r="AH82" s="554" t="str">
        <f t="shared" si="20"/>
        <v/>
      </c>
      <c r="AI82" s="554">
        <f t="shared" si="20"/>
        <v>1</v>
      </c>
      <c r="AJ82" s="554">
        <f t="shared" si="20"/>
        <v>2</v>
      </c>
      <c r="AK82" s="554">
        <f t="shared" si="20"/>
        <v>2</v>
      </c>
      <c r="AL82" s="554">
        <f t="shared" si="20"/>
        <v>2</v>
      </c>
      <c r="AM82" s="554">
        <f t="shared" si="20"/>
        <v>2</v>
      </c>
      <c r="AN82" s="554">
        <f t="shared" si="23"/>
        <v>2</v>
      </c>
      <c r="AO82" s="554">
        <f t="shared" si="23"/>
        <v>2</v>
      </c>
      <c r="AP82" s="554">
        <f t="shared" si="23"/>
        <v>2</v>
      </c>
      <c r="AQ82" s="429" t="str">
        <f t="shared" si="22"/>
        <v>Vendido</v>
      </c>
      <c r="AR82" s="447">
        <f>_xlfn.XLOOKUP(C82,'BOULEVARD 5'!B:B,'BOULEVARD 5'!AU:AU)</f>
        <v>0.6984684719092541</v>
      </c>
    </row>
    <row r="83" spans="2:44" s="429" customFormat="1" ht="13.9" customHeight="1" x14ac:dyDescent="0.25">
      <c r="B83" s="678" t="str">
        <f>IF('B5-Status cobranza'!A83&gt;0,'B5-Status cobranza'!A83,"")</f>
        <v/>
      </c>
      <c r="C83" s="436">
        <v>505</v>
      </c>
      <c r="D83" s="436" t="s">
        <v>461</v>
      </c>
      <c r="E83" s="436"/>
      <c r="F83" s="436" t="str">
        <f>IF('BOULEVARD 5'!E81="","",'BOULEVARD 5'!E81)</f>
        <v>Antonio Rada</v>
      </c>
      <c r="G83" s="429" t="str">
        <f>IF('BOULEVARD 5'!F81="","",'BOULEVARD 5'!F81)</f>
        <v>Nancy Eugenia Cisneros Sanchez De Davila</v>
      </c>
      <c r="H83" s="473">
        <f>IF('BOULEVARD 5'!G81="","",'BOULEVARD 5'!G81)</f>
        <v>45503</v>
      </c>
      <c r="I83" s="554" t="str">
        <f t="shared" si="21"/>
        <v/>
      </c>
      <c r="J83" s="554" t="str">
        <f t="shared" si="21"/>
        <v/>
      </c>
      <c r="K83" s="554" t="str">
        <f t="shared" si="21"/>
        <v/>
      </c>
      <c r="L83" s="554" t="str">
        <f t="shared" si="21"/>
        <v/>
      </c>
      <c r="M83" s="554" t="str">
        <f t="shared" si="21"/>
        <v/>
      </c>
      <c r="N83" s="554" t="str">
        <f t="shared" si="21"/>
        <v/>
      </c>
      <c r="O83" s="554" t="str">
        <f t="shared" si="21"/>
        <v/>
      </c>
      <c r="P83" s="554" t="str">
        <f t="shared" si="21"/>
        <v/>
      </c>
      <c r="Q83" s="554" t="str">
        <f t="shared" si="21"/>
        <v/>
      </c>
      <c r="R83" s="554" t="str">
        <f t="shared" si="21"/>
        <v/>
      </c>
      <c r="S83" s="554" t="str">
        <f t="shared" si="21"/>
        <v/>
      </c>
      <c r="T83" s="554" t="str">
        <f t="shared" si="21"/>
        <v/>
      </c>
      <c r="U83" s="554" t="str">
        <f t="shared" si="21"/>
        <v/>
      </c>
      <c r="V83" s="554" t="str">
        <f t="shared" si="21"/>
        <v/>
      </c>
      <c r="W83" s="554" t="str">
        <f t="shared" si="21"/>
        <v/>
      </c>
      <c r="X83" s="554" t="str">
        <f t="shared" si="20"/>
        <v/>
      </c>
      <c r="Y83" s="554">
        <f t="shared" si="20"/>
        <v>1</v>
      </c>
      <c r="Z83" s="554">
        <f t="shared" si="20"/>
        <v>2</v>
      </c>
      <c r="AA83" s="554">
        <f t="shared" si="20"/>
        <v>2</v>
      </c>
      <c r="AB83" s="554">
        <f t="shared" si="20"/>
        <v>2</v>
      </c>
      <c r="AC83" s="554">
        <f t="shared" si="20"/>
        <v>2</v>
      </c>
      <c r="AD83" s="554">
        <f t="shared" si="20"/>
        <v>2</v>
      </c>
      <c r="AE83" s="554">
        <f t="shared" si="20"/>
        <v>2</v>
      </c>
      <c r="AF83" s="554">
        <f t="shared" si="20"/>
        <v>2</v>
      </c>
      <c r="AG83" s="554">
        <f t="shared" si="20"/>
        <v>2</v>
      </c>
      <c r="AH83" s="554">
        <f t="shared" si="20"/>
        <v>2</v>
      </c>
      <c r="AI83" s="554">
        <f t="shared" si="20"/>
        <v>2</v>
      </c>
      <c r="AJ83" s="554">
        <f t="shared" si="20"/>
        <v>2</v>
      </c>
      <c r="AK83" s="554">
        <f t="shared" si="20"/>
        <v>2</v>
      </c>
      <c r="AL83" s="554">
        <f t="shared" si="20"/>
        <v>2</v>
      </c>
      <c r="AM83" s="554">
        <f t="shared" si="20"/>
        <v>2</v>
      </c>
      <c r="AN83" s="554">
        <f t="shared" si="23"/>
        <v>2</v>
      </c>
      <c r="AO83" s="554">
        <f t="shared" si="23"/>
        <v>2</v>
      </c>
      <c r="AP83" s="554">
        <f t="shared" si="23"/>
        <v>2</v>
      </c>
      <c r="AQ83" s="429" t="str">
        <f t="shared" si="22"/>
        <v>Vendido</v>
      </c>
      <c r="AR83" s="447">
        <f>_xlfn.XLOOKUP(C83,'BOULEVARD 5'!B:B,'BOULEVARD 5'!AU:AU)</f>
        <v>1.0546057284931447</v>
      </c>
    </row>
    <row r="84" spans="2:44" s="429" customFormat="1" ht="13.9" customHeight="1" x14ac:dyDescent="0.25">
      <c r="B84" s="678" t="str">
        <f>IF('B5-Status cobranza'!A84&gt;0,'B5-Status cobranza'!A84,"")</f>
        <v/>
      </c>
      <c r="C84" s="436">
        <v>506</v>
      </c>
      <c r="D84" s="436" t="s">
        <v>463</v>
      </c>
      <c r="E84" s="436"/>
      <c r="F84" s="436" t="str">
        <f>IF('BOULEVARD 5'!E82="","",'BOULEVARD 5'!E82)</f>
        <v>Antonio Rada</v>
      </c>
      <c r="G84" s="429" t="str">
        <f>IF('BOULEVARD 5'!F82="","",'BOULEVARD 5'!F82)</f>
        <v>Carlos Eduardo Miranda Y Nancy Patricia Medina</v>
      </c>
      <c r="H84" s="473">
        <f>IF('BOULEVARD 5'!G82="","",'BOULEVARD 5'!G82)</f>
        <v>45580</v>
      </c>
      <c r="I84" s="554" t="str">
        <f t="shared" si="21"/>
        <v/>
      </c>
      <c r="J84" s="554" t="str">
        <f t="shared" si="21"/>
        <v/>
      </c>
      <c r="K84" s="554" t="str">
        <f t="shared" si="21"/>
        <v/>
      </c>
      <c r="L84" s="554" t="str">
        <f t="shared" si="21"/>
        <v/>
      </c>
      <c r="M84" s="554" t="str">
        <f t="shared" si="21"/>
        <v/>
      </c>
      <c r="N84" s="554" t="str">
        <f t="shared" si="21"/>
        <v/>
      </c>
      <c r="O84" s="554" t="str">
        <f t="shared" si="21"/>
        <v/>
      </c>
      <c r="P84" s="554" t="str">
        <f t="shared" si="21"/>
        <v/>
      </c>
      <c r="Q84" s="554" t="str">
        <f t="shared" si="21"/>
        <v/>
      </c>
      <c r="R84" s="554" t="str">
        <f t="shared" si="21"/>
        <v/>
      </c>
      <c r="S84" s="554" t="str">
        <f t="shared" si="21"/>
        <v/>
      </c>
      <c r="T84" s="554" t="str">
        <f t="shared" si="21"/>
        <v/>
      </c>
      <c r="U84" s="554" t="str">
        <f t="shared" si="21"/>
        <v/>
      </c>
      <c r="V84" s="554" t="str">
        <f t="shared" si="21"/>
        <v/>
      </c>
      <c r="W84" s="554" t="str">
        <f t="shared" si="21"/>
        <v/>
      </c>
      <c r="X84" s="554" t="str">
        <f t="shared" si="20"/>
        <v/>
      </c>
      <c r="Y84" s="554" t="str">
        <f t="shared" si="20"/>
        <v/>
      </c>
      <c r="Z84" s="554" t="str">
        <f t="shared" si="20"/>
        <v/>
      </c>
      <c r="AA84" s="554" t="str">
        <f t="shared" si="20"/>
        <v/>
      </c>
      <c r="AB84" s="554">
        <f t="shared" si="20"/>
        <v>1</v>
      </c>
      <c r="AC84" s="554">
        <f t="shared" si="20"/>
        <v>2</v>
      </c>
      <c r="AD84" s="554">
        <f t="shared" si="20"/>
        <v>2</v>
      </c>
      <c r="AE84" s="554">
        <f t="shared" si="20"/>
        <v>2</v>
      </c>
      <c r="AF84" s="554">
        <f t="shared" si="20"/>
        <v>2</v>
      </c>
      <c r="AG84" s="554">
        <f t="shared" si="20"/>
        <v>2</v>
      </c>
      <c r="AH84" s="554">
        <f t="shared" si="20"/>
        <v>2</v>
      </c>
      <c r="AI84" s="554">
        <f t="shared" si="20"/>
        <v>2</v>
      </c>
      <c r="AJ84" s="554">
        <f t="shared" si="20"/>
        <v>2</v>
      </c>
      <c r="AK84" s="554">
        <f t="shared" si="20"/>
        <v>2</v>
      </c>
      <c r="AL84" s="554">
        <f t="shared" si="20"/>
        <v>2</v>
      </c>
      <c r="AM84" s="554">
        <f t="shared" si="20"/>
        <v>2</v>
      </c>
      <c r="AN84" s="554">
        <f t="shared" si="23"/>
        <v>2</v>
      </c>
      <c r="AO84" s="554">
        <f t="shared" si="23"/>
        <v>2</v>
      </c>
      <c r="AP84" s="554">
        <f t="shared" si="23"/>
        <v>2</v>
      </c>
      <c r="AQ84" s="429" t="str">
        <f t="shared" si="22"/>
        <v>Vendido</v>
      </c>
      <c r="AR84" s="447">
        <f>_xlfn.XLOOKUP(C84,'BOULEVARD 5'!B:B,'BOULEVARD 5'!AU:AU)</f>
        <v>0.99541830513366281</v>
      </c>
    </row>
    <row r="85" spans="2:44" s="429" customFormat="1" ht="13.9" customHeight="1" x14ac:dyDescent="0.25">
      <c r="B85" s="678" t="str">
        <f>IF('B5-Status cobranza'!A85&gt;0,'B5-Status cobranza'!A85,"")</f>
        <v/>
      </c>
      <c r="C85" s="436">
        <v>507</v>
      </c>
      <c r="D85" s="436" t="s">
        <v>465</v>
      </c>
      <c r="E85" s="436"/>
      <c r="F85" s="436" t="str">
        <f>IF('BOULEVARD 5'!E83="","",'BOULEVARD 5'!E83)</f>
        <v>Antonio Rada</v>
      </c>
      <c r="G85" s="429" t="str">
        <f>IF('BOULEVARD 5'!F83="","",'BOULEVARD 5'!F83)</f>
        <v>Osmin Otoniel Oliva Córdova</v>
      </c>
      <c r="H85" s="473">
        <f>IF('BOULEVARD 5'!G83="","",'BOULEVARD 5'!G83)</f>
        <v>45155</v>
      </c>
      <c r="I85" s="554" t="str">
        <f t="shared" si="21"/>
        <v/>
      </c>
      <c r="J85" s="554" t="str">
        <f t="shared" si="21"/>
        <v/>
      </c>
      <c r="K85" s="554" t="str">
        <f t="shared" si="21"/>
        <v/>
      </c>
      <c r="L85" s="554" t="str">
        <f t="shared" si="21"/>
        <v/>
      </c>
      <c r="M85" s="554" t="str">
        <f t="shared" si="21"/>
        <v/>
      </c>
      <c r="N85" s="554">
        <f t="shared" si="21"/>
        <v>1</v>
      </c>
      <c r="O85" s="554">
        <f t="shared" si="21"/>
        <v>2</v>
      </c>
      <c r="P85" s="554">
        <f t="shared" si="21"/>
        <v>2</v>
      </c>
      <c r="Q85" s="554">
        <f t="shared" si="21"/>
        <v>2</v>
      </c>
      <c r="R85" s="554">
        <f t="shared" si="21"/>
        <v>2</v>
      </c>
      <c r="S85" s="554">
        <f t="shared" si="21"/>
        <v>2</v>
      </c>
      <c r="T85" s="554">
        <f t="shared" si="21"/>
        <v>2</v>
      </c>
      <c r="U85" s="554">
        <f t="shared" si="21"/>
        <v>2</v>
      </c>
      <c r="V85" s="554">
        <f t="shared" si="21"/>
        <v>2</v>
      </c>
      <c r="W85" s="554">
        <f t="shared" si="21"/>
        <v>2</v>
      </c>
      <c r="X85" s="554">
        <f t="shared" si="20"/>
        <v>2</v>
      </c>
      <c r="Y85" s="554">
        <f t="shared" si="20"/>
        <v>2</v>
      </c>
      <c r="Z85" s="554">
        <f t="shared" si="20"/>
        <v>2</v>
      </c>
      <c r="AA85" s="554">
        <f t="shared" si="20"/>
        <v>2</v>
      </c>
      <c r="AB85" s="554">
        <f t="shared" si="20"/>
        <v>2</v>
      </c>
      <c r="AC85" s="554">
        <f t="shared" si="20"/>
        <v>2</v>
      </c>
      <c r="AD85" s="554">
        <f t="shared" si="20"/>
        <v>2</v>
      </c>
      <c r="AE85" s="554">
        <f t="shared" si="20"/>
        <v>2</v>
      </c>
      <c r="AF85" s="554">
        <f t="shared" si="20"/>
        <v>2</v>
      </c>
      <c r="AG85" s="554">
        <f t="shared" si="20"/>
        <v>2</v>
      </c>
      <c r="AH85" s="554">
        <f t="shared" si="20"/>
        <v>2</v>
      </c>
      <c r="AI85" s="554">
        <f t="shared" si="20"/>
        <v>2</v>
      </c>
      <c r="AJ85" s="554">
        <f t="shared" si="20"/>
        <v>2</v>
      </c>
      <c r="AK85" s="554">
        <f t="shared" si="20"/>
        <v>2</v>
      </c>
      <c r="AL85" s="554">
        <f t="shared" si="20"/>
        <v>2</v>
      </c>
      <c r="AM85" s="554">
        <f t="shared" si="20"/>
        <v>2</v>
      </c>
      <c r="AN85" s="554">
        <f t="shared" si="23"/>
        <v>2</v>
      </c>
      <c r="AO85" s="554">
        <f t="shared" si="23"/>
        <v>2</v>
      </c>
      <c r="AP85" s="554">
        <f t="shared" si="23"/>
        <v>2</v>
      </c>
      <c r="AQ85" s="429" t="str">
        <f t="shared" si="22"/>
        <v>Vendido</v>
      </c>
      <c r="AR85" s="447">
        <f>_xlfn.XLOOKUP(C85,'BOULEVARD 5'!B:B,'BOULEVARD 5'!AU:AU)</f>
        <v>1.1417980636237897</v>
      </c>
    </row>
    <row r="86" spans="2:44" s="429" customFormat="1" ht="13.9" customHeight="1" x14ac:dyDescent="0.25">
      <c r="B86" s="678" t="str">
        <f>IF('B5-Status cobranza'!A86&gt;0,'B5-Status cobranza'!A86,"")</f>
        <v/>
      </c>
      <c r="C86" s="436">
        <v>508</v>
      </c>
      <c r="D86" s="436" t="s">
        <v>467</v>
      </c>
      <c r="E86" s="436"/>
      <c r="F86" s="436" t="str">
        <f>IF('BOULEVARD 5'!E84="","",'BOULEVARD 5'!E84)</f>
        <v>Antonio Rada</v>
      </c>
      <c r="G86" s="429" t="str">
        <f>IF('BOULEVARD 5'!F84="","",'BOULEVARD 5'!F84)</f>
        <v>Evelyn Aida Samayoa San Jose</v>
      </c>
      <c r="H86" s="473">
        <f>IF('BOULEVARD 5'!G84="","",'BOULEVARD 5'!G84)</f>
        <v>45394</v>
      </c>
      <c r="I86" s="554" t="str">
        <f t="shared" si="21"/>
        <v/>
      </c>
      <c r="J86" s="554" t="str">
        <f t="shared" si="21"/>
        <v/>
      </c>
      <c r="K86" s="554" t="str">
        <f t="shared" si="21"/>
        <v/>
      </c>
      <c r="L86" s="554" t="str">
        <f t="shared" si="21"/>
        <v/>
      </c>
      <c r="M86" s="554" t="str">
        <f t="shared" si="21"/>
        <v/>
      </c>
      <c r="N86" s="554" t="str">
        <f t="shared" si="21"/>
        <v/>
      </c>
      <c r="O86" s="554" t="str">
        <f t="shared" si="21"/>
        <v/>
      </c>
      <c r="P86" s="554" t="str">
        <f t="shared" si="21"/>
        <v/>
      </c>
      <c r="Q86" s="554" t="str">
        <f t="shared" si="21"/>
        <v/>
      </c>
      <c r="R86" s="554" t="str">
        <f t="shared" si="21"/>
        <v/>
      </c>
      <c r="S86" s="554" t="str">
        <f t="shared" si="21"/>
        <v/>
      </c>
      <c r="T86" s="554" t="str">
        <f t="shared" si="21"/>
        <v/>
      </c>
      <c r="U86" s="554" t="str">
        <f t="shared" si="21"/>
        <v/>
      </c>
      <c r="V86" s="554">
        <f t="shared" si="21"/>
        <v>1</v>
      </c>
      <c r="W86" s="554">
        <f t="shared" si="21"/>
        <v>2</v>
      </c>
      <c r="X86" s="554">
        <f t="shared" si="20"/>
        <v>2</v>
      </c>
      <c r="Y86" s="554">
        <f t="shared" si="20"/>
        <v>2</v>
      </c>
      <c r="Z86" s="554">
        <f t="shared" si="20"/>
        <v>2</v>
      </c>
      <c r="AA86" s="554">
        <f t="shared" si="20"/>
        <v>2</v>
      </c>
      <c r="AB86" s="554">
        <f t="shared" si="20"/>
        <v>2</v>
      </c>
      <c r="AC86" s="554">
        <f t="shared" si="20"/>
        <v>2</v>
      </c>
      <c r="AD86" s="554">
        <f t="shared" si="20"/>
        <v>2</v>
      </c>
      <c r="AE86" s="554">
        <f t="shared" si="20"/>
        <v>2</v>
      </c>
      <c r="AF86" s="554">
        <f t="shared" si="20"/>
        <v>2</v>
      </c>
      <c r="AG86" s="554">
        <f t="shared" si="20"/>
        <v>2</v>
      </c>
      <c r="AH86" s="554">
        <f t="shared" si="20"/>
        <v>2</v>
      </c>
      <c r="AI86" s="554">
        <f t="shared" si="20"/>
        <v>2</v>
      </c>
      <c r="AJ86" s="554">
        <f t="shared" si="20"/>
        <v>2</v>
      </c>
      <c r="AK86" s="554">
        <f t="shared" si="20"/>
        <v>2</v>
      </c>
      <c r="AL86" s="554">
        <f t="shared" si="20"/>
        <v>2</v>
      </c>
      <c r="AM86" s="554">
        <f t="shared" si="20"/>
        <v>2</v>
      </c>
      <c r="AN86" s="554">
        <f t="shared" si="23"/>
        <v>2</v>
      </c>
      <c r="AO86" s="554">
        <f t="shared" si="23"/>
        <v>2</v>
      </c>
      <c r="AP86" s="554">
        <f t="shared" si="23"/>
        <v>2</v>
      </c>
      <c r="AQ86" s="429" t="str">
        <f t="shared" si="22"/>
        <v>Vendido</v>
      </c>
      <c r="AR86" s="447">
        <f>_xlfn.XLOOKUP(C86,'BOULEVARD 5'!B:B,'BOULEVARD 5'!AU:AU)</f>
        <v>1.1656094532615948</v>
      </c>
    </row>
    <row r="87" spans="2:44" s="429" customFormat="1" ht="13.9" customHeight="1" x14ac:dyDescent="0.25">
      <c r="B87" s="678" t="str">
        <f>IF('B5-Status cobranza'!A87&gt;0,'B5-Status cobranza'!A87,"")</f>
        <v/>
      </c>
      <c r="C87" s="436">
        <v>509</v>
      </c>
      <c r="D87" s="436" t="s">
        <v>469</v>
      </c>
      <c r="E87" s="436"/>
      <c r="F87" s="436" t="str">
        <f>IF('BOULEVARD 5'!E85="","",'BOULEVARD 5'!E85)</f>
        <v>Antonio Rada</v>
      </c>
      <c r="G87" s="429" t="str">
        <f>IF('BOULEVARD 5'!F85="","",'BOULEVARD 5'!F85)</f>
        <v>Anabella Alburez Aja</v>
      </c>
      <c r="H87" s="473">
        <f>IF('BOULEVARD 5'!G85="","",'BOULEVARD 5'!G85)</f>
        <v>45473</v>
      </c>
      <c r="I87" s="554" t="str">
        <f t="shared" si="21"/>
        <v/>
      </c>
      <c r="J87" s="554" t="str">
        <f t="shared" si="21"/>
        <v/>
      </c>
      <c r="K87" s="554" t="str">
        <f t="shared" si="21"/>
        <v/>
      </c>
      <c r="L87" s="554" t="str">
        <f t="shared" si="21"/>
        <v/>
      </c>
      <c r="M87" s="554" t="str">
        <f t="shared" si="21"/>
        <v/>
      </c>
      <c r="N87" s="554" t="str">
        <f t="shared" si="21"/>
        <v/>
      </c>
      <c r="O87" s="554" t="str">
        <f t="shared" si="21"/>
        <v/>
      </c>
      <c r="P87" s="554" t="str">
        <f t="shared" si="21"/>
        <v/>
      </c>
      <c r="Q87" s="554" t="str">
        <f t="shared" si="21"/>
        <v/>
      </c>
      <c r="R87" s="554" t="str">
        <f t="shared" si="21"/>
        <v/>
      </c>
      <c r="S87" s="554" t="str">
        <f t="shared" si="21"/>
        <v/>
      </c>
      <c r="T87" s="554" t="str">
        <f t="shared" si="21"/>
        <v/>
      </c>
      <c r="U87" s="554" t="str">
        <f t="shared" si="21"/>
        <v/>
      </c>
      <c r="V87" s="554" t="str">
        <f t="shared" si="21"/>
        <v/>
      </c>
      <c r="W87" s="554" t="str">
        <f t="shared" si="21"/>
        <v/>
      </c>
      <c r="X87" s="554">
        <f t="shared" si="20"/>
        <v>1</v>
      </c>
      <c r="Y87" s="554">
        <f t="shared" si="20"/>
        <v>2</v>
      </c>
      <c r="Z87" s="554">
        <f t="shared" si="20"/>
        <v>2</v>
      </c>
      <c r="AA87" s="554">
        <f t="shared" si="20"/>
        <v>2</v>
      </c>
      <c r="AB87" s="554">
        <f t="shared" si="20"/>
        <v>2</v>
      </c>
      <c r="AC87" s="554">
        <f t="shared" si="20"/>
        <v>2</v>
      </c>
      <c r="AD87" s="554">
        <f t="shared" si="20"/>
        <v>2</v>
      </c>
      <c r="AE87" s="554">
        <f t="shared" si="20"/>
        <v>2</v>
      </c>
      <c r="AF87" s="554">
        <f t="shared" si="20"/>
        <v>2</v>
      </c>
      <c r="AG87" s="554">
        <f t="shared" si="20"/>
        <v>2</v>
      </c>
      <c r="AH87" s="554">
        <f t="shared" si="20"/>
        <v>2</v>
      </c>
      <c r="AI87" s="554">
        <f t="shared" si="20"/>
        <v>2</v>
      </c>
      <c r="AJ87" s="554">
        <f t="shared" si="20"/>
        <v>2</v>
      </c>
      <c r="AK87" s="554">
        <f t="shared" si="20"/>
        <v>2</v>
      </c>
      <c r="AL87" s="554">
        <f t="shared" si="20"/>
        <v>2</v>
      </c>
      <c r="AM87" s="554">
        <f t="shared" si="20"/>
        <v>2</v>
      </c>
      <c r="AN87" s="554">
        <f t="shared" si="23"/>
        <v>2</v>
      </c>
      <c r="AO87" s="554">
        <f t="shared" si="23"/>
        <v>2</v>
      </c>
      <c r="AP87" s="554">
        <f t="shared" si="23"/>
        <v>2</v>
      </c>
      <c r="AQ87" s="429" t="str">
        <f t="shared" si="22"/>
        <v>Vendido</v>
      </c>
      <c r="AR87" s="447">
        <f>_xlfn.XLOOKUP(C87,'BOULEVARD 5'!B:B,'BOULEVARD 5'!AU:AU)</f>
        <v>1.0000296204770589</v>
      </c>
    </row>
    <row r="88" spans="2:44" s="429" customFormat="1" ht="13.9" customHeight="1" x14ac:dyDescent="0.25">
      <c r="B88" s="678" t="str">
        <f>IF('B5-Status cobranza'!A88&gt;0,'B5-Status cobranza'!A88,"")</f>
        <v/>
      </c>
      <c r="C88" s="436">
        <v>510</v>
      </c>
      <c r="D88" s="436" t="s">
        <v>467</v>
      </c>
      <c r="E88" s="436"/>
      <c r="F88" s="436" t="str">
        <f>IF('BOULEVARD 5'!E86="","",'BOULEVARD 5'!E86)</f>
        <v>Antonio Rada</v>
      </c>
      <c r="G88" s="429" t="str">
        <f>IF('BOULEVARD 5'!F86="","",'BOULEVARD 5'!F86)</f>
        <v>Francis Ayleen Funes Castellanos</v>
      </c>
      <c r="H88" s="473">
        <f>IF('BOULEVARD 5'!G86="","",'BOULEVARD 5'!G86)</f>
        <v>45352</v>
      </c>
      <c r="I88" s="554" t="str">
        <f t="shared" si="21"/>
        <v/>
      </c>
      <c r="J88" s="554" t="str">
        <f t="shared" si="21"/>
        <v/>
      </c>
      <c r="K88" s="554" t="str">
        <f t="shared" si="21"/>
        <v/>
      </c>
      <c r="L88" s="554" t="str">
        <f t="shared" si="21"/>
        <v/>
      </c>
      <c r="M88" s="554" t="str">
        <f t="shared" si="21"/>
        <v/>
      </c>
      <c r="N88" s="554" t="str">
        <f t="shared" si="21"/>
        <v/>
      </c>
      <c r="O88" s="554" t="str">
        <f t="shared" si="21"/>
        <v/>
      </c>
      <c r="P88" s="554" t="str">
        <f t="shared" si="21"/>
        <v/>
      </c>
      <c r="Q88" s="554" t="str">
        <f t="shared" si="21"/>
        <v/>
      </c>
      <c r="R88" s="554" t="str">
        <f t="shared" si="21"/>
        <v/>
      </c>
      <c r="S88" s="554" t="str">
        <f t="shared" si="21"/>
        <v/>
      </c>
      <c r="T88" s="554" t="str">
        <f t="shared" si="21"/>
        <v/>
      </c>
      <c r="U88" s="554">
        <f t="shared" si="21"/>
        <v>1</v>
      </c>
      <c r="V88" s="554">
        <f t="shared" si="21"/>
        <v>2</v>
      </c>
      <c r="W88" s="554">
        <f t="shared" si="21"/>
        <v>2</v>
      </c>
      <c r="X88" s="554">
        <f t="shared" si="20"/>
        <v>2</v>
      </c>
      <c r="Y88" s="554">
        <f t="shared" si="20"/>
        <v>2</v>
      </c>
      <c r="Z88" s="554">
        <f t="shared" si="20"/>
        <v>2</v>
      </c>
      <c r="AA88" s="554">
        <f t="shared" si="20"/>
        <v>2</v>
      </c>
      <c r="AB88" s="554">
        <f t="shared" si="20"/>
        <v>2</v>
      </c>
      <c r="AC88" s="554">
        <f t="shared" si="20"/>
        <v>2</v>
      </c>
      <c r="AD88" s="554">
        <f t="shared" si="20"/>
        <v>2</v>
      </c>
      <c r="AE88" s="554">
        <f t="shared" si="20"/>
        <v>2</v>
      </c>
      <c r="AF88" s="554">
        <f t="shared" si="20"/>
        <v>2</v>
      </c>
      <c r="AG88" s="554">
        <f t="shared" si="20"/>
        <v>2</v>
      </c>
      <c r="AH88" s="554">
        <f t="shared" si="20"/>
        <v>2</v>
      </c>
      <c r="AI88" s="554">
        <f t="shared" si="20"/>
        <v>2</v>
      </c>
      <c r="AJ88" s="554">
        <f t="shared" si="20"/>
        <v>2</v>
      </c>
      <c r="AK88" s="554">
        <f t="shared" si="20"/>
        <v>2</v>
      </c>
      <c r="AL88" s="554">
        <f t="shared" si="20"/>
        <v>2</v>
      </c>
      <c r="AM88" s="554">
        <f t="shared" ref="AM88:AP107" si="24">IF(OR($B88="F&amp;F",$B88="CE",$H88=""),"",IF(TEXT(AM$8,"yyyymm")=TEXT($H88,"yyyymm"),1,IF(TEXT(AM$8,"yyyymm")&gt;TEXT($H88,"yyyymm"),2,IF(AM$8&lt;$H88,"",0))))</f>
        <v>2</v>
      </c>
      <c r="AN88" s="554">
        <f t="shared" si="23"/>
        <v>2</v>
      </c>
      <c r="AO88" s="554">
        <f t="shared" si="23"/>
        <v>2</v>
      </c>
      <c r="AP88" s="554">
        <f t="shared" si="23"/>
        <v>2</v>
      </c>
      <c r="AQ88" s="429" t="str">
        <f t="shared" si="22"/>
        <v>Vendido</v>
      </c>
      <c r="AR88" s="447">
        <f>_xlfn.XLOOKUP(C88,'BOULEVARD 5'!B:B,'BOULEVARD 5'!AU:AU)</f>
        <v>0.96621421874604085</v>
      </c>
    </row>
    <row r="89" spans="2:44" s="429" customFormat="1" ht="13.9" customHeight="1" x14ac:dyDescent="0.25">
      <c r="B89" s="678" t="str">
        <f>IF('B5-Status cobranza'!A89&gt;0,'B5-Status cobranza'!A89,"")</f>
        <v/>
      </c>
      <c r="C89" s="436">
        <v>511</v>
      </c>
      <c r="D89" s="436" t="s">
        <v>469</v>
      </c>
      <c r="E89" s="436"/>
      <c r="F89" s="436" t="str">
        <f>IF('BOULEVARD 5'!E87="","",'BOULEVARD 5'!E87)</f>
        <v>Antonio Rada</v>
      </c>
      <c r="G89" s="429" t="str">
        <f>IF('BOULEVARD 5'!F87="","",'BOULEVARD 5'!F87)</f>
        <v>Hugo Leonel Roca Morales</v>
      </c>
      <c r="H89" s="473">
        <f>IF('BOULEVARD 5'!G87="","",'BOULEVARD 5'!G87)</f>
        <v>45470</v>
      </c>
      <c r="I89" s="554" t="str">
        <f t="shared" si="21"/>
        <v/>
      </c>
      <c r="J89" s="554" t="str">
        <f t="shared" si="21"/>
        <v/>
      </c>
      <c r="K89" s="554" t="str">
        <f t="shared" si="21"/>
        <v/>
      </c>
      <c r="L89" s="554" t="str">
        <f t="shared" si="21"/>
        <v/>
      </c>
      <c r="M89" s="554" t="str">
        <f t="shared" si="21"/>
        <v/>
      </c>
      <c r="N89" s="554" t="str">
        <f t="shared" si="21"/>
        <v/>
      </c>
      <c r="O89" s="554" t="str">
        <f t="shared" si="21"/>
        <v/>
      </c>
      <c r="P89" s="554" t="str">
        <f t="shared" si="21"/>
        <v/>
      </c>
      <c r="Q89" s="554" t="str">
        <f t="shared" si="21"/>
        <v/>
      </c>
      <c r="R89" s="554" t="str">
        <f t="shared" si="21"/>
        <v/>
      </c>
      <c r="S89" s="554" t="str">
        <f t="shared" si="21"/>
        <v/>
      </c>
      <c r="T89" s="554" t="str">
        <f t="shared" si="21"/>
        <v/>
      </c>
      <c r="U89" s="554" t="str">
        <f t="shared" si="21"/>
        <v/>
      </c>
      <c r="V89" s="554" t="str">
        <f t="shared" si="21"/>
        <v/>
      </c>
      <c r="W89" s="554" t="str">
        <f t="shared" si="21"/>
        <v/>
      </c>
      <c r="X89" s="554">
        <f t="shared" si="21"/>
        <v>1</v>
      </c>
      <c r="Y89" s="554">
        <f t="shared" ref="Y89:AL104" si="25">IF(OR($B89="F&amp;F",$B89="CE",$H89=""),"",IF(TEXT(Y$8,"yyyymm")=TEXT($H89,"yyyymm"),1,IF(TEXT(Y$8,"yyyymm")&gt;TEXT($H89,"yyyymm"),2,IF(Y$8&lt;$H89,"",0))))</f>
        <v>2</v>
      </c>
      <c r="Z89" s="554">
        <f t="shared" si="25"/>
        <v>2</v>
      </c>
      <c r="AA89" s="554">
        <f t="shared" si="25"/>
        <v>2</v>
      </c>
      <c r="AB89" s="554">
        <f t="shared" si="25"/>
        <v>2</v>
      </c>
      <c r="AC89" s="554">
        <f t="shared" si="25"/>
        <v>2</v>
      </c>
      <c r="AD89" s="554">
        <f t="shared" si="25"/>
        <v>2</v>
      </c>
      <c r="AE89" s="554">
        <f t="shared" si="25"/>
        <v>2</v>
      </c>
      <c r="AF89" s="554">
        <f t="shared" si="25"/>
        <v>2</v>
      </c>
      <c r="AG89" s="554">
        <f t="shared" si="25"/>
        <v>2</v>
      </c>
      <c r="AH89" s="554">
        <f t="shared" si="25"/>
        <v>2</v>
      </c>
      <c r="AI89" s="554">
        <f t="shared" si="25"/>
        <v>2</v>
      </c>
      <c r="AJ89" s="554">
        <f t="shared" si="25"/>
        <v>2</v>
      </c>
      <c r="AK89" s="554">
        <f t="shared" si="25"/>
        <v>2</v>
      </c>
      <c r="AL89" s="554">
        <f t="shared" si="25"/>
        <v>2</v>
      </c>
      <c r="AM89" s="554">
        <f t="shared" si="24"/>
        <v>2</v>
      </c>
      <c r="AN89" s="554">
        <f t="shared" si="23"/>
        <v>2</v>
      </c>
      <c r="AO89" s="554">
        <f t="shared" si="23"/>
        <v>2</v>
      </c>
      <c r="AP89" s="554">
        <f t="shared" si="23"/>
        <v>2</v>
      </c>
      <c r="AQ89" s="429" t="str">
        <f t="shared" si="22"/>
        <v>Vendido</v>
      </c>
      <c r="AR89" s="447">
        <f>_xlfn.XLOOKUP(C89,'BOULEVARD 5'!B:B,'BOULEVARD 5'!AU:AU)</f>
        <v>1.3373814651980551</v>
      </c>
    </row>
    <row r="90" spans="2:44" s="429" customFormat="1" ht="13.9" customHeight="1" x14ac:dyDescent="0.25">
      <c r="B90" s="678" t="str">
        <f>IF('B5-Status cobranza'!A90&gt;0,'B5-Status cobranza'!A90,"")</f>
        <v/>
      </c>
      <c r="C90" s="436">
        <v>512</v>
      </c>
      <c r="D90" s="436" t="s">
        <v>406</v>
      </c>
      <c r="E90" s="436"/>
      <c r="F90" s="436" t="str">
        <f>IF('BOULEVARD 5'!E88="","",'BOULEVARD 5'!E88)</f>
        <v>Antonio Rada</v>
      </c>
      <c r="G90" s="429" t="str">
        <f>IF('BOULEVARD 5'!F88="","",'BOULEVARD 5'!F88)</f>
        <v>Oscar Antonio Gonzalez Hurtarte</v>
      </c>
      <c r="H90" s="473">
        <f>IF('BOULEVARD 5'!G88="","",'BOULEVARD 5'!G88)</f>
        <v>45125</v>
      </c>
      <c r="I90" s="554" t="str">
        <f t="shared" ref="I90:X105" si="26">IF(OR($B90="F&amp;F",$B90="CE",$H90=""),"",IF(TEXT(I$8,"yyyymm")=TEXT($H90,"yyyymm"),1,IF(TEXT(I$8,"yyyymm")&gt;TEXT($H90,"yyyymm"),2,IF(I$8&lt;$H90,"",0))))</f>
        <v/>
      </c>
      <c r="J90" s="554" t="str">
        <f t="shared" si="26"/>
        <v/>
      </c>
      <c r="K90" s="554" t="str">
        <f t="shared" si="26"/>
        <v/>
      </c>
      <c r="L90" s="554" t="str">
        <f t="shared" si="26"/>
        <v/>
      </c>
      <c r="M90" s="554">
        <f t="shared" si="26"/>
        <v>1</v>
      </c>
      <c r="N90" s="554">
        <f t="shared" si="26"/>
        <v>2</v>
      </c>
      <c r="O90" s="554">
        <f t="shared" si="26"/>
        <v>2</v>
      </c>
      <c r="P90" s="554">
        <f t="shared" si="26"/>
        <v>2</v>
      </c>
      <c r="Q90" s="554">
        <f t="shared" si="26"/>
        <v>2</v>
      </c>
      <c r="R90" s="554">
        <f t="shared" si="26"/>
        <v>2</v>
      </c>
      <c r="S90" s="554">
        <f t="shared" si="26"/>
        <v>2</v>
      </c>
      <c r="T90" s="554">
        <f t="shared" si="26"/>
        <v>2</v>
      </c>
      <c r="U90" s="554">
        <f t="shared" si="26"/>
        <v>2</v>
      </c>
      <c r="V90" s="554">
        <f t="shared" si="26"/>
        <v>2</v>
      </c>
      <c r="W90" s="554">
        <f t="shared" si="26"/>
        <v>2</v>
      </c>
      <c r="X90" s="554">
        <f t="shared" si="26"/>
        <v>2</v>
      </c>
      <c r="Y90" s="554">
        <f t="shared" si="25"/>
        <v>2</v>
      </c>
      <c r="Z90" s="554">
        <f t="shared" si="25"/>
        <v>2</v>
      </c>
      <c r="AA90" s="554">
        <f t="shared" si="25"/>
        <v>2</v>
      </c>
      <c r="AB90" s="554">
        <f t="shared" si="25"/>
        <v>2</v>
      </c>
      <c r="AC90" s="554">
        <f t="shared" si="25"/>
        <v>2</v>
      </c>
      <c r="AD90" s="554">
        <f t="shared" si="25"/>
        <v>2</v>
      </c>
      <c r="AE90" s="554">
        <f t="shared" si="25"/>
        <v>2</v>
      </c>
      <c r="AF90" s="554">
        <f t="shared" si="25"/>
        <v>2</v>
      </c>
      <c r="AG90" s="554">
        <f t="shared" si="25"/>
        <v>2</v>
      </c>
      <c r="AH90" s="554">
        <f t="shared" si="25"/>
        <v>2</v>
      </c>
      <c r="AI90" s="554">
        <f t="shared" si="25"/>
        <v>2</v>
      </c>
      <c r="AJ90" s="554">
        <f t="shared" si="25"/>
        <v>2</v>
      </c>
      <c r="AK90" s="554">
        <f t="shared" si="25"/>
        <v>2</v>
      </c>
      <c r="AL90" s="554">
        <f t="shared" si="25"/>
        <v>2</v>
      </c>
      <c r="AM90" s="554">
        <f t="shared" si="24"/>
        <v>2</v>
      </c>
      <c r="AN90" s="554">
        <f t="shared" si="23"/>
        <v>2</v>
      </c>
      <c r="AO90" s="554">
        <f t="shared" si="23"/>
        <v>2</v>
      </c>
      <c r="AP90" s="554">
        <f t="shared" si="23"/>
        <v>2</v>
      </c>
      <c r="AQ90" s="429" t="str">
        <f t="shared" si="22"/>
        <v>Vendido</v>
      </c>
      <c r="AR90" s="447">
        <f>_xlfn.XLOOKUP(C90,'BOULEVARD 5'!B:B,'BOULEVARD 5'!AU:AU)</f>
        <v>1.0000284090909091</v>
      </c>
    </row>
    <row r="91" spans="2:44" s="429" customFormat="1" ht="13.9" customHeight="1" x14ac:dyDescent="0.25">
      <c r="B91" s="678" t="str">
        <f>IF('B5-Status cobranza'!A91&gt;0,'B5-Status cobranza'!A91,"")</f>
        <v/>
      </c>
      <c r="C91" s="436">
        <v>513</v>
      </c>
      <c r="D91" s="436" t="s">
        <v>181</v>
      </c>
      <c r="E91" s="436"/>
      <c r="F91" s="436" t="str">
        <f>IF('BOULEVARD 5'!E89="","",'BOULEVARD 5'!E89)</f>
        <v>Antonio Rada</v>
      </c>
      <c r="G91" s="429" t="str">
        <f>IF('BOULEVARD 5'!F89="","",'BOULEVARD 5'!F89)</f>
        <v>Maria Fernanda Cabrera Valdez</v>
      </c>
      <c r="H91" s="473">
        <f>IF('BOULEVARD 5'!G89="","",'BOULEVARD 5'!G89)</f>
        <v>45123</v>
      </c>
      <c r="I91" s="554" t="str">
        <f t="shared" si="26"/>
        <v/>
      </c>
      <c r="J91" s="554" t="str">
        <f t="shared" si="26"/>
        <v/>
      </c>
      <c r="K91" s="554" t="str">
        <f t="shared" si="26"/>
        <v/>
      </c>
      <c r="L91" s="554" t="str">
        <f t="shared" si="26"/>
        <v/>
      </c>
      <c r="M91" s="554">
        <f t="shared" si="26"/>
        <v>1</v>
      </c>
      <c r="N91" s="554">
        <f t="shared" si="26"/>
        <v>2</v>
      </c>
      <c r="O91" s="554">
        <f t="shared" si="26"/>
        <v>2</v>
      </c>
      <c r="P91" s="554">
        <f t="shared" si="26"/>
        <v>2</v>
      </c>
      <c r="Q91" s="554">
        <f t="shared" si="26"/>
        <v>2</v>
      </c>
      <c r="R91" s="554">
        <f t="shared" si="26"/>
        <v>2</v>
      </c>
      <c r="S91" s="554">
        <f t="shared" si="26"/>
        <v>2</v>
      </c>
      <c r="T91" s="554">
        <f t="shared" si="26"/>
        <v>2</v>
      </c>
      <c r="U91" s="554">
        <f t="shared" si="26"/>
        <v>2</v>
      </c>
      <c r="V91" s="554">
        <f t="shared" si="26"/>
        <v>2</v>
      </c>
      <c r="W91" s="554">
        <f t="shared" si="26"/>
        <v>2</v>
      </c>
      <c r="X91" s="554">
        <f t="shared" si="26"/>
        <v>2</v>
      </c>
      <c r="Y91" s="554">
        <f t="shared" si="25"/>
        <v>2</v>
      </c>
      <c r="Z91" s="554">
        <f t="shared" si="25"/>
        <v>2</v>
      </c>
      <c r="AA91" s="554">
        <f t="shared" si="25"/>
        <v>2</v>
      </c>
      <c r="AB91" s="554">
        <f t="shared" si="25"/>
        <v>2</v>
      </c>
      <c r="AC91" s="554">
        <f t="shared" si="25"/>
        <v>2</v>
      </c>
      <c r="AD91" s="554">
        <f t="shared" si="25"/>
        <v>2</v>
      </c>
      <c r="AE91" s="554">
        <f t="shared" si="25"/>
        <v>2</v>
      </c>
      <c r="AF91" s="554">
        <f t="shared" si="25"/>
        <v>2</v>
      </c>
      <c r="AG91" s="554">
        <f t="shared" si="25"/>
        <v>2</v>
      </c>
      <c r="AH91" s="554">
        <f t="shared" si="25"/>
        <v>2</v>
      </c>
      <c r="AI91" s="554">
        <f t="shared" si="25"/>
        <v>2</v>
      </c>
      <c r="AJ91" s="554">
        <f t="shared" si="25"/>
        <v>2</v>
      </c>
      <c r="AK91" s="554">
        <f t="shared" si="25"/>
        <v>2</v>
      </c>
      <c r="AL91" s="554">
        <f t="shared" si="25"/>
        <v>2</v>
      </c>
      <c r="AM91" s="554">
        <f t="shared" si="24"/>
        <v>2</v>
      </c>
      <c r="AN91" s="554">
        <f t="shared" si="23"/>
        <v>2</v>
      </c>
      <c r="AO91" s="554">
        <f t="shared" si="23"/>
        <v>2</v>
      </c>
      <c r="AP91" s="554">
        <f t="shared" si="23"/>
        <v>2</v>
      </c>
      <c r="AQ91" s="429" t="str">
        <f t="shared" si="22"/>
        <v>Vendido</v>
      </c>
      <c r="AR91" s="447">
        <f>_xlfn.XLOOKUP(C91,'BOULEVARD 5'!B:B,'BOULEVARD 5'!AU:AU)</f>
        <v>1.1051598837209302</v>
      </c>
    </row>
    <row r="92" spans="2:44" s="429" customFormat="1" ht="13.9" customHeight="1" x14ac:dyDescent="0.25">
      <c r="B92" s="678" t="str">
        <f>IF('B5-Status cobranza'!A92&gt;0,'B5-Status cobranza'!A92,"")</f>
        <v/>
      </c>
      <c r="C92" s="436">
        <v>514</v>
      </c>
      <c r="D92" s="436" t="s">
        <v>476</v>
      </c>
      <c r="E92" s="436"/>
      <c r="F92" s="436" t="str">
        <f>IF('BOULEVARD 5'!E90="","",'BOULEVARD 5'!E90)</f>
        <v>Antonio Rada</v>
      </c>
      <c r="G92" s="429" t="str">
        <f>IF('BOULEVARD 5'!F90="","",'BOULEVARD 5'!F90)</f>
        <v>Danya Maribel Callejas Hernandez De Herrera</v>
      </c>
      <c r="H92" s="473">
        <f>IF('BOULEVARD 5'!G90="","",'BOULEVARD 5'!G90)</f>
        <v>45741</v>
      </c>
      <c r="I92" s="554" t="str">
        <f t="shared" si="26"/>
        <v/>
      </c>
      <c r="J92" s="554" t="str">
        <f t="shared" si="26"/>
        <v/>
      </c>
      <c r="K92" s="554" t="str">
        <f t="shared" si="26"/>
        <v/>
      </c>
      <c r="L92" s="554" t="str">
        <f t="shared" si="26"/>
        <v/>
      </c>
      <c r="M92" s="554" t="str">
        <f t="shared" si="26"/>
        <v/>
      </c>
      <c r="N92" s="554" t="str">
        <f t="shared" si="26"/>
        <v/>
      </c>
      <c r="O92" s="554" t="str">
        <f t="shared" si="26"/>
        <v/>
      </c>
      <c r="P92" s="554" t="str">
        <f t="shared" si="26"/>
        <v/>
      </c>
      <c r="Q92" s="554" t="str">
        <f t="shared" si="26"/>
        <v/>
      </c>
      <c r="R92" s="554" t="str">
        <f t="shared" si="26"/>
        <v/>
      </c>
      <c r="S92" s="554" t="str">
        <f t="shared" si="26"/>
        <v/>
      </c>
      <c r="T92" s="554" t="str">
        <f t="shared" si="26"/>
        <v/>
      </c>
      <c r="U92" s="554" t="str">
        <f t="shared" si="26"/>
        <v/>
      </c>
      <c r="V92" s="554" t="str">
        <f t="shared" si="26"/>
        <v/>
      </c>
      <c r="W92" s="554" t="str">
        <f t="shared" si="26"/>
        <v/>
      </c>
      <c r="X92" s="554" t="str">
        <f t="shared" si="26"/>
        <v/>
      </c>
      <c r="Y92" s="554" t="str">
        <f t="shared" si="25"/>
        <v/>
      </c>
      <c r="Z92" s="554" t="str">
        <f t="shared" si="25"/>
        <v/>
      </c>
      <c r="AA92" s="554" t="str">
        <f t="shared" si="25"/>
        <v/>
      </c>
      <c r="AB92" s="554" t="str">
        <f t="shared" si="25"/>
        <v/>
      </c>
      <c r="AC92" s="554" t="str">
        <f t="shared" si="25"/>
        <v/>
      </c>
      <c r="AD92" s="554" t="str">
        <f t="shared" si="25"/>
        <v/>
      </c>
      <c r="AE92" s="554" t="str">
        <f t="shared" si="25"/>
        <v/>
      </c>
      <c r="AF92" s="554" t="str">
        <f t="shared" si="25"/>
        <v/>
      </c>
      <c r="AG92" s="554">
        <f t="shared" si="25"/>
        <v>1</v>
      </c>
      <c r="AH92" s="554">
        <f t="shared" si="25"/>
        <v>2</v>
      </c>
      <c r="AI92" s="554">
        <f t="shared" si="25"/>
        <v>2</v>
      </c>
      <c r="AJ92" s="554">
        <f t="shared" si="25"/>
        <v>2</v>
      </c>
      <c r="AK92" s="554">
        <f t="shared" si="25"/>
        <v>2</v>
      </c>
      <c r="AL92" s="554">
        <f t="shared" si="25"/>
        <v>2</v>
      </c>
      <c r="AM92" s="554">
        <f t="shared" si="24"/>
        <v>2</v>
      </c>
      <c r="AN92" s="554">
        <f t="shared" si="23"/>
        <v>2</v>
      </c>
      <c r="AO92" s="554">
        <f t="shared" si="23"/>
        <v>2</v>
      </c>
      <c r="AP92" s="554">
        <f t="shared" si="23"/>
        <v>2</v>
      </c>
      <c r="AQ92" s="429" t="str">
        <f t="shared" si="22"/>
        <v>Vendido</v>
      </c>
      <c r="AR92" s="447">
        <f>_xlfn.XLOOKUP(C92,'BOULEVARD 5'!B:B,'BOULEVARD 5'!AU:AU)</f>
        <v>0.59935507862075144</v>
      </c>
    </row>
    <row r="93" spans="2:44" s="429" customFormat="1" ht="13.9" customHeight="1" x14ac:dyDescent="0.25">
      <c r="B93" s="678" t="str">
        <f>IF('B5-Status cobranza'!A93&gt;0,'B5-Status cobranza'!A93,"")</f>
        <v/>
      </c>
      <c r="C93" s="436">
        <v>515</v>
      </c>
      <c r="D93" s="436" t="s">
        <v>189</v>
      </c>
      <c r="E93" s="436"/>
      <c r="F93" s="436" t="str">
        <f>IF('BOULEVARD 5'!E91="","",'BOULEVARD 5'!E91)</f>
        <v>Jose Franco</v>
      </c>
      <c r="G93" s="429" t="str">
        <f>IF('BOULEVARD 5'!F91="","",'BOULEVARD 5'!F91)</f>
        <v>Ingrid Vanessa Granados Barneond</v>
      </c>
      <c r="H93" s="473">
        <f>IF('BOULEVARD 5'!G91="","",'BOULEVARD 5'!G91)</f>
        <v>45012</v>
      </c>
      <c r="I93" s="554">
        <f t="shared" si="26"/>
        <v>1</v>
      </c>
      <c r="J93" s="554">
        <f t="shared" si="26"/>
        <v>2</v>
      </c>
      <c r="K93" s="554">
        <f t="shared" si="26"/>
        <v>2</v>
      </c>
      <c r="L93" s="554">
        <f t="shared" si="26"/>
        <v>2</v>
      </c>
      <c r="M93" s="554">
        <f t="shared" si="26"/>
        <v>2</v>
      </c>
      <c r="N93" s="554">
        <f t="shared" si="26"/>
        <v>2</v>
      </c>
      <c r="O93" s="554">
        <f t="shared" si="26"/>
        <v>2</v>
      </c>
      <c r="P93" s="554">
        <f t="shared" si="26"/>
        <v>2</v>
      </c>
      <c r="Q93" s="554">
        <f t="shared" si="26"/>
        <v>2</v>
      </c>
      <c r="R93" s="554">
        <f t="shared" si="26"/>
        <v>2</v>
      </c>
      <c r="S93" s="554">
        <f t="shared" si="26"/>
        <v>2</v>
      </c>
      <c r="T93" s="554">
        <f t="shared" si="26"/>
        <v>2</v>
      </c>
      <c r="U93" s="554">
        <f t="shared" si="26"/>
        <v>2</v>
      </c>
      <c r="V93" s="554">
        <f t="shared" si="26"/>
        <v>2</v>
      </c>
      <c r="W93" s="554">
        <f t="shared" si="26"/>
        <v>2</v>
      </c>
      <c r="X93" s="554">
        <f t="shared" si="26"/>
        <v>2</v>
      </c>
      <c r="Y93" s="554">
        <f t="shared" si="25"/>
        <v>2</v>
      </c>
      <c r="Z93" s="554">
        <f t="shared" si="25"/>
        <v>2</v>
      </c>
      <c r="AA93" s="554">
        <f t="shared" si="25"/>
        <v>2</v>
      </c>
      <c r="AB93" s="554">
        <f t="shared" si="25"/>
        <v>2</v>
      </c>
      <c r="AC93" s="554">
        <f t="shared" si="25"/>
        <v>2</v>
      </c>
      <c r="AD93" s="554">
        <f t="shared" si="25"/>
        <v>2</v>
      </c>
      <c r="AE93" s="554">
        <f t="shared" si="25"/>
        <v>2</v>
      </c>
      <c r="AF93" s="554">
        <f t="shared" si="25"/>
        <v>2</v>
      </c>
      <c r="AG93" s="554">
        <f t="shared" si="25"/>
        <v>2</v>
      </c>
      <c r="AH93" s="554">
        <f t="shared" si="25"/>
        <v>2</v>
      </c>
      <c r="AI93" s="554">
        <f t="shared" si="25"/>
        <v>2</v>
      </c>
      <c r="AJ93" s="554">
        <f t="shared" si="25"/>
        <v>2</v>
      </c>
      <c r="AK93" s="554">
        <f t="shared" si="25"/>
        <v>2</v>
      </c>
      <c r="AL93" s="554">
        <f t="shared" si="25"/>
        <v>2</v>
      </c>
      <c r="AM93" s="554">
        <f t="shared" si="24"/>
        <v>2</v>
      </c>
      <c r="AN93" s="554">
        <f t="shared" si="23"/>
        <v>2</v>
      </c>
      <c r="AO93" s="554">
        <f t="shared" si="23"/>
        <v>2</v>
      </c>
      <c r="AP93" s="554">
        <f t="shared" si="23"/>
        <v>2</v>
      </c>
      <c r="AQ93" s="429" t="str">
        <f t="shared" si="22"/>
        <v>Vendido</v>
      </c>
      <c r="AR93" s="447">
        <f>_xlfn.XLOOKUP(C93,'BOULEVARD 5'!B:B,'BOULEVARD 5'!AU:AU)</f>
        <v>0.96947730185552539</v>
      </c>
    </row>
    <row r="94" spans="2:44" s="429" customFormat="1" ht="13.9" customHeight="1" x14ac:dyDescent="0.25">
      <c r="B94" s="678" t="str">
        <f>IF('B5-Status cobranza'!A94&gt;0,'B5-Status cobranza'!A94,"")</f>
        <v/>
      </c>
      <c r="C94" s="436">
        <v>516</v>
      </c>
      <c r="D94" s="436" t="s">
        <v>400</v>
      </c>
      <c r="E94" s="436"/>
      <c r="F94" s="436" t="str">
        <f>IF('BOULEVARD 5'!E92="","",'BOULEVARD 5'!E92)</f>
        <v>Diana Alvarez</v>
      </c>
      <c r="G94" s="429" t="str">
        <f>IF('BOULEVARD 5'!F92="","",'BOULEVARD 5'!F92)</f>
        <v>José Javier Sarceño Alfaro Y María Rosana Rivera Gallardo</v>
      </c>
      <c r="H94" s="473">
        <f>IF('BOULEVARD 5'!G92="","",'BOULEVARD 5'!G92)</f>
        <v>45557</v>
      </c>
      <c r="I94" s="554" t="str">
        <f t="shared" si="26"/>
        <v/>
      </c>
      <c r="J94" s="554" t="str">
        <f t="shared" si="26"/>
        <v/>
      </c>
      <c r="K94" s="554" t="str">
        <f t="shared" si="26"/>
        <v/>
      </c>
      <c r="L94" s="554" t="str">
        <f t="shared" si="26"/>
        <v/>
      </c>
      <c r="M94" s="554" t="str">
        <f t="shared" si="26"/>
        <v/>
      </c>
      <c r="N94" s="554" t="str">
        <f t="shared" si="26"/>
        <v/>
      </c>
      <c r="O94" s="554" t="str">
        <f t="shared" si="26"/>
        <v/>
      </c>
      <c r="P94" s="554" t="str">
        <f t="shared" si="26"/>
        <v/>
      </c>
      <c r="Q94" s="554" t="str">
        <f t="shared" si="26"/>
        <v/>
      </c>
      <c r="R94" s="554" t="str">
        <f t="shared" si="26"/>
        <v/>
      </c>
      <c r="S94" s="554" t="str">
        <f t="shared" si="26"/>
        <v/>
      </c>
      <c r="T94" s="554" t="str">
        <f t="shared" si="26"/>
        <v/>
      </c>
      <c r="U94" s="554" t="str">
        <f t="shared" si="26"/>
        <v/>
      </c>
      <c r="V94" s="554" t="str">
        <f t="shared" si="26"/>
        <v/>
      </c>
      <c r="W94" s="554" t="str">
        <f t="shared" si="26"/>
        <v/>
      </c>
      <c r="X94" s="554" t="str">
        <f t="shared" si="26"/>
        <v/>
      </c>
      <c r="Y94" s="554" t="str">
        <f t="shared" si="25"/>
        <v/>
      </c>
      <c r="Z94" s="554" t="str">
        <f t="shared" si="25"/>
        <v/>
      </c>
      <c r="AA94" s="554">
        <f t="shared" si="25"/>
        <v>1</v>
      </c>
      <c r="AB94" s="554">
        <f t="shared" si="25"/>
        <v>2</v>
      </c>
      <c r="AC94" s="554">
        <f t="shared" si="25"/>
        <v>2</v>
      </c>
      <c r="AD94" s="554">
        <f t="shared" si="25"/>
        <v>2</v>
      </c>
      <c r="AE94" s="554">
        <f t="shared" si="25"/>
        <v>2</v>
      </c>
      <c r="AF94" s="554">
        <f t="shared" si="25"/>
        <v>2</v>
      </c>
      <c r="AG94" s="554">
        <f t="shared" si="25"/>
        <v>2</v>
      </c>
      <c r="AH94" s="554">
        <f t="shared" si="25"/>
        <v>2</v>
      </c>
      <c r="AI94" s="554">
        <f t="shared" si="25"/>
        <v>2</v>
      </c>
      <c r="AJ94" s="554">
        <f t="shared" si="25"/>
        <v>2</v>
      </c>
      <c r="AK94" s="554">
        <f t="shared" si="25"/>
        <v>2</v>
      </c>
      <c r="AL94" s="554">
        <f t="shared" si="25"/>
        <v>2</v>
      </c>
      <c r="AM94" s="554">
        <f t="shared" si="24"/>
        <v>2</v>
      </c>
      <c r="AN94" s="554">
        <f t="shared" si="23"/>
        <v>2</v>
      </c>
      <c r="AO94" s="554">
        <f t="shared" si="23"/>
        <v>2</v>
      </c>
      <c r="AP94" s="554">
        <f t="shared" si="23"/>
        <v>2</v>
      </c>
      <c r="AQ94" s="429" t="str">
        <f t="shared" si="22"/>
        <v>Vendido</v>
      </c>
      <c r="AR94" s="447">
        <f>_xlfn.XLOOKUP(C94,'BOULEVARD 5'!B:B,'BOULEVARD 5'!AU:AU)</f>
        <v>1.0002121299778228</v>
      </c>
    </row>
    <row r="95" spans="2:44" s="429" customFormat="1" ht="13.9" customHeight="1" x14ac:dyDescent="0.25">
      <c r="B95" s="678" t="str">
        <f>IF('B5-Status cobranza'!A95&gt;0,'B5-Status cobranza'!A95,"")</f>
        <v/>
      </c>
      <c r="C95" s="436">
        <v>517</v>
      </c>
      <c r="D95" s="436" t="s">
        <v>175</v>
      </c>
      <c r="E95" s="436"/>
      <c r="F95" s="436" t="str">
        <f>IF('BOULEVARD 5'!E93="","",'BOULEVARD 5'!E93)</f>
        <v>Antonio Rada</v>
      </c>
      <c r="G95" s="429" t="str">
        <f>IF('BOULEVARD 5'!F93="","",'BOULEVARD 5'!F93)</f>
        <v>Jorge Estuardo Díaz Durán Baldetti</v>
      </c>
      <c r="H95" s="473">
        <f>IF('BOULEVARD 5'!G93="","",'BOULEVARD 5'!G93)</f>
        <v>45425</v>
      </c>
      <c r="I95" s="554" t="str">
        <f t="shared" si="26"/>
        <v/>
      </c>
      <c r="J95" s="554" t="str">
        <f t="shared" si="26"/>
        <v/>
      </c>
      <c r="K95" s="554" t="str">
        <f t="shared" si="26"/>
        <v/>
      </c>
      <c r="L95" s="554" t="str">
        <f t="shared" si="26"/>
        <v/>
      </c>
      <c r="M95" s="554" t="str">
        <f t="shared" si="26"/>
        <v/>
      </c>
      <c r="N95" s="554" t="str">
        <f t="shared" si="26"/>
        <v/>
      </c>
      <c r="O95" s="554" t="str">
        <f t="shared" si="26"/>
        <v/>
      </c>
      <c r="P95" s="554" t="str">
        <f t="shared" si="26"/>
        <v/>
      </c>
      <c r="Q95" s="554" t="str">
        <f t="shared" si="26"/>
        <v/>
      </c>
      <c r="R95" s="554" t="str">
        <f t="shared" si="26"/>
        <v/>
      </c>
      <c r="S95" s="554" t="str">
        <f t="shared" si="26"/>
        <v/>
      </c>
      <c r="T95" s="554" t="str">
        <f t="shared" si="26"/>
        <v/>
      </c>
      <c r="U95" s="554" t="str">
        <f t="shared" si="26"/>
        <v/>
      </c>
      <c r="V95" s="554" t="str">
        <f t="shared" si="26"/>
        <v/>
      </c>
      <c r="W95" s="554">
        <f t="shared" si="26"/>
        <v>1</v>
      </c>
      <c r="X95" s="554">
        <f t="shared" si="26"/>
        <v>2</v>
      </c>
      <c r="Y95" s="554">
        <f t="shared" si="25"/>
        <v>2</v>
      </c>
      <c r="Z95" s="554">
        <f t="shared" si="25"/>
        <v>2</v>
      </c>
      <c r="AA95" s="554">
        <f t="shared" si="25"/>
        <v>2</v>
      </c>
      <c r="AB95" s="554">
        <f t="shared" si="25"/>
        <v>2</v>
      </c>
      <c r="AC95" s="554">
        <f t="shared" si="25"/>
        <v>2</v>
      </c>
      <c r="AD95" s="554">
        <f t="shared" si="25"/>
        <v>2</v>
      </c>
      <c r="AE95" s="554">
        <f t="shared" si="25"/>
        <v>2</v>
      </c>
      <c r="AF95" s="554">
        <f t="shared" si="25"/>
        <v>2</v>
      </c>
      <c r="AG95" s="554">
        <f t="shared" si="25"/>
        <v>2</v>
      </c>
      <c r="AH95" s="554">
        <f t="shared" si="25"/>
        <v>2</v>
      </c>
      <c r="AI95" s="554">
        <f t="shared" si="25"/>
        <v>2</v>
      </c>
      <c r="AJ95" s="554">
        <f t="shared" si="25"/>
        <v>2</v>
      </c>
      <c r="AK95" s="554">
        <f t="shared" si="25"/>
        <v>2</v>
      </c>
      <c r="AL95" s="554">
        <f t="shared" si="25"/>
        <v>2</v>
      </c>
      <c r="AM95" s="554">
        <f t="shared" si="24"/>
        <v>2</v>
      </c>
      <c r="AN95" s="554">
        <f t="shared" si="24"/>
        <v>2</v>
      </c>
      <c r="AO95" s="554">
        <f t="shared" si="24"/>
        <v>2</v>
      </c>
      <c r="AP95" s="554">
        <f t="shared" si="24"/>
        <v>2</v>
      </c>
      <c r="AQ95" s="429" t="str">
        <f t="shared" si="22"/>
        <v>Vendido</v>
      </c>
      <c r="AR95" s="447">
        <f>_xlfn.XLOOKUP(C95,'BOULEVARD 5'!B:B,'BOULEVARD 5'!AU:AU)</f>
        <v>1.5320875628082475</v>
      </c>
    </row>
    <row r="96" spans="2:44" s="429" customFormat="1" ht="13.9" customHeight="1" x14ac:dyDescent="0.25">
      <c r="B96" s="678" t="str">
        <f>IF('B5-Status cobranza'!A96&gt;0,'B5-Status cobranza'!A96,"")</f>
        <v/>
      </c>
      <c r="C96" s="436">
        <v>518</v>
      </c>
      <c r="D96" s="436" t="s">
        <v>456</v>
      </c>
      <c r="E96" s="436"/>
      <c r="F96" s="436" t="str">
        <f>IF('BOULEVARD 5'!E94="","",'BOULEVARD 5'!E94)</f>
        <v>Diana Alvarez</v>
      </c>
      <c r="G96" s="429" t="str">
        <f>IF('BOULEVARD 5'!F94="","",'BOULEVARD 5'!F94)</f>
        <v>Karla Denisse Ariana Méndez Contreras</v>
      </c>
      <c r="H96" s="473">
        <f>IF('BOULEVARD 5'!G94="","",'BOULEVARD 5'!G94)</f>
        <v>45594</v>
      </c>
      <c r="I96" s="554" t="str">
        <f t="shared" si="26"/>
        <v/>
      </c>
      <c r="J96" s="554" t="str">
        <f t="shared" si="26"/>
        <v/>
      </c>
      <c r="K96" s="554" t="str">
        <f t="shared" si="26"/>
        <v/>
      </c>
      <c r="L96" s="554" t="str">
        <f t="shared" si="26"/>
        <v/>
      </c>
      <c r="M96" s="554" t="str">
        <f t="shared" si="26"/>
        <v/>
      </c>
      <c r="N96" s="554" t="str">
        <f t="shared" si="26"/>
        <v/>
      </c>
      <c r="O96" s="554" t="str">
        <f t="shared" si="26"/>
        <v/>
      </c>
      <c r="P96" s="554" t="str">
        <f t="shared" si="26"/>
        <v/>
      </c>
      <c r="Q96" s="554" t="str">
        <f t="shared" si="26"/>
        <v/>
      </c>
      <c r="R96" s="554" t="str">
        <f t="shared" si="26"/>
        <v/>
      </c>
      <c r="S96" s="554" t="str">
        <f t="shared" si="26"/>
        <v/>
      </c>
      <c r="T96" s="554" t="str">
        <f t="shared" si="26"/>
        <v/>
      </c>
      <c r="U96" s="554" t="str">
        <f t="shared" si="26"/>
        <v/>
      </c>
      <c r="V96" s="554" t="str">
        <f t="shared" si="26"/>
        <v/>
      </c>
      <c r="W96" s="554" t="str">
        <f t="shared" si="26"/>
        <v/>
      </c>
      <c r="X96" s="554" t="str">
        <f t="shared" si="26"/>
        <v/>
      </c>
      <c r="Y96" s="554" t="str">
        <f t="shared" si="25"/>
        <v/>
      </c>
      <c r="Z96" s="554" t="str">
        <f t="shared" si="25"/>
        <v/>
      </c>
      <c r="AA96" s="554" t="str">
        <f t="shared" si="25"/>
        <v/>
      </c>
      <c r="AB96" s="554">
        <f t="shared" si="25"/>
        <v>1</v>
      </c>
      <c r="AC96" s="554">
        <f t="shared" si="25"/>
        <v>2</v>
      </c>
      <c r="AD96" s="554">
        <f t="shared" si="25"/>
        <v>2</v>
      </c>
      <c r="AE96" s="554">
        <f t="shared" si="25"/>
        <v>2</v>
      </c>
      <c r="AF96" s="554">
        <f t="shared" si="25"/>
        <v>2</v>
      </c>
      <c r="AG96" s="554">
        <f t="shared" si="25"/>
        <v>2</v>
      </c>
      <c r="AH96" s="554">
        <f t="shared" si="25"/>
        <v>2</v>
      </c>
      <c r="AI96" s="554">
        <f t="shared" si="25"/>
        <v>2</v>
      </c>
      <c r="AJ96" s="554">
        <f t="shared" si="25"/>
        <v>2</v>
      </c>
      <c r="AK96" s="554">
        <f t="shared" si="25"/>
        <v>2</v>
      </c>
      <c r="AL96" s="554">
        <f t="shared" si="25"/>
        <v>2</v>
      </c>
      <c r="AM96" s="554">
        <f t="shared" si="24"/>
        <v>2</v>
      </c>
      <c r="AN96" s="554">
        <f t="shared" si="24"/>
        <v>2</v>
      </c>
      <c r="AO96" s="554">
        <f t="shared" si="24"/>
        <v>2</v>
      </c>
      <c r="AP96" s="554">
        <f t="shared" si="24"/>
        <v>2</v>
      </c>
      <c r="AQ96" s="429" t="str">
        <f t="shared" si="22"/>
        <v>Vendido</v>
      </c>
      <c r="AR96" s="447">
        <f>_xlfn.XLOOKUP(C96,'BOULEVARD 5'!B:B,'BOULEVARD 5'!AU:AU)</f>
        <v>3.656934492748694</v>
      </c>
    </row>
    <row r="97" spans="1:44" s="429" customFormat="1" ht="13.9" customHeight="1" x14ac:dyDescent="0.25">
      <c r="B97" s="678" t="str">
        <f>IF('B5-Status cobranza'!A97&gt;0,'B5-Status cobranza'!A97,"")</f>
        <v/>
      </c>
      <c r="C97" s="436">
        <v>519</v>
      </c>
      <c r="D97" s="436" t="s">
        <v>134</v>
      </c>
      <c r="E97" s="436"/>
      <c r="F97" s="436" t="str">
        <f>IF('BOULEVARD 5'!E95="","",'BOULEVARD 5'!E95)</f>
        <v>Anahí Cisneros</v>
      </c>
      <c r="G97" s="429" t="str">
        <f>IF('BOULEVARD 5'!F95="","",'BOULEVARD 5'!F95)</f>
        <v>Neftali Hemanuel de Leon Recinos</v>
      </c>
      <c r="H97" s="473">
        <f>IF('BOULEVARD 5'!G95="","",'BOULEVARD 5'!G95)</f>
        <v>45898</v>
      </c>
      <c r="I97" s="554" t="str">
        <f t="shared" si="26"/>
        <v/>
      </c>
      <c r="J97" s="554" t="str">
        <f t="shared" si="26"/>
        <v/>
      </c>
      <c r="K97" s="554" t="str">
        <f t="shared" si="26"/>
        <v/>
      </c>
      <c r="L97" s="554" t="str">
        <f t="shared" si="26"/>
        <v/>
      </c>
      <c r="M97" s="554" t="str">
        <f t="shared" si="26"/>
        <v/>
      </c>
      <c r="N97" s="554" t="str">
        <f t="shared" si="26"/>
        <v/>
      </c>
      <c r="O97" s="554" t="str">
        <f t="shared" si="26"/>
        <v/>
      </c>
      <c r="P97" s="554" t="str">
        <f t="shared" si="26"/>
        <v/>
      </c>
      <c r="Q97" s="554" t="str">
        <f t="shared" si="26"/>
        <v/>
      </c>
      <c r="R97" s="554" t="str">
        <f t="shared" si="26"/>
        <v/>
      </c>
      <c r="S97" s="554" t="str">
        <f t="shared" si="26"/>
        <v/>
      </c>
      <c r="T97" s="554" t="str">
        <f t="shared" si="26"/>
        <v/>
      </c>
      <c r="U97" s="554" t="str">
        <f t="shared" si="26"/>
        <v/>
      </c>
      <c r="V97" s="554" t="str">
        <f t="shared" si="26"/>
        <v/>
      </c>
      <c r="W97" s="554" t="str">
        <f t="shared" si="26"/>
        <v/>
      </c>
      <c r="X97" s="554" t="str">
        <f t="shared" si="26"/>
        <v/>
      </c>
      <c r="Y97" s="554" t="str">
        <f t="shared" si="25"/>
        <v/>
      </c>
      <c r="Z97" s="554" t="str">
        <f t="shared" si="25"/>
        <v/>
      </c>
      <c r="AA97" s="554" t="str">
        <f t="shared" si="25"/>
        <v/>
      </c>
      <c r="AB97" s="554" t="str">
        <f t="shared" si="25"/>
        <v/>
      </c>
      <c r="AC97" s="554" t="str">
        <f t="shared" si="25"/>
        <v/>
      </c>
      <c r="AD97" s="554" t="str">
        <f t="shared" si="25"/>
        <v/>
      </c>
      <c r="AE97" s="554" t="str">
        <f t="shared" si="25"/>
        <v/>
      </c>
      <c r="AF97" s="554" t="str">
        <f t="shared" si="25"/>
        <v/>
      </c>
      <c r="AG97" s="554" t="str">
        <f t="shared" si="25"/>
        <v/>
      </c>
      <c r="AH97" s="554" t="str">
        <f t="shared" si="25"/>
        <v/>
      </c>
      <c r="AI97" s="554" t="str">
        <f t="shared" si="25"/>
        <v/>
      </c>
      <c r="AJ97" s="554" t="str">
        <f t="shared" si="25"/>
        <v/>
      </c>
      <c r="AK97" s="554" t="str">
        <f t="shared" si="25"/>
        <v/>
      </c>
      <c r="AL97" s="554">
        <f t="shared" si="25"/>
        <v>1</v>
      </c>
      <c r="AM97" s="554">
        <f t="shared" si="24"/>
        <v>2</v>
      </c>
      <c r="AN97" s="554">
        <f t="shared" si="24"/>
        <v>2</v>
      </c>
      <c r="AO97" s="554">
        <f t="shared" si="24"/>
        <v>2</v>
      </c>
      <c r="AP97" s="554">
        <f t="shared" si="24"/>
        <v>2</v>
      </c>
      <c r="AQ97" s="429" t="str">
        <f t="shared" si="22"/>
        <v>Vendido</v>
      </c>
      <c r="AR97" s="447">
        <f>_xlfn.XLOOKUP(C97,'BOULEVARD 5'!B:B,'BOULEVARD 5'!AU:AU)</f>
        <v>0.39922983585333355</v>
      </c>
    </row>
    <row r="98" spans="1:44" s="429" customFormat="1" ht="13.9" customHeight="1" x14ac:dyDescent="0.25">
      <c r="B98" s="678" t="str">
        <f>IF('B5-Status cobranza'!A98&gt;0,'B5-Status cobranza'!A98,"")</f>
        <v/>
      </c>
      <c r="C98" s="436">
        <v>601</v>
      </c>
      <c r="D98" s="436" t="s">
        <v>456</v>
      </c>
      <c r="E98" s="436"/>
      <c r="F98" s="436" t="str">
        <f>IF('BOULEVARD 5'!E96="","",'BOULEVARD 5'!E96)</f>
        <v>Diana Alvarez</v>
      </c>
      <c r="G98" s="429" t="str">
        <f>IF('BOULEVARD 5'!F96="","",'BOULEVARD 5'!F96)</f>
        <v>Cedric Amilcar Rivera Fajardo</v>
      </c>
      <c r="H98" s="473">
        <f>IF('BOULEVARD 5'!G96="","",'BOULEVARD 5'!G96)</f>
        <v>45580</v>
      </c>
      <c r="I98" s="554" t="str">
        <f t="shared" si="26"/>
        <v/>
      </c>
      <c r="J98" s="554" t="str">
        <f t="shared" si="26"/>
        <v/>
      </c>
      <c r="K98" s="554" t="str">
        <f t="shared" si="26"/>
        <v/>
      </c>
      <c r="L98" s="554" t="str">
        <f t="shared" si="26"/>
        <v/>
      </c>
      <c r="M98" s="554" t="str">
        <f t="shared" si="26"/>
        <v/>
      </c>
      <c r="N98" s="554" t="str">
        <f t="shared" si="26"/>
        <v/>
      </c>
      <c r="O98" s="554" t="str">
        <f t="shared" si="26"/>
        <v/>
      </c>
      <c r="P98" s="554" t="str">
        <f t="shared" si="26"/>
        <v/>
      </c>
      <c r="Q98" s="554" t="str">
        <f t="shared" si="26"/>
        <v/>
      </c>
      <c r="R98" s="554" t="str">
        <f t="shared" si="26"/>
        <v/>
      </c>
      <c r="S98" s="554" t="str">
        <f t="shared" si="26"/>
        <v/>
      </c>
      <c r="T98" s="554" t="str">
        <f t="shared" si="26"/>
        <v/>
      </c>
      <c r="U98" s="554" t="str">
        <f t="shared" si="26"/>
        <v/>
      </c>
      <c r="V98" s="554" t="str">
        <f t="shared" si="26"/>
        <v/>
      </c>
      <c r="W98" s="554" t="str">
        <f t="shared" si="26"/>
        <v/>
      </c>
      <c r="X98" s="554" t="str">
        <f t="shared" si="26"/>
        <v/>
      </c>
      <c r="Y98" s="554" t="str">
        <f t="shared" si="25"/>
        <v/>
      </c>
      <c r="Z98" s="554" t="str">
        <f t="shared" si="25"/>
        <v/>
      </c>
      <c r="AA98" s="554" t="str">
        <f t="shared" si="25"/>
        <v/>
      </c>
      <c r="AB98" s="554">
        <f t="shared" si="25"/>
        <v>1</v>
      </c>
      <c r="AC98" s="554">
        <f t="shared" si="25"/>
        <v>2</v>
      </c>
      <c r="AD98" s="554">
        <f t="shared" si="25"/>
        <v>2</v>
      </c>
      <c r="AE98" s="554">
        <f t="shared" si="25"/>
        <v>2</v>
      </c>
      <c r="AF98" s="554">
        <f t="shared" si="25"/>
        <v>2</v>
      </c>
      <c r="AG98" s="554">
        <f t="shared" si="25"/>
        <v>2</v>
      </c>
      <c r="AH98" s="554">
        <f t="shared" si="25"/>
        <v>2</v>
      </c>
      <c r="AI98" s="554">
        <f t="shared" si="25"/>
        <v>2</v>
      </c>
      <c r="AJ98" s="554">
        <f t="shared" si="25"/>
        <v>2</v>
      </c>
      <c r="AK98" s="554">
        <f t="shared" si="25"/>
        <v>2</v>
      </c>
      <c r="AL98" s="554">
        <f t="shared" si="25"/>
        <v>2</v>
      </c>
      <c r="AM98" s="554">
        <f t="shared" si="24"/>
        <v>2</v>
      </c>
      <c r="AN98" s="554">
        <f t="shared" si="24"/>
        <v>2</v>
      </c>
      <c r="AO98" s="554">
        <f t="shared" si="24"/>
        <v>2</v>
      </c>
      <c r="AP98" s="554">
        <f t="shared" si="24"/>
        <v>2</v>
      </c>
      <c r="AQ98" s="429" t="str">
        <f t="shared" si="22"/>
        <v>Vendido</v>
      </c>
      <c r="AR98" s="447">
        <f>_xlfn.XLOOKUP(C98,'BOULEVARD 5'!B:B,'BOULEVARD 5'!AU:AU)</f>
        <v>1.000589536537744</v>
      </c>
    </row>
    <row r="99" spans="1:44" s="429" customFormat="1" ht="13.9" customHeight="1" x14ac:dyDescent="0.25">
      <c r="B99" s="678" t="str">
        <f>IF('B5-Status cobranza'!A99&gt;0,'B5-Status cobranza'!A99,"")</f>
        <v/>
      </c>
      <c r="C99" s="436">
        <v>602</v>
      </c>
      <c r="D99" s="436" t="s">
        <v>134</v>
      </c>
      <c r="E99" s="436"/>
      <c r="F99" s="436" t="str">
        <f>IF('BOULEVARD 5'!E97="","",'BOULEVARD 5'!E97)</f>
        <v>**</v>
      </c>
      <c r="G99" s="429" t="str">
        <f>IF('BOULEVARD 5'!F97="","",'BOULEVARD 5'!F97)</f>
        <v>Wendy Lorena Caal Garcia</v>
      </c>
      <c r="H99" s="473">
        <f>IF('BOULEVARD 5'!G97="","",'BOULEVARD 5'!G97)</f>
        <v>45896</v>
      </c>
      <c r="I99" s="554" t="str">
        <f t="shared" si="26"/>
        <v/>
      </c>
      <c r="J99" s="554" t="str">
        <f t="shared" si="26"/>
        <v/>
      </c>
      <c r="K99" s="554" t="str">
        <f t="shared" si="26"/>
        <v/>
      </c>
      <c r="L99" s="554" t="str">
        <f t="shared" si="26"/>
        <v/>
      </c>
      <c r="M99" s="554" t="str">
        <f t="shared" si="26"/>
        <v/>
      </c>
      <c r="N99" s="554" t="str">
        <f t="shared" si="26"/>
        <v/>
      </c>
      <c r="O99" s="554" t="str">
        <f t="shared" si="26"/>
        <v/>
      </c>
      <c r="P99" s="554" t="str">
        <f t="shared" si="26"/>
        <v/>
      </c>
      <c r="Q99" s="554" t="str">
        <f t="shared" si="26"/>
        <v/>
      </c>
      <c r="R99" s="554" t="str">
        <f t="shared" si="26"/>
        <v/>
      </c>
      <c r="S99" s="554" t="str">
        <f t="shared" si="26"/>
        <v/>
      </c>
      <c r="T99" s="554" t="str">
        <f t="shared" si="26"/>
        <v/>
      </c>
      <c r="U99" s="554" t="str">
        <f t="shared" si="26"/>
        <v/>
      </c>
      <c r="V99" s="554" t="str">
        <f t="shared" si="26"/>
        <v/>
      </c>
      <c r="W99" s="554" t="str">
        <f t="shared" si="26"/>
        <v/>
      </c>
      <c r="X99" s="554" t="str">
        <f t="shared" si="26"/>
        <v/>
      </c>
      <c r="Y99" s="554" t="str">
        <f t="shared" si="25"/>
        <v/>
      </c>
      <c r="Z99" s="554" t="str">
        <f t="shared" si="25"/>
        <v/>
      </c>
      <c r="AA99" s="554" t="str">
        <f t="shared" si="25"/>
        <v/>
      </c>
      <c r="AB99" s="554" t="str">
        <f t="shared" si="25"/>
        <v/>
      </c>
      <c r="AC99" s="554" t="str">
        <f t="shared" si="25"/>
        <v/>
      </c>
      <c r="AD99" s="554" t="str">
        <f t="shared" si="25"/>
        <v/>
      </c>
      <c r="AE99" s="554" t="str">
        <f t="shared" si="25"/>
        <v/>
      </c>
      <c r="AF99" s="554" t="str">
        <f t="shared" si="25"/>
        <v/>
      </c>
      <c r="AG99" s="554" t="str">
        <f t="shared" si="25"/>
        <v/>
      </c>
      <c r="AH99" s="554" t="str">
        <f t="shared" si="25"/>
        <v/>
      </c>
      <c r="AI99" s="554" t="str">
        <f t="shared" si="25"/>
        <v/>
      </c>
      <c r="AJ99" s="554" t="str">
        <f t="shared" si="25"/>
        <v/>
      </c>
      <c r="AK99" s="554" t="str">
        <f t="shared" si="25"/>
        <v/>
      </c>
      <c r="AL99" s="554">
        <f t="shared" si="25"/>
        <v>1</v>
      </c>
      <c r="AM99" s="554">
        <f t="shared" si="24"/>
        <v>2</v>
      </c>
      <c r="AN99" s="554">
        <f t="shared" si="24"/>
        <v>2</v>
      </c>
      <c r="AO99" s="554">
        <f t="shared" si="24"/>
        <v>2</v>
      </c>
      <c r="AP99" s="554">
        <f t="shared" si="24"/>
        <v>2</v>
      </c>
      <c r="AQ99" s="429" t="str">
        <f t="shared" si="22"/>
        <v>Vendido</v>
      </c>
      <c r="AR99" s="447">
        <f>_xlfn.XLOOKUP(C99,'BOULEVARD 5'!B:B,'BOULEVARD 5'!AU:AU)</f>
        <v>1</v>
      </c>
    </row>
    <row r="100" spans="1:44" s="429" customFormat="1" ht="13.9" customHeight="1" x14ac:dyDescent="0.25">
      <c r="B100" s="678" t="str">
        <f>IF('B5-Status cobranza'!A100&gt;0,'B5-Status cobranza'!A100,"")</f>
        <v/>
      </c>
      <c r="C100" s="436">
        <v>603</v>
      </c>
      <c r="D100" s="436" t="s">
        <v>400</v>
      </c>
      <c r="E100" s="436"/>
      <c r="F100" s="436" t="str">
        <f>IF('BOULEVARD 5'!E98="","",'BOULEVARD 5'!E98)</f>
        <v>Antonio Rada</v>
      </c>
      <c r="G100" s="429" t="str">
        <f>IF('BOULEVARD 5'!F98="","",'BOULEVARD 5'!F98)</f>
        <v>Mario José Márquez Rivera / Belteton Castellanos Iveth</v>
      </c>
      <c r="H100" s="473">
        <f>IF('BOULEVARD 5'!G98="","",'BOULEVARD 5'!G98)</f>
        <v>45384</v>
      </c>
      <c r="I100" s="554" t="str">
        <f t="shared" si="26"/>
        <v/>
      </c>
      <c r="J100" s="554" t="str">
        <f t="shared" si="26"/>
        <v/>
      </c>
      <c r="K100" s="554" t="str">
        <f t="shared" si="26"/>
        <v/>
      </c>
      <c r="L100" s="554" t="str">
        <f t="shared" si="26"/>
        <v/>
      </c>
      <c r="M100" s="554" t="str">
        <f t="shared" si="26"/>
        <v/>
      </c>
      <c r="N100" s="554" t="str">
        <f t="shared" si="26"/>
        <v/>
      </c>
      <c r="O100" s="554" t="str">
        <f t="shared" si="26"/>
        <v/>
      </c>
      <c r="P100" s="554" t="str">
        <f t="shared" si="26"/>
        <v/>
      </c>
      <c r="Q100" s="554" t="str">
        <f t="shared" si="26"/>
        <v/>
      </c>
      <c r="R100" s="554" t="str">
        <f t="shared" si="26"/>
        <v/>
      </c>
      <c r="S100" s="554" t="str">
        <f t="shared" si="26"/>
        <v/>
      </c>
      <c r="T100" s="554" t="str">
        <f t="shared" si="26"/>
        <v/>
      </c>
      <c r="U100" s="554" t="str">
        <f t="shared" si="26"/>
        <v/>
      </c>
      <c r="V100" s="554">
        <f t="shared" si="26"/>
        <v>1</v>
      </c>
      <c r="W100" s="554">
        <f t="shared" si="26"/>
        <v>2</v>
      </c>
      <c r="X100" s="554">
        <f t="shared" si="26"/>
        <v>2</v>
      </c>
      <c r="Y100" s="554">
        <f t="shared" si="25"/>
        <v>2</v>
      </c>
      <c r="Z100" s="554">
        <f t="shared" si="25"/>
        <v>2</v>
      </c>
      <c r="AA100" s="554">
        <f t="shared" si="25"/>
        <v>2</v>
      </c>
      <c r="AB100" s="554">
        <f t="shared" si="25"/>
        <v>2</v>
      </c>
      <c r="AC100" s="554">
        <f t="shared" si="25"/>
        <v>2</v>
      </c>
      <c r="AD100" s="554">
        <f t="shared" si="25"/>
        <v>2</v>
      </c>
      <c r="AE100" s="554">
        <f t="shared" si="25"/>
        <v>2</v>
      </c>
      <c r="AF100" s="554">
        <f t="shared" si="25"/>
        <v>2</v>
      </c>
      <c r="AG100" s="554">
        <f t="shared" si="25"/>
        <v>2</v>
      </c>
      <c r="AH100" s="554">
        <f t="shared" si="25"/>
        <v>2</v>
      </c>
      <c r="AI100" s="554">
        <f t="shared" si="25"/>
        <v>2</v>
      </c>
      <c r="AJ100" s="554">
        <f t="shared" si="25"/>
        <v>2</v>
      </c>
      <c r="AK100" s="554">
        <f t="shared" si="25"/>
        <v>2</v>
      </c>
      <c r="AL100" s="554">
        <f t="shared" si="25"/>
        <v>2</v>
      </c>
      <c r="AM100" s="554">
        <f t="shared" si="24"/>
        <v>2</v>
      </c>
      <c r="AN100" s="554">
        <f t="shared" si="24"/>
        <v>2</v>
      </c>
      <c r="AO100" s="554">
        <f t="shared" si="24"/>
        <v>2</v>
      </c>
      <c r="AP100" s="554">
        <f t="shared" si="24"/>
        <v>2</v>
      </c>
      <c r="AQ100" s="429" t="str">
        <f t="shared" si="22"/>
        <v>Vendido</v>
      </c>
      <c r="AR100" s="447">
        <f>_xlfn.XLOOKUP(C100,'BOULEVARD 5'!B:B,'BOULEVARD 5'!AU:AU)</f>
        <v>1.1607538802660753</v>
      </c>
    </row>
    <row r="101" spans="1:44" s="429" customFormat="1" ht="13.9" customHeight="1" x14ac:dyDescent="0.25">
      <c r="B101" s="678" t="str">
        <f>IF('B5-Status cobranza'!A101&gt;0,'B5-Status cobranza'!A101,"")</f>
        <v/>
      </c>
      <c r="C101" s="436">
        <v>604</v>
      </c>
      <c r="D101" s="436" t="s">
        <v>175</v>
      </c>
      <c r="E101" s="436"/>
      <c r="F101" s="436" t="str">
        <f>IF('BOULEVARD 5'!E99="","",'BOULEVARD 5'!E99)</f>
        <v>Antonio Rada</v>
      </c>
      <c r="G101" s="429" t="str">
        <f>IF('BOULEVARD 5'!F99="","",'BOULEVARD 5'!F99)</f>
        <v>Juan Sebastian Gaitán Serrano</v>
      </c>
      <c r="H101" s="473">
        <f>IF('BOULEVARD 5'!G99="","",'BOULEVARD 5'!G99)</f>
        <v>45411</v>
      </c>
      <c r="I101" s="554" t="str">
        <f t="shared" si="26"/>
        <v/>
      </c>
      <c r="J101" s="554" t="str">
        <f t="shared" si="26"/>
        <v/>
      </c>
      <c r="K101" s="554" t="str">
        <f t="shared" si="26"/>
        <v/>
      </c>
      <c r="L101" s="554" t="str">
        <f t="shared" si="26"/>
        <v/>
      </c>
      <c r="M101" s="554" t="str">
        <f t="shared" si="26"/>
        <v/>
      </c>
      <c r="N101" s="554" t="str">
        <f t="shared" si="26"/>
        <v/>
      </c>
      <c r="O101" s="554" t="str">
        <f t="shared" si="26"/>
        <v/>
      </c>
      <c r="P101" s="554" t="str">
        <f t="shared" si="26"/>
        <v/>
      </c>
      <c r="Q101" s="554" t="str">
        <f t="shared" si="26"/>
        <v/>
      </c>
      <c r="R101" s="554" t="str">
        <f t="shared" si="26"/>
        <v/>
      </c>
      <c r="S101" s="554" t="str">
        <f t="shared" si="26"/>
        <v/>
      </c>
      <c r="T101" s="554" t="str">
        <f t="shared" si="26"/>
        <v/>
      </c>
      <c r="U101" s="554" t="str">
        <f t="shared" si="26"/>
        <v/>
      </c>
      <c r="V101" s="554">
        <f t="shared" si="26"/>
        <v>1</v>
      </c>
      <c r="W101" s="554">
        <f t="shared" si="26"/>
        <v>2</v>
      </c>
      <c r="X101" s="554">
        <f t="shared" si="26"/>
        <v>2</v>
      </c>
      <c r="Y101" s="554">
        <f t="shared" si="25"/>
        <v>2</v>
      </c>
      <c r="Z101" s="554">
        <f t="shared" si="25"/>
        <v>2</v>
      </c>
      <c r="AA101" s="554">
        <f t="shared" si="25"/>
        <v>2</v>
      </c>
      <c r="AB101" s="554">
        <f t="shared" si="25"/>
        <v>2</v>
      </c>
      <c r="AC101" s="554">
        <f t="shared" si="25"/>
        <v>2</v>
      </c>
      <c r="AD101" s="554">
        <f t="shared" si="25"/>
        <v>2</v>
      </c>
      <c r="AE101" s="554">
        <f t="shared" si="25"/>
        <v>2</v>
      </c>
      <c r="AF101" s="554">
        <f t="shared" si="25"/>
        <v>2</v>
      </c>
      <c r="AG101" s="554">
        <f t="shared" si="25"/>
        <v>2</v>
      </c>
      <c r="AH101" s="554">
        <f t="shared" si="25"/>
        <v>2</v>
      </c>
      <c r="AI101" s="554">
        <f t="shared" si="25"/>
        <v>2</v>
      </c>
      <c r="AJ101" s="554">
        <f t="shared" si="25"/>
        <v>2</v>
      </c>
      <c r="AK101" s="554">
        <f t="shared" si="25"/>
        <v>2</v>
      </c>
      <c r="AL101" s="554">
        <f t="shared" si="25"/>
        <v>2</v>
      </c>
      <c r="AM101" s="554">
        <f t="shared" si="24"/>
        <v>2</v>
      </c>
      <c r="AN101" s="554">
        <f t="shared" si="24"/>
        <v>2</v>
      </c>
      <c r="AO101" s="554">
        <f t="shared" si="24"/>
        <v>2</v>
      </c>
      <c r="AP101" s="554">
        <f t="shared" si="24"/>
        <v>2</v>
      </c>
      <c r="AQ101" s="429" t="str">
        <f t="shared" si="22"/>
        <v>Vendido</v>
      </c>
      <c r="AR101" s="447">
        <f>_xlfn.XLOOKUP(C101,'BOULEVARD 5'!B:B,'BOULEVARD 5'!AU:AU)</f>
        <v>1.1644144144144144</v>
      </c>
    </row>
    <row r="102" spans="1:44" s="429" customFormat="1" ht="13.9" customHeight="1" x14ac:dyDescent="0.25">
      <c r="B102" s="678" t="str">
        <f>IF('B5-Status cobranza'!A102&gt;0,'B5-Status cobranza'!A102,"")</f>
        <v/>
      </c>
      <c r="C102" s="436">
        <v>605</v>
      </c>
      <c r="D102" s="436" t="s">
        <v>461</v>
      </c>
      <c r="E102" s="436"/>
      <c r="F102" s="436" t="str">
        <f>IF('BOULEVARD 5'!E100="","",'BOULEVARD 5'!E100)</f>
        <v>Antonio Rada</v>
      </c>
      <c r="G102" s="429" t="str">
        <f>IF('BOULEVARD 5'!F100="","",'BOULEVARD 5'!F100)</f>
        <v>Mirna Maria Rosas Guerra</v>
      </c>
      <c r="H102" s="473">
        <f>IF('BOULEVARD 5'!G100="","",'BOULEVARD 5'!G100)</f>
        <v>45553</v>
      </c>
      <c r="I102" s="554" t="str">
        <f t="shared" si="26"/>
        <v/>
      </c>
      <c r="J102" s="554" t="str">
        <f t="shared" si="26"/>
        <v/>
      </c>
      <c r="K102" s="554" t="str">
        <f t="shared" si="26"/>
        <v/>
      </c>
      <c r="L102" s="554" t="str">
        <f t="shared" si="26"/>
        <v/>
      </c>
      <c r="M102" s="554" t="str">
        <f t="shared" si="26"/>
        <v/>
      </c>
      <c r="N102" s="554" t="str">
        <f t="shared" si="26"/>
        <v/>
      </c>
      <c r="O102" s="554" t="str">
        <f t="shared" si="26"/>
        <v/>
      </c>
      <c r="P102" s="554" t="str">
        <f t="shared" si="26"/>
        <v/>
      </c>
      <c r="Q102" s="554" t="str">
        <f t="shared" si="26"/>
        <v/>
      </c>
      <c r="R102" s="554" t="str">
        <f t="shared" si="26"/>
        <v/>
      </c>
      <c r="S102" s="554" t="str">
        <f t="shared" si="26"/>
        <v/>
      </c>
      <c r="T102" s="554" t="str">
        <f t="shared" si="26"/>
        <v/>
      </c>
      <c r="U102" s="554" t="str">
        <f t="shared" si="26"/>
        <v/>
      </c>
      <c r="V102" s="554" t="str">
        <f t="shared" si="26"/>
        <v/>
      </c>
      <c r="W102" s="554" t="str">
        <f t="shared" si="26"/>
        <v/>
      </c>
      <c r="X102" s="554" t="str">
        <f t="shared" si="26"/>
        <v/>
      </c>
      <c r="Y102" s="554" t="str">
        <f t="shared" si="25"/>
        <v/>
      </c>
      <c r="Z102" s="554" t="str">
        <f t="shared" si="25"/>
        <v/>
      </c>
      <c r="AA102" s="554">
        <f t="shared" si="25"/>
        <v>1</v>
      </c>
      <c r="AB102" s="554">
        <f t="shared" si="25"/>
        <v>2</v>
      </c>
      <c r="AC102" s="554">
        <f t="shared" si="25"/>
        <v>2</v>
      </c>
      <c r="AD102" s="554">
        <f t="shared" si="25"/>
        <v>2</v>
      </c>
      <c r="AE102" s="554">
        <f t="shared" si="25"/>
        <v>2</v>
      </c>
      <c r="AF102" s="554">
        <f t="shared" si="25"/>
        <v>2</v>
      </c>
      <c r="AG102" s="554">
        <f t="shared" si="25"/>
        <v>2</v>
      </c>
      <c r="AH102" s="554">
        <f t="shared" si="25"/>
        <v>2</v>
      </c>
      <c r="AI102" s="554">
        <f t="shared" si="25"/>
        <v>2</v>
      </c>
      <c r="AJ102" s="554">
        <f t="shared" si="25"/>
        <v>2</v>
      </c>
      <c r="AK102" s="554">
        <f t="shared" si="25"/>
        <v>2</v>
      </c>
      <c r="AL102" s="554">
        <f t="shared" si="25"/>
        <v>2</v>
      </c>
      <c r="AM102" s="554">
        <f t="shared" si="24"/>
        <v>2</v>
      </c>
      <c r="AN102" s="554">
        <f t="shared" si="24"/>
        <v>2</v>
      </c>
      <c r="AO102" s="554">
        <f t="shared" si="24"/>
        <v>2</v>
      </c>
      <c r="AP102" s="554">
        <f t="shared" si="24"/>
        <v>2</v>
      </c>
      <c r="AQ102" s="429" t="str">
        <f t="shared" si="22"/>
        <v>Vendido</v>
      </c>
      <c r="AR102" s="447">
        <f>_xlfn.XLOOKUP(C102,'BOULEVARD 5'!B:B,'BOULEVARD 5'!AU:AU)</f>
        <v>1</v>
      </c>
    </row>
    <row r="103" spans="1:44" s="429" customFormat="1" ht="13.9" customHeight="1" x14ac:dyDescent="0.25">
      <c r="B103" s="678" t="str">
        <f>IF('B5-Status cobranza'!A103&gt;0,'B5-Status cobranza'!A103,"")</f>
        <v/>
      </c>
      <c r="C103" s="436">
        <v>606</v>
      </c>
      <c r="D103" s="436" t="s">
        <v>463</v>
      </c>
      <c r="E103" s="436"/>
      <c r="F103" s="436" t="str">
        <f>IF('BOULEVARD 5'!E101="","",'BOULEVARD 5'!E101)</f>
        <v>Antonio Rada</v>
      </c>
      <c r="G103" s="429" t="str">
        <f>IF('BOULEVARD 5'!F101="","",'BOULEVARD 5'!F101)</f>
        <v>Mar Frandi Solly Gramajo Hernandez De Calderon</v>
      </c>
      <c r="H103" s="473">
        <f>IF('BOULEVARD 5'!G101="","",'BOULEVARD 5'!G101)</f>
        <v>45533</v>
      </c>
      <c r="I103" s="554" t="str">
        <f t="shared" si="26"/>
        <v/>
      </c>
      <c r="J103" s="554" t="str">
        <f t="shared" si="26"/>
        <v/>
      </c>
      <c r="K103" s="554" t="str">
        <f t="shared" si="26"/>
        <v/>
      </c>
      <c r="L103" s="554" t="str">
        <f t="shared" si="26"/>
        <v/>
      </c>
      <c r="M103" s="554" t="str">
        <f t="shared" si="26"/>
        <v/>
      </c>
      <c r="N103" s="554" t="str">
        <f t="shared" si="26"/>
        <v/>
      </c>
      <c r="O103" s="554" t="str">
        <f t="shared" si="26"/>
        <v/>
      </c>
      <c r="P103" s="554" t="str">
        <f t="shared" si="26"/>
        <v/>
      </c>
      <c r="Q103" s="554" t="str">
        <f t="shared" si="26"/>
        <v/>
      </c>
      <c r="R103" s="554" t="str">
        <f t="shared" si="26"/>
        <v/>
      </c>
      <c r="S103" s="554" t="str">
        <f t="shared" si="26"/>
        <v/>
      </c>
      <c r="T103" s="554" t="str">
        <f t="shared" si="26"/>
        <v/>
      </c>
      <c r="U103" s="554" t="str">
        <f t="shared" si="26"/>
        <v/>
      </c>
      <c r="V103" s="554" t="str">
        <f t="shared" si="26"/>
        <v/>
      </c>
      <c r="W103" s="554" t="str">
        <f t="shared" si="26"/>
        <v/>
      </c>
      <c r="X103" s="554" t="str">
        <f t="shared" si="26"/>
        <v/>
      </c>
      <c r="Y103" s="554" t="str">
        <f t="shared" si="25"/>
        <v/>
      </c>
      <c r="Z103" s="554">
        <f t="shared" si="25"/>
        <v>1</v>
      </c>
      <c r="AA103" s="554">
        <f t="shared" si="25"/>
        <v>2</v>
      </c>
      <c r="AB103" s="554">
        <f t="shared" si="25"/>
        <v>2</v>
      </c>
      <c r="AC103" s="554">
        <f t="shared" si="25"/>
        <v>2</v>
      </c>
      <c r="AD103" s="554">
        <f t="shared" si="25"/>
        <v>2</v>
      </c>
      <c r="AE103" s="554">
        <f t="shared" si="25"/>
        <v>2</v>
      </c>
      <c r="AF103" s="554">
        <f t="shared" si="25"/>
        <v>2</v>
      </c>
      <c r="AG103" s="554">
        <f t="shared" si="25"/>
        <v>2</v>
      </c>
      <c r="AH103" s="554">
        <f t="shared" si="25"/>
        <v>2</v>
      </c>
      <c r="AI103" s="554">
        <f t="shared" si="25"/>
        <v>2</v>
      </c>
      <c r="AJ103" s="554">
        <f t="shared" si="25"/>
        <v>2</v>
      </c>
      <c r="AK103" s="554">
        <f t="shared" si="25"/>
        <v>2</v>
      </c>
      <c r="AL103" s="554">
        <f t="shared" si="25"/>
        <v>2</v>
      </c>
      <c r="AM103" s="554">
        <f t="shared" si="24"/>
        <v>2</v>
      </c>
      <c r="AN103" s="554">
        <f t="shared" si="24"/>
        <v>2</v>
      </c>
      <c r="AO103" s="554">
        <f t="shared" si="24"/>
        <v>2</v>
      </c>
      <c r="AP103" s="554">
        <f t="shared" si="24"/>
        <v>2</v>
      </c>
      <c r="AQ103" s="429" t="str">
        <f t="shared" si="22"/>
        <v>Vendido</v>
      </c>
      <c r="AR103" s="447">
        <f>_xlfn.XLOOKUP(C103,'BOULEVARD 5'!B:B,'BOULEVARD 5'!AU:AU)</f>
        <v>1.0580093481647885</v>
      </c>
    </row>
    <row r="104" spans="1:44" s="429" customFormat="1" ht="13.9" customHeight="1" x14ac:dyDescent="0.25">
      <c r="B104" s="678" t="str">
        <f>IF('B5-Status cobranza'!A104&gt;0,'B5-Status cobranza'!A104,"")</f>
        <v/>
      </c>
      <c r="C104" s="436">
        <v>607</v>
      </c>
      <c r="D104" s="436" t="s">
        <v>465</v>
      </c>
      <c r="E104" s="436"/>
      <c r="F104" s="436" t="str">
        <f>IF('BOULEVARD 5'!E102="","",'BOULEVARD 5'!E102)</f>
        <v>Antonio Rada</v>
      </c>
      <c r="G104" s="429" t="str">
        <f>IF('BOULEVARD 5'!F102="","",'BOULEVARD 5'!F102)</f>
        <v>Antony Williams Sajche Torres / Madelyn Kristina Sajche Torres</v>
      </c>
      <c r="H104" s="473">
        <f>IF('BOULEVARD 5'!G102="","",'BOULEVARD 5'!G102)</f>
        <v>45769</v>
      </c>
      <c r="I104" s="554" t="str">
        <f t="shared" si="26"/>
        <v/>
      </c>
      <c r="J104" s="554" t="str">
        <f t="shared" si="26"/>
        <v/>
      </c>
      <c r="K104" s="554" t="str">
        <f t="shared" si="26"/>
        <v/>
      </c>
      <c r="L104" s="554" t="str">
        <f t="shared" si="26"/>
        <v/>
      </c>
      <c r="M104" s="554" t="str">
        <f t="shared" si="26"/>
        <v/>
      </c>
      <c r="N104" s="554" t="str">
        <f t="shared" si="26"/>
        <v/>
      </c>
      <c r="O104" s="554" t="str">
        <f t="shared" si="26"/>
        <v/>
      </c>
      <c r="P104" s="554" t="str">
        <f t="shared" si="26"/>
        <v/>
      </c>
      <c r="Q104" s="554" t="str">
        <f t="shared" si="26"/>
        <v/>
      </c>
      <c r="R104" s="554" t="str">
        <f t="shared" si="26"/>
        <v/>
      </c>
      <c r="S104" s="554" t="str">
        <f t="shared" si="26"/>
        <v/>
      </c>
      <c r="T104" s="554" t="str">
        <f t="shared" si="26"/>
        <v/>
      </c>
      <c r="U104" s="554" t="str">
        <f t="shared" si="26"/>
        <v/>
      </c>
      <c r="V104" s="554" t="str">
        <f t="shared" si="26"/>
        <v/>
      </c>
      <c r="W104" s="554" t="str">
        <f t="shared" si="26"/>
        <v/>
      </c>
      <c r="X104" s="554" t="str">
        <f t="shared" si="26"/>
        <v/>
      </c>
      <c r="Y104" s="554" t="str">
        <f t="shared" si="25"/>
        <v/>
      </c>
      <c r="Z104" s="554" t="str">
        <f t="shared" si="25"/>
        <v/>
      </c>
      <c r="AA104" s="554" t="str">
        <f t="shared" si="25"/>
        <v/>
      </c>
      <c r="AB104" s="554" t="str">
        <f t="shared" si="25"/>
        <v/>
      </c>
      <c r="AC104" s="554" t="str">
        <f t="shared" si="25"/>
        <v/>
      </c>
      <c r="AD104" s="554" t="str">
        <f t="shared" si="25"/>
        <v/>
      </c>
      <c r="AE104" s="554" t="str">
        <f t="shared" si="25"/>
        <v/>
      </c>
      <c r="AF104" s="554" t="str">
        <f t="shared" si="25"/>
        <v/>
      </c>
      <c r="AG104" s="554" t="str">
        <f t="shared" si="25"/>
        <v/>
      </c>
      <c r="AH104" s="554">
        <f t="shared" si="25"/>
        <v>1</v>
      </c>
      <c r="AI104" s="554">
        <f t="shared" si="25"/>
        <v>2</v>
      </c>
      <c r="AJ104" s="554">
        <f t="shared" si="25"/>
        <v>2</v>
      </c>
      <c r="AK104" s="554">
        <f t="shared" si="25"/>
        <v>2</v>
      </c>
      <c r="AL104" s="554">
        <f t="shared" si="25"/>
        <v>2</v>
      </c>
      <c r="AM104" s="554">
        <f t="shared" si="24"/>
        <v>2</v>
      </c>
      <c r="AN104" s="554">
        <f t="shared" si="24"/>
        <v>2</v>
      </c>
      <c r="AO104" s="554">
        <f t="shared" si="24"/>
        <v>2</v>
      </c>
      <c r="AP104" s="554">
        <f t="shared" si="24"/>
        <v>2</v>
      </c>
      <c r="AQ104" s="429" t="str">
        <f t="shared" si="22"/>
        <v>Vendido</v>
      </c>
      <c r="AR104" s="447">
        <f>_xlfn.XLOOKUP(C104,'BOULEVARD 5'!B:B,'BOULEVARD 5'!AU:AU)</f>
        <v>0.73226734392411952</v>
      </c>
    </row>
    <row r="105" spans="1:44" s="429" customFormat="1" ht="13.9" customHeight="1" x14ac:dyDescent="0.25">
      <c r="A105" s="429" t="s">
        <v>388</v>
      </c>
      <c r="B105" s="678"/>
      <c r="C105" s="436">
        <v>608</v>
      </c>
      <c r="D105" s="436" t="s">
        <v>467</v>
      </c>
      <c r="E105" s="642" t="s">
        <v>336</v>
      </c>
      <c r="F105" s="436" t="str">
        <f>IF('BOULEVARD 5'!E103="","",'BOULEVARD 5'!E103)</f>
        <v>Antonio Rada</v>
      </c>
      <c r="G105" s="429" t="str">
        <f>IF('BOULEVARD 5'!F103="","",'BOULEVARD 5'!F103)</f>
        <v>Alfonso Videche Rodriguez</v>
      </c>
      <c r="H105" s="473">
        <f>IF('BOULEVARD 5'!G103="","",'BOULEVARD 5'!G103)</f>
        <v>45324</v>
      </c>
      <c r="I105" s="554" t="str">
        <f t="shared" si="26"/>
        <v/>
      </c>
      <c r="J105" s="554" t="str">
        <f t="shared" si="26"/>
        <v/>
      </c>
      <c r="K105" s="554" t="str">
        <f t="shared" si="26"/>
        <v/>
      </c>
      <c r="L105" s="554" t="str">
        <f t="shared" si="26"/>
        <v/>
      </c>
      <c r="M105" s="554" t="str">
        <f t="shared" si="26"/>
        <v/>
      </c>
      <c r="N105" s="554" t="str">
        <f t="shared" si="26"/>
        <v/>
      </c>
      <c r="O105" s="554" t="str">
        <f t="shared" si="26"/>
        <v/>
      </c>
      <c r="P105" s="554" t="str">
        <f t="shared" si="26"/>
        <v/>
      </c>
      <c r="Q105" s="554" t="str">
        <f t="shared" si="26"/>
        <v/>
      </c>
      <c r="R105" s="554" t="str">
        <f t="shared" si="26"/>
        <v/>
      </c>
      <c r="S105" s="554" t="str">
        <f t="shared" si="26"/>
        <v/>
      </c>
      <c r="T105" s="554">
        <f t="shared" si="26"/>
        <v>1</v>
      </c>
      <c r="U105" s="554">
        <f t="shared" si="26"/>
        <v>2</v>
      </c>
      <c r="V105" s="554">
        <f t="shared" si="26"/>
        <v>2</v>
      </c>
      <c r="W105" s="554">
        <f t="shared" si="26"/>
        <v>2</v>
      </c>
      <c r="X105" s="554">
        <f t="shared" ref="X105:AM120" si="27">IF(OR($B105="F&amp;F",$B105="CE",$H105=""),"",IF(TEXT(X$8,"yyyymm")=TEXT($H105,"yyyymm"),1,IF(TEXT(X$8,"yyyymm")&gt;TEXT($H105,"yyyymm"),2,IF(X$8&lt;$H105,"",0))))</f>
        <v>2</v>
      </c>
      <c r="Y105" s="554">
        <f t="shared" si="27"/>
        <v>2</v>
      </c>
      <c r="Z105" s="554">
        <f t="shared" si="27"/>
        <v>2</v>
      </c>
      <c r="AA105" s="554">
        <f t="shared" si="27"/>
        <v>2</v>
      </c>
      <c r="AB105" s="554">
        <f t="shared" si="27"/>
        <v>2</v>
      </c>
      <c r="AC105" s="554">
        <f t="shared" si="27"/>
        <v>2</v>
      </c>
      <c r="AD105" s="554">
        <f t="shared" si="27"/>
        <v>2</v>
      </c>
      <c r="AE105" s="554">
        <f t="shared" si="27"/>
        <v>2</v>
      </c>
      <c r="AF105" s="554">
        <f t="shared" si="27"/>
        <v>2</v>
      </c>
      <c r="AG105" s="554">
        <f t="shared" si="27"/>
        <v>2</v>
      </c>
      <c r="AH105" s="554">
        <f t="shared" si="27"/>
        <v>2</v>
      </c>
      <c r="AI105" s="554">
        <f t="shared" si="27"/>
        <v>2</v>
      </c>
      <c r="AJ105" s="554">
        <f t="shared" si="27"/>
        <v>2</v>
      </c>
      <c r="AK105" s="554">
        <f t="shared" si="27"/>
        <v>2</v>
      </c>
      <c r="AL105" s="554">
        <f t="shared" si="27"/>
        <v>2</v>
      </c>
      <c r="AM105" s="554">
        <f t="shared" si="24"/>
        <v>2</v>
      </c>
      <c r="AN105" s="554">
        <f t="shared" si="24"/>
        <v>2</v>
      </c>
      <c r="AO105" s="554">
        <f t="shared" si="24"/>
        <v>2</v>
      </c>
      <c r="AP105" s="554">
        <f t="shared" si="24"/>
        <v>2</v>
      </c>
      <c r="AQ105" s="429" t="str">
        <f t="shared" si="22"/>
        <v>Vendido</v>
      </c>
      <c r="AR105" s="447">
        <f>_xlfn.XLOOKUP(C105,'BOULEVARD 5'!B:B,'BOULEVARD 5'!AU:AU)</f>
        <v>0.71794785164663455</v>
      </c>
    </row>
    <row r="106" spans="1:44" s="429" customFormat="1" ht="13.9" customHeight="1" x14ac:dyDescent="0.25">
      <c r="B106" s="678" t="str">
        <f>IF('B5-Status cobranza'!A106&gt;0,'B5-Status cobranza'!A106,"")</f>
        <v/>
      </c>
      <c r="C106" s="436">
        <v>609</v>
      </c>
      <c r="D106" s="436" t="s">
        <v>469</v>
      </c>
      <c r="E106" s="436"/>
      <c r="F106" s="436" t="str">
        <f>IF('BOULEVARD 5'!E104="","",'BOULEVARD 5'!E104)</f>
        <v>Antonio Rada</v>
      </c>
      <c r="G106" s="429" t="str">
        <f>IF('BOULEVARD 5'!F104="","",'BOULEVARD 5'!F104)</f>
        <v>Luis Augusto Franco Lopez</v>
      </c>
      <c r="H106" s="473">
        <f>IF('BOULEVARD 5'!G104="","",'BOULEVARD 5'!G104)</f>
        <v>45434</v>
      </c>
      <c r="I106" s="554" t="str">
        <f t="shared" ref="I106:X121" si="28">IF(OR($B106="F&amp;F",$B106="CE",$H106=""),"",IF(TEXT(I$8,"yyyymm")=TEXT($H106,"yyyymm"),1,IF(TEXT(I$8,"yyyymm")&gt;TEXT($H106,"yyyymm"),2,IF(I$8&lt;$H106,"",0))))</f>
        <v/>
      </c>
      <c r="J106" s="554" t="str">
        <f t="shared" si="28"/>
        <v/>
      </c>
      <c r="K106" s="554" t="str">
        <f t="shared" si="28"/>
        <v/>
      </c>
      <c r="L106" s="554" t="str">
        <f t="shared" si="28"/>
        <v/>
      </c>
      <c r="M106" s="554" t="str">
        <f t="shared" si="28"/>
        <v/>
      </c>
      <c r="N106" s="554" t="str">
        <f t="shared" si="28"/>
        <v/>
      </c>
      <c r="O106" s="554" t="str">
        <f t="shared" si="28"/>
        <v/>
      </c>
      <c r="P106" s="554" t="str">
        <f t="shared" si="28"/>
        <v/>
      </c>
      <c r="Q106" s="554" t="str">
        <f t="shared" si="28"/>
        <v/>
      </c>
      <c r="R106" s="554" t="str">
        <f t="shared" si="28"/>
        <v/>
      </c>
      <c r="S106" s="554" t="str">
        <f t="shared" si="28"/>
        <v/>
      </c>
      <c r="T106" s="554" t="str">
        <f t="shared" si="28"/>
        <v/>
      </c>
      <c r="U106" s="554" t="str">
        <f t="shared" si="28"/>
        <v/>
      </c>
      <c r="V106" s="554" t="str">
        <f t="shared" si="28"/>
        <v/>
      </c>
      <c r="W106" s="554">
        <f t="shared" si="28"/>
        <v>1</v>
      </c>
      <c r="X106" s="554">
        <f t="shared" si="27"/>
        <v>2</v>
      </c>
      <c r="Y106" s="554">
        <f t="shared" si="27"/>
        <v>2</v>
      </c>
      <c r="Z106" s="554">
        <f t="shared" si="27"/>
        <v>2</v>
      </c>
      <c r="AA106" s="554">
        <f t="shared" si="27"/>
        <v>2</v>
      </c>
      <c r="AB106" s="554">
        <f t="shared" si="27"/>
        <v>2</v>
      </c>
      <c r="AC106" s="554">
        <f t="shared" si="27"/>
        <v>2</v>
      </c>
      <c r="AD106" s="554">
        <f t="shared" si="27"/>
        <v>2</v>
      </c>
      <c r="AE106" s="554">
        <f t="shared" si="27"/>
        <v>2</v>
      </c>
      <c r="AF106" s="554">
        <f t="shared" si="27"/>
        <v>2</v>
      </c>
      <c r="AG106" s="554">
        <f t="shared" si="27"/>
        <v>2</v>
      </c>
      <c r="AH106" s="554">
        <f t="shared" si="27"/>
        <v>2</v>
      </c>
      <c r="AI106" s="554">
        <f t="shared" si="27"/>
        <v>2</v>
      </c>
      <c r="AJ106" s="554">
        <f t="shared" si="27"/>
        <v>2</v>
      </c>
      <c r="AK106" s="554">
        <f t="shared" si="27"/>
        <v>2</v>
      </c>
      <c r="AL106" s="554">
        <f t="shared" si="27"/>
        <v>2</v>
      </c>
      <c r="AM106" s="554">
        <f t="shared" si="24"/>
        <v>2</v>
      </c>
      <c r="AN106" s="554">
        <f t="shared" si="24"/>
        <v>2</v>
      </c>
      <c r="AO106" s="554">
        <f t="shared" si="24"/>
        <v>2</v>
      </c>
      <c r="AP106" s="554">
        <f t="shared" si="24"/>
        <v>2</v>
      </c>
      <c r="AQ106" s="429" t="str">
        <f t="shared" si="22"/>
        <v>Vendido</v>
      </c>
      <c r="AR106" s="447">
        <f>_xlfn.XLOOKUP(C106,'BOULEVARD 5'!B:B,'BOULEVARD 5'!AU:AU)</f>
        <v>1.0000465464639499</v>
      </c>
    </row>
    <row r="107" spans="1:44" s="429" customFormat="1" ht="13.9" customHeight="1" x14ac:dyDescent="0.25">
      <c r="B107" s="678" t="str">
        <f>IF('B5-Status cobranza'!A107&gt;0,'B5-Status cobranza'!A107,"")</f>
        <v/>
      </c>
      <c r="C107" s="436">
        <v>610</v>
      </c>
      <c r="D107" s="436" t="s">
        <v>467</v>
      </c>
      <c r="E107" s="436"/>
      <c r="F107" s="436" t="str">
        <f>IF('BOULEVARD 5'!E105="","",'BOULEVARD 5'!E105)</f>
        <v>Antonio Rada</v>
      </c>
      <c r="G107" s="429" t="str">
        <f>IF('BOULEVARD 5'!F105="","",'BOULEVARD 5'!F105)</f>
        <v>Andrea Nathalia Molina Mendez De Velasqeuz</v>
      </c>
      <c r="H107" s="473">
        <f>IF('BOULEVARD 5'!G105="","",'BOULEVARD 5'!G105)</f>
        <v>45351</v>
      </c>
      <c r="I107" s="554" t="str">
        <f t="shared" si="28"/>
        <v/>
      </c>
      <c r="J107" s="554" t="str">
        <f t="shared" si="28"/>
        <v/>
      </c>
      <c r="K107" s="554" t="str">
        <f t="shared" si="28"/>
        <v/>
      </c>
      <c r="L107" s="554" t="str">
        <f t="shared" si="28"/>
        <v/>
      </c>
      <c r="M107" s="554" t="str">
        <f t="shared" si="28"/>
        <v/>
      </c>
      <c r="N107" s="554" t="str">
        <f t="shared" si="28"/>
        <v/>
      </c>
      <c r="O107" s="554" t="str">
        <f t="shared" si="28"/>
        <v/>
      </c>
      <c r="P107" s="554" t="str">
        <f t="shared" si="28"/>
        <v/>
      </c>
      <c r="Q107" s="554" t="str">
        <f t="shared" si="28"/>
        <v/>
      </c>
      <c r="R107" s="554" t="str">
        <f t="shared" si="28"/>
        <v/>
      </c>
      <c r="S107" s="554" t="str">
        <f t="shared" si="28"/>
        <v/>
      </c>
      <c r="T107" s="554">
        <f t="shared" si="28"/>
        <v>1</v>
      </c>
      <c r="U107" s="554">
        <f t="shared" si="28"/>
        <v>2</v>
      </c>
      <c r="V107" s="554">
        <f t="shared" si="28"/>
        <v>2</v>
      </c>
      <c r="W107" s="554">
        <f t="shared" si="28"/>
        <v>2</v>
      </c>
      <c r="X107" s="554">
        <f t="shared" si="27"/>
        <v>2</v>
      </c>
      <c r="Y107" s="554">
        <f t="shared" si="27"/>
        <v>2</v>
      </c>
      <c r="Z107" s="554">
        <f t="shared" si="27"/>
        <v>2</v>
      </c>
      <c r="AA107" s="554">
        <f t="shared" si="27"/>
        <v>2</v>
      </c>
      <c r="AB107" s="554">
        <f t="shared" si="27"/>
        <v>2</v>
      </c>
      <c r="AC107" s="554">
        <f t="shared" si="27"/>
        <v>2</v>
      </c>
      <c r="AD107" s="554">
        <f t="shared" si="27"/>
        <v>2</v>
      </c>
      <c r="AE107" s="554">
        <f t="shared" si="27"/>
        <v>2</v>
      </c>
      <c r="AF107" s="554">
        <f t="shared" si="27"/>
        <v>2</v>
      </c>
      <c r="AG107" s="554">
        <f t="shared" si="27"/>
        <v>2</v>
      </c>
      <c r="AH107" s="554">
        <f t="shared" si="27"/>
        <v>2</v>
      </c>
      <c r="AI107" s="554">
        <f t="shared" si="27"/>
        <v>2</v>
      </c>
      <c r="AJ107" s="554">
        <f t="shared" si="27"/>
        <v>2</v>
      </c>
      <c r="AK107" s="554">
        <f t="shared" si="27"/>
        <v>2</v>
      </c>
      <c r="AL107" s="554">
        <f t="shared" si="27"/>
        <v>2</v>
      </c>
      <c r="AM107" s="554">
        <f t="shared" si="24"/>
        <v>2</v>
      </c>
      <c r="AN107" s="554">
        <f t="shared" si="24"/>
        <v>2</v>
      </c>
      <c r="AO107" s="554">
        <f t="shared" si="24"/>
        <v>2</v>
      </c>
      <c r="AP107" s="554">
        <f t="shared" si="24"/>
        <v>2</v>
      </c>
      <c r="AQ107" s="429" t="str">
        <f t="shared" si="22"/>
        <v>Vendido</v>
      </c>
      <c r="AR107" s="447">
        <f>_xlfn.XLOOKUP(C107,'BOULEVARD 5'!B:B,'BOULEVARD 5'!AU:AU)</f>
        <v>1</v>
      </c>
    </row>
    <row r="108" spans="1:44" s="429" customFormat="1" ht="13.9" customHeight="1" x14ac:dyDescent="0.25">
      <c r="B108" s="678" t="str">
        <f>IF('B5-Status cobranza'!A108&gt;0,'B5-Status cobranza'!A108,"")</f>
        <v/>
      </c>
      <c r="C108" s="436">
        <v>611</v>
      </c>
      <c r="D108" s="436" t="s">
        <v>469</v>
      </c>
      <c r="E108" s="436"/>
      <c r="F108" s="436" t="str">
        <f>IF('BOULEVARD 5'!E106="","",'BOULEVARD 5'!E106)</f>
        <v>Antonio Rada</v>
      </c>
      <c r="G108" s="429" t="str">
        <f>IF('BOULEVARD 5'!F106="","",'BOULEVARD 5'!F106)</f>
        <v>Kenny Estuardo Garay Carias</v>
      </c>
      <c r="H108" s="480">
        <f>IF('BOULEVARD 5'!G106="","",'BOULEVARD 5'!G106)</f>
        <v>45835</v>
      </c>
      <c r="I108" s="554" t="str">
        <f t="shared" si="28"/>
        <v/>
      </c>
      <c r="J108" s="554" t="str">
        <f t="shared" si="28"/>
        <v/>
      </c>
      <c r="K108" s="554" t="str">
        <f t="shared" si="28"/>
        <v/>
      </c>
      <c r="L108" s="554" t="str">
        <f t="shared" si="28"/>
        <v/>
      </c>
      <c r="M108" s="554" t="str">
        <f t="shared" si="28"/>
        <v/>
      </c>
      <c r="N108" s="554" t="str">
        <f t="shared" si="28"/>
        <v/>
      </c>
      <c r="O108" s="554" t="str">
        <f t="shared" si="28"/>
        <v/>
      </c>
      <c r="P108" s="554" t="str">
        <f t="shared" si="28"/>
        <v/>
      </c>
      <c r="Q108" s="554" t="str">
        <f t="shared" si="28"/>
        <v/>
      </c>
      <c r="R108" s="554" t="str">
        <f t="shared" si="28"/>
        <v/>
      </c>
      <c r="S108" s="554" t="str">
        <f t="shared" si="28"/>
        <v/>
      </c>
      <c r="T108" s="554" t="str">
        <f t="shared" si="28"/>
        <v/>
      </c>
      <c r="U108" s="554" t="str">
        <f t="shared" si="28"/>
        <v/>
      </c>
      <c r="V108" s="554" t="str">
        <f t="shared" si="28"/>
        <v/>
      </c>
      <c r="W108" s="554" t="str">
        <f t="shared" si="28"/>
        <v/>
      </c>
      <c r="X108" s="554" t="str">
        <f t="shared" si="27"/>
        <v/>
      </c>
      <c r="Y108" s="554" t="str">
        <f t="shared" si="27"/>
        <v/>
      </c>
      <c r="Z108" s="554" t="str">
        <f t="shared" si="27"/>
        <v/>
      </c>
      <c r="AA108" s="554" t="str">
        <f t="shared" si="27"/>
        <v/>
      </c>
      <c r="AB108" s="554" t="str">
        <f t="shared" si="27"/>
        <v/>
      </c>
      <c r="AC108" s="554" t="str">
        <f t="shared" si="27"/>
        <v/>
      </c>
      <c r="AD108" s="554" t="str">
        <f t="shared" si="27"/>
        <v/>
      </c>
      <c r="AE108" s="554" t="str">
        <f t="shared" si="27"/>
        <v/>
      </c>
      <c r="AF108" s="554" t="str">
        <f t="shared" si="27"/>
        <v/>
      </c>
      <c r="AG108" s="554" t="str">
        <f t="shared" si="27"/>
        <v/>
      </c>
      <c r="AH108" s="554" t="str">
        <f t="shared" si="27"/>
        <v/>
      </c>
      <c r="AI108" s="554" t="str">
        <f t="shared" si="27"/>
        <v/>
      </c>
      <c r="AJ108" s="554">
        <f t="shared" si="27"/>
        <v>1</v>
      </c>
      <c r="AK108" s="554">
        <f t="shared" si="27"/>
        <v>2</v>
      </c>
      <c r="AL108" s="554">
        <f t="shared" si="27"/>
        <v>2</v>
      </c>
      <c r="AM108" s="554">
        <f t="shared" si="27"/>
        <v>2</v>
      </c>
      <c r="AN108" s="554">
        <f t="shared" ref="AN108:AP127" si="29">IF(OR($B108="F&amp;F",$B108="CE",$H108=""),"",IF(TEXT(AN$8,"yyyymm")=TEXT($H108,"yyyymm"),1,IF(TEXT(AN$8,"yyyymm")&gt;TEXT($H108,"yyyymm"),2,IF(AN$8&lt;$H108,"",0))))</f>
        <v>2</v>
      </c>
      <c r="AO108" s="554">
        <f t="shared" si="29"/>
        <v>2</v>
      </c>
      <c r="AP108" s="554">
        <f t="shared" si="29"/>
        <v>2</v>
      </c>
      <c r="AQ108" s="429" t="str">
        <f t="shared" si="22"/>
        <v>Vendido</v>
      </c>
      <c r="AR108" s="447">
        <f>_xlfn.XLOOKUP(C108,'BOULEVARD 5'!B:B,'BOULEVARD 5'!AU:AU)</f>
        <v>0.59134413401716035</v>
      </c>
    </row>
    <row r="109" spans="1:44" s="429" customFormat="1" ht="13.9" customHeight="1" x14ac:dyDescent="0.25">
      <c r="A109" s="429" t="s">
        <v>388</v>
      </c>
      <c r="B109" s="678"/>
      <c r="C109" s="436">
        <v>612</v>
      </c>
      <c r="D109" s="436" t="s">
        <v>406</v>
      </c>
      <c r="E109" s="642" t="s">
        <v>336</v>
      </c>
      <c r="F109" s="436" t="str">
        <f>IF('BOULEVARD 5'!E107="","",'BOULEVARD 5'!E107)</f>
        <v>Antonio Rada</v>
      </c>
      <c r="G109" s="429" t="str">
        <f>IF('BOULEVARD 5'!F107="","",'BOULEVARD 5'!F107)</f>
        <v>Yonatan Morgan Acajabon</v>
      </c>
      <c r="H109" s="473">
        <f>IF('BOULEVARD 5'!G107="","",'BOULEVARD 5'!G107)</f>
        <v>45906</v>
      </c>
      <c r="I109" s="554" t="str">
        <f t="shared" si="28"/>
        <v/>
      </c>
      <c r="J109" s="554" t="str">
        <f t="shared" si="28"/>
        <v/>
      </c>
      <c r="K109" s="554" t="str">
        <f t="shared" si="28"/>
        <v/>
      </c>
      <c r="L109" s="554" t="str">
        <f t="shared" si="28"/>
        <v/>
      </c>
      <c r="M109" s="554" t="str">
        <f t="shared" si="28"/>
        <v/>
      </c>
      <c r="N109" s="554" t="str">
        <f t="shared" si="28"/>
        <v/>
      </c>
      <c r="O109" s="554" t="str">
        <f t="shared" si="28"/>
        <v/>
      </c>
      <c r="P109" s="554" t="str">
        <f t="shared" si="28"/>
        <v/>
      </c>
      <c r="Q109" s="554" t="str">
        <f t="shared" si="28"/>
        <v/>
      </c>
      <c r="R109" s="554" t="str">
        <f t="shared" si="28"/>
        <v/>
      </c>
      <c r="S109" s="554" t="str">
        <f t="shared" si="28"/>
        <v/>
      </c>
      <c r="T109" s="554" t="str">
        <f t="shared" si="28"/>
        <v/>
      </c>
      <c r="U109" s="554" t="str">
        <f t="shared" si="28"/>
        <v/>
      </c>
      <c r="V109" s="554" t="str">
        <f t="shared" si="28"/>
        <v/>
      </c>
      <c r="W109" s="554" t="str">
        <f t="shared" si="28"/>
        <v/>
      </c>
      <c r="X109" s="554" t="str">
        <f t="shared" si="27"/>
        <v/>
      </c>
      <c r="Y109" s="554" t="str">
        <f t="shared" si="27"/>
        <v/>
      </c>
      <c r="Z109" s="554" t="str">
        <f t="shared" si="27"/>
        <v/>
      </c>
      <c r="AA109" s="554" t="str">
        <f t="shared" si="27"/>
        <v/>
      </c>
      <c r="AB109" s="554" t="str">
        <f t="shared" si="27"/>
        <v/>
      </c>
      <c r="AC109" s="554" t="str">
        <f t="shared" si="27"/>
        <v/>
      </c>
      <c r="AD109" s="554" t="str">
        <f t="shared" si="27"/>
        <v/>
      </c>
      <c r="AE109" s="554" t="str">
        <f t="shared" si="27"/>
        <v/>
      </c>
      <c r="AF109" s="554" t="str">
        <f t="shared" si="27"/>
        <v/>
      </c>
      <c r="AG109" s="554" t="str">
        <f t="shared" si="27"/>
        <v/>
      </c>
      <c r="AH109" s="554" t="str">
        <f t="shared" si="27"/>
        <v/>
      </c>
      <c r="AI109" s="554" t="str">
        <f t="shared" si="27"/>
        <v/>
      </c>
      <c r="AJ109" s="554" t="str">
        <f t="shared" si="27"/>
        <v/>
      </c>
      <c r="AK109" s="554" t="str">
        <f t="shared" si="27"/>
        <v/>
      </c>
      <c r="AL109" s="554" t="str">
        <f t="shared" si="27"/>
        <v/>
      </c>
      <c r="AM109" s="554">
        <f t="shared" si="27"/>
        <v>1</v>
      </c>
      <c r="AN109" s="554">
        <f t="shared" si="29"/>
        <v>2</v>
      </c>
      <c r="AO109" s="554">
        <f t="shared" si="29"/>
        <v>2</v>
      </c>
      <c r="AP109" s="554">
        <f t="shared" si="29"/>
        <v>2</v>
      </c>
      <c r="AQ109" s="429" t="str">
        <f t="shared" si="22"/>
        <v>Vendido</v>
      </c>
      <c r="AR109" s="447">
        <f>_xlfn.XLOOKUP(C109,'BOULEVARD 5'!B:B,'BOULEVARD 5'!AU:AU)</f>
        <v>0.4358974358974359</v>
      </c>
    </row>
    <row r="110" spans="1:44" s="429" customFormat="1" ht="13.9" customHeight="1" x14ac:dyDescent="0.25">
      <c r="B110" s="678" t="str">
        <f>IF('B5-Status cobranza'!A110&gt;0,'B5-Status cobranza'!A110,"")</f>
        <v/>
      </c>
      <c r="C110" s="436">
        <v>613</v>
      </c>
      <c r="D110" s="436" t="s">
        <v>181</v>
      </c>
      <c r="E110" s="436"/>
      <c r="F110" s="436" t="str">
        <f>IF('BOULEVARD 5'!E108="","",'BOULEVARD 5'!E108)</f>
        <v>Antonio Rada</v>
      </c>
      <c r="G110" s="429" t="str">
        <f>IF('BOULEVARD 5'!F108="","",'BOULEVARD 5'!F108)</f>
        <v>Sergio Oswaldo Velasquez Moreno</v>
      </c>
      <c r="H110" s="473">
        <f>IF('BOULEVARD 5'!G108="","",'BOULEVARD 5'!G108)</f>
        <v>45126</v>
      </c>
      <c r="I110" s="554" t="str">
        <f t="shared" si="28"/>
        <v/>
      </c>
      <c r="J110" s="554" t="str">
        <f t="shared" si="28"/>
        <v/>
      </c>
      <c r="K110" s="554" t="str">
        <f t="shared" si="28"/>
        <v/>
      </c>
      <c r="L110" s="554" t="str">
        <f t="shared" si="28"/>
        <v/>
      </c>
      <c r="M110" s="554">
        <f t="shared" si="28"/>
        <v>1</v>
      </c>
      <c r="N110" s="554">
        <f t="shared" si="28"/>
        <v>2</v>
      </c>
      <c r="O110" s="554">
        <f t="shared" si="28"/>
        <v>2</v>
      </c>
      <c r="P110" s="554">
        <f t="shared" si="28"/>
        <v>2</v>
      </c>
      <c r="Q110" s="554">
        <f t="shared" si="28"/>
        <v>2</v>
      </c>
      <c r="R110" s="554">
        <f t="shared" si="28"/>
        <v>2</v>
      </c>
      <c r="S110" s="554">
        <f t="shared" si="28"/>
        <v>2</v>
      </c>
      <c r="T110" s="554">
        <f t="shared" si="28"/>
        <v>2</v>
      </c>
      <c r="U110" s="554">
        <f t="shared" si="28"/>
        <v>2</v>
      </c>
      <c r="V110" s="554">
        <f t="shared" si="28"/>
        <v>2</v>
      </c>
      <c r="W110" s="554">
        <f t="shared" si="28"/>
        <v>2</v>
      </c>
      <c r="X110" s="554">
        <f t="shared" si="27"/>
        <v>2</v>
      </c>
      <c r="Y110" s="554">
        <f t="shared" si="27"/>
        <v>2</v>
      </c>
      <c r="Z110" s="554">
        <f t="shared" si="27"/>
        <v>2</v>
      </c>
      <c r="AA110" s="554">
        <f t="shared" si="27"/>
        <v>2</v>
      </c>
      <c r="AB110" s="554">
        <f t="shared" si="27"/>
        <v>2</v>
      </c>
      <c r="AC110" s="554">
        <f t="shared" si="27"/>
        <v>2</v>
      </c>
      <c r="AD110" s="554">
        <f t="shared" si="27"/>
        <v>2</v>
      </c>
      <c r="AE110" s="554">
        <f t="shared" si="27"/>
        <v>2</v>
      </c>
      <c r="AF110" s="554">
        <f t="shared" si="27"/>
        <v>2</v>
      </c>
      <c r="AG110" s="554">
        <f t="shared" si="27"/>
        <v>2</v>
      </c>
      <c r="AH110" s="554">
        <f t="shared" si="27"/>
        <v>2</v>
      </c>
      <c r="AI110" s="554">
        <f t="shared" si="27"/>
        <v>2</v>
      </c>
      <c r="AJ110" s="554">
        <f t="shared" si="27"/>
        <v>2</v>
      </c>
      <c r="AK110" s="554">
        <f t="shared" si="27"/>
        <v>2</v>
      </c>
      <c r="AL110" s="554">
        <f t="shared" si="27"/>
        <v>2</v>
      </c>
      <c r="AM110" s="554">
        <f t="shared" si="27"/>
        <v>2</v>
      </c>
      <c r="AN110" s="554">
        <f t="shared" si="29"/>
        <v>2</v>
      </c>
      <c r="AO110" s="554">
        <f t="shared" si="29"/>
        <v>2</v>
      </c>
      <c r="AP110" s="554">
        <f t="shared" si="29"/>
        <v>2</v>
      </c>
      <c r="AQ110" s="429" t="str">
        <f t="shared" si="22"/>
        <v>Vendido</v>
      </c>
      <c r="AR110" s="447">
        <f>_xlfn.XLOOKUP(C110,'BOULEVARD 5'!B:B,'BOULEVARD 5'!AU:AU)</f>
        <v>1.0001453488372094</v>
      </c>
    </row>
    <row r="111" spans="1:44" s="429" customFormat="1" ht="13.9" customHeight="1" x14ac:dyDescent="0.25">
      <c r="B111" s="678" t="str">
        <f>IF('B5-Status cobranza'!A111&gt;0,'B5-Status cobranza'!A111,"")</f>
        <v/>
      </c>
      <c r="C111" s="436">
        <v>614</v>
      </c>
      <c r="D111" s="436" t="s">
        <v>476</v>
      </c>
      <c r="E111" s="436"/>
      <c r="F111" s="436" t="str">
        <f>IF('BOULEVARD 5'!E109="","",'BOULEVARD 5'!E109)</f>
        <v>**</v>
      </c>
      <c r="G111" s="429" t="str">
        <f>IF('BOULEVARD 5'!F109="","",'BOULEVARD 5'!F109)</f>
        <v>Thalia  Raquel Carredano</v>
      </c>
      <c r="H111" s="473">
        <f>IF('BOULEVARD 5'!G109="","",'BOULEVARD 5'!G109)</f>
        <v>45877</v>
      </c>
      <c r="I111" s="554" t="str">
        <f t="shared" si="28"/>
        <v/>
      </c>
      <c r="J111" s="554" t="str">
        <f t="shared" si="28"/>
        <v/>
      </c>
      <c r="K111" s="554" t="str">
        <f t="shared" si="28"/>
        <v/>
      </c>
      <c r="L111" s="554" t="str">
        <f t="shared" si="28"/>
        <v/>
      </c>
      <c r="M111" s="554" t="str">
        <f t="shared" si="28"/>
        <v/>
      </c>
      <c r="N111" s="554" t="str">
        <f t="shared" si="28"/>
        <v/>
      </c>
      <c r="O111" s="554" t="str">
        <f t="shared" si="28"/>
        <v/>
      </c>
      <c r="P111" s="554" t="str">
        <f t="shared" si="28"/>
        <v/>
      </c>
      <c r="Q111" s="554" t="str">
        <f t="shared" si="28"/>
        <v/>
      </c>
      <c r="R111" s="554" t="str">
        <f t="shared" si="28"/>
        <v/>
      </c>
      <c r="S111" s="554" t="str">
        <f t="shared" si="28"/>
        <v/>
      </c>
      <c r="T111" s="554" t="str">
        <f t="shared" si="28"/>
        <v/>
      </c>
      <c r="U111" s="554" t="str">
        <f t="shared" si="28"/>
        <v/>
      </c>
      <c r="V111" s="554" t="str">
        <f t="shared" si="28"/>
        <v/>
      </c>
      <c r="W111" s="554" t="str">
        <f t="shared" si="28"/>
        <v/>
      </c>
      <c r="X111" s="554" t="str">
        <f t="shared" si="27"/>
        <v/>
      </c>
      <c r="Y111" s="554" t="str">
        <f t="shared" si="27"/>
        <v/>
      </c>
      <c r="Z111" s="554" t="str">
        <f t="shared" si="27"/>
        <v/>
      </c>
      <c r="AA111" s="554" t="str">
        <f t="shared" si="27"/>
        <v/>
      </c>
      <c r="AB111" s="554" t="str">
        <f t="shared" si="27"/>
        <v/>
      </c>
      <c r="AC111" s="554" t="str">
        <f t="shared" si="27"/>
        <v/>
      </c>
      <c r="AD111" s="554" t="str">
        <f t="shared" si="27"/>
        <v/>
      </c>
      <c r="AE111" s="554" t="str">
        <f t="shared" si="27"/>
        <v/>
      </c>
      <c r="AF111" s="554" t="str">
        <f t="shared" si="27"/>
        <v/>
      </c>
      <c r="AG111" s="554" t="str">
        <f t="shared" si="27"/>
        <v/>
      </c>
      <c r="AH111" s="554" t="str">
        <f t="shared" si="27"/>
        <v/>
      </c>
      <c r="AI111" s="554" t="str">
        <f t="shared" si="27"/>
        <v/>
      </c>
      <c r="AJ111" s="554" t="str">
        <f t="shared" si="27"/>
        <v/>
      </c>
      <c r="AK111" s="554" t="str">
        <f t="shared" si="27"/>
        <v/>
      </c>
      <c r="AL111" s="554">
        <f t="shared" si="27"/>
        <v>1</v>
      </c>
      <c r="AM111" s="554">
        <f t="shared" si="27"/>
        <v>2</v>
      </c>
      <c r="AN111" s="554">
        <f t="shared" si="29"/>
        <v>2</v>
      </c>
      <c r="AO111" s="554">
        <f t="shared" si="29"/>
        <v>2</v>
      </c>
      <c r="AP111" s="554">
        <f t="shared" si="29"/>
        <v>2</v>
      </c>
      <c r="AQ111" s="429" t="str">
        <f t="shared" si="22"/>
        <v>Vendido</v>
      </c>
      <c r="AR111" s="447">
        <f>_xlfn.XLOOKUP(C111,'BOULEVARD 5'!B:B,'BOULEVARD 5'!AU:AU)</f>
        <v>0.73107899234012086</v>
      </c>
    </row>
    <row r="112" spans="1:44" s="429" customFormat="1" ht="13.9" customHeight="1" x14ac:dyDescent="0.25">
      <c r="B112" s="678" t="str">
        <f>IF('B5-Status cobranza'!A112&gt;0,'B5-Status cobranza'!A112,"")</f>
        <v>F&amp;F</v>
      </c>
      <c r="C112" s="475">
        <v>615</v>
      </c>
      <c r="D112" s="475" t="s">
        <v>189</v>
      </c>
      <c r="E112" s="475"/>
      <c r="F112" s="475" t="str">
        <f>IF('BOULEVARD 5'!E110="","",'BOULEVARD 5'!E110)</f>
        <v>Antonio Rada</v>
      </c>
      <c r="G112" s="476" t="str">
        <f>IF('BOULEVARD 5'!F110="","",'BOULEVARD 5'!F110)</f>
        <v>Maria De Los Angeles España Cordon</v>
      </c>
      <c r="H112" s="473">
        <f>IF('BOULEVARD 5'!G110="","",'BOULEVARD 5'!G110)</f>
        <v>45040</v>
      </c>
      <c r="I112" s="554" t="str">
        <f t="shared" si="28"/>
        <v/>
      </c>
      <c r="J112" s="554" t="str">
        <f t="shared" si="28"/>
        <v/>
      </c>
      <c r="K112" s="554" t="str">
        <f t="shared" si="28"/>
        <v/>
      </c>
      <c r="L112" s="554" t="str">
        <f t="shared" si="28"/>
        <v/>
      </c>
      <c r="M112" s="554" t="str">
        <f t="shared" si="28"/>
        <v/>
      </c>
      <c r="N112" s="554" t="str">
        <f t="shared" si="28"/>
        <v/>
      </c>
      <c r="O112" s="554" t="str">
        <f t="shared" si="28"/>
        <v/>
      </c>
      <c r="P112" s="554" t="str">
        <f t="shared" si="28"/>
        <v/>
      </c>
      <c r="Q112" s="554" t="str">
        <f t="shared" si="28"/>
        <v/>
      </c>
      <c r="R112" s="554" t="str">
        <f t="shared" si="28"/>
        <v/>
      </c>
      <c r="S112" s="554" t="str">
        <f t="shared" si="28"/>
        <v/>
      </c>
      <c r="T112" s="554" t="str">
        <f t="shared" si="28"/>
        <v/>
      </c>
      <c r="U112" s="554" t="str">
        <f t="shared" si="28"/>
        <v/>
      </c>
      <c r="V112" s="554" t="str">
        <f t="shared" si="28"/>
        <v/>
      </c>
      <c r="W112" s="554" t="str">
        <f t="shared" si="28"/>
        <v/>
      </c>
      <c r="X112" s="554" t="str">
        <f t="shared" si="27"/>
        <v/>
      </c>
      <c r="Y112" s="554" t="str">
        <f t="shared" si="27"/>
        <v/>
      </c>
      <c r="Z112" s="554" t="str">
        <f t="shared" si="27"/>
        <v/>
      </c>
      <c r="AA112" s="554" t="str">
        <f t="shared" si="27"/>
        <v/>
      </c>
      <c r="AB112" s="554" t="str">
        <f t="shared" si="27"/>
        <v/>
      </c>
      <c r="AC112" s="554" t="str">
        <f t="shared" si="27"/>
        <v/>
      </c>
      <c r="AD112" s="554" t="str">
        <f t="shared" si="27"/>
        <v/>
      </c>
      <c r="AE112" s="554" t="str">
        <f t="shared" si="27"/>
        <v/>
      </c>
      <c r="AF112" s="554" t="str">
        <f t="shared" si="27"/>
        <v/>
      </c>
      <c r="AG112" s="554" t="str">
        <f t="shared" si="27"/>
        <v/>
      </c>
      <c r="AH112" s="554" t="str">
        <f t="shared" si="27"/>
        <v/>
      </c>
      <c r="AI112" s="554" t="str">
        <f t="shared" si="27"/>
        <v/>
      </c>
      <c r="AJ112" s="554" t="str">
        <f t="shared" si="27"/>
        <v/>
      </c>
      <c r="AK112" s="554" t="str">
        <f t="shared" si="27"/>
        <v/>
      </c>
      <c r="AL112" s="554" t="str">
        <f t="shared" si="27"/>
        <v/>
      </c>
      <c r="AM112" s="554" t="str">
        <f t="shared" si="27"/>
        <v/>
      </c>
      <c r="AN112" s="554" t="str">
        <f t="shared" si="29"/>
        <v/>
      </c>
      <c r="AO112" s="554" t="str">
        <f t="shared" si="29"/>
        <v/>
      </c>
      <c r="AP112" s="554" t="str">
        <f t="shared" si="29"/>
        <v/>
      </c>
      <c r="AQ112" s="429" t="str">
        <f t="shared" si="22"/>
        <v>Vendido</v>
      </c>
      <c r="AR112" s="447">
        <f>_xlfn.XLOOKUP(C112,'BOULEVARD 5'!B:B,'BOULEVARD 5'!AU:AU)</f>
        <v>0.22857139125365039</v>
      </c>
    </row>
    <row r="113" spans="1:44" s="429" customFormat="1" ht="13.9" customHeight="1" x14ac:dyDescent="0.25">
      <c r="B113" s="678" t="str">
        <f>IF('B5-Status cobranza'!A113&gt;0,'B5-Status cobranza'!A113,"")</f>
        <v/>
      </c>
      <c r="C113" s="436">
        <v>616</v>
      </c>
      <c r="D113" s="436" t="s">
        <v>400</v>
      </c>
      <c r="E113" s="436"/>
      <c r="F113" s="436" t="str">
        <f>IF('BOULEVARD 5'!E111="","",'BOULEVARD 5'!E111)</f>
        <v>Antonio Rada</v>
      </c>
      <c r="G113" s="429" t="str">
        <f>IF('BOULEVARD 5'!F111="","",'BOULEVARD 5'!F111)</f>
        <v>Edwin Estuardo Acevedo Salguero</v>
      </c>
      <c r="H113" s="473">
        <f>IF('BOULEVARD 5'!G111="","",'BOULEVARD 5'!G111)</f>
        <v>45359</v>
      </c>
      <c r="I113" s="554" t="str">
        <f t="shared" si="28"/>
        <v/>
      </c>
      <c r="J113" s="554" t="str">
        <f t="shared" si="28"/>
        <v/>
      </c>
      <c r="K113" s="554" t="str">
        <f t="shared" si="28"/>
        <v/>
      </c>
      <c r="L113" s="554" t="str">
        <f t="shared" si="28"/>
        <v/>
      </c>
      <c r="M113" s="554" t="str">
        <f t="shared" si="28"/>
        <v/>
      </c>
      <c r="N113" s="554" t="str">
        <f t="shared" si="28"/>
        <v/>
      </c>
      <c r="O113" s="554" t="str">
        <f t="shared" si="28"/>
        <v/>
      </c>
      <c r="P113" s="554" t="str">
        <f t="shared" si="28"/>
        <v/>
      </c>
      <c r="Q113" s="554" t="str">
        <f t="shared" si="28"/>
        <v/>
      </c>
      <c r="R113" s="554" t="str">
        <f t="shared" si="28"/>
        <v/>
      </c>
      <c r="S113" s="554" t="str">
        <f t="shared" si="28"/>
        <v/>
      </c>
      <c r="T113" s="554" t="str">
        <f t="shared" si="28"/>
        <v/>
      </c>
      <c r="U113" s="554">
        <f t="shared" si="28"/>
        <v>1</v>
      </c>
      <c r="V113" s="554">
        <f t="shared" si="28"/>
        <v>2</v>
      </c>
      <c r="W113" s="554">
        <f t="shared" si="28"/>
        <v>2</v>
      </c>
      <c r="X113" s="554">
        <f t="shared" si="27"/>
        <v>2</v>
      </c>
      <c r="Y113" s="554">
        <f t="shared" si="27"/>
        <v>2</v>
      </c>
      <c r="Z113" s="554">
        <f t="shared" si="27"/>
        <v>2</v>
      </c>
      <c r="AA113" s="554">
        <f t="shared" si="27"/>
        <v>2</v>
      </c>
      <c r="AB113" s="554">
        <f t="shared" si="27"/>
        <v>2</v>
      </c>
      <c r="AC113" s="554">
        <f t="shared" si="27"/>
        <v>2</v>
      </c>
      <c r="AD113" s="554">
        <f t="shared" si="27"/>
        <v>2</v>
      </c>
      <c r="AE113" s="554">
        <f t="shared" si="27"/>
        <v>2</v>
      </c>
      <c r="AF113" s="554">
        <f t="shared" si="27"/>
        <v>2</v>
      </c>
      <c r="AG113" s="554">
        <f t="shared" si="27"/>
        <v>2</v>
      </c>
      <c r="AH113" s="554">
        <f t="shared" si="27"/>
        <v>2</v>
      </c>
      <c r="AI113" s="554">
        <f t="shared" si="27"/>
        <v>2</v>
      </c>
      <c r="AJ113" s="554">
        <f t="shared" si="27"/>
        <v>2</v>
      </c>
      <c r="AK113" s="554">
        <f t="shared" si="27"/>
        <v>2</v>
      </c>
      <c r="AL113" s="554">
        <f t="shared" si="27"/>
        <v>2</v>
      </c>
      <c r="AM113" s="554">
        <f t="shared" si="27"/>
        <v>2</v>
      </c>
      <c r="AN113" s="554">
        <f t="shared" si="29"/>
        <v>2</v>
      </c>
      <c r="AO113" s="554">
        <f t="shared" si="29"/>
        <v>2</v>
      </c>
      <c r="AP113" s="554">
        <f t="shared" si="29"/>
        <v>2</v>
      </c>
      <c r="AQ113" s="429" t="str">
        <f t="shared" si="22"/>
        <v>Vendido</v>
      </c>
      <c r="AR113" s="447">
        <f>_xlfn.XLOOKUP(C113,'BOULEVARD 5'!B:B,'BOULEVARD 5'!AU:AU)</f>
        <v>1.2527716186252771</v>
      </c>
    </row>
    <row r="114" spans="1:44" s="429" customFormat="1" ht="13.9" customHeight="1" x14ac:dyDescent="0.25">
      <c r="A114" s="429" t="s">
        <v>388</v>
      </c>
      <c r="B114" s="678"/>
      <c r="C114" s="436">
        <v>617</v>
      </c>
      <c r="D114" s="436" t="s">
        <v>175</v>
      </c>
      <c r="E114" s="641" t="s">
        <v>501</v>
      </c>
      <c r="F114" s="436" t="str">
        <f>IF('BOULEVARD 5'!E112="","",'BOULEVARD 5'!E112)</f>
        <v>Antonio Rada</v>
      </c>
      <c r="G114" s="429" t="str">
        <f>IF('BOULEVARD 5'!F112="","",'BOULEVARD 5'!F112)</f>
        <v>Hans Christian Beeck Cazali</v>
      </c>
      <c r="H114" s="473">
        <f>IF('BOULEVARD 5'!G112="","",'BOULEVARD 5'!G112)</f>
        <v>45419</v>
      </c>
      <c r="I114" s="554" t="str">
        <f t="shared" si="28"/>
        <v/>
      </c>
      <c r="J114" s="554" t="str">
        <f t="shared" si="28"/>
        <v/>
      </c>
      <c r="K114" s="554" t="str">
        <f t="shared" si="28"/>
        <v/>
      </c>
      <c r="L114" s="554" t="str">
        <f t="shared" si="28"/>
        <v/>
      </c>
      <c r="M114" s="554" t="str">
        <f t="shared" si="28"/>
        <v/>
      </c>
      <c r="N114" s="554" t="str">
        <f t="shared" si="28"/>
        <v/>
      </c>
      <c r="O114" s="554" t="str">
        <f t="shared" si="28"/>
        <v/>
      </c>
      <c r="P114" s="554" t="str">
        <f t="shared" si="28"/>
        <v/>
      </c>
      <c r="Q114" s="554" t="str">
        <f t="shared" si="28"/>
        <v/>
      </c>
      <c r="R114" s="554" t="str">
        <f t="shared" si="28"/>
        <v/>
      </c>
      <c r="S114" s="554" t="str">
        <f t="shared" si="28"/>
        <v/>
      </c>
      <c r="T114" s="554" t="str">
        <f t="shared" si="28"/>
        <v/>
      </c>
      <c r="U114" s="554" t="str">
        <f t="shared" si="28"/>
        <v/>
      </c>
      <c r="V114" s="554" t="str">
        <f t="shared" si="28"/>
        <v/>
      </c>
      <c r="W114" s="554">
        <f t="shared" si="28"/>
        <v>1</v>
      </c>
      <c r="X114" s="554">
        <f t="shared" si="27"/>
        <v>2</v>
      </c>
      <c r="Y114" s="554">
        <f t="shared" si="27"/>
        <v>2</v>
      </c>
      <c r="Z114" s="554">
        <f t="shared" si="27"/>
        <v>2</v>
      </c>
      <c r="AA114" s="554">
        <f t="shared" si="27"/>
        <v>2</v>
      </c>
      <c r="AB114" s="554">
        <f t="shared" si="27"/>
        <v>2</v>
      </c>
      <c r="AC114" s="554">
        <f t="shared" si="27"/>
        <v>2</v>
      </c>
      <c r="AD114" s="554">
        <f t="shared" si="27"/>
        <v>2</v>
      </c>
      <c r="AE114" s="554">
        <f t="shared" si="27"/>
        <v>2</v>
      </c>
      <c r="AF114" s="554">
        <f t="shared" si="27"/>
        <v>2</v>
      </c>
      <c r="AG114" s="554">
        <f t="shared" si="27"/>
        <v>2</v>
      </c>
      <c r="AH114" s="554">
        <f t="shared" si="27"/>
        <v>2</v>
      </c>
      <c r="AI114" s="554">
        <f t="shared" si="27"/>
        <v>2</v>
      </c>
      <c r="AJ114" s="554">
        <f t="shared" si="27"/>
        <v>2</v>
      </c>
      <c r="AK114" s="554">
        <f t="shared" si="27"/>
        <v>2</v>
      </c>
      <c r="AL114" s="554">
        <f t="shared" si="27"/>
        <v>2</v>
      </c>
      <c r="AM114" s="554">
        <f t="shared" si="27"/>
        <v>2</v>
      </c>
      <c r="AN114" s="554">
        <f t="shared" si="29"/>
        <v>2</v>
      </c>
      <c r="AO114" s="554">
        <f t="shared" si="29"/>
        <v>2</v>
      </c>
      <c r="AP114" s="554">
        <f t="shared" si="29"/>
        <v>2</v>
      </c>
      <c r="AQ114" s="429" t="str">
        <f t="shared" si="22"/>
        <v>Vendido</v>
      </c>
      <c r="AR114" s="447">
        <f>_xlfn.XLOOKUP(C114,'BOULEVARD 5'!B:B,'BOULEVARD 5'!AU:AU)</f>
        <v>0.72972972972972971</v>
      </c>
    </row>
    <row r="115" spans="1:44" s="429" customFormat="1" ht="13.9" customHeight="1" x14ac:dyDescent="0.25">
      <c r="B115" s="678" t="str">
        <f>IF('B5-Status cobranza'!A115&gt;0,'B5-Status cobranza'!A115,"")</f>
        <v/>
      </c>
      <c r="C115" s="436">
        <v>618</v>
      </c>
      <c r="D115" s="436" t="s">
        <v>456</v>
      </c>
      <c r="E115" s="436"/>
      <c r="F115" s="436" t="str">
        <f>IF('BOULEVARD 5'!E113="","",'BOULEVARD 5'!E113)</f>
        <v>Antonio Rada</v>
      </c>
      <c r="G115" s="429" t="str">
        <f>IF('BOULEVARD 5'!F113="","",'BOULEVARD 5'!F113)</f>
        <v>Sergio Adolfo García Velásquez</v>
      </c>
      <c r="H115" s="473">
        <f>IF('BOULEVARD 5'!G113="","",'BOULEVARD 5'!G113)</f>
        <v>45772</v>
      </c>
      <c r="I115" s="554" t="str">
        <f t="shared" si="28"/>
        <v/>
      </c>
      <c r="J115" s="554" t="str">
        <f t="shared" si="28"/>
        <v/>
      </c>
      <c r="K115" s="554" t="str">
        <f t="shared" si="28"/>
        <v/>
      </c>
      <c r="L115" s="554" t="str">
        <f t="shared" si="28"/>
        <v/>
      </c>
      <c r="M115" s="554" t="str">
        <f t="shared" si="28"/>
        <v/>
      </c>
      <c r="N115" s="554" t="str">
        <f t="shared" si="28"/>
        <v/>
      </c>
      <c r="O115" s="554" t="str">
        <f t="shared" si="28"/>
        <v/>
      </c>
      <c r="P115" s="554" t="str">
        <f t="shared" si="28"/>
        <v/>
      </c>
      <c r="Q115" s="554" t="str">
        <f t="shared" si="28"/>
        <v/>
      </c>
      <c r="R115" s="554" t="str">
        <f t="shared" si="28"/>
        <v/>
      </c>
      <c r="S115" s="554" t="str">
        <f t="shared" si="28"/>
        <v/>
      </c>
      <c r="T115" s="554" t="str">
        <f t="shared" si="28"/>
        <v/>
      </c>
      <c r="U115" s="554" t="str">
        <f t="shared" si="28"/>
        <v/>
      </c>
      <c r="V115" s="554" t="str">
        <f t="shared" si="28"/>
        <v/>
      </c>
      <c r="W115" s="554" t="str">
        <f t="shared" si="28"/>
        <v/>
      </c>
      <c r="X115" s="554" t="str">
        <f t="shared" si="27"/>
        <v/>
      </c>
      <c r="Y115" s="554" t="str">
        <f t="shared" si="27"/>
        <v/>
      </c>
      <c r="Z115" s="554" t="str">
        <f t="shared" si="27"/>
        <v/>
      </c>
      <c r="AA115" s="554" t="str">
        <f t="shared" si="27"/>
        <v/>
      </c>
      <c r="AB115" s="554" t="str">
        <f t="shared" si="27"/>
        <v/>
      </c>
      <c r="AC115" s="554" t="str">
        <f t="shared" si="27"/>
        <v/>
      </c>
      <c r="AD115" s="554" t="str">
        <f t="shared" si="27"/>
        <v/>
      </c>
      <c r="AE115" s="554" t="str">
        <f t="shared" si="27"/>
        <v/>
      </c>
      <c r="AF115" s="554" t="str">
        <f t="shared" si="27"/>
        <v/>
      </c>
      <c r="AG115" s="554" t="str">
        <f t="shared" si="27"/>
        <v/>
      </c>
      <c r="AH115" s="554">
        <f t="shared" si="27"/>
        <v>1</v>
      </c>
      <c r="AI115" s="554">
        <f t="shared" si="27"/>
        <v>2</v>
      </c>
      <c r="AJ115" s="554">
        <f t="shared" si="27"/>
        <v>2</v>
      </c>
      <c r="AK115" s="554">
        <f t="shared" si="27"/>
        <v>2</v>
      </c>
      <c r="AL115" s="554">
        <f t="shared" si="27"/>
        <v>2</v>
      </c>
      <c r="AM115" s="554">
        <f t="shared" si="27"/>
        <v>2</v>
      </c>
      <c r="AN115" s="554">
        <f t="shared" si="29"/>
        <v>2</v>
      </c>
      <c r="AO115" s="554">
        <f t="shared" si="29"/>
        <v>2</v>
      </c>
      <c r="AP115" s="554">
        <f t="shared" si="29"/>
        <v>2</v>
      </c>
      <c r="AQ115" s="429" t="str">
        <f t="shared" si="22"/>
        <v>Vendido</v>
      </c>
      <c r="AR115" s="447">
        <f>_xlfn.XLOOKUP(C115,'BOULEVARD 5'!B:B,'BOULEVARD 5'!AU:AU)</f>
        <v>0.74737890610034863</v>
      </c>
    </row>
    <row r="116" spans="1:44" s="429" customFormat="1" ht="13.9" customHeight="1" x14ac:dyDescent="0.25">
      <c r="B116" s="678" t="str">
        <f>IF('B5-Status cobranza'!A116&gt;0,'B5-Status cobranza'!A116,"")</f>
        <v/>
      </c>
      <c r="C116" s="436">
        <v>619</v>
      </c>
      <c r="D116" s="436" t="s">
        <v>134</v>
      </c>
      <c r="E116" s="436"/>
      <c r="F116" s="436" t="str">
        <f>IF('BOULEVARD 5'!E114="","",'BOULEVARD 5'!E114)</f>
        <v>Sofia Paredes</v>
      </c>
      <c r="G116" s="429" t="str">
        <f>IF('BOULEVARD 5'!F114="","",'BOULEVARD 5'!F114)</f>
        <v>José Estuardo Ordoñez Cancinos</v>
      </c>
      <c r="H116" s="473">
        <f>IF('BOULEVARD 5'!G114="","",'BOULEVARD 5'!G114)</f>
        <v>45724</v>
      </c>
      <c r="I116" s="554" t="str">
        <f t="shared" si="28"/>
        <v/>
      </c>
      <c r="J116" s="554" t="str">
        <f t="shared" si="28"/>
        <v/>
      </c>
      <c r="K116" s="554" t="str">
        <f t="shared" si="28"/>
        <v/>
      </c>
      <c r="L116" s="554" t="str">
        <f t="shared" si="28"/>
        <v/>
      </c>
      <c r="M116" s="554" t="str">
        <f t="shared" si="28"/>
        <v/>
      </c>
      <c r="N116" s="554" t="str">
        <f t="shared" si="28"/>
        <v/>
      </c>
      <c r="O116" s="554" t="str">
        <f t="shared" si="28"/>
        <v/>
      </c>
      <c r="P116" s="554" t="str">
        <f t="shared" si="28"/>
        <v/>
      </c>
      <c r="Q116" s="554" t="str">
        <f t="shared" si="28"/>
        <v/>
      </c>
      <c r="R116" s="554" t="str">
        <f t="shared" si="28"/>
        <v/>
      </c>
      <c r="S116" s="554" t="str">
        <f t="shared" si="28"/>
        <v/>
      </c>
      <c r="T116" s="554" t="str">
        <f t="shared" si="28"/>
        <v/>
      </c>
      <c r="U116" s="554" t="str">
        <f t="shared" si="28"/>
        <v/>
      </c>
      <c r="V116" s="554" t="str">
        <f t="shared" si="28"/>
        <v/>
      </c>
      <c r="W116" s="554" t="str">
        <f t="shared" si="28"/>
        <v/>
      </c>
      <c r="X116" s="554" t="str">
        <f t="shared" si="27"/>
        <v/>
      </c>
      <c r="Y116" s="554" t="str">
        <f t="shared" si="27"/>
        <v/>
      </c>
      <c r="Z116" s="554" t="str">
        <f t="shared" si="27"/>
        <v/>
      </c>
      <c r="AA116" s="554" t="str">
        <f t="shared" si="27"/>
        <v/>
      </c>
      <c r="AB116" s="554" t="str">
        <f t="shared" si="27"/>
        <v/>
      </c>
      <c r="AC116" s="554" t="str">
        <f t="shared" si="27"/>
        <v/>
      </c>
      <c r="AD116" s="554" t="str">
        <f t="shared" si="27"/>
        <v/>
      </c>
      <c r="AE116" s="554" t="str">
        <f t="shared" si="27"/>
        <v/>
      </c>
      <c r="AF116" s="554" t="str">
        <f t="shared" si="27"/>
        <v/>
      </c>
      <c r="AG116" s="554">
        <f t="shared" si="27"/>
        <v>1</v>
      </c>
      <c r="AH116" s="554">
        <f t="shared" si="27"/>
        <v>2</v>
      </c>
      <c r="AI116" s="554">
        <f t="shared" si="27"/>
        <v>2</v>
      </c>
      <c r="AJ116" s="554">
        <f t="shared" si="27"/>
        <v>2</v>
      </c>
      <c r="AK116" s="554">
        <f t="shared" si="27"/>
        <v>2</v>
      </c>
      <c r="AL116" s="554">
        <f t="shared" si="27"/>
        <v>2</v>
      </c>
      <c r="AM116" s="554">
        <f t="shared" si="27"/>
        <v>2</v>
      </c>
      <c r="AN116" s="554">
        <f t="shared" si="29"/>
        <v>2</v>
      </c>
      <c r="AO116" s="554">
        <f t="shared" si="29"/>
        <v>2</v>
      </c>
      <c r="AP116" s="554">
        <f t="shared" si="29"/>
        <v>2</v>
      </c>
      <c r="AQ116" s="429" t="str">
        <f t="shared" si="22"/>
        <v>Vendido</v>
      </c>
      <c r="AR116" s="447">
        <f>_xlfn.XLOOKUP(C116,'BOULEVARD 5'!B:B,'BOULEVARD 5'!AU:AU)</f>
        <v>0.59974065038134194</v>
      </c>
    </row>
    <row r="117" spans="1:44" s="429" customFormat="1" ht="13.9" customHeight="1" x14ac:dyDescent="0.25">
      <c r="B117" s="678" t="str">
        <f>IF('B5-Status cobranza'!A117&gt;0,'B5-Status cobranza'!A117,"")</f>
        <v/>
      </c>
      <c r="C117" s="436">
        <v>701</v>
      </c>
      <c r="D117" s="436" t="s">
        <v>456</v>
      </c>
      <c r="E117" s="436"/>
      <c r="F117" s="436" t="str">
        <f>IF('BOULEVARD 5'!E115="","",'BOULEVARD 5'!E115)</f>
        <v>Antonio Rada</v>
      </c>
      <c r="G117" s="429" t="str">
        <f>IF('BOULEVARD 5'!F115="","",'BOULEVARD 5'!F115)</f>
        <v>Luis Francisco Villatoro Quiroa</v>
      </c>
      <c r="H117" s="473">
        <f>IF('BOULEVARD 5'!G115="","",'BOULEVARD 5'!G115)</f>
        <v>45006</v>
      </c>
      <c r="I117" s="554">
        <f t="shared" si="28"/>
        <v>1</v>
      </c>
      <c r="J117" s="554">
        <f t="shared" si="28"/>
        <v>2</v>
      </c>
      <c r="K117" s="554">
        <f t="shared" si="28"/>
        <v>2</v>
      </c>
      <c r="L117" s="554">
        <f t="shared" si="28"/>
        <v>2</v>
      </c>
      <c r="M117" s="554">
        <f t="shared" si="28"/>
        <v>2</v>
      </c>
      <c r="N117" s="554">
        <f t="shared" si="28"/>
        <v>2</v>
      </c>
      <c r="O117" s="554">
        <f t="shared" si="28"/>
        <v>2</v>
      </c>
      <c r="P117" s="554">
        <f t="shared" si="28"/>
        <v>2</v>
      </c>
      <c r="Q117" s="554">
        <f t="shared" si="28"/>
        <v>2</v>
      </c>
      <c r="R117" s="554">
        <f t="shared" si="28"/>
        <v>2</v>
      </c>
      <c r="S117" s="554">
        <f t="shared" si="28"/>
        <v>2</v>
      </c>
      <c r="T117" s="554">
        <f t="shared" si="28"/>
        <v>2</v>
      </c>
      <c r="U117" s="554">
        <f t="shared" si="28"/>
        <v>2</v>
      </c>
      <c r="V117" s="554">
        <f t="shared" si="28"/>
        <v>2</v>
      </c>
      <c r="W117" s="554">
        <f t="shared" si="28"/>
        <v>2</v>
      </c>
      <c r="X117" s="554">
        <f t="shared" si="27"/>
        <v>2</v>
      </c>
      <c r="Y117" s="554">
        <f t="shared" si="27"/>
        <v>2</v>
      </c>
      <c r="Z117" s="554">
        <f t="shared" si="27"/>
        <v>2</v>
      </c>
      <c r="AA117" s="554">
        <f t="shared" si="27"/>
        <v>2</v>
      </c>
      <c r="AB117" s="554">
        <f t="shared" si="27"/>
        <v>2</v>
      </c>
      <c r="AC117" s="554">
        <f t="shared" si="27"/>
        <v>2</v>
      </c>
      <c r="AD117" s="554">
        <f t="shared" si="27"/>
        <v>2</v>
      </c>
      <c r="AE117" s="554">
        <f t="shared" si="27"/>
        <v>2</v>
      </c>
      <c r="AF117" s="554">
        <f t="shared" si="27"/>
        <v>2</v>
      </c>
      <c r="AG117" s="554">
        <f t="shared" si="27"/>
        <v>2</v>
      </c>
      <c r="AH117" s="554">
        <f t="shared" si="27"/>
        <v>2</v>
      </c>
      <c r="AI117" s="554">
        <f t="shared" si="27"/>
        <v>2</v>
      </c>
      <c r="AJ117" s="554">
        <f t="shared" si="27"/>
        <v>2</v>
      </c>
      <c r="AK117" s="554">
        <f t="shared" si="27"/>
        <v>2</v>
      </c>
      <c r="AL117" s="554">
        <f t="shared" si="27"/>
        <v>2</v>
      </c>
      <c r="AM117" s="554">
        <f t="shared" si="27"/>
        <v>2</v>
      </c>
      <c r="AN117" s="554">
        <f t="shared" si="29"/>
        <v>2</v>
      </c>
      <c r="AO117" s="554">
        <f t="shared" si="29"/>
        <v>2</v>
      </c>
      <c r="AP117" s="554">
        <f t="shared" si="29"/>
        <v>2</v>
      </c>
      <c r="AQ117" s="429" t="str">
        <f t="shared" si="22"/>
        <v>Vendido</v>
      </c>
      <c r="AR117" s="447">
        <f>_xlfn.XLOOKUP(C117,'BOULEVARD 5'!B:B,'BOULEVARD 5'!AU:AU)</f>
        <v>0.97276305828917486</v>
      </c>
    </row>
    <row r="118" spans="1:44" s="429" customFormat="1" ht="13.9" customHeight="1" x14ac:dyDescent="0.25">
      <c r="B118" s="678" t="str">
        <f>IF('B5-Status cobranza'!A118&gt;0,'B5-Status cobranza'!A118,"")</f>
        <v/>
      </c>
      <c r="C118" s="436">
        <v>702</v>
      </c>
      <c r="D118" s="436" t="s">
        <v>134</v>
      </c>
      <c r="E118" s="436"/>
      <c r="F118" s="436" t="str">
        <f>IF('BOULEVARD 5'!E116="","",'BOULEVARD 5'!E116)</f>
        <v>Antonio Rada</v>
      </c>
      <c r="G118" s="429" t="str">
        <f>IF('BOULEVARD 5'!F116="","",'BOULEVARD 5'!F116)</f>
        <v>Wilson Humberto Félix Reyna</v>
      </c>
      <c r="H118" s="473">
        <f>IF('BOULEVARD 5'!G116="","",'BOULEVARD 5'!G116)</f>
        <v>45030</v>
      </c>
      <c r="I118" s="554" t="str">
        <f t="shared" si="28"/>
        <v/>
      </c>
      <c r="J118" s="554">
        <f t="shared" si="28"/>
        <v>1</v>
      </c>
      <c r="K118" s="554">
        <f t="shared" si="28"/>
        <v>2</v>
      </c>
      <c r="L118" s="554">
        <f t="shared" si="28"/>
        <v>2</v>
      </c>
      <c r="M118" s="554">
        <f t="shared" si="28"/>
        <v>2</v>
      </c>
      <c r="N118" s="554">
        <f t="shared" si="28"/>
        <v>2</v>
      </c>
      <c r="O118" s="554">
        <f t="shared" si="28"/>
        <v>2</v>
      </c>
      <c r="P118" s="554">
        <f t="shared" si="28"/>
        <v>2</v>
      </c>
      <c r="Q118" s="554">
        <f t="shared" si="28"/>
        <v>2</v>
      </c>
      <c r="R118" s="554">
        <f t="shared" si="28"/>
        <v>2</v>
      </c>
      <c r="S118" s="554">
        <f t="shared" si="28"/>
        <v>2</v>
      </c>
      <c r="T118" s="554">
        <f t="shared" si="28"/>
        <v>2</v>
      </c>
      <c r="U118" s="554">
        <f t="shared" si="28"/>
        <v>2</v>
      </c>
      <c r="V118" s="554">
        <f t="shared" si="28"/>
        <v>2</v>
      </c>
      <c r="W118" s="554">
        <f t="shared" si="28"/>
        <v>2</v>
      </c>
      <c r="X118" s="554">
        <f t="shared" si="27"/>
        <v>2</v>
      </c>
      <c r="Y118" s="554">
        <f t="shared" si="27"/>
        <v>2</v>
      </c>
      <c r="Z118" s="554">
        <f t="shared" si="27"/>
        <v>2</v>
      </c>
      <c r="AA118" s="554">
        <f t="shared" si="27"/>
        <v>2</v>
      </c>
      <c r="AB118" s="554">
        <f t="shared" si="27"/>
        <v>2</v>
      </c>
      <c r="AC118" s="554">
        <f t="shared" si="27"/>
        <v>2</v>
      </c>
      <c r="AD118" s="554">
        <f t="shared" si="27"/>
        <v>2</v>
      </c>
      <c r="AE118" s="554">
        <f t="shared" si="27"/>
        <v>2</v>
      </c>
      <c r="AF118" s="554">
        <f t="shared" si="27"/>
        <v>2</v>
      </c>
      <c r="AG118" s="554">
        <f t="shared" si="27"/>
        <v>2</v>
      </c>
      <c r="AH118" s="554">
        <f t="shared" si="27"/>
        <v>2</v>
      </c>
      <c r="AI118" s="554">
        <f t="shared" si="27"/>
        <v>2</v>
      </c>
      <c r="AJ118" s="554">
        <f t="shared" si="27"/>
        <v>2</v>
      </c>
      <c r="AK118" s="554">
        <f t="shared" si="27"/>
        <v>2</v>
      </c>
      <c r="AL118" s="554">
        <f t="shared" si="27"/>
        <v>2</v>
      </c>
      <c r="AM118" s="554">
        <f t="shared" si="27"/>
        <v>2</v>
      </c>
      <c r="AN118" s="554">
        <f t="shared" si="29"/>
        <v>2</v>
      </c>
      <c r="AO118" s="554">
        <f t="shared" si="29"/>
        <v>2</v>
      </c>
      <c r="AP118" s="554">
        <f t="shared" si="29"/>
        <v>2</v>
      </c>
      <c r="AQ118" s="429" t="str">
        <f t="shared" si="22"/>
        <v>Vendido</v>
      </c>
      <c r="AR118" s="447">
        <f>_xlfn.XLOOKUP(C118,'BOULEVARD 5'!B:B,'BOULEVARD 5'!AU:AU)</f>
        <v>1</v>
      </c>
    </row>
    <row r="119" spans="1:44" s="429" customFormat="1" ht="13.9" customHeight="1" x14ac:dyDescent="0.25">
      <c r="A119" s="429" t="s">
        <v>388</v>
      </c>
      <c r="B119" s="678"/>
      <c r="C119" s="436">
        <v>703</v>
      </c>
      <c r="D119" s="436" t="s">
        <v>400</v>
      </c>
      <c r="E119" s="642" t="s">
        <v>336</v>
      </c>
      <c r="F119" s="436" t="str">
        <f>IF('BOULEVARD 5'!E117="","",'BOULEVARD 5'!E117)</f>
        <v>Antonio Rada</v>
      </c>
      <c r="G119" s="429" t="str">
        <f>IF('BOULEVARD 5'!F117="","",'BOULEVARD 5'!F117)</f>
        <v>Daniel Augusto Santos Aragon</v>
      </c>
      <c r="H119" s="473">
        <f>IF('BOULEVARD 5'!G117="","",'BOULEVARD 5'!G117)</f>
        <v>45358</v>
      </c>
      <c r="I119" s="554" t="str">
        <f t="shared" si="28"/>
        <v/>
      </c>
      <c r="J119" s="554" t="str">
        <f t="shared" si="28"/>
        <v/>
      </c>
      <c r="K119" s="554" t="str">
        <f t="shared" si="28"/>
        <v/>
      </c>
      <c r="L119" s="554" t="str">
        <f t="shared" si="28"/>
        <v/>
      </c>
      <c r="M119" s="554" t="str">
        <f t="shared" si="28"/>
        <v/>
      </c>
      <c r="N119" s="554" t="str">
        <f t="shared" si="28"/>
        <v/>
      </c>
      <c r="O119" s="554" t="str">
        <f t="shared" si="28"/>
        <v/>
      </c>
      <c r="P119" s="554" t="str">
        <f t="shared" si="28"/>
        <v/>
      </c>
      <c r="Q119" s="554" t="str">
        <f t="shared" si="28"/>
        <v/>
      </c>
      <c r="R119" s="554" t="str">
        <f t="shared" si="28"/>
        <v/>
      </c>
      <c r="S119" s="554" t="str">
        <f t="shared" si="28"/>
        <v/>
      </c>
      <c r="T119" s="554" t="str">
        <f t="shared" si="28"/>
        <v/>
      </c>
      <c r="U119" s="554">
        <f t="shared" si="28"/>
        <v>1</v>
      </c>
      <c r="V119" s="554">
        <f t="shared" si="28"/>
        <v>2</v>
      </c>
      <c r="W119" s="554">
        <f t="shared" si="28"/>
        <v>2</v>
      </c>
      <c r="X119" s="554">
        <f t="shared" si="27"/>
        <v>2</v>
      </c>
      <c r="Y119" s="554">
        <f t="shared" si="27"/>
        <v>2</v>
      </c>
      <c r="Z119" s="554">
        <f t="shared" si="27"/>
        <v>2</v>
      </c>
      <c r="AA119" s="554">
        <f t="shared" si="27"/>
        <v>2</v>
      </c>
      <c r="AB119" s="554">
        <f t="shared" si="27"/>
        <v>2</v>
      </c>
      <c r="AC119" s="554">
        <f t="shared" si="27"/>
        <v>2</v>
      </c>
      <c r="AD119" s="554">
        <f t="shared" si="27"/>
        <v>2</v>
      </c>
      <c r="AE119" s="554">
        <f t="shared" si="27"/>
        <v>2</v>
      </c>
      <c r="AF119" s="554">
        <f t="shared" si="27"/>
        <v>2</v>
      </c>
      <c r="AG119" s="554">
        <f t="shared" si="27"/>
        <v>2</v>
      </c>
      <c r="AH119" s="554">
        <f t="shared" si="27"/>
        <v>2</v>
      </c>
      <c r="AI119" s="554">
        <f t="shared" si="27"/>
        <v>2</v>
      </c>
      <c r="AJ119" s="554">
        <f t="shared" si="27"/>
        <v>2</v>
      </c>
      <c r="AK119" s="554">
        <f t="shared" si="27"/>
        <v>2</v>
      </c>
      <c r="AL119" s="554">
        <f t="shared" si="27"/>
        <v>2</v>
      </c>
      <c r="AM119" s="554">
        <f t="shared" si="27"/>
        <v>2</v>
      </c>
      <c r="AN119" s="554">
        <f t="shared" si="29"/>
        <v>2</v>
      </c>
      <c r="AO119" s="554">
        <f t="shared" si="29"/>
        <v>2</v>
      </c>
      <c r="AP119" s="554">
        <f t="shared" si="29"/>
        <v>2</v>
      </c>
      <c r="AQ119" s="429" t="str">
        <f t="shared" si="22"/>
        <v>Vendido</v>
      </c>
      <c r="AR119" s="447">
        <f>_xlfn.XLOOKUP(C119,'BOULEVARD 5'!B:B,'BOULEVARD 5'!AU:AU)</f>
        <v>0.88954545454545453</v>
      </c>
    </row>
    <row r="120" spans="1:44" s="429" customFormat="1" ht="13.9" customHeight="1" x14ac:dyDescent="0.25">
      <c r="B120" s="678" t="str">
        <f>IF('B5-Status cobranza'!A120&gt;0,'B5-Status cobranza'!A120,"")</f>
        <v/>
      </c>
      <c r="C120" s="436">
        <v>704</v>
      </c>
      <c r="D120" s="436" t="s">
        <v>175</v>
      </c>
      <c r="E120" s="436"/>
      <c r="F120" s="436" t="str">
        <f>IF('BOULEVARD 5'!E118="","",'BOULEVARD 5'!E118)</f>
        <v>Antonio Rada</v>
      </c>
      <c r="G120" s="429" t="str">
        <f>IF('BOULEVARD 5'!F118="","",'BOULEVARD 5'!F118)</f>
        <v>Dania Dulcidia Gutierrez Villeda</v>
      </c>
      <c r="H120" s="473">
        <f>IF('BOULEVARD 5'!G118="","",'BOULEVARD 5'!G118)</f>
        <v>45397</v>
      </c>
      <c r="I120" s="554" t="str">
        <f t="shared" si="28"/>
        <v/>
      </c>
      <c r="J120" s="554" t="str">
        <f t="shared" si="28"/>
        <v/>
      </c>
      <c r="K120" s="554" t="str">
        <f t="shared" si="28"/>
        <v/>
      </c>
      <c r="L120" s="554" t="str">
        <f t="shared" si="28"/>
        <v/>
      </c>
      <c r="M120" s="554" t="str">
        <f t="shared" si="28"/>
        <v/>
      </c>
      <c r="N120" s="554" t="str">
        <f t="shared" si="28"/>
        <v/>
      </c>
      <c r="O120" s="554" t="str">
        <f t="shared" si="28"/>
        <v/>
      </c>
      <c r="P120" s="554" t="str">
        <f t="shared" si="28"/>
        <v/>
      </c>
      <c r="Q120" s="554" t="str">
        <f t="shared" si="28"/>
        <v/>
      </c>
      <c r="R120" s="554" t="str">
        <f t="shared" si="28"/>
        <v/>
      </c>
      <c r="S120" s="554" t="str">
        <f t="shared" si="28"/>
        <v/>
      </c>
      <c r="T120" s="554" t="str">
        <f t="shared" si="28"/>
        <v/>
      </c>
      <c r="U120" s="554" t="str">
        <f t="shared" si="28"/>
        <v/>
      </c>
      <c r="V120" s="554">
        <f t="shared" si="28"/>
        <v>1</v>
      </c>
      <c r="W120" s="554">
        <f t="shared" si="28"/>
        <v>2</v>
      </c>
      <c r="X120" s="554">
        <f t="shared" si="27"/>
        <v>2</v>
      </c>
      <c r="Y120" s="554">
        <f t="shared" si="27"/>
        <v>2</v>
      </c>
      <c r="Z120" s="554">
        <f t="shared" si="27"/>
        <v>2</v>
      </c>
      <c r="AA120" s="554">
        <f t="shared" si="27"/>
        <v>2</v>
      </c>
      <c r="AB120" s="554">
        <f t="shared" si="27"/>
        <v>2</v>
      </c>
      <c r="AC120" s="554">
        <f t="shared" si="27"/>
        <v>2</v>
      </c>
      <c r="AD120" s="554">
        <f t="shared" si="27"/>
        <v>2</v>
      </c>
      <c r="AE120" s="554">
        <f t="shared" si="27"/>
        <v>2</v>
      </c>
      <c r="AF120" s="554">
        <f t="shared" si="27"/>
        <v>2</v>
      </c>
      <c r="AG120" s="554">
        <f t="shared" si="27"/>
        <v>2</v>
      </c>
      <c r="AH120" s="554">
        <f t="shared" si="27"/>
        <v>2</v>
      </c>
      <c r="AI120" s="554">
        <f t="shared" si="27"/>
        <v>2</v>
      </c>
      <c r="AJ120" s="554">
        <f t="shared" si="27"/>
        <v>2</v>
      </c>
      <c r="AK120" s="554">
        <f t="shared" si="27"/>
        <v>2</v>
      </c>
      <c r="AL120" s="554">
        <f t="shared" si="27"/>
        <v>2</v>
      </c>
      <c r="AM120" s="554">
        <f t="shared" si="27"/>
        <v>2</v>
      </c>
      <c r="AN120" s="554">
        <f t="shared" si="29"/>
        <v>2</v>
      </c>
      <c r="AO120" s="554">
        <f t="shared" si="29"/>
        <v>2</v>
      </c>
      <c r="AP120" s="554">
        <f t="shared" si="29"/>
        <v>2</v>
      </c>
      <c r="AQ120" s="429" t="str">
        <f t="shared" si="22"/>
        <v>Vendido</v>
      </c>
      <c r="AR120" s="447">
        <f>_xlfn.XLOOKUP(C120,'BOULEVARD 5'!B:B,'BOULEVARD 5'!AU:AU)</f>
        <v>1</v>
      </c>
    </row>
    <row r="121" spans="1:44" s="429" customFormat="1" ht="13.9" customHeight="1" x14ac:dyDescent="0.25">
      <c r="B121" s="678" t="str">
        <f>IF('B5-Status cobranza'!A121&gt;0,'B5-Status cobranza'!A121,"")</f>
        <v/>
      </c>
      <c r="C121" s="436">
        <v>705</v>
      </c>
      <c r="D121" s="436" t="s">
        <v>461</v>
      </c>
      <c r="E121" s="436"/>
      <c r="F121" s="436" t="str">
        <f>IF('BOULEVARD 5'!E119="","",'BOULEVARD 5'!E119)</f>
        <v>Antonio Rada</v>
      </c>
      <c r="G121" s="429" t="str">
        <f>IF('BOULEVARD 5'!F119="","",'BOULEVARD 5'!F119)</f>
        <v>Ingrid Lisbeth Dubón García De Diaz</v>
      </c>
      <c r="H121" s="473">
        <f>IF('BOULEVARD 5'!G119="","",'BOULEVARD 5'!G119)</f>
        <v>45699</v>
      </c>
      <c r="I121" s="554" t="str">
        <f t="shared" si="28"/>
        <v/>
      </c>
      <c r="J121" s="554" t="str">
        <f t="shared" si="28"/>
        <v/>
      </c>
      <c r="K121" s="554" t="str">
        <f t="shared" si="28"/>
        <v/>
      </c>
      <c r="L121" s="554" t="str">
        <f t="shared" si="28"/>
        <v/>
      </c>
      <c r="M121" s="554" t="str">
        <f t="shared" si="28"/>
        <v/>
      </c>
      <c r="N121" s="554" t="str">
        <f t="shared" si="28"/>
        <v/>
      </c>
      <c r="O121" s="554" t="str">
        <f t="shared" si="28"/>
        <v/>
      </c>
      <c r="P121" s="554" t="str">
        <f t="shared" si="28"/>
        <v/>
      </c>
      <c r="Q121" s="554" t="str">
        <f t="shared" si="28"/>
        <v/>
      </c>
      <c r="R121" s="554" t="str">
        <f t="shared" si="28"/>
        <v/>
      </c>
      <c r="S121" s="554" t="str">
        <f t="shared" si="28"/>
        <v/>
      </c>
      <c r="T121" s="554" t="str">
        <f t="shared" si="28"/>
        <v/>
      </c>
      <c r="U121" s="554" t="str">
        <f t="shared" si="28"/>
        <v/>
      </c>
      <c r="V121" s="554" t="str">
        <f t="shared" si="28"/>
        <v/>
      </c>
      <c r="W121" s="554" t="str">
        <f t="shared" si="28"/>
        <v/>
      </c>
      <c r="X121" s="554" t="str">
        <f t="shared" si="28"/>
        <v/>
      </c>
      <c r="Y121" s="554" t="str">
        <f t="shared" ref="Y121:AN136" si="30">IF(OR($B121="F&amp;F",$B121="CE",$H121=""),"",IF(TEXT(Y$8,"yyyymm")=TEXT($H121,"yyyymm"),1,IF(TEXT(Y$8,"yyyymm")&gt;TEXT($H121,"yyyymm"),2,IF(Y$8&lt;$H121,"",0))))</f>
        <v/>
      </c>
      <c r="Z121" s="554" t="str">
        <f t="shared" si="30"/>
        <v/>
      </c>
      <c r="AA121" s="554" t="str">
        <f t="shared" si="30"/>
        <v/>
      </c>
      <c r="AB121" s="554" t="str">
        <f t="shared" si="30"/>
        <v/>
      </c>
      <c r="AC121" s="554" t="str">
        <f t="shared" si="30"/>
        <v/>
      </c>
      <c r="AD121" s="554" t="str">
        <f t="shared" si="30"/>
        <v/>
      </c>
      <c r="AE121" s="554" t="str">
        <f t="shared" si="30"/>
        <v/>
      </c>
      <c r="AF121" s="554">
        <f t="shared" si="30"/>
        <v>1</v>
      </c>
      <c r="AG121" s="554">
        <f t="shared" si="30"/>
        <v>2</v>
      </c>
      <c r="AH121" s="554">
        <f t="shared" si="30"/>
        <v>2</v>
      </c>
      <c r="AI121" s="554">
        <f t="shared" si="30"/>
        <v>2</v>
      </c>
      <c r="AJ121" s="554">
        <f t="shared" si="30"/>
        <v>2</v>
      </c>
      <c r="AK121" s="554">
        <f t="shared" si="30"/>
        <v>2</v>
      </c>
      <c r="AL121" s="554">
        <f t="shared" si="30"/>
        <v>2</v>
      </c>
      <c r="AM121" s="554">
        <f t="shared" si="30"/>
        <v>2</v>
      </c>
      <c r="AN121" s="554">
        <f t="shared" si="29"/>
        <v>2</v>
      </c>
      <c r="AO121" s="554">
        <f t="shared" si="29"/>
        <v>2</v>
      </c>
      <c r="AP121" s="554">
        <f t="shared" si="29"/>
        <v>2</v>
      </c>
      <c r="AQ121" s="429" t="str">
        <f t="shared" si="22"/>
        <v>Vendido</v>
      </c>
      <c r="AR121" s="447">
        <f>_xlfn.XLOOKUP(C121,'BOULEVARD 5'!B:B,'BOULEVARD 5'!AU:AU)</f>
        <v>0.69054534829269165</v>
      </c>
    </row>
    <row r="122" spans="1:44" s="429" customFormat="1" ht="13.9" customHeight="1" x14ac:dyDescent="0.25">
      <c r="B122" s="678" t="str">
        <f>IF('B5-Status cobranza'!A122&gt;0,'B5-Status cobranza'!A122,"")</f>
        <v/>
      </c>
      <c r="C122" s="436">
        <v>706</v>
      </c>
      <c r="D122" s="436" t="s">
        <v>463</v>
      </c>
      <c r="E122" s="436"/>
      <c r="F122" s="436" t="str">
        <f>IF('BOULEVARD 5'!E120="","",'BOULEVARD 5'!E120)</f>
        <v>Antonio Rada</v>
      </c>
      <c r="G122" s="429" t="str">
        <f>IF('BOULEVARD 5'!F120="","",'BOULEVARD 5'!F120)</f>
        <v>Edison Gabriel Ramirez Lopez</v>
      </c>
      <c r="H122" s="473">
        <f>IF('BOULEVARD 5'!G120="","",'BOULEVARD 5'!G120)</f>
        <v>45728</v>
      </c>
      <c r="I122" s="554" t="str">
        <f t="shared" ref="I122:X137" si="31">IF(OR($B122="F&amp;F",$B122="CE",$H122=""),"",IF(TEXT(I$8,"yyyymm")=TEXT($H122,"yyyymm"),1,IF(TEXT(I$8,"yyyymm")&gt;TEXT($H122,"yyyymm"),2,IF(I$8&lt;$H122,"",0))))</f>
        <v/>
      </c>
      <c r="J122" s="554" t="str">
        <f t="shared" si="31"/>
        <v/>
      </c>
      <c r="K122" s="554" t="str">
        <f t="shared" si="31"/>
        <v/>
      </c>
      <c r="L122" s="554" t="str">
        <f t="shared" si="31"/>
        <v/>
      </c>
      <c r="M122" s="554" t="str">
        <f t="shared" si="31"/>
        <v/>
      </c>
      <c r="N122" s="554" t="str">
        <f t="shared" si="31"/>
        <v/>
      </c>
      <c r="O122" s="554" t="str">
        <f t="shared" si="31"/>
        <v/>
      </c>
      <c r="P122" s="554" t="str">
        <f t="shared" si="31"/>
        <v/>
      </c>
      <c r="Q122" s="554" t="str">
        <f t="shared" si="31"/>
        <v/>
      </c>
      <c r="R122" s="554" t="str">
        <f t="shared" si="31"/>
        <v/>
      </c>
      <c r="S122" s="554" t="str">
        <f t="shared" si="31"/>
        <v/>
      </c>
      <c r="T122" s="554" t="str">
        <f t="shared" si="31"/>
        <v/>
      </c>
      <c r="U122" s="554" t="str">
        <f t="shared" si="31"/>
        <v/>
      </c>
      <c r="V122" s="554" t="str">
        <f t="shared" si="31"/>
        <v/>
      </c>
      <c r="W122" s="554" t="str">
        <f t="shared" si="31"/>
        <v/>
      </c>
      <c r="X122" s="554" t="str">
        <f t="shared" si="31"/>
        <v/>
      </c>
      <c r="Y122" s="554" t="str">
        <f t="shared" si="30"/>
        <v/>
      </c>
      <c r="Z122" s="554" t="str">
        <f t="shared" si="30"/>
        <v/>
      </c>
      <c r="AA122" s="554" t="str">
        <f t="shared" si="30"/>
        <v/>
      </c>
      <c r="AB122" s="554" t="str">
        <f t="shared" si="30"/>
        <v/>
      </c>
      <c r="AC122" s="554" t="str">
        <f t="shared" si="30"/>
        <v/>
      </c>
      <c r="AD122" s="554" t="str">
        <f t="shared" si="30"/>
        <v/>
      </c>
      <c r="AE122" s="554" t="str">
        <f t="shared" si="30"/>
        <v/>
      </c>
      <c r="AF122" s="554" t="str">
        <f t="shared" si="30"/>
        <v/>
      </c>
      <c r="AG122" s="554">
        <f t="shared" si="30"/>
        <v>1</v>
      </c>
      <c r="AH122" s="554">
        <f t="shared" si="30"/>
        <v>2</v>
      </c>
      <c r="AI122" s="554">
        <f t="shared" si="30"/>
        <v>2</v>
      </c>
      <c r="AJ122" s="554">
        <f t="shared" si="30"/>
        <v>2</v>
      </c>
      <c r="AK122" s="554">
        <f t="shared" si="30"/>
        <v>2</v>
      </c>
      <c r="AL122" s="554">
        <f t="shared" si="30"/>
        <v>2</v>
      </c>
      <c r="AM122" s="554">
        <f t="shared" si="30"/>
        <v>2</v>
      </c>
      <c r="AN122" s="554">
        <f t="shared" si="29"/>
        <v>2</v>
      </c>
      <c r="AO122" s="554">
        <f t="shared" si="29"/>
        <v>2</v>
      </c>
      <c r="AP122" s="554">
        <f t="shared" si="29"/>
        <v>2</v>
      </c>
      <c r="AQ122" s="429" t="str">
        <f t="shared" si="22"/>
        <v>Vendido</v>
      </c>
      <c r="AR122" s="447">
        <f>_xlfn.XLOOKUP(C122,'BOULEVARD 5'!B:B,'BOULEVARD 5'!AU:AU)</f>
        <v>0.66833840962501967</v>
      </c>
    </row>
    <row r="123" spans="1:44" s="429" customFormat="1" ht="13.9" customHeight="1" x14ac:dyDescent="0.25">
      <c r="B123" s="678" t="str">
        <f>IF('B5-Status cobranza'!A123&gt;0,'B5-Status cobranza'!A123,"")</f>
        <v/>
      </c>
      <c r="C123" s="436">
        <v>707</v>
      </c>
      <c r="D123" s="436" t="s">
        <v>465</v>
      </c>
      <c r="E123" s="436"/>
      <c r="F123" s="436" t="str">
        <f>IF('BOULEVARD 5'!E121="","",'BOULEVARD 5'!E121)</f>
        <v>Sofia Paredes</v>
      </c>
      <c r="G123" s="429" t="str">
        <f>IF('BOULEVARD 5'!F121="","",'BOULEVARD 5'!F121)</f>
        <v xml:space="preserve">Cristhian Paul Escobar Maldonado </v>
      </c>
      <c r="H123" s="473">
        <f>IF('BOULEVARD 5'!G121="","",'BOULEVARD 5'!G121)</f>
        <v>45751</v>
      </c>
      <c r="I123" s="554" t="str">
        <f t="shared" si="31"/>
        <v/>
      </c>
      <c r="J123" s="554" t="str">
        <f t="shared" si="31"/>
        <v/>
      </c>
      <c r="K123" s="554" t="str">
        <f t="shared" si="31"/>
        <v/>
      </c>
      <c r="L123" s="554" t="str">
        <f t="shared" si="31"/>
        <v/>
      </c>
      <c r="M123" s="554" t="str">
        <f t="shared" si="31"/>
        <v/>
      </c>
      <c r="N123" s="554" t="str">
        <f t="shared" si="31"/>
        <v/>
      </c>
      <c r="O123" s="554" t="str">
        <f t="shared" si="31"/>
        <v/>
      </c>
      <c r="P123" s="554" t="str">
        <f t="shared" si="31"/>
        <v/>
      </c>
      <c r="Q123" s="554" t="str">
        <f t="shared" si="31"/>
        <v/>
      </c>
      <c r="R123" s="554" t="str">
        <f t="shared" si="31"/>
        <v/>
      </c>
      <c r="S123" s="554" t="str">
        <f t="shared" si="31"/>
        <v/>
      </c>
      <c r="T123" s="554" t="str">
        <f t="shared" si="31"/>
        <v/>
      </c>
      <c r="U123" s="554" t="str">
        <f t="shared" si="31"/>
        <v/>
      </c>
      <c r="V123" s="554" t="str">
        <f t="shared" si="31"/>
        <v/>
      </c>
      <c r="W123" s="554" t="str">
        <f t="shared" si="31"/>
        <v/>
      </c>
      <c r="X123" s="554" t="str">
        <f t="shared" si="31"/>
        <v/>
      </c>
      <c r="Y123" s="554" t="str">
        <f t="shared" si="30"/>
        <v/>
      </c>
      <c r="Z123" s="554" t="str">
        <f t="shared" si="30"/>
        <v/>
      </c>
      <c r="AA123" s="554" t="str">
        <f t="shared" si="30"/>
        <v/>
      </c>
      <c r="AB123" s="554" t="str">
        <f t="shared" si="30"/>
        <v/>
      </c>
      <c r="AC123" s="554" t="str">
        <f t="shared" si="30"/>
        <v/>
      </c>
      <c r="AD123" s="554" t="str">
        <f t="shared" si="30"/>
        <v/>
      </c>
      <c r="AE123" s="554" t="str">
        <f t="shared" si="30"/>
        <v/>
      </c>
      <c r="AF123" s="554" t="str">
        <f t="shared" si="30"/>
        <v/>
      </c>
      <c r="AG123" s="554" t="str">
        <f t="shared" si="30"/>
        <v/>
      </c>
      <c r="AH123" s="554">
        <f t="shared" si="30"/>
        <v>1</v>
      </c>
      <c r="AI123" s="554">
        <f t="shared" si="30"/>
        <v>2</v>
      </c>
      <c r="AJ123" s="554">
        <f t="shared" si="30"/>
        <v>2</v>
      </c>
      <c r="AK123" s="554">
        <f t="shared" si="30"/>
        <v>2</v>
      </c>
      <c r="AL123" s="554">
        <f t="shared" si="30"/>
        <v>2</v>
      </c>
      <c r="AM123" s="554">
        <f t="shared" si="30"/>
        <v>2</v>
      </c>
      <c r="AN123" s="554">
        <f t="shared" si="29"/>
        <v>2</v>
      </c>
      <c r="AO123" s="554">
        <f t="shared" si="29"/>
        <v>2</v>
      </c>
      <c r="AP123" s="554">
        <f t="shared" si="29"/>
        <v>2</v>
      </c>
      <c r="AQ123" s="429" t="str">
        <f t="shared" si="22"/>
        <v>Vendido</v>
      </c>
      <c r="AR123" s="447">
        <f>_xlfn.XLOOKUP(C123,'BOULEVARD 5'!B:B,'BOULEVARD 5'!AU:AU)</f>
        <v>0.63335233390335044</v>
      </c>
    </row>
    <row r="124" spans="1:44" s="429" customFormat="1" ht="13.9" customHeight="1" x14ac:dyDescent="0.25">
      <c r="A124" s="429" t="s">
        <v>388</v>
      </c>
      <c r="B124" s="678"/>
      <c r="C124" s="436">
        <v>708</v>
      </c>
      <c r="D124" s="436" t="s">
        <v>467</v>
      </c>
      <c r="E124" s="642" t="s">
        <v>336</v>
      </c>
      <c r="F124" s="436" t="str">
        <f>IF('BOULEVARD 5'!E122="","",'BOULEVARD 5'!E122)</f>
        <v>Antonio Rada</v>
      </c>
      <c r="G124" s="429" t="str">
        <f>IF('BOULEVARD 5'!F122="","",'BOULEVARD 5'!F122)</f>
        <v>Alfonso Videche Rodriguez</v>
      </c>
      <c r="H124" s="473">
        <f>IF('BOULEVARD 5'!G122="","",'BOULEVARD 5'!G122)</f>
        <v>45321</v>
      </c>
      <c r="I124" s="554" t="str">
        <f t="shared" si="31"/>
        <v/>
      </c>
      <c r="J124" s="554" t="str">
        <f t="shared" si="31"/>
        <v/>
      </c>
      <c r="K124" s="554" t="str">
        <f t="shared" si="31"/>
        <v/>
      </c>
      <c r="L124" s="554" t="str">
        <f t="shared" si="31"/>
        <v/>
      </c>
      <c r="M124" s="554" t="str">
        <f t="shared" si="31"/>
        <v/>
      </c>
      <c r="N124" s="554" t="str">
        <f t="shared" si="31"/>
        <v/>
      </c>
      <c r="O124" s="554" t="str">
        <f t="shared" si="31"/>
        <v/>
      </c>
      <c r="P124" s="554" t="str">
        <f t="shared" si="31"/>
        <v/>
      </c>
      <c r="Q124" s="554" t="str">
        <f t="shared" si="31"/>
        <v/>
      </c>
      <c r="R124" s="554" t="str">
        <f t="shared" si="31"/>
        <v/>
      </c>
      <c r="S124" s="554">
        <f t="shared" si="31"/>
        <v>1</v>
      </c>
      <c r="T124" s="554">
        <f t="shared" si="31"/>
        <v>2</v>
      </c>
      <c r="U124" s="554">
        <f t="shared" si="31"/>
        <v>2</v>
      </c>
      <c r="V124" s="554">
        <f t="shared" si="31"/>
        <v>2</v>
      </c>
      <c r="W124" s="554">
        <f t="shared" si="31"/>
        <v>2</v>
      </c>
      <c r="X124" s="554">
        <f t="shared" si="31"/>
        <v>2</v>
      </c>
      <c r="Y124" s="554">
        <f t="shared" si="30"/>
        <v>2</v>
      </c>
      <c r="Z124" s="554">
        <f t="shared" si="30"/>
        <v>2</v>
      </c>
      <c r="AA124" s="554">
        <f t="shared" si="30"/>
        <v>2</v>
      </c>
      <c r="AB124" s="554">
        <f t="shared" si="30"/>
        <v>2</v>
      </c>
      <c r="AC124" s="554">
        <f t="shared" si="30"/>
        <v>2</v>
      </c>
      <c r="AD124" s="554">
        <f t="shared" si="30"/>
        <v>2</v>
      </c>
      <c r="AE124" s="554">
        <f t="shared" si="30"/>
        <v>2</v>
      </c>
      <c r="AF124" s="554">
        <f t="shared" si="30"/>
        <v>2</v>
      </c>
      <c r="AG124" s="554">
        <f t="shared" si="30"/>
        <v>2</v>
      </c>
      <c r="AH124" s="554">
        <f t="shared" si="30"/>
        <v>2</v>
      </c>
      <c r="AI124" s="554">
        <f t="shared" si="30"/>
        <v>2</v>
      </c>
      <c r="AJ124" s="554">
        <f t="shared" si="30"/>
        <v>2</v>
      </c>
      <c r="AK124" s="554">
        <f t="shared" si="30"/>
        <v>2</v>
      </c>
      <c r="AL124" s="554">
        <f t="shared" si="30"/>
        <v>2</v>
      </c>
      <c r="AM124" s="554">
        <f t="shared" si="30"/>
        <v>2</v>
      </c>
      <c r="AN124" s="554">
        <f t="shared" si="29"/>
        <v>2</v>
      </c>
      <c r="AO124" s="554">
        <f t="shared" si="29"/>
        <v>2</v>
      </c>
      <c r="AP124" s="554">
        <f t="shared" si="29"/>
        <v>2</v>
      </c>
      <c r="AQ124" s="429" t="str">
        <f t="shared" si="22"/>
        <v>Vendido</v>
      </c>
      <c r="AR124" s="447">
        <f>_xlfn.XLOOKUP(C124,'BOULEVARD 5'!B:B,'BOULEVARD 5'!AU:AU)</f>
        <v>0.71456927352123856</v>
      </c>
    </row>
    <row r="125" spans="1:44" s="429" customFormat="1" ht="13.9" customHeight="1" x14ac:dyDescent="0.25">
      <c r="B125" s="678" t="str">
        <f>IF('B5-Status cobranza'!A125&gt;0,'B5-Status cobranza'!A125,"")</f>
        <v>F&amp;F</v>
      </c>
      <c r="C125" s="436">
        <v>709</v>
      </c>
      <c r="D125" s="436" t="s">
        <v>469</v>
      </c>
      <c r="E125" s="436"/>
      <c r="F125" s="436" t="str">
        <f>IF('BOULEVARD 5'!E123="","",'BOULEVARD 5'!E123)</f>
        <v>Anahí Cisneros</v>
      </c>
      <c r="G125" s="429" t="str">
        <f>IF('BOULEVARD 5'!F123="","",'BOULEVARD 5'!F123)</f>
        <v>Manuel Lizandro Ramírez Barrios</v>
      </c>
      <c r="H125" s="473">
        <f>IF('BOULEVARD 5'!G123="","",'BOULEVARD 5'!G123)</f>
        <v>45202</v>
      </c>
      <c r="I125" s="554" t="str">
        <f t="shared" si="31"/>
        <v/>
      </c>
      <c r="J125" s="554" t="str">
        <f t="shared" si="31"/>
        <v/>
      </c>
      <c r="K125" s="554" t="str">
        <f t="shared" si="31"/>
        <v/>
      </c>
      <c r="L125" s="554" t="str">
        <f t="shared" si="31"/>
        <v/>
      </c>
      <c r="M125" s="554" t="str">
        <f t="shared" si="31"/>
        <v/>
      </c>
      <c r="N125" s="554" t="str">
        <f t="shared" si="31"/>
        <v/>
      </c>
      <c r="O125" s="554" t="str">
        <f t="shared" si="31"/>
        <v/>
      </c>
      <c r="P125" s="554" t="str">
        <f t="shared" si="31"/>
        <v/>
      </c>
      <c r="Q125" s="554" t="str">
        <f t="shared" si="31"/>
        <v/>
      </c>
      <c r="R125" s="554" t="str">
        <f t="shared" si="31"/>
        <v/>
      </c>
      <c r="S125" s="554" t="str">
        <f t="shared" si="31"/>
        <v/>
      </c>
      <c r="T125" s="554" t="str">
        <f t="shared" si="31"/>
        <v/>
      </c>
      <c r="U125" s="554" t="str">
        <f t="shared" si="31"/>
        <v/>
      </c>
      <c r="V125" s="554" t="str">
        <f t="shared" si="31"/>
        <v/>
      </c>
      <c r="W125" s="554" t="str">
        <f t="shared" si="31"/>
        <v/>
      </c>
      <c r="X125" s="554" t="str">
        <f t="shared" si="31"/>
        <v/>
      </c>
      <c r="Y125" s="554" t="str">
        <f t="shared" si="30"/>
        <v/>
      </c>
      <c r="Z125" s="554" t="str">
        <f t="shared" si="30"/>
        <v/>
      </c>
      <c r="AA125" s="554" t="str">
        <f t="shared" si="30"/>
        <v/>
      </c>
      <c r="AB125" s="554" t="str">
        <f t="shared" si="30"/>
        <v/>
      </c>
      <c r="AC125" s="554" t="str">
        <f t="shared" si="30"/>
        <v/>
      </c>
      <c r="AD125" s="554" t="str">
        <f t="shared" si="30"/>
        <v/>
      </c>
      <c r="AE125" s="554" t="str">
        <f t="shared" si="30"/>
        <v/>
      </c>
      <c r="AF125" s="554" t="str">
        <f t="shared" si="30"/>
        <v/>
      </c>
      <c r="AG125" s="554" t="str">
        <f t="shared" si="30"/>
        <v/>
      </c>
      <c r="AH125" s="554" t="str">
        <f t="shared" si="30"/>
        <v/>
      </c>
      <c r="AI125" s="554" t="str">
        <f t="shared" si="30"/>
        <v/>
      </c>
      <c r="AJ125" s="554" t="str">
        <f t="shared" si="30"/>
        <v/>
      </c>
      <c r="AK125" s="554" t="str">
        <f t="shared" si="30"/>
        <v/>
      </c>
      <c r="AL125" s="554" t="str">
        <f t="shared" si="30"/>
        <v/>
      </c>
      <c r="AM125" s="554" t="str">
        <f t="shared" si="30"/>
        <v/>
      </c>
      <c r="AN125" s="554" t="str">
        <f t="shared" si="29"/>
        <v/>
      </c>
      <c r="AO125" s="554" t="str">
        <f t="shared" si="29"/>
        <v/>
      </c>
      <c r="AP125" s="554" t="str">
        <f t="shared" si="29"/>
        <v/>
      </c>
      <c r="AQ125" s="429" t="str">
        <f t="shared" si="22"/>
        <v>Vendido</v>
      </c>
      <c r="AR125" s="447">
        <f>_xlfn.XLOOKUP(C125,'BOULEVARD 5'!B:B,'BOULEVARD 5'!AU:AU)</f>
        <v>1.0009329140461216</v>
      </c>
    </row>
    <row r="126" spans="1:44" s="429" customFormat="1" ht="13.9" customHeight="1" x14ac:dyDescent="0.25">
      <c r="B126" s="678" t="str">
        <f>IF('B5-Status cobranza'!A126&gt;0,'B5-Status cobranza'!A126,"")</f>
        <v>F&amp;F</v>
      </c>
      <c r="C126" s="475">
        <v>710</v>
      </c>
      <c r="D126" s="475" t="s">
        <v>467</v>
      </c>
      <c r="E126" s="475"/>
      <c r="F126" s="475" t="str">
        <f>IF('BOULEVARD 5'!E124="","",'BOULEVARD 5'!E124)</f>
        <v>Brenda Búcaro</v>
      </c>
      <c r="G126" s="476" t="str">
        <f>IF('BOULEVARD 5'!F124="","",'BOULEVARD 5'!F124)</f>
        <v>Carlos Yon (congelado estrategia comercial)</v>
      </c>
      <c r="H126" s="473">
        <f>IF('BOULEVARD 5'!G124="","",'BOULEVARD 5'!G124)</f>
        <v>45173</v>
      </c>
      <c r="I126" s="554" t="str">
        <f t="shared" si="31"/>
        <v/>
      </c>
      <c r="J126" s="554" t="str">
        <f t="shared" si="31"/>
        <v/>
      </c>
      <c r="K126" s="554" t="str">
        <f t="shared" si="31"/>
        <v/>
      </c>
      <c r="L126" s="554" t="str">
        <f t="shared" si="31"/>
        <v/>
      </c>
      <c r="M126" s="554" t="str">
        <f t="shared" si="31"/>
        <v/>
      </c>
      <c r="N126" s="554" t="str">
        <f t="shared" si="31"/>
        <v/>
      </c>
      <c r="O126" s="554" t="str">
        <f t="shared" si="31"/>
        <v/>
      </c>
      <c r="P126" s="554" t="str">
        <f t="shared" si="31"/>
        <v/>
      </c>
      <c r="Q126" s="554" t="str">
        <f t="shared" si="31"/>
        <v/>
      </c>
      <c r="R126" s="554" t="str">
        <f t="shared" si="31"/>
        <v/>
      </c>
      <c r="S126" s="554" t="str">
        <f t="shared" si="31"/>
        <v/>
      </c>
      <c r="T126" s="554" t="str">
        <f t="shared" si="31"/>
        <v/>
      </c>
      <c r="U126" s="554" t="str">
        <f t="shared" si="31"/>
        <v/>
      </c>
      <c r="V126" s="554" t="str">
        <f t="shared" si="31"/>
        <v/>
      </c>
      <c r="W126" s="554" t="str">
        <f t="shared" si="31"/>
        <v/>
      </c>
      <c r="X126" s="554" t="str">
        <f t="shared" si="31"/>
        <v/>
      </c>
      <c r="Y126" s="554" t="str">
        <f t="shared" si="30"/>
        <v/>
      </c>
      <c r="Z126" s="554" t="str">
        <f t="shared" si="30"/>
        <v/>
      </c>
      <c r="AA126" s="554" t="str">
        <f t="shared" si="30"/>
        <v/>
      </c>
      <c r="AB126" s="554" t="str">
        <f t="shared" si="30"/>
        <v/>
      </c>
      <c r="AC126" s="554" t="str">
        <f t="shared" si="30"/>
        <v/>
      </c>
      <c r="AD126" s="554" t="str">
        <f t="shared" si="30"/>
        <v/>
      </c>
      <c r="AE126" s="554" t="str">
        <f t="shared" si="30"/>
        <v/>
      </c>
      <c r="AF126" s="554" t="str">
        <f t="shared" si="30"/>
        <v/>
      </c>
      <c r="AG126" s="554" t="str">
        <f t="shared" si="30"/>
        <v/>
      </c>
      <c r="AH126" s="554" t="str">
        <f t="shared" si="30"/>
        <v/>
      </c>
      <c r="AI126" s="554" t="str">
        <f t="shared" si="30"/>
        <v/>
      </c>
      <c r="AJ126" s="554" t="str">
        <f t="shared" si="30"/>
        <v/>
      </c>
      <c r="AK126" s="554" t="str">
        <f t="shared" si="30"/>
        <v/>
      </c>
      <c r="AL126" s="554" t="str">
        <f t="shared" si="30"/>
        <v/>
      </c>
      <c r="AM126" s="554" t="str">
        <f t="shared" si="30"/>
        <v/>
      </c>
      <c r="AN126" s="554" t="str">
        <f t="shared" si="29"/>
        <v/>
      </c>
      <c r="AO126" s="554" t="str">
        <f t="shared" si="29"/>
        <v/>
      </c>
      <c r="AP126" s="554" t="str">
        <f t="shared" si="29"/>
        <v/>
      </c>
      <c r="AQ126" s="429" t="str">
        <f t="shared" si="22"/>
        <v>Vendido</v>
      </c>
      <c r="AR126" s="447">
        <f>_xlfn.XLOOKUP(C126,'BOULEVARD 5'!B:B,'BOULEVARD 5'!AU:AU)</f>
        <v>3.9472338354926251</v>
      </c>
    </row>
    <row r="127" spans="1:44" s="429" customFormat="1" ht="13.9" customHeight="1" x14ac:dyDescent="0.25">
      <c r="A127" s="429" t="s">
        <v>388</v>
      </c>
      <c r="B127" s="678"/>
      <c r="C127" s="436">
        <v>711</v>
      </c>
      <c r="D127" s="436" t="s">
        <v>469</v>
      </c>
      <c r="E127" s="642" t="s">
        <v>336</v>
      </c>
      <c r="F127" s="436" t="str">
        <f>IF('BOULEVARD 5'!E125="","",'BOULEVARD 5'!E125)</f>
        <v>Diana Alvarez</v>
      </c>
      <c r="G127" s="429" t="str">
        <f>IF('BOULEVARD 5'!F125="","",'BOULEVARD 5'!F125)</f>
        <v>Samuel David Chavez</v>
      </c>
      <c r="H127" s="473">
        <f>IF('BOULEVARD 5'!G125="","",'BOULEVARD 5'!G125)</f>
        <v>45770</v>
      </c>
      <c r="I127" s="554" t="str">
        <f t="shared" si="31"/>
        <v/>
      </c>
      <c r="J127" s="554" t="str">
        <f t="shared" si="31"/>
        <v/>
      </c>
      <c r="K127" s="554" t="str">
        <f t="shared" si="31"/>
        <v/>
      </c>
      <c r="L127" s="554" t="str">
        <f t="shared" si="31"/>
        <v/>
      </c>
      <c r="M127" s="554" t="str">
        <f t="shared" si="31"/>
        <v/>
      </c>
      <c r="N127" s="554" t="str">
        <f t="shared" si="31"/>
        <v/>
      </c>
      <c r="O127" s="554" t="str">
        <f t="shared" si="31"/>
        <v/>
      </c>
      <c r="P127" s="554" t="str">
        <f t="shared" si="31"/>
        <v/>
      </c>
      <c r="Q127" s="554" t="str">
        <f t="shared" si="31"/>
        <v/>
      </c>
      <c r="R127" s="554" t="str">
        <f t="shared" si="31"/>
        <v/>
      </c>
      <c r="S127" s="554" t="str">
        <f t="shared" si="31"/>
        <v/>
      </c>
      <c r="T127" s="554" t="str">
        <f t="shared" si="31"/>
        <v/>
      </c>
      <c r="U127" s="554" t="str">
        <f t="shared" si="31"/>
        <v/>
      </c>
      <c r="V127" s="554" t="str">
        <f t="shared" si="31"/>
        <v/>
      </c>
      <c r="W127" s="554" t="str">
        <f t="shared" si="31"/>
        <v/>
      </c>
      <c r="X127" s="554" t="str">
        <f t="shared" si="31"/>
        <v/>
      </c>
      <c r="Y127" s="554" t="str">
        <f t="shared" si="30"/>
        <v/>
      </c>
      <c r="Z127" s="554" t="str">
        <f t="shared" si="30"/>
        <v/>
      </c>
      <c r="AA127" s="554" t="str">
        <f t="shared" si="30"/>
        <v/>
      </c>
      <c r="AB127" s="554" t="str">
        <f t="shared" si="30"/>
        <v/>
      </c>
      <c r="AC127" s="554" t="str">
        <f t="shared" si="30"/>
        <v/>
      </c>
      <c r="AD127" s="554" t="str">
        <f t="shared" si="30"/>
        <v/>
      </c>
      <c r="AE127" s="554" t="str">
        <f t="shared" si="30"/>
        <v/>
      </c>
      <c r="AF127" s="554" t="str">
        <f t="shared" si="30"/>
        <v/>
      </c>
      <c r="AG127" s="554" t="str">
        <f t="shared" si="30"/>
        <v/>
      </c>
      <c r="AH127" s="554">
        <f t="shared" si="30"/>
        <v>1</v>
      </c>
      <c r="AI127" s="554">
        <f t="shared" si="30"/>
        <v>2</v>
      </c>
      <c r="AJ127" s="554">
        <f t="shared" si="30"/>
        <v>2</v>
      </c>
      <c r="AK127" s="554">
        <f t="shared" si="30"/>
        <v>2</v>
      </c>
      <c r="AL127" s="554">
        <f t="shared" si="30"/>
        <v>2</v>
      </c>
      <c r="AM127" s="554">
        <f t="shared" si="30"/>
        <v>2</v>
      </c>
      <c r="AN127" s="554">
        <f t="shared" si="29"/>
        <v>2</v>
      </c>
      <c r="AO127" s="554">
        <f t="shared" si="29"/>
        <v>2</v>
      </c>
      <c r="AP127" s="554">
        <f t="shared" si="29"/>
        <v>2</v>
      </c>
      <c r="AQ127" s="429" t="str">
        <f t="shared" si="22"/>
        <v>Vendido</v>
      </c>
      <c r="AR127" s="447">
        <f>_xlfn.XLOOKUP(C127,'BOULEVARD 5'!B:B,'BOULEVARD 5'!AU:AU)</f>
        <v>0.62234223562092783</v>
      </c>
    </row>
    <row r="128" spans="1:44" s="429" customFormat="1" ht="13.9" customHeight="1" x14ac:dyDescent="0.25">
      <c r="B128" s="678" t="str">
        <f>IF('B5-Status cobranza'!A128&gt;0,'B5-Status cobranza'!A128,"")</f>
        <v/>
      </c>
      <c r="C128" s="436">
        <v>712</v>
      </c>
      <c r="D128" s="436" t="s">
        <v>406</v>
      </c>
      <c r="E128" s="436"/>
      <c r="F128" s="436" t="str">
        <f>IF('BOULEVARD 5'!E126="","",'BOULEVARD 5'!E126)</f>
        <v>Antonio Rada</v>
      </c>
      <c r="G128" s="429" t="str">
        <f>IF('BOULEVARD 5'!F126="","",'BOULEVARD 5'!F126)</f>
        <v>Edgar Augusto Sepúlveda Barrera</v>
      </c>
      <c r="H128" s="473">
        <f>IF('BOULEVARD 5'!G126="","",'BOULEVARD 5'!G126)</f>
        <v>45085</v>
      </c>
      <c r="I128" s="554" t="str">
        <f t="shared" si="31"/>
        <v/>
      </c>
      <c r="J128" s="554" t="str">
        <f t="shared" si="31"/>
        <v/>
      </c>
      <c r="K128" s="554" t="str">
        <f t="shared" si="31"/>
        <v/>
      </c>
      <c r="L128" s="554">
        <f t="shared" si="31"/>
        <v>1</v>
      </c>
      <c r="M128" s="554">
        <f t="shared" si="31"/>
        <v>2</v>
      </c>
      <c r="N128" s="554">
        <f t="shared" si="31"/>
        <v>2</v>
      </c>
      <c r="O128" s="554">
        <f t="shared" si="31"/>
        <v>2</v>
      </c>
      <c r="P128" s="554">
        <f t="shared" si="31"/>
        <v>2</v>
      </c>
      <c r="Q128" s="554">
        <f t="shared" si="31"/>
        <v>2</v>
      </c>
      <c r="R128" s="554">
        <f t="shared" si="31"/>
        <v>2</v>
      </c>
      <c r="S128" s="554">
        <f t="shared" si="31"/>
        <v>2</v>
      </c>
      <c r="T128" s="554">
        <f t="shared" si="31"/>
        <v>2</v>
      </c>
      <c r="U128" s="554">
        <f t="shared" si="31"/>
        <v>2</v>
      </c>
      <c r="V128" s="554">
        <f t="shared" si="31"/>
        <v>2</v>
      </c>
      <c r="W128" s="554">
        <f t="shared" si="31"/>
        <v>2</v>
      </c>
      <c r="X128" s="554">
        <f t="shared" si="31"/>
        <v>2</v>
      </c>
      <c r="Y128" s="554">
        <f t="shared" si="30"/>
        <v>2</v>
      </c>
      <c r="Z128" s="554">
        <f t="shared" si="30"/>
        <v>2</v>
      </c>
      <c r="AA128" s="554">
        <f t="shared" si="30"/>
        <v>2</v>
      </c>
      <c r="AB128" s="554">
        <f t="shared" si="30"/>
        <v>2</v>
      </c>
      <c r="AC128" s="554">
        <f t="shared" si="30"/>
        <v>2</v>
      </c>
      <c r="AD128" s="554">
        <f t="shared" si="30"/>
        <v>2</v>
      </c>
      <c r="AE128" s="554">
        <f t="shared" si="30"/>
        <v>2</v>
      </c>
      <c r="AF128" s="554">
        <f t="shared" si="30"/>
        <v>2</v>
      </c>
      <c r="AG128" s="554">
        <f t="shared" si="30"/>
        <v>2</v>
      </c>
      <c r="AH128" s="554">
        <f t="shared" si="30"/>
        <v>2</v>
      </c>
      <c r="AI128" s="554">
        <f t="shared" si="30"/>
        <v>2</v>
      </c>
      <c r="AJ128" s="554">
        <f t="shared" si="30"/>
        <v>2</v>
      </c>
      <c r="AK128" s="554">
        <f t="shared" si="30"/>
        <v>2</v>
      </c>
      <c r="AL128" s="554">
        <f t="shared" si="30"/>
        <v>2</v>
      </c>
      <c r="AM128" s="554">
        <f t="shared" si="30"/>
        <v>2</v>
      </c>
      <c r="AN128" s="554">
        <f t="shared" si="30"/>
        <v>2</v>
      </c>
      <c r="AO128" s="554">
        <f t="shared" ref="AO128:AP147" si="32">IF(OR($B128="F&amp;F",$B128="CE",$H128=""),"",IF(TEXT(AO$8,"yyyymm")=TEXT($H128,"yyyymm"),1,IF(TEXT(AO$8,"yyyymm")&gt;TEXT($H128,"yyyymm"),2,IF(AO$8&lt;$H128,"",0))))</f>
        <v>2</v>
      </c>
      <c r="AP128" s="554">
        <f t="shared" si="32"/>
        <v>2</v>
      </c>
      <c r="AQ128" s="429" t="str">
        <f t="shared" si="22"/>
        <v>Vendido</v>
      </c>
      <c r="AR128" s="447">
        <f>_xlfn.XLOOKUP(C128,'BOULEVARD 5'!B:B,'BOULEVARD 5'!AU:AU)</f>
        <v>1</v>
      </c>
    </row>
    <row r="129" spans="1:44" s="429" customFormat="1" ht="13.9" customHeight="1" x14ac:dyDescent="0.25">
      <c r="A129" s="429" t="s">
        <v>388</v>
      </c>
      <c r="B129" s="678"/>
      <c r="C129" s="436">
        <v>713</v>
      </c>
      <c r="D129" s="436" t="s">
        <v>181</v>
      </c>
      <c r="E129" s="642" t="s">
        <v>336</v>
      </c>
      <c r="F129" s="436" t="str">
        <f>IF('BOULEVARD 5'!E127="","",'BOULEVARD 5'!E127)</f>
        <v>Antonio Rada</v>
      </c>
      <c r="G129" s="429" t="str">
        <f>IF('BOULEVARD 5'!F127="","",'BOULEVARD 5'!F127)</f>
        <v xml:space="preserve"> Luis Alejandro Pérez Ibañez</v>
      </c>
      <c r="H129" s="473">
        <f>IF('BOULEVARD 5'!G127="","",'BOULEVARD 5'!G127)</f>
        <v>45087</v>
      </c>
      <c r="I129" s="554" t="str">
        <f t="shared" si="31"/>
        <v/>
      </c>
      <c r="J129" s="554" t="str">
        <f t="shared" si="31"/>
        <v/>
      </c>
      <c r="K129" s="554" t="str">
        <f t="shared" si="31"/>
        <v/>
      </c>
      <c r="L129" s="554">
        <f t="shared" si="31"/>
        <v>1</v>
      </c>
      <c r="M129" s="554">
        <f t="shared" si="31"/>
        <v>2</v>
      </c>
      <c r="N129" s="554">
        <f t="shared" si="31"/>
        <v>2</v>
      </c>
      <c r="O129" s="554">
        <f t="shared" si="31"/>
        <v>2</v>
      </c>
      <c r="P129" s="554">
        <f t="shared" si="31"/>
        <v>2</v>
      </c>
      <c r="Q129" s="554">
        <f t="shared" si="31"/>
        <v>2</v>
      </c>
      <c r="R129" s="554">
        <f t="shared" si="31"/>
        <v>2</v>
      </c>
      <c r="S129" s="554">
        <f t="shared" si="31"/>
        <v>2</v>
      </c>
      <c r="T129" s="554">
        <f t="shared" si="31"/>
        <v>2</v>
      </c>
      <c r="U129" s="554">
        <f t="shared" si="31"/>
        <v>2</v>
      </c>
      <c r="V129" s="554">
        <f t="shared" si="31"/>
        <v>2</v>
      </c>
      <c r="W129" s="554">
        <f t="shared" si="31"/>
        <v>2</v>
      </c>
      <c r="X129" s="554">
        <f t="shared" si="31"/>
        <v>2</v>
      </c>
      <c r="Y129" s="554">
        <f t="shared" si="30"/>
        <v>2</v>
      </c>
      <c r="Z129" s="554">
        <f t="shared" si="30"/>
        <v>2</v>
      </c>
      <c r="AA129" s="554">
        <f t="shared" si="30"/>
        <v>2</v>
      </c>
      <c r="AB129" s="554">
        <f t="shared" si="30"/>
        <v>2</v>
      </c>
      <c r="AC129" s="554">
        <f t="shared" si="30"/>
        <v>2</v>
      </c>
      <c r="AD129" s="554">
        <f t="shared" si="30"/>
        <v>2</v>
      </c>
      <c r="AE129" s="554">
        <f t="shared" si="30"/>
        <v>2</v>
      </c>
      <c r="AF129" s="554">
        <f t="shared" si="30"/>
        <v>2</v>
      </c>
      <c r="AG129" s="554">
        <f t="shared" si="30"/>
        <v>2</v>
      </c>
      <c r="AH129" s="554">
        <f t="shared" si="30"/>
        <v>2</v>
      </c>
      <c r="AI129" s="554">
        <f t="shared" si="30"/>
        <v>2</v>
      </c>
      <c r="AJ129" s="554">
        <f t="shared" si="30"/>
        <v>2</v>
      </c>
      <c r="AK129" s="554">
        <f t="shared" si="30"/>
        <v>2</v>
      </c>
      <c r="AL129" s="554">
        <f t="shared" si="30"/>
        <v>2</v>
      </c>
      <c r="AM129" s="554">
        <f t="shared" si="30"/>
        <v>2</v>
      </c>
      <c r="AN129" s="554">
        <f t="shared" si="30"/>
        <v>2</v>
      </c>
      <c r="AO129" s="554">
        <f t="shared" si="32"/>
        <v>2</v>
      </c>
      <c r="AP129" s="554">
        <f t="shared" si="32"/>
        <v>2</v>
      </c>
      <c r="AQ129" s="429" t="str">
        <f t="shared" si="22"/>
        <v>Vendido</v>
      </c>
      <c r="AR129" s="447">
        <f>_xlfn.XLOOKUP(C129,'BOULEVARD 5'!B:B,'BOULEVARD 5'!AU:AU)</f>
        <v>0.92725508720930239</v>
      </c>
    </row>
    <row r="130" spans="1:44" s="429" customFormat="1" ht="13.9" customHeight="1" x14ac:dyDescent="0.25">
      <c r="B130" s="678" t="str">
        <f>IF('B5-Status cobranza'!A130&gt;0,'B5-Status cobranza'!A130,"")</f>
        <v/>
      </c>
      <c r="C130" s="436">
        <v>714</v>
      </c>
      <c r="D130" s="436" t="s">
        <v>476</v>
      </c>
      <c r="E130" s="436"/>
      <c r="F130" s="436" t="str">
        <f>IF('BOULEVARD 5'!E128="","",'BOULEVARD 5'!E128)</f>
        <v>Antonio Rada</v>
      </c>
      <c r="G130" s="429" t="str">
        <f>IF('BOULEVARD 5'!F128="","",'BOULEVARD 5'!F128)</f>
        <v>Jose Carlos Samayoa San Jose</v>
      </c>
      <c r="H130" s="473">
        <f>IF('BOULEVARD 5'!G128="","",'BOULEVARD 5'!G128)</f>
        <v>45393</v>
      </c>
      <c r="I130" s="554" t="str">
        <f t="shared" si="31"/>
        <v/>
      </c>
      <c r="J130" s="554" t="str">
        <f t="shared" si="31"/>
        <v/>
      </c>
      <c r="K130" s="554" t="str">
        <f t="shared" si="31"/>
        <v/>
      </c>
      <c r="L130" s="554" t="str">
        <f t="shared" si="31"/>
        <v/>
      </c>
      <c r="M130" s="554" t="str">
        <f t="shared" si="31"/>
        <v/>
      </c>
      <c r="N130" s="554" t="str">
        <f t="shared" si="31"/>
        <v/>
      </c>
      <c r="O130" s="554" t="str">
        <f t="shared" si="31"/>
        <v/>
      </c>
      <c r="P130" s="554" t="str">
        <f t="shared" si="31"/>
        <v/>
      </c>
      <c r="Q130" s="554" t="str">
        <f t="shared" si="31"/>
        <v/>
      </c>
      <c r="R130" s="554" t="str">
        <f t="shared" si="31"/>
        <v/>
      </c>
      <c r="S130" s="554" t="str">
        <f t="shared" si="31"/>
        <v/>
      </c>
      <c r="T130" s="554" t="str">
        <f t="shared" si="31"/>
        <v/>
      </c>
      <c r="U130" s="554" t="str">
        <f t="shared" si="31"/>
        <v/>
      </c>
      <c r="V130" s="554">
        <f t="shared" si="31"/>
        <v>1</v>
      </c>
      <c r="W130" s="554">
        <f t="shared" si="31"/>
        <v>2</v>
      </c>
      <c r="X130" s="554">
        <f t="shared" si="31"/>
        <v>2</v>
      </c>
      <c r="Y130" s="554">
        <f t="shared" si="30"/>
        <v>2</v>
      </c>
      <c r="Z130" s="554">
        <f t="shared" si="30"/>
        <v>2</v>
      </c>
      <c r="AA130" s="554">
        <f t="shared" si="30"/>
        <v>2</v>
      </c>
      <c r="AB130" s="554">
        <f t="shared" si="30"/>
        <v>2</v>
      </c>
      <c r="AC130" s="554">
        <f t="shared" si="30"/>
        <v>2</v>
      </c>
      <c r="AD130" s="554">
        <f t="shared" si="30"/>
        <v>2</v>
      </c>
      <c r="AE130" s="554">
        <f t="shared" si="30"/>
        <v>2</v>
      </c>
      <c r="AF130" s="554">
        <f t="shared" si="30"/>
        <v>2</v>
      </c>
      <c r="AG130" s="554">
        <f t="shared" si="30"/>
        <v>2</v>
      </c>
      <c r="AH130" s="554">
        <f t="shared" si="30"/>
        <v>2</v>
      </c>
      <c r="AI130" s="554">
        <f t="shared" si="30"/>
        <v>2</v>
      </c>
      <c r="AJ130" s="554">
        <f t="shared" si="30"/>
        <v>2</v>
      </c>
      <c r="AK130" s="554">
        <f t="shared" si="30"/>
        <v>2</v>
      </c>
      <c r="AL130" s="554">
        <f t="shared" si="30"/>
        <v>2</v>
      </c>
      <c r="AM130" s="554">
        <f t="shared" si="30"/>
        <v>2</v>
      </c>
      <c r="AN130" s="554">
        <f t="shared" si="30"/>
        <v>2</v>
      </c>
      <c r="AO130" s="554">
        <f t="shared" si="32"/>
        <v>2</v>
      </c>
      <c r="AP130" s="554">
        <f t="shared" si="32"/>
        <v>2</v>
      </c>
      <c r="AQ130" s="429" t="str">
        <f t="shared" si="22"/>
        <v>Vendido</v>
      </c>
      <c r="AR130" s="447">
        <f>_xlfn.XLOOKUP(C130,'BOULEVARD 5'!B:B,'BOULEVARD 5'!AU:AU)</f>
        <v>2.1660825545171338</v>
      </c>
    </row>
    <row r="131" spans="1:44" s="429" customFormat="1" ht="13.9" customHeight="1" x14ac:dyDescent="0.25">
      <c r="B131" s="678" t="str">
        <f>IF('B5-Status cobranza'!A131&gt;0,'B5-Status cobranza'!A131,"")</f>
        <v/>
      </c>
      <c r="C131" s="436">
        <v>715</v>
      </c>
      <c r="D131" s="436" t="s">
        <v>189</v>
      </c>
      <c r="E131" s="436"/>
      <c r="F131" s="436" t="str">
        <f>IF('BOULEVARD 5'!E129="","",'BOULEVARD 5'!E129)</f>
        <v>Brenda Búcaro</v>
      </c>
      <c r="G131" s="429" t="str">
        <f>IF('BOULEVARD 5'!F129="","",'BOULEVARD 5'!F129)</f>
        <v>Cynthia Marisel Coronado Monterroso</v>
      </c>
      <c r="H131" s="473">
        <f>IF('BOULEVARD 5'!G129="","",'BOULEVARD 5'!G129)</f>
        <v>44995</v>
      </c>
      <c r="I131" s="554">
        <f t="shared" si="31"/>
        <v>1</v>
      </c>
      <c r="J131" s="554">
        <f t="shared" si="31"/>
        <v>2</v>
      </c>
      <c r="K131" s="554">
        <f t="shared" si="31"/>
        <v>2</v>
      </c>
      <c r="L131" s="554">
        <f t="shared" si="31"/>
        <v>2</v>
      </c>
      <c r="M131" s="554">
        <f t="shared" si="31"/>
        <v>2</v>
      </c>
      <c r="N131" s="554">
        <f t="shared" si="31"/>
        <v>2</v>
      </c>
      <c r="O131" s="554">
        <f t="shared" si="31"/>
        <v>2</v>
      </c>
      <c r="P131" s="554">
        <f t="shared" si="31"/>
        <v>2</v>
      </c>
      <c r="Q131" s="554">
        <f t="shared" si="31"/>
        <v>2</v>
      </c>
      <c r="R131" s="554">
        <f t="shared" si="31"/>
        <v>2</v>
      </c>
      <c r="S131" s="554">
        <f t="shared" si="31"/>
        <v>2</v>
      </c>
      <c r="T131" s="554">
        <f t="shared" si="31"/>
        <v>2</v>
      </c>
      <c r="U131" s="554">
        <f t="shared" si="31"/>
        <v>2</v>
      </c>
      <c r="V131" s="554">
        <f t="shared" si="31"/>
        <v>2</v>
      </c>
      <c r="W131" s="554">
        <f t="shared" si="31"/>
        <v>2</v>
      </c>
      <c r="X131" s="554">
        <f t="shared" si="31"/>
        <v>2</v>
      </c>
      <c r="Y131" s="554">
        <f t="shared" si="30"/>
        <v>2</v>
      </c>
      <c r="Z131" s="554">
        <f t="shared" si="30"/>
        <v>2</v>
      </c>
      <c r="AA131" s="554">
        <f t="shared" si="30"/>
        <v>2</v>
      </c>
      <c r="AB131" s="554">
        <f t="shared" si="30"/>
        <v>2</v>
      </c>
      <c r="AC131" s="554">
        <f t="shared" si="30"/>
        <v>2</v>
      </c>
      <c r="AD131" s="554">
        <f t="shared" si="30"/>
        <v>2</v>
      </c>
      <c r="AE131" s="554">
        <f t="shared" si="30"/>
        <v>2</v>
      </c>
      <c r="AF131" s="554">
        <f t="shared" si="30"/>
        <v>2</v>
      </c>
      <c r="AG131" s="554">
        <f t="shared" si="30"/>
        <v>2</v>
      </c>
      <c r="AH131" s="554">
        <f t="shared" si="30"/>
        <v>2</v>
      </c>
      <c r="AI131" s="554">
        <f t="shared" si="30"/>
        <v>2</v>
      </c>
      <c r="AJ131" s="554">
        <f t="shared" si="30"/>
        <v>2</v>
      </c>
      <c r="AK131" s="554">
        <f t="shared" si="30"/>
        <v>2</v>
      </c>
      <c r="AL131" s="554">
        <f t="shared" si="30"/>
        <v>2</v>
      </c>
      <c r="AM131" s="554">
        <f t="shared" si="30"/>
        <v>2</v>
      </c>
      <c r="AN131" s="554">
        <f t="shared" si="30"/>
        <v>2</v>
      </c>
      <c r="AO131" s="554">
        <f t="shared" si="32"/>
        <v>2</v>
      </c>
      <c r="AP131" s="554">
        <f t="shared" si="32"/>
        <v>2</v>
      </c>
      <c r="AQ131" s="429" t="str">
        <f t="shared" si="22"/>
        <v>Vendido</v>
      </c>
      <c r="AR131" s="447">
        <f>_xlfn.XLOOKUP(C131,'BOULEVARD 5'!B:B,'BOULEVARD 5'!AU:AU)</f>
        <v>0.89677419354838706</v>
      </c>
    </row>
    <row r="132" spans="1:44" s="429" customFormat="1" ht="13.9" customHeight="1" x14ac:dyDescent="0.25">
      <c r="B132" s="678" t="str">
        <f>IF('B5-Status cobranza'!A132&gt;0,'B5-Status cobranza'!A132,"")</f>
        <v/>
      </c>
      <c r="C132" s="436">
        <v>716</v>
      </c>
      <c r="D132" s="436" t="s">
        <v>400</v>
      </c>
      <c r="E132" s="436"/>
      <c r="F132" s="436" t="str">
        <f>IF('BOULEVARD 5'!E130="","",'BOULEVARD 5'!E130)</f>
        <v>Antonio Rada</v>
      </c>
      <c r="G132" s="429" t="str">
        <f>IF('BOULEVARD 5'!F130="","",'BOULEVARD 5'!F130)</f>
        <v>Lisvet  Maricelasance Alvarez De Giron</v>
      </c>
      <c r="H132" s="473">
        <f>IF('BOULEVARD 5'!G130="","",'BOULEVARD 5'!G130)</f>
        <v>45306</v>
      </c>
      <c r="I132" s="554" t="str">
        <f t="shared" si="31"/>
        <v/>
      </c>
      <c r="J132" s="554" t="str">
        <f t="shared" si="31"/>
        <v/>
      </c>
      <c r="K132" s="554" t="str">
        <f t="shared" si="31"/>
        <v/>
      </c>
      <c r="L132" s="554" t="str">
        <f t="shared" si="31"/>
        <v/>
      </c>
      <c r="M132" s="554" t="str">
        <f t="shared" si="31"/>
        <v/>
      </c>
      <c r="N132" s="554" t="str">
        <f t="shared" si="31"/>
        <v/>
      </c>
      <c r="O132" s="554" t="str">
        <f t="shared" si="31"/>
        <v/>
      </c>
      <c r="P132" s="554" t="str">
        <f t="shared" si="31"/>
        <v/>
      </c>
      <c r="Q132" s="554" t="str">
        <f t="shared" si="31"/>
        <v/>
      </c>
      <c r="R132" s="554" t="str">
        <f t="shared" si="31"/>
        <v/>
      </c>
      <c r="S132" s="554">
        <f t="shared" si="31"/>
        <v>1</v>
      </c>
      <c r="T132" s="554">
        <f t="shared" si="31"/>
        <v>2</v>
      </c>
      <c r="U132" s="554">
        <f t="shared" si="31"/>
        <v>2</v>
      </c>
      <c r="V132" s="554">
        <f t="shared" si="31"/>
        <v>2</v>
      </c>
      <c r="W132" s="554">
        <f t="shared" si="31"/>
        <v>2</v>
      </c>
      <c r="X132" s="554">
        <f t="shared" si="31"/>
        <v>2</v>
      </c>
      <c r="Y132" s="554">
        <f t="shared" si="30"/>
        <v>2</v>
      </c>
      <c r="Z132" s="554">
        <f t="shared" si="30"/>
        <v>2</v>
      </c>
      <c r="AA132" s="554">
        <f t="shared" si="30"/>
        <v>2</v>
      </c>
      <c r="AB132" s="554">
        <f t="shared" si="30"/>
        <v>2</v>
      </c>
      <c r="AC132" s="554">
        <f t="shared" si="30"/>
        <v>2</v>
      </c>
      <c r="AD132" s="554">
        <f t="shared" si="30"/>
        <v>2</v>
      </c>
      <c r="AE132" s="554">
        <f t="shared" si="30"/>
        <v>2</v>
      </c>
      <c r="AF132" s="554">
        <f t="shared" si="30"/>
        <v>2</v>
      </c>
      <c r="AG132" s="554">
        <f t="shared" si="30"/>
        <v>2</v>
      </c>
      <c r="AH132" s="554">
        <f t="shared" si="30"/>
        <v>2</v>
      </c>
      <c r="AI132" s="554">
        <f t="shared" si="30"/>
        <v>2</v>
      </c>
      <c r="AJ132" s="554">
        <f t="shared" si="30"/>
        <v>2</v>
      </c>
      <c r="AK132" s="554">
        <f t="shared" si="30"/>
        <v>2</v>
      </c>
      <c r="AL132" s="554">
        <f t="shared" si="30"/>
        <v>2</v>
      </c>
      <c r="AM132" s="554">
        <f t="shared" si="30"/>
        <v>2</v>
      </c>
      <c r="AN132" s="554">
        <f t="shared" si="30"/>
        <v>2</v>
      </c>
      <c r="AO132" s="554">
        <f t="shared" si="32"/>
        <v>2</v>
      </c>
      <c r="AP132" s="554">
        <f t="shared" si="32"/>
        <v>2</v>
      </c>
      <c r="AQ132" s="429" t="str">
        <f t="shared" si="22"/>
        <v>Vendido</v>
      </c>
      <c r="AR132" s="447">
        <f>_xlfn.XLOOKUP(C132,'BOULEVARD 5'!B:B,'BOULEVARD 5'!AU:AU)</f>
        <v>1</v>
      </c>
    </row>
    <row r="133" spans="1:44" s="429" customFormat="1" ht="13.9" customHeight="1" x14ac:dyDescent="0.25">
      <c r="B133" s="678" t="str">
        <f>IF('B5-Status cobranza'!A133&gt;0,'B5-Status cobranza'!A133,"")</f>
        <v/>
      </c>
      <c r="C133" s="436">
        <v>717</v>
      </c>
      <c r="D133" s="436" t="s">
        <v>175</v>
      </c>
      <c r="E133" s="436"/>
      <c r="F133" s="436" t="str">
        <f>IF('BOULEVARD 5'!E131="","",'BOULEVARD 5'!E131)</f>
        <v>Antonio Rada</v>
      </c>
      <c r="G133" s="429" t="str">
        <f>IF('BOULEVARD 5'!F131="","",'BOULEVARD 5'!F131)</f>
        <v>Jorge Estuardo Díaz Durán Baldetti</v>
      </c>
      <c r="H133" s="473">
        <f>IF('BOULEVARD 5'!G131="","",'BOULEVARD 5'!G131)</f>
        <v>45412</v>
      </c>
      <c r="I133" s="554" t="str">
        <f t="shared" si="31"/>
        <v/>
      </c>
      <c r="J133" s="554" t="str">
        <f t="shared" si="31"/>
        <v/>
      </c>
      <c r="K133" s="554" t="str">
        <f t="shared" si="31"/>
        <v/>
      </c>
      <c r="L133" s="554" t="str">
        <f t="shared" si="31"/>
        <v/>
      </c>
      <c r="M133" s="554" t="str">
        <f t="shared" si="31"/>
        <v/>
      </c>
      <c r="N133" s="554" t="str">
        <f t="shared" si="31"/>
        <v/>
      </c>
      <c r="O133" s="554" t="str">
        <f t="shared" si="31"/>
        <v/>
      </c>
      <c r="P133" s="554" t="str">
        <f t="shared" si="31"/>
        <v/>
      </c>
      <c r="Q133" s="554" t="str">
        <f t="shared" si="31"/>
        <v/>
      </c>
      <c r="R133" s="554" t="str">
        <f t="shared" si="31"/>
        <v/>
      </c>
      <c r="S133" s="554" t="str">
        <f t="shared" si="31"/>
        <v/>
      </c>
      <c r="T133" s="554" t="str">
        <f t="shared" si="31"/>
        <v/>
      </c>
      <c r="U133" s="554" t="str">
        <f t="shared" si="31"/>
        <v/>
      </c>
      <c r="V133" s="554">
        <f t="shared" si="31"/>
        <v>1</v>
      </c>
      <c r="W133" s="554">
        <f t="shared" si="31"/>
        <v>2</v>
      </c>
      <c r="X133" s="554">
        <f t="shared" si="31"/>
        <v>2</v>
      </c>
      <c r="Y133" s="554">
        <f t="shared" si="30"/>
        <v>2</v>
      </c>
      <c r="Z133" s="554">
        <f t="shared" si="30"/>
        <v>2</v>
      </c>
      <c r="AA133" s="554">
        <f t="shared" si="30"/>
        <v>2</v>
      </c>
      <c r="AB133" s="554">
        <f t="shared" si="30"/>
        <v>2</v>
      </c>
      <c r="AC133" s="554">
        <f t="shared" si="30"/>
        <v>2</v>
      </c>
      <c r="AD133" s="554">
        <f t="shared" si="30"/>
        <v>2</v>
      </c>
      <c r="AE133" s="554">
        <f t="shared" si="30"/>
        <v>2</v>
      </c>
      <c r="AF133" s="554">
        <f t="shared" si="30"/>
        <v>2</v>
      </c>
      <c r="AG133" s="554">
        <f t="shared" si="30"/>
        <v>2</v>
      </c>
      <c r="AH133" s="554">
        <f t="shared" si="30"/>
        <v>2</v>
      </c>
      <c r="AI133" s="554">
        <f t="shared" si="30"/>
        <v>2</v>
      </c>
      <c r="AJ133" s="554">
        <f t="shared" si="30"/>
        <v>2</v>
      </c>
      <c r="AK133" s="554">
        <f t="shared" si="30"/>
        <v>2</v>
      </c>
      <c r="AL133" s="554">
        <f t="shared" si="30"/>
        <v>2</v>
      </c>
      <c r="AM133" s="554">
        <f t="shared" si="30"/>
        <v>2</v>
      </c>
      <c r="AN133" s="554">
        <f t="shared" si="30"/>
        <v>2</v>
      </c>
      <c r="AO133" s="554">
        <f t="shared" si="32"/>
        <v>2</v>
      </c>
      <c r="AP133" s="554">
        <f t="shared" si="32"/>
        <v>2</v>
      </c>
      <c r="AQ133" s="429" t="str">
        <f t="shared" si="22"/>
        <v>Vendido</v>
      </c>
      <c r="AR133" s="447">
        <f>_xlfn.XLOOKUP(C133,'BOULEVARD 5'!B:B,'BOULEVARD 5'!AU:AU)</f>
        <v>1.4184684684684685</v>
      </c>
    </row>
    <row r="134" spans="1:44" s="429" customFormat="1" ht="13.9" customHeight="1" x14ac:dyDescent="0.25">
      <c r="B134" s="678" t="str">
        <f>IF('B5-Status cobranza'!A134&gt;0,'B5-Status cobranza'!A134,"")</f>
        <v/>
      </c>
      <c r="C134" s="436">
        <v>718</v>
      </c>
      <c r="D134" s="436" t="s">
        <v>456</v>
      </c>
      <c r="E134" s="436"/>
      <c r="F134" s="436" t="str">
        <f>IF('BOULEVARD 5'!E132="","",'BOULEVARD 5'!E132)</f>
        <v>Mario Rodriguez</v>
      </c>
      <c r="G134" s="429" t="str">
        <f>IF('BOULEVARD 5'!F132="","",'BOULEVARD 5'!F132)</f>
        <v>Julio Fernando Flores Interiano</v>
      </c>
      <c r="H134" s="473">
        <f>IF('BOULEVARD 5'!G132="","",'BOULEVARD 5'!G132)</f>
        <v>45902</v>
      </c>
      <c r="I134" s="554" t="str">
        <f t="shared" si="31"/>
        <v/>
      </c>
      <c r="J134" s="554" t="str">
        <f t="shared" si="31"/>
        <v/>
      </c>
      <c r="K134" s="554" t="str">
        <f t="shared" si="31"/>
        <v/>
      </c>
      <c r="L134" s="554" t="str">
        <f t="shared" si="31"/>
        <v/>
      </c>
      <c r="M134" s="554" t="str">
        <f t="shared" si="31"/>
        <v/>
      </c>
      <c r="N134" s="554" t="str">
        <f t="shared" si="31"/>
        <v/>
      </c>
      <c r="O134" s="554" t="str">
        <f t="shared" si="31"/>
        <v/>
      </c>
      <c r="P134" s="554" t="str">
        <f t="shared" si="31"/>
        <v/>
      </c>
      <c r="Q134" s="554" t="str">
        <f t="shared" si="31"/>
        <v/>
      </c>
      <c r="R134" s="554" t="str">
        <f t="shared" si="31"/>
        <v/>
      </c>
      <c r="S134" s="554" t="str">
        <f t="shared" si="31"/>
        <v/>
      </c>
      <c r="T134" s="554" t="str">
        <f t="shared" si="31"/>
        <v/>
      </c>
      <c r="U134" s="554" t="str">
        <f t="shared" si="31"/>
        <v/>
      </c>
      <c r="V134" s="554" t="str">
        <f t="shared" si="31"/>
        <v/>
      </c>
      <c r="W134" s="554" t="str">
        <f t="shared" si="31"/>
        <v/>
      </c>
      <c r="X134" s="554" t="str">
        <f t="shared" si="31"/>
        <v/>
      </c>
      <c r="Y134" s="554" t="str">
        <f t="shared" si="30"/>
        <v/>
      </c>
      <c r="Z134" s="554" t="str">
        <f t="shared" si="30"/>
        <v/>
      </c>
      <c r="AA134" s="554" t="str">
        <f t="shared" si="30"/>
        <v/>
      </c>
      <c r="AB134" s="554" t="str">
        <f t="shared" si="30"/>
        <v/>
      </c>
      <c r="AC134" s="554" t="str">
        <f t="shared" si="30"/>
        <v/>
      </c>
      <c r="AD134" s="554" t="str">
        <f t="shared" si="30"/>
        <v/>
      </c>
      <c r="AE134" s="554" t="str">
        <f t="shared" si="30"/>
        <v/>
      </c>
      <c r="AF134" s="554" t="str">
        <f t="shared" si="30"/>
        <v/>
      </c>
      <c r="AG134" s="554" t="str">
        <f t="shared" si="30"/>
        <v/>
      </c>
      <c r="AH134" s="554" t="str">
        <f t="shared" si="30"/>
        <v/>
      </c>
      <c r="AI134" s="554" t="str">
        <f t="shared" si="30"/>
        <v/>
      </c>
      <c r="AJ134" s="554" t="str">
        <f t="shared" si="30"/>
        <v/>
      </c>
      <c r="AK134" s="554" t="str">
        <f t="shared" si="30"/>
        <v/>
      </c>
      <c r="AL134" s="554" t="str">
        <f t="shared" si="30"/>
        <v/>
      </c>
      <c r="AM134" s="554">
        <f t="shared" si="30"/>
        <v>1</v>
      </c>
      <c r="AN134" s="554">
        <f t="shared" si="30"/>
        <v>2</v>
      </c>
      <c r="AO134" s="554">
        <f t="shared" si="32"/>
        <v>2</v>
      </c>
      <c r="AP134" s="554">
        <f t="shared" si="32"/>
        <v>2</v>
      </c>
      <c r="AQ134" s="429" t="str">
        <f t="shared" si="22"/>
        <v>Vendido</v>
      </c>
      <c r="AR134" s="447">
        <f>_xlfn.XLOOKUP(C134,'BOULEVARD 5'!B:B,'BOULEVARD 5'!AU:AU)</f>
        <v>8.5616438356164379E-2</v>
      </c>
    </row>
    <row r="135" spans="1:44" s="429" customFormat="1" ht="13.9" customHeight="1" x14ac:dyDescent="0.25">
      <c r="B135" s="678" t="str">
        <f>IF('B5-Status cobranza'!A135&gt;0,'B5-Status cobranza'!A135,"")</f>
        <v/>
      </c>
      <c r="C135" s="436">
        <v>719</v>
      </c>
      <c r="D135" s="436" t="s">
        <v>134</v>
      </c>
      <c r="E135" s="436"/>
      <c r="F135" s="436" t="str">
        <f>IF('BOULEVARD 5'!E133="","",'BOULEVARD 5'!E133)</f>
        <v>Junta Directiva</v>
      </c>
      <c r="G135" s="429" t="str">
        <f>IF('BOULEVARD 5'!F133="","",'BOULEVARD 5'!F133)</f>
        <v>(congelado estrategia comercial) / Mario Flores</v>
      </c>
      <c r="H135" s="473">
        <f>IF('BOULEVARD 5'!G133="","",'BOULEVARD 5'!G133)</f>
        <v>45904</v>
      </c>
      <c r="I135" s="554" t="str">
        <f t="shared" si="31"/>
        <v/>
      </c>
      <c r="J135" s="554" t="str">
        <f t="shared" si="31"/>
        <v/>
      </c>
      <c r="K135" s="554" t="str">
        <f t="shared" si="31"/>
        <v/>
      </c>
      <c r="L135" s="554" t="str">
        <f t="shared" si="31"/>
        <v/>
      </c>
      <c r="M135" s="554" t="str">
        <f t="shared" si="31"/>
        <v/>
      </c>
      <c r="N135" s="554" t="str">
        <f t="shared" si="31"/>
        <v/>
      </c>
      <c r="O135" s="554" t="str">
        <f t="shared" si="31"/>
        <v/>
      </c>
      <c r="P135" s="554" t="str">
        <f t="shared" si="31"/>
        <v/>
      </c>
      <c r="Q135" s="554" t="str">
        <f t="shared" si="31"/>
        <v/>
      </c>
      <c r="R135" s="554" t="str">
        <f t="shared" si="31"/>
        <v/>
      </c>
      <c r="S135" s="554" t="str">
        <f t="shared" si="31"/>
        <v/>
      </c>
      <c r="T135" s="554" t="str">
        <f t="shared" si="31"/>
        <v/>
      </c>
      <c r="U135" s="554" t="str">
        <f t="shared" si="31"/>
        <v/>
      </c>
      <c r="V135" s="554" t="str">
        <f t="shared" si="31"/>
        <v/>
      </c>
      <c r="W135" s="554" t="str">
        <f t="shared" si="31"/>
        <v/>
      </c>
      <c r="X135" s="554" t="str">
        <f t="shared" si="31"/>
        <v/>
      </c>
      <c r="Y135" s="554" t="str">
        <f t="shared" si="30"/>
        <v/>
      </c>
      <c r="Z135" s="554" t="str">
        <f t="shared" si="30"/>
        <v/>
      </c>
      <c r="AA135" s="554" t="str">
        <f t="shared" si="30"/>
        <v/>
      </c>
      <c r="AB135" s="554" t="str">
        <f t="shared" si="30"/>
        <v/>
      </c>
      <c r="AC135" s="554" t="str">
        <f t="shared" si="30"/>
        <v/>
      </c>
      <c r="AD135" s="554" t="str">
        <f t="shared" si="30"/>
        <v/>
      </c>
      <c r="AE135" s="554" t="str">
        <f t="shared" si="30"/>
        <v/>
      </c>
      <c r="AF135" s="554" t="str">
        <f t="shared" si="30"/>
        <v/>
      </c>
      <c r="AG135" s="554" t="str">
        <f t="shared" si="30"/>
        <v/>
      </c>
      <c r="AH135" s="554" t="str">
        <f t="shared" si="30"/>
        <v/>
      </c>
      <c r="AI135" s="554" t="str">
        <f t="shared" si="30"/>
        <v/>
      </c>
      <c r="AJ135" s="554" t="str">
        <f t="shared" si="30"/>
        <v/>
      </c>
      <c r="AK135" s="554" t="str">
        <f t="shared" si="30"/>
        <v/>
      </c>
      <c r="AL135" s="554" t="str">
        <f t="shared" si="30"/>
        <v/>
      </c>
      <c r="AM135" s="554">
        <f t="shared" si="30"/>
        <v>1</v>
      </c>
      <c r="AN135" s="554">
        <f t="shared" si="30"/>
        <v>2</v>
      </c>
      <c r="AO135" s="554">
        <f t="shared" si="32"/>
        <v>2</v>
      </c>
      <c r="AP135" s="554">
        <f t="shared" si="32"/>
        <v>2</v>
      </c>
      <c r="AQ135" s="429" t="str">
        <f t="shared" si="22"/>
        <v>Vendido</v>
      </c>
      <c r="AR135" s="447">
        <f>_xlfn.XLOOKUP(C135,'BOULEVARD 5'!B:B,'BOULEVARD 5'!AU:AU)</f>
        <v>0</v>
      </c>
    </row>
    <row r="136" spans="1:44" s="429" customFormat="1" ht="13.9" customHeight="1" x14ac:dyDescent="0.25">
      <c r="B136" s="678" t="str">
        <f>IF('B5-Status cobranza'!A136&gt;0,'B5-Status cobranza'!A136,"")</f>
        <v/>
      </c>
      <c r="C136" s="436">
        <v>801</v>
      </c>
      <c r="D136" s="436" t="s">
        <v>409</v>
      </c>
      <c r="E136" s="436"/>
      <c r="F136" s="436" t="str">
        <f>IF('BOULEVARD 5'!E134="","",'BOULEVARD 5'!E134)</f>
        <v>Antonio Rada</v>
      </c>
      <c r="G136" s="429" t="str">
        <f>IF('BOULEVARD 5'!F134="","",'BOULEVARD 5'!F134)</f>
        <v>Pablo Jose Juarez Pereira</v>
      </c>
      <c r="H136" s="473">
        <f>IF('BOULEVARD 5'!G134="","",'BOULEVARD 5'!G134)</f>
        <v>45132</v>
      </c>
      <c r="I136" s="554" t="str">
        <f t="shared" si="31"/>
        <v/>
      </c>
      <c r="J136" s="554" t="str">
        <f t="shared" si="31"/>
        <v/>
      </c>
      <c r="K136" s="554" t="str">
        <f t="shared" si="31"/>
        <v/>
      </c>
      <c r="L136" s="554" t="str">
        <f t="shared" si="31"/>
        <v/>
      </c>
      <c r="M136" s="554">
        <f t="shared" si="31"/>
        <v>1</v>
      </c>
      <c r="N136" s="554">
        <f t="shared" si="31"/>
        <v>2</v>
      </c>
      <c r="O136" s="554">
        <f t="shared" si="31"/>
        <v>2</v>
      </c>
      <c r="P136" s="554">
        <f t="shared" si="31"/>
        <v>2</v>
      </c>
      <c r="Q136" s="554">
        <f t="shared" si="31"/>
        <v>2</v>
      </c>
      <c r="R136" s="554">
        <f t="shared" si="31"/>
        <v>2</v>
      </c>
      <c r="S136" s="554">
        <f t="shared" si="31"/>
        <v>2</v>
      </c>
      <c r="T136" s="554">
        <f t="shared" si="31"/>
        <v>2</v>
      </c>
      <c r="U136" s="554">
        <f t="shared" si="31"/>
        <v>2</v>
      </c>
      <c r="V136" s="554">
        <f t="shared" si="31"/>
        <v>2</v>
      </c>
      <c r="W136" s="554">
        <f t="shared" si="31"/>
        <v>2</v>
      </c>
      <c r="X136" s="554">
        <f t="shared" si="31"/>
        <v>2</v>
      </c>
      <c r="Y136" s="554">
        <f t="shared" si="30"/>
        <v>2</v>
      </c>
      <c r="Z136" s="554">
        <f t="shared" si="30"/>
        <v>2</v>
      </c>
      <c r="AA136" s="554">
        <f t="shared" si="30"/>
        <v>2</v>
      </c>
      <c r="AB136" s="554">
        <f t="shared" si="30"/>
        <v>2</v>
      </c>
      <c r="AC136" s="554">
        <f t="shared" si="30"/>
        <v>2</v>
      </c>
      <c r="AD136" s="554">
        <f t="shared" si="30"/>
        <v>2</v>
      </c>
      <c r="AE136" s="554">
        <f t="shared" si="30"/>
        <v>2</v>
      </c>
      <c r="AF136" s="554">
        <f t="shared" si="30"/>
        <v>2</v>
      </c>
      <c r="AG136" s="554">
        <f t="shared" si="30"/>
        <v>2</v>
      </c>
      <c r="AH136" s="554">
        <f t="shared" si="30"/>
        <v>2</v>
      </c>
      <c r="AI136" s="554">
        <f t="shared" si="30"/>
        <v>2</v>
      </c>
      <c r="AJ136" s="554">
        <f t="shared" si="30"/>
        <v>2</v>
      </c>
      <c r="AK136" s="554">
        <f t="shared" si="30"/>
        <v>2</v>
      </c>
      <c r="AL136" s="554">
        <f t="shared" si="30"/>
        <v>2</v>
      </c>
      <c r="AM136" s="554">
        <f t="shared" si="30"/>
        <v>2</v>
      </c>
      <c r="AN136" s="554">
        <f t="shared" si="30"/>
        <v>2</v>
      </c>
      <c r="AO136" s="554">
        <f t="shared" si="32"/>
        <v>2</v>
      </c>
      <c r="AP136" s="554">
        <f t="shared" si="32"/>
        <v>2</v>
      </c>
      <c r="AQ136" s="429" t="str">
        <f t="shared" si="22"/>
        <v>Vendido</v>
      </c>
      <c r="AR136" s="447">
        <f>_xlfn.XLOOKUP(C136,'BOULEVARD 5'!B:B,'BOULEVARD 5'!AU:AU)</f>
        <v>1</v>
      </c>
    </row>
    <row r="137" spans="1:44" s="429" customFormat="1" ht="13.9" customHeight="1" x14ac:dyDescent="0.25">
      <c r="B137" s="678" t="str">
        <f>IF('B5-Status cobranza'!A137&gt;0,'B5-Status cobranza'!A137,"")</f>
        <v/>
      </c>
      <c r="C137" s="436">
        <v>802</v>
      </c>
      <c r="D137" s="436" t="s">
        <v>184</v>
      </c>
      <c r="E137" s="436"/>
      <c r="F137" s="436" t="str">
        <f>IF('BOULEVARD 5'!E135="","",'BOULEVARD 5'!E135)</f>
        <v>Brenda Búcaro</v>
      </c>
      <c r="G137" s="429" t="str">
        <f>IF('BOULEVARD 5'!F135="","",'BOULEVARD 5'!F135)</f>
        <v>Carmen Julia Soto Baechli De Hicks</v>
      </c>
      <c r="H137" s="473">
        <f>IF('BOULEVARD 5'!G135="","",'BOULEVARD 5'!G135)</f>
        <v>45087</v>
      </c>
      <c r="I137" s="554" t="str">
        <f t="shared" si="31"/>
        <v/>
      </c>
      <c r="J137" s="554" t="str">
        <f t="shared" si="31"/>
        <v/>
      </c>
      <c r="K137" s="554" t="str">
        <f t="shared" si="31"/>
        <v/>
      </c>
      <c r="L137" s="554">
        <f t="shared" si="31"/>
        <v>1</v>
      </c>
      <c r="M137" s="554">
        <f t="shared" si="31"/>
        <v>2</v>
      </c>
      <c r="N137" s="554">
        <f t="shared" si="31"/>
        <v>2</v>
      </c>
      <c r="O137" s="554">
        <f t="shared" si="31"/>
        <v>2</v>
      </c>
      <c r="P137" s="554">
        <f t="shared" si="31"/>
        <v>2</v>
      </c>
      <c r="Q137" s="554">
        <f t="shared" si="31"/>
        <v>2</v>
      </c>
      <c r="R137" s="554">
        <f t="shared" si="31"/>
        <v>2</v>
      </c>
      <c r="S137" s="554">
        <f t="shared" si="31"/>
        <v>2</v>
      </c>
      <c r="T137" s="554">
        <f t="shared" si="31"/>
        <v>2</v>
      </c>
      <c r="U137" s="554">
        <f t="shared" si="31"/>
        <v>2</v>
      </c>
      <c r="V137" s="554">
        <f t="shared" si="31"/>
        <v>2</v>
      </c>
      <c r="W137" s="554">
        <f t="shared" si="31"/>
        <v>2</v>
      </c>
      <c r="X137" s="554">
        <f t="shared" ref="X137:AM152" si="33">IF(OR($B137="F&amp;F",$B137="CE",$H137=""),"",IF(TEXT(X$8,"yyyymm")=TEXT($H137,"yyyymm"),1,IF(TEXT(X$8,"yyyymm")&gt;TEXT($H137,"yyyymm"),2,IF(X$8&lt;$H137,"",0))))</f>
        <v>2</v>
      </c>
      <c r="Y137" s="554">
        <f t="shared" si="33"/>
        <v>2</v>
      </c>
      <c r="Z137" s="554">
        <f t="shared" si="33"/>
        <v>2</v>
      </c>
      <c r="AA137" s="554">
        <f t="shared" si="33"/>
        <v>2</v>
      </c>
      <c r="AB137" s="554">
        <f t="shared" si="33"/>
        <v>2</v>
      </c>
      <c r="AC137" s="554">
        <f t="shared" si="33"/>
        <v>2</v>
      </c>
      <c r="AD137" s="554">
        <f t="shared" si="33"/>
        <v>2</v>
      </c>
      <c r="AE137" s="554">
        <f t="shared" si="33"/>
        <v>2</v>
      </c>
      <c r="AF137" s="554">
        <f t="shared" si="33"/>
        <v>2</v>
      </c>
      <c r="AG137" s="554">
        <f t="shared" si="33"/>
        <v>2</v>
      </c>
      <c r="AH137" s="554">
        <f t="shared" si="33"/>
        <v>2</v>
      </c>
      <c r="AI137" s="554">
        <f t="shared" si="33"/>
        <v>2</v>
      </c>
      <c r="AJ137" s="554">
        <f t="shared" si="33"/>
        <v>2</v>
      </c>
      <c r="AK137" s="554">
        <f t="shared" si="33"/>
        <v>2</v>
      </c>
      <c r="AL137" s="554">
        <f t="shared" si="33"/>
        <v>2</v>
      </c>
      <c r="AM137" s="554">
        <f t="shared" si="33"/>
        <v>2</v>
      </c>
      <c r="AN137" s="554">
        <f t="shared" ref="AN137:AP156" si="34">IF(OR($B137="F&amp;F",$B137="CE",$H137=""),"",IF(TEXT(AN$8,"yyyymm")=TEXT($H137,"yyyymm"),1,IF(TEXT(AN$8,"yyyymm")&gt;TEXT($H137,"yyyymm"),2,IF(AN$8&lt;$H137,"",0))))</f>
        <v>2</v>
      </c>
      <c r="AO137" s="554">
        <f t="shared" si="32"/>
        <v>2</v>
      </c>
      <c r="AP137" s="554">
        <f t="shared" si="32"/>
        <v>2</v>
      </c>
      <c r="AQ137" s="429" t="str">
        <f t="shared" si="22"/>
        <v>Vendido</v>
      </c>
      <c r="AR137" s="447">
        <f>_xlfn.XLOOKUP(C137,'BOULEVARD 5'!B:B,'BOULEVARD 5'!AU:AU)</f>
        <v>1.1405312767780633</v>
      </c>
    </row>
    <row r="138" spans="1:44" s="429" customFormat="1" ht="13.9" customHeight="1" x14ac:dyDescent="0.25">
      <c r="B138" s="678" t="str">
        <f>IF('B5-Status cobranza'!A138&gt;0,'B5-Status cobranza'!A138,"")</f>
        <v/>
      </c>
      <c r="C138" s="436">
        <v>803</v>
      </c>
      <c r="D138" s="436" t="s">
        <v>406</v>
      </c>
      <c r="E138" s="436"/>
      <c r="F138" s="436" t="str">
        <f>IF('BOULEVARD 5'!E136="","",'BOULEVARD 5'!E136)</f>
        <v>Brenda Búcaro</v>
      </c>
      <c r="G138" s="429" t="str">
        <f>IF('BOULEVARD 5'!F136="","",'BOULEVARD 5'!F136)</f>
        <v>Mauricio Antonio Leon Tres</v>
      </c>
      <c r="H138" s="473">
        <f>IF('BOULEVARD 5'!G136="","",'BOULEVARD 5'!G136)</f>
        <v>45007</v>
      </c>
      <c r="I138" s="554">
        <f t="shared" ref="I138:X153" si="35">IF(OR($B138="F&amp;F",$B138="CE",$H138=""),"",IF(TEXT(I$8,"yyyymm")=TEXT($H138,"yyyymm"),1,IF(TEXT(I$8,"yyyymm")&gt;TEXT($H138,"yyyymm"),2,IF(I$8&lt;$H138,"",0))))</f>
        <v>1</v>
      </c>
      <c r="J138" s="554">
        <f t="shared" si="35"/>
        <v>2</v>
      </c>
      <c r="K138" s="554">
        <f t="shared" si="35"/>
        <v>2</v>
      </c>
      <c r="L138" s="554">
        <f t="shared" si="35"/>
        <v>2</v>
      </c>
      <c r="M138" s="554">
        <f t="shared" si="35"/>
        <v>2</v>
      </c>
      <c r="N138" s="554">
        <f t="shared" si="35"/>
        <v>2</v>
      </c>
      <c r="O138" s="554">
        <f t="shared" si="35"/>
        <v>2</v>
      </c>
      <c r="P138" s="554">
        <f t="shared" si="35"/>
        <v>2</v>
      </c>
      <c r="Q138" s="554">
        <f t="shared" si="35"/>
        <v>2</v>
      </c>
      <c r="R138" s="554">
        <f t="shared" si="35"/>
        <v>2</v>
      </c>
      <c r="S138" s="554">
        <f t="shared" si="35"/>
        <v>2</v>
      </c>
      <c r="T138" s="554">
        <f t="shared" si="35"/>
        <v>2</v>
      </c>
      <c r="U138" s="554">
        <f t="shared" si="35"/>
        <v>2</v>
      </c>
      <c r="V138" s="554">
        <f t="shared" si="35"/>
        <v>2</v>
      </c>
      <c r="W138" s="554">
        <f t="shared" si="35"/>
        <v>2</v>
      </c>
      <c r="X138" s="554">
        <f t="shared" si="33"/>
        <v>2</v>
      </c>
      <c r="Y138" s="554">
        <f t="shared" si="33"/>
        <v>2</v>
      </c>
      <c r="Z138" s="554">
        <f t="shared" si="33"/>
        <v>2</v>
      </c>
      <c r="AA138" s="554">
        <f t="shared" si="33"/>
        <v>2</v>
      </c>
      <c r="AB138" s="554">
        <f t="shared" si="33"/>
        <v>2</v>
      </c>
      <c r="AC138" s="554">
        <f t="shared" si="33"/>
        <v>2</v>
      </c>
      <c r="AD138" s="554">
        <f t="shared" si="33"/>
        <v>2</v>
      </c>
      <c r="AE138" s="554">
        <f t="shared" si="33"/>
        <v>2</v>
      </c>
      <c r="AF138" s="554">
        <f t="shared" si="33"/>
        <v>2</v>
      </c>
      <c r="AG138" s="554">
        <f t="shared" si="33"/>
        <v>2</v>
      </c>
      <c r="AH138" s="554">
        <f t="shared" si="33"/>
        <v>2</v>
      </c>
      <c r="AI138" s="554">
        <f t="shared" si="33"/>
        <v>2</v>
      </c>
      <c r="AJ138" s="554">
        <f t="shared" si="33"/>
        <v>2</v>
      </c>
      <c r="AK138" s="554">
        <f t="shared" si="33"/>
        <v>2</v>
      </c>
      <c r="AL138" s="554">
        <f t="shared" si="33"/>
        <v>2</v>
      </c>
      <c r="AM138" s="554">
        <f t="shared" si="33"/>
        <v>2</v>
      </c>
      <c r="AN138" s="554">
        <f t="shared" si="34"/>
        <v>2</v>
      </c>
      <c r="AO138" s="554">
        <f t="shared" si="32"/>
        <v>2</v>
      </c>
      <c r="AP138" s="554">
        <f t="shared" si="32"/>
        <v>2</v>
      </c>
      <c r="AQ138" s="429" t="str">
        <f t="shared" ref="AQ138:AQ201" si="36">IF(H138="","No Vendido","Vendido")</f>
        <v>Vendido</v>
      </c>
      <c r="AR138" s="447">
        <f>_xlfn.XLOOKUP(C138,'BOULEVARD 5'!B:B,'BOULEVARD 5'!AU:AU)</f>
        <v>0.91490166414523444</v>
      </c>
    </row>
    <row r="139" spans="1:44" s="429" customFormat="1" ht="13.9" customHeight="1" x14ac:dyDescent="0.25">
      <c r="B139" s="678" t="str">
        <f>IF('B5-Status cobranza'!A139&gt;0,'B5-Status cobranza'!A139,"")</f>
        <v/>
      </c>
      <c r="C139" s="436">
        <v>804</v>
      </c>
      <c r="D139" s="436" t="s">
        <v>200</v>
      </c>
      <c r="E139" s="436"/>
      <c r="F139" s="436" t="str">
        <f>IF('BOULEVARD 5'!E137="","",'BOULEVARD 5'!E137)</f>
        <v>Brenda Búcaro</v>
      </c>
      <c r="G139" s="429" t="str">
        <f>IF('BOULEVARD 5'!F137="","",'BOULEVARD 5'!F137)</f>
        <v>Victor Hugo Caceres Morales</v>
      </c>
      <c r="H139" s="473">
        <f>IF('BOULEVARD 5'!G137="","",'BOULEVARD 5'!G137)</f>
        <v>45090</v>
      </c>
      <c r="I139" s="554" t="str">
        <f t="shared" si="35"/>
        <v/>
      </c>
      <c r="J139" s="554" t="str">
        <f t="shared" si="35"/>
        <v/>
      </c>
      <c r="K139" s="554" t="str">
        <f t="shared" si="35"/>
        <v/>
      </c>
      <c r="L139" s="554">
        <f t="shared" si="35"/>
        <v>1</v>
      </c>
      <c r="M139" s="554">
        <f t="shared" si="35"/>
        <v>2</v>
      </c>
      <c r="N139" s="554">
        <f t="shared" si="35"/>
        <v>2</v>
      </c>
      <c r="O139" s="554">
        <f t="shared" si="35"/>
        <v>2</v>
      </c>
      <c r="P139" s="554">
        <f t="shared" si="35"/>
        <v>2</v>
      </c>
      <c r="Q139" s="554">
        <f t="shared" si="35"/>
        <v>2</v>
      </c>
      <c r="R139" s="554">
        <f t="shared" si="35"/>
        <v>2</v>
      </c>
      <c r="S139" s="554">
        <f t="shared" si="35"/>
        <v>2</v>
      </c>
      <c r="T139" s="554">
        <f t="shared" si="35"/>
        <v>2</v>
      </c>
      <c r="U139" s="554">
        <f t="shared" si="35"/>
        <v>2</v>
      </c>
      <c r="V139" s="554">
        <f t="shared" si="35"/>
        <v>2</v>
      </c>
      <c r="W139" s="554">
        <f t="shared" si="35"/>
        <v>2</v>
      </c>
      <c r="X139" s="554">
        <f t="shared" si="33"/>
        <v>2</v>
      </c>
      <c r="Y139" s="554">
        <f t="shared" si="33"/>
        <v>2</v>
      </c>
      <c r="Z139" s="554">
        <f t="shared" si="33"/>
        <v>2</v>
      </c>
      <c r="AA139" s="554">
        <f t="shared" si="33"/>
        <v>2</v>
      </c>
      <c r="AB139" s="554">
        <f t="shared" si="33"/>
        <v>2</v>
      </c>
      <c r="AC139" s="554">
        <f t="shared" si="33"/>
        <v>2</v>
      </c>
      <c r="AD139" s="554">
        <f t="shared" si="33"/>
        <v>2</v>
      </c>
      <c r="AE139" s="554">
        <f t="shared" si="33"/>
        <v>2</v>
      </c>
      <c r="AF139" s="554">
        <f t="shared" si="33"/>
        <v>2</v>
      </c>
      <c r="AG139" s="554">
        <f t="shared" si="33"/>
        <v>2</v>
      </c>
      <c r="AH139" s="554">
        <f t="shared" si="33"/>
        <v>2</v>
      </c>
      <c r="AI139" s="554">
        <f t="shared" si="33"/>
        <v>2</v>
      </c>
      <c r="AJ139" s="554">
        <f t="shared" si="33"/>
        <v>2</v>
      </c>
      <c r="AK139" s="554">
        <f t="shared" si="33"/>
        <v>2</v>
      </c>
      <c r="AL139" s="554">
        <f t="shared" si="33"/>
        <v>2</v>
      </c>
      <c r="AM139" s="554">
        <f t="shared" si="33"/>
        <v>2</v>
      </c>
      <c r="AN139" s="554">
        <f t="shared" si="34"/>
        <v>2</v>
      </c>
      <c r="AO139" s="554">
        <f t="shared" si="32"/>
        <v>2</v>
      </c>
      <c r="AP139" s="554">
        <f t="shared" si="32"/>
        <v>2</v>
      </c>
      <c r="AQ139" s="429" t="str">
        <f t="shared" si="36"/>
        <v>Vendido</v>
      </c>
      <c r="AR139" s="447">
        <f>_xlfn.XLOOKUP(C139,'BOULEVARD 5'!B:B,'BOULEVARD 5'!AU:AU)</f>
        <v>0.81792318634423899</v>
      </c>
    </row>
    <row r="140" spans="1:44" s="429" customFormat="1" ht="13.9" customHeight="1" x14ac:dyDescent="0.25">
      <c r="A140" s="429" t="s">
        <v>388</v>
      </c>
      <c r="B140" s="678"/>
      <c r="C140" s="436">
        <v>805</v>
      </c>
      <c r="D140" s="436" t="s">
        <v>534</v>
      </c>
      <c r="E140" s="641" t="s">
        <v>386</v>
      </c>
      <c r="F140" s="436" t="str">
        <f>IF('BOULEVARD 5'!E138="","",'BOULEVARD 5'!E138)</f>
        <v>Antonio Rada</v>
      </c>
      <c r="G140" s="429" t="str">
        <f>IF('BOULEVARD 5'!F138="","",'BOULEVARD 5'!F138)</f>
        <v>Celia Julissa Flores Dávila De Gonzalez</v>
      </c>
      <c r="H140" s="473">
        <f>IF('BOULEVARD 5'!G138="","",'BOULEVARD 5'!G138)</f>
        <v>45420</v>
      </c>
      <c r="I140" s="554" t="str">
        <f t="shared" si="35"/>
        <v/>
      </c>
      <c r="J140" s="554" t="str">
        <f t="shared" si="35"/>
        <v/>
      </c>
      <c r="K140" s="554" t="str">
        <f t="shared" si="35"/>
        <v/>
      </c>
      <c r="L140" s="554" t="str">
        <f t="shared" si="35"/>
        <v/>
      </c>
      <c r="M140" s="554" t="str">
        <f t="shared" si="35"/>
        <v/>
      </c>
      <c r="N140" s="554" t="str">
        <f t="shared" si="35"/>
        <v/>
      </c>
      <c r="O140" s="554" t="str">
        <f t="shared" si="35"/>
        <v/>
      </c>
      <c r="P140" s="554" t="str">
        <f t="shared" si="35"/>
        <v/>
      </c>
      <c r="Q140" s="554" t="str">
        <f t="shared" si="35"/>
        <v/>
      </c>
      <c r="R140" s="554" t="str">
        <f t="shared" si="35"/>
        <v/>
      </c>
      <c r="S140" s="554" t="str">
        <f t="shared" si="35"/>
        <v/>
      </c>
      <c r="T140" s="554" t="str">
        <f t="shared" si="35"/>
        <v/>
      </c>
      <c r="U140" s="554" t="str">
        <f t="shared" si="35"/>
        <v/>
      </c>
      <c r="V140" s="554" t="str">
        <f t="shared" si="35"/>
        <v/>
      </c>
      <c r="W140" s="554">
        <f t="shared" si="35"/>
        <v>1</v>
      </c>
      <c r="X140" s="554">
        <f t="shared" si="33"/>
        <v>2</v>
      </c>
      <c r="Y140" s="554">
        <f t="shared" si="33"/>
        <v>2</v>
      </c>
      <c r="Z140" s="554">
        <f t="shared" si="33"/>
        <v>2</v>
      </c>
      <c r="AA140" s="554">
        <f t="shared" si="33"/>
        <v>2</v>
      </c>
      <c r="AB140" s="554">
        <f t="shared" si="33"/>
        <v>2</v>
      </c>
      <c r="AC140" s="554">
        <f t="shared" si="33"/>
        <v>2</v>
      </c>
      <c r="AD140" s="554">
        <f t="shared" si="33"/>
        <v>2</v>
      </c>
      <c r="AE140" s="554">
        <f t="shared" si="33"/>
        <v>2</v>
      </c>
      <c r="AF140" s="554">
        <f t="shared" si="33"/>
        <v>2</v>
      </c>
      <c r="AG140" s="554">
        <f t="shared" si="33"/>
        <v>2</v>
      </c>
      <c r="AH140" s="554">
        <f t="shared" si="33"/>
        <v>2</v>
      </c>
      <c r="AI140" s="554">
        <f t="shared" si="33"/>
        <v>2</v>
      </c>
      <c r="AJ140" s="554">
        <f t="shared" si="33"/>
        <v>2</v>
      </c>
      <c r="AK140" s="554">
        <f t="shared" si="33"/>
        <v>2</v>
      </c>
      <c r="AL140" s="554">
        <f t="shared" si="33"/>
        <v>2</v>
      </c>
      <c r="AM140" s="554">
        <f t="shared" si="33"/>
        <v>2</v>
      </c>
      <c r="AN140" s="554">
        <f t="shared" si="34"/>
        <v>2</v>
      </c>
      <c r="AO140" s="554">
        <f t="shared" si="32"/>
        <v>2</v>
      </c>
      <c r="AP140" s="554">
        <f t="shared" si="32"/>
        <v>2</v>
      </c>
      <c r="AQ140" s="429" t="str">
        <f t="shared" si="36"/>
        <v>Vendido</v>
      </c>
      <c r="AR140" s="447">
        <f>_xlfn.XLOOKUP(C140,'BOULEVARD 5'!B:B,'BOULEVARD 5'!AU:AU)</f>
        <v>0.97293046709129516</v>
      </c>
    </row>
    <row r="141" spans="1:44" s="429" customFormat="1" ht="13.9" customHeight="1" x14ac:dyDescent="0.25">
      <c r="B141" s="678" t="str">
        <f>IF('B5-Status cobranza'!A141&gt;0,'B5-Status cobranza'!A141,"")</f>
        <v/>
      </c>
      <c r="C141" s="436">
        <v>806</v>
      </c>
      <c r="D141" s="436" t="s">
        <v>536</v>
      </c>
      <c r="E141" s="436"/>
      <c r="F141" s="436" t="str">
        <f>IF('BOULEVARD 5'!E139="","",'BOULEVARD 5'!E139)</f>
        <v>Antonio Rada</v>
      </c>
      <c r="G141" s="429" t="str">
        <f>IF('BOULEVARD 5'!F139="","",'BOULEVARD 5'!F139)</f>
        <v>Rodolfo Morales Muñoz</v>
      </c>
      <c r="H141" s="473">
        <f>IF('BOULEVARD 5'!G139="","",'BOULEVARD 5'!G139)</f>
        <v>45547</v>
      </c>
      <c r="I141" s="554" t="str">
        <f t="shared" si="35"/>
        <v/>
      </c>
      <c r="J141" s="554" t="str">
        <f t="shared" si="35"/>
        <v/>
      </c>
      <c r="K141" s="554" t="str">
        <f t="shared" si="35"/>
        <v/>
      </c>
      <c r="L141" s="554" t="str">
        <f t="shared" si="35"/>
        <v/>
      </c>
      <c r="M141" s="554" t="str">
        <f t="shared" si="35"/>
        <v/>
      </c>
      <c r="N141" s="554" t="str">
        <f t="shared" si="35"/>
        <v/>
      </c>
      <c r="O141" s="554" t="str">
        <f t="shared" si="35"/>
        <v/>
      </c>
      <c r="P141" s="554" t="str">
        <f t="shared" si="35"/>
        <v/>
      </c>
      <c r="Q141" s="554" t="str">
        <f t="shared" si="35"/>
        <v/>
      </c>
      <c r="R141" s="554" t="str">
        <f t="shared" si="35"/>
        <v/>
      </c>
      <c r="S141" s="554" t="str">
        <f t="shared" si="35"/>
        <v/>
      </c>
      <c r="T141" s="554" t="str">
        <f t="shared" si="35"/>
        <v/>
      </c>
      <c r="U141" s="554" t="str">
        <f t="shared" si="35"/>
        <v/>
      </c>
      <c r="V141" s="554" t="str">
        <f t="shared" si="35"/>
        <v/>
      </c>
      <c r="W141" s="554" t="str">
        <f t="shared" si="35"/>
        <v/>
      </c>
      <c r="X141" s="554" t="str">
        <f t="shared" si="33"/>
        <v/>
      </c>
      <c r="Y141" s="554" t="str">
        <f t="shared" si="33"/>
        <v/>
      </c>
      <c r="Z141" s="554" t="str">
        <f t="shared" si="33"/>
        <v/>
      </c>
      <c r="AA141" s="554">
        <f t="shared" si="33"/>
        <v>1</v>
      </c>
      <c r="AB141" s="554">
        <f t="shared" si="33"/>
        <v>2</v>
      </c>
      <c r="AC141" s="554">
        <f t="shared" si="33"/>
        <v>2</v>
      </c>
      <c r="AD141" s="554">
        <f t="shared" si="33"/>
        <v>2</v>
      </c>
      <c r="AE141" s="554">
        <f t="shared" si="33"/>
        <v>2</v>
      </c>
      <c r="AF141" s="554">
        <f t="shared" si="33"/>
        <v>2</v>
      </c>
      <c r="AG141" s="554">
        <f t="shared" si="33"/>
        <v>2</v>
      </c>
      <c r="AH141" s="554">
        <f t="shared" si="33"/>
        <v>2</v>
      </c>
      <c r="AI141" s="554">
        <f t="shared" si="33"/>
        <v>2</v>
      </c>
      <c r="AJ141" s="554">
        <f t="shared" si="33"/>
        <v>2</v>
      </c>
      <c r="AK141" s="554">
        <f t="shared" si="33"/>
        <v>2</v>
      </c>
      <c r="AL141" s="554">
        <f t="shared" si="33"/>
        <v>2</v>
      </c>
      <c r="AM141" s="554">
        <f t="shared" si="33"/>
        <v>2</v>
      </c>
      <c r="AN141" s="554">
        <f t="shared" si="34"/>
        <v>2</v>
      </c>
      <c r="AO141" s="554">
        <f t="shared" si="32"/>
        <v>2</v>
      </c>
      <c r="AP141" s="554">
        <f t="shared" si="32"/>
        <v>2</v>
      </c>
      <c r="AQ141" s="429" t="str">
        <f t="shared" si="36"/>
        <v>Vendido</v>
      </c>
      <c r="AR141" s="447">
        <f>_xlfn.XLOOKUP(C141,'BOULEVARD 5'!B:B,'BOULEVARD 5'!AU:AU)</f>
        <v>0.93943668464481633</v>
      </c>
    </row>
    <row r="142" spans="1:44" s="429" customFormat="1" ht="13.9" customHeight="1" x14ac:dyDescent="0.25">
      <c r="B142" s="678" t="str">
        <f>IF('B5-Status cobranza'!A142&gt;0,'B5-Status cobranza'!A142,"")</f>
        <v/>
      </c>
      <c r="C142" s="436">
        <v>807</v>
      </c>
      <c r="D142" s="436" t="s">
        <v>400</v>
      </c>
      <c r="E142" s="436"/>
      <c r="F142" s="436" t="str">
        <f>IF('BOULEVARD 5'!E140="","",'BOULEVARD 5'!E140)</f>
        <v>Antonio Rada</v>
      </c>
      <c r="G142" s="429" t="str">
        <f>IF('BOULEVARD 5'!F140="","",'BOULEVARD 5'!F140)</f>
        <v>Eswin Raul Morales Lopez</v>
      </c>
      <c r="H142" s="473">
        <f>IF('BOULEVARD 5'!G140="","",'BOULEVARD 5'!G140)</f>
        <v>45260</v>
      </c>
      <c r="I142" s="554" t="str">
        <f t="shared" si="35"/>
        <v/>
      </c>
      <c r="J142" s="554" t="str">
        <f t="shared" si="35"/>
        <v/>
      </c>
      <c r="K142" s="554" t="str">
        <f t="shared" si="35"/>
        <v/>
      </c>
      <c r="L142" s="554" t="str">
        <f t="shared" si="35"/>
        <v/>
      </c>
      <c r="M142" s="554" t="str">
        <f t="shared" si="35"/>
        <v/>
      </c>
      <c r="N142" s="554" t="str">
        <f t="shared" si="35"/>
        <v/>
      </c>
      <c r="O142" s="554" t="str">
        <f t="shared" si="35"/>
        <v/>
      </c>
      <c r="P142" s="554" t="str">
        <f t="shared" si="35"/>
        <v/>
      </c>
      <c r="Q142" s="554">
        <f t="shared" si="35"/>
        <v>1</v>
      </c>
      <c r="R142" s="554">
        <f t="shared" si="35"/>
        <v>2</v>
      </c>
      <c r="S142" s="554">
        <f t="shared" si="35"/>
        <v>2</v>
      </c>
      <c r="T142" s="554">
        <f t="shared" si="35"/>
        <v>2</v>
      </c>
      <c r="U142" s="554">
        <f t="shared" si="35"/>
        <v>2</v>
      </c>
      <c r="V142" s="554">
        <f t="shared" si="35"/>
        <v>2</v>
      </c>
      <c r="W142" s="554">
        <f t="shared" si="35"/>
        <v>2</v>
      </c>
      <c r="X142" s="554">
        <f t="shared" si="33"/>
        <v>2</v>
      </c>
      <c r="Y142" s="554">
        <f t="shared" si="33"/>
        <v>2</v>
      </c>
      <c r="Z142" s="554">
        <f t="shared" si="33"/>
        <v>2</v>
      </c>
      <c r="AA142" s="554">
        <f t="shared" si="33"/>
        <v>2</v>
      </c>
      <c r="AB142" s="554">
        <f t="shared" si="33"/>
        <v>2</v>
      </c>
      <c r="AC142" s="554">
        <f t="shared" si="33"/>
        <v>2</v>
      </c>
      <c r="AD142" s="554">
        <f t="shared" si="33"/>
        <v>2</v>
      </c>
      <c r="AE142" s="554">
        <f t="shared" si="33"/>
        <v>2</v>
      </c>
      <c r="AF142" s="554">
        <f t="shared" si="33"/>
        <v>2</v>
      </c>
      <c r="AG142" s="554">
        <f t="shared" si="33"/>
        <v>2</v>
      </c>
      <c r="AH142" s="554">
        <f t="shared" si="33"/>
        <v>2</v>
      </c>
      <c r="AI142" s="554">
        <f t="shared" si="33"/>
        <v>2</v>
      </c>
      <c r="AJ142" s="554">
        <f t="shared" si="33"/>
        <v>2</v>
      </c>
      <c r="AK142" s="554">
        <f t="shared" si="33"/>
        <v>2</v>
      </c>
      <c r="AL142" s="554">
        <f t="shared" si="33"/>
        <v>2</v>
      </c>
      <c r="AM142" s="554">
        <f t="shared" si="33"/>
        <v>2</v>
      </c>
      <c r="AN142" s="554">
        <f t="shared" si="34"/>
        <v>2</v>
      </c>
      <c r="AO142" s="554">
        <f t="shared" si="32"/>
        <v>2</v>
      </c>
      <c r="AP142" s="554">
        <f t="shared" si="32"/>
        <v>2</v>
      </c>
      <c r="AQ142" s="429" t="str">
        <f t="shared" si="36"/>
        <v>Vendido</v>
      </c>
      <c r="AR142" s="447">
        <f>_xlfn.XLOOKUP(C142,'BOULEVARD 5'!B:B,'BOULEVARD 5'!AU:AU)</f>
        <v>1.0022172949002217</v>
      </c>
    </row>
    <row r="143" spans="1:44" s="429" customFormat="1" ht="13.9" customHeight="1" x14ac:dyDescent="0.25">
      <c r="B143" s="678" t="str">
        <f>IF('B5-Status cobranza'!A143&gt;0,'B5-Status cobranza'!A143,"")</f>
        <v/>
      </c>
      <c r="C143" s="436">
        <v>808</v>
      </c>
      <c r="D143" s="436" t="s">
        <v>175</v>
      </c>
      <c r="E143" s="436"/>
      <c r="F143" s="436" t="str">
        <f>IF('BOULEVARD 5'!E141="","",'BOULEVARD 5'!E141)</f>
        <v>Antonio Rada</v>
      </c>
      <c r="G143" s="429" t="str">
        <f>IF('BOULEVARD 5'!F141="","",'BOULEVARD 5'!F141)</f>
        <v>Gualberto Alonso Salazar Trejo</v>
      </c>
      <c r="H143" s="473">
        <f>IF('BOULEVARD 5'!G141="","",'BOULEVARD 5'!G141)</f>
        <v>45356</v>
      </c>
      <c r="I143" s="554" t="str">
        <f t="shared" si="35"/>
        <v/>
      </c>
      <c r="J143" s="554" t="str">
        <f t="shared" si="35"/>
        <v/>
      </c>
      <c r="K143" s="554" t="str">
        <f t="shared" si="35"/>
        <v/>
      </c>
      <c r="L143" s="554" t="str">
        <f t="shared" si="35"/>
        <v/>
      </c>
      <c r="M143" s="554" t="str">
        <f t="shared" si="35"/>
        <v/>
      </c>
      <c r="N143" s="554" t="str">
        <f t="shared" si="35"/>
        <v/>
      </c>
      <c r="O143" s="554" t="str">
        <f t="shared" si="35"/>
        <v/>
      </c>
      <c r="P143" s="554" t="str">
        <f t="shared" si="35"/>
        <v/>
      </c>
      <c r="Q143" s="554" t="str">
        <f t="shared" si="35"/>
        <v/>
      </c>
      <c r="R143" s="554" t="str">
        <f t="shared" si="35"/>
        <v/>
      </c>
      <c r="S143" s="554" t="str">
        <f t="shared" si="35"/>
        <v/>
      </c>
      <c r="T143" s="554" t="str">
        <f t="shared" si="35"/>
        <v/>
      </c>
      <c r="U143" s="554">
        <f t="shared" si="35"/>
        <v>1</v>
      </c>
      <c r="V143" s="554">
        <f t="shared" si="35"/>
        <v>2</v>
      </c>
      <c r="W143" s="554">
        <f t="shared" si="35"/>
        <v>2</v>
      </c>
      <c r="X143" s="554">
        <f t="shared" si="33"/>
        <v>2</v>
      </c>
      <c r="Y143" s="554">
        <f t="shared" si="33"/>
        <v>2</v>
      </c>
      <c r="Z143" s="554">
        <f t="shared" si="33"/>
        <v>2</v>
      </c>
      <c r="AA143" s="554">
        <f t="shared" si="33"/>
        <v>2</v>
      </c>
      <c r="AB143" s="554">
        <f t="shared" si="33"/>
        <v>2</v>
      </c>
      <c r="AC143" s="554">
        <f t="shared" si="33"/>
        <v>2</v>
      </c>
      <c r="AD143" s="554">
        <f t="shared" si="33"/>
        <v>2</v>
      </c>
      <c r="AE143" s="554">
        <f t="shared" si="33"/>
        <v>2</v>
      </c>
      <c r="AF143" s="554">
        <f t="shared" si="33"/>
        <v>2</v>
      </c>
      <c r="AG143" s="554">
        <f t="shared" si="33"/>
        <v>2</v>
      </c>
      <c r="AH143" s="554">
        <f t="shared" si="33"/>
        <v>2</v>
      </c>
      <c r="AI143" s="554">
        <f t="shared" si="33"/>
        <v>2</v>
      </c>
      <c r="AJ143" s="554">
        <f t="shared" si="33"/>
        <v>2</v>
      </c>
      <c r="AK143" s="554">
        <f t="shared" si="33"/>
        <v>2</v>
      </c>
      <c r="AL143" s="554">
        <f t="shared" si="33"/>
        <v>2</v>
      </c>
      <c r="AM143" s="554">
        <f t="shared" si="33"/>
        <v>2</v>
      </c>
      <c r="AN143" s="554">
        <f t="shared" si="34"/>
        <v>2</v>
      </c>
      <c r="AO143" s="554">
        <f t="shared" si="32"/>
        <v>2</v>
      </c>
      <c r="AP143" s="554">
        <f t="shared" si="32"/>
        <v>2</v>
      </c>
      <c r="AQ143" s="429" t="str">
        <f t="shared" si="36"/>
        <v>Vendido</v>
      </c>
      <c r="AR143" s="447">
        <f>_xlfn.XLOOKUP(C143,'BOULEVARD 5'!B:B,'BOULEVARD 5'!AU:AU)</f>
        <v>1</v>
      </c>
    </row>
    <row r="144" spans="1:44" s="429" customFormat="1" ht="13.9" customHeight="1" x14ac:dyDescent="0.25">
      <c r="B144" s="678" t="str">
        <f>IF('B5-Status cobranza'!A144&gt;0,'B5-Status cobranza'!A144,"")</f>
        <v/>
      </c>
      <c r="C144" s="436">
        <v>809</v>
      </c>
      <c r="D144" s="436" t="s">
        <v>125</v>
      </c>
      <c r="E144" s="436"/>
      <c r="F144" s="436" t="str">
        <f>IF('BOULEVARD 5'!E142="","",'BOULEVARD 5'!E142)</f>
        <v>Antonio Rada</v>
      </c>
      <c r="G144" s="429" t="str">
        <f>IF('BOULEVARD 5'!F142="","",'BOULEVARD 5'!F142)</f>
        <v>Mildred Maritza Monterroso Montenegro De Santizo</v>
      </c>
      <c r="H144" s="473">
        <f>IF('BOULEVARD 5'!G142="","",'BOULEVARD 5'!G142)</f>
        <v>45353</v>
      </c>
      <c r="I144" s="554" t="str">
        <f t="shared" si="35"/>
        <v/>
      </c>
      <c r="J144" s="554" t="str">
        <f t="shared" si="35"/>
        <v/>
      </c>
      <c r="K144" s="554" t="str">
        <f t="shared" si="35"/>
        <v/>
      </c>
      <c r="L144" s="554" t="str">
        <f t="shared" si="35"/>
        <v/>
      </c>
      <c r="M144" s="554" t="str">
        <f t="shared" si="35"/>
        <v/>
      </c>
      <c r="N144" s="554" t="str">
        <f t="shared" si="35"/>
        <v/>
      </c>
      <c r="O144" s="554" t="str">
        <f t="shared" si="35"/>
        <v/>
      </c>
      <c r="P144" s="554" t="str">
        <f t="shared" si="35"/>
        <v/>
      </c>
      <c r="Q144" s="554" t="str">
        <f t="shared" si="35"/>
        <v/>
      </c>
      <c r="R144" s="554" t="str">
        <f t="shared" si="35"/>
        <v/>
      </c>
      <c r="S144" s="554" t="str">
        <f t="shared" si="35"/>
        <v/>
      </c>
      <c r="T144" s="554" t="str">
        <f t="shared" si="35"/>
        <v/>
      </c>
      <c r="U144" s="554">
        <f t="shared" si="35"/>
        <v>1</v>
      </c>
      <c r="V144" s="554">
        <f t="shared" si="35"/>
        <v>2</v>
      </c>
      <c r="W144" s="554">
        <f t="shared" si="35"/>
        <v>2</v>
      </c>
      <c r="X144" s="554">
        <f t="shared" si="33"/>
        <v>2</v>
      </c>
      <c r="Y144" s="554">
        <f t="shared" si="33"/>
        <v>2</v>
      </c>
      <c r="Z144" s="554">
        <f t="shared" si="33"/>
        <v>2</v>
      </c>
      <c r="AA144" s="554">
        <f t="shared" si="33"/>
        <v>2</v>
      </c>
      <c r="AB144" s="554">
        <f t="shared" si="33"/>
        <v>2</v>
      </c>
      <c r="AC144" s="554">
        <f t="shared" si="33"/>
        <v>2</v>
      </c>
      <c r="AD144" s="554">
        <f t="shared" si="33"/>
        <v>2</v>
      </c>
      <c r="AE144" s="554">
        <f t="shared" si="33"/>
        <v>2</v>
      </c>
      <c r="AF144" s="554">
        <f t="shared" si="33"/>
        <v>2</v>
      </c>
      <c r="AG144" s="554">
        <f t="shared" si="33"/>
        <v>2</v>
      </c>
      <c r="AH144" s="554">
        <f t="shared" si="33"/>
        <v>2</v>
      </c>
      <c r="AI144" s="554">
        <f t="shared" si="33"/>
        <v>2</v>
      </c>
      <c r="AJ144" s="554">
        <f t="shared" si="33"/>
        <v>2</v>
      </c>
      <c r="AK144" s="554">
        <f t="shared" si="33"/>
        <v>2</v>
      </c>
      <c r="AL144" s="554">
        <f t="shared" si="33"/>
        <v>2</v>
      </c>
      <c r="AM144" s="554">
        <f t="shared" si="33"/>
        <v>2</v>
      </c>
      <c r="AN144" s="554">
        <f t="shared" si="34"/>
        <v>2</v>
      </c>
      <c r="AO144" s="554">
        <f t="shared" si="32"/>
        <v>2</v>
      </c>
      <c r="AP144" s="554">
        <f t="shared" si="32"/>
        <v>2</v>
      </c>
      <c r="AQ144" s="429" t="str">
        <f t="shared" si="36"/>
        <v>Vendido</v>
      </c>
      <c r="AR144" s="447">
        <f>_xlfn.XLOOKUP(C144,'BOULEVARD 5'!B:B,'BOULEVARD 5'!AU:AU)</f>
        <v>1</v>
      </c>
    </row>
    <row r="145" spans="1:44" s="429" customFormat="1" ht="13.9" customHeight="1" x14ac:dyDescent="0.25">
      <c r="B145" s="678" t="str">
        <f>IF('B5-Status cobranza'!A145&gt;0,'B5-Status cobranza'!A145,"")</f>
        <v/>
      </c>
      <c r="C145" s="436">
        <v>810</v>
      </c>
      <c r="D145" s="436" t="s">
        <v>178</v>
      </c>
      <c r="E145" s="436"/>
      <c r="F145" s="436" t="str">
        <f>IF('BOULEVARD 5'!E143="","",'BOULEVARD 5'!E143)</f>
        <v>Brenda Búcaro</v>
      </c>
      <c r="G145" s="429" t="str">
        <f>IF('BOULEVARD 5'!F143="","",'BOULEVARD 5'!F143)</f>
        <v>Sebastián Aristondo Barillas</v>
      </c>
      <c r="H145" s="473">
        <f>IF('BOULEVARD 5'!G143="","",'BOULEVARD 5'!G143)</f>
        <v>45099</v>
      </c>
      <c r="I145" s="554" t="str">
        <f t="shared" si="35"/>
        <v/>
      </c>
      <c r="J145" s="554" t="str">
        <f t="shared" si="35"/>
        <v/>
      </c>
      <c r="K145" s="554" t="str">
        <f t="shared" si="35"/>
        <v/>
      </c>
      <c r="L145" s="554">
        <f t="shared" si="35"/>
        <v>1</v>
      </c>
      <c r="M145" s="554">
        <f t="shared" si="35"/>
        <v>2</v>
      </c>
      <c r="N145" s="554">
        <f t="shared" si="35"/>
        <v>2</v>
      </c>
      <c r="O145" s="554">
        <f t="shared" si="35"/>
        <v>2</v>
      </c>
      <c r="P145" s="554">
        <f t="shared" si="35"/>
        <v>2</v>
      </c>
      <c r="Q145" s="554">
        <f t="shared" si="35"/>
        <v>2</v>
      </c>
      <c r="R145" s="554">
        <f t="shared" si="35"/>
        <v>2</v>
      </c>
      <c r="S145" s="554">
        <f t="shared" si="35"/>
        <v>2</v>
      </c>
      <c r="T145" s="554">
        <f t="shared" si="35"/>
        <v>2</v>
      </c>
      <c r="U145" s="554">
        <f t="shared" si="35"/>
        <v>2</v>
      </c>
      <c r="V145" s="554">
        <f t="shared" si="35"/>
        <v>2</v>
      </c>
      <c r="W145" s="554">
        <f t="shared" si="35"/>
        <v>2</v>
      </c>
      <c r="X145" s="554">
        <f t="shared" si="33"/>
        <v>2</v>
      </c>
      <c r="Y145" s="554">
        <f t="shared" si="33"/>
        <v>2</v>
      </c>
      <c r="Z145" s="554">
        <f t="shared" si="33"/>
        <v>2</v>
      </c>
      <c r="AA145" s="554">
        <f t="shared" si="33"/>
        <v>2</v>
      </c>
      <c r="AB145" s="554">
        <f t="shared" si="33"/>
        <v>2</v>
      </c>
      <c r="AC145" s="554">
        <f t="shared" si="33"/>
        <v>2</v>
      </c>
      <c r="AD145" s="554">
        <f t="shared" si="33"/>
        <v>2</v>
      </c>
      <c r="AE145" s="554">
        <f t="shared" si="33"/>
        <v>2</v>
      </c>
      <c r="AF145" s="554">
        <f t="shared" si="33"/>
        <v>2</v>
      </c>
      <c r="AG145" s="554">
        <f t="shared" si="33"/>
        <v>2</v>
      </c>
      <c r="AH145" s="554">
        <f t="shared" si="33"/>
        <v>2</v>
      </c>
      <c r="AI145" s="554">
        <f t="shared" si="33"/>
        <v>2</v>
      </c>
      <c r="AJ145" s="554">
        <f t="shared" si="33"/>
        <v>2</v>
      </c>
      <c r="AK145" s="554">
        <f t="shared" si="33"/>
        <v>2</v>
      </c>
      <c r="AL145" s="554">
        <f t="shared" si="33"/>
        <v>2</v>
      </c>
      <c r="AM145" s="554">
        <f t="shared" si="33"/>
        <v>2</v>
      </c>
      <c r="AN145" s="554">
        <f t="shared" si="34"/>
        <v>2</v>
      </c>
      <c r="AO145" s="554">
        <f t="shared" si="32"/>
        <v>2</v>
      </c>
      <c r="AP145" s="554">
        <f t="shared" si="32"/>
        <v>2</v>
      </c>
      <c r="AQ145" s="429" t="str">
        <f t="shared" si="36"/>
        <v>Vendido</v>
      </c>
      <c r="AR145" s="447">
        <f>_xlfn.XLOOKUP(C145,'BOULEVARD 5'!B:B,'BOULEVARD 5'!AU:AU)</f>
        <v>0.88571428571428568</v>
      </c>
    </row>
    <row r="146" spans="1:44" s="429" customFormat="1" ht="13.9" customHeight="1" x14ac:dyDescent="0.25">
      <c r="A146" s="429" t="s">
        <v>388</v>
      </c>
      <c r="B146" s="678"/>
      <c r="C146" s="436">
        <v>811</v>
      </c>
      <c r="D146" s="436" t="s">
        <v>391</v>
      </c>
      <c r="E146" s="641" t="s">
        <v>386</v>
      </c>
      <c r="F146" s="436" t="str">
        <f>IF('BOULEVARD 5'!E144="","",'BOULEVARD 5'!E144)</f>
        <v>Antonio Rada</v>
      </c>
      <c r="G146" s="429" t="str">
        <f>IF('BOULEVARD 5'!F144="","",'BOULEVARD 5'!F144)</f>
        <v>Rosa Gilda Tuchan Valle De Gonzalez</v>
      </c>
      <c r="H146" s="473">
        <f>IF('BOULEVARD 5'!G144="","",'BOULEVARD 5'!G144)</f>
        <v>45485</v>
      </c>
      <c r="I146" s="554" t="str">
        <f t="shared" si="35"/>
        <v/>
      </c>
      <c r="J146" s="554" t="str">
        <f t="shared" si="35"/>
        <v/>
      </c>
      <c r="K146" s="554" t="str">
        <f t="shared" si="35"/>
        <v/>
      </c>
      <c r="L146" s="554" t="str">
        <f t="shared" si="35"/>
        <v/>
      </c>
      <c r="M146" s="554" t="str">
        <f t="shared" si="35"/>
        <v/>
      </c>
      <c r="N146" s="554" t="str">
        <f t="shared" si="35"/>
        <v/>
      </c>
      <c r="O146" s="554" t="str">
        <f t="shared" si="35"/>
        <v/>
      </c>
      <c r="P146" s="554" t="str">
        <f t="shared" si="35"/>
        <v/>
      </c>
      <c r="Q146" s="554" t="str">
        <f t="shared" si="35"/>
        <v/>
      </c>
      <c r="R146" s="554" t="str">
        <f t="shared" si="35"/>
        <v/>
      </c>
      <c r="S146" s="554" t="str">
        <f t="shared" si="35"/>
        <v/>
      </c>
      <c r="T146" s="554" t="str">
        <f t="shared" si="35"/>
        <v/>
      </c>
      <c r="U146" s="554" t="str">
        <f t="shared" si="35"/>
        <v/>
      </c>
      <c r="V146" s="554" t="str">
        <f t="shared" si="35"/>
        <v/>
      </c>
      <c r="W146" s="554" t="str">
        <f t="shared" si="35"/>
        <v/>
      </c>
      <c r="X146" s="554" t="str">
        <f t="shared" si="33"/>
        <v/>
      </c>
      <c r="Y146" s="554">
        <f t="shared" si="33"/>
        <v>1</v>
      </c>
      <c r="Z146" s="554">
        <f t="shared" si="33"/>
        <v>2</v>
      </c>
      <c r="AA146" s="554">
        <f t="shared" si="33"/>
        <v>2</v>
      </c>
      <c r="AB146" s="554">
        <f t="shared" si="33"/>
        <v>2</v>
      </c>
      <c r="AC146" s="554">
        <f t="shared" si="33"/>
        <v>2</v>
      </c>
      <c r="AD146" s="554">
        <f t="shared" si="33"/>
        <v>2</v>
      </c>
      <c r="AE146" s="554">
        <f t="shared" si="33"/>
        <v>2</v>
      </c>
      <c r="AF146" s="554">
        <f t="shared" si="33"/>
        <v>2</v>
      </c>
      <c r="AG146" s="554">
        <f t="shared" si="33"/>
        <v>2</v>
      </c>
      <c r="AH146" s="554">
        <f t="shared" si="33"/>
        <v>2</v>
      </c>
      <c r="AI146" s="554">
        <f t="shared" si="33"/>
        <v>2</v>
      </c>
      <c r="AJ146" s="554">
        <f t="shared" si="33"/>
        <v>2</v>
      </c>
      <c r="AK146" s="554">
        <f t="shared" si="33"/>
        <v>2</v>
      </c>
      <c r="AL146" s="554">
        <f t="shared" si="33"/>
        <v>2</v>
      </c>
      <c r="AM146" s="554">
        <f t="shared" si="33"/>
        <v>2</v>
      </c>
      <c r="AN146" s="554">
        <f t="shared" si="34"/>
        <v>2</v>
      </c>
      <c r="AO146" s="554">
        <f t="shared" si="32"/>
        <v>2</v>
      </c>
      <c r="AP146" s="554">
        <f t="shared" si="32"/>
        <v>2</v>
      </c>
      <c r="AQ146" s="429" t="str">
        <f t="shared" si="36"/>
        <v>Vendido</v>
      </c>
      <c r="AR146" s="447">
        <f>_xlfn.XLOOKUP(C146,'BOULEVARD 5'!B:B,'BOULEVARD 5'!AU:AU)</f>
        <v>1</v>
      </c>
    </row>
    <row r="147" spans="1:44" s="429" customFormat="1" ht="13.9" customHeight="1" x14ac:dyDescent="0.25">
      <c r="A147" s="429" t="s">
        <v>388</v>
      </c>
      <c r="B147" s="678"/>
      <c r="C147" s="436">
        <v>812</v>
      </c>
      <c r="D147" s="436" t="s">
        <v>194</v>
      </c>
      <c r="E147" s="641" t="s">
        <v>386</v>
      </c>
      <c r="F147" s="436" t="str">
        <f>IF('BOULEVARD 5'!E145="","",'BOULEVARD 5'!E145)</f>
        <v>Antonio Rada</v>
      </c>
      <c r="G147" s="429" t="str">
        <f>IF('BOULEVARD 5'!F145="","",'BOULEVARD 5'!F145)</f>
        <v>Juan Pablo Gonzalez Tuchan</v>
      </c>
      <c r="H147" s="473">
        <f>IF('BOULEVARD 5'!G145="","",'BOULEVARD 5'!G145)</f>
        <v>45503</v>
      </c>
      <c r="I147" s="554" t="str">
        <f t="shared" si="35"/>
        <v/>
      </c>
      <c r="J147" s="554" t="str">
        <f t="shared" si="35"/>
        <v/>
      </c>
      <c r="K147" s="554" t="str">
        <f t="shared" si="35"/>
        <v/>
      </c>
      <c r="L147" s="554" t="str">
        <f t="shared" si="35"/>
        <v/>
      </c>
      <c r="M147" s="554" t="str">
        <f t="shared" si="35"/>
        <v/>
      </c>
      <c r="N147" s="554" t="str">
        <f t="shared" si="35"/>
        <v/>
      </c>
      <c r="O147" s="554" t="str">
        <f t="shared" si="35"/>
        <v/>
      </c>
      <c r="P147" s="554" t="str">
        <f t="shared" si="35"/>
        <v/>
      </c>
      <c r="Q147" s="554" t="str">
        <f t="shared" si="35"/>
        <v/>
      </c>
      <c r="R147" s="554" t="str">
        <f t="shared" si="35"/>
        <v/>
      </c>
      <c r="S147" s="554" t="str">
        <f t="shared" si="35"/>
        <v/>
      </c>
      <c r="T147" s="554" t="str">
        <f t="shared" si="35"/>
        <v/>
      </c>
      <c r="U147" s="554" t="str">
        <f t="shared" si="35"/>
        <v/>
      </c>
      <c r="V147" s="554" t="str">
        <f t="shared" si="35"/>
        <v/>
      </c>
      <c r="W147" s="554" t="str">
        <f t="shared" si="35"/>
        <v/>
      </c>
      <c r="X147" s="554" t="str">
        <f t="shared" si="33"/>
        <v/>
      </c>
      <c r="Y147" s="554">
        <f t="shared" si="33"/>
        <v>1</v>
      </c>
      <c r="Z147" s="554">
        <f t="shared" si="33"/>
        <v>2</v>
      </c>
      <c r="AA147" s="554">
        <f t="shared" si="33"/>
        <v>2</v>
      </c>
      <c r="AB147" s="554">
        <f t="shared" si="33"/>
        <v>2</v>
      </c>
      <c r="AC147" s="554">
        <f t="shared" si="33"/>
        <v>2</v>
      </c>
      <c r="AD147" s="554">
        <f t="shared" si="33"/>
        <v>2</v>
      </c>
      <c r="AE147" s="554">
        <f t="shared" si="33"/>
        <v>2</v>
      </c>
      <c r="AF147" s="554">
        <f t="shared" si="33"/>
        <v>2</v>
      </c>
      <c r="AG147" s="554">
        <f t="shared" si="33"/>
        <v>2</v>
      </c>
      <c r="AH147" s="554">
        <f t="shared" si="33"/>
        <v>2</v>
      </c>
      <c r="AI147" s="554">
        <f t="shared" si="33"/>
        <v>2</v>
      </c>
      <c r="AJ147" s="554">
        <f t="shared" si="33"/>
        <v>2</v>
      </c>
      <c r="AK147" s="554">
        <f t="shared" si="33"/>
        <v>2</v>
      </c>
      <c r="AL147" s="554">
        <f t="shared" si="33"/>
        <v>2</v>
      </c>
      <c r="AM147" s="554">
        <f t="shared" si="33"/>
        <v>2</v>
      </c>
      <c r="AN147" s="554">
        <f t="shared" si="34"/>
        <v>2</v>
      </c>
      <c r="AO147" s="554">
        <f t="shared" si="32"/>
        <v>2</v>
      </c>
      <c r="AP147" s="554">
        <f t="shared" si="32"/>
        <v>2</v>
      </c>
      <c r="AQ147" s="429" t="str">
        <f t="shared" si="36"/>
        <v>Vendido</v>
      </c>
      <c r="AR147" s="447">
        <f>_xlfn.XLOOKUP(C147,'BOULEVARD 5'!B:B,'BOULEVARD 5'!AU:AU)</f>
        <v>1</v>
      </c>
    </row>
    <row r="148" spans="1:44" s="429" customFormat="1" ht="13.9" customHeight="1" x14ac:dyDescent="0.25">
      <c r="B148" s="678" t="str">
        <f>IF('B5-Status cobranza'!A148&gt;0,'B5-Status cobranza'!A148,"")</f>
        <v/>
      </c>
      <c r="C148" s="436">
        <v>813</v>
      </c>
      <c r="D148" s="436" t="s">
        <v>393</v>
      </c>
      <c r="E148" s="436"/>
      <c r="F148" s="436" t="str">
        <f>IF('BOULEVARD 5'!E146="","",'BOULEVARD 5'!E146)</f>
        <v>Antonio Rada</v>
      </c>
      <c r="G148" s="429" t="str">
        <f>IF('BOULEVARD 5'!F146="","",'BOULEVARD 5'!F146)</f>
        <v>Industrias Danico, S.A. /  Pedro Cordón}</v>
      </c>
      <c r="H148" s="473">
        <f>IF('BOULEVARD 5'!G146="","",'BOULEVARD 5'!G146)</f>
        <v>45426</v>
      </c>
      <c r="I148" s="554" t="str">
        <f t="shared" si="35"/>
        <v/>
      </c>
      <c r="J148" s="554" t="str">
        <f t="shared" si="35"/>
        <v/>
      </c>
      <c r="K148" s="554" t="str">
        <f t="shared" si="35"/>
        <v/>
      </c>
      <c r="L148" s="554" t="str">
        <f t="shared" si="35"/>
        <v/>
      </c>
      <c r="M148" s="554" t="str">
        <f t="shared" si="35"/>
        <v/>
      </c>
      <c r="N148" s="554" t="str">
        <f t="shared" si="35"/>
        <v/>
      </c>
      <c r="O148" s="554" t="str">
        <f t="shared" si="35"/>
        <v/>
      </c>
      <c r="P148" s="554" t="str">
        <f t="shared" si="35"/>
        <v/>
      </c>
      <c r="Q148" s="554" t="str">
        <f t="shared" si="35"/>
        <v/>
      </c>
      <c r="R148" s="554" t="str">
        <f t="shared" si="35"/>
        <v/>
      </c>
      <c r="S148" s="554" t="str">
        <f t="shared" si="35"/>
        <v/>
      </c>
      <c r="T148" s="554" t="str">
        <f t="shared" si="35"/>
        <v/>
      </c>
      <c r="U148" s="554" t="str">
        <f t="shared" si="35"/>
        <v/>
      </c>
      <c r="V148" s="554" t="str">
        <f t="shared" si="35"/>
        <v/>
      </c>
      <c r="W148" s="554">
        <f t="shared" si="35"/>
        <v>1</v>
      </c>
      <c r="X148" s="554">
        <f t="shared" si="33"/>
        <v>2</v>
      </c>
      <c r="Y148" s="554">
        <f t="shared" si="33"/>
        <v>2</v>
      </c>
      <c r="Z148" s="554">
        <f t="shared" si="33"/>
        <v>2</v>
      </c>
      <c r="AA148" s="554">
        <f t="shared" si="33"/>
        <v>2</v>
      </c>
      <c r="AB148" s="554">
        <f t="shared" si="33"/>
        <v>2</v>
      </c>
      <c r="AC148" s="554">
        <f t="shared" si="33"/>
        <v>2</v>
      </c>
      <c r="AD148" s="554">
        <f t="shared" si="33"/>
        <v>2</v>
      </c>
      <c r="AE148" s="554">
        <f t="shared" si="33"/>
        <v>2</v>
      </c>
      <c r="AF148" s="554">
        <f t="shared" si="33"/>
        <v>2</v>
      </c>
      <c r="AG148" s="554">
        <f t="shared" si="33"/>
        <v>2</v>
      </c>
      <c r="AH148" s="554">
        <f t="shared" si="33"/>
        <v>2</v>
      </c>
      <c r="AI148" s="554">
        <f t="shared" si="33"/>
        <v>2</v>
      </c>
      <c r="AJ148" s="554">
        <f t="shared" si="33"/>
        <v>2</v>
      </c>
      <c r="AK148" s="554">
        <f t="shared" si="33"/>
        <v>2</v>
      </c>
      <c r="AL148" s="554">
        <f t="shared" si="33"/>
        <v>2</v>
      </c>
      <c r="AM148" s="554">
        <f t="shared" si="33"/>
        <v>2</v>
      </c>
      <c r="AN148" s="554">
        <f t="shared" si="34"/>
        <v>2</v>
      </c>
      <c r="AO148" s="554">
        <f t="shared" si="34"/>
        <v>2</v>
      </c>
      <c r="AP148" s="554">
        <f t="shared" si="34"/>
        <v>2</v>
      </c>
      <c r="AQ148" s="429" t="str">
        <f t="shared" si="36"/>
        <v>Vendido</v>
      </c>
      <c r="AR148" s="447">
        <f>_xlfn.XLOOKUP(C148,'BOULEVARD 5'!B:B,'BOULEVARD 5'!AU:AU)</f>
        <v>0.86345575310837486</v>
      </c>
    </row>
    <row r="149" spans="1:44" s="429" customFormat="1" ht="13.9" customHeight="1" x14ac:dyDescent="0.25">
      <c r="B149" s="678" t="str">
        <f>IF('B5-Status cobranza'!A149&gt;0,'B5-Status cobranza'!A149,"")</f>
        <v/>
      </c>
      <c r="C149" s="436">
        <v>814</v>
      </c>
      <c r="D149" s="436" t="s">
        <v>172</v>
      </c>
      <c r="E149" s="436"/>
      <c r="F149" s="436" t="str">
        <f>IF('BOULEVARD 5'!E147="","",'BOULEVARD 5'!E147)</f>
        <v>Antonio Rada</v>
      </c>
      <c r="G149" s="429" t="str">
        <f>IF('BOULEVARD 5'!F147="","",'BOULEVARD 5'!F147)</f>
        <v>Enma Suselly Lopez Muy</v>
      </c>
      <c r="H149" s="473">
        <f>IF('BOULEVARD 5'!G147="","",'BOULEVARD 5'!G147)</f>
        <v>45250</v>
      </c>
      <c r="I149" s="554" t="str">
        <f t="shared" si="35"/>
        <v/>
      </c>
      <c r="J149" s="554" t="str">
        <f t="shared" si="35"/>
        <v/>
      </c>
      <c r="K149" s="554" t="str">
        <f t="shared" si="35"/>
        <v/>
      </c>
      <c r="L149" s="554" t="str">
        <f t="shared" si="35"/>
        <v/>
      </c>
      <c r="M149" s="554" t="str">
        <f t="shared" si="35"/>
        <v/>
      </c>
      <c r="N149" s="554" t="str">
        <f t="shared" si="35"/>
        <v/>
      </c>
      <c r="O149" s="554" t="str">
        <f t="shared" si="35"/>
        <v/>
      </c>
      <c r="P149" s="554" t="str">
        <f t="shared" si="35"/>
        <v/>
      </c>
      <c r="Q149" s="554">
        <f t="shared" si="35"/>
        <v>1</v>
      </c>
      <c r="R149" s="554">
        <f t="shared" si="35"/>
        <v>2</v>
      </c>
      <c r="S149" s="554">
        <f t="shared" si="35"/>
        <v>2</v>
      </c>
      <c r="T149" s="554">
        <f t="shared" si="35"/>
        <v>2</v>
      </c>
      <c r="U149" s="554">
        <f t="shared" si="35"/>
        <v>2</v>
      </c>
      <c r="V149" s="554">
        <f t="shared" si="35"/>
        <v>2</v>
      </c>
      <c r="W149" s="554">
        <f t="shared" si="35"/>
        <v>2</v>
      </c>
      <c r="X149" s="554">
        <f t="shared" si="33"/>
        <v>2</v>
      </c>
      <c r="Y149" s="554">
        <f t="shared" si="33"/>
        <v>2</v>
      </c>
      <c r="Z149" s="554">
        <f t="shared" si="33"/>
        <v>2</v>
      </c>
      <c r="AA149" s="554">
        <f t="shared" si="33"/>
        <v>2</v>
      </c>
      <c r="AB149" s="554">
        <f t="shared" si="33"/>
        <v>2</v>
      </c>
      <c r="AC149" s="554">
        <f t="shared" si="33"/>
        <v>2</v>
      </c>
      <c r="AD149" s="554">
        <f t="shared" si="33"/>
        <v>2</v>
      </c>
      <c r="AE149" s="554">
        <f t="shared" si="33"/>
        <v>2</v>
      </c>
      <c r="AF149" s="554">
        <f t="shared" si="33"/>
        <v>2</v>
      </c>
      <c r="AG149" s="554">
        <f t="shared" si="33"/>
        <v>2</v>
      </c>
      <c r="AH149" s="554">
        <f t="shared" si="33"/>
        <v>2</v>
      </c>
      <c r="AI149" s="554">
        <f t="shared" si="33"/>
        <v>2</v>
      </c>
      <c r="AJ149" s="554">
        <f t="shared" si="33"/>
        <v>2</v>
      </c>
      <c r="AK149" s="554">
        <f t="shared" si="33"/>
        <v>2</v>
      </c>
      <c r="AL149" s="554">
        <f t="shared" si="33"/>
        <v>2</v>
      </c>
      <c r="AM149" s="554">
        <f t="shared" si="33"/>
        <v>2</v>
      </c>
      <c r="AN149" s="554">
        <f t="shared" si="34"/>
        <v>2</v>
      </c>
      <c r="AO149" s="554">
        <f t="shared" si="34"/>
        <v>2</v>
      </c>
      <c r="AP149" s="554">
        <f t="shared" si="34"/>
        <v>2</v>
      </c>
      <c r="AQ149" s="429" t="str">
        <f t="shared" si="36"/>
        <v>Vendido</v>
      </c>
      <c r="AR149" s="447">
        <f>_xlfn.XLOOKUP(C149,'BOULEVARD 5'!B:B,'BOULEVARD 5'!AU:AU)</f>
        <v>0.95661764705882357</v>
      </c>
    </row>
    <row r="150" spans="1:44" s="429" customFormat="1" ht="13.9" customHeight="1" x14ac:dyDescent="0.25">
      <c r="B150" s="678" t="str">
        <f>IF('B5-Status cobranza'!A150&gt;0,'B5-Status cobranza'!A150,"")</f>
        <v/>
      </c>
      <c r="C150" s="436">
        <v>815</v>
      </c>
      <c r="D150" s="436" t="s">
        <v>547</v>
      </c>
      <c r="E150" s="436"/>
      <c r="F150" s="436" t="str">
        <f>IF('BOULEVARD 5'!E148="","",'BOULEVARD 5'!E148)</f>
        <v>Antonio Rada</v>
      </c>
      <c r="G150" s="429" t="str">
        <f>IF('BOULEVARD 5'!F148="","",'BOULEVARD 5'!F148)</f>
        <v>Leonora Elizabeth Cordon Arrivillaga</v>
      </c>
      <c r="H150" s="473">
        <f>IF('BOULEVARD 5'!G148="","",'BOULEVARD 5'!G148)</f>
        <v>45342</v>
      </c>
      <c r="I150" s="554" t="str">
        <f t="shared" si="35"/>
        <v/>
      </c>
      <c r="J150" s="554" t="str">
        <f t="shared" si="35"/>
        <v/>
      </c>
      <c r="K150" s="554" t="str">
        <f t="shared" si="35"/>
        <v/>
      </c>
      <c r="L150" s="554" t="str">
        <f t="shared" si="35"/>
        <v/>
      </c>
      <c r="M150" s="554" t="str">
        <f t="shared" si="35"/>
        <v/>
      </c>
      <c r="N150" s="554" t="str">
        <f t="shared" si="35"/>
        <v/>
      </c>
      <c r="O150" s="554" t="str">
        <f t="shared" si="35"/>
        <v/>
      </c>
      <c r="P150" s="554" t="str">
        <f t="shared" si="35"/>
        <v/>
      </c>
      <c r="Q150" s="554" t="str">
        <f t="shared" si="35"/>
        <v/>
      </c>
      <c r="R150" s="554" t="str">
        <f t="shared" si="35"/>
        <v/>
      </c>
      <c r="S150" s="554" t="str">
        <f t="shared" si="35"/>
        <v/>
      </c>
      <c r="T150" s="554">
        <f t="shared" si="35"/>
        <v>1</v>
      </c>
      <c r="U150" s="554">
        <f t="shared" si="35"/>
        <v>2</v>
      </c>
      <c r="V150" s="554">
        <f t="shared" si="35"/>
        <v>2</v>
      </c>
      <c r="W150" s="554">
        <f t="shared" si="35"/>
        <v>2</v>
      </c>
      <c r="X150" s="554">
        <f t="shared" si="33"/>
        <v>2</v>
      </c>
      <c r="Y150" s="554">
        <f t="shared" si="33"/>
        <v>2</v>
      </c>
      <c r="Z150" s="554">
        <f t="shared" si="33"/>
        <v>2</v>
      </c>
      <c r="AA150" s="554">
        <f t="shared" si="33"/>
        <v>2</v>
      </c>
      <c r="AB150" s="554">
        <f t="shared" si="33"/>
        <v>2</v>
      </c>
      <c r="AC150" s="554">
        <f t="shared" si="33"/>
        <v>2</v>
      </c>
      <c r="AD150" s="554">
        <f t="shared" si="33"/>
        <v>2</v>
      </c>
      <c r="AE150" s="554">
        <f t="shared" si="33"/>
        <v>2</v>
      </c>
      <c r="AF150" s="554">
        <f t="shared" si="33"/>
        <v>2</v>
      </c>
      <c r="AG150" s="554">
        <f t="shared" si="33"/>
        <v>2</v>
      </c>
      <c r="AH150" s="554">
        <f t="shared" si="33"/>
        <v>2</v>
      </c>
      <c r="AI150" s="554">
        <f t="shared" si="33"/>
        <v>2</v>
      </c>
      <c r="AJ150" s="554">
        <f t="shared" si="33"/>
        <v>2</v>
      </c>
      <c r="AK150" s="554">
        <f t="shared" si="33"/>
        <v>2</v>
      </c>
      <c r="AL150" s="554">
        <f t="shared" si="33"/>
        <v>2</v>
      </c>
      <c r="AM150" s="554">
        <f t="shared" si="33"/>
        <v>2</v>
      </c>
      <c r="AN150" s="554">
        <f t="shared" si="34"/>
        <v>2</v>
      </c>
      <c r="AO150" s="554">
        <f t="shared" si="34"/>
        <v>2</v>
      </c>
      <c r="AP150" s="554">
        <f t="shared" si="34"/>
        <v>2</v>
      </c>
      <c r="AQ150" s="429" t="str">
        <f t="shared" si="36"/>
        <v>Vendido</v>
      </c>
      <c r="AR150" s="447">
        <f>_xlfn.XLOOKUP(C150,'BOULEVARD 5'!B:B,'BOULEVARD 5'!AU:AU)</f>
        <v>1.1492349726775957</v>
      </c>
    </row>
    <row r="151" spans="1:44" s="429" customFormat="1" ht="13.9" customHeight="1" x14ac:dyDescent="0.25">
      <c r="B151" s="678" t="str">
        <f>IF('B5-Status cobranza'!A151&gt;0,'B5-Status cobranza'!A151,"")</f>
        <v/>
      </c>
      <c r="C151" s="436">
        <v>816</v>
      </c>
      <c r="D151" s="436" t="s">
        <v>181</v>
      </c>
      <c r="E151" s="436"/>
      <c r="F151" s="436" t="str">
        <f>IF('BOULEVARD 5'!E149="","",'BOULEVARD 5'!E149)</f>
        <v>Brenda Búcaro</v>
      </c>
      <c r="G151" s="429" t="str">
        <f>IF('BOULEVARD 5'!F149="","",'BOULEVARD 5'!F149)</f>
        <v>Coasa, S.A.</v>
      </c>
      <c r="H151" s="473">
        <f>IF('BOULEVARD 5'!G149="","",'BOULEVARD 5'!G149)</f>
        <v>45016</v>
      </c>
      <c r="I151" s="554">
        <f t="shared" si="35"/>
        <v>1</v>
      </c>
      <c r="J151" s="554">
        <f t="shared" si="35"/>
        <v>2</v>
      </c>
      <c r="K151" s="554">
        <f t="shared" si="35"/>
        <v>2</v>
      </c>
      <c r="L151" s="554">
        <f t="shared" si="35"/>
        <v>2</v>
      </c>
      <c r="M151" s="554">
        <f t="shared" si="35"/>
        <v>2</v>
      </c>
      <c r="N151" s="554">
        <f t="shared" si="35"/>
        <v>2</v>
      </c>
      <c r="O151" s="554">
        <f t="shared" si="35"/>
        <v>2</v>
      </c>
      <c r="P151" s="554">
        <f t="shared" si="35"/>
        <v>2</v>
      </c>
      <c r="Q151" s="554">
        <f t="shared" si="35"/>
        <v>2</v>
      </c>
      <c r="R151" s="554">
        <f t="shared" si="35"/>
        <v>2</v>
      </c>
      <c r="S151" s="554">
        <f t="shared" si="35"/>
        <v>2</v>
      </c>
      <c r="T151" s="554">
        <f t="shared" si="35"/>
        <v>2</v>
      </c>
      <c r="U151" s="554">
        <f t="shared" si="35"/>
        <v>2</v>
      </c>
      <c r="V151" s="554">
        <f t="shared" si="35"/>
        <v>2</v>
      </c>
      <c r="W151" s="554">
        <f t="shared" si="35"/>
        <v>2</v>
      </c>
      <c r="X151" s="554">
        <f t="shared" si="33"/>
        <v>2</v>
      </c>
      <c r="Y151" s="554">
        <f t="shared" si="33"/>
        <v>2</v>
      </c>
      <c r="Z151" s="554">
        <f t="shared" si="33"/>
        <v>2</v>
      </c>
      <c r="AA151" s="554">
        <f t="shared" si="33"/>
        <v>2</v>
      </c>
      <c r="AB151" s="554">
        <f t="shared" si="33"/>
        <v>2</v>
      </c>
      <c r="AC151" s="554">
        <f t="shared" si="33"/>
        <v>2</v>
      </c>
      <c r="AD151" s="554">
        <f t="shared" si="33"/>
        <v>2</v>
      </c>
      <c r="AE151" s="554">
        <f t="shared" si="33"/>
        <v>2</v>
      </c>
      <c r="AF151" s="554">
        <f t="shared" si="33"/>
        <v>2</v>
      </c>
      <c r="AG151" s="554">
        <f t="shared" si="33"/>
        <v>2</v>
      </c>
      <c r="AH151" s="554">
        <f t="shared" si="33"/>
        <v>2</v>
      </c>
      <c r="AI151" s="554">
        <f t="shared" si="33"/>
        <v>2</v>
      </c>
      <c r="AJ151" s="554">
        <f t="shared" si="33"/>
        <v>2</v>
      </c>
      <c r="AK151" s="554">
        <f t="shared" si="33"/>
        <v>2</v>
      </c>
      <c r="AL151" s="554">
        <f t="shared" si="33"/>
        <v>2</v>
      </c>
      <c r="AM151" s="554">
        <f t="shared" si="33"/>
        <v>2</v>
      </c>
      <c r="AN151" s="554">
        <f t="shared" si="34"/>
        <v>2</v>
      </c>
      <c r="AO151" s="554">
        <f t="shared" si="34"/>
        <v>2</v>
      </c>
      <c r="AP151" s="554">
        <f t="shared" si="34"/>
        <v>2</v>
      </c>
      <c r="AQ151" s="429" t="str">
        <f t="shared" si="36"/>
        <v>Vendido</v>
      </c>
      <c r="AR151" s="447">
        <f>_xlfn.XLOOKUP(C151,'BOULEVARD 5'!B:B,'BOULEVARD 5'!AU:AU)</f>
        <v>0.9785276073619632</v>
      </c>
    </row>
    <row r="152" spans="1:44" s="429" customFormat="1" ht="13.9" customHeight="1" x14ac:dyDescent="0.25">
      <c r="B152" s="678" t="str">
        <f>IF('B5-Status cobranza'!A152&gt;0,'B5-Status cobranza'!A152,"")</f>
        <v/>
      </c>
      <c r="C152" s="436">
        <v>817</v>
      </c>
      <c r="D152" s="436" t="s">
        <v>192</v>
      </c>
      <c r="E152" s="436"/>
      <c r="F152" s="436" t="str">
        <f>IF('BOULEVARD 5'!E150="","",'BOULEVARD 5'!E150)</f>
        <v>Brenda Búcaro</v>
      </c>
      <c r="G152" s="429" t="str">
        <f>IF('BOULEVARD 5'!F150="","",'BOULEVARD 5'!F150)</f>
        <v xml:space="preserve"> Juan Antonio Escobedo Del Cid</v>
      </c>
      <c r="H152" s="473">
        <f>IF('BOULEVARD 5'!G150="","",'BOULEVARD 5'!G150)</f>
        <v>45027</v>
      </c>
      <c r="I152" s="554" t="str">
        <f t="shared" si="35"/>
        <v/>
      </c>
      <c r="J152" s="554">
        <f t="shared" si="35"/>
        <v>1</v>
      </c>
      <c r="K152" s="554">
        <f t="shared" si="35"/>
        <v>2</v>
      </c>
      <c r="L152" s="554">
        <f t="shared" si="35"/>
        <v>2</v>
      </c>
      <c r="M152" s="554">
        <f t="shared" si="35"/>
        <v>2</v>
      </c>
      <c r="N152" s="554">
        <f t="shared" si="35"/>
        <v>2</v>
      </c>
      <c r="O152" s="554">
        <f t="shared" si="35"/>
        <v>2</v>
      </c>
      <c r="P152" s="554">
        <f t="shared" si="35"/>
        <v>2</v>
      </c>
      <c r="Q152" s="554">
        <f t="shared" si="35"/>
        <v>2</v>
      </c>
      <c r="R152" s="554">
        <f t="shared" si="35"/>
        <v>2</v>
      </c>
      <c r="S152" s="554">
        <f t="shared" si="35"/>
        <v>2</v>
      </c>
      <c r="T152" s="554">
        <f t="shared" si="35"/>
        <v>2</v>
      </c>
      <c r="U152" s="554">
        <f t="shared" si="35"/>
        <v>2</v>
      </c>
      <c r="V152" s="554">
        <f t="shared" si="35"/>
        <v>2</v>
      </c>
      <c r="W152" s="554">
        <f t="shared" si="35"/>
        <v>2</v>
      </c>
      <c r="X152" s="554">
        <f t="shared" si="33"/>
        <v>2</v>
      </c>
      <c r="Y152" s="554">
        <f t="shared" si="33"/>
        <v>2</v>
      </c>
      <c r="Z152" s="554">
        <f t="shared" si="33"/>
        <v>2</v>
      </c>
      <c r="AA152" s="554">
        <f t="shared" si="33"/>
        <v>2</v>
      </c>
      <c r="AB152" s="554">
        <f t="shared" si="33"/>
        <v>2</v>
      </c>
      <c r="AC152" s="554">
        <f t="shared" si="33"/>
        <v>2</v>
      </c>
      <c r="AD152" s="554">
        <f t="shared" si="33"/>
        <v>2</v>
      </c>
      <c r="AE152" s="554">
        <f t="shared" si="33"/>
        <v>2</v>
      </c>
      <c r="AF152" s="554">
        <f t="shared" si="33"/>
        <v>2</v>
      </c>
      <c r="AG152" s="554">
        <f t="shared" si="33"/>
        <v>2</v>
      </c>
      <c r="AH152" s="554">
        <f t="shared" si="33"/>
        <v>2</v>
      </c>
      <c r="AI152" s="554">
        <f t="shared" si="33"/>
        <v>2</v>
      </c>
      <c r="AJ152" s="554">
        <f t="shared" si="33"/>
        <v>2</v>
      </c>
      <c r="AK152" s="554">
        <f t="shared" si="33"/>
        <v>2</v>
      </c>
      <c r="AL152" s="554">
        <f t="shared" si="33"/>
        <v>2</v>
      </c>
      <c r="AM152" s="554">
        <f t="shared" ref="AM152:AP171" si="37">IF(OR($B152="F&amp;F",$B152="CE",$H152=""),"",IF(TEXT(AM$8,"yyyymm")=TEXT($H152,"yyyymm"),1,IF(TEXT(AM$8,"yyyymm")&gt;TEXT($H152,"yyyymm"),2,IF(AM$8&lt;$H152,"",0))))</f>
        <v>2</v>
      </c>
      <c r="AN152" s="554">
        <f t="shared" si="34"/>
        <v>2</v>
      </c>
      <c r="AO152" s="554">
        <f t="shared" si="34"/>
        <v>2</v>
      </c>
      <c r="AP152" s="554">
        <f t="shared" si="34"/>
        <v>2</v>
      </c>
      <c r="AQ152" s="429" t="str">
        <f t="shared" si="36"/>
        <v>Vendido</v>
      </c>
      <c r="AR152" s="447">
        <f>_xlfn.XLOOKUP(C152,'BOULEVARD 5'!B:B,'BOULEVARD 5'!AU:AU)</f>
        <v>0.82151392846439264</v>
      </c>
    </row>
    <row r="153" spans="1:44" s="429" customFormat="1" ht="13.9" customHeight="1" x14ac:dyDescent="0.25">
      <c r="B153" s="678" t="str">
        <f>IF('B5-Status cobranza'!A153&gt;0,'B5-Status cobranza'!A153,"")</f>
        <v/>
      </c>
      <c r="C153" s="436">
        <v>818</v>
      </c>
      <c r="D153" s="436" t="s">
        <v>198</v>
      </c>
      <c r="E153" s="436"/>
      <c r="F153" s="436" t="str">
        <f>IF('BOULEVARD 5'!E151="","",'BOULEVARD 5'!E151)</f>
        <v>Brenda Búcaro</v>
      </c>
      <c r="G153" s="429" t="str">
        <f>IF('BOULEVARD 5'!F151="","",'BOULEVARD 5'!F151)</f>
        <v>Astrid Pamela Chew Chávez De Letona</v>
      </c>
      <c r="H153" s="473">
        <f>IF('BOULEVARD 5'!G151="","",'BOULEVARD 5'!G151)</f>
        <v>45125</v>
      </c>
      <c r="I153" s="554" t="str">
        <f t="shared" si="35"/>
        <v/>
      </c>
      <c r="J153" s="554" t="str">
        <f t="shared" si="35"/>
        <v/>
      </c>
      <c r="K153" s="554" t="str">
        <f t="shared" si="35"/>
        <v/>
      </c>
      <c r="L153" s="554" t="str">
        <f t="shared" si="35"/>
        <v/>
      </c>
      <c r="M153" s="554">
        <f t="shared" si="35"/>
        <v>1</v>
      </c>
      <c r="N153" s="554">
        <f t="shared" si="35"/>
        <v>2</v>
      </c>
      <c r="O153" s="554">
        <f t="shared" si="35"/>
        <v>2</v>
      </c>
      <c r="P153" s="554">
        <f t="shared" si="35"/>
        <v>2</v>
      </c>
      <c r="Q153" s="554">
        <f t="shared" si="35"/>
        <v>2</v>
      </c>
      <c r="R153" s="554">
        <f t="shared" si="35"/>
        <v>2</v>
      </c>
      <c r="S153" s="554">
        <f t="shared" si="35"/>
        <v>2</v>
      </c>
      <c r="T153" s="554">
        <f t="shared" si="35"/>
        <v>2</v>
      </c>
      <c r="U153" s="554">
        <f t="shared" si="35"/>
        <v>2</v>
      </c>
      <c r="V153" s="554">
        <f t="shared" si="35"/>
        <v>2</v>
      </c>
      <c r="W153" s="554">
        <f t="shared" si="35"/>
        <v>2</v>
      </c>
      <c r="X153" s="554">
        <f t="shared" si="35"/>
        <v>2</v>
      </c>
      <c r="Y153" s="554">
        <f t="shared" ref="Y153:AL168" si="38">IF(OR($B153="F&amp;F",$B153="CE",$H153=""),"",IF(TEXT(Y$8,"yyyymm")=TEXT($H153,"yyyymm"),1,IF(TEXT(Y$8,"yyyymm")&gt;TEXT($H153,"yyyymm"),2,IF(Y$8&lt;$H153,"",0))))</f>
        <v>2</v>
      </c>
      <c r="Z153" s="554">
        <f t="shared" si="38"/>
        <v>2</v>
      </c>
      <c r="AA153" s="554">
        <f t="shared" si="38"/>
        <v>2</v>
      </c>
      <c r="AB153" s="554">
        <f t="shared" si="38"/>
        <v>2</v>
      </c>
      <c r="AC153" s="554">
        <f t="shared" si="38"/>
        <v>2</v>
      </c>
      <c r="AD153" s="554">
        <f t="shared" si="38"/>
        <v>2</v>
      </c>
      <c r="AE153" s="554">
        <f t="shared" si="38"/>
        <v>2</v>
      </c>
      <c r="AF153" s="554">
        <f t="shared" si="38"/>
        <v>2</v>
      </c>
      <c r="AG153" s="554">
        <f t="shared" si="38"/>
        <v>2</v>
      </c>
      <c r="AH153" s="554">
        <f t="shared" si="38"/>
        <v>2</v>
      </c>
      <c r="AI153" s="554">
        <f t="shared" si="38"/>
        <v>2</v>
      </c>
      <c r="AJ153" s="554">
        <f t="shared" si="38"/>
        <v>2</v>
      </c>
      <c r="AK153" s="554">
        <f t="shared" si="38"/>
        <v>2</v>
      </c>
      <c r="AL153" s="554">
        <f t="shared" si="38"/>
        <v>2</v>
      </c>
      <c r="AM153" s="554">
        <f t="shared" si="37"/>
        <v>2</v>
      </c>
      <c r="AN153" s="554">
        <f t="shared" si="34"/>
        <v>2</v>
      </c>
      <c r="AO153" s="554">
        <f t="shared" si="34"/>
        <v>2</v>
      </c>
      <c r="AP153" s="554">
        <f t="shared" si="34"/>
        <v>2</v>
      </c>
      <c r="AQ153" s="429" t="str">
        <f t="shared" si="36"/>
        <v>Vendido</v>
      </c>
      <c r="AR153" s="447">
        <f>_xlfn.XLOOKUP(C153,'BOULEVARD 5'!B:B,'BOULEVARD 5'!AU:AU)</f>
        <v>1.0000284090909091</v>
      </c>
    </row>
    <row r="154" spans="1:44" s="429" customFormat="1" ht="13.9" customHeight="1" x14ac:dyDescent="0.25">
      <c r="B154" s="678" t="str">
        <f>IF('B5-Status cobranza'!A154&gt;0,'B5-Status cobranza'!A154,"")</f>
        <v/>
      </c>
      <c r="C154" s="436">
        <v>819</v>
      </c>
      <c r="D154" s="436" t="s">
        <v>412</v>
      </c>
      <c r="E154" s="436"/>
      <c r="F154" s="436" t="str">
        <f>IF('BOULEVARD 5'!E152="","",'BOULEVARD 5'!E152)</f>
        <v>Brenda Búcaro</v>
      </c>
      <c r="G154" s="429" t="str">
        <f>IF('BOULEVARD 5'!F152="","",'BOULEVARD 5'!F152)</f>
        <v>Edvin Eduardo Sajquim Sajquim</v>
      </c>
      <c r="H154" s="473">
        <f>IF('BOULEVARD 5'!G152="","",'BOULEVARD 5'!G152)</f>
        <v>45075</v>
      </c>
      <c r="I154" s="554" t="str">
        <f t="shared" ref="I154:X169" si="39">IF(OR($B154="F&amp;F",$B154="CE",$H154=""),"",IF(TEXT(I$8,"yyyymm")=TEXT($H154,"yyyymm"),1,IF(TEXT(I$8,"yyyymm")&gt;TEXT($H154,"yyyymm"),2,IF(I$8&lt;$H154,"",0))))</f>
        <v/>
      </c>
      <c r="J154" s="554" t="str">
        <f t="shared" si="39"/>
        <v/>
      </c>
      <c r="K154" s="554">
        <f t="shared" si="39"/>
        <v>1</v>
      </c>
      <c r="L154" s="554">
        <f t="shared" si="39"/>
        <v>2</v>
      </c>
      <c r="M154" s="554">
        <f t="shared" si="39"/>
        <v>2</v>
      </c>
      <c r="N154" s="554">
        <f t="shared" si="39"/>
        <v>2</v>
      </c>
      <c r="O154" s="554">
        <f t="shared" si="39"/>
        <v>2</v>
      </c>
      <c r="P154" s="554">
        <f t="shared" si="39"/>
        <v>2</v>
      </c>
      <c r="Q154" s="554">
        <f t="shared" si="39"/>
        <v>2</v>
      </c>
      <c r="R154" s="554">
        <f t="shared" si="39"/>
        <v>2</v>
      </c>
      <c r="S154" s="554">
        <f t="shared" si="39"/>
        <v>2</v>
      </c>
      <c r="T154" s="554">
        <f t="shared" si="39"/>
        <v>2</v>
      </c>
      <c r="U154" s="554">
        <f t="shared" si="39"/>
        <v>2</v>
      </c>
      <c r="V154" s="554">
        <f t="shared" si="39"/>
        <v>2</v>
      </c>
      <c r="W154" s="554">
        <f t="shared" si="39"/>
        <v>2</v>
      </c>
      <c r="X154" s="554">
        <f t="shared" si="39"/>
        <v>2</v>
      </c>
      <c r="Y154" s="554">
        <f t="shared" si="38"/>
        <v>2</v>
      </c>
      <c r="Z154" s="554">
        <f t="shared" si="38"/>
        <v>2</v>
      </c>
      <c r="AA154" s="554">
        <f t="shared" si="38"/>
        <v>2</v>
      </c>
      <c r="AB154" s="554">
        <f t="shared" si="38"/>
        <v>2</v>
      </c>
      <c r="AC154" s="554">
        <f t="shared" si="38"/>
        <v>2</v>
      </c>
      <c r="AD154" s="554">
        <f t="shared" si="38"/>
        <v>2</v>
      </c>
      <c r="AE154" s="554">
        <f t="shared" si="38"/>
        <v>2</v>
      </c>
      <c r="AF154" s="554">
        <f t="shared" si="38"/>
        <v>2</v>
      </c>
      <c r="AG154" s="554">
        <f t="shared" si="38"/>
        <v>2</v>
      </c>
      <c r="AH154" s="554">
        <f t="shared" si="38"/>
        <v>2</v>
      </c>
      <c r="AI154" s="554">
        <f t="shared" si="38"/>
        <v>2</v>
      </c>
      <c r="AJ154" s="554">
        <f t="shared" si="38"/>
        <v>2</v>
      </c>
      <c r="AK154" s="554">
        <f t="shared" si="38"/>
        <v>2</v>
      </c>
      <c r="AL154" s="554">
        <f t="shared" si="38"/>
        <v>2</v>
      </c>
      <c r="AM154" s="554">
        <f t="shared" si="37"/>
        <v>2</v>
      </c>
      <c r="AN154" s="554">
        <f t="shared" si="34"/>
        <v>2</v>
      </c>
      <c r="AO154" s="554">
        <f t="shared" si="34"/>
        <v>2</v>
      </c>
      <c r="AP154" s="554">
        <f t="shared" si="34"/>
        <v>2</v>
      </c>
      <c r="AQ154" s="429" t="str">
        <f t="shared" si="36"/>
        <v>Vendido</v>
      </c>
      <c r="AR154" s="447">
        <f>_xlfn.XLOOKUP(C154,'BOULEVARD 5'!B:B,'BOULEVARD 5'!AU:AU)</f>
        <v>1.1198347107438016</v>
      </c>
    </row>
    <row r="155" spans="1:44" s="429" customFormat="1" ht="13.9" customHeight="1" x14ac:dyDescent="0.25">
      <c r="B155" s="678" t="str">
        <f>IF('B5-Status cobranza'!A155&gt;0,'B5-Status cobranza'!A155,"")</f>
        <v/>
      </c>
      <c r="C155" s="436">
        <v>820</v>
      </c>
      <c r="D155" s="436" t="s">
        <v>186</v>
      </c>
      <c r="E155" s="436"/>
      <c r="F155" s="436" t="str">
        <f>IF('BOULEVARD 5'!E153="","",'BOULEVARD 5'!E153)</f>
        <v>Antonio Rada</v>
      </c>
      <c r="G155" s="429" t="str">
        <f>IF('BOULEVARD 5'!F153="","",'BOULEVARD 5'!F153)</f>
        <v>Maria Eugenia Ortiz Uck</v>
      </c>
      <c r="H155" s="473">
        <f>IF('BOULEVARD 5'!G153="","",'BOULEVARD 5'!G153)</f>
        <v>45304</v>
      </c>
      <c r="I155" s="554" t="str">
        <f t="shared" si="39"/>
        <v/>
      </c>
      <c r="J155" s="554" t="str">
        <f t="shared" si="39"/>
        <v/>
      </c>
      <c r="K155" s="554" t="str">
        <f t="shared" si="39"/>
        <v/>
      </c>
      <c r="L155" s="554" t="str">
        <f t="shared" si="39"/>
        <v/>
      </c>
      <c r="M155" s="554" t="str">
        <f t="shared" si="39"/>
        <v/>
      </c>
      <c r="N155" s="554" t="str">
        <f t="shared" si="39"/>
        <v/>
      </c>
      <c r="O155" s="554" t="str">
        <f t="shared" si="39"/>
        <v/>
      </c>
      <c r="P155" s="554" t="str">
        <f t="shared" si="39"/>
        <v/>
      </c>
      <c r="Q155" s="554" t="str">
        <f t="shared" si="39"/>
        <v/>
      </c>
      <c r="R155" s="554" t="str">
        <f t="shared" si="39"/>
        <v/>
      </c>
      <c r="S155" s="554">
        <f t="shared" si="39"/>
        <v>1</v>
      </c>
      <c r="T155" s="554">
        <f t="shared" si="39"/>
        <v>2</v>
      </c>
      <c r="U155" s="554">
        <f t="shared" si="39"/>
        <v>2</v>
      </c>
      <c r="V155" s="554">
        <f t="shared" si="39"/>
        <v>2</v>
      </c>
      <c r="W155" s="554">
        <f t="shared" si="39"/>
        <v>2</v>
      </c>
      <c r="X155" s="554">
        <f t="shared" si="39"/>
        <v>2</v>
      </c>
      <c r="Y155" s="554">
        <f t="shared" si="38"/>
        <v>2</v>
      </c>
      <c r="Z155" s="554">
        <f t="shared" si="38"/>
        <v>2</v>
      </c>
      <c r="AA155" s="554">
        <f t="shared" si="38"/>
        <v>2</v>
      </c>
      <c r="AB155" s="554">
        <f t="shared" si="38"/>
        <v>2</v>
      </c>
      <c r="AC155" s="554">
        <f t="shared" si="38"/>
        <v>2</v>
      </c>
      <c r="AD155" s="554">
        <f t="shared" si="38"/>
        <v>2</v>
      </c>
      <c r="AE155" s="554">
        <f t="shared" si="38"/>
        <v>2</v>
      </c>
      <c r="AF155" s="554">
        <f t="shared" si="38"/>
        <v>2</v>
      </c>
      <c r="AG155" s="554">
        <f t="shared" si="38"/>
        <v>2</v>
      </c>
      <c r="AH155" s="554">
        <f t="shared" si="38"/>
        <v>2</v>
      </c>
      <c r="AI155" s="554">
        <f t="shared" si="38"/>
        <v>2</v>
      </c>
      <c r="AJ155" s="554">
        <f t="shared" si="38"/>
        <v>2</v>
      </c>
      <c r="AK155" s="554">
        <f t="shared" si="38"/>
        <v>2</v>
      </c>
      <c r="AL155" s="554">
        <f t="shared" si="38"/>
        <v>2</v>
      </c>
      <c r="AM155" s="554">
        <f t="shared" si="37"/>
        <v>2</v>
      </c>
      <c r="AN155" s="554">
        <f t="shared" si="34"/>
        <v>2</v>
      </c>
      <c r="AO155" s="554">
        <f t="shared" si="34"/>
        <v>2</v>
      </c>
      <c r="AP155" s="554">
        <f t="shared" si="34"/>
        <v>2</v>
      </c>
      <c r="AQ155" s="429" t="str">
        <f t="shared" si="36"/>
        <v>Vendido</v>
      </c>
      <c r="AR155" s="447">
        <f>_xlfn.XLOOKUP(C155,'BOULEVARD 5'!B:B,'BOULEVARD 5'!AU:AU)</f>
        <v>1</v>
      </c>
    </row>
    <row r="156" spans="1:44" s="429" customFormat="1" ht="13.9" customHeight="1" x14ac:dyDescent="0.25">
      <c r="B156" s="678" t="str">
        <f>IF('B5-Status cobranza'!A156&gt;0,'B5-Status cobranza'!A156,"")</f>
        <v>F&amp;F</v>
      </c>
      <c r="C156" s="475">
        <v>901</v>
      </c>
      <c r="D156" s="475" t="s">
        <v>409</v>
      </c>
      <c r="E156" s="475"/>
      <c r="F156" s="475" t="str">
        <f>IF('BOULEVARD 5'!E154="","",'BOULEVARD 5'!E154)</f>
        <v>Antonio Rada</v>
      </c>
      <c r="G156" s="476" t="str">
        <f>IF('BOULEVARD 5'!F154="","",'BOULEVARD 5'!F154)</f>
        <v>Monica Arimany Monzon</v>
      </c>
      <c r="H156" s="481">
        <f>IF('BOULEVARD 5'!G154="","",'BOULEVARD 5'!G154)</f>
        <v>45012</v>
      </c>
      <c r="I156" s="554" t="str">
        <f t="shared" si="39"/>
        <v/>
      </c>
      <c r="J156" s="554" t="str">
        <f t="shared" si="39"/>
        <v/>
      </c>
      <c r="K156" s="554" t="str">
        <f t="shared" si="39"/>
        <v/>
      </c>
      <c r="L156" s="554" t="str">
        <f t="shared" si="39"/>
        <v/>
      </c>
      <c r="M156" s="554" t="str">
        <f t="shared" si="39"/>
        <v/>
      </c>
      <c r="N156" s="554" t="str">
        <f t="shared" si="39"/>
        <v/>
      </c>
      <c r="O156" s="554" t="str">
        <f t="shared" si="39"/>
        <v/>
      </c>
      <c r="P156" s="554" t="str">
        <f t="shared" si="39"/>
        <v/>
      </c>
      <c r="Q156" s="554" t="str">
        <f t="shared" si="39"/>
        <v/>
      </c>
      <c r="R156" s="554" t="str">
        <f t="shared" si="39"/>
        <v/>
      </c>
      <c r="S156" s="554" t="str">
        <f t="shared" si="39"/>
        <v/>
      </c>
      <c r="T156" s="554" t="str">
        <f t="shared" si="39"/>
        <v/>
      </c>
      <c r="U156" s="554" t="str">
        <f t="shared" si="39"/>
        <v/>
      </c>
      <c r="V156" s="554" t="str">
        <f t="shared" si="39"/>
        <v/>
      </c>
      <c r="W156" s="554" t="str">
        <f t="shared" si="39"/>
        <v/>
      </c>
      <c r="X156" s="554" t="str">
        <f t="shared" si="39"/>
        <v/>
      </c>
      <c r="Y156" s="554" t="str">
        <f t="shared" si="38"/>
        <v/>
      </c>
      <c r="Z156" s="554" t="str">
        <f t="shared" si="38"/>
        <v/>
      </c>
      <c r="AA156" s="554" t="str">
        <f t="shared" si="38"/>
        <v/>
      </c>
      <c r="AB156" s="554" t="str">
        <f t="shared" si="38"/>
        <v/>
      </c>
      <c r="AC156" s="554" t="str">
        <f t="shared" si="38"/>
        <v/>
      </c>
      <c r="AD156" s="554" t="str">
        <f t="shared" si="38"/>
        <v/>
      </c>
      <c r="AE156" s="554" t="str">
        <f t="shared" si="38"/>
        <v/>
      </c>
      <c r="AF156" s="554" t="str">
        <f t="shared" si="38"/>
        <v/>
      </c>
      <c r="AG156" s="554" t="str">
        <f t="shared" si="38"/>
        <v/>
      </c>
      <c r="AH156" s="554" t="str">
        <f t="shared" si="38"/>
        <v/>
      </c>
      <c r="AI156" s="554" t="str">
        <f t="shared" si="38"/>
        <v/>
      </c>
      <c r="AJ156" s="554" t="str">
        <f t="shared" si="38"/>
        <v/>
      </c>
      <c r="AK156" s="554" t="str">
        <f t="shared" si="38"/>
        <v/>
      </c>
      <c r="AL156" s="554" t="str">
        <f t="shared" si="38"/>
        <v/>
      </c>
      <c r="AM156" s="554" t="str">
        <f t="shared" si="37"/>
        <v/>
      </c>
      <c r="AN156" s="554" t="str">
        <f t="shared" si="34"/>
        <v/>
      </c>
      <c r="AO156" s="554" t="str">
        <f t="shared" si="34"/>
        <v/>
      </c>
      <c r="AP156" s="554" t="str">
        <f t="shared" si="34"/>
        <v/>
      </c>
      <c r="AQ156" s="429" t="str">
        <f t="shared" si="36"/>
        <v>Vendido</v>
      </c>
      <c r="AR156" s="447">
        <f>_xlfn.XLOOKUP(C156,'BOULEVARD 5'!B:B,'BOULEVARD 5'!AU:AU)</f>
        <v>0.67603972091938758</v>
      </c>
    </row>
    <row r="157" spans="1:44" s="429" customFormat="1" ht="13.9" customHeight="1" x14ac:dyDescent="0.25">
      <c r="A157" s="429" t="s">
        <v>388</v>
      </c>
      <c r="B157" s="678"/>
      <c r="C157" s="436">
        <v>902</v>
      </c>
      <c r="D157" s="436" t="s">
        <v>184</v>
      </c>
      <c r="E157" s="641" t="s">
        <v>386</v>
      </c>
      <c r="F157" s="436" t="str">
        <f>IF('BOULEVARD 5'!E155="","",'BOULEVARD 5'!E155)</f>
        <v>Antonio Rada</v>
      </c>
      <c r="G157" s="429" t="str">
        <f>IF('BOULEVARD 5'!F155="","",'BOULEVARD 5'!F155)</f>
        <v>Waldir Edenilson Contreras Pedroza</v>
      </c>
      <c r="H157" s="473">
        <f>IF('BOULEVARD 5'!G155="","",'BOULEVARD 5'!G155)</f>
        <v>45306</v>
      </c>
      <c r="I157" s="554" t="str">
        <f t="shared" si="39"/>
        <v/>
      </c>
      <c r="J157" s="554" t="str">
        <f t="shared" si="39"/>
        <v/>
      </c>
      <c r="K157" s="554" t="str">
        <f t="shared" si="39"/>
        <v/>
      </c>
      <c r="L157" s="554" t="str">
        <f t="shared" si="39"/>
        <v/>
      </c>
      <c r="M157" s="554" t="str">
        <f t="shared" si="39"/>
        <v/>
      </c>
      <c r="N157" s="554" t="str">
        <f t="shared" si="39"/>
        <v/>
      </c>
      <c r="O157" s="554" t="str">
        <f t="shared" si="39"/>
        <v/>
      </c>
      <c r="P157" s="554" t="str">
        <f t="shared" si="39"/>
        <v/>
      </c>
      <c r="Q157" s="554" t="str">
        <f t="shared" si="39"/>
        <v/>
      </c>
      <c r="R157" s="554" t="str">
        <f t="shared" si="39"/>
        <v/>
      </c>
      <c r="S157" s="554">
        <f t="shared" si="39"/>
        <v>1</v>
      </c>
      <c r="T157" s="554">
        <f t="shared" si="39"/>
        <v>2</v>
      </c>
      <c r="U157" s="554">
        <f t="shared" si="39"/>
        <v>2</v>
      </c>
      <c r="V157" s="554">
        <f t="shared" si="39"/>
        <v>2</v>
      </c>
      <c r="W157" s="554">
        <f t="shared" si="39"/>
        <v>2</v>
      </c>
      <c r="X157" s="554">
        <f t="shared" si="39"/>
        <v>2</v>
      </c>
      <c r="Y157" s="554">
        <f t="shared" si="38"/>
        <v>2</v>
      </c>
      <c r="Z157" s="554">
        <f t="shared" si="38"/>
        <v>2</v>
      </c>
      <c r="AA157" s="554">
        <f t="shared" si="38"/>
        <v>2</v>
      </c>
      <c r="AB157" s="554">
        <f t="shared" si="38"/>
        <v>2</v>
      </c>
      <c r="AC157" s="554">
        <f t="shared" si="38"/>
        <v>2</v>
      </c>
      <c r="AD157" s="554">
        <f t="shared" si="38"/>
        <v>2</v>
      </c>
      <c r="AE157" s="554">
        <f t="shared" si="38"/>
        <v>2</v>
      </c>
      <c r="AF157" s="554">
        <f t="shared" si="38"/>
        <v>2</v>
      </c>
      <c r="AG157" s="554">
        <f t="shared" si="38"/>
        <v>2</v>
      </c>
      <c r="AH157" s="554">
        <f t="shared" si="38"/>
        <v>2</v>
      </c>
      <c r="AI157" s="554">
        <f t="shared" si="38"/>
        <v>2</v>
      </c>
      <c r="AJ157" s="554">
        <f t="shared" si="38"/>
        <v>2</v>
      </c>
      <c r="AK157" s="554">
        <f t="shared" si="38"/>
        <v>2</v>
      </c>
      <c r="AL157" s="554">
        <f t="shared" si="38"/>
        <v>2</v>
      </c>
      <c r="AM157" s="554">
        <f t="shared" si="37"/>
        <v>2</v>
      </c>
      <c r="AN157" s="554">
        <f t="shared" si="37"/>
        <v>2</v>
      </c>
      <c r="AO157" s="554">
        <f t="shared" si="37"/>
        <v>2</v>
      </c>
      <c r="AP157" s="554">
        <f t="shared" si="37"/>
        <v>2</v>
      </c>
      <c r="AQ157" s="429" t="str">
        <f t="shared" si="36"/>
        <v>Vendido</v>
      </c>
      <c r="AR157" s="447">
        <f>_xlfn.XLOOKUP(C157,'BOULEVARD 5'!B:B,'BOULEVARD 5'!AU:AU)</f>
        <v>1.0027575833542242</v>
      </c>
    </row>
    <row r="158" spans="1:44" s="429" customFormat="1" ht="13.9" customHeight="1" x14ac:dyDescent="0.25">
      <c r="B158" s="678" t="str">
        <f>IF('B5-Status cobranza'!A158&gt;0,'B5-Status cobranza'!A158,"")</f>
        <v/>
      </c>
      <c r="C158" s="436">
        <v>903</v>
      </c>
      <c r="D158" s="436" t="s">
        <v>406</v>
      </c>
      <c r="E158" s="436"/>
      <c r="F158" s="436" t="str">
        <f>IF('BOULEVARD 5'!E156="","",'BOULEVARD 5'!E156)</f>
        <v>Jose Franco</v>
      </c>
      <c r="G158" s="429" t="str">
        <f>IF('BOULEVARD 5'!F156="","",'BOULEVARD 5'!F156)</f>
        <v>Vivian Arely Carranza León De Acevedo</v>
      </c>
      <c r="H158" s="473">
        <f>IF('BOULEVARD 5'!G156="","",'BOULEVARD 5'!G156)</f>
        <v>45065</v>
      </c>
      <c r="I158" s="554" t="str">
        <f t="shared" si="39"/>
        <v/>
      </c>
      <c r="J158" s="554" t="str">
        <f t="shared" si="39"/>
        <v/>
      </c>
      <c r="K158" s="554">
        <f t="shared" si="39"/>
        <v>1</v>
      </c>
      <c r="L158" s="554">
        <f t="shared" si="39"/>
        <v>2</v>
      </c>
      <c r="M158" s="554">
        <f t="shared" si="39"/>
        <v>2</v>
      </c>
      <c r="N158" s="554">
        <f t="shared" si="39"/>
        <v>2</v>
      </c>
      <c r="O158" s="554">
        <f t="shared" si="39"/>
        <v>2</v>
      </c>
      <c r="P158" s="554">
        <f t="shared" si="39"/>
        <v>2</v>
      </c>
      <c r="Q158" s="554">
        <f t="shared" si="39"/>
        <v>2</v>
      </c>
      <c r="R158" s="554">
        <f t="shared" si="39"/>
        <v>2</v>
      </c>
      <c r="S158" s="554">
        <f t="shared" si="39"/>
        <v>2</v>
      </c>
      <c r="T158" s="554">
        <f t="shared" si="39"/>
        <v>2</v>
      </c>
      <c r="U158" s="554">
        <f t="shared" si="39"/>
        <v>2</v>
      </c>
      <c r="V158" s="554">
        <f t="shared" si="39"/>
        <v>2</v>
      </c>
      <c r="W158" s="554">
        <f t="shared" si="39"/>
        <v>2</v>
      </c>
      <c r="X158" s="554">
        <f t="shared" si="39"/>
        <v>2</v>
      </c>
      <c r="Y158" s="554">
        <f t="shared" si="38"/>
        <v>2</v>
      </c>
      <c r="Z158" s="554">
        <f t="shared" si="38"/>
        <v>2</v>
      </c>
      <c r="AA158" s="554">
        <f t="shared" si="38"/>
        <v>2</v>
      </c>
      <c r="AB158" s="554">
        <f t="shared" si="38"/>
        <v>2</v>
      </c>
      <c r="AC158" s="554">
        <f t="shared" si="38"/>
        <v>2</v>
      </c>
      <c r="AD158" s="554">
        <f t="shared" si="38"/>
        <v>2</v>
      </c>
      <c r="AE158" s="554">
        <f t="shared" si="38"/>
        <v>2</v>
      </c>
      <c r="AF158" s="554">
        <f t="shared" si="38"/>
        <v>2</v>
      </c>
      <c r="AG158" s="554">
        <f t="shared" si="38"/>
        <v>2</v>
      </c>
      <c r="AH158" s="554">
        <f t="shared" si="38"/>
        <v>2</v>
      </c>
      <c r="AI158" s="554">
        <f t="shared" si="38"/>
        <v>2</v>
      </c>
      <c r="AJ158" s="554">
        <f t="shared" si="38"/>
        <v>2</v>
      </c>
      <c r="AK158" s="554">
        <f t="shared" si="38"/>
        <v>2</v>
      </c>
      <c r="AL158" s="554">
        <f t="shared" si="38"/>
        <v>2</v>
      </c>
      <c r="AM158" s="554">
        <f t="shared" si="37"/>
        <v>2</v>
      </c>
      <c r="AN158" s="554">
        <f t="shared" si="37"/>
        <v>2</v>
      </c>
      <c r="AO158" s="554">
        <f t="shared" si="37"/>
        <v>2</v>
      </c>
      <c r="AP158" s="554">
        <f t="shared" si="37"/>
        <v>2</v>
      </c>
      <c r="AQ158" s="429" t="str">
        <f t="shared" si="36"/>
        <v>Vendido</v>
      </c>
      <c r="AR158" s="447">
        <f>_xlfn.XLOOKUP(C158,'BOULEVARD 5'!B:B,'BOULEVARD 5'!AU:AU)</f>
        <v>1.0653409090909092</v>
      </c>
    </row>
    <row r="159" spans="1:44" s="429" customFormat="1" ht="13.9" customHeight="1" x14ac:dyDescent="0.25">
      <c r="B159" s="678" t="str">
        <f>IF('B5-Status cobranza'!A159&gt;0,'B5-Status cobranza'!A159,"")</f>
        <v/>
      </c>
      <c r="C159" s="436">
        <v>904</v>
      </c>
      <c r="D159" s="436" t="s">
        <v>200</v>
      </c>
      <c r="E159" s="436"/>
      <c r="F159" s="436" t="str">
        <f>IF('BOULEVARD 5'!E157="","",'BOULEVARD 5'!E157)</f>
        <v>Jose Franco</v>
      </c>
      <c r="G159" s="429" t="str">
        <f>IF('BOULEVARD 5'!F157="","",'BOULEVARD 5'!F157)</f>
        <v>Juan José Silva Pacheco</v>
      </c>
      <c r="H159" s="473">
        <f>IF('BOULEVARD 5'!G157="","",'BOULEVARD 5'!G157)</f>
        <v>45062</v>
      </c>
      <c r="I159" s="554" t="str">
        <f t="shared" si="39"/>
        <v/>
      </c>
      <c r="J159" s="554" t="str">
        <f t="shared" si="39"/>
        <v/>
      </c>
      <c r="K159" s="554">
        <f t="shared" si="39"/>
        <v>1</v>
      </c>
      <c r="L159" s="554">
        <f t="shared" si="39"/>
        <v>2</v>
      </c>
      <c r="M159" s="554">
        <f t="shared" si="39"/>
        <v>2</v>
      </c>
      <c r="N159" s="554">
        <f t="shared" si="39"/>
        <v>2</v>
      </c>
      <c r="O159" s="554">
        <f t="shared" si="39"/>
        <v>2</v>
      </c>
      <c r="P159" s="554">
        <f t="shared" si="39"/>
        <v>2</v>
      </c>
      <c r="Q159" s="554">
        <f t="shared" si="39"/>
        <v>2</v>
      </c>
      <c r="R159" s="554">
        <f t="shared" si="39"/>
        <v>2</v>
      </c>
      <c r="S159" s="554">
        <f t="shared" si="39"/>
        <v>2</v>
      </c>
      <c r="T159" s="554">
        <f t="shared" si="39"/>
        <v>2</v>
      </c>
      <c r="U159" s="554">
        <f t="shared" si="39"/>
        <v>2</v>
      </c>
      <c r="V159" s="554">
        <f t="shared" si="39"/>
        <v>2</v>
      </c>
      <c r="W159" s="554">
        <f t="shared" si="39"/>
        <v>2</v>
      </c>
      <c r="X159" s="554">
        <f t="shared" si="39"/>
        <v>2</v>
      </c>
      <c r="Y159" s="554">
        <f t="shared" si="38"/>
        <v>2</v>
      </c>
      <c r="Z159" s="554">
        <f t="shared" si="38"/>
        <v>2</v>
      </c>
      <c r="AA159" s="554">
        <f t="shared" si="38"/>
        <v>2</v>
      </c>
      <c r="AB159" s="554">
        <f t="shared" si="38"/>
        <v>2</v>
      </c>
      <c r="AC159" s="554">
        <f t="shared" si="38"/>
        <v>2</v>
      </c>
      <c r="AD159" s="554">
        <f t="shared" si="38"/>
        <v>2</v>
      </c>
      <c r="AE159" s="554">
        <f t="shared" si="38"/>
        <v>2</v>
      </c>
      <c r="AF159" s="554">
        <f t="shared" si="38"/>
        <v>2</v>
      </c>
      <c r="AG159" s="554">
        <f t="shared" si="38"/>
        <v>2</v>
      </c>
      <c r="AH159" s="554">
        <f t="shared" si="38"/>
        <v>2</v>
      </c>
      <c r="AI159" s="554">
        <f t="shared" si="38"/>
        <v>2</v>
      </c>
      <c r="AJ159" s="554">
        <f t="shared" si="38"/>
        <v>2</v>
      </c>
      <c r="AK159" s="554">
        <f t="shared" si="38"/>
        <v>2</v>
      </c>
      <c r="AL159" s="554">
        <f t="shared" si="38"/>
        <v>2</v>
      </c>
      <c r="AM159" s="554">
        <f t="shared" si="37"/>
        <v>2</v>
      </c>
      <c r="AN159" s="554">
        <f t="shared" si="37"/>
        <v>2</v>
      </c>
      <c r="AO159" s="554">
        <f t="shared" si="37"/>
        <v>2</v>
      </c>
      <c r="AP159" s="554">
        <f t="shared" si="37"/>
        <v>2</v>
      </c>
      <c r="AQ159" s="429" t="str">
        <f t="shared" si="36"/>
        <v>Vendido</v>
      </c>
      <c r="AR159" s="447">
        <f>_xlfn.XLOOKUP(C159,'BOULEVARD 5'!B:B,'BOULEVARD 5'!AU:AU)</f>
        <v>1.0332428675676497</v>
      </c>
    </row>
    <row r="160" spans="1:44" s="429" customFormat="1" ht="13.9" customHeight="1" x14ac:dyDescent="0.25">
      <c r="B160" s="678" t="str">
        <f>IF('B5-Status cobranza'!A160&gt;0,'B5-Status cobranza'!A160,"")</f>
        <v/>
      </c>
      <c r="C160" s="436">
        <v>905</v>
      </c>
      <c r="D160" s="436" t="s">
        <v>534</v>
      </c>
      <c r="E160" s="436"/>
      <c r="F160" s="436" t="str">
        <f>IF('BOULEVARD 5'!E158="","",'BOULEVARD 5'!E158)</f>
        <v>Antonio Rada</v>
      </c>
      <c r="G160" s="429" t="str">
        <f>IF('BOULEVARD 5'!F158="","",'BOULEVARD 5'!F158)</f>
        <v>Roberto Andres Hernandez Benavides</v>
      </c>
      <c r="H160" s="473">
        <f>IF('BOULEVARD 5'!G158="","",'BOULEVARD 5'!G158)</f>
        <v>45473</v>
      </c>
      <c r="I160" s="554" t="str">
        <f t="shared" si="39"/>
        <v/>
      </c>
      <c r="J160" s="554" t="str">
        <f t="shared" si="39"/>
        <v/>
      </c>
      <c r="K160" s="554" t="str">
        <f t="shared" si="39"/>
        <v/>
      </c>
      <c r="L160" s="554" t="str">
        <f t="shared" si="39"/>
        <v/>
      </c>
      <c r="M160" s="554" t="str">
        <f t="shared" si="39"/>
        <v/>
      </c>
      <c r="N160" s="554" t="str">
        <f t="shared" si="39"/>
        <v/>
      </c>
      <c r="O160" s="554" t="str">
        <f t="shared" si="39"/>
        <v/>
      </c>
      <c r="P160" s="554" t="str">
        <f t="shared" si="39"/>
        <v/>
      </c>
      <c r="Q160" s="554" t="str">
        <f t="shared" si="39"/>
        <v/>
      </c>
      <c r="R160" s="554" t="str">
        <f t="shared" si="39"/>
        <v/>
      </c>
      <c r="S160" s="554" t="str">
        <f t="shared" si="39"/>
        <v/>
      </c>
      <c r="T160" s="554" t="str">
        <f t="shared" si="39"/>
        <v/>
      </c>
      <c r="U160" s="554" t="str">
        <f t="shared" si="39"/>
        <v/>
      </c>
      <c r="V160" s="554" t="str">
        <f t="shared" si="39"/>
        <v/>
      </c>
      <c r="W160" s="554" t="str">
        <f t="shared" si="39"/>
        <v/>
      </c>
      <c r="X160" s="554">
        <f t="shared" si="39"/>
        <v>1</v>
      </c>
      <c r="Y160" s="554">
        <f t="shared" si="38"/>
        <v>2</v>
      </c>
      <c r="Z160" s="554">
        <f t="shared" si="38"/>
        <v>2</v>
      </c>
      <c r="AA160" s="554">
        <f t="shared" si="38"/>
        <v>2</v>
      </c>
      <c r="AB160" s="554">
        <f t="shared" si="38"/>
        <v>2</v>
      </c>
      <c r="AC160" s="554">
        <f t="shared" si="38"/>
        <v>2</v>
      </c>
      <c r="AD160" s="554">
        <f t="shared" si="38"/>
        <v>2</v>
      </c>
      <c r="AE160" s="554">
        <f t="shared" si="38"/>
        <v>2</v>
      </c>
      <c r="AF160" s="554">
        <f t="shared" si="38"/>
        <v>2</v>
      </c>
      <c r="AG160" s="554">
        <f t="shared" si="38"/>
        <v>2</v>
      </c>
      <c r="AH160" s="554">
        <f t="shared" si="38"/>
        <v>2</v>
      </c>
      <c r="AI160" s="554">
        <f t="shared" si="38"/>
        <v>2</v>
      </c>
      <c r="AJ160" s="554">
        <f t="shared" si="38"/>
        <v>2</v>
      </c>
      <c r="AK160" s="554">
        <f t="shared" si="38"/>
        <v>2</v>
      </c>
      <c r="AL160" s="554">
        <f t="shared" si="38"/>
        <v>2</v>
      </c>
      <c r="AM160" s="554">
        <f t="shared" si="37"/>
        <v>2</v>
      </c>
      <c r="AN160" s="554">
        <f t="shared" si="37"/>
        <v>2</v>
      </c>
      <c r="AO160" s="554">
        <f t="shared" si="37"/>
        <v>2</v>
      </c>
      <c r="AP160" s="554">
        <f t="shared" si="37"/>
        <v>2</v>
      </c>
      <c r="AQ160" s="429" t="str">
        <f t="shared" si="36"/>
        <v>Vendido</v>
      </c>
      <c r="AR160" s="447">
        <f>_xlfn.XLOOKUP(C160,'BOULEVARD 5'!B:B,'BOULEVARD 5'!AU:AU)</f>
        <v>1</v>
      </c>
    </row>
    <row r="161" spans="1:44" s="429" customFormat="1" ht="13.9" customHeight="1" x14ac:dyDescent="0.25">
      <c r="B161" s="678" t="str">
        <f>IF('B5-Status cobranza'!A161&gt;0,'B5-Status cobranza'!A161,"")</f>
        <v/>
      </c>
      <c r="C161" s="436">
        <v>906</v>
      </c>
      <c r="D161" s="436" t="s">
        <v>536</v>
      </c>
      <c r="E161" s="436"/>
      <c r="F161" s="436" t="str">
        <f>IF('BOULEVARD 5'!E159="","",'BOULEVARD 5'!E159)</f>
        <v>Erwin Cardona</v>
      </c>
      <c r="G161" s="429" t="str">
        <f>IF('BOULEVARD 5'!F159="","",'BOULEVARD 5'!F159)</f>
        <v>Nery Adolfo Ortíz Alvarez</v>
      </c>
      <c r="H161" s="473">
        <f>IF('BOULEVARD 5'!G159="","",'BOULEVARD 5'!G159)</f>
        <v>46000</v>
      </c>
      <c r="I161" s="554" t="str">
        <f t="shared" si="39"/>
        <v/>
      </c>
      <c r="J161" s="554" t="str">
        <f t="shared" si="39"/>
        <v/>
      </c>
      <c r="K161" s="554" t="str">
        <f t="shared" si="39"/>
        <v/>
      </c>
      <c r="L161" s="554" t="str">
        <f t="shared" si="39"/>
        <v/>
      </c>
      <c r="M161" s="554" t="str">
        <f t="shared" si="39"/>
        <v/>
      </c>
      <c r="N161" s="554" t="str">
        <f t="shared" si="39"/>
        <v/>
      </c>
      <c r="O161" s="554" t="str">
        <f t="shared" si="39"/>
        <v/>
      </c>
      <c r="P161" s="554" t="str">
        <f t="shared" si="39"/>
        <v/>
      </c>
      <c r="Q161" s="554" t="str">
        <f t="shared" si="39"/>
        <v/>
      </c>
      <c r="R161" s="554" t="str">
        <f t="shared" si="39"/>
        <v/>
      </c>
      <c r="S161" s="554" t="str">
        <f t="shared" si="39"/>
        <v/>
      </c>
      <c r="T161" s="554" t="str">
        <f t="shared" si="39"/>
        <v/>
      </c>
      <c r="U161" s="554" t="str">
        <f t="shared" si="39"/>
        <v/>
      </c>
      <c r="V161" s="554" t="str">
        <f t="shared" si="39"/>
        <v/>
      </c>
      <c r="W161" s="554" t="str">
        <f t="shared" si="39"/>
        <v/>
      </c>
      <c r="X161" s="554" t="str">
        <f t="shared" si="39"/>
        <v/>
      </c>
      <c r="Y161" s="554" t="str">
        <f t="shared" si="38"/>
        <v/>
      </c>
      <c r="Z161" s="554" t="str">
        <f t="shared" si="38"/>
        <v/>
      </c>
      <c r="AA161" s="554" t="str">
        <f t="shared" si="38"/>
        <v/>
      </c>
      <c r="AB161" s="554" t="str">
        <f t="shared" si="38"/>
        <v/>
      </c>
      <c r="AC161" s="554" t="str">
        <f t="shared" si="38"/>
        <v/>
      </c>
      <c r="AD161" s="554" t="str">
        <f t="shared" si="38"/>
        <v/>
      </c>
      <c r="AE161" s="554" t="str">
        <f t="shared" si="38"/>
        <v/>
      </c>
      <c r="AF161" s="554" t="str">
        <f t="shared" si="38"/>
        <v/>
      </c>
      <c r="AG161" s="554" t="str">
        <f t="shared" si="38"/>
        <v/>
      </c>
      <c r="AH161" s="554" t="str">
        <f t="shared" si="38"/>
        <v/>
      </c>
      <c r="AI161" s="554" t="str">
        <f t="shared" si="38"/>
        <v/>
      </c>
      <c r="AJ161" s="554" t="str">
        <f t="shared" si="38"/>
        <v/>
      </c>
      <c r="AK161" s="554" t="str">
        <f t="shared" si="38"/>
        <v/>
      </c>
      <c r="AL161" s="554" t="str">
        <f t="shared" si="38"/>
        <v/>
      </c>
      <c r="AM161" s="554" t="str">
        <f t="shared" si="37"/>
        <v/>
      </c>
      <c r="AN161" s="554" t="str">
        <f t="shared" si="37"/>
        <v/>
      </c>
      <c r="AO161" s="554" t="str">
        <f t="shared" si="37"/>
        <v/>
      </c>
      <c r="AP161" s="554">
        <f t="shared" si="37"/>
        <v>1</v>
      </c>
      <c r="AQ161" s="429" t="str">
        <f t="shared" si="36"/>
        <v>Vendido</v>
      </c>
      <c r="AR161" s="447">
        <f>_xlfn.XLOOKUP(C161,'BOULEVARD 5'!B:B,'BOULEVARD 5'!AU:AU)</f>
        <v>9.0625203340299998E-2</v>
      </c>
    </row>
    <row r="162" spans="1:44" s="429" customFormat="1" ht="13.9" customHeight="1" x14ac:dyDescent="0.25">
      <c r="A162" s="429" t="s">
        <v>388</v>
      </c>
      <c r="B162" s="678"/>
      <c r="C162" s="436">
        <v>907</v>
      </c>
      <c r="D162" s="436" t="s">
        <v>400</v>
      </c>
      <c r="E162" s="642" t="s">
        <v>559</v>
      </c>
      <c r="F162" s="436" t="str">
        <f>IF('BOULEVARD 5'!E160="","",'BOULEVARD 5'!E160)</f>
        <v>Brenda Búcaro</v>
      </c>
      <c r="G162" s="429" t="str">
        <f>IF('BOULEVARD 5'!F160="","",'BOULEVARD 5'!F160)</f>
        <v>Stephanie Herrera</v>
      </c>
      <c r="H162" s="473">
        <f>IF('BOULEVARD 5'!G160="","",'BOULEVARD 5'!G160)</f>
        <v>45169</v>
      </c>
      <c r="I162" s="554" t="str">
        <f t="shared" si="39"/>
        <v/>
      </c>
      <c r="J162" s="554" t="str">
        <f t="shared" si="39"/>
        <v/>
      </c>
      <c r="K162" s="554" t="str">
        <f t="shared" si="39"/>
        <v/>
      </c>
      <c r="L162" s="554" t="str">
        <f t="shared" si="39"/>
        <v/>
      </c>
      <c r="M162" s="554" t="str">
        <f t="shared" si="39"/>
        <v/>
      </c>
      <c r="N162" s="554">
        <f t="shared" si="39"/>
        <v>1</v>
      </c>
      <c r="O162" s="554">
        <f t="shared" si="39"/>
        <v>2</v>
      </c>
      <c r="P162" s="554">
        <f t="shared" si="39"/>
        <v>2</v>
      </c>
      <c r="Q162" s="554">
        <f t="shared" si="39"/>
        <v>2</v>
      </c>
      <c r="R162" s="554">
        <f t="shared" si="39"/>
        <v>2</v>
      </c>
      <c r="S162" s="554">
        <f t="shared" si="39"/>
        <v>2</v>
      </c>
      <c r="T162" s="554">
        <f t="shared" si="39"/>
        <v>2</v>
      </c>
      <c r="U162" s="554">
        <f t="shared" si="39"/>
        <v>2</v>
      </c>
      <c r="V162" s="554">
        <f t="shared" si="39"/>
        <v>2</v>
      </c>
      <c r="W162" s="554">
        <f t="shared" si="39"/>
        <v>2</v>
      </c>
      <c r="X162" s="554">
        <f t="shared" si="39"/>
        <v>2</v>
      </c>
      <c r="Y162" s="554">
        <f t="shared" si="38"/>
        <v>2</v>
      </c>
      <c r="Z162" s="554">
        <f t="shared" si="38"/>
        <v>2</v>
      </c>
      <c r="AA162" s="554">
        <f t="shared" si="38"/>
        <v>2</v>
      </c>
      <c r="AB162" s="554">
        <f t="shared" si="38"/>
        <v>2</v>
      </c>
      <c r="AC162" s="554">
        <f t="shared" si="38"/>
        <v>2</v>
      </c>
      <c r="AD162" s="554">
        <f t="shared" si="38"/>
        <v>2</v>
      </c>
      <c r="AE162" s="554">
        <f t="shared" si="38"/>
        <v>2</v>
      </c>
      <c r="AF162" s="554">
        <f t="shared" si="38"/>
        <v>2</v>
      </c>
      <c r="AG162" s="554">
        <f t="shared" si="38"/>
        <v>2</v>
      </c>
      <c r="AH162" s="554">
        <f t="shared" si="38"/>
        <v>2</v>
      </c>
      <c r="AI162" s="554">
        <f t="shared" si="38"/>
        <v>2</v>
      </c>
      <c r="AJ162" s="554">
        <f t="shared" si="38"/>
        <v>2</v>
      </c>
      <c r="AK162" s="554">
        <f t="shared" si="38"/>
        <v>2</v>
      </c>
      <c r="AL162" s="554">
        <f t="shared" si="38"/>
        <v>2</v>
      </c>
      <c r="AM162" s="554">
        <f t="shared" si="37"/>
        <v>2</v>
      </c>
      <c r="AN162" s="554">
        <f t="shared" si="37"/>
        <v>2</v>
      </c>
      <c r="AO162" s="554">
        <f t="shared" si="37"/>
        <v>2</v>
      </c>
      <c r="AP162" s="554">
        <f t="shared" si="37"/>
        <v>2</v>
      </c>
      <c r="AQ162" s="429" t="str">
        <f t="shared" si="36"/>
        <v>Vendido</v>
      </c>
      <c r="AR162" s="447">
        <f>_xlfn.XLOOKUP(C162,'BOULEVARD 5'!B:B,'BOULEVARD 5'!AU:AU)</f>
        <v>1.0199556541019956</v>
      </c>
    </row>
    <row r="163" spans="1:44" s="429" customFormat="1" ht="13.9" customHeight="1" x14ac:dyDescent="0.25">
      <c r="B163" s="678" t="str">
        <f>IF('B5-Status cobranza'!A163&gt;0,'B5-Status cobranza'!A163,"")</f>
        <v/>
      </c>
      <c r="C163" s="436">
        <v>908</v>
      </c>
      <c r="D163" s="436" t="s">
        <v>175</v>
      </c>
      <c r="E163" s="436"/>
      <c r="F163" s="436" t="str">
        <f>IF('BOULEVARD 5'!E161="","",'BOULEVARD 5'!E161)</f>
        <v>Antonio Rada</v>
      </c>
      <c r="G163" s="429" t="str">
        <f>IF('BOULEVARD 5'!F161="","",'BOULEVARD 5'!F161)</f>
        <v>Jorge Pablo Gonzalez Oordoñez</v>
      </c>
      <c r="H163" s="473">
        <f>IF('BOULEVARD 5'!G161="","",'BOULEVARD 5'!G161)</f>
        <v>45316</v>
      </c>
      <c r="I163" s="554" t="str">
        <f t="shared" si="39"/>
        <v/>
      </c>
      <c r="J163" s="554" t="str">
        <f t="shared" si="39"/>
        <v/>
      </c>
      <c r="K163" s="554" t="str">
        <f t="shared" si="39"/>
        <v/>
      </c>
      <c r="L163" s="554" t="str">
        <f t="shared" si="39"/>
        <v/>
      </c>
      <c r="M163" s="554" t="str">
        <f t="shared" si="39"/>
        <v/>
      </c>
      <c r="N163" s="554" t="str">
        <f t="shared" si="39"/>
        <v/>
      </c>
      <c r="O163" s="554" t="str">
        <f t="shared" si="39"/>
        <v/>
      </c>
      <c r="P163" s="554" t="str">
        <f t="shared" si="39"/>
        <v/>
      </c>
      <c r="Q163" s="554" t="str">
        <f t="shared" si="39"/>
        <v/>
      </c>
      <c r="R163" s="554" t="str">
        <f t="shared" si="39"/>
        <v/>
      </c>
      <c r="S163" s="554">
        <f t="shared" si="39"/>
        <v>1</v>
      </c>
      <c r="T163" s="554">
        <f t="shared" si="39"/>
        <v>2</v>
      </c>
      <c r="U163" s="554">
        <f t="shared" si="39"/>
        <v>2</v>
      </c>
      <c r="V163" s="554">
        <f t="shared" si="39"/>
        <v>2</v>
      </c>
      <c r="W163" s="554">
        <f t="shared" si="39"/>
        <v>2</v>
      </c>
      <c r="X163" s="554">
        <f t="shared" si="39"/>
        <v>2</v>
      </c>
      <c r="Y163" s="554">
        <f t="shared" si="38"/>
        <v>2</v>
      </c>
      <c r="Z163" s="554">
        <f t="shared" si="38"/>
        <v>2</v>
      </c>
      <c r="AA163" s="554">
        <f t="shared" si="38"/>
        <v>2</v>
      </c>
      <c r="AB163" s="554">
        <f t="shared" si="38"/>
        <v>2</v>
      </c>
      <c r="AC163" s="554">
        <f t="shared" si="38"/>
        <v>2</v>
      </c>
      <c r="AD163" s="554">
        <f t="shared" si="38"/>
        <v>2</v>
      </c>
      <c r="AE163" s="554">
        <f t="shared" si="38"/>
        <v>2</v>
      </c>
      <c r="AF163" s="554">
        <f t="shared" si="38"/>
        <v>2</v>
      </c>
      <c r="AG163" s="554">
        <f t="shared" si="38"/>
        <v>2</v>
      </c>
      <c r="AH163" s="554">
        <f t="shared" si="38"/>
        <v>2</v>
      </c>
      <c r="AI163" s="554">
        <f t="shared" si="38"/>
        <v>2</v>
      </c>
      <c r="AJ163" s="554">
        <f t="shared" si="38"/>
        <v>2</v>
      </c>
      <c r="AK163" s="554">
        <f t="shared" si="38"/>
        <v>2</v>
      </c>
      <c r="AL163" s="554">
        <f t="shared" si="38"/>
        <v>2</v>
      </c>
      <c r="AM163" s="554">
        <f t="shared" si="37"/>
        <v>2</v>
      </c>
      <c r="AN163" s="554">
        <f t="shared" si="37"/>
        <v>2</v>
      </c>
      <c r="AO163" s="554">
        <f t="shared" si="37"/>
        <v>2</v>
      </c>
      <c r="AP163" s="554">
        <f t="shared" si="37"/>
        <v>2</v>
      </c>
      <c r="AQ163" s="429" t="str">
        <f t="shared" si="36"/>
        <v>Vendido</v>
      </c>
      <c r="AR163" s="447">
        <f>_xlfn.XLOOKUP(C163,'BOULEVARD 5'!B:B,'BOULEVARD 5'!AU:AU)</f>
        <v>1</v>
      </c>
    </row>
    <row r="164" spans="1:44" s="429" customFormat="1" ht="13.9" customHeight="1" x14ac:dyDescent="0.25">
      <c r="B164" s="678" t="str">
        <f>IF('B5-Status cobranza'!A164&gt;0,'B5-Status cobranza'!A164,"")</f>
        <v/>
      </c>
      <c r="C164" s="436">
        <v>909</v>
      </c>
      <c r="D164" s="436" t="s">
        <v>563</v>
      </c>
      <c r="E164" s="436"/>
      <c r="F164" s="436" t="str">
        <f>IF('BOULEVARD 5'!E162="","",'BOULEVARD 5'!E162)</f>
        <v>Brenda Búcaro</v>
      </c>
      <c r="G164" s="429" t="str">
        <f>IF('BOULEVARD 5'!F162="","",'BOULEVARD 5'!F162)</f>
        <v>Alba Lucila Martinez Tobar</v>
      </c>
      <c r="H164" s="473">
        <f>IF('BOULEVARD 5'!G162="","",'BOULEVARD 5'!G162)</f>
        <v>45118</v>
      </c>
      <c r="I164" s="554" t="str">
        <f t="shared" si="39"/>
        <v/>
      </c>
      <c r="J164" s="554" t="str">
        <f t="shared" si="39"/>
        <v/>
      </c>
      <c r="K164" s="554" t="str">
        <f t="shared" si="39"/>
        <v/>
      </c>
      <c r="L164" s="554" t="str">
        <f t="shared" si="39"/>
        <v/>
      </c>
      <c r="M164" s="554">
        <f t="shared" si="39"/>
        <v>1</v>
      </c>
      <c r="N164" s="554">
        <f t="shared" si="39"/>
        <v>2</v>
      </c>
      <c r="O164" s="554">
        <f t="shared" si="39"/>
        <v>2</v>
      </c>
      <c r="P164" s="554">
        <f t="shared" si="39"/>
        <v>2</v>
      </c>
      <c r="Q164" s="554">
        <f t="shared" si="39"/>
        <v>2</v>
      </c>
      <c r="R164" s="554">
        <f t="shared" si="39"/>
        <v>2</v>
      </c>
      <c r="S164" s="554">
        <f t="shared" si="39"/>
        <v>2</v>
      </c>
      <c r="T164" s="554">
        <f t="shared" si="39"/>
        <v>2</v>
      </c>
      <c r="U164" s="554">
        <f t="shared" si="39"/>
        <v>2</v>
      </c>
      <c r="V164" s="554">
        <f t="shared" si="39"/>
        <v>2</v>
      </c>
      <c r="W164" s="554">
        <f t="shared" si="39"/>
        <v>2</v>
      </c>
      <c r="X164" s="554">
        <f t="shared" si="39"/>
        <v>2</v>
      </c>
      <c r="Y164" s="554">
        <f t="shared" si="38"/>
        <v>2</v>
      </c>
      <c r="Z164" s="554">
        <f t="shared" si="38"/>
        <v>2</v>
      </c>
      <c r="AA164" s="554">
        <f t="shared" si="38"/>
        <v>2</v>
      </c>
      <c r="AB164" s="554">
        <f t="shared" si="38"/>
        <v>2</v>
      </c>
      <c r="AC164" s="554">
        <f t="shared" si="38"/>
        <v>2</v>
      </c>
      <c r="AD164" s="554">
        <f t="shared" si="38"/>
        <v>2</v>
      </c>
      <c r="AE164" s="554">
        <f t="shared" si="38"/>
        <v>2</v>
      </c>
      <c r="AF164" s="554">
        <f t="shared" si="38"/>
        <v>2</v>
      </c>
      <c r="AG164" s="554">
        <f t="shared" si="38"/>
        <v>2</v>
      </c>
      <c r="AH164" s="554">
        <f t="shared" si="38"/>
        <v>2</v>
      </c>
      <c r="AI164" s="554">
        <f t="shared" si="38"/>
        <v>2</v>
      </c>
      <c r="AJ164" s="554">
        <f t="shared" si="38"/>
        <v>2</v>
      </c>
      <c r="AK164" s="554">
        <f t="shared" si="38"/>
        <v>2</v>
      </c>
      <c r="AL164" s="554">
        <f t="shared" si="38"/>
        <v>2</v>
      </c>
      <c r="AM164" s="554">
        <f t="shared" si="37"/>
        <v>2</v>
      </c>
      <c r="AN164" s="554">
        <f t="shared" si="37"/>
        <v>2</v>
      </c>
      <c r="AO164" s="554">
        <f t="shared" si="37"/>
        <v>2</v>
      </c>
      <c r="AP164" s="554">
        <f t="shared" si="37"/>
        <v>2</v>
      </c>
      <c r="AQ164" s="429" t="str">
        <f t="shared" si="36"/>
        <v>Vendido</v>
      </c>
      <c r="AR164" s="447">
        <f>_xlfn.XLOOKUP(C164,'BOULEVARD 5'!B:B,'BOULEVARD 5'!AU:AU)</f>
        <v>0.96384671005061462</v>
      </c>
    </row>
    <row r="165" spans="1:44" s="429" customFormat="1" ht="13.9" customHeight="1" x14ac:dyDescent="0.25">
      <c r="B165" s="678" t="str">
        <f>IF('B5-Status cobranza'!A165&gt;0,'B5-Status cobranza'!A165,"")</f>
        <v/>
      </c>
      <c r="C165" s="436">
        <v>910</v>
      </c>
      <c r="D165" s="436" t="s">
        <v>565</v>
      </c>
      <c r="E165" s="436"/>
      <c r="F165" s="436" t="str">
        <f>IF('BOULEVARD 5'!E163="","",'BOULEVARD 5'!E163)</f>
        <v/>
      </c>
      <c r="G165" s="429" t="str">
        <f>IF('BOULEVARD 5'!F163="","",'BOULEVARD 5'!F163)</f>
        <v/>
      </c>
      <c r="H165" s="473" t="str">
        <f>IF('BOULEVARD 5'!G163="","",'BOULEVARD 5'!G163)</f>
        <v/>
      </c>
      <c r="I165" s="554" t="str">
        <f t="shared" si="39"/>
        <v/>
      </c>
      <c r="J165" s="554" t="str">
        <f t="shared" si="39"/>
        <v/>
      </c>
      <c r="K165" s="554" t="str">
        <f t="shared" si="39"/>
        <v/>
      </c>
      <c r="L165" s="554" t="str">
        <f t="shared" si="39"/>
        <v/>
      </c>
      <c r="M165" s="554" t="str">
        <f t="shared" si="39"/>
        <v/>
      </c>
      <c r="N165" s="554" t="str">
        <f t="shared" si="39"/>
        <v/>
      </c>
      <c r="O165" s="554" t="str">
        <f t="shared" si="39"/>
        <v/>
      </c>
      <c r="P165" s="554" t="str">
        <f t="shared" si="39"/>
        <v/>
      </c>
      <c r="Q165" s="554" t="str">
        <f t="shared" si="39"/>
        <v/>
      </c>
      <c r="R165" s="554" t="str">
        <f t="shared" si="39"/>
        <v/>
      </c>
      <c r="S165" s="554" t="str">
        <f t="shared" si="39"/>
        <v/>
      </c>
      <c r="T165" s="554" t="str">
        <f t="shared" si="39"/>
        <v/>
      </c>
      <c r="U165" s="554" t="str">
        <f t="shared" si="39"/>
        <v/>
      </c>
      <c r="V165" s="554" t="str">
        <f t="shared" si="39"/>
        <v/>
      </c>
      <c r="W165" s="554" t="str">
        <f t="shared" si="39"/>
        <v/>
      </c>
      <c r="X165" s="554" t="str">
        <f t="shared" si="39"/>
        <v/>
      </c>
      <c r="Y165" s="554" t="str">
        <f t="shared" si="38"/>
        <v/>
      </c>
      <c r="Z165" s="554" t="str">
        <f t="shared" si="38"/>
        <v/>
      </c>
      <c r="AA165" s="554" t="str">
        <f t="shared" si="38"/>
        <v/>
      </c>
      <c r="AB165" s="554" t="str">
        <f t="shared" si="38"/>
        <v/>
      </c>
      <c r="AC165" s="554" t="str">
        <f t="shared" si="38"/>
        <v/>
      </c>
      <c r="AD165" s="554" t="str">
        <f t="shared" si="38"/>
        <v/>
      </c>
      <c r="AE165" s="554" t="str">
        <f t="shared" si="38"/>
        <v/>
      </c>
      <c r="AF165" s="554" t="str">
        <f t="shared" si="38"/>
        <v/>
      </c>
      <c r="AG165" s="554" t="str">
        <f t="shared" si="38"/>
        <v/>
      </c>
      <c r="AH165" s="554" t="str">
        <f t="shared" si="38"/>
        <v/>
      </c>
      <c r="AI165" s="554" t="str">
        <f t="shared" si="38"/>
        <v/>
      </c>
      <c r="AJ165" s="554" t="str">
        <f t="shared" si="38"/>
        <v/>
      </c>
      <c r="AK165" s="554" t="str">
        <f t="shared" si="38"/>
        <v/>
      </c>
      <c r="AL165" s="554" t="str">
        <f t="shared" si="38"/>
        <v/>
      </c>
      <c r="AM165" s="554" t="str">
        <f t="shared" si="37"/>
        <v/>
      </c>
      <c r="AN165" s="554" t="str">
        <f t="shared" si="37"/>
        <v/>
      </c>
      <c r="AO165" s="554" t="str">
        <f t="shared" si="37"/>
        <v/>
      </c>
      <c r="AP165" s="554" t="str">
        <f t="shared" si="37"/>
        <v/>
      </c>
      <c r="AQ165" s="429" t="str">
        <f t="shared" si="36"/>
        <v>No Vendido</v>
      </c>
      <c r="AR165" s="447">
        <f>_xlfn.XLOOKUP(C165,'BOULEVARD 5'!B:B,'BOULEVARD 5'!AU:AU)</f>
        <v>0</v>
      </c>
    </row>
    <row r="166" spans="1:44" s="429" customFormat="1" ht="13.9" customHeight="1" x14ac:dyDescent="0.25">
      <c r="B166" s="678" t="str">
        <f>IF('B5-Status cobranza'!A166&gt;0,'B5-Status cobranza'!A166,"")</f>
        <v/>
      </c>
      <c r="C166" s="436">
        <v>911</v>
      </c>
      <c r="D166" s="436" t="s">
        <v>566</v>
      </c>
      <c r="E166" s="436"/>
      <c r="F166" s="436" t="str">
        <f>IF('BOULEVARD 5'!E164="","",'BOULEVARD 5'!E164)</f>
        <v>Brenda Búcaro</v>
      </c>
      <c r="G166" s="429" t="str">
        <f>IF('BOULEVARD 5'!F164="","",'BOULEVARD 5'!F164)</f>
        <v>Mario Alberto Maldonado Recinos</v>
      </c>
      <c r="H166" s="473">
        <f>IF('BOULEVARD 5'!G164="","",'BOULEVARD 5'!G164)</f>
        <v>45185</v>
      </c>
      <c r="I166" s="554" t="str">
        <f t="shared" si="39"/>
        <v/>
      </c>
      <c r="J166" s="554" t="str">
        <f t="shared" si="39"/>
        <v/>
      </c>
      <c r="K166" s="554" t="str">
        <f t="shared" si="39"/>
        <v/>
      </c>
      <c r="L166" s="554" t="str">
        <f t="shared" si="39"/>
        <v/>
      </c>
      <c r="M166" s="554" t="str">
        <f t="shared" si="39"/>
        <v/>
      </c>
      <c r="N166" s="554" t="str">
        <f t="shared" si="39"/>
        <v/>
      </c>
      <c r="O166" s="554">
        <f t="shared" si="39"/>
        <v>1</v>
      </c>
      <c r="P166" s="554">
        <f t="shared" si="39"/>
        <v>2</v>
      </c>
      <c r="Q166" s="554">
        <f t="shared" si="39"/>
        <v>2</v>
      </c>
      <c r="R166" s="554">
        <f t="shared" si="39"/>
        <v>2</v>
      </c>
      <c r="S166" s="554">
        <f t="shared" si="39"/>
        <v>2</v>
      </c>
      <c r="T166" s="554">
        <f t="shared" si="39"/>
        <v>2</v>
      </c>
      <c r="U166" s="554">
        <f t="shared" si="39"/>
        <v>2</v>
      </c>
      <c r="V166" s="554">
        <f t="shared" si="39"/>
        <v>2</v>
      </c>
      <c r="W166" s="554">
        <f t="shared" si="39"/>
        <v>2</v>
      </c>
      <c r="X166" s="554">
        <f t="shared" si="39"/>
        <v>2</v>
      </c>
      <c r="Y166" s="554">
        <f t="shared" si="38"/>
        <v>2</v>
      </c>
      <c r="Z166" s="554">
        <f t="shared" si="38"/>
        <v>2</v>
      </c>
      <c r="AA166" s="554">
        <f t="shared" si="38"/>
        <v>2</v>
      </c>
      <c r="AB166" s="554">
        <f t="shared" si="38"/>
        <v>2</v>
      </c>
      <c r="AC166" s="554">
        <f t="shared" si="38"/>
        <v>2</v>
      </c>
      <c r="AD166" s="554">
        <f t="shared" si="38"/>
        <v>2</v>
      </c>
      <c r="AE166" s="554">
        <f t="shared" si="38"/>
        <v>2</v>
      </c>
      <c r="AF166" s="554">
        <f t="shared" si="38"/>
        <v>2</v>
      </c>
      <c r="AG166" s="554">
        <f t="shared" si="38"/>
        <v>2</v>
      </c>
      <c r="AH166" s="554">
        <f t="shared" si="38"/>
        <v>2</v>
      </c>
      <c r="AI166" s="554">
        <f t="shared" si="38"/>
        <v>2</v>
      </c>
      <c r="AJ166" s="554">
        <f t="shared" si="38"/>
        <v>2</v>
      </c>
      <c r="AK166" s="554">
        <f t="shared" si="38"/>
        <v>2</v>
      </c>
      <c r="AL166" s="554">
        <f t="shared" si="38"/>
        <v>2</v>
      </c>
      <c r="AM166" s="554">
        <f t="shared" si="37"/>
        <v>2</v>
      </c>
      <c r="AN166" s="554">
        <f t="shared" si="37"/>
        <v>2</v>
      </c>
      <c r="AO166" s="554">
        <f t="shared" si="37"/>
        <v>2</v>
      </c>
      <c r="AP166" s="554">
        <f t="shared" si="37"/>
        <v>2</v>
      </c>
      <c r="AQ166" s="429" t="str">
        <f t="shared" si="36"/>
        <v>Vendido</v>
      </c>
      <c r="AR166" s="447">
        <f>_xlfn.XLOOKUP(C166,'BOULEVARD 5'!B:B,'BOULEVARD 5'!AU:AU)</f>
        <v>1.1900444106680599</v>
      </c>
    </row>
    <row r="167" spans="1:44" s="429" customFormat="1" ht="13.9" customHeight="1" x14ac:dyDescent="0.25">
      <c r="B167" s="678" t="str">
        <f>IF('B5-Status cobranza'!A167&gt;0,'B5-Status cobranza'!A167,"")</f>
        <v>F&amp;F</v>
      </c>
      <c r="C167" s="475">
        <v>912</v>
      </c>
      <c r="D167" s="475" t="s">
        <v>568</v>
      </c>
      <c r="E167" s="475"/>
      <c r="F167" s="475" t="str">
        <f>IF('BOULEVARD 5'!E165="","",'BOULEVARD 5'!E165)</f>
        <v>Ronaldo</v>
      </c>
      <c r="G167" s="476" t="str">
        <f>IF('BOULEVARD 5'!F165="","",'BOULEVARD 5'!F165)</f>
        <v>Iurix, S.A</v>
      </c>
      <c r="H167" s="481">
        <f>IF('BOULEVARD 5'!G165="","",'BOULEVARD 5'!G165)</f>
        <v>45300</v>
      </c>
      <c r="I167" s="554" t="str">
        <f t="shared" si="39"/>
        <v/>
      </c>
      <c r="J167" s="554" t="str">
        <f t="shared" si="39"/>
        <v/>
      </c>
      <c r="K167" s="554" t="str">
        <f t="shared" si="39"/>
        <v/>
      </c>
      <c r="L167" s="554" t="str">
        <f t="shared" si="39"/>
        <v/>
      </c>
      <c r="M167" s="554" t="str">
        <f t="shared" si="39"/>
        <v/>
      </c>
      <c r="N167" s="554" t="str">
        <f t="shared" si="39"/>
        <v/>
      </c>
      <c r="O167" s="554" t="str">
        <f t="shared" si="39"/>
        <v/>
      </c>
      <c r="P167" s="554" t="str">
        <f t="shared" si="39"/>
        <v/>
      </c>
      <c r="Q167" s="554" t="str">
        <f t="shared" si="39"/>
        <v/>
      </c>
      <c r="R167" s="554" t="str">
        <f t="shared" si="39"/>
        <v/>
      </c>
      <c r="S167" s="554" t="str">
        <f t="shared" si="39"/>
        <v/>
      </c>
      <c r="T167" s="554" t="str">
        <f t="shared" si="39"/>
        <v/>
      </c>
      <c r="U167" s="554" t="str">
        <f t="shared" si="39"/>
        <v/>
      </c>
      <c r="V167" s="554" t="str">
        <f t="shared" si="39"/>
        <v/>
      </c>
      <c r="W167" s="554" t="str">
        <f t="shared" si="39"/>
        <v/>
      </c>
      <c r="X167" s="554" t="str">
        <f t="shared" si="39"/>
        <v/>
      </c>
      <c r="Y167" s="554" t="str">
        <f t="shared" si="38"/>
        <v/>
      </c>
      <c r="Z167" s="554" t="str">
        <f t="shared" si="38"/>
        <v/>
      </c>
      <c r="AA167" s="554" t="str">
        <f t="shared" si="38"/>
        <v/>
      </c>
      <c r="AB167" s="554" t="str">
        <f t="shared" si="38"/>
        <v/>
      </c>
      <c r="AC167" s="554" t="str">
        <f t="shared" si="38"/>
        <v/>
      </c>
      <c r="AD167" s="554" t="str">
        <f t="shared" si="38"/>
        <v/>
      </c>
      <c r="AE167" s="554" t="str">
        <f t="shared" si="38"/>
        <v/>
      </c>
      <c r="AF167" s="554" t="str">
        <f t="shared" si="38"/>
        <v/>
      </c>
      <c r="AG167" s="554" t="str">
        <f t="shared" si="38"/>
        <v/>
      </c>
      <c r="AH167" s="554" t="str">
        <f t="shared" si="38"/>
        <v/>
      </c>
      <c r="AI167" s="554" t="str">
        <f t="shared" si="38"/>
        <v/>
      </c>
      <c r="AJ167" s="554" t="str">
        <f t="shared" si="38"/>
        <v/>
      </c>
      <c r="AK167" s="554" t="str">
        <f t="shared" si="38"/>
        <v/>
      </c>
      <c r="AL167" s="554" t="str">
        <f t="shared" si="38"/>
        <v/>
      </c>
      <c r="AM167" s="554" t="str">
        <f t="shared" si="37"/>
        <v/>
      </c>
      <c r="AN167" s="554" t="str">
        <f t="shared" si="37"/>
        <v/>
      </c>
      <c r="AO167" s="554" t="str">
        <f t="shared" si="37"/>
        <v/>
      </c>
      <c r="AP167" s="554" t="str">
        <f t="shared" si="37"/>
        <v/>
      </c>
      <c r="AQ167" s="429" t="str">
        <f t="shared" si="36"/>
        <v>Vendido</v>
      </c>
      <c r="AR167" s="447">
        <f>_xlfn.XLOOKUP(C167,'BOULEVARD 5'!B:B,'BOULEVARD 5'!AU:AU)</f>
        <v>0</v>
      </c>
    </row>
    <row r="168" spans="1:44" s="429" customFormat="1" ht="13.9" customHeight="1" x14ac:dyDescent="0.25">
      <c r="B168" s="678" t="str">
        <f>IF('B5-Status cobranza'!A168&gt;0,'B5-Status cobranza'!A168,"")</f>
        <v/>
      </c>
      <c r="C168" s="436">
        <v>913</v>
      </c>
      <c r="D168" s="436" t="s">
        <v>393</v>
      </c>
      <c r="E168" s="436"/>
      <c r="F168" s="436" t="str">
        <f>IF('BOULEVARD 5'!E166="","",'BOULEVARD 5'!E166)</f>
        <v>Antonio Rada</v>
      </c>
      <c r="G168" s="429" t="str">
        <f>IF('BOULEVARD 5'!F166="","",'BOULEVARD 5'!F166)</f>
        <v>Wender Josue Bailon Campos</v>
      </c>
      <c r="H168" s="473">
        <f>IF('BOULEVARD 5'!G166="","",'BOULEVARD 5'!G166)</f>
        <v>45404</v>
      </c>
      <c r="I168" s="554" t="str">
        <f t="shared" si="39"/>
        <v/>
      </c>
      <c r="J168" s="554" t="str">
        <f t="shared" si="39"/>
        <v/>
      </c>
      <c r="K168" s="554" t="str">
        <f t="shared" si="39"/>
        <v/>
      </c>
      <c r="L168" s="554" t="str">
        <f t="shared" si="39"/>
        <v/>
      </c>
      <c r="M168" s="554" t="str">
        <f t="shared" si="39"/>
        <v/>
      </c>
      <c r="N168" s="554" t="str">
        <f t="shared" si="39"/>
        <v/>
      </c>
      <c r="O168" s="554" t="str">
        <f t="shared" si="39"/>
        <v/>
      </c>
      <c r="P168" s="554" t="str">
        <f t="shared" si="39"/>
        <v/>
      </c>
      <c r="Q168" s="554" t="str">
        <f t="shared" si="39"/>
        <v/>
      </c>
      <c r="R168" s="554" t="str">
        <f t="shared" si="39"/>
        <v/>
      </c>
      <c r="S168" s="554" t="str">
        <f t="shared" si="39"/>
        <v/>
      </c>
      <c r="T168" s="554" t="str">
        <f t="shared" si="39"/>
        <v/>
      </c>
      <c r="U168" s="554" t="str">
        <f t="shared" si="39"/>
        <v/>
      </c>
      <c r="V168" s="554">
        <f t="shared" si="39"/>
        <v>1</v>
      </c>
      <c r="W168" s="554">
        <f t="shared" si="39"/>
        <v>2</v>
      </c>
      <c r="X168" s="554">
        <f t="shared" si="39"/>
        <v>2</v>
      </c>
      <c r="Y168" s="554">
        <f t="shared" si="38"/>
        <v>2</v>
      </c>
      <c r="Z168" s="554">
        <f t="shared" si="38"/>
        <v>2</v>
      </c>
      <c r="AA168" s="554">
        <f t="shared" si="38"/>
        <v>2</v>
      </c>
      <c r="AB168" s="554">
        <f t="shared" si="38"/>
        <v>2</v>
      </c>
      <c r="AC168" s="554">
        <f t="shared" si="38"/>
        <v>2</v>
      </c>
      <c r="AD168" s="554">
        <f t="shared" si="38"/>
        <v>2</v>
      </c>
      <c r="AE168" s="554">
        <f t="shared" si="38"/>
        <v>2</v>
      </c>
      <c r="AF168" s="554">
        <f t="shared" si="38"/>
        <v>2</v>
      </c>
      <c r="AG168" s="554">
        <f t="shared" si="38"/>
        <v>2</v>
      </c>
      <c r="AH168" s="554">
        <f t="shared" si="38"/>
        <v>2</v>
      </c>
      <c r="AI168" s="554">
        <f t="shared" si="38"/>
        <v>2</v>
      </c>
      <c r="AJ168" s="554">
        <f t="shared" si="38"/>
        <v>2</v>
      </c>
      <c r="AK168" s="554">
        <f t="shared" si="38"/>
        <v>2</v>
      </c>
      <c r="AL168" s="554">
        <f t="shared" si="38"/>
        <v>2</v>
      </c>
      <c r="AM168" s="554">
        <f t="shared" si="37"/>
        <v>2</v>
      </c>
      <c r="AN168" s="554">
        <f t="shared" si="37"/>
        <v>2</v>
      </c>
      <c r="AO168" s="554">
        <f t="shared" si="37"/>
        <v>2</v>
      </c>
      <c r="AP168" s="554">
        <f t="shared" si="37"/>
        <v>2</v>
      </c>
      <c r="AQ168" s="429" t="str">
        <f t="shared" si="36"/>
        <v>Vendido</v>
      </c>
      <c r="AR168" s="447">
        <f>_xlfn.XLOOKUP(C168,'BOULEVARD 5'!B:B,'BOULEVARD 5'!AU:AU)</f>
        <v>0.9996128318584071</v>
      </c>
    </row>
    <row r="169" spans="1:44" s="429" customFormat="1" ht="13.9" customHeight="1" x14ac:dyDescent="0.25">
      <c r="B169" s="678" t="str">
        <f>IF('B5-Status cobranza'!A169&gt;0,'B5-Status cobranza'!A169,"")</f>
        <v/>
      </c>
      <c r="C169" s="436">
        <v>914</v>
      </c>
      <c r="D169" s="436" t="s">
        <v>172</v>
      </c>
      <c r="E169" s="436"/>
      <c r="F169" s="436" t="str">
        <f>IF('BOULEVARD 5'!E167="","",'BOULEVARD 5'!E167)</f>
        <v>Antonio Rada</v>
      </c>
      <c r="G169" s="429" t="str">
        <f>IF('BOULEVARD 5'!F167="","",'BOULEVARD 5'!F167)</f>
        <v>Rebecca Gonzalez Ordoñez</v>
      </c>
      <c r="H169" s="473">
        <f>IF('BOULEVARD 5'!G167="","",'BOULEVARD 5'!G167)</f>
        <v>45320</v>
      </c>
      <c r="I169" s="554" t="str">
        <f t="shared" si="39"/>
        <v/>
      </c>
      <c r="J169" s="554" t="str">
        <f t="shared" si="39"/>
        <v/>
      </c>
      <c r="K169" s="554" t="str">
        <f t="shared" si="39"/>
        <v/>
      </c>
      <c r="L169" s="554" t="str">
        <f t="shared" si="39"/>
        <v/>
      </c>
      <c r="M169" s="554" t="str">
        <f t="shared" si="39"/>
        <v/>
      </c>
      <c r="N169" s="554" t="str">
        <f t="shared" si="39"/>
        <v/>
      </c>
      <c r="O169" s="554" t="str">
        <f t="shared" si="39"/>
        <v/>
      </c>
      <c r="P169" s="554" t="str">
        <f t="shared" si="39"/>
        <v/>
      </c>
      <c r="Q169" s="554" t="str">
        <f t="shared" si="39"/>
        <v/>
      </c>
      <c r="R169" s="554" t="str">
        <f t="shared" si="39"/>
        <v/>
      </c>
      <c r="S169" s="554">
        <f t="shared" si="39"/>
        <v>1</v>
      </c>
      <c r="T169" s="554">
        <f t="shared" si="39"/>
        <v>2</v>
      </c>
      <c r="U169" s="554">
        <f t="shared" si="39"/>
        <v>2</v>
      </c>
      <c r="V169" s="554">
        <f t="shared" si="39"/>
        <v>2</v>
      </c>
      <c r="W169" s="554">
        <f t="shared" si="39"/>
        <v>2</v>
      </c>
      <c r="X169" s="554">
        <f t="shared" ref="X169:AM184" si="40">IF(OR($B169="F&amp;F",$B169="CE",$H169=""),"",IF(TEXT(X$8,"yyyymm")=TEXT($H169,"yyyymm"),1,IF(TEXT(X$8,"yyyymm")&gt;TEXT($H169,"yyyymm"),2,IF(X$8&lt;$H169,"",0))))</f>
        <v>2</v>
      </c>
      <c r="Y169" s="554">
        <f t="shared" si="40"/>
        <v>2</v>
      </c>
      <c r="Z169" s="554">
        <f t="shared" si="40"/>
        <v>2</v>
      </c>
      <c r="AA169" s="554">
        <f t="shared" si="40"/>
        <v>2</v>
      </c>
      <c r="AB169" s="554">
        <f t="shared" si="40"/>
        <v>2</v>
      </c>
      <c r="AC169" s="554">
        <f t="shared" si="40"/>
        <v>2</v>
      </c>
      <c r="AD169" s="554">
        <f t="shared" si="40"/>
        <v>2</v>
      </c>
      <c r="AE169" s="554">
        <f t="shared" si="40"/>
        <v>2</v>
      </c>
      <c r="AF169" s="554">
        <f t="shared" si="40"/>
        <v>2</v>
      </c>
      <c r="AG169" s="554">
        <f t="shared" si="40"/>
        <v>2</v>
      </c>
      <c r="AH169" s="554">
        <f t="shared" si="40"/>
        <v>2</v>
      </c>
      <c r="AI169" s="554">
        <f t="shared" si="40"/>
        <v>2</v>
      </c>
      <c r="AJ169" s="554">
        <f t="shared" si="40"/>
        <v>2</v>
      </c>
      <c r="AK169" s="554">
        <f t="shared" si="40"/>
        <v>2</v>
      </c>
      <c r="AL169" s="554">
        <f t="shared" si="40"/>
        <v>2</v>
      </c>
      <c r="AM169" s="554">
        <f t="shared" si="37"/>
        <v>2</v>
      </c>
      <c r="AN169" s="554">
        <f t="shared" si="37"/>
        <v>2</v>
      </c>
      <c r="AO169" s="554">
        <f t="shared" si="37"/>
        <v>2</v>
      </c>
      <c r="AP169" s="554">
        <f t="shared" si="37"/>
        <v>2</v>
      </c>
      <c r="AQ169" s="429" t="str">
        <f t="shared" si="36"/>
        <v>Vendido</v>
      </c>
      <c r="AR169" s="447">
        <f>_xlfn.XLOOKUP(C169,'BOULEVARD 5'!B:B,'BOULEVARD 5'!AU:AU)</f>
        <v>1.0680995475113122</v>
      </c>
    </row>
    <row r="170" spans="1:44" s="429" customFormat="1" ht="13.9" customHeight="1" x14ac:dyDescent="0.25">
      <c r="B170" s="678" t="str">
        <f>IF('B5-Status cobranza'!A170&gt;0,'B5-Status cobranza'!A170,"")</f>
        <v/>
      </c>
      <c r="C170" s="436">
        <v>915</v>
      </c>
      <c r="D170" s="436" t="s">
        <v>547</v>
      </c>
      <c r="E170" s="436"/>
      <c r="F170" s="436" t="str">
        <f>IF('BOULEVARD 5'!E168="","",'BOULEVARD 5'!E168)</f>
        <v>Brenda Búcaro</v>
      </c>
      <c r="G170" s="429" t="str">
        <f>IF('BOULEVARD 5'!F168="","",'BOULEVARD 5'!F168)</f>
        <v>Marcela Alejandra Castro Marcía</v>
      </c>
      <c r="H170" s="473">
        <f>IF('BOULEVARD 5'!G168="","",'BOULEVARD 5'!G168)</f>
        <v>45197</v>
      </c>
      <c r="I170" s="554" t="str">
        <f t="shared" ref="I170:X185" si="41">IF(OR($B170="F&amp;F",$B170="CE",$H170=""),"",IF(TEXT(I$8,"yyyymm")=TEXT($H170,"yyyymm"),1,IF(TEXT(I$8,"yyyymm")&gt;TEXT($H170,"yyyymm"),2,IF(I$8&lt;$H170,"",0))))</f>
        <v/>
      </c>
      <c r="J170" s="554" t="str">
        <f t="shared" si="41"/>
        <v/>
      </c>
      <c r="K170" s="554" t="str">
        <f t="shared" si="41"/>
        <v/>
      </c>
      <c r="L170" s="554" t="str">
        <f t="shared" si="41"/>
        <v/>
      </c>
      <c r="M170" s="554" t="str">
        <f t="shared" si="41"/>
        <v/>
      </c>
      <c r="N170" s="554" t="str">
        <f t="shared" si="41"/>
        <v/>
      </c>
      <c r="O170" s="554">
        <f t="shared" si="41"/>
        <v>1</v>
      </c>
      <c r="P170" s="554">
        <f t="shared" si="41"/>
        <v>2</v>
      </c>
      <c r="Q170" s="554">
        <f t="shared" si="41"/>
        <v>2</v>
      </c>
      <c r="R170" s="554">
        <f t="shared" si="41"/>
        <v>2</v>
      </c>
      <c r="S170" s="554">
        <f t="shared" si="41"/>
        <v>2</v>
      </c>
      <c r="T170" s="554">
        <f t="shared" si="41"/>
        <v>2</v>
      </c>
      <c r="U170" s="554">
        <f t="shared" si="41"/>
        <v>2</v>
      </c>
      <c r="V170" s="554">
        <f t="shared" si="41"/>
        <v>2</v>
      </c>
      <c r="W170" s="554">
        <f t="shared" si="41"/>
        <v>2</v>
      </c>
      <c r="X170" s="554">
        <f t="shared" si="40"/>
        <v>2</v>
      </c>
      <c r="Y170" s="554">
        <f t="shared" si="40"/>
        <v>2</v>
      </c>
      <c r="Z170" s="554">
        <f t="shared" si="40"/>
        <v>2</v>
      </c>
      <c r="AA170" s="554">
        <f t="shared" si="40"/>
        <v>2</v>
      </c>
      <c r="AB170" s="554">
        <f t="shared" si="40"/>
        <v>2</v>
      </c>
      <c r="AC170" s="554">
        <f t="shared" si="40"/>
        <v>2</v>
      </c>
      <c r="AD170" s="554">
        <f t="shared" si="40"/>
        <v>2</v>
      </c>
      <c r="AE170" s="554">
        <f t="shared" si="40"/>
        <v>2</v>
      </c>
      <c r="AF170" s="554">
        <f t="shared" si="40"/>
        <v>2</v>
      </c>
      <c r="AG170" s="554">
        <f t="shared" si="40"/>
        <v>2</v>
      </c>
      <c r="AH170" s="554">
        <f t="shared" si="40"/>
        <v>2</v>
      </c>
      <c r="AI170" s="554">
        <f t="shared" si="40"/>
        <v>2</v>
      </c>
      <c r="AJ170" s="554">
        <f t="shared" si="40"/>
        <v>2</v>
      </c>
      <c r="AK170" s="554">
        <f t="shared" si="40"/>
        <v>2</v>
      </c>
      <c r="AL170" s="554">
        <f t="shared" si="40"/>
        <v>2</v>
      </c>
      <c r="AM170" s="554">
        <f t="shared" si="37"/>
        <v>2</v>
      </c>
      <c r="AN170" s="554">
        <f t="shared" si="37"/>
        <v>2</v>
      </c>
      <c r="AO170" s="554">
        <f t="shared" si="37"/>
        <v>2</v>
      </c>
      <c r="AP170" s="554">
        <f t="shared" si="37"/>
        <v>2</v>
      </c>
      <c r="AQ170" s="429" t="str">
        <f t="shared" si="36"/>
        <v>Vendido</v>
      </c>
      <c r="AR170" s="447">
        <f>_xlfn.XLOOKUP(C170,'BOULEVARD 5'!B:B,'BOULEVARD 5'!AU:AU)</f>
        <v>0.9999966411557355</v>
      </c>
    </row>
    <row r="171" spans="1:44" s="429" customFormat="1" ht="13.9" customHeight="1" x14ac:dyDescent="0.25">
      <c r="B171" s="678" t="str">
        <f>IF('B5-Status cobranza'!A171&gt;0,'B5-Status cobranza'!A171,"")</f>
        <v/>
      </c>
      <c r="C171" s="436">
        <v>916</v>
      </c>
      <c r="D171" s="436" t="s">
        <v>181</v>
      </c>
      <c r="E171" s="436"/>
      <c r="F171" s="436" t="str">
        <f>IF('BOULEVARD 5'!E169="","",'BOULEVARD 5'!E169)</f>
        <v>Brenda Búcaro</v>
      </c>
      <c r="G171" s="429" t="str">
        <f>IF('BOULEVARD 5'!F169="","",'BOULEVARD 5'!F169)</f>
        <v>José Fernando Cordón Almengor</v>
      </c>
      <c r="H171" s="473">
        <f>IF('BOULEVARD 5'!G169="","",'BOULEVARD 5'!G169)</f>
        <v>45049</v>
      </c>
      <c r="I171" s="554" t="str">
        <f t="shared" si="41"/>
        <v/>
      </c>
      <c r="J171" s="554" t="str">
        <f t="shared" si="41"/>
        <v/>
      </c>
      <c r="K171" s="554">
        <f t="shared" si="41"/>
        <v>1</v>
      </c>
      <c r="L171" s="554">
        <f t="shared" si="41"/>
        <v>2</v>
      </c>
      <c r="M171" s="554">
        <f t="shared" si="41"/>
        <v>2</v>
      </c>
      <c r="N171" s="554">
        <f t="shared" si="41"/>
        <v>2</v>
      </c>
      <c r="O171" s="554">
        <f t="shared" si="41"/>
        <v>2</v>
      </c>
      <c r="P171" s="554">
        <f t="shared" si="41"/>
        <v>2</v>
      </c>
      <c r="Q171" s="554">
        <f t="shared" si="41"/>
        <v>2</v>
      </c>
      <c r="R171" s="554">
        <f t="shared" si="41"/>
        <v>2</v>
      </c>
      <c r="S171" s="554">
        <f t="shared" si="41"/>
        <v>2</v>
      </c>
      <c r="T171" s="554">
        <f t="shared" si="41"/>
        <v>2</v>
      </c>
      <c r="U171" s="554">
        <f t="shared" si="41"/>
        <v>2</v>
      </c>
      <c r="V171" s="554">
        <f t="shared" si="41"/>
        <v>2</v>
      </c>
      <c r="W171" s="554">
        <f t="shared" si="41"/>
        <v>2</v>
      </c>
      <c r="X171" s="554">
        <f t="shared" si="40"/>
        <v>2</v>
      </c>
      <c r="Y171" s="554">
        <f t="shared" si="40"/>
        <v>2</v>
      </c>
      <c r="Z171" s="554">
        <f t="shared" si="40"/>
        <v>2</v>
      </c>
      <c r="AA171" s="554">
        <f t="shared" si="40"/>
        <v>2</v>
      </c>
      <c r="AB171" s="554">
        <f t="shared" si="40"/>
        <v>2</v>
      </c>
      <c r="AC171" s="554">
        <f t="shared" si="40"/>
        <v>2</v>
      </c>
      <c r="AD171" s="554">
        <f t="shared" si="40"/>
        <v>2</v>
      </c>
      <c r="AE171" s="554">
        <f t="shared" si="40"/>
        <v>2</v>
      </c>
      <c r="AF171" s="554">
        <f t="shared" si="40"/>
        <v>2</v>
      </c>
      <c r="AG171" s="554">
        <f t="shared" si="40"/>
        <v>2</v>
      </c>
      <c r="AH171" s="554">
        <f t="shared" si="40"/>
        <v>2</v>
      </c>
      <c r="AI171" s="554">
        <f t="shared" si="40"/>
        <v>2</v>
      </c>
      <c r="AJ171" s="554">
        <f t="shared" si="40"/>
        <v>2</v>
      </c>
      <c r="AK171" s="554">
        <f t="shared" si="40"/>
        <v>2</v>
      </c>
      <c r="AL171" s="554">
        <f t="shared" si="40"/>
        <v>2</v>
      </c>
      <c r="AM171" s="554">
        <f t="shared" si="37"/>
        <v>2</v>
      </c>
      <c r="AN171" s="554">
        <f t="shared" si="37"/>
        <v>2</v>
      </c>
      <c r="AO171" s="554">
        <f t="shared" si="37"/>
        <v>2</v>
      </c>
      <c r="AP171" s="554">
        <f t="shared" si="37"/>
        <v>2</v>
      </c>
      <c r="AQ171" s="429" t="str">
        <f t="shared" si="36"/>
        <v>Vendido</v>
      </c>
      <c r="AR171" s="447">
        <f>_xlfn.XLOOKUP(C171,'BOULEVARD 5'!B:B,'BOULEVARD 5'!AU:AU)</f>
        <v>1.0683139534883721</v>
      </c>
    </row>
    <row r="172" spans="1:44" s="429" customFormat="1" ht="13.9" customHeight="1" x14ac:dyDescent="0.25">
      <c r="B172" s="678" t="str">
        <f>IF('B5-Status cobranza'!A172&gt;0,'B5-Status cobranza'!A172,"")</f>
        <v/>
      </c>
      <c r="C172" s="436">
        <v>917</v>
      </c>
      <c r="D172" s="436" t="s">
        <v>192</v>
      </c>
      <c r="E172" s="436"/>
      <c r="F172" s="436" t="str">
        <f>IF('BOULEVARD 5'!E170="","",'BOULEVARD 5'!E170)</f>
        <v>Brenda Búcaro</v>
      </c>
      <c r="G172" s="429" t="str">
        <f>IF('BOULEVARD 5'!F170="","",'BOULEVARD 5'!F170)</f>
        <v>Jessica María Ramirez Girard</v>
      </c>
      <c r="H172" s="473">
        <f>IF('BOULEVARD 5'!G170="","",'BOULEVARD 5'!G170)</f>
        <v>45068</v>
      </c>
      <c r="I172" s="554" t="str">
        <f t="shared" si="41"/>
        <v/>
      </c>
      <c r="J172" s="554" t="str">
        <f t="shared" si="41"/>
        <v/>
      </c>
      <c r="K172" s="554">
        <f t="shared" si="41"/>
        <v>1</v>
      </c>
      <c r="L172" s="554">
        <f t="shared" si="41"/>
        <v>2</v>
      </c>
      <c r="M172" s="554">
        <f t="shared" si="41"/>
        <v>2</v>
      </c>
      <c r="N172" s="554">
        <f t="shared" si="41"/>
        <v>2</v>
      </c>
      <c r="O172" s="554">
        <f t="shared" si="41"/>
        <v>2</v>
      </c>
      <c r="P172" s="554">
        <f t="shared" si="41"/>
        <v>2</v>
      </c>
      <c r="Q172" s="554">
        <f t="shared" si="41"/>
        <v>2</v>
      </c>
      <c r="R172" s="554">
        <f t="shared" si="41"/>
        <v>2</v>
      </c>
      <c r="S172" s="554">
        <f t="shared" si="41"/>
        <v>2</v>
      </c>
      <c r="T172" s="554">
        <f t="shared" si="41"/>
        <v>2</v>
      </c>
      <c r="U172" s="554">
        <f t="shared" si="41"/>
        <v>2</v>
      </c>
      <c r="V172" s="554">
        <f t="shared" si="41"/>
        <v>2</v>
      </c>
      <c r="W172" s="554">
        <f t="shared" si="41"/>
        <v>2</v>
      </c>
      <c r="X172" s="554">
        <f t="shared" si="40"/>
        <v>2</v>
      </c>
      <c r="Y172" s="554">
        <f t="shared" si="40"/>
        <v>2</v>
      </c>
      <c r="Z172" s="554">
        <f t="shared" si="40"/>
        <v>2</v>
      </c>
      <c r="AA172" s="554">
        <f t="shared" si="40"/>
        <v>2</v>
      </c>
      <c r="AB172" s="554">
        <f t="shared" si="40"/>
        <v>2</v>
      </c>
      <c r="AC172" s="554">
        <f t="shared" si="40"/>
        <v>2</v>
      </c>
      <c r="AD172" s="554">
        <f t="shared" si="40"/>
        <v>2</v>
      </c>
      <c r="AE172" s="554">
        <f t="shared" si="40"/>
        <v>2</v>
      </c>
      <c r="AF172" s="554">
        <f t="shared" si="40"/>
        <v>2</v>
      </c>
      <c r="AG172" s="554">
        <f t="shared" si="40"/>
        <v>2</v>
      </c>
      <c r="AH172" s="554">
        <f t="shared" si="40"/>
        <v>2</v>
      </c>
      <c r="AI172" s="554">
        <f t="shared" si="40"/>
        <v>2</v>
      </c>
      <c r="AJ172" s="554">
        <f t="shared" si="40"/>
        <v>2</v>
      </c>
      <c r="AK172" s="554">
        <f t="shared" si="40"/>
        <v>2</v>
      </c>
      <c r="AL172" s="554">
        <f t="shared" si="40"/>
        <v>2</v>
      </c>
      <c r="AM172" s="554">
        <f t="shared" si="40"/>
        <v>2</v>
      </c>
      <c r="AN172" s="554">
        <f t="shared" ref="AN172:AP191" si="42">IF(OR($B172="F&amp;F",$B172="CE",$H172=""),"",IF(TEXT(AN$8,"yyyymm")=TEXT($H172,"yyyymm"),1,IF(TEXT(AN$8,"yyyymm")&gt;TEXT($H172,"yyyymm"),2,IF(AN$8&lt;$H172,"",0))))</f>
        <v>2</v>
      </c>
      <c r="AO172" s="554">
        <f t="shared" si="42"/>
        <v>2</v>
      </c>
      <c r="AP172" s="554">
        <f t="shared" si="42"/>
        <v>2</v>
      </c>
      <c r="AQ172" s="429" t="str">
        <f t="shared" si="36"/>
        <v>Vendido</v>
      </c>
      <c r="AR172" s="447">
        <f>_xlfn.XLOOKUP(C172,'BOULEVARD 5'!B:B,'BOULEVARD 5'!AU:AU)</f>
        <v>1</v>
      </c>
    </row>
    <row r="173" spans="1:44" s="429" customFormat="1" ht="13.9" customHeight="1" x14ac:dyDescent="0.25">
      <c r="B173" s="678" t="str">
        <f>IF('B5-Status cobranza'!A173&gt;0,'B5-Status cobranza'!A173,"")</f>
        <v/>
      </c>
      <c r="C173" s="436">
        <v>918</v>
      </c>
      <c r="D173" s="436" t="s">
        <v>198</v>
      </c>
      <c r="E173" s="436"/>
      <c r="F173" s="436" t="str">
        <f>IF('BOULEVARD 5'!E171="","",'BOULEVARD 5'!E171)</f>
        <v>Antonio Rada</v>
      </c>
      <c r="G173" s="429" t="str">
        <f>IF('BOULEVARD 5'!F171="","",'BOULEVARD 5'!F171)</f>
        <v>Astrid Maricel De León Ramírez</v>
      </c>
      <c r="H173" s="473">
        <f>IF('BOULEVARD 5'!G171="","",'BOULEVARD 5'!G171)</f>
        <v>45128</v>
      </c>
      <c r="I173" s="554" t="str">
        <f t="shared" si="41"/>
        <v/>
      </c>
      <c r="J173" s="554" t="str">
        <f t="shared" si="41"/>
        <v/>
      </c>
      <c r="K173" s="554" t="str">
        <f t="shared" si="41"/>
        <v/>
      </c>
      <c r="L173" s="554" t="str">
        <f t="shared" si="41"/>
        <v/>
      </c>
      <c r="M173" s="554">
        <f t="shared" si="41"/>
        <v>1</v>
      </c>
      <c r="N173" s="554">
        <f t="shared" si="41"/>
        <v>2</v>
      </c>
      <c r="O173" s="554">
        <f t="shared" si="41"/>
        <v>2</v>
      </c>
      <c r="P173" s="554">
        <f t="shared" si="41"/>
        <v>2</v>
      </c>
      <c r="Q173" s="554">
        <f t="shared" si="41"/>
        <v>2</v>
      </c>
      <c r="R173" s="554">
        <f t="shared" si="41"/>
        <v>2</v>
      </c>
      <c r="S173" s="554">
        <f t="shared" si="41"/>
        <v>2</v>
      </c>
      <c r="T173" s="554">
        <f t="shared" si="41"/>
        <v>2</v>
      </c>
      <c r="U173" s="554">
        <f t="shared" si="41"/>
        <v>2</v>
      </c>
      <c r="V173" s="554">
        <f t="shared" si="41"/>
        <v>2</v>
      </c>
      <c r="W173" s="554">
        <f t="shared" si="41"/>
        <v>2</v>
      </c>
      <c r="X173" s="554">
        <f t="shared" si="40"/>
        <v>2</v>
      </c>
      <c r="Y173" s="554">
        <f t="shared" si="40"/>
        <v>2</v>
      </c>
      <c r="Z173" s="554">
        <f t="shared" si="40"/>
        <v>2</v>
      </c>
      <c r="AA173" s="554">
        <f t="shared" si="40"/>
        <v>2</v>
      </c>
      <c r="AB173" s="554">
        <f t="shared" si="40"/>
        <v>2</v>
      </c>
      <c r="AC173" s="554">
        <f t="shared" si="40"/>
        <v>2</v>
      </c>
      <c r="AD173" s="554">
        <f t="shared" si="40"/>
        <v>2</v>
      </c>
      <c r="AE173" s="554">
        <f t="shared" si="40"/>
        <v>2</v>
      </c>
      <c r="AF173" s="554">
        <f t="shared" si="40"/>
        <v>2</v>
      </c>
      <c r="AG173" s="554">
        <f t="shared" si="40"/>
        <v>2</v>
      </c>
      <c r="AH173" s="554">
        <f t="shared" si="40"/>
        <v>2</v>
      </c>
      <c r="AI173" s="554">
        <f t="shared" si="40"/>
        <v>2</v>
      </c>
      <c r="AJ173" s="554">
        <f t="shared" si="40"/>
        <v>2</v>
      </c>
      <c r="AK173" s="554">
        <f t="shared" si="40"/>
        <v>2</v>
      </c>
      <c r="AL173" s="554">
        <f t="shared" si="40"/>
        <v>2</v>
      </c>
      <c r="AM173" s="554">
        <f t="shared" si="40"/>
        <v>2</v>
      </c>
      <c r="AN173" s="554">
        <f t="shared" si="42"/>
        <v>2</v>
      </c>
      <c r="AO173" s="554">
        <f t="shared" si="42"/>
        <v>2</v>
      </c>
      <c r="AP173" s="554">
        <f t="shared" si="42"/>
        <v>2</v>
      </c>
      <c r="AQ173" s="429" t="str">
        <f t="shared" si="36"/>
        <v>Vendido</v>
      </c>
      <c r="AR173" s="447">
        <f>_xlfn.XLOOKUP(C173,'BOULEVARD 5'!B:B,'BOULEVARD 5'!AU:AU)</f>
        <v>1.0004261363636364</v>
      </c>
    </row>
    <row r="174" spans="1:44" s="429" customFormat="1" ht="13.9" customHeight="1" x14ac:dyDescent="0.25">
      <c r="B174" s="678" t="str">
        <f>IF('B5-Status cobranza'!A174&gt;0,'B5-Status cobranza'!A174,"")</f>
        <v/>
      </c>
      <c r="C174" s="436">
        <v>919</v>
      </c>
      <c r="D174" s="436" t="s">
        <v>412</v>
      </c>
      <c r="E174" s="436"/>
      <c r="F174" s="436" t="str">
        <f>IF('BOULEVARD 5'!E172="","",'BOULEVARD 5'!E172)</f>
        <v>Brenda Búcaro</v>
      </c>
      <c r="G174" s="429" t="str">
        <f>IF('BOULEVARD 5'!F172="","",'BOULEVARD 5'!F172)</f>
        <v>Ana Lucrecia Rangel Aquino</v>
      </c>
      <c r="H174" s="473">
        <f>IF('BOULEVARD 5'!G172="","",'BOULEVARD 5'!G172)</f>
        <v>45016</v>
      </c>
      <c r="I174" s="554">
        <f t="shared" si="41"/>
        <v>1</v>
      </c>
      <c r="J174" s="554">
        <f t="shared" si="41"/>
        <v>2</v>
      </c>
      <c r="K174" s="554">
        <f t="shared" si="41"/>
        <v>2</v>
      </c>
      <c r="L174" s="554">
        <f t="shared" si="41"/>
        <v>2</v>
      </c>
      <c r="M174" s="554">
        <f t="shared" si="41"/>
        <v>2</v>
      </c>
      <c r="N174" s="554">
        <f t="shared" si="41"/>
        <v>2</v>
      </c>
      <c r="O174" s="554">
        <f t="shared" si="41"/>
        <v>2</v>
      </c>
      <c r="P174" s="554">
        <f t="shared" si="41"/>
        <v>2</v>
      </c>
      <c r="Q174" s="554">
        <f t="shared" si="41"/>
        <v>2</v>
      </c>
      <c r="R174" s="554">
        <f t="shared" si="41"/>
        <v>2</v>
      </c>
      <c r="S174" s="554">
        <f t="shared" si="41"/>
        <v>2</v>
      </c>
      <c r="T174" s="554">
        <f t="shared" si="41"/>
        <v>2</v>
      </c>
      <c r="U174" s="554">
        <f t="shared" si="41"/>
        <v>2</v>
      </c>
      <c r="V174" s="554">
        <f t="shared" si="41"/>
        <v>2</v>
      </c>
      <c r="W174" s="554">
        <f t="shared" si="41"/>
        <v>2</v>
      </c>
      <c r="X174" s="554">
        <f t="shared" si="40"/>
        <v>2</v>
      </c>
      <c r="Y174" s="554">
        <f t="shared" si="40"/>
        <v>2</v>
      </c>
      <c r="Z174" s="554">
        <f t="shared" si="40"/>
        <v>2</v>
      </c>
      <c r="AA174" s="554">
        <f t="shared" si="40"/>
        <v>2</v>
      </c>
      <c r="AB174" s="554">
        <f t="shared" si="40"/>
        <v>2</v>
      </c>
      <c r="AC174" s="554">
        <f t="shared" si="40"/>
        <v>2</v>
      </c>
      <c r="AD174" s="554">
        <f t="shared" si="40"/>
        <v>2</v>
      </c>
      <c r="AE174" s="554">
        <f t="shared" si="40"/>
        <v>2</v>
      </c>
      <c r="AF174" s="554">
        <f t="shared" si="40"/>
        <v>2</v>
      </c>
      <c r="AG174" s="554">
        <f t="shared" si="40"/>
        <v>2</v>
      </c>
      <c r="AH174" s="554">
        <f t="shared" si="40"/>
        <v>2</v>
      </c>
      <c r="AI174" s="554">
        <f t="shared" si="40"/>
        <v>2</v>
      </c>
      <c r="AJ174" s="554">
        <f t="shared" si="40"/>
        <v>2</v>
      </c>
      <c r="AK174" s="554">
        <f t="shared" si="40"/>
        <v>2</v>
      </c>
      <c r="AL174" s="554">
        <f t="shared" si="40"/>
        <v>2</v>
      </c>
      <c r="AM174" s="554">
        <f t="shared" si="40"/>
        <v>2</v>
      </c>
      <c r="AN174" s="554">
        <f t="shared" si="42"/>
        <v>2</v>
      </c>
      <c r="AO174" s="554">
        <f t="shared" si="42"/>
        <v>2</v>
      </c>
      <c r="AP174" s="554">
        <f t="shared" si="42"/>
        <v>2</v>
      </c>
      <c r="AQ174" s="429" t="str">
        <f t="shared" si="36"/>
        <v>Vendido</v>
      </c>
      <c r="AR174" s="447">
        <f>_xlfn.XLOOKUP(C174,'BOULEVARD 5'!B:B,'BOULEVARD 5'!AU:AU)</f>
        <v>0.84040130151843817</v>
      </c>
    </row>
    <row r="175" spans="1:44" s="429" customFormat="1" ht="13.9" customHeight="1" x14ac:dyDescent="0.25">
      <c r="B175" s="678" t="str">
        <f>IF('B5-Status cobranza'!A175&gt;0,'B5-Status cobranza'!A175,"")</f>
        <v>F&amp;F</v>
      </c>
      <c r="C175" s="475">
        <v>920</v>
      </c>
      <c r="D175" s="475" t="s">
        <v>186</v>
      </c>
      <c r="E175" s="475"/>
      <c r="F175" s="475" t="str">
        <f>IF('BOULEVARD 5'!E173="","",'BOULEVARD 5'!E173)</f>
        <v>Ronaldo</v>
      </c>
      <c r="G175" s="476" t="str">
        <f>IF('BOULEVARD 5'!F173="","",'BOULEVARD 5'!F173)</f>
        <v>Iurix, S.A</v>
      </c>
      <c r="H175" s="473">
        <f>IF('BOULEVARD 5'!G173="","",'BOULEVARD 5'!G173)</f>
        <v>45300</v>
      </c>
      <c r="I175" s="554" t="str">
        <f t="shared" si="41"/>
        <v/>
      </c>
      <c r="J175" s="554" t="str">
        <f t="shared" si="41"/>
        <v/>
      </c>
      <c r="K175" s="554" t="str">
        <f t="shared" si="41"/>
        <v/>
      </c>
      <c r="L175" s="554" t="str">
        <f t="shared" si="41"/>
        <v/>
      </c>
      <c r="M175" s="554" t="str">
        <f t="shared" si="41"/>
        <v/>
      </c>
      <c r="N175" s="554" t="str">
        <f t="shared" si="41"/>
        <v/>
      </c>
      <c r="O175" s="554" t="str">
        <f t="shared" si="41"/>
        <v/>
      </c>
      <c r="P175" s="554" t="str">
        <f t="shared" si="41"/>
        <v/>
      </c>
      <c r="Q175" s="554" t="str">
        <f t="shared" si="41"/>
        <v/>
      </c>
      <c r="R175" s="554" t="str">
        <f t="shared" si="41"/>
        <v/>
      </c>
      <c r="S175" s="554" t="str">
        <f t="shared" si="41"/>
        <v/>
      </c>
      <c r="T175" s="554" t="str">
        <f t="shared" si="41"/>
        <v/>
      </c>
      <c r="U175" s="554" t="str">
        <f t="shared" si="41"/>
        <v/>
      </c>
      <c r="V175" s="554" t="str">
        <f t="shared" si="41"/>
        <v/>
      </c>
      <c r="W175" s="554" t="str">
        <f t="shared" si="41"/>
        <v/>
      </c>
      <c r="X175" s="554" t="str">
        <f t="shared" si="40"/>
        <v/>
      </c>
      <c r="Y175" s="554" t="str">
        <f t="shared" si="40"/>
        <v/>
      </c>
      <c r="Z175" s="554" t="str">
        <f t="shared" si="40"/>
        <v/>
      </c>
      <c r="AA175" s="554" t="str">
        <f t="shared" si="40"/>
        <v/>
      </c>
      <c r="AB175" s="554" t="str">
        <f t="shared" si="40"/>
        <v/>
      </c>
      <c r="AC175" s="554" t="str">
        <f t="shared" si="40"/>
        <v/>
      </c>
      <c r="AD175" s="554" t="str">
        <f t="shared" si="40"/>
        <v/>
      </c>
      <c r="AE175" s="554" t="str">
        <f t="shared" si="40"/>
        <v/>
      </c>
      <c r="AF175" s="554" t="str">
        <f t="shared" si="40"/>
        <v/>
      </c>
      <c r="AG175" s="554" t="str">
        <f t="shared" si="40"/>
        <v/>
      </c>
      <c r="AH175" s="554" t="str">
        <f t="shared" si="40"/>
        <v/>
      </c>
      <c r="AI175" s="554" t="str">
        <f t="shared" si="40"/>
        <v/>
      </c>
      <c r="AJ175" s="554" t="str">
        <f t="shared" si="40"/>
        <v/>
      </c>
      <c r="AK175" s="554" t="str">
        <f t="shared" si="40"/>
        <v/>
      </c>
      <c r="AL175" s="554" t="str">
        <f t="shared" si="40"/>
        <v/>
      </c>
      <c r="AM175" s="554" t="str">
        <f t="shared" si="40"/>
        <v/>
      </c>
      <c r="AN175" s="554" t="str">
        <f t="shared" si="42"/>
        <v/>
      </c>
      <c r="AO175" s="554" t="str">
        <f t="shared" si="42"/>
        <v/>
      </c>
      <c r="AP175" s="554" t="str">
        <f t="shared" si="42"/>
        <v/>
      </c>
      <c r="AQ175" s="429" t="str">
        <f t="shared" si="36"/>
        <v>Vendido</v>
      </c>
      <c r="AR175" s="447">
        <f>_xlfn.XLOOKUP(C175,'BOULEVARD 5'!B:B,'BOULEVARD 5'!AU:AU)</f>
        <v>0</v>
      </c>
    </row>
    <row r="176" spans="1:44" s="429" customFormat="1" ht="13.9" customHeight="1" x14ac:dyDescent="0.25">
      <c r="B176" s="678" t="str">
        <f>IF('B5-Status cobranza'!A176&gt;0,'B5-Status cobranza'!A176,"")</f>
        <v/>
      </c>
      <c r="C176" s="436">
        <v>1001</v>
      </c>
      <c r="D176" s="436" t="s">
        <v>409</v>
      </c>
      <c r="E176" s="436"/>
      <c r="F176" s="436" t="str">
        <f>IF('BOULEVARD 5'!E174="","",'BOULEVARD 5'!E174)</f>
        <v>Antonio Rada</v>
      </c>
      <c r="G176" s="429" t="str">
        <f>IF('BOULEVARD 5'!F174="","",'BOULEVARD 5'!F174)</f>
        <v xml:space="preserve"> Zonia Beariz Hernandez Herrera</v>
      </c>
      <c r="H176" s="473">
        <f>IF('BOULEVARD 5'!G174="","",'BOULEVARD 5'!G174)</f>
        <v>45027</v>
      </c>
      <c r="I176" s="554" t="str">
        <f t="shared" si="41"/>
        <v/>
      </c>
      <c r="J176" s="554">
        <f t="shared" si="41"/>
        <v>1</v>
      </c>
      <c r="K176" s="554">
        <f t="shared" si="41"/>
        <v>2</v>
      </c>
      <c r="L176" s="554">
        <f t="shared" si="41"/>
        <v>2</v>
      </c>
      <c r="M176" s="554">
        <f t="shared" si="41"/>
        <v>2</v>
      </c>
      <c r="N176" s="554">
        <f t="shared" si="41"/>
        <v>2</v>
      </c>
      <c r="O176" s="554">
        <f t="shared" si="41"/>
        <v>2</v>
      </c>
      <c r="P176" s="554">
        <f t="shared" si="41"/>
        <v>2</v>
      </c>
      <c r="Q176" s="554">
        <f t="shared" si="41"/>
        <v>2</v>
      </c>
      <c r="R176" s="554">
        <f t="shared" si="41"/>
        <v>2</v>
      </c>
      <c r="S176" s="554">
        <f t="shared" si="41"/>
        <v>2</v>
      </c>
      <c r="T176" s="554">
        <f t="shared" si="41"/>
        <v>2</v>
      </c>
      <c r="U176" s="554">
        <f t="shared" si="41"/>
        <v>2</v>
      </c>
      <c r="V176" s="554">
        <f t="shared" si="41"/>
        <v>2</v>
      </c>
      <c r="W176" s="554">
        <f t="shared" si="41"/>
        <v>2</v>
      </c>
      <c r="X176" s="554">
        <f t="shared" si="40"/>
        <v>2</v>
      </c>
      <c r="Y176" s="554">
        <f t="shared" si="40"/>
        <v>2</v>
      </c>
      <c r="Z176" s="554">
        <f t="shared" si="40"/>
        <v>2</v>
      </c>
      <c r="AA176" s="554">
        <f t="shared" si="40"/>
        <v>2</v>
      </c>
      <c r="AB176" s="554">
        <f t="shared" si="40"/>
        <v>2</v>
      </c>
      <c r="AC176" s="554">
        <f t="shared" si="40"/>
        <v>2</v>
      </c>
      <c r="AD176" s="554">
        <f t="shared" si="40"/>
        <v>2</v>
      </c>
      <c r="AE176" s="554">
        <f t="shared" si="40"/>
        <v>2</v>
      </c>
      <c r="AF176" s="554">
        <f t="shared" si="40"/>
        <v>2</v>
      </c>
      <c r="AG176" s="554">
        <f t="shared" si="40"/>
        <v>2</v>
      </c>
      <c r="AH176" s="554">
        <f t="shared" si="40"/>
        <v>2</v>
      </c>
      <c r="AI176" s="554">
        <f t="shared" si="40"/>
        <v>2</v>
      </c>
      <c r="AJ176" s="554">
        <f t="shared" si="40"/>
        <v>2</v>
      </c>
      <c r="AK176" s="554">
        <f t="shared" si="40"/>
        <v>2</v>
      </c>
      <c r="AL176" s="554">
        <f t="shared" si="40"/>
        <v>2</v>
      </c>
      <c r="AM176" s="554">
        <f t="shared" si="40"/>
        <v>2</v>
      </c>
      <c r="AN176" s="554">
        <f t="shared" si="42"/>
        <v>2</v>
      </c>
      <c r="AO176" s="554">
        <f t="shared" si="42"/>
        <v>2</v>
      </c>
      <c r="AP176" s="554">
        <f t="shared" si="42"/>
        <v>2</v>
      </c>
      <c r="AQ176" s="429" t="str">
        <f t="shared" si="36"/>
        <v>Vendido</v>
      </c>
      <c r="AR176" s="447">
        <f>_xlfn.XLOOKUP(C176,'BOULEVARD 5'!B:B,'BOULEVARD 5'!AU:AU)</f>
        <v>0.90213114754098356</v>
      </c>
    </row>
    <row r="177" spans="1:44" s="429" customFormat="1" ht="13.9" customHeight="1" x14ac:dyDescent="0.25">
      <c r="B177" s="678" t="str">
        <f>IF('B5-Status cobranza'!A177&gt;0,'B5-Status cobranza'!A177,"")</f>
        <v/>
      </c>
      <c r="C177" s="436">
        <v>1002</v>
      </c>
      <c r="D177" s="436" t="s">
        <v>184</v>
      </c>
      <c r="E177" s="436"/>
      <c r="F177" s="436" t="str">
        <f>IF('BOULEVARD 5'!E175="","",'BOULEVARD 5'!E175)</f>
        <v>Antonio Rada</v>
      </c>
      <c r="G177" s="429" t="str">
        <f>IF('BOULEVARD 5'!F175="","",'BOULEVARD 5'!F175)</f>
        <v>Evelin Yadira Orellana Ordoñez</v>
      </c>
      <c r="H177" s="473">
        <f>IF('BOULEVARD 5'!G175="","",'BOULEVARD 5'!G175)</f>
        <v>45008</v>
      </c>
      <c r="I177" s="554">
        <f t="shared" si="41"/>
        <v>1</v>
      </c>
      <c r="J177" s="554">
        <f t="shared" si="41"/>
        <v>2</v>
      </c>
      <c r="K177" s="554">
        <f t="shared" si="41"/>
        <v>2</v>
      </c>
      <c r="L177" s="554">
        <f t="shared" si="41"/>
        <v>2</v>
      </c>
      <c r="M177" s="554">
        <f t="shared" si="41"/>
        <v>2</v>
      </c>
      <c r="N177" s="554">
        <f t="shared" si="41"/>
        <v>2</v>
      </c>
      <c r="O177" s="554">
        <f t="shared" si="41"/>
        <v>2</v>
      </c>
      <c r="P177" s="554">
        <f t="shared" si="41"/>
        <v>2</v>
      </c>
      <c r="Q177" s="554">
        <f t="shared" si="41"/>
        <v>2</v>
      </c>
      <c r="R177" s="554">
        <f t="shared" si="41"/>
        <v>2</v>
      </c>
      <c r="S177" s="554">
        <f t="shared" si="41"/>
        <v>2</v>
      </c>
      <c r="T177" s="554">
        <f t="shared" si="41"/>
        <v>2</v>
      </c>
      <c r="U177" s="554">
        <f t="shared" si="41"/>
        <v>2</v>
      </c>
      <c r="V177" s="554">
        <f t="shared" si="41"/>
        <v>2</v>
      </c>
      <c r="W177" s="554">
        <f t="shared" si="41"/>
        <v>2</v>
      </c>
      <c r="X177" s="554">
        <f t="shared" si="40"/>
        <v>2</v>
      </c>
      <c r="Y177" s="554">
        <f t="shared" si="40"/>
        <v>2</v>
      </c>
      <c r="Z177" s="554">
        <f t="shared" si="40"/>
        <v>2</v>
      </c>
      <c r="AA177" s="554">
        <f t="shared" si="40"/>
        <v>2</v>
      </c>
      <c r="AB177" s="554">
        <f t="shared" si="40"/>
        <v>2</v>
      </c>
      <c r="AC177" s="554">
        <f t="shared" si="40"/>
        <v>2</v>
      </c>
      <c r="AD177" s="554">
        <f t="shared" si="40"/>
        <v>2</v>
      </c>
      <c r="AE177" s="554">
        <f t="shared" si="40"/>
        <v>2</v>
      </c>
      <c r="AF177" s="554">
        <f t="shared" si="40"/>
        <v>2</v>
      </c>
      <c r="AG177" s="554">
        <f t="shared" si="40"/>
        <v>2</v>
      </c>
      <c r="AH177" s="554">
        <f t="shared" si="40"/>
        <v>2</v>
      </c>
      <c r="AI177" s="554">
        <f t="shared" si="40"/>
        <v>2</v>
      </c>
      <c r="AJ177" s="554">
        <f t="shared" si="40"/>
        <v>2</v>
      </c>
      <c r="AK177" s="554">
        <f t="shared" si="40"/>
        <v>2</v>
      </c>
      <c r="AL177" s="554">
        <f t="shared" si="40"/>
        <v>2</v>
      </c>
      <c r="AM177" s="554">
        <f t="shared" si="40"/>
        <v>2</v>
      </c>
      <c r="AN177" s="554">
        <f t="shared" si="42"/>
        <v>2</v>
      </c>
      <c r="AO177" s="554">
        <f t="shared" si="42"/>
        <v>2</v>
      </c>
      <c r="AP177" s="554">
        <f t="shared" si="42"/>
        <v>2</v>
      </c>
      <c r="AQ177" s="429" t="str">
        <f t="shared" si="36"/>
        <v>Vendido</v>
      </c>
      <c r="AR177" s="447">
        <f>_xlfn.XLOOKUP(C177,'BOULEVARD 5'!B:B,'BOULEVARD 5'!AU:AU)</f>
        <v>0.94444444444444442</v>
      </c>
    </row>
    <row r="178" spans="1:44" s="429" customFormat="1" ht="13.9" customHeight="1" x14ac:dyDescent="0.25">
      <c r="B178" s="678" t="str">
        <f>IF('B5-Status cobranza'!A178&gt;0,'B5-Status cobranza'!A178,"")</f>
        <v/>
      </c>
      <c r="C178" s="436">
        <v>1003</v>
      </c>
      <c r="D178" s="436" t="s">
        <v>406</v>
      </c>
      <c r="E178" s="436"/>
      <c r="F178" s="436" t="str">
        <f>IF('BOULEVARD 5'!E176="","",'BOULEVARD 5'!E176)</f>
        <v>Antonio Rada</v>
      </c>
      <c r="G178" s="429" t="str">
        <f>IF('BOULEVARD 5'!F176="","",'BOULEVARD 5'!F176)</f>
        <v>Eduar Reginaldo Colindres Estrada</v>
      </c>
      <c r="H178" s="473">
        <f>IF('BOULEVARD 5'!G176="","",'BOULEVARD 5'!G176)</f>
        <v>45072</v>
      </c>
      <c r="I178" s="554" t="str">
        <f t="shared" si="41"/>
        <v/>
      </c>
      <c r="J178" s="554" t="str">
        <f t="shared" si="41"/>
        <v/>
      </c>
      <c r="K178" s="554">
        <f t="shared" si="41"/>
        <v>1</v>
      </c>
      <c r="L178" s="554">
        <f t="shared" si="41"/>
        <v>2</v>
      </c>
      <c r="M178" s="554">
        <f t="shared" si="41"/>
        <v>2</v>
      </c>
      <c r="N178" s="554">
        <f t="shared" si="41"/>
        <v>2</v>
      </c>
      <c r="O178" s="554">
        <f t="shared" si="41"/>
        <v>2</v>
      </c>
      <c r="P178" s="554">
        <f t="shared" si="41"/>
        <v>2</v>
      </c>
      <c r="Q178" s="554">
        <f t="shared" si="41"/>
        <v>2</v>
      </c>
      <c r="R178" s="554">
        <f t="shared" si="41"/>
        <v>2</v>
      </c>
      <c r="S178" s="554">
        <f t="shared" si="41"/>
        <v>2</v>
      </c>
      <c r="T178" s="554">
        <f t="shared" si="41"/>
        <v>2</v>
      </c>
      <c r="U178" s="554">
        <f t="shared" si="41"/>
        <v>2</v>
      </c>
      <c r="V178" s="554">
        <f t="shared" si="41"/>
        <v>2</v>
      </c>
      <c r="W178" s="554">
        <f t="shared" si="41"/>
        <v>2</v>
      </c>
      <c r="X178" s="554">
        <f t="shared" si="40"/>
        <v>2</v>
      </c>
      <c r="Y178" s="554">
        <f t="shared" si="40"/>
        <v>2</v>
      </c>
      <c r="Z178" s="554">
        <f t="shared" si="40"/>
        <v>2</v>
      </c>
      <c r="AA178" s="554">
        <f t="shared" si="40"/>
        <v>2</v>
      </c>
      <c r="AB178" s="554">
        <f t="shared" si="40"/>
        <v>2</v>
      </c>
      <c r="AC178" s="554">
        <f t="shared" si="40"/>
        <v>2</v>
      </c>
      <c r="AD178" s="554">
        <f t="shared" si="40"/>
        <v>2</v>
      </c>
      <c r="AE178" s="554">
        <f t="shared" si="40"/>
        <v>2</v>
      </c>
      <c r="AF178" s="554">
        <f t="shared" si="40"/>
        <v>2</v>
      </c>
      <c r="AG178" s="554">
        <f t="shared" si="40"/>
        <v>2</v>
      </c>
      <c r="AH178" s="554">
        <f t="shared" si="40"/>
        <v>2</v>
      </c>
      <c r="AI178" s="554">
        <f t="shared" si="40"/>
        <v>2</v>
      </c>
      <c r="AJ178" s="554">
        <f t="shared" si="40"/>
        <v>2</v>
      </c>
      <c r="AK178" s="554">
        <f t="shared" si="40"/>
        <v>2</v>
      </c>
      <c r="AL178" s="554">
        <f t="shared" si="40"/>
        <v>2</v>
      </c>
      <c r="AM178" s="554">
        <f t="shared" si="40"/>
        <v>2</v>
      </c>
      <c r="AN178" s="554">
        <f t="shared" si="42"/>
        <v>2</v>
      </c>
      <c r="AO178" s="554">
        <f t="shared" si="42"/>
        <v>2</v>
      </c>
      <c r="AP178" s="554">
        <f t="shared" si="42"/>
        <v>2</v>
      </c>
      <c r="AQ178" s="429" t="str">
        <f t="shared" si="36"/>
        <v>Vendido</v>
      </c>
      <c r="AR178" s="447">
        <f>_xlfn.XLOOKUP(C178,'BOULEVARD 5'!B:B,'BOULEVARD 5'!AU:AU)</f>
        <v>1.1178977272727273</v>
      </c>
    </row>
    <row r="179" spans="1:44" s="429" customFormat="1" ht="13.9" customHeight="1" x14ac:dyDescent="0.25">
      <c r="B179" s="678" t="str">
        <f>IF('B5-Status cobranza'!A179&gt;0,'B5-Status cobranza'!A179,"")</f>
        <v/>
      </c>
      <c r="C179" s="436">
        <v>1004</v>
      </c>
      <c r="D179" s="436" t="s">
        <v>200</v>
      </c>
      <c r="E179" s="436"/>
      <c r="F179" s="436" t="str">
        <f>IF('BOULEVARD 5'!E177="","",'BOULEVARD 5'!E177)</f>
        <v>Jose Franco</v>
      </c>
      <c r="G179" s="429" t="str">
        <f>IF('BOULEVARD 5'!F177="","",'BOULEVARD 5'!F177)</f>
        <v xml:space="preserve"> Jorge Silva Sagastume</v>
      </c>
      <c r="H179" s="473">
        <f>IF('BOULEVARD 5'!G177="","",'BOULEVARD 5'!G177)</f>
        <v>45062</v>
      </c>
      <c r="I179" s="554" t="str">
        <f t="shared" si="41"/>
        <v/>
      </c>
      <c r="J179" s="554" t="str">
        <f t="shared" si="41"/>
        <v/>
      </c>
      <c r="K179" s="554">
        <f t="shared" si="41"/>
        <v>1</v>
      </c>
      <c r="L179" s="554">
        <f t="shared" si="41"/>
        <v>2</v>
      </c>
      <c r="M179" s="554">
        <f t="shared" si="41"/>
        <v>2</v>
      </c>
      <c r="N179" s="554">
        <f t="shared" si="41"/>
        <v>2</v>
      </c>
      <c r="O179" s="554">
        <f t="shared" si="41"/>
        <v>2</v>
      </c>
      <c r="P179" s="554">
        <f t="shared" si="41"/>
        <v>2</v>
      </c>
      <c r="Q179" s="554">
        <f t="shared" si="41"/>
        <v>2</v>
      </c>
      <c r="R179" s="554">
        <f t="shared" si="41"/>
        <v>2</v>
      </c>
      <c r="S179" s="554">
        <f t="shared" si="41"/>
        <v>2</v>
      </c>
      <c r="T179" s="554">
        <f t="shared" si="41"/>
        <v>2</v>
      </c>
      <c r="U179" s="554">
        <f t="shared" si="41"/>
        <v>2</v>
      </c>
      <c r="V179" s="554">
        <f t="shared" si="41"/>
        <v>2</v>
      </c>
      <c r="W179" s="554">
        <f t="shared" si="41"/>
        <v>2</v>
      </c>
      <c r="X179" s="554">
        <f t="shared" si="40"/>
        <v>2</v>
      </c>
      <c r="Y179" s="554">
        <f t="shared" si="40"/>
        <v>2</v>
      </c>
      <c r="Z179" s="554">
        <f t="shared" si="40"/>
        <v>2</v>
      </c>
      <c r="AA179" s="554">
        <f t="shared" si="40"/>
        <v>2</v>
      </c>
      <c r="AB179" s="554">
        <f t="shared" si="40"/>
        <v>2</v>
      </c>
      <c r="AC179" s="554">
        <f t="shared" si="40"/>
        <v>2</v>
      </c>
      <c r="AD179" s="554">
        <f t="shared" si="40"/>
        <v>2</v>
      </c>
      <c r="AE179" s="554">
        <f t="shared" si="40"/>
        <v>2</v>
      </c>
      <c r="AF179" s="554">
        <f t="shared" si="40"/>
        <v>2</v>
      </c>
      <c r="AG179" s="554">
        <f t="shared" si="40"/>
        <v>2</v>
      </c>
      <c r="AH179" s="554">
        <f t="shared" si="40"/>
        <v>2</v>
      </c>
      <c r="AI179" s="554">
        <f t="shared" si="40"/>
        <v>2</v>
      </c>
      <c r="AJ179" s="554">
        <f t="shared" si="40"/>
        <v>2</v>
      </c>
      <c r="AK179" s="554">
        <f t="shared" si="40"/>
        <v>2</v>
      </c>
      <c r="AL179" s="554">
        <f t="shared" si="40"/>
        <v>2</v>
      </c>
      <c r="AM179" s="554">
        <f t="shared" si="40"/>
        <v>2</v>
      </c>
      <c r="AN179" s="554">
        <f t="shared" si="42"/>
        <v>2</v>
      </c>
      <c r="AO179" s="554">
        <f t="shared" si="42"/>
        <v>2</v>
      </c>
      <c r="AP179" s="554">
        <f t="shared" si="42"/>
        <v>2</v>
      </c>
      <c r="AQ179" s="429" t="str">
        <f t="shared" si="36"/>
        <v>Vendido</v>
      </c>
      <c r="AR179" s="447">
        <f>_xlfn.XLOOKUP(C179,'BOULEVARD 5'!B:B,'BOULEVARD 5'!AU:AU)</f>
        <v>1.0000143535697614</v>
      </c>
    </row>
    <row r="180" spans="1:44" s="429" customFormat="1" ht="13.9" customHeight="1" x14ac:dyDescent="0.25">
      <c r="B180" s="678" t="str">
        <f>IF('B5-Status cobranza'!A180&gt;0,'B5-Status cobranza'!A180,"")</f>
        <v/>
      </c>
      <c r="C180" s="436">
        <v>1005</v>
      </c>
      <c r="D180" s="436" t="s">
        <v>534</v>
      </c>
      <c r="E180" s="436"/>
      <c r="F180" s="436" t="str">
        <f>IF('BOULEVARD 5'!E178="","",'BOULEVARD 5'!E178)</f>
        <v>Brenda Búcaro</v>
      </c>
      <c r="G180" s="429" t="str">
        <f>IF('BOULEVARD 5'!F178="","",'BOULEVARD 5'!F178)</f>
        <v>Barbara Elizabeth Ixmucane Zapeta Albanés</v>
      </c>
      <c r="H180" s="473">
        <f>IF('BOULEVARD 5'!G178="","",'BOULEVARD 5'!G178)</f>
        <v>45113</v>
      </c>
      <c r="I180" s="554" t="str">
        <f t="shared" si="41"/>
        <v/>
      </c>
      <c r="J180" s="554" t="str">
        <f t="shared" si="41"/>
        <v/>
      </c>
      <c r="K180" s="554" t="str">
        <f t="shared" si="41"/>
        <v/>
      </c>
      <c r="L180" s="554" t="str">
        <f t="shared" si="41"/>
        <v/>
      </c>
      <c r="M180" s="554">
        <f t="shared" si="41"/>
        <v>1</v>
      </c>
      <c r="N180" s="554">
        <f t="shared" si="41"/>
        <v>2</v>
      </c>
      <c r="O180" s="554">
        <f t="shared" si="41"/>
        <v>2</v>
      </c>
      <c r="P180" s="554">
        <f t="shared" si="41"/>
        <v>2</v>
      </c>
      <c r="Q180" s="554">
        <f t="shared" si="41"/>
        <v>2</v>
      </c>
      <c r="R180" s="554">
        <f t="shared" si="41"/>
        <v>2</v>
      </c>
      <c r="S180" s="554">
        <f t="shared" si="41"/>
        <v>2</v>
      </c>
      <c r="T180" s="554">
        <f t="shared" si="41"/>
        <v>2</v>
      </c>
      <c r="U180" s="554">
        <f t="shared" si="41"/>
        <v>2</v>
      </c>
      <c r="V180" s="554">
        <f t="shared" si="41"/>
        <v>2</v>
      </c>
      <c r="W180" s="554">
        <f t="shared" si="41"/>
        <v>2</v>
      </c>
      <c r="X180" s="554">
        <f t="shared" si="40"/>
        <v>2</v>
      </c>
      <c r="Y180" s="554">
        <f t="shared" si="40"/>
        <v>2</v>
      </c>
      <c r="Z180" s="554">
        <f t="shared" si="40"/>
        <v>2</v>
      </c>
      <c r="AA180" s="554">
        <f t="shared" si="40"/>
        <v>2</v>
      </c>
      <c r="AB180" s="554">
        <f t="shared" si="40"/>
        <v>2</v>
      </c>
      <c r="AC180" s="554">
        <f t="shared" si="40"/>
        <v>2</v>
      </c>
      <c r="AD180" s="554">
        <f t="shared" si="40"/>
        <v>2</v>
      </c>
      <c r="AE180" s="554">
        <f t="shared" si="40"/>
        <v>2</v>
      </c>
      <c r="AF180" s="554">
        <f t="shared" si="40"/>
        <v>2</v>
      </c>
      <c r="AG180" s="554">
        <f t="shared" si="40"/>
        <v>2</v>
      </c>
      <c r="AH180" s="554">
        <f t="shared" si="40"/>
        <v>2</v>
      </c>
      <c r="AI180" s="554">
        <f t="shared" si="40"/>
        <v>2</v>
      </c>
      <c r="AJ180" s="554">
        <f t="shared" si="40"/>
        <v>2</v>
      </c>
      <c r="AK180" s="554">
        <f t="shared" si="40"/>
        <v>2</v>
      </c>
      <c r="AL180" s="554">
        <f t="shared" si="40"/>
        <v>2</v>
      </c>
      <c r="AM180" s="554">
        <f t="shared" si="40"/>
        <v>2</v>
      </c>
      <c r="AN180" s="554">
        <f t="shared" si="42"/>
        <v>2</v>
      </c>
      <c r="AO180" s="554">
        <f t="shared" si="42"/>
        <v>2</v>
      </c>
      <c r="AP180" s="554">
        <f t="shared" si="42"/>
        <v>2</v>
      </c>
      <c r="AQ180" s="429" t="str">
        <f t="shared" si="36"/>
        <v>Vendido</v>
      </c>
      <c r="AR180" s="447">
        <f>_xlfn.XLOOKUP(C180,'BOULEVARD 5'!B:B,'BOULEVARD 5'!AU:AU)</f>
        <v>0.93073248407643316</v>
      </c>
    </row>
    <row r="181" spans="1:44" s="429" customFormat="1" ht="13.9" customHeight="1" x14ac:dyDescent="0.25">
      <c r="B181" s="678" t="str">
        <f>IF('B5-Status cobranza'!A181&gt;0,'B5-Status cobranza'!A181,"")</f>
        <v/>
      </c>
      <c r="C181" s="436">
        <v>1006</v>
      </c>
      <c r="D181" s="436" t="s">
        <v>536</v>
      </c>
      <c r="E181" s="436"/>
      <c r="F181" s="436" t="str">
        <f>IF('BOULEVARD 5'!E179="","",'BOULEVARD 5'!E179)</f>
        <v>Antonio Rada</v>
      </c>
      <c r="G181" s="429" t="str">
        <f>IF('BOULEVARD 5'!F179="","",'BOULEVARD 5'!F179)</f>
        <v>Diana Marisol Donis Cú</v>
      </c>
      <c r="H181" s="473">
        <f>IF('BOULEVARD 5'!G179="","",'BOULEVARD 5'!G179)</f>
        <v>45343</v>
      </c>
      <c r="I181" s="554" t="str">
        <f t="shared" si="41"/>
        <v/>
      </c>
      <c r="J181" s="554" t="str">
        <f t="shared" si="41"/>
        <v/>
      </c>
      <c r="K181" s="554" t="str">
        <f t="shared" si="41"/>
        <v/>
      </c>
      <c r="L181" s="554" t="str">
        <f t="shared" si="41"/>
        <v/>
      </c>
      <c r="M181" s="554" t="str">
        <f t="shared" si="41"/>
        <v/>
      </c>
      <c r="N181" s="554" t="str">
        <f t="shared" si="41"/>
        <v/>
      </c>
      <c r="O181" s="554" t="str">
        <f t="shared" si="41"/>
        <v/>
      </c>
      <c r="P181" s="554" t="str">
        <f t="shared" si="41"/>
        <v/>
      </c>
      <c r="Q181" s="554" t="str">
        <f t="shared" si="41"/>
        <v/>
      </c>
      <c r="R181" s="554" t="str">
        <f t="shared" si="41"/>
        <v/>
      </c>
      <c r="S181" s="554" t="str">
        <f t="shared" si="41"/>
        <v/>
      </c>
      <c r="T181" s="554">
        <f t="shared" si="41"/>
        <v>1</v>
      </c>
      <c r="U181" s="554">
        <f t="shared" si="41"/>
        <v>2</v>
      </c>
      <c r="V181" s="554">
        <f t="shared" si="41"/>
        <v>2</v>
      </c>
      <c r="W181" s="554">
        <f t="shared" si="41"/>
        <v>2</v>
      </c>
      <c r="X181" s="554">
        <f t="shared" si="40"/>
        <v>2</v>
      </c>
      <c r="Y181" s="554">
        <f t="shared" si="40"/>
        <v>2</v>
      </c>
      <c r="Z181" s="554">
        <f t="shared" si="40"/>
        <v>2</v>
      </c>
      <c r="AA181" s="554">
        <f t="shared" si="40"/>
        <v>2</v>
      </c>
      <c r="AB181" s="554">
        <f t="shared" si="40"/>
        <v>2</v>
      </c>
      <c r="AC181" s="554">
        <f t="shared" si="40"/>
        <v>2</v>
      </c>
      <c r="AD181" s="554">
        <f t="shared" si="40"/>
        <v>2</v>
      </c>
      <c r="AE181" s="554">
        <f t="shared" si="40"/>
        <v>2</v>
      </c>
      <c r="AF181" s="554">
        <f t="shared" si="40"/>
        <v>2</v>
      </c>
      <c r="AG181" s="554">
        <f t="shared" si="40"/>
        <v>2</v>
      </c>
      <c r="AH181" s="554">
        <f t="shared" si="40"/>
        <v>2</v>
      </c>
      <c r="AI181" s="554">
        <f t="shared" si="40"/>
        <v>2</v>
      </c>
      <c r="AJ181" s="554">
        <f t="shared" si="40"/>
        <v>2</v>
      </c>
      <c r="AK181" s="554">
        <f t="shared" si="40"/>
        <v>2</v>
      </c>
      <c r="AL181" s="554">
        <f t="shared" si="40"/>
        <v>2</v>
      </c>
      <c r="AM181" s="554">
        <f t="shared" si="40"/>
        <v>2</v>
      </c>
      <c r="AN181" s="554">
        <f t="shared" si="42"/>
        <v>2</v>
      </c>
      <c r="AO181" s="554">
        <f t="shared" si="42"/>
        <v>2</v>
      </c>
      <c r="AP181" s="554">
        <f t="shared" si="42"/>
        <v>2</v>
      </c>
      <c r="AQ181" s="429" t="str">
        <f t="shared" si="36"/>
        <v>Vendido</v>
      </c>
      <c r="AR181" s="447">
        <f>_xlfn.XLOOKUP(C181,'BOULEVARD 5'!B:B,'BOULEVARD 5'!AU:AU)</f>
        <v>1</v>
      </c>
    </row>
    <row r="182" spans="1:44" s="429" customFormat="1" ht="13.9" customHeight="1" x14ac:dyDescent="0.25">
      <c r="B182" s="678" t="str">
        <f>IF('B5-Status cobranza'!A182&gt;0,'B5-Status cobranza'!A182,"")</f>
        <v/>
      </c>
      <c r="C182" s="436">
        <v>1007</v>
      </c>
      <c r="D182" s="436" t="s">
        <v>400</v>
      </c>
      <c r="E182" s="436"/>
      <c r="F182" s="436" t="str">
        <f>IF('BOULEVARD 5'!E180="","",'BOULEVARD 5'!E180)</f>
        <v>Brenda Búcaro</v>
      </c>
      <c r="G182" s="429" t="str">
        <f>IF('BOULEVARD 5'!F180="","",'BOULEVARD 5'!F180)</f>
        <v>Marcela Alejandra Castro Marcía</v>
      </c>
      <c r="H182" s="473">
        <f>IF('BOULEVARD 5'!G180="","",'BOULEVARD 5'!G180)</f>
        <v>45173</v>
      </c>
      <c r="I182" s="554" t="str">
        <f t="shared" si="41"/>
        <v/>
      </c>
      <c r="J182" s="554" t="str">
        <f t="shared" si="41"/>
        <v/>
      </c>
      <c r="K182" s="554" t="str">
        <f t="shared" si="41"/>
        <v/>
      </c>
      <c r="L182" s="554" t="str">
        <f t="shared" si="41"/>
        <v/>
      </c>
      <c r="M182" s="554" t="str">
        <f t="shared" si="41"/>
        <v/>
      </c>
      <c r="N182" s="554" t="str">
        <f t="shared" si="41"/>
        <v/>
      </c>
      <c r="O182" s="554">
        <f t="shared" si="41"/>
        <v>1</v>
      </c>
      <c r="P182" s="554">
        <f t="shared" si="41"/>
        <v>2</v>
      </c>
      <c r="Q182" s="554">
        <f t="shared" si="41"/>
        <v>2</v>
      </c>
      <c r="R182" s="554">
        <f t="shared" si="41"/>
        <v>2</v>
      </c>
      <c r="S182" s="554">
        <f t="shared" si="41"/>
        <v>2</v>
      </c>
      <c r="T182" s="554">
        <f t="shared" si="41"/>
        <v>2</v>
      </c>
      <c r="U182" s="554">
        <f t="shared" si="41"/>
        <v>2</v>
      </c>
      <c r="V182" s="554">
        <f t="shared" si="41"/>
        <v>2</v>
      </c>
      <c r="W182" s="554">
        <f t="shared" si="41"/>
        <v>2</v>
      </c>
      <c r="X182" s="554">
        <f t="shared" si="40"/>
        <v>2</v>
      </c>
      <c r="Y182" s="554">
        <f t="shared" si="40"/>
        <v>2</v>
      </c>
      <c r="Z182" s="554">
        <f t="shared" si="40"/>
        <v>2</v>
      </c>
      <c r="AA182" s="554">
        <f t="shared" si="40"/>
        <v>2</v>
      </c>
      <c r="AB182" s="554">
        <f t="shared" si="40"/>
        <v>2</v>
      </c>
      <c r="AC182" s="554">
        <f t="shared" si="40"/>
        <v>2</v>
      </c>
      <c r="AD182" s="554">
        <f t="shared" si="40"/>
        <v>2</v>
      </c>
      <c r="AE182" s="554">
        <f t="shared" si="40"/>
        <v>2</v>
      </c>
      <c r="AF182" s="554">
        <f t="shared" si="40"/>
        <v>2</v>
      </c>
      <c r="AG182" s="554">
        <f t="shared" si="40"/>
        <v>2</v>
      </c>
      <c r="AH182" s="554">
        <f t="shared" si="40"/>
        <v>2</v>
      </c>
      <c r="AI182" s="554">
        <f t="shared" si="40"/>
        <v>2</v>
      </c>
      <c r="AJ182" s="554">
        <f t="shared" si="40"/>
        <v>2</v>
      </c>
      <c r="AK182" s="554">
        <f t="shared" si="40"/>
        <v>2</v>
      </c>
      <c r="AL182" s="554">
        <f t="shared" si="40"/>
        <v>2</v>
      </c>
      <c r="AM182" s="554">
        <f t="shared" si="40"/>
        <v>2</v>
      </c>
      <c r="AN182" s="554">
        <f t="shared" si="42"/>
        <v>2</v>
      </c>
      <c r="AO182" s="554">
        <f t="shared" si="42"/>
        <v>2</v>
      </c>
      <c r="AP182" s="554">
        <f t="shared" si="42"/>
        <v>2</v>
      </c>
      <c r="AQ182" s="429" t="str">
        <f t="shared" si="36"/>
        <v>Vendido</v>
      </c>
      <c r="AR182" s="447">
        <f>_xlfn.XLOOKUP(C182,'BOULEVARD 5'!B:B,'BOULEVARD 5'!AU:AU)</f>
        <v>1</v>
      </c>
    </row>
    <row r="183" spans="1:44" s="429" customFormat="1" ht="13.9" customHeight="1" x14ac:dyDescent="0.25">
      <c r="B183" s="678" t="str">
        <f>IF('B5-Status cobranza'!A183&gt;0,'B5-Status cobranza'!A183,"")</f>
        <v>F&amp;F</v>
      </c>
      <c r="C183" s="475">
        <v>1008</v>
      </c>
      <c r="D183" s="475" t="s">
        <v>175</v>
      </c>
      <c r="E183" s="475"/>
      <c r="F183" s="475" t="str">
        <f>IF('BOULEVARD 5'!E181="","",'BOULEVARD 5'!E181)</f>
        <v>Antonio Rada</v>
      </c>
      <c r="G183" s="476" t="str">
        <f>IF('BOULEVARD 5'!F181="","",'BOULEVARD 5'!F181)</f>
        <v>Jorge Roberto Arimany Comas</v>
      </c>
      <c r="H183" s="473">
        <f>IF('BOULEVARD 5'!G181="","",'BOULEVARD 5'!G181)</f>
        <v>45401</v>
      </c>
      <c r="I183" s="554" t="str">
        <f t="shared" si="41"/>
        <v/>
      </c>
      <c r="J183" s="554" t="str">
        <f t="shared" si="41"/>
        <v/>
      </c>
      <c r="K183" s="554" t="str">
        <f t="shared" si="41"/>
        <v/>
      </c>
      <c r="L183" s="554" t="str">
        <f t="shared" si="41"/>
        <v/>
      </c>
      <c r="M183" s="554" t="str">
        <f t="shared" si="41"/>
        <v/>
      </c>
      <c r="N183" s="554" t="str">
        <f t="shared" si="41"/>
        <v/>
      </c>
      <c r="O183" s="554" t="str">
        <f t="shared" si="41"/>
        <v/>
      </c>
      <c r="P183" s="554" t="str">
        <f t="shared" si="41"/>
        <v/>
      </c>
      <c r="Q183" s="554" t="str">
        <f t="shared" si="41"/>
        <v/>
      </c>
      <c r="R183" s="554" t="str">
        <f t="shared" si="41"/>
        <v/>
      </c>
      <c r="S183" s="554" t="str">
        <f t="shared" si="41"/>
        <v/>
      </c>
      <c r="T183" s="554" t="str">
        <f t="shared" si="41"/>
        <v/>
      </c>
      <c r="U183" s="554" t="str">
        <f t="shared" si="41"/>
        <v/>
      </c>
      <c r="V183" s="554" t="str">
        <f t="shared" si="41"/>
        <v/>
      </c>
      <c r="W183" s="554" t="str">
        <f t="shared" si="41"/>
        <v/>
      </c>
      <c r="X183" s="554" t="str">
        <f t="shared" si="40"/>
        <v/>
      </c>
      <c r="Y183" s="554" t="str">
        <f t="shared" si="40"/>
        <v/>
      </c>
      <c r="Z183" s="554" t="str">
        <f t="shared" si="40"/>
        <v/>
      </c>
      <c r="AA183" s="554" t="str">
        <f t="shared" si="40"/>
        <v/>
      </c>
      <c r="AB183" s="554" t="str">
        <f t="shared" si="40"/>
        <v/>
      </c>
      <c r="AC183" s="554" t="str">
        <f t="shared" si="40"/>
        <v/>
      </c>
      <c r="AD183" s="554" t="str">
        <f t="shared" si="40"/>
        <v/>
      </c>
      <c r="AE183" s="554" t="str">
        <f t="shared" si="40"/>
        <v/>
      </c>
      <c r="AF183" s="554" t="str">
        <f t="shared" si="40"/>
        <v/>
      </c>
      <c r="AG183" s="554" t="str">
        <f t="shared" si="40"/>
        <v/>
      </c>
      <c r="AH183" s="554" t="str">
        <f t="shared" si="40"/>
        <v/>
      </c>
      <c r="AI183" s="554" t="str">
        <f t="shared" si="40"/>
        <v/>
      </c>
      <c r="AJ183" s="554" t="str">
        <f t="shared" si="40"/>
        <v/>
      </c>
      <c r="AK183" s="554" t="str">
        <f t="shared" si="40"/>
        <v/>
      </c>
      <c r="AL183" s="554" t="str">
        <f t="shared" si="40"/>
        <v/>
      </c>
      <c r="AM183" s="554" t="str">
        <f t="shared" si="40"/>
        <v/>
      </c>
      <c r="AN183" s="554" t="str">
        <f t="shared" si="42"/>
        <v/>
      </c>
      <c r="AO183" s="554" t="str">
        <f t="shared" si="42"/>
        <v/>
      </c>
      <c r="AP183" s="554" t="str">
        <f t="shared" si="42"/>
        <v/>
      </c>
      <c r="AQ183" s="429" t="str">
        <f t="shared" si="36"/>
        <v>Vendido</v>
      </c>
      <c r="AR183" s="447">
        <f>_xlfn.XLOOKUP(C183,'BOULEVARD 5'!B:B,'BOULEVARD 5'!AU:AU)</f>
        <v>9.4663353449295939E-2</v>
      </c>
    </row>
    <row r="184" spans="1:44" s="429" customFormat="1" ht="13.9" customHeight="1" x14ac:dyDescent="0.25">
      <c r="B184" s="678" t="str">
        <f>IF('B5-Status cobranza'!A184&gt;0,'B5-Status cobranza'!A184,"")</f>
        <v/>
      </c>
      <c r="C184" s="436">
        <v>1009</v>
      </c>
      <c r="D184" s="436" t="s">
        <v>563</v>
      </c>
      <c r="E184" s="436"/>
      <c r="F184" s="482" t="str">
        <f>IF('BOULEVARD 5'!E182="","",'BOULEVARD 5'!E182)</f>
        <v>Diana Alvarez</v>
      </c>
      <c r="G184" s="429" t="str">
        <f>IF('BOULEVARD 5'!F182="","",'BOULEVARD 5'!F182)</f>
        <v xml:space="preserve">Augusto Alejandro Salazar Alecio Y Yosseline Yanira Moscoso Hidalgo </v>
      </c>
      <c r="H184" s="473">
        <f>IF('BOULEVARD 5'!G182="","",'BOULEVARD 5'!G182)</f>
        <v>45602</v>
      </c>
      <c r="I184" s="554" t="str">
        <f t="shared" si="41"/>
        <v/>
      </c>
      <c r="J184" s="554" t="str">
        <f t="shared" si="41"/>
        <v/>
      </c>
      <c r="K184" s="554" t="str">
        <f t="shared" si="41"/>
        <v/>
      </c>
      <c r="L184" s="554" t="str">
        <f t="shared" si="41"/>
        <v/>
      </c>
      <c r="M184" s="554" t="str">
        <f t="shared" si="41"/>
        <v/>
      </c>
      <c r="N184" s="554" t="str">
        <f t="shared" si="41"/>
        <v/>
      </c>
      <c r="O184" s="554" t="str">
        <f t="shared" si="41"/>
        <v/>
      </c>
      <c r="P184" s="554" t="str">
        <f t="shared" si="41"/>
        <v/>
      </c>
      <c r="Q184" s="554" t="str">
        <f t="shared" si="41"/>
        <v/>
      </c>
      <c r="R184" s="554" t="str">
        <f t="shared" si="41"/>
        <v/>
      </c>
      <c r="S184" s="554" t="str">
        <f t="shared" si="41"/>
        <v/>
      </c>
      <c r="T184" s="554" t="str">
        <f t="shared" si="41"/>
        <v/>
      </c>
      <c r="U184" s="554" t="str">
        <f t="shared" si="41"/>
        <v/>
      </c>
      <c r="V184" s="554" t="str">
        <f t="shared" si="41"/>
        <v/>
      </c>
      <c r="W184" s="554" t="str">
        <f t="shared" si="41"/>
        <v/>
      </c>
      <c r="X184" s="554" t="str">
        <f t="shared" si="40"/>
        <v/>
      </c>
      <c r="Y184" s="554" t="str">
        <f t="shared" si="40"/>
        <v/>
      </c>
      <c r="Z184" s="554" t="str">
        <f t="shared" si="40"/>
        <v/>
      </c>
      <c r="AA184" s="554" t="str">
        <f t="shared" si="40"/>
        <v/>
      </c>
      <c r="AB184" s="554" t="str">
        <f t="shared" si="40"/>
        <v/>
      </c>
      <c r="AC184" s="554">
        <f t="shared" si="40"/>
        <v>1</v>
      </c>
      <c r="AD184" s="554">
        <f t="shared" si="40"/>
        <v>2</v>
      </c>
      <c r="AE184" s="554">
        <f t="shared" si="40"/>
        <v>2</v>
      </c>
      <c r="AF184" s="554">
        <f t="shared" si="40"/>
        <v>2</v>
      </c>
      <c r="AG184" s="554">
        <f t="shared" si="40"/>
        <v>2</v>
      </c>
      <c r="AH184" s="554">
        <f t="shared" si="40"/>
        <v>2</v>
      </c>
      <c r="AI184" s="554">
        <f t="shared" si="40"/>
        <v>2</v>
      </c>
      <c r="AJ184" s="554">
        <f t="shared" si="40"/>
        <v>2</v>
      </c>
      <c r="AK184" s="554">
        <f t="shared" si="40"/>
        <v>2</v>
      </c>
      <c r="AL184" s="554">
        <f t="shared" si="40"/>
        <v>2</v>
      </c>
      <c r="AM184" s="554">
        <f t="shared" si="40"/>
        <v>2</v>
      </c>
      <c r="AN184" s="554">
        <f t="shared" si="42"/>
        <v>2</v>
      </c>
      <c r="AO184" s="554">
        <f t="shared" si="42"/>
        <v>2</v>
      </c>
      <c r="AP184" s="554">
        <f t="shared" si="42"/>
        <v>2</v>
      </c>
      <c r="AQ184" s="429" t="str">
        <f t="shared" si="36"/>
        <v>Vendido</v>
      </c>
      <c r="AR184" s="447">
        <f>_xlfn.XLOOKUP(C184,'BOULEVARD 5'!B:B,'BOULEVARD 5'!AU:AU)</f>
        <v>0.80218573256127113</v>
      </c>
    </row>
    <row r="185" spans="1:44" s="429" customFormat="1" ht="13.9" customHeight="1" x14ac:dyDescent="0.25">
      <c r="B185" s="678" t="str">
        <f>IF('B5-Status cobranza'!A185&gt;0,'B5-Status cobranza'!A185,"")</f>
        <v/>
      </c>
      <c r="C185" s="436">
        <v>1010</v>
      </c>
      <c r="D185" s="436" t="s">
        <v>565</v>
      </c>
      <c r="E185" s="436"/>
      <c r="F185" s="436" t="str">
        <f>IF('BOULEVARD 5'!E183="","",'BOULEVARD 5'!E183)</f>
        <v>Antonio Rada</v>
      </c>
      <c r="G185" s="429" t="str">
        <f>IF('BOULEVARD 5'!F183="","",'BOULEVARD 5'!F183)</f>
        <v>Allan Donaldo Lapop Cárdenas</v>
      </c>
      <c r="H185" s="473">
        <f>IF('BOULEVARD 5'!G183="","",'BOULEVARD 5'!G183)</f>
        <v>45165</v>
      </c>
      <c r="I185" s="554" t="str">
        <f t="shared" si="41"/>
        <v/>
      </c>
      <c r="J185" s="554" t="str">
        <f t="shared" si="41"/>
        <v/>
      </c>
      <c r="K185" s="554" t="str">
        <f t="shared" si="41"/>
        <v/>
      </c>
      <c r="L185" s="554" t="str">
        <f t="shared" si="41"/>
        <v/>
      </c>
      <c r="M185" s="554" t="str">
        <f t="shared" si="41"/>
        <v/>
      </c>
      <c r="N185" s="554">
        <f t="shared" si="41"/>
        <v>1</v>
      </c>
      <c r="O185" s="554">
        <f t="shared" si="41"/>
        <v>2</v>
      </c>
      <c r="P185" s="554">
        <f t="shared" si="41"/>
        <v>2</v>
      </c>
      <c r="Q185" s="554">
        <f t="shared" si="41"/>
        <v>2</v>
      </c>
      <c r="R185" s="554">
        <f t="shared" si="41"/>
        <v>2</v>
      </c>
      <c r="S185" s="554">
        <f t="shared" si="41"/>
        <v>2</v>
      </c>
      <c r="T185" s="554">
        <f t="shared" si="41"/>
        <v>2</v>
      </c>
      <c r="U185" s="554">
        <f t="shared" si="41"/>
        <v>2</v>
      </c>
      <c r="V185" s="554">
        <f t="shared" si="41"/>
        <v>2</v>
      </c>
      <c r="W185" s="554">
        <f t="shared" si="41"/>
        <v>2</v>
      </c>
      <c r="X185" s="554">
        <f t="shared" si="41"/>
        <v>2</v>
      </c>
      <c r="Y185" s="554">
        <f t="shared" ref="Y185:AN200" si="43">IF(OR($B185="F&amp;F",$B185="CE",$H185=""),"",IF(TEXT(Y$8,"yyyymm")=TEXT($H185,"yyyymm"),1,IF(TEXT(Y$8,"yyyymm")&gt;TEXT($H185,"yyyymm"),2,IF(Y$8&lt;$H185,"",0))))</f>
        <v>2</v>
      </c>
      <c r="Z185" s="554">
        <f t="shared" si="43"/>
        <v>2</v>
      </c>
      <c r="AA185" s="554">
        <f t="shared" si="43"/>
        <v>2</v>
      </c>
      <c r="AB185" s="554">
        <f t="shared" si="43"/>
        <v>2</v>
      </c>
      <c r="AC185" s="554">
        <f t="shared" si="43"/>
        <v>2</v>
      </c>
      <c r="AD185" s="554">
        <f t="shared" si="43"/>
        <v>2</v>
      </c>
      <c r="AE185" s="554">
        <f t="shared" si="43"/>
        <v>2</v>
      </c>
      <c r="AF185" s="554">
        <f t="shared" si="43"/>
        <v>2</v>
      </c>
      <c r="AG185" s="554">
        <f t="shared" si="43"/>
        <v>2</v>
      </c>
      <c r="AH185" s="554">
        <f t="shared" si="43"/>
        <v>2</v>
      </c>
      <c r="AI185" s="554">
        <f t="shared" si="43"/>
        <v>2</v>
      </c>
      <c r="AJ185" s="554">
        <f t="shared" si="43"/>
        <v>2</v>
      </c>
      <c r="AK185" s="554">
        <f t="shared" si="43"/>
        <v>2</v>
      </c>
      <c r="AL185" s="554">
        <f t="shared" si="43"/>
        <v>2</v>
      </c>
      <c r="AM185" s="554">
        <f t="shared" si="43"/>
        <v>2</v>
      </c>
      <c r="AN185" s="554">
        <f t="shared" si="42"/>
        <v>2</v>
      </c>
      <c r="AO185" s="554">
        <f t="shared" si="42"/>
        <v>2</v>
      </c>
      <c r="AP185" s="554">
        <f t="shared" si="42"/>
        <v>2</v>
      </c>
      <c r="AQ185" s="429" t="str">
        <f t="shared" si="36"/>
        <v>Vendido</v>
      </c>
      <c r="AR185" s="447">
        <f>_xlfn.XLOOKUP(C185,'BOULEVARD 5'!B:B,'BOULEVARD 5'!AU:AU)</f>
        <v>1.1884570082449941</v>
      </c>
    </row>
    <row r="186" spans="1:44" s="429" customFormat="1" ht="13.9" customHeight="1" x14ac:dyDescent="0.25">
      <c r="B186" s="678" t="str">
        <f>IF('B5-Status cobranza'!A186&gt;0,'B5-Status cobranza'!A186,"")</f>
        <v/>
      </c>
      <c r="C186" s="436">
        <v>1011</v>
      </c>
      <c r="D186" s="436" t="s">
        <v>566</v>
      </c>
      <c r="E186" s="436"/>
      <c r="F186" s="436" t="str">
        <f>IF('BOULEVARD 5'!E184="","",'BOULEVARD 5'!E184)</f>
        <v>Brenda Búcaro</v>
      </c>
      <c r="G186" s="429" t="str">
        <f>IF('BOULEVARD 5'!F184="","",'BOULEVARD 5'!F184)</f>
        <v>Sebastian Gutierrez Ruiz</v>
      </c>
      <c r="H186" s="473">
        <f>IF('BOULEVARD 5'!G184="","",'BOULEVARD 5'!G184)</f>
        <v>45016</v>
      </c>
      <c r="I186" s="554">
        <f t="shared" ref="I186:X201" si="44">IF(OR($B186="F&amp;F",$B186="CE",$H186=""),"",IF(TEXT(I$8,"yyyymm")=TEXT($H186,"yyyymm"),1,IF(TEXT(I$8,"yyyymm")&gt;TEXT($H186,"yyyymm"),2,IF(I$8&lt;$H186,"",0))))</f>
        <v>1</v>
      </c>
      <c r="J186" s="554">
        <f t="shared" si="44"/>
        <v>2</v>
      </c>
      <c r="K186" s="554">
        <f t="shared" si="44"/>
        <v>2</v>
      </c>
      <c r="L186" s="554">
        <f t="shared" si="44"/>
        <v>2</v>
      </c>
      <c r="M186" s="554">
        <f t="shared" si="44"/>
        <v>2</v>
      </c>
      <c r="N186" s="554">
        <f t="shared" si="44"/>
        <v>2</v>
      </c>
      <c r="O186" s="554">
        <f t="shared" si="44"/>
        <v>2</v>
      </c>
      <c r="P186" s="554">
        <f t="shared" si="44"/>
        <v>2</v>
      </c>
      <c r="Q186" s="554">
        <f t="shared" si="44"/>
        <v>2</v>
      </c>
      <c r="R186" s="554">
        <f t="shared" si="44"/>
        <v>2</v>
      </c>
      <c r="S186" s="554">
        <f t="shared" si="44"/>
        <v>2</v>
      </c>
      <c r="T186" s="554">
        <f t="shared" si="44"/>
        <v>2</v>
      </c>
      <c r="U186" s="554">
        <f t="shared" si="44"/>
        <v>2</v>
      </c>
      <c r="V186" s="554">
        <f t="shared" si="44"/>
        <v>2</v>
      </c>
      <c r="W186" s="554">
        <f t="shared" si="44"/>
        <v>2</v>
      </c>
      <c r="X186" s="554">
        <f t="shared" si="44"/>
        <v>2</v>
      </c>
      <c r="Y186" s="554">
        <f t="shared" si="43"/>
        <v>2</v>
      </c>
      <c r="Z186" s="554">
        <f t="shared" si="43"/>
        <v>2</v>
      </c>
      <c r="AA186" s="554">
        <f t="shared" si="43"/>
        <v>2</v>
      </c>
      <c r="AB186" s="554">
        <f t="shared" si="43"/>
        <v>2</v>
      </c>
      <c r="AC186" s="554">
        <f t="shared" si="43"/>
        <v>2</v>
      </c>
      <c r="AD186" s="554">
        <f t="shared" si="43"/>
        <v>2</v>
      </c>
      <c r="AE186" s="554">
        <f t="shared" si="43"/>
        <v>2</v>
      </c>
      <c r="AF186" s="554">
        <f t="shared" si="43"/>
        <v>2</v>
      </c>
      <c r="AG186" s="554">
        <f t="shared" si="43"/>
        <v>2</v>
      </c>
      <c r="AH186" s="554">
        <f t="shared" si="43"/>
        <v>2</v>
      </c>
      <c r="AI186" s="554">
        <f t="shared" si="43"/>
        <v>2</v>
      </c>
      <c r="AJ186" s="554">
        <f t="shared" si="43"/>
        <v>2</v>
      </c>
      <c r="AK186" s="554">
        <f t="shared" si="43"/>
        <v>2</v>
      </c>
      <c r="AL186" s="554">
        <f t="shared" si="43"/>
        <v>2</v>
      </c>
      <c r="AM186" s="554">
        <f t="shared" si="43"/>
        <v>2</v>
      </c>
      <c r="AN186" s="554">
        <f t="shared" si="42"/>
        <v>2</v>
      </c>
      <c r="AO186" s="554">
        <f t="shared" si="42"/>
        <v>2</v>
      </c>
      <c r="AP186" s="554">
        <f t="shared" si="42"/>
        <v>2</v>
      </c>
      <c r="AQ186" s="429" t="str">
        <f t="shared" si="36"/>
        <v>Vendido</v>
      </c>
      <c r="AR186" s="447">
        <f>_xlfn.XLOOKUP(C186,'BOULEVARD 5'!B:B,'BOULEVARD 5'!AU:AU)</f>
        <v>0.78149701920953851</v>
      </c>
    </row>
    <row r="187" spans="1:44" s="429" customFormat="1" ht="13.9" customHeight="1" x14ac:dyDescent="0.25">
      <c r="B187" s="678" t="str">
        <f>IF('B5-Status cobranza'!A187&gt;0,'B5-Status cobranza'!A187,"")</f>
        <v>F&amp;F</v>
      </c>
      <c r="C187" s="475">
        <v>1012</v>
      </c>
      <c r="D187" s="475" t="s">
        <v>568</v>
      </c>
      <c r="E187" s="475"/>
      <c r="F187" s="475" t="str">
        <f>IF('BOULEVARD 5'!E185="","",'BOULEVARD 5'!E185)</f>
        <v>Ronaldo</v>
      </c>
      <c r="G187" s="476" t="str">
        <f>IF('BOULEVARD 5'!F185="","",'BOULEVARD 5'!F185)</f>
        <v>Iurix, S.A</v>
      </c>
      <c r="H187" s="473">
        <f>IF('BOULEVARD 5'!G185="","",'BOULEVARD 5'!G185)</f>
        <v>45300</v>
      </c>
      <c r="I187" s="554" t="str">
        <f t="shared" si="44"/>
        <v/>
      </c>
      <c r="J187" s="554" t="str">
        <f t="shared" si="44"/>
        <v/>
      </c>
      <c r="K187" s="554" t="str">
        <f t="shared" si="44"/>
        <v/>
      </c>
      <c r="L187" s="554" t="str">
        <f t="shared" si="44"/>
        <v/>
      </c>
      <c r="M187" s="554" t="str">
        <f t="shared" si="44"/>
        <v/>
      </c>
      <c r="N187" s="554" t="str">
        <f t="shared" si="44"/>
        <v/>
      </c>
      <c r="O187" s="554" t="str">
        <f t="shared" si="44"/>
        <v/>
      </c>
      <c r="P187" s="554" t="str">
        <f t="shared" si="44"/>
        <v/>
      </c>
      <c r="Q187" s="554" t="str">
        <f t="shared" si="44"/>
        <v/>
      </c>
      <c r="R187" s="554" t="str">
        <f t="shared" si="44"/>
        <v/>
      </c>
      <c r="S187" s="554" t="str">
        <f t="shared" si="44"/>
        <v/>
      </c>
      <c r="T187" s="554" t="str">
        <f t="shared" si="44"/>
        <v/>
      </c>
      <c r="U187" s="554" t="str">
        <f t="shared" si="44"/>
        <v/>
      </c>
      <c r="V187" s="554" t="str">
        <f t="shared" si="44"/>
        <v/>
      </c>
      <c r="W187" s="554" t="str">
        <f t="shared" si="44"/>
        <v/>
      </c>
      <c r="X187" s="554" t="str">
        <f t="shared" si="44"/>
        <v/>
      </c>
      <c r="Y187" s="554" t="str">
        <f t="shared" si="43"/>
        <v/>
      </c>
      <c r="Z187" s="554" t="str">
        <f t="shared" si="43"/>
        <v/>
      </c>
      <c r="AA187" s="554" t="str">
        <f t="shared" si="43"/>
        <v/>
      </c>
      <c r="AB187" s="554" t="str">
        <f t="shared" si="43"/>
        <v/>
      </c>
      <c r="AC187" s="554" t="str">
        <f t="shared" si="43"/>
        <v/>
      </c>
      <c r="AD187" s="554" t="str">
        <f t="shared" si="43"/>
        <v/>
      </c>
      <c r="AE187" s="554" t="str">
        <f t="shared" si="43"/>
        <v/>
      </c>
      <c r="AF187" s="554" t="str">
        <f t="shared" si="43"/>
        <v/>
      </c>
      <c r="AG187" s="554" t="str">
        <f t="shared" si="43"/>
        <v/>
      </c>
      <c r="AH187" s="554" t="str">
        <f t="shared" si="43"/>
        <v/>
      </c>
      <c r="AI187" s="554" t="str">
        <f t="shared" si="43"/>
        <v/>
      </c>
      <c r="AJ187" s="554" t="str">
        <f t="shared" si="43"/>
        <v/>
      </c>
      <c r="AK187" s="554" t="str">
        <f t="shared" si="43"/>
        <v/>
      </c>
      <c r="AL187" s="554" t="str">
        <f t="shared" si="43"/>
        <v/>
      </c>
      <c r="AM187" s="554" t="str">
        <f t="shared" si="43"/>
        <v/>
      </c>
      <c r="AN187" s="554" t="str">
        <f t="shared" si="42"/>
        <v/>
      </c>
      <c r="AO187" s="554" t="str">
        <f t="shared" si="42"/>
        <v/>
      </c>
      <c r="AP187" s="554" t="str">
        <f t="shared" si="42"/>
        <v/>
      </c>
      <c r="AQ187" s="429" t="str">
        <f t="shared" si="36"/>
        <v>Vendido</v>
      </c>
      <c r="AR187" s="447">
        <f>_xlfn.XLOOKUP(C187,'BOULEVARD 5'!B:B,'BOULEVARD 5'!AU:AU)</f>
        <v>0</v>
      </c>
    </row>
    <row r="188" spans="1:44" s="429" customFormat="1" ht="13.9" customHeight="1" x14ac:dyDescent="0.25">
      <c r="B188" s="678" t="str">
        <f>IF('B5-Status cobranza'!A188&gt;0,'B5-Status cobranza'!A188,"")</f>
        <v/>
      </c>
      <c r="C188" s="436">
        <v>1013</v>
      </c>
      <c r="D188" s="436" t="s">
        <v>393</v>
      </c>
      <c r="E188" s="436"/>
      <c r="F188" s="436" t="str">
        <f>IF('BOULEVARD 5'!E186="","",'BOULEVARD 5'!E186)</f>
        <v>Brenda Búcaro</v>
      </c>
      <c r="G188" s="429" t="str">
        <f>IF('BOULEVARD 5'!F186="","",'BOULEVARD 5'!F186)</f>
        <v>Byron Nehemías Ortega Ruiz</v>
      </c>
      <c r="H188" s="473">
        <f>IF('BOULEVARD 5'!G186="","",'BOULEVARD 5'!G186)</f>
        <v>45181</v>
      </c>
      <c r="I188" s="554" t="str">
        <f t="shared" si="44"/>
        <v/>
      </c>
      <c r="J188" s="554" t="str">
        <f t="shared" si="44"/>
        <v/>
      </c>
      <c r="K188" s="554" t="str">
        <f t="shared" si="44"/>
        <v/>
      </c>
      <c r="L188" s="554" t="str">
        <f t="shared" si="44"/>
        <v/>
      </c>
      <c r="M188" s="554" t="str">
        <f t="shared" si="44"/>
        <v/>
      </c>
      <c r="N188" s="554" t="str">
        <f t="shared" si="44"/>
        <v/>
      </c>
      <c r="O188" s="554">
        <f t="shared" si="44"/>
        <v>1</v>
      </c>
      <c r="P188" s="554">
        <f t="shared" si="44"/>
        <v>2</v>
      </c>
      <c r="Q188" s="554">
        <f t="shared" si="44"/>
        <v>2</v>
      </c>
      <c r="R188" s="554">
        <f t="shared" si="44"/>
        <v>2</v>
      </c>
      <c r="S188" s="554">
        <f t="shared" si="44"/>
        <v>2</v>
      </c>
      <c r="T188" s="554">
        <f t="shared" si="44"/>
        <v>2</v>
      </c>
      <c r="U188" s="554">
        <f t="shared" si="44"/>
        <v>2</v>
      </c>
      <c r="V188" s="554">
        <f t="shared" si="44"/>
        <v>2</v>
      </c>
      <c r="W188" s="554">
        <f t="shared" si="44"/>
        <v>2</v>
      </c>
      <c r="X188" s="554">
        <f t="shared" si="44"/>
        <v>2</v>
      </c>
      <c r="Y188" s="554">
        <f t="shared" si="43"/>
        <v>2</v>
      </c>
      <c r="Z188" s="554">
        <f t="shared" si="43"/>
        <v>2</v>
      </c>
      <c r="AA188" s="554">
        <f t="shared" si="43"/>
        <v>2</v>
      </c>
      <c r="AB188" s="554">
        <f t="shared" si="43"/>
        <v>2</v>
      </c>
      <c r="AC188" s="554">
        <f t="shared" si="43"/>
        <v>2</v>
      </c>
      <c r="AD188" s="554">
        <f t="shared" si="43"/>
        <v>2</v>
      </c>
      <c r="AE188" s="554">
        <f t="shared" si="43"/>
        <v>2</v>
      </c>
      <c r="AF188" s="554">
        <f t="shared" si="43"/>
        <v>2</v>
      </c>
      <c r="AG188" s="554">
        <f t="shared" si="43"/>
        <v>2</v>
      </c>
      <c r="AH188" s="554">
        <f t="shared" si="43"/>
        <v>2</v>
      </c>
      <c r="AI188" s="554">
        <f t="shared" si="43"/>
        <v>2</v>
      </c>
      <c r="AJ188" s="554">
        <f t="shared" si="43"/>
        <v>2</v>
      </c>
      <c r="AK188" s="554">
        <f t="shared" si="43"/>
        <v>2</v>
      </c>
      <c r="AL188" s="554">
        <f t="shared" si="43"/>
        <v>2</v>
      </c>
      <c r="AM188" s="554">
        <f t="shared" si="43"/>
        <v>2</v>
      </c>
      <c r="AN188" s="554">
        <f t="shared" si="42"/>
        <v>2</v>
      </c>
      <c r="AO188" s="554">
        <f t="shared" si="42"/>
        <v>2</v>
      </c>
      <c r="AP188" s="554">
        <f t="shared" si="42"/>
        <v>2</v>
      </c>
      <c r="AQ188" s="429" t="str">
        <f t="shared" si="36"/>
        <v>Vendido</v>
      </c>
      <c r="AR188" s="447">
        <f>_xlfn.XLOOKUP(C188,'BOULEVARD 5'!B:B,'BOULEVARD 5'!AU:AU)</f>
        <v>1.0000884955752212</v>
      </c>
    </row>
    <row r="189" spans="1:44" s="429" customFormat="1" ht="13.9" customHeight="1" x14ac:dyDescent="0.25">
      <c r="B189" s="678" t="str">
        <f>IF('B5-Status cobranza'!A189&gt;0,'B5-Status cobranza'!A189,"")</f>
        <v/>
      </c>
      <c r="C189" s="436">
        <v>1014</v>
      </c>
      <c r="D189" s="436" t="s">
        <v>172</v>
      </c>
      <c r="E189" s="436"/>
      <c r="F189" s="436" t="str">
        <f>IF('BOULEVARD 5'!E187="","",'BOULEVARD 5'!E187)</f>
        <v>Antonio Rada</v>
      </c>
      <c r="G189" s="429" t="str">
        <f>IF('BOULEVARD 5'!F187="","",'BOULEVARD 5'!F187)</f>
        <v>Jorge Antonio Reyes Ochoa</v>
      </c>
      <c r="H189" s="473">
        <f>IF('BOULEVARD 5'!G187="","",'BOULEVARD 5'!G187)</f>
        <v>45088</v>
      </c>
      <c r="I189" s="554" t="str">
        <f t="shared" si="44"/>
        <v/>
      </c>
      <c r="J189" s="554" t="str">
        <f t="shared" si="44"/>
        <v/>
      </c>
      <c r="K189" s="554" t="str">
        <f t="shared" si="44"/>
        <v/>
      </c>
      <c r="L189" s="554">
        <f t="shared" si="44"/>
        <v>1</v>
      </c>
      <c r="M189" s="554">
        <f t="shared" si="44"/>
        <v>2</v>
      </c>
      <c r="N189" s="554">
        <f t="shared" si="44"/>
        <v>2</v>
      </c>
      <c r="O189" s="554">
        <f t="shared" si="44"/>
        <v>2</v>
      </c>
      <c r="P189" s="554">
        <f t="shared" si="44"/>
        <v>2</v>
      </c>
      <c r="Q189" s="554">
        <f t="shared" si="44"/>
        <v>2</v>
      </c>
      <c r="R189" s="554">
        <f t="shared" si="44"/>
        <v>2</v>
      </c>
      <c r="S189" s="554">
        <f t="shared" si="44"/>
        <v>2</v>
      </c>
      <c r="T189" s="554">
        <f t="shared" si="44"/>
        <v>2</v>
      </c>
      <c r="U189" s="554">
        <f t="shared" si="44"/>
        <v>2</v>
      </c>
      <c r="V189" s="554">
        <f t="shared" si="44"/>
        <v>2</v>
      </c>
      <c r="W189" s="554">
        <f t="shared" si="44"/>
        <v>2</v>
      </c>
      <c r="X189" s="554">
        <f t="shared" si="44"/>
        <v>2</v>
      </c>
      <c r="Y189" s="554">
        <f t="shared" si="43"/>
        <v>2</v>
      </c>
      <c r="Z189" s="554">
        <f t="shared" si="43"/>
        <v>2</v>
      </c>
      <c r="AA189" s="554">
        <f t="shared" si="43"/>
        <v>2</v>
      </c>
      <c r="AB189" s="554">
        <f t="shared" si="43"/>
        <v>2</v>
      </c>
      <c r="AC189" s="554">
        <f t="shared" si="43"/>
        <v>2</v>
      </c>
      <c r="AD189" s="554">
        <f t="shared" si="43"/>
        <v>2</v>
      </c>
      <c r="AE189" s="554">
        <f t="shared" si="43"/>
        <v>2</v>
      </c>
      <c r="AF189" s="554">
        <f t="shared" si="43"/>
        <v>2</v>
      </c>
      <c r="AG189" s="554">
        <f t="shared" si="43"/>
        <v>2</v>
      </c>
      <c r="AH189" s="554">
        <f t="shared" si="43"/>
        <v>2</v>
      </c>
      <c r="AI189" s="554">
        <f t="shared" si="43"/>
        <v>2</v>
      </c>
      <c r="AJ189" s="554">
        <f t="shared" si="43"/>
        <v>2</v>
      </c>
      <c r="AK189" s="554">
        <f t="shared" si="43"/>
        <v>2</v>
      </c>
      <c r="AL189" s="554">
        <f t="shared" si="43"/>
        <v>2</v>
      </c>
      <c r="AM189" s="554">
        <f t="shared" si="43"/>
        <v>2</v>
      </c>
      <c r="AN189" s="554">
        <f t="shared" si="42"/>
        <v>2</v>
      </c>
      <c r="AO189" s="554">
        <f t="shared" si="42"/>
        <v>2</v>
      </c>
      <c r="AP189" s="554">
        <f t="shared" si="42"/>
        <v>2</v>
      </c>
      <c r="AQ189" s="429" t="str">
        <f t="shared" si="36"/>
        <v>Vendido</v>
      </c>
      <c r="AR189" s="447">
        <f>_xlfn.XLOOKUP(C189,'BOULEVARD 5'!B:B,'BOULEVARD 5'!AU:AU)</f>
        <v>1</v>
      </c>
    </row>
    <row r="190" spans="1:44" s="429" customFormat="1" ht="13.9" customHeight="1" x14ac:dyDescent="0.25">
      <c r="B190" s="678" t="str">
        <f>IF('B5-Status cobranza'!A190&gt;0,'B5-Status cobranza'!A190,"")</f>
        <v/>
      </c>
      <c r="C190" s="436">
        <v>1015</v>
      </c>
      <c r="D190" s="436" t="s">
        <v>547</v>
      </c>
      <c r="E190" s="436"/>
      <c r="F190" s="436" t="str">
        <f>IF('BOULEVARD 5'!E188="","",'BOULEVARD 5'!E188)</f>
        <v>Antonio Rada</v>
      </c>
      <c r="G190" s="429" t="str">
        <f>IF('BOULEVARD 5'!F188="","",'BOULEVARD 5'!F188)</f>
        <v>Pedro Luis Artero Bran</v>
      </c>
      <c r="H190" s="473">
        <f>IF('BOULEVARD 5'!G188="","",'BOULEVARD 5'!G188)</f>
        <v>45035</v>
      </c>
      <c r="I190" s="554" t="str">
        <f t="shared" si="44"/>
        <v/>
      </c>
      <c r="J190" s="554">
        <f t="shared" si="44"/>
        <v>1</v>
      </c>
      <c r="K190" s="554">
        <f t="shared" si="44"/>
        <v>2</v>
      </c>
      <c r="L190" s="554">
        <f t="shared" si="44"/>
        <v>2</v>
      </c>
      <c r="M190" s="554">
        <f t="shared" si="44"/>
        <v>2</v>
      </c>
      <c r="N190" s="554">
        <f t="shared" si="44"/>
        <v>2</v>
      </c>
      <c r="O190" s="554">
        <f t="shared" si="44"/>
        <v>2</v>
      </c>
      <c r="P190" s="554">
        <f t="shared" si="44"/>
        <v>2</v>
      </c>
      <c r="Q190" s="554">
        <f t="shared" si="44"/>
        <v>2</v>
      </c>
      <c r="R190" s="554">
        <f t="shared" si="44"/>
        <v>2</v>
      </c>
      <c r="S190" s="554">
        <f t="shared" si="44"/>
        <v>2</v>
      </c>
      <c r="T190" s="554">
        <f t="shared" si="44"/>
        <v>2</v>
      </c>
      <c r="U190" s="554">
        <f t="shared" si="44"/>
        <v>2</v>
      </c>
      <c r="V190" s="554">
        <f t="shared" si="44"/>
        <v>2</v>
      </c>
      <c r="W190" s="554">
        <f t="shared" si="44"/>
        <v>2</v>
      </c>
      <c r="X190" s="554">
        <f t="shared" si="44"/>
        <v>2</v>
      </c>
      <c r="Y190" s="554">
        <f t="shared" si="43"/>
        <v>2</v>
      </c>
      <c r="Z190" s="554">
        <f t="shared" si="43"/>
        <v>2</v>
      </c>
      <c r="AA190" s="554">
        <f t="shared" si="43"/>
        <v>2</v>
      </c>
      <c r="AB190" s="554">
        <f t="shared" si="43"/>
        <v>2</v>
      </c>
      <c r="AC190" s="554">
        <f t="shared" si="43"/>
        <v>2</v>
      </c>
      <c r="AD190" s="554">
        <f t="shared" si="43"/>
        <v>2</v>
      </c>
      <c r="AE190" s="554">
        <f t="shared" si="43"/>
        <v>2</v>
      </c>
      <c r="AF190" s="554">
        <f t="shared" si="43"/>
        <v>2</v>
      </c>
      <c r="AG190" s="554">
        <f t="shared" si="43"/>
        <v>2</v>
      </c>
      <c r="AH190" s="554">
        <f t="shared" si="43"/>
        <v>2</v>
      </c>
      <c r="AI190" s="554">
        <f t="shared" si="43"/>
        <v>2</v>
      </c>
      <c r="AJ190" s="554">
        <f t="shared" si="43"/>
        <v>2</v>
      </c>
      <c r="AK190" s="554">
        <f t="shared" si="43"/>
        <v>2</v>
      </c>
      <c r="AL190" s="554">
        <f t="shared" si="43"/>
        <v>2</v>
      </c>
      <c r="AM190" s="554">
        <f t="shared" si="43"/>
        <v>2</v>
      </c>
      <c r="AN190" s="554">
        <f t="shared" si="42"/>
        <v>2</v>
      </c>
      <c r="AO190" s="554">
        <f t="shared" si="42"/>
        <v>2</v>
      </c>
      <c r="AP190" s="554">
        <f t="shared" si="42"/>
        <v>2</v>
      </c>
      <c r="AQ190" s="429" t="str">
        <f t="shared" si="36"/>
        <v>Vendido</v>
      </c>
      <c r="AR190" s="447">
        <f>_xlfn.XLOOKUP(C190,'BOULEVARD 5'!B:B,'BOULEVARD 5'!AU:AU)</f>
        <v>1.1502474505098981</v>
      </c>
    </row>
    <row r="191" spans="1:44" s="429" customFormat="1" ht="13.9" customHeight="1" x14ac:dyDescent="0.25">
      <c r="A191" s="429" t="s">
        <v>388</v>
      </c>
      <c r="B191" s="678"/>
      <c r="C191" s="436">
        <v>1016</v>
      </c>
      <c r="D191" s="436" t="s">
        <v>181</v>
      </c>
      <c r="E191" s="642" t="s">
        <v>336</v>
      </c>
      <c r="F191" s="436" t="str">
        <f>IF('BOULEVARD 5'!E189="","",'BOULEVARD 5'!E189)</f>
        <v>Brenda Búcaro</v>
      </c>
      <c r="G191" s="429" t="str">
        <f>IF('BOULEVARD 5'!F189="","",'BOULEVARD 5'!F189)</f>
        <v>Sergio Enrique Bolaños López</v>
      </c>
      <c r="H191" s="473">
        <f>IF('BOULEVARD 5'!G189="","",'BOULEVARD 5'!G189)</f>
        <v>45032</v>
      </c>
      <c r="I191" s="554" t="str">
        <f t="shared" si="44"/>
        <v/>
      </c>
      <c r="J191" s="554">
        <f t="shared" si="44"/>
        <v>1</v>
      </c>
      <c r="K191" s="554">
        <f t="shared" si="44"/>
        <v>2</v>
      </c>
      <c r="L191" s="554">
        <f t="shared" si="44"/>
        <v>2</v>
      </c>
      <c r="M191" s="554">
        <f t="shared" si="44"/>
        <v>2</v>
      </c>
      <c r="N191" s="554">
        <f t="shared" si="44"/>
        <v>2</v>
      </c>
      <c r="O191" s="554">
        <f t="shared" si="44"/>
        <v>2</v>
      </c>
      <c r="P191" s="554">
        <f t="shared" si="44"/>
        <v>2</v>
      </c>
      <c r="Q191" s="554">
        <f t="shared" si="44"/>
        <v>2</v>
      </c>
      <c r="R191" s="554">
        <f t="shared" si="44"/>
        <v>2</v>
      </c>
      <c r="S191" s="554">
        <f t="shared" si="44"/>
        <v>2</v>
      </c>
      <c r="T191" s="554">
        <f t="shared" si="44"/>
        <v>2</v>
      </c>
      <c r="U191" s="554">
        <f t="shared" si="44"/>
        <v>2</v>
      </c>
      <c r="V191" s="554">
        <f t="shared" si="44"/>
        <v>2</v>
      </c>
      <c r="W191" s="554">
        <f t="shared" si="44"/>
        <v>2</v>
      </c>
      <c r="X191" s="554">
        <f t="shared" si="44"/>
        <v>2</v>
      </c>
      <c r="Y191" s="554">
        <f t="shared" si="43"/>
        <v>2</v>
      </c>
      <c r="Z191" s="554">
        <f t="shared" si="43"/>
        <v>2</v>
      </c>
      <c r="AA191" s="554">
        <f t="shared" si="43"/>
        <v>2</v>
      </c>
      <c r="AB191" s="554">
        <f t="shared" si="43"/>
        <v>2</v>
      </c>
      <c r="AC191" s="554">
        <f t="shared" si="43"/>
        <v>2</v>
      </c>
      <c r="AD191" s="554">
        <f t="shared" si="43"/>
        <v>2</v>
      </c>
      <c r="AE191" s="554">
        <f t="shared" si="43"/>
        <v>2</v>
      </c>
      <c r="AF191" s="554">
        <f t="shared" si="43"/>
        <v>2</v>
      </c>
      <c r="AG191" s="554">
        <f t="shared" si="43"/>
        <v>2</v>
      </c>
      <c r="AH191" s="554">
        <f t="shared" si="43"/>
        <v>2</v>
      </c>
      <c r="AI191" s="554">
        <f t="shared" si="43"/>
        <v>2</v>
      </c>
      <c r="AJ191" s="554">
        <f t="shared" si="43"/>
        <v>2</v>
      </c>
      <c r="AK191" s="554">
        <f t="shared" si="43"/>
        <v>2</v>
      </c>
      <c r="AL191" s="554">
        <f t="shared" si="43"/>
        <v>2</v>
      </c>
      <c r="AM191" s="554">
        <f t="shared" si="43"/>
        <v>2</v>
      </c>
      <c r="AN191" s="554">
        <f t="shared" si="42"/>
        <v>2</v>
      </c>
      <c r="AO191" s="554">
        <f t="shared" si="42"/>
        <v>2</v>
      </c>
      <c r="AP191" s="554">
        <f t="shared" si="42"/>
        <v>2</v>
      </c>
      <c r="AQ191" s="429" t="str">
        <f t="shared" si="36"/>
        <v>Vendido</v>
      </c>
      <c r="AR191" s="447">
        <f>_xlfn.XLOOKUP(C191,'BOULEVARD 5'!B:B,'BOULEVARD 5'!AU:AU)</f>
        <v>0.79127300613496931</v>
      </c>
    </row>
    <row r="192" spans="1:44" s="429" customFormat="1" ht="13.9" customHeight="1" x14ac:dyDescent="0.25">
      <c r="A192" s="429" t="s">
        <v>388</v>
      </c>
      <c r="B192" s="678"/>
      <c r="C192" s="436">
        <v>1017</v>
      </c>
      <c r="D192" s="436" t="s">
        <v>192</v>
      </c>
      <c r="E192" s="642" t="s">
        <v>336</v>
      </c>
      <c r="F192" s="436" t="str">
        <f>IF('BOULEVARD 5'!E190="","",'BOULEVARD 5'!E190)</f>
        <v>Brenda Búcaro</v>
      </c>
      <c r="G192" s="429" t="str">
        <f>IF('BOULEVARD 5'!F190="","",'BOULEVARD 5'!F190)</f>
        <v>Irene Alejandra Reyes Guzmán</v>
      </c>
      <c r="H192" s="473">
        <f>IF('BOULEVARD 5'!G190="","",'BOULEVARD 5'!G190)</f>
        <v>45032</v>
      </c>
      <c r="I192" s="554" t="str">
        <f t="shared" si="44"/>
        <v/>
      </c>
      <c r="J192" s="554">
        <f t="shared" si="44"/>
        <v>1</v>
      </c>
      <c r="K192" s="554">
        <f t="shared" si="44"/>
        <v>2</v>
      </c>
      <c r="L192" s="554">
        <f t="shared" si="44"/>
        <v>2</v>
      </c>
      <c r="M192" s="554">
        <f t="shared" si="44"/>
        <v>2</v>
      </c>
      <c r="N192" s="554">
        <f t="shared" si="44"/>
        <v>2</v>
      </c>
      <c r="O192" s="554">
        <f t="shared" si="44"/>
        <v>2</v>
      </c>
      <c r="P192" s="554">
        <f t="shared" si="44"/>
        <v>2</v>
      </c>
      <c r="Q192" s="554">
        <f t="shared" si="44"/>
        <v>2</v>
      </c>
      <c r="R192" s="554">
        <f t="shared" si="44"/>
        <v>2</v>
      </c>
      <c r="S192" s="554">
        <f t="shared" si="44"/>
        <v>2</v>
      </c>
      <c r="T192" s="554">
        <f t="shared" si="44"/>
        <v>2</v>
      </c>
      <c r="U192" s="554">
        <f t="shared" si="44"/>
        <v>2</v>
      </c>
      <c r="V192" s="554">
        <f t="shared" si="44"/>
        <v>2</v>
      </c>
      <c r="W192" s="554">
        <f t="shared" si="44"/>
        <v>2</v>
      </c>
      <c r="X192" s="554">
        <f t="shared" si="44"/>
        <v>2</v>
      </c>
      <c r="Y192" s="554">
        <f t="shared" si="43"/>
        <v>2</v>
      </c>
      <c r="Z192" s="554">
        <f t="shared" si="43"/>
        <v>2</v>
      </c>
      <c r="AA192" s="554">
        <f t="shared" si="43"/>
        <v>2</v>
      </c>
      <c r="AB192" s="554">
        <f t="shared" si="43"/>
        <v>2</v>
      </c>
      <c r="AC192" s="554">
        <f t="shared" si="43"/>
        <v>2</v>
      </c>
      <c r="AD192" s="554">
        <f t="shared" si="43"/>
        <v>2</v>
      </c>
      <c r="AE192" s="554">
        <f t="shared" si="43"/>
        <v>2</v>
      </c>
      <c r="AF192" s="554">
        <f t="shared" si="43"/>
        <v>2</v>
      </c>
      <c r="AG192" s="554">
        <f t="shared" si="43"/>
        <v>2</v>
      </c>
      <c r="AH192" s="554">
        <f t="shared" si="43"/>
        <v>2</v>
      </c>
      <c r="AI192" s="554">
        <f t="shared" si="43"/>
        <v>2</v>
      </c>
      <c r="AJ192" s="554">
        <f t="shared" si="43"/>
        <v>2</v>
      </c>
      <c r="AK192" s="554">
        <f t="shared" si="43"/>
        <v>2</v>
      </c>
      <c r="AL192" s="554">
        <f t="shared" si="43"/>
        <v>2</v>
      </c>
      <c r="AM192" s="554">
        <f t="shared" si="43"/>
        <v>2</v>
      </c>
      <c r="AN192" s="554">
        <f t="shared" si="43"/>
        <v>2</v>
      </c>
      <c r="AO192" s="554">
        <f t="shared" ref="AO192:AP211" si="45">IF(OR($B192="F&amp;F",$B192="CE",$H192=""),"",IF(TEXT(AO$8,"yyyymm")=TEXT($H192,"yyyymm"),1,IF(TEXT(AO$8,"yyyymm")&gt;TEXT($H192,"yyyymm"),2,IF(AO$8&lt;$H192,"",0))))</f>
        <v>2</v>
      </c>
      <c r="AP192" s="554">
        <f t="shared" si="45"/>
        <v>2</v>
      </c>
      <c r="AQ192" s="429" t="str">
        <f t="shared" si="36"/>
        <v>Vendido</v>
      </c>
      <c r="AR192" s="447">
        <f>_xlfn.XLOOKUP(C192,'BOULEVARD 5'!B:B,'BOULEVARD 5'!AU:AU)</f>
        <v>0.70707831325301207</v>
      </c>
    </row>
    <row r="193" spans="1:44" s="429" customFormat="1" ht="13.9" customHeight="1" x14ac:dyDescent="0.25">
      <c r="A193" s="429" t="s">
        <v>388</v>
      </c>
      <c r="B193" s="678"/>
      <c r="C193" s="436">
        <v>1018</v>
      </c>
      <c r="D193" s="436" t="s">
        <v>198</v>
      </c>
      <c r="E193" s="641" t="s">
        <v>386</v>
      </c>
      <c r="F193" s="436" t="str">
        <f>IF('BOULEVARD 5'!E191="","",'BOULEVARD 5'!E191)</f>
        <v>Antonio Rada</v>
      </c>
      <c r="G193" s="429" t="str">
        <f>IF('BOULEVARD 5'!F191="","",'BOULEVARD 5'!F191)</f>
        <v>Corporacion Fb Sociedad Anonima</v>
      </c>
      <c r="H193" s="473">
        <f>IF('BOULEVARD 5'!G191="","",'BOULEVARD 5'!G191)</f>
        <v>45141</v>
      </c>
      <c r="I193" s="554" t="str">
        <f t="shared" si="44"/>
        <v/>
      </c>
      <c r="J193" s="554" t="str">
        <f t="shared" si="44"/>
        <v/>
      </c>
      <c r="K193" s="554" t="str">
        <f t="shared" si="44"/>
        <v/>
      </c>
      <c r="L193" s="554" t="str">
        <f t="shared" si="44"/>
        <v/>
      </c>
      <c r="M193" s="554" t="str">
        <f t="shared" si="44"/>
        <v/>
      </c>
      <c r="N193" s="554">
        <f t="shared" si="44"/>
        <v>1</v>
      </c>
      <c r="O193" s="554">
        <f t="shared" si="44"/>
        <v>2</v>
      </c>
      <c r="P193" s="554">
        <f t="shared" si="44"/>
        <v>2</v>
      </c>
      <c r="Q193" s="554">
        <f t="shared" si="44"/>
        <v>2</v>
      </c>
      <c r="R193" s="554">
        <f t="shared" si="44"/>
        <v>2</v>
      </c>
      <c r="S193" s="554">
        <f t="shared" si="44"/>
        <v>2</v>
      </c>
      <c r="T193" s="554">
        <f t="shared" si="44"/>
        <v>2</v>
      </c>
      <c r="U193" s="554">
        <f t="shared" si="44"/>
        <v>2</v>
      </c>
      <c r="V193" s="554">
        <f t="shared" si="44"/>
        <v>2</v>
      </c>
      <c r="W193" s="554">
        <f t="shared" si="44"/>
        <v>2</v>
      </c>
      <c r="X193" s="554">
        <f t="shared" si="44"/>
        <v>2</v>
      </c>
      <c r="Y193" s="554">
        <f t="shared" si="43"/>
        <v>2</v>
      </c>
      <c r="Z193" s="554">
        <f t="shared" si="43"/>
        <v>2</v>
      </c>
      <c r="AA193" s="554">
        <f t="shared" si="43"/>
        <v>2</v>
      </c>
      <c r="AB193" s="554">
        <f t="shared" si="43"/>
        <v>2</v>
      </c>
      <c r="AC193" s="554">
        <f t="shared" si="43"/>
        <v>2</v>
      </c>
      <c r="AD193" s="554">
        <f t="shared" si="43"/>
        <v>2</v>
      </c>
      <c r="AE193" s="554">
        <f t="shared" si="43"/>
        <v>2</v>
      </c>
      <c r="AF193" s="554">
        <f t="shared" si="43"/>
        <v>2</v>
      </c>
      <c r="AG193" s="554">
        <f t="shared" si="43"/>
        <v>2</v>
      </c>
      <c r="AH193" s="554">
        <f t="shared" si="43"/>
        <v>2</v>
      </c>
      <c r="AI193" s="554">
        <f t="shared" si="43"/>
        <v>2</v>
      </c>
      <c r="AJ193" s="554">
        <f t="shared" si="43"/>
        <v>2</v>
      </c>
      <c r="AK193" s="554">
        <f t="shared" si="43"/>
        <v>2</v>
      </c>
      <c r="AL193" s="554">
        <f t="shared" si="43"/>
        <v>2</v>
      </c>
      <c r="AM193" s="554">
        <f t="shared" si="43"/>
        <v>2</v>
      </c>
      <c r="AN193" s="554">
        <f t="shared" si="43"/>
        <v>2</v>
      </c>
      <c r="AO193" s="554">
        <f t="shared" si="45"/>
        <v>2</v>
      </c>
      <c r="AP193" s="554">
        <f t="shared" si="45"/>
        <v>2</v>
      </c>
      <c r="AQ193" s="429" t="str">
        <f t="shared" si="36"/>
        <v>Vendido</v>
      </c>
      <c r="AR193" s="447">
        <f>_xlfn.XLOOKUP(C193,'BOULEVARD 5'!B:B,'BOULEVARD 5'!AU:AU)</f>
        <v>1</v>
      </c>
    </row>
    <row r="194" spans="1:44" s="429" customFormat="1" ht="13.9" customHeight="1" x14ac:dyDescent="0.25">
      <c r="B194" s="678" t="str">
        <f>IF('B5-Status cobranza'!A194&gt;0,'B5-Status cobranza'!A194,"")</f>
        <v/>
      </c>
      <c r="C194" s="436">
        <v>1019</v>
      </c>
      <c r="D194" s="436" t="s">
        <v>412</v>
      </c>
      <c r="E194" s="436"/>
      <c r="F194" s="436" t="str">
        <f>IF('BOULEVARD 5'!E192="","",'BOULEVARD 5'!E192)</f>
        <v>Mario Rodriguez</v>
      </c>
      <c r="G194" s="429" t="str">
        <f>IF('BOULEVARD 5'!F192="","",'BOULEVARD 5'!F192)</f>
        <v>Gloria Fernanda Moran Guevara</v>
      </c>
      <c r="H194" s="473">
        <f>IF('BOULEVARD 5'!G192="","",'BOULEVARD 5'!G192)</f>
        <v>45894</v>
      </c>
      <c r="I194" s="554" t="str">
        <f t="shared" si="44"/>
        <v/>
      </c>
      <c r="J194" s="554" t="str">
        <f t="shared" si="44"/>
        <v/>
      </c>
      <c r="K194" s="554" t="str">
        <f t="shared" si="44"/>
        <v/>
      </c>
      <c r="L194" s="554" t="str">
        <f t="shared" si="44"/>
        <v/>
      </c>
      <c r="M194" s="554" t="str">
        <f t="shared" si="44"/>
        <v/>
      </c>
      <c r="N194" s="554" t="str">
        <f t="shared" si="44"/>
        <v/>
      </c>
      <c r="O194" s="554" t="str">
        <f t="shared" si="44"/>
        <v/>
      </c>
      <c r="P194" s="554" t="str">
        <f t="shared" si="44"/>
        <v/>
      </c>
      <c r="Q194" s="554" t="str">
        <f t="shared" si="44"/>
        <v/>
      </c>
      <c r="R194" s="554" t="str">
        <f t="shared" si="44"/>
        <v/>
      </c>
      <c r="S194" s="554" t="str">
        <f t="shared" si="44"/>
        <v/>
      </c>
      <c r="T194" s="554" t="str">
        <f t="shared" si="44"/>
        <v/>
      </c>
      <c r="U194" s="554" t="str">
        <f t="shared" si="44"/>
        <v/>
      </c>
      <c r="V194" s="554" t="str">
        <f t="shared" si="44"/>
        <v/>
      </c>
      <c r="W194" s="554" t="str">
        <f t="shared" si="44"/>
        <v/>
      </c>
      <c r="X194" s="554" t="str">
        <f t="shared" si="44"/>
        <v/>
      </c>
      <c r="Y194" s="554" t="str">
        <f t="shared" si="43"/>
        <v/>
      </c>
      <c r="Z194" s="554" t="str">
        <f t="shared" si="43"/>
        <v/>
      </c>
      <c r="AA194" s="554" t="str">
        <f t="shared" si="43"/>
        <v/>
      </c>
      <c r="AB194" s="554" t="str">
        <f t="shared" si="43"/>
        <v/>
      </c>
      <c r="AC194" s="554" t="str">
        <f t="shared" si="43"/>
        <v/>
      </c>
      <c r="AD194" s="554" t="str">
        <f t="shared" si="43"/>
        <v/>
      </c>
      <c r="AE194" s="554" t="str">
        <f t="shared" si="43"/>
        <v/>
      </c>
      <c r="AF194" s="554" t="str">
        <f t="shared" si="43"/>
        <v/>
      </c>
      <c r="AG194" s="554" t="str">
        <f t="shared" si="43"/>
        <v/>
      </c>
      <c r="AH194" s="554" t="str">
        <f t="shared" si="43"/>
        <v/>
      </c>
      <c r="AI194" s="554" t="str">
        <f t="shared" si="43"/>
        <v/>
      </c>
      <c r="AJ194" s="554" t="str">
        <f t="shared" si="43"/>
        <v/>
      </c>
      <c r="AK194" s="554" t="str">
        <f t="shared" si="43"/>
        <v/>
      </c>
      <c r="AL194" s="554">
        <f t="shared" si="43"/>
        <v>1</v>
      </c>
      <c r="AM194" s="554">
        <f t="shared" si="43"/>
        <v>2</v>
      </c>
      <c r="AN194" s="554">
        <f t="shared" si="43"/>
        <v>2</v>
      </c>
      <c r="AO194" s="554">
        <f t="shared" si="45"/>
        <v>2</v>
      </c>
      <c r="AP194" s="554">
        <f t="shared" si="45"/>
        <v>2</v>
      </c>
      <c r="AQ194" s="429" t="str">
        <f t="shared" si="36"/>
        <v>Vendido</v>
      </c>
      <c r="AR194" s="447">
        <f>_xlfn.XLOOKUP(C194,'BOULEVARD 5'!B:B,'BOULEVARD 5'!AU:AU)</f>
        <v>0.35897435897435898</v>
      </c>
    </row>
    <row r="195" spans="1:44" s="429" customFormat="1" ht="13.9" customHeight="1" x14ac:dyDescent="0.25">
      <c r="B195" s="678" t="str">
        <f>IF('B5-Status cobranza'!A195&gt;0,'B5-Status cobranza'!A195,"")</f>
        <v/>
      </c>
      <c r="C195" s="436">
        <v>1020</v>
      </c>
      <c r="D195" s="436" t="s">
        <v>186</v>
      </c>
      <c r="E195" s="436"/>
      <c r="F195" s="436" t="str">
        <f>IF('BOULEVARD 5'!E193="","",'BOULEVARD 5'!E193)</f>
        <v>Erwin Cardona</v>
      </c>
      <c r="G195" s="429" t="str">
        <f>IF('BOULEVARD 5'!F193="","",'BOULEVARD 5'!F193)</f>
        <v>Bernerd Alexandro Godínez López</v>
      </c>
      <c r="H195" s="473">
        <f>IF('BOULEVARD 5'!G193="","",'BOULEVARD 5'!G193)</f>
        <v>45985</v>
      </c>
      <c r="I195" s="554" t="str">
        <f t="shared" si="44"/>
        <v/>
      </c>
      <c r="J195" s="554" t="str">
        <f t="shared" si="44"/>
        <v/>
      </c>
      <c r="K195" s="554" t="str">
        <f t="shared" si="44"/>
        <v/>
      </c>
      <c r="L195" s="554" t="str">
        <f t="shared" si="44"/>
        <v/>
      </c>
      <c r="M195" s="554" t="str">
        <f t="shared" si="44"/>
        <v/>
      </c>
      <c r="N195" s="554" t="str">
        <f t="shared" si="44"/>
        <v/>
      </c>
      <c r="O195" s="554" t="str">
        <f t="shared" si="44"/>
        <v/>
      </c>
      <c r="P195" s="554" t="str">
        <f t="shared" si="44"/>
        <v/>
      </c>
      <c r="Q195" s="554" t="str">
        <f t="shared" si="44"/>
        <v/>
      </c>
      <c r="R195" s="554" t="str">
        <f t="shared" si="44"/>
        <v/>
      </c>
      <c r="S195" s="554" t="str">
        <f t="shared" si="44"/>
        <v/>
      </c>
      <c r="T195" s="554" t="str">
        <f t="shared" si="44"/>
        <v/>
      </c>
      <c r="U195" s="554" t="str">
        <f t="shared" si="44"/>
        <v/>
      </c>
      <c r="V195" s="554" t="str">
        <f t="shared" si="44"/>
        <v/>
      </c>
      <c r="W195" s="554" t="str">
        <f t="shared" si="44"/>
        <v/>
      </c>
      <c r="X195" s="554" t="str">
        <f t="shared" si="44"/>
        <v/>
      </c>
      <c r="Y195" s="554" t="str">
        <f t="shared" si="43"/>
        <v/>
      </c>
      <c r="Z195" s="554" t="str">
        <f t="shared" si="43"/>
        <v/>
      </c>
      <c r="AA195" s="554" t="str">
        <f t="shared" si="43"/>
        <v/>
      </c>
      <c r="AB195" s="554" t="str">
        <f t="shared" si="43"/>
        <v/>
      </c>
      <c r="AC195" s="554" t="str">
        <f t="shared" si="43"/>
        <v/>
      </c>
      <c r="AD195" s="554" t="str">
        <f t="shared" si="43"/>
        <v/>
      </c>
      <c r="AE195" s="554" t="str">
        <f t="shared" si="43"/>
        <v/>
      </c>
      <c r="AF195" s="554" t="str">
        <f t="shared" si="43"/>
        <v/>
      </c>
      <c r="AG195" s="554" t="str">
        <f t="shared" si="43"/>
        <v/>
      </c>
      <c r="AH195" s="554" t="str">
        <f t="shared" si="43"/>
        <v/>
      </c>
      <c r="AI195" s="554" t="str">
        <f t="shared" si="43"/>
        <v/>
      </c>
      <c r="AJ195" s="554" t="str">
        <f t="shared" si="43"/>
        <v/>
      </c>
      <c r="AK195" s="554" t="str">
        <f t="shared" si="43"/>
        <v/>
      </c>
      <c r="AL195" s="554" t="str">
        <f t="shared" si="43"/>
        <v/>
      </c>
      <c r="AM195" s="554" t="str">
        <f t="shared" si="43"/>
        <v/>
      </c>
      <c r="AN195" s="554" t="str">
        <f t="shared" si="43"/>
        <v/>
      </c>
      <c r="AO195" s="554">
        <f t="shared" si="45"/>
        <v>1</v>
      </c>
      <c r="AP195" s="554">
        <f t="shared" si="45"/>
        <v>2</v>
      </c>
      <c r="AQ195" s="429" t="str">
        <f t="shared" si="36"/>
        <v>Vendido</v>
      </c>
      <c r="AR195" s="447">
        <f>_xlfn.XLOOKUP(C195,'BOULEVARD 5'!B:B,'BOULEVARD 5'!AU:AU)</f>
        <v>0.57311776061776065</v>
      </c>
    </row>
    <row r="196" spans="1:44" s="429" customFormat="1" ht="13.9" customHeight="1" x14ac:dyDescent="0.25">
      <c r="B196" s="678" t="str">
        <f>IF('B5-Status cobranza'!A196&gt;0,'B5-Status cobranza'!A196,"")</f>
        <v/>
      </c>
      <c r="C196" s="436">
        <v>1101</v>
      </c>
      <c r="D196" s="436" t="s">
        <v>597</v>
      </c>
      <c r="E196" s="436"/>
      <c r="F196" s="436" t="str">
        <f>IF('BOULEVARD 5'!E194="","",'BOULEVARD 5'!E194)</f>
        <v>Antonio Rada</v>
      </c>
      <c r="G196" s="429" t="str">
        <f>IF('BOULEVARD 5'!F194="","",'BOULEVARD 5'!F194)</f>
        <v>Maria Fernanda Contreras Lopez</v>
      </c>
      <c r="H196" s="473">
        <f>IF('BOULEVARD 5'!G194="","",'BOULEVARD 5'!G194)</f>
        <v>45374</v>
      </c>
      <c r="I196" s="554" t="str">
        <f t="shared" si="44"/>
        <v/>
      </c>
      <c r="J196" s="554" t="str">
        <f t="shared" si="44"/>
        <v/>
      </c>
      <c r="K196" s="554" t="str">
        <f t="shared" si="44"/>
        <v/>
      </c>
      <c r="L196" s="554" t="str">
        <f t="shared" si="44"/>
        <v/>
      </c>
      <c r="M196" s="554" t="str">
        <f t="shared" si="44"/>
        <v/>
      </c>
      <c r="N196" s="554" t="str">
        <f t="shared" si="44"/>
        <v/>
      </c>
      <c r="O196" s="554" t="str">
        <f t="shared" si="44"/>
        <v/>
      </c>
      <c r="P196" s="554" t="str">
        <f t="shared" si="44"/>
        <v/>
      </c>
      <c r="Q196" s="554" t="str">
        <f t="shared" si="44"/>
        <v/>
      </c>
      <c r="R196" s="554" t="str">
        <f t="shared" si="44"/>
        <v/>
      </c>
      <c r="S196" s="554" t="str">
        <f t="shared" si="44"/>
        <v/>
      </c>
      <c r="T196" s="554" t="str">
        <f t="shared" si="44"/>
        <v/>
      </c>
      <c r="U196" s="554">
        <f t="shared" si="44"/>
        <v>1</v>
      </c>
      <c r="V196" s="554">
        <f t="shared" si="44"/>
        <v>2</v>
      </c>
      <c r="W196" s="554">
        <f t="shared" si="44"/>
        <v>2</v>
      </c>
      <c r="X196" s="554">
        <f t="shared" si="44"/>
        <v>2</v>
      </c>
      <c r="Y196" s="554">
        <f t="shared" si="43"/>
        <v>2</v>
      </c>
      <c r="Z196" s="554">
        <f t="shared" si="43"/>
        <v>2</v>
      </c>
      <c r="AA196" s="554">
        <f t="shared" si="43"/>
        <v>2</v>
      </c>
      <c r="AB196" s="554">
        <f t="shared" si="43"/>
        <v>2</v>
      </c>
      <c r="AC196" s="554">
        <f t="shared" si="43"/>
        <v>2</v>
      </c>
      <c r="AD196" s="554">
        <f t="shared" si="43"/>
        <v>2</v>
      </c>
      <c r="AE196" s="554">
        <f t="shared" si="43"/>
        <v>2</v>
      </c>
      <c r="AF196" s="554">
        <f t="shared" si="43"/>
        <v>2</v>
      </c>
      <c r="AG196" s="554">
        <f t="shared" si="43"/>
        <v>2</v>
      </c>
      <c r="AH196" s="554">
        <f t="shared" si="43"/>
        <v>2</v>
      </c>
      <c r="AI196" s="554">
        <f t="shared" si="43"/>
        <v>2</v>
      </c>
      <c r="AJ196" s="554">
        <f t="shared" si="43"/>
        <v>2</v>
      </c>
      <c r="AK196" s="554">
        <f t="shared" si="43"/>
        <v>2</v>
      </c>
      <c r="AL196" s="554">
        <f t="shared" si="43"/>
        <v>2</v>
      </c>
      <c r="AM196" s="554">
        <f t="shared" si="43"/>
        <v>2</v>
      </c>
      <c r="AN196" s="554">
        <f t="shared" si="43"/>
        <v>2</v>
      </c>
      <c r="AO196" s="554">
        <f t="shared" si="45"/>
        <v>2</v>
      </c>
      <c r="AP196" s="554">
        <f t="shared" si="45"/>
        <v>2</v>
      </c>
      <c r="AQ196" s="429" t="str">
        <f t="shared" si="36"/>
        <v>Vendido</v>
      </c>
      <c r="AR196" s="447">
        <f>_xlfn.XLOOKUP(C196,'BOULEVARD 5'!B:B,'BOULEVARD 5'!AU:AU)</f>
        <v>1</v>
      </c>
    </row>
    <row r="197" spans="1:44" s="429" customFormat="1" ht="13.9" customHeight="1" x14ac:dyDescent="0.25">
      <c r="B197" s="678" t="str">
        <f>IF('B5-Status cobranza'!A197&gt;0,'B5-Status cobranza'!A197,"")</f>
        <v/>
      </c>
      <c r="C197" s="436">
        <v>1102</v>
      </c>
      <c r="D197" s="436" t="s">
        <v>599</v>
      </c>
      <c r="E197" s="436"/>
      <c r="F197" s="436" t="str">
        <f>IF('BOULEVARD 5'!E195="","",'BOULEVARD 5'!E195)</f>
        <v>Antonio Rada</v>
      </c>
      <c r="G197" s="429" t="str">
        <f>IF('BOULEVARD 5'!F195="","",'BOULEVARD 5'!F195)</f>
        <v>Luis Alberto Lopez Velasquez</v>
      </c>
      <c r="H197" s="473">
        <f>IF('BOULEVARD 5'!G195="","",'BOULEVARD 5'!G195)</f>
        <v>45016</v>
      </c>
      <c r="I197" s="554">
        <f t="shared" si="44"/>
        <v>1</v>
      </c>
      <c r="J197" s="554">
        <f t="shared" si="44"/>
        <v>2</v>
      </c>
      <c r="K197" s="554">
        <f t="shared" si="44"/>
        <v>2</v>
      </c>
      <c r="L197" s="554">
        <f t="shared" si="44"/>
        <v>2</v>
      </c>
      <c r="M197" s="554">
        <f t="shared" si="44"/>
        <v>2</v>
      </c>
      <c r="N197" s="554">
        <f t="shared" si="44"/>
        <v>2</v>
      </c>
      <c r="O197" s="554">
        <f t="shared" si="44"/>
        <v>2</v>
      </c>
      <c r="P197" s="554">
        <f t="shared" si="44"/>
        <v>2</v>
      </c>
      <c r="Q197" s="554">
        <f t="shared" si="44"/>
        <v>2</v>
      </c>
      <c r="R197" s="554">
        <f t="shared" si="44"/>
        <v>2</v>
      </c>
      <c r="S197" s="554">
        <f t="shared" si="44"/>
        <v>2</v>
      </c>
      <c r="T197" s="554">
        <f t="shared" si="44"/>
        <v>2</v>
      </c>
      <c r="U197" s="554">
        <f t="shared" si="44"/>
        <v>2</v>
      </c>
      <c r="V197" s="554">
        <f t="shared" si="44"/>
        <v>2</v>
      </c>
      <c r="W197" s="554">
        <f t="shared" si="44"/>
        <v>2</v>
      </c>
      <c r="X197" s="554">
        <f t="shared" si="44"/>
        <v>2</v>
      </c>
      <c r="Y197" s="554">
        <f t="shared" si="43"/>
        <v>2</v>
      </c>
      <c r="Z197" s="554">
        <f t="shared" si="43"/>
        <v>2</v>
      </c>
      <c r="AA197" s="554">
        <f t="shared" si="43"/>
        <v>2</v>
      </c>
      <c r="AB197" s="554">
        <f t="shared" si="43"/>
        <v>2</v>
      </c>
      <c r="AC197" s="554">
        <f t="shared" si="43"/>
        <v>2</v>
      </c>
      <c r="AD197" s="554">
        <f t="shared" si="43"/>
        <v>2</v>
      </c>
      <c r="AE197" s="554">
        <f t="shared" si="43"/>
        <v>2</v>
      </c>
      <c r="AF197" s="554">
        <f t="shared" si="43"/>
        <v>2</v>
      </c>
      <c r="AG197" s="554">
        <f t="shared" si="43"/>
        <v>2</v>
      </c>
      <c r="AH197" s="554">
        <f t="shared" si="43"/>
        <v>2</v>
      </c>
      <c r="AI197" s="554">
        <f t="shared" si="43"/>
        <v>2</v>
      </c>
      <c r="AJ197" s="554">
        <f t="shared" si="43"/>
        <v>2</v>
      </c>
      <c r="AK197" s="554">
        <f t="shared" si="43"/>
        <v>2</v>
      </c>
      <c r="AL197" s="554">
        <f t="shared" si="43"/>
        <v>2</v>
      </c>
      <c r="AM197" s="554">
        <f t="shared" si="43"/>
        <v>2</v>
      </c>
      <c r="AN197" s="554">
        <f t="shared" si="43"/>
        <v>2</v>
      </c>
      <c r="AO197" s="554">
        <f t="shared" si="45"/>
        <v>2</v>
      </c>
      <c r="AP197" s="554">
        <f t="shared" si="45"/>
        <v>2</v>
      </c>
      <c r="AQ197" s="429" t="str">
        <f t="shared" si="36"/>
        <v>Vendido</v>
      </c>
      <c r="AR197" s="447">
        <f>_xlfn.XLOOKUP(C197,'BOULEVARD 5'!B:B,'BOULEVARD 5'!AU:AU)</f>
        <v>0.97220294882914138</v>
      </c>
    </row>
    <row r="198" spans="1:44" s="429" customFormat="1" ht="13.9" customHeight="1" x14ac:dyDescent="0.25">
      <c r="B198" s="678" t="str">
        <f>IF('B5-Status cobranza'!A198&gt;0,'B5-Status cobranza'!A198,"")</f>
        <v/>
      </c>
      <c r="C198" s="436">
        <v>1103</v>
      </c>
      <c r="D198" s="436" t="s">
        <v>400</v>
      </c>
      <c r="E198" s="436"/>
      <c r="F198" s="436" t="str">
        <f>IF('BOULEVARD 5'!E196="","",'BOULEVARD 5'!E196)</f>
        <v>Antonio Rada</v>
      </c>
      <c r="G198" s="429" t="str">
        <f>IF('BOULEVARD 5'!F196="","",'BOULEVARD 5'!F196)</f>
        <v xml:space="preserve"> Samuel Hiram Salazar Say</v>
      </c>
      <c r="H198" s="473">
        <f>IF('BOULEVARD 5'!G196="","",'BOULEVARD 5'!G196)</f>
        <v>45071</v>
      </c>
      <c r="I198" s="554" t="str">
        <f t="shared" si="44"/>
        <v/>
      </c>
      <c r="J198" s="554" t="str">
        <f t="shared" si="44"/>
        <v/>
      </c>
      <c r="K198" s="554">
        <f t="shared" si="44"/>
        <v>1</v>
      </c>
      <c r="L198" s="554">
        <f t="shared" si="44"/>
        <v>2</v>
      </c>
      <c r="M198" s="554">
        <f t="shared" si="44"/>
        <v>2</v>
      </c>
      <c r="N198" s="554">
        <f t="shared" si="44"/>
        <v>2</v>
      </c>
      <c r="O198" s="554">
        <f t="shared" si="44"/>
        <v>2</v>
      </c>
      <c r="P198" s="554">
        <f t="shared" si="44"/>
        <v>2</v>
      </c>
      <c r="Q198" s="554">
        <f t="shared" si="44"/>
        <v>2</v>
      </c>
      <c r="R198" s="554">
        <f t="shared" si="44"/>
        <v>2</v>
      </c>
      <c r="S198" s="554">
        <f t="shared" si="44"/>
        <v>2</v>
      </c>
      <c r="T198" s="554">
        <f t="shared" si="44"/>
        <v>2</v>
      </c>
      <c r="U198" s="554">
        <f t="shared" si="44"/>
        <v>2</v>
      </c>
      <c r="V198" s="554">
        <f t="shared" si="44"/>
        <v>2</v>
      </c>
      <c r="W198" s="554">
        <f t="shared" si="44"/>
        <v>2</v>
      </c>
      <c r="X198" s="554">
        <f t="shared" si="44"/>
        <v>2</v>
      </c>
      <c r="Y198" s="554">
        <f t="shared" si="43"/>
        <v>2</v>
      </c>
      <c r="Z198" s="554">
        <f t="shared" si="43"/>
        <v>2</v>
      </c>
      <c r="AA198" s="554">
        <f t="shared" si="43"/>
        <v>2</v>
      </c>
      <c r="AB198" s="554">
        <f t="shared" si="43"/>
        <v>2</v>
      </c>
      <c r="AC198" s="554">
        <f t="shared" si="43"/>
        <v>2</v>
      </c>
      <c r="AD198" s="554">
        <f t="shared" si="43"/>
        <v>2</v>
      </c>
      <c r="AE198" s="554">
        <f t="shared" si="43"/>
        <v>2</v>
      </c>
      <c r="AF198" s="554">
        <f t="shared" si="43"/>
        <v>2</v>
      </c>
      <c r="AG198" s="554">
        <f t="shared" si="43"/>
        <v>2</v>
      </c>
      <c r="AH198" s="554">
        <f t="shared" si="43"/>
        <v>2</v>
      </c>
      <c r="AI198" s="554">
        <f t="shared" si="43"/>
        <v>2</v>
      </c>
      <c r="AJ198" s="554">
        <f t="shared" si="43"/>
        <v>2</v>
      </c>
      <c r="AK198" s="554">
        <f t="shared" si="43"/>
        <v>2</v>
      </c>
      <c r="AL198" s="554">
        <f t="shared" si="43"/>
        <v>2</v>
      </c>
      <c r="AM198" s="554">
        <f t="shared" si="43"/>
        <v>2</v>
      </c>
      <c r="AN198" s="554">
        <f t="shared" si="43"/>
        <v>2</v>
      </c>
      <c r="AO198" s="554">
        <f t="shared" si="45"/>
        <v>2</v>
      </c>
      <c r="AP198" s="554">
        <f t="shared" si="45"/>
        <v>2</v>
      </c>
      <c r="AQ198" s="429" t="str">
        <f t="shared" si="36"/>
        <v>Vendido</v>
      </c>
      <c r="AR198" s="447">
        <f>_xlfn.XLOOKUP(C198,'BOULEVARD 5'!B:B,'BOULEVARD 5'!AU:AU)</f>
        <v>1.1381031613976706</v>
      </c>
    </row>
    <row r="199" spans="1:44" s="429" customFormat="1" ht="13.9" customHeight="1" x14ac:dyDescent="0.25">
      <c r="B199" s="678" t="str">
        <f>IF('B5-Status cobranza'!A199&gt;0,'B5-Status cobranza'!A199,"")</f>
        <v/>
      </c>
      <c r="C199" s="436">
        <v>1104</v>
      </c>
      <c r="D199" s="436" t="s">
        <v>175</v>
      </c>
      <c r="E199" s="436"/>
      <c r="F199" s="436" t="str">
        <f>IF('BOULEVARD 5'!E197="","",'BOULEVARD 5'!E197)</f>
        <v>Antonio Rada</v>
      </c>
      <c r="G199" s="429" t="str">
        <f>IF('BOULEVARD 5'!F197="","",'BOULEVARD 5'!F197)</f>
        <v>Denisse Hortencia Alarcon Diaz</v>
      </c>
      <c r="H199" s="473">
        <f>IF('BOULEVARD 5'!G197="","",'BOULEVARD 5'!G197)</f>
        <v>45343</v>
      </c>
      <c r="I199" s="554" t="str">
        <f t="shared" si="44"/>
        <v/>
      </c>
      <c r="J199" s="554" t="str">
        <f t="shared" si="44"/>
        <v/>
      </c>
      <c r="K199" s="554" t="str">
        <f t="shared" si="44"/>
        <v/>
      </c>
      <c r="L199" s="554" t="str">
        <f t="shared" si="44"/>
        <v/>
      </c>
      <c r="M199" s="554" t="str">
        <f t="shared" si="44"/>
        <v/>
      </c>
      <c r="N199" s="554" t="str">
        <f t="shared" si="44"/>
        <v/>
      </c>
      <c r="O199" s="554" t="str">
        <f t="shared" si="44"/>
        <v/>
      </c>
      <c r="P199" s="554" t="str">
        <f t="shared" si="44"/>
        <v/>
      </c>
      <c r="Q199" s="554" t="str">
        <f t="shared" si="44"/>
        <v/>
      </c>
      <c r="R199" s="554" t="str">
        <f t="shared" si="44"/>
        <v/>
      </c>
      <c r="S199" s="554" t="str">
        <f t="shared" si="44"/>
        <v/>
      </c>
      <c r="T199" s="554">
        <f t="shared" si="44"/>
        <v>1</v>
      </c>
      <c r="U199" s="554">
        <f t="shared" si="44"/>
        <v>2</v>
      </c>
      <c r="V199" s="554">
        <f t="shared" si="44"/>
        <v>2</v>
      </c>
      <c r="W199" s="554">
        <f t="shared" si="44"/>
        <v>2</v>
      </c>
      <c r="X199" s="554">
        <f t="shared" si="44"/>
        <v>2</v>
      </c>
      <c r="Y199" s="554">
        <f t="shared" si="43"/>
        <v>2</v>
      </c>
      <c r="Z199" s="554">
        <f t="shared" si="43"/>
        <v>2</v>
      </c>
      <c r="AA199" s="554">
        <f t="shared" si="43"/>
        <v>2</v>
      </c>
      <c r="AB199" s="554">
        <f t="shared" si="43"/>
        <v>2</v>
      </c>
      <c r="AC199" s="554">
        <f t="shared" si="43"/>
        <v>2</v>
      </c>
      <c r="AD199" s="554">
        <f t="shared" si="43"/>
        <v>2</v>
      </c>
      <c r="AE199" s="554">
        <f t="shared" si="43"/>
        <v>2</v>
      </c>
      <c r="AF199" s="554">
        <f t="shared" si="43"/>
        <v>2</v>
      </c>
      <c r="AG199" s="554">
        <f t="shared" si="43"/>
        <v>2</v>
      </c>
      <c r="AH199" s="554">
        <f t="shared" si="43"/>
        <v>2</v>
      </c>
      <c r="AI199" s="554">
        <f t="shared" si="43"/>
        <v>2</v>
      </c>
      <c r="AJ199" s="554">
        <f t="shared" si="43"/>
        <v>2</v>
      </c>
      <c r="AK199" s="554">
        <f t="shared" si="43"/>
        <v>2</v>
      </c>
      <c r="AL199" s="554">
        <f t="shared" si="43"/>
        <v>2</v>
      </c>
      <c r="AM199" s="554">
        <f t="shared" si="43"/>
        <v>2</v>
      </c>
      <c r="AN199" s="554">
        <f t="shared" si="43"/>
        <v>2</v>
      </c>
      <c r="AO199" s="554">
        <f t="shared" si="45"/>
        <v>2</v>
      </c>
      <c r="AP199" s="554">
        <f t="shared" si="45"/>
        <v>2</v>
      </c>
      <c r="AQ199" s="429" t="str">
        <f t="shared" si="36"/>
        <v>Vendido</v>
      </c>
      <c r="AR199" s="447">
        <f>_xlfn.XLOOKUP(C199,'BOULEVARD 5'!B:B,'BOULEVARD 5'!AU:AU)</f>
        <v>1.095867117117117</v>
      </c>
    </row>
    <row r="200" spans="1:44" s="429" customFormat="1" ht="13.9" customHeight="1" x14ac:dyDescent="0.25">
      <c r="B200" s="678" t="str">
        <f>IF('B5-Status cobranza'!A200&gt;0,'B5-Status cobranza'!A200,"")</f>
        <v/>
      </c>
      <c r="C200" s="436">
        <v>1105</v>
      </c>
      <c r="D200" s="436" t="s">
        <v>192</v>
      </c>
      <c r="E200" s="436"/>
      <c r="F200" s="436" t="str">
        <f>IF('BOULEVARD 5'!E198="","",'BOULEVARD 5'!E198)</f>
        <v>Brenda Búcaro</v>
      </c>
      <c r="G200" s="429" t="str">
        <f>IF('BOULEVARD 5'!F198="","",'BOULEVARD 5'!F198)</f>
        <v>Luis Pedro Escobedo De Cid</v>
      </c>
      <c r="H200" s="473">
        <f>IF('BOULEVARD 5'!G198="","",'BOULEVARD 5'!G198)</f>
        <v>45012</v>
      </c>
      <c r="I200" s="554">
        <f t="shared" si="44"/>
        <v>1</v>
      </c>
      <c r="J200" s="554">
        <f t="shared" si="44"/>
        <v>2</v>
      </c>
      <c r="K200" s="554">
        <f t="shared" si="44"/>
        <v>2</v>
      </c>
      <c r="L200" s="554">
        <f t="shared" si="44"/>
        <v>2</v>
      </c>
      <c r="M200" s="554">
        <f t="shared" si="44"/>
        <v>2</v>
      </c>
      <c r="N200" s="554">
        <f t="shared" si="44"/>
        <v>2</v>
      </c>
      <c r="O200" s="554">
        <f t="shared" si="44"/>
        <v>2</v>
      </c>
      <c r="P200" s="554">
        <f t="shared" si="44"/>
        <v>2</v>
      </c>
      <c r="Q200" s="554">
        <f t="shared" si="44"/>
        <v>2</v>
      </c>
      <c r="R200" s="554">
        <f t="shared" si="44"/>
        <v>2</v>
      </c>
      <c r="S200" s="554">
        <f t="shared" si="44"/>
        <v>2</v>
      </c>
      <c r="T200" s="554">
        <f t="shared" si="44"/>
        <v>2</v>
      </c>
      <c r="U200" s="554">
        <f t="shared" si="44"/>
        <v>2</v>
      </c>
      <c r="V200" s="554">
        <f t="shared" si="44"/>
        <v>2</v>
      </c>
      <c r="W200" s="554">
        <f t="shared" si="44"/>
        <v>2</v>
      </c>
      <c r="X200" s="554">
        <f t="shared" si="44"/>
        <v>2</v>
      </c>
      <c r="Y200" s="554">
        <f t="shared" si="43"/>
        <v>2</v>
      </c>
      <c r="Z200" s="554">
        <f t="shared" si="43"/>
        <v>2</v>
      </c>
      <c r="AA200" s="554">
        <f t="shared" si="43"/>
        <v>2</v>
      </c>
      <c r="AB200" s="554">
        <f t="shared" si="43"/>
        <v>2</v>
      </c>
      <c r="AC200" s="554">
        <f t="shared" si="43"/>
        <v>2</v>
      </c>
      <c r="AD200" s="554">
        <f t="shared" si="43"/>
        <v>2</v>
      </c>
      <c r="AE200" s="554">
        <f t="shared" si="43"/>
        <v>2</v>
      </c>
      <c r="AF200" s="554">
        <f t="shared" si="43"/>
        <v>2</v>
      </c>
      <c r="AG200" s="554">
        <f t="shared" si="43"/>
        <v>2</v>
      </c>
      <c r="AH200" s="554">
        <f t="shared" si="43"/>
        <v>2</v>
      </c>
      <c r="AI200" s="554">
        <f t="shared" si="43"/>
        <v>2</v>
      </c>
      <c r="AJ200" s="554">
        <f t="shared" si="43"/>
        <v>2</v>
      </c>
      <c r="AK200" s="554">
        <f t="shared" si="43"/>
        <v>2</v>
      </c>
      <c r="AL200" s="554">
        <f t="shared" si="43"/>
        <v>2</v>
      </c>
      <c r="AM200" s="554">
        <f t="shared" si="43"/>
        <v>2</v>
      </c>
      <c r="AN200" s="554">
        <f t="shared" si="43"/>
        <v>2</v>
      </c>
      <c r="AO200" s="554">
        <f t="shared" si="45"/>
        <v>2</v>
      </c>
      <c r="AP200" s="554">
        <f t="shared" si="45"/>
        <v>2</v>
      </c>
      <c r="AQ200" s="429" t="str">
        <f t="shared" si="36"/>
        <v>Vendido</v>
      </c>
      <c r="AR200" s="447">
        <f>_xlfn.XLOOKUP(C200,'BOULEVARD 5'!B:B,'BOULEVARD 5'!AU:AU)</f>
        <v>1.00162840496747</v>
      </c>
    </row>
    <row r="201" spans="1:44" s="429" customFormat="1" ht="13.9" customHeight="1" x14ac:dyDescent="0.25">
      <c r="B201" s="678" t="str">
        <f>IF('B5-Status cobranza'!A201&gt;0,'B5-Status cobranza'!A201,"")</f>
        <v/>
      </c>
      <c r="C201" s="436">
        <v>1106</v>
      </c>
      <c r="D201" s="436" t="s">
        <v>178</v>
      </c>
      <c r="E201" s="436"/>
      <c r="F201" s="436" t="str">
        <f>IF('BOULEVARD 5'!E199="","",'BOULEVARD 5'!E199)</f>
        <v>Antonio Rada</v>
      </c>
      <c r="G201" s="429" t="str">
        <f>IF('BOULEVARD 5'!F199="","",'BOULEVARD 5'!F199)</f>
        <v>Emerson Emanuel Menendez Rodas</v>
      </c>
      <c r="H201" s="473">
        <f>IF('BOULEVARD 5'!G199="","",'BOULEVARD 5'!G199)</f>
        <v>45043</v>
      </c>
      <c r="I201" s="554" t="str">
        <f t="shared" si="44"/>
        <v/>
      </c>
      <c r="J201" s="554">
        <f t="shared" si="44"/>
        <v>1</v>
      </c>
      <c r="K201" s="554">
        <f t="shared" si="44"/>
        <v>2</v>
      </c>
      <c r="L201" s="554">
        <f t="shared" si="44"/>
        <v>2</v>
      </c>
      <c r="M201" s="554">
        <f t="shared" si="44"/>
        <v>2</v>
      </c>
      <c r="N201" s="554">
        <f t="shared" si="44"/>
        <v>2</v>
      </c>
      <c r="O201" s="554">
        <f t="shared" si="44"/>
        <v>2</v>
      </c>
      <c r="P201" s="554">
        <f t="shared" si="44"/>
        <v>2</v>
      </c>
      <c r="Q201" s="554">
        <f t="shared" si="44"/>
        <v>2</v>
      </c>
      <c r="R201" s="554">
        <f t="shared" si="44"/>
        <v>2</v>
      </c>
      <c r="S201" s="554">
        <f t="shared" si="44"/>
        <v>2</v>
      </c>
      <c r="T201" s="554">
        <f t="shared" si="44"/>
        <v>2</v>
      </c>
      <c r="U201" s="554">
        <f t="shared" si="44"/>
        <v>2</v>
      </c>
      <c r="V201" s="554">
        <f t="shared" si="44"/>
        <v>2</v>
      </c>
      <c r="W201" s="554">
        <f t="shared" si="44"/>
        <v>2</v>
      </c>
      <c r="X201" s="554">
        <f t="shared" ref="X201:AM216" si="46">IF(OR($B201="F&amp;F",$B201="CE",$H201=""),"",IF(TEXT(X$8,"yyyymm")=TEXT($H201,"yyyymm"),1,IF(TEXT(X$8,"yyyymm")&gt;TEXT($H201,"yyyymm"),2,IF(X$8&lt;$H201,"",0))))</f>
        <v>2</v>
      </c>
      <c r="Y201" s="554">
        <f t="shared" si="46"/>
        <v>2</v>
      </c>
      <c r="Z201" s="554">
        <f t="shared" si="46"/>
        <v>2</v>
      </c>
      <c r="AA201" s="554">
        <f t="shared" si="46"/>
        <v>2</v>
      </c>
      <c r="AB201" s="554">
        <f t="shared" si="46"/>
        <v>2</v>
      </c>
      <c r="AC201" s="554">
        <f t="shared" si="46"/>
        <v>2</v>
      </c>
      <c r="AD201" s="554">
        <f t="shared" si="46"/>
        <v>2</v>
      </c>
      <c r="AE201" s="554">
        <f t="shared" si="46"/>
        <v>2</v>
      </c>
      <c r="AF201" s="554">
        <f t="shared" si="46"/>
        <v>2</v>
      </c>
      <c r="AG201" s="554">
        <f t="shared" si="46"/>
        <v>2</v>
      </c>
      <c r="AH201" s="554">
        <f t="shared" si="46"/>
        <v>2</v>
      </c>
      <c r="AI201" s="554">
        <f t="shared" si="46"/>
        <v>2</v>
      </c>
      <c r="AJ201" s="554">
        <f t="shared" si="46"/>
        <v>2</v>
      </c>
      <c r="AK201" s="554">
        <f t="shared" si="46"/>
        <v>2</v>
      </c>
      <c r="AL201" s="554">
        <f t="shared" si="46"/>
        <v>2</v>
      </c>
      <c r="AM201" s="554">
        <f t="shared" si="46"/>
        <v>2</v>
      </c>
      <c r="AN201" s="554">
        <f t="shared" ref="AN201:AP220" si="47">IF(OR($B201="F&amp;F",$B201="CE",$H201=""),"",IF(TEXT(AN$8,"yyyymm")=TEXT($H201,"yyyymm"),1,IF(TEXT(AN$8,"yyyymm")&gt;TEXT($H201,"yyyymm"),2,IF(AN$8&lt;$H201,"",0))))</f>
        <v>2</v>
      </c>
      <c r="AO201" s="554">
        <f t="shared" si="45"/>
        <v>2</v>
      </c>
      <c r="AP201" s="554">
        <f t="shared" si="45"/>
        <v>2</v>
      </c>
      <c r="AQ201" s="429" t="str">
        <f t="shared" si="36"/>
        <v>Vendido</v>
      </c>
      <c r="AR201" s="447">
        <f>_xlfn.XLOOKUP(C201,'BOULEVARD 5'!B:B,'BOULEVARD 5'!AU:AU)</f>
        <v>1</v>
      </c>
    </row>
    <row r="202" spans="1:44" s="429" customFormat="1" ht="13.9" customHeight="1" x14ac:dyDescent="0.25">
      <c r="B202" s="678" t="str">
        <f>IF('B5-Status cobranza'!A202&gt;0,'B5-Status cobranza'!A202,"")</f>
        <v>F&amp;F</v>
      </c>
      <c r="C202" s="475">
        <v>1107</v>
      </c>
      <c r="D202" s="475" t="s">
        <v>465</v>
      </c>
      <c r="E202" s="475"/>
      <c r="F202" s="475" t="str">
        <f>IF('BOULEVARD 5'!E200="","",'BOULEVARD 5'!E200)</f>
        <v>Ronaldo</v>
      </c>
      <c r="G202" s="476" t="str">
        <f>IF('BOULEVARD 5'!F200="","",'BOULEVARD 5'!F200)</f>
        <v>International Coffee Industry, S.A</v>
      </c>
      <c r="H202" s="473">
        <f>IF('BOULEVARD 5'!G200="","",'BOULEVARD 5'!G200)</f>
        <v>45300</v>
      </c>
      <c r="I202" s="554" t="str">
        <f t="shared" ref="I202:X217" si="48">IF(OR($B202="F&amp;F",$B202="CE",$H202=""),"",IF(TEXT(I$8,"yyyymm")=TEXT($H202,"yyyymm"),1,IF(TEXT(I$8,"yyyymm")&gt;TEXT($H202,"yyyymm"),2,IF(I$8&lt;$H202,"",0))))</f>
        <v/>
      </c>
      <c r="J202" s="554" t="str">
        <f t="shared" si="48"/>
        <v/>
      </c>
      <c r="K202" s="554" t="str">
        <f t="shared" si="48"/>
        <v/>
      </c>
      <c r="L202" s="554" t="str">
        <f t="shared" si="48"/>
        <v/>
      </c>
      <c r="M202" s="554" t="str">
        <f t="shared" si="48"/>
        <v/>
      </c>
      <c r="N202" s="554" t="str">
        <f t="shared" si="48"/>
        <v/>
      </c>
      <c r="O202" s="554" t="str">
        <f t="shared" si="48"/>
        <v/>
      </c>
      <c r="P202" s="554" t="str">
        <f t="shared" si="48"/>
        <v/>
      </c>
      <c r="Q202" s="554" t="str">
        <f t="shared" si="48"/>
        <v/>
      </c>
      <c r="R202" s="554" t="str">
        <f t="shared" si="48"/>
        <v/>
      </c>
      <c r="S202" s="554" t="str">
        <f t="shared" si="48"/>
        <v/>
      </c>
      <c r="T202" s="554" t="str">
        <f t="shared" si="48"/>
        <v/>
      </c>
      <c r="U202" s="554" t="str">
        <f t="shared" si="48"/>
        <v/>
      </c>
      <c r="V202" s="554" t="str">
        <f t="shared" si="48"/>
        <v/>
      </c>
      <c r="W202" s="554" t="str">
        <f t="shared" si="48"/>
        <v/>
      </c>
      <c r="X202" s="554" t="str">
        <f t="shared" si="46"/>
        <v/>
      </c>
      <c r="Y202" s="554" t="str">
        <f t="shared" si="46"/>
        <v/>
      </c>
      <c r="Z202" s="554" t="str">
        <f t="shared" si="46"/>
        <v/>
      </c>
      <c r="AA202" s="554" t="str">
        <f t="shared" si="46"/>
        <v/>
      </c>
      <c r="AB202" s="554" t="str">
        <f t="shared" si="46"/>
        <v/>
      </c>
      <c r="AC202" s="554" t="str">
        <f t="shared" si="46"/>
        <v/>
      </c>
      <c r="AD202" s="554" t="str">
        <f t="shared" si="46"/>
        <v/>
      </c>
      <c r="AE202" s="554" t="str">
        <f t="shared" si="46"/>
        <v/>
      </c>
      <c r="AF202" s="554" t="str">
        <f t="shared" si="46"/>
        <v/>
      </c>
      <c r="AG202" s="554" t="str">
        <f t="shared" si="46"/>
        <v/>
      </c>
      <c r="AH202" s="554" t="str">
        <f t="shared" si="46"/>
        <v/>
      </c>
      <c r="AI202" s="554" t="str">
        <f t="shared" si="46"/>
        <v/>
      </c>
      <c r="AJ202" s="554" t="str">
        <f t="shared" si="46"/>
        <v/>
      </c>
      <c r="AK202" s="554" t="str">
        <f t="shared" si="46"/>
        <v/>
      </c>
      <c r="AL202" s="554" t="str">
        <f t="shared" si="46"/>
        <v/>
      </c>
      <c r="AM202" s="554" t="str">
        <f t="shared" si="46"/>
        <v/>
      </c>
      <c r="AN202" s="554" t="str">
        <f t="shared" si="47"/>
        <v/>
      </c>
      <c r="AO202" s="554" t="str">
        <f t="shared" si="45"/>
        <v/>
      </c>
      <c r="AP202" s="554" t="str">
        <f t="shared" si="45"/>
        <v/>
      </c>
      <c r="AQ202" s="429" t="str">
        <f t="shared" ref="AQ202:AQ265" si="49">IF(H202="","No Vendido","Vendido")</f>
        <v>Vendido</v>
      </c>
      <c r="AR202" s="447">
        <f>_xlfn.XLOOKUP(C202,'BOULEVARD 5'!B:B,'BOULEVARD 5'!AU:AU)</f>
        <v>0</v>
      </c>
    </row>
    <row r="203" spans="1:44" s="429" customFormat="1" ht="13.9" customHeight="1" x14ac:dyDescent="0.25">
      <c r="B203" s="678" t="str">
        <f>IF('B5-Status cobranza'!A203&gt;0,'B5-Status cobranza'!A203,"")</f>
        <v/>
      </c>
      <c r="C203" s="436">
        <v>1108</v>
      </c>
      <c r="D203" s="436" t="s">
        <v>467</v>
      </c>
      <c r="E203" s="436"/>
      <c r="F203" s="436" t="str">
        <f>IF('BOULEVARD 5'!E201="","",'BOULEVARD 5'!E201)</f>
        <v>Brenda Búcaro</v>
      </c>
      <c r="G203" s="429" t="str">
        <f>IF('BOULEVARD 5'!F201="","",'BOULEVARD 5'!F201)</f>
        <v>Denis Orlando Coto Zelaya</v>
      </c>
      <c r="H203" s="473">
        <f>IF('BOULEVARD 5'!G201="","",'BOULEVARD 5'!G201)</f>
        <v>45013</v>
      </c>
      <c r="I203" s="554">
        <f t="shared" si="48"/>
        <v>1</v>
      </c>
      <c r="J203" s="554">
        <f t="shared" si="48"/>
        <v>2</v>
      </c>
      <c r="K203" s="554">
        <f t="shared" si="48"/>
        <v>2</v>
      </c>
      <c r="L203" s="554">
        <f t="shared" si="48"/>
        <v>2</v>
      </c>
      <c r="M203" s="554">
        <f t="shared" si="48"/>
        <v>2</v>
      </c>
      <c r="N203" s="554">
        <f t="shared" si="48"/>
        <v>2</v>
      </c>
      <c r="O203" s="554">
        <f t="shared" si="48"/>
        <v>2</v>
      </c>
      <c r="P203" s="554">
        <f t="shared" si="48"/>
        <v>2</v>
      </c>
      <c r="Q203" s="554">
        <f t="shared" si="48"/>
        <v>2</v>
      </c>
      <c r="R203" s="554">
        <f t="shared" si="48"/>
        <v>2</v>
      </c>
      <c r="S203" s="554">
        <f t="shared" si="48"/>
        <v>2</v>
      </c>
      <c r="T203" s="554">
        <f t="shared" si="48"/>
        <v>2</v>
      </c>
      <c r="U203" s="554">
        <f t="shared" si="48"/>
        <v>2</v>
      </c>
      <c r="V203" s="554">
        <f t="shared" si="48"/>
        <v>2</v>
      </c>
      <c r="W203" s="554">
        <f t="shared" si="48"/>
        <v>2</v>
      </c>
      <c r="X203" s="554">
        <f t="shared" si="46"/>
        <v>2</v>
      </c>
      <c r="Y203" s="554">
        <f t="shared" si="46"/>
        <v>2</v>
      </c>
      <c r="Z203" s="554">
        <f t="shared" si="46"/>
        <v>2</v>
      </c>
      <c r="AA203" s="554">
        <f t="shared" si="46"/>
        <v>2</v>
      </c>
      <c r="AB203" s="554">
        <f t="shared" si="46"/>
        <v>2</v>
      </c>
      <c r="AC203" s="554">
        <f t="shared" si="46"/>
        <v>2</v>
      </c>
      <c r="AD203" s="554">
        <f t="shared" si="46"/>
        <v>2</v>
      </c>
      <c r="AE203" s="554">
        <f t="shared" si="46"/>
        <v>2</v>
      </c>
      <c r="AF203" s="554">
        <f t="shared" si="46"/>
        <v>2</v>
      </c>
      <c r="AG203" s="554">
        <f t="shared" si="46"/>
        <v>2</v>
      </c>
      <c r="AH203" s="554">
        <f t="shared" si="46"/>
        <v>2</v>
      </c>
      <c r="AI203" s="554">
        <f t="shared" si="46"/>
        <v>2</v>
      </c>
      <c r="AJ203" s="554">
        <f t="shared" si="46"/>
        <v>2</v>
      </c>
      <c r="AK203" s="554">
        <f t="shared" si="46"/>
        <v>2</v>
      </c>
      <c r="AL203" s="554">
        <f t="shared" si="46"/>
        <v>2</v>
      </c>
      <c r="AM203" s="554">
        <f t="shared" si="46"/>
        <v>2</v>
      </c>
      <c r="AN203" s="554">
        <f t="shared" si="47"/>
        <v>2</v>
      </c>
      <c r="AO203" s="554">
        <f t="shared" si="45"/>
        <v>2</v>
      </c>
      <c r="AP203" s="554">
        <f t="shared" si="45"/>
        <v>2</v>
      </c>
      <c r="AQ203" s="429" t="str">
        <f t="shared" si="49"/>
        <v>Vendido</v>
      </c>
      <c r="AR203" s="447">
        <f>_xlfn.XLOOKUP(C203,'BOULEVARD 5'!B:B,'BOULEVARD 5'!AU:AU)</f>
        <v>0.45397188170800201</v>
      </c>
    </row>
    <row r="204" spans="1:44" s="429" customFormat="1" ht="13.9" customHeight="1" x14ac:dyDescent="0.25">
      <c r="B204" s="678" t="str">
        <f>IF('B5-Status cobranza'!A204&gt;0,'B5-Status cobranza'!A204,"")</f>
        <v/>
      </c>
      <c r="C204" s="436">
        <v>1109</v>
      </c>
      <c r="D204" s="436" t="s">
        <v>469</v>
      </c>
      <c r="E204" s="436"/>
      <c r="F204" s="436" t="str">
        <f>IF('BOULEVARD 5'!E202="","",'BOULEVARD 5'!E202)</f>
        <v>Antonio Rada</v>
      </c>
      <c r="G204" s="429" t="str">
        <f>IF('BOULEVARD 5'!F202="","",'BOULEVARD 5'!F202)</f>
        <v>Fausto Norberth Mendez Melgar</v>
      </c>
      <c r="H204" s="473">
        <f>IF('BOULEVARD 5'!G202="","",'BOULEVARD 5'!G202)</f>
        <v>45263</v>
      </c>
      <c r="I204" s="554" t="str">
        <f t="shared" si="48"/>
        <v/>
      </c>
      <c r="J204" s="554" t="str">
        <f t="shared" si="48"/>
        <v/>
      </c>
      <c r="K204" s="554" t="str">
        <f t="shared" si="48"/>
        <v/>
      </c>
      <c r="L204" s="554" t="str">
        <f t="shared" si="48"/>
        <v/>
      </c>
      <c r="M204" s="554" t="str">
        <f t="shared" si="48"/>
        <v/>
      </c>
      <c r="N204" s="554" t="str">
        <f t="shared" si="48"/>
        <v/>
      </c>
      <c r="O204" s="554" t="str">
        <f t="shared" si="48"/>
        <v/>
      </c>
      <c r="P204" s="554" t="str">
        <f t="shared" si="48"/>
        <v/>
      </c>
      <c r="Q204" s="554" t="str">
        <f t="shared" si="48"/>
        <v/>
      </c>
      <c r="R204" s="554">
        <f t="shared" si="48"/>
        <v>1</v>
      </c>
      <c r="S204" s="554">
        <f t="shared" si="48"/>
        <v>2</v>
      </c>
      <c r="T204" s="554">
        <f t="shared" si="48"/>
        <v>2</v>
      </c>
      <c r="U204" s="554">
        <f t="shared" si="48"/>
        <v>2</v>
      </c>
      <c r="V204" s="554">
        <f t="shared" si="48"/>
        <v>2</v>
      </c>
      <c r="W204" s="554">
        <f t="shared" si="48"/>
        <v>2</v>
      </c>
      <c r="X204" s="554">
        <f t="shared" si="46"/>
        <v>2</v>
      </c>
      <c r="Y204" s="554">
        <f t="shared" si="46"/>
        <v>2</v>
      </c>
      <c r="Z204" s="554">
        <f t="shared" si="46"/>
        <v>2</v>
      </c>
      <c r="AA204" s="554">
        <f t="shared" si="46"/>
        <v>2</v>
      </c>
      <c r="AB204" s="554">
        <f t="shared" si="46"/>
        <v>2</v>
      </c>
      <c r="AC204" s="554">
        <f t="shared" si="46"/>
        <v>2</v>
      </c>
      <c r="AD204" s="554">
        <f t="shared" si="46"/>
        <v>2</v>
      </c>
      <c r="AE204" s="554">
        <f t="shared" si="46"/>
        <v>2</v>
      </c>
      <c r="AF204" s="554">
        <f t="shared" si="46"/>
        <v>2</v>
      </c>
      <c r="AG204" s="554">
        <f t="shared" si="46"/>
        <v>2</v>
      </c>
      <c r="AH204" s="554">
        <f t="shared" si="46"/>
        <v>2</v>
      </c>
      <c r="AI204" s="554">
        <f t="shared" si="46"/>
        <v>2</v>
      </c>
      <c r="AJ204" s="554">
        <f t="shared" si="46"/>
        <v>2</v>
      </c>
      <c r="AK204" s="554">
        <f t="shared" si="46"/>
        <v>2</v>
      </c>
      <c r="AL204" s="554">
        <f t="shared" si="46"/>
        <v>2</v>
      </c>
      <c r="AM204" s="554">
        <f t="shared" si="46"/>
        <v>2</v>
      </c>
      <c r="AN204" s="554">
        <f t="shared" si="47"/>
        <v>2</v>
      </c>
      <c r="AO204" s="554">
        <f t="shared" si="45"/>
        <v>2</v>
      </c>
      <c r="AP204" s="554">
        <f t="shared" si="45"/>
        <v>2</v>
      </c>
      <c r="AQ204" s="429" t="str">
        <f t="shared" si="49"/>
        <v>Vendido</v>
      </c>
      <c r="AR204" s="447">
        <f>_xlfn.XLOOKUP(C204,'BOULEVARD 5'!B:B,'BOULEVARD 5'!AU:AU)</f>
        <v>1.2865288145915827</v>
      </c>
    </row>
    <row r="205" spans="1:44" s="429" customFormat="1" ht="13.9" customHeight="1" x14ac:dyDescent="0.25">
      <c r="B205" s="678" t="str">
        <f>IF('B5-Status cobranza'!A205&gt;0,'B5-Status cobranza'!A205,"")</f>
        <v/>
      </c>
      <c r="C205" s="436">
        <v>1110</v>
      </c>
      <c r="D205" s="436" t="s">
        <v>467</v>
      </c>
      <c r="E205" s="436"/>
      <c r="F205" s="436" t="str">
        <f>IF('BOULEVARD 5'!E203="","",'BOULEVARD 5'!E203)</f>
        <v>Antonio Rada</v>
      </c>
      <c r="G205" s="429" t="str">
        <f>IF('BOULEVARD 5'!F203="","",'BOULEVARD 5'!F203)</f>
        <v>Juan Carlos Lantzendorffer Haas</v>
      </c>
      <c r="H205" s="473">
        <f>IF('BOULEVARD 5'!G203="","",'BOULEVARD 5'!G203)</f>
        <v>45143</v>
      </c>
      <c r="I205" s="554" t="str">
        <f t="shared" si="48"/>
        <v/>
      </c>
      <c r="J205" s="554" t="str">
        <f t="shared" si="48"/>
        <v/>
      </c>
      <c r="K205" s="554" t="str">
        <f t="shared" si="48"/>
        <v/>
      </c>
      <c r="L205" s="554" t="str">
        <f t="shared" si="48"/>
        <v/>
      </c>
      <c r="M205" s="554" t="str">
        <f t="shared" si="48"/>
        <v/>
      </c>
      <c r="N205" s="554">
        <f t="shared" si="48"/>
        <v>1</v>
      </c>
      <c r="O205" s="554">
        <f t="shared" si="48"/>
        <v>2</v>
      </c>
      <c r="P205" s="554">
        <f t="shared" si="48"/>
        <v>2</v>
      </c>
      <c r="Q205" s="554">
        <f t="shared" si="48"/>
        <v>2</v>
      </c>
      <c r="R205" s="554">
        <f t="shared" si="48"/>
        <v>2</v>
      </c>
      <c r="S205" s="554">
        <f t="shared" si="48"/>
        <v>2</v>
      </c>
      <c r="T205" s="554">
        <f t="shared" si="48"/>
        <v>2</v>
      </c>
      <c r="U205" s="554">
        <f t="shared" si="48"/>
        <v>2</v>
      </c>
      <c r="V205" s="554">
        <f t="shared" si="48"/>
        <v>2</v>
      </c>
      <c r="W205" s="554">
        <f t="shared" si="48"/>
        <v>2</v>
      </c>
      <c r="X205" s="554">
        <f t="shared" si="46"/>
        <v>2</v>
      </c>
      <c r="Y205" s="554">
        <f t="shared" si="46"/>
        <v>2</v>
      </c>
      <c r="Z205" s="554">
        <f t="shared" si="46"/>
        <v>2</v>
      </c>
      <c r="AA205" s="554">
        <f t="shared" si="46"/>
        <v>2</v>
      </c>
      <c r="AB205" s="554">
        <f t="shared" si="46"/>
        <v>2</v>
      </c>
      <c r="AC205" s="554">
        <f t="shared" si="46"/>
        <v>2</v>
      </c>
      <c r="AD205" s="554">
        <f t="shared" si="46"/>
        <v>2</v>
      </c>
      <c r="AE205" s="554">
        <f t="shared" si="46"/>
        <v>2</v>
      </c>
      <c r="AF205" s="554">
        <f t="shared" si="46"/>
        <v>2</v>
      </c>
      <c r="AG205" s="554">
        <f t="shared" si="46"/>
        <v>2</v>
      </c>
      <c r="AH205" s="554">
        <f t="shared" si="46"/>
        <v>2</v>
      </c>
      <c r="AI205" s="554">
        <f t="shared" si="46"/>
        <v>2</v>
      </c>
      <c r="AJ205" s="554">
        <f t="shared" si="46"/>
        <v>2</v>
      </c>
      <c r="AK205" s="554">
        <f t="shared" si="46"/>
        <v>2</v>
      </c>
      <c r="AL205" s="554">
        <f t="shared" si="46"/>
        <v>2</v>
      </c>
      <c r="AM205" s="554">
        <f t="shared" si="46"/>
        <v>2</v>
      </c>
      <c r="AN205" s="554">
        <f t="shared" si="47"/>
        <v>2</v>
      </c>
      <c r="AO205" s="554">
        <f t="shared" si="45"/>
        <v>2</v>
      </c>
      <c r="AP205" s="554">
        <f t="shared" si="45"/>
        <v>2</v>
      </c>
      <c r="AQ205" s="429" t="str">
        <f t="shared" si="49"/>
        <v>Vendido</v>
      </c>
      <c r="AR205" s="447">
        <f>_xlfn.XLOOKUP(C205,'BOULEVARD 5'!B:B,'BOULEVARD 5'!AU:AU)</f>
        <v>1</v>
      </c>
    </row>
    <row r="206" spans="1:44" s="429" customFormat="1" ht="13.9" customHeight="1" x14ac:dyDescent="0.25">
      <c r="B206" s="678" t="str">
        <f>IF('B5-Status cobranza'!A206&gt;0,'B5-Status cobranza'!A206,"")</f>
        <v/>
      </c>
      <c r="C206" s="436">
        <v>1111</v>
      </c>
      <c r="D206" s="436" t="s">
        <v>469</v>
      </c>
      <c r="E206" s="436"/>
      <c r="F206" s="436" t="str">
        <f>IF('BOULEVARD 5'!E204="","",'BOULEVARD 5'!E204)</f>
        <v>Antonio Rada</v>
      </c>
      <c r="G206" s="429" t="str">
        <f>IF('BOULEVARD 5'!F204="","",'BOULEVARD 5'!F204)</f>
        <v>Erika Ruth Castro Juarez</v>
      </c>
      <c r="H206" s="473">
        <f>IF('BOULEVARD 5'!G204="","",'BOULEVARD 5'!G204)</f>
        <v>45329</v>
      </c>
      <c r="I206" s="554" t="str">
        <f t="shared" si="48"/>
        <v/>
      </c>
      <c r="J206" s="554" t="str">
        <f t="shared" si="48"/>
        <v/>
      </c>
      <c r="K206" s="554" t="str">
        <f t="shared" si="48"/>
        <v/>
      </c>
      <c r="L206" s="554" t="str">
        <f t="shared" si="48"/>
        <v/>
      </c>
      <c r="M206" s="554" t="str">
        <f t="shared" si="48"/>
        <v/>
      </c>
      <c r="N206" s="554" t="str">
        <f t="shared" si="48"/>
        <v/>
      </c>
      <c r="O206" s="554" t="str">
        <f t="shared" si="48"/>
        <v/>
      </c>
      <c r="P206" s="554" t="str">
        <f t="shared" si="48"/>
        <v/>
      </c>
      <c r="Q206" s="554" t="str">
        <f t="shared" si="48"/>
        <v/>
      </c>
      <c r="R206" s="554" t="str">
        <f t="shared" si="48"/>
        <v/>
      </c>
      <c r="S206" s="554" t="str">
        <f t="shared" si="48"/>
        <v/>
      </c>
      <c r="T206" s="554">
        <f t="shared" si="48"/>
        <v>1</v>
      </c>
      <c r="U206" s="554">
        <f t="shared" si="48"/>
        <v>2</v>
      </c>
      <c r="V206" s="554">
        <f t="shared" si="48"/>
        <v>2</v>
      </c>
      <c r="W206" s="554">
        <f t="shared" si="48"/>
        <v>2</v>
      </c>
      <c r="X206" s="554">
        <f t="shared" si="46"/>
        <v>2</v>
      </c>
      <c r="Y206" s="554">
        <f t="shared" si="46"/>
        <v>2</v>
      </c>
      <c r="Z206" s="554">
        <f t="shared" si="46"/>
        <v>2</v>
      </c>
      <c r="AA206" s="554">
        <f t="shared" si="46"/>
        <v>2</v>
      </c>
      <c r="AB206" s="554">
        <f t="shared" si="46"/>
        <v>2</v>
      </c>
      <c r="AC206" s="554">
        <f t="shared" si="46"/>
        <v>2</v>
      </c>
      <c r="AD206" s="554">
        <f t="shared" si="46"/>
        <v>2</v>
      </c>
      <c r="AE206" s="554">
        <f t="shared" si="46"/>
        <v>2</v>
      </c>
      <c r="AF206" s="554">
        <f t="shared" si="46"/>
        <v>2</v>
      </c>
      <c r="AG206" s="554">
        <f t="shared" si="46"/>
        <v>2</v>
      </c>
      <c r="AH206" s="554">
        <f t="shared" si="46"/>
        <v>2</v>
      </c>
      <c r="AI206" s="554">
        <f t="shared" si="46"/>
        <v>2</v>
      </c>
      <c r="AJ206" s="554">
        <f t="shared" si="46"/>
        <v>2</v>
      </c>
      <c r="AK206" s="554">
        <f t="shared" si="46"/>
        <v>2</v>
      </c>
      <c r="AL206" s="554">
        <f t="shared" si="46"/>
        <v>2</v>
      </c>
      <c r="AM206" s="554">
        <f t="shared" si="46"/>
        <v>2</v>
      </c>
      <c r="AN206" s="554">
        <f t="shared" si="47"/>
        <v>2</v>
      </c>
      <c r="AO206" s="554">
        <f t="shared" si="45"/>
        <v>2</v>
      </c>
      <c r="AP206" s="554">
        <f t="shared" si="45"/>
        <v>2</v>
      </c>
      <c r="AQ206" s="429" t="str">
        <f t="shared" si="49"/>
        <v>Vendido</v>
      </c>
      <c r="AR206" s="447">
        <f>_xlfn.XLOOKUP(C206,'BOULEVARD 5'!B:B,'BOULEVARD 5'!AU:AU)</f>
        <v>0.99931743472707857</v>
      </c>
    </row>
    <row r="207" spans="1:44" s="429" customFormat="1" ht="13.9" customHeight="1" x14ac:dyDescent="0.25">
      <c r="B207" s="678" t="str">
        <f>IF('B5-Status cobranza'!A207&gt;0,'B5-Status cobranza'!A207,"")</f>
        <v/>
      </c>
      <c r="C207" s="436">
        <v>1112</v>
      </c>
      <c r="D207" s="436" t="s">
        <v>406</v>
      </c>
      <c r="E207" s="436"/>
      <c r="F207" s="436" t="str">
        <f>IF('BOULEVARD 5'!E205="","",'BOULEVARD 5'!E205)</f>
        <v>Antonio Rada</v>
      </c>
      <c r="G207" s="429" t="str">
        <f>IF('BOULEVARD 5'!F205="","",'BOULEVARD 5'!F205)</f>
        <v>Grupo Sak Y Sak, S.A.</v>
      </c>
      <c r="H207" s="473">
        <f>IF('BOULEVARD 5'!G205="","",'BOULEVARD 5'!G205)</f>
        <v>45083</v>
      </c>
      <c r="I207" s="554" t="str">
        <f t="shared" si="48"/>
        <v/>
      </c>
      <c r="J207" s="554" t="str">
        <f t="shared" si="48"/>
        <v/>
      </c>
      <c r="K207" s="554" t="str">
        <f t="shared" si="48"/>
        <v/>
      </c>
      <c r="L207" s="554">
        <f t="shared" si="48"/>
        <v>1</v>
      </c>
      <c r="M207" s="554">
        <f t="shared" si="48"/>
        <v>2</v>
      </c>
      <c r="N207" s="554">
        <f t="shared" si="48"/>
        <v>2</v>
      </c>
      <c r="O207" s="554">
        <f t="shared" si="48"/>
        <v>2</v>
      </c>
      <c r="P207" s="554">
        <f t="shared" si="48"/>
        <v>2</v>
      </c>
      <c r="Q207" s="554">
        <f t="shared" si="48"/>
        <v>2</v>
      </c>
      <c r="R207" s="554">
        <f t="shared" si="48"/>
        <v>2</v>
      </c>
      <c r="S207" s="554">
        <f t="shared" si="48"/>
        <v>2</v>
      </c>
      <c r="T207" s="554">
        <f t="shared" si="48"/>
        <v>2</v>
      </c>
      <c r="U207" s="554">
        <f t="shared" si="48"/>
        <v>2</v>
      </c>
      <c r="V207" s="554">
        <f t="shared" si="48"/>
        <v>2</v>
      </c>
      <c r="W207" s="554">
        <f t="shared" si="48"/>
        <v>2</v>
      </c>
      <c r="X207" s="554">
        <f t="shared" si="46"/>
        <v>2</v>
      </c>
      <c r="Y207" s="554">
        <f t="shared" si="46"/>
        <v>2</v>
      </c>
      <c r="Z207" s="554">
        <f t="shared" si="46"/>
        <v>2</v>
      </c>
      <c r="AA207" s="554">
        <f t="shared" si="46"/>
        <v>2</v>
      </c>
      <c r="AB207" s="554">
        <f t="shared" si="46"/>
        <v>2</v>
      </c>
      <c r="AC207" s="554">
        <f t="shared" si="46"/>
        <v>2</v>
      </c>
      <c r="AD207" s="554">
        <f t="shared" si="46"/>
        <v>2</v>
      </c>
      <c r="AE207" s="554">
        <f t="shared" si="46"/>
        <v>2</v>
      </c>
      <c r="AF207" s="554">
        <f t="shared" si="46"/>
        <v>2</v>
      </c>
      <c r="AG207" s="554">
        <f t="shared" si="46"/>
        <v>2</v>
      </c>
      <c r="AH207" s="554">
        <f t="shared" si="46"/>
        <v>2</v>
      </c>
      <c r="AI207" s="554">
        <f t="shared" si="46"/>
        <v>2</v>
      </c>
      <c r="AJ207" s="554">
        <f t="shared" si="46"/>
        <v>2</v>
      </c>
      <c r="AK207" s="554">
        <f t="shared" si="46"/>
        <v>2</v>
      </c>
      <c r="AL207" s="554">
        <f t="shared" si="46"/>
        <v>2</v>
      </c>
      <c r="AM207" s="554">
        <f t="shared" si="46"/>
        <v>2</v>
      </c>
      <c r="AN207" s="554">
        <f t="shared" si="47"/>
        <v>2</v>
      </c>
      <c r="AO207" s="554">
        <f t="shared" si="45"/>
        <v>2</v>
      </c>
      <c r="AP207" s="554">
        <f t="shared" si="45"/>
        <v>2</v>
      </c>
      <c r="AQ207" s="429" t="str">
        <f t="shared" si="49"/>
        <v>Vendido</v>
      </c>
      <c r="AR207" s="447">
        <f>_xlfn.XLOOKUP(C207,'BOULEVARD 5'!B:B,'BOULEVARD 5'!AU:AU)</f>
        <v>0.96700035708123089</v>
      </c>
    </row>
    <row r="208" spans="1:44" s="429" customFormat="1" ht="13.9" customHeight="1" x14ac:dyDescent="0.25">
      <c r="B208" s="678" t="str">
        <f>IF('B5-Status cobranza'!A208&gt;0,'B5-Status cobranza'!A208,"")</f>
        <v/>
      </c>
      <c r="C208" s="436">
        <v>1113</v>
      </c>
      <c r="D208" s="436" t="s">
        <v>181</v>
      </c>
      <c r="E208" s="436"/>
      <c r="F208" s="436" t="str">
        <f>IF('BOULEVARD 5'!E206="","",'BOULEVARD 5'!E206)</f>
        <v>Jose Franco</v>
      </c>
      <c r="G208" s="429" t="str">
        <f>IF('BOULEVARD 5'!F206="","",'BOULEVARD 5'!F206)</f>
        <v>Marcas &amp; Secretos, S.A.</v>
      </c>
      <c r="H208" s="473">
        <f>IF('BOULEVARD 5'!G206="","",'BOULEVARD 5'!G206)</f>
        <v>45021</v>
      </c>
      <c r="I208" s="554" t="str">
        <f t="shared" si="48"/>
        <v/>
      </c>
      <c r="J208" s="554">
        <f t="shared" si="48"/>
        <v>1</v>
      </c>
      <c r="K208" s="554">
        <f t="shared" si="48"/>
        <v>2</v>
      </c>
      <c r="L208" s="554">
        <f t="shared" si="48"/>
        <v>2</v>
      </c>
      <c r="M208" s="554">
        <f t="shared" si="48"/>
        <v>2</v>
      </c>
      <c r="N208" s="554">
        <f t="shared" si="48"/>
        <v>2</v>
      </c>
      <c r="O208" s="554">
        <f t="shared" si="48"/>
        <v>2</v>
      </c>
      <c r="P208" s="554">
        <f t="shared" si="48"/>
        <v>2</v>
      </c>
      <c r="Q208" s="554">
        <f t="shared" si="48"/>
        <v>2</v>
      </c>
      <c r="R208" s="554">
        <f t="shared" si="48"/>
        <v>2</v>
      </c>
      <c r="S208" s="554">
        <f t="shared" si="48"/>
        <v>2</v>
      </c>
      <c r="T208" s="554">
        <f t="shared" si="48"/>
        <v>2</v>
      </c>
      <c r="U208" s="554">
        <f t="shared" si="48"/>
        <v>2</v>
      </c>
      <c r="V208" s="554">
        <f t="shared" si="48"/>
        <v>2</v>
      </c>
      <c r="W208" s="554">
        <f t="shared" si="48"/>
        <v>2</v>
      </c>
      <c r="X208" s="554">
        <f t="shared" si="46"/>
        <v>2</v>
      </c>
      <c r="Y208" s="554">
        <f t="shared" si="46"/>
        <v>2</v>
      </c>
      <c r="Z208" s="554">
        <f t="shared" si="46"/>
        <v>2</v>
      </c>
      <c r="AA208" s="554">
        <f t="shared" si="46"/>
        <v>2</v>
      </c>
      <c r="AB208" s="554">
        <f t="shared" si="46"/>
        <v>2</v>
      </c>
      <c r="AC208" s="554">
        <f t="shared" si="46"/>
        <v>2</v>
      </c>
      <c r="AD208" s="554">
        <f t="shared" si="46"/>
        <v>2</v>
      </c>
      <c r="AE208" s="554">
        <f t="shared" si="46"/>
        <v>2</v>
      </c>
      <c r="AF208" s="554">
        <f t="shared" si="46"/>
        <v>2</v>
      </c>
      <c r="AG208" s="554">
        <f t="shared" si="46"/>
        <v>2</v>
      </c>
      <c r="AH208" s="554">
        <f t="shared" si="46"/>
        <v>2</v>
      </c>
      <c r="AI208" s="554">
        <f t="shared" si="46"/>
        <v>2</v>
      </c>
      <c r="AJ208" s="554">
        <f t="shared" si="46"/>
        <v>2</v>
      </c>
      <c r="AK208" s="554">
        <f t="shared" si="46"/>
        <v>2</v>
      </c>
      <c r="AL208" s="554">
        <f t="shared" si="46"/>
        <v>2</v>
      </c>
      <c r="AM208" s="554">
        <f t="shared" si="46"/>
        <v>2</v>
      </c>
      <c r="AN208" s="554">
        <f t="shared" si="47"/>
        <v>2</v>
      </c>
      <c r="AO208" s="554">
        <f t="shared" si="45"/>
        <v>2</v>
      </c>
      <c r="AP208" s="554">
        <f t="shared" si="45"/>
        <v>2</v>
      </c>
      <c r="AQ208" s="429" t="str">
        <f t="shared" si="49"/>
        <v>Vendido</v>
      </c>
      <c r="AR208" s="447">
        <f>_xlfn.XLOOKUP(C208,'BOULEVARD 5'!B:B,'BOULEVARD 5'!AU:AU)</f>
        <v>1</v>
      </c>
    </row>
    <row r="209" spans="1:44" s="429" customFormat="1" ht="13.9" customHeight="1" x14ac:dyDescent="0.25">
      <c r="B209" s="678" t="str">
        <f>IF('B5-Status cobranza'!A209&gt;0,'B5-Status cobranza'!A209,"")</f>
        <v/>
      </c>
      <c r="C209" s="436">
        <v>1114</v>
      </c>
      <c r="D209" s="436" t="s">
        <v>611</v>
      </c>
      <c r="E209" s="436"/>
      <c r="F209" s="436" t="str">
        <f>IF('BOULEVARD 5'!E207="","",'BOULEVARD 5'!E207)</f>
        <v>Antonio Rada</v>
      </c>
      <c r="G209" s="429" t="str">
        <f>IF('BOULEVARD 5'!F207="","",'BOULEVARD 5'!F207)</f>
        <v>Clara Hilda Maria Falla Bianchi De Cruz-Gomar</v>
      </c>
      <c r="H209" s="473">
        <f>IF('BOULEVARD 5'!G207="","",'BOULEVARD 5'!G207)</f>
        <v>45440</v>
      </c>
      <c r="I209" s="554" t="str">
        <f t="shared" si="48"/>
        <v/>
      </c>
      <c r="J209" s="554" t="str">
        <f t="shared" si="48"/>
        <v/>
      </c>
      <c r="K209" s="554" t="str">
        <f t="shared" si="48"/>
        <v/>
      </c>
      <c r="L209" s="554" t="str">
        <f t="shared" si="48"/>
        <v/>
      </c>
      <c r="M209" s="554" t="str">
        <f t="shared" si="48"/>
        <v/>
      </c>
      <c r="N209" s="554" t="str">
        <f t="shared" si="48"/>
        <v/>
      </c>
      <c r="O209" s="554" t="str">
        <f t="shared" si="48"/>
        <v/>
      </c>
      <c r="P209" s="554" t="str">
        <f t="shared" si="48"/>
        <v/>
      </c>
      <c r="Q209" s="554" t="str">
        <f t="shared" si="48"/>
        <v/>
      </c>
      <c r="R209" s="554" t="str">
        <f t="shared" si="48"/>
        <v/>
      </c>
      <c r="S209" s="554" t="str">
        <f t="shared" si="48"/>
        <v/>
      </c>
      <c r="T209" s="554" t="str">
        <f t="shared" si="48"/>
        <v/>
      </c>
      <c r="U209" s="554" t="str">
        <f t="shared" si="48"/>
        <v/>
      </c>
      <c r="V209" s="554" t="str">
        <f t="shared" si="48"/>
        <v/>
      </c>
      <c r="W209" s="554">
        <f t="shared" si="48"/>
        <v>1</v>
      </c>
      <c r="X209" s="554">
        <f t="shared" si="46"/>
        <v>2</v>
      </c>
      <c r="Y209" s="554">
        <f t="shared" si="46"/>
        <v>2</v>
      </c>
      <c r="Z209" s="554">
        <f t="shared" si="46"/>
        <v>2</v>
      </c>
      <c r="AA209" s="554">
        <f t="shared" si="46"/>
        <v>2</v>
      </c>
      <c r="AB209" s="554">
        <f t="shared" si="46"/>
        <v>2</v>
      </c>
      <c r="AC209" s="554">
        <f t="shared" si="46"/>
        <v>2</v>
      </c>
      <c r="AD209" s="554">
        <f t="shared" si="46"/>
        <v>2</v>
      </c>
      <c r="AE209" s="554">
        <f t="shared" si="46"/>
        <v>2</v>
      </c>
      <c r="AF209" s="554">
        <f t="shared" si="46"/>
        <v>2</v>
      </c>
      <c r="AG209" s="554">
        <f t="shared" si="46"/>
        <v>2</v>
      </c>
      <c r="AH209" s="554">
        <f t="shared" si="46"/>
        <v>2</v>
      </c>
      <c r="AI209" s="554">
        <f t="shared" si="46"/>
        <v>2</v>
      </c>
      <c r="AJ209" s="554">
        <f t="shared" si="46"/>
        <v>2</v>
      </c>
      <c r="AK209" s="554">
        <f t="shared" si="46"/>
        <v>2</v>
      </c>
      <c r="AL209" s="554">
        <f t="shared" si="46"/>
        <v>2</v>
      </c>
      <c r="AM209" s="554">
        <f t="shared" si="46"/>
        <v>2</v>
      </c>
      <c r="AN209" s="554">
        <f t="shared" si="47"/>
        <v>2</v>
      </c>
      <c r="AO209" s="554">
        <f t="shared" si="45"/>
        <v>2</v>
      </c>
      <c r="AP209" s="554">
        <f t="shared" si="45"/>
        <v>2</v>
      </c>
      <c r="AQ209" s="429" t="str">
        <f t="shared" si="49"/>
        <v>Vendido</v>
      </c>
      <c r="AR209" s="447">
        <f>_xlfn.XLOOKUP(C209,'BOULEVARD 5'!B:B,'BOULEVARD 5'!AU:AU)</f>
        <v>0.78654618772577611</v>
      </c>
    </row>
    <row r="210" spans="1:44" s="429" customFormat="1" ht="13.9" customHeight="1" x14ac:dyDescent="0.25">
      <c r="B210" s="678" t="str">
        <f>IF('B5-Status cobranza'!A210&gt;0,'B5-Status cobranza'!A210,"")</f>
        <v/>
      </c>
      <c r="C210" s="436">
        <v>1115</v>
      </c>
      <c r="D210" s="436" t="s">
        <v>400</v>
      </c>
      <c r="E210" s="436"/>
      <c r="F210" s="436" t="str">
        <f>IF('BOULEVARD 5'!E208="","",'BOULEVARD 5'!E208)</f>
        <v>Antonio Rada</v>
      </c>
      <c r="G210" s="429" t="str">
        <f>IF('BOULEVARD 5'!F208="","",'BOULEVARD 5'!F208)</f>
        <v>Eddy Francisco Mac-Intosh López</v>
      </c>
      <c r="H210" s="473">
        <f>IF('BOULEVARD 5'!G208="","",'BOULEVARD 5'!G208)</f>
        <v>45755</v>
      </c>
      <c r="I210" s="554" t="str">
        <f t="shared" si="48"/>
        <v/>
      </c>
      <c r="J210" s="554" t="str">
        <f t="shared" si="48"/>
        <v/>
      </c>
      <c r="K210" s="554" t="str">
        <f t="shared" si="48"/>
        <v/>
      </c>
      <c r="L210" s="554" t="str">
        <f t="shared" si="48"/>
        <v/>
      </c>
      <c r="M210" s="554" t="str">
        <f t="shared" si="48"/>
        <v/>
      </c>
      <c r="N210" s="554" t="str">
        <f t="shared" si="48"/>
        <v/>
      </c>
      <c r="O210" s="554" t="str">
        <f t="shared" si="48"/>
        <v/>
      </c>
      <c r="P210" s="554" t="str">
        <f t="shared" si="48"/>
        <v/>
      </c>
      <c r="Q210" s="554" t="str">
        <f t="shared" si="48"/>
        <v/>
      </c>
      <c r="R210" s="554" t="str">
        <f t="shared" si="48"/>
        <v/>
      </c>
      <c r="S210" s="554" t="str">
        <f t="shared" si="48"/>
        <v/>
      </c>
      <c r="T210" s="554" t="str">
        <f t="shared" si="48"/>
        <v/>
      </c>
      <c r="U210" s="554" t="str">
        <f t="shared" si="48"/>
        <v/>
      </c>
      <c r="V210" s="554" t="str">
        <f t="shared" si="48"/>
        <v/>
      </c>
      <c r="W210" s="554" t="str">
        <f t="shared" si="48"/>
        <v/>
      </c>
      <c r="X210" s="554" t="str">
        <f t="shared" si="46"/>
        <v/>
      </c>
      <c r="Y210" s="554" t="str">
        <f t="shared" si="46"/>
        <v/>
      </c>
      <c r="Z210" s="554" t="str">
        <f t="shared" si="46"/>
        <v/>
      </c>
      <c r="AA210" s="554" t="str">
        <f t="shared" si="46"/>
        <v/>
      </c>
      <c r="AB210" s="554" t="str">
        <f t="shared" si="46"/>
        <v/>
      </c>
      <c r="AC210" s="554" t="str">
        <f t="shared" si="46"/>
        <v/>
      </c>
      <c r="AD210" s="554" t="str">
        <f t="shared" si="46"/>
        <v/>
      </c>
      <c r="AE210" s="554" t="str">
        <f t="shared" si="46"/>
        <v/>
      </c>
      <c r="AF210" s="554" t="str">
        <f t="shared" si="46"/>
        <v/>
      </c>
      <c r="AG210" s="554" t="str">
        <f t="shared" si="46"/>
        <v/>
      </c>
      <c r="AH210" s="554">
        <f t="shared" si="46"/>
        <v>1</v>
      </c>
      <c r="AI210" s="554">
        <f t="shared" si="46"/>
        <v>2</v>
      </c>
      <c r="AJ210" s="554">
        <f t="shared" si="46"/>
        <v>2</v>
      </c>
      <c r="AK210" s="554">
        <f t="shared" si="46"/>
        <v>2</v>
      </c>
      <c r="AL210" s="554">
        <f t="shared" si="46"/>
        <v>2</v>
      </c>
      <c r="AM210" s="554">
        <f t="shared" si="46"/>
        <v>2</v>
      </c>
      <c r="AN210" s="554">
        <f t="shared" si="47"/>
        <v>2</v>
      </c>
      <c r="AO210" s="554">
        <f t="shared" si="45"/>
        <v>2</v>
      </c>
      <c r="AP210" s="554">
        <f t="shared" si="45"/>
        <v>2</v>
      </c>
      <c r="AQ210" s="429" t="str">
        <f t="shared" si="49"/>
        <v>Vendido</v>
      </c>
      <c r="AR210" s="447">
        <f>_xlfn.XLOOKUP(C210,'BOULEVARD 5'!B:B,'BOULEVARD 5'!AU:AU)</f>
        <v>0.719188805757359</v>
      </c>
    </row>
    <row r="211" spans="1:44" s="429" customFormat="1" ht="13.9" customHeight="1" x14ac:dyDescent="0.25">
      <c r="A211" s="429" t="s">
        <v>388</v>
      </c>
      <c r="B211" s="678"/>
      <c r="C211" s="436">
        <v>1116</v>
      </c>
      <c r="D211" s="436" t="s">
        <v>175</v>
      </c>
      <c r="E211" s="642" t="s">
        <v>336</v>
      </c>
      <c r="F211" s="436" t="str">
        <f>IF('BOULEVARD 5'!E209="","",'BOULEVARD 5'!E209)</f>
        <v>Antonio Rada</v>
      </c>
      <c r="G211" s="429" t="str">
        <f>IF('BOULEVARD 5'!F209="","",'BOULEVARD 5'!F209)</f>
        <v>Francisco Javier Arriaza Reyes</v>
      </c>
      <c r="H211" s="473">
        <f>IF('BOULEVARD 5'!G209="","",'BOULEVARD 5'!G209)</f>
        <v>45337</v>
      </c>
      <c r="I211" s="554" t="str">
        <f t="shared" si="48"/>
        <v/>
      </c>
      <c r="J211" s="554" t="str">
        <f t="shared" si="48"/>
        <v/>
      </c>
      <c r="K211" s="554" t="str">
        <f t="shared" si="48"/>
        <v/>
      </c>
      <c r="L211" s="554" t="str">
        <f t="shared" si="48"/>
        <v/>
      </c>
      <c r="M211" s="554" t="str">
        <f t="shared" si="48"/>
        <v/>
      </c>
      <c r="N211" s="554" t="str">
        <f t="shared" si="48"/>
        <v/>
      </c>
      <c r="O211" s="554" t="str">
        <f t="shared" si="48"/>
        <v/>
      </c>
      <c r="P211" s="554" t="str">
        <f t="shared" si="48"/>
        <v/>
      </c>
      <c r="Q211" s="554" t="str">
        <f t="shared" si="48"/>
        <v/>
      </c>
      <c r="R211" s="554" t="str">
        <f t="shared" si="48"/>
        <v/>
      </c>
      <c r="S211" s="554" t="str">
        <f t="shared" si="48"/>
        <v/>
      </c>
      <c r="T211" s="554">
        <f t="shared" si="48"/>
        <v>1</v>
      </c>
      <c r="U211" s="554">
        <f t="shared" si="48"/>
        <v>2</v>
      </c>
      <c r="V211" s="554">
        <f t="shared" si="48"/>
        <v>2</v>
      </c>
      <c r="W211" s="554">
        <f t="shared" si="48"/>
        <v>2</v>
      </c>
      <c r="X211" s="554">
        <f t="shared" si="46"/>
        <v>2</v>
      </c>
      <c r="Y211" s="554">
        <f t="shared" si="46"/>
        <v>2</v>
      </c>
      <c r="Z211" s="554">
        <f t="shared" si="46"/>
        <v>2</v>
      </c>
      <c r="AA211" s="554">
        <f t="shared" si="46"/>
        <v>2</v>
      </c>
      <c r="AB211" s="554">
        <f t="shared" si="46"/>
        <v>2</v>
      </c>
      <c r="AC211" s="554">
        <f t="shared" si="46"/>
        <v>2</v>
      </c>
      <c r="AD211" s="554">
        <f t="shared" si="46"/>
        <v>2</v>
      </c>
      <c r="AE211" s="554">
        <f t="shared" si="46"/>
        <v>2</v>
      </c>
      <c r="AF211" s="554">
        <f t="shared" si="46"/>
        <v>2</v>
      </c>
      <c r="AG211" s="554">
        <f t="shared" si="46"/>
        <v>2</v>
      </c>
      <c r="AH211" s="554">
        <f t="shared" si="46"/>
        <v>2</v>
      </c>
      <c r="AI211" s="554">
        <f t="shared" si="46"/>
        <v>2</v>
      </c>
      <c r="AJ211" s="554">
        <f t="shared" si="46"/>
        <v>2</v>
      </c>
      <c r="AK211" s="554">
        <f t="shared" si="46"/>
        <v>2</v>
      </c>
      <c r="AL211" s="554">
        <f t="shared" si="46"/>
        <v>2</v>
      </c>
      <c r="AM211" s="554">
        <f t="shared" si="46"/>
        <v>2</v>
      </c>
      <c r="AN211" s="554">
        <f t="shared" si="47"/>
        <v>2</v>
      </c>
      <c r="AO211" s="554">
        <f t="shared" si="45"/>
        <v>2</v>
      </c>
      <c r="AP211" s="554">
        <f t="shared" si="45"/>
        <v>2</v>
      </c>
      <c r="AQ211" s="429" t="str">
        <f t="shared" si="49"/>
        <v>Vendido</v>
      </c>
      <c r="AR211" s="447">
        <f>_xlfn.XLOOKUP(C211,'BOULEVARD 5'!B:B,'BOULEVARD 5'!AU:AU)</f>
        <v>0.74344594594594593</v>
      </c>
    </row>
    <row r="212" spans="1:44" s="429" customFormat="1" ht="13.9" customHeight="1" x14ac:dyDescent="0.25">
      <c r="B212" s="678" t="str">
        <f>IF('B5-Status cobranza'!A212&gt;0,'B5-Status cobranza'!A212,"")</f>
        <v/>
      </c>
      <c r="C212" s="436">
        <v>1117</v>
      </c>
      <c r="D212" s="436" t="s">
        <v>597</v>
      </c>
      <c r="E212" s="436"/>
      <c r="F212" s="436" t="str">
        <f>IF('BOULEVARD 5'!E210="","",'BOULEVARD 5'!E210)</f>
        <v>Antonio Rada</v>
      </c>
      <c r="G212" s="429" t="str">
        <f>IF('BOULEVARD 5'!F210="","",'BOULEVARD 5'!F210)</f>
        <v>Jerson Leonel Chavez Martinez</v>
      </c>
      <c r="H212" s="473">
        <f>IF('BOULEVARD 5'!G210="","",'BOULEVARD 5'!G210)</f>
        <v>45274</v>
      </c>
      <c r="I212" s="554" t="str">
        <f t="shared" si="48"/>
        <v/>
      </c>
      <c r="J212" s="554" t="str">
        <f t="shared" si="48"/>
        <v/>
      </c>
      <c r="K212" s="554" t="str">
        <f t="shared" si="48"/>
        <v/>
      </c>
      <c r="L212" s="554" t="str">
        <f t="shared" si="48"/>
        <v/>
      </c>
      <c r="M212" s="554" t="str">
        <f t="shared" si="48"/>
        <v/>
      </c>
      <c r="N212" s="554" t="str">
        <f t="shared" si="48"/>
        <v/>
      </c>
      <c r="O212" s="554" t="str">
        <f t="shared" si="48"/>
        <v/>
      </c>
      <c r="P212" s="554" t="str">
        <f t="shared" si="48"/>
        <v/>
      </c>
      <c r="Q212" s="554" t="str">
        <f t="shared" si="48"/>
        <v/>
      </c>
      <c r="R212" s="554">
        <f t="shared" si="48"/>
        <v>1</v>
      </c>
      <c r="S212" s="554">
        <f t="shared" si="48"/>
        <v>2</v>
      </c>
      <c r="T212" s="554">
        <f t="shared" si="48"/>
        <v>2</v>
      </c>
      <c r="U212" s="554">
        <f t="shared" si="48"/>
        <v>2</v>
      </c>
      <c r="V212" s="554">
        <f t="shared" si="48"/>
        <v>2</v>
      </c>
      <c r="W212" s="554">
        <f t="shared" si="48"/>
        <v>2</v>
      </c>
      <c r="X212" s="554">
        <f t="shared" si="46"/>
        <v>2</v>
      </c>
      <c r="Y212" s="554">
        <f t="shared" si="46"/>
        <v>2</v>
      </c>
      <c r="Z212" s="554">
        <f t="shared" si="46"/>
        <v>2</v>
      </c>
      <c r="AA212" s="554">
        <f t="shared" si="46"/>
        <v>2</v>
      </c>
      <c r="AB212" s="554">
        <f t="shared" si="46"/>
        <v>2</v>
      </c>
      <c r="AC212" s="554">
        <f t="shared" si="46"/>
        <v>2</v>
      </c>
      <c r="AD212" s="554">
        <f t="shared" si="46"/>
        <v>2</v>
      </c>
      <c r="AE212" s="554">
        <f t="shared" si="46"/>
        <v>2</v>
      </c>
      <c r="AF212" s="554">
        <f t="shared" si="46"/>
        <v>2</v>
      </c>
      <c r="AG212" s="554">
        <f t="shared" si="46"/>
        <v>2</v>
      </c>
      <c r="AH212" s="554">
        <f t="shared" si="46"/>
        <v>2</v>
      </c>
      <c r="AI212" s="554">
        <f t="shared" si="46"/>
        <v>2</v>
      </c>
      <c r="AJ212" s="554">
        <f t="shared" si="46"/>
        <v>2</v>
      </c>
      <c r="AK212" s="554">
        <f t="shared" si="46"/>
        <v>2</v>
      </c>
      <c r="AL212" s="554">
        <f t="shared" si="46"/>
        <v>2</v>
      </c>
      <c r="AM212" s="554">
        <f t="shared" si="46"/>
        <v>2</v>
      </c>
      <c r="AN212" s="554">
        <f t="shared" si="47"/>
        <v>2</v>
      </c>
      <c r="AO212" s="554">
        <f t="shared" si="47"/>
        <v>2</v>
      </c>
      <c r="AP212" s="554">
        <f t="shared" si="47"/>
        <v>2</v>
      </c>
      <c r="AQ212" s="429" t="str">
        <f t="shared" si="49"/>
        <v>Vendido</v>
      </c>
      <c r="AR212" s="447">
        <f>_xlfn.XLOOKUP(C212,'BOULEVARD 5'!B:B,'BOULEVARD 5'!AU:AU)</f>
        <v>1.0025721439213979</v>
      </c>
    </row>
    <row r="213" spans="1:44" s="429" customFormat="1" ht="13.9" customHeight="1" x14ac:dyDescent="0.25">
      <c r="B213" s="678" t="str">
        <f>IF('B5-Status cobranza'!A213&gt;0,'B5-Status cobranza'!A213,"")</f>
        <v/>
      </c>
      <c r="C213" s="436">
        <v>1118</v>
      </c>
      <c r="D213" s="436" t="s">
        <v>599</v>
      </c>
      <c r="E213" s="436"/>
      <c r="F213" s="436" t="str">
        <f>IF('BOULEVARD 5'!E211="","",'BOULEVARD 5'!E211)</f>
        <v>Antonio Rada</v>
      </c>
      <c r="G213" s="429" t="str">
        <f>IF('BOULEVARD 5'!F211="","",'BOULEVARD 5'!F211)</f>
        <v>José Raúl Velasco Ferrigno</v>
      </c>
      <c r="H213" s="473">
        <f>IF('BOULEVARD 5'!G211="","",'BOULEVARD 5'!G211)</f>
        <v>45463</v>
      </c>
      <c r="I213" s="554" t="str">
        <f t="shared" si="48"/>
        <v/>
      </c>
      <c r="J213" s="554" t="str">
        <f t="shared" si="48"/>
        <v/>
      </c>
      <c r="K213" s="554" t="str">
        <f t="shared" si="48"/>
        <v/>
      </c>
      <c r="L213" s="554" t="str">
        <f t="shared" si="48"/>
        <v/>
      </c>
      <c r="M213" s="554" t="str">
        <f t="shared" si="48"/>
        <v/>
      </c>
      <c r="N213" s="554" t="str">
        <f t="shared" si="48"/>
        <v/>
      </c>
      <c r="O213" s="554" t="str">
        <f t="shared" si="48"/>
        <v/>
      </c>
      <c r="P213" s="554" t="str">
        <f t="shared" si="48"/>
        <v/>
      </c>
      <c r="Q213" s="554" t="str">
        <f t="shared" si="48"/>
        <v/>
      </c>
      <c r="R213" s="554" t="str">
        <f t="shared" si="48"/>
        <v/>
      </c>
      <c r="S213" s="554" t="str">
        <f t="shared" si="48"/>
        <v/>
      </c>
      <c r="T213" s="554" t="str">
        <f t="shared" si="48"/>
        <v/>
      </c>
      <c r="U213" s="554" t="str">
        <f t="shared" si="48"/>
        <v/>
      </c>
      <c r="V213" s="554" t="str">
        <f t="shared" si="48"/>
        <v/>
      </c>
      <c r="W213" s="554" t="str">
        <f t="shared" si="48"/>
        <v/>
      </c>
      <c r="X213" s="554">
        <f t="shared" si="46"/>
        <v>1</v>
      </c>
      <c r="Y213" s="554">
        <f t="shared" si="46"/>
        <v>2</v>
      </c>
      <c r="Z213" s="554">
        <f t="shared" si="46"/>
        <v>2</v>
      </c>
      <c r="AA213" s="554">
        <f t="shared" si="46"/>
        <v>2</v>
      </c>
      <c r="AB213" s="554">
        <f t="shared" si="46"/>
        <v>2</v>
      </c>
      <c r="AC213" s="554">
        <f t="shared" si="46"/>
        <v>2</v>
      </c>
      <c r="AD213" s="554">
        <f t="shared" si="46"/>
        <v>2</v>
      </c>
      <c r="AE213" s="554">
        <f t="shared" si="46"/>
        <v>2</v>
      </c>
      <c r="AF213" s="554">
        <f t="shared" si="46"/>
        <v>2</v>
      </c>
      <c r="AG213" s="554">
        <f t="shared" si="46"/>
        <v>2</v>
      </c>
      <c r="AH213" s="554">
        <f t="shared" si="46"/>
        <v>2</v>
      </c>
      <c r="AI213" s="554">
        <f t="shared" si="46"/>
        <v>2</v>
      </c>
      <c r="AJ213" s="554">
        <f t="shared" si="46"/>
        <v>2</v>
      </c>
      <c r="AK213" s="554">
        <f t="shared" si="46"/>
        <v>2</v>
      </c>
      <c r="AL213" s="554">
        <f t="shared" si="46"/>
        <v>2</v>
      </c>
      <c r="AM213" s="554">
        <f t="shared" si="46"/>
        <v>2</v>
      </c>
      <c r="AN213" s="554">
        <f t="shared" si="47"/>
        <v>2</v>
      </c>
      <c r="AO213" s="554">
        <f t="shared" si="47"/>
        <v>2</v>
      </c>
      <c r="AP213" s="554">
        <f t="shared" si="47"/>
        <v>2</v>
      </c>
      <c r="AQ213" s="429" t="str">
        <f t="shared" si="49"/>
        <v>Vendido</v>
      </c>
      <c r="AR213" s="447">
        <f>_xlfn.XLOOKUP(C213,'BOULEVARD 5'!B:B,'BOULEVARD 5'!AU:AU)</f>
        <v>0.98758865368331927</v>
      </c>
    </row>
    <row r="214" spans="1:44" s="429" customFormat="1" ht="13.9" customHeight="1" x14ac:dyDescent="0.25">
      <c r="B214" s="678" t="str">
        <f>IF('B5-Status cobranza'!A214&gt;0,'B5-Status cobranza'!A214,"")</f>
        <v/>
      </c>
      <c r="C214" s="436">
        <v>1201</v>
      </c>
      <c r="D214" s="436" t="s">
        <v>617</v>
      </c>
      <c r="E214" s="436"/>
      <c r="F214" s="436" t="str">
        <f>IF('BOULEVARD 5'!E212="","",'BOULEVARD 5'!E212)</f>
        <v>Antonio Rada</v>
      </c>
      <c r="G214" s="429" t="str">
        <f>IF('BOULEVARD 5'!F212="","",'BOULEVARD 5'!F212)</f>
        <v>Rogelio Alejandro Ochoa Hernandez</v>
      </c>
      <c r="H214" s="473">
        <f>IF('BOULEVARD 5'!G212="","",'BOULEVARD 5'!G212)</f>
        <v>45461</v>
      </c>
      <c r="I214" s="554" t="str">
        <f t="shared" si="48"/>
        <v/>
      </c>
      <c r="J214" s="554" t="str">
        <f t="shared" si="48"/>
        <v/>
      </c>
      <c r="K214" s="554" t="str">
        <f t="shared" si="48"/>
        <v/>
      </c>
      <c r="L214" s="554" t="str">
        <f t="shared" si="48"/>
        <v/>
      </c>
      <c r="M214" s="554" t="str">
        <f t="shared" si="48"/>
        <v/>
      </c>
      <c r="N214" s="554" t="str">
        <f t="shared" si="48"/>
        <v/>
      </c>
      <c r="O214" s="554" t="str">
        <f t="shared" si="48"/>
        <v/>
      </c>
      <c r="P214" s="554" t="str">
        <f t="shared" si="48"/>
        <v/>
      </c>
      <c r="Q214" s="554" t="str">
        <f t="shared" si="48"/>
        <v/>
      </c>
      <c r="R214" s="554" t="str">
        <f t="shared" si="48"/>
        <v/>
      </c>
      <c r="S214" s="554" t="str">
        <f t="shared" si="48"/>
        <v/>
      </c>
      <c r="T214" s="554" t="str">
        <f t="shared" si="48"/>
        <v/>
      </c>
      <c r="U214" s="554" t="str">
        <f t="shared" si="48"/>
        <v/>
      </c>
      <c r="V214" s="554" t="str">
        <f t="shared" si="48"/>
        <v/>
      </c>
      <c r="W214" s="554" t="str">
        <f t="shared" si="48"/>
        <v/>
      </c>
      <c r="X214" s="554">
        <f t="shared" si="46"/>
        <v>1</v>
      </c>
      <c r="Y214" s="554">
        <f t="shared" si="46"/>
        <v>2</v>
      </c>
      <c r="Z214" s="554">
        <f t="shared" si="46"/>
        <v>2</v>
      </c>
      <c r="AA214" s="554">
        <f t="shared" si="46"/>
        <v>2</v>
      </c>
      <c r="AB214" s="554">
        <f t="shared" si="46"/>
        <v>2</v>
      </c>
      <c r="AC214" s="554">
        <f t="shared" si="46"/>
        <v>2</v>
      </c>
      <c r="AD214" s="554">
        <f t="shared" si="46"/>
        <v>2</v>
      </c>
      <c r="AE214" s="554">
        <f t="shared" si="46"/>
        <v>2</v>
      </c>
      <c r="AF214" s="554">
        <f t="shared" si="46"/>
        <v>2</v>
      </c>
      <c r="AG214" s="554">
        <f t="shared" si="46"/>
        <v>2</v>
      </c>
      <c r="AH214" s="554">
        <f t="shared" si="46"/>
        <v>2</v>
      </c>
      <c r="AI214" s="554">
        <f t="shared" si="46"/>
        <v>2</v>
      </c>
      <c r="AJ214" s="554">
        <f t="shared" si="46"/>
        <v>2</v>
      </c>
      <c r="AK214" s="554">
        <f t="shared" si="46"/>
        <v>2</v>
      </c>
      <c r="AL214" s="554">
        <f t="shared" si="46"/>
        <v>2</v>
      </c>
      <c r="AM214" s="554">
        <f t="shared" si="46"/>
        <v>2</v>
      </c>
      <c r="AN214" s="554">
        <f t="shared" si="47"/>
        <v>2</v>
      </c>
      <c r="AO214" s="554">
        <f t="shared" si="47"/>
        <v>2</v>
      </c>
      <c r="AP214" s="554">
        <f t="shared" si="47"/>
        <v>2</v>
      </c>
      <c r="AQ214" s="429" t="str">
        <f t="shared" si="49"/>
        <v>Vendido</v>
      </c>
      <c r="AR214" s="447">
        <f>_xlfn.XLOOKUP(C214,'BOULEVARD 5'!B:B,'BOULEVARD 5'!AU:AU)</f>
        <v>0.80542264752791071</v>
      </c>
    </row>
    <row r="215" spans="1:44" s="429" customFormat="1" ht="13.9" customHeight="1" x14ac:dyDescent="0.25">
      <c r="B215" s="678" t="str">
        <f>IF('B5-Status cobranza'!A215&gt;0,'B5-Status cobranza'!A215,"")</f>
        <v/>
      </c>
      <c r="C215" s="436">
        <v>1202</v>
      </c>
      <c r="D215" s="436" t="s">
        <v>619</v>
      </c>
      <c r="E215" s="436"/>
      <c r="F215" s="436" t="str">
        <f>IF('BOULEVARD 5'!E213="","",'BOULEVARD 5'!E213)</f>
        <v>Antonio Rada</v>
      </c>
      <c r="G215" s="429" t="str">
        <f>IF('BOULEVARD 5'!F213="","",'BOULEVARD 5'!F213)</f>
        <v>Edwin Steven Quiroa Sitamul</v>
      </c>
      <c r="H215" s="473">
        <f>IF('BOULEVARD 5'!G213="","",'BOULEVARD 5'!G213)</f>
        <v>45350</v>
      </c>
      <c r="I215" s="554" t="str">
        <f t="shared" si="48"/>
        <v/>
      </c>
      <c r="J215" s="554" t="str">
        <f t="shared" si="48"/>
        <v/>
      </c>
      <c r="K215" s="554" t="str">
        <f t="shared" si="48"/>
        <v/>
      </c>
      <c r="L215" s="554" t="str">
        <f t="shared" si="48"/>
        <v/>
      </c>
      <c r="M215" s="554" t="str">
        <f t="shared" si="48"/>
        <v/>
      </c>
      <c r="N215" s="554" t="str">
        <f t="shared" si="48"/>
        <v/>
      </c>
      <c r="O215" s="554" t="str">
        <f t="shared" si="48"/>
        <v/>
      </c>
      <c r="P215" s="554" t="str">
        <f t="shared" si="48"/>
        <v/>
      </c>
      <c r="Q215" s="554" t="str">
        <f t="shared" si="48"/>
        <v/>
      </c>
      <c r="R215" s="554" t="str">
        <f t="shared" si="48"/>
        <v/>
      </c>
      <c r="S215" s="554" t="str">
        <f t="shared" si="48"/>
        <v/>
      </c>
      <c r="T215" s="554">
        <f t="shared" si="48"/>
        <v>1</v>
      </c>
      <c r="U215" s="554">
        <f t="shared" si="48"/>
        <v>2</v>
      </c>
      <c r="V215" s="554">
        <f t="shared" si="48"/>
        <v>2</v>
      </c>
      <c r="W215" s="554">
        <f t="shared" si="48"/>
        <v>2</v>
      </c>
      <c r="X215" s="554">
        <f t="shared" si="46"/>
        <v>2</v>
      </c>
      <c r="Y215" s="554">
        <f t="shared" si="46"/>
        <v>2</v>
      </c>
      <c r="Z215" s="554">
        <f t="shared" si="46"/>
        <v>2</v>
      </c>
      <c r="AA215" s="554">
        <f t="shared" si="46"/>
        <v>2</v>
      </c>
      <c r="AB215" s="554">
        <f t="shared" si="46"/>
        <v>2</v>
      </c>
      <c r="AC215" s="554">
        <f t="shared" si="46"/>
        <v>2</v>
      </c>
      <c r="AD215" s="554">
        <f t="shared" si="46"/>
        <v>2</v>
      </c>
      <c r="AE215" s="554">
        <f t="shared" si="46"/>
        <v>2</v>
      </c>
      <c r="AF215" s="554">
        <f t="shared" si="46"/>
        <v>2</v>
      </c>
      <c r="AG215" s="554">
        <f t="shared" si="46"/>
        <v>2</v>
      </c>
      <c r="AH215" s="554">
        <f t="shared" si="46"/>
        <v>2</v>
      </c>
      <c r="AI215" s="554">
        <f t="shared" si="46"/>
        <v>2</v>
      </c>
      <c r="AJ215" s="554">
        <f t="shared" si="46"/>
        <v>2</v>
      </c>
      <c r="AK215" s="554">
        <f t="shared" si="46"/>
        <v>2</v>
      </c>
      <c r="AL215" s="554">
        <f t="shared" si="46"/>
        <v>2</v>
      </c>
      <c r="AM215" s="554">
        <f t="shared" si="46"/>
        <v>2</v>
      </c>
      <c r="AN215" s="554">
        <f t="shared" si="47"/>
        <v>2</v>
      </c>
      <c r="AO215" s="554">
        <f t="shared" si="47"/>
        <v>2</v>
      </c>
      <c r="AP215" s="554">
        <f t="shared" si="47"/>
        <v>2</v>
      </c>
      <c r="AQ215" s="429" t="str">
        <f t="shared" si="49"/>
        <v>Vendido</v>
      </c>
      <c r="AR215" s="447">
        <f>_xlfn.XLOOKUP(C215,'BOULEVARD 5'!B:B,'BOULEVARD 5'!AU:AU)</f>
        <v>1</v>
      </c>
    </row>
    <row r="216" spans="1:44" s="429" customFormat="1" ht="13.9" customHeight="1" x14ac:dyDescent="0.25">
      <c r="B216" s="678" t="str">
        <f>IF('B5-Status cobranza'!A216&gt;0,'B5-Status cobranza'!A216,"")</f>
        <v/>
      </c>
      <c r="C216" s="436">
        <v>1203</v>
      </c>
      <c r="D216" s="436" t="s">
        <v>400</v>
      </c>
      <c r="E216" s="436"/>
      <c r="F216" s="436" t="str">
        <f>IF('BOULEVARD 5'!E214="","",'BOULEVARD 5'!E214)</f>
        <v>Antonio Rada</v>
      </c>
      <c r="G216" s="429" t="str">
        <f>IF('BOULEVARD 5'!F214="","",'BOULEVARD 5'!F214)</f>
        <v>Allan Vinicio Velásquez León</v>
      </c>
      <c r="H216" s="473">
        <f>IF('BOULEVARD 5'!G214="","",'BOULEVARD 5'!G214)</f>
        <v>45165</v>
      </c>
      <c r="I216" s="554" t="str">
        <f t="shared" si="48"/>
        <v/>
      </c>
      <c r="J216" s="554" t="str">
        <f t="shared" si="48"/>
        <v/>
      </c>
      <c r="K216" s="554" t="str">
        <f t="shared" si="48"/>
        <v/>
      </c>
      <c r="L216" s="554" t="str">
        <f t="shared" si="48"/>
        <v/>
      </c>
      <c r="M216" s="554" t="str">
        <f t="shared" si="48"/>
        <v/>
      </c>
      <c r="N216" s="554">
        <f t="shared" si="48"/>
        <v>1</v>
      </c>
      <c r="O216" s="554">
        <f t="shared" si="48"/>
        <v>2</v>
      </c>
      <c r="P216" s="554">
        <f t="shared" si="48"/>
        <v>2</v>
      </c>
      <c r="Q216" s="554">
        <f t="shared" si="48"/>
        <v>2</v>
      </c>
      <c r="R216" s="554">
        <f t="shared" si="48"/>
        <v>2</v>
      </c>
      <c r="S216" s="554">
        <f t="shared" si="48"/>
        <v>2</v>
      </c>
      <c r="T216" s="554">
        <f t="shared" si="48"/>
        <v>2</v>
      </c>
      <c r="U216" s="554">
        <f t="shared" si="48"/>
        <v>2</v>
      </c>
      <c r="V216" s="554">
        <f t="shared" si="48"/>
        <v>2</v>
      </c>
      <c r="W216" s="554">
        <f t="shared" si="48"/>
        <v>2</v>
      </c>
      <c r="X216" s="554">
        <f t="shared" si="46"/>
        <v>2</v>
      </c>
      <c r="Y216" s="554">
        <f t="shared" si="46"/>
        <v>2</v>
      </c>
      <c r="Z216" s="554">
        <f t="shared" si="46"/>
        <v>2</v>
      </c>
      <c r="AA216" s="554">
        <f t="shared" si="46"/>
        <v>2</v>
      </c>
      <c r="AB216" s="554">
        <f t="shared" si="46"/>
        <v>2</v>
      </c>
      <c r="AC216" s="554">
        <f t="shared" si="46"/>
        <v>2</v>
      </c>
      <c r="AD216" s="554">
        <f t="shared" si="46"/>
        <v>2</v>
      </c>
      <c r="AE216" s="554">
        <f t="shared" si="46"/>
        <v>2</v>
      </c>
      <c r="AF216" s="554">
        <f t="shared" si="46"/>
        <v>2</v>
      </c>
      <c r="AG216" s="554">
        <f t="shared" si="46"/>
        <v>2</v>
      </c>
      <c r="AH216" s="554">
        <f t="shared" si="46"/>
        <v>2</v>
      </c>
      <c r="AI216" s="554">
        <f t="shared" si="46"/>
        <v>2</v>
      </c>
      <c r="AJ216" s="554">
        <f t="shared" si="46"/>
        <v>2</v>
      </c>
      <c r="AK216" s="554">
        <f t="shared" si="46"/>
        <v>2</v>
      </c>
      <c r="AL216" s="554">
        <f t="shared" si="46"/>
        <v>2</v>
      </c>
      <c r="AM216" s="554">
        <f t="shared" ref="AM216:AP235" si="50">IF(OR($B216="F&amp;F",$B216="CE",$H216=""),"",IF(TEXT(AM$8,"yyyymm")=TEXT($H216,"yyyymm"),1,IF(TEXT(AM$8,"yyyymm")&gt;TEXT($H216,"yyyymm"),2,IF(AM$8&lt;$H216,"",0))))</f>
        <v>2</v>
      </c>
      <c r="AN216" s="554">
        <f t="shared" si="47"/>
        <v>2</v>
      </c>
      <c r="AO216" s="554">
        <f t="shared" si="47"/>
        <v>2</v>
      </c>
      <c r="AP216" s="554">
        <f t="shared" si="47"/>
        <v>2</v>
      </c>
      <c r="AQ216" s="429" t="str">
        <f t="shared" si="49"/>
        <v>Vendido</v>
      </c>
      <c r="AR216" s="447">
        <f>_xlfn.XLOOKUP(C216,'BOULEVARD 5'!B:B,'BOULEVARD 5'!AU:AU)</f>
        <v>1.0019955654101995</v>
      </c>
    </row>
    <row r="217" spans="1:44" s="429" customFormat="1" ht="13.9" customHeight="1" x14ac:dyDescent="0.25">
      <c r="B217" s="678" t="str">
        <f>IF('B5-Status cobranza'!A217&gt;0,'B5-Status cobranza'!A217,"")</f>
        <v/>
      </c>
      <c r="C217" s="436">
        <v>1204</v>
      </c>
      <c r="D217" s="436" t="s">
        <v>175</v>
      </c>
      <c r="E217" s="436"/>
      <c r="F217" s="436" t="str">
        <f>IF('BOULEVARD 5'!E215="","",'BOULEVARD 5'!E215)</f>
        <v>Antonio Rada</v>
      </c>
      <c r="G217" s="429" t="str">
        <f>IF('BOULEVARD 5'!F215="","",'BOULEVARD 5'!F215)</f>
        <v>Josselin Alejandra Turcios Orantes</v>
      </c>
      <c r="H217" s="473">
        <f>IF('BOULEVARD 5'!G215="","",'BOULEVARD 5'!G215)</f>
        <v>45336</v>
      </c>
      <c r="I217" s="554" t="str">
        <f t="shared" si="48"/>
        <v/>
      </c>
      <c r="J217" s="554" t="str">
        <f t="shared" si="48"/>
        <v/>
      </c>
      <c r="K217" s="554" t="str">
        <f t="shared" si="48"/>
        <v/>
      </c>
      <c r="L217" s="554" t="str">
        <f t="shared" si="48"/>
        <v/>
      </c>
      <c r="M217" s="554" t="str">
        <f t="shared" si="48"/>
        <v/>
      </c>
      <c r="N217" s="554" t="str">
        <f t="shared" si="48"/>
        <v/>
      </c>
      <c r="O217" s="554" t="str">
        <f t="shared" si="48"/>
        <v/>
      </c>
      <c r="P217" s="554" t="str">
        <f t="shared" si="48"/>
        <v/>
      </c>
      <c r="Q217" s="554" t="str">
        <f t="shared" si="48"/>
        <v/>
      </c>
      <c r="R217" s="554" t="str">
        <f t="shared" si="48"/>
        <v/>
      </c>
      <c r="S217" s="554" t="str">
        <f t="shared" si="48"/>
        <v/>
      </c>
      <c r="T217" s="554">
        <f t="shared" si="48"/>
        <v>1</v>
      </c>
      <c r="U217" s="554">
        <f t="shared" si="48"/>
        <v>2</v>
      </c>
      <c r="V217" s="554">
        <f t="shared" si="48"/>
        <v>2</v>
      </c>
      <c r="W217" s="554">
        <f t="shared" si="48"/>
        <v>2</v>
      </c>
      <c r="X217" s="554">
        <f t="shared" si="48"/>
        <v>2</v>
      </c>
      <c r="Y217" s="554">
        <f t="shared" ref="Y217:AL232" si="51">IF(OR($B217="F&amp;F",$B217="CE",$H217=""),"",IF(TEXT(Y$8,"yyyymm")=TEXT($H217,"yyyymm"),1,IF(TEXT(Y$8,"yyyymm")&gt;TEXT($H217,"yyyymm"),2,IF(Y$8&lt;$H217,"",0))))</f>
        <v>2</v>
      </c>
      <c r="Z217" s="554">
        <f t="shared" si="51"/>
        <v>2</v>
      </c>
      <c r="AA217" s="554">
        <f t="shared" si="51"/>
        <v>2</v>
      </c>
      <c r="AB217" s="554">
        <f t="shared" si="51"/>
        <v>2</v>
      </c>
      <c r="AC217" s="554">
        <f t="shared" si="51"/>
        <v>2</v>
      </c>
      <c r="AD217" s="554">
        <f t="shared" si="51"/>
        <v>2</v>
      </c>
      <c r="AE217" s="554">
        <f t="shared" si="51"/>
        <v>2</v>
      </c>
      <c r="AF217" s="554">
        <f t="shared" si="51"/>
        <v>2</v>
      </c>
      <c r="AG217" s="554">
        <f t="shared" si="51"/>
        <v>2</v>
      </c>
      <c r="AH217" s="554">
        <f t="shared" si="51"/>
        <v>2</v>
      </c>
      <c r="AI217" s="554">
        <f t="shared" si="51"/>
        <v>2</v>
      </c>
      <c r="AJ217" s="554">
        <f t="shared" si="51"/>
        <v>2</v>
      </c>
      <c r="AK217" s="554">
        <f t="shared" si="51"/>
        <v>2</v>
      </c>
      <c r="AL217" s="554">
        <f t="shared" si="51"/>
        <v>2</v>
      </c>
      <c r="AM217" s="554">
        <f t="shared" si="50"/>
        <v>2</v>
      </c>
      <c r="AN217" s="554">
        <f t="shared" si="47"/>
        <v>2</v>
      </c>
      <c r="AO217" s="554">
        <f t="shared" si="47"/>
        <v>2</v>
      </c>
      <c r="AP217" s="554">
        <f t="shared" si="47"/>
        <v>2</v>
      </c>
      <c r="AQ217" s="429" t="str">
        <f t="shared" si="49"/>
        <v>Vendido</v>
      </c>
      <c r="AR217" s="447">
        <f>_xlfn.XLOOKUP(C217,'BOULEVARD 5'!B:B,'BOULEVARD 5'!AU:AU)</f>
        <v>1</v>
      </c>
    </row>
    <row r="218" spans="1:44" s="429" customFormat="1" ht="13.9" customHeight="1" x14ac:dyDescent="0.25">
      <c r="B218" s="678" t="str">
        <f>IF('B5-Status cobranza'!A218&gt;0,'B5-Status cobranza'!A218,"")</f>
        <v/>
      </c>
      <c r="C218" s="436">
        <v>1205</v>
      </c>
      <c r="D218" s="436" t="s">
        <v>192</v>
      </c>
      <c r="E218" s="436"/>
      <c r="F218" s="436" t="str">
        <f>IF('BOULEVARD 5'!E216="","",'BOULEVARD 5'!E216)</f>
        <v>Antonio Rada</v>
      </c>
      <c r="G218" s="429" t="str">
        <f>IF('BOULEVARD 5'!F216="","",'BOULEVARD 5'!F216)</f>
        <v>Andrea Nicole Mansilla Fuentes</v>
      </c>
      <c r="H218" s="473">
        <f>IF('BOULEVARD 5'!G216="","",'BOULEVARD 5'!G216)</f>
        <v>45010</v>
      </c>
      <c r="I218" s="554">
        <f t="shared" ref="I218:X233" si="52">IF(OR($B218="F&amp;F",$B218="CE",$H218=""),"",IF(TEXT(I$8,"yyyymm")=TEXT($H218,"yyyymm"),1,IF(TEXT(I$8,"yyyymm")&gt;TEXT($H218,"yyyymm"),2,IF(I$8&lt;$H218,"",0))))</f>
        <v>1</v>
      </c>
      <c r="J218" s="554">
        <f t="shared" si="52"/>
        <v>2</v>
      </c>
      <c r="K218" s="554">
        <f t="shared" si="52"/>
        <v>2</v>
      </c>
      <c r="L218" s="554">
        <f t="shared" si="52"/>
        <v>2</v>
      </c>
      <c r="M218" s="554">
        <f t="shared" si="52"/>
        <v>2</v>
      </c>
      <c r="N218" s="554">
        <f t="shared" si="52"/>
        <v>2</v>
      </c>
      <c r="O218" s="554">
        <f t="shared" si="52"/>
        <v>2</v>
      </c>
      <c r="P218" s="554">
        <f t="shared" si="52"/>
        <v>2</v>
      </c>
      <c r="Q218" s="554">
        <f t="shared" si="52"/>
        <v>2</v>
      </c>
      <c r="R218" s="554">
        <f t="shared" si="52"/>
        <v>2</v>
      </c>
      <c r="S218" s="554">
        <f t="shared" si="52"/>
        <v>2</v>
      </c>
      <c r="T218" s="554">
        <f t="shared" si="52"/>
        <v>2</v>
      </c>
      <c r="U218" s="554">
        <f t="shared" si="52"/>
        <v>2</v>
      </c>
      <c r="V218" s="554">
        <f t="shared" si="52"/>
        <v>2</v>
      </c>
      <c r="W218" s="554">
        <f t="shared" si="52"/>
        <v>2</v>
      </c>
      <c r="X218" s="554">
        <f t="shared" si="52"/>
        <v>2</v>
      </c>
      <c r="Y218" s="554">
        <f t="shared" si="51"/>
        <v>2</v>
      </c>
      <c r="Z218" s="554">
        <f t="shared" si="51"/>
        <v>2</v>
      </c>
      <c r="AA218" s="554">
        <f t="shared" si="51"/>
        <v>2</v>
      </c>
      <c r="AB218" s="554">
        <f t="shared" si="51"/>
        <v>2</v>
      </c>
      <c r="AC218" s="554">
        <f t="shared" si="51"/>
        <v>2</v>
      </c>
      <c r="AD218" s="554">
        <f t="shared" si="51"/>
        <v>2</v>
      </c>
      <c r="AE218" s="554">
        <f t="shared" si="51"/>
        <v>2</v>
      </c>
      <c r="AF218" s="554">
        <f t="shared" si="51"/>
        <v>2</v>
      </c>
      <c r="AG218" s="554">
        <f t="shared" si="51"/>
        <v>2</v>
      </c>
      <c r="AH218" s="554">
        <f t="shared" si="51"/>
        <v>2</v>
      </c>
      <c r="AI218" s="554">
        <f t="shared" si="51"/>
        <v>2</v>
      </c>
      <c r="AJ218" s="554">
        <f t="shared" si="51"/>
        <v>2</v>
      </c>
      <c r="AK218" s="554">
        <f t="shared" si="51"/>
        <v>2</v>
      </c>
      <c r="AL218" s="554">
        <f t="shared" si="51"/>
        <v>2</v>
      </c>
      <c r="AM218" s="554">
        <f t="shared" si="50"/>
        <v>2</v>
      </c>
      <c r="AN218" s="554">
        <f t="shared" si="47"/>
        <v>2</v>
      </c>
      <c r="AO218" s="554">
        <f t="shared" si="47"/>
        <v>2</v>
      </c>
      <c r="AP218" s="554">
        <f t="shared" si="47"/>
        <v>2</v>
      </c>
      <c r="AQ218" s="429" t="str">
        <f t="shared" si="49"/>
        <v>Vendido</v>
      </c>
      <c r="AR218" s="447">
        <f>_xlfn.XLOOKUP(C218,'BOULEVARD 5'!B:B,'BOULEVARD 5'!AU:AU)</f>
        <v>0.87900602409638551</v>
      </c>
    </row>
    <row r="219" spans="1:44" s="429" customFormat="1" ht="13.9" customHeight="1" x14ac:dyDescent="0.25">
      <c r="B219" s="678" t="str">
        <f>IF('B5-Status cobranza'!A219&gt;0,'B5-Status cobranza'!A219,"")</f>
        <v/>
      </c>
      <c r="C219" s="436">
        <v>1206</v>
      </c>
      <c r="D219" s="436" t="s">
        <v>178</v>
      </c>
      <c r="E219" s="436"/>
      <c r="F219" s="436" t="str">
        <f>IF('BOULEVARD 5'!E217="","",'BOULEVARD 5'!E217)</f>
        <v>Jose Franco</v>
      </c>
      <c r="G219" s="429" t="str">
        <f>IF('BOULEVARD 5'!F217="","",'BOULEVARD 5'!F217)</f>
        <v>Juan José Silva Pacheco</v>
      </c>
      <c r="H219" s="473">
        <f>IF('BOULEVARD 5'!G217="","",'BOULEVARD 5'!G217)</f>
        <v>45062</v>
      </c>
      <c r="I219" s="554" t="str">
        <f t="shared" si="52"/>
        <v/>
      </c>
      <c r="J219" s="554" t="str">
        <f t="shared" si="52"/>
        <v/>
      </c>
      <c r="K219" s="554">
        <f t="shared" si="52"/>
        <v>1</v>
      </c>
      <c r="L219" s="554">
        <f t="shared" si="52"/>
        <v>2</v>
      </c>
      <c r="M219" s="554">
        <f t="shared" si="52"/>
        <v>2</v>
      </c>
      <c r="N219" s="554">
        <f t="shared" si="52"/>
        <v>2</v>
      </c>
      <c r="O219" s="554">
        <f t="shared" si="52"/>
        <v>2</v>
      </c>
      <c r="P219" s="554">
        <f t="shared" si="52"/>
        <v>2</v>
      </c>
      <c r="Q219" s="554">
        <f t="shared" si="52"/>
        <v>2</v>
      </c>
      <c r="R219" s="554">
        <f t="shared" si="52"/>
        <v>2</v>
      </c>
      <c r="S219" s="554">
        <f t="shared" si="52"/>
        <v>2</v>
      </c>
      <c r="T219" s="554">
        <f t="shared" si="52"/>
        <v>2</v>
      </c>
      <c r="U219" s="554">
        <f t="shared" si="52"/>
        <v>2</v>
      </c>
      <c r="V219" s="554">
        <f t="shared" si="52"/>
        <v>2</v>
      </c>
      <c r="W219" s="554">
        <f t="shared" si="52"/>
        <v>2</v>
      </c>
      <c r="X219" s="554">
        <f t="shared" si="52"/>
        <v>2</v>
      </c>
      <c r="Y219" s="554">
        <f t="shared" si="51"/>
        <v>2</v>
      </c>
      <c r="Z219" s="554">
        <f t="shared" si="51"/>
        <v>2</v>
      </c>
      <c r="AA219" s="554">
        <f t="shared" si="51"/>
        <v>2</v>
      </c>
      <c r="AB219" s="554">
        <f t="shared" si="51"/>
        <v>2</v>
      </c>
      <c r="AC219" s="554">
        <f t="shared" si="51"/>
        <v>2</v>
      </c>
      <c r="AD219" s="554">
        <f t="shared" si="51"/>
        <v>2</v>
      </c>
      <c r="AE219" s="554">
        <f t="shared" si="51"/>
        <v>2</v>
      </c>
      <c r="AF219" s="554">
        <f t="shared" si="51"/>
        <v>2</v>
      </c>
      <c r="AG219" s="554">
        <f t="shared" si="51"/>
        <v>2</v>
      </c>
      <c r="AH219" s="554">
        <f t="shared" si="51"/>
        <v>2</v>
      </c>
      <c r="AI219" s="554">
        <f t="shared" si="51"/>
        <v>2</v>
      </c>
      <c r="AJ219" s="554">
        <f t="shared" si="51"/>
        <v>2</v>
      </c>
      <c r="AK219" s="554">
        <f t="shared" si="51"/>
        <v>2</v>
      </c>
      <c r="AL219" s="554">
        <f t="shared" si="51"/>
        <v>2</v>
      </c>
      <c r="AM219" s="554">
        <f t="shared" si="50"/>
        <v>2</v>
      </c>
      <c r="AN219" s="554">
        <f t="shared" si="47"/>
        <v>2</v>
      </c>
      <c r="AO219" s="554">
        <f t="shared" si="47"/>
        <v>2</v>
      </c>
      <c r="AP219" s="554">
        <f t="shared" si="47"/>
        <v>2</v>
      </c>
      <c r="AQ219" s="429" t="str">
        <f t="shared" si="49"/>
        <v>Vendido</v>
      </c>
      <c r="AR219" s="447">
        <f>_xlfn.XLOOKUP(C219,'BOULEVARD 5'!B:B,'BOULEVARD 5'!AU:AU)</f>
        <v>0.96738933388157067</v>
      </c>
    </row>
    <row r="220" spans="1:44" s="429" customFormat="1" ht="13.9" customHeight="1" x14ac:dyDescent="0.25">
      <c r="B220" s="678" t="str">
        <f>IF('B5-Status cobranza'!A220&gt;0,'B5-Status cobranza'!A220,"")</f>
        <v>F&amp;F</v>
      </c>
      <c r="C220" s="475">
        <v>1207</v>
      </c>
      <c r="D220" s="475" t="s">
        <v>465</v>
      </c>
      <c r="E220" s="475"/>
      <c r="F220" s="475" t="str">
        <f>IF('BOULEVARD 5'!E218="","",'BOULEVARD 5'!E218)</f>
        <v>Jose Franco</v>
      </c>
      <c r="G220" s="476" t="str">
        <f>IF('BOULEVARD 5'!F218="","",'BOULEVARD 5'!F218)</f>
        <v>David Arimany Monzón</v>
      </c>
      <c r="H220" s="481">
        <f>IF('BOULEVARD 5'!G218="","",'BOULEVARD 5'!G218)</f>
        <v>45012</v>
      </c>
      <c r="I220" s="554" t="str">
        <f t="shared" si="52"/>
        <v/>
      </c>
      <c r="J220" s="554" t="str">
        <f t="shared" si="52"/>
        <v/>
      </c>
      <c r="K220" s="554" t="str">
        <f t="shared" si="52"/>
        <v/>
      </c>
      <c r="L220" s="554" t="str">
        <f t="shared" si="52"/>
        <v/>
      </c>
      <c r="M220" s="554" t="str">
        <f t="shared" si="52"/>
        <v/>
      </c>
      <c r="N220" s="554" t="str">
        <f t="shared" si="52"/>
        <v/>
      </c>
      <c r="O220" s="554" t="str">
        <f t="shared" si="52"/>
        <v/>
      </c>
      <c r="P220" s="554" t="str">
        <f t="shared" si="52"/>
        <v/>
      </c>
      <c r="Q220" s="554" t="str">
        <f t="shared" si="52"/>
        <v/>
      </c>
      <c r="R220" s="554" t="str">
        <f t="shared" si="52"/>
        <v/>
      </c>
      <c r="S220" s="554" t="str">
        <f t="shared" si="52"/>
        <v/>
      </c>
      <c r="T220" s="554" t="str">
        <f t="shared" si="52"/>
        <v/>
      </c>
      <c r="U220" s="554" t="str">
        <f t="shared" si="52"/>
        <v/>
      </c>
      <c r="V220" s="554" t="str">
        <f t="shared" si="52"/>
        <v/>
      </c>
      <c r="W220" s="554" t="str">
        <f t="shared" si="52"/>
        <v/>
      </c>
      <c r="X220" s="554" t="str">
        <f t="shared" si="52"/>
        <v/>
      </c>
      <c r="Y220" s="554" t="str">
        <f t="shared" si="51"/>
        <v/>
      </c>
      <c r="Z220" s="554" t="str">
        <f t="shared" si="51"/>
        <v/>
      </c>
      <c r="AA220" s="554" t="str">
        <f t="shared" si="51"/>
        <v/>
      </c>
      <c r="AB220" s="554" t="str">
        <f t="shared" si="51"/>
        <v/>
      </c>
      <c r="AC220" s="554" t="str">
        <f t="shared" si="51"/>
        <v/>
      </c>
      <c r="AD220" s="554" t="str">
        <f t="shared" si="51"/>
        <v/>
      </c>
      <c r="AE220" s="554" t="str">
        <f t="shared" si="51"/>
        <v/>
      </c>
      <c r="AF220" s="554" t="str">
        <f t="shared" si="51"/>
        <v/>
      </c>
      <c r="AG220" s="554" t="str">
        <f t="shared" si="51"/>
        <v/>
      </c>
      <c r="AH220" s="554" t="str">
        <f t="shared" si="51"/>
        <v/>
      </c>
      <c r="AI220" s="554" t="str">
        <f t="shared" si="51"/>
        <v/>
      </c>
      <c r="AJ220" s="554" t="str">
        <f t="shared" si="51"/>
        <v/>
      </c>
      <c r="AK220" s="554" t="str">
        <f t="shared" si="51"/>
        <v/>
      </c>
      <c r="AL220" s="554" t="str">
        <f t="shared" si="51"/>
        <v/>
      </c>
      <c r="AM220" s="554" t="str">
        <f t="shared" si="50"/>
        <v/>
      </c>
      <c r="AN220" s="554" t="str">
        <f t="shared" si="47"/>
        <v/>
      </c>
      <c r="AO220" s="554" t="str">
        <f t="shared" si="47"/>
        <v/>
      </c>
      <c r="AP220" s="554" t="str">
        <f t="shared" si="47"/>
        <v/>
      </c>
      <c r="AQ220" s="429" t="str">
        <f t="shared" si="49"/>
        <v>Vendido</v>
      </c>
      <c r="AR220" s="447">
        <f>_xlfn.XLOOKUP(C220,'BOULEVARD 5'!B:B,'BOULEVARD 5'!AU:AU)</f>
        <v>0.4636989931107578</v>
      </c>
    </row>
    <row r="221" spans="1:44" s="429" customFormat="1" ht="13.9" customHeight="1" x14ac:dyDescent="0.25">
      <c r="B221" s="678" t="str">
        <f>IF('B5-Status cobranza'!A221&gt;0,'B5-Status cobranza'!A221,"")</f>
        <v/>
      </c>
      <c r="C221" s="436">
        <v>1208</v>
      </c>
      <c r="D221" s="436" t="s">
        <v>467</v>
      </c>
      <c r="E221" s="436"/>
      <c r="F221" s="436" t="str">
        <f>IF('BOULEVARD 5'!E219="","",'BOULEVARD 5'!E219)</f>
        <v>Antonio Rada</v>
      </c>
      <c r="G221" s="429" t="str">
        <f>IF('BOULEVARD 5'!F219="","",'BOULEVARD 5'!F219)</f>
        <v>Jmx Inversiones Sociedad Anonima</v>
      </c>
      <c r="H221" s="473">
        <f>IF('BOULEVARD 5'!G219="","",'BOULEVARD 5'!G219)</f>
        <v>45031</v>
      </c>
      <c r="I221" s="554" t="str">
        <f t="shared" si="52"/>
        <v/>
      </c>
      <c r="J221" s="554">
        <f t="shared" si="52"/>
        <v>1</v>
      </c>
      <c r="K221" s="554">
        <f t="shared" si="52"/>
        <v>2</v>
      </c>
      <c r="L221" s="554">
        <f t="shared" si="52"/>
        <v>2</v>
      </c>
      <c r="M221" s="554">
        <f t="shared" si="52"/>
        <v>2</v>
      </c>
      <c r="N221" s="554">
        <f t="shared" si="52"/>
        <v>2</v>
      </c>
      <c r="O221" s="554">
        <f t="shared" si="52"/>
        <v>2</v>
      </c>
      <c r="P221" s="554">
        <f t="shared" si="52"/>
        <v>2</v>
      </c>
      <c r="Q221" s="554">
        <f t="shared" si="52"/>
        <v>2</v>
      </c>
      <c r="R221" s="554">
        <f t="shared" si="52"/>
        <v>2</v>
      </c>
      <c r="S221" s="554">
        <f t="shared" si="52"/>
        <v>2</v>
      </c>
      <c r="T221" s="554">
        <f t="shared" si="52"/>
        <v>2</v>
      </c>
      <c r="U221" s="554">
        <f t="shared" si="52"/>
        <v>2</v>
      </c>
      <c r="V221" s="554">
        <f t="shared" si="52"/>
        <v>2</v>
      </c>
      <c r="W221" s="554">
        <f t="shared" si="52"/>
        <v>2</v>
      </c>
      <c r="X221" s="554">
        <f t="shared" si="52"/>
        <v>2</v>
      </c>
      <c r="Y221" s="554">
        <f t="shared" si="51"/>
        <v>2</v>
      </c>
      <c r="Z221" s="554">
        <f t="shared" si="51"/>
        <v>2</v>
      </c>
      <c r="AA221" s="554">
        <f t="shared" si="51"/>
        <v>2</v>
      </c>
      <c r="AB221" s="554">
        <f t="shared" si="51"/>
        <v>2</v>
      </c>
      <c r="AC221" s="554">
        <f t="shared" si="51"/>
        <v>2</v>
      </c>
      <c r="AD221" s="554">
        <f t="shared" si="51"/>
        <v>2</v>
      </c>
      <c r="AE221" s="554">
        <f t="shared" si="51"/>
        <v>2</v>
      </c>
      <c r="AF221" s="554">
        <f t="shared" si="51"/>
        <v>2</v>
      </c>
      <c r="AG221" s="554">
        <f t="shared" si="51"/>
        <v>2</v>
      </c>
      <c r="AH221" s="554">
        <f t="shared" si="51"/>
        <v>2</v>
      </c>
      <c r="AI221" s="554">
        <f t="shared" si="51"/>
        <v>2</v>
      </c>
      <c r="AJ221" s="554">
        <f t="shared" si="51"/>
        <v>2</v>
      </c>
      <c r="AK221" s="554">
        <f t="shared" si="51"/>
        <v>2</v>
      </c>
      <c r="AL221" s="554">
        <f t="shared" si="51"/>
        <v>2</v>
      </c>
      <c r="AM221" s="554">
        <f t="shared" si="50"/>
        <v>2</v>
      </c>
      <c r="AN221" s="554">
        <f t="shared" si="50"/>
        <v>2</v>
      </c>
      <c r="AO221" s="554">
        <f t="shared" si="50"/>
        <v>2</v>
      </c>
      <c r="AP221" s="554">
        <f t="shared" si="50"/>
        <v>2</v>
      </c>
      <c r="AQ221" s="429" t="str">
        <f t="shared" si="49"/>
        <v>Vendido</v>
      </c>
      <c r="AR221" s="447">
        <f>_xlfn.XLOOKUP(C221,'BOULEVARD 5'!B:B,'BOULEVARD 5'!AU:AU)</f>
        <v>1</v>
      </c>
    </row>
    <row r="222" spans="1:44" s="429" customFormat="1" ht="13.9" customHeight="1" x14ac:dyDescent="0.25">
      <c r="B222" s="678" t="str">
        <f>IF('B5-Status cobranza'!A222&gt;0,'B5-Status cobranza'!A222,"")</f>
        <v/>
      </c>
      <c r="C222" s="436">
        <v>1209</v>
      </c>
      <c r="D222" s="436" t="s">
        <v>469</v>
      </c>
      <c r="E222" s="436"/>
      <c r="F222" s="436" t="str">
        <f>IF('BOULEVARD 5'!E220="","",'BOULEVARD 5'!E220)</f>
        <v>Antonio Rada</v>
      </c>
      <c r="G222" s="429" t="str">
        <f>IF('BOULEVARD 5'!F220="","",'BOULEVARD 5'!F220)</f>
        <v>Gilda Elena Siekavizza Castillo / Jose Pablo Pineda Bran</v>
      </c>
      <c r="H222" s="473">
        <f>IF('BOULEVARD 5'!G220="","",'BOULEVARD 5'!G220)</f>
        <v>45013</v>
      </c>
      <c r="I222" s="554">
        <f t="shared" si="52"/>
        <v>1</v>
      </c>
      <c r="J222" s="554">
        <f t="shared" si="52"/>
        <v>2</v>
      </c>
      <c r="K222" s="554">
        <f t="shared" si="52"/>
        <v>2</v>
      </c>
      <c r="L222" s="554">
        <f t="shared" si="52"/>
        <v>2</v>
      </c>
      <c r="M222" s="554">
        <f t="shared" si="52"/>
        <v>2</v>
      </c>
      <c r="N222" s="554">
        <f t="shared" si="52"/>
        <v>2</v>
      </c>
      <c r="O222" s="554">
        <f t="shared" si="52"/>
        <v>2</v>
      </c>
      <c r="P222" s="554">
        <f t="shared" si="52"/>
        <v>2</v>
      </c>
      <c r="Q222" s="554">
        <f t="shared" si="52"/>
        <v>2</v>
      </c>
      <c r="R222" s="554">
        <f t="shared" si="52"/>
        <v>2</v>
      </c>
      <c r="S222" s="554">
        <f t="shared" si="52"/>
        <v>2</v>
      </c>
      <c r="T222" s="554">
        <f t="shared" si="52"/>
        <v>2</v>
      </c>
      <c r="U222" s="554">
        <f t="shared" si="52"/>
        <v>2</v>
      </c>
      <c r="V222" s="554">
        <f t="shared" si="52"/>
        <v>2</v>
      </c>
      <c r="W222" s="554">
        <f t="shared" si="52"/>
        <v>2</v>
      </c>
      <c r="X222" s="554">
        <f t="shared" si="52"/>
        <v>2</v>
      </c>
      <c r="Y222" s="554">
        <f t="shared" si="51"/>
        <v>2</v>
      </c>
      <c r="Z222" s="554">
        <f t="shared" si="51"/>
        <v>2</v>
      </c>
      <c r="AA222" s="554">
        <f t="shared" si="51"/>
        <v>2</v>
      </c>
      <c r="AB222" s="554">
        <f t="shared" si="51"/>
        <v>2</v>
      </c>
      <c r="AC222" s="554">
        <f t="shared" si="51"/>
        <v>2</v>
      </c>
      <c r="AD222" s="554">
        <f t="shared" si="51"/>
        <v>2</v>
      </c>
      <c r="AE222" s="554">
        <f t="shared" si="51"/>
        <v>2</v>
      </c>
      <c r="AF222" s="554">
        <f t="shared" si="51"/>
        <v>2</v>
      </c>
      <c r="AG222" s="554">
        <f t="shared" si="51"/>
        <v>2</v>
      </c>
      <c r="AH222" s="554">
        <f t="shared" si="51"/>
        <v>2</v>
      </c>
      <c r="AI222" s="554">
        <f t="shared" si="51"/>
        <v>2</v>
      </c>
      <c r="AJ222" s="554">
        <f t="shared" si="51"/>
        <v>2</v>
      </c>
      <c r="AK222" s="554">
        <f t="shared" si="51"/>
        <v>2</v>
      </c>
      <c r="AL222" s="554">
        <f t="shared" si="51"/>
        <v>2</v>
      </c>
      <c r="AM222" s="554">
        <f t="shared" si="50"/>
        <v>2</v>
      </c>
      <c r="AN222" s="554">
        <f t="shared" si="50"/>
        <v>2</v>
      </c>
      <c r="AO222" s="554">
        <f t="shared" si="50"/>
        <v>2</v>
      </c>
      <c r="AP222" s="554">
        <f t="shared" si="50"/>
        <v>2</v>
      </c>
      <c r="AQ222" s="429" t="str">
        <f t="shared" si="49"/>
        <v>Vendido</v>
      </c>
      <c r="AR222" s="447">
        <f>_xlfn.XLOOKUP(C222,'BOULEVARD 5'!B:B,'BOULEVARD 5'!AU:AU)</f>
        <v>0.97293056807935074</v>
      </c>
    </row>
    <row r="223" spans="1:44" s="429" customFormat="1" ht="13.9" customHeight="1" x14ac:dyDescent="0.25">
      <c r="B223" s="678" t="str">
        <f>IF('B5-Status cobranza'!A223&gt;0,'B5-Status cobranza'!A223,"")</f>
        <v/>
      </c>
      <c r="C223" s="436">
        <v>1210</v>
      </c>
      <c r="D223" s="436" t="s">
        <v>467</v>
      </c>
      <c r="E223" s="436"/>
      <c r="F223" s="436" t="str">
        <f>IF('BOULEVARD 5'!E221="","",'BOULEVARD 5'!E221)</f>
        <v>Antonio Rada</v>
      </c>
      <c r="G223" s="429" t="str">
        <f>IF('BOULEVARD 5'!F221="","",'BOULEVARD 5'!F221)</f>
        <v>Jmx Inversiones Sociedad Anonima</v>
      </c>
      <c r="H223" s="473">
        <f>IF('BOULEVARD 5'!G221="","",'BOULEVARD 5'!G221)</f>
        <v>45031</v>
      </c>
      <c r="I223" s="554" t="str">
        <f t="shared" si="52"/>
        <v/>
      </c>
      <c r="J223" s="554">
        <f t="shared" si="52"/>
        <v>1</v>
      </c>
      <c r="K223" s="554">
        <f t="shared" si="52"/>
        <v>2</v>
      </c>
      <c r="L223" s="554">
        <f t="shared" si="52"/>
        <v>2</v>
      </c>
      <c r="M223" s="554">
        <f t="shared" si="52"/>
        <v>2</v>
      </c>
      <c r="N223" s="554">
        <f t="shared" si="52"/>
        <v>2</v>
      </c>
      <c r="O223" s="554">
        <f t="shared" si="52"/>
        <v>2</v>
      </c>
      <c r="P223" s="554">
        <f t="shared" si="52"/>
        <v>2</v>
      </c>
      <c r="Q223" s="554">
        <f t="shared" si="52"/>
        <v>2</v>
      </c>
      <c r="R223" s="554">
        <f t="shared" si="52"/>
        <v>2</v>
      </c>
      <c r="S223" s="554">
        <f t="shared" si="52"/>
        <v>2</v>
      </c>
      <c r="T223" s="554">
        <f t="shared" si="52"/>
        <v>2</v>
      </c>
      <c r="U223" s="554">
        <f t="shared" si="52"/>
        <v>2</v>
      </c>
      <c r="V223" s="554">
        <f t="shared" si="52"/>
        <v>2</v>
      </c>
      <c r="W223" s="554">
        <f t="shared" si="52"/>
        <v>2</v>
      </c>
      <c r="X223" s="554">
        <f t="shared" si="52"/>
        <v>2</v>
      </c>
      <c r="Y223" s="554">
        <f t="shared" si="51"/>
        <v>2</v>
      </c>
      <c r="Z223" s="554">
        <f t="shared" si="51"/>
        <v>2</v>
      </c>
      <c r="AA223" s="554">
        <f t="shared" si="51"/>
        <v>2</v>
      </c>
      <c r="AB223" s="554">
        <f t="shared" si="51"/>
        <v>2</v>
      </c>
      <c r="AC223" s="554">
        <f t="shared" si="51"/>
        <v>2</v>
      </c>
      <c r="AD223" s="554">
        <f t="shared" si="51"/>
        <v>2</v>
      </c>
      <c r="AE223" s="554">
        <f t="shared" si="51"/>
        <v>2</v>
      </c>
      <c r="AF223" s="554">
        <f t="shared" si="51"/>
        <v>2</v>
      </c>
      <c r="AG223" s="554">
        <f t="shared" si="51"/>
        <v>2</v>
      </c>
      <c r="AH223" s="554">
        <f t="shared" si="51"/>
        <v>2</v>
      </c>
      <c r="AI223" s="554">
        <f t="shared" si="51"/>
        <v>2</v>
      </c>
      <c r="AJ223" s="554">
        <f t="shared" si="51"/>
        <v>2</v>
      </c>
      <c r="AK223" s="554">
        <f t="shared" si="51"/>
        <v>2</v>
      </c>
      <c r="AL223" s="554">
        <f t="shared" si="51"/>
        <v>2</v>
      </c>
      <c r="AM223" s="554">
        <f t="shared" si="50"/>
        <v>2</v>
      </c>
      <c r="AN223" s="554">
        <f t="shared" si="50"/>
        <v>2</v>
      </c>
      <c r="AO223" s="554">
        <f t="shared" si="50"/>
        <v>2</v>
      </c>
      <c r="AP223" s="554">
        <f t="shared" si="50"/>
        <v>2</v>
      </c>
      <c r="AQ223" s="429" t="str">
        <f t="shared" si="49"/>
        <v>Vendido</v>
      </c>
      <c r="AR223" s="447">
        <f>_xlfn.XLOOKUP(C223,'BOULEVARD 5'!B:B,'BOULEVARD 5'!AU:AU)</f>
        <v>1</v>
      </c>
    </row>
    <row r="224" spans="1:44" s="429" customFormat="1" ht="13.9" customHeight="1" x14ac:dyDescent="0.25">
      <c r="B224" s="678" t="str">
        <f>IF('B5-Status cobranza'!A224&gt;0,'B5-Status cobranza'!A224,"")</f>
        <v/>
      </c>
      <c r="C224" s="436">
        <v>1211</v>
      </c>
      <c r="D224" s="436" t="s">
        <v>469</v>
      </c>
      <c r="E224" s="436"/>
      <c r="F224" s="436" t="str">
        <f>IF('BOULEVARD 5'!E222="","",'BOULEVARD 5'!E222)</f>
        <v>Antonio Rada</v>
      </c>
      <c r="G224" s="429" t="str">
        <f>IF('BOULEVARD 5'!F222="","",'BOULEVARD 5'!F222)</f>
        <v>Jorge Daniel Baca Chiroy</v>
      </c>
      <c r="H224" s="473">
        <f>IF('BOULEVARD 5'!G222="","",'BOULEVARD 5'!G222)</f>
        <v>45258</v>
      </c>
      <c r="I224" s="554" t="str">
        <f t="shared" si="52"/>
        <v/>
      </c>
      <c r="J224" s="554" t="str">
        <f t="shared" si="52"/>
        <v/>
      </c>
      <c r="K224" s="554" t="str">
        <f t="shared" si="52"/>
        <v/>
      </c>
      <c r="L224" s="554" t="str">
        <f t="shared" si="52"/>
        <v/>
      </c>
      <c r="M224" s="554" t="str">
        <f t="shared" si="52"/>
        <v/>
      </c>
      <c r="N224" s="554" t="str">
        <f t="shared" si="52"/>
        <v/>
      </c>
      <c r="O224" s="554" t="str">
        <f t="shared" si="52"/>
        <v/>
      </c>
      <c r="P224" s="554" t="str">
        <f t="shared" si="52"/>
        <v/>
      </c>
      <c r="Q224" s="554">
        <f t="shared" si="52"/>
        <v>1</v>
      </c>
      <c r="R224" s="554">
        <f t="shared" si="52"/>
        <v>2</v>
      </c>
      <c r="S224" s="554">
        <f t="shared" si="52"/>
        <v>2</v>
      </c>
      <c r="T224" s="554">
        <f t="shared" si="52"/>
        <v>2</v>
      </c>
      <c r="U224" s="554">
        <f t="shared" si="52"/>
        <v>2</v>
      </c>
      <c r="V224" s="554">
        <f t="shared" si="52"/>
        <v>2</v>
      </c>
      <c r="W224" s="554">
        <f t="shared" si="52"/>
        <v>2</v>
      </c>
      <c r="X224" s="554">
        <f t="shared" si="52"/>
        <v>2</v>
      </c>
      <c r="Y224" s="554">
        <f t="shared" si="51"/>
        <v>2</v>
      </c>
      <c r="Z224" s="554">
        <f t="shared" si="51"/>
        <v>2</v>
      </c>
      <c r="AA224" s="554">
        <f t="shared" si="51"/>
        <v>2</v>
      </c>
      <c r="AB224" s="554">
        <f t="shared" si="51"/>
        <v>2</v>
      </c>
      <c r="AC224" s="554">
        <f t="shared" si="51"/>
        <v>2</v>
      </c>
      <c r="AD224" s="554">
        <f t="shared" si="51"/>
        <v>2</v>
      </c>
      <c r="AE224" s="554">
        <f t="shared" si="51"/>
        <v>2</v>
      </c>
      <c r="AF224" s="554">
        <f t="shared" si="51"/>
        <v>2</v>
      </c>
      <c r="AG224" s="554">
        <f t="shared" si="51"/>
        <v>2</v>
      </c>
      <c r="AH224" s="554">
        <f t="shared" si="51"/>
        <v>2</v>
      </c>
      <c r="AI224" s="554">
        <f t="shared" si="51"/>
        <v>2</v>
      </c>
      <c r="AJ224" s="554">
        <f t="shared" si="51"/>
        <v>2</v>
      </c>
      <c r="AK224" s="554">
        <f t="shared" si="51"/>
        <v>2</v>
      </c>
      <c r="AL224" s="554">
        <f t="shared" si="51"/>
        <v>2</v>
      </c>
      <c r="AM224" s="554">
        <f t="shared" si="50"/>
        <v>2</v>
      </c>
      <c r="AN224" s="554">
        <f t="shared" si="50"/>
        <v>2</v>
      </c>
      <c r="AO224" s="554">
        <f t="shared" si="50"/>
        <v>2</v>
      </c>
      <c r="AP224" s="554">
        <f t="shared" si="50"/>
        <v>2</v>
      </c>
      <c r="AQ224" s="429" t="str">
        <f t="shared" si="49"/>
        <v>Vendido</v>
      </c>
      <c r="AR224" s="447">
        <f>_xlfn.XLOOKUP(C224,'BOULEVARD 5'!B:B,'BOULEVARD 5'!AU:AU)</f>
        <v>1</v>
      </c>
    </row>
    <row r="225" spans="1:44" s="429" customFormat="1" ht="13.9" customHeight="1" x14ac:dyDescent="0.25">
      <c r="A225" s="429" t="s">
        <v>388</v>
      </c>
      <c r="B225" s="678"/>
      <c r="C225" s="436">
        <v>1212</v>
      </c>
      <c r="D225" s="436" t="s">
        <v>406</v>
      </c>
      <c r="E225" s="642" t="s">
        <v>336</v>
      </c>
      <c r="F225" s="436" t="str">
        <f>IF('BOULEVARD 5'!E223="","",'BOULEVARD 5'!E223)</f>
        <v>Brenda Búcaro</v>
      </c>
      <c r="G225" s="429" t="str">
        <f>IF('BOULEVARD 5'!F223="","",'BOULEVARD 5'!F223)</f>
        <v>Sergio Enrique Bolaños López</v>
      </c>
      <c r="H225" s="473">
        <f>IF('BOULEVARD 5'!G223="","",'BOULEVARD 5'!G223)</f>
        <v>45123</v>
      </c>
      <c r="I225" s="554" t="str">
        <f t="shared" si="52"/>
        <v/>
      </c>
      <c r="J225" s="554" t="str">
        <f t="shared" si="52"/>
        <v/>
      </c>
      <c r="K225" s="554" t="str">
        <f t="shared" si="52"/>
        <v/>
      </c>
      <c r="L225" s="554" t="str">
        <f t="shared" si="52"/>
        <v/>
      </c>
      <c r="M225" s="554">
        <f t="shared" si="52"/>
        <v>1</v>
      </c>
      <c r="N225" s="554">
        <f t="shared" si="52"/>
        <v>2</v>
      </c>
      <c r="O225" s="554">
        <f t="shared" si="52"/>
        <v>2</v>
      </c>
      <c r="P225" s="554">
        <f t="shared" si="52"/>
        <v>2</v>
      </c>
      <c r="Q225" s="554">
        <f t="shared" si="52"/>
        <v>2</v>
      </c>
      <c r="R225" s="554">
        <f t="shared" si="52"/>
        <v>2</v>
      </c>
      <c r="S225" s="554">
        <f t="shared" si="52"/>
        <v>2</v>
      </c>
      <c r="T225" s="554">
        <f t="shared" si="52"/>
        <v>2</v>
      </c>
      <c r="U225" s="554">
        <f t="shared" si="52"/>
        <v>2</v>
      </c>
      <c r="V225" s="554">
        <f t="shared" si="52"/>
        <v>2</v>
      </c>
      <c r="W225" s="554">
        <f t="shared" si="52"/>
        <v>2</v>
      </c>
      <c r="X225" s="554">
        <f t="shared" si="52"/>
        <v>2</v>
      </c>
      <c r="Y225" s="554">
        <f t="shared" si="51"/>
        <v>2</v>
      </c>
      <c r="Z225" s="554">
        <f t="shared" si="51"/>
        <v>2</v>
      </c>
      <c r="AA225" s="554">
        <f t="shared" si="51"/>
        <v>2</v>
      </c>
      <c r="AB225" s="554">
        <f t="shared" si="51"/>
        <v>2</v>
      </c>
      <c r="AC225" s="554">
        <f t="shared" si="51"/>
        <v>2</v>
      </c>
      <c r="AD225" s="554">
        <f t="shared" si="51"/>
        <v>2</v>
      </c>
      <c r="AE225" s="554">
        <f t="shared" si="51"/>
        <v>2</v>
      </c>
      <c r="AF225" s="554">
        <f t="shared" si="51"/>
        <v>2</v>
      </c>
      <c r="AG225" s="554">
        <f t="shared" si="51"/>
        <v>2</v>
      </c>
      <c r="AH225" s="554">
        <f t="shared" si="51"/>
        <v>2</v>
      </c>
      <c r="AI225" s="554">
        <f t="shared" si="51"/>
        <v>2</v>
      </c>
      <c r="AJ225" s="554">
        <f t="shared" si="51"/>
        <v>2</v>
      </c>
      <c r="AK225" s="554">
        <f t="shared" si="51"/>
        <v>2</v>
      </c>
      <c r="AL225" s="554">
        <f t="shared" si="51"/>
        <v>2</v>
      </c>
      <c r="AM225" s="554">
        <f t="shared" si="50"/>
        <v>2</v>
      </c>
      <c r="AN225" s="554">
        <f t="shared" si="50"/>
        <v>2</v>
      </c>
      <c r="AO225" s="554">
        <f t="shared" si="50"/>
        <v>2</v>
      </c>
      <c r="AP225" s="554">
        <f t="shared" si="50"/>
        <v>2</v>
      </c>
      <c r="AQ225" s="429" t="str">
        <f t="shared" si="49"/>
        <v>Vendido</v>
      </c>
      <c r="AR225" s="447">
        <f>_xlfn.XLOOKUP(C225,'BOULEVARD 5'!B:B,'BOULEVARD 5'!AU:AU)</f>
        <v>0.7110044977511244</v>
      </c>
    </row>
    <row r="226" spans="1:44" s="429" customFormat="1" ht="13.9" customHeight="1" x14ac:dyDescent="0.25">
      <c r="B226" s="678" t="str">
        <f>IF('B5-Status cobranza'!A226&gt;0,'B5-Status cobranza'!A226,"")</f>
        <v/>
      </c>
      <c r="C226" s="436">
        <v>1213</v>
      </c>
      <c r="D226" s="436" t="s">
        <v>181</v>
      </c>
      <c r="E226" s="436"/>
      <c r="F226" s="436" t="str">
        <f>IF('BOULEVARD 5'!E224="","",'BOULEVARD 5'!E224)</f>
        <v>Jose Franco</v>
      </c>
      <c r="G226" s="429" t="str">
        <f>IF('BOULEVARD 5'!F224="","",'BOULEVARD 5'!F224)</f>
        <v>Marcas &amp; Secretos, S.A.</v>
      </c>
      <c r="H226" s="473">
        <f>IF('BOULEVARD 5'!G224="","",'BOULEVARD 5'!G224)</f>
        <v>45021</v>
      </c>
      <c r="I226" s="554" t="str">
        <f t="shared" si="52"/>
        <v/>
      </c>
      <c r="J226" s="554">
        <f t="shared" si="52"/>
        <v>1</v>
      </c>
      <c r="K226" s="554">
        <f t="shared" si="52"/>
        <v>2</v>
      </c>
      <c r="L226" s="554">
        <f t="shared" si="52"/>
        <v>2</v>
      </c>
      <c r="M226" s="554">
        <f t="shared" si="52"/>
        <v>2</v>
      </c>
      <c r="N226" s="554">
        <f t="shared" si="52"/>
        <v>2</v>
      </c>
      <c r="O226" s="554">
        <f t="shared" si="52"/>
        <v>2</v>
      </c>
      <c r="P226" s="554">
        <f t="shared" si="52"/>
        <v>2</v>
      </c>
      <c r="Q226" s="554">
        <f t="shared" si="52"/>
        <v>2</v>
      </c>
      <c r="R226" s="554">
        <f t="shared" si="52"/>
        <v>2</v>
      </c>
      <c r="S226" s="554">
        <f t="shared" si="52"/>
        <v>2</v>
      </c>
      <c r="T226" s="554">
        <f t="shared" si="52"/>
        <v>2</v>
      </c>
      <c r="U226" s="554">
        <f t="shared" si="52"/>
        <v>2</v>
      </c>
      <c r="V226" s="554">
        <f t="shared" si="52"/>
        <v>2</v>
      </c>
      <c r="W226" s="554">
        <f t="shared" si="52"/>
        <v>2</v>
      </c>
      <c r="X226" s="554">
        <f t="shared" si="52"/>
        <v>2</v>
      </c>
      <c r="Y226" s="554">
        <f t="shared" si="51"/>
        <v>2</v>
      </c>
      <c r="Z226" s="554">
        <f t="shared" si="51"/>
        <v>2</v>
      </c>
      <c r="AA226" s="554">
        <f t="shared" si="51"/>
        <v>2</v>
      </c>
      <c r="AB226" s="554">
        <f t="shared" si="51"/>
        <v>2</v>
      </c>
      <c r="AC226" s="554">
        <f t="shared" si="51"/>
        <v>2</v>
      </c>
      <c r="AD226" s="554">
        <f t="shared" si="51"/>
        <v>2</v>
      </c>
      <c r="AE226" s="554">
        <f t="shared" si="51"/>
        <v>2</v>
      </c>
      <c r="AF226" s="554">
        <f t="shared" si="51"/>
        <v>2</v>
      </c>
      <c r="AG226" s="554">
        <f t="shared" si="51"/>
        <v>2</v>
      </c>
      <c r="AH226" s="554">
        <f t="shared" si="51"/>
        <v>2</v>
      </c>
      <c r="AI226" s="554">
        <f t="shared" si="51"/>
        <v>2</v>
      </c>
      <c r="AJ226" s="554">
        <f t="shared" si="51"/>
        <v>2</v>
      </c>
      <c r="AK226" s="554">
        <f t="shared" si="51"/>
        <v>2</v>
      </c>
      <c r="AL226" s="554">
        <f t="shared" si="51"/>
        <v>2</v>
      </c>
      <c r="AM226" s="554">
        <f t="shared" si="50"/>
        <v>2</v>
      </c>
      <c r="AN226" s="554">
        <f t="shared" si="50"/>
        <v>2</v>
      </c>
      <c r="AO226" s="554">
        <f t="shared" si="50"/>
        <v>2</v>
      </c>
      <c r="AP226" s="554">
        <f t="shared" si="50"/>
        <v>2</v>
      </c>
      <c r="AQ226" s="429" t="str">
        <f t="shared" si="49"/>
        <v>Vendido</v>
      </c>
      <c r="AR226" s="447">
        <f>_xlfn.XLOOKUP(C226,'BOULEVARD 5'!B:B,'BOULEVARD 5'!AU:AU)</f>
        <v>1</v>
      </c>
    </row>
    <row r="227" spans="1:44" s="429" customFormat="1" ht="13.9" customHeight="1" x14ac:dyDescent="0.25">
      <c r="B227" s="678" t="str">
        <f>IF('B5-Status cobranza'!A227&gt;0,'B5-Status cobranza'!A227,"")</f>
        <v/>
      </c>
      <c r="C227" s="436">
        <v>1214</v>
      </c>
      <c r="D227" s="436" t="s">
        <v>611</v>
      </c>
      <c r="E227" s="436"/>
      <c r="F227" s="436" t="str">
        <f>IF('BOULEVARD 5'!E225="","",'BOULEVARD 5'!E225)</f>
        <v>Jose Franco</v>
      </c>
      <c r="G227" s="429" t="str">
        <f>IF('BOULEVARD 5'!F225="","",'BOULEVARD 5'!F225)</f>
        <v>Manuel Armando Fletes Ordoñez</v>
      </c>
      <c r="H227" s="473">
        <f>IF('BOULEVARD 5'!G225="","",'BOULEVARD 5'!G225)</f>
        <v>45082</v>
      </c>
      <c r="I227" s="554" t="str">
        <f t="shared" si="52"/>
        <v/>
      </c>
      <c r="J227" s="554" t="str">
        <f t="shared" si="52"/>
        <v/>
      </c>
      <c r="K227" s="554" t="str">
        <f t="shared" si="52"/>
        <v/>
      </c>
      <c r="L227" s="554">
        <f t="shared" si="52"/>
        <v>1</v>
      </c>
      <c r="M227" s="554">
        <f t="shared" si="52"/>
        <v>2</v>
      </c>
      <c r="N227" s="554">
        <f t="shared" si="52"/>
        <v>2</v>
      </c>
      <c r="O227" s="554">
        <f t="shared" si="52"/>
        <v>2</v>
      </c>
      <c r="P227" s="554">
        <f t="shared" si="52"/>
        <v>2</v>
      </c>
      <c r="Q227" s="554">
        <f t="shared" si="52"/>
        <v>2</v>
      </c>
      <c r="R227" s="554">
        <f t="shared" si="52"/>
        <v>2</v>
      </c>
      <c r="S227" s="554">
        <f t="shared" si="52"/>
        <v>2</v>
      </c>
      <c r="T227" s="554">
        <f t="shared" si="52"/>
        <v>2</v>
      </c>
      <c r="U227" s="554">
        <f t="shared" si="52"/>
        <v>2</v>
      </c>
      <c r="V227" s="554">
        <f t="shared" si="52"/>
        <v>2</v>
      </c>
      <c r="W227" s="554">
        <f t="shared" si="52"/>
        <v>2</v>
      </c>
      <c r="X227" s="554">
        <f t="shared" si="52"/>
        <v>2</v>
      </c>
      <c r="Y227" s="554">
        <f t="shared" si="51"/>
        <v>2</v>
      </c>
      <c r="Z227" s="554">
        <f t="shared" si="51"/>
        <v>2</v>
      </c>
      <c r="AA227" s="554">
        <f t="shared" si="51"/>
        <v>2</v>
      </c>
      <c r="AB227" s="554">
        <f t="shared" si="51"/>
        <v>2</v>
      </c>
      <c r="AC227" s="554">
        <f t="shared" si="51"/>
        <v>2</v>
      </c>
      <c r="AD227" s="554">
        <f t="shared" si="51"/>
        <v>2</v>
      </c>
      <c r="AE227" s="554">
        <f t="shared" si="51"/>
        <v>2</v>
      </c>
      <c r="AF227" s="554">
        <f t="shared" si="51"/>
        <v>2</v>
      </c>
      <c r="AG227" s="554">
        <f t="shared" si="51"/>
        <v>2</v>
      </c>
      <c r="AH227" s="554">
        <f t="shared" si="51"/>
        <v>2</v>
      </c>
      <c r="AI227" s="554">
        <f t="shared" si="51"/>
        <v>2</v>
      </c>
      <c r="AJ227" s="554">
        <f t="shared" si="51"/>
        <v>2</v>
      </c>
      <c r="AK227" s="554">
        <f t="shared" si="51"/>
        <v>2</v>
      </c>
      <c r="AL227" s="554">
        <f t="shared" si="51"/>
        <v>2</v>
      </c>
      <c r="AM227" s="554">
        <f t="shared" si="50"/>
        <v>2</v>
      </c>
      <c r="AN227" s="554">
        <f t="shared" si="50"/>
        <v>2</v>
      </c>
      <c r="AO227" s="554">
        <f t="shared" si="50"/>
        <v>2</v>
      </c>
      <c r="AP227" s="554">
        <f t="shared" si="50"/>
        <v>2</v>
      </c>
      <c r="AQ227" s="429" t="str">
        <f t="shared" si="49"/>
        <v>Vendido</v>
      </c>
      <c r="AR227" s="447">
        <f>_xlfn.XLOOKUP(C227,'BOULEVARD 5'!B:B,'BOULEVARD 5'!AU:AU)</f>
        <v>3.9885641677255399</v>
      </c>
    </row>
    <row r="228" spans="1:44" s="429" customFormat="1" ht="13.9" customHeight="1" x14ac:dyDescent="0.25">
      <c r="B228" s="678" t="str">
        <f>IF('B5-Status cobranza'!A228&gt;0,'B5-Status cobranza'!A228,"")</f>
        <v/>
      </c>
      <c r="C228" s="436">
        <v>1215</v>
      </c>
      <c r="D228" s="436" t="s">
        <v>400</v>
      </c>
      <c r="E228" s="436"/>
      <c r="F228" s="436" t="str">
        <f>IF('BOULEVARD 5'!E226="","",'BOULEVARD 5'!E226)</f>
        <v>Antonio Rada</v>
      </c>
      <c r="G228" s="429" t="str">
        <f>IF('BOULEVARD 5'!F226="","",'BOULEVARD 5'!F226)</f>
        <v xml:space="preserve"> Jose Javier Hernandez Juarez</v>
      </c>
      <c r="H228" s="473">
        <f>IF('BOULEVARD 5'!G226="","",'BOULEVARD 5'!G226)</f>
        <v>45027</v>
      </c>
      <c r="I228" s="554" t="str">
        <f t="shared" si="52"/>
        <v/>
      </c>
      <c r="J228" s="554">
        <f t="shared" si="52"/>
        <v>1</v>
      </c>
      <c r="K228" s="554">
        <f t="shared" si="52"/>
        <v>2</v>
      </c>
      <c r="L228" s="554">
        <f t="shared" si="52"/>
        <v>2</v>
      </c>
      <c r="M228" s="554">
        <f t="shared" si="52"/>
        <v>2</v>
      </c>
      <c r="N228" s="554">
        <f t="shared" si="52"/>
        <v>2</v>
      </c>
      <c r="O228" s="554">
        <f t="shared" si="52"/>
        <v>2</v>
      </c>
      <c r="P228" s="554">
        <f t="shared" si="52"/>
        <v>2</v>
      </c>
      <c r="Q228" s="554">
        <f t="shared" si="52"/>
        <v>2</v>
      </c>
      <c r="R228" s="554">
        <f t="shared" si="52"/>
        <v>2</v>
      </c>
      <c r="S228" s="554">
        <f t="shared" si="52"/>
        <v>2</v>
      </c>
      <c r="T228" s="554">
        <f t="shared" si="52"/>
        <v>2</v>
      </c>
      <c r="U228" s="554">
        <f t="shared" si="52"/>
        <v>2</v>
      </c>
      <c r="V228" s="554">
        <f t="shared" si="52"/>
        <v>2</v>
      </c>
      <c r="W228" s="554">
        <f t="shared" si="52"/>
        <v>2</v>
      </c>
      <c r="X228" s="554">
        <f t="shared" si="52"/>
        <v>2</v>
      </c>
      <c r="Y228" s="554">
        <f t="shared" si="51"/>
        <v>2</v>
      </c>
      <c r="Z228" s="554">
        <f t="shared" si="51"/>
        <v>2</v>
      </c>
      <c r="AA228" s="554">
        <f t="shared" si="51"/>
        <v>2</v>
      </c>
      <c r="AB228" s="554">
        <f t="shared" si="51"/>
        <v>2</v>
      </c>
      <c r="AC228" s="554">
        <f t="shared" si="51"/>
        <v>2</v>
      </c>
      <c r="AD228" s="554">
        <f t="shared" si="51"/>
        <v>2</v>
      </c>
      <c r="AE228" s="554">
        <f t="shared" si="51"/>
        <v>2</v>
      </c>
      <c r="AF228" s="554">
        <f t="shared" si="51"/>
        <v>2</v>
      </c>
      <c r="AG228" s="554">
        <f t="shared" si="51"/>
        <v>2</v>
      </c>
      <c r="AH228" s="554">
        <f t="shared" si="51"/>
        <v>2</v>
      </c>
      <c r="AI228" s="554">
        <f t="shared" si="51"/>
        <v>2</v>
      </c>
      <c r="AJ228" s="554">
        <f t="shared" si="51"/>
        <v>2</v>
      </c>
      <c r="AK228" s="554">
        <f t="shared" si="51"/>
        <v>2</v>
      </c>
      <c r="AL228" s="554">
        <f t="shared" si="51"/>
        <v>2</v>
      </c>
      <c r="AM228" s="554">
        <f t="shared" si="50"/>
        <v>2</v>
      </c>
      <c r="AN228" s="554">
        <f t="shared" si="50"/>
        <v>2</v>
      </c>
      <c r="AO228" s="554">
        <f t="shared" si="50"/>
        <v>2</v>
      </c>
      <c r="AP228" s="554">
        <f t="shared" si="50"/>
        <v>2</v>
      </c>
      <c r="AQ228" s="429" t="str">
        <f t="shared" si="49"/>
        <v>Vendido</v>
      </c>
      <c r="AR228" s="447">
        <f>_xlfn.XLOOKUP(C228,'BOULEVARD 5'!B:B,'BOULEVARD 5'!AU:AU)</f>
        <v>1.5695576251455181</v>
      </c>
    </row>
    <row r="229" spans="1:44" s="467" customFormat="1" ht="13.9" customHeight="1" x14ac:dyDescent="0.25">
      <c r="A229" s="429" t="s">
        <v>388</v>
      </c>
      <c r="B229" s="678"/>
      <c r="C229" s="483">
        <v>1216</v>
      </c>
      <c r="D229" s="483" t="s">
        <v>175</v>
      </c>
      <c r="E229" s="483"/>
      <c r="F229" s="436" t="str">
        <f>IF('BOULEVARD 5'!E227="","",'BOULEVARD 5'!E227)</f>
        <v>Anahí Cisneros</v>
      </c>
      <c r="G229" s="467" t="str">
        <f>IF('BOULEVARD 5'!F227="","",'BOULEVARD 5'!F227)</f>
        <v>Alan Gonzalez Choc</v>
      </c>
      <c r="H229" s="484">
        <f>IF('BOULEVARD 5'!G227="","",'BOULEVARD 5'!G227)</f>
        <v>45856</v>
      </c>
      <c r="I229" s="554" t="str">
        <f t="shared" si="52"/>
        <v/>
      </c>
      <c r="J229" s="554" t="str">
        <f t="shared" si="52"/>
        <v/>
      </c>
      <c r="K229" s="554" t="str">
        <f t="shared" si="52"/>
        <v/>
      </c>
      <c r="L229" s="554" t="str">
        <f t="shared" si="52"/>
        <v/>
      </c>
      <c r="M229" s="554" t="str">
        <f t="shared" si="52"/>
        <v/>
      </c>
      <c r="N229" s="554" t="str">
        <f t="shared" si="52"/>
        <v/>
      </c>
      <c r="O229" s="554" t="str">
        <f t="shared" si="52"/>
        <v/>
      </c>
      <c r="P229" s="554" t="str">
        <f t="shared" si="52"/>
        <v/>
      </c>
      <c r="Q229" s="554" t="str">
        <f t="shared" si="52"/>
        <v/>
      </c>
      <c r="R229" s="554" t="str">
        <f t="shared" si="52"/>
        <v/>
      </c>
      <c r="S229" s="554" t="str">
        <f t="shared" si="52"/>
        <v/>
      </c>
      <c r="T229" s="554" t="str">
        <f t="shared" si="52"/>
        <v/>
      </c>
      <c r="U229" s="554" t="str">
        <f t="shared" si="52"/>
        <v/>
      </c>
      <c r="V229" s="554" t="str">
        <f t="shared" si="52"/>
        <v/>
      </c>
      <c r="W229" s="554" t="str">
        <f t="shared" si="52"/>
        <v/>
      </c>
      <c r="X229" s="554" t="str">
        <f t="shared" si="52"/>
        <v/>
      </c>
      <c r="Y229" s="554" t="str">
        <f t="shared" si="51"/>
        <v/>
      </c>
      <c r="Z229" s="554" t="str">
        <f t="shared" si="51"/>
        <v/>
      </c>
      <c r="AA229" s="554" t="str">
        <f t="shared" si="51"/>
        <v/>
      </c>
      <c r="AB229" s="554" t="str">
        <f t="shared" si="51"/>
        <v/>
      </c>
      <c r="AC229" s="554" t="str">
        <f t="shared" si="51"/>
        <v/>
      </c>
      <c r="AD229" s="554" t="str">
        <f t="shared" si="51"/>
        <v/>
      </c>
      <c r="AE229" s="554" t="str">
        <f t="shared" si="51"/>
        <v/>
      </c>
      <c r="AF229" s="554" t="str">
        <f t="shared" si="51"/>
        <v/>
      </c>
      <c r="AG229" s="554" t="str">
        <f t="shared" si="51"/>
        <v/>
      </c>
      <c r="AH229" s="554" t="str">
        <f t="shared" si="51"/>
        <v/>
      </c>
      <c r="AI229" s="554" t="str">
        <f t="shared" si="51"/>
        <v/>
      </c>
      <c r="AJ229" s="554" t="str">
        <f t="shared" si="51"/>
        <v/>
      </c>
      <c r="AK229" s="554">
        <f t="shared" si="51"/>
        <v>1</v>
      </c>
      <c r="AL229" s="554">
        <f t="shared" si="51"/>
        <v>2</v>
      </c>
      <c r="AM229" s="554">
        <f t="shared" si="50"/>
        <v>2</v>
      </c>
      <c r="AN229" s="554">
        <f t="shared" si="50"/>
        <v>2</v>
      </c>
      <c r="AO229" s="554">
        <f t="shared" si="50"/>
        <v>2</v>
      </c>
      <c r="AP229" s="554">
        <f t="shared" si="50"/>
        <v>2</v>
      </c>
      <c r="AQ229" s="429" t="str">
        <f t="shared" si="49"/>
        <v>Vendido</v>
      </c>
      <c r="AR229" s="447">
        <f>_xlfn.XLOOKUP(C229,'BOULEVARD 5'!B:B,'BOULEVARD 5'!AU:AU)</f>
        <v>6.2554289576760125</v>
      </c>
    </row>
    <row r="230" spans="1:44" s="429" customFormat="1" ht="13.9" customHeight="1" x14ac:dyDescent="0.25">
      <c r="B230" s="678" t="str">
        <f>IF('B5-Status cobranza'!A230&gt;0,'B5-Status cobranza'!A230,"")</f>
        <v/>
      </c>
      <c r="C230" s="436">
        <v>1217</v>
      </c>
      <c r="D230" s="436" t="s">
        <v>617</v>
      </c>
      <c r="E230" s="436"/>
      <c r="F230" s="436" t="str">
        <f>IF('BOULEVARD 5'!E228="","",'BOULEVARD 5'!E228)</f>
        <v>Antonio Rada</v>
      </c>
      <c r="G230" s="429" t="str">
        <f>IF('BOULEVARD 5'!F228="","",'BOULEVARD 5'!F228)</f>
        <v>Irene Noemy Santisteban Chiguil</v>
      </c>
      <c r="H230" s="473">
        <f>IF('BOULEVARD 5'!G228="","",'BOULEVARD 5'!G228)</f>
        <v>45391</v>
      </c>
      <c r="I230" s="554" t="str">
        <f t="shared" si="52"/>
        <v/>
      </c>
      <c r="J230" s="554" t="str">
        <f t="shared" si="52"/>
        <v/>
      </c>
      <c r="K230" s="554" t="str">
        <f t="shared" si="52"/>
        <v/>
      </c>
      <c r="L230" s="554" t="str">
        <f t="shared" si="52"/>
        <v/>
      </c>
      <c r="M230" s="554" t="str">
        <f t="shared" si="52"/>
        <v/>
      </c>
      <c r="N230" s="554" t="str">
        <f t="shared" si="52"/>
        <v/>
      </c>
      <c r="O230" s="554" t="str">
        <f t="shared" si="52"/>
        <v/>
      </c>
      <c r="P230" s="554" t="str">
        <f t="shared" si="52"/>
        <v/>
      </c>
      <c r="Q230" s="554" t="str">
        <f t="shared" si="52"/>
        <v/>
      </c>
      <c r="R230" s="554" t="str">
        <f t="shared" si="52"/>
        <v/>
      </c>
      <c r="S230" s="554" t="str">
        <f t="shared" si="52"/>
        <v/>
      </c>
      <c r="T230" s="554" t="str">
        <f t="shared" si="52"/>
        <v/>
      </c>
      <c r="U230" s="554" t="str">
        <f t="shared" si="52"/>
        <v/>
      </c>
      <c r="V230" s="554">
        <f t="shared" si="52"/>
        <v>1</v>
      </c>
      <c r="W230" s="554">
        <f t="shared" si="52"/>
        <v>2</v>
      </c>
      <c r="X230" s="554">
        <f t="shared" si="52"/>
        <v>2</v>
      </c>
      <c r="Y230" s="554">
        <f t="shared" si="51"/>
        <v>2</v>
      </c>
      <c r="Z230" s="554">
        <f t="shared" si="51"/>
        <v>2</v>
      </c>
      <c r="AA230" s="554">
        <f t="shared" si="51"/>
        <v>2</v>
      </c>
      <c r="AB230" s="554">
        <f t="shared" si="51"/>
        <v>2</v>
      </c>
      <c r="AC230" s="554">
        <f t="shared" si="51"/>
        <v>2</v>
      </c>
      <c r="AD230" s="554">
        <f t="shared" si="51"/>
        <v>2</v>
      </c>
      <c r="AE230" s="554">
        <f t="shared" si="51"/>
        <v>2</v>
      </c>
      <c r="AF230" s="554">
        <f t="shared" si="51"/>
        <v>2</v>
      </c>
      <c r="AG230" s="554">
        <f t="shared" si="51"/>
        <v>2</v>
      </c>
      <c r="AH230" s="554">
        <f t="shared" si="51"/>
        <v>2</v>
      </c>
      <c r="AI230" s="554">
        <f t="shared" si="51"/>
        <v>2</v>
      </c>
      <c r="AJ230" s="554">
        <f t="shared" si="51"/>
        <v>2</v>
      </c>
      <c r="AK230" s="554">
        <f t="shared" si="51"/>
        <v>2</v>
      </c>
      <c r="AL230" s="554">
        <f t="shared" si="51"/>
        <v>2</v>
      </c>
      <c r="AM230" s="554">
        <f t="shared" si="50"/>
        <v>2</v>
      </c>
      <c r="AN230" s="554">
        <f t="shared" si="50"/>
        <v>2</v>
      </c>
      <c r="AO230" s="554">
        <f t="shared" si="50"/>
        <v>2</v>
      </c>
      <c r="AP230" s="554">
        <f t="shared" si="50"/>
        <v>2</v>
      </c>
      <c r="AQ230" s="429" t="str">
        <f t="shared" si="49"/>
        <v>Vendido</v>
      </c>
      <c r="AR230" s="447">
        <f>_xlfn.XLOOKUP(C230,'BOULEVARD 5'!B:B,'BOULEVARD 5'!AU:AU)</f>
        <v>1</v>
      </c>
    </row>
    <row r="231" spans="1:44" s="429" customFormat="1" ht="13.9" customHeight="1" x14ac:dyDescent="0.25">
      <c r="B231" s="678" t="str">
        <f>IF('B5-Status cobranza'!A231&gt;0,'B5-Status cobranza'!A231,"")</f>
        <v/>
      </c>
      <c r="C231" s="436">
        <v>1218</v>
      </c>
      <c r="D231" s="436" t="s">
        <v>619</v>
      </c>
      <c r="E231" s="436"/>
      <c r="F231" s="436" t="str">
        <f>IF('BOULEVARD 5'!E229="","",'BOULEVARD 5'!E229)</f>
        <v>Diana Alvarez</v>
      </c>
      <c r="G231" s="429" t="str">
        <f>IF('BOULEVARD 5'!F229="","",'BOULEVARD 5'!F229)</f>
        <v>Hector Ricardo Echeverria  Mendez</v>
      </c>
      <c r="H231" s="473">
        <f>IF('BOULEVARD 5'!G229="","",'BOULEVARD 5'!G229)</f>
        <v>45614</v>
      </c>
      <c r="I231" s="554" t="str">
        <f t="shared" si="52"/>
        <v/>
      </c>
      <c r="J231" s="554" t="str">
        <f t="shared" si="52"/>
        <v/>
      </c>
      <c r="K231" s="554" t="str">
        <f t="shared" si="52"/>
        <v/>
      </c>
      <c r="L231" s="554" t="str">
        <f t="shared" si="52"/>
        <v/>
      </c>
      <c r="M231" s="554" t="str">
        <f t="shared" si="52"/>
        <v/>
      </c>
      <c r="N231" s="554" t="str">
        <f t="shared" si="52"/>
        <v/>
      </c>
      <c r="O231" s="554" t="str">
        <f t="shared" si="52"/>
        <v/>
      </c>
      <c r="P231" s="554" t="str">
        <f t="shared" si="52"/>
        <v/>
      </c>
      <c r="Q231" s="554" t="str">
        <f t="shared" si="52"/>
        <v/>
      </c>
      <c r="R231" s="554" t="str">
        <f t="shared" si="52"/>
        <v/>
      </c>
      <c r="S231" s="554" t="str">
        <f t="shared" si="52"/>
        <v/>
      </c>
      <c r="T231" s="554" t="str">
        <f t="shared" si="52"/>
        <v/>
      </c>
      <c r="U231" s="554" t="str">
        <f t="shared" si="52"/>
        <v/>
      </c>
      <c r="V231" s="554" t="str">
        <f t="shared" si="52"/>
        <v/>
      </c>
      <c r="W231" s="554" t="str">
        <f t="shared" si="52"/>
        <v/>
      </c>
      <c r="X231" s="554" t="str">
        <f t="shared" si="52"/>
        <v/>
      </c>
      <c r="Y231" s="554" t="str">
        <f t="shared" si="51"/>
        <v/>
      </c>
      <c r="Z231" s="554" t="str">
        <f t="shared" si="51"/>
        <v/>
      </c>
      <c r="AA231" s="554" t="str">
        <f t="shared" si="51"/>
        <v/>
      </c>
      <c r="AB231" s="554" t="str">
        <f t="shared" si="51"/>
        <v/>
      </c>
      <c r="AC231" s="554">
        <f t="shared" si="51"/>
        <v>1</v>
      </c>
      <c r="AD231" s="554">
        <f t="shared" si="51"/>
        <v>2</v>
      </c>
      <c r="AE231" s="554">
        <f t="shared" si="51"/>
        <v>2</v>
      </c>
      <c r="AF231" s="554">
        <f t="shared" si="51"/>
        <v>2</v>
      </c>
      <c r="AG231" s="554">
        <f t="shared" si="51"/>
        <v>2</v>
      </c>
      <c r="AH231" s="554">
        <f t="shared" si="51"/>
        <v>2</v>
      </c>
      <c r="AI231" s="554">
        <f t="shared" si="51"/>
        <v>2</v>
      </c>
      <c r="AJ231" s="554">
        <f t="shared" si="51"/>
        <v>2</v>
      </c>
      <c r="AK231" s="554">
        <f t="shared" si="51"/>
        <v>2</v>
      </c>
      <c r="AL231" s="554">
        <f t="shared" si="51"/>
        <v>2</v>
      </c>
      <c r="AM231" s="554">
        <f t="shared" si="50"/>
        <v>2</v>
      </c>
      <c r="AN231" s="554">
        <f t="shared" si="50"/>
        <v>2</v>
      </c>
      <c r="AO231" s="554">
        <f t="shared" si="50"/>
        <v>2</v>
      </c>
      <c r="AP231" s="554">
        <f t="shared" si="50"/>
        <v>2</v>
      </c>
      <c r="AQ231" s="429" t="str">
        <f t="shared" si="49"/>
        <v>Vendido</v>
      </c>
      <c r="AR231" s="447">
        <f>_xlfn.XLOOKUP(C231,'BOULEVARD 5'!B:B,'BOULEVARD 5'!AU:AU)</f>
        <v>0.69137787390940508</v>
      </c>
    </row>
    <row r="232" spans="1:44" s="429" customFormat="1" ht="13.9" customHeight="1" x14ac:dyDescent="0.25">
      <c r="B232" s="678" t="str">
        <f>IF('B5-Status cobranza'!A232&gt;0,'B5-Status cobranza'!A232,"")</f>
        <v/>
      </c>
      <c r="C232" s="436">
        <v>1301</v>
      </c>
      <c r="D232" s="436" t="s">
        <v>617</v>
      </c>
      <c r="E232" s="436"/>
      <c r="F232" s="436" t="str">
        <f>IF('BOULEVARD 5'!E230="","",'BOULEVARD 5'!E230)</f>
        <v>Antonio Rada</v>
      </c>
      <c r="G232" s="429" t="str">
        <f>IF('BOULEVARD 5'!F230="","",'BOULEVARD 5'!F230)</f>
        <v>Raul Eliazar Lemus Garza</v>
      </c>
      <c r="H232" s="473">
        <f>IF('BOULEVARD 5'!G230="","",'BOULEVARD 5'!G230)</f>
        <v>45456</v>
      </c>
      <c r="I232" s="554" t="str">
        <f t="shared" si="52"/>
        <v/>
      </c>
      <c r="J232" s="554" t="str">
        <f t="shared" si="52"/>
        <v/>
      </c>
      <c r="K232" s="554" t="str">
        <f t="shared" si="52"/>
        <v/>
      </c>
      <c r="L232" s="554" t="str">
        <f t="shared" si="52"/>
        <v/>
      </c>
      <c r="M232" s="554" t="str">
        <f t="shared" si="52"/>
        <v/>
      </c>
      <c r="N232" s="554" t="str">
        <f t="shared" si="52"/>
        <v/>
      </c>
      <c r="O232" s="554" t="str">
        <f t="shared" si="52"/>
        <v/>
      </c>
      <c r="P232" s="554" t="str">
        <f t="shared" si="52"/>
        <v/>
      </c>
      <c r="Q232" s="554" t="str">
        <f t="shared" si="52"/>
        <v/>
      </c>
      <c r="R232" s="554" t="str">
        <f t="shared" si="52"/>
        <v/>
      </c>
      <c r="S232" s="554" t="str">
        <f t="shared" si="52"/>
        <v/>
      </c>
      <c r="T232" s="554" t="str">
        <f t="shared" si="52"/>
        <v/>
      </c>
      <c r="U232" s="554" t="str">
        <f t="shared" si="52"/>
        <v/>
      </c>
      <c r="V232" s="554" t="str">
        <f t="shared" si="52"/>
        <v/>
      </c>
      <c r="W232" s="554" t="str">
        <f t="shared" si="52"/>
        <v/>
      </c>
      <c r="X232" s="554">
        <f t="shared" si="52"/>
        <v>1</v>
      </c>
      <c r="Y232" s="554">
        <f t="shared" si="51"/>
        <v>2</v>
      </c>
      <c r="Z232" s="554">
        <f t="shared" si="51"/>
        <v>2</v>
      </c>
      <c r="AA232" s="554">
        <f t="shared" si="51"/>
        <v>2</v>
      </c>
      <c r="AB232" s="554">
        <f t="shared" si="51"/>
        <v>2</v>
      </c>
      <c r="AC232" s="554">
        <f t="shared" si="51"/>
        <v>2</v>
      </c>
      <c r="AD232" s="554">
        <f t="shared" si="51"/>
        <v>2</v>
      </c>
      <c r="AE232" s="554">
        <f t="shared" si="51"/>
        <v>2</v>
      </c>
      <c r="AF232" s="554">
        <f t="shared" si="51"/>
        <v>2</v>
      </c>
      <c r="AG232" s="554">
        <f t="shared" si="51"/>
        <v>2</v>
      </c>
      <c r="AH232" s="554">
        <f t="shared" si="51"/>
        <v>2</v>
      </c>
      <c r="AI232" s="554">
        <f t="shared" si="51"/>
        <v>2</v>
      </c>
      <c r="AJ232" s="554">
        <f t="shared" si="51"/>
        <v>2</v>
      </c>
      <c r="AK232" s="554">
        <f t="shared" si="51"/>
        <v>2</v>
      </c>
      <c r="AL232" s="554">
        <f t="shared" si="51"/>
        <v>2</v>
      </c>
      <c r="AM232" s="554">
        <f t="shared" si="50"/>
        <v>2</v>
      </c>
      <c r="AN232" s="554">
        <f t="shared" si="50"/>
        <v>2</v>
      </c>
      <c r="AO232" s="554">
        <f t="shared" si="50"/>
        <v>2</v>
      </c>
      <c r="AP232" s="554">
        <f t="shared" si="50"/>
        <v>2</v>
      </c>
      <c r="AQ232" s="429" t="str">
        <f t="shared" si="49"/>
        <v>Vendido</v>
      </c>
      <c r="AR232" s="447">
        <f>_xlfn.XLOOKUP(C232,'BOULEVARD 5'!B:B,'BOULEVARD 5'!AU:AU)</f>
        <v>1</v>
      </c>
    </row>
    <row r="233" spans="1:44" s="429" customFormat="1" ht="13.9" customHeight="1" x14ac:dyDescent="0.25">
      <c r="B233" s="678" t="str">
        <f>IF('B5-Status cobranza'!A233&gt;0,'B5-Status cobranza'!A233,"")</f>
        <v/>
      </c>
      <c r="C233" s="436">
        <v>1302</v>
      </c>
      <c r="D233" s="436" t="s">
        <v>619</v>
      </c>
      <c r="E233" s="436"/>
      <c r="F233" s="436" t="str">
        <f>IF('BOULEVARD 5'!E231="","",'BOULEVARD 5'!E231)</f>
        <v>Antonio Rada</v>
      </c>
      <c r="G233" s="429" t="str">
        <f>IF('BOULEVARD 5'!F231="","",'BOULEVARD 5'!F231)</f>
        <v>Rodolfo Godoy Lemus</v>
      </c>
      <c r="H233" s="473">
        <f>IF('BOULEVARD 5'!G231="","",'BOULEVARD 5'!G231)</f>
        <v>45609</v>
      </c>
      <c r="I233" s="554" t="str">
        <f t="shared" si="52"/>
        <v/>
      </c>
      <c r="J233" s="554" t="str">
        <f t="shared" si="52"/>
        <v/>
      </c>
      <c r="K233" s="554" t="str">
        <f t="shared" si="52"/>
        <v/>
      </c>
      <c r="L233" s="554" t="str">
        <f t="shared" si="52"/>
        <v/>
      </c>
      <c r="M233" s="554" t="str">
        <f t="shared" si="52"/>
        <v/>
      </c>
      <c r="N233" s="554" t="str">
        <f t="shared" si="52"/>
        <v/>
      </c>
      <c r="O233" s="554" t="str">
        <f t="shared" si="52"/>
        <v/>
      </c>
      <c r="P233" s="554" t="str">
        <f t="shared" si="52"/>
        <v/>
      </c>
      <c r="Q233" s="554" t="str">
        <f t="shared" si="52"/>
        <v/>
      </c>
      <c r="R233" s="554" t="str">
        <f t="shared" si="52"/>
        <v/>
      </c>
      <c r="S233" s="554" t="str">
        <f t="shared" si="52"/>
        <v/>
      </c>
      <c r="T233" s="554" t="str">
        <f t="shared" si="52"/>
        <v/>
      </c>
      <c r="U233" s="554" t="str">
        <f t="shared" si="52"/>
        <v/>
      </c>
      <c r="V233" s="554" t="str">
        <f t="shared" si="52"/>
        <v/>
      </c>
      <c r="W233" s="554" t="str">
        <f t="shared" si="52"/>
        <v/>
      </c>
      <c r="X233" s="554" t="str">
        <f t="shared" ref="X233:AM248" si="53">IF(OR($B233="F&amp;F",$B233="CE",$H233=""),"",IF(TEXT(X$8,"yyyymm")=TEXT($H233,"yyyymm"),1,IF(TEXT(X$8,"yyyymm")&gt;TEXT($H233,"yyyymm"),2,IF(X$8&lt;$H233,"",0))))</f>
        <v/>
      </c>
      <c r="Y233" s="554" t="str">
        <f t="shared" si="53"/>
        <v/>
      </c>
      <c r="Z233" s="554" t="str">
        <f t="shared" si="53"/>
        <v/>
      </c>
      <c r="AA233" s="554" t="str">
        <f t="shared" si="53"/>
        <v/>
      </c>
      <c r="AB233" s="554" t="str">
        <f t="shared" si="53"/>
        <v/>
      </c>
      <c r="AC233" s="554">
        <f t="shared" si="53"/>
        <v>1</v>
      </c>
      <c r="AD233" s="554">
        <f t="shared" si="53"/>
        <v>2</v>
      </c>
      <c r="AE233" s="554">
        <f t="shared" si="53"/>
        <v>2</v>
      </c>
      <c r="AF233" s="554">
        <f t="shared" si="53"/>
        <v>2</v>
      </c>
      <c r="AG233" s="554">
        <f t="shared" si="53"/>
        <v>2</v>
      </c>
      <c r="AH233" s="554">
        <f t="shared" si="53"/>
        <v>2</v>
      </c>
      <c r="AI233" s="554">
        <f t="shared" si="53"/>
        <v>2</v>
      </c>
      <c r="AJ233" s="554">
        <f t="shared" si="53"/>
        <v>2</v>
      </c>
      <c r="AK233" s="554">
        <f t="shared" si="53"/>
        <v>2</v>
      </c>
      <c r="AL233" s="554">
        <f t="shared" si="53"/>
        <v>2</v>
      </c>
      <c r="AM233" s="554">
        <f t="shared" si="50"/>
        <v>2</v>
      </c>
      <c r="AN233" s="554">
        <f t="shared" si="50"/>
        <v>2</v>
      </c>
      <c r="AO233" s="554">
        <f t="shared" si="50"/>
        <v>2</v>
      </c>
      <c r="AP233" s="554">
        <f t="shared" si="50"/>
        <v>2</v>
      </c>
      <c r="AQ233" s="429" t="str">
        <f t="shared" si="49"/>
        <v>Vendido</v>
      </c>
      <c r="AR233" s="447">
        <f>_xlfn.XLOOKUP(C233,'BOULEVARD 5'!B:B,'BOULEVARD 5'!AU:AU)</f>
        <v>0.79417264820348898</v>
      </c>
    </row>
    <row r="234" spans="1:44" s="429" customFormat="1" ht="13.9" customHeight="1" x14ac:dyDescent="0.25">
      <c r="B234" s="678" t="str">
        <f>IF('B5-Status cobranza'!A234&gt;0,'B5-Status cobranza'!A234,"")</f>
        <v/>
      </c>
      <c r="C234" s="436">
        <v>1303</v>
      </c>
      <c r="D234" s="436" t="s">
        <v>400</v>
      </c>
      <c r="E234" s="436"/>
      <c r="F234" s="436" t="str">
        <f>IF('BOULEVARD 5'!E232="","",'BOULEVARD 5'!E232)</f>
        <v>Antonio Rada</v>
      </c>
      <c r="G234" s="429" t="str">
        <f>IF('BOULEVARD 5'!F232="","",'BOULEVARD 5'!F232)</f>
        <v>Ricardo Fernando Linares Perez</v>
      </c>
      <c r="H234" s="473">
        <f>IF('BOULEVARD 5'!G232="","",'BOULEVARD 5'!G232)</f>
        <v>45144</v>
      </c>
      <c r="I234" s="554" t="str">
        <f t="shared" ref="I234:X249" si="54">IF(OR($B234="F&amp;F",$B234="CE",$H234=""),"",IF(TEXT(I$8,"yyyymm")=TEXT($H234,"yyyymm"),1,IF(TEXT(I$8,"yyyymm")&gt;TEXT($H234,"yyyymm"),2,IF(I$8&lt;$H234,"",0))))</f>
        <v/>
      </c>
      <c r="J234" s="554" t="str">
        <f t="shared" si="54"/>
        <v/>
      </c>
      <c r="K234" s="554" t="str">
        <f t="shared" si="54"/>
        <v/>
      </c>
      <c r="L234" s="554" t="str">
        <f t="shared" si="54"/>
        <v/>
      </c>
      <c r="M234" s="554" t="str">
        <f t="shared" si="54"/>
        <v/>
      </c>
      <c r="N234" s="554">
        <f t="shared" si="54"/>
        <v>1</v>
      </c>
      <c r="O234" s="554">
        <f t="shared" si="54"/>
        <v>2</v>
      </c>
      <c r="P234" s="554">
        <f t="shared" si="54"/>
        <v>2</v>
      </c>
      <c r="Q234" s="554">
        <f t="shared" si="54"/>
        <v>2</v>
      </c>
      <c r="R234" s="554">
        <f t="shared" si="54"/>
        <v>2</v>
      </c>
      <c r="S234" s="554">
        <f t="shared" si="54"/>
        <v>2</v>
      </c>
      <c r="T234" s="554">
        <f t="shared" si="54"/>
        <v>2</v>
      </c>
      <c r="U234" s="554">
        <f t="shared" si="54"/>
        <v>2</v>
      </c>
      <c r="V234" s="554">
        <f t="shared" si="54"/>
        <v>2</v>
      </c>
      <c r="W234" s="554">
        <f t="shared" si="54"/>
        <v>2</v>
      </c>
      <c r="X234" s="554">
        <f t="shared" si="53"/>
        <v>2</v>
      </c>
      <c r="Y234" s="554">
        <f t="shared" si="53"/>
        <v>2</v>
      </c>
      <c r="Z234" s="554">
        <f t="shared" si="53"/>
        <v>2</v>
      </c>
      <c r="AA234" s="554">
        <f t="shared" si="53"/>
        <v>2</v>
      </c>
      <c r="AB234" s="554">
        <f t="shared" si="53"/>
        <v>2</v>
      </c>
      <c r="AC234" s="554">
        <f t="shared" si="53"/>
        <v>2</v>
      </c>
      <c r="AD234" s="554">
        <f t="shared" si="53"/>
        <v>2</v>
      </c>
      <c r="AE234" s="554">
        <f t="shared" si="53"/>
        <v>2</v>
      </c>
      <c r="AF234" s="554">
        <f t="shared" si="53"/>
        <v>2</v>
      </c>
      <c r="AG234" s="554">
        <f t="shared" si="53"/>
        <v>2</v>
      </c>
      <c r="AH234" s="554">
        <f t="shared" si="53"/>
        <v>2</v>
      </c>
      <c r="AI234" s="554">
        <f t="shared" si="53"/>
        <v>2</v>
      </c>
      <c r="AJ234" s="554">
        <f t="shared" si="53"/>
        <v>2</v>
      </c>
      <c r="AK234" s="554">
        <f t="shared" si="53"/>
        <v>2</v>
      </c>
      <c r="AL234" s="554">
        <f t="shared" si="53"/>
        <v>2</v>
      </c>
      <c r="AM234" s="554">
        <f t="shared" si="50"/>
        <v>2</v>
      </c>
      <c r="AN234" s="554">
        <f t="shared" si="50"/>
        <v>2</v>
      </c>
      <c r="AO234" s="554">
        <f t="shared" si="50"/>
        <v>2</v>
      </c>
      <c r="AP234" s="554">
        <f t="shared" si="50"/>
        <v>2</v>
      </c>
      <c r="AQ234" s="429" t="str">
        <f t="shared" si="49"/>
        <v>Vendido</v>
      </c>
      <c r="AR234" s="447">
        <f>_xlfn.XLOOKUP(C234,'BOULEVARD 5'!B:B,'BOULEVARD 5'!AU:AU)</f>
        <v>1</v>
      </c>
    </row>
    <row r="235" spans="1:44" s="429" customFormat="1" ht="13.9" customHeight="1" x14ac:dyDescent="0.25">
      <c r="B235" s="678" t="str">
        <f>IF('B5-Status cobranza'!A235&gt;0,'B5-Status cobranza'!A235,"")</f>
        <v/>
      </c>
      <c r="C235" s="436">
        <v>1304</v>
      </c>
      <c r="D235" s="436" t="s">
        <v>175</v>
      </c>
      <c r="E235" s="436"/>
      <c r="F235" s="436" t="str">
        <f>IF('BOULEVARD 5'!E233="","",'BOULEVARD 5'!E233)</f>
        <v>Antonio Rada</v>
      </c>
      <c r="G235" s="429" t="str">
        <f>IF('BOULEVARD 5'!F233="","",'BOULEVARD 5'!F233)</f>
        <v>Shirley Hilene Recinos</v>
      </c>
      <c r="H235" s="473">
        <f>IF('BOULEVARD 5'!G233="","",'BOULEVARD 5'!G233)</f>
        <v>45223</v>
      </c>
      <c r="I235" s="554" t="str">
        <f t="shared" si="54"/>
        <v/>
      </c>
      <c r="J235" s="554" t="str">
        <f t="shared" si="54"/>
        <v/>
      </c>
      <c r="K235" s="554" t="str">
        <f t="shared" si="54"/>
        <v/>
      </c>
      <c r="L235" s="554" t="str">
        <f t="shared" si="54"/>
        <v/>
      </c>
      <c r="M235" s="554" t="str">
        <f t="shared" si="54"/>
        <v/>
      </c>
      <c r="N235" s="554" t="str">
        <f t="shared" si="54"/>
        <v/>
      </c>
      <c r="O235" s="554" t="str">
        <f t="shared" si="54"/>
        <v/>
      </c>
      <c r="P235" s="554">
        <f t="shared" si="54"/>
        <v>1</v>
      </c>
      <c r="Q235" s="554">
        <f t="shared" si="54"/>
        <v>2</v>
      </c>
      <c r="R235" s="554">
        <f t="shared" si="54"/>
        <v>2</v>
      </c>
      <c r="S235" s="554">
        <f t="shared" si="54"/>
        <v>2</v>
      </c>
      <c r="T235" s="554">
        <f t="shared" si="54"/>
        <v>2</v>
      </c>
      <c r="U235" s="554">
        <f t="shared" si="54"/>
        <v>2</v>
      </c>
      <c r="V235" s="554">
        <f t="shared" si="54"/>
        <v>2</v>
      </c>
      <c r="W235" s="554">
        <f t="shared" si="54"/>
        <v>2</v>
      </c>
      <c r="X235" s="554">
        <f t="shared" si="53"/>
        <v>2</v>
      </c>
      <c r="Y235" s="554">
        <f t="shared" si="53"/>
        <v>2</v>
      </c>
      <c r="Z235" s="554">
        <f t="shared" si="53"/>
        <v>2</v>
      </c>
      <c r="AA235" s="554">
        <f t="shared" si="53"/>
        <v>2</v>
      </c>
      <c r="AB235" s="554">
        <f t="shared" si="53"/>
        <v>2</v>
      </c>
      <c r="AC235" s="554">
        <f t="shared" si="53"/>
        <v>2</v>
      </c>
      <c r="AD235" s="554">
        <f t="shared" si="53"/>
        <v>2</v>
      </c>
      <c r="AE235" s="554">
        <f t="shared" si="53"/>
        <v>2</v>
      </c>
      <c r="AF235" s="554">
        <f t="shared" si="53"/>
        <v>2</v>
      </c>
      <c r="AG235" s="554">
        <f t="shared" si="53"/>
        <v>2</v>
      </c>
      <c r="AH235" s="554">
        <f t="shared" si="53"/>
        <v>2</v>
      </c>
      <c r="AI235" s="554">
        <f t="shared" si="53"/>
        <v>2</v>
      </c>
      <c r="AJ235" s="554">
        <f t="shared" si="53"/>
        <v>2</v>
      </c>
      <c r="AK235" s="554">
        <f t="shared" si="53"/>
        <v>2</v>
      </c>
      <c r="AL235" s="554">
        <f t="shared" si="53"/>
        <v>2</v>
      </c>
      <c r="AM235" s="554">
        <f t="shared" si="50"/>
        <v>2</v>
      </c>
      <c r="AN235" s="554">
        <f t="shared" si="50"/>
        <v>2</v>
      </c>
      <c r="AO235" s="554">
        <f t="shared" si="50"/>
        <v>2</v>
      </c>
      <c r="AP235" s="554">
        <f t="shared" si="50"/>
        <v>2</v>
      </c>
      <c r="AQ235" s="429" t="str">
        <f t="shared" si="49"/>
        <v>Vendido</v>
      </c>
      <c r="AR235" s="447">
        <f>_xlfn.XLOOKUP(C235,'BOULEVARD 5'!B:B,'BOULEVARD 5'!AU:AU)</f>
        <v>1</v>
      </c>
    </row>
    <row r="236" spans="1:44" s="429" customFormat="1" ht="13.9" customHeight="1" x14ac:dyDescent="0.25">
      <c r="B236" s="678" t="str">
        <f>IF('B5-Status cobranza'!A236&gt;0,'B5-Status cobranza'!A236,"")</f>
        <v/>
      </c>
      <c r="C236" s="436">
        <v>1305</v>
      </c>
      <c r="D236" s="436" t="s">
        <v>192</v>
      </c>
      <c r="E236" s="436"/>
      <c r="F236" s="436" t="str">
        <f>IF('BOULEVARD 5'!E234="","",'BOULEVARD 5'!E234)</f>
        <v>Antonio Rada</v>
      </c>
      <c r="G236" s="429" t="str">
        <f>IF('BOULEVARD 5'!F234="","",'BOULEVARD 5'!F234)</f>
        <v>Jose Salvador Franco Rosales</v>
      </c>
      <c r="H236" s="473">
        <f>IF('BOULEVARD 5'!G234="","",'BOULEVARD 5'!G234)</f>
        <v>45779</v>
      </c>
      <c r="I236" s="554" t="str">
        <f t="shared" si="54"/>
        <v/>
      </c>
      <c r="J236" s="554" t="str">
        <f t="shared" si="54"/>
        <v/>
      </c>
      <c r="K236" s="554" t="str">
        <f t="shared" si="54"/>
        <v/>
      </c>
      <c r="L236" s="554" t="str">
        <f t="shared" si="54"/>
        <v/>
      </c>
      <c r="M236" s="554" t="str">
        <f t="shared" si="54"/>
        <v/>
      </c>
      <c r="N236" s="554" t="str">
        <f t="shared" si="54"/>
        <v/>
      </c>
      <c r="O236" s="554" t="str">
        <f t="shared" si="54"/>
        <v/>
      </c>
      <c r="P236" s="554" t="str">
        <f t="shared" si="54"/>
        <v/>
      </c>
      <c r="Q236" s="554" t="str">
        <f t="shared" si="54"/>
        <v/>
      </c>
      <c r="R236" s="554" t="str">
        <f t="shared" si="54"/>
        <v/>
      </c>
      <c r="S236" s="554" t="str">
        <f t="shared" si="54"/>
        <v/>
      </c>
      <c r="T236" s="554" t="str">
        <f t="shared" si="54"/>
        <v/>
      </c>
      <c r="U236" s="554" t="str">
        <f t="shared" si="54"/>
        <v/>
      </c>
      <c r="V236" s="554" t="str">
        <f t="shared" si="54"/>
        <v/>
      </c>
      <c r="W236" s="554" t="str">
        <f t="shared" si="54"/>
        <v/>
      </c>
      <c r="X236" s="554" t="str">
        <f t="shared" si="53"/>
        <v/>
      </c>
      <c r="Y236" s="554" t="str">
        <f t="shared" si="53"/>
        <v/>
      </c>
      <c r="Z236" s="554" t="str">
        <f t="shared" si="53"/>
        <v/>
      </c>
      <c r="AA236" s="554" t="str">
        <f t="shared" si="53"/>
        <v/>
      </c>
      <c r="AB236" s="554" t="str">
        <f t="shared" si="53"/>
        <v/>
      </c>
      <c r="AC236" s="554" t="str">
        <f t="shared" si="53"/>
        <v/>
      </c>
      <c r="AD236" s="554" t="str">
        <f t="shared" si="53"/>
        <v/>
      </c>
      <c r="AE236" s="554" t="str">
        <f t="shared" si="53"/>
        <v/>
      </c>
      <c r="AF236" s="554" t="str">
        <f t="shared" si="53"/>
        <v/>
      </c>
      <c r="AG236" s="554" t="str">
        <f t="shared" si="53"/>
        <v/>
      </c>
      <c r="AH236" s="554" t="str">
        <f t="shared" si="53"/>
        <v/>
      </c>
      <c r="AI236" s="554">
        <f t="shared" si="53"/>
        <v>1</v>
      </c>
      <c r="AJ236" s="554">
        <f t="shared" si="53"/>
        <v>2</v>
      </c>
      <c r="AK236" s="554">
        <f t="shared" si="53"/>
        <v>2</v>
      </c>
      <c r="AL236" s="554">
        <f t="shared" si="53"/>
        <v>2</v>
      </c>
      <c r="AM236" s="554">
        <f t="shared" si="53"/>
        <v>2</v>
      </c>
      <c r="AN236" s="554">
        <f t="shared" ref="AN236:AP255" si="55">IF(OR($B236="F&amp;F",$B236="CE",$H236=""),"",IF(TEXT(AN$8,"yyyymm")=TEXT($H236,"yyyymm"),1,IF(TEXT(AN$8,"yyyymm")&gt;TEXT($H236,"yyyymm"),2,IF(AN$8&lt;$H236,"",0))))</f>
        <v>2</v>
      </c>
      <c r="AO236" s="554">
        <f t="shared" si="55"/>
        <v>2</v>
      </c>
      <c r="AP236" s="554">
        <f t="shared" si="55"/>
        <v>2</v>
      </c>
      <c r="AQ236" s="429" t="str">
        <f t="shared" si="49"/>
        <v>Vendido</v>
      </c>
      <c r="AR236" s="447">
        <f>_xlfn.XLOOKUP(C236,'BOULEVARD 5'!B:B,'BOULEVARD 5'!AU:AU)</f>
        <v>0.82734939759036141</v>
      </c>
    </row>
    <row r="237" spans="1:44" s="429" customFormat="1" ht="13.9" customHeight="1" x14ac:dyDescent="0.25">
      <c r="B237" s="678" t="str">
        <f>IF('B5-Status cobranza'!A237&gt;0,'B5-Status cobranza'!A237,"")</f>
        <v/>
      </c>
      <c r="C237" s="436">
        <v>1306</v>
      </c>
      <c r="D237" s="436" t="s">
        <v>178</v>
      </c>
      <c r="E237" s="436"/>
      <c r="F237" s="436" t="str">
        <f>IF('BOULEVARD 5'!E235="","",'BOULEVARD 5'!E235)</f>
        <v>Brenda Búcaro</v>
      </c>
      <c r="G237" s="429" t="str">
        <f>IF('BOULEVARD 5'!F235="","",'BOULEVARD 5'!F235)</f>
        <v xml:space="preserve"> Barbara Elizabeth Barrientos Valenzuela</v>
      </c>
      <c r="H237" s="473">
        <f>IF('BOULEVARD 5'!G235="","",'BOULEVARD 5'!G235)</f>
        <v>45054</v>
      </c>
      <c r="I237" s="554" t="str">
        <f t="shared" si="54"/>
        <v/>
      </c>
      <c r="J237" s="554" t="str">
        <f t="shared" si="54"/>
        <v/>
      </c>
      <c r="K237" s="554">
        <f t="shared" si="54"/>
        <v>1</v>
      </c>
      <c r="L237" s="554">
        <f t="shared" si="54"/>
        <v>2</v>
      </c>
      <c r="M237" s="554">
        <f t="shared" si="54"/>
        <v>2</v>
      </c>
      <c r="N237" s="554">
        <f t="shared" si="54"/>
        <v>2</v>
      </c>
      <c r="O237" s="554">
        <f t="shared" si="54"/>
        <v>2</v>
      </c>
      <c r="P237" s="554">
        <f t="shared" si="54"/>
        <v>2</v>
      </c>
      <c r="Q237" s="554">
        <f t="shared" si="54"/>
        <v>2</v>
      </c>
      <c r="R237" s="554">
        <f t="shared" si="54"/>
        <v>2</v>
      </c>
      <c r="S237" s="554">
        <f t="shared" si="54"/>
        <v>2</v>
      </c>
      <c r="T237" s="554">
        <f t="shared" si="54"/>
        <v>2</v>
      </c>
      <c r="U237" s="554">
        <f t="shared" si="54"/>
        <v>2</v>
      </c>
      <c r="V237" s="554">
        <f t="shared" si="54"/>
        <v>2</v>
      </c>
      <c r="W237" s="554">
        <f t="shared" si="54"/>
        <v>2</v>
      </c>
      <c r="X237" s="554">
        <f t="shared" si="53"/>
        <v>2</v>
      </c>
      <c r="Y237" s="554">
        <f t="shared" si="53"/>
        <v>2</v>
      </c>
      <c r="Z237" s="554">
        <f t="shared" si="53"/>
        <v>2</v>
      </c>
      <c r="AA237" s="554">
        <f t="shared" si="53"/>
        <v>2</v>
      </c>
      <c r="AB237" s="554">
        <f t="shared" si="53"/>
        <v>2</v>
      </c>
      <c r="AC237" s="554">
        <f t="shared" si="53"/>
        <v>2</v>
      </c>
      <c r="AD237" s="554">
        <f t="shared" si="53"/>
        <v>2</v>
      </c>
      <c r="AE237" s="554">
        <f t="shared" si="53"/>
        <v>2</v>
      </c>
      <c r="AF237" s="554">
        <f t="shared" si="53"/>
        <v>2</v>
      </c>
      <c r="AG237" s="554">
        <f t="shared" si="53"/>
        <v>2</v>
      </c>
      <c r="AH237" s="554">
        <f t="shared" si="53"/>
        <v>2</v>
      </c>
      <c r="AI237" s="554">
        <f t="shared" si="53"/>
        <v>2</v>
      </c>
      <c r="AJ237" s="554">
        <f t="shared" si="53"/>
        <v>2</v>
      </c>
      <c r="AK237" s="554">
        <f t="shared" si="53"/>
        <v>2</v>
      </c>
      <c r="AL237" s="554">
        <f t="shared" si="53"/>
        <v>2</v>
      </c>
      <c r="AM237" s="554">
        <f t="shared" si="53"/>
        <v>2</v>
      </c>
      <c r="AN237" s="554">
        <f t="shared" si="55"/>
        <v>2</v>
      </c>
      <c r="AO237" s="554">
        <f t="shared" si="55"/>
        <v>2</v>
      </c>
      <c r="AP237" s="554">
        <f t="shared" si="55"/>
        <v>2</v>
      </c>
      <c r="AQ237" s="429" t="str">
        <f t="shared" si="49"/>
        <v>Vendido</v>
      </c>
      <c r="AR237" s="447">
        <f>_xlfn.XLOOKUP(C237,'BOULEVARD 5'!B:B,'BOULEVARD 5'!AU:AU)</f>
        <v>1.1824355300859599</v>
      </c>
    </row>
    <row r="238" spans="1:44" s="429" customFormat="1" ht="13.9" customHeight="1" x14ac:dyDescent="0.25">
      <c r="B238" s="678" t="str">
        <f>IF('B5-Status cobranza'!A238&gt;0,'B5-Status cobranza'!A238,"")</f>
        <v>F&amp;F</v>
      </c>
      <c r="C238" s="475">
        <v>1307</v>
      </c>
      <c r="D238" s="475" t="s">
        <v>465</v>
      </c>
      <c r="E238" s="475"/>
      <c r="F238" s="475" t="str">
        <f>IF('BOULEVARD 5'!E236="","",'BOULEVARD 5'!E236)</f>
        <v>Jose Franco</v>
      </c>
      <c r="G238" s="476" t="str">
        <f>IF('BOULEVARD 5'!F236="","",'BOULEVARD 5'!F236)</f>
        <v>Fernando José Franco Jiménez</v>
      </c>
      <c r="H238" s="473">
        <f>IF('BOULEVARD 5'!G236="","",'BOULEVARD 5'!G236)</f>
        <v>45016</v>
      </c>
      <c r="I238" s="554" t="str">
        <f t="shared" si="54"/>
        <v/>
      </c>
      <c r="J238" s="554" t="str">
        <f t="shared" si="54"/>
        <v/>
      </c>
      <c r="K238" s="554" t="str">
        <f t="shared" si="54"/>
        <v/>
      </c>
      <c r="L238" s="554" t="str">
        <f t="shared" si="54"/>
        <v/>
      </c>
      <c r="M238" s="554" t="str">
        <f t="shared" si="54"/>
        <v/>
      </c>
      <c r="N238" s="554" t="str">
        <f t="shared" si="54"/>
        <v/>
      </c>
      <c r="O238" s="554" t="str">
        <f t="shared" si="54"/>
        <v/>
      </c>
      <c r="P238" s="554" t="str">
        <f t="shared" si="54"/>
        <v/>
      </c>
      <c r="Q238" s="554" t="str">
        <f t="shared" si="54"/>
        <v/>
      </c>
      <c r="R238" s="554" t="str">
        <f t="shared" si="54"/>
        <v/>
      </c>
      <c r="S238" s="554" t="str">
        <f t="shared" si="54"/>
        <v/>
      </c>
      <c r="T238" s="554" t="str">
        <f t="shared" si="54"/>
        <v/>
      </c>
      <c r="U238" s="554" t="str">
        <f t="shared" si="54"/>
        <v/>
      </c>
      <c r="V238" s="554" t="str">
        <f t="shared" si="54"/>
        <v/>
      </c>
      <c r="W238" s="554" t="str">
        <f t="shared" si="54"/>
        <v/>
      </c>
      <c r="X238" s="554" t="str">
        <f t="shared" si="53"/>
        <v/>
      </c>
      <c r="Y238" s="554" t="str">
        <f t="shared" si="53"/>
        <v/>
      </c>
      <c r="Z238" s="554" t="str">
        <f t="shared" si="53"/>
        <v/>
      </c>
      <c r="AA238" s="554" t="str">
        <f t="shared" si="53"/>
        <v/>
      </c>
      <c r="AB238" s="554" t="str">
        <f t="shared" si="53"/>
        <v/>
      </c>
      <c r="AC238" s="554" t="str">
        <f t="shared" si="53"/>
        <v/>
      </c>
      <c r="AD238" s="554" t="str">
        <f t="shared" si="53"/>
        <v/>
      </c>
      <c r="AE238" s="554" t="str">
        <f t="shared" si="53"/>
        <v/>
      </c>
      <c r="AF238" s="554" t="str">
        <f t="shared" si="53"/>
        <v/>
      </c>
      <c r="AG238" s="554" t="str">
        <f t="shared" si="53"/>
        <v/>
      </c>
      <c r="AH238" s="554" t="str">
        <f t="shared" si="53"/>
        <v/>
      </c>
      <c r="AI238" s="554" t="str">
        <f t="shared" si="53"/>
        <v/>
      </c>
      <c r="AJ238" s="554" t="str">
        <f t="shared" si="53"/>
        <v/>
      </c>
      <c r="AK238" s="554" t="str">
        <f t="shared" si="53"/>
        <v/>
      </c>
      <c r="AL238" s="554" t="str">
        <f t="shared" si="53"/>
        <v/>
      </c>
      <c r="AM238" s="554" t="str">
        <f t="shared" si="53"/>
        <v/>
      </c>
      <c r="AN238" s="554" t="str">
        <f t="shared" si="55"/>
        <v/>
      </c>
      <c r="AO238" s="554" t="str">
        <f t="shared" si="55"/>
        <v/>
      </c>
      <c r="AP238" s="554" t="str">
        <f t="shared" si="55"/>
        <v/>
      </c>
      <c r="AQ238" s="429" t="str">
        <f t="shared" si="49"/>
        <v>Vendido</v>
      </c>
      <c r="AR238" s="447">
        <f>_xlfn.XLOOKUP(C238,'BOULEVARD 5'!B:B,'BOULEVARD 5'!AU:AU)</f>
        <v>0.12954130601189426</v>
      </c>
    </row>
    <row r="239" spans="1:44" s="429" customFormat="1" ht="13.9" customHeight="1" x14ac:dyDescent="0.25">
      <c r="B239" s="678" t="str">
        <f>IF('B5-Status cobranza'!A239&gt;0,'B5-Status cobranza'!A239,"")</f>
        <v/>
      </c>
      <c r="C239" s="436">
        <v>1308</v>
      </c>
      <c r="D239" s="436" t="s">
        <v>467</v>
      </c>
      <c r="E239" s="436"/>
      <c r="F239" s="436" t="str">
        <f>IF('BOULEVARD 5'!E237="","",'BOULEVARD 5'!E237)</f>
        <v>Antonio Rada</v>
      </c>
      <c r="G239" s="429" t="str">
        <f>IF('BOULEVARD 5'!F237="","",'BOULEVARD 5'!F237)</f>
        <v>Gerson Alexander Urias Marquez</v>
      </c>
      <c r="H239" s="473">
        <f>IF('BOULEVARD 5'!G237="","",'BOULEVARD 5'!G237)</f>
        <v>45230</v>
      </c>
      <c r="I239" s="554" t="str">
        <f t="shared" si="54"/>
        <v/>
      </c>
      <c r="J239" s="554" t="str">
        <f t="shared" si="54"/>
        <v/>
      </c>
      <c r="K239" s="554" t="str">
        <f t="shared" si="54"/>
        <v/>
      </c>
      <c r="L239" s="554" t="str">
        <f t="shared" si="54"/>
        <v/>
      </c>
      <c r="M239" s="554" t="str">
        <f t="shared" si="54"/>
        <v/>
      </c>
      <c r="N239" s="554" t="str">
        <f t="shared" si="54"/>
        <v/>
      </c>
      <c r="O239" s="554" t="str">
        <f t="shared" si="54"/>
        <v/>
      </c>
      <c r="P239" s="554">
        <f t="shared" si="54"/>
        <v>1</v>
      </c>
      <c r="Q239" s="554">
        <f t="shared" si="54"/>
        <v>2</v>
      </c>
      <c r="R239" s="554">
        <f t="shared" si="54"/>
        <v>2</v>
      </c>
      <c r="S239" s="554">
        <f t="shared" si="54"/>
        <v>2</v>
      </c>
      <c r="T239" s="554">
        <f t="shared" si="54"/>
        <v>2</v>
      </c>
      <c r="U239" s="554">
        <f t="shared" si="54"/>
        <v>2</v>
      </c>
      <c r="V239" s="554">
        <f t="shared" si="54"/>
        <v>2</v>
      </c>
      <c r="W239" s="554">
        <f t="shared" si="54"/>
        <v>2</v>
      </c>
      <c r="X239" s="554">
        <f t="shared" si="53"/>
        <v>2</v>
      </c>
      <c r="Y239" s="554">
        <f t="shared" si="53"/>
        <v>2</v>
      </c>
      <c r="Z239" s="554">
        <f t="shared" si="53"/>
        <v>2</v>
      </c>
      <c r="AA239" s="554">
        <f t="shared" si="53"/>
        <v>2</v>
      </c>
      <c r="AB239" s="554">
        <f t="shared" si="53"/>
        <v>2</v>
      </c>
      <c r="AC239" s="554">
        <f t="shared" si="53"/>
        <v>2</v>
      </c>
      <c r="AD239" s="554">
        <f t="shared" si="53"/>
        <v>2</v>
      </c>
      <c r="AE239" s="554">
        <f t="shared" si="53"/>
        <v>2</v>
      </c>
      <c r="AF239" s="554">
        <f t="shared" si="53"/>
        <v>2</v>
      </c>
      <c r="AG239" s="554">
        <f t="shared" si="53"/>
        <v>2</v>
      </c>
      <c r="AH239" s="554">
        <f t="shared" si="53"/>
        <v>2</v>
      </c>
      <c r="AI239" s="554">
        <f t="shared" si="53"/>
        <v>2</v>
      </c>
      <c r="AJ239" s="554">
        <f t="shared" si="53"/>
        <v>2</v>
      </c>
      <c r="AK239" s="554">
        <f t="shared" si="53"/>
        <v>2</v>
      </c>
      <c r="AL239" s="554">
        <f t="shared" si="53"/>
        <v>2</v>
      </c>
      <c r="AM239" s="554">
        <f t="shared" si="53"/>
        <v>2</v>
      </c>
      <c r="AN239" s="554">
        <f t="shared" si="55"/>
        <v>2</v>
      </c>
      <c r="AO239" s="554">
        <f t="shared" si="55"/>
        <v>2</v>
      </c>
      <c r="AP239" s="554">
        <f t="shared" si="55"/>
        <v>2</v>
      </c>
      <c r="AQ239" s="429" t="str">
        <f t="shared" si="49"/>
        <v>Vendido</v>
      </c>
      <c r="AR239" s="447">
        <f>_xlfn.XLOOKUP(C239,'BOULEVARD 5'!B:B,'BOULEVARD 5'!AU:AU)</f>
        <v>1.0000591251171944</v>
      </c>
    </row>
    <row r="240" spans="1:44" s="429" customFormat="1" ht="13.9" customHeight="1" x14ac:dyDescent="0.25">
      <c r="B240" s="678" t="str">
        <f>IF('B5-Status cobranza'!A240&gt;0,'B5-Status cobranza'!A240,"")</f>
        <v/>
      </c>
      <c r="C240" s="436">
        <v>1309</v>
      </c>
      <c r="D240" s="436" t="s">
        <v>469</v>
      </c>
      <c r="E240" s="436"/>
      <c r="F240" s="436" t="str">
        <f>IF('BOULEVARD 5'!E238="","",'BOULEVARD 5'!E238)</f>
        <v/>
      </c>
      <c r="G240" s="429" t="str">
        <f>IF('BOULEVARD 5'!F238="","",'BOULEVARD 5'!F238)</f>
        <v/>
      </c>
      <c r="H240" s="473" t="str">
        <f>IF('BOULEVARD 5'!G238="","",'BOULEVARD 5'!G238)</f>
        <v/>
      </c>
      <c r="I240" s="554" t="str">
        <f t="shared" si="54"/>
        <v/>
      </c>
      <c r="J240" s="554" t="str">
        <f t="shared" si="54"/>
        <v/>
      </c>
      <c r="K240" s="554" t="str">
        <f t="shared" si="54"/>
        <v/>
      </c>
      <c r="L240" s="554" t="str">
        <f t="shared" si="54"/>
        <v/>
      </c>
      <c r="M240" s="554" t="str">
        <f t="shared" si="54"/>
        <v/>
      </c>
      <c r="N240" s="554" t="str">
        <f t="shared" si="54"/>
        <v/>
      </c>
      <c r="O240" s="554" t="str">
        <f t="shared" si="54"/>
        <v/>
      </c>
      <c r="P240" s="554" t="str">
        <f t="shared" si="54"/>
        <v/>
      </c>
      <c r="Q240" s="554" t="str">
        <f t="shared" si="54"/>
        <v/>
      </c>
      <c r="R240" s="554" t="str">
        <f t="shared" si="54"/>
        <v/>
      </c>
      <c r="S240" s="554" t="str">
        <f t="shared" si="54"/>
        <v/>
      </c>
      <c r="T240" s="554" t="str">
        <f t="shared" si="54"/>
        <v/>
      </c>
      <c r="U240" s="554" t="str">
        <f t="shared" si="54"/>
        <v/>
      </c>
      <c r="V240" s="554" t="str">
        <f t="shared" si="54"/>
        <v/>
      </c>
      <c r="W240" s="554" t="str">
        <f t="shared" si="54"/>
        <v/>
      </c>
      <c r="X240" s="554" t="str">
        <f t="shared" si="53"/>
        <v/>
      </c>
      <c r="Y240" s="554" t="str">
        <f t="shared" si="53"/>
        <v/>
      </c>
      <c r="Z240" s="554" t="str">
        <f t="shared" si="53"/>
        <v/>
      </c>
      <c r="AA240" s="554" t="str">
        <f t="shared" si="53"/>
        <v/>
      </c>
      <c r="AB240" s="554" t="str">
        <f t="shared" si="53"/>
        <v/>
      </c>
      <c r="AC240" s="554" t="str">
        <f t="shared" si="53"/>
        <v/>
      </c>
      <c r="AD240" s="554" t="str">
        <f t="shared" si="53"/>
        <v/>
      </c>
      <c r="AE240" s="554" t="str">
        <f t="shared" si="53"/>
        <v/>
      </c>
      <c r="AF240" s="554" t="str">
        <f t="shared" si="53"/>
        <v/>
      </c>
      <c r="AG240" s="554" t="str">
        <f t="shared" si="53"/>
        <v/>
      </c>
      <c r="AH240" s="554" t="str">
        <f t="shared" si="53"/>
        <v/>
      </c>
      <c r="AI240" s="554" t="str">
        <f t="shared" si="53"/>
        <v/>
      </c>
      <c r="AJ240" s="554" t="str">
        <f t="shared" si="53"/>
        <v/>
      </c>
      <c r="AK240" s="554" t="str">
        <f t="shared" si="53"/>
        <v/>
      </c>
      <c r="AL240" s="554" t="str">
        <f t="shared" si="53"/>
        <v/>
      </c>
      <c r="AM240" s="554" t="str">
        <f t="shared" si="53"/>
        <v/>
      </c>
      <c r="AN240" s="554" t="str">
        <f t="shared" si="55"/>
        <v/>
      </c>
      <c r="AO240" s="554" t="str">
        <f t="shared" si="55"/>
        <v/>
      </c>
      <c r="AP240" s="554" t="str">
        <f t="shared" si="55"/>
        <v/>
      </c>
      <c r="AQ240" s="429" t="str">
        <f t="shared" si="49"/>
        <v>No Vendido</v>
      </c>
      <c r="AR240" s="447">
        <f>_xlfn.XLOOKUP(C240,'BOULEVARD 5'!B:B,'BOULEVARD 5'!AU:AU)</f>
        <v>0</v>
      </c>
    </row>
    <row r="241" spans="1:44" s="429" customFormat="1" ht="13.9" customHeight="1" x14ac:dyDescent="0.25">
      <c r="B241" s="678" t="str">
        <f>IF('B5-Status cobranza'!A241&gt;0,'B5-Status cobranza'!A241,"")</f>
        <v/>
      </c>
      <c r="C241" s="436">
        <v>1310</v>
      </c>
      <c r="D241" s="436" t="s">
        <v>467</v>
      </c>
      <c r="E241" s="436"/>
      <c r="F241" s="436" t="str">
        <f>IF('BOULEVARD 5'!E239="","",'BOULEVARD 5'!E239)</f>
        <v>Jose Franco</v>
      </c>
      <c r="G241" s="429" t="str">
        <f>IF('BOULEVARD 5'!F239="","",'BOULEVARD 5'!F239)</f>
        <v xml:space="preserve"> Raúl Cabrera Galindo</v>
      </c>
      <c r="H241" s="473">
        <f>IF('BOULEVARD 5'!G239="","",'BOULEVARD 5'!G239)</f>
        <v>45012</v>
      </c>
      <c r="I241" s="554">
        <f t="shared" si="54"/>
        <v>1</v>
      </c>
      <c r="J241" s="554">
        <f t="shared" si="54"/>
        <v>2</v>
      </c>
      <c r="K241" s="554">
        <f t="shared" si="54"/>
        <v>2</v>
      </c>
      <c r="L241" s="554">
        <f t="shared" si="54"/>
        <v>2</v>
      </c>
      <c r="M241" s="554">
        <f t="shared" si="54"/>
        <v>2</v>
      </c>
      <c r="N241" s="554">
        <f t="shared" si="54"/>
        <v>2</v>
      </c>
      <c r="O241" s="554">
        <f t="shared" si="54"/>
        <v>2</v>
      </c>
      <c r="P241" s="554">
        <f t="shared" si="54"/>
        <v>2</v>
      </c>
      <c r="Q241" s="554">
        <f t="shared" si="54"/>
        <v>2</v>
      </c>
      <c r="R241" s="554">
        <f t="shared" si="54"/>
        <v>2</v>
      </c>
      <c r="S241" s="554">
        <f t="shared" si="54"/>
        <v>2</v>
      </c>
      <c r="T241" s="554">
        <f t="shared" si="54"/>
        <v>2</v>
      </c>
      <c r="U241" s="554">
        <f t="shared" si="54"/>
        <v>2</v>
      </c>
      <c r="V241" s="554">
        <f t="shared" si="54"/>
        <v>2</v>
      </c>
      <c r="W241" s="554">
        <f t="shared" si="54"/>
        <v>2</v>
      </c>
      <c r="X241" s="554">
        <f t="shared" si="53"/>
        <v>2</v>
      </c>
      <c r="Y241" s="554">
        <f t="shared" si="53"/>
        <v>2</v>
      </c>
      <c r="Z241" s="554">
        <f t="shared" si="53"/>
        <v>2</v>
      </c>
      <c r="AA241" s="554">
        <f t="shared" si="53"/>
        <v>2</v>
      </c>
      <c r="AB241" s="554">
        <f t="shared" si="53"/>
        <v>2</v>
      </c>
      <c r="AC241" s="554">
        <f t="shared" si="53"/>
        <v>2</v>
      </c>
      <c r="AD241" s="554">
        <f t="shared" si="53"/>
        <v>2</v>
      </c>
      <c r="AE241" s="554">
        <f t="shared" si="53"/>
        <v>2</v>
      </c>
      <c r="AF241" s="554">
        <f t="shared" si="53"/>
        <v>2</v>
      </c>
      <c r="AG241" s="554">
        <f t="shared" si="53"/>
        <v>2</v>
      </c>
      <c r="AH241" s="554">
        <f t="shared" si="53"/>
        <v>2</v>
      </c>
      <c r="AI241" s="554">
        <f t="shared" si="53"/>
        <v>2</v>
      </c>
      <c r="AJ241" s="554">
        <f t="shared" si="53"/>
        <v>2</v>
      </c>
      <c r="AK241" s="554">
        <f t="shared" si="53"/>
        <v>2</v>
      </c>
      <c r="AL241" s="554">
        <f t="shared" si="53"/>
        <v>2</v>
      </c>
      <c r="AM241" s="554">
        <f t="shared" si="53"/>
        <v>2</v>
      </c>
      <c r="AN241" s="554">
        <f t="shared" si="55"/>
        <v>2</v>
      </c>
      <c r="AO241" s="554">
        <f t="shared" si="55"/>
        <v>2</v>
      </c>
      <c r="AP241" s="554">
        <f t="shared" si="55"/>
        <v>2</v>
      </c>
      <c r="AQ241" s="429" t="str">
        <f t="shared" si="49"/>
        <v>Vendido</v>
      </c>
      <c r="AR241" s="447">
        <f>_xlfn.XLOOKUP(C241,'BOULEVARD 5'!B:B,'BOULEVARD 5'!AU:AU)</f>
        <v>0.97209720972097213</v>
      </c>
    </row>
    <row r="242" spans="1:44" s="429" customFormat="1" ht="13.9" customHeight="1" x14ac:dyDescent="0.25">
      <c r="B242" s="678" t="str">
        <f>IF('B5-Status cobranza'!A242&gt;0,'B5-Status cobranza'!A242,"")</f>
        <v/>
      </c>
      <c r="C242" s="436">
        <v>1311</v>
      </c>
      <c r="D242" s="436" t="s">
        <v>469</v>
      </c>
      <c r="E242" s="436"/>
      <c r="F242" s="436" t="str">
        <f>IF('BOULEVARD 5'!E240="","",'BOULEVARD 5'!E240)</f>
        <v>Antonio Rada</v>
      </c>
      <c r="G242" s="429" t="str">
        <f>IF('BOULEVARD 5'!F240="","",'BOULEVARD 5'!F240)</f>
        <v>Luis Gabriel Garrido Blanco</v>
      </c>
      <c r="H242" s="473">
        <f>IF('BOULEVARD 5'!G240="","",'BOULEVARD 5'!G240)</f>
        <v>45202</v>
      </c>
      <c r="I242" s="554" t="str">
        <f t="shared" si="54"/>
        <v/>
      </c>
      <c r="J242" s="554" t="str">
        <f t="shared" si="54"/>
        <v/>
      </c>
      <c r="K242" s="554" t="str">
        <f t="shared" si="54"/>
        <v/>
      </c>
      <c r="L242" s="554" t="str">
        <f t="shared" si="54"/>
        <v/>
      </c>
      <c r="M242" s="554" t="str">
        <f t="shared" si="54"/>
        <v/>
      </c>
      <c r="N242" s="554" t="str">
        <f t="shared" si="54"/>
        <v/>
      </c>
      <c r="O242" s="554" t="str">
        <f t="shared" si="54"/>
        <v/>
      </c>
      <c r="P242" s="554">
        <f t="shared" si="54"/>
        <v>1</v>
      </c>
      <c r="Q242" s="554">
        <f t="shared" si="54"/>
        <v>2</v>
      </c>
      <c r="R242" s="554">
        <f t="shared" si="54"/>
        <v>2</v>
      </c>
      <c r="S242" s="554">
        <f t="shared" si="54"/>
        <v>2</v>
      </c>
      <c r="T242" s="554">
        <f t="shared" si="54"/>
        <v>2</v>
      </c>
      <c r="U242" s="554">
        <f t="shared" si="54"/>
        <v>2</v>
      </c>
      <c r="V242" s="554">
        <f t="shared" si="54"/>
        <v>2</v>
      </c>
      <c r="W242" s="554">
        <f t="shared" si="54"/>
        <v>2</v>
      </c>
      <c r="X242" s="554">
        <f t="shared" si="53"/>
        <v>2</v>
      </c>
      <c r="Y242" s="554">
        <f t="shared" si="53"/>
        <v>2</v>
      </c>
      <c r="Z242" s="554">
        <f t="shared" si="53"/>
        <v>2</v>
      </c>
      <c r="AA242" s="554">
        <f t="shared" si="53"/>
        <v>2</v>
      </c>
      <c r="AB242" s="554">
        <f t="shared" si="53"/>
        <v>2</v>
      </c>
      <c r="AC242" s="554">
        <f t="shared" si="53"/>
        <v>2</v>
      </c>
      <c r="AD242" s="554">
        <f t="shared" si="53"/>
        <v>2</v>
      </c>
      <c r="AE242" s="554">
        <f t="shared" si="53"/>
        <v>2</v>
      </c>
      <c r="AF242" s="554">
        <f t="shared" si="53"/>
        <v>2</v>
      </c>
      <c r="AG242" s="554">
        <f t="shared" si="53"/>
        <v>2</v>
      </c>
      <c r="AH242" s="554">
        <f t="shared" si="53"/>
        <v>2</v>
      </c>
      <c r="AI242" s="554">
        <f t="shared" si="53"/>
        <v>2</v>
      </c>
      <c r="AJ242" s="554">
        <f t="shared" si="53"/>
        <v>2</v>
      </c>
      <c r="AK242" s="554">
        <f t="shared" si="53"/>
        <v>2</v>
      </c>
      <c r="AL242" s="554">
        <f t="shared" si="53"/>
        <v>2</v>
      </c>
      <c r="AM242" s="554">
        <f t="shared" si="53"/>
        <v>2</v>
      </c>
      <c r="AN242" s="554">
        <f t="shared" si="55"/>
        <v>2</v>
      </c>
      <c r="AO242" s="554">
        <f t="shared" si="55"/>
        <v>2</v>
      </c>
      <c r="AP242" s="554">
        <f t="shared" si="55"/>
        <v>2</v>
      </c>
      <c r="AQ242" s="429" t="str">
        <f t="shared" si="49"/>
        <v>Vendido</v>
      </c>
      <c r="AR242" s="447">
        <f>_xlfn.XLOOKUP(C242,'BOULEVARD 5'!B:B,'BOULEVARD 5'!AU:AU)</f>
        <v>1.1203021496854237</v>
      </c>
    </row>
    <row r="243" spans="1:44" s="429" customFormat="1" ht="13.9" customHeight="1" x14ac:dyDescent="0.25">
      <c r="B243" s="678" t="str">
        <f>IF('B5-Status cobranza'!A243&gt;0,'B5-Status cobranza'!A243,"")</f>
        <v/>
      </c>
      <c r="C243" s="436">
        <v>1312</v>
      </c>
      <c r="D243" s="436" t="s">
        <v>406</v>
      </c>
      <c r="E243" s="436"/>
      <c r="F243" s="436" t="str">
        <f>IF('BOULEVARD 5'!E241="","",'BOULEVARD 5'!E241)</f>
        <v>Brenda Búcaro</v>
      </c>
      <c r="G243" s="429" t="str">
        <f>IF('BOULEVARD 5'!F241="","",'BOULEVARD 5'!F241)</f>
        <v>Arturo Alfredo Monzón López</v>
      </c>
      <c r="H243" s="473">
        <f>IF('BOULEVARD 5'!G241="","",'BOULEVARD 5'!G241)</f>
        <v>45034</v>
      </c>
      <c r="I243" s="554" t="str">
        <f t="shared" si="54"/>
        <v/>
      </c>
      <c r="J243" s="554">
        <f t="shared" si="54"/>
        <v>1</v>
      </c>
      <c r="K243" s="554">
        <f t="shared" si="54"/>
        <v>2</v>
      </c>
      <c r="L243" s="554">
        <f t="shared" si="54"/>
        <v>2</v>
      </c>
      <c r="M243" s="554">
        <f t="shared" si="54"/>
        <v>2</v>
      </c>
      <c r="N243" s="554">
        <f t="shared" si="54"/>
        <v>2</v>
      </c>
      <c r="O243" s="554">
        <f t="shared" si="54"/>
        <v>2</v>
      </c>
      <c r="P243" s="554">
        <f t="shared" si="54"/>
        <v>2</v>
      </c>
      <c r="Q243" s="554">
        <f t="shared" si="54"/>
        <v>2</v>
      </c>
      <c r="R243" s="554">
        <f t="shared" si="54"/>
        <v>2</v>
      </c>
      <c r="S243" s="554">
        <f t="shared" si="54"/>
        <v>2</v>
      </c>
      <c r="T243" s="554">
        <f t="shared" si="54"/>
        <v>2</v>
      </c>
      <c r="U243" s="554">
        <f t="shared" si="54"/>
        <v>2</v>
      </c>
      <c r="V243" s="554">
        <f t="shared" si="54"/>
        <v>2</v>
      </c>
      <c r="W243" s="554">
        <f t="shared" si="54"/>
        <v>2</v>
      </c>
      <c r="X243" s="554">
        <f t="shared" si="53"/>
        <v>2</v>
      </c>
      <c r="Y243" s="554">
        <f t="shared" si="53"/>
        <v>2</v>
      </c>
      <c r="Z243" s="554">
        <f t="shared" si="53"/>
        <v>2</v>
      </c>
      <c r="AA243" s="554">
        <f t="shared" si="53"/>
        <v>2</v>
      </c>
      <c r="AB243" s="554">
        <f t="shared" si="53"/>
        <v>2</v>
      </c>
      <c r="AC243" s="554">
        <f t="shared" si="53"/>
        <v>2</v>
      </c>
      <c r="AD243" s="554">
        <f t="shared" si="53"/>
        <v>2</v>
      </c>
      <c r="AE243" s="554">
        <f t="shared" si="53"/>
        <v>2</v>
      </c>
      <c r="AF243" s="554">
        <f t="shared" si="53"/>
        <v>2</v>
      </c>
      <c r="AG243" s="554">
        <f t="shared" si="53"/>
        <v>2</v>
      </c>
      <c r="AH243" s="554">
        <f t="shared" si="53"/>
        <v>2</v>
      </c>
      <c r="AI243" s="554">
        <f t="shared" si="53"/>
        <v>2</v>
      </c>
      <c r="AJ243" s="554">
        <f t="shared" si="53"/>
        <v>2</v>
      </c>
      <c r="AK243" s="554">
        <f t="shared" si="53"/>
        <v>2</v>
      </c>
      <c r="AL243" s="554">
        <f t="shared" si="53"/>
        <v>2</v>
      </c>
      <c r="AM243" s="554">
        <f t="shared" si="53"/>
        <v>2</v>
      </c>
      <c r="AN243" s="554">
        <f t="shared" si="55"/>
        <v>2</v>
      </c>
      <c r="AO243" s="554">
        <f t="shared" si="55"/>
        <v>2</v>
      </c>
      <c r="AP243" s="554">
        <f t="shared" si="55"/>
        <v>2</v>
      </c>
      <c r="AQ243" s="429" t="str">
        <f t="shared" si="49"/>
        <v>Vendido</v>
      </c>
      <c r="AR243" s="447">
        <f>_xlfn.XLOOKUP(C243,'BOULEVARD 5'!B:B,'BOULEVARD 5'!AU:AU)</f>
        <v>0.98950524737631185</v>
      </c>
    </row>
    <row r="244" spans="1:44" s="429" customFormat="1" ht="13.9" customHeight="1" x14ac:dyDescent="0.25">
      <c r="B244" s="678" t="str">
        <f>IF('B5-Status cobranza'!A244&gt;0,'B5-Status cobranza'!A244,"")</f>
        <v/>
      </c>
      <c r="C244" s="436">
        <v>1313</v>
      </c>
      <c r="D244" s="436" t="s">
        <v>181</v>
      </c>
      <c r="E244" s="436"/>
      <c r="F244" s="436" t="str">
        <f>IF('BOULEVARD 5'!E242="","",'BOULEVARD 5'!E242)</f>
        <v>Jose Franco</v>
      </c>
      <c r="G244" s="429" t="str">
        <f>IF('BOULEVARD 5'!F242="","",'BOULEVARD 5'!F242)</f>
        <v>Marcas &amp; Secretos, S.A.</v>
      </c>
      <c r="H244" s="473">
        <f>IF('BOULEVARD 5'!G242="","",'BOULEVARD 5'!G242)</f>
        <v>45021</v>
      </c>
      <c r="I244" s="554" t="str">
        <f t="shared" si="54"/>
        <v/>
      </c>
      <c r="J244" s="554">
        <f t="shared" si="54"/>
        <v>1</v>
      </c>
      <c r="K244" s="554">
        <f t="shared" si="54"/>
        <v>2</v>
      </c>
      <c r="L244" s="554">
        <f t="shared" si="54"/>
        <v>2</v>
      </c>
      <c r="M244" s="554">
        <f t="shared" si="54"/>
        <v>2</v>
      </c>
      <c r="N244" s="554">
        <f t="shared" si="54"/>
        <v>2</v>
      </c>
      <c r="O244" s="554">
        <f t="shared" si="54"/>
        <v>2</v>
      </c>
      <c r="P244" s="554">
        <f t="shared" si="54"/>
        <v>2</v>
      </c>
      <c r="Q244" s="554">
        <f t="shared" si="54"/>
        <v>2</v>
      </c>
      <c r="R244" s="554">
        <f t="shared" si="54"/>
        <v>2</v>
      </c>
      <c r="S244" s="554">
        <f t="shared" si="54"/>
        <v>2</v>
      </c>
      <c r="T244" s="554">
        <f t="shared" si="54"/>
        <v>2</v>
      </c>
      <c r="U244" s="554">
        <f t="shared" si="54"/>
        <v>2</v>
      </c>
      <c r="V244" s="554">
        <f t="shared" si="54"/>
        <v>2</v>
      </c>
      <c r="W244" s="554">
        <f t="shared" si="54"/>
        <v>2</v>
      </c>
      <c r="X244" s="554">
        <f t="shared" si="53"/>
        <v>2</v>
      </c>
      <c r="Y244" s="554">
        <f t="shared" si="53"/>
        <v>2</v>
      </c>
      <c r="Z244" s="554">
        <f t="shared" si="53"/>
        <v>2</v>
      </c>
      <c r="AA244" s="554">
        <f t="shared" si="53"/>
        <v>2</v>
      </c>
      <c r="AB244" s="554">
        <f t="shared" si="53"/>
        <v>2</v>
      </c>
      <c r="AC244" s="554">
        <f t="shared" si="53"/>
        <v>2</v>
      </c>
      <c r="AD244" s="554">
        <f t="shared" si="53"/>
        <v>2</v>
      </c>
      <c r="AE244" s="554">
        <f t="shared" si="53"/>
        <v>2</v>
      </c>
      <c r="AF244" s="554">
        <f t="shared" si="53"/>
        <v>2</v>
      </c>
      <c r="AG244" s="554">
        <f t="shared" si="53"/>
        <v>2</v>
      </c>
      <c r="AH244" s="554">
        <f t="shared" si="53"/>
        <v>2</v>
      </c>
      <c r="AI244" s="554">
        <f t="shared" si="53"/>
        <v>2</v>
      </c>
      <c r="AJ244" s="554">
        <f t="shared" si="53"/>
        <v>2</v>
      </c>
      <c r="AK244" s="554">
        <f t="shared" si="53"/>
        <v>2</v>
      </c>
      <c r="AL244" s="554">
        <f t="shared" si="53"/>
        <v>2</v>
      </c>
      <c r="AM244" s="554">
        <f t="shared" si="53"/>
        <v>2</v>
      </c>
      <c r="AN244" s="554">
        <f t="shared" si="55"/>
        <v>2</v>
      </c>
      <c r="AO244" s="554">
        <f t="shared" si="55"/>
        <v>2</v>
      </c>
      <c r="AP244" s="554">
        <f t="shared" si="55"/>
        <v>2</v>
      </c>
      <c r="AQ244" s="429" t="str">
        <f t="shared" si="49"/>
        <v>Vendido</v>
      </c>
      <c r="AR244" s="447">
        <f>_xlfn.XLOOKUP(C244,'BOULEVARD 5'!B:B,'BOULEVARD 5'!AU:AU)</f>
        <v>1</v>
      </c>
    </row>
    <row r="245" spans="1:44" s="429" customFormat="1" ht="13.9" customHeight="1" x14ac:dyDescent="0.25">
      <c r="B245" s="678" t="str">
        <f>IF('B5-Status cobranza'!A245&gt;0,'B5-Status cobranza'!A245,"")</f>
        <v/>
      </c>
      <c r="C245" s="436">
        <v>1314</v>
      </c>
      <c r="D245" s="436" t="s">
        <v>611</v>
      </c>
      <c r="E245" s="436"/>
      <c r="F245" s="436" t="str">
        <f>IF('BOULEVARD 5'!E243="","",'BOULEVARD 5'!E243)</f>
        <v>Brenda Búcaro</v>
      </c>
      <c r="G245" s="429" t="str">
        <f>IF('BOULEVARD 5'!F243="","",'BOULEVARD 5'!F243)</f>
        <v>Sidney Alexander Osorio Montufar</v>
      </c>
      <c r="H245" s="473">
        <f>IF('BOULEVARD 5'!G243="","",'BOULEVARD 5'!G243)</f>
        <v>45005</v>
      </c>
      <c r="I245" s="554">
        <f t="shared" si="54"/>
        <v>1</v>
      </c>
      <c r="J245" s="554">
        <f t="shared" si="54"/>
        <v>2</v>
      </c>
      <c r="K245" s="554">
        <f t="shared" si="54"/>
        <v>2</v>
      </c>
      <c r="L245" s="554">
        <f t="shared" si="54"/>
        <v>2</v>
      </c>
      <c r="M245" s="554">
        <f t="shared" si="54"/>
        <v>2</v>
      </c>
      <c r="N245" s="554">
        <f t="shared" si="54"/>
        <v>2</v>
      </c>
      <c r="O245" s="554">
        <f t="shared" si="54"/>
        <v>2</v>
      </c>
      <c r="P245" s="554">
        <f t="shared" si="54"/>
        <v>2</v>
      </c>
      <c r="Q245" s="554">
        <f t="shared" si="54"/>
        <v>2</v>
      </c>
      <c r="R245" s="554">
        <f t="shared" si="54"/>
        <v>2</v>
      </c>
      <c r="S245" s="554">
        <f t="shared" si="54"/>
        <v>2</v>
      </c>
      <c r="T245" s="554">
        <f t="shared" si="54"/>
        <v>2</v>
      </c>
      <c r="U245" s="554">
        <f t="shared" si="54"/>
        <v>2</v>
      </c>
      <c r="V245" s="554">
        <f t="shared" si="54"/>
        <v>2</v>
      </c>
      <c r="W245" s="554">
        <f t="shared" si="54"/>
        <v>2</v>
      </c>
      <c r="X245" s="554">
        <f t="shared" si="53"/>
        <v>2</v>
      </c>
      <c r="Y245" s="554">
        <f t="shared" si="53"/>
        <v>2</v>
      </c>
      <c r="Z245" s="554">
        <f t="shared" si="53"/>
        <v>2</v>
      </c>
      <c r="AA245" s="554">
        <f t="shared" si="53"/>
        <v>2</v>
      </c>
      <c r="AB245" s="554">
        <f t="shared" si="53"/>
        <v>2</v>
      </c>
      <c r="AC245" s="554">
        <f t="shared" si="53"/>
        <v>2</v>
      </c>
      <c r="AD245" s="554">
        <f t="shared" si="53"/>
        <v>2</v>
      </c>
      <c r="AE245" s="554">
        <f t="shared" si="53"/>
        <v>2</v>
      </c>
      <c r="AF245" s="554">
        <f t="shared" si="53"/>
        <v>2</v>
      </c>
      <c r="AG245" s="554">
        <f t="shared" si="53"/>
        <v>2</v>
      </c>
      <c r="AH245" s="554">
        <f t="shared" si="53"/>
        <v>2</v>
      </c>
      <c r="AI245" s="554">
        <f t="shared" si="53"/>
        <v>2</v>
      </c>
      <c r="AJ245" s="554">
        <f t="shared" si="53"/>
        <v>2</v>
      </c>
      <c r="AK245" s="554">
        <f t="shared" si="53"/>
        <v>2</v>
      </c>
      <c r="AL245" s="554">
        <f t="shared" si="53"/>
        <v>2</v>
      </c>
      <c r="AM245" s="554">
        <f t="shared" si="53"/>
        <v>2</v>
      </c>
      <c r="AN245" s="554">
        <f t="shared" si="55"/>
        <v>2</v>
      </c>
      <c r="AO245" s="554">
        <f t="shared" si="55"/>
        <v>2</v>
      </c>
      <c r="AP245" s="554">
        <f t="shared" si="55"/>
        <v>2</v>
      </c>
      <c r="AQ245" s="429" t="str">
        <f t="shared" si="49"/>
        <v>Vendido</v>
      </c>
      <c r="AR245" s="447">
        <f>_xlfn.XLOOKUP(C245,'BOULEVARD 5'!B:B,'BOULEVARD 5'!AU:AU)</f>
        <v>0.7011173184357542</v>
      </c>
    </row>
    <row r="246" spans="1:44" s="467" customFormat="1" ht="13.9" customHeight="1" x14ac:dyDescent="0.25">
      <c r="A246" s="429" t="s">
        <v>388</v>
      </c>
      <c r="B246" s="678"/>
      <c r="C246" s="483">
        <v>1315</v>
      </c>
      <c r="D246" s="483" t="s">
        <v>400</v>
      </c>
      <c r="E246" s="483"/>
      <c r="F246" s="436" t="str">
        <f>IF('BOULEVARD 5'!E244="","",'BOULEVARD 5'!E244)</f>
        <v>Anahí Cisneros</v>
      </c>
      <c r="G246" s="467" t="str">
        <f>IF('BOULEVARD 5'!F244="","",'BOULEVARD 5'!F244)</f>
        <v>Alan Gonzalez Choc</v>
      </c>
      <c r="H246" s="484">
        <f>IF('BOULEVARD 5'!G244="","",'BOULEVARD 5'!G244)</f>
        <v>45856</v>
      </c>
      <c r="I246" s="554" t="str">
        <f t="shared" si="54"/>
        <v/>
      </c>
      <c r="J246" s="554" t="str">
        <f t="shared" si="54"/>
        <v/>
      </c>
      <c r="K246" s="554" t="str">
        <f t="shared" si="54"/>
        <v/>
      </c>
      <c r="L246" s="554" t="str">
        <f t="shared" si="54"/>
        <v/>
      </c>
      <c r="M246" s="554" t="str">
        <f t="shared" si="54"/>
        <v/>
      </c>
      <c r="N246" s="554" t="str">
        <f t="shared" si="54"/>
        <v/>
      </c>
      <c r="O246" s="554" t="str">
        <f t="shared" si="54"/>
        <v/>
      </c>
      <c r="P246" s="554" t="str">
        <f t="shared" si="54"/>
        <v/>
      </c>
      <c r="Q246" s="554" t="str">
        <f t="shared" si="54"/>
        <v/>
      </c>
      <c r="R246" s="554" t="str">
        <f t="shared" si="54"/>
        <v/>
      </c>
      <c r="S246" s="554" t="str">
        <f t="shared" si="54"/>
        <v/>
      </c>
      <c r="T246" s="554" t="str">
        <f t="shared" si="54"/>
        <v/>
      </c>
      <c r="U246" s="554" t="str">
        <f t="shared" si="54"/>
        <v/>
      </c>
      <c r="V246" s="554" t="str">
        <f t="shared" si="54"/>
        <v/>
      </c>
      <c r="W246" s="554" t="str">
        <f t="shared" si="54"/>
        <v/>
      </c>
      <c r="X246" s="554" t="str">
        <f t="shared" si="53"/>
        <v/>
      </c>
      <c r="Y246" s="554" t="str">
        <f t="shared" si="53"/>
        <v/>
      </c>
      <c r="Z246" s="554" t="str">
        <f t="shared" si="53"/>
        <v/>
      </c>
      <c r="AA246" s="554" t="str">
        <f t="shared" si="53"/>
        <v/>
      </c>
      <c r="AB246" s="554" t="str">
        <f t="shared" si="53"/>
        <v/>
      </c>
      <c r="AC246" s="554" t="str">
        <f t="shared" si="53"/>
        <v/>
      </c>
      <c r="AD246" s="554" t="str">
        <f t="shared" si="53"/>
        <v/>
      </c>
      <c r="AE246" s="554" t="str">
        <f t="shared" si="53"/>
        <v/>
      </c>
      <c r="AF246" s="554" t="str">
        <f t="shared" si="53"/>
        <v/>
      </c>
      <c r="AG246" s="554" t="str">
        <f t="shared" si="53"/>
        <v/>
      </c>
      <c r="AH246" s="554" t="str">
        <f t="shared" si="53"/>
        <v/>
      </c>
      <c r="AI246" s="554" t="str">
        <f t="shared" si="53"/>
        <v/>
      </c>
      <c r="AJ246" s="554" t="str">
        <f t="shared" si="53"/>
        <v/>
      </c>
      <c r="AK246" s="554">
        <f t="shared" si="53"/>
        <v>1</v>
      </c>
      <c r="AL246" s="554">
        <f t="shared" si="53"/>
        <v>2</v>
      </c>
      <c r="AM246" s="554">
        <f t="shared" si="53"/>
        <v>2</v>
      </c>
      <c r="AN246" s="554">
        <f t="shared" si="55"/>
        <v>2</v>
      </c>
      <c r="AO246" s="554">
        <f t="shared" si="55"/>
        <v>2</v>
      </c>
      <c r="AP246" s="554">
        <f t="shared" si="55"/>
        <v>2</v>
      </c>
      <c r="AQ246" s="429" t="str">
        <f t="shared" si="49"/>
        <v>Vendido</v>
      </c>
      <c r="AR246" s="447">
        <f>_xlfn.XLOOKUP(C246,'BOULEVARD 5'!B:B,'BOULEVARD 5'!AU:AU)</f>
        <v>6.4971539026496021</v>
      </c>
    </row>
    <row r="247" spans="1:44" s="429" customFormat="1" ht="13.9" customHeight="1" x14ac:dyDescent="0.25">
      <c r="B247" s="678" t="str">
        <f>IF('B5-Status cobranza'!A247&gt;0,'B5-Status cobranza'!A247,"")</f>
        <v/>
      </c>
      <c r="C247" s="436">
        <v>1316</v>
      </c>
      <c r="D247" s="436" t="s">
        <v>175</v>
      </c>
      <c r="E247" s="436"/>
      <c r="F247" s="436" t="str">
        <f>IF('BOULEVARD 5'!E245="","",'BOULEVARD 5'!E245)</f>
        <v>Antonio Rada</v>
      </c>
      <c r="G247" s="429" t="str">
        <f>IF('BOULEVARD 5'!F245="","",'BOULEVARD 5'!F245)</f>
        <v>Juan Ernesto Vossberg Ordoñez / Sumilab</v>
      </c>
      <c r="H247" s="473">
        <f>IF('BOULEVARD 5'!G245="","",'BOULEVARD 5'!G245)</f>
        <v>45232</v>
      </c>
      <c r="I247" s="554" t="str">
        <f t="shared" si="54"/>
        <v/>
      </c>
      <c r="J247" s="554" t="str">
        <f t="shared" si="54"/>
        <v/>
      </c>
      <c r="K247" s="554" t="str">
        <f t="shared" si="54"/>
        <v/>
      </c>
      <c r="L247" s="554" t="str">
        <f t="shared" si="54"/>
        <v/>
      </c>
      <c r="M247" s="554" t="str">
        <f t="shared" si="54"/>
        <v/>
      </c>
      <c r="N247" s="554" t="str">
        <f t="shared" si="54"/>
        <v/>
      </c>
      <c r="O247" s="554" t="str">
        <f t="shared" si="54"/>
        <v/>
      </c>
      <c r="P247" s="554" t="str">
        <f t="shared" si="54"/>
        <v/>
      </c>
      <c r="Q247" s="554">
        <f t="shared" si="54"/>
        <v>1</v>
      </c>
      <c r="R247" s="554">
        <f t="shared" si="54"/>
        <v>2</v>
      </c>
      <c r="S247" s="554">
        <f t="shared" si="54"/>
        <v>2</v>
      </c>
      <c r="T247" s="554">
        <f t="shared" si="54"/>
        <v>2</v>
      </c>
      <c r="U247" s="554">
        <f t="shared" si="54"/>
        <v>2</v>
      </c>
      <c r="V247" s="554">
        <f t="shared" si="54"/>
        <v>2</v>
      </c>
      <c r="W247" s="554">
        <f t="shared" si="54"/>
        <v>2</v>
      </c>
      <c r="X247" s="554">
        <f t="shared" si="53"/>
        <v>2</v>
      </c>
      <c r="Y247" s="554">
        <f t="shared" si="53"/>
        <v>2</v>
      </c>
      <c r="Z247" s="554">
        <f t="shared" si="53"/>
        <v>2</v>
      </c>
      <c r="AA247" s="554">
        <f t="shared" si="53"/>
        <v>2</v>
      </c>
      <c r="AB247" s="554">
        <f t="shared" si="53"/>
        <v>2</v>
      </c>
      <c r="AC247" s="554">
        <f t="shared" si="53"/>
        <v>2</v>
      </c>
      <c r="AD247" s="554">
        <f t="shared" si="53"/>
        <v>2</v>
      </c>
      <c r="AE247" s="554">
        <f t="shared" si="53"/>
        <v>2</v>
      </c>
      <c r="AF247" s="554">
        <f t="shared" si="53"/>
        <v>2</v>
      </c>
      <c r="AG247" s="554">
        <f t="shared" si="53"/>
        <v>2</v>
      </c>
      <c r="AH247" s="554">
        <f t="shared" si="53"/>
        <v>2</v>
      </c>
      <c r="AI247" s="554">
        <f t="shared" si="53"/>
        <v>2</v>
      </c>
      <c r="AJ247" s="554">
        <f t="shared" si="53"/>
        <v>2</v>
      </c>
      <c r="AK247" s="554">
        <f t="shared" si="53"/>
        <v>2</v>
      </c>
      <c r="AL247" s="554">
        <f t="shared" si="53"/>
        <v>2</v>
      </c>
      <c r="AM247" s="554">
        <f t="shared" si="53"/>
        <v>2</v>
      </c>
      <c r="AN247" s="554">
        <f t="shared" si="55"/>
        <v>2</v>
      </c>
      <c r="AO247" s="554">
        <f t="shared" si="55"/>
        <v>2</v>
      </c>
      <c r="AP247" s="554">
        <f t="shared" si="55"/>
        <v>2</v>
      </c>
      <c r="AQ247" s="429" t="str">
        <f t="shared" si="49"/>
        <v>Vendido</v>
      </c>
      <c r="AR247" s="447">
        <f>_xlfn.XLOOKUP(C247,'BOULEVARD 5'!B:B,'BOULEVARD 5'!AU:AU)</f>
        <v>0.95879726841208779</v>
      </c>
    </row>
    <row r="248" spans="1:44" s="429" customFormat="1" ht="13.9" customHeight="1" x14ac:dyDescent="0.25">
      <c r="B248" s="678" t="str">
        <f>IF('B5-Status cobranza'!A248&gt;0,'B5-Status cobranza'!A248,"")</f>
        <v/>
      </c>
      <c r="C248" s="436">
        <v>1317</v>
      </c>
      <c r="D248" s="436" t="s">
        <v>617</v>
      </c>
      <c r="E248" s="436"/>
      <c r="F248" s="436" t="str">
        <f>IF('BOULEVARD 5'!E246="","",'BOULEVARD 5'!E246)</f>
        <v>Antonio Rada</v>
      </c>
      <c r="G248" s="429" t="str">
        <f>IF('BOULEVARD 5'!F246="","",'BOULEVARD 5'!F246)</f>
        <v>Marcos David Boror Alpirez</v>
      </c>
      <c r="H248" s="473">
        <f>IF('BOULEVARD 5'!G246="","",'BOULEVARD 5'!G246)</f>
        <v>45525</v>
      </c>
      <c r="I248" s="554" t="str">
        <f t="shared" si="54"/>
        <v/>
      </c>
      <c r="J248" s="554" t="str">
        <f t="shared" si="54"/>
        <v/>
      </c>
      <c r="K248" s="554" t="str">
        <f t="shared" si="54"/>
        <v/>
      </c>
      <c r="L248" s="554" t="str">
        <f t="shared" si="54"/>
        <v/>
      </c>
      <c r="M248" s="554" t="str">
        <f t="shared" si="54"/>
        <v/>
      </c>
      <c r="N248" s="554" t="str">
        <f t="shared" si="54"/>
        <v/>
      </c>
      <c r="O248" s="554" t="str">
        <f t="shared" si="54"/>
        <v/>
      </c>
      <c r="P248" s="554" t="str">
        <f t="shared" si="54"/>
        <v/>
      </c>
      <c r="Q248" s="554" t="str">
        <f t="shared" si="54"/>
        <v/>
      </c>
      <c r="R248" s="554" t="str">
        <f t="shared" si="54"/>
        <v/>
      </c>
      <c r="S248" s="554" t="str">
        <f t="shared" si="54"/>
        <v/>
      </c>
      <c r="T248" s="554" t="str">
        <f t="shared" si="54"/>
        <v/>
      </c>
      <c r="U248" s="554" t="str">
        <f t="shared" si="54"/>
        <v/>
      </c>
      <c r="V248" s="554" t="str">
        <f t="shared" si="54"/>
        <v/>
      </c>
      <c r="W248" s="554" t="str">
        <f t="shared" si="54"/>
        <v/>
      </c>
      <c r="X248" s="554" t="str">
        <f t="shared" si="53"/>
        <v/>
      </c>
      <c r="Y248" s="554" t="str">
        <f t="shared" si="53"/>
        <v/>
      </c>
      <c r="Z248" s="554">
        <f t="shared" si="53"/>
        <v>1</v>
      </c>
      <c r="AA248" s="554">
        <f t="shared" si="53"/>
        <v>2</v>
      </c>
      <c r="AB248" s="554">
        <f t="shared" si="53"/>
        <v>2</v>
      </c>
      <c r="AC248" s="554">
        <f t="shared" si="53"/>
        <v>2</v>
      </c>
      <c r="AD248" s="554">
        <f t="shared" si="53"/>
        <v>2</v>
      </c>
      <c r="AE248" s="554">
        <f t="shared" si="53"/>
        <v>2</v>
      </c>
      <c r="AF248" s="554">
        <f t="shared" si="53"/>
        <v>2</v>
      </c>
      <c r="AG248" s="554">
        <f t="shared" si="53"/>
        <v>2</v>
      </c>
      <c r="AH248" s="554">
        <f t="shared" si="53"/>
        <v>2</v>
      </c>
      <c r="AI248" s="554">
        <f t="shared" si="53"/>
        <v>2</v>
      </c>
      <c r="AJ248" s="554">
        <f t="shared" si="53"/>
        <v>2</v>
      </c>
      <c r="AK248" s="554">
        <f t="shared" si="53"/>
        <v>2</v>
      </c>
      <c r="AL248" s="554">
        <f t="shared" si="53"/>
        <v>2</v>
      </c>
      <c r="AM248" s="554">
        <f t="shared" si="53"/>
        <v>2</v>
      </c>
      <c r="AN248" s="554">
        <f t="shared" si="55"/>
        <v>2</v>
      </c>
      <c r="AO248" s="554">
        <f t="shared" si="55"/>
        <v>2</v>
      </c>
      <c r="AP248" s="554">
        <f t="shared" si="55"/>
        <v>2</v>
      </c>
      <c r="AQ248" s="429" t="str">
        <f t="shared" si="49"/>
        <v>Vendido</v>
      </c>
      <c r="AR248" s="447">
        <f>_xlfn.XLOOKUP(C248,'BOULEVARD 5'!B:B,'BOULEVARD 5'!AU:AU)</f>
        <v>1.0577134829327561</v>
      </c>
    </row>
    <row r="249" spans="1:44" s="429" customFormat="1" ht="13.9" customHeight="1" x14ac:dyDescent="0.25">
      <c r="B249" s="678" t="str">
        <f>IF('B5-Status cobranza'!A249&gt;0,'B5-Status cobranza'!A249,"")</f>
        <v/>
      </c>
      <c r="C249" s="436">
        <v>1318</v>
      </c>
      <c r="D249" s="436" t="s">
        <v>619</v>
      </c>
      <c r="E249" s="436"/>
      <c r="F249" s="436" t="str">
        <f>IF('BOULEVARD 5'!E247="","",'BOULEVARD 5'!E247)</f>
        <v/>
      </c>
      <c r="G249" s="429" t="str">
        <f>IF('BOULEVARD 5'!F247="","",'BOULEVARD 5'!F247)</f>
        <v>Jose Alejandro Abalony Rojas</v>
      </c>
      <c r="H249" s="473">
        <f>IF('BOULEVARD 5'!G247="","",'BOULEVARD 5'!G247)</f>
        <v>45993</v>
      </c>
      <c r="I249" s="554" t="str">
        <f t="shared" si="54"/>
        <v/>
      </c>
      <c r="J249" s="554" t="str">
        <f t="shared" si="54"/>
        <v/>
      </c>
      <c r="K249" s="554" t="str">
        <f t="shared" si="54"/>
        <v/>
      </c>
      <c r="L249" s="554" t="str">
        <f t="shared" si="54"/>
        <v/>
      </c>
      <c r="M249" s="554" t="str">
        <f t="shared" si="54"/>
        <v/>
      </c>
      <c r="N249" s="554" t="str">
        <f t="shared" si="54"/>
        <v/>
      </c>
      <c r="O249" s="554" t="str">
        <f t="shared" si="54"/>
        <v/>
      </c>
      <c r="P249" s="554" t="str">
        <f t="shared" si="54"/>
        <v/>
      </c>
      <c r="Q249" s="554" t="str">
        <f t="shared" si="54"/>
        <v/>
      </c>
      <c r="R249" s="554" t="str">
        <f t="shared" si="54"/>
        <v/>
      </c>
      <c r="S249" s="554" t="str">
        <f t="shared" si="54"/>
        <v/>
      </c>
      <c r="T249" s="554" t="str">
        <f t="shared" si="54"/>
        <v/>
      </c>
      <c r="U249" s="554" t="str">
        <f t="shared" si="54"/>
        <v/>
      </c>
      <c r="V249" s="554" t="str">
        <f t="shared" si="54"/>
        <v/>
      </c>
      <c r="W249" s="554" t="str">
        <f t="shared" si="54"/>
        <v/>
      </c>
      <c r="X249" s="554" t="str">
        <f t="shared" si="54"/>
        <v/>
      </c>
      <c r="Y249" s="554" t="str">
        <f t="shared" ref="Y249:AN264" si="56">IF(OR($B249="F&amp;F",$B249="CE",$H249=""),"",IF(TEXT(Y$8,"yyyymm")=TEXT($H249,"yyyymm"),1,IF(TEXT(Y$8,"yyyymm")&gt;TEXT($H249,"yyyymm"),2,IF(Y$8&lt;$H249,"",0))))</f>
        <v/>
      </c>
      <c r="Z249" s="554" t="str">
        <f t="shared" si="56"/>
        <v/>
      </c>
      <c r="AA249" s="554" t="str">
        <f t="shared" si="56"/>
        <v/>
      </c>
      <c r="AB249" s="554" t="str">
        <f t="shared" si="56"/>
        <v/>
      </c>
      <c r="AC249" s="554" t="str">
        <f t="shared" si="56"/>
        <v/>
      </c>
      <c r="AD249" s="554" t="str">
        <f t="shared" si="56"/>
        <v/>
      </c>
      <c r="AE249" s="554" t="str">
        <f t="shared" si="56"/>
        <v/>
      </c>
      <c r="AF249" s="554" t="str">
        <f t="shared" si="56"/>
        <v/>
      </c>
      <c r="AG249" s="554" t="str">
        <f t="shared" si="56"/>
        <v/>
      </c>
      <c r="AH249" s="554" t="str">
        <f t="shared" si="56"/>
        <v/>
      </c>
      <c r="AI249" s="554" t="str">
        <f t="shared" si="56"/>
        <v/>
      </c>
      <c r="AJ249" s="554" t="str">
        <f t="shared" si="56"/>
        <v/>
      </c>
      <c r="AK249" s="554" t="str">
        <f t="shared" si="56"/>
        <v/>
      </c>
      <c r="AL249" s="554" t="str">
        <f t="shared" si="56"/>
        <v/>
      </c>
      <c r="AM249" s="554" t="str">
        <f t="shared" si="56"/>
        <v/>
      </c>
      <c r="AN249" s="554" t="str">
        <f t="shared" si="55"/>
        <v/>
      </c>
      <c r="AO249" s="554" t="str">
        <f t="shared" si="55"/>
        <v/>
      </c>
      <c r="AP249" s="554">
        <f t="shared" si="55"/>
        <v>1</v>
      </c>
      <c r="AQ249" s="429" t="str">
        <f t="shared" si="49"/>
        <v>Vendido</v>
      </c>
      <c r="AR249" s="447">
        <f>_xlfn.XLOOKUP(C249,'BOULEVARD 5'!B:B,'BOULEVARD 5'!AU:AU)</f>
        <v>2.229631031220435</v>
      </c>
    </row>
    <row r="250" spans="1:44" s="429" customFormat="1" ht="13.9" customHeight="1" x14ac:dyDescent="0.25">
      <c r="B250" s="678" t="str">
        <f>IF('B5-Status cobranza'!A250&gt;0,'B5-Status cobranza'!A250,"")</f>
        <v/>
      </c>
      <c r="C250" s="436">
        <v>1401</v>
      </c>
      <c r="D250" s="436" t="s">
        <v>648</v>
      </c>
      <c r="E250" s="436"/>
      <c r="F250" s="436" t="str">
        <f>IF('BOULEVARD 5'!E248="","",'BOULEVARD 5'!E248)</f>
        <v>Brenda Búcaro</v>
      </c>
      <c r="G250" s="429" t="str">
        <f>IF('BOULEVARD 5'!F248="","",'BOULEVARD 5'!F248)</f>
        <v>Fernando García Coronado</v>
      </c>
      <c r="H250" s="473">
        <f>IF('BOULEVARD 5'!G248="","",'BOULEVARD 5'!G248)</f>
        <v>45158</v>
      </c>
      <c r="I250" s="554" t="str">
        <f t="shared" ref="I250:X265" si="57">IF(OR($B250="F&amp;F",$B250="CE",$H250=""),"",IF(TEXT(I$8,"yyyymm")=TEXT($H250,"yyyymm"),1,IF(TEXT(I$8,"yyyymm")&gt;TEXT($H250,"yyyymm"),2,IF(I$8&lt;$H250,"",0))))</f>
        <v/>
      </c>
      <c r="J250" s="554" t="str">
        <f t="shared" si="57"/>
        <v/>
      </c>
      <c r="K250" s="554" t="str">
        <f t="shared" si="57"/>
        <v/>
      </c>
      <c r="L250" s="554" t="str">
        <f t="shared" si="57"/>
        <v/>
      </c>
      <c r="M250" s="554" t="str">
        <f t="shared" si="57"/>
        <v/>
      </c>
      <c r="N250" s="554">
        <f t="shared" si="57"/>
        <v>1</v>
      </c>
      <c r="O250" s="554">
        <f t="shared" si="57"/>
        <v>2</v>
      </c>
      <c r="P250" s="554">
        <f t="shared" si="57"/>
        <v>2</v>
      </c>
      <c r="Q250" s="554">
        <f t="shared" si="57"/>
        <v>2</v>
      </c>
      <c r="R250" s="554">
        <f t="shared" si="57"/>
        <v>2</v>
      </c>
      <c r="S250" s="554">
        <f t="shared" si="57"/>
        <v>2</v>
      </c>
      <c r="T250" s="554">
        <f t="shared" si="57"/>
        <v>2</v>
      </c>
      <c r="U250" s="554">
        <f t="shared" si="57"/>
        <v>2</v>
      </c>
      <c r="V250" s="554">
        <f t="shared" si="57"/>
        <v>2</v>
      </c>
      <c r="W250" s="554">
        <f t="shared" si="57"/>
        <v>2</v>
      </c>
      <c r="X250" s="554">
        <f t="shared" si="57"/>
        <v>2</v>
      </c>
      <c r="Y250" s="554">
        <f t="shared" si="56"/>
        <v>2</v>
      </c>
      <c r="Z250" s="554">
        <f t="shared" si="56"/>
        <v>2</v>
      </c>
      <c r="AA250" s="554">
        <f t="shared" si="56"/>
        <v>2</v>
      </c>
      <c r="AB250" s="554">
        <f t="shared" si="56"/>
        <v>2</v>
      </c>
      <c r="AC250" s="554">
        <f t="shared" si="56"/>
        <v>2</v>
      </c>
      <c r="AD250" s="554">
        <f t="shared" si="56"/>
        <v>2</v>
      </c>
      <c r="AE250" s="554">
        <f t="shared" si="56"/>
        <v>2</v>
      </c>
      <c r="AF250" s="554">
        <f t="shared" si="56"/>
        <v>2</v>
      </c>
      <c r="AG250" s="554">
        <f t="shared" si="56"/>
        <v>2</v>
      </c>
      <c r="AH250" s="554">
        <f t="shared" si="56"/>
        <v>2</v>
      </c>
      <c r="AI250" s="554">
        <f t="shared" si="56"/>
        <v>2</v>
      </c>
      <c r="AJ250" s="554">
        <f t="shared" si="56"/>
        <v>2</v>
      </c>
      <c r="AK250" s="554">
        <f t="shared" si="56"/>
        <v>2</v>
      </c>
      <c r="AL250" s="554">
        <f t="shared" si="56"/>
        <v>2</v>
      </c>
      <c r="AM250" s="554">
        <f t="shared" si="56"/>
        <v>2</v>
      </c>
      <c r="AN250" s="554">
        <f t="shared" si="55"/>
        <v>2</v>
      </c>
      <c r="AO250" s="554">
        <f t="shared" si="55"/>
        <v>2</v>
      </c>
      <c r="AP250" s="554">
        <f t="shared" si="55"/>
        <v>2</v>
      </c>
      <c r="AQ250" s="429" t="str">
        <f t="shared" si="49"/>
        <v>Vendido</v>
      </c>
      <c r="AR250" s="447">
        <f>_xlfn.XLOOKUP(C250,'BOULEVARD 5'!B:B,'BOULEVARD 5'!AU:AU)</f>
        <v>1.0997442455242967</v>
      </c>
    </row>
    <row r="251" spans="1:44" s="429" customFormat="1" ht="13.9" customHeight="1" x14ac:dyDescent="0.25">
      <c r="B251" s="678" t="str">
        <f>IF('B5-Status cobranza'!A251&gt;0,'B5-Status cobranza'!A251,"")</f>
        <v/>
      </c>
      <c r="C251" s="436">
        <v>1402</v>
      </c>
      <c r="D251" s="436" t="s">
        <v>650</v>
      </c>
      <c r="E251" s="436"/>
      <c r="F251" s="436" t="str">
        <f>IF('BOULEVARD 5'!E249="","",'BOULEVARD 5'!E249)</f>
        <v>Antonio Rada</v>
      </c>
      <c r="G251" s="429" t="str">
        <f>IF('BOULEVARD 5'!F249="","",'BOULEVARD 5'!F249)</f>
        <v>Marlen Fabiola Izaguirre Navas</v>
      </c>
      <c r="H251" s="473">
        <f>IF('BOULEVARD 5'!G249="","",'BOULEVARD 5'!G249)</f>
        <v>45572</v>
      </c>
      <c r="I251" s="554" t="str">
        <f t="shared" si="57"/>
        <v/>
      </c>
      <c r="J251" s="554" t="str">
        <f t="shared" si="57"/>
        <v/>
      </c>
      <c r="K251" s="554" t="str">
        <f t="shared" si="57"/>
        <v/>
      </c>
      <c r="L251" s="554" t="str">
        <f t="shared" si="57"/>
        <v/>
      </c>
      <c r="M251" s="554" t="str">
        <f t="shared" si="57"/>
        <v/>
      </c>
      <c r="N251" s="554" t="str">
        <f t="shared" si="57"/>
        <v/>
      </c>
      <c r="O251" s="554" t="str">
        <f t="shared" si="57"/>
        <v/>
      </c>
      <c r="P251" s="554" t="str">
        <f t="shared" si="57"/>
        <v/>
      </c>
      <c r="Q251" s="554" t="str">
        <f t="shared" si="57"/>
        <v/>
      </c>
      <c r="R251" s="554" t="str">
        <f t="shared" si="57"/>
        <v/>
      </c>
      <c r="S251" s="554" t="str">
        <f t="shared" si="57"/>
        <v/>
      </c>
      <c r="T251" s="554" t="str">
        <f t="shared" si="57"/>
        <v/>
      </c>
      <c r="U251" s="554" t="str">
        <f t="shared" si="57"/>
        <v/>
      </c>
      <c r="V251" s="554" t="str">
        <f t="shared" si="57"/>
        <v/>
      </c>
      <c r="W251" s="554" t="str">
        <f t="shared" si="57"/>
        <v/>
      </c>
      <c r="X251" s="554" t="str">
        <f t="shared" si="57"/>
        <v/>
      </c>
      <c r="Y251" s="554" t="str">
        <f t="shared" si="56"/>
        <v/>
      </c>
      <c r="Z251" s="554" t="str">
        <f t="shared" si="56"/>
        <v/>
      </c>
      <c r="AA251" s="554" t="str">
        <f t="shared" si="56"/>
        <v/>
      </c>
      <c r="AB251" s="554">
        <f t="shared" si="56"/>
        <v>1</v>
      </c>
      <c r="AC251" s="554">
        <f t="shared" si="56"/>
        <v>2</v>
      </c>
      <c r="AD251" s="554">
        <f t="shared" si="56"/>
        <v>2</v>
      </c>
      <c r="AE251" s="554">
        <f t="shared" si="56"/>
        <v>2</v>
      </c>
      <c r="AF251" s="554">
        <f t="shared" si="56"/>
        <v>2</v>
      </c>
      <c r="AG251" s="554">
        <f t="shared" si="56"/>
        <v>2</v>
      </c>
      <c r="AH251" s="554">
        <f t="shared" si="56"/>
        <v>2</v>
      </c>
      <c r="AI251" s="554">
        <f t="shared" si="56"/>
        <v>2</v>
      </c>
      <c r="AJ251" s="554">
        <f t="shared" si="56"/>
        <v>2</v>
      </c>
      <c r="AK251" s="554">
        <f t="shared" si="56"/>
        <v>2</v>
      </c>
      <c r="AL251" s="554">
        <f t="shared" si="56"/>
        <v>2</v>
      </c>
      <c r="AM251" s="554">
        <f t="shared" si="56"/>
        <v>2</v>
      </c>
      <c r="AN251" s="554">
        <f t="shared" si="55"/>
        <v>2</v>
      </c>
      <c r="AO251" s="554">
        <f t="shared" si="55"/>
        <v>2</v>
      </c>
      <c r="AP251" s="554">
        <f t="shared" si="55"/>
        <v>2</v>
      </c>
      <c r="AQ251" s="429" t="str">
        <f t="shared" si="49"/>
        <v>Vendido</v>
      </c>
      <c r="AR251" s="447">
        <f>_xlfn.XLOOKUP(C251,'BOULEVARD 5'!B:B,'BOULEVARD 5'!AU:AU)</f>
        <v>1</v>
      </c>
    </row>
    <row r="252" spans="1:44" s="429" customFormat="1" ht="13.9" customHeight="1" x14ac:dyDescent="0.25">
      <c r="B252" s="678" t="str">
        <f>IF('B5-Status cobranza'!A252&gt;0,'B5-Status cobranza'!A252,"")</f>
        <v>F&amp;F</v>
      </c>
      <c r="C252" s="475">
        <v>1403</v>
      </c>
      <c r="D252" s="475" t="s">
        <v>393</v>
      </c>
      <c r="E252" s="475"/>
      <c r="F252" s="475" t="str">
        <f>IF('BOULEVARD 5'!E250="","",'BOULEVARD 5'!E250)</f>
        <v>Antonio Rada</v>
      </c>
      <c r="G252" s="476" t="str">
        <f>IF('BOULEVARD 5'!F250="","",'BOULEVARD 5'!F250)</f>
        <v>Maria Mercedes Lizarralde Mc Allister</v>
      </c>
      <c r="H252" s="473">
        <f>IF('BOULEVARD 5'!G250="","",'BOULEVARD 5'!G250)</f>
        <v>45012</v>
      </c>
      <c r="I252" s="554" t="str">
        <f t="shared" si="57"/>
        <v/>
      </c>
      <c r="J252" s="554" t="str">
        <f t="shared" si="57"/>
        <v/>
      </c>
      <c r="K252" s="554" t="str">
        <f t="shared" si="57"/>
        <v/>
      </c>
      <c r="L252" s="554" t="str">
        <f t="shared" si="57"/>
        <v/>
      </c>
      <c r="M252" s="554" t="str">
        <f t="shared" si="57"/>
        <v/>
      </c>
      <c r="N252" s="554" t="str">
        <f t="shared" si="57"/>
        <v/>
      </c>
      <c r="O252" s="554" t="str">
        <f t="shared" si="57"/>
        <v/>
      </c>
      <c r="P252" s="554" t="str">
        <f t="shared" si="57"/>
        <v/>
      </c>
      <c r="Q252" s="554" t="str">
        <f t="shared" si="57"/>
        <v/>
      </c>
      <c r="R252" s="554" t="str">
        <f t="shared" si="57"/>
        <v/>
      </c>
      <c r="S252" s="554" t="str">
        <f t="shared" si="57"/>
        <v/>
      </c>
      <c r="T252" s="554" t="str">
        <f t="shared" si="57"/>
        <v/>
      </c>
      <c r="U252" s="554" t="str">
        <f t="shared" si="57"/>
        <v/>
      </c>
      <c r="V252" s="554" t="str">
        <f t="shared" si="57"/>
        <v/>
      </c>
      <c r="W252" s="554" t="str">
        <f t="shared" si="57"/>
        <v/>
      </c>
      <c r="X252" s="554" t="str">
        <f t="shared" si="57"/>
        <v/>
      </c>
      <c r="Y252" s="554" t="str">
        <f t="shared" si="56"/>
        <v/>
      </c>
      <c r="Z252" s="554" t="str">
        <f t="shared" si="56"/>
        <v/>
      </c>
      <c r="AA252" s="554" t="str">
        <f t="shared" si="56"/>
        <v/>
      </c>
      <c r="AB252" s="554" t="str">
        <f t="shared" si="56"/>
        <v/>
      </c>
      <c r="AC252" s="554" t="str">
        <f t="shared" si="56"/>
        <v/>
      </c>
      <c r="AD252" s="554" t="str">
        <f t="shared" si="56"/>
        <v/>
      </c>
      <c r="AE252" s="554" t="str">
        <f t="shared" si="56"/>
        <v/>
      </c>
      <c r="AF252" s="554" t="str">
        <f t="shared" si="56"/>
        <v/>
      </c>
      <c r="AG252" s="554" t="str">
        <f t="shared" si="56"/>
        <v/>
      </c>
      <c r="AH252" s="554" t="str">
        <f t="shared" si="56"/>
        <v/>
      </c>
      <c r="AI252" s="554" t="str">
        <f t="shared" si="56"/>
        <v/>
      </c>
      <c r="AJ252" s="554" t="str">
        <f t="shared" si="56"/>
        <v/>
      </c>
      <c r="AK252" s="554" t="str">
        <f t="shared" si="56"/>
        <v/>
      </c>
      <c r="AL252" s="554" t="str">
        <f t="shared" si="56"/>
        <v/>
      </c>
      <c r="AM252" s="554" t="str">
        <f t="shared" si="56"/>
        <v/>
      </c>
      <c r="AN252" s="554" t="str">
        <f t="shared" si="55"/>
        <v/>
      </c>
      <c r="AO252" s="554" t="str">
        <f t="shared" si="55"/>
        <v/>
      </c>
      <c r="AP252" s="554" t="str">
        <f t="shared" si="55"/>
        <v/>
      </c>
      <c r="AQ252" s="429" t="str">
        <f t="shared" si="49"/>
        <v>Vendido</v>
      </c>
      <c r="AR252" s="447">
        <f>_xlfn.XLOOKUP(C252,'BOULEVARD 5'!B:B,'BOULEVARD 5'!AU:AU)</f>
        <v>0.36243866868774138</v>
      </c>
    </row>
    <row r="253" spans="1:44" s="429" customFormat="1" ht="13.9" customHeight="1" x14ac:dyDescent="0.25">
      <c r="B253" s="678" t="str">
        <f>IF('B5-Status cobranza'!A253&gt;0,'B5-Status cobranza'!A253,"")</f>
        <v/>
      </c>
      <c r="C253" s="436">
        <v>1404</v>
      </c>
      <c r="D253" s="436" t="s">
        <v>172</v>
      </c>
      <c r="E253" s="436"/>
      <c r="F253" s="436" t="str">
        <f>IF('BOULEVARD 5'!E251="","",'BOULEVARD 5'!E251)</f>
        <v>Jose Franco</v>
      </c>
      <c r="G253" s="429" t="str">
        <f>IF('BOULEVARD 5'!F251="","",'BOULEVARD 5'!F251)</f>
        <v>Diego Eduardo Roman Hazard</v>
      </c>
      <c r="H253" s="473">
        <f>IF('BOULEVARD 5'!G251="","",'BOULEVARD 5'!G251)</f>
        <v>45012</v>
      </c>
      <c r="I253" s="554">
        <f t="shared" si="57"/>
        <v>1</v>
      </c>
      <c r="J253" s="554">
        <f t="shared" si="57"/>
        <v>2</v>
      </c>
      <c r="K253" s="554">
        <f t="shared" si="57"/>
        <v>2</v>
      </c>
      <c r="L253" s="554">
        <f t="shared" si="57"/>
        <v>2</v>
      </c>
      <c r="M253" s="554">
        <f t="shared" si="57"/>
        <v>2</v>
      </c>
      <c r="N253" s="554">
        <f t="shared" si="57"/>
        <v>2</v>
      </c>
      <c r="O253" s="554">
        <f t="shared" si="57"/>
        <v>2</v>
      </c>
      <c r="P253" s="554">
        <f t="shared" si="57"/>
        <v>2</v>
      </c>
      <c r="Q253" s="554">
        <f t="shared" si="57"/>
        <v>2</v>
      </c>
      <c r="R253" s="554">
        <f t="shared" si="57"/>
        <v>2</v>
      </c>
      <c r="S253" s="554">
        <f t="shared" si="57"/>
        <v>2</v>
      </c>
      <c r="T253" s="554">
        <f t="shared" si="57"/>
        <v>2</v>
      </c>
      <c r="U253" s="554">
        <f t="shared" si="57"/>
        <v>2</v>
      </c>
      <c r="V253" s="554">
        <f t="shared" si="57"/>
        <v>2</v>
      </c>
      <c r="W253" s="554">
        <f t="shared" si="57"/>
        <v>2</v>
      </c>
      <c r="X253" s="554">
        <f t="shared" si="57"/>
        <v>2</v>
      </c>
      <c r="Y253" s="554">
        <f t="shared" si="56"/>
        <v>2</v>
      </c>
      <c r="Z253" s="554">
        <f t="shared" si="56"/>
        <v>2</v>
      </c>
      <c r="AA253" s="554">
        <f t="shared" si="56"/>
        <v>2</v>
      </c>
      <c r="AB253" s="554">
        <f t="shared" si="56"/>
        <v>2</v>
      </c>
      <c r="AC253" s="554">
        <f t="shared" si="56"/>
        <v>2</v>
      </c>
      <c r="AD253" s="554">
        <f t="shared" si="56"/>
        <v>2</v>
      </c>
      <c r="AE253" s="554">
        <f t="shared" si="56"/>
        <v>2</v>
      </c>
      <c r="AF253" s="554">
        <f t="shared" si="56"/>
        <v>2</v>
      </c>
      <c r="AG253" s="554">
        <f t="shared" si="56"/>
        <v>2</v>
      </c>
      <c r="AH253" s="554">
        <f t="shared" si="56"/>
        <v>2</v>
      </c>
      <c r="AI253" s="554">
        <f t="shared" si="56"/>
        <v>2</v>
      </c>
      <c r="AJ253" s="554">
        <f t="shared" si="56"/>
        <v>2</v>
      </c>
      <c r="AK253" s="554">
        <f t="shared" si="56"/>
        <v>2</v>
      </c>
      <c r="AL253" s="554">
        <f t="shared" si="56"/>
        <v>2</v>
      </c>
      <c r="AM253" s="554">
        <f t="shared" si="56"/>
        <v>2</v>
      </c>
      <c r="AN253" s="554">
        <f t="shared" si="55"/>
        <v>2</v>
      </c>
      <c r="AO253" s="554">
        <f t="shared" si="55"/>
        <v>2</v>
      </c>
      <c r="AP253" s="554">
        <f t="shared" si="55"/>
        <v>2</v>
      </c>
      <c r="AQ253" s="429" t="str">
        <f t="shared" si="49"/>
        <v>Vendido</v>
      </c>
      <c r="AR253" s="447">
        <f>_xlfn.XLOOKUP(C253,'BOULEVARD 5'!B:B,'BOULEVARD 5'!AU:AU)</f>
        <v>0.8213165775338146</v>
      </c>
    </row>
    <row r="254" spans="1:44" s="429" customFormat="1" ht="13.9" customHeight="1" x14ac:dyDescent="0.25">
      <c r="A254" s="429" t="s">
        <v>388</v>
      </c>
      <c r="B254" s="678"/>
      <c r="C254" s="436">
        <v>1405</v>
      </c>
      <c r="D254" s="436" t="s">
        <v>547</v>
      </c>
      <c r="E254" s="641" t="s">
        <v>386</v>
      </c>
      <c r="F254" s="436" t="str">
        <f>IF('BOULEVARD 5'!E252="","",'BOULEVARD 5'!E252)</f>
        <v>Antonio Rada</v>
      </c>
      <c r="G254" s="429" t="str">
        <f>IF('BOULEVARD 5'!F252="","",'BOULEVARD 5'!F252)</f>
        <v>Victor Leonel Orozco Lopez</v>
      </c>
      <c r="H254" s="473">
        <f>IF('BOULEVARD 5'!G252="","",'BOULEVARD 5'!G252)</f>
        <v>45034</v>
      </c>
      <c r="I254" s="554" t="str">
        <f t="shared" si="57"/>
        <v/>
      </c>
      <c r="J254" s="554">
        <f t="shared" si="57"/>
        <v>1</v>
      </c>
      <c r="K254" s="554">
        <f t="shared" si="57"/>
        <v>2</v>
      </c>
      <c r="L254" s="554">
        <f t="shared" si="57"/>
        <v>2</v>
      </c>
      <c r="M254" s="554">
        <f t="shared" si="57"/>
        <v>2</v>
      </c>
      <c r="N254" s="554">
        <f t="shared" si="57"/>
        <v>2</v>
      </c>
      <c r="O254" s="554">
        <f t="shared" si="57"/>
        <v>2</v>
      </c>
      <c r="P254" s="554">
        <f t="shared" si="57"/>
        <v>2</v>
      </c>
      <c r="Q254" s="554">
        <f t="shared" si="57"/>
        <v>2</v>
      </c>
      <c r="R254" s="554">
        <f t="shared" si="57"/>
        <v>2</v>
      </c>
      <c r="S254" s="554">
        <f t="shared" si="57"/>
        <v>2</v>
      </c>
      <c r="T254" s="554">
        <f t="shared" si="57"/>
        <v>2</v>
      </c>
      <c r="U254" s="554">
        <f t="shared" si="57"/>
        <v>2</v>
      </c>
      <c r="V254" s="554">
        <f t="shared" si="57"/>
        <v>2</v>
      </c>
      <c r="W254" s="554">
        <f t="shared" si="57"/>
        <v>2</v>
      </c>
      <c r="X254" s="554">
        <f t="shared" si="57"/>
        <v>2</v>
      </c>
      <c r="Y254" s="554">
        <f t="shared" si="56"/>
        <v>2</v>
      </c>
      <c r="Z254" s="554">
        <f t="shared" si="56"/>
        <v>2</v>
      </c>
      <c r="AA254" s="554">
        <f t="shared" si="56"/>
        <v>2</v>
      </c>
      <c r="AB254" s="554">
        <f t="shared" si="56"/>
        <v>2</v>
      </c>
      <c r="AC254" s="554">
        <f t="shared" si="56"/>
        <v>2</v>
      </c>
      <c r="AD254" s="554">
        <f t="shared" si="56"/>
        <v>2</v>
      </c>
      <c r="AE254" s="554">
        <f t="shared" si="56"/>
        <v>2</v>
      </c>
      <c r="AF254" s="554">
        <f t="shared" si="56"/>
        <v>2</v>
      </c>
      <c r="AG254" s="554">
        <f t="shared" si="56"/>
        <v>2</v>
      </c>
      <c r="AH254" s="554">
        <f t="shared" si="56"/>
        <v>2</v>
      </c>
      <c r="AI254" s="554">
        <f t="shared" si="56"/>
        <v>2</v>
      </c>
      <c r="AJ254" s="554">
        <f t="shared" si="56"/>
        <v>2</v>
      </c>
      <c r="AK254" s="554">
        <f t="shared" si="56"/>
        <v>2</v>
      </c>
      <c r="AL254" s="554">
        <f t="shared" si="56"/>
        <v>2</v>
      </c>
      <c r="AM254" s="554">
        <f t="shared" si="56"/>
        <v>2</v>
      </c>
      <c r="AN254" s="554">
        <f t="shared" si="55"/>
        <v>2</v>
      </c>
      <c r="AO254" s="554">
        <f t="shared" si="55"/>
        <v>2</v>
      </c>
      <c r="AP254" s="554">
        <f t="shared" si="55"/>
        <v>2</v>
      </c>
      <c r="AQ254" s="429" t="str">
        <f t="shared" si="49"/>
        <v>Vendido</v>
      </c>
      <c r="AR254" s="447">
        <f>_xlfn.XLOOKUP(C254,'BOULEVARD 5'!B:B,'BOULEVARD 5'!AU:AU)</f>
        <v>1</v>
      </c>
    </row>
    <row r="255" spans="1:44" s="429" customFormat="1" ht="13.9" customHeight="1" x14ac:dyDescent="0.25">
      <c r="B255" s="678" t="str">
        <f>IF('B5-Status cobranza'!A255&gt;0,'B5-Status cobranza'!A255,"")</f>
        <v/>
      </c>
      <c r="C255" s="436">
        <v>1406</v>
      </c>
      <c r="D255" s="436" t="s">
        <v>181</v>
      </c>
      <c r="E255" s="436"/>
      <c r="F255" s="436" t="str">
        <f>IF('BOULEVARD 5'!E253="","",'BOULEVARD 5'!E253)</f>
        <v>Jose Franco</v>
      </c>
      <c r="G255" s="429" t="str">
        <f>IF('BOULEVARD 5'!F253="","",'BOULEVARD 5'!F253)</f>
        <v xml:space="preserve"> Jonatan Hans Donis Montenegro</v>
      </c>
      <c r="H255" s="473">
        <f>IF('BOULEVARD 5'!G253="","",'BOULEVARD 5'!G253)</f>
        <v>45012</v>
      </c>
      <c r="I255" s="554">
        <f t="shared" si="57"/>
        <v>1</v>
      </c>
      <c r="J255" s="554">
        <f t="shared" si="57"/>
        <v>2</v>
      </c>
      <c r="K255" s="554">
        <f t="shared" si="57"/>
        <v>2</v>
      </c>
      <c r="L255" s="554">
        <f t="shared" si="57"/>
        <v>2</v>
      </c>
      <c r="M255" s="554">
        <f t="shared" si="57"/>
        <v>2</v>
      </c>
      <c r="N255" s="554">
        <f t="shared" si="57"/>
        <v>2</v>
      </c>
      <c r="O255" s="554">
        <f t="shared" si="57"/>
        <v>2</v>
      </c>
      <c r="P255" s="554">
        <f t="shared" si="57"/>
        <v>2</v>
      </c>
      <c r="Q255" s="554">
        <f t="shared" si="57"/>
        <v>2</v>
      </c>
      <c r="R255" s="554">
        <f t="shared" si="57"/>
        <v>2</v>
      </c>
      <c r="S255" s="554">
        <f t="shared" si="57"/>
        <v>2</v>
      </c>
      <c r="T255" s="554">
        <f t="shared" si="57"/>
        <v>2</v>
      </c>
      <c r="U255" s="554">
        <f t="shared" si="57"/>
        <v>2</v>
      </c>
      <c r="V255" s="554">
        <f t="shared" si="57"/>
        <v>2</v>
      </c>
      <c r="W255" s="554">
        <f t="shared" si="57"/>
        <v>2</v>
      </c>
      <c r="X255" s="554">
        <f t="shared" si="57"/>
        <v>2</v>
      </c>
      <c r="Y255" s="554">
        <f t="shared" si="56"/>
        <v>2</v>
      </c>
      <c r="Z255" s="554">
        <f t="shared" si="56"/>
        <v>2</v>
      </c>
      <c r="AA255" s="554">
        <f t="shared" si="56"/>
        <v>2</v>
      </c>
      <c r="AB255" s="554">
        <f t="shared" si="56"/>
        <v>2</v>
      </c>
      <c r="AC255" s="554">
        <f t="shared" si="56"/>
        <v>2</v>
      </c>
      <c r="AD255" s="554">
        <f t="shared" si="56"/>
        <v>2</v>
      </c>
      <c r="AE255" s="554">
        <f t="shared" si="56"/>
        <v>2</v>
      </c>
      <c r="AF255" s="554">
        <f t="shared" si="56"/>
        <v>2</v>
      </c>
      <c r="AG255" s="554">
        <f t="shared" si="56"/>
        <v>2</v>
      </c>
      <c r="AH255" s="554">
        <f t="shared" si="56"/>
        <v>2</v>
      </c>
      <c r="AI255" s="554">
        <f t="shared" si="56"/>
        <v>2</v>
      </c>
      <c r="AJ255" s="554">
        <f t="shared" si="56"/>
        <v>2</v>
      </c>
      <c r="AK255" s="554">
        <f t="shared" si="56"/>
        <v>2</v>
      </c>
      <c r="AL255" s="554">
        <f t="shared" si="56"/>
        <v>2</v>
      </c>
      <c r="AM255" s="554">
        <f t="shared" si="56"/>
        <v>2</v>
      </c>
      <c r="AN255" s="554">
        <f t="shared" si="55"/>
        <v>2</v>
      </c>
      <c r="AO255" s="554">
        <f t="shared" si="55"/>
        <v>2</v>
      </c>
      <c r="AP255" s="554">
        <f t="shared" si="55"/>
        <v>2</v>
      </c>
      <c r="AQ255" s="429" t="str">
        <f t="shared" si="49"/>
        <v>Vendido</v>
      </c>
      <c r="AR255" s="447">
        <f>_xlfn.XLOOKUP(C255,'BOULEVARD 5'!B:B,'BOULEVARD 5'!AU:AU)</f>
        <v>0.92147239263803682</v>
      </c>
    </row>
    <row r="256" spans="1:44" s="429" customFormat="1" ht="13.9" customHeight="1" x14ac:dyDescent="0.25">
      <c r="B256" s="678" t="str">
        <f>IF('B5-Status cobranza'!A256&gt;0,'B5-Status cobranza'!A256,"")</f>
        <v>F&amp;F</v>
      </c>
      <c r="C256" s="475">
        <v>1407</v>
      </c>
      <c r="D256" s="475" t="s">
        <v>534</v>
      </c>
      <c r="E256" s="475"/>
      <c r="F256" s="475" t="str">
        <f>IF('BOULEVARD 5'!E254="","",'BOULEVARD 5'!E254)</f>
        <v>Ronaldo</v>
      </c>
      <c r="G256" s="476" t="str">
        <f>IF('BOULEVARD 5'!F254="","",'BOULEVARD 5'!F254)</f>
        <v>José Herrera Pérez</v>
      </c>
      <c r="H256" s="473">
        <f>IF('BOULEVARD 5'!G254="","",'BOULEVARD 5'!G254)</f>
        <v>45336</v>
      </c>
      <c r="I256" s="554" t="str">
        <f t="shared" si="57"/>
        <v/>
      </c>
      <c r="J256" s="554" t="str">
        <f t="shared" si="57"/>
        <v/>
      </c>
      <c r="K256" s="554" t="str">
        <f t="shared" si="57"/>
        <v/>
      </c>
      <c r="L256" s="554" t="str">
        <f t="shared" si="57"/>
        <v/>
      </c>
      <c r="M256" s="554" t="str">
        <f t="shared" si="57"/>
        <v/>
      </c>
      <c r="N256" s="554" t="str">
        <f t="shared" si="57"/>
        <v/>
      </c>
      <c r="O256" s="554" t="str">
        <f t="shared" si="57"/>
        <v/>
      </c>
      <c r="P256" s="554" t="str">
        <f t="shared" si="57"/>
        <v/>
      </c>
      <c r="Q256" s="554" t="str">
        <f t="shared" si="57"/>
        <v/>
      </c>
      <c r="R256" s="554" t="str">
        <f t="shared" si="57"/>
        <v/>
      </c>
      <c r="S256" s="554" t="str">
        <f t="shared" si="57"/>
        <v/>
      </c>
      <c r="T256" s="554" t="str">
        <f t="shared" si="57"/>
        <v/>
      </c>
      <c r="U256" s="554" t="str">
        <f t="shared" si="57"/>
        <v/>
      </c>
      <c r="V256" s="554" t="str">
        <f t="shared" si="57"/>
        <v/>
      </c>
      <c r="W256" s="554" t="str">
        <f t="shared" si="57"/>
        <v/>
      </c>
      <c r="X256" s="554" t="str">
        <f t="shared" si="57"/>
        <v/>
      </c>
      <c r="Y256" s="554" t="str">
        <f t="shared" si="56"/>
        <v/>
      </c>
      <c r="Z256" s="554" t="str">
        <f t="shared" si="56"/>
        <v/>
      </c>
      <c r="AA256" s="554" t="str">
        <f t="shared" si="56"/>
        <v/>
      </c>
      <c r="AB256" s="554" t="str">
        <f t="shared" si="56"/>
        <v/>
      </c>
      <c r="AC256" s="554" t="str">
        <f t="shared" si="56"/>
        <v/>
      </c>
      <c r="AD256" s="554" t="str">
        <f t="shared" si="56"/>
        <v/>
      </c>
      <c r="AE256" s="554" t="str">
        <f t="shared" si="56"/>
        <v/>
      </c>
      <c r="AF256" s="554" t="str">
        <f t="shared" si="56"/>
        <v/>
      </c>
      <c r="AG256" s="554" t="str">
        <f t="shared" si="56"/>
        <v/>
      </c>
      <c r="AH256" s="554" t="str">
        <f t="shared" si="56"/>
        <v/>
      </c>
      <c r="AI256" s="554" t="str">
        <f t="shared" si="56"/>
        <v/>
      </c>
      <c r="AJ256" s="554" t="str">
        <f t="shared" si="56"/>
        <v/>
      </c>
      <c r="AK256" s="554" t="str">
        <f t="shared" si="56"/>
        <v/>
      </c>
      <c r="AL256" s="554" t="str">
        <f t="shared" si="56"/>
        <v/>
      </c>
      <c r="AM256" s="554" t="str">
        <f t="shared" si="56"/>
        <v/>
      </c>
      <c r="AN256" s="554" t="str">
        <f t="shared" si="56"/>
        <v/>
      </c>
      <c r="AO256" s="554" t="str">
        <f t="shared" ref="AO256:AP275" si="58">IF(OR($B256="F&amp;F",$B256="CE",$H256=""),"",IF(TEXT(AO$8,"yyyymm")=TEXT($H256,"yyyymm"),1,IF(TEXT(AO$8,"yyyymm")&gt;TEXT($H256,"yyyymm"),2,IF(AO$8&lt;$H256,"",0))))</f>
        <v/>
      </c>
      <c r="AP256" s="554" t="str">
        <f t="shared" si="58"/>
        <v/>
      </c>
      <c r="AQ256" s="429" t="str">
        <f t="shared" si="49"/>
        <v>Vendido</v>
      </c>
      <c r="AR256" s="447">
        <f>_xlfn.XLOOKUP(C256,'BOULEVARD 5'!B:B,'BOULEVARD 5'!AU:AU)</f>
        <v>1</v>
      </c>
    </row>
    <row r="257" spans="1:44" s="429" customFormat="1" ht="13.9" customHeight="1" x14ac:dyDescent="0.25">
      <c r="B257" s="678" t="str">
        <f>IF('B5-Status cobranza'!A257&gt;0,'B5-Status cobranza'!A257,"")</f>
        <v/>
      </c>
      <c r="C257" s="436">
        <v>1408</v>
      </c>
      <c r="D257" s="436" t="s">
        <v>536</v>
      </c>
      <c r="E257" s="436"/>
      <c r="F257" s="436" t="str">
        <f>IF('BOULEVARD 5'!E255="","",'BOULEVARD 5'!E255)</f>
        <v>Erwin Cardona</v>
      </c>
      <c r="G257" s="429" t="str">
        <f>IF('BOULEVARD 5'!F255="","",'BOULEVARD 5'!F255)</f>
        <v>GUILLERMO ALFREDO SAENZ DE TEJADA VILLEDA</v>
      </c>
      <c r="H257" s="473">
        <f>IF('BOULEVARD 5'!G255="","",'BOULEVARD 5'!G255)</f>
        <v>46027</v>
      </c>
      <c r="I257" s="554" t="str">
        <f t="shared" si="57"/>
        <v/>
      </c>
      <c r="J257" s="554" t="str">
        <f t="shared" si="57"/>
        <v/>
      </c>
      <c r="K257" s="554" t="str">
        <f t="shared" si="57"/>
        <v/>
      </c>
      <c r="L257" s="554" t="str">
        <f t="shared" si="57"/>
        <v/>
      </c>
      <c r="M257" s="554" t="str">
        <f t="shared" si="57"/>
        <v/>
      </c>
      <c r="N257" s="554" t="str">
        <f t="shared" si="57"/>
        <v/>
      </c>
      <c r="O257" s="554" t="str">
        <f t="shared" si="57"/>
        <v/>
      </c>
      <c r="P257" s="554" t="str">
        <f t="shared" si="57"/>
        <v/>
      </c>
      <c r="Q257" s="554" t="str">
        <f t="shared" si="57"/>
        <v/>
      </c>
      <c r="R257" s="554" t="str">
        <f t="shared" si="57"/>
        <v/>
      </c>
      <c r="S257" s="554" t="str">
        <f t="shared" si="57"/>
        <v/>
      </c>
      <c r="T257" s="554" t="str">
        <f t="shared" si="57"/>
        <v/>
      </c>
      <c r="U257" s="554" t="str">
        <f t="shared" si="57"/>
        <v/>
      </c>
      <c r="V257" s="554" t="str">
        <f t="shared" si="57"/>
        <v/>
      </c>
      <c r="W257" s="554" t="str">
        <f t="shared" si="57"/>
        <v/>
      </c>
      <c r="X257" s="554" t="str">
        <f t="shared" si="57"/>
        <v/>
      </c>
      <c r="Y257" s="554" t="str">
        <f t="shared" si="56"/>
        <v/>
      </c>
      <c r="Z257" s="554" t="str">
        <f t="shared" si="56"/>
        <v/>
      </c>
      <c r="AA257" s="554" t="str">
        <f t="shared" si="56"/>
        <v/>
      </c>
      <c r="AB257" s="554" t="str">
        <f t="shared" si="56"/>
        <v/>
      </c>
      <c r="AC257" s="554" t="str">
        <f t="shared" si="56"/>
        <v/>
      </c>
      <c r="AD257" s="554" t="str">
        <f t="shared" si="56"/>
        <v/>
      </c>
      <c r="AE257" s="554" t="str">
        <f t="shared" si="56"/>
        <v/>
      </c>
      <c r="AF257" s="554" t="str">
        <f t="shared" si="56"/>
        <v/>
      </c>
      <c r="AG257" s="554" t="str">
        <f t="shared" si="56"/>
        <v/>
      </c>
      <c r="AH257" s="554" t="str">
        <f t="shared" si="56"/>
        <v/>
      </c>
      <c r="AI257" s="554" t="str">
        <f t="shared" si="56"/>
        <v/>
      </c>
      <c r="AJ257" s="554" t="str">
        <f t="shared" si="56"/>
        <v/>
      </c>
      <c r="AK257" s="554" t="str">
        <f t="shared" si="56"/>
        <v/>
      </c>
      <c r="AL257" s="554" t="str">
        <f t="shared" si="56"/>
        <v/>
      </c>
      <c r="AM257" s="554" t="str">
        <f t="shared" si="56"/>
        <v/>
      </c>
      <c r="AN257" s="554" t="str">
        <f t="shared" si="56"/>
        <v/>
      </c>
      <c r="AO257" s="554" t="str">
        <f t="shared" si="58"/>
        <v/>
      </c>
      <c r="AP257" s="554" t="str">
        <f t="shared" si="58"/>
        <v/>
      </c>
      <c r="AQ257" s="429" t="str">
        <f t="shared" si="49"/>
        <v>Vendido</v>
      </c>
      <c r="AR257" s="447">
        <f>_xlfn.XLOOKUP(C257,'BOULEVARD 5'!B:B,'BOULEVARD 5'!AU:AU)</f>
        <v>9.4514840637450206E-2</v>
      </c>
    </row>
    <row r="258" spans="1:44" s="429" customFormat="1" ht="13.9" customHeight="1" x14ac:dyDescent="0.25">
      <c r="B258" s="678" t="str">
        <f>IF('B5-Status cobranza'!A258&gt;0,'B5-Status cobranza'!A258,"")</f>
        <v>F&amp;F</v>
      </c>
      <c r="C258" s="475">
        <v>1409</v>
      </c>
      <c r="D258" s="475" t="s">
        <v>400</v>
      </c>
      <c r="E258" s="475"/>
      <c r="F258" s="475" t="str">
        <f>IF('BOULEVARD 5'!E256="","",'BOULEVARD 5'!E256)</f>
        <v>Ronaldo</v>
      </c>
      <c r="G258" s="476" t="str">
        <f>IF('BOULEVARD 5'!F256="","",'BOULEVARD 5'!F256)</f>
        <v>International Coffee Industry, S.A</v>
      </c>
      <c r="H258" s="473">
        <f>IF('BOULEVARD 5'!G256="","",'BOULEVARD 5'!G256)</f>
        <v>45300</v>
      </c>
      <c r="I258" s="554" t="str">
        <f t="shared" si="57"/>
        <v/>
      </c>
      <c r="J258" s="554" t="str">
        <f t="shared" si="57"/>
        <v/>
      </c>
      <c r="K258" s="554" t="str">
        <f t="shared" si="57"/>
        <v/>
      </c>
      <c r="L258" s="554" t="str">
        <f t="shared" si="57"/>
        <v/>
      </c>
      <c r="M258" s="554" t="str">
        <f t="shared" si="57"/>
        <v/>
      </c>
      <c r="N258" s="554" t="str">
        <f t="shared" si="57"/>
        <v/>
      </c>
      <c r="O258" s="554" t="str">
        <f t="shared" si="57"/>
        <v/>
      </c>
      <c r="P258" s="554" t="str">
        <f t="shared" si="57"/>
        <v/>
      </c>
      <c r="Q258" s="554" t="str">
        <f t="shared" si="57"/>
        <v/>
      </c>
      <c r="R258" s="554" t="str">
        <f t="shared" si="57"/>
        <v/>
      </c>
      <c r="S258" s="554" t="str">
        <f t="shared" si="57"/>
        <v/>
      </c>
      <c r="T258" s="554" t="str">
        <f t="shared" si="57"/>
        <v/>
      </c>
      <c r="U258" s="554" t="str">
        <f t="shared" si="57"/>
        <v/>
      </c>
      <c r="V258" s="554" t="str">
        <f t="shared" si="57"/>
        <v/>
      </c>
      <c r="W258" s="554" t="str">
        <f t="shared" si="57"/>
        <v/>
      </c>
      <c r="X258" s="554" t="str">
        <f t="shared" si="57"/>
        <v/>
      </c>
      <c r="Y258" s="554" t="str">
        <f t="shared" si="56"/>
        <v/>
      </c>
      <c r="Z258" s="554" t="str">
        <f t="shared" si="56"/>
        <v/>
      </c>
      <c r="AA258" s="554" t="str">
        <f t="shared" si="56"/>
        <v/>
      </c>
      <c r="AB258" s="554" t="str">
        <f t="shared" si="56"/>
        <v/>
      </c>
      <c r="AC258" s="554" t="str">
        <f t="shared" si="56"/>
        <v/>
      </c>
      <c r="AD258" s="554" t="str">
        <f t="shared" si="56"/>
        <v/>
      </c>
      <c r="AE258" s="554" t="str">
        <f t="shared" si="56"/>
        <v/>
      </c>
      <c r="AF258" s="554" t="str">
        <f t="shared" si="56"/>
        <v/>
      </c>
      <c r="AG258" s="554" t="str">
        <f t="shared" si="56"/>
        <v/>
      </c>
      <c r="AH258" s="554" t="str">
        <f t="shared" si="56"/>
        <v/>
      </c>
      <c r="AI258" s="554" t="str">
        <f t="shared" si="56"/>
        <v/>
      </c>
      <c r="AJ258" s="554" t="str">
        <f t="shared" si="56"/>
        <v/>
      </c>
      <c r="AK258" s="554" t="str">
        <f t="shared" si="56"/>
        <v/>
      </c>
      <c r="AL258" s="554" t="str">
        <f t="shared" si="56"/>
        <v/>
      </c>
      <c r="AM258" s="554" t="str">
        <f t="shared" si="56"/>
        <v/>
      </c>
      <c r="AN258" s="554" t="str">
        <f t="shared" si="56"/>
        <v/>
      </c>
      <c r="AO258" s="554" t="str">
        <f t="shared" si="58"/>
        <v/>
      </c>
      <c r="AP258" s="554" t="str">
        <f t="shared" si="58"/>
        <v/>
      </c>
      <c r="AQ258" s="429" t="str">
        <f t="shared" si="49"/>
        <v>Vendido</v>
      </c>
      <c r="AR258" s="447">
        <f>_xlfn.XLOOKUP(C258,'BOULEVARD 5'!B:B,'BOULEVARD 5'!AU:AU)</f>
        <v>0</v>
      </c>
    </row>
    <row r="259" spans="1:44" s="429" customFormat="1" ht="13.9" customHeight="1" x14ac:dyDescent="0.25">
      <c r="A259" s="429" t="s">
        <v>388</v>
      </c>
      <c r="B259" s="678"/>
      <c r="C259" s="436">
        <v>1410</v>
      </c>
      <c r="D259" s="436" t="s">
        <v>175</v>
      </c>
      <c r="E259" s="642" t="s">
        <v>336</v>
      </c>
      <c r="F259" s="436" t="str">
        <f>IF('BOULEVARD 5'!E257="","",'BOULEVARD 5'!E257)</f>
        <v>Antonio Rada</v>
      </c>
      <c r="G259" s="429" t="str">
        <f>IF('BOULEVARD 5'!F257="","",'BOULEVARD 5'!F257)</f>
        <v>Selvin Ramiro Gamez Perez</v>
      </c>
      <c r="H259" s="473">
        <f>IF('BOULEVARD 5'!G257="","",'BOULEVARD 5'!G257)</f>
        <v>45327</v>
      </c>
      <c r="I259" s="554" t="str">
        <f t="shared" si="57"/>
        <v/>
      </c>
      <c r="J259" s="554" t="str">
        <f t="shared" si="57"/>
        <v/>
      </c>
      <c r="K259" s="554" t="str">
        <f t="shared" si="57"/>
        <v/>
      </c>
      <c r="L259" s="554" t="str">
        <f t="shared" si="57"/>
        <v/>
      </c>
      <c r="M259" s="554" t="str">
        <f t="shared" si="57"/>
        <v/>
      </c>
      <c r="N259" s="554" t="str">
        <f t="shared" si="57"/>
        <v/>
      </c>
      <c r="O259" s="554" t="str">
        <f t="shared" si="57"/>
        <v/>
      </c>
      <c r="P259" s="554" t="str">
        <f t="shared" si="57"/>
        <v/>
      </c>
      <c r="Q259" s="554" t="str">
        <f t="shared" si="57"/>
        <v/>
      </c>
      <c r="R259" s="554" t="str">
        <f t="shared" si="57"/>
        <v/>
      </c>
      <c r="S259" s="554" t="str">
        <f t="shared" si="57"/>
        <v/>
      </c>
      <c r="T259" s="554">
        <f t="shared" si="57"/>
        <v>1</v>
      </c>
      <c r="U259" s="554">
        <f t="shared" si="57"/>
        <v>2</v>
      </c>
      <c r="V259" s="554">
        <f t="shared" si="57"/>
        <v>2</v>
      </c>
      <c r="W259" s="554">
        <f t="shared" si="57"/>
        <v>2</v>
      </c>
      <c r="X259" s="554">
        <f t="shared" si="57"/>
        <v>2</v>
      </c>
      <c r="Y259" s="554">
        <f t="shared" si="56"/>
        <v>2</v>
      </c>
      <c r="Z259" s="554">
        <f t="shared" si="56"/>
        <v>2</v>
      </c>
      <c r="AA259" s="554">
        <f t="shared" si="56"/>
        <v>2</v>
      </c>
      <c r="AB259" s="554">
        <f t="shared" si="56"/>
        <v>2</v>
      </c>
      <c r="AC259" s="554">
        <f t="shared" si="56"/>
        <v>2</v>
      </c>
      <c r="AD259" s="554">
        <f t="shared" si="56"/>
        <v>2</v>
      </c>
      <c r="AE259" s="554">
        <f t="shared" si="56"/>
        <v>2</v>
      </c>
      <c r="AF259" s="554">
        <f t="shared" si="56"/>
        <v>2</v>
      </c>
      <c r="AG259" s="554">
        <f t="shared" si="56"/>
        <v>2</v>
      </c>
      <c r="AH259" s="554">
        <f t="shared" si="56"/>
        <v>2</v>
      </c>
      <c r="AI259" s="554">
        <f t="shared" si="56"/>
        <v>2</v>
      </c>
      <c r="AJ259" s="554">
        <f t="shared" si="56"/>
        <v>2</v>
      </c>
      <c r="AK259" s="554">
        <f t="shared" si="56"/>
        <v>2</v>
      </c>
      <c r="AL259" s="554">
        <f t="shared" si="56"/>
        <v>2</v>
      </c>
      <c r="AM259" s="554">
        <f t="shared" si="56"/>
        <v>2</v>
      </c>
      <c r="AN259" s="554">
        <f t="shared" si="56"/>
        <v>2</v>
      </c>
      <c r="AO259" s="554">
        <f t="shared" si="58"/>
        <v>2</v>
      </c>
      <c r="AP259" s="554">
        <f t="shared" si="58"/>
        <v>2</v>
      </c>
      <c r="AQ259" s="429" t="str">
        <f t="shared" si="49"/>
        <v>Vendido</v>
      </c>
      <c r="AR259" s="447">
        <f>_xlfn.XLOOKUP(C259,'BOULEVARD 5'!B:B,'BOULEVARD 5'!AU:AU)</f>
        <v>1</v>
      </c>
    </row>
    <row r="260" spans="1:44" s="429" customFormat="1" ht="13.9" customHeight="1" x14ac:dyDescent="0.25">
      <c r="B260" s="678" t="str">
        <f>IF('B5-Status cobranza'!A260&gt;0,'B5-Status cobranza'!A260,"")</f>
        <v/>
      </c>
      <c r="C260" s="436">
        <v>1411</v>
      </c>
      <c r="D260" s="436" t="s">
        <v>563</v>
      </c>
      <c r="E260" s="436"/>
      <c r="F260" s="436" t="str">
        <f>IF('BOULEVARD 5'!E258="","",'BOULEVARD 5'!E258)</f>
        <v>Antonio Rada</v>
      </c>
      <c r="G260" s="429" t="str">
        <f>IF('BOULEVARD 5'!F258="","",'BOULEVARD 5'!F258)</f>
        <v>Julio Cesar Morales Díaz</v>
      </c>
      <c r="H260" s="473">
        <f>IF('BOULEVARD 5'!G258="","",'BOULEVARD 5'!G258)</f>
        <v>45096</v>
      </c>
      <c r="I260" s="554" t="str">
        <f t="shared" si="57"/>
        <v/>
      </c>
      <c r="J260" s="554" t="str">
        <f t="shared" si="57"/>
        <v/>
      </c>
      <c r="K260" s="554" t="str">
        <f t="shared" si="57"/>
        <v/>
      </c>
      <c r="L260" s="554">
        <f t="shared" si="57"/>
        <v>1</v>
      </c>
      <c r="M260" s="554">
        <f t="shared" si="57"/>
        <v>2</v>
      </c>
      <c r="N260" s="554">
        <f t="shared" si="57"/>
        <v>2</v>
      </c>
      <c r="O260" s="554">
        <f t="shared" si="57"/>
        <v>2</v>
      </c>
      <c r="P260" s="554">
        <f t="shared" si="57"/>
        <v>2</v>
      </c>
      <c r="Q260" s="554">
        <f t="shared" si="57"/>
        <v>2</v>
      </c>
      <c r="R260" s="554">
        <f t="shared" si="57"/>
        <v>2</v>
      </c>
      <c r="S260" s="554">
        <f t="shared" si="57"/>
        <v>2</v>
      </c>
      <c r="T260" s="554">
        <f t="shared" si="57"/>
        <v>2</v>
      </c>
      <c r="U260" s="554">
        <f t="shared" si="57"/>
        <v>2</v>
      </c>
      <c r="V260" s="554">
        <f t="shared" si="57"/>
        <v>2</v>
      </c>
      <c r="W260" s="554">
        <f t="shared" si="57"/>
        <v>2</v>
      </c>
      <c r="X260" s="554">
        <f t="shared" si="57"/>
        <v>2</v>
      </c>
      <c r="Y260" s="554">
        <f t="shared" si="56"/>
        <v>2</v>
      </c>
      <c r="Z260" s="554">
        <f t="shared" si="56"/>
        <v>2</v>
      </c>
      <c r="AA260" s="554">
        <f t="shared" si="56"/>
        <v>2</v>
      </c>
      <c r="AB260" s="554">
        <f t="shared" si="56"/>
        <v>2</v>
      </c>
      <c r="AC260" s="554">
        <f t="shared" si="56"/>
        <v>2</v>
      </c>
      <c r="AD260" s="554">
        <f t="shared" si="56"/>
        <v>2</v>
      </c>
      <c r="AE260" s="554">
        <f t="shared" si="56"/>
        <v>2</v>
      </c>
      <c r="AF260" s="554">
        <f t="shared" si="56"/>
        <v>2</v>
      </c>
      <c r="AG260" s="554">
        <f t="shared" si="56"/>
        <v>2</v>
      </c>
      <c r="AH260" s="554">
        <f t="shared" si="56"/>
        <v>2</v>
      </c>
      <c r="AI260" s="554">
        <f t="shared" si="56"/>
        <v>2</v>
      </c>
      <c r="AJ260" s="554">
        <f t="shared" si="56"/>
        <v>2</v>
      </c>
      <c r="AK260" s="554">
        <f t="shared" si="56"/>
        <v>2</v>
      </c>
      <c r="AL260" s="554">
        <f t="shared" si="56"/>
        <v>2</v>
      </c>
      <c r="AM260" s="554">
        <f t="shared" si="56"/>
        <v>2</v>
      </c>
      <c r="AN260" s="554">
        <f t="shared" si="56"/>
        <v>2</v>
      </c>
      <c r="AO260" s="554">
        <f t="shared" si="58"/>
        <v>2</v>
      </c>
      <c r="AP260" s="554">
        <f t="shared" si="58"/>
        <v>2</v>
      </c>
      <c r="AQ260" s="429" t="str">
        <f t="shared" si="49"/>
        <v>Vendido</v>
      </c>
      <c r="AR260" s="447">
        <f>_xlfn.XLOOKUP(C260,'BOULEVARD 5'!B:B,'BOULEVARD 5'!AU:AU)</f>
        <v>1</v>
      </c>
    </row>
    <row r="261" spans="1:44" s="429" customFormat="1" ht="13.9" customHeight="1" x14ac:dyDescent="0.25">
      <c r="B261" s="678" t="str">
        <f>IF('B5-Status cobranza'!A261&gt;0,'B5-Status cobranza'!A261,"")</f>
        <v/>
      </c>
      <c r="C261" s="436">
        <v>1412</v>
      </c>
      <c r="D261" s="436" t="s">
        <v>178</v>
      </c>
      <c r="E261" s="436"/>
      <c r="F261" s="436" t="str">
        <f>IF('BOULEVARD 5'!E259="","",'BOULEVARD 5'!E259)</f>
        <v>Brenda Búcaro</v>
      </c>
      <c r="G261" s="429" t="str">
        <f>IF('BOULEVARD 5'!F259="","",'BOULEVARD 5'!F259)</f>
        <v>Javier Andrés Soto Coronado</v>
      </c>
      <c r="H261" s="473">
        <f>IF('BOULEVARD 5'!G259="","",'BOULEVARD 5'!G259)</f>
        <v>45044</v>
      </c>
      <c r="I261" s="554" t="str">
        <f t="shared" si="57"/>
        <v/>
      </c>
      <c r="J261" s="554">
        <f t="shared" si="57"/>
        <v>1</v>
      </c>
      <c r="K261" s="554">
        <f t="shared" si="57"/>
        <v>2</v>
      </c>
      <c r="L261" s="554">
        <f t="shared" si="57"/>
        <v>2</v>
      </c>
      <c r="M261" s="554">
        <f t="shared" si="57"/>
        <v>2</v>
      </c>
      <c r="N261" s="554">
        <f t="shared" si="57"/>
        <v>2</v>
      </c>
      <c r="O261" s="554">
        <f t="shared" si="57"/>
        <v>2</v>
      </c>
      <c r="P261" s="554">
        <f t="shared" si="57"/>
        <v>2</v>
      </c>
      <c r="Q261" s="554">
        <f t="shared" si="57"/>
        <v>2</v>
      </c>
      <c r="R261" s="554">
        <f t="shared" si="57"/>
        <v>2</v>
      </c>
      <c r="S261" s="554">
        <f t="shared" si="57"/>
        <v>2</v>
      </c>
      <c r="T261" s="554">
        <f t="shared" si="57"/>
        <v>2</v>
      </c>
      <c r="U261" s="554">
        <f t="shared" si="57"/>
        <v>2</v>
      </c>
      <c r="V261" s="554">
        <f t="shared" si="57"/>
        <v>2</v>
      </c>
      <c r="W261" s="554">
        <f t="shared" si="57"/>
        <v>2</v>
      </c>
      <c r="X261" s="554">
        <f t="shared" si="57"/>
        <v>2</v>
      </c>
      <c r="Y261" s="554">
        <f t="shared" si="56"/>
        <v>2</v>
      </c>
      <c r="Z261" s="554">
        <f t="shared" si="56"/>
        <v>2</v>
      </c>
      <c r="AA261" s="554">
        <f t="shared" si="56"/>
        <v>2</v>
      </c>
      <c r="AB261" s="554">
        <f t="shared" si="56"/>
        <v>2</v>
      </c>
      <c r="AC261" s="554">
        <f t="shared" si="56"/>
        <v>2</v>
      </c>
      <c r="AD261" s="554">
        <f t="shared" si="56"/>
        <v>2</v>
      </c>
      <c r="AE261" s="554">
        <f t="shared" si="56"/>
        <v>2</v>
      </c>
      <c r="AF261" s="554">
        <f t="shared" si="56"/>
        <v>2</v>
      </c>
      <c r="AG261" s="554">
        <f t="shared" si="56"/>
        <v>2</v>
      </c>
      <c r="AH261" s="554">
        <f t="shared" si="56"/>
        <v>2</v>
      </c>
      <c r="AI261" s="554">
        <f t="shared" si="56"/>
        <v>2</v>
      </c>
      <c r="AJ261" s="554">
        <f t="shared" si="56"/>
        <v>2</v>
      </c>
      <c r="AK261" s="554">
        <f t="shared" si="56"/>
        <v>2</v>
      </c>
      <c r="AL261" s="554">
        <f t="shared" si="56"/>
        <v>2</v>
      </c>
      <c r="AM261" s="554">
        <f t="shared" si="56"/>
        <v>2</v>
      </c>
      <c r="AN261" s="554">
        <f t="shared" si="56"/>
        <v>2</v>
      </c>
      <c r="AO261" s="554">
        <f t="shared" si="58"/>
        <v>2</v>
      </c>
      <c r="AP261" s="554">
        <f t="shared" si="58"/>
        <v>2</v>
      </c>
      <c r="AQ261" s="429" t="str">
        <f t="shared" si="49"/>
        <v>Vendido</v>
      </c>
      <c r="AR261" s="447">
        <f>_xlfn.XLOOKUP(C261,'BOULEVARD 5'!B:B,'BOULEVARD 5'!AU:AU)</f>
        <v>0.88368580060422963</v>
      </c>
    </row>
    <row r="262" spans="1:44" s="470" customFormat="1" ht="13.9" customHeight="1" x14ac:dyDescent="0.25">
      <c r="B262" s="678" t="str">
        <f>IF('B5-Status cobranza'!A262&gt;0,'B5-Status cobranza'!A262,"")</f>
        <v/>
      </c>
      <c r="C262" s="487">
        <v>1501</v>
      </c>
      <c r="D262" s="487" t="s">
        <v>662</v>
      </c>
      <c r="E262" s="487"/>
      <c r="F262" s="487" t="str">
        <f>IF('BOULEVARD 5'!E260="","",'BOULEVARD 5'!E260)</f>
        <v>Erwin Cardona</v>
      </c>
      <c r="G262" s="470" t="str">
        <f>IF('BOULEVARD 5'!F260="","",'BOULEVARD 5'!F260)</f>
        <v>Corporacion G&amp;G Sociedad Anonima</v>
      </c>
      <c r="H262" s="488">
        <f>IF('BOULEVARD 5'!G260="","",'BOULEVARD 5'!G260)</f>
        <v>45987</v>
      </c>
      <c r="I262" s="554" t="str">
        <f t="shared" si="57"/>
        <v/>
      </c>
      <c r="J262" s="554" t="str">
        <f t="shared" si="57"/>
        <v/>
      </c>
      <c r="K262" s="554" t="str">
        <f t="shared" si="57"/>
        <v/>
      </c>
      <c r="L262" s="554" t="str">
        <f t="shared" si="57"/>
        <v/>
      </c>
      <c r="M262" s="554" t="str">
        <f t="shared" si="57"/>
        <v/>
      </c>
      <c r="N262" s="554" t="str">
        <f t="shared" si="57"/>
        <v/>
      </c>
      <c r="O262" s="554" t="str">
        <f t="shared" si="57"/>
        <v/>
      </c>
      <c r="P262" s="554" t="str">
        <f t="shared" si="57"/>
        <v/>
      </c>
      <c r="Q262" s="554" t="str">
        <f t="shared" si="57"/>
        <v/>
      </c>
      <c r="R262" s="554" t="str">
        <f t="shared" si="57"/>
        <v/>
      </c>
      <c r="S262" s="554" t="str">
        <f t="shared" si="57"/>
        <v/>
      </c>
      <c r="T262" s="554" t="str">
        <f t="shared" si="57"/>
        <v/>
      </c>
      <c r="U262" s="554" t="str">
        <f t="shared" si="57"/>
        <v/>
      </c>
      <c r="V262" s="554" t="str">
        <f t="shared" si="57"/>
        <v/>
      </c>
      <c r="W262" s="554" t="str">
        <f t="shared" si="57"/>
        <v/>
      </c>
      <c r="X262" s="554" t="str">
        <f t="shared" si="57"/>
        <v/>
      </c>
      <c r="Y262" s="554" t="str">
        <f t="shared" si="56"/>
        <v/>
      </c>
      <c r="Z262" s="554" t="str">
        <f t="shared" si="56"/>
        <v/>
      </c>
      <c r="AA262" s="554" t="str">
        <f t="shared" si="56"/>
        <v/>
      </c>
      <c r="AB262" s="554" t="str">
        <f t="shared" si="56"/>
        <v/>
      </c>
      <c r="AC262" s="554" t="str">
        <f t="shared" si="56"/>
        <v/>
      </c>
      <c r="AD262" s="554" t="str">
        <f t="shared" si="56"/>
        <v/>
      </c>
      <c r="AE262" s="554" t="str">
        <f t="shared" si="56"/>
        <v/>
      </c>
      <c r="AF262" s="554" t="str">
        <f t="shared" si="56"/>
        <v/>
      </c>
      <c r="AG262" s="554" t="str">
        <f t="shared" si="56"/>
        <v/>
      </c>
      <c r="AH262" s="554" t="str">
        <f t="shared" si="56"/>
        <v/>
      </c>
      <c r="AI262" s="554" t="str">
        <f t="shared" si="56"/>
        <v/>
      </c>
      <c r="AJ262" s="554" t="str">
        <f t="shared" si="56"/>
        <v/>
      </c>
      <c r="AK262" s="554" t="str">
        <f t="shared" si="56"/>
        <v/>
      </c>
      <c r="AL262" s="554" t="str">
        <f t="shared" si="56"/>
        <v/>
      </c>
      <c r="AM262" s="554" t="str">
        <f t="shared" si="56"/>
        <v/>
      </c>
      <c r="AN262" s="554" t="str">
        <f t="shared" si="56"/>
        <v/>
      </c>
      <c r="AO262" s="554">
        <f t="shared" si="58"/>
        <v>1</v>
      </c>
      <c r="AP262" s="554">
        <f t="shared" si="58"/>
        <v>2</v>
      </c>
      <c r="AQ262" s="429" t="str">
        <f t="shared" si="49"/>
        <v>Vendido</v>
      </c>
      <c r="AR262" s="447">
        <f>_xlfn.XLOOKUP(C262,'BOULEVARD 5'!B:B,'BOULEVARD 5'!AU:AU)</f>
        <v>0.19735593649187172</v>
      </c>
    </row>
    <row r="263" spans="1:44" s="429" customFormat="1" ht="13.9" customHeight="1" x14ac:dyDescent="0.25">
      <c r="B263" s="678" t="str">
        <f>IF('B5-Status cobranza'!A263&gt;0,'B5-Status cobranza'!A263,"")</f>
        <v/>
      </c>
      <c r="C263" s="436">
        <v>1502</v>
      </c>
      <c r="D263" s="436" t="s">
        <v>664</v>
      </c>
      <c r="E263" s="436"/>
      <c r="F263" s="482" t="str">
        <f>IF('BOULEVARD 5'!E261="","",'BOULEVARD 5'!E261)</f>
        <v>Sofia Paredes</v>
      </c>
      <c r="G263" s="429" t="str">
        <f>IF('BOULEVARD 5'!F261="","",'BOULEVARD 5'!F261)</f>
        <v>Edgar Benjamín Ramírez Masaya Y Leslie María Ivonne Pivaral Gudiel</v>
      </c>
      <c r="H263" s="473">
        <f>IF('BOULEVARD 5'!G261="","",'BOULEVARD 5'!G261)</f>
        <v>45578</v>
      </c>
      <c r="I263" s="554" t="str">
        <f t="shared" si="57"/>
        <v/>
      </c>
      <c r="J263" s="554" t="str">
        <f t="shared" si="57"/>
        <v/>
      </c>
      <c r="K263" s="554" t="str">
        <f t="shared" si="57"/>
        <v/>
      </c>
      <c r="L263" s="554" t="str">
        <f t="shared" si="57"/>
        <v/>
      </c>
      <c r="M263" s="554" t="str">
        <f t="shared" si="57"/>
        <v/>
      </c>
      <c r="N263" s="554" t="str">
        <f t="shared" si="57"/>
        <v/>
      </c>
      <c r="O263" s="554" t="str">
        <f t="shared" si="57"/>
        <v/>
      </c>
      <c r="P263" s="554" t="str">
        <f t="shared" si="57"/>
        <v/>
      </c>
      <c r="Q263" s="554" t="str">
        <f t="shared" si="57"/>
        <v/>
      </c>
      <c r="R263" s="554" t="str">
        <f t="shared" si="57"/>
        <v/>
      </c>
      <c r="S263" s="554" t="str">
        <f t="shared" si="57"/>
        <v/>
      </c>
      <c r="T263" s="554" t="str">
        <f t="shared" si="57"/>
        <v/>
      </c>
      <c r="U263" s="554" t="str">
        <f t="shared" si="57"/>
        <v/>
      </c>
      <c r="V263" s="554" t="str">
        <f t="shared" si="57"/>
        <v/>
      </c>
      <c r="W263" s="554" t="str">
        <f t="shared" si="57"/>
        <v/>
      </c>
      <c r="X263" s="554" t="str">
        <f t="shared" si="57"/>
        <v/>
      </c>
      <c r="Y263" s="554" t="str">
        <f t="shared" si="56"/>
        <v/>
      </c>
      <c r="Z263" s="554" t="str">
        <f t="shared" si="56"/>
        <v/>
      </c>
      <c r="AA263" s="554" t="str">
        <f t="shared" si="56"/>
        <v/>
      </c>
      <c r="AB263" s="554">
        <f t="shared" si="56"/>
        <v>1</v>
      </c>
      <c r="AC263" s="554">
        <f t="shared" si="56"/>
        <v>2</v>
      </c>
      <c r="AD263" s="554">
        <f t="shared" si="56"/>
        <v>2</v>
      </c>
      <c r="AE263" s="554">
        <f t="shared" si="56"/>
        <v>2</v>
      </c>
      <c r="AF263" s="554">
        <f t="shared" si="56"/>
        <v>2</v>
      </c>
      <c r="AG263" s="554">
        <f t="shared" si="56"/>
        <v>2</v>
      </c>
      <c r="AH263" s="554">
        <f t="shared" si="56"/>
        <v>2</v>
      </c>
      <c r="AI263" s="554">
        <f t="shared" si="56"/>
        <v>2</v>
      </c>
      <c r="AJ263" s="554">
        <f t="shared" si="56"/>
        <v>2</v>
      </c>
      <c r="AK263" s="554">
        <f t="shared" si="56"/>
        <v>2</v>
      </c>
      <c r="AL263" s="554">
        <f t="shared" si="56"/>
        <v>2</v>
      </c>
      <c r="AM263" s="554">
        <f t="shared" si="56"/>
        <v>2</v>
      </c>
      <c r="AN263" s="554">
        <f t="shared" si="56"/>
        <v>2</v>
      </c>
      <c r="AO263" s="554">
        <f t="shared" si="58"/>
        <v>2</v>
      </c>
      <c r="AP263" s="554">
        <f t="shared" si="58"/>
        <v>2</v>
      </c>
      <c r="AQ263" s="429" t="str">
        <f t="shared" si="49"/>
        <v>Vendido</v>
      </c>
      <c r="AR263" s="447">
        <f>_xlfn.XLOOKUP(C263,'BOULEVARD 5'!B:B,'BOULEVARD 5'!AU:AU)</f>
        <v>1</v>
      </c>
    </row>
    <row r="264" spans="1:44" s="429" customFormat="1" ht="13.9" customHeight="1" x14ac:dyDescent="0.25">
      <c r="B264" s="678" t="str">
        <f>IF('B5-Status cobranza'!A264&gt;0,'B5-Status cobranza'!A264,"")</f>
        <v>F&amp;F</v>
      </c>
      <c r="C264" s="475">
        <v>1503</v>
      </c>
      <c r="D264" s="475" t="s">
        <v>393</v>
      </c>
      <c r="E264" s="475"/>
      <c r="F264" s="475" t="str">
        <f>IF('BOULEVARD 5'!E262="","",'BOULEVARD 5'!E262)</f>
        <v>Brenda Búcaro</v>
      </c>
      <c r="G264" s="476" t="str">
        <f>IF('BOULEVARD 5'!F262="","",'BOULEVARD 5'!F262)</f>
        <v>Emilia Aracely Larrazabal Melgar</v>
      </c>
      <c r="H264" s="473">
        <f>IF('BOULEVARD 5'!G262="","",'BOULEVARD 5'!G262)</f>
        <v>45016</v>
      </c>
      <c r="I264" s="554" t="str">
        <f t="shared" si="57"/>
        <v/>
      </c>
      <c r="J264" s="554" t="str">
        <f t="shared" si="57"/>
        <v/>
      </c>
      <c r="K264" s="554" t="str">
        <f t="shared" si="57"/>
        <v/>
      </c>
      <c r="L264" s="554" t="str">
        <f t="shared" si="57"/>
        <v/>
      </c>
      <c r="M264" s="554" t="str">
        <f t="shared" si="57"/>
        <v/>
      </c>
      <c r="N264" s="554" t="str">
        <f t="shared" si="57"/>
        <v/>
      </c>
      <c r="O264" s="554" t="str">
        <f t="shared" si="57"/>
        <v/>
      </c>
      <c r="P264" s="554" t="str">
        <f t="shared" si="57"/>
        <v/>
      </c>
      <c r="Q264" s="554" t="str">
        <f t="shared" si="57"/>
        <v/>
      </c>
      <c r="R264" s="554" t="str">
        <f t="shared" si="57"/>
        <v/>
      </c>
      <c r="S264" s="554" t="str">
        <f t="shared" si="57"/>
        <v/>
      </c>
      <c r="T264" s="554" t="str">
        <f t="shared" si="57"/>
        <v/>
      </c>
      <c r="U264" s="554" t="str">
        <f t="shared" si="57"/>
        <v/>
      </c>
      <c r="V264" s="554" t="str">
        <f t="shared" si="57"/>
        <v/>
      </c>
      <c r="W264" s="554" t="str">
        <f t="shared" si="57"/>
        <v/>
      </c>
      <c r="X264" s="554" t="str">
        <f t="shared" si="57"/>
        <v/>
      </c>
      <c r="Y264" s="554" t="str">
        <f t="shared" si="56"/>
        <v/>
      </c>
      <c r="Z264" s="554" t="str">
        <f t="shared" si="56"/>
        <v/>
      </c>
      <c r="AA264" s="554" t="str">
        <f t="shared" si="56"/>
        <v/>
      </c>
      <c r="AB264" s="554" t="str">
        <f t="shared" si="56"/>
        <v/>
      </c>
      <c r="AC264" s="554" t="str">
        <f t="shared" si="56"/>
        <v/>
      </c>
      <c r="AD264" s="554" t="str">
        <f t="shared" si="56"/>
        <v/>
      </c>
      <c r="AE264" s="554" t="str">
        <f t="shared" si="56"/>
        <v/>
      </c>
      <c r="AF264" s="554" t="str">
        <f t="shared" si="56"/>
        <v/>
      </c>
      <c r="AG264" s="554" t="str">
        <f t="shared" si="56"/>
        <v/>
      </c>
      <c r="AH264" s="554" t="str">
        <f t="shared" si="56"/>
        <v/>
      </c>
      <c r="AI264" s="554" t="str">
        <f t="shared" si="56"/>
        <v/>
      </c>
      <c r="AJ264" s="554" t="str">
        <f t="shared" si="56"/>
        <v/>
      </c>
      <c r="AK264" s="554" t="str">
        <f t="shared" si="56"/>
        <v/>
      </c>
      <c r="AL264" s="554" t="str">
        <f t="shared" si="56"/>
        <v/>
      </c>
      <c r="AM264" s="554" t="str">
        <f t="shared" si="56"/>
        <v/>
      </c>
      <c r="AN264" s="554" t="str">
        <f t="shared" si="56"/>
        <v/>
      </c>
      <c r="AO264" s="554" t="str">
        <f t="shared" si="58"/>
        <v/>
      </c>
      <c r="AP264" s="554" t="str">
        <f t="shared" si="58"/>
        <v/>
      </c>
      <c r="AQ264" s="429" t="str">
        <f t="shared" si="49"/>
        <v>Vendido</v>
      </c>
      <c r="AR264" s="447">
        <f>_xlfn.XLOOKUP(C264,'BOULEVARD 5'!B:B,'BOULEVARD 5'!AU:AU)</f>
        <v>0.26986582036745399</v>
      </c>
    </row>
    <row r="265" spans="1:44" s="429" customFormat="1" ht="13.9" customHeight="1" x14ac:dyDescent="0.25">
      <c r="B265" s="678" t="str">
        <f>IF('B5-Status cobranza'!A265&gt;0,'B5-Status cobranza'!A265,"")</f>
        <v/>
      </c>
      <c r="C265" s="436">
        <v>1504</v>
      </c>
      <c r="D265" s="436" t="s">
        <v>172</v>
      </c>
      <c r="E265" s="436"/>
      <c r="F265" s="436" t="str">
        <f>IF('BOULEVARD 5'!E263="","",'BOULEVARD 5'!E263)</f>
        <v>Jose Franco</v>
      </c>
      <c r="G265" s="429" t="str">
        <f>IF('BOULEVARD 5'!F263="","",'BOULEVARD 5'!F263)</f>
        <v>Berta Eugenia Morales López</v>
      </c>
      <c r="H265" s="473">
        <f>IF('BOULEVARD 5'!G263="","",'BOULEVARD 5'!G263)</f>
        <v>45068</v>
      </c>
      <c r="I265" s="554" t="str">
        <f t="shared" si="57"/>
        <v/>
      </c>
      <c r="J265" s="554" t="str">
        <f t="shared" si="57"/>
        <v/>
      </c>
      <c r="K265" s="554">
        <f t="shared" si="57"/>
        <v>1</v>
      </c>
      <c r="L265" s="554">
        <f t="shared" si="57"/>
        <v>2</v>
      </c>
      <c r="M265" s="554">
        <f t="shared" si="57"/>
        <v>2</v>
      </c>
      <c r="N265" s="554">
        <f t="shared" si="57"/>
        <v>2</v>
      </c>
      <c r="O265" s="554">
        <f t="shared" si="57"/>
        <v>2</v>
      </c>
      <c r="P265" s="554">
        <f t="shared" si="57"/>
        <v>2</v>
      </c>
      <c r="Q265" s="554">
        <f t="shared" si="57"/>
        <v>2</v>
      </c>
      <c r="R265" s="554">
        <f t="shared" si="57"/>
        <v>2</v>
      </c>
      <c r="S265" s="554">
        <f t="shared" si="57"/>
        <v>2</v>
      </c>
      <c r="T265" s="554">
        <f t="shared" si="57"/>
        <v>2</v>
      </c>
      <c r="U265" s="554">
        <f t="shared" si="57"/>
        <v>2</v>
      </c>
      <c r="V265" s="554">
        <f t="shared" si="57"/>
        <v>2</v>
      </c>
      <c r="W265" s="554">
        <f t="shared" si="57"/>
        <v>2</v>
      </c>
      <c r="X265" s="554">
        <f t="shared" ref="X265:AM280" si="59">IF(OR($B265="F&amp;F",$B265="CE",$H265=""),"",IF(TEXT(X$8,"yyyymm")=TEXT($H265,"yyyymm"),1,IF(TEXT(X$8,"yyyymm")&gt;TEXT($H265,"yyyymm"),2,IF(X$8&lt;$H265,"",0))))</f>
        <v>2</v>
      </c>
      <c r="Y265" s="554">
        <f t="shared" si="59"/>
        <v>2</v>
      </c>
      <c r="Z265" s="554">
        <f t="shared" si="59"/>
        <v>2</v>
      </c>
      <c r="AA265" s="554">
        <f t="shared" si="59"/>
        <v>2</v>
      </c>
      <c r="AB265" s="554">
        <f t="shared" si="59"/>
        <v>2</v>
      </c>
      <c r="AC265" s="554">
        <f t="shared" si="59"/>
        <v>2</v>
      </c>
      <c r="AD265" s="554">
        <f t="shared" si="59"/>
        <v>2</v>
      </c>
      <c r="AE265" s="554">
        <f t="shared" si="59"/>
        <v>2</v>
      </c>
      <c r="AF265" s="554">
        <f t="shared" si="59"/>
        <v>2</v>
      </c>
      <c r="AG265" s="554">
        <f t="shared" si="59"/>
        <v>2</v>
      </c>
      <c r="AH265" s="554">
        <f t="shared" si="59"/>
        <v>2</v>
      </c>
      <c r="AI265" s="554">
        <f t="shared" si="59"/>
        <v>2</v>
      </c>
      <c r="AJ265" s="554">
        <f t="shared" si="59"/>
        <v>2</v>
      </c>
      <c r="AK265" s="554">
        <f t="shared" si="59"/>
        <v>2</v>
      </c>
      <c r="AL265" s="554">
        <f t="shared" si="59"/>
        <v>2</v>
      </c>
      <c r="AM265" s="554">
        <f t="shared" si="59"/>
        <v>2</v>
      </c>
      <c r="AN265" s="554">
        <f t="shared" ref="AN265:AP284" si="60">IF(OR($B265="F&amp;F",$B265="CE",$H265=""),"",IF(TEXT(AN$8,"yyyymm")=TEXT($H265,"yyyymm"),1,IF(TEXT(AN$8,"yyyymm")&gt;TEXT($H265,"yyyymm"),2,IF(AN$8&lt;$H265,"",0))))</f>
        <v>2</v>
      </c>
      <c r="AO265" s="554">
        <f t="shared" si="58"/>
        <v>2</v>
      </c>
      <c r="AP265" s="554">
        <f t="shared" si="58"/>
        <v>2</v>
      </c>
      <c r="AQ265" s="429" t="str">
        <f t="shared" si="49"/>
        <v>Vendido</v>
      </c>
      <c r="AR265" s="447">
        <f>_xlfn.XLOOKUP(C265,'BOULEVARD 5'!B:B,'BOULEVARD 5'!AU:AU)</f>
        <v>0.41666666666666669</v>
      </c>
    </row>
    <row r="266" spans="1:44" s="429" customFormat="1" ht="13.9" customHeight="1" x14ac:dyDescent="0.25">
      <c r="B266" s="678" t="str">
        <f>IF('B5-Status cobranza'!A266&gt;0,'B5-Status cobranza'!A266,"")</f>
        <v/>
      </c>
      <c r="C266" s="436">
        <v>1505</v>
      </c>
      <c r="D266" s="436" t="s">
        <v>395</v>
      </c>
      <c r="E266" s="436"/>
      <c r="F266" s="436" t="str">
        <f>IF('BOULEVARD 5'!E264="","",'BOULEVARD 5'!E264)</f>
        <v>Antonio Rada</v>
      </c>
      <c r="G266" s="429" t="str">
        <f>IF('BOULEVARD 5'!F264="","",'BOULEVARD 5'!F264)</f>
        <v>Daniel Alvarez Alvarez</v>
      </c>
      <c r="H266" s="473">
        <f>IF('BOULEVARD 5'!G264="","",'BOULEVARD 5'!G264)</f>
        <v>45491</v>
      </c>
      <c r="I266" s="554" t="str">
        <f t="shared" ref="I266:X281" si="61">IF(OR($B266="F&amp;F",$B266="CE",$H266=""),"",IF(TEXT(I$8,"yyyymm")=TEXT($H266,"yyyymm"),1,IF(TEXT(I$8,"yyyymm")&gt;TEXT($H266,"yyyymm"),2,IF(I$8&lt;$H266,"",0))))</f>
        <v/>
      </c>
      <c r="J266" s="554" t="str">
        <f t="shared" si="61"/>
        <v/>
      </c>
      <c r="K266" s="554" t="str">
        <f t="shared" si="61"/>
        <v/>
      </c>
      <c r="L266" s="554" t="str">
        <f t="shared" si="61"/>
        <v/>
      </c>
      <c r="M266" s="554" t="str">
        <f t="shared" si="61"/>
        <v/>
      </c>
      <c r="N266" s="554" t="str">
        <f t="shared" si="61"/>
        <v/>
      </c>
      <c r="O266" s="554" t="str">
        <f t="shared" si="61"/>
        <v/>
      </c>
      <c r="P266" s="554" t="str">
        <f t="shared" si="61"/>
        <v/>
      </c>
      <c r="Q266" s="554" t="str">
        <f t="shared" si="61"/>
        <v/>
      </c>
      <c r="R266" s="554" t="str">
        <f t="shared" si="61"/>
        <v/>
      </c>
      <c r="S266" s="554" t="str">
        <f t="shared" si="61"/>
        <v/>
      </c>
      <c r="T266" s="554" t="str">
        <f t="shared" si="61"/>
        <v/>
      </c>
      <c r="U266" s="554" t="str">
        <f t="shared" si="61"/>
        <v/>
      </c>
      <c r="V266" s="554" t="str">
        <f t="shared" si="61"/>
        <v/>
      </c>
      <c r="W266" s="554" t="str">
        <f t="shared" si="61"/>
        <v/>
      </c>
      <c r="X266" s="554" t="str">
        <f t="shared" si="59"/>
        <v/>
      </c>
      <c r="Y266" s="554">
        <f t="shared" si="59"/>
        <v>1</v>
      </c>
      <c r="Z266" s="554">
        <f t="shared" si="59"/>
        <v>2</v>
      </c>
      <c r="AA266" s="554">
        <f t="shared" si="59"/>
        <v>2</v>
      </c>
      <c r="AB266" s="554">
        <f t="shared" si="59"/>
        <v>2</v>
      </c>
      <c r="AC266" s="554">
        <f t="shared" si="59"/>
        <v>2</v>
      </c>
      <c r="AD266" s="554">
        <f t="shared" si="59"/>
        <v>2</v>
      </c>
      <c r="AE266" s="554">
        <f t="shared" si="59"/>
        <v>2</v>
      </c>
      <c r="AF266" s="554">
        <f t="shared" si="59"/>
        <v>2</v>
      </c>
      <c r="AG266" s="554">
        <f t="shared" si="59"/>
        <v>2</v>
      </c>
      <c r="AH266" s="554">
        <f t="shared" si="59"/>
        <v>2</v>
      </c>
      <c r="AI266" s="554">
        <f t="shared" si="59"/>
        <v>2</v>
      </c>
      <c r="AJ266" s="554">
        <f t="shared" si="59"/>
        <v>2</v>
      </c>
      <c r="AK266" s="554">
        <f t="shared" si="59"/>
        <v>2</v>
      </c>
      <c r="AL266" s="554">
        <f t="shared" si="59"/>
        <v>2</v>
      </c>
      <c r="AM266" s="554">
        <f t="shared" si="59"/>
        <v>2</v>
      </c>
      <c r="AN266" s="554">
        <f t="shared" si="60"/>
        <v>2</v>
      </c>
      <c r="AO266" s="554">
        <f t="shared" si="58"/>
        <v>2</v>
      </c>
      <c r="AP266" s="554">
        <f t="shared" si="58"/>
        <v>2</v>
      </c>
      <c r="AQ266" s="429" t="str">
        <f t="shared" ref="AQ266:AQ306" si="62">IF(H266="","No Vendido","Vendido")</f>
        <v>Vendido</v>
      </c>
      <c r="AR266" s="447">
        <f>_xlfn.XLOOKUP(C266,'BOULEVARD 5'!B:B,'BOULEVARD 5'!AU:AU)</f>
        <v>1.0541627543035994</v>
      </c>
    </row>
    <row r="267" spans="1:44" s="429" customFormat="1" ht="13.9" customHeight="1" x14ac:dyDescent="0.25">
      <c r="B267" s="678" t="str">
        <f>IF('B5-Status cobranza'!A267&gt;0,'B5-Status cobranza'!A267,"")</f>
        <v/>
      </c>
      <c r="C267" s="436">
        <v>1506</v>
      </c>
      <c r="D267" s="436" t="s">
        <v>397</v>
      </c>
      <c r="E267" s="436"/>
      <c r="F267" s="436" t="str">
        <f>IF('BOULEVARD 5'!E265="","",'BOULEVARD 5'!E265)</f>
        <v/>
      </c>
      <c r="G267" s="429" t="str">
        <f>IF('BOULEVARD 5'!F265="","",'BOULEVARD 5'!F265)</f>
        <v/>
      </c>
      <c r="H267" s="473" t="str">
        <f>IF('BOULEVARD 5'!G265="","",'BOULEVARD 5'!G265)</f>
        <v/>
      </c>
      <c r="I267" s="554" t="str">
        <f t="shared" si="61"/>
        <v/>
      </c>
      <c r="J267" s="554" t="str">
        <f t="shared" si="61"/>
        <v/>
      </c>
      <c r="K267" s="554" t="str">
        <f t="shared" si="61"/>
        <v/>
      </c>
      <c r="L267" s="554" t="str">
        <f t="shared" si="61"/>
        <v/>
      </c>
      <c r="M267" s="554" t="str">
        <f t="shared" si="61"/>
        <v/>
      </c>
      <c r="N267" s="554" t="str">
        <f t="shared" si="61"/>
        <v/>
      </c>
      <c r="O267" s="554" t="str">
        <f t="shared" si="61"/>
        <v/>
      </c>
      <c r="P267" s="554" t="str">
        <f t="shared" si="61"/>
        <v/>
      </c>
      <c r="Q267" s="554" t="str">
        <f t="shared" si="61"/>
        <v/>
      </c>
      <c r="R267" s="554" t="str">
        <f t="shared" si="61"/>
        <v/>
      </c>
      <c r="S267" s="554" t="str">
        <f t="shared" si="61"/>
        <v/>
      </c>
      <c r="T267" s="554" t="str">
        <f t="shared" si="61"/>
        <v/>
      </c>
      <c r="U267" s="554" t="str">
        <f t="shared" si="61"/>
        <v/>
      </c>
      <c r="V267" s="554" t="str">
        <f t="shared" si="61"/>
        <v/>
      </c>
      <c r="W267" s="554" t="str">
        <f t="shared" si="61"/>
        <v/>
      </c>
      <c r="X267" s="554" t="str">
        <f t="shared" si="59"/>
        <v/>
      </c>
      <c r="Y267" s="554" t="str">
        <f t="shared" si="59"/>
        <v/>
      </c>
      <c r="Z267" s="554" t="str">
        <f t="shared" si="59"/>
        <v/>
      </c>
      <c r="AA267" s="554" t="str">
        <f t="shared" si="59"/>
        <v/>
      </c>
      <c r="AB267" s="554" t="str">
        <f t="shared" si="59"/>
        <v/>
      </c>
      <c r="AC267" s="554" t="str">
        <f t="shared" si="59"/>
        <v/>
      </c>
      <c r="AD267" s="554" t="str">
        <f t="shared" si="59"/>
        <v/>
      </c>
      <c r="AE267" s="554" t="str">
        <f t="shared" si="59"/>
        <v/>
      </c>
      <c r="AF267" s="554" t="str">
        <f t="shared" si="59"/>
        <v/>
      </c>
      <c r="AG267" s="554" t="str">
        <f t="shared" si="59"/>
        <v/>
      </c>
      <c r="AH267" s="554" t="str">
        <f t="shared" si="59"/>
        <v/>
      </c>
      <c r="AI267" s="554" t="str">
        <f t="shared" si="59"/>
        <v/>
      </c>
      <c r="AJ267" s="554" t="str">
        <f t="shared" si="59"/>
        <v/>
      </c>
      <c r="AK267" s="554" t="str">
        <f t="shared" si="59"/>
        <v/>
      </c>
      <c r="AL267" s="554" t="str">
        <f t="shared" si="59"/>
        <v/>
      </c>
      <c r="AM267" s="554" t="str">
        <f t="shared" si="59"/>
        <v/>
      </c>
      <c r="AN267" s="554" t="str">
        <f t="shared" si="60"/>
        <v/>
      </c>
      <c r="AO267" s="554" t="str">
        <f t="shared" si="58"/>
        <v/>
      </c>
      <c r="AP267" s="554" t="str">
        <f t="shared" si="58"/>
        <v/>
      </c>
      <c r="AQ267" s="429" t="str">
        <f t="shared" si="62"/>
        <v>No Vendido</v>
      </c>
      <c r="AR267" s="447">
        <f>_xlfn.XLOOKUP(C267,'BOULEVARD 5'!B:B,'BOULEVARD 5'!AU:AU)</f>
        <v>0</v>
      </c>
    </row>
    <row r="268" spans="1:44" s="429" customFormat="1" ht="13.9" customHeight="1" x14ac:dyDescent="0.25">
      <c r="B268" s="678" t="str">
        <f>IF('B5-Status cobranza'!A268&gt;0,'B5-Status cobranza'!A268,"")</f>
        <v>F&amp;F</v>
      </c>
      <c r="C268" s="475">
        <v>1507</v>
      </c>
      <c r="D268" s="475" t="s">
        <v>398</v>
      </c>
      <c r="E268" s="475"/>
      <c r="F268" s="475" t="str">
        <f>IF('BOULEVARD 5'!E266="","",'BOULEVARD 5'!E266)</f>
        <v>Jose Franco</v>
      </c>
      <c r="G268" s="476" t="str">
        <f>IF('BOULEVARD 5'!F266="","",'BOULEVARD 5'!F266)</f>
        <v>Gabriel Arimany Monzón</v>
      </c>
      <c r="H268" s="473">
        <f>IF('BOULEVARD 5'!G266="","",'BOULEVARD 5'!G266)</f>
        <v>45013</v>
      </c>
      <c r="I268" s="554" t="str">
        <f t="shared" si="61"/>
        <v/>
      </c>
      <c r="J268" s="554" t="str">
        <f t="shared" si="61"/>
        <v/>
      </c>
      <c r="K268" s="554" t="str">
        <f t="shared" si="61"/>
        <v/>
      </c>
      <c r="L268" s="554" t="str">
        <f t="shared" si="61"/>
        <v/>
      </c>
      <c r="M268" s="554" t="str">
        <f t="shared" si="61"/>
        <v/>
      </c>
      <c r="N268" s="554" t="str">
        <f t="shared" si="61"/>
        <v/>
      </c>
      <c r="O268" s="554" t="str">
        <f t="shared" si="61"/>
        <v/>
      </c>
      <c r="P268" s="554" t="str">
        <f t="shared" si="61"/>
        <v/>
      </c>
      <c r="Q268" s="554" t="str">
        <f t="shared" si="61"/>
        <v/>
      </c>
      <c r="R268" s="554" t="str">
        <f t="shared" si="61"/>
        <v/>
      </c>
      <c r="S268" s="554" t="str">
        <f t="shared" si="61"/>
        <v/>
      </c>
      <c r="T268" s="554" t="str">
        <f t="shared" si="61"/>
        <v/>
      </c>
      <c r="U268" s="554" t="str">
        <f t="shared" si="61"/>
        <v/>
      </c>
      <c r="V268" s="554" t="str">
        <f t="shared" si="61"/>
        <v/>
      </c>
      <c r="W268" s="554" t="str">
        <f t="shared" si="61"/>
        <v/>
      </c>
      <c r="X268" s="554" t="str">
        <f t="shared" si="59"/>
        <v/>
      </c>
      <c r="Y268" s="554" t="str">
        <f t="shared" si="59"/>
        <v/>
      </c>
      <c r="Z268" s="554" t="str">
        <f t="shared" si="59"/>
        <v/>
      </c>
      <c r="AA268" s="554" t="str">
        <f t="shared" si="59"/>
        <v/>
      </c>
      <c r="AB268" s="554" t="str">
        <f t="shared" si="59"/>
        <v/>
      </c>
      <c r="AC268" s="554" t="str">
        <f t="shared" si="59"/>
        <v/>
      </c>
      <c r="AD268" s="554" t="str">
        <f t="shared" si="59"/>
        <v/>
      </c>
      <c r="AE268" s="554" t="str">
        <f t="shared" si="59"/>
        <v/>
      </c>
      <c r="AF268" s="554" t="str">
        <f t="shared" si="59"/>
        <v/>
      </c>
      <c r="AG268" s="554" t="str">
        <f t="shared" si="59"/>
        <v/>
      </c>
      <c r="AH268" s="554" t="str">
        <f t="shared" si="59"/>
        <v/>
      </c>
      <c r="AI268" s="554" t="str">
        <f t="shared" si="59"/>
        <v/>
      </c>
      <c r="AJ268" s="554" t="str">
        <f t="shared" si="59"/>
        <v/>
      </c>
      <c r="AK268" s="554" t="str">
        <f t="shared" si="59"/>
        <v/>
      </c>
      <c r="AL268" s="554" t="str">
        <f t="shared" si="59"/>
        <v/>
      </c>
      <c r="AM268" s="554" t="str">
        <f t="shared" si="59"/>
        <v/>
      </c>
      <c r="AN268" s="554" t="str">
        <f t="shared" si="60"/>
        <v/>
      </c>
      <c r="AO268" s="554" t="str">
        <f t="shared" si="58"/>
        <v/>
      </c>
      <c r="AP268" s="554" t="str">
        <f t="shared" si="58"/>
        <v/>
      </c>
      <c r="AQ268" s="429" t="str">
        <f t="shared" si="62"/>
        <v>Vendido</v>
      </c>
      <c r="AR268" s="447">
        <f>_xlfn.XLOOKUP(C268,'BOULEVARD 5'!B:B,'BOULEVARD 5'!AU:AU)</f>
        <v>0.96836923292542987</v>
      </c>
    </row>
    <row r="269" spans="1:44" s="429" customFormat="1" ht="13.9" customHeight="1" x14ac:dyDescent="0.25">
      <c r="B269" s="678" t="str">
        <f>IF('B5-Status cobranza'!A269&gt;0,'B5-Status cobranza'!A269,"")</f>
        <v>F&amp;F</v>
      </c>
      <c r="C269" s="475">
        <v>1508</v>
      </c>
      <c r="D269" s="475" t="s">
        <v>399</v>
      </c>
      <c r="E269" s="475"/>
      <c r="F269" s="475" t="str">
        <f>IF('BOULEVARD 5'!E267="","",'BOULEVARD 5'!E267)</f>
        <v>Jose Franco</v>
      </c>
      <c r="G269" s="476" t="str">
        <f>IF('BOULEVARD 5'!F267="","",'BOULEVARD 5'!F267)</f>
        <v>María Carolina Arimany Comas</v>
      </c>
      <c r="H269" s="473">
        <f>IF('BOULEVARD 5'!G267="","",'BOULEVARD 5'!G267)</f>
        <v>45013</v>
      </c>
      <c r="I269" s="554" t="str">
        <f t="shared" si="61"/>
        <v/>
      </c>
      <c r="J269" s="554" t="str">
        <f t="shared" si="61"/>
        <v/>
      </c>
      <c r="K269" s="554" t="str">
        <f t="shared" si="61"/>
        <v/>
      </c>
      <c r="L269" s="554" t="str">
        <f t="shared" si="61"/>
        <v/>
      </c>
      <c r="M269" s="554" t="str">
        <f t="shared" si="61"/>
        <v/>
      </c>
      <c r="N269" s="554" t="str">
        <f t="shared" si="61"/>
        <v/>
      </c>
      <c r="O269" s="554" t="str">
        <f t="shared" si="61"/>
        <v/>
      </c>
      <c r="P269" s="554" t="str">
        <f t="shared" si="61"/>
        <v/>
      </c>
      <c r="Q269" s="554" t="str">
        <f t="shared" si="61"/>
        <v/>
      </c>
      <c r="R269" s="554" t="str">
        <f t="shared" si="61"/>
        <v/>
      </c>
      <c r="S269" s="554" t="str">
        <f t="shared" si="61"/>
        <v/>
      </c>
      <c r="T269" s="554" t="str">
        <f t="shared" si="61"/>
        <v/>
      </c>
      <c r="U269" s="554" t="str">
        <f t="shared" si="61"/>
        <v/>
      </c>
      <c r="V269" s="554" t="str">
        <f t="shared" si="61"/>
        <v/>
      </c>
      <c r="W269" s="554" t="str">
        <f t="shared" si="61"/>
        <v/>
      </c>
      <c r="X269" s="554" t="str">
        <f t="shared" si="59"/>
        <v/>
      </c>
      <c r="Y269" s="554" t="str">
        <f t="shared" si="59"/>
        <v/>
      </c>
      <c r="Z269" s="554" t="str">
        <f t="shared" si="59"/>
        <v/>
      </c>
      <c r="AA269" s="554" t="str">
        <f t="shared" si="59"/>
        <v/>
      </c>
      <c r="AB269" s="554" t="str">
        <f t="shared" si="59"/>
        <v/>
      </c>
      <c r="AC269" s="554" t="str">
        <f t="shared" si="59"/>
        <v/>
      </c>
      <c r="AD269" s="554" t="str">
        <f t="shared" si="59"/>
        <v/>
      </c>
      <c r="AE269" s="554" t="str">
        <f t="shared" si="59"/>
        <v/>
      </c>
      <c r="AF269" s="554" t="str">
        <f t="shared" si="59"/>
        <v/>
      </c>
      <c r="AG269" s="554" t="str">
        <f t="shared" si="59"/>
        <v/>
      </c>
      <c r="AH269" s="554" t="str">
        <f t="shared" si="59"/>
        <v/>
      </c>
      <c r="AI269" s="554" t="str">
        <f t="shared" si="59"/>
        <v/>
      </c>
      <c r="AJ269" s="554" t="str">
        <f t="shared" si="59"/>
        <v/>
      </c>
      <c r="AK269" s="554" t="str">
        <f t="shared" si="59"/>
        <v/>
      </c>
      <c r="AL269" s="554" t="str">
        <f t="shared" si="59"/>
        <v/>
      </c>
      <c r="AM269" s="554" t="str">
        <f t="shared" si="59"/>
        <v/>
      </c>
      <c r="AN269" s="554" t="str">
        <f t="shared" si="60"/>
        <v/>
      </c>
      <c r="AO269" s="554" t="str">
        <f t="shared" si="58"/>
        <v/>
      </c>
      <c r="AP269" s="554" t="str">
        <f t="shared" si="58"/>
        <v/>
      </c>
      <c r="AQ269" s="429" t="str">
        <f t="shared" si="62"/>
        <v>Vendido</v>
      </c>
      <c r="AR269" s="447">
        <f>_xlfn.XLOOKUP(C269,'BOULEVARD 5'!B:B,'BOULEVARD 5'!AU:AU)</f>
        <v>5.2557813594954449E-2</v>
      </c>
    </row>
    <row r="270" spans="1:44" s="467" customFormat="1" ht="13.9" customHeight="1" x14ac:dyDescent="0.25">
      <c r="A270" s="429" t="s">
        <v>388</v>
      </c>
      <c r="B270" s="678"/>
      <c r="C270" s="483">
        <v>1509</v>
      </c>
      <c r="D270" s="483" t="s">
        <v>400</v>
      </c>
      <c r="E270" s="483"/>
      <c r="F270" s="436" t="str">
        <f>IF('BOULEVARD 5'!E268="","",'BOULEVARD 5'!E268)</f>
        <v>Anahí Cisneros</v>
      </c>
      <c r="G270" s="467" t="str">
        <f>IF('BOULEVARD 5'!F268="","",'BOULEVARD 5'!F268)</f>
        <v>Alan Gonzalez Choc</v>
      </c>
      <c r="H270" s="484">
        <f>IF('BOULEVARD 5'!G268="","",'BOULEVARD 5'!G268)</f>
        <v>45856</v>
      </c>
      <c r="I270" s="554" t="str">
        <f t="shared" si="61"/>
        <v/>
      </c>
      <c r="J270" s="554" t="str">
        <f t="shared" si="61"/>
        <v/>
      </c>
      <c r="K270" s="554" t="str">
        <f t="shared" si="61"/>
        <v/>
      </c>
      <c r="L270" s="554" t="str">
        <f t="shared" si="61"/>
        <v/>
      </c>
      <c r="M270" s="554" t="str">
        <f t="shared" si="61"/>
        <v/>
      </c>
      <c r="N270" s="554" t="str">
        <f t="shared" si="61"/>
        <v/>
      </c>
      <c r="O270" s="554" t="str">
        <f t="shared" si="61"/>
        <v/>
      </c>
      <c r="P270" s="554" t="str">
        <f t="shared" si="61"/>
        <v/>
      </c>
      <c r="Q270" s="554" t="str">
        <f t="shared" si="61"/>
        <v/>
      </c>
      <c r="R270" s="554" t="str">
        <f t="shared" si="61"/>
        <v/>
      </c>
      <c r="S270" s="554" t="str">
        <f t="shared" si="61"/>
        <v/>
      </c>
      <c r="T270" s="554" t="str">
        <f t="shared" si="61"/>
        <v/>
      </c>
      <c r="U270" s="554" t="str">
        <f t="shared" si="61"/>
        <v/>
      </c>
      <c r="V270" s="554" t="str">
        <f t="shared" si="61"/>
        <v/>
      </c>
      <c r="W270" s="554" t="str">
        <f t="shared" si="61"/>
        <v/>
      </c>
      <c r="X270" s="554" t="str">
        <f t="shared" si="59"/>
        <v/>
      </c>
      <c r="Y270" s="554" t="str">
        <f t="shared" si="59"/>
        <v/>
      </c>
      <c r="Z270" s="554" t="str">
        <f t="shared" si="59"/>
        <v/>
      </c>
      <c r="AA270" s="554" t="str">
        <f t="shared" si="59"/>
        <v/>
      </c>
      <c r="AB270" s="554" t="str">
        <f t="shared" si="59"/>
        <v/>
      </c>
      <c r="AC270" s="554" t="str">
        <f t="shared" si="59"/>
        <v/>
      </c>
      <c r="AD270" s="554" t="str">
        <f t="shared" si="59"/>
        <v/>
      </c>
      <c r="AE270" s="554" t="str">
        <f t="shared" si="59"/>
        <v/>
      </c>
      <c r="AF270" s="554" t="str">
        <f t="shared" si="59"/>
        <v/>
      </c>
      <c r="AG270" s="554" t="str">
        <f t="shared" si="59"/>
        <v/>
      </c>
      <c r="AH270" s="554" t="str">
        <f t="shared" si="59"/>
        <v/>
      </c>
      <c r="AI270" s="554" t="str">
        <f t="shared" si="59"/>
        <v/>
      </c>
      <c r="AJ270" s="554" t="str">
        <f t="shared" si="59"/>
        <v/>
      </c>
      <c r="AK270" s="554">
        <f t="shared" si="59"/>
        <v>1</v>
      </c>
      <c r="AL270" s="554">
        <f t="shared" si="59"/>
        <v>2</v>
      </c>
      <c r="AM270" s="554">
        <f t="shared" si="59"/>
        <v>2</v>
      </c>
      <c r="AN270" s="554">
        <f t="shared" si="60"/>
        <v>2</v>
      </c>
      <c r="AO270" s="554">
        <f t="shared" si="58"/>
        <v>2</v>
      </c>
      <c r="AP270" s="554">
        <f t="shared" si="58"/>
        <v>2</v>
      </c>
      <c r="AQ270" s="429" t="str">
        <f t="shared" si="62"/>
        <v>Vendido</v>
      </c>
      <c r="AR270" s="447">
        <f>_xlfn.XLOOKUP(C270,'BOULEVARD 5'!B:B,'BOULEVARD 5'!AU:AU)</f>
        <v>6.4988286138096081</v>
      </c>
    </row>
    <row r="271" spans="1:44" s="429" customFormat="1" ht="13.9" customHeight="1" x14ac:dyDescent="0.25">
      <c r="B271" s="678" t="str">
        <f>IF('B5-Status cobranza'!A271&gt;0,'B5-Status cobranza'!A271,"")</f>
        <v/>
      </c>
      <c r="C271" s="436">
        <v>1510</v>
      </c>
      <c r="D271" s="436" t="s">
        <v>175</v>
      </c>
      <c r="E271" s="436"/>
      <c r="F271" s="436" t="str">
        <f>IF('BOULEVARD 5'!E269="","",'BOULEVARD 5'!E269)</f>
        <v>Brenda Búcaro</v>
      </c>
      <c r="G271" s="429" t="str">
        <f>IF('BOULEVARD 5'!F269="","",'BOULEVARD 5'!F269)</f>
        <v>José Paúl Centeno Valdés</v>
      </c>
      <c r="H271" s="473">
        <f>IF('BOULEVARD 5'!G269="","",'BOULEVARD 5'!G269)</f>
        <v>45085</v>
      </c>
      <c r="I271" s="554" t="str">
        <f t="shared" si="61"/>
        <v/>
      </c>
      <c r="J271" s="554" t="str">
        <f t="shared" si="61"/>
        <v/>
      </c>
      <c r="K271" s="554" t="str">
        <f t="shared" si="61"/>
        <v/>
      </c>
      <c r="L271" s="554">
        <f t="shared" si="61"/>
        <v>1</v>
      </c>
      <c r="M271" s="554">
        <f t="shared" si="61"/>
        <v>2</v>
      </c>
      <c r="N271" s="554">
        <f t="shared" si="61"/>
        <v>2</v>
      </c>
      <c r="O271" s="554">
        <f t="shared" si="61"/>
        <v>2</v>
      </c>
      <c r="P271" s="554">
        <f t="shared" si="61"/>
        <v>2</v>
      </c>
      <c r="Q271" s="554">
        <f t="shared" si="61"/>
        <v>2</v>
      </c>
      <c r="R271" s="554">
        <f t="shared" si="61"/>
        <v>2</v>
      </c>
      <c r="S271" s="554">
        <f t="shared" si="61"/>
        <v>2</v>
      </c>
      <c r="T271" s="554">
        <f t="shared" si="61"/>
        <v>2</v>
      </c>
      <c r="U271" s="554">
        <f t="shared" si="61"/>
        <v>2</v>
      </c>
      <c r="V271" s="554">
        <f t="shared" si="61"/>
        <v>2</v>
      </c>
      <c r="W271" s="554">
        <f t="shared" si="61"/>
        <v>2</v>
      </c>
      <c r="X271" s="554">
        <f t="shared" si="59"/>
        <v>2</v>
      </c>
      <c r="Y271" s="554">
        <f t="shared" si="59"/>
        <v>2</v>
      </c>
      <c r="Z271" s="554">
        <f t="shared" si="59"/>
        <v>2</v>
      </c>
      <c r="AA271" s="554">
        <f t="shared" si="59"/>
        <v>2</v>
      </c>
      <c r="AB271" s="554">
        <f t="shared" si="59"/>
        <v>2</v>
      </c>
      <c r="AC271" s="554">
        <f t="shared" si="59"/>
        <v>2</v>
      </c>
      <c r="AD271" s="554">
        <f t="shared" si="59"/>
        <v>2</v>
      </c>
      <c r="AE271" s="554">
        <f t="shared" si="59"/>
        <v>2</v>
      </c>
      <c r="AF271" s="554">
        <f t="shared" si="59"/>
        <v>2</v>
      </c>
      <c r="AG271" s="554">
        <f t="shared" si="59"/>
        <v>2</v>
      </c>
      <c r="AH271" s="554">
        <f t="shared" si="59"/>
        <v>2</v>
      </c>
      <c r="AI271" s="554">
        <f t="shared" si="59"/>
        <v>2</v>
      </c>
      <c r="AJ271" s="554">
        <f t="shared" si="59"/>
        <v>2</v>
      </c>
      <c r="AK271" s="554">
        <f t="shared" si="59"/>
        <v>2</v>
      </c>
      <c r="AL271" s="554">
        <f t="shared" si="59"/>
        <v>2</v>
      </c>
      <c r="AM271" s="554">
        <f t="shared" si="59"/>
        <v>2</v>
      </c>
      <c r="AN271" s="554">
        <f t="shared" si="60"/>
        <v>2</v>
      </c>
      <c r="AO271" s="554">
        <f t="shared" si="58"/>
        <v>2</v>
      </c>
      <c r="AP271" s="554">
        <f t="shared" si="58"/>
        <v>2</v>
      </c>
      <c r="AQ271" s="429" t="str">
        <f t="shared" si="62"/>
        <v>Vendido</v>
      </c>
      <c r="AR271" s="447">
        <f>_xlfn.XLOOKUP(C271,'BOULEVARD 5'!B:B,'BOULEVARD 5'!AU:AU)</f>
        <v>0.96549549549549551</v>
      </c>
    </row>
    <row r="272" spans="1:44" s="429" customFormat="1" ht="13.9" customHeight="1" x14ac:dyDescent="0.25">
      <c r="B272" s="678" t="str">
        <f>IF('B5-Status cobranza'!A272&gt;0,'B5-Status cobranza'!A272,"")</f>
        <v/>
      </c>
      <c r="C272" s="436">
        <v>1511</v>
      </c>
      <c r="D272" s="436" t="s">
        <v>563</v>
      </c>
      <c r="E272" s="436"/>
      <c r="F272" s="436" t="str">
        <f>IF('BOULEVARD 5'!E270="","",'BOULEVARD 5'!E270)</f>
        <v>Antonio Rada</v>
      </c>
      <c r="G272" s="429" t="str">
        <f>IF('BOULEVARD 5'!F270="","",'BOULEVARD 5'!F270)</f>
        <v>Luis Fernando Velasquez León</v>
      </c>
      <c r="H272" s="473">
        <f>IF('BOULEVARD 5'!G270="","",'BOULEVARD 5'!G270)</f>
        <v>45155</v>
      </c>
      <c r="I272" s="554" t="str">
        <f t="shared" si="61"/>
        <v/>
      </c>
      <c r="J272" s="554" t="str">
        <f t="shared" si="61"/>
        <v/>
      </c>
      <c r="K272" s="554" t="str">
        <f t="shared" si="61"/>
        <v/>
      </c>
      <c r="L272" s="554" t="str">
        <f t="shared" si="61"/>
        <v/>
      </c>
      <c r="M272" s="554" t="str">
        <f t="shared" si="61"/>
        <v/>
      </c>
      <c r="N272" s="554">
        <f t="shared" si="61"/>
        <v>1</v>
      </c>
      <c r="O272" s="554">
        <f t="shared" si="61"/>
        <v>2</v>
      </c>
      <c r="P272" s="554">
        <f t="shared" si="61"/>
        <v>2</v>
      </c>
      <c r="Q272" s="554">
        <f t="shared" si="61"/>
        <v>2</v>
      </c>
      <c r="R272" s="554">
        <f t="shared" si="61"/>
        <v>2</v>
      </c>
      <c r="S272" s="554">
        <f t="shared" si="61"/>
        <v>2</v>
      </c>
      <c r="T272" s="554">
        <f t="shared" si="61"/>
        <v>2</v>
      </c>
      <c r="U272" s="554">
        <f t="shared" si="61"/>
        <v>2</v>
      </c>
      <c r="V272" s="554">
        <f t="shared" si="61"/>
        <v>2</v>
      </c>
      <c r="W272" s="554">
        <f t="shared" si="61"/>
        <v>2</v>
      </c>
      <c r="X272" s="554">
        <f t="shared" si="59"/>
        <v>2</v>
      </c>
      <c r="Y272" s="554">
        <f t="shared" si="59"/>
        <v>2</v>
      </c>
      <c r="Z272" s="554">
        <f t="shared" si="59"/>
        <v>2</v>
      </c>
      <c r="AA272" s="554">
        <f t="shared" si="59"/>
        <v>2</v>
      </c>
      <c r="AB272" s="554">
        <f t="shared" si="59"/>
        <v>2</v>
      </c>
      <c r="AC272" s="554">
        <f t="shared" si="59"/>
        <v>2</v>
      </c>
      <c r="AD272" s="554">
        <f t="shared" si="59"/>
        <v>2</v>
      </c>
      <c r="AE272" s="554">
        <f t="shared" si="59"/>
        <v>2</v>
      </c>
      <c r="AF272" s="554">
        <f t="shared" si="59"/>
        <v>2</v>
      </c>
      <c r="AG272" s="554">
        <f t="shared" si="59"/>
        <v>2</v>
      </c>
      <c r="AH272" s="554">
        <f t="shared" si="59"/>
        <v>2</v>
      </c>
      <c r="AI272" s="554">
        <f t="shared" si="59"/>
        <v>2</v>
      </c>
      <c r="AJ272" s="554">
        <f t="shared" si="59"/>
        <v>2</v>
      </c>
      <c r="AK272" s="554">
        <f t="shared" si="59"/>
        <v>2</v>
      </c>
      <c r="AL272" s="554">
        <f t="shared" si="59"/>
        <v>2</v>
      </c>
      <c r="AM272" s="554">
        <f t="shared" si="59"/>
        <v>2</v>
      </c>
      <c r="AN272" s="554">
        <f t="shared" si="60"/>
        <v>2</v>
      </c>
      <c r="AO272" s="554">
        <f t="shared" si="58"/>
        <v>2</v>
      </c>
      <c r="AP272" s="554">
        <f t="shared" si="58"/>
        <v>2</v>
      </c>
      <c r="AQ272" s="429" t="str">
        <f t="shared" si="62"/>
        <v>Vendido</v>
      </c>
      <c r="AR272" s="447">
        <f>_xlfn.XLOOKUP(C272,'BOULEVARD 5'!B:B,'BOULEVARD 5'!AU:AU)</f>
        <v>1.0389587852494577</v>
      </c>
    </row>
    <row r="273" spans="1:44" s="429" customFormat="1" ht="13.9" customHeight="1" x14ac:dyDescent="0.25">
      <c r="B273" s="678" t="str">
        <f>IF('B5-Status cobranza'!A273&gt;0,'B5-Status cobranza'!A273,"")</f>
        <v/>
      </c>
      <c r="C273" s="436">
        <v>1512</v>
      </c>
      <c r="D273" s="436" t="s">
        <v>565</v>
      </c>
      <c r="E273" s="436"/>
      <c r="F273" s="436" t="str">
        <f>IF('BOULEVARD 5'!E271="","",'BOULEVARD 5'!E271)</f>
        <v/>
      </c>
      <c r="G273" s="429" t="str">
        <f>IF('BOULEVARD 5'!F271="","",'BOULEVARD 5'!F271)</f>
        <v/>
      </c>
      <c r="H273" s="473" t="str">
        <f>IF('BOULEVARD 5'!G271="","",'BOULEVARD 5'!G271)</f>
        <v/>
      </c>
      <c r="I273" s="554" t="str">
        <f t="shared" si="61"/>
        <v/>
      </c>
      <c r="J273" s="554" t="str">
        <f t="shared" si="61"/>
        <v/>
      </c>
      <c r="K273" s="554" t="str">
        <f t="shared" si="61"/>
        <v/>
      </c>
      <c r="L273" s="554" t="str">
        <f t="shared" si="61"/>
        <v/>
      </c>
      <c r="M273" s="554" t="str">
        <f t="shared" si="61"/>
        <v/>
      </c>
      <c r="N273" s="554" t="str">
        <f t="shared" si="61"/>
        <v/>
      </c>
      <c r="O273" s="554" t="str">
        <f t="shared" si="61"/>
        <v/>
      </c>
      <c r="P273" s="554" t="str">
        <f t="shared" si="61"/>
        <v/>
      </c>
      <c r="Q273" s="554" t="str">
        <f t="shared" si="61"/>
        <v/>
      </c>
      <c r="R273" s="554" t="str">
        <f t="shared" si="61"/>
        <v/>
      </c>
      <c r="S273" s="554" t="str">
        <f t="shared" si="61"/>
        <v/>
      </c>
      <c r="T273" s="554" t="str">
        <f t="shared" si="61"/>
        <v/>
      </c>
      <c r="U273" s="554" t="str">
        <f t="shared" si="61"/>
        <v/>
      </c>
      <c r="V273" s="554" t="str">
        <f t="shared" si="61"/>
        <v/>
      </c>
      <c r="W273" s="554" t="str">
        <f t="shared" si="61"/>
        <v/>
      </c>
      <c r="X273" s="554" t="str">
        <f t="shared" si="59"/>
        <v/>
      </c>
      <c r="Y273" s="554" t="str">
        <f t="shared" si="59"/>
        <v/>
      </c>
      <c r="Z273" s="554" t="str">
        <f t="shared" si="59"/>
        <v/>
      </c>
      <c r="AA273" s="554" t="str">
        <f t="shared" si="59"/>
        <v/>
      </c>
      <c r="AB273" s="554" t="str">
        <f t="shared" si="59"/>
        <v/>
      </c>
      <c r="AC273" s="554" t="str">
        <f t="shared" si="59"/>
        <v/>
      </c>
      <c r="AD273" s="554" t="str">
        <f t="shared" si="59"/>
        <v/>
      </c>
      <c r="AE273" s="554" t="str">
        <f t="shared" si="59"/>
        <v/>
      </c>
      <c r="AF273" s="554" t="str">
        <f t="shared" si="59"/>
        <v/>
      </c>
      <c r="AG273" s="554" t="str">
        <f t="shared" si="59"/>
        <v/>
      </c>
      <c r="AH273" s="554" t="str">
        <f t="shared" si="59"/>
        <v/>
      </c>
      <c r="AI273" s="554" t="str">
        <f t="shared" si="59"/>
        <v/>
      </c>
      <c r="AJ273" s="554" t="str">
        <f t="shared" si="59"/>
        <v/>
      </c>
      <c r="AK273" s="554" t="str">
        <f t="shared" si="59"/>
        <v/>
      </c>
      <c r="AL273" s="554" t="str">
        <f t="shared" si="59"/>
        <v/>
      </c>
      <c r="AM273" s="554" t="str">
        <f t="shared" si="59"/>
        <v/>
      </c>
      <c r="AN273" s="554" t="str">
        <f t="shared" si="60"/>
        <v/>
      </c>
      <c r="AO273" s="554" t="str">
        <f t="shared" si="58"/>
        <v/>
      </c>
      <c r="AP273" s="554" t="str">
        <f t="shared" si="58"/>
        <v/>
      </c>
      <c r="AQ273" s="429" t="str">
        <f t="shared" si="62"/>
        <v>No Vendido</v>
      </c>
      <c r="AR273" s="447">
        <f>_xlfn.XLOOKUP(C273,'BOULEVARD 5'!B:B,'BOULEVARD 5'!AU:AU)</f>
        <v>0</v>
      </c>
    </row>
    <row r="274" spans="1:44" s="429" customFormat="1" ht="13.9" customHeight="1" x14ac:dyDescent="0.25">
      <c r="B274" s="678" t="str">
        <f>IF('B5-Status cobranza'!A274&gt;0,'B5-Status cobranza'!A274,"")</f>
        <v/>
      </c>
      <c r="C274" s="436">
        <v>1601</v>
      </c>
      <c r="D274" s="436" t="s">
        <v>662</v>
      </c>
      <c r="E274" s="436"/>
      <c r="F274" s="436" t="str">
        <f>IF('BOULEVARD 5'!E272="","",'BOULEVARD 5'!E272)</f>
        <v>Brenda Búcaro</v>
      </c>
      <c r="G274" s="429" t="str">
        <f>IF('BOULEVARD 5'!F272="","",'BOULEVARD 5'!F272)</f>
        <v>Fernando García Coronado</v>
      </c>
      <c r="H274" s="473">
        <f>IF('BOULEVARD 5'!G272="","",'BOULEVARD 5'!G272)</f>
        <v>45162</v>
      </c>
      <c r="I274" s="554" t="str">
        <f t="shared" si="61"/>
        <v/>
      </c>
      <c r="J274" s="554" t="str">
        <f t="shared" si="61"/>
        <v/>
      </c>
      <c r="K274" s="554" t="str">
        <f t="shared" si="61"/>
        <v/>
      </c>
      <c r="L274" s="554" t="str">
        <f t="shared" si="61"/>
        <v/>
      </c>
      <c r="M274" s="554" t="str">
        <f t="shared" si="61"/>
        <v/>
      </c>
      <c r="N274" s="554">
        <f t="shared" si="61"/>
        <v>1</v>
      </c>
      <c r="O274" s="554">
        <f t="shared" si="61"/>
        <v>2</v>
      </c>
      <c r="P274" s="554">
        <f t="shared" si="61"/>
        <v>2</v>
      </c>
      <c r="Q274" s="554">
        <f t="shared" si="61"/>
        <v>2</v>
      </c>
      <c r="R274" s="554">
        <f t="shared" si="61"/>
        <v>2</v>
      </c>
      <c r="S274" s="554">
        <f t="shared" si="61"/>
        <v>2</v>
      </c>
      <c r="T274" s="554">
        <f t="shared" si="61"/>
        <v>2</v>
      </c>
      <c r="U274" s="554">
        <f t="shared" si="61"/>
        <v>2</v>
      </c>
      <c r="V274" s="554">
        <f t="shared" si="61"/>
        <v>2</v>
      </c>
      <c r="W274" s="554">
        <f t="shared" si="61"/>
        <v>2</v>
      </c>
      <c r="X274" s="554">
        <f t="shared" si="59"/>
        <v>2</v>
      </c>
      <c r="Y274" s="554">
        <f t="shared" si="59"/>
        <v>2</v>
      </c>
      <c r="Z274" s="554">
        <f t="shared" si="59"/>
        <v>2</v>
      </c>
      <c r="AA274" s="554">
        <f t="shared" si="59"/>
        <v>2</v>
      </c>
      <c r="AB274" s="554">
        <f t="shared" si="59"/>
        <v>2</v>
      </c>
      <c r="AC274" s="554">
        <f t="shared" si="59"/>
        <v>2</v>
      </c>
      <c r="AD274" s="554">
        <f t="shared" si="59"/>
        <v>2</v>
      </c>
      <c r="AE274" s="554">
        <f t="shared" si="59"/>
        <v>2</v>
      </c>
      <c r="AF274" s="554">
        <f t="shared" si="59"/>
        <v>2</v>
      </c>
      <c r="AG274" s="554">
        <f t="shared" si="59"/>
        <v>2</v>
      </c>
      <c r="AH274" s="554">
        <f t="shared" si="59"/>
        <v>2</v>
      </c>
      <c r="AI274" s="554">
        <f t="shared" si="59"/>
        <v>2</v>
      </c>
      <c r="AJ274" s="554">
        <f t="shared" si="59"/>
        <v>2</v>
      </c>
      <c r="AK274" s="554">
        <f t="shared" si="59"/>
        <v>2</v>
      </c>
      <c r="AL274" s="554">
        <f t="shared" si="59"/>
        <v>2</v>
      </c>
      <c r="AM274" s="554">
        <f t="shared" si="59"/>
        <v>2</v>
      </c>
      <c r="AN274" s="554">
        <f t="shared" si="60"/>
        <v>2</v>
      </c>
      <c r="AO274" s="554">
        <f t="shared" si="58"/>
        <v>2</v>
      </c>
      <c r="AP274" s="554">
        <f t="shared" si="58"/>
        <v>2</v>
      </c>
      <c r="AQ274" s="429" t="str">
        <f t="shared" si="62"/>
        <v>Vendido</v>
      </c>
      <c r="AR274" s="447">
        <f>_xlfn.XLOOKUP(C274,'BOULEVARD 5'!B:B,'BOULEVARD 5'!AU:AU)</f>
        <v>1.0272017352542802</v>
      </c>
    </row>
    <row r="275" spans="1:44" s="429" customFormat="1" ht="13.9" customHeight="1" x14ac:dyDescent="0.25">
      <c r="B275" s="678" t="str">
        <f>IF('B5-Status cobranza'!A275&gt;0,'B5-Status cobranza'!A275,"")</f>
        <v>F&amp;F</v>
      </c>
      <c r="C275" s="475">
        <v>1602</v>
      </c>
      <c r="D275" s="475" t="s">
        <v>664</v>
      </c>
      <c r="E275" s="475"/>
      <c r="F275" s="475" t="str">
        <f>IF('BOULEVARD 5'!E273="","",'BOULEVARD 5'!E273)</f>
        <v>Ronaldo</v>
      </c>
      <c r="G275" s="476" t="str">
        <f>IF('BOULEVARD 5'!F273="","",'BOULEVARD 5'!F273)</f>
        <v>International Coffee Industry, S.A</v>
      </c>
      <c r="H275" s="473">
        <f>IF('BOULEVARD 5'!G273="","",'BOULEVARD 5'!G273)</f>
        <v>45300</v>
      </c>
      <c r="I275" s="554" t="str">
        <f t="shared" si="61"/>
        <v/>
      </c>
      <c r="J275" s="554" t="str">
        <f t="shared" si="61"/>
        <v/>
      </c>
      <c r="K275" s="554" t="str">
        <f t="shared" si="61"/>
        <v/>
      </c>
      <c r="L275" s="554" t="str">
        <f t="shared" si="61"/>
        <v/>
      </c>
      <c r="M275" s="554" t="str">
        <f t="shared" si="61"/>
        <v/>
      </c>
      <c r="N275" s="554" t="str">
        <f t="shared" si="61"/>
        <v/>
      </c>
      <c r="O275" s="554" t="str">
        <f t="shared" si="61"/>
        <v/>
      </c>
      <c r="P275" s="554" t="str">
        <f t="shared" si="61"/>
        <v/>
      </c>
      <c r="Q275" s="554" t="str">
        <f t="shared" si="61"/>
        <v/>
      </c>
      <c r="R275" s="554" t="str">
        <f t="shared" si="61"/>
        <v/>
      </c>
      <c r="S275" s="554" t="str">
        <f t="shared" si="61"/>
        <v/>
      </c>
      <c r="T275" s="554" t="str">
        <f t="shared" si="61"/>
        <v/>
      </c>
      <c r="U275" s="554" t="str">
        <f t="shared" si="61"/>
        <v/>
      </c>
      <c r="V275" s="554" t="str">
        <f t="shared" si="61"/>
        <v/>
      </c>
      <c r="W275" s="554" t="str">
        <f t="shared" si="61"/>
        <v/>
      </c>
      <c r="X275" s="554" t="str">
        <f t="shared" si="59"/>
        <v/>
      </c>
      <c r="Y275" s="554" t="str">
        <f t="shared" si="59"/>
        <v/>
      </c>
      <c r="Z275" s="554" t="str">
        <f t="shared" si="59"/>
        <v/>
      </c>
      <c r="AA275" s="554" t="str">
        <f t="shared" si="59"/>
        <v/>
      </c>
      <c r="AB275" s="554" t="str">
        <f t="shared" si="59"/>
        <v/>
      </c>
      <c r="AC275" s="554" t="str">
        <f t="shared" si="59"/>
        <v/>
      </c>
      <c r="AD275" s="554" t="str">
        <f t="shared" si="59"/>
        <v/>
      </c>
      <c r="AE275" s="554" t="str">
        <f t="shared" si="59"/>
        <v/>
      </c>
      <c r="AF275" s="554" t="str">
        <f t="shared" si="59"/>
        <v/>
      </c>
      <c r="AG275" s="554" t="str">
        <f t="shared" si="59"/>
        <v/>
      </c>
      <c r="AH275" s="554" t="str">
        <f t="shared" si="59"/>
        <v/>
      </c>
      <c r="AI275" s="554" t="str">
        <f t="shared" si="59"/>
        <v/>
      </c>
      <c r="AJ275" s="554" t="str">
        <f t="shared" si="59"/>
        <v/>
      </c>
      <c r="AK275" s="554" t="str">
        <f t="shared" si="59"/>
        <v/>
      </c>
      <c r="AL275" s="554" t="str">
        <f t="shared" si="59"/>
        <v/>
      </c>
      <c r="AM275" s="554" t="str">
        <f t="shared" si="59"/>
        <v/>
      </c>
      <c r="AN275" s="554" t="str">
        <f t="shared" si="60"/>
        <v/>
      </c>
      <c r="AO275" s="554" t="str">
        <f t="shared" si="58"/>
        <v/>
      </c>
      <c r="AP275" s="554" t="str">
        <f t="shared" si="58"/>
        <v/>
      </c>
      <c r="AQ275" s="429" t="str">
        <f t="shared" si="62"/>
        <v>Vendido</v>
      </c>
      <c r="AR275" s="447">
        <f>_xlfn.XLOOKUP(C275,'BOULEVARD 5'!B:B,'BOULEVARD 5'!AU:AU)</f>
        <v>0</v>
      </c>
    </row>
    <row r="276" spans="1:44" s="429" customFormat="1" ht="13.9" customHeight="1" x14ac:dyDescent="0.25">
      <c r="B276" s="678" t="str">
        <f>IF('B5-Status cobranza'!A276&gt;0,'B5-Status cobranza'!A276,"")</f>
        <v/>
      </c>
      <c r="C276" s="436">
        <v>1603</v>
      </c>
      <c r="D276" s="436" t="s">
        <v>393</v>
      </c>
      <c r="E276" s="436"/>
      <c r="F276" s="436" t="str">
        <f>IF('BOULEVARD 5'!E274="","",'BOULEVARD 5'!E274)</f>
        <v>Antonio Rada</v>
      </c>
      <c r="G276" s="429" t="str">
        <f>IF('BOULEVARD 5'!F274="","",'BOULEVARD 5'!F274)</f>
        <v>Inmobiliaria Quince Sociedad Anonima</v>
      </c>
      <c r="H276" s="473">
        <f>IF('BOULEVARD 5'!G274="","",'BOULEVARD 5'!G274)</f>
        <v>45013</v>
      </c>
      <c r="I276" s="554">
        <f t="shared" si="61"/>
        <v>1</v>
      </c>
      <c r="J276" s="554">
        <f t="shared" si="61"/>
        <v>2</v>
      </c>
      <c r="K276" s="554">
        <f t="shared" si="61"/>
        <v>2</v>
      </c>
      <c r="L276" s="554">
        <f t="shared" si="61"/>
        <v>2</v>
      </c>
      <c r="M276" s="554">
        <f t="shared" si="61"/>
        <v>2</v>
      </c>
      <c r="N276" s="554">
        <f t="shared" si="61"/>
        <v>2</v>
      </c>
      <c r="O276" s="554">
        <f t="shared" si="61"/>
        <v>2</v>
      </c>
      <c r="P276" s="554">
        <f t="shared" si="61"/>
        <v>2</v>
      </c>
      <c r="Q276" s="554">
        <f t="shared" si="61"/>
        <v>2</v>
      </c>
      <c r="R276" s="554">
        <f t="shared" si="61"/>
        <v>2</v>
      </c>
      <c r="S276" s="554">
        <f t="shared" si="61"/>
        <v>2</v>
      </c>
      <c r="T276" s="554">
        <f t="shared" si="61"/>
        <v>2</v>
      </c>
      <c r="U276" s="554">
        <f t="shared" si="61"/>
        <v>2</v>
      </c>
      <c r="V276" s="554">
        <f t="shared" si="61"/>
        <v>2</v>
      </c>
      <c r="W276" s="554">
        <f t="shared" si="61"/>
        <v>2</v>
      </c>
      <c r="X276" s="554">
        <f t="shared" si="59"/>
        <v>2</v>
      </c>
      <c r="Y276" s="554">
        <f t="shared" si="59"/>
        <v>2</v>
      </c>
      <c r="Z276" s="554">
        <f t="shared" si="59"/>
        <v>2</v>
      </c>
      <c r="AA276" s="554">
        <f t="shared" si="59"/>
        <v>2</v>
      </c>
      <c r="AB276" s="554">
        <f t="shared" si="59"/>
        <v>2</v>
      </c>
      <c r="AC276" s="554">
        <f t="shared" si="59"/>
        <v>2</v>
      </c>
      <c r="AD276" s="554">
        <f t="shared" si="59"/>
        <v>2</v>
      </c>
      <c r="AE276" s="554">
        <f t="shared" si="59"/>
        <v>2</v>
      </c>
      <c r="AF276" s="554">
        <f t="shared" si="59"/>
        <v>2</v>
      </c>
      <c r="AG276" s="554">
        <f t="shared" si="59"/>
        <v>2</v>
      </c>
      <c r="AH276" s="554">
        <f t="shared" si="59"/>
        <v>2</v>
      </c>
      <c r="AI276" s="554">
        <f t="shared" si="59"/>
        <v>2</v>
      </c>
      <c r="AJ276" s="554">
        <f t="shared" si="59"/>
        <v>2</v>
      </c>
      <c r="AK276" s="554">
        <f t="shared" si="59"/>
        <v>2</v>
      </c>
      <c r="AL276" s="554">
        <f t="shared" si="59"/>
        <v>2</v>
      </c>
      <c r="AM276" s="554">
        <f t="shared" si="59"/>
        <v>2</v>
      </c>
      <c r="AN276" s="554">
        <f t="shared" si="60"/>
        <v>2</v>
      </c>
      <c r="AO276" s="554">
        <f t="shared" si="60"/>
        <v>2</v>
      </c>
      <c r="AP276" s="554">
        <f t="shared" si="60"/>
        <v>2</v>
      </c>
      <c r="AQ276" s="429" t="str">
        <f t="shared" si="62"/>
        <v>Vendido</v>
      </c>
      <c r="AR276" s="447">
        <f>_xlfn.XLOOKUP(C276,'BOULEVARD 5'!B:B,'BOULEVARD 5'!AU:AU)</f>
        <v>5.2960249274164859</v>
      </c>
    </row>
    <row r="277" spans="1:44" s="429" customFormat="1" ht="13.9" customHeight="1" x14ac:dyDescent="0.25">
      <c r="B277" s="678" t="str">
        <f>IF('B5-Status cobranza'!A277&gt;0,'B5-Status cobranza'!A277,"")</f>
        <v/>
      </c>
      <c r="C277" s="436">
        <v>1604</v>
      </c>
      <c r="D277" s="436" t="s">
        <v>172</v>
      </c>
      <c r="E277" s="436"/>
      <c r="F277" s="436" t="str">
        <f>IF('BOULEVARD 5'!E275="","",'BOULEVARD 5'!E275)</f>
        <v>Antonio Rada</v>
      </c>
      <c r="G277" s="429" t="str">
        <f>IF('BOULEVARD 5'!F275="","",'BOULEVARD 5'!F275)</f>
        <v>Oliver Lenin Garcia Godoy</v>
      </c>
      <c r="H277" s="473">
        <f>IF('BOULEVARD 5'!G275="","",'BOULEVARD 5'!G275)</f>
        <v>45062</v>
      </c>
      <c r="I277" s="554" t="str">
        <f t="shared" si="61"/>
        <v/>
      </c>
      <c r="J277" s="554" t="str">
        <f t="shared" si="61"/>
        <v/>
      </c>
      <c r="K277" s="554">
        <f t="shared" si="61"/>
        <v>1</v>
      </c>
      <c r="L277" s="554">
        <f t="shared" si="61"/>
        <v>2</v>
      </c>
      <c r="M277" s="554">
        <f t="shared" si="61"/>
        <v>2</v>
      </c>
      <c r="N277" s="554">
        <f t="shared" si="61"/>
        <v>2</v>
      </c>
      <c r="O277" s="554">
        <f t="shared" si="61"/>
        <v>2</v>
      </c>
      <c r="P277" s="554">
        <f t="shared" si="61"/>
        <v>2</v>
      </c>
      <c r="Q277" s="554">
        <f t="shared" si="61"/>
        <v>2</v>
      </c>
      <c r="R277" s="554">
        <f t="shared" si="61"/>
        <v>2</v>
      </c>
      <c r="S277" s="554">
        <f t="shared" si="61"/>
        <v>2</v>
      </c>
      <c r="T277" s="554">
        <f t="shared" si="61"/>
        <v>2</v>
      </c>
      <c r="U277" s="554">
        <f t="shared" si="61"/>
        <v>2</v>
      </c>
      <c r="V277" s="554">
        <f t="shared" si="61"/>
        <v>2</v>
      </c>
      <c r="W277" s="554">
        <f t="shared" si="61"/>
        <v>2</v>
      </c>
      <c r="X277" s="554">
        <f t="shared" si="59"/>
        <v>2</v>
      </c>
      <c r="Y277" s="554">
        <f t="shared" si="59"/>
        <v>2</v>
      </c>
      <c r="Z277" s="554">
        <f t="shared" si="59"/>
        <v>2</v>
      </c>
      <c r="AA277" s="554">
        <f t="shared" si="59"/>
        <v>2</v>
      </c>
      <c r="AB277" s="554">
        <f t="shared" si="59"/>
        <v>2</v>
      </c>
      <c r="AC277" s="554">
        <f t="shared" si="59"/>
        <v>2</v>
      </c>
      <c r="AD277" s="554">
        <f t="shared" si="59"/>
        <v>2</v>
      </c>
      <c r="AE277" s="554">
        <f t="shared" si="59"/>
        <v>2</v>
      </c>
      <c r="AF277" s="554">
        <f t="shared" si="59"/>
        <v>2</v>
      </c>
      <c r="AG277" s="554">
        <f t="shared" si="59"/>
        <v>2</v>
      </c>
      <c r="AH277" s="554">
        <f t="shared" si="59"/>
        <v>2</v>
      </c>
      <c r="AI277" s="554">
        <f t="shared" si="59"/>
        <v>2</v>
      </c>
      <c r="AJ277" s="554">
        <f t="shared" si="59"/>
        <v>2</v>
      </c>
      <c r="AK277" s="554">
        <f t="shared" si="59"/>
        <v>2</v>
      </c>
      <c r="AL277" s="554">
        <f t="shared" si="59"/>
        <v>2</v>
      </c>
      <c r="AM277" s="554">
        <f t="shared" si="59"/>
        <v>2</v>
      </c>
      <c r="AN277" s="554">
        <f t="shared" si="60"/>
        <v>2</v>
      </c>
      <c r="AO277" s="554">
        <f t="shared" si="60"/>
        <v>2</v>
      </c>
      <c r="AP277" s="554">
        <f t="shared" si="60"/>
        <v>2</v>
      </c>
      <c r="AQ277" s="429" t="str">
        <f t="shared" si="62"/>
        <v>Vendido</v>
      </c>
      <c r="AR277" s="447">
        <f>_xlfn.XLOOKUP(C277,'BOULEVARD 5'!B:B,'BOULEVARD 5'!AU:AU)</f>
        <v>1</v>
      </c>
    </row>
    <row r="278" spans="1:44" s="429" customFormat="1" ht="13.9" customHeight="1" x14ac:dyDescent="0.25">
      <c r="B278" s="678" t="str">
        <f>IF('B5-Status cobranza'!A278&gt;0,'B5-Status cobranza'!A278,"")</f>
        <v/>
      </c>
      <c r="C278" s="436">
        <v>1605</v>
      </c>
      <c r="D278" s="436" t="s">
        <v>395</v>
      </c>
      <c r="E278" s="436"/>
      <c r="F278" s="436" t="str">
        <f>IF('BOULEVARD 5'!E276="","",'BOULEVARD 5'!E276)</f>
        <v>Antonio Rada</v>
      </c>
      <c r="G278" s="429" t="str">
        <f>IF('BOULEVARD 5'!F276="","",'BOULEVARD 5'!F276)</f>
        <v>Edgar Ronaldo Muy Pineda</v>
      </c>
      <c r="H278" s="473">
        <f>IF('BOULEVARD 5'!G276="","",'BOULEVARD 5'!G276)</f>
        <v>45587</v>
      </c>
      <c r="I278" s="554" t="str">
        <f t="shared" si="61"/>
        <v/>
      </c>
      <c r="J278" s="554" t="str">
        <f t="shared" si="61"/>
        <v/>
      </c>
      <c r="K278" s="554" t="str">
        <f t="shared" si="61"/>
        <v/>
      </c>
      <c r="L278" s="554" t="str">
        <f t="shared" si="61"/>
        <v/>
      </c>
      <c r="M278" s="554" t="str">
        <f t="shared" si="61"/>
        <v/>
      </c>
      <c r="N278" s="554" t="str">
        <f t="shared" si="61"/>
        <v/>
      </c>
      <c r="O278" s="554" t="str">
        <f t="shared" si="61"/>
        <v/>
      </c>
      <c r="P278" s="554" t="str">
        <f t="shared" si="61"/>
        <v/>
      </c>
      <c r="Q278" s="554" t="str">
        <f t="shared" si="61"/>
        <v/>
      </c>
      <c r="R278" s="554" t="str">
        <f t="shared" si="61"/>
        <v/>
      </c>
      <c r="S278" s="554" t="str">
        <f t="shared" si="61"/>
        <v/>
      </c>
      <c r="T278" s="554" t="str">
        <f t="shared" si="61"/>
        <v/>
      </c>
      <c r="U278" s="554" t="str">
        <f t="shared" si="61"/>
        <v/>
      </c>
      <c r="V278" s="554" t="str">
        <f t="shared" si="61"/>
        <v/>
      </c>
      <c r="W278" s="554" t="str">
        <f t="shared" si="61"/>
        <v/>
      </c>
      <c r="X278" s="554" t="str">
        <f t="shared" si="59"/>
        <v/>
      </c>
      <c r="Y278" s="554" t="str">
        <f t="shared" si="59"/>
        <v/>
      </c>
      <c r="Z278" s="554" t="str">
        <f t="shared" si="59"/>
        <v/>
      </c>
      <c r="AA278" s="554" t="str">
        <f t="shared" si="59"/>
        <v/>
      </c>
      <c r="AB278" s="554">
        <f t="shared" si="59"/>
        <v>1</v>
      </c>
      <c r="AC278" s="554">
        <f t="shared" si="59"/>
        <v>2</v>
      </c>
      <c r="AD278" s="554">
        <f t="shared" si="59"/>
        <v>2</v>
      </c>
      <c r="AE278" s="554">
        <f t="shared" si="59"/>
        <v>2</v>
      </c>
      <c r="AF278" s="554">
        <f t="shared" si="59"/>
        <v>2</v>
      </c>
      <c r="AG278" s="554">
        <f t="shared" si="59"/>
        <v>2</v>
      </c>
      <c r="AH278" s="554">
        <f t="shared" si="59"/>
        <v>2</v>
      </c>
      <c r="AI278" s="554">
        <f t="shared" si="59"/>
        <v>2</v>
      </c>
      <c r="AJ278" s="554">
        <f t="shared" si="59"/>
        <v>2</v>
      </c>
      <c r="AK278" s="554">
        <f t="shared" si="59"/>
        <v>2</v>
      </c>
      <c r="AL278" s="554">
        <f t="shared" si="59"/>
        <v>2</v>
      </c>
      <c r="AM278" s="554">
        <f t="shared" si="59"/>
        <v>2</v>
      </c>
      <c r="AN278" s="554">
        <f t="shared" si="60"/>
        <v>2</v>
      </c>
      <c r="AO278" s="554">
        <f t="shared" si="60"/>
        <v>2</v>
      </c>
      <c r="AP278" s="554">
        <f t="shared" si="60"/>
        <v>2</v>
      </c>
      <c r="AQ278" s="429" t="str">
        <f t="shared" si="62"/>
        <v>Vendido</v>
      </c>
      <c r="AR278" s="447">
        <f>_xlfn.XLOOKUP(C278,'BOULEVARD 5'!B:B,'BOULEVARD 5'!AU:AU)</f>
        <v>0.67871248250870075</v>
      </c>
    </row>
    <row r="279" spans="1:44" s="429" customFormat="1" ht="13.9" customHeight="1" x14ac:dyDescent="0.25">
      <c r="B279" s="678" t="str">
        <f>IF('B5-Status cobranza'!A279&gt;0,'B5-Status cobranza'!A279,"")</f>
        <v/>
      </c>
      <c r="C279" s="436">
        <v>1606</v>
      </c>
      <c r="D279" s="436" t="s">
        <v>397</v>
      </c>
      <c r="E279" s="436"/>
      <c r="F279" s="436" t="str">
        <f>IF('BOULEVARD 5'!E277="","",'BOULEVARD 5'!E277)</f>
        <v/>
      </c>
      <c r="G279" s="429" t="str">
        <f>IF('BOULEVARD 5'!F277="","",'BOULEVARD 5'!F277)</f>
        <v/>
      </c>
      <c r="H279" s="473" t="str">
        <f>IF('BOULEVARD 5'!G277="","",'BOULEVARD 5'!G277)</f>
        <v/>
      </c>
      <c r="I279" s="554" t="str">
        <f t="shared" si="61"/>
        <v/>
      </c>
      <c r="J279" s="554" t="str">
        <f t="shared" si="61"/>
        <v/>
      </c>
      <c r="K279" s="554" t="str">
        <f t="shared" si="61"/>
        <v/>
      </c>
      <c r="L279" s="554" t="str">
        <f t="shared" si="61"/>
        <v/>
      </c>
      <c r="M279" s="554" t="str">
        <f t="shared" si="61"/>
        <v/>
      </c>
      <c r="N279" s="554" t="str">
        <f t="shared" si="61"/>
        <v/>
      </c>
      <c r="O279" s="554" t="str">
        <f t="shared" si="61"/>
        <v/>
      </c>
      <c r="P279" s="554" t="str">
        <f t="shared" si="61"/>
        <v/>
      </c>
      <c r="Q279" s="554" t="str">
        <f t="shared" si="61"/>
        <v/>
      </c>
      <c r="R279" s="554" t="str">
        <f t="shared" si="61"/>
        <v/>
      </c>
      <c r="S279" s="554" t="str">
        <f t="shared" si="61"/>
        <v/>
      </c>
      <c r="T279" s="554" t="str">
        <f t="shared" si="61"/>
        <v/>
      </c>
      <c r="U279" s="554" t="str">
        <f t="shared" si="61"/>
        <v/>
      </c>
      <c r="V279" s="554" t="str">
        <f t="shared" si="61"/>
        <v/>
      </c>
      <c r="W279" s="554" t="str">
        <f t="shared" si="61"/>
        <v/>
      </c>
      <c r="X279" s="554" t="str">
        <f t="shared" si="59"/>
        <v/>
      </c>
      <c r="Y279" s="554" t="str">
        <f t="shared" si="59"/>
        <v/>
      </c>
      <c r="Z279" s="554" t="str">
        <f t="shared" si="59"/>
        <v/>
      </c>
      <c r="AA279" s="554" t="str">
        <f t="shared" si="59"/>
        <v/>
      </c>
      <c r="AB279" s="554" t="str">
        <f t="shared" si="59"/>
        <v/>
      </c>
      <c r="AC279" s="554" t="str">
        <f t="shared" si="59"/>
        <v/>
      </c>
      <c r="AD279" s="554" t="str">
        <f t="shared" si="59"/>
        <v/>
      </c>
      <c r="AE279" s="554" t="str">
        <f t="shared" si="59"/>
        <v/>
      </c>
      <c r="AF279" s="554" t="str">
        <f t="shared" si="59"/>
        <v/>
      </c>
      <c r="AG279" s="554" t="str">
        <f t="shared" si="59"/>
        <v/>
      </c>
      <c r="AH279" s="554" t="str">
        <f t="shared" si="59"/>
        <v/>
      </c>
      <c r="AI279" s="554" t="str">
        <f t="shared" si="59"/>
        <v/>
      </c>
      <c r="AJ279" s="554" t="str">
        <f t="shared" si="59"/>
        <v/>
      </c>
      <c r="AK279" s="554" t="str">
        <f t="shared" si="59"/>
        <v/>
      </c>
      <c r="AL279" s="554" t="str">
        <f t="shared" si="59"/>
        <v/>
      </c>
      <c r="AM279" s="554" t="str">
        <f t="shared" si="59"/>
        <v/>
      </c>
      <c r="AN279" s="554" t="str">
        <f t="shared" si="60"/>
        <v/>
      </c>
      <c r="AO279" s="554" t="str">
        <f t="shared" si="60"/>
        <v/>
      </c>
      <c r="AP279" s="554" t="str">
        <f t="shared" si="60"/>
        <v/>
      </c>
      <c r="AQ279" s="429" t="str">
        <f t="shared" si="62"/>
        <v>No Vendido</v>
      </c>
      <c r="AR279" s="447">
        <f>_xlfn.XLOOKUP(C279,'BOULEVARD 5'!B:B,'BOULEVARD 5'!AU:AU)</f>
        <v>0</v>
      </c>
    </row>
    <row r="280" spans="1:44" s="429" customFormat="1" ht="13.9" customHeight="1" x14ac:dyDescent="0.25">
      <c r="A280" s="429" t="s">
        <v>388</v>
      </c>
      <c r="B280" s="678"/>
      <c r="C280" s="436">
        <v>1607</v>
      </c>
      <c r="D280" s="436" t="s">
        <v>398</v>
      </c>
      <c r="E280" s="436"/>
      <c r="F280" s="436" t="str">
        <f>IF('BOULEVARD 5'!E278="","",'BOULEVARD 5'!E278)</f>
        <v>Brenda Búcaro</v>
      </c>
      <c r="G280" s="466" t="str">
        <f>IF('BOULEVARD 5'!F278="","",'BOULEVARD 5'!F278)</f>
        <v>Edvin Carlos Cifuentes Salguero - Inmobiliaria Quince</v>
      </c>
      <c r="H280" s="473">
        <f>IF('BOULEVARD 5'!G278="","",'BOULEVARD 5'!G278)</f>
        <v>45077</v>
      </c>
      <c r="I280" s="554" t="str">
        <f t="shared" si="61"/>
        <v/>
      </c>
      <c r="J280" s="554" t="str">
        <f t="shared" si="61"/>
        <v/>
      </c>
      <c r="K280" s="554">
        <f t="shared" si="61"/>
        <v>1</v>
      </c>
      <c r="L280" s="554">
        <f t="shared" si="61"/>
        <v>2</v>
      </c>
      <c r="M280" s="554">
        <f t="shared" si="61"/>
        <v>2</v>
      </c>
      <c r="N280" s="554">
        <f t="shared" si="61"/>
        <v>2</v>
      </c>
      <c r="O280" s="554">
        <f t="shared" si="61"/>
        <v>2</v>
      </c>
      <c r="P280" s="554">
        <f t="shared" si="61"/>
        <v>2</v>
      </c>
      <c r="Q280" s="554">
        <f t="shared" si="61"/>
        <v>2</v>
      </c>
      <c r="R280" s="554">
        <f t="shared" si="61"/>
        <v>2</v>
      </c>
      <c r="S280" s="554">
        <f t="shared" si="61"/>
        <v>2</v>
      </c>
      <c r="T280" s="554">
        <f t="shared" si="61"/>
        <v>2</v>
      </c>
      <c r="U280" s="554">
        <f t="shared" si="61"/>
        <v>2</v>
      </c>
      <c r="V280" s="554">
        <f t="shared" si="61"/>
        <v>2</v>
      </c>
      <c r="W280" s="554">
        <f t="shared" si="61"/>
        <v>2</v>
      </c>
      <c r="X280" s="554">
        <f t="shared" si="59"/>
        <v>2</v>
      </c>
      <c r="Y280" s="554">
        <f t="shared" si="59"/>
        <v>2</v>
      </c>
      <c r="Z280" s="554">
        <f t="shared" si="59"/>
        <v>2</v>
      </c>
      <c r="AA280" s="554">
        <f t="shared" si="59"/>
        <v>2</v>
      </c>
      <c r="AB280" s="554">
        <f t="shared" si="59"/>
        <v>2</v>
      </c>
      <c r="AC280" s="554">
        <f t="shared" si="59"/>
        <v>2</v>
      </c>
      <c r="AD280" s="554">
        <f t="shared" si="59"/>
        <v>2</v>
      </c>
      <c r="AE280" s="554">
        <f t="shared" si="59"/>
        <v>2</v>
      </c>
      <c r="AF280" s="554">
        <f t="shared" si="59"/>
        <v>2</v>
      </c>
      <c r="AG280" s="554">
        <f t="shared" si="59"/>
        <v>2</v>
      </c>
      <c r="AH280" s="554">
        <f t="shared" si="59"/>
        <v>2</v>
      </c>
      <c r="AI280" s="554">
        <f t="shared" si="59"/>
        <v>2</v>
      </c>
      <c r="AJ280" s="554">
        <f t="shared" si="59"/>
        <v>2</v>
      </c>
      <c r="AK280" s="554">
        <f t="shared" si="59"/>
        <v>2</v>
      </c>
      <c r="AL280" s="554">
        <f t="shared" si="59"/>
        <v>2</v>
      </c>
      <c r="AM280" s="554">
        <f t="shared" ref="AM280:AP306" si="63">IF(OR($B280="F&amp;F",$B280="CE",$H280=""),"",IF(TEXT(AM$8,"yyyymm")=TEXT($H280,"yyyymm"),1,IF(TEXT(AM$8,"yyyymm")&gt;TEXT($H280,"yyyymm"),2,IF(AM$8&lt;$H280,"",0))))</f>
        <v>2</v>
      </c>
      <c r="AN280" s="554">
        <f t="shared" si="60"/>
        <v>2</v>
      </c>
      <c r="AO280" s="554">
        <f t="shared" si="60"/>
        <v>2</v>
      </c>
      <c r="AP280" s="554">
        <f t="shared" si="60"/>
        <v>2</v>
      </c>
      <c r="AQ280" s="429" t="str">
        <f t="shared" si="62"/>
        <v>Vendido</v>
      </c>
      <c r="AR280" s="447">
        <f>_xlfn.XLOOKUP(C280,'BOULEVARD 5'!B:B,'BOULEVARD 5'!AU:AU)</f>
        <v>0.14632718759145449</v>
      </c>
    </row>
    <row r="281" spans="1:44" s="429" customFormat="1" ht="13.9" customHeight="1" x14ac:dyDescent="0.25">
      <c r="B281" s="678" t="str">
        <f>IF('B5-Status cobranza'!A281&gt;0,'B5-Status cobranza'!A281,"")</f>
        <v>F&amp;F</v>
      </c>
      <c r="C281" s="475">
        <v>1608</v>
      </c>
      <c r="D281" s="475" t="s">
        <v>399</v>
      </c>
      <c r="E281" s="475"/>
      <c r="F281" s="475" t="str">
        <f>IF('BOULEVARD 5'!E279="","",'BOULEVARD 5'!E279)</f>
        <v>Jose Franco</v>
      </c>
      <c r="G281" s="476" t="str">
        <f>IF('BOULEVARD 5'!F279="","",'BOULEVARD 5'!F279)</f>
        <v>María Carolina Arimany Comas</v>
      </c>
      <c r="H281" s="473">
        <f>IF('BOULEVARD 5'!G279="","",'BOULEVARD 5'!G279)</f>
        <v>45013</v>
      </c>
      <c r="I281" s="554" t="str">
        <f t="shared" si="61"/>
        <v/>
      </c>
      <c r="J281" s="554" t="str">
        <f t="shared" si="61"/>
        <v/>
      </c>
      <c r="K281" s="554" t="str">
        <f t="shared" si="61"/>
        <v/>
      </c>
      <c r="L281" s="554" t="str">
        <f t="shared" si="61"/>
        <v/>
      </c>
      <c r="M281" s="554" t="str">
        <f t="shared" si="61"/>
        <v/>
      </c>
      <c r="N281" s="554" t="str">
        <f t="shared" si="61"/>
        <v/>
      </c>
      <c r="O281" s="554" t="str">
        <f t="shared" si="61"/>
        <v/>
      </c>
      <c r="P281" s="554" t="str">
        <f t="shared" si="61"/>
        <v/>
      </c>
      <c r="Q281" s="554" t="str">
        <f t="shared" si="61"/>
        <v/>
      </c>
      <c r="R281" s="554" t="str">
        <f t="shared" si="61"/>
        <v/>
      </c>
      <c r="S281" s="554" t="str">
        <f t="shared" si="61"/>
        <v/>
      </c>
      <c r="T281" s="554" t="str">
        <f t="shared" si="61"/>
        <v/>
      </c>
      <c r="U281" s="554" t="str">
        <f t="shared" si="61"/>
        <v/>
      </c>
      <c r="V281" s="554" t="str">
        <f t="shared" si="61"/>
        <v/>
      </c>
      <c r="W281" s="554" t="str">
        <f t="shared" si="61"/>
        <v/>
      </c>
      <c r="X281" s="554" t="str">
        <f t="shared" si="61"/>
        <v/>
      </c>
      <c r="Y281" s="554" t="str">
        <f t="shared" ref="Y281:AL296" si="64">IF(OR($B281="F&amp;F",$B281="CE",$H281=""),"",IF(TEXT(Y$8,"yyyymm")=TEXT($H281,"yyyymm"),1,IF(TEXT(Y$8,"yyyymm")&gt;TEXT($H281,"yyyymm"),2,IF(Y$8&lt;$H281,"",0))))</f>
        <v/>
      </c>
      <c r="Z281" s="554" t="str">
        <f t="shared" si="64"/>
        <v/>
      </c>
      <c r="AA281" s="554" t="str">
        <f t="shared" si="64"/>
        <v/>
      </c>
      <c r="AB281" s="554" t="str">
        <f t="shared" si="64"/>
        <v/>
      </c>
      <c r="AC281" s="554" t="str">
        <f t="shared" si="64"/>
        <v/>
      </c>
      <c r="AD281" s="554" t="str">
        <f t="shared" si="64"/>
        <v/>
      </c>
      <c r="AE281" s="554" t="str">
        <f t="shared" si="64"/>
        <v/>
      </c>
      <c r="AF281" s="554" t="str">
        <f t="shared" si="64"/>
        <v/>
      </c>
      <c r="AG281" s="554" t="str">
        <f t="shared" si="64"/>
        <v/>
      </c>
      <c r="AH281" s="554" t="str">
        <f t="shared" si="64"/>
        <v/>
      </c>
      <c r="AI281" s="554" t="str">
        <f t="shared" si="64"/>
        <v/>
      </c>
      <c r="AJ281" s="554" t="str">
        <f t="shared" si="64"/>
        <v/>
      </c>
      <c r="AK281" s="554" t="str">
        <f t="shared" si="64"/>
        <v/>
      </c>
      <c r="AL281" s="554" t="str">
        <f t="shared" si="64"/>
        <v/>
      </c>
      <c r="AM281" s="554" t="str">
        <f t="shared" si="63"/>
        <v/>
      </c>
      <c r="AN281" s="554" t="str">
        <f t="shared" si="60"/>
        <v/>
      </c>
      <c r="AO281" s="554" t="str">
        <f t="shared" si="60"/>
        <v/>
      </c>
      <c r="AP281" s="554" t="str">
        <f t="shared" si="60"/>
        <v/>
      </c>
      <c r="AQ281" s="429" t="str">
        <f t="shared" si="62"/>
        <v>Vendido</v>
      </c>
      <c r="AR281" s="447">
        <f>_xlfn.XLOOKUP(C281,'BOULEVARD 5'!B:B,'BOULEVARD 5'!AU:AU)</f>
        <v>5.1971450349941099E-2</v>
      </c>
    </row>
    <row r="282" spans="1:44" s="429" customFormat="1" ht="13.9" customHeight="1" x14ac:dyDescent="0.25">
      <c r="B282" s="678" t="str">
        <f>IF('B5-Status cobranza'!A282&gt;0,'B5-Status cobranza'!A282,"")</f>
        <v/>
      </c>
      <c r="C282" s="436">
        <v>1609</v>
      </c>
      <c r="D282" s="436" t="s">
        <v>400</v>
      </c>
      <c r="E282" s="436"/>
      <c r="F282" s="436" t="str">
        <f>IF('BOULEVARD 5'!E280="","",'BOULEVARD 5'!E280)</f>
        <v>Antonio Rada</v>
      </c>
      <c r="G282" s="429" t="str">
        <f>IF('BOULEVARD 5'!F280="","",'BOULEVARD 5'!F280)</f>
        <v>Christian Josue Colindres Sandoval</v>
      </c>
      <c r="H282" s="473">
        <f>IF('BOULEVARD 5'!G280="","",'BOULEVARD 5'!G280)</f>
        <v>45010</v>
      </c>
      <c r="I282" s="554">
        <f t="shared" ref="I282:X297" si="65">IF(OR($B282="F&amp;F",$B282="CE",$H282=""),"",IF(TEXT(I$8,"yyyymm")=TEXT($H282,"yyyymm"),1,IF(TEXT(I$8,"yyyymm")&gt;TEXT($H282,"yyyymm"),2,IF(I$8&lt;$H282,"",0))))</f>
        <v>1</v>
      </c>
      <c r="J282" s="554">
        <f t="shared" si="65"/>
        <v>2</v>
      </c>
      <c r="K282" s="554">
        <f t="shared" si="65"/>
        <v>2</v>
      </c>
      <c r="L282" s="554">
        <f t="shared" si="65"/>
        <v>2</v>
      </c>
      <c r="M282" s="554">
        <f t="shared" si="65"/>
        <v>2</v>
      </c>
      <c r="N282" s="554">
        <f t="shared" si="65"/>
        <v>2</v>
      </c>
      <c r="O282" s="554">
        <f t="shared" si="65"/>
        <v>2</v>
      </c>
      <c r="P282" s="554">
        <f t="shared" si="65"/>
        <v>2</v>
      </c>
      <c r="Q282" s="554">
        <f t="shared" si="65"/>
        <v>2</v>
      </c>
      <c r="R282" s="554">
        <f t="shared" si="65"/>
        <v>2</v>
      </c>
      <c r="S282" s="554">
        <f t="shared" si="65"/>
        <v>2</v>
      </c>
      <c r="T282" s="554">
        <f t="shared" si="65"/>
        <v>2</v>
      </c>
      <c r="U282" s="554">
        <f t="shared" si="65"/>
        <v>2</v>
      </c>
      <c r="V282" s="554">
        <f t="shared" si="65"/>
        <v>2</v>
      </c>
      <c r="W282" s="554">
        <f t="shared" si="65"/>
        <v>2</v>
      </c>
      <c r="X282" s="554">
        <f t="shared" si="65"/>
        <v>2</v>
      </c>
      <c r="Y282" s="554">
        <f t="shared" si="64"/>
        <v>2</v>
      </c>
      <c r="Z282" s="554">
        <f t="shared" si="64"/>
        <v>2</v>
      </c>
      <c r="AA282" s="554">
        <f t="shared" si="64"/>
        <v>2</v>
      </c>
      <c r="AB282" s="554">
        <f t="shared" si="64"/>
        <v>2</v>
      </c>
      <c r="AC282" s="554">
        <f t="shared" si="64"/>
        <v>2</v>
      </c>
      <c r="AD282" s="554">
        <f t="shared" si="64"/>
        <v>2</v>
      </c>
      <c r="AE282" s="554">
        <f t="shared" si="64"/>
        <v>2</v>
      </c>
      <c r="AF282" s="554">
        <f t="shared" si="64"/>
        <v>2</v>
      </c>
      <c r="AG282" s="554">
        <f t="shared" si="64"/>
        <v>2</v>
      </c>
      <c r="AH282" s="554">
        <f t="shared" si="64"/>
        <v>2</v>
      </c>
      <c r="AI282" s="554">
        <f t="shared" si="64"/>
        <v>2</v>
      </c>
      <c r="AJ282" s="554">
        <f t="shared" si="64"/>
        <v>2</v>
      </c>
      <c r="AK282" s="554">
        <f t="shared" si="64"/>
        <v>2</v>
      </c>
      <c r="AL282" s="554">
        <f t="shared" si="64"/>
        <v>2</v>
      </c>
      <c r="AM282" s="554">
        <f t="shared" si="63"/>
        <v>2</v>
      </c>
      <c r="AN282" s="554">
        <f t="shared" si="60"/>
        <v>2</v>
      </c>
      <c r="AO282" s="554">
        <f t="shared" si="60"/>
        <v>2</v>
      </c>
      <c r="AP282" s="554">
        <f t="shared" si="60"/>
        <v>2</v>
      </c>
      <c r="AQ282" s="429" t="str">
        <f t="shared" si="62"/>
        <v>Vendido</v>
      </c>
      <c r="AR282" s="447">
        <f>_xlfn.XLOOKUP(C282,'BOULEVARD 5'!B:B,'BOULEVARD 5'!AU:AU)</f>
        <v>0.89366780815636992</v>
      </c>
    </row>
    <row r="283" spans="1:44" s="429" customFormat="1" ht="13.9" customHeight="1" x14ac:dyDescent="0.25">
      <c r="B283" s="678" t="str">
        <f>IF('B5-Status cobranza'!A283&gt;0,'B5-Status cobranza'!A283,"")</f>
        <v/>
      </c>
      <c r="C283" s="436">
        <v>1610</v>
      </c>
      <c r="D283" s="436" t="s">
        <v>175</v>
      </c>
      <c r="E283" s="436"/>
      <c r="F283" s="436" t="str">
        <f>IF('BOULEVARD 5'!E281="","",'BOULEVARD 5'!E281)</f>
        <v>Antonio Rada</v>
      </c>
      <c r="G283" s="429" t="str">
        <f>IF('BOULEVARD 5'!F281="","",'BOULEVARD 5'!F281)</f>
        <v>Grupo Sak Y Sak, S.A.</v>
      </c>
      <c r="H283" s="473">
        <f>IF('BOULEVARD 5'!G281="","",'BOULEVARD 5'!G281)</f>
        <v>45077</v>
      </c>
      <c r="I283" s="554" t="str">
        <f t="shared" si="65"/>
        <v/>
      </c>
      <c r="J283" s="554" t="str">
        <f t="shared" si="65"/>
        <v/>
      </c>
      <c r="K283" s="554">
        <f t="shared" si="65"/>
        <v>1</v>
      </c>
      <c r="L283" s="554">
        <f t="shared" si="65"/>
        <v>2</v>
      </c>
      <c r="M283" s="554">
        <f t="shared" si="65"/>
        <v>2</v>
      </c>
      <c r="N283" s="554">
        <f t="shared" si="65"/>
        <v>2</v>
      </c>
      <c r="O283" s="554">
        <f t="shared" si="65"/>
        <v>2</v>
      </c>
      <c r="P283" s="554">
        <f t="shared" si="65"/>
        <v>2</v>
      </c>
      <c r="Q283" s="554">
        <f t="shared" si="65"/>
        <v>2</v>
      </c>
      <c r="R283" s="554">
        <f t="shared" si="65"/>
        <v>2</v>
      </c>
      <c r="S283" s="554">
        <f t="shared" si="65"/>
        <v>2</v>
      </c>
      <c r="T283" s="554">
        <f t="shared" si="65"/>
        <v>2</v>
      </c>
      <c r="U283" s="554">
        <f t="shared" si="65"/>
        <v>2</v>
      </c>
      <c r="V283" s="554">
        <f t="shared" si="65"/>
        <v>2</v>
      </c>
      <c r="W283" s="554">
        <f t="shared" si="65"/>
        <v>2</v>
      </c>
      <c r="X283" s="554">
        <f t="shared" si="65"/>
        <v>2</v>
      </c>
      <c r="Y283" s="554">
        <f t="shared" si="64"/>
        <v>2</v>
      </c>
      <c r="Z283" s="554">
        <f t="shared" si="64"/>
        <v>2</v>
      </c>
      <c r="AA283" s="554">
        <f t="shared" si="64"/>
        <v>2</v>
      </c>
      <c r="AB283" s="554">
        <f t="shared" si="64"/>
        <v>2</v>
      </c>
      <c r="AC283" s="554">
        <f t="shared" si="64"/>
        <v>2</v>
      </c>
      <c r="AD283" s="554">
        <f t="shared" si="64"/>
        <v>2</v>
      </c>
      <c r="AE283" s="554">
        <f t="shared" si="64"/>
        <v>2</v>
      </c>
      <c r="AF283" s="554">
        <f t="shared" si="64"/>
        <v>2</v>
      </c>
      <c r="AG283" s="554">
        <f t="shared" si="64"/>
        <v>2</v>
      </c>
      <c r="AH283" s="554">
        <f t="shared" si="64"/>
        <v>2</v>
      </c>
      <c r="AI283" s="554">
        <f t="shared" si="64"/>
        <v>2</v>
      </c>
      <c r="AJ283" s="554">
        <f t="shared" si="64"/>
        <v>2</v>
      </c>
      <c r="AK283" s="554">
        <f t="shared" si="64"/>
        <v>2</v>
      </c>
      <c r="AL283" s="554">
        <f t="shared" si="64"/>
        <v>2</v>
      </c>
      <c r="AM283" s="554">
        <f t="shared" si="63"/>
        <v>2</v>
      </c>
      <c r="AN283" s="554">
        <f t="shared" si="60"/>
        <v>2</v>
      </c>
      <c r="AO283" s="554">
        <f t="shared" si="60"/>
        <v>2</v>
      </c>
      <c r="AP283" s="554">
        <f t="shared" si="60"/>
        <v>2</v>
      </c>
      <c r="AQ283" s="429" t="str">
        <f t="shared" si="62"/>
        <v>Vendido</v>
      </c>
      <c r="AR283" s="447">
        <f>_xlfn.XLOOKUP(C283,'BOULEVARD 5'!B:B,'BOULEVARD 5'!AU:AU)</f>
        <v>0.93382828360383341</v>
      </c>
    </row>
    <row r="284" spans="1:44" s="429" customFormat="1" ht="13.9" customHeight="1" x14ac:dyDescent="0.25">
      <c r="B284" s="678" t="str">
        <f>IF('B5-Status cobranza'!A284&gt;0,'B5-Status cobranza'!A284,"")</f>
        <v/>
      </c>
      <c r="C284" s="436">
        <v>1611</v>
      </c>
      <c r="D284" s="436" t="s">
        <v>563</v>
      </c>
      <c r="E284" s="436"/>
      <c r="F284" s="436" t="str">
        <f>IF('BOULEVARD 5'!E282="","",'BOULEVARD 5'!E282)</f>
        <v>Brenda Búcaro</v>
      </c>
      <c r="G284" s="429" t="str">
        <f>IF('BOULEVARD 5'!F282="","",'BOULEVARD 5'!F282)</f>
        <v>Luis Alexander Valencia Mendez</v>
      </c>
      <c r="H284" s="473">
        <f>IF('BOULEVARD 5'!G282="","",'BOULEVARD 5'!G282)</f>
        <v>45970</v>
      </c>
      <c r="I284" s="554" t="str">
        <f t="shared" si="65"/>
        <v/>
      </c>
      <c r="J284" s="554" t="str">
        <f t="shared" si="65"/>
        <v/>
      </c>
      <c r="K284" s="554" t="str">
        <f t="shared" si="65"/>
        <v/>
      </c>
      <c r="L284" s="554" t="str">
        <f t="shared" si="65"/>
        <v/>
      </c>
      <c r="M284" s="554" t="str">
        <f t="shared" si="65"/>
        <v/>
      </c>
      <c r="N284" s="554" t="str">
        <f t="shared" si="65"/>
        <v/>
      </c>
      <c r="O284" s="554" t="str">
        <f t="shared" si="65"/>
        <v/>
      </c>
      <c r="P284" s="554" t="str">
        <f t="shared" si="65"/>
        <v/>
      </c>
      <c r="Q284" s="554" t="str">
        <f t="shared" si="65"/>
        <v/>
      </c>
      <c r="R284" s="554" t="str">
        <f t="shared" si="65"/>
        <v/>
      </c>
      <c r="S284" s="554" t="str">
        <f t="shared" si="65"/>
        <v/>
      </c>
      <c r="T284" s="554" t="str">
        <f t="shared" si="65"/>
        <v/>
      </c>
      <c r="U284" s="554" t="str">
        <f t="shared" si="65"/>
        <v/>
      </c>
      <c r="V284" s="554" t="str">
        <f t="shared" si="65"/>
        <v/>
      </c>
      <c r="W284" s="554" t="str">
        <f t="shared" si="65"/>
        <v/>
      </c>
      <c r="X284" s="554" t="str">
        <f t="shared" si="65"/>
        <v/>
      </c>
      <c r="Y284" s="554" t="str">
        <f t="shared" si="64"/>
        <v/>
      </c>
      <c r="Z284" s="554" t="str">
        <f t="shared" si="64"/>
        <v/>
      </c>
      <c r="AA284" s="554" t="str">
        <f t="shared" si="64"/>
        <v/>
      </c>
      <c r="AB284" s="554" t="str">
        <f t="shared" si="64"/>
        <v/>
      </c>
      <c r="AC284" s="554" t="str">
        <f t="shared" si="64"/>
        <v/>
      </c>
      <c r="AD284" s="554" t="str">
        <f t="shared" si="64"/>
        <v/>
      </c>
      <c r="AE284" s="554" t="str">
        <f t="shared" si="64"/>
        <v/>
      </c>
      <c r="AF284" s="554" t="str">
        <f t="shared" si="64"/>
        <v/>
      </c>
      <c r="AG284" s="554" t="str">
        <f t="shared" si="64"/>
        <v/>
      </c>
      <c r="AH284" s="554" t="str">
        <f t="shared" si="64"/>
        <v/>
      </c>
      <c r="AI284" s="554" t="str">
        <f t="shared" si="64"/>
        <v/>
      </c>
      <c r="AJ284" s="554" t="str">
        <f t="shared" si="64"/>
        <v/>
      </c>
      <c r="AK284" s="554" t="str">
        <f t="shared" si="64"/>
        <v/>
      </c>
      <c r="AL284" s="554" t="str">
        <f t="shared" si="64"/>
        <v/>
      </c>
      <c r="AM284" s="554" t="str">
        <f t="shared" si="63"/>
        <v/>
      </c>
      <c r="AN284" s="554" t="str">
        <f t="shared" si="60"/>
        <v/>
      </c>
      <c r="AO284" s="554">
        <f t="shared" si="60"/>
        <v>1</v>
      </c>
      <c r="AP284" s="554">
        <f t="shared" si="60"/>
        <v>2</v>
      </c>
      <c r="AQ284" s="429" t="str">
        <f t="shared" si="62"/>
        <v>Vendido</v>
      </c>
      <c r="AR284" s="447">
        <f>_xlfn.XLOOKUP(C284,'BOULEVARD 5'!B:B,'BOULEVARD 5'!AU:AU)</f>
        <v>0.47984644913627639</v>
      </c>
    </row>
    <row r="285" spans="1:44" s="429" customFormat="1" ht="13.9" customHeight="1" x14ac:dyDescent="0.25">
      <c r="B285" s="678" t="str">
        <f>IF('B5-Status cobranza'!A285&gt;0,'B5-Status cobranza'!A285,"")</f>
        <v/>
      </c>
      <c r="C285" s="436">
        <v>1612</v>
      </c>
      <c r="D285" s="436" t="s">
        <v>565</v>
      </c>
      <c r="E285" s="436"/>
      <c r="F285" s="436" t="str">
        <f>IF('BOULEVARD 5'!E283="","",'BOULEVARD 5'!E283)</f>
        <v/>
      </c>
      <c r="G285" s="429" t="str">
        <f>IF('BOULEVARD 5'!F283="","",'BOULEVARD 5'!F283)</f>
        <v/>
      </c>
      <c r="H285" s="473" t="str">
        <f>IF('BOULEVARD 5'!G283="","",'BOULEVARD 5'!G283)</f>
        <v/>
      </c>
      <c r="I285" s="554" t="str">
        <f t="shared" si="65"/>
        <v/>
      </c>
      <c r="J285" s="554" t="str">
        <f t="shared" si="65"/>
        <v/>
      </c>
      <c r="K285" s="554" t="str">
        <f t="shared" si="65"/>
        <v/>
      </c>
      <c r="L285" s="554" t="str">
        <f t="shared" si="65"/>
        <v/>
      </c>
      <c r="M285" s="554" t="str">
        <f t="shared" si="65"/>
        <v/>
      </c>
      <c r="N285" s="554" t="str">
        <f t="shared" si="65"/>
        <v/>
      </c>
      <c r="O285" s="554" t="str">
        <f t="shared" si="65"/>
        <v/>
      </c>
      <c r="P285" s="554" t="str">
        <f t="shared" si="65"/>
        <v/>
      </c>
      <c r="Q285" s="554" t="str">
        <f t="shared" si="65"/>
        <v/>
      </c>
      <c r="R285" s="554" t="str">
        <f t="shared" si="65"/>
        <v/>
      </c>
      <c r="S285" s="554" t="str">
        <f t="shared" si="65"/>
        <v/>
      </c>
      <c r="T285" s="554" t="str">
        <f t="shared" si="65"/>
        <v/>
      </c>
      <c r="U285" s="554" t="str">
        <f t="shared" si="65"/>
        <v/>
      </c>
      <c r="V285" s="554" t="str">
        <f t="shared" si="65"/>
        <v/>
      </c>
      <c r="W285" s="554" t="str">
        <f t="shared" si="65"/>
        <v/>
      </c>
      <c r="X285" s="554" t="str">
        <f t="shared" si="65"/>
        <v/>
      </c>
      <c r="Y285" s="554" t="str">
        <f t="shared" si="64"/>
        <v/>
      </c>
      <c r="Z285" s="554" t="str">
        <f t="shared" si="64"/>
        <v/>
      </c>
      <c r="AA285" s="554" t="str">
        <f t="shared" si="64"/>
        <v/>
      </c>
      <c r="AB285" s="554" t="str">
        <f t="shared" si="64"/>
        <v/>
      </c>
      <c r="AC285" s="554" t="str">
        <f t="shared" si="64"/>
        <v/>
      </c>
      <c r="AD285" s="554" t="str">
        <f t="shared" si="64"/>
        <v/>
      </c>
      <c r="AE285" s="554" t="str">
        <f t="shared" si="64"/>
        <v/>
      </c>
      <c r="AF285" s="554" t="str">
        <f t="shared" si="64"/>
        <v/>
      </c>
      <c r="AG285" s="554" t="str">
        <f t="shared" si="64"/>
        <v/>
      </c>
      <c r="AH285" s="554" t="str">
        <f t="shared" si="64"/>
        <v/>
      </c>
      <c r="AI285" s="554" t="str">
        <f t="shared" si="64"/>
        <v/>
      </c>
      <c r="AJ285" s="554" t="str">
        <f t="shared" si="64"/>
        <v/>
      </c>
      <c r="AK285" s="554" t="str">
        <f t="shared" si="64"/>
        <v/>
      </c>
      <c r="AL285" s="554" t="str">
        <f t="shared" si="64"/>
        <v/>
      </c>
      <c r="AM285" s="554" t="str">
        <f t="shared" si="63"/>
        <v/>
      </c>
      <c r="AN285" s="554" t="str">
        <f t="shared" si="63"/>
        <v/>
      </c>
      <c r="AO285" s="554" t="str">
        <f t="shared" si="63"/>
        <v/>
      </c>
      <c r="AP285" s="554" t="str">
        <f t="shared" si="63"/>
        <v/>
      </c>
      <c r="AQ285" s="429" t="str">
        <f t="shared" si="62"/>
        <v>No Vendido</v>
      </c>
      <c r="AR285" s="447">
        <f>_xlfn.XLOOKUP(C285,'BOULEVARD 5'!B:B,'BOULEVARD 5'!AU:AU)</f>
        <v>0</v>
      </c>
    </row>
    <row r="286" spans="1:44" s="429" customFormat="1" ht="13.9" customHeight="1" x14ac:dyDescent="0.25">
      <c r="B286" s="678" t="str">
        <f>IF('B5-Status cobranza'!A286&gt;0,'B5-Status cobranza'!A286,"")</f>
        <v>F&amp;F</v>
      </c>
      <c r="C286" s="475">
        <v>1701</v>
      </c>
      <c r="D286" s="475" t="s">
        <v>683</v>
      </c>
      <c r="E286" s="475"/>
      <c r="F286" s="475" t="str">
        <f>IF('BOULEVARD 5'!E284="","",'BOULEVARD 5'!E284)</f>
        <v>Brenda Búcaro</v>
      </c>
      <c r="G286" s="476" t="str">
        <f>IF('BOULEVARD 5'!F284="","",'BOULEVARD 5'!F284)</f>
        <v>Ramiro José Muñoz Jordán - Emilia Larrazabal</v>
      </c>
      <c r="H286" s="473">
        <f>IF('BOULEVARD 5'!G284="","",'BOULEVARD 5'!G284)</f>
        <v>45014</v>
      </c>
      <c r="I286" s="554" t="str">
        <f t="shared" si="65"/>
        <v/>
      </c>
      <c r="J286" s="554" t="str">
        <f t="shared" si="65"/>
        <v/>
      </c>
      <c r="K286" s="554" t="str">
        <f t="shared" si="65"/>
        <v/>
      </c>
      <c r="L286" s="554" t="str">
        <f t="shared" si="65"/>
        <v/>
      </c>
      <c r="M286" s="554" t="str">
        <f t="shared" si="65"/>
        <v/>
      </c>
      <c r="N286" s="554" t="str">
        <f t="shared" si="65"/>
        <v/>
      </c>
      <c r="O286" s="554" t="str">
        <f t="shared" si="65"/>
        <v/>
      </c>
      <c r="P286" s="554" t="str">
        <f t="shared" si="65"/>
        <v/>
      </c>
      <c r="Q286" s="554" t="str">
        <f t="shared" si="65"/>
        <v/>
      </c>
      <c r="R286" s="554" t="str">
        <f t="shared" si="65"/>
        <v/>
      </c>
      <c r="S286" s="554" t="str">
        <f t="shared" si="65"/>
        <v/>
      </c>
      <c r="T286" s="554" t="str">
        <f t="shared" si="65"/>
        <v/>
      </c>
      <c r="U286" s="554" t="str">
        <f t="shared" si="65"/>
        <v/>
      </c>
      <c r="V286" s="554" t="str">
        <f t="shared" si="65"/>
        <v/>
      </c>
      <c r="W286" s="554" t="str">
        <f t="shared" si="65"/>
        <v/>
      </c>
      <c r="X286" s="554" t="str">
        <f t="shared" si="65"/>
        <v/>
      </c>
      <c r="Y286" s="554" t="str">
        <f t="shared" si="64"/>
        <v/>
      </c>
      <c r="Z286" s="554" t="str">
        <f t="shared" si="64"/>
        <v/>
      </c>
      <c r="AA286" s="554" t="str">
        <f t="shared" si="64"/>
        <v/>
      </c>
      <c r="AB286" s="554" t="str">
        <f t="shared" si="64"/>
        <v/>
      </c>
      <c r="AC286" s="554" t="str">
        <f t="shared" si="64"/>
        <v/>
      </c>
      <c r="AD286" s="554" t="str">
        <f t="shared" si="64"/>
        <v/>
      </c>
      <c r="AE286" s="554" t="str">
        <f t="shared" si="64"/>
        <v/>
      </c>
      <c r="AF286" s="554" t="str">
        <f t="shared" si="64"/>
        <v/>
      </c>
      <c r="AG286" s="554" t="str">
        <f t="shared" si="64"/>
        <v/>
      </c>
      <c r="AH286" s="554" t="str">
        <f t="shared" si="64"/>
        <v/>
      </c>
      <c r="AI286" s="554" t="str">
        <f t="shared" si="64"/>
        <v/>
      </c>
      <c r="AJ286" s="554" t="str">
        <f t="shared" si="64"/>
        <v/>
      </c>
      <c r="AK286" s="554" t="str">
        <f t="shared" si="64"/>
        <v/>
      </c>
      <c r="AL286" s="554" t="str">
        <f t="shared" si="64"/>
        <v/>
      </c>
      <c r="AM286" s="554" t="str">
        <f t="shared" si="63"/>
        <v/>
      </c>
      <c r="AN286" s="554" t="str">
        <f t="shared" si="63"/>
        <v/>
      </c>
      <c r="AO286" s="554" t="str">
        <f t="shared" si="63"/>
        <v/>
      </c>
      <c r="AP286" s="554" t="str">
        <f t="shared" si="63"/>
        <v/>
      </c>
      <c r="AQ286" s="429" t="str">
        <f t="shared" si="62"/>
        <v>Vendido</v>
      </c>
      <c r="AR286" s="447">
        <f>_xlfn.XLOOKUP(C286,'BOULEVARD 5'!B:B,'BOULEVARD 5'!AU:AU)</f>
        <v>0.56805925073703889</v>
      </c>
    </row>
    <row r="287" spans="1:44" s="429" customFormat="1" ht="13.9" customHeight="1" x14ac:dyDescent="0.25">
      <c r="B287" s="678" t="str">
        <f>IF('B5-Status cobranza'!A287&gt;0,'B5-Status cobranza'!A287,"")</f>
        <v/>
      </c>
      <c r="C287" s="436">
        <v>1702</v>
      </c>
      <c r="D287" s="436" t="s">
        <v>198</v>
      </c>
      <c r="E287" s="436"/>
      <c r="F287" s="436" t="str">
        <f>IF('BOULEVARD 5'!E285="","",'BOULEVARD 5'!E285)</f>
        <v>Brenda Búcaro</v>
      </c>
      <c r="G287" s="429" t="str">
        <f>IF('BOULEVARD 5'!F285="","",'BOULEVARD 5'!F285)</f>
        <v>David Alejandro Donis Lopez</v>
      </c>
      <c r="H287" s="473">
        <f>IF('BOULEVARD 5'!G285="","",'BOULEVARD 5'!G285)</f>
        <v>45031</v>
      </c>
      <c r="I287" s="554" t="str">
        <f t="shared" si="65"/>
        <v/>
      </c>
      <c r="J287" s="554">
        <f t="shared" si="65"/>
        <v>1</v>
      </c>
      <c r="K287" s="554">
        <f t="shared" si="65"/>
        <v>2</v>
      </c>
      <c r="L287" s="554">
        <f t="shared" si="65"/>
        <v>2</v>
      </c>
      <c r="M287" s="554">
        <f t="shared" si="65"/>
        <v>2</v>
      </c>
      <c r="N287" s="554">
        <f t="shared" si="65"/>
        <v>2</v>
      </c>
      <c r="O287" s="554">
        <f t="shared" si="65"/>
        <v>2</v>
      </c>
      <c r="P287" s="554">
        <f t="shared" si="65"/>
        <v>2</v>
      </c>
      <c r="Q287" s="554">
        <f t="shared" si="65"/>
        <v>2</v>
      </c>
      <c r="R287" s="554">
        <f t="shared" si="65"/>
        <v>2</v>
      </c>
      <c r="S287" s="554">
        <f t="shared" si="65"/>
        <v>2</v>
      </c>
      <c r="T287" s="554">
        <f t="shared" si="65"/>
        <v>2</v>
      </c>
      <c r="U287" s="554">
        <f t="shared" si="65"/>
        <v>2</v>
      </c>
      <c r="V287" s="554">
        <f t="shared" si="65"/>
        <v>2</v>
      </c>
      <c r="W287" s="554">
        <f t="shared" si="65"/>
        <v>2</v>
      </c>
      <c r="X287" s="554">
        <f t="shared" si="65"/>
        <v>2</v>
      </c>
      <c r="Y287" s="554">
        <f t="shared" si="64"/>
        <v>2</v>
      </c>
      <c r="Z287" s="554">
        <f t="shared" si="64"/>
        <v>2</v>
      </c>
      <c r="AA287" s="554">
        <f t="shared" si="64"/>
        <v>2</v>
      </c>
      <c r="AB287" s="554">
        <f t="shared" si="64"/>
        <v>2</v>
      </c>
      <c r="AC287" s="554">
        <f t="shared" si="64"/>
        <v>2</v>
      </c>
      <c r="AD287" s="554">
        <f t="shared" si="64"/>
        <v>2</v>
      </c>
      <c r="AE287" s="554">
        <f t="shared" si="64"/>
        <v>2</v>
      </c>
      <c r="AF287" s="554">
        <f t="shared" si="64"/>
        <v>2</v>
      </c>
      <c r="AG287" s="554">
        <f t="shared" si="64"/>
        <v>2</v>
      </c>
      <c r="AH287" s="554">
        <f t="shared" si="64"/>
        <v>2</v>
      </c>
      <c r="AI287" s="554">
        <f t="shared" si="64"/>
        <v>2</v>
      </c>
      <c r="AJ287" s="554">
        <f t="shared" si="64"/>
        <v>2</v>
      </c>
      <c r="AK287" s="554">
        <f t="shared" si="64"/>
        <v>2</v>
      </c>
      <c r="AL287" s="554">
        <f t="shared" si="64"/>
        <v>2</v>
      </c>
      <c r="AM287" s="554">
        <f t="shared" si="63"/>
        <v>2</v>
      </c>
      <c r="AN287" s="554">
        <f t="shared" si="63"/>
        <v>2</v>
      </c>
      <c r="AO287" s="554">
        <f t="shared" si="63"/>
        <v>2</v>
      </c>
      <c r="AP287" s="554">
        <f t="shared" si="63"/>
        <v>2</v>
      </c>
      <c r="AQ287" s="429" t="str">
        <f t="shared" si="62"/>
        <v>Vendido</v>
      </c>
      <c r="AR287" s="447">
        <f>_xlfn.XLOOKUP(C287,'BOULEVARD 5'!B:B,'BOULEVARD 5'!AU:AU)</f>
        <v>1.0029985007496252</v>
      </c>
    </row>
    <row r="288" spans="1:44" s="429" customFormat="1" ht="13.9" customHeight="1" x14ac:dyDescent="0.25">
      <c r="B288" s="678" t="str">
        <f>IF('B5-Status cobranza'!A288&gt;0,'B5-Status cobranza'!A288,"")</f>
        <v/>
      </c>
      <c r="C288" s="436">
        <v>1703</v>
      </c>
      <c r="D288" s="436" t="s">
        <v>686</v>
      </c>
      <c r="E288" s="436"/>
      <c r="F288" s="436" t="str">
        <f>IF('BOULEVARD 5'!E286="","",'BOULEVARD 5'!E286)</f>
        <v>Antonio Rada</v>
      </c>
      <c r="G288" s="429" t="str">
        <f>IF('BOULEVARD 5'!F286="","",'BOULEVARD 5'!F286)</f>
        <v>Rolando Antonio Pineda Juarez</v>
      </c>
      <c r="H288" s="473">
        <f>IF('BOULEVARD 5'!G286="","",'BOULEVARD 5'!G286)</f>
        <v>45759</v>
      </c>
      <c r="I288" s="554" t="str">
        <f t="shared" si="65"/>
        <v/>
      </c>
      <c r="J288" s="554" t="str">
        <f t="shared" si="65"/>
        <v/>
      </c>
      <c r="K288" s="554" t="str">
        <f t="shared" si="65"/>
        <v/>
      </c>
      <c r="L288" s="554" t="str">
        <f t="shared" si="65"/>
        <v/>
      </c>
      <c r="M288" s="554" t="str">
        <f t="shared" si="65"/>
        <v/>
      </c>
      <c r="N288" s="554" t="str">
        <f t="shared" si="65"/>
        <v/>
      </c>
      <c r="O288" s="554" t="str">
        <f t="shared" si="65"/>
        <v/>
      </c>
      <c r="P288" s="554" t="str">
        <f t="shared" si="65"/>
        <v/>
      </c>
      <c r="Q288" s="554" t="str">
        <f t="shared" si="65"/>
        <v/>
      </c>
      <c r="R288" s="554" t="str">
        <f t="shared" si="65"/>
        <v/>
      </c>
      <c r="S288" s="554" t="str">
        <f t="shared" si="65"/>
        <v/>
      </c>
      <c r="T288" s="554" t="str">
        <f t="shared" si="65"/>
        <v/>
      </c>
      <c r="U288" s="554" t="str">
        <f t="shared" si="65"/>
        <v/>
      </c>
      <c r="V288" s="554" t="str">
        <f t="shared" si="65"/>
        <v/>
      </c>
      <c r="W288" s="554" t="str">
        <f t="shared" si="65"/>
        <v/>
      </c>
      <c r="X288" s="554" t="str">
        <f t="shared" si="65"/>
        <v/>
      </c>
      <c r="Y288" s="554" t="str">
        <f t="shared" si="64"/>
        <v/>
      </c>
      <c r="Z288" s="554" t="str">
        <f t="shared" si="64"/>
        <v/>
      </c>
      <c r="AA288" s="554" t="str">
        <f t="shared" si="64"/>
        <v/>
      </c>
      <c r="AB288" s="554" t="str">
        <f t="shared" si="64"/>
        <v/>
      </c>
      <c r="AC288" s="554" t="str">
        <f t="shared" si="64"/>
        <v/>
      </c>
      <c r="AD288" s="554" t="str">
        <f t="shared" si="64"/>
        <v/>
      </c>
      <c r="AE288" s="554" t="str">
        <f t="shared" si="64"/>
        <v/>
      </c>
      <c r="AF288" s="554" t="str">
        <f t="shared" si="64"/>
        <v/>
      </c>
      <c r="AG288" s="554" t="str">
        <f t="shared" si="64"/>
        <v/>
      </c>
      <c r="AH288" s="554">
        <f t="shared" si="64"/>
        <v>1</v>
      </c>
      <c r="AI288" s="554">
        <f t="shared" si="64"/>
        <v>2</v>
      </c>
      <c r="AJ288" s="554">
        <f t="shared" si="64"/>
        <v>2</v>
      </c>
      <c r="AK288" s="554">
        <f t="shared" si="64"/>
        <v>2</v>
      </c>
      <c r="AL288" s="554">
        <f t="shared" si="64"/>
        <v>2</v>
      </c>
      <c r="AM288" s="554">
        <f t="shared" si="63"/>
        <v>2</v>
      </c>
      <c r="AN288" s="554">
        <f t="shared" si="63"/>
        <v>2</v>
      </c>
      <c r="AO288" s="554">
        <f t="shared" si="63"/>
        <v>2</v>
      </c>
      <c r="AP288" s="554">
        <f t="shared" si="63"/>
        <v>2</v>
      </c>
      <c r="AQ288" s="429" t="str">
        <f t="shared" si="62"/>
        <v>Vendido</v>
      </c>
      <c r="AR288" s="447">
        <f>_xlfn.XLOOKUP(C288,'BOULEVARD 5'!B:B,'BOULEVARD 5'!AU:AU)</f>
        <v>0.92841379310344829</v>
      </c>
    </row>
    <row r="289" spans="1:44" s="429" customFormat="1" ht="13.9" customHeight="1" x14ac:dyDescent="0.25">
      <c r="B289" s="678" t="str">
        <f>IF('B5-Status cobranza'!A289&gt;0,'B5-Status cobranza'!A289,"")</f>
        <v/>
      </c>
      <c r="C289" s="436">
        <v>1704</v>
      </c>
      <c r="D289" s="436" t="s">
        <v>189</v>
      </c>
      <c r="E289" s="436"/>
      <c r="F289" s="436" t="str">
        <f>IF('BOULEVARD 5'!E287="","",'BOULEVARD 5'!E287)</f>
        <v>Brenda Búcaro</v>
      </c>
      <c r="G289" s="429" t="str">
        <f>IF('BOULEVARD 5'!F287="","",'BOULEVARD 5'!F287)</f>
        <v>Javier Andres Soto Coronado</v>
      </c>
      <c r="H289" s="473">
        <f>IF('BOULEVARD 5'!G287="","",'BOULEVARD 5'!G287)</f>
        <v>44995</v>
      </c>
      <c r="I289" s="554">
        <f t="shared" si="65"/>
        <v>1</v>
      </c>
      <c r="J289" s="554">
        <f t="shared" si="65"/>
        <v>2</v>
      </c>
      <c r="K289" s="554">
        <f t="shared" si="65"/>
        <v>2</v>
      </c>
      <c r="L289" s="554">
        <f t="shared" si="65"/>
        <v>2</v>
      </c>
      <c r="M289" s="554">
        <f t="shared" si="65"/>
        <v>2</v>
      </c>
      <c r="N289" s="554">
        <f t="shared" si="65"/>
        <v>2</v>
      </c>
      <c r="O289" s="554">
        <f t="shared" si="65"/>
        <v>2</v>
      </c>
      <c r="P289" s="554">
        <f t="shared" si="65"/>
        <v>2</v>
      </c>
      <c r="Q289" s="554">
        <f t="shared" si="65"/>
        <v>2</v>
      </c>
      <c r="R289" s="554">
        <f t="shared" si="65"/>
        <v>2</v>
      </c>
      <c r="S289" s="554">
        <f t="shared" si="65"/>
        <v>2</v>
      </c>
      <c r="T289" s="554">
        <f t="shared" si="65"/>
        <v>2</v>
      </c>
      <c r="U289" s="554">
        <f t="shared" si="65"/>
        <v>2</v>
      </c>
      <c r="V289" s="554">
        <f t="shared" si="65"/>
        <v>2</v>
      </c>
      <c r="W289" s="554">
        <f t="shared" si="65"/>
        <v>2</v>
      </c>
      <c r="X289" s="554">
        <f t="shared" si="65"/>
        <v>2</v>
      </c>
      <c r="Y289" s="554">
        <f t="shared" si="64"/>
        <v>2</v>
      </c>
      <c r="Z289" s="554">
        <f t="shared" si="64"/>
        <v>2</v>
      </c>
      <c r="AA289" s="554">
        <f t="shared" si="64"/>
        <v>2</v>
      </c>
      <c r="AB289" s="554">
        <f t="shared" si="64"/>
        <v>2</v>
      </c>
      <c r="AC289" s="554">
        <f t="shared" si="64"/>
        <v>2</v>
      </c>
      <c r="AD289" s="554">
        <f t="shared" si="64"/>
        <v>2</v>
      </c>
      <c r="AE289" s="554">
        <f t="shared" si="64"/>
        <v>2</v>
      </c>
      <c r="AF289" s="554">
        <f t="shared" si="64"/>
        <v>2</v>
      </c>
      <c r="AG289" s="554">
        <f t="shared" si="64"/>
        <v>2</v>
      </c>
      <c r="AH289" s="554">
        <f t="shared" si="64"/>
        <v>2</v>
      </c>
      <c r="AI289" s="554">
        <f t="shared" si="64"/>
        <v>2</v>
      </c>
      <c r="AJ289" s="554">
        <f t="shared" si="64"/>
        <v>2</v>
      </c>
      <c r="AK289" s="554">
        <f t="shared" si="64"/>
        <v>2</v>
      </c>
      <c r="AL289" s="554">
        <f t="shared" si="64"/>
        <v>2</v>
      </c>
      <c r="AM289" s="554">
        <f t="shared" si="63"/>
        <v>2</v>
      </c>
      <c r="AN289" s="554">
        <f t="shared" si="63"/>
        <v>2</v>
      </c>
      <c r="AO289" s="554">
        <f t="shared" si="63"/>
        <v>2</v>
      </c>
      <c r="AP289" s="554">
        <f t="shared" si="63"/>
        <v>2</v>
      </c>
      <c r="AQ289" s="429" t="str">
        <f t="shared" si="62"/>
        <v>Vendido</v>
      </c>
      <c r="AR289" s="447">
        <f>_xlfn.XLOOKUP(C289,'BOULEVARD 5'!B:B,'BOULEVARD 5'!AU:AU)</f>
        <v>0.89677419354838706</v>
      </c>
    </row>
    <row r="290" spans="1:44" s="429" customFormat="1" ht="13.9" customHeight="1" x14ac:dyDescent="0.25">
      <c r="A290" s="429" t="s">
        <v>388</v>
      </c>
      <c r="B290" s="678"/>
      <c r="C290" s="436">
        <v>1705</v>
      </c>
      <c r="D290" s="436" t="s">
        <v>689</v>
      </c>
      <c r="E290" s="436"/>
      <c r="F290" s="436" t="str">
        <f>IF('BOULEVARD 5'!E288="","",'BOULEVARD 5'!E288)</f>
        <v>Antonio Rada</v>
      </c>
      <c r="G290" s="429" t="str">
        <f>IF('BOULEVARD 5'!F288="","",'BOULEVARD 5'!F288)</f>
        <v>Maxi Alexander Mendez Moran</v>
      </c>
      <c r="H290" s="473">
        <f>IF('BOULEVARD 5'!G288="","",'BOULEVARD 5'!G288)</f>
        <v>45749</v>
      </c>
      <c r="I290" s="554" t="str">
        <f t="shared" si="65"/>
        <v/>
      </c>
      <c r="J290" s="554" t="str">
        <f t="shared" si="65"/>
        <v/>
      </c>
      <c r="K290" s="554" t="str">
        <f t="shared" si="65"/>
        <v/>
      </c>
      <c r="L290" s="554" t="str">
        <f t="shared" si="65"/>
        <v/>
      </c>
      <c r="M290" s="554" t="str">
        <f t="shared" si="65"/>
        <v/>
      </c>
      <c r="N290" s="554" t="str">
        <f t="shared" si="65"/>
        <v/>
      </c>
      <c r="O290" s="554" t="str">
        <f t="shared" si="65"/>
        <v/>
      </c>
      <c r="P290" s="554" t="str">
        <f t="shared" si="65"/>
        <v/>
      </c>
      <c r="Q290" s="554" t="str">
        <f t="shared" si="65"/>
        <v/>
      </c>
      <c r="R290" s="554" t="str">
        <f t="shared" si="65"/>
        <v/>
      </c>
      <c r="S290" s="554" t="str">
        <f t="shared" si="65"/>
        <v/>
      </c>
      <c r="T290" s="554" t="str">
        <f t="shared" si="65"/>
        <v/>
      </c>
      <c r="U290" s="554" t="str">
        <f t="shared" si="65"/>
        <v/>
      </c>
      <c r="V290" s="554" t="str">
        <f t="shared" si="65"/>
        <v/>
      </c>
      <c r="W290" s="554" t="str">
        <f t="shared" si="65"/>
        <v/>
      </c>
      <c r="X290" s="554" t="str">
        <f t="shared" si="65"/>
        <v/>
      </c>
      <c r="Y290" s="554" t="str">
        <f t="shared" si="64"/>
        <v/>
      </c>
      <c r="Z290" s="554" t="str">
        <f t="shared" si="64"/>
        <v/>
      </c>
      <c r="AA290" s="554" t="str">
        <f t="shared" si="64"/>
        <v/>
      </c>
      <c r="AB290" s="554" t="str">
        <f t="shared" si="64"/>
        <v/>
      </c>
      <c r="AC290" s="554" t="str">
        <f t="shared" si="64"/>
        <v/>
      </c>
      <c r="AD290" s="554" t="str">
        <f t="shared" si="64"/>
        <v/>
      </c>
      <c r="AE290" s="554" t="str">
        <f t="shared" si="64"/>
        <v/>
      </c>
      <c r="AF290" s="554" t="str">
        <f t="shared" si="64"/>
        <v/>
      </c>
      <c r="AG290" s="554" t="str">
        <f t="shared" si="64"/>
        <v/>
      </c>
      <c r="AH290" s="554">
        <f t="shared" si="64"/>
        <v>1</v>
      </c>
      <c r="AI290" s="554">
        <f t="shared" si="64"/>
        <v>2</v>
      </c>
      <c r="AJ290" s="554">
        <f t="shared" si="64"/>
        <v>2</v>
      </c>
      <c r="AK290" s="554">
        <f t="shared" si="64"/>
        <v>2</v>
      </c>
      <c r="AL290" s="554">
        <f t="shared" si="64"/>
        <v>2</v>
      </c>
      <c r="AM290" s="554">
        <f t="shared" si="63"/>
        <v>2</v>
      </c>
      <c r="AN290" s="554">
        <f t="shared" si="63"/>
        <v>2</v>
      </c>
      <c r="AO290" s="554">
        <f t="shared" si="63"/>
        <v>2</v>
      </c>
      <c r="AP290" s="554">
        <f t="shared" si="63"/>
        <v>2</v>
      </c>
      <c r="AQ290" s="429" t="str">
        <f t="shared" si="62"/>
        <v>Vendido</v>
      </c>
      <c r="AR290" s="447">
        <f>_xlfn.XLOOKUP(C290,'BOULEVARD 5'!B:B,'BOULEVARD 5'!AU:AU)</f>
        <v>1.0000002074068586</v>
      </c>
    </row>
    <row r="291" spans="1:44" s="429" customFormat="1" ht="13.9" customHeight="1" x14ac:dyDescent="0.25">
      <c r="B291" s="678" t="str">
        <f>IF('B5-Status cobranza'!A291&gt;0,'B5-Status cobranza'!A291,"")</f>
        <v>F&amp;F</v>
      </c>
      <c r="C291" s="475">
        <v>1706</v>
      </c>
      <c r="D291" s="475" t="s">
        <v>400</v>
      </c>
      <c r="E291" s="475"/>
      <c r="F291" s="475" t="str">
        <f>IF('BOULEVARD 5'!E289="","",'BOULEVARD 5'!E289)</f>
        <v>Jose Franco</v>
      </c>
      <c r="G291" s="476" t="str">
        <f>IF('BOULEVARD 5'!F289="","",'BOULEVARD 5'!F289)</f>
        <v>David Arimany Monzón</v>
      </c>
      <c r="H291" s="473">
        <f>IF('BOULEVARD 5'!G289="","",'BOULEVARD 5'!G289)</f>
        <v>45009</v>
      </c>
      <c r="I291" s="554" t="str">
        <f t="shared" si="65"/>
        <v/>
      </c>
      <c r="J291" s="554" t="str">
        <f t="shared" si="65"/>
        <v/>
      </c>
      <c r="K291" s="554" t="str">
        <f t="shared" si="65"/>
        <v/>
      </c>
      <c r="L291" s="554" t="str">
        <f t="shared" si="65"/>
        <v/>
      </c>
      <c r="M291" s="554" t="str">
        <f t="shared" si="65"/>
        <v/>
      </c>
      <c r="N291" s="554" t="str">
        <f t="shared" si="65"/>
        <v/>
      </c>
      <c r="O291" s="554" t="str">
        <f t="shared" si="65"/>
        <v/>
      </c>
      <c r="P291" s="554" t="str">
        <f t="shared" si="65"/>
        <v/>
      </c>
      <c r="Q291" s="554" t="str">
        <f t="shared" si="65"/>
        <v/>
      </c>
      <c r="R291" s="554" t="str">
        <f t="shared" si="65"/>
        <v/>
      </c>
      <c r="S291" s="554" t="str">
        <f t="shared" si="65"/>
        <v/>
      </c>
      <c r="T291" s="554" t="str">
        <f t="shared" si="65"/>
        <v/>
      </c>
      <c r="U291" s="554" t="str">
        <f t="shared" si="65"/>
        <v/>
      </c>
      <c r="V291" s="554" t="str">
        <f t="shared" si="65"/>
        <v/>
      </c>
      <c r="W291" s="554" t="str">
        <f t="shared" si="65"/>
        <v/>
      </c>
      <c r="X291" s="554" t="str">
        <f t="shared" si="65"/>
        <v/>
      </c>
      <c r="Y291" s="554" t="str">
        <f t="shared" si="64"/>
        <v/>
      </c>
      <c r="Z291" s="554" t="str">
        <f t="shared" si="64"/>
        <v/>
      </c>
      <c r="AA291" s="554" t="str">
        <f t="shared" si="64"/>
        <v/>
      </c>
      <c r="AB291" s="554" t="str">
        <f t="shared" si="64"/>
        <v/>
      </c>
      <c r="AC291" s="554" t="str">
        <f t="shared" si="64"/>
        <v/>
      </c>
      <c r="AD291" s="554" t="str">
        <f t="shared" si="64"/>
        <v/>
      </c>
      <c r="AE291" s="554" t="str">
        <f t="shared" si="64"/>
        <v/>
      </c>
      <c r="AF291" s="554" t="str">
        <f t="shared" si="64"/>
        <v/>
      </c>
      <c r="AG291" s="554" t="str">
        <f t="shared" si="64"/>
        <v/>
      </c>
      <c r="AH291" s="554" t="str">
        <f t="shared" si="64"/>
        <v/>
      </c>
      <c r="AI291" s="554" t="str">
        <f t="shared" si="64"/>
        <v/>
      </c>
      <c r="AJ291" s="554" t="str">
        <f t="shared" si="64"/>
        <v/>
      </c>
      <c r="AK291" s="554" t="str">
        <f t="shared" si="64"/>
        <v/>
      </c>
      <c r="AL291" s="554" t="str">
        <f t="shared" si="64"/>
        <v/>
      </c>
      <c r="AM291" s="554" t="str">
        <f t="shared" si="63"/>
        <v/>
      </c>
      <c r="AN291" s="554" t="str">
        <f t="shared" si="63"/>
        <v/>
      </c>
      <c r="AO291" s="554" t="str">
        <f t="shared" si="63"/>
        <v/>
      </c>
      <c r="AP291" s="554" t="str">
        <f t="shared" si="63"/>
        <v/>
      </c>
      <c r="AQ291" s="429" t="str">
        <f t="shared" si="62"/>
        <v>Vendido</v>
      </c>
      <c r="AR291" s="447">
        <f>_xlfn.XLOOKUP(C291,'BOULEVARD 5'!B:B,'BOULEVARD 5'!AU:AU)</f>
        <v>0.53761588034600405</v>
      </c>
    </row>
    <row r="292" spans="1:44" s="429" customFormat="1" ht="13.9" customHeight="1" x14ac:dyDescent="0.25">
      <c r="B292" s="678" t="str">
        <f>IF('B5-Status cobranza'!A292&gt;0,'B5-Status cobranza'!A292,"")</f>
        <v/>
      </c>
      <c r="C292" s="436">
        <v>1707</v>
      </c>
      <c r="D292" s="436" t="s">
        <v>534</v>
      </c>
      <c r="E292" s="436"/>
      <c r="F292" s="436" t="str">
        <f>IF('BOULEVARD 5'!E290="","",'BOULEVARD 5'!E290)</f>
        <v>Ronaldo Ogaldez</v>
      </c>
      <c r="G292" s="429" t="str">
        <f>IF('BOULEVARD 5'!F290="","",'BOULEVARD 5'!F290)</f>
        <v>Miguel Eduardo Yon Moll</v>
      </c>
      <c r="H292" s="473">
        <f>IF('BOULEVARD 5'!G290="","",'BOULEVARD 5'!G290)</f>
        <v>45721</v>
      </c>
      <c r="I292" s="554" t="str">
        <f t="shared" si="65"/>
        <v/>
      </c>
      <c r="J292" s="554" t="str">
        <f t="shared" si="65"/>
        <v/>
      </c>
      <c r="K292" s="554" t="str">
        <f t="shared" si="65"/>
        <v/>
      </c>
      <c r="L292" s="554" t="str">
        <f t="shared" si="65"/>
        <v/>
      </c>
      <c r="M292" s="554" t="str">
        <f t="shared" si="65"/>
        <v/>
      </c>
      <c r="N292" s="554" t="str">
        <f t="shared" si="65"/>
        <v/>
      </c>
      <c r="O292" s="554" t="str">
        <f t="shared" si="65"/>
        <v/>
      </c>
      <c r="P292" s="554" t="str">
        <f t="shared" si="65"/>
        <v/>
      </c>
      <c r="Q292" s="554" t="str">
        <f t="shared" si="65"/>
        <v/>
      </c>
      <c r="R292" s="554" t="str">
        <f t="shared" si="65"/>
        <v/>
      </c>
      <c r="S292" s="554" t="str">
        <f t="shared" si="65"/>
        <v/>
      </c>
      <c r="T292" s="554" t="str">
        <f t="shared" si="65"/>
        <v/>
      </c>
      <c r="U292" s="554" t="str">
        <f t="shared" si="65"/>
        <v/>
      </c>
      <c r="V292" s="554" t="str">
        <f t="shared" si="65"/>
        <v/>
      </c>
      <c r="W292" s="554" t="str">
        <f t="shared" si="65"/>
        <v/>
      </c>
      <c r="X292" s="554" t="str">
        <f t="shared" si="65"/>
        <v/>
      </c>
      <c r="Y292" s="554" t="str">
        <f t="shared" si="64"/>
        <v/>
      </c>
      <c r="Z292" s="554" t="str">
        <f t="shared" si="64"/>
        <v/>
      </c>
      <c r="AA292" s="554" t="str">
        <f t="shared" si="64"/>
        <v/>
      </c>
      <c r="AB292" s="554" t="str">
        <f t="shared" si="64"/>
        <v/>
      </c>
      <c r="AC292" s="554" t="str">
        <f t="shared" si="64"/>
        <v/>
      </c>
      <c r="AD292" s="554" t="str">
        <f t="shared" si="64"/>
        <v/>
      </c>
      <c r="AE292" s="554" t="str">
        <f t="shared" si="64"/>
        <v/>
      </c>
      <c r="AF292" s="554" t="str">
        <f t="shared" si="64"/>
        <v/>
      </c>
      <c r="AG292" s="554">
        <f t="shared" si="64"/>
        <v>1</v>
      </c>
      <c r="AH292" s="554">
        <f t="shared" si="64"/>
        <v>2</v>
      </c>
      <c r="AI292" s="554">
        <f t="shared" si="64"/>
        <v>2</v>
      </c>
      <c r="AJ292" s="554">
        <f t="shared" si="64"/>
        <v>2</v>
      </c>
      <c r="AK292" s="554">
        <f t="shared" si="64"/>
        <v>2</v>
      </c>
      <c r="AL292" s="554">
        <f t="shared" si="64"/>
        <v>2</v>
      </c>
      <c r="AM292" s="554">
        <f t="shared" si="63"/>
        <v>2</v>
      </c>
      <c r="AN292" s="554">
        <f t="shared" si="63"/>
        <v>2</v>
      </c>
      <c r="AO292" s="554">
        <f t="shared" si="63"/>
        <v>2</v>
      </c>
      <c r="AP292" s="554">
        <f t="shared" si="63"/>
        <v>2</v>
      </c>
      <c r="AQ292" s="429" t="str">
        <f t="shared" si="62"/>
        <v>Vendido</v>
      </c>
      <c r="AR292" s="447">
        <f>_xlfn.XLOOKUP(C292,'BOULEVARD 5'!B:B,'BOULEVARD 5'!AU:AU)</f>
        <v>0.55506607929515417</v>
      </c>
    </row>
    <row r="293" spans="1:44" s="429" customFormat="1" ht="13.9" customHeight="1" x14ac:dyDescent="0.25">
      <c r="B293" s="678" t="str">
        <f>IF('B5-Status cobranza'!A293&gt;0,'B5-Status cobranza'!A293,"")</f>
        <v/>
      </c>
      <c r="C293" s="436">
        <v>1708</v>
      </c>
      <c r="D293" s="436" t="s">
        <v>693</v>
      </c>
      <c r="E293" s="436"/>
      <c r="F293" s="436" t="str">
        <f>IF('BOULEVARD 5'!E291="","",'BOULEVARD 5'!E291)</f>
        <v>Anahí Cisneros</v>
      </c>
      <c r="G293" s="429" t="str">
        <f>IF('BOULEVARD 5'!F291="","",'BOULEVARD 5'!F291)</f>
        <v>Carlos Antonio Aguilar Velasquez</v>
      </c>
      <c r="H293" s="473">
        <f>IF('BOULEVARD 5'!G291="","",'BOULEVARD 5'!G291)</f>
        <v>45957</v>
      </c>
      <c r="I293" s="554" t="str">
        <f t="shared" si="65"/>
        <v/>
      </c>
      <c r="J293" s="554" t="str">
        <f t="shared" si="65"/>
        <v/>
      </c>
      <c r="K293" s="554" t="str">
        <f t="shared" si="65"/>
        <v/>
      </c>
      <c r="L293" s="554" t="str">
        <f t="shared" si="65"/>
        <v/>
      </c>
      <c r="M293" s="554" t="str">
        <f t="shared" si="65"/>
        <v/>
      </c>
      <c r="N293" s="554" t="str">
        <f t="shared" si="65"/>
        <v/>
      </c>
      <c r="O293" s="554" t="str">
        <f t="shared" si="65"/>
        <v/>
      </c>
      <c r="P293" s="554" t="str">
        <f t="shared" si="65"/>
        <v/>
      </c>
      <c r="Q293" s="554" t="str">
        <f t="shared" si="65"/>
        <v/>
      </c>
      <c r="R293" s="554" t="str">
        <f t="shared" si="65"/>
        <v/>
      </c>
      <c r="S293" s="554" t="str">
        <f t="shared" si="65"/>
        <v/>
      </c>
      <c r="T293" s="554" t="str">
        <f t="shared" si="65"/>
        <v/>
      </c>
      <c r="U293" s="554" t="str">
        <f t="shared" si="65"/>
        <v/>
      </c>
      <c r="V293" s="554" t="str">
        <f t="shared" si="65"/>
        <v/>
      </c>
      <c r="W293" s="554" t="str">
        <f t="shared" si="65"/>
        <v/>
      </c>
      <c r="X293" s="554" t="str">
        <f t="shared" si="65"/>
        <v/>
      </c>
      <c r="Y293" s="554" t="str">
        <f t="shared" si="64"/>
        <v/>
      </c>
      <c r="Z293" s="554" t="str">
        <f t="shared" si="64"/>
        <v/>
      </c>
      <c r="AA293" s="554" t="str">
        <f t="shared" si="64"/>
        <v/>
      </c>
      <c r="AB293" s="554" t="str">
        <f t="shared" si="64"/>
        <v/>
      </c>
      <c r="AC293" s="554" t="str">
        <f t="shared" si="64"/>
        <v/>
      </c>
      <c r="AD293" s="554" t="str">
        <f t="shared" si="64"/>
        <v/>
      </c>
      <c r="AE293" s="554" t="str">
        <f t="shared" si="64"/>
        <v/>
      </c>
      <c r="AF293" s="554" t="str">
        <f t="shared" si="64"/>
        <v/>
      </c>
      <c r="AG293" s="554" t="str">
        <f t="shared" si="64"/>
        <v/>
      </c>
      <c r="AH293" s="554" t="str">
        <f t="shared" si="64"/>
        <v/>
      </c>
      <c r="AI293" s="554" t="str">
        <f t="shared" si="64"/>
        <v/>
      </c>
      <c r="AJ293" s="554" t="str">
        <f t="shared" si="64"/>
        <v/>
      </c>
      <c r="AK293" s="554" t="str">
        <f t="shared" si="64"/>
        <v/>
      </c>
      <c r="AL293" s="554" t="str">
        <f t="shared" si="64"/>
        <v/>
      </c>
      <c r="AM293" s="554" t="str">
        <f t="shared" si="63"/>
        <v/>
      </c>
      <c r="AN293" s="554">
        <f t="shared" si="63"/>
        <v>1</v>
      </c>
      <c r="AO293" s="554">
        <f t="shared" si="63"/>
        <v>2</v>
      </c>
      <c r="AP293" s="554">
        <f t="shared" si="63"/>
        <v>2</v>
      </c>
      <c r="AQ293" s="429" t="str">
        <f t="shared" si="62"/>
        <v>Vendido</v>
      </c>
      <c r="AR293" s="447">
        <f>_xlfn.XLOOKUP(C293,'BOULEVARD 5'!B:B,'BOULEVARD 5'!AU:AU)</f>
        <v>0.47329988896903291</v>
      </c>
    </row>
    <row r="294" spans="1:44" s="429" customFormat="1" ht="13.9" customHeight="1" x14ac:dyDescent="0.25">
      <c r="B294" s="678" t="str">
        <f>IF('B5-Status cobranza'!A294&gt;0,'B5-Status cobranza'!A294,"")</f>
        <v>F&amp;F</v>
      </c>
      <c r="C294" s="475">
        <v>1801</v>
      </c>
      <c r="D294" s="475" t="s">
        <v>695</v>
      </c>
      <c r="E294" s="475"/>
      <c r="F294" s="475" t="str">
        <f>IF('BOULEVARD 5'!E292="","",'BOULEVARD 5'!E292)</f>
        <v>Jose Franco</v>
      </c>
      <c r="G294" s="476" t="str">
        <f>IF('BOULEVARD 5'!F292="","",'BOULEVARD 5'!F292)</f>
        <v>Luis Arimany Monzón</v>
      </c>
      <c r="H294" s="473">
        <f>IF('BOULEVARD 5'!G292="","",'BOULEVARD 5'!G292)</f>
        <v>45012</v>
      </c>
      <c r="I294" s="554" t="str">
        <f t="shared" si="65"/>
        <v/>
      </c>
      <c r="J294" s="554" t="str">
        <f t="shared" si="65"/>
        <v/>
      </c>
      <c r="K294" s="554" t="str">
        <f t="shared" si="65"/>
        <v/>
      </c>
      <c r="L294" s="554" t="str">
        <f t="shared" si="65"/>
        <v/>
      </c>
      <c r="M294" s="554" t="str">
        <f t="shared" si="65"/>
        <v/>
      </c>
      <c r="N294" s="554" t="str">
        <f t="shared" si="65"/>
        <v/>
      </c>
      <c r="O294" s="554" t="str">
        <f t="shared" si="65"/>
        <v/>
      </c>
      <c r="P294" s="554" t="str">
        <f t="shared" si="65"/>
        <v/>
      </c>
      <c r="Q294" s="554" t="str">
        <f t="shared" si="65"/>
        <v/>
      </c>
      <c r="R294" s="554" t="str">
        <f t="shared" si="65"/>
        <v/>
      </c>
      <c r="S294" s="554" t="str">
        <f t="shared" si="65"/>
        <v/>
      </c>
      <c r="T294" s="554" t="str">
        <f t="shared" si="65"/>
        <v/>
      </c>
      <c r="U294" s="554" t="str">
        <f t="shared" si="65"/>
        <v/>
      </c>
      <c r="V294" s="554" t="str">
        <f t="shared" si="65"/>
        <v/>
      </c>
      <c r="W294" s="554" t="str">
        <f t="shared" si="65"/>
        <v/>
      </c>
      <c r="X294" s="554" t="str">
        <f t="shared" si="65"/>
        <v/>
      </c>
      <c r="Y294" s="554" t="str">
        <f t="shared" si="64"/>
        <v/>
      </c>
      <c r="Z294" s="554" t="str">
        <f t="shared" si="64"/>
        <v/>
      </c>
      <c r="AA294" s="554" t="str">
        <f t="shared" si="64"/>
        <v/>
      </c>
      <c r="AB294" s="554" t="str">
        <f t="shared" si="64"/>
        <v/>
      </c>
      <c r="AC294" s="554" t="str">
        <f t="shared" si="64"/>
        <v/>
      </c>
      <c r="AD294" s="554" t="str">
        <f t="shared" si="64"/>
        <v/>
      </c>
      <c r="AE294" s="554" t="str">
        <f t="shared" si="64"/>
        <v/>
      </c>
      <c r="AF294" s="554" t="str">
        <f t="shared" si="64"/>
        <v/>
      </c>
      <c r="AG294" s="554" t="str">
        <f t="shared" si="64"/>
        <v/>
      </c>
      <c r="AH294" s="554" t="str">
        <f t="shared" si="64"/>
        <v/>
      </c>
      <c r="AI294" s="554" t="str">
        <f t="shared" si="64"/>
        <v/>
      </c>
      <c r="AJ294" s="554" t="str">
        <f t="shared" si="64"/>
        <v/>
      </c>
      <c r="AK294" s="554" t="str">
        <f t="shared" si="64"/>
        <v/>
      </c>
      <c r="AL294" s="554" t="str">
        <f t="shared" si="64"/>
        <v/>
      </c>
      <c r="AM294" s="554" t="str">
        <f t="shared" si="63"/>
        <v/>
      </c>
      <c r="AN294" s="554" t="str">
        <f t="shared" si="63"/>
        <v/>
      </c>
      <c r="AO294" s="554" t="str">
        <f t="shared" si="63"/>
        <v/>
      </c>
      <c r="AP294" s="554" t="str">
        <f t="shared" si="63"/>
        <v/>
      </c>
      <c r="AQ294" s="429" t="str">
        <f t="shared" si="62"/>
        <v>Vendido</v>
      </c>
      <c r="AR294" s="447">
        <f>_xlfn.XLOOKUP(C294,'BOULEVARD 5'!B:B,'BOULEVARD 5'!AU:AU)</f>
        <v>9.7734851098079792E-2</v>
      </c>
    </row>
    <row r="295" spans="1:44" s="429" customFormat="1" ht="13.9" customHeight="1" x14ac:dyDescent="0.25">
      <c r="B295" s="678" t="str">
        <f>IF('B5-Status cobranza'!A295&gt;0,'B5-Status cobranza'!A295,"")</f>
        <v/>
      </c>
      <c r="C295" s="436">
        <v>1802</v>
      </c>
      <c r="D295" s="436" t="s">
        <v>565</v>
      </c>
      <c r="E295" s="436"/>
      <c r="F295" s="436" t="str">
        <f>IF('BOULEVARD 5'!E293="","",'BOULEVARD 5'!E293)</f>
        <v>Antonio Rada</v>
      </c>
      <c r="G295" s="429" t="str">
        <f>IF('BOULEVARD 5'!F293="","",'BOULEVARD 5'!F293)</f>
        <v>Fredy Rene Velasquez Quevedo</v>
      </c>
      <c r="H295" s="473">
        <f>IF('BOULEVARD 5'!G293="","",'BOULEVARD 5'!G293)</f>
        <v>45064</v>
      </c>
      <c r="I295" s="554" t="str">
        <f t="shared" si="65"/>
        <v/>
      </c>
      <c r="J295" s="554" t="str">
        <f t="shared" si="65"/>
        <v/>
      </c>
      <c r="K295" s="554">
        <f t="shared" si="65"/>
        <v>1</v>
      </c>
      <c r="L295" s="554">
        <f t="shared" si="65"/>
        <v>2</v>
      </c>
      <c r="M295" s="554">
        <f t="shared" si="65"/>
        <v>2</v>
      </c>
      <c r="N295" s="554">
        <f t="shared" si="65"/>
        <v>2</v>
      </c>
      <c r="O295" s="554">
        <f t="shared" si="65"/>
        <v>2</v>
      </c>
      <c r="P295" s="554">
        <f t="shared" si="65"/>
        <v>2</v>
      </c>
      <c r="Q295" s="554">
        <f t="shared" si="65"/>
        <v>2</v>
      </c>
      <c r="R295" s="554">
        <f t="shared" si="65"/>
        <v>2</v>
      </c>
      <c r="S295" s="554">
        <f t="shared" si="65"/>
        <v>2</v>
      </c>
      <c r="T295" s="554">
        <f t="shared" si="65"/>
        <v>2</v>
      </c>
      <c r="U295" s="554">
        <f t="shared" si="65"/>
        <v>2</v>
      </c>
      <c r="V295" s="554">
        <f t="shared" si="65"/>
        <v>2</v>
      </c>
      <c r="W295" s="554">
        <f t="shared" si="65"/>
        <v>2</v>
      </c>
      <c r="X295" s="554">
        <f t="shared" si="65"/>
        <v>2</v>
      </c>
      <c r="Y295" s="554">
        <f t="shared" si="64"/>
        <v>2</v>
      </c>
      <c r="Z295" s="554">
        <f t="shared" si="64"/>
        <v>2</v>
      </c>
      <c r="AA295" s="554">
        <f t="shared" si="64"/>
        <v>2</v>
      </c>
      <c r="AB295" s="554">
        <f t="shared" si="64"/>
        <v>2</v>
      </c>
      <c r="AC295" s="554">
        <f t="shared" si="64"/>
        <v>2</v>
      </c>
      <c r="AD295" s="554">
        <f t="shared" si="64"/>
        <v>2</v>
      </c>
      <c r="AE295" s="554">
        <f t="shared" si="64"/>
        <v>2</v>
      </c>
      <c r="AF295" s="554">
        <f t="shared" si="64"/>
        <v>2</v>
      </c>
      <c r="AG295" s="554">
        <f t="shared" si="64"/>
        <v>2</v>
      </c>
      <c r="AH295" s="554">
        <f t="shared" si="64"/>
        <v>2</v>
      </c>
      <c r="AI295" s="554">
        <f t="shared" si="64"/>
        <v>2</v>
      </c>
      <c r="AJ295" s="554">
        <f t="shared" si="64"/>
        <v>2</v>
      </c>
      <c r="AK295" s="554">
        <f t="shared" si="64"/>
        <v>2</v>
      </c>
      <c r="AL295" s="554">
        <f t="shared" si="64"/>
        <v>2</v>
      </c>
      <c r="AM295" s="554">
        <f t="shared" si="63"/>
        <v>2</v>
      </c>
      <c r="AN295" s="554">
        <f t="shared" si="63"/>
        <v>2</v>
      </c>
      <c r="AO295" s="554">
        <f t="shared" si="63"/>
        <v>2</v>
      </c>
      <c r="AP295" s="554">
        <f t="shared" si="63"/>
        <v>2</v>
      </c>
      <c r="AQ295" s="429" t="str">
        <f t="shared" si="62"/>
        <v>Vendido</v>
      </c>
      <c r="AR295" s="447">
        <f>_xlfn.XLOOKUP(C295,'BOULEVARD 5'!B:B,'BOULEVARD 5'!AU:AU)</f>
        <v>4.5336160188457004</v>
      </c>
    </row>
    <row r="296" spans="1:44" s="429" customFormat="1" ht="13.9" customHeight="1" x14ac:dyDescent="0.25">
      <c r="B296" s="678" t="str">
        <f>IF('B5-Status cobranza'!A296&gt;0,'B5-Status cobranza'!A296,"")</f>
        <v/>
      </c>
      <c r="C296" s="436">
        <v>1803</v>
      </c>
      <c r="D296" s="436" t="s">
        <v>686</v>
      </c>
      <c r="E296" s="436"/>
      <c r="F296" s="436" t="str">
        <f>IF('BOULEVARD 5'!E294="","",'BOULEVARD 5'!E294)</f>
        <v>Anahi Cisneros</v>
      </c>
      <c r="G296" s="429" t="str">
        <f>IF('BOULEVARD 5'!F294="","",'BOULEVARD 5'!F294)</f>
        <v>Rivabella S.A.</v>
      </c>
      <c r="H296" s="473">
        <f>IF('BOULEVARD 5'!G294="","",'BOULEVARD 5'!G294)</f>
        <v>45976</v>
      </c>
      <c r="I296" s="554" t="str">
        <f t="shared" si="65"/>
        <v/>
      </c>
      <c r="J296" s="554" t="str">
        <f t="shared" si="65"/>
        <v/>
      </c>
      <c r="K296" s="554" t="str">
        <f t="shared" si="65"/>
        <v/>
      </c>
      <c r="L296" s="554" t="str">
        <f t="shared" si="65"/>
        <v/>
      </c>
      <c r="M296" s="554" t="str">
        <f t="shared" si="65"/>
        <v/>
      </c>
      <c r="N296" s="554" t="str">
        <f t="shared" si="65"/>
        <v/>
      </c>
      <c r="O296" s="554" t="str">
        <f t="shared" si="65"/>
        <v/>
      </c>
      <c r="P296" s="554" t="str">
        <f t="shared" si="65"/>
        <v/>
      </c>
      <c r="Q296" s="554" t="str">
        <f t="shared" si="65"/>
        <v/>
      </c>
      <c r="R296" s="554" t="str">
        <f t="shared" si="65"/>
        <v/>
      </c>
      <c r="S296" s="554" t="str">
        <f t="shared" si="65"/>
        <v/>
      </c>
      <c r="T296" s="554" t="str">
        <f t="shared" si="65"/>
        <v/>
      </c>
      <c r="U296" s="554" t="str">
        <f t="shared" si="65"/>
        <v/>
      </c>
      <c r="V296" s="554" t="str">
        <f t="shared" si="65"/>
        <v/>
      </c>
      <c r="W296" s="554" t="str">
        <f t="shared" si="65"/>
        <v/>
      </c>
      <c r="X296" s="554" t="str">
        <f t="shared" si="65"/>
        <v/>
      </c>
      <c r="Y296" s="554" t="str">
        <f t="shared" si="64"/>
        <v/>
      </c>
      <c r="Z296" s="554" t="str">
        <f t="shared" si="64"/>
        <v/>
      </c>
      <c r="AA296" s="554" t="str">
        <f t="shared" si="64"/>
        <v/>
      </c>
      <c r="AB296" s="554" t="str">
        <f t="shared" si="64"/>
        <v/>
      </c>
      <c r="AC296" s="554" t="str">
        <f t="shared" si="64"/>
        <v/>
      </c>
      <c r="AD296" s="554" t="str">
        <f t="shared" si="64"/>
        <v/>
      </c>
      <c r="AE296" s="554" t="str">
        <f t="shared" si="64"/>
        <v/>
      </c>
      <c r="AF296" s="554" t="str">
        <f t="shared" si="64"/>
        <v/>
      </c>
      <c r="AG296" s="554" t="str">
        <f t="shared" si="64"/>
        <v/>
      </c>
      <c r="AH296" s="554" t="str">
        <f t="shared" si="64"/>
        <v/>
      </c>
      <c r="AI296" s="554" t="str">
        <f t="shared" si="64"/>
        <v/>
      </c>
      <c r="AJ296" s="554" t="str">
        <f t="shared" si="64"/>
        <v/>
      </c>
      <c r="AK296" s="554" t="str">
        <f t="shared" si="64"/>
        <v/>
      </c>
      <c r="AL296" s="554" t="str">
        <f t="shared" si="64"/>
        <v/>
      </c>
      <c r="AM296" s="554" t="str">
        <f t="shared" si="63"/>
        <v/>
      </c>
      <c r="AN296" s="554" t="str">
        <f t="shared" si="63"/>
        <v/>
      </c>
      <c r="AO296" s="554">
        <f t="shared" si="63"/>
        <v>1</v>
      </c>
      <c r="AP296" s="554">
        <f t="shared" si="63"/>
        <v>2</v>
      </c>
      <c r="AQ296" s="429" t="str">
        <f t="shared" si="62"/>
        <v>Vendido</v>
      </c>
      <c r="AR296" s="447">
        <f>_xlfn.XLOOKUP(C296,'BOULEVARD 5'!B:B,'BOULEVARD 5'!AU:AU)</f>
        <v>0.59636730575176589</v>
      </c>
    </row>
    <row r="297" spans="1:44" s="429" customFormat="1" ht="13.9" customHeight="1" x14ac:dyDescent="0.25">
      <c r="B297" s="678" t="str">
        <f>IF('B5-Status cobranza'!A297&gt;0,'B5-Status cobranza'!A297,"")</f>
        <v/>
      </c>
      <c r="C297" s="436">
        <v>1804</v>
      </c>
      <c r="D297" s="436" t="s">
        <v>189</v>
      </c>
      <c r="E297" s="436"/>
      <c r="F297" s="436" t="str">
        <f>IF('BOULEVARD 5'!E295="","",'BOULEVARD 5'!E295)</f>
        <v>Brenda Búcaro</v>
      </c>
      <c r="G297" s="429" t="str">
        <f>IF('BOULEVARD 5'!F295="","",'BOULEVARD 5'!F295)</f>
        <v>Juan Pablo Monterroso Arroyo</v>
      </c>
      <c r="H297" s="473">
        <f>IF('BOULEVARD 5'!G295="","",'BOULEVARD 5'!G295)</f>
        <v>44995</v>
      </c>
      <c r="I297" s="554">
        <f t="shared" si="65"/>
        <v>1</v>
      </c>
      <c r="J297" s="554">
        <f t="shared" si="65"/>
        <v>2</v>
      </c>
      <c r="K297" s="554">
        <f t="shared" si="65"/>
        <v>2</v>
      </c>
      <c r="L297" s="554">
        <f t="shared" si="65"/>
        <v>2</v>
      </c>
      <c r="M297" s="554">
        <f t="shared" si="65"/>
        <v>2</v>
      </c>
      <c r="N297" s="554">
        <f t="shared" si="65"/>
        <v>2</v>
      </c>
      <c r="O297" s="554">
        <f t="shared" si="65"/>
        <v>2</v>
      </c>
      <c r="P297" s="554">
        <f t="shared" si="65"/>
        <v>2</v>
      </c>
      <c r="Q297" s="554">
        <f t="shared" si="65"/>
        <v>2</v>
      </c>
      <c r="R297" s="554">
        <f t="shared" si="65"/>
        <v>2</v>
      </c>
      <c r="S297" s="554">
        <f t="shared" si="65"/>
        <v>2</v>
      </c>
      <c r="T297" s="554">
        <f t="shared" si="65"/>
        <v>2</v>
      </c>
      <c r="U297" s="554">
        <f t="shared" si="65"/>
        <v>2</v>
      </c>
      <c r="V297" s="554">
        <f t="shared" si="65"/>
        <v>2</v>
      </c>
      <c r="W297" s="554">
        <f t="shared" si="65"/>
        <v>2</v>
      </c>
      <c r="X297" s="554">
        <f t="shared" ref="X297:AL306" si="66">IF(OR($B297="F&amp;F",$B297="CE",$H297=""),"",IF(TEXT(X$8,"yyyymm")=TEXT($H297,"yyyymm"),1,IF(TEXT(X$8,"yyyymm")&gt;TEXT($H297,"yyyymm"),2,IF(X$8&lt;$H297,"",0))))</f>
        <v>2</v>
      </c>
      <c r="Y297" s="554">
        <f t="shared" si="66"/>
        <v>2</v>
      </c>
      <c r="Z297" s="554">
        <f t="shared" si="66"/>
        <v>2</v>
      </c>
      <c r="AA297" s="554">
        <f t="shared" si="66"/>
        <v>2</v>
      </c>
      <c r="AB297" s="554">
        <f t="shared" si="66"/>
        <v>2</v>
      </c>
      <c r="AC297" s="554">
        <f t="shared" si="66"/>
        <v>2</v>
      </c>
      <c r="AD297" s="554">
        <f t="shared" si="66"/>
        <v>2</v>
      </c>
      <c r="AE297" s="554">
        <f t="shared" si="66"/>
        <v>2</v>
      </c>
      <c r="AF297" s="554">
        <f t="shared" si="66"/>
        <v>2</v>
      </c>
      <c r="AG297" s="554">
        <f t="shared" si="66"/>
        <v>2</v>
      </c>
      <c r="AH297" s="554">
        <f t="shared" si="66"/>
        <v>2</v>
      </c>
      <c r="AI297" s="554">
        <f t="shared" si="66"/>
        <v>2</v>
      </c>
      <c r="AJ297" s="554">
        <f t="shared" si="66"/>
        <v>2</v>
      </c>
      <c r="AK297" s="554">
        <f t="shared" si="66"/>
        <v>2</v>
      </c>
      <c r="AL297" s="554">
        <f t="shared" si="66"/>
        <v>2</v>
      </c>
      <c r="AM297" s="554">
        <f t="shared" si="63"/>
        <v>2</v>
      </c>
      <c r="AN297" s="554">
        <f t="shared" si="63"/>
        <v>2</v>
      </c>
      <c r="AO297" s="554">
        <f t="shared" si="63"/>
        <v>2</v>
      </c>
      <c r="AP297" s="554">
        <f t="shared" si="63"/>
        <v>2</v>
      </c>
      <c r="AQ297" s="429" t="str">
        <f t="shared" si="62"/>
        <v>Vendido</v>
      </c>
      <c r="AR297" s="447">
        <f>_xlfn.XLOOKUP(C297,'BOULEVARD 5'!B:B,'BOULEVARD 5'!AU:AU)</f>
        <v>0.86548387096774193</v>
      </c>
    </row>
    <row r="298" spans="1:44" s="429" customFormat="1" ht="13.9" customHeight="1" x14ac:dyDescent="0.25">
      <c r="B298" s="678" t="str">
        <f>IF('B5-Status cobranza'!A298&gt;0,'B5-Status cobranza'!A298,"")</f>
        <v/>
      </c>
      <c r="C298" s="436">
        <v>1805</v>
      </c>
      <c r="D298" s="436" t="s">
        <v>689</v>
      </c>
      <c r="E298" s="436"/>
      <c r="F298" s="436" t="str">
        <f>IF('BOULEVARD 5'!E296="","",'BOULEVARD 5'!E296)</f>
        <v/>
      </c>
      <c r="G298" s="429" t="str">
        <f>IF('BOULEVARD 5'!F296="","",'BOULEVARD 5'!F296)</f>
        <v>Sergio Rafael Marroquín Sáenz</v>
      </c>
      <c r="H298" s="473">
        <f>IF('BOULEVARD 5'!G296="","",'BOULEVARD 5'!G296)</f>
        <v>45995</v>
      </c>
      <c r="I298" s="554" t="str">
        <f t="shared" ref="I298:W306" si="67">IF(OR($B298="F&amp;F",$B298="CE",$H298=""),"",IF(TEXT(I$8,"yyyymm")=TEXT($H298,"yyyymm"),1,IF(TEXT(I$8,"yyyymm")&gt;TEXT($H298,"yyyymm"),2,IF(I$8&lt;$H298,"",0))))</f>
        <v/>
      </c>
      <c r="J298" s="554" t="str">
        <f t="shared" si="67"/>
        <v/>
      </c>
      <c r="K298" s="554" t="str">
        <f t="shared" si="67"/>
        <v/>
      </c>
      <c r="L298" s="554" t="str">
        <f t="shared" si="67"/>
        <v/>
      </c>
      <c r="M298" s="554" t="str">
        <f t="shared" si="67"/>
        <v/>
      </c>
      <c r="N298" s="554" t="str">
        <f t="shared" si="67"/>
        <v/>
      </c>
      <c r="O298" s="554" t="str">
        <f t="shared" si="67"/>
        <v/>
      </c>
      <c r="P298" s="554" t="str">
        <f t="shared" si="67"/>
        <v/>
      </c>
      <c r="Q298" s="554" t="str">
        <f t="shared" si="67"/>
        <v/>
      </c>
      <c r="R298" s="554" t="str">
        <f t="shared" si="67"/>
        <v/>
      </c>
      <c r="S298" s="554" t="str">
        <f t="shared" si="67"/>
        <v/>
      </c>
      <c r="T298" s="554" t="str">
        <f t="shared" si="67"/>
        <v/>
      </c>
      <c r="U298" s="554" t="str">
        <f t="shared" si="67"/>
        <v/>
      </c>
      <c r="V298" s="554" t="str">
        <f t="shared" si="67"/>
        <v/>
      </c>
      <c r="W298" s="554" t="str">
        <f t="shared" si="67"/>
        <v/>
      </c>
      <c r="X298" s="554" t="str">
        <f t="shared" si="66"/>
        <v/>
      </c>
      <c r="Y298" s="554" t="str">
        <f t="shared" si="66"/>
        <v/>
      </c>
      <c r="Z298" s="554" t="str">
        <f t="shared" si="66"/>
        <v/>
      </c>
      <c r="AA298" s="554" t="str">
        <f t="shared" si="66"/>
        <v/>
      </c>
      <c r="AB298" s="554" t="str">
        <f t="shared" si="66"/>
        <v/>
      </c>
      <c r="AC298" s="554" t="str">
        <f t="shared" si="66"/>
        <v/>
      </c>
      <c r="AD298" s="554" t="str">
        <f t="shared" si="66"/>
        <v/>
      </c>
      <c r="AE298" s="554" t="str">
        <f t="shared" si="66"/>
        <v/>
      </c>
      <c r="AF298" s="554" t="str">
        <f t="shared" si="66"/>
        <v/>
      </c>
      <c r="AG298" s="554" t="str">
        <f t="shared" si="66"/>
        <v/>
      </c>
      <c r="AH298" s="554" t="str">
        <f t="shared" si="66"/>
        <v/>
      </c>
      <c r="AI298" s="554" t="str">
        <f t="shared" si="66"/>
        <v/>
      </c>
      <c r="AJ298" s="554" t="str">
        <f t="shared" si="66"/>
        <v/>
      </c>
      <c r="AK298" s="554" t="str">
        <f t="shared" si="66"/>
        <v/>
      </c>
      <c r="AL298" s="554" t="str">
        <f t="shared" si="66"/>
        <v/>
      </c>
      <c r="AM298" s="554" t="str">
        <f t="shared" si="63"/>
        <v/>
      </c>
      <c r="AN298" s="554" t="str">
        <f t="shared" si="63"/>
        <v/>
      </c>
      <c r="AO298" s="554" t="str">
        <f t="shared" si="63"/>
        <v/>
      </c>
      <c r="AP298" s="554">
        <f t="shared" si="63"/>
        <v>1</v>
      </c>
      <c r="AQ298" s="429" t="str">
        <f t="shared" si="62"/>
        <v>Vendido</v>
      </c>
      <c r="AR298" s="447">
        <f>_xlfn.XLOOKUP(C298,'BOULEVARD 5'!B:B,'BOULEVARD 5'!AU:AU)</f>
        <v>9.0334236675700091E-2</v>
      </c>
    </row>
    <row r="299" spans="1:44" s="429" customFormat="1" ht="13.9" customHeight="1" x14ac:dyDescent="0.25">
      <c r="B299" s="678" t="str">
        <f>IF('B5-Status cobranza'!A299&gt;0,'B5-Status cobranza'!A299,"")</f>
        <v/>
      </c>
      <c r="C299" s="436">
        <v>1806</v>
      </c>
      <c r="D299" s="436" t="s">
        <v>400</v>
      </c>
      <c r="E299" s="436"/>
      <c r="F299" s="436" t="str">
        <f>IF('BOULEVARD 5'!E297="","",'BOULEVARD 5'!E297)</f>
        <v>Antonio Rada</v>
      </c>
      <c r="G299" s="429" t="str">
        <f>IF('BOULEVARD 5'!F297="","",'BOULEVARD 5'!F297)</f>
        <v>Business View Sociedad Anonima</v>
      </c>
      <c r="H299" s="473">
        <f>IF('BOULEVARD 5'!G297="","",'BOULEVARD 5'!G297)</f>
        <v>45014</v>
      </c>
      <c r="I299" s="554">
        <f t="shared" si="67"/>
        <v>1</v>
      </c>
      <c r="J299" s="554">
        <f t="shared" si="67"/>
        <v>2</v>
      </c>
      <c r="K299" s="554">
        <f t="shared" si="67"/>
        <v>2</v>
      </c>
      <c r="L299" s="554">
        <f t="shared" si="67"/>
        <v>2</v>
      </c>
      <c r="M299" s="554">
        <f t="shared" si="67"/>
        <v>2</v>
      </c>
      <c r="N299" s="554">
        <f t="shared" si="67"/>
        <v>2</v>
      </c>
      <c r="O299" s="554">
        <f t="shared" si="67"/>
        <v>2</v>
      </c>
      <c r="P299" s="554">
        <f t="shared" si="67"/>
        <v>2</v>
      </c>
      <c r="Q299" s="554">
        <f t="shared" si="67"/>
        <v>2</v>
      </c>
      <c r="R299" s="554">
        <f t="shared" si="67"/>
        <v>2</v>
      </c>
      <c r="S299" s="554">
        <f t="shared" si="67"/>
        <v>2</v>
      </c>
      <c r="T299" s="554">
        <f t="shared" si="67"/>
        <v>2</v>
      </c>
      <c r="U299" s="554">
        <f t="shared" si="67"/>
        <v>2</v>
      </c>
      <c r="V299" s="554">
        <f t="shared" si="67"/>
        <v>2</v>
      </c>
      <c r="W299" s="554">
        <f t="shared" si="67"/>
        <v>2</v>
      </c>
      <c r="X299" s="554">
        <f t="shared" si="66"/>
        <v>2</v>
      </c>
      <c r="Y299" s="554">
        <f t="shared" si="66"/>
        <v>2</v>
      </c>
      <c r="Z299" s="554">
        <f t="shared" si="66"/>
        <v>2</v>
      </c>
      <c r="AA299" s="554">
        <f t="shared" si="66"/>
        <v>2</v>
      </c>
      <c r="AB299" s="554">
        <f t="shared" si="66"/>
        <v>2</v>
      </c>
      <c r="AC299" s="554">
        <f t="shared" si="66"/>
        <v>2</v>
      </c>
      <c r="AD299" s="554">
        <f t="shared" si="66"/>
        <v>2</v>
      </c>
      <c r="AE299" s="554">
        <f t="shared" si="66"/>
        <v>2</v>
      </c>
      <c r="AF299" s="554">
        <f t="shared" si="66"/>
        <v>2</v>
      </c>
      <c r="AG299" s="554">
        <f t="shared" si="66"/>
        <v>2</v>
      </c>
      <c r="AH299" s="554">
        <f t="shared" si="66"/>
        <v>2</v>
      </c>
      <c r="AI299" s="554">
        <f t="shared" si="66"/>
        <v>2</v>
      </c>
      <c r="AJ299" s="554">
        <f t="shared" si="66"/>
        <v>2</v>
      </c>
      <c r="AK299" s="554">
        <f t="shared" si="66"/>
        <v>2</v>
      </c>
      <c r="AL299" s="554">
        <f t="shared" si="66"/>
        <v>2</v>
      </c>
      <c r="AM299" s="554">
        <f t="shared" si="63"/>
        <v>2</v>
      </c>
      <c r="AN299" s="554">
        <f t="shared" si="63"/>
        <v>2</v>
      </c>
      <c r="AO299" s="554">
        <f t="shared" si="63"/>
        <v>2</v>
      </c>
      <c r="AP299" s="554">
        <f t="shared" si="63"/>
        <v>2</v>
      </c>
      <c r="AQ299" s="429" t="str">
        <f t="shared" si="62"/>
        <v>Vendido</v>
      </c>
      <c r="AR299" s="447">
        <f>_xlfn.XLOOKUP(C299,'BOULEVARD 5'!B:B,'BOULEVARD 5'!AU:AU)</f>
        <v>0.9468305378791414</v>
      </c>
    </row>
    <row r="300" spans="1:44" s="429" customFormat="1" ht="13.9" customHeight="1" x14ac:dyDescent="0.25">
      <c r="B300" s="678" t="str">
        <f>IF('B5-Status cobranza'!A300&gt;0,'B5-Status cobranza'!A300,"")</f>
        <v>F&amp;F</v>
      </c>
      <c r="C300" s="475">
        <v>1807</v>
      </c>
      <c r="D300" s="475" t="s">
        <v>703</v>
      </c>
      <c r="E300" s="475"/>
      <c r="F300" s="475" t="str">
        <f>IF('BOULEVARD 5'!E298="","",'BOULEVARD 5'!E298)</f>
        <v>Jose Franco</v>
      </c>
      <c r="G300" s="476" t="str">
        <f>IF('BOULEVARD 5'!F298="","",'BOULEVARD 5'!F298)</f>
        <v>Yuly Marisol Rodríguez Ordoñez De Arimany</v>
      </c>
      <c r="H300" s="473">
        <f>IF('BOULEVARD 5'!G298="","",'BOULEVARD 5'!G298)</f>
        <v>45012</v>
      </c>
      <c r="I300" s="554" t="str">
        <f t="shared" si="67"/>
        <v/>
      </c>
      <c r="J300" s="554" t="str">
        <f t="shared" si="67"/>
        <v/>
      </c>
      <c r="K300" s="554" t="str">
        <f t="shared" si="67"/>
        <v/>
      </c>
      <c r="L300" s="554" t="str">
        <f t="shared" si="67"/>
        <v/>
      </c>
      <c r="M300" s="554" t="str">
        <f t="shared" si="67"/>
        <v/>
      </c>
      <c r="N300" s="554" t="str">
        <f t="shared" si="67"/>
        <v/>
      </c>
      <c r="O300" s="554" t="str">
        <f t="shared" si="67"/>
        <v/>
      </c>
      <c r="P300" s="554" t="str">
        <f t="shared" si="67"/>
        <v/>
      </c>
      <c r="Q300" s="554" t="str">
        <f t="shared" si="67"/>
        <v/>
      </c>
      <c r="R300" s="554" t="str">
        <f t="shared" si="67"/>
        <v/>
      </c>
      <c r="S300" s="554" t="str">
        <f t="shared" si="67"/>
        <v/>
      </c>
      <c r="T300" s="554" t="str">
        <f t="shared" si="67"/>
        <v/>
      </c>
      <c r="U300" s="554" t="str">
        <f t="shared" si="67"/>
        <v/>
      </c>
      <c r="V300" s="554" t="str">
        <f t="shared" si="67"/>
        <v/>
      </c>
      <c r="W300" s="554" t="str">
        <f t="shared" si="67"/>
        <v/>
      </c>
      <c r="X300" s="554" t="str">
        <f t="shared" si="66"/>
        <v/>
      </c>
      <c r="Y300" s="554" t="str">
        <f t="shared" si="66"/>
        <v/>
      </c>
      <c r="Z300" s="554" t="str">
        <f t="shared" si="66"/>
        <v/>
      </c>
      <c r="AA300" s="554" t="str">
        <f t="shared" si="66"/>
        <v/>
      </c>
      <c r="AB300" s="554" t="str">
        <f t="shared" si="66"/>
        <v/>
      </c>
      <c r="AC300" s="554" t="str">
        <f t="shared" si="66"/>
        <v/>
      </c>
      <c r="AD300" s="554" t="str">
        <f t="shared" si="66"/>
        <v/>
      </c>
      <c r="AE300" s="554" t="str">
        <f t="shared" si="66"/>
        <v/>
      </c>
      <c r="AF300" s="554" t="str">
        <f t="shared" si="66"/>
        <v/>
      </c>
      <c r="AG300" s="554" t="str">
        <f t="shared" si="66"/>
        <v/>
      </c>
      <c r="AH300" s="554" t="str">
        <f t="shared" si="66"/>
        <v/>
      </c>
      <c r="AI300" s="554" t="str">
        <f t="shared" si="66"/>
        <v/>
      </c>
      <c r="AJ300" s="554" t="str">
        <f t="shared" si="66"/>
        <v/>
      </c>
      <c r="AK300" s="554" t="str">
        <f t="shared" si="66"/>
        <v/>
      </c>
      <c r="AL300" s="554" t="str">
        <f t="shared" si="66"/>
        <v/>
      </c>
      <c r="AM300" s="554" t="str">
        <f t="shared" si="63"/>
        <v/>
      </c>
      <c r="AN300" s="554" t="str">
        <f t="shared" si="63"/>
        <v/>
      </c>
      <c r="AO300" s="554" t="str">
        <f t="shared" si="63"/>
        <v/>
      </c>
      <c r="AP300" s="554" t="str">
        <f t="shared" si="63"/>
        <v/>
      </c>
      <c r="AQ300" s="429" t="str">
        <f t="shared" si="62"/>
        <v>Vendido</v>
      </c>
      <c r="AR300" s="447">
        <f>_xlfn.XLOOKUP(C300,'BOULEVARD 5'!B:B,'BOULEVARD 5'!AU:AU)</f>
        <v>0.10693202304782778</v>
      </c>
    </row>
    <row r="301" spans="1:44" s="429" customFormat="1" ht="13.9" customHeight="1" x14ac:dyDescent="0.25">
      <c r="B301" s="678" t="str">
        <f>IF('B5-Status cobranza'!A301&gt;0,'B5-Status cobranza'!A301,"")</f>
        <v/>
      </c>
      <c r="C301" s="436">
        <v>1808</v>
      </c>
      <c r="D301" s="436" t="s">
        <v>705</v>
      </c>
      <c r="E301" s="436"/>
      <c r="F301" s="436" t="str">
        <f>IF('BOULEVARD 5'!E299="","",'BOULEVARD 5'!E299)</f>
        <v>Antonio Rada</v>
      </c>
      <c r="G301" s="429" t="str">
        <f>IF('BOULEVARD 5'!F299="","",'BOULEVARD 5'!F299)</f>
        <v>Monica Cecilia Rodriguez Villalta</v>
      </c>
      <c r="H301" s="473">
        <f>IF('BOULEVARD 5'!G299="","",'BOULEVARD 5'!G299)</f>
        <v>45199</v>
      </c>
      <c r="I301" s="554" t="str">
        <f t="shared" si="67"/>
        <v/>
      </c>
      <c r="J301" s="554" t="str">
        <f t="shared" si="67"/>
        <v/>
      </c>
      <c r="K301" s="554" t="str">
        <f t="shared" si="67"/>
        <v/>
      </c>
      <c r="L301" s="554" t="str">
        <f t="shared" si="67"/>
        <v/>
      </c>
      <c r="M301" s="554" t="str">
        <f t="shared" si="67"/>
        <v/>
      </c>
      <c r="N301" s="554" t="str">
        <f t="shared" si="67"/>
        <v/>
      </c>
      <c r="O301" s="554">
        <f t="shared" si="67"/>
        <v>1</v>
      </c>
      <c r="P301" s="554">
        <f t="shared" si="67"/>
        <v>2</v>
      </c>
      <c r="Q301" s="554">
        <f t="shared" si="67"/>
        <v>2</v>
      </c>
      <c r="R301" s="554">
        <f t="shared" si="67"/>
        <v>2</v>
      </c>
      <c r="S301" s="554">
        <f t="shared" si="67"/>
        <v>2</v>
      </c>
      <c r="T301" s="554">
        <f t="shared" si="67"/>
        <v>2</v>
      </c>
      <c r="U301" s="554">
        <f t="shared" si="67"/>
        <v>2</v>
      </c>
      <c r="V301" s="554">
        <f t="shared" si="67"/>
        <v>2</v>
      </c>
      <c r="W301" s="554">
        <f t="shared" si="67"/>
        <v>2</v>
      </c>
      <c r="X301" s="554">
        <f t="shared" si="66"/>
        <v>2</v>
      </c>
      <c r="Y301" s="554">
        <f t="shared" si="66"/>
        <v>2</v>
      </c>
      <c r="Z301" s="554">
        <f t="shared" si="66"/>
        <v>2</v>
      </c>
      <c r="AA301" s="554">
        <f t="shared" si="66"/>
        <v>2</v>
      </c>
      <c r="AB301" s="554">
        <f t="shared" si="66"/>
        <v>2</v>
      </c>
      <c r="AC301" s="554">
        <f t="shared" si="66"/>
        <v>2</v>
      </c>
      <c r="AD301" s="554">
        <f t="shared" si="66"/>
        <v>2</v>
      </c>
      <c r="AE301" s="554">
        <f t="shared" si="66"/>
        <v>2</v>
      </c>
      <c r="AF301" s="554">
        <f t="shared" si="66"/>
        <v>2</v>
      </c>
      <c r="AG301" s="554">
        <f t="shared" si="66"/>
        <v>2</v>
      </c>
      <c r="AH301" s="554">
        <f t="shared" si="66"/>
        <v>2</v>
      </c>
      <c r="AI301" s="554">
        <f t="shared" si="66"/>
        <v>2</v>
      </c>
      <c r="AJ301" s="554">
        <f t="shared" si="66"/>
        <v>2</v>
      </c>
      <c r="AK301" s="554">
        <f t="shared" si="66"/>
        <v>2</v>
      </c>
      <c r="AL301" s="554">
        <f t="shared" si="66"/>
        <v>2</v>
      </c>
      <c r="AM301" s="554">
        <f t="shared" si="63"/>
        <v>2</v>
      </c>
      <c r="AN301" s="554">
        <f t="shared" si="63"/>
        <v>2</v>
      </c>
      <c r="AO301" s="554">
        <f t="shared" si="63"/>
        <v>2</v>
      </c>
      <c r="AP301" s="554">
        <f t="shared" si="63"/>
        <v>2</v>
      </c>
      <c r="AQ301" s="429" t="str">
        <f t="shared" si="62"/>
        <v>Vendido</v>
      </c>
      <c r="AR301" s="447">
        <f>_xlfn.XLOOKUP(C301,'BOULEVARD 5'!B:B,'BOULEVARD 5'!AU:AU)</f>
        <v>1</v>
      </c>
    </row>
    <row r="302" spans="1:44" s="429" customFormat="1" ht="13.9" customHeight="1" x14ac:dyDescent="0.25">
      <c r="B302" s="678" t="str">
        <f>IF('B5-Status cobranza'!A302&gt;0,'B5-Status cobranza'!A302,"")</f>
        <v>F&amp;F</v>
      </c>
      <c r="C302" s="475">
        <v>1901</v>
      </c>
      <c r="D302" s="475" t="s">
        <v>611</v>
      </c>
      <c r="E302" s="475"/>
      <c r="F302" s="475" t="str">
        <f>IF('BOULEVARD 5'!E300="","",'BOULEVARD 5'!E300)</f>
        <v>Ronaldo</v>
      </c>
      <c r="G302" s="476" t="str">
        <f>IF('BOULEVARD 5'!F300="","",'BOULEVARD 5'!F300)</f>
        <v>International Coffee Industry, S.A</v>
      </c>
      <c r="H302" s="473">
        <f>IF('BOULEVARD 5'!G300="","",'BOULEVARD 5'!G300)</f>
        <v>45012</v>
      </c>
      <c r="I302" s="554" t="str">
        <f t="shared" si="67"/>
        <v/>
      </c>
      <c r="J302" s="554" t="str">
        <f t="shared" si="67"/>
        <v/>
      </c>
      <c r="K302" s="554" t="str">
        <f t="shared" si="67"/>
        <v/>
      </c>
      <c r="L302" s="554" t="str">
        <f t="shared" si="67"/>
        <v/>
      </c>
      <c r="M302" s="554" t="str">
        <f t="shared" si="67"/>
        <v/>
      </c>
      <c r="N302" s="554" t="str">
        <f t="shared" si="67"/>
        <v/>
      </c>
      <c r="O302" s="554" t="str">
        <f t="shared" si="67"/>
        <v/>
      </c>
      <c r="P302" s="554" t="str">
        <f t="shared" si="67"/>
        <v/>
      </c>
      <c r="Q302" s="554" t="str">
        <f t="shared" si="67"/>
        <v/>
      </c>
      <c r="R302" s="554" t="str">
        <f t="shared" si="67"/>
        <v/>
      </c>
      <c r="S302" s="554" t="str">
        <f t="shared" si="67"/>
        <v/>
      </c>
      <c r="T302" s="554" t="str">
        <f t="shared" si="67"/>
        <v/>
      </c>
      <c r="U302" s="554" t="str">
        <f t="shared" si="67"/>
        <v/>
      </c>
      <c r="V302" s="554" t="str">
        <f t="shared" si="67"/>
        <v/>
      </c>
      <c r="W302" s="554" t="str">
        <f t="shared" si="67"/>
        <v/>
      </c>
      <c r="X302" s="554" t="str">
        <f t="shared" si="66"/>
        <v/>
      </c>
      <c r="Y302" s="554" t="str">
        <f t="shared" si="66"/>
        <v/>
      </c>
      <c r="Z302" s="554" t="str">
        <f t="shared" si="66"/>
        <v/>
      </c>
      <c r="AA302" s="554" t="str">
        <f t="shared" si="66"/>
        <v/>
      </c>
      <c r="AB302" s="554" t="str">
        <f t="shared" si="66"/>
        <v/>
      </c>
      <c r="AC302" s="554" t="str">
        <f t="shared" si="66"/>
        <v/>
      </c>
      <c r="AD302" s="554" t="str">
        <f t="shared" si="66"/>
        <v/>
      </c>
      <c r="AE302" s="554" t="str">
        <f t="shared" si="66"/>
        <v/>
      </c>
      <c r="AF302" s="554" t="str">
        <f t="shared" si="66"/>
        <v/>
      </c>
      <c r="AG302" s="554" t="str">
        <f t="shared" si="66"/>
        <v/>
      </c>
      <c r="AH302" s="554" t="str">
        <f t="shared" si="66"/>
        <v/>
      </c>
      <c r="AI302" s="554" t="str">
        <f t="shared" si="66"/>
        <v/>
      </c>
      <c r="AJ302" s="554" t="str">
        <f t="shared" si="66"/>
        <v/>
      </c>
      <c r="AK302" s="554" t="str">
        <f t="shared" si="66"/>
        <v/>
      </c>
      <c r="AL302" s="554" t="str">
        <f t="shared" si="66"/>
        <v/>
      </c>
      <c r="AM302" s="554" t="str">
        <f t="shared" si="63"/>
        <v/>
      </c>
      <c r="AN302" s="554" t="str">
        <f t="shared" si="63"/>
        <v/>
      </c>
      <c r="AO302" s="554" t="str">
        <f t="shared" si="63"/>
        <v/>
      </c>
      <c r="AP302" s="554" t="str">
        <f t="shared" si="63"/>
        <v/>
      </c>
      <c r="AQ302" s="429" t="str">
        <f t="shared" si="62"/>
        <v>Vendido</v>
      </c>
      <c r="AR302" s="447">
        <f>_xlfn.XLOOKUP(C302,'BOULEVARD 5'!B:B,'BOULEVARD 5'!AU:AU)</f>
        <v>0</v>
      </c>
    </row>
    <row r="303" spans="1:44" s="429" customFormat="1" ht="13.9" customHeight="1" x14ac:dyDescent="0.25">
      <c r="B303" s="678" t="str">
        <f>IF('B5-Status cobranza'!A303&gt;0,'B5-Status cobranza'!A303,"")</f>
        <v>F&amp;F</v>
      </c>
      <c r="C303" s="475">
        <v>1902</v>
      </c>
      <c r="D303" s="475" t="s">
        <v>686</v>
      </c>
      <c r="E303" s="475"/>
      <c r="F303" s="475" t="str">
        <f>IF('BOULEVARD 5'!E301="","",'BOULEVARD 5'!E301)</f>
        <v>Ronaldo</v>
      </c>
      <c r="G303" s="476" t="str">
        <f>IF('BOULEVARD 5'!F301="","",'BOULEVARD 5'!F301)</f>
        <v>International Coffee Industry, S.A</v>
      </c>
      <c r="H303" s="473">
        <f>IF('BOULEVARD 5'!G301="","",'BOULEVARD 5'!G301)</f>
        <v>45300</v>
      </c>
      <c r="I303" s="554" t="str">
        <f t="shared" si="67"/>
        <v/>
      </c>
      <c r="J303" s="554" t="str">
        <f t="shared" si="67"/>
        <v/>
      </c>
      <c r="K303" s="554" t="str">
        <f t="shared" si="67"/>
        <v/>
      </c>
      <c r="L303" s="554" t="str">
        <f t="shared" si="67"/>
        <v/>
      </c>
      <c r="M303" s="554" t="str">
        <f t="shared" si="67"/>
        <v/>
      </c>
      <c r="N303" s="554" t="str">
        <f t="shared" si="67"/>
        <v/>
      </c>
      <c r="O303" s="554" t="str">
        <f t="shared" si="67"/>
        <v/>
      </c>
      <c r="P303" s="554" t="str">
        <f t="shared" si="67"/>
        <v/>
      </c>
      <c r="Q303" s="554" t="str">
        <f t="shared" si="67"/>
        <v/>
      </c>
      <c r="R303" s="554" t="str">
        <f t="shared" si="67"/>
        <v/>
      </c>
      <c r="S303" s="554" t="str">
        <f t="shared" si="67"/>
        <v/>
      </c>
      <c r="T303" s="554" t="str">
        <f t="shared" si="67"/>
        <v/>
      </c>
      <c r="U303" s="554" t="str">
        <f t="shared" si="67"/>
        <v/>
      </c>
      <c r="V303" s="554" t="str">
        <f t="shared" si="67"/>
        <v/>
      </c>
      <c r="W303" s="554" t="str">
        <f t="shared" si="67"/>
        <v/>
      </c>
      <c r="X303" s="554" t="str">
        <f t="shared" si="66"/>
        <v/>
      </c>
      <c r="Y303" s="554" t="str">
        <f t="shared" si="66"/>
        <v/>
      </c>
      <c r="Z303" s="554" t="str">
        <f t="shared" si="66"/>
        <v/>
      </c>
      <c r="AA303" s="554" t="str">
        <f t="shared" si="66"/>
        <v/>
      </c>
      <c r="AB303" s="554" t="str">
        <f t="shared" si="66"/>
        <v/>
      </c>
      <c r="AC303" s="554" t="str">
        <f t="shared" si="66"/>
        <v/>
      </c>
      <c r="AD303" s="554" t="str">
        <f t="shared" si="66"/>
        <v/>
      </c>
      <c r="AE303" s="554" t="str">
        <f t="shared" si="66"/>
        <v/>
      </c>
      <c r="AF303" s="554" t="str">
        <f t="shared" si="66"/>
        <v/>
      </c>
      <c r="AG303" s="554" t="str">
        <f t="shared" si="66"/>
        <v/>
      </c>
      <c r="AH303" s="554" t="str">
        <f t="shared" si="66"/>
        <v/>
      </c>
      <c r="AI303" s="554" t="str">
        <f t="shared" si="66"/>
        <v/>
      </c>
      <c r="AJ303" s="554" t="str">
        <f t="shared" si="66"/>
        <v/>
      </c>
      <c r="AK303" s="554" t="str">
        <f t="shared" si="66"/>
        <v/>
      </c>
      <c r="AL303" s="554" t="str">
        <f t="shared" si="66"/>
        <v/>
      </c>
      <c r="AM303" s="554" t="str">
        <f t="shared" si="63"/>
        <v/>
      </c>
      <c r="AN303" s="554" t="str">
        <f t="shared" si="63"/>
        <v/>
      </c>
      <c r="AO303" s="554" t="str">
        <f t="shared" si="63"/>
        <v/>
      </c>
      <c r="AP303" s="554" t="str">
        <f t="shared" si="63"/>
        <v/>
      </c>
      <c r="AQ303" s="429" t="str">
        <f t="shared" si="62"/>
        <v>Vendido</v>
      </c>
      <c r="AR303" s="447">
        <f>_xlfn.XLOOKUP(C303,'BOULEVARD 5'!B:B,'BOULEVARD 5'!AU:AU)</f>
        <v>0</v>
      </c>
    </row>
    <row r="304" spans="1:44" s="429" customFormat="1" ht="13.9" customHeight="1" x14ac:dyDescent="0.25">
      <c r="B304" s="678" t="str">
        <f>IF('B5-Status cobranza'!A304&gt;0,'B5-Status cobranza'!A304,"")</f>
        <v>F&amp;F</v>
      </c>
      <c r="C304" s="475">
        <v>1903</v>
      </c>
      <c r="D304" s="475" t="s">
        <v>689</v>
      </c>
      <c r="E304" s="475"/>
      <c r="F304" s="475" t="str">
        <f>IF('BOULEVARD 5'!E302="","",'BOULEVARD 5'!E302)</f>
        <v>Ronaldo</v>
      </c>
      <c r="G304" s="476" t="str">
        <f>IF('BOULEVARD 5'!F302="","",'BOULEVARD 5'!F302)</f>
        <v>International Coffee Industry, S.A</v>
      </c>
      <c r="H304" s="473">
        <f>IF('BOULEVARD 5'!G302="","",'BOULEVARD 5'!G302)</f>
        <v>45300</v>
      </c>
      <c r="I304" s="554" t="str">
        <f t="shared" si="67"/>
        <v/>
      </c>
      <c r="J304" s="554" t="str">
        <f t="shared" si="67"/>
        <v/>
      </c>
      <c r="K304" s="554" t="str">
        <f t="shared" si="67"/>
        <v/>
      </c>
      <c r="L304" s="554" t="str">
        <f t="shared" si="67"/>
        <v/>
      </c>
      <c r="M304" s="554" t="str">
        <f t="shared" si="67"/>
        <v/>
      </c>
      <c r="N304" s="554" t="str">
        <f t="shared" si="67"/>
        <v/>
      </c>
      <c r="O304" s="554" t="str">
        <f t="shared" si="67"/>
        <v/>
      </c>
      <c r="P304" s="554" t="str">
        <f t="shared" si="67"/>
        <v/>
      </c>
      <c r="Q304" s="554" t="str">
        <f t="shared" si="67"/>
        <v/>
      </c>
      <c r="R304" s="554" t="str">
        <f t="shared" si="67"/>
        <v/>
      </c>
      <c r="S304" s="554" t="str">
        <f t="shared" si="67"/>
        <v/>
      </c>
      <c r="T304" s="554" t="str">
        <f t="shared" si="67"/>
        <v/>
      </c>
      <c r="U304" s="554" t="str">
        <f t="shared" si="67"/>
        <v/>
      </c>
      <c r="V304" s="554" t="str">
        <f t="shared" si="67"/>
        <v/>
      </c>
      <c r="W304" s="554" t="str">
        <f t="shared" si="67"/>
        <v/>
      </c>
      <c r="X304" s="554" t="str">
        <f t="shared" si="66"/>
        <v/>
      </c>
      <c r="Y304" s="554" t="str">
        <f t="shared" si="66"/>
        <v/>
      </c>
      <c r="Z304" s="554" t="str">
        <f t="shared" si="66"/>
        <v/>
      </c>
      <c r="AA304" s="554" t="str">
        <f t="shared" si="66"/>
        <v/>
      </c>
      <c r="AB304" s="554" t="str">
        <f t="shared" si="66"/>
        <v/>
      </c>
      <c r="AC304" s="554" t="str">
        <f t="shared" si="66"/>
        <v/>
      </c>
      <c r="AD304" s="554" t="str">
        <f t="shared" si="66"/>
        <v/>
      </c>
      <c r="AE304" s="554" t="str">
        <f t="shared" si="66"/>
        <v/>
      </c>
      <c r="AF304" s="554" t="str">
        <f t="shared" si="66"/>
        <v/>
      </c>
      <c r="AG304" s="554" t="str">
        <f t="shared" si="66"/>
        <v/>
      </c>
      <c r="AH304" s="554" t="str">
        <f t="shared" si="66"/>
        <v/>
      </c>
      <c r="AI304" s="554" t="str">
        <f t="shared" si="66"/>
        <v/>
      </c>
      <c r="AJ304" s="554" t="str">
        <f t="shared" si="66"/>
        <v/>
      </c>
      <c r="AK304" s="554" t="str">
        <f t="shared" si="66"/>
        <v/>
      </c>
      <c r="AL304" s="554" t="str">
        <f t="shared" si="66"/>
        <v/>
      </c>
      <c r="AM304" s="554" t="str">
        <f t="shared" si="63"/>
        <v/>
      </c>
      <c r="AN304" s="554" t="str">
        <f t="shared" si="63"/>
        <v/>
      </c>
      <c r="AO304" s="554" t="str">
        <f t="shared" si="63"/>
        <v/>
      </c>
      <c r="AP304" s="554" t="str">
        <f t="shared" si="63"/>
        <v/>
      </c>
      <c r="AQ304" s="429" t="str">
        <f t="shared" si="62"/>
        <v>Vendido</v>
      </c>
      <c r="AR304" s="447">
        <f>_xlfn.XLOOKUP(C304,'BOULEVARD 5'!B:B,'BOULEVARD 5'!AU:AU)</f>
        <v>0</v>
      </c>
    </row>
    <row r="305" spans="2:44" s="429" customFormat="1" ht="13.9" customHeight="1" x14ac:dyDescent="0.25">
      <c r="B305" s="678" t="str">
        <f>IF('B5-Status cobranza'!A305&gt;0,'B5-Status cobranza'!A305,"")</f>
        <v>F&amp;F</v>
      </c>
      <c r="C305" s="475">
        <v>1904</v>
      </c>
      <c r="D305" s="475" t="s">
        <v>686</v>
      </c>
      <c r="E305" s="475"/>
      <c r="F305" s="475" t="str">
        <f>IF('BOULEVARD 5'!E303="","",'BOULEVARD 5'!E303)</f>
        <v>Ronaldo</v>
      </c>
      <c r="G305" s="476" t="str">
        <f>IF('BOULEVARD 5'!F303="","",'BOULEVARD 5'!F303)</f>
        <v>International Coffee Industry, S.A</v>
      </c>
      <c r="H305" s="473">
        <f>IF('BOULEVARD 5'!G303="","",'BOULEVARD 5'!G303)</f>
        <v>45300</v>
      </c>
      <c r="I305" s="554" t="str">
        <f t="shared" si="67"/>
        <v/>
      </c>
      <c r="J305" s="554" t="str">
        <f t="shared" si="67"/>
        <v/>
      </c>
      <c r="K305" s="554" t="str">
        <f t="shared" si="67"/>
        <v/>
      </c>
      <c r="L305" s="554" t="str">
        <f t="shared" si="67"/>
        <v/>
      </c>
      <c r="M305" s="554" t="str">
        <f t="shared" si="67"/>
        <v/>
      </c>
      <c r="N305" s="554" t="str">
        <f t="shared" si="67"/>
        <v/>
      </c>
      <c r="O305" s="554" t="str">
        <f t="shared" si="67"/>
        <v/>
      </c>
      <c r="P305" s="554" t="str">
        <f t="shared" si="67"/>
        <v/>
      </c>
      <c r="Q305" s="554" t="str">
        <f t="shared" si="67"/>
        <v/>
      </c>
      <c r="R305" s="554" t="str">
        <f t="shared" si="67"/>
        <v/>
      </c>
      <c r="S305" s="554" t="str">
        <f t="shared" si="67"/>
        <v/>
      </c>
      <c r="T305" s="554" t="str">
        <f t="shared" si="67"/>
        <v/>
      </c>
      <c r="U305" s="554" t="str">
        <f t="shared" si="67"/>
        <v/>
      </c>
      <c r="V305" s="554" t="str">
        <f t="shared" si="67"/>
        <v/>
      </c>
      <c r="W305" s="554" t="str">
        <f t="shared" si="67"/>
        <v/>
      </c>
      <c r="X305" s="554" t="str">
        <f t="shared" si="66"/>
        <v/>
      </c>
      <c r="Y305" s="554" t="str">
        <f t="shared" si="66"/>
        <v/>
      </c>
      <c r="Z305" s="554" t="str">
        <f t="shared" si="66"/>
        <v/>
      </c>
      <c r="AA305" s="554" t="str">
        <f t="shared" si="66"/>
        <v/>
      </c>
      <c r="AB305" s="554" t="str">
        <f t="shared" si="66"/>
        <v/>
      </c>
      <c r="AC305" s="554" t="str">
        <f t="shared" si="66"/>
        <v/>
      </c>
      <c r="AD305" s="554" t="str">
        <f t="shared" si="66"/>
        <v/>
      </c>
      <c r="AE305" s="554" t="str">
        <f t="shared" si="66"/>
        <v/>
      </c>
      <c r="AF305" s="554" t="str">
        <f t="shared" si="66"/>
        <v/>
      </c>
      <c r="AG305" s="554" t="str">
        <f t="shared" si="66"/>
        <v/>
      </c>
      <c r="AH305" s="554" t="str">
        <f t="shared" si="66"/>
        <v/>
      </c>
      <c r="AI305" s="554" t="str">
        <f t="shared" si="66"/>
        <v/>
      </c>
      <c r="AJ305" s="554" t="str">
        <f t="shared" si="66"/>
        <v/>
      </c>
      <c r="AK305" s="554" t="str">
        <f t="shared" si="66"/>
        <v/>
      </c>
      <c r="AL305" s="554" t="str">
        <f t="shared" si="66"/>
        <v/>
      </c>
      <c r="AM305" s="554" t="str">
        <f t="shared" si="63"/>
        <v/>
      </c>
      <c r="AN305" s="554" t="str">
        <f t="shared" si="63"/>
        <v/>
      </c>
      <c r="AO305" s="554" t="str">
        <f t="shared" si="63"/>
        <v/>
      </c>
      <c r="AP305" s="554" t="str">
        <f t="shared" si="63"/>
        <v/>
      </c>
      <c r="AQ305" s="429" t="str">
        <f t="shared" si="62"/>
        <v>Vendido</v>
      </c>
      <c r="AR305" s="447">
        <f>_xlfn.XLOOKUP(C305,'BOULEVARD 5'!B:B,'BOULEVARD 5'!AU:AU)</f>
        <v>0</v>
      </c>
    </row>
    <row r="306" spans="2:44" s="429" customFormat="1" ht="13.9" customHeight="1" x14ac:dyDescent="0.25">
      <c r="B306" s="678" t="str">
        <f>IF('B5-Status cobranza'!A306&gt;0,'B5-Status cobranza'!A306,"")</f>
        <v>F&amp;F</v>
      </c>
      <c r="C306" s="475">
        <v>1905</v>
      </c>
      <c r="D306" s="475" t="s">
        <v>463</v>
      </c>
      <c r="E306" s="475"/>
      <c r="F306" s="475" t="str">
        <f>IF('BOULEVARD 5'!E304="","",'BOULEVARD 5'!E304)</f>
        <v>Ronaldo</v>
      </c>
      <c r="G306" s="476" t="str">
        <f>IF('BOULEVARD 5'!F304="","",'BOULEVARD 5'!F304)</f>
        <v>International Coffee Industry, S.A</v>
      </c>
      <c r="H306" s="473">
        <f>IF('BOULEVARD 5'!G304="","",'BOULEVARD 5'!G304)</f>
        <v>45300</v>
      </c>
      <c r="I306" s="554" t="str">
        <f t="shared" si="67"/>
        <v/>
      </c>
      <c r="J306" s="554" t="str">
        <f t="shared" si="67"/>
        <v/>
      </c>
      <c r="K306" s="554" t="str">
        <f t="shared" si="67"/>
        <v/>
      </c>
      <c r="L306" s="554" t="str">
        <f t="shared" si="67"/>
        <v/>
      </c>
      <c r="M306" s="554" t="str">
        <f t="shared" si="67"/>
        <v/>
      </c>
      <c r="N306" s="554" t="str">
        <f t="shared" si="67"/>
        <v/>
      </c>
      <c r="O306" s="554" t="str">
        <f t="shared" si="67"/>
        <v/>
      </c>
      <c r="P306" s="554" t="str">
        <f t="shared" si="67"/>
        <v/>
      </c>
      <c r="Q306" s="554" t="str">
        <f t="shared" si="67"/>
        <v/>
      </c>
      <c r="R306" s="554" t="str">
        <f t="shared" si="67"/>
        <v/>
      </c>
      <c r="S306" s="554" t="str">
        <f t="shared" si="67"/>
        <v/>
      </c>
      <c r="T306" s="554" t="str">
        <f t="shared" si="67"/>
        <v/>
      </c>
      <c r="U306" s="554" t="str">
        <f t="shared" si="67"/>
        <v/>
      </c>
      <c r="V306" s="554" t="str">
        <f t="shared" si="67"/>
        <v/>
      </c>
      <c r="W306" s="554" t="str">
        <f t="shared" si="67"/>
        <v/>
      </c>
      <c r="X306" s="554" t="str">
        <f t="shared" si="66"/>
        <v/>
      </c>
      <c r="Y306" s="554" t="str">
        <f t="shared" si="66"/>
        <v/>
      </c>
      <c r="Z306" s="554" t="str">
        <f t="shared" si="66"/>
        <v/>
      </c>
      <c r="AA306" s="554" t="str">
        <f t="shared" si="66"/>
        <v/>
      </c>
      <c r="AB306" s="554" t="str">
        <f t="shared" si="66"/>
        <v/>
      </c>
      <c r="AC306" s="554" t="str">
        <f t="shared" si="66"/>
        <v/>
      </c>
      <c r="AD306" s="554" t="str">
        <f t="shared" si="66"/>
        <v/>
      </c>
      <c r="AE306" s="554" t="str">
        <f t="shared" si="66"/>
        <v/>
      </c>
      <c r="AF306" s="554" t="str">
        <f t="shared" si="66"/>
        <v/>
      </c>
      <c r="AG306" s="554" t="str">
        <f t="shared" si="66"/>
        <v/>
      </c>
      <c r="AH306" s="554" t="str">
        <f t="shared" si="66"/>
        <v/>
      </c>
      <c r="AI306" s="554" t="str">
        <f t="shared" si="66"/>
        <v/>
      </c>
      <c r="AJ306" s="554" t="str">
        <f t="shared" si="66"/>
        <v/>
      </c>
      <c r="AK306" s="554" t="str">
        <f t="shared" si="66"/>
        <v/>
      </c>
      <c r="AL306" s="554" t="str">
        <f t="shared" si="66"/>
        <v/>
      </c>
      <c r="AM306" s="554" t="str">
        <f t="shared" si="63"/>
        <v/>
      </c>
      <c r="AN306" s="554" t="str">
        <f t="shared" si="63"/>
        <v/>
      </c>
      <c r="AO306" s="554" t="str">
        <f t="shared" si="63"/>
        <v/>
      </c>
      <c r="AP306" s="554" t="str">
        <f t="shared" si="63"/>
        <v/>
      </c>
      <c r="AQ306" s="429" t="str">
        <f t="shared" si="62"/>
        <v>Vendido</v>
      </c>
      <c r="AR306" s="447">
        <f>_xlfn.XLOOKUP(C306,'BOULEVARD 5'!B:B,'BOULEVARD 5'!AU:AU)</f>
        <v>0</v>
      </c>
    </row>
  </sheetData>
  <autoFilter ref="A8:AR8" xr:uid="{E9F8C362-7684-42BE-9CF4-1D83F9132606}"/>
  <conditionalFormatting sqref="C9:C306">
    <cfRule type="duplicateValues" dxfId="43" priority="1"/>
  </conditionalFormatting>
  <pageMargins left="0.7" right="0.7" top="0.75" bottom="0.75" header="0.3" footer="0.3"/>
  <pageSetup fitToWidth="0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E6B-00FD-4E5A-B381-3A06B991780D}">
  <sheetPr>
    <tabColor theme="1"/>
  </sheetPr>
  <dimension ref="A2:AP306"/>
  <sheetViews>
    <sheetView showGridLines="0" zoomScale="80" zoomScaleNormal="80" workbookViewId="0">
      <pane xSplit="7" ySplit="7" topLeftCell="AG8" activePane="bottomRight" state="frozen"/>
      <selection pane="topRight" activeCell="I99" sqref="I99"/>
      <selection pane="bottomLeft" activeCell="I99" sqref="I99"/>
      <selection pane="bottomRight" activeCell="I99" sqref="I99"/>
    </sheetView>
  </sheetViews>
  <sheetFormatPr defaultColWidth="11" defaultRowHeight="15" customHeight="1" outlineLevelCol="1" x14ac:dyDescent="0.25"/>
  <cols>
    <col min="1" max="1" width="0.85546875" style="316" customWidth="1"/>
    <col min="2" max="2" width="7.7109375" style="318" customWidth="1"/>
    <col min="3" max="4" width="11.7109375" style="315" hidden="1" customWidth="1"/>
    <col min="5" max="5" width="13.7109375" style="315" customWidth="1"/>
    <col min="6" max="6" width="45.7109375" style="315" customWidth="1" outlineLevel="1"/>
    <col min="7" max="7" width="14.7109375" style="318" customWidth="1" outlineLevel="1"/>
    <col min="8" max="8" width="13.7109375" style="316" customWidth="1" outlineLevel="1"/>
    <col min="9" max="16" width="13.7109375" style="315" customWidth="1" outlineLevel="1"/>
    <col min="17" max="17" width="13.7109375" style="315" customWidth="1"/>
    <col min="18" max="26" width="13.7109375" style="315" customWidth="1" outlineLevel="1"/>
    <col min="27" max="27" width="13.7109375" style="315" customWidth="1" outlineLevel="1" collapsed="1"/>
    <col min="28" max="28" width="13.7109375" style="315" customWidth="1" outlineLevel="1"/>
    <col min="29" max="29" width="13.7109375" style="315" customWidth="1"/>
    <col min="30" max="36" width="13.7109375" style="315" customWidth="1" outlineLevel="1"/>
    <col min="37" max="41" width="13.7109375" style="315" customWidth="1"/>
    <col min="42" max="16384" width="11" style="315"/>
  </cols>
  <sheetData>
    <row r="2" spans="1:42" ht="22.5" customHeight="1" x14ac:dyDescent="0.25">
      <c r="B2" s="314" t="s">
        <v>341</v>
      </c>
      <c r="E2" s="314"/>
      <c r="AI2" s="317"/>
      <c r="AJ2" s="317"/>
      <c r="AK2" s="317"/>
      <c r="AL2" s="317"/>
      <c r="AM2" s="317"/>
      <c r="AN2" s="317"/>
      <c r="AO2" s="317"/>
    </row>
    <row r="3" spans="1:42" ht="16.5" customHeight="1" x14ac:dyDescent="0.25">
      <c r="A3" s="421"/>
      <c r="B3" s="426" t="s">
        <v>342</v>
      </c>
    </row>
    <row r="4" spans="1:42" ht="15" customHeight="1" x14ac:dyDescent="0.25">
      <c r="A4" s="423"/>
      <c r="B4" s="663" t="s">
        <v>839</v>
      </c>
      <c r="E4" s="671">
        <f>status1B5!F4</f>
        <v>46048</v>
      </c>
    </row>
    <row r="5" spans="1:42" ht="12.75" customHeight="1" x14ac:dyDescent="0.25">
      <c r="A5" s="423"/>
      <c r="B5" s="664"/>
      <c r="C5" s="664"/>
      <c r="D5" s="664"/>
      <c r="E5" s="664"/>
      <c r="F5" s="664"/>
      <c r="G5" s="664"/>
      <c r="H5" s="665"/>
      <c r="I5" s="665"/>
      <c r="J5" s="665"/>
      <c r="K5" s="665"/>
      <c r="L5" s="665"/>
      <c r="M5" s="665"/>
      <c r="N5" s="665"/>
      <c r="O5" s="665"/>
      <c r="P5" s="665"/>
      <c r="Q5" s="665"/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  <c r="AC5" s="665"/>
      <c r="AD5" s="665"/>
      <c r="AE5" s="665"/>
      <c r="AF5" s="665"/>
      <c r="AG5" s="665"/>
      <c r="AH5" s="665"/>
      <c r="AI5" s="665"/>
      <c r="AJ5" s="665"/>
      <c r="AK5" s="665"/>
      <c r="AL5" s="665"/>
      <c r="AM5" s="665"/>
      <c r="AN5" s="665"/>
      <c r="AO5" s="665"/>
      <c r="AP5" s="665"/>
    </row>
    <row r="6" spans="1:42" ht="12.75" customHeight="1" x14ac:dyDescent="0.25">
      <c r="A6" s="423"/>
      <c r="B6" s="664"/>
      <c r="C6" s="664"/>
      <c r="D6" s="664"/>
      <c r="E6" s="664"/>
      <c r="F6" s="664"/>
      <c r="G6" s="664"/>
      <c r="H6" s="664">
        <v>1</v>
      </c>
      <c r="I6" s="664">
        <f t="shared" ref="I6:AO6" si="0">IF(I7="No aplica","",H6+1)</f>
        <v>2</v>
      </c>
      <c r="J6" s="664">
        <f t="shared" si="0"/>
        <v>3</v>
      </c>
      <c r="K6" s="664">
        <f t="shared" si="0"/>
        <v>4</v>
      </c>
      <c r="L6" s="664">
        <f t="shared" si="0"/>
        <v>5</v>
      </c>
      <c r="M6" s="664">
        <f t="shared" si="0"/>
        <v>6</v>
      </c>
      <c r="N6" s="664">
        <f t="shared" si="0"/>
        <v>7</v>
      </c>
      <c r="O6" s="664">
        <f t="shared" si="0"/>
        <v>8</v>
      </c>
      <c r="P6" s="664">
        <f t="shared" si="0"/>
        <v>9</v>
      </c>
      <c r="Q6" s="664">
        <f t="shared" si="0"/>
        <v>10</v>
      </c>
      <c r="R6" s="664">
        <f t="shared" si="0"/>
        <v>11</v>
      </c>
      <c r="S6" s="664">
        <f t="shared" si="0"/>
        <v>12</v>
      </c>
      <c r="T6" s="664">
        <f t="shared" si="0"/>
        <v>13</v>
      </c>
      <c r="U6" s="664">
        <f t="shared" si="0"/>
        <v>14</v>
      </c>
      <c r="V6" s="664">
        <f t="shared" si="0"/>
        <v>15</v>
      </c>
      <c r="W6" s="664">
        <f t="shared" si="0"/>
        <v>16</v>
      </c>
      <c r="X6" s="664">
        <f t="shared" si="0"/>
        <v>17</v>
      </c>
      <c r="Y6" s="664">
        <f t="shared" si="0"/>
        <v>18</v>
      </c>
      <c r="Z6" s="664">
        <f t="shared" si="0"/>
        <v>19</v>
      </c>
      <c r="AA6" s="664">
        <f t="shared" si="0"/>
        <v>20</v>
      </c>
      <c r="AB6" s="664">
        <f t="shared" si="0"/>
        <v>21</v>
      </c>
      <c r="AC6" s="664">
        <f t="shared" si="0"/>
        <v>22</v>
      </c>
      <c r="AD6" s="664">
        <f t="shared" si="0"/>
        <v>23</v>
      </c>
      <c r="AE6" s="664">
        <f t="shared" si="0"/>
        <v>24</v>
      </c>
      <c r="AF6" s="664">
        <f t="shared" si="0"/>
        <v>25</v>
      </c>
      <c r="AG6" s="664">
        <f t="shared" si="0"/>
        <v>26</v>
      </c>
      <c r="AH6" s="664">
        <f t="shared" si="0"/>
        <v>27</v>
      </c>
      <c r="AI6" s="664">
        <f t="shared" si="0"/>
        <v>28</v>
      </c>
      <c r="AJ6" s="664">
        <f t="shared" si="0"/>
        <v>29</v>
      </c>
      <c r="AK6" s="664">
        <f t="shared" si="0"/>
        <v>30</v>
      </c>
      <c r="AL6" s="664">
        <f t="shared" si="0"/>
        <v>31</v>
      </c>
      <c r="AM6" s="664">
        <f t="shared" si="0"/>
        <v>32</v>
      </c>
      <c r="AN6" s="664">
        <f t="shared" si="0"/>
        <v>33</v>
      </c>
      <c r="AO6" s="664">
        <f t="shared" si="0"/>
        <v>34</v>
      </c>
      <c r="AP6" s="665"/>
    </row>
    <row r="7" spans="1:42" ht="12.75" customHeight="1" x14ac:dyDescent="0.25">
      <c r="A7" s="423"/>
      <c r="B7" s="664" t="str">
        <f>B8</f>
        <v>Apto.</v>
      </c>
      <c r="C7" s="664" t="str">
        <f t="shared" ref="C7:G7" si="1">C8</f>
        <v>Tipo.</v>
      </c>
      <c r="D7" s="664" t="str">
        <f t="shared" si="1"/>
        <v>Notas</v>
      </c>
      <c r="E7" s="664" t="str">
        <f t="shared" si="1"/>
        <v>Vendedor</v>
      </c>
      <c r="F7" s="664" t="str">
        <f t="shared" si="1"/>
        <v>Cliente</v>
      </c>
      <c r="G7" s="664" t="str">
        <f t="shared" si="1"/>
        <v>Fecha Reserva</v>
      </c>
      <c r="H7" s="665">
        <f t="shared" ref="H7:AL7" si="2">IF(H8&lt;=$E$4,H8,"No aplica")</f>
        <v>45016</v>
      </c>
      <c r="I7" s="665">
        <f t="shared" si="2"/>
        <v>45046</v>
      </c>
      <c r="J7" s="665">
        <f t="shared" si="2"/>
        <v>45077</v>
      </c>
      <c r="K7" s="665">
        <f t="shared" si="2"/>
        <v>45107</v>
      </c>
      <c r="L7" s="665">
        <f t="shared" si="2"/>
        <v>45138</v>
      </c>
      <c r="M7" s="665">
        <f t="shared" si="2"/>
        <v>45169</v>
      </c>
      <c r="N7" s="665">
        <f t="shared" si="2"/>
        <v>45199</v>
      </c>
      <c r="O7" s="665">
        <f t="shared" si="2"/>
        <v>45230</v>
      </c>
      <c r="P7" s="665">
        <f t="shared" si="2"/>
        <v>45260</v>
      </c>
      <c r="Q7" s="665">
        <f t="shared" si="2"/>
        <v>45291</v>
      </c>
      <c r="R7" s="665">
        <f t="shared" si="2"/>
        <v>45322</v>
      </c>
      <c r="S7" s="665">
        <f t="shared" si="2"/>
        <v>45351</v>
      </c>
      <c r="T7" s="665">
        <f t="shared" si="2"/>
        <v>45382</v>
      </c>
      <c r="U7" s="665">
        <f t="shared" si="2"/>
        <v>45412</v>
      </c>
      <c r="V7" s="665">
        <f t="shared" si="2"/>
        <v>45443</v>
      </c>
      <c r="W7" s="665">
        <f t="shared" si="2"/>
        <v>45473</v>
      </c>
      <c r="X7" s="665">
        <f t="shared" si="2"/>
        <v>45504</v>
      </c>
      <c r="Y7" s="665">
        <f t="shared" si="2"/>
        <v>45535</v>
      </c>
      <c r="Z7" s="665">
        <f t="shared" si="2"/>
        <v>45565</v>
      </c>
      <c r="AA7" s="665">
        <f t="shared" si="2"/>
        <v>45596</v>
      </c>
      <c r="AB7" s="665">
        <f t="shared" si="2"/>
        <v>45626</v>
      </c>
      <c r="AC7" s="665">
        <f t="shared" si="2"/>
        <v>45657</v>
      </c>
      <c r="AD7" s="665">
        <f t="shared" si="2"/>
        <v>45688</v>
      </c>
      <c r="AE7" s="665">
        <f t="shared" si="2"/>
        <v>45716</v>
      </c>
      <c r="AF7" s="665">
        <f t="shared" si="2"/>
        <v>45747</v>
      </c>
      <c r="AG7" s="665">
        <f t="shared" si="2"/>
        <v>45777</v>
      </c>
      <c r="AH7" s="665">
        <f t="shared" si="2"/>
        <v>45808</v>
      </c>
      <c r="AI7" s="665">
        <f t="shared" si="2"/>
        <v>45838</v>
      </c>
      <c r="AJ7" s="665">
        <f t="shared" si="2"/>
        <v>45869</v>
      </c>
      <c r="AK7" s="665">
        <f t="shared" si="2"/>
        <v>45900</v>
      </c>
      <c r="AL7" s="665">
        <f t="shared" si="2"/>
        <v>45930</v>
      </c>
      <c r="AM7" s="665">
        <f>IF(AM8&lt;=$E$4,AM8,"No aplica")</f>
        <v>45961</v>
      </c>
      <c r="AN7" s="665">
        <f t="shared" ref="AN7:AO7" si="3">IF(AN8&lt;=$E$4,AN8,"No aplica")</f>
        <v>45991</v>
      </c>
      <c r="AO7" s="665">
        <f t="shared" si="3"/>
        <v>46022</v>
      </c>
      <c r="AP7" s="665"/>
    </row>
    <row r="8" spans="1:42" ht="45" customHeight="1" x14ac:dyDescent="0.25">
      <c r="B8" s="425" t="s">
        <v>131</v>
      </c>
      <c r="C8" s="425" t="s">
        <v>132</v>
      </c>
      <c r="D8" s="425" t="s">
        <v>331</v>
      </c>
      <c r="E8" s="425" t="s">
        <v>65</v>
      </c>
      <c r="F8" s="425" t="s">
        <v>66</v>
      </c>
      <c r="G8" s="501" t="s">
        <v>133</v>
      </c>
      <c r="H8" s="501">
        <v>45016</v>
      </c>
      <c r="I8" s="501">
        <v>45046</v>
      </c>
      <c r="J8" s="501">
        <v>45077</v>
      </c>
      <c r="K8" s="501">
        <v>45107</v>
      </c>
      <c r="L8" s="501">
        <v>45138</v>
      </c>
      <c r="M8" s="501">
        <v>45169</v>
      </c>
      <c r="N8" s="501">
        <v>45199</v>
      </c>
      <c r="O8" s="501">
        <v>45230</v>
      </c>
      <c r="P8" s="501">
        <v>45260</v>
      </c>
      <c r="Q8" s="501">
        <v>45291</v>
      </c>
      <c r="R8" s="501">
        <v>45322</v>
      </c>
      <c r="S8" s="501">
        <v>45351</v>
      </c>
      <c r="T8" s="501">
        <v>45382</v>
      </c>
      <c r="U8" s="501">
        <v>45412</v>
      </c>
      <c r="V8" s="501">
        <v>45443</v>
      </c>
      <c r="W8" s="501">
        <v>45473</v>
      </c>
      <c r="X8" s="501">
        <v>45504</v>
      </c>
      <c r="Y8" s="501">
        <v>45535</v>
      </c>
      <c r="Z8" s="501">
        <v>45565</v>
      </c>
      <c r="AA8" s="501">
        <v>45596</v>
      </c>
      <c r="AB8" s="501">
        <v>45626</v>
      </c>
      <c r="AC8" s="501">
        <v>45657</v>
      </c>
      <c r="AD8" s="501">
        <v>45688</v>
      </c>
      <c r="AE8" s="501">
        <v>45716</v>
      </c>
      <c r="AF8" s="501">
        <v>45747</v>
      </c>
      <c r="AG8" s="501">
        <v>45777</v>
      </c>
      <c r="AH8" s="501">
        <v>45808</v>
      </c>
      <c r="AI8" s="501">
        <v>45838</v>
      </c>
      <c r="AJ8" s="501">
        <v>45869</v>
      </c>
      <c r="AK8" s="501">
        <v>45900</v>
      </c>
      <c r="AL8" s="501">
        <v>45930</v>
      </c>
      <c r="AM8" s="501">
        <v>45961</v>
      </c>
      <c r="AN8" s="501">
        <v>45991</v>
      </c>
      <c r="AO8" s="501">
        <v>46022</v>
      </c>
      <c r="AP8" s="502" t="s">
        <v>845</v>
      </c>
    </row>
    <row r="9" spans="1:42" s="429" customFormat="1" ht="13.9" customHeight="1" x14ac:dyDescent="0.25">
      <c r="A9" s="472"/>
      <c r="B9" s="436">
        <f>'BOULEVARD 5'!B7</f>
        <v>101</v>
      </c>
      <c r="C9" s="436" t="s">
        <v>355</v>
      </c>
      <c r="D9" s="436"/>
      <c r="E9" s="436" t="str">
        <f>IF('BOULEVARD 5'!E7="","",'BOULEVARD 5'!E7)</f>
        <v>Jose Franco</v>
      </c>
      <c r="F9" s="429" t="str">
        <f>IF('BOULEVARD 5'!F7="","",'BOULEVARD 5'!F7)</f>
        <v>Karla Michelle Abril Valencia De Galicia</v>
      </c>
      <c r="G9" s="473">
        <f>IF('BOULEVARD 5'!G7="","",'BOULEVARD 5'!G7)</f>
        <v>45012</v>
      </c>
      <c r="H9" s="666" t="str">
        <f>IF(OR($A9="F&amp;F",$G9=""),"",IF(H$8&gt;$G9,IF(OR(status1B5!I9=1,status1B5!I9=2,'BOULEVARD 5'!K7&gt;0),"Pagado","impago"),""))</f>
        <v>Pagado</v>
      </c>
      <c r="I9" s="666" t="str">
        <f>IF(OR($A9="F&amp;F",$G9=""),"",IF(I$8&gt;$G9,IF(OR(status1B5!J9=1,status1B5!J9=2,'BOULEVARD 5'!L7&gt;0),"Pagado","impago"),""))</f>
        <v>Pagado</v>
      </c>
      <c r="J9" s="666" t="str">
        <f>IF(OR($A9="F&amp;F",$G9=""),"",IF(J$8&gt;$G9,IF(OR(status1B5!K9=1,status1B5!K9=2,'BOULEVARD 5'!M7&gt;0),"Pagado","impago"),""))</f>
        <v>Pagado</v>
      </c>
      <c r="K9" s="666" t="str">
        <f>IF(OR($A9="F&amp;F",$G9=""),"",IF(K$8&gt;$G9,IF(OR(status1B5!L9=1,status1B5!L9=2,'BOULEVARD 5'!N7&gt;0),"Pagado","impago"),""))</f>
        <v>Pagado</v>
      </c>
      <c r="L9" s="666" t="str">
        <f>IF(OR($A9="F&amp;F",$G9=""),"",IF(L$8&gt;$G9,IF(OR(status1B5!M9=1,status1B5!M9=2,'BOULEVARD 5'!O7&gt;0),"Pagado","impago"),""))</f>
        <v>Pagado</v>
      </c>
      <c r="M9" s="666" t="str">
        <f>IF(OR($A9="F&amp;F",$G9=""),"",IF(M$8&gt;$G9,IF(OR(status1B5!N9=1,status1B5!N9=2,'BOULEVARD 5'!P7&gt;0),"Pagado","impago"),""))</f>
        <v>Pagado</v>
      </c>
      <c r="N9" s="666" t="str">
        <f>IF(OR($A9="F&amp;F",$G9=""),"",IF(N$8&gt;$G9,IF(OR(status1B5!O9=1,status1B5!O9=2,'BOULEVARD 5'!Q7&gt;0),"Pagado","impago"),""))</f>
        <v>Pagado</v>
      </c>
      <c r="O9" s="666" t="str">
        <f>IF(OR($A9="F&amp;F",$G9=""),"",IF(O$8&gt;$G9,IF(OR(status1B5!P9=1,status1B5!P9=2,'BOULEVARD 5'!R7&gt;0),"Pagado","impago"),""))</f>
        <v>Pagado</v>
      </c>
      <c r="P9" s="666" t="str">
        <f>IF(OR($A9="F&amp;F",$G9=""),"",IF(P$8&gt;$G9,IF(OR(status1B5!Q9=1,status1B5!Q9=2,'BOULEVARD 5'!S7&gt;0),"Pagado","impago"),""))</f>
        <v>Pagado</v>
      </c>
      <c r="Q9" s="666" t="str">
        <f>IF(OR($A9="F&amp;F",$G9=""),"",IF(Q$8&gt;$G9,IF(OR(status1B5!R9=1,status1B5!R9=2,'BOULEVARD 5'!T7&gt;0),"Pagado","impago"),""))</f>
        <v>Pagado</v>
      </c>
      <c r="R9" s="666" t="str">
        <f>IF(OR($A9="F&amp;F",$G9=""),"",IF(R$8&gt;$G9,IF(OR(status1B5!S9=1,status1B5!S9=2,'BOULEVARD 5'!U7&gt;0),"Pagado","impago"),""))</f>
        <v>Pagado</v>
      </c>
      <c r="S9" s="666" t="str">
        <f>IF(OR($A9="F&amp;F",$G9=""),"",IF(S$8&gt;$G9,IF(OR(status1B5!T9=1,status1B5!T9=2,'BOULEVARD 5'!V7&gt;0),"Pagado","impago"),""))</f>
        <v>Pagado</v>
      </c>
      <c r="T9" s="666" t="str">
        <f>IF(OR($A9="F&amp;F",$G9=""),"",IF(T$8&gt;$G9,IF(OR(status1B5!U9=1,status1B5!U9=2,'BOULEVARD 5'!W7&gt;0),"Pagado","impago"),""))</f>
        <v>Pagado</v>
      </c>
      <c r="U9" s="666" t="str">
        <f>IF(OR($A9="F&amp;F",$G9=""),"",IF(U$8&gt;$G9,IF(OR(status1B5!V9=1,status1B5!V9=2,'BOULEVARD 5'!X7&gt;0),"Pagado","impago"),""))</f>
        <v>Pagado</v>
      </c>
      <c r="V9" s="666" t="str">
        <f>IF(OR($A9="F&amp;F",$G9=""),"",IF(V$8&gt;$G9,IF(OR(status1B5!W9=1,status1B5!W9=2,'BOULEVARD 5'!Y7&gt;0),"Pagado","impago"),""))</f>
        <v>Pagado</v>
      </c>
      <c r="W9" s="666" t="str">
        <f>IF(OR($A9="F&amp;F",$G9=""),"",IF(W$8&gt;$G9,IF(OR(status1B5!X9=1,status1B5!X9=2,'BOULEVARD 5'!Z7&gt;0),"Pagado","impago"),""))</f>
        <v>Pagado</v>
      </c>
      <c r="X9" s="666" t="str">
        <f>IF(OR($A9="F&amp;F",$G9=""),"",IF(X$8&gt;$G9,IF(OR(status1B5!Y9=1,status1B5!Y9=2,'BOULEVARD 5'!AA7&gt;0),"Pagado","impago"),""))</f>
        <v>Pagado</v>
      </c>
      <c r="Y9" s="666" t="str">
        <f>IF(OR($A9="F&amp;F",$G9=""),"",IF(Y$8&gt;$G9,IF(OR(status1B5!Z9=1,status1B5!Z9=2,'BOULEVARD 5'!AB7&gt;0),"Pagado","impago"),""))</f>
        <v>Pagado</v>
      </c>
      <c r="Z9" s="666" t="str">
        <f>IF(OR($A9="F&amp;F",$G9=""),"",IF(Z$8&gt;$G9,IF(OR(status1B5!AA9=1,status1B5!AA9=2,'BOULEVARD 5'!AC7&gt;0),"Pagado","impago"),""))</f>
        <v>Pagado</v>
      </c>
      <c r="AA9" s="666" t="str">
        <f>IF(OR($A9="F&amp;F",$G9=""),"",IF(AA$8&gt;$G9,IF(OR(status1B5!AB9=1,status1B5!AB9=2,'BOULEVARD 5'!AD7&gt;0),"Pagado","impago"),""))</f>
        <v>Pagado</v>
      </c>
      <c r="AB9" s="666" t="str">
        <f>IF(OR($A9="F&amp;F",$G9=""),"",IF(AB$8&gt;$G9,IF(OR(status1B5!AC9=1,status1B5!AC9=2,'BOULEVARD 5'!AE7&gt;0),"Pagado","impago"),""))</f>
        <v>Pagado</v>
      </c>
      <c r="AC9" s="666" t="str">
        <f>IF(OR($A9="F&amp;F",$G9=""),"",IF(AC$8&gt;$G9,IF(OR(status1B5!AD9=1,status1B5!AD9=2,'BOULEVARD 5'!AF7&gt;0),"Pagado","impago"),""))</f>
        <v>Pagado</v>
      </c>
      <c r="AD9" s="666" t="str">
        <f>IF(OR($A9="F&amp;F",$G9=""),"",IF(AD$8&gt;$G9,IF(OR(status1B5!AE9=1,status1B5!AE9=2,'BOULEVARD 5'!AG7&gt;0),"Pagado","impago"),""))</f>
        <v>Pagado</v>
      </c>
      <c r="AE9" s="666" t="str">
        <f>IF(OR($A9="F&amp;F",$G9=""),"",IF(AE$8&gt;$G9,IF(OR(status1B5!AF9=1,status1B5!AF9=2,'BOULEVARD 5'!AH7&gt;0),"Pagado","impago"),""))</f>
        <v>Pagado</v>
      </c>
      <c r="AF9" s="666" t="str">
        <f>IF(OR($A9="F&amp;F",$G9=""),"",IF(AF$8&gt;$G9,IF(OR(status1B5!AG9=1,status1B5!AG9=2,'BOULEVARD 5'!AI7&gt;0),"Pagado","impago"),""))</f>
        <v>Pagado</v>
      </c>
      <c r="AG9" s="666" t="str">
        <f>IF(OR($A9="F&amp;F",$G9=""),"",IF(AG$8&gt;$G9,IF(OR(status1B5!AH9=1,status1B5!AH9=2,'BOULEVARD 5'!AJ7&gt;0),"Pagado","impago"),""))</f>
        <v>Pagado</v>
      </c>
      <c r="AH9" s="666" t="str">
        <f>IF(OR($A9="F&amp;F",$G9=""),"",IF(AH$8&gt;$G9,IF(OR(status1B5!AI9=1,status1B5!AI9=2,'BOULEVARD 5'!AK7&gt;0),"Pagado","impago"),""))</f>
        <v>Pagado</v>
      </c>
      <c r="AI9" s="666" t="str">
        <f>IF(OR($A9="F&amp;F",$G9=""),"",IF(AI$8&gt;$G9,IF(OR(status1B5!AJ9=1,status1B5!AJ9=2,'BOULEVARD 5'!AL7&gt;0),"Pagado","impago"),""))</f>
        <v>Pagado</v>
      </c>
      <c r="AJ9" s="666" t="str">
        <f>IF(OR($A9="F&amp;F",$G9=""),"",IF(AJ$8&gt;$G9,IF(OR(status1B5!AK9=1,status1B5!AK9=2,'BOULEVARD 5'!AM7&gt;0),"Pagado","impago"),""))</f>
        <v>Pagado</v>
      </c>
      <c r="AK9" s="666" t="str">
        <f>IF(OR($A9="F&amp;F",$G9=""),"",IF(AK$8&gt;$G9,IF(OR(status1B5!AL9=1,status1B5!AL9=2,'BOULEVARD 5'!AN7&gt;0),"Pagado","impago"),""))</f>
        <v>Pagado</v>
      </c>
      <c r="AL9" s="666" t="str">
        <f>IF(OR($A9="F&amp;F",$G9=""),"",IF(AL$8&gt;$G9,IF(OR(status1B5!AM9=1,status1B5!AM9=2,'BOULEVARD 5'!AO7&gt;0),"Pagado","impago"),""))</f>
        <v>Pagado</v>
      </c>
      <c r="AM9" s="666" t="str">
        <f>IF(OR($A9="F&amp;F",$G9=""),"",IF(AM$8&gt;$G9,IF(OR(status1B5!AN9=1,status1B5!AN9=2,'BOULEVARD 5'!AP7&gt;0),"Pagado","impago"),""))</f>
        <v>Pagado</v>
      </c>
      <c r="AN9" s="666" t="str">
        <f>IF(OR($A9="F&amp;F",$G9=""),"",IF(AN$8&gt;$G9,IF(OR(status1B5!AO9=1,status1B5!AO9=2,'BOULEVARD 5'!AQ7&gt;0),"Pagado","impago"),""))</f>
        <v>Pagado</v>
      </c>
      <c r="AO9" s="666" t="str">
        <f>IF(OR($A9="F&amp;F",$G9=""),"",IF(AO$8&gt;$G9,IF(OR(status1B5!AP9=1,status1B5!AP9=2,'BOULEVARD 5'!AS7&gt;0),"Pagado","impago"),""))</f>
        <v>Pagado</v>
      </c>
      <c r="AP9" s="429" t="str">
        <f t="shared" ref="AP9:AP72" si="4">IF(G9="","No Vendido","Vendido")</f>
        <v>Vendido</v>
      </c>
    </row>
    <row r="10" spans="1:42" s="429" customFormat="1" ht="13.9" customHeight="1" x14ac:dyDescent="0.25">
      <c r="B10" s="436">
        <f>'BOULEVARD 5'!B8</f>
        <v>102</v>
      </c>
      <c r="C10" s="436" t="s">
        <v>355</v>
      </c>
      <c r="D10" s="436"/>
      <c r="E10" s="436" t="str">
        <f>IF('BOULEVARD 5'!E8="","",'BOULEVARD 5'!E8)</f>
        <v>Erwin Cardona</v>
      </c>
      <c r="F10" s="429" t="str">
        <f>IF('BOULEVARD 5'!F8="","",'BOULEVARD 5'!F8)</f>
        <v>Irma Leticia Villatoro Bucaro</v>
      </c>
      <c r="G10" s="473">
        <f>IF('BOULEVARD 5'!G8="","",'BOULEVARD 5'!G8)</f>
        <v>46012</v>
      </c>
      <c r="H10" s="666" t="str">
        <f>IF(OR($A10="F&amp;F",$G10=""),"",IF(H$8&gt;$G10,IF(OR(status1B5!I10=1,status1B5!I10=2,'BOULEVARD 5'!K8&gt;0),"Pagado","impago"),""))</f>
        <v/>
      </c>
      <c r="I10" s="666" t="str">
        <f>IF(OR($A10="F&amp;F",$G10=""),"",IF(I$8&gt;$G10,IF(OR(status1B5!J10=1,status1B5!J10=2,'BOULEVARD 5'!L8&gt;0),"Pagado","impago"),""))</f>
        <v/>
      </c>
      <c r="J10" s="666" t="str">
        <f>IF(OR($A10="F&amp;F",$G10=""),"",IF(J$8&gt;$G10,IF(OR(status1B5!K10=1,status1B5!K10=2,'BOULEVARD 5'!M8&gt;0),"Pagado","impago"),""))</f>
        <v/>
      </c>
      <c r="K10" s="666" t="str">
        <f>IF(OR($A10="F&amp;F",$G10=""),"",IF(K$8&gt;$G10,IF(OR(status1B5!L10=1,status1B5!L10=2,'BOULEVARD 5'!N8&gt;0),"Pagado","impago"),""))</f>
        <v/>
      </c>
      <c r="L10" s="666" t="str">
        <f>IF(OR($A10="F&amp;F",$G10=""),"",IF(L$8&gt;$G10,IF(OR(status1B5!M10=1,status1B5!M10=2,'BOULEVARD 5'!O8&gt;0),"Pagado","impago"),""))</f>
        <v/>
      </c>
      <c r="M10" s="666" t="str">
        <f>IF(OR($A10="F&amp;F",$G10=""),"",IF(M$8&gt;$G10,IF(OR(status1B5!N10=1,status1B5!N10=2,'BOULEVARD 5'!P8&gt;0),"Pagado","impago"),""))</f>
        <v/>
      </c>
      <c r="N10" s="666" t="str">
        <f>IF(OR($A10="F&amp;F",$G10=""),"",IF(N$8&gt;$G10,IF(OR(status1B5!O10=1,status1B5!O10=2,'BOULEVARD 5'!Q8&gt;0),"Pagado","impago"),""))</f>
        <v/>
      </c>
      <c r="O10" s="666" t="str">
        <f>IF(OR($A10="F&amp;F",$G10=""),"",IF(O$8&gt;$G10,IF(OR(status1B5!P10=1,status1B5!P10=2,'BOULEVARD 5'!R8&gt;0),"Pagado","impago"),""))</f>
        <v/>
      </c>
      <c r="P10" s="666" t="str">
        <f>IF(OR($A10="F&amp;F",$G10=""),"",IF(P$8&gt;$G10,IF(OR(status1B5!Q10=1,status1B5!Q10=2,'BOULEVARD 5'!S8&gt;0),"Pagado","impago"),""))</f>
        <v/>
      </c>
      <c r="Q10" s="666" t="str">
        <f>IF(OR($A10="F&amp;F",$G10=""),"",IF(Q$8&gt;$G10,IF(OR(status1B5!R10=1,status1B5!R10=2,'BOULEVARD 5'!T8&gt;0),"Pagado","impago"),""))</f>
        <v/>
      </c>
      <c r="R10" s="666" t="str">
        <f>IF(OR($A10="F&amp;F",$G10=""),"",IF(R$8&gt;$G10,IF(OR(status1B5!S10=1,status1B5!S10=2,'BOULEVARD 5'!U8&gt;0),"Pagado","impago"),""))</f>
        <v/>
      </c>
      <c r="S10" s="666" t="str">
        <f>IF(OR($A10="F&amp;F",$G10=""),"",IF(S$8&gt;$G10,IF(OR(status1B5!T10=1,status1B5!T10=2,'BOULEVARD 5'!V8&gt;0),"Pagado","impago"),""))</f>
        <v/>
      </c>
      <c r="T10" s="666" t="str">
        <f>IF(OR($A10="F&amp;F",$G10=""),"",IF(T$8&gt;$G10,IF(OR(status1B5!U10=1,status1B5!U10=2,'BOULEVARD 5'!W8&gt;0),"Pagado","impago"),""))</f>
        <v/>
      </c>
      <c r="U10" s="666" t="str">
        <f>IF(OR($A10="F&amp;F",$G10=""),"",IF(U$8&gt;$G10,IF(OR(status1B5!V10=1,status1B5!V10=2,'BOULEVARD 5'!X8&gt;0),"Pagado","impago"),""))</f>
        <v/>
      </c>
      <c r="V10" s="666" t="str">
        <f>IF(OR($A10="F&amp;F",$G10=""),"",IF(V$8&gt;$G10,IF(OR(status1B5!W10=1,status1B5!W10=2,'BOULEVARD 5'!Y8&gt;0),"Pagado","impago"),""))</f>
        <v/>
      </c>
      <c r="W10" s="666" t="str">
        <f>IF(OR($A10="F&amp;F",$G10=""),"",IF(W$8&gt;$G10,IF(OR(status1B5!X10=1,status1B5!X10=2,'BOULEVARD 5'!Z8&gt;0),"Pagado","impago"),""))</f>
        <v/>
      </c>
      <c r="X10" s="666" t="str">
        <f>IF(OR($A10="F&amp;F",$G10=""),"",IF(X$8&gt;$G10,IF(OR(status1B5!Y10=1,status1B5!Y10=2,'BOULEVARD 5'!AA8&gt;0),"Pagado","impago"),""))</f>
        <v/>
      </c>
      <c r="Y10" s="666" t="str">
        <f>IF(OR($A10="F&amp;F",$G10=""),"",IF(Y$8&gt;$G10,IF(OR(status1B5!Z10=1,status1B5!Z10=2,'BOULEVARD 5'!AB8&gt;0),"Pagado","impago"),""))</f>
        <v/>
      </c>
      <c r="Z10" s="666" t="str">
        <f>IF(OR($A10="F&amp;F",$G10=""),"",IF(Z$8&gt;$G10,IF(OR(status1B5!AA10=1,status1B5!AA10=2,'BOULEVARD 5'!AC8&gt;0),"Pagado","impago"),""))</f>
        <v/>
      </c>
      <c r="AA10" s="666" t="str">
        <f>IF(OR($A10="F&amp;F",$G10=""),"",IF(AA$8&gt;$G10,IF(OR(status1B5!AB10=1,status1B5!AB10=2,'BOULEVARD 5'!AD8&gt;0),"Pagado","impago"),""))</f>
        <v/>
      </c>
      <c r="AB10" s="666" t="str">
        <f>IF(OR($A10="F&amp;F",$G10=""),"",IF(AB$8&gt;$G10,IF(OR(status1B5!AC10=1,status1B5!AC10=2,'BOULEVARD 5'!AE8&gt;0),"Pagado","impago"),""))</f>
        <v/>
      </c>
      <c r="AC10" s="666" t="str">
        <f>IF(OR($A10="F&amp;F",$G10=""),"",IF(AC$8&gt;$G10,IF(OR(status1B5!AD10=1,status1B5!AD10=2,'BOULEVARD 5'!AF8&gt;0),"Pagado","impago"),""))</f>
        <v/>
      </c>
      <c r="AD10" s="666" t="str">
        <f>IF(OR($A10="F&amp;F",$G10=""),"",IF(AD$8&gt;$G10,IF(OR(status1B5!AE10=1,status1B5!AE10=2,'BOULEVARD 5'!AG8&gt;0),"Pagado","impago"),""))</f>
        <v/>
      </c>
      <c r="AE10" s="666" t="str">
        <f>IF(OR($A10="F&amp;F",$G10=""),"",IF(AE$8&gt;$G10,IF(OR(status1B5!AF10=1,status1B5!AF10=2,'BOULEVARD 5'!AH8&gt;0),"Pagado","impago"),""))</f>
        <v/>
      </c>
      <c r="AF10" s="666" t="str">
        <f>IF(OR($A10="F&amp;F",$G10=""),"",IF(AF$8&gt;$G10,IF(OR(status1B5!AG10=1,status1B5!AG10=2,'BOULEVARD 5'!AI8&gt;0),"Pagado","impago"),""))</f>
        <v/>
      </c>
      <c r="AG10" s="666" t="str">
        <f>IF(OR($A10="F&amp;F",$G10=""),"",IF(AG$8&gt;$G10,IF(OR(status1B5!AH10=1,status1B5!AH10=2,'BOULEVARD 5'!AJ8&gt;0),"Pagado","impago"),""))</f>
        <v/>
      </c>
      <c r="AH10" s="666" t="str">
        <f>IF(OR($A10="F&amp;F",$G10=""),"",IF(AH$8&gt;$G10,IF(OR(status1B5!AI10=1,status1B5!AI10=2,'BOULEVARD 5'!AK8&gt;0),"Pagado","impago"),""))</f>
        <v/>
      </c>
      <c r="AI10" s="666" t="str">
        <f>IF(OR($A10="F&amp;F",$G10=""),"",IF(AI$8&gt;$G10,IF(OR(status1B5!AJ10=1,status1B5!AJ10=2,'BOULEVARD 5'!AL8&gt;0),"Pagado","impago"),""))</f>
        <v/>
      </c>
      <c r="AJ10" s="666" t="str">
        <f>IF(OR($A10="F&amp;F",$G10=""),"",IF(AJ$8&gt;$G10,IF(OR(status1B5!AK10=1,status1B5!AK10=2,'BOULEVARD 5'!AM8&gt;0),"Pagado","impago"),""))</f>
        <v/>
      </c>
      <c r="AK10" s="666" t="str">
        <f>IF(OR($A10="F&amp;F",$G10=""),"",IF(AK$8&gt;$G10,IF(OR(status1B5!AL10=1,status1B5!AL10=2,'BOULEVARD 5'!AN8&gt;0),"Pagado","impago"),""))</f>
        <v/>
      </c>
      <c r="AL10" s="666" t="str">
        <f>IF(OR($A10="F&amp;F",$G10=""),"",IF(AL$8&gt;$G10,IF(OR(status1B5!AM10=1,status1B5!AM10=2,'BOULEVARD 5'!AO8&gt;0),"Pagado","impago"),""))</f>
        <v/>
      </c>
      <c r="AM10" s="666" t="str">
        <f>IF(OR($A10="F&amp;F",$G10=""),"",IF(AM$8&gt;$G10,IF(OR(status1B5!AN10=1,status1B5!AN10=2,'BOULEVARD 5'!AP8&gt;0),"Pagado","impago"),""))</f>
        <v/>
      </c>
      <c r="AN10" s="666" t="str">
        <f>IF(OR($A10="F&amp;F",$G10=""),"",IF(AN$8&gt;$G10,IF(OR(status1B5!AO10=1,status1B5!AO10=2,'BOULEVARD 5'!AQ8&gt;0),"Pagado","impago"),""))</f>
        <v/>
      </c>
      <c r="AO10" s="666" t="str">
        <f>IF(OR($A10="F&amp;F",$G10=""),"",IF(AO$8&gt;$G10,IF(OR(status1B5!AP10=1,status1B5!AP10=2,'BOULEVARD 5'!AS8&gt;0),"Pagado","impago"),""))</f>
        <v>Pagado</v>
      </c>
      <c r="AP10" s="429" t="str">
        <f t="shared" si="4"/>
        <v>Vendido</v>
      </c>
    </row>
    <row r="11" spans="1:42" s="429" customFormat="1" ht="13.9" customHeight="1" x14ac:dyDescent="0.25">
      <c r="A11" s="472" t="s">
        <v>58</v>
      </c>
      <c r="B11" s="475">
        <f>'BOULEVARD 5'!B9</f>
        <v>103</v>
      </c>
      <c r="C11" s="475" t="s">
        <v>355</v>
      </c>
      <c r="D11" s="475"/>
      <c r="E11" s="475" t="str">
        <f>IF('BOULEVARD 5'!E9="","",'BOULEVARD 5'!E9)</f>
        <v>Ronaldo</v>
      </c>
      <c r="F11" s="476" t="str">
        <f>IF('BOULEVARD 5'!F9="","",'BOULEVARD 5'!F9)</f>
        <v>International Coffee Industry, S.A</v>
      </c>
      <c r="G11" s="473">
        <f>IF('BOULEVARD 5'!G9="","",'BOULEVARD 5'!G9)</f>
        <v>45300</v>
      </c>
      <c r="H11" s="666" t="str">
        <f>IF(OR($A11="F&amp;F",$G11=""),"",IF(H$8&gt;$G11,IF(OR(status1B5!I11=1,status1B5!I11=2,'BOULEVARD 5'!K9&gt;0),"Pagado","impago"),""))</f>
        <v/>
      </c>
      <c r="I11" s="666" t="str">
        <f>IF(OR($A11="F&amp;F",$G11=""),"",IF(I$8&gt;$G11,IF(OR(status1B5!J11=1,status1B5!J11=2,'BOULEVARD 5'!L9&gt;0),"Pagado","impago"),""))</f>
        <v/>
      </c>
      <c r="J11" s="666" t="str">
        <f>IF(OR($A11="F&amp;F",$G11=""),"",IF(J$8&gt;$G11,IF(OR(status1B5!K11=1,status1B5!K11=2,'BOULEVARD 5'!M9&gt;0),"Pagado","impago"),""))</f>
        <v/>
      </c>
      <c r="K11" s="666" t="str">
        <f>IF(OR($A11="F&amp;F",$G11=""),"",IF(K$8&gt;$G11,IF(OR(status1B5!L11=1,status1B5!L11=2,'BOULEVARD 5'!N9&gt;0),"Pagado","impago"),""))</f>
        <v/>
      </c>
      <c r="L11" s="666" t="str">
        <f>IF(OR($A11="F&amp;F",$G11=""),"",IF(L$8&gt;$G11,IF(OR(status1B5!M11=1,status1B5!M11=2,'BOULEVARD 5'!O9&gt;0),"Pagado","impago"),""))</f>
        <v/>
      </c>
      <c r="M11" s="666" t="str">
        <f>IF(OR($A11="F&amp;F",$G11=""),"",IF(M$8&gt;$G11,IF(OR(status1B5!N11=1,status1B5!N11=2,'BOULEVARD 5'!P9&gt;0),"Pagado","impago"),""))</f>
        <v/>
      </c>
      <c r="N11" s="666" t="str">
        <f>IF(OR($A11="F&amp;F",$G11=""),"",IF(N$8&gt;$G11,IF(OR(status1B5!O11=1,status1B5!O11=2,'BOULEVARD 5'!Q9&gt;0),"Pagado","impago"),""))</f>
        <v/>
      </c>
      <c r="O11" s="666" t="str">
        <f>IF(OR($A11="F&amp;F",$G11=""),"",IF(O$8&gt;$G11,IF(OR(status1B5!P11=1,status1B5!P11=2,'BOULEVARD 5'!R9&gt;0),"Pagado","impago"),""))</f>
        <v/>
      </c>
      <c r="P11" s="666" t="str">
        <f>IF(OR($A11="F&amp;F",$G11=""),"",IF(P$8&gt;$G11,IF(OR(status1B5!Q11=1,status1B5!Q11=2,'BOULEVARD 5'!S9&gt;0),"Pagado","impago"),""))</f>
        <v/>
      </c>
      <c r="Q11" s="666" t="str">
        <f>IF(OR($A11="F&amp;F",$G11=""),"",IF(Q$8&gt;$G11,IF(OR(status1B5!R11=1,status1B5!R11=2,'BOULEVARD 5'!T9&gt;0),"Pagado","impago"),""))</f>
        <v/>
      </c>
      <c r="R11" s="666" t="str">
        <f>IF(OR($A11="F&amp;F",$G11=""),"",IF(R$8&gt;$G11,IF(OR(status1B5!S11=1,status1B5!S11=2,'BOULEVARD 5'!U9&gt;0),"Pagado","impago"),""))</f>
        <v/>
      </c>
      <c r="S11" s="666" t="str">
        <f>IF(OR($A11="F&amp;F",$G11=""),"",IF(S$8&gt;$G11,IF(OR(status1B5!T11=1,status1B5!T11=2,'BOULEVARD 5'!V9&gt;0),"Pagado","impago"),""))</f>
        <v/>
      </c>
      <c r="T11" s="666" t="str">
        <f>IF(OR($A11="F&amp;F",$G11=""),"",IF(T$8&gt;$G11,IF(OR(status1B5!U11=1,status1B5!U11=2,'BOULEVARD 5'!W9&gt;0),"Pagado","impago"),""))</f>
        <v/>
      </c>
      <c r="U11" s="666" t="str">
        <f>IF(OR($A11="F&amp;F",$G11=""),"",IF(U$8&gt;$G11,IF(OR(status1B5!V11=1,status1B5!V11=2,'BOULEVARD 5'!X9&gt;0),"Pagado","impago"),""))</f>
        <v/>
      </c>
      <c r="V11" s="666" t="str">
        <f>IF(OR($A11="F&amp;F",$G11=""),"",IF(V$8&gt;$G11,IF(OR(status1B5!W11=1,status1B5!W11=2,'BOULEVARD 5'!Y9&gt;0),"Pagado","impago"),""))</f>
        <v/>
      </c>
      <c r="W11" s="666" t="str">
        <f>IF(OR($A11="F&amp;F",$G11=""),"",IF(W$8&gt;$G11,IF(OR(status1B5!X11=1,status1B5!X11=2,'BOULEVARD 5'!Z9&gt;0),"Pagado","impago"),""))</f>
        <v/>
      </c>
      <c r="X11" s="666" t="str">
        <f>IF(OR($A11="F&amp;F",$G11=""),"",IF(X$8&gt;$G11,IF(OR(status1B5!Y11=1,status1B5!Y11=2,'BOULEVARD 5'!AA9&gt;0),"Pagado","impago"),""))</f>
        <v/>
      </c>
      <c r="Y11" s="666" t="str">
        <f>IF(OR($A11="F&amp;F",$G11=""),"",IF(Y$8&gt;$G11,IF(OR(status1B5!Z11=1,status1B5!Z11=2,'BOULEVARD 5'!AB9&gt;0),"Pagado","impago"),""))</f>
        <v/>
      </c>
      <c r="Z11" s="666" t="str">
        <f>IF(OR($A11="F&amp;F",$G11=""),"",IF(Z$8&gt;$G11,IF(OR(status1B5!AA11=1,status1B5!AA11=2,'BOULEVARD 5'!AC9&gt;0),"Pagado","impago"),""))</f>
        <v/>
      </c>
      <c r="AA11" s="666" t="str">
        <f>IF(OR($A11="F&amp;F",$G11=""),"",IF(AA$8&gt;$G11,IF(OR(status1B5!AB11=1,status1B5!AB11=2,'BOULEVARD 5'!AD9&gt;0),"Pagado","impago"),""))</f>
        <v/>
      </c>
      <c r="AB11" s="666" t="str">
        <f>IF(OR($A11="F&amp;F",$G11=""),"",IF(AB$8&gt;$G11,IF(OR(status1B5!AC11=1,status1B5!AC11=2,'BOULEVARD 5'!AE9&gt;0),"Pagado","impago"),""))</f>
        <v/>
      </c>
      <c r="AC11" s="666" t="str">
        <f>IF(OR($A11="F&amp;F",$G11=""),"",IF(AC$8&gt;$G11,IF(OR(status1B5!AD11=1,status1B5!AD11=2,'BOULEVARD 5'!AF9&gt;0),"Pagado","impago"),""))</f>
        <v/>
      </c>
      <c r="AD11" s="666" t="str">
        <f>IF(OR($A11="F&amp;F",$G11=""),"",IF(AD$8&gt;$G11,IF(OR(status1B5!AE11=1,status1B5!AE11=2,'BOULEVARD 5'!AG9&gt;0),"Pagado","impago"),""))</f>
        <v/>
      </c>
      <c r="AE11" s="666" t="str">
        <f>IF(OR($A11="F&amp;F",$G11=""),"",IF(AE$8&gt;$G11,IF(OR(status1B5!AF11=1,status1B5!AF11=2,'BOULEVARD 5'!AH9&gt;0),"Pagado","impago"),""))</f>
        <v/>
      </c>
      <c r="AF11" s="666" t="str">
        <f>IF(OR($A11="F&amp;F",$G11=""),"",IF(AF$8&gt;$G11,IF(OR(status1B5!AG11=1,status1B5!AG11=2,'BOULEVARD 5'!AI9&gt;0),"Pagado","impago"),""))</f>
        <v/>
      </c>
      <c r="AG11" s="666" t="str">
        <f>IF(OR($A11="F&amp;F",$G11=""),"",IF(AG$8&gt;$G11,IF(OR(status1B5!AH11=1,status1B5!AH11=2,'BOULEVARD 5'!AJ9&gt;0),"Pagado","impago"),""))</f>
        <v/>
      </c>
      <c r="AH11" s="666" t="str">
        <f>IF(OR($A11="F&amp;F",$G11=""),"",IF(AH$8&gt;$G11,IF(OR(status1B5!AI11=1,status1B5!AI11=2,'BOULEVARD 5'!AK9&gt;0),"Pagado","impago"),""))</f>
        <v/>
      </c>
      <c r="AI11" s="666" t="str">
        <f>IF(OR($A11="F&amp;F",$G11=""),"",IF(AI$8&gt;$G11,IF(OR(status1B5!AJ11=1,status1B5!AJ11=2,'BOULEVARD 5'!AL9&gt;0),"Pagado","impago"),""))</f>
        <v/>
      </c>
      <c r="AJ11" s="666" t="str">
        <f>IF(OR($A11="F&amp;F",$G11=""),"",IF(AJ$8&gt;$G11,IF(OR(status1B5!AK11=1,status1B5!AK11=2,'BOULEVARD 5'!AM9&gt;0),"Pagado","impago"),""))</f>
        <v/>
      </c>
      <c r="AK11" s="666" t="str">
        <f>IF(OR($A11="F&amp;F",$G11=""),"",IF(AK$8&gt;$G11,IF(OR(status1B5!AL11=1,status1B5!AL11=2,'BOULEVARD 5'!AN9&gt;0),"Pagado","impago"),""))</f>
        <v/>
      </c>
      <c r="AL11" s="666" t="str">
        <f>IF(OR($A11="F&amp;F",$G11=""),"",IF(AL$8&gt;$G11,IF(OR(status1B5!AM11=1,status1B5!AM11=2,'BOULEVARD 5'!AO9&gt;0),"Pagado","impago"),""))</f>
        <v/>
      </c>
      <c r="AM11" s="666" t="str">
        <f>IF(OR($A11="F&amp;F",$G11=""),"",IF(AM$8&gt;$G11,IF(OR(status1B5!AN11=1,status1B5!AN11=2,'BOULEVARD 5'!AP9&gt;0),"Pagado","impago"),""))</f>
        <v/>
      </c>
      <c r="AN11" s="666" t="str">
        <f>IF(OR($A11="F&amp;F",$G11=""),"",IF(AN$8&gt;$G11,IF(OR(status1B5!AO11=1,status1B5!AO11=2,'BOULEVARD 5'!AQ9&gt;0),"Pagado","impago"),""))</f>
        <v/>
      </c>
      <c r="AO11" s="666" t="str">
        <f>IF(OR($A11="F&amp;F",$G11=""),"",IF(AO$8&gt;$G11,IF(OR(status1B5!AP11=1,status1B5!AP11=2,'BOULEVARD 5'!AS9&gt;0),"Pagado","impago"),""))</f>
        <v/>
      </c>
      <c r="AP11" s="429" t="str">
        <f t="shared" si="4"/>
        <v>Vendido</v>
      </c>
    </row>
    <row r="12" spans="1:42" s="429" customFormat="1" ht="13.9" customHeight="1" x14ac:dyDescent="0.25">
      <c r="A12" s="472"/>
      <c r="B12" s="436">
        <f>'BOULEVARD 5'!B10</f>
        <v>104</v>
      </c>
      <c r="C12" s="436" t="s">
        <v>355</v>
      </c>
      <c r="D12" s="436"/>
      <c r="E12" s="436" t="str">
        <f>IF('BOULEVARD 5'!E10="","",'BOULEVARD 5'!E10)</f>
        <v>Antonio Rada</v>
      </c>
      <c r="F12" s="429" t="str">
        <f>IF('BOULEVARD 5'!F10="","",'BOULEVARD 5'!F10)</f>
        <v>Jonathan José Morales Salazar</v>
      </c>
      <c r="G12" s="473">
        <f>IF('BOULEVARD 5'!G10="","",'BOULEVARD 5'!G10)</f>
        <v>45140</v>
      </c>
      <c r="H12" s="666" t="str">
        <f>IF(OR($A12="F&amp;F",$G12=""),"",IF(H$8&gt;$G12,IF(OR(status1B5!I12=1,status1B5!I12=2,'BOULEVARD 5'!K10&gt;0),"Pagado","impago"),""))</f>
        <v/>
      </c>
      <c r="I12" s="666" t="str">
        <f>IF(OR($A12="F&amp;F",$G12=""),"",IF(I$8&gt;$G12,IF(OR(status1B5!J12=1,status1B5!J12=2,'BOULEVARD 5'!L10&gt;0),"Pagado","impago"),""))</f>
        <v/>
      </c>
      <c r="J12" s="666" t="str">
        <f>IF(OR($A12="F&amp;F",$G12=""),"",IF(J$8&gt;$G12,IF(OR(status1B5!K12=1,status1B5!K12=2,'BOULEVARD 5'!M10&gt;0),"Pagado","impago"),""))</f>
        <v/>
      </c>
      <c r="K12" s="666" t="str">
        <f>IF(OR($A12="F&amp;F",$G12=""),"",IF(K$8&gt;$G12,IF(OR(status1B5!L12=1,status1B5!L12=2,'BOULEVARD 5'!N10&gt;0),"Pagado","impago"),""))</f>
        <v/>
      </c>
      <c r="L12" s="666" t="str">
        <f>IF(OR($A12="F&amp;F",$G12=""),"",IF(L$8&gt;$G12,IF(OR(status1B5!M12=1,status1B5!M12=2,'BOULEVARD 5'!O10&gt;0),"Pagado","impago"),""))</f>
        <v/>
      </c>
      <c r="M12" s="666" t="str">
        <f>IF(OR($A12="F&amp;F",$G12=""),"",IF(M$8&gt;$G12,IF(OR(status1B5!N12=1,status1B5!N12=2,'BOULEVARD 5'!P10&gt;0),"Pagado","impago"),""))</f>
        <v>Pagado</v>
      </c>
      <c r="N12" s="666" t="str">
        <f>IF(OR($A12="F&amp;F",$G12=""),"",IF(N$8&gt;$G12,IF(OR(status1B5!O12=1,status1B5!O12=2,'BOULEVARD 5'!Q10&gt;0),"Pagado","impago"),""))</f>
        <v>Pagado</v>
      </c>
      <c r="O12" s="666" t="str">
        <f>IF(OR($A12="F&amp;F",$G12=""),"",IF(O$8&gt;$G12,IF(OR(status1B5!P12=1,status1B5!P12=2,'BOULEVARD 5'!R10&gt;0),"Pagado","impago"),""))</f>
        <v>Pagado</v>
      </c>
      <c r="P12" s="666" t="str">
        <f>IF(OR($A12="F&amp;F",$G12=""),"",IF(P$8&gt;$G12,IF(OR(status1B5!Q12=1,status1B5!Q12=2,'BOULEVARD 5'!S10&gt;0),"Pagado","impago"),""))</f>
        <v>Pagado</v>
      </c>
      <c r="Q12" s="666" t="str">
        <f>IF(OR($A12="F&amp;F",$G12=""),"",IF(Q$8&gt;$G12,IF(OR(status1B5!R12=1,status1B5!R12=2,'BOULEVARD 5'!T10&gt;0),"Pagado","impago"),""))</f>
        <v>Pagado</v>
      </c>
      <c r="R12" s="666" t="str">
        <f>IF(OR($A12="F&amp;F",$G12=""),"",IF(R$8&gt;$G12,IF(OR(status1B5!S12=1,status1B5!S12=2,'BOULEVARD 5'!U10&gt;0),"Pagado","impago"),""))</f>
        <v>Pagado</v>
      </c>
      <c r="S12" s="666" t="str">
        <f>IF(OR($A12="F&amp;F",$G12=""),"",IF(S$8&gt;$G12,IF(OR(status1B5!T12=1,status1B5!T12=2,'BOULEVARD 5'!V10&gt;0),"Pagado","impago"),""))</f>
        <v>Pagado</v>
      </c>
      <c r="T12" s="666" t="str">
        <f>IF(OR($A12="F&amp;F",$G12=""),"",IF(T$8&gt;$G12,IF(OR(status1B5!U12=1,status1B5!U12=2,'BOULEVARD 5'!W10&gt;0),"Pagado","impago"),""))</f>
        <v>Pagado</v>
      </c>
      <c r="U12" s="666" t="str">
        <f>IF(OR($A12="F&amp;F",$G12=""),"",IF(U$8&gt;$G12,IF(OR(status1B5!V12=1,status1B5!V12=2,'BOULEVARD 5'!X10&gt;0),"Pagado","impago"),""))</f>
        <v>Pagado</v>
      </c>
      <c r="V12" s="666" t="str">
        <f>IF(OR($A12="F&amp;F",$G12=""),"",IF(V$8&gt;$G12,IF(OR(status1B5!W12=1,status1B5!W12=2,'BOULEVARD 5'!Y10&gt;0),"Pagado","impago"),""))</f>
        <v>Pagado</v>
      </c>
      <c r="W12" s="666" t="str">
        <f>IF(OR($A12="F&amp;F",$G12=""),"",IF(W$8&gt;$G12,IF(OR(status1B5!X12=1,status1B5!X12=2,'BOULEVARD 5'!Z10&gt;0),"Pagado","impago"),""))</f>
        <v>Pagado</v>
      </c>
      <c r="X12" s="666" t="str">
        <f>IF(OR($A12="F&amp;F",$G12=""),"",IF(X$8&gt;$G12,IF(OR(status1B5!Y12=1,status1B5!Y12=2,'BOULEVARD 5'!AA10&gt;0),"Pagado","impago"),""))</f>
        <v>Pagado</v>
      </c>
      <c r="Y12" s="666" t="str">
        <f>IF(OR($A12="F&amp;F",$G12=""),"",IF(Y$8&gt;$G12,IF(OR(status1B5!Z12=1,status1B5!Z12=2,'BOULEVARD 5'!AB10&gt;0),"Pagado","impago"),""))</f>
        <v>Pagado</v>
      </c>
      <c r="Z12" s="666" t="str">
        <f>IF(OR($A12="F&amp;F",$G12=""),"",IF(Z$8&gt;$G12,IF(OR(status1B5!AA12=1,status1B5!AA12=2,'BOULEVARD 5'!AC10&gt;0),"Pagado","impago"),""))</f>
        <v>Pagado</v>
      </c>
      <c r="AA12" s="666" t="str">
        <f>IF(OR($A12="F&amp;F",$G12=""),"",IF(AA$8&gt;$G12,IF(OR(status1B5!AB12=1,status1B5!AB12=2,'BOULEVARD 5'!AD10&gt;0),"Pagado","impago"),""))</f>
        <v>Pagado</v>
      </c>
      <c r="AB12" s="666" t="str">
        <f>IF(OR($A12="F&amp;F",$G12=""),"",IF(AB$8&gt;$G12,IF(OR(status1B5!AC12=1,status1B5!AC12=2,'BOULEVARD 5'!AE10&gt;0),"Pagado","impago"),""))</f>
        <v>Pagado</v>
      </c>
      <c r="AC12" s="666" t="str">
        <f>IF(OR($A12="F&amp;F",$G12=""),"",IF(AC$8&gt;$G12,IF(OR(status1B5!AD12=1,status1B5!AD12=2,'BOULEVARD 5'!AF10&gt;0),"Pagado","impago"),""))</f>
        <v>Pagado</v>
      </c>
      <c r="AD12" s="666" t="str">
        <f>IF(OR($A12="F&amp;F",$G12=""),"",IF(AD$8&gt;$G12,IF(OR(status1B5!AE12=1,status1B5!AE12=2,'BOULEVARD 5'!AG10&gt;0),"Pagado","impago"),""))</f>
        <v>Pagado</v>
      </c>
      <c r="AE12" s="666" t="str">
        <f>IF(OR($A12="F&amp;F",$G12=""),"",IF(AE$8&gt;$G12,IF(OR(status1B5!AF12=1,status1B5!AF12=2,'BOULEVARD 5'!AH10&gt;0),"Pagado","impago"),""))</f>
        <v>Pagado</v>
      </c>
      <c r="AF12" s="666" t="str">
        <f>IF(OR($A12="F&amp;F",$G12=""),"",IF(AF$8&gt;$G12,IF(OR(status1B5!AG12=1,status1B5!AG12=2,'BOULEVARD 5'!AI10&gt;0),"Pagado","impago"),""))</f>
        <v>Pagado</v>
      </c>
      <c r="AG12" s="666" t="str">
        <f>IF(OR($A12="F&amp;F",$G12=""),"",IF(AG$8&gt;$G12,IF(OR(status1B5!AH12=1,status1B5!AH12=2,'BOULEVARD 5'!AJ10&gt;0),"Pagado","impago"),""))</f>
        <v>Pagado</v>
      </c>
      <c r="AH12" s="666" t="str">
        <f>IF(OR($A12="F&amp;F",$G12=""),"",IF(AH$8&gt;$G12,IF(OR(status1B5!AI12=1,status1B5!AI12=2,'BOULEVARD 5'!AK10&gt;0),"Pagado","impago"),""))</f>
        <v>Pagado</v>
      </c>
      <c r="AI12" s="666" t="str">
        <f>IF(OR($A12="F&amp;F",$G12=""),"",IF(AI$8&gt;$G12,IF(OR(status1B5!AJ12=1,status1B5!AJ12=2,'BOULEVARD 5'!AL10&gt;0),"Pagado","impago"),""))</f>
        <v>Pagado</v>
      </c>
      <c r="AJ12" s="666" t="str">
        <f>IF(OR($A12="F&amp;F",$G12=""),"",IF(AJ$8&gt;$G12,IF(OR(status1B5!AK12=1,status1B5!AK12=2,'BOULEVARD 5'!AM10&gt;0),"Pagado","impago"),""))</f>
        <v>Pagado</v>
      </c>
      <c r="AK12" s="666" t="str">
        <f>IF(OR($A12="F&amp;F",$G12=""),"",IF(AK$8&gt;$G12,IF(OR(status1B5!AL12=1,status1B5!AL12=2,'BOULEVARD 5'!AN10&gt;0),"Pagado","impago"),""))</f>
        <v>Pagado</v>
      </c>
      <c r="AL12" s="666" t="str">
        <f>IF(OR($A12="F&amp;F",$G12=""),"",IF(AL$8&gt;$G12,IF(OR(status1B5!AM12=1,status1B5!AM12=2,'BOULEVARD 5'!AO10&gt;0),"Pagado","impago"),""))</f>
        <v>Pagado</v>
      </c>
      <c r="AM12" s="666" t="str">
        <f>IF(OR($A12="F&amp;F",$G12=""),"",IF(AM$8&gt;$G12,IF(OR(status1B5!AN12=1,status1B5!AN12=2,'BOULEVARD 5'!AP10&gt;0),"Pagado","impago"),""))</f>
        <v>Pagado</v>
      </c>
      <c r="AN12" s="666" t="str">
        <f>IF(OR($A12="F&amp;F",$G12=""),"",IF(AN$8&gt;$G12,IF(OR(status1B5!AO12=1,status1B5!AO12=2,'BOULEVARD 5'!AQ10&gt;0),"Pagado","impago"),""))</f>
        <v>Pagado</v>
      </c>
      <c r="AO12" s="666" t="str">
        <f>IF(OR($A12="F&amp;F",$G12=""),"",IF(AO$8&gt;$G12,IF(OR(status1B5!AP12=1,status1B5!AP12=2,'BOULEVARD 5'!AS10&gt;0),"Pagado","impago"),""))</f>
        <v>Pagado</v>
      </c>
      <c r="AP12" s="429" t="str">
        <f t="shared" si="4"/>
        <v>Vendido</v>
      </c>
    </row>
    <row r="13" spans="1:42" s="429" customFormat="1" ht="13.9" customHeight="1" x14ac:dyDescent="0.25">
      <c r="A13" s="472"/>
      <c r="B13" s="436">
        <f>'BOULEVARD 5'!B11</f>
        <v>105</v>
      </c>
      <c r="C13" s="436" t="s">
        <v>355</v>
      </c>
      <c r="D13" s="436"/>
      <c r="E13" s="436" t="str">
        <f>IF('BOULEVARD 5'!E11="","",'BOULEVARD 5'!E11)</f>
        <v>Erwin Cardona</v>
      </c>
      <c r="F13" s="429" t="str">
        <f>IF('BOULEVARD 5'!F11="","",'BOULEVARD 5'!F11)</f>
        <v>Nery Adolfo Ortíz Alvarez</v>
      </c>
      <c r="G13" s="473">
        <f>IF('BOULEVARD 5'!G11="","",'BOULEVARD 5'!G11)</f>
        <v>46000</v>
      </c>
      <c r="H13" s="666" t="str">
        <f>IF(OR($A13="F&amp;F",$G13=""),"",IF(H$8&gt;$G13,IF(OR(status1B5!I13=1,status1B5!I13=2,'BOULEVARD 5'!K11&gt;0),"Pagado","impago"),""))</f>
        <v/>
      </c>
      <c r="I13" s="666" t="str">
        <f>IF(OR($A13="F&amp;F",$G13=""),"",IF(I$8&gt;$G13,IF(OR(status1B5!J13=1,status1B5!J13=2,'BOULEVARD 5'!L11&gt;0),"Pagado","impago"),""))</f>
        <v/>
      </c>
      <c r="J13" s="666" t="str">
        <f>IF(OR($A13="F&amp;F",$G13=""),"",IF(J$8&gt;$G13,IF(OR(status1B5!K13=1,status1B5!K13=2,'BOULEVARD 5'!M11&gt;0),"Pagado","impago"),""))</f>
        <v/>
      </c>
      <c r="K13" s="666" t="str">
        <f>IF(OR($A13="F&amp;F",$G13=""),"",IF(K$8&gt;$G13,IF(OR(status1B5!L13=1,status1B5!L13=2,'BOULEVARD 5'!N11&gt;0),"Pagado","impago"),""))</f>
        <v/>
      </c>
      <c r="L13" s="666" t="str">
        <f>IF(OR($A13="F&amp;F",$G13=""),"",IF(L$8&gt;$G13,IF(OR(status1B5!M13=1,status1B5!M13=2,'BOULEVARD 5'!O11&gt;0),"Pagado","impago"),""))</f>
        <v/>
      </c>
      <c r="M13" s="666" t="str">
        <f>IF(OR($A13="F&amp;F",$G13=""),"",IF(M$8&gt;$G13,IF(OR(status1B5!N13=1,status1B5!N13=2,'BOULEVARD 5'!P11&gt;0),"Pagado","impago"),""))</f>
        <v/>
      </c>
      <c r="N13" s="666" t="str">
        <f>IF(OR($A13="F&amp;F",$G13=""),"",IF(N$8&gt;$G13,IF(OR(status1B5!O13=1,status1B5!O13=2,'BOULEVARD 5'!Q11&gt;0),"Pagado","impago"),""))</f>
        <v/>
      </c>
      <c r="O13" s="666" t="str">
        <f>IF(OR($A13="F&amp;F",$G13=""),"",IF(O$8&gt;$G13,IF(OR(status1B5!P13=1,status1B5!P13=2,'BOULEVARD 5'!R11&gt;0),"Pagado","impago"),""))</f>
        <v/>
      </c>
      <c r="P13" s="666" t="str">
        <f>IF(OR($A13="F&amp;F",$G13=""),"",IF(P$8&gt;$G13,IF(OR(status1B5!Q13=1,status1B5!Q13=2,'BOULEVARD 5'!S11&gt;0),"Pagado","impago"),""))</f>
        <v/>
      </c>
      <c r="Q13" s="666" t="str">
        <f>IF(OR($A13="F&amp;F",$G13=""),"",IF(Q$8&gt;$G13,IF(OR(status1B5!R13=1,status1B5!R13=2,'BOULEVARD 5'!T11&gt;0),"Pagado","impago"),""))</f>
        <v/>
      </c>
      <c r="R13" s="666" t="str">
        <f>IF(OR($A13="F&amp;F",$G13=""),"",IF(R$8&gt;$G13,IF(OR(status1B5!S13=1,status1B5!S13=2,'BOULEVARD 5'!U11&gt;0),"Pagado","impago"),""))</f>
        <v/>
      </c>
      <c r="S13" s="666" t="str">
        <f>IF(OR($A13="F&amp;F",$G13=""),"",IF(S$8&gt;$G13,IF(OR(status1B5!T13=1,status1B5!T13=2,'BOULEVARD 5'!V11&gt;0),"Pagado","impago"),""))</f>
        <v/>
      </c>
      <c r="T13" s="666" t="str">
        <f>IF(OR($A13="F&amp;F",$G13=""),"",IF(T$8&gt;$G13,IF(OR(status1B5!U13=1,status1B5!U13=2,'BOULEVARD 5'!W11&gt;0),"Pagado","impago"),""))</f>
        <v/>
      </c>
      <c r="U13" s="666" t="str">
        <f>IF(OR($A13="F&amp;F",$G13=""),"",IF(U$8&gt;$G13,IF(OR(status1B5!V13=1,status1B5!V13=2,'BOULEVARD 5'!X11&gt;0),"Pagado","impago"),""))</f>
        <v/>
      </c>
      <c r="V13" s="666" t="str">
        <f>IF(OR($A13="F&amp;F",$G13=""),"",IF(V$8&gt;$G13,IF(OR(status1B5!W13=1,status1B5!W13=2,'BOULEVARD 5'!Y11&gt;0),"Pagado","impago"),""))</f>
        <v/>
      </c>
      <c r="W13" s="666" t="str">
        <f>IF(OR($A13="F&amp;F",$G13=""),"",IF(W$8&gt;$G13,IF(OR(status1B5!X13=1,status1B5!X13=2,'BOULEVARD 5'!Z11&gt;0),"Pagado","impago"),""))</f>
        <v/>
      </c>
      <c r="X13" s="666" t="str">
        <f>IF(OR($A13="F&amp;F",$G13=""),"",IF(X$8&gt;$G13,IF(OR(status1B5!Y13=1,status1B5!Y13=2,'BOULEVARD 5'!AA11&gt;0),"Pagado","impago"),""))</f>
        <v/>
      </c>
      <c r="Y13" s="666" t="str">
        <f>IF(OR($A13="F&amp;F",$G13=""),"",IF(Y$8&gt;$G13,IF(OR(status1B5!Z13=1,status1B5!Z13=2,'BOULEVARD 5'!AB11&gt;0),"Pagado","impago"),""))</f>
        <v/>
      </c>
      <c r="Z13" s="666" t="str">
        <f>IF(OR($A13="F&amp;F",$G13=""),"",IF(Z$8&gt;$G13,IF(OR(status1B5!AA13=1,status1B5!AA13=2,'BOULEVARD 5'!AC11&gt;0),"Pagado","impago"),""))</f>
        <v/>
      </c>
      <c r="AA13" s="666" t="str">
        <f>IF(OR($A13="F&amp;F",$G13=""),"",IF(AA$8&gt;$G13,IF(OR(status1B5!AB13=1,status1B5!AB13=2,'BOULEVARD 5'!AD11&gt;0),"Pagado","impago"),""))</f>
        <v/>
      </c>
      <c r="AB13" s="666" t="str">
        <f>IF(OR($A13="F&amp;F",$G13=""),"",IF(AB$8&gt;$G13,IF(OR(status1B5!AC13=1,status1B5!AC13=2,'BOULEVARD 5'!AE11&gt;0),"Pagado","impago"),""))</f>
        <v/>
      </c>
      <c r="AC13" s="666" t="str">
        <f>IF(OR($A13="F&amp;F",$G13=""),"",IF(AC$8&gt;$G13,IF(OR(status1B5!AD13=1,status1B5!AD13=2,'BOULEVARD 5'!AF11&gt;0),"Pagado","impago"),""))</f>
        <v/>
      </c>
      <c r="AD13" s="666" t="str">
        <f>IF(OR($A13="F&amp;F",$G13=""),"",IF(AD$8&gt;$G13,IF(OR(status1B5!AE13=1,status1B5!AE13=2,'BOULEVARD 5'!AG11&gt;0),"Pagado","impago"),""))</f>
        <v/>
      </c>
      <c r="AE13" s="666" t="str">
        <f>IF(OR($A13="F&amp;F",$G13=""),"",IF(AE$8&gt;$G13,IF(OR(status1B5!AF13=1,status1B5!AF13=2,'BOULEVARD 5'!AH11&gt;0),"Pagado","impago"),""))</f>
        <v/>
      </c>
      <c r="AF13" s="666" t="str">
        <f>IF(OR($A13="F&amp;F",$G13=""),"",IF(AF$8&gt;$G13,IF(OR(status1B5!AG13=1,status1B5!AG13=2,'BOULEVARD 5'!AI11&gt;0),"Pagado","impago"),""))</f>
        <v/>
      </c>
      <c r="AG13" s="666" t="str">
        <f>IF(OR($A13="F&amp;F",$G13=""),"",IF(AG$8&gt;$G13,IF(OR(status1B5!AH13=1,status1B5!AH13=2,'BOULEVARD 5'!AJ11&gt;0),"Pagado","impago"),""))</f>
        <v/>
      </c>
      <c r="AH13" s="666" t="str">
        <f>IF(OR($A13="F&amp;F",$G13=""),"",IF(AH$8&gt;$G13,IF(OR(status1B5!AI13=1,status1B5!AI13=2,'BOULEVARD 5'!AK11&gt;0),"Pagado","impago"),""))</f>
        <v/>
      </c>
      <c r="AI13" s="666" t="str">
        <f>IF(OR($A13="F&amp;F",$G13=""),"",IF(AI$8&gt;$G13,IF(OR(status1B5!AJ13=1,status1B5!AJ13=2,'BOULEVARD 5'!AL11&gt;0),"Pagado","impago"),""))</f>
        <v/>
      </c>
      <c r="AJ13" s="666" t="str">
        <f>IF(OR($A13="F&amp;F",$G13=""),"",IF(AJ$8&gt;$G13,IF(OR(status1B5!AK13=1,status1B5!AK13=2,'BOULEVARD 5'!AM11&gt;0),"Pagado","impago"),""))</f>
        <v/>
      </c>
      <c r="AK13" s="666" t="str">
        <f>IF(OR($A13="F&amp;F",$G13=""),"",IF(AK$8&gt;$G13,IF(OR(status1B5!AL13=1,status1B5!AL13=2,'BOULEVARD 5'!AN11&gt;0),"Pagado","impago"),""))</f>
        <v/>
      </c>
      <c r="AL13" s="666" t="str">
        <f>IF(OR($A13="F&amp;F",$G13=""),"",IF(AL$8&gt;$G13,IF(OR(status1B5!AM13=1,status1B5!AM13=2,'BOULEVARD 5'!AO11&gt;0),"Pagado","impago"),""))</f>
        <v/>
      </c>
      <c r="AM13" s="666" t="str">
        <f>IF(OR($A13="F&amp;F",$G13=""),"",IF(AM$8&gt;$G13,IF(OR(status1B5!AN13=1,status1B5!AN13=2,'BOULEVARD 5'!AP11&gt;0),"Pagado","impago"),""))</f>
        <v/>
      </c>
      <c r="AN13" s="666" t="str">
        <f>IF(OR($A13="F&amp;F",$G13=""),"",IF(AN$8&gt;$G13,IF(OR(status1B5!AO13=1,status1B5!AO13=2,'BOULEVARD 5'!AQ11&gt;0),"Pagado","impago"),""))</f>
        <v/>
      </c>
      <c r="AO13" s="666" t="str">
        <f>IF(OR($A13="F&amp;F",$G13=""),"",IF(AO$8&gt;$G13,IF(OR(status1B5!AP13=1,status1B5!AP13=2,'BOULEVARD 5'!AS11&gt;0),"Pagado","impago"),""))</f>
        <v>Pagado</v>
      </c>
      <c r="AP13" s="429" t="str">
        <f t="shared" si="4"/>
        <v>Vendido</v>
      </c>
    </row>
    <row r="14" spans="1:42" s="429" customFormat="1" ht="13.9" customHeight="1" x14ac:dyDescent="0.25">
      <c r="A14" s="472"/>
      <c r="B14" s="436">
        <f>'BOULEVARD 5'!B12</f>
        <v>106</v>
      </c>
      <c r="C14" s="436" t="s">
        <v>355</v>
      </c>
      <c r="D14" s="436"/>
      <c r="E14" s="436" t="str">
        <f>IF('BOULEVARD 5'!E12="","",'BOULEVARD 5'!E12)</f>
        <v>Erwin Cardona</v>
      </c>
      <c r="F14" s="429" t="str">
        <f>IF('BOULEVARD 5'!F12="","",'BOULEVARD 5'!F12)</f>
        <v>Claudia Ruth Marianella Paiz Herrera de Alvarez</v>
      </c>
      <c r="G14" s="473">
        <f>IF('BOULEVARD 5'!G12="","",'BOULEVARD 5'!G12)</f>
        <v>46013</v>
      </c>
      <c r="H14" s="666" t="str">
        <f>IF(OR($A14="F&amp;F",$G14=""),"",IF(H$8&gt;$G14,IF(OR(status1B5!I14=1,status1B5!I14=2,'BOULEVARD 5'!K12&gt;0),"Pagado","impago"),""))</f>
        <v/>
      </c>
      <c r="I14" s="666" t="str">
        <f>IF(OR($A14="F&amp;F",$G14=""),"",IF(I$8&gt;$G14,IF(OR(status1B5!J14=1,status1B5!J14=2,'BOULEVARD 5'!L12&gt;0),"Pagado","impago"),""))</f>
        <v/>
      </c>
      <c r="J14" s="666" t="str">
        <f>IF(OR($A14="F&amp;F",$G14=""),"",IF(J$8&gt;$G14,IF(OR(status1B5!K14=1,status1B5!K14=2,'BOULEVARD 5'!M12&gt;0),"Pagado","impago"),""))</f>
        <v/>
      </c>
      <c r="K14" s="666" t="str">
        <f>IF(OR($A14="F&amp;F",$G14=""),"",IF(K$8&gt;$G14,IF(OR(status1B5!L14=1,status1B5!L14=2,'BOULEVARD 5'!N12&gt;0),"Pagado","impago"),""))</f>
        <v/>
      </c>
      <c r="L14" s="666" t="str">
        <f>IF(OR($A14="F&amp;F",$G14=""),"",IF(L$8&gt;$G14,IF(OR(status1B5!M14=1,status1B5!M14=2,'BOULEVARD 5'!O12&gt;0),"Pagado","impago"),""))</f>
        <v/>
      </c>
      <c r="M14" s="666" t="str">
        <f>IF(OR($A14="F&amp;F",$G14=""),"",IF(M$8&gt;$G14,IF(OR(status1B5!N14=1,status1B5!N14=2,'BOULEVARD 5'!P12&gt;0),"Pagado","impago"),""))</f>
        <v/>
      </c>
      <c r="N14" s="666" t="str">
        <f>IF(OR($A14="F&amp;F",$G14=""),"",IF(N$8&gt;$G14,IF(OR(status1B5!O14=1,status1B5!O14=2,'BOULEVARD 5'!Q12&gt;0),"Pagado","impago"),""))</f>
        <v/>
      </c>
      <c r="O14" s="666" t="str">
        <f>IF(OR($A14="F&amp;F",$G14=""),"",IF(O$8&gt;$G14,IF(OR(status1B5!P14=1,status1B5!P14=2,'BOULEVARD 5'!R12&gt;0),"Pagado","impago"),""))</f>
        <v/>
      </c>
      <c r="P14" s="666" t="str">
        <f>IF(OR($A14="F&amp;F",$G14=""),"",IF(P$8&gt;$G14,IF(OR(status1B5!Q14=1,status1B5!Q14=2,'BOULEVARD 5'!S12&gt;0),"Pagado","impago"),""))</f>
        <v/>
      </c>
      <c r="Q14" s="666" t="str">
        <f>IF(OR($A14="F&amp;F",$G14=""),"",IF(Q$8&gt;$G14,IF(OR(status1B5!R14=1,status1B5!R14=2,'BOULEVARD 5'!T12&gt;0),"Pagado","impago"),""))</f>
        <v/>
      </c>
      <c r="R14" s="666" t="str">
        <f>IF(OR($A14="F&amp;F",$G14=""),"",IF(R$8&gt;$G14,IF(OR(status1B5!S14=1,status1B5!S14=2,'BOULEVARD 5'!U12&gt;0),"Pagado","impago"),""))</f>
        <v/>
      </c>
      <c r="S14" s="666" t="str">
        <f>IF(OR($A14="F&amp;F",$G14=""),"",IF(S$8&gt;$G14,IF(OR(status1B5!T14=1,status1B5!T14=2,'BOULEVARD 5'!V12&gt;0),"Pagado","impago"),""))</f>
        <v/>
      </c>
      <c r="T14" s="666" t="str">
        <f>IF(OR($A14="F&amp;F",$G14=""),"",IF(T$8&gt;$G14,IF(OR(status1B5!U14=1,status1B5!U14=2,'BOULEVARD 5'!W12&gt;0),"Pagado","impago"),""))</f>
        <v/>
      </c>
      <c r="U14" s="666" t="str">
        <f>IF(OR($A14="F&amp;F",$G14=""),"",IF(U$8&gt;$G14,IF(OR(status1B5!V14=1,status1B5!V14=2,'BOULEVARD 5'!X12&gt;0),"Pagado","impago"),""))</f>
        <v/>
      </c>
      <c r="V14" s="666" t="str">
        <f>IF(OR($A14="F&amp;F",$G14=""),"",IF(V$8&gt;$G14,IF(OR(status1B5!W14=1,status1B5!W14=2,'BOULEVARD 5'!Y12&gt;0),"Pagado","impago"),""))</f>
        <v/>
      </c>
      <c r="W14" s="666" t="str">
        <f>IF(OR($A14="F&amp;F",$G14=""),"",IF(W$8&gt;$G14,IF(OR(status1B5!X14=1,status1B5!X14=2,'BOULEVARD 5'!Z12&gt;0),"Pagado","impago"),""))</f>
        <v/>
      </c>
      <c r="X14" s="666" t="str">
        <f>IF(OR($A14="F&amp;F",$G14=""),"",IF(X$8&gt;$G14,IF(OR(status1B5!Y14=1,status1B5!Y14=2,'BOULEVARD 5'!AA12&gt;0),"Pagado","impago"),""))</f>
        <v/>
      </c>
      <c r="Y14" s="666" t="str">
        <f>IF(OR($A14="F&amp;F",$G14=""),"",IF(Y$8&gt;$G14,IF(OR(status1B5!Z14=1,status1B5!Z14=2,'BOULEVARD 5'!AB12&gt;0),"Pagado","impago"),""))</f>
        <v/>
      </c>
      <c r="Z14" s="666" t="str">
        <f>IF(OR($A14="F&amp;F",$G14=""),"",IF(Z$8&gt;$G14,IF(OR(status1B5!AA14=1,status1B5!AA14=2,'BOULEVARD 5'!AC12&gt;0),"Pagado","impago"),""))</f>
        <v/>
      </c>
      <c r="AA14" s="666" t="str">
        <f>IF(OR($A14="F&amp;F",$G14=""),"",IF(AA$8&gt;$G14,IF(OR(status1B5!AB14=1,status1B5!AB14=2,'BOULEVARD 5'!AD12&gt;0),"Pagado","impago"),""))</f>
        <v/>
      </c>
      <c r="AB14" s="666" t="str">
        <f>IF(OR($A14="F&amp;F",$G14=""),"",IF(AB$8&gt;$G14,IF(OR(status1B5!AC14=1,status1B5!AC14=2,'BOULEVARD 5'!AE12&gt;0),"Pagado","impago"),""))</f>
        <v/>
      </c>
      <c r="AC14" s="666" t="str">
        <f>IF(OR($A14="F&amp;F",$G14=""),"",IF(AC$8&gt;$G14,IF(OR(status1B5!AD14=1,status1B5!AD14=2,'BOULEVARD 5'!AF12&gt;0),"Pagado","impago"),""))</f>
        <v/>
      </c>
      <c r="AD14" s="666" t="str">
        <f>IF(OR($A14="F&amp;F",$G14=""),"",IF(AD$8&gt;$G14,IF(OR(status1B5!AE14=1,status1B5!AE14=2,'BOULEVARD 5'!AG12&gt;0),"Pagado","impago"),""))</f>
        <v/>
      </c>
      <c r="AE14" s="666" t="str">
        <f>IF(OR($A14="F&amp;F",$G14=""),"",IF(AE$8&gt;$G14,IF(OR(status1B5!AF14=1,status1B5!AF14=2,'BOULEVARD 5'!AH12&gt;0),"Pagado","impago"),""))</f>
        <v/>
      </c>
      <c r="AF14" s="666" t="str">
        <f>IF(OR($A14="F&amp;F",$G14=""),"",IF(AF$8&gt;$G14,IF(OR(status1B5!AG14=1,status1B5!AG14=2,'BOULEVARD 5'!AI12&gt;0),"Pagado","impago"),""))</f>
        <v/>
      </c>
      <c r="AG14" s="666" t="str">
        <f>IF(OR($A14="F&amp;F",$G14=""),"",IF(AG$8&gt;$G14,IF(OR(status1B5!AH14=1,status1B5!AH14=2,'BOULEVARD 5'!AJ12&gt;0),"Pagado","impago"),""))</f>
        <v/>
      </c>
      <c r="AH14" s="666" t="str">
        <f>IF(OR($A14="F&amp;F",$G14=""),"",IF(AH$8&gt;$G14,IF(OR(status1B5!AI14=1,status1B5!AI14=2,'BOULEVARD 5'!AK12&gt;0),"Pagado","impago"),""))</f>
        <v/>
      </c>
      <c r="AI14" s="666" t="str">
        <f>IF(OR($A14="F&amp;F",$G14=""),"",IF(AI$8&gt;$G14,IF(OR(status1B5!AJ14=1,status1B5!AJ14=2,'BOULEVARD 5'!AL12&gt;0),"Pagado","impago"),""))</f>
        <v/>
      </c>
      <c r="AJ14" s="666" t="str">
        <f>IF(OR($A14="F&amp;F",$G14=""),"",IF(AJ$8&gt;$G14,IF(OR(status1B5!AK14=1,status1B5!AK14=2,'BOULEVARD 5'!AM12&gt;0),"Pagado","impago"),""))</f>
        <v/>
      </c>
      <c r="AK14" s="666" t="str">
        <f>IF(OR($A14="F&amp;F",$G14=""),"",IF(AK$8&gt;$G14,IF(OR(status1B5!AL14=1,status1B5!AL14=2,'BOULEVARD 5'!AN12&gt;0),"Pagado","impago"),""))</f>
        <v/>
      </c>
      <c r="AL14" s="666" t="str">
        <f>IF(OR($A14="F&amp;F",$G14=""),"",IF(AL$8&gt;$G14,IF(OR(status1B5!AM14=1,status1B5!AM14=2,'BOULEVARD 5'!AO12&gt;0),"Pagado","impago"),""))</f>
        <v/>
      </c>
      <c r="AM14" s="666" t="str">
        <f>IF(OR($A14="F&amp;F",$G14=""),"",IF(AM$8&gt;$G14,IF(OR(status1B5!AN14=1,status1B5!AN14=2,'BOULEVARD 5'!AP12&gt;0),"Pagado","impago"),""))</f>
        <v/>
      </c>
      <c r="AN14" s="666" t="str">
        <f>IF(OR($A14="F&amp;F",$G14=""),"",IF(AN$8&gt;$G14,IF(OR(status1B5!AO14=1,status1B5!AO14=2,'BOULEVARD 5'!AQ12&gt;0),"Pagado","impago"),""))</f>
        <v/>
      </c>
      <c r="AO14" s="666" t="str">
        <f>IF(OR($A14="F&amp;F",$G14=""),"",IF(AO$8&gt;$G14,IF(OR(status1B5!AP14=1,status1B5!AP14=2,'BOULEVARD 5'!AS12&gt;0),"Pagado","impago"),""))</f>
        <v>Pagado</v>
      </c>
      <c r="AP14" s="429" t="str">
        <f t="shared" si="4"/>
        <v>Vendido</v>
      </c>
    </row>
    <row r="15" spans="1:42" s="429" customFormat="1" ht="13.9" customHeight="1" x14ac:dyDescent="0.25">
      <c r="A15" s="472"/>
      <c r="B15" s="436">
        <f>'BOULEVARD 5'!B13</f>
        <v>107</v>
      </c>
      <c r="C15" s="436" t="s">
        <v>355</v>
      </c>
      <c r="D15" s="436"/>
      <c r="E15" s="436" t="str">
        <f>IF('BOULEVARD 5'!E13="","",'BOULEVARD 5'!E13)</f>
        <v/>
      </c>
      <c r="F15" s="429" t="str">
        <f>IF('BOULEVARD 5'!F13="","",'BOULEVARD 5'!F13)</f>
        <v/>
      </c>
      <c r="G15" s="473" t="str">
        <f>IF('BOULEVARD 5'!G13="","",'BOULEVARD 5'!G13)</f>
        <v/>
      </c>
      <c r="H15" s="666" t="str">
        <f>IF(OR($A15="F&amp;F",$G15=""),"",IF(H$8&gt;$G15,IF(OR(status1B5!I15=1,status1B5!I15=2,'BOULEVARD 5'!K13&gt;0),"Pagado","impago"),""))</f>
        <v/>
      </c>
      <c r="I15" s="666" t="str">
        <f>IF(OR($A15="F&amp;F",$G15=""),"",IF(I$8&gt;$G15,IF(OR(status1B5!J15=1,status1B5!J15=2,'BOULEVARD 5'!L13&gt;0),"Pagado","impago"),""))</f>
        <v/>
      </c>
      <c r="J15" s="666" t="str">
        <f>IF(OR($A15="F&amp;F",$G15=""),"",IF(J$8&gt;$G15,IF(OR(status1B5!K15=1,status1B5!K15=2,'BOULEVARD 5'!M13&gt;0),"Pagado","impago"),""))</f>
        <v/>
      </c>
      <c r="K15" s="666" t="str">
        <f>IF(OR($A15="F&amp;F",$G15=""),"",IF(K$8&gt;$G15,IF(OR(status1B5!L15=1,status1B5!L15=2,'BOULEVARD 5'!N13&gt;0),"Pagado","impago"),""))</f>
        <v/>
      </c>
      <c r="L15" s="666" t="str">
        <f>IF(OR($A15="F&amp;F",$G15=""),"",IF(L$8&gt;$G15,IF(OR(status1B5!M15=1,status1B5!M15=2,'BOULEVARD 5'!O13&gt;0),"Pagado","impago"),""))</f>
        <v/>
      </c>
      <c r="M15" s="666" t="str">
        <f>IF(OR($A15="F&amp;F",$G15=""),"",IF(M$8&gt;$G15,IF(OR(status1B5!N15=1,status1B5!N15=2,'BOULEVARD 5'!P13&gt;0),"Pagado","impago"),""))</f>
        <v/>
      </c>
      <c r="N15" s="666" t="str">
        <f>IF(OR($A15="F&amp;F",$G15=""),"",IF(N$8&gt;$G15,IF(OR(status1B5!O15=1,status1B5!O15=2,'BOULEVARD 5'!Q13&gt;0),"Pagado","impago"),""))</f>
        <v/>
      </c>
      <c r="O15" s="666" t="str">
        <f>IF(OR($A15="F&amp;F",$G15=""),"",IF(O$8&gt;$G15,IF(OR(status1B5!P15=1,status1B5!P15=2,'BOULEVARD 5'!R13&gt;0),"Pagado","impago"),""))</f>
        <v/>
      </c>
      <c r="P15" s="666" t="str">
        <f>IF(OR($A15="F&amp;F",$G15=""),"",IF(P$8&gt;$G15,IF(OR(status1B5!Q15=1,status1B5!Q15=2,'BOULEVARD 5'!S13&gt;0),"Pagado","impago"),""))</f>
        <v/>
      </c>
      <c r="Q15" s="666" t="str">
        <f>IF(OR($A15="F&amp;F",$G15=""),"",IF(Q$8&gt;$G15,IF(OR(status1B5!R15=1,status1B5!R15=2,'BOULEVARD 5'!T13&gt;0),"Pagado","impago"),""))</f>
        <v/>
      </c>
      <c r="R15" s="666" t="str">
        <f>IF(OR($A15="F&amp;F",$G15=""),"",IF(R$8&gt;$G15,IF(OR(status1B5!S15=1,status1B5!S15=2,'BOULEVARD 5'!U13&gt;0),"Pagado","impago"),""))</f>
        <v/>
      </c>
      <c r="S15" s="666" t="str">
        <f>IF(OR($A15="F&amp;F",$G15=""),"",IF(S$8&gt;$G15,IF(OR(status1B5!T15=1,status1B5!T15=2,'BOULEVARD 5'!V13&gt;0),"Pagado","impago"),""))</f>
        <v/>
      </c>
      <c r="T15" s="666" t="str">
        <f>IF(OR($A15="F&amp;F",$G15=""),"",IF(T$8&gt;$G15,IF(OR(status1B5!U15=1,status1B5!U15=2,'BOULEVARD 5'!W13&gt;0),"Pagado","impago"),""))</f>
        <v/>
      </c>
      <c r="U15" s="666" t="str">
        <f>IF(OR($A15="F&amp;F",$G15=""),"",IF(U$8&gt;$G15,IF(OR(status1B5!V15=1,status1B5!V15=2,'BOULEVARD 5'!X13&gt;0),"Pagado","impago"),""))</f>
        <v/>
      </c>
      <c r="V15" s="666" t="str">
        <f>IF(OR($A15="F&amp;F",$G15=""),"",IF(V$8&gt;$G15,IF(OR(status1B5!W15=1,status1B5!W15=2,'BOULEVARD 5'!Y13&gt;0),"Pagado","impago"),""))</f>
        <v/>
      </c>
      <c r="W15" s="666" t="str">
        <f>IF(OR($A15="F&amp;F",$G15=""),"",IF(W$8&gt;$G15,IF(OR(status1B5!X15=1,status1B5!X15=2,'BOULEVARD 5'!Z13&gt;0),"Pagado","impago"),""))</f>
        <v/>
      </c>
      <c r="X15" s="666" t="str">
        <f>IF(OR($A15="F&amp;F",$G15=""),"",IF(X$8&gt;$G15,IF(OR(status1B5!Y15=1,status1B5!Y15=2,'BOULEVARD 5'!AA13&gt;0),"Pagado","impago"),""))</f>
        <v/>
      </c>
      <c r="Y15" s="666" t="str">
        <f>IF(OR($A15="F&amp;F",$G15=""),"",IF(Y$8&gt;$G15,IF(OR(status1B5!Z15=1,status1B5!Z15=2,'BOULEVARD 5'!AB13&gt;0),"Pagado","impago"),""))</f>
        <v/>
      </c>
      <c r="Z15" s="666" t="str">
        <f>IF(OR($A15="F&amp;F",$G15=""),"",IF(Z$8&gt;$G15,IF(OR(status1B5!AA15=1,status1B5!AA15=2,'BOULEVARD 5'!AC13&gt;0),"Pagado","impago"),""))</f>
        <v/>
      </c>
      <c r="AA15" s="666" t="str">
        <f>IF(OR($A15="F&amp;F",$G15=""),"",IF(AA$8&gt;$G15,IF(OR(status1B5!AB15=1,status1B5!AB15=2,'BOULEVARD 5'!AD13&gt;0),"Pagado","impago"),""))</f>
        <v/>
      </c>
      <c r="AB15" s="666" t="str">
        <f>IF(OR($A15="F&amp;F",$G15=""),"",IF(AB$8&gt;$G15,IF(OR(status1B5!AC15=1,status1B5!AC15=2,'BOULEVARD 5'!AE13&gt;0),"Pagado","impago"),""))</f>
        <v/>
      </c>
      <c r="AC15" s="666" t="str">
        <f>IF(OR($A15="F&amp;F",$G15=""),"",IF(AC$8&gt;$G15,IF(OR(status1B5!AD15=1,status1B5!AD15=2,'BOULEVARD 5'!AF13&gt;0),"Pagado","impago"),""))</f>
        <v/>
      </c>
      <c r="AD15" s="666" t="str">
        <f>IF(OR($A15="F&amp;F",$G15=""),"",IF(AD$8&gt;$G15,IF(OR(status1B5!AE15=1,status1B5!AE15=2,'BOULEVARD 5'!AG13&gt;0),"Pagado","impago"),""))</f>
        <v/>
      </c>
      <c r="AE15" s="666" t="str">
        <f>IF(OR($A15="F&amp;F",$G15=""),"",IF(AE$8&gt;$G15,IF(OR(status1B5!AF15=1,status1B5!AF15=2,'BOULEVARD 5'!AH13&gt;0),"Pagado","impago"),""))</f>
        <v/>
      </c>
      <c r="AF15" s="666" t="str">
        <f>IF(OR($A15="F&amp;F",$G15=""),"",IF(AF$8&gt;$G15,IF(OR(status1B5!AG15=1,status1B5!AG15=2,'BOULEVARD 5'!AI13&gt;0),"Pagado","impago"),""))</f>
        <v/>
      </c>
      <c r="AG15" s="666" t="str">
        <f>IF(OR($A15="F&amp;F",$G15=""),"",IF(AG$8&gt;$G15,IF(OR(status1B5!AH15=1,status1B5!AH15=2,'BOULEVARD 5'!AJ13&gt;0),"Pagado","impago"),""))</f>
        <v/>
      </c>
      <c r="AH15" s="666" t="str">
        <f>IF(OR($A15="F&amp;F",$G15=""),"",IF(AH$8&gt;$G15,IF(OR(status1B5!AI15=1,status1B5!AI15=2,'BOULEVARD 5'!AK13&gt;0),"Pagado","impago"),""))</f>
        <v/>
      </c>
      <c r="AI15" s="666" t="str">
        <f>IF(OR($A15="F&amp;F",$G15=""),"",IF(AI$8&gt;$G15,IF(OR(status1B5!AJ15=1,status1B5!AJ15=2,'BOULEVARD 5'!AL13&gt;0),"Pagado","impago"),""))</f>
        <v/>
      </c>
      <c r="AJ15" s="666" t="str">
        <f>IF(OR($A15="F&amp;F",$G15=""),"",IF(AJ$8&gt;$G15,IF(OR(status1B5!AK15=1,status1B5!AK15=2,'BOULEVARD 5'!AM13&gt;0),"Pagado","impago"),""))</f>
        <v/>
      </c>
      <c r="AK15" s="666" t="str">
        <f>IF(OR($A15="F&amp;F",$G15=""),"",IF(AK$8&gt;$G15,IF(OR(status1B5!AL15=1,status1B5!AL15=2,'BOULEVARD 5'!AN13&gt;0),"Pagado","impago"),""))</f>
        <v/>
      </c>
      <c r="AL15" s="666" t="str">
        <f>IF(OR($A15="F&amp;F",$G15=""),"",IF(AL$8&gt;$G15,IF(OR(status1B5!AM15=1,status1B5!AM15=2,'BOULEVARD 5'!AO13&gt;0),"Pagado","impago"),""))</f>
        <v/>
      </c>
      <c r="AM15" s="666" t="str">
        <f>IF(OR($A15="F&amp;F",$G15=""),"",IF(AM$8&gt;$G15,IF(OR(status1B5!AN15=1,status1B5!AN15=2,'BOULEVARD 5'!AP13&gt;0),"Pagado","impago"),""))</f>
        <v/>
      </c>
      <c r="AN15" s="666" t="str">
        <f>IF(OR($A15="F&amp;F",$G15=""),"",IF(AN$8&gt;$G15,IF(OR(status1B5!AO15=1,status1B5!AO15=2,'BOULEVARD 5'!AQ13&gt;0),"Pagado","impago"),""))</f>
        <v/>
      </c>
      <c r="AO15" s="666" t="str">
        <f>IF(OR($A15="F&amp;F",$G15=""),"",IF(AO$8&gt;$G15,IF(OR(status1B5!AP15=1,status1B5!AP15=2,'BOULEVARD 5'!AS13&gt;0),"Pagado","impago"),""))</f>
        <v/>
      </c>
      <c r="AP15" s="429" t="str">
        <f t="shared" si="4"/>
        <v>No Vendido</v>
      </c>
    </row>
    <row r="16" spans="1:42" s="429" customFormat="1" ht="13.9" customHeight="1" x14ac:dyDescent="0.25">
      <c r="A16" s="472"/>
      <c r="B16" s="436">
        <f>'BOULEVARD 5'!B14</f>
        <v>108</v>
      </c>
      <c r="C16" s="436" t="s">
        <v>355</v>
      </c>
      <c r="D16" s="436"/>
      <c r="E16" s="436" t="str">
        <f>IF('BOULEVARD 5'!E14="","",'BOULEVARD 5'!E14)</f>
        <v/>
      </c>
      <c r="F16" s="429" t="str">
        <f>IF('BOULEVARD 5'!F14="","",'BOULEVARD 5'!F14)</f>
        <v/>
      </c>
      <c r="G16" s="473" t="str">
        <f>IF('BOULEVARD 5'!G14="","",'BOULEVARD 5'!G14)</f>
        <v/>
      </c>
      <c r="H16" s="666" t="str">
        <f>IF(OR($A16="F&amp;F",$G16=""),"",IF(H$8&gt;$G16,IF(OR(status1B5!I16=1,status1B5!I16=2,'BOULEVARD 5'!K14&gt;0),"Pagado","impago"),""))</f>
        <v/>
      </c>
      <c r="I16" s="666" t="str">
        <f>IF(OR($A16="F&amp;F",$G16=""),"",IF(I$8&gt;$G16,IF(OR(status1B5!J16=1,status1B5!J16=2,'BOULEVARD 5'!L14&gt;0),"Pagado","impago"),""))</f>
        <v/>
      </c>
      <c r="J16" s="666" t="str">
        <f>IF(OR($A16="F&amp;F",$G16=""),"",IF(J$8&gt;$G16,IF(OR(status1B5!K16=1,status1B5!K16=2,'BOULEVARD 5'!M14&gt;0),"Pagado","impago"),""))</f>
        <v/>
      </c>
      <c r="K16" s="666" t="str">
        <f>IF(OR($A16="F&amp;F",$G16=""),"",IF(K$8&gt;$G16,IF(OR(status1B5!L16=1,status1B5!L16=2,'BOULEVARD 5'!N14&gt;0),"Pagado","impago"),""))</f>
        <v/>
      </c>
      <c r="L16" s="666" t="str">
        <f>IF(OR($A16="F&amp;F",$G16=""),"",IF(L$8&gt;$G16,IF(OR(status1B5!M16=1,status1B5!M16=2,'BOULEVARD 5'!O14&gt;0),"Pagado","impago"),""))</f>
        <v/>
      </c>
      <c r="M16" s="666" t="str">
        <f>IF(OR($A16="F&amp;F",$G16=""),"",IF(M$8&gt;$G16,IF(OR(status1B5!N16=1,status1B5!N16=2,'BOULEVARD 5'!P14&gt;0),"Pagado","impago"),""))</f>
        <v/>
      </c>
      <c r="N16" s="666" t="str">
        <f>IF(OR($A16="F&amp;F",$G16=""),"",IF(N$8&gt;$G16,IF(OR(status1B5!O16=1,status1B5!O16=2,'BOULEVARD 5'!Q14&gt;0),"Pagado","impago"),""))</f>
        <v/>
      </c>
      <c r="O16" s="666" t="str">
        <f>IF(OR($A16="F&amp;F",$G16=""),"",IF(O$8&gt;$G16,IF(OR(status1B5!P16=1,status1B5!P16=2,'BOULEVARD 5'!R14&gt;0),"Pagado","impago"),""))</f>
        <v/>
      </c>
      <c r="P16" s="666" t="str">
        <f>IF(OR($A16="F&amp;F",$G16=""),"",IF(P$8&gt;$G16,IF(OR(status1B5!Q16=1,status1B5!Q16=2,'BOULEVARD 5'!S14&gt;0),"Pagado","impago"),""))</f>
        <v/>
      </c>
      <c r="Q16" s="666" t="str">
        <f>IF(OR($A16="F&amp;F",$G16=""),"",IF(Q$8&gt;$G16,IF(OR(status1B5!R16=1,status1B5!R16=2,'BOULEVARD 5'!T14&gt;0),"Pagado","impago"),""))</f>
        <v/>
      </c>
      <c r="R16" s="666" t="str">
        <f>IF(OR($A16="F&amp;F",$G16=""),"",IF(R$8&gt;$G16,IF(OR(status1B5!S16=1,status1B5!S16=2,'BOULEVARD 5'!U14&gt;0),"Pagado","impago"),""))</f>
        <v/>
      </c>
      <c r="S16" s="666" t="str">
        <f>IF(OR($A16="F&amp;F",$G16=""),"",IF(S$8&gt;$G16,IF(OR(status1B5!T16=1,status1B5!T16=2,'BOULEVARD 5'!V14&gt;0),"Pagado","impago"),""))</f>
        <v/>
      </c>
      <c r="T16" s="666" t="str">
        <f>IF(OR($A16="F&amp;F",$G16=""),"",IF(T$8&gt;$G16,IF(OR(status1B5!U16=1,status1B5!U16=2,'BOULEVARD 5'!W14&gt;0),"Pagado","impago"),""))</f>
        <v/>
      </c>
      <c r="U16" s="666" t="str">
        <f>IF(OR($A16="F&amp;F",$G16=""),"",IF(U$8&gt;$G16,IF(OR(status1B5!V16=1,status1B5!V16=2,'BOULEVARD 5'!X14&gt;0),"Pagado","impago"),""))</f>
        <v/>
      </c>
      <c r="V16" s="666" t="str">
        <f>IF(OR($A16="F&amp;F",$G16=""),"",IF(V$8&gt;$G16,IF(OR(status1B5!W16=1,status1B5!W16=2,'BOULEVARD 5'!Y14&gt;0),"Pagado","impago"),""))</f>
        <v/>
      </c>
      <c r="W16" s="666" t="str">
        <f>IF(OR($A16="F&amp;F",$G16=""),"",IF(W$8&gt;$G16,IF(OR(status1B5!X16=1,status1B5!X16=2,'BOULEVARD 5'!Z14&gt;0),"Pagado","impago"),""))</f>
        <v/>
      </c>
      <c r="X16" s="666" t="str">
        <f>IF(OR($A16="F&amp;F",$G16=""),"",IF(X$8&gt;$G16,IF(OR(status1B5!Y16=1,status1B5!Y16=2,'BOULEVARD 5'!AA14&gt;0),"Pagado","impago"),""))</f>
        <v/>
      </c>
      <c r="Y16" s="666" t="str">
        <f>IF(OR($A16="F&amp;F",$G16=""),"",IF(Y$8&gt;$G16,IF(OR(status1B5!Z16=1,status1B5!Z16=2,'BOULEVARD 5'!AB14&gt;0),"Pagado","impago"),""))</f>
        <v/>
      </c>
      <c r="Z16" s="666" t="str">
        <f>IF(OR($A16="F&amp;F",$G16=""),"",IF(Z$8&gt;$G16,IF(OR(status1B5!AA16=1,status1B5!AA16=2,'BOULEVARD 5'!AC14&gt;0),"Pagado","impago"),""))</f>
        <v/>
      </c>
      <c r="AA16" s="666" t="str">
        <f>IF(OR($A16="F&amp;F",$G16=""),"",IF(AA$8&gt;$G16,IF(OR(status1B5!AB16=1,status1B5!AB16=2,'BOULEVARD 5'!AD14&gt;0),"Pagado","impago"),""))</f>
        <v/>
      </c>
      <c r="AB16" s="666" t="str">
        <f>IF(OR($A16="F&amp;F",$G16=""),"",IF(AB$8&gt;$G16,IF(OR(status1B5!AC16=1,status1B5!AC16=2,'BOULEVARD 5'!AE14&gt;0),"Pagado","impago"),""))</f>
        <v/>
      </c>
      <c r="AC16" s="666" t="str">
        <f>IF(OR($A16="F&amp;F",$G16=""),"",IF(AC$8&gt;$G16,IF(OR(status1B5!AD16=1,status1B5!AD16=2,'BOULEVARD 5'!AF14&gt;0),"Pagado","impago"),""))</f>
        <v/>
      </c>
      <c r="AD16" s="666" t="str">
        <f>IF(OR($A16="F&amp;F",$G16=""),"",IF(AD$8&gt;$G16,IF(OR(status1B5!AE16=1,status1B5!AE16=2,'BOULEVARD 5'!AG14&gt;0),"Pagado","impago"),""))</f>
        <v/>
      </c>
      <c r="AE16" s="666" t="str">
        <f>IF(OR($A16="F&amp;F",$G16=""),"",IF(AE$8&gt;$G16,IF(OR(status1B5!AF16=1,status1B5!AF16=2,'BOULEVARD 5'!AH14&gt;0),"Pagado","impago"),""))</f>
        <v/>
      </c>
      <c r="AF16" s="666" t="str">
        <f>IF(OR($A16="F&amp;F",$G16=""),"",IF(AF$8&gt;$G16,IF(OR(status1B5!AG16=1,status1B5!AG16=2,'BOULEVARD 5'!AI14&gt;0),"Pagado","impago"),""))</f>
        <v/>
      </c>
      <c r="AG16" s="666" t="str">
        <f>IF(OR($A16="F&amp;F",$G16=""),"",IF(AG$8&gt;$G16,IF(OR(status1B5!AH16=1,status1B5!AH16=2,'BOULEVARD 5'!AJ14&gt;0),"Pagado","impago"),""))</f>
        <v/>
      </c>
      <c r="AH16" s="666" t="str">
        <f>IF(OR($A16="F&amp;F",$G16=""),"",IF(AH$8&gt;$G16,IF(OR(status1B5!AI16=1,status1B5!AI16=2,'BOULEVARD 5'!AK14&gt;0),"Pagado","impago"),""))</f>
        <v/>
      </c>
      <c r="AI16" s="666" t="str">
        <f>IF(OR($A16="F&amp;F",$G16=""),"",IF(AI$8&gt;$G16,IF(OR(status1B5!AJ16=1,status1B5!AJ16=2,'BOULEVARD 5'!AL14&gt;0),"Pagado","impago"),""))</f>
        <v/>
      </c>
      <c r="AJ16" s="666" t="str">
        <f>IF(OR($A16="F&amp;F",$G16=""),"",IF(AJ$8&gt;$G16,IF(OR(status1B5!AK16=1,status1B5!AK16=2,'BOULEVARD 5'!AM14&gt;0),"Pagado","impago"),""))</f>
        <v/>
      </c>
      <c r="AK16" s="666" t="str">
        <f>IF(OR($A16="F&amp;F",$G16=""),"",IF(AK$8&gt;$G16,IF(OR(status1B5!AL16=1,status1B5!AL16=2,'BOULEVARD 5'!AN14&gt;0),"Pagado","impago"),""))</f>
        <v/>
      </c>
      <c r="AL16" s="666" t="str">
        <f>IF(OR($A16="F&amp;F",$G16=""),"",IF(AL$8&gt;$G16,IF(OR(status1B5!AM16=1,status1B5!AM16=2,'BOULEVARD 5'!AO14&gt;0),"Pagado","impago"),""))</f>
        <v/>
      </c>
      <c r="AM16" s="666" t="str">
        <f>IF(OR($A16="F&amp;F",$G16=""),"",IF(AM$8&gt;$G16,IF(OR(status1B5!AN16=1,status1B5!AN16=2,'BOULEVARD 5'!AP14&gt;0),"Pagado","impago"),""))</f>
        <v/>
      </c>
      <c r="AN16" s="666" t="str">
        <f>IF(OR($A16="F&amp;F",$G16=""),"",IF(AN$8&gt;$G16,IF(OR(status1B5!AO16=1,status1B5!AO16=2,'BOULEVARD 5'!AQ14&gt;0),"Pagado","impago"),""))</f>
        <v/>
      </c>
      <c r="AO16" s="666" t="str">
        <f>IF(OR($A16="F&amp;F",$G16=""),"",IF(AO$8&gt;$G16,IF(OR(status1B5!AP16=1,status1B5!AP16=2,'BOULEVARD 5'!AS14&gt;0),"Pagado","impago"),""))</f>
        <v/>
      </c>
      <c r="AP16" s="429" t="str">
        <f t="shared" si="4"/>
        <v>No Vendido</v>
      </c>
    </row>
    <row r="17" spans="1:42" s="429" customFormat="1" ht="13.9" customHeight="1" x14ac:dyDescent="0.25">
      <c r="A17" s="472"/>
      <c r="B17" s="436">
        <f>'BOULEVARD 5'!B15</f>
        <v>109</v>
      </c>
      <c r="C17" s="436" t="s">
        <v>355</v>
      </c>
      <c r="D17" s="436"/>
      <c r="E17" s="436" t="str">
        <f>IF('BOULEVARD 5'!E15="","",'BOULEVARD 5'!E15)</f>
        <v>Antonio Rada</v>
      </c>
      <c r="F17" s="429" t="str">
        <f>IF('BOULEVARD 5'!F15="","",'BOULEVARD 5'!F15)</f>
        <v>Laura Elisa Ovalle Gonzalez</v>
      </c>
      <c r="G17" s="473">
        <f>IF('BOULEVARD 5'!G15="","",'BOULEVARD 5'!G15)</f>
        <v>45471</v>
      </c>
      <c r="H17" s="666" t="str">
        <f>IF(OR($A17="F&amp;F",$G17=""),"",IF(H$8&gt;$G17,IF(OR(status1B5!I17=1,status1B5!I17=2,'BOULEVARD 5'!K15&gt;0),"Pagado","impago"),""))</f>
        <v/>
      </c>
      <c r="I17" s="666" t="str">
        <f>IF(OR($A17="F&amp;F",$G17=""),"",IF(I$8&gt;$G17,IF(OR(status1B5!J17=1,status1B5!J17=2,'BOULEVARD 5'!L15&gt;0),"Pagado","impago"),""))</f>
        <v/>
      </c>
      <c r="J17" s="666" t="str">
        <f>IF(OR($A17="F&amp;F",$G17=""),"",IF(J$8&gt;$G17,IF(OR(status1B5!K17=1,status1B5!K17=2,'BOULEVARD 5'!M15&gt;0),"Pagado","impago"),""))</f>
        <v/>
      </c>
      <c r="K17" s="666" t="str">
        <f>IF(OR($A17="F&amp;F",$G17=""),"",IF(K$8&gt;$G17,IF(OR(status1B5!L17=1,status1B5!L17=2,'BOULEVARD 5'!N15&gt;0),"Pagado","impago"),""))</f>
        <v/>
      </c>
      <c r="L17" s="666" t="str">
        <f>IF(OR($A17="F&amp;F",$G17=""),"",IF(L$8&gt;$G17,IF(OR(status1B5!M17=1,status1B5!M17=2,'BOULEVARD 5'!O15&gt;0),"Pagado","impago"),""))</f>
        <v/>
      </c>
      <c r="M17" s="666" t="str">
        <f>IF(OR($A17="F&amp;F",$G17=""),"",IF(M$8&gt;$G17,IF(OR(status1B5!N17=1,status1B5!N17=2,'BOULEVARD 5'!P15&gt;0),"Pagado","impago"),""))</f>
        <v/>
      </c>
      <c r="N17" s="666" t="str">
        <f>IF(OR($A17="F&amp;F",$G17=""),"",IF(N$8&gt;$G17,IF(OR(status1B5!O17=1,status1B5!O17=2,'BOULEVARD 5'!Q15&gt;0),"Pagado","impago"),""))</f>
        <v/>
      </c>
      <c r="O17" s="666" t="str">
        <f>IF(OR($A17="F&amp;F",$G17=""),"",IF(O$8&gt;$G17,IF(OR(status1B5!P17=1,status1B5!P17=2,'BOULEVARD 5'!R15&gt;0),"Pagado","impago"),""))</f>
        <v/>
      </c>
      <c r="P17" s="666" t="str">
        <f>IF(OR($A17="F&amp;F",$G17=""),"",IF(P$8&gt;$G17,IF(OR(status1B5!Q17=1,status1B5!Q17=2,'BOULEVARD 5'!S15&gt;0),"Pagado","impago"),""))</f>
        <v/>
      </c>
      <c r="Q17" s="666" t="str">
        <f>IF(OR($A17="F&amp;F",$G17=""),"",IF(Q$8&gt;$G17,IF(OR(status1B5!R17=1,status1B5!R17=2,'BOULEVARD 5'!T15&gt;0),"Pagado","impago"),""))</f>
        <v/>
      </c>
      <c r="R17" s="666" t="str">
        <f>IF(OR($A17="F&amp;F",$G17=""),"",IF(R$8&gt;$G17,IF(OR(status1B5!S17=1,status1B5!S17=2,'BOULEVARD 5'!U15&gt;0),"Pagado","impago"),""))</f>
        <v/>
      </c>
      <c r="S17" s="666" t="str">
        <f>IF(OR($A17="F&amp;F",$G17=""),"",IF(S$8&gt;$G17,IF(OR(status1B5!T17=1,status1B5!T17=2,'BOULEVARD 5'!V15&gt;0),"Pagado","impago"),""))</f>
        <v/>
      </c>
      <c r="T17" s="666" t="str">
        <f>IF(OR($A17="F&amp;F",$G17=""),"",IF(T$8&gt;$G17,IF(OR(status1B5!U17=1,status1B5!U17=2,'BOULEVARD 5'!W15&gt;0),"Pagado","impago"),""))</f>
        <v/>
      </c>
      <c r="U17" s="666" t="str">
        <f>IF(OR($A17="F&amp;F",$G17=""),"",IF(U$8&gt;$G17,IF(OR(status1B5!V17=1,status1B5!V17=2,'BOULEVARD 5'!X15&gt;0),"Pagado","impago"),""))</f>
        <v/>
      </c>
      <c r="V17" s="666" t="str">
        <f>IF(OR($A17="F&amp;F",$G17=""),"",IF(V$8&gt;$G17,IF(OR(status1B5!W17=1,status1B5!W17=2,'BOULEVARD 5'!Y15&gt;0),"Pagado","impago"),""))</f>
        <v/>
      </c>
      <c r="W17" s="666" t="str">
        <f>IF(OR($A17="F&amp;F",$G17=""),"",IF(W$8&gt;$G17,IF(OR(status1B5!X17=1,status1B5!X17=2,'BOULEVARD 5'!Z15&gt;0),"Pagado","impago"),""))</f>
        <v>Pagado</v>
      </c>
      <c r="X17" s="666" t="str">
        <f>IF(OR($A17="F&amp;F",$G17=""),"",IF(X$8&gt;$G17,IF(OR(status1B5!Y17=1,status1B5!Y17=2,'BOULEVARD 5'!AA15&gt;0),"Pagado","impago"),""))</f>
        <v>Pagado</v>
      </c>
      <c r="Y17" s="666" t="str">
        <f>IF(OR($A17="F&amp;F",$G17=""),"",IF(Y$8&gt;$G17,IF(OR(status1B5!Z17=1,status1B5!Z17=2,'BOULEVARD 5'!AB15&gt;0),"Pagado","impago"),""))</f>
        <v>Pagado</v>
      </c>
      <c r="Z17" s="666" t="str">
        <f>IF(OR($A17="F&amp;F",$G17=""),"",IF(Z$8&gt;$G17,IF(OR(status1B5!AA17=1,status1B5!AA17=2,'BOULEVARD 5'!AC15&gt;0),"Pagado","impago"),""))</f>
        <v>Pagado</v>
      </c>
      <c r="AA17" s="666" t="str">
        <f>IF(OR($A17="F&amp;F",$G17=""),"",IF(AA$8&gt;$G17,IF(OR(status1B5!AB17=1,status1B5!AB17=2,'BOULEVARD 5'!AD15&gt;0),"Pagado","impago"),""))</f>
        <v>Pagado</v>
      </c>
      <c r="AB17" s="666" t="str">
        <f>IF(OR($A17="F&amp;F",$G17=""),"",IF(AB$8&gt;$G17,IF(OR(status1B5!AC17=1,status1B5!AC17=2,'BOULEVARD 5'!AE15&gt;0),"Pagado","impago"),""))</f>
        <v>Pagado</v>
      </c>
      <c r="AC17" s="666" t="str">
        <f>IF(OR($A17="F&amp;F",$G17=""),"",IF(AC$8&gt;$G17,IF(OR(status1B5!AD17=1,status1B5!AD17=2,'BOULEVARD 5'!AF15&gt;0),"Pagado","impago"),""))</f>
        <v>Pagado</v>
      </c>
      <c r="AD17" s="666" t="str">
        <f>IF(OR($A17="F&amp;F",$G17=""),"",IF(AD$8&gt;$G17,IF(OR(status1B5!AE17=1,status1B5!AE17=2,'BOULEVARD 5'!AG15&gt;0),"Pagado","impago"),""))</f>
        <v>Pagado</v>
      </c>
      <c r="AE17" s="666" t="str">
        <f>IF(OR($A17="F&amp;F",$G17=""),"",IF(AE$8&gt;$G17,IF(OR(status1B5!AF17=1,status1B5!AF17=2,'BOULEVARD 5'!AH15&gt;0),"Pagado","impago"),""))</f>
        <v>Pagado</v>
      </c>
      <c r="AF17" s="666" t="str">
        <f>IF(OR($A17="F&amp;F",$G17=""),"",IF(AF$8&gt;$G17,IF(OR(status1B5!AG17=1,status1B5!AG17=2,'BOULEVARD 5'!AI15&gt;0),"Pagado","impago"),""))</f>
        <v>Pagado</v>
      </c>
      <c r="AG17" s="666" t="str">
        <f>IF(OR($A17="F&amp;F",$G17=""),"",IF(AG$8&gt;$G17,IF(OR(status1B5!AH17=1,status1B5!AH17=2,'BOULEVARD 5'!AJ15&gt;0),"Pagado","impago"),""))</f>
        <v>Pagado</v>
      </c>
      <c r="AH17" s="666" t="str">
        <f>IF(OR($A17="F&amp;F",$G17=""),"",IF(AH$8&gt;$G17,IF(OR(status1B5!AI17=1,status1B5!AI17=2,'BOULEVARD 5'!AK15&gt;0),"Pagado","impago"),""))</f>
        <v>Pagado</v>
      </c>
      <c r="AI17" s="666" t="str">
        <f>IF(OR($A17="F&amp;F",$G17=""),"",IF(AI$8&gt;$G17,IF(OR(status1B5!AJ17=1,status1B5!AJ17=2,'BOULEVARD 5'!AL15&gt;0),"Pagado","impago"),""))</f>
        <v>Pagado</v>
      </c>
      <c r="AJ17" s="666" t="str">
        <f>IF(OR($A17="F&amp;F",$G17=""),"",IF(AJ$8&gt;$G17,IF(OR(status1B5!AK17=1,status1B5!AK17=2,'BOULEVARD 5'!AM15&gt;0),"Pagado","impago"),""))</f>
        <v>Pagado</v>
      </c>
      <c r="AK17" s="666" t="str">
        <f>IF(OR($A17="F&amp;F",$G17=""),"",IF(AK$8&gt;$G17,IF(OR(status1B5!AL17=1,status1B5!AL17=2,'BOULEVARD 5'!AN15&gt;0),"Pagado","impago"),""))</f>
        <v>Pagado</v>
      </c>
      <c r="AL17" s="666" t="str">
        <f>IF(OR($A17="F&amp;F",$G17=""),"",IF(AL$8&gt;$G17,IF(OR(status1B5!AM17=1,status1B5!AM17=2,'BOULEVARD 5'!AO15&gt;0),"Pagado","impago"),""))</f>
        <v>Pagado</v>
      </c>
      <c r="AM17" s="666" t="str">
        <f>IF(OR($A17="F&amp;F",$G17=""),"",IF(AM$8&gt;$G17,IF(OR(status1B5!AN17=1,status1B5!AN17=2,'BOULEVARD 5'!AP15&gt;0),"Pagado","impago"),""))</f>
        <v>Pagado</v>
      </c>
      <c r="AN17" s="666" t="str">
        <f>IF(OR($A17="F&amp;F",$G17=""),"",IF(AN$8&gt;$G17,IF(OR(status1B5!AO17=1,status1B5!AO17=2,'BOULEVARD 5'!AQ15&gt;0),"Pagado","impago"),""))</f>
        <v>Pagado</v>
      </c>
      <c r="AO17" s="666" t="str">
        <f>IF(OR($A17="F&amp;F",$G17=""),"",IF(AO$8&gt;$G17,IF(OR(status1B5!AP17=1,status1B5!AP17=2,'BOULEVARD 5'!AS15&gt;0),"Pagado","impago"),""))</f>
        <v>Pagado</v>
      </c>
      <c r="AP17" s="429" t="str">
        <f t="shared" si="4"/>
        <v>Vendido</v>
      </c>
    </row>
    <row r="18" spans="1:42" s="429" customFormat="1" ht="13.9" customHeight="1" x14ac:dyDescent="0.25">
      <c r="A18" s="472"/>
      <c r="B18" s="436">
        <f>'BOULEVARD 5'!B16</f>
        <v>110</v>
      </c>
      <c r="C18" s="436" t="s">
        <v>355</v>
      </c>
      <c r="D18" s="436"/>
      <c r="E18" s="436" t="str">
        <f>IF('BOULEVARD 5'!E16="","",'BOULEVARD 5'!E16)</f>
        <v>Antonio Rada</v>
      </c>
      <c r="F18" s="429" t="str">
        <f>IF('BOULEVARD 5'!F16="","",'BOULEVARD 5'!F16)</f>
        <v>Karla Suzel Ruiz Sanchinelli De Alonzo</v>
      </c>
      <c r="G18" s="473">
        <f>IF('BOULEVARD 5'!G16="","",'BOULEVARD 5'!G16)</f>
        <v>45088</v>
      </c>
      <c r="H18" s="666" t="str">
        <f>IF(OR($A18="F&amp;F",$G18=""),"",IF(H$8&gt;$G18,IF(OR(status1B5!I18=1,status1B5!I18=2,'BOULEVARD 5'!K16&gt;0),"Pagado","impago"),""))</f>
        <v/>
      </c>
      <c r="I18" s="666" t="str">
        <f>IF(OR($A18="F&amp;F",$G18=""),"",IF(I$8&gt;$G18,IF(OR(status1B5!J18=1,status1B5!J18=2,'BOULEVARD 5'!L16&gt;0),"Pagado","impago"),""))</f>
        <v/>
      </c>
      <c r="J18" s="666" t="str">
        <f>IF(OR($A18="F&amp;F",$G18=""),"",IF(J$8&gt;$G18,IF(OR(status1B5!K18=1,status1B5!K18=2,'BOULEVARD 5'!M16&gt;0),"Pagado","impago"),""))</f>
        <v/>
      </c>
      <c r="K18" s="666" t="str">
        <f>IF(OR($A18="F&amp;F",$G18=""),"",IF(K$8&gt;$G18,IF(OR(status1B5!L18=1,status1B5!L18=2,'BOULEVARD 5'!N16&gt;0),"Pagado","impago"),""))</f>
        <v>Pagado</v>
      </c>
      <c r="L18" s="666" t="str">
        <f>IF(OR($A18="F&amp;F",$G18=""),"",IF(L$8&gt;$G18,IF(OR(status1B5!M18=1,status1B5!M18=2,'BOULEVARD 5'!O16&gt;0),"Pagado","impago"),""))</f>
        <v>Pagado</v>
      </c>
      <c r="M18" s="666" t="str">
        <f>IF(OR($A18="F&amp;F",$G18=""),"",IF(M$8&gt;$G18,IF(OR(status1B5!N18=1,status1B5!N18=2,'BOULEVARD 5'!P16&gt;0),"Pagado","impago"),""))</f>
        <v>Pagado</v>
      </c>
      <c r="N18" s="666" t="str">
        <f>IF(OR($A18="F&amp;F",$G18=""),"",IF(N$8&gt;$G18,IF(OR(status1B5!O18=1,status1B5!O18=2,'BOULEVARD 5'!Q16&gt;0),"Pagado","impago"),""))</f>
        <v>Pagado</v>
      </c>
      <c r="O18" s="666" t="str">
        <f>IF(OR($A18="F&amp;F",$G18=""),"",IF(O$8&gt;$G18,IF(OR(status1B5!P18=1,status1B5!P18=2,'BOULEVARD 5'!R16&gt;0),"Pagado","impago"),""))</f>
        <v>Pagado</v>
      </c>
      <c r="P18" s="666" t="str">
        <f>IF(OR($A18="F&amp;F",$G18=""),"",IF(P$8&gt;$G18,IF(OR(status1B5!Q18=1,status1B5!Q18=2,'BOULEVARD 5'!S16&gt;0),"Pagado","impago"),""))</f>
        <v>Pagado</v>
      </c>
      <c r="Q18" s="666" t="str">
        <f>IF(OR($A18="F&amp;F",$G18=""),"",IF(Q$8&gt;$G18,IF(OR(status1B5!R18=1,status1B5!R18=2,'BOULEVARD 5'!T16&gt;0),"Pagado","impago"),""))</f>
        <v>Pagado</v>
      </c>
      <c r="R18" s="666" t="str">
        <f>IF(OR($A18="F&amp;F",$G18=""),"",IF(R$8&gt;$G18,IF(OR(status1B5!S18=1,status1B5!S18=2,'BOULEVARD 5'!U16&gt;0),"Pagado","impago"),""))</f>
        <v>Pagado</v>
      </c>
      <c r="S18" s="666" t="str">
        <f>IF(OR($A18="F&amp;F",$G18=""),"",IF(S$8&gt;$G18,IF(OR(status1B5!T18=1,status1B5!T18=2,'BOULEVARD 5'!V16&gt;0),"Pagado","impago"),""))</f>
        <v>Pagado</v>
      </c>
      <c r="T18" s="666" t="str">
        <f>IF(OR($A18="F&amp;F",$G18=""),"",IF(T$8&gt;$G18,IF(OR(status1B5!U18=1,status1B5!U18=2,'BOULEVARD 5'!W16&gt;0),"Pagado","impago"),""))</f>
        <v>Pagado</v>
      </c>
      <c r="U18" s="666" t="str">
        <f>IF(OR($A18="F&amp;F",$G18=""),"",IF(U$8&gt;$G18,IF(OR(status1B5!V18=1,status1B5!V18=2,'BOULEVARD 5'!X16&gt;0),"Pagado","impago"),""))</f>
        <v>Pagado</v>
      </c>
      <c r="V18" s="666" t="str">
        <f>IF(OR($A18="F&amp;F",$G18=""),"",IF(V$8&gt;$G18,IF(OR(status1B5!W18=1,status1B5!W18=2,'BOULEVARD 5'!Y16&gt;0),"Pagado","impago"),""))</f>
        <v>Pagado</v>
      </c>
      <c r="W18" s="666" t="str">
        <f>IF(OR($A18="F&amp;F",$G18=""),"",IF(W$8&gt;$G18,IF(OR(status1B5!X18=1,status1B5!X18=2,'BOULEVARD 5'!Z16&gt;0),"Pagado","impago"),""))</f>
        <v>Pagado</v>
      </c>
      <c r="X18" s="666" t="str">
        <f>IF(OR($A18="F&amp;F",$G18=""),"",IF(X$8&gt;$G18,IF(OR(status1B5!Y18=1,status1B5!Y18=2,'BOULEVARD 5'!AA16&gt;0),"Pagado","impago"),""))</f>
        <v>Pagado</v>
      </c>
      <c r="Y18" s="666" t="str">
        <f>IF(OR($A18="F&amp;F",$G18=""),"",IF(Y$8&gt;$G18,IF(OR(status1B5!Z18=1,status1B5!Z18=2,'BOULEVARD 5'!AB16&gt;0),"Pagado","impago"),""))</f>
        <v>Pagado</v>
      </c>
      <c r="Z18" s="666" t="str">
        <f>IF(OR($A18="F&amp;F",$G18=""),"",IF(Z$8&gt;$G18,IF(OR(status1B5!AA18=1,status1B5!AA18=2,'BOULEVARD 5'!AC16&gt;0),"Pagado","impago"),""))</f>
        <v>Pagado</v>
      </c>
      <c r="AA18" s="666" t="str">
        <f>IF(OR($A18="F&amp;F",$G18=""),"",IF(AA$8&gt;$G18,IF(OR(status1B5!AB18=1,status1B5!AB18=2,'BOULEVARD 5'!AD16&gt;0),"Pagado","impago"),""))</f>
        <v>Pagado</v>
      </c>
      <c r="AB18" s="666" t="str">
        <f>IF(OR($A18="F&amp;F",$G18=""),"",IF(AB$8&gt;$G18,IF(OR(status1B5!AC18=1,status1B5!AC18=2,'BOULEVARD 5'!AE16&gt;0),"Pagado","impago"),""))</f>
        <v>Pagado</v>
      </c>
      <c r="AC18" s="666" t="str">
        <f>IF(OR($A18="F&amp;F",$G18=""),"",IF(AC$8&gt;$G18,IF(OR(status1B5!AD18=1,status1B5!AD18=2,'BOULEVARD 5'!AF16&gt;0),"Pagado","impago"),""))</f>
        <v>Pagado</v>
      </c>
      <c r="AD18" s="666" t="str">
        <f>IF(OR($A18="F&amp;F",$G18=""),"",IF(AD$8&gt;$G18,IF(OR(status1B5!AE18=1,status1B5!AE18=2,'BOULEVARD 5'!AG16&gt;0),"Pagado","impago"),""))</f>
        <v>Pagado</v>
      </c>
      <c r="AE18" s="666" t="str">
        <f>IF(OR($A18="F&amp;F",$G18=""),"",IF(AE$8&gt;$G18,IF(OR(status1B5!AF18=1,status1B5!AF18=2,'BOULEVARD 5'!AH16&gt;0),"Pagado","impago"),""))</f>
        <v>Pagado</v>
      </c>
      <c r="AF18" s="666" t="str">
        <f>IF(OR($A18="F&amp;F",$G18=""),"",IF(AF$8&gt;$G18,IF(OR(status1B5!AG18=1,status1B5!AG18=2,'BOULEVARD 5'!AI16&gt;0),"Pagado","impago"),""))</f>
        <v>Pagado</v>
      </c>
      <c r="AG18" s="666" t="str">
        <f>IF(OR($A18="F&amp;F",$G18=""),"",IF(AG$8&gt;$G18,IF(OR(status1B5!AH18=1,status1B5!AH18=2,'BOULEVARD 5'!AJ16&gt;0),"Pagado","impago"),""))</f>
        <v>Pagado</v>
      </c>
      <c r="AH18" s="666" t="str">
        <f>IF(OR($A18="F&amp;F",$G18=""),"",IF(AH$8&gt;$G18,IF(OR(status1B5!AI18=1,status1B5!AI18=2,'BOULEVARD 5'!AK16&gt;0),"Pagado","impago"),""))</f>
        <v>Pagado</v>
      </c>
      <c r="AI18" s="666" t="str">
        <f>IF(OR($A18="F&amp;F",$G18=""),"",IF(AI$8&gt;$G18,IF(OR(status1B5!AJ18=1,status1B5!AJ18=2,'BOULEVARD 5'!AL16&gt;0),"Pagado","impago"),""))</f>
        <v>Pagado</v>
      </c>
      <c r="AJ18" s="666" t="str">
        <f>IF(OR($A18="F&amp;F",$G18=""),"",IF(AJ$8&gt;$G18,IF(OR(status1B5!AK18=1,status1B5!AK18=2,'BOULEVARD 5'!AM16&gt;0),"Pagado","impago"),""))</f>
        <v>Pagado</v>
      </c>
      <c r="AK18" s="666" t="str">
        <f>IF(OR($A18="F&amp;F",$G18=""),"",IF(AK$8&gt;$G18,IF(OR(status1B5!AL18=1,status1B5!AL18=2,'BOULEVARD 5'!AN16&gt;0),"Pagado","impago"),""))</f>
        <v>Pagado</v>
      </c>
      <c r="AL18" s="666" t="str">
        <f>IF(OR($A18="F&amp;F",$G18=""),"",IF(AL$8&gt;$G18,IF(OR(status1B5!AM18=1,status1B5!AM18=2,'BOULEVARD 5'!AO16&gt;0),"Pagado","impago"),""))</f>
        <v>Pagado</v>
      </c>
      <c r="AM18" s="666" t="str">
        <f>IF(OR($A18="F&amp;F",$G18=""),"",IF(AM$8&gt;$G18,IF(OR(status1B5!AN18=1,status1B5!AN18=2,'BOULEVARD 5'!AP16&gt;0),"Pagado","impago"),""))</f>
        <v>Pagado</v>
      </c>
      <c r="AN18" s="666" t="str">
        <f>IF(OR($A18="F&amp;F",$G18=""),"",IF(AN$8&gt;$G18,IF(OR(status1B5!AO18=1,status1B5!AO18=2,'BOULEVARD 5'!AQ16&gt;0),"Pagado","impago"),""))</f>
        <v>Pagado</v>
      </c>
      <c r="AO18" s="666" t="str">
        <f>IF(OR($A18="F&amp;F",$G18=""),"",IF(AO$8&gt;$G18,IF(OR(status1B5!AP18=1,status1B5!AP18=2,'BOULEVARD 5'!AS16&gt;0),"Pagado","impago"),""))</f>
        <v>Pagado</v>
      </c>
      <c r="AP18" s="429" t="str">
        <f t="shared" si="4"/>
        <v>Vendido</v>
      </c>
    </row>
    <row r="19" spans="1:42" s="429" customFormat="1" ht="13.9" customHeight="1" x14ac:dyDescent="0.25">
      <c r="A19" s="472"/>
      <c r="B19" s="436">
        <f>'BOULEVARD 5'!B17</f>
        <v>111</v>
      </c>
      <c r="C19" s="436" t="s">
        <v>355</v>
      </c>
      <c r="D19" s="436"/>
      <c r="E19" s="436" t="str">
        <f>IF('BOULEVARD 5'!E17="","",'BOULEVARD 5'!E17)</f>
        <v>Jose Franco</v>
      </c>
      <c r="F19" s="429" t="str">
        <f>IF('BOULEVARD 5'!F17="","",'BOULEVARD 5'!F17)</f>
        <v>Jonathan José Morales Salazar / Ingrid Liseth Barillas López</v>
      </c>
      <c r="G19" s="473">
        <f>IF('BOULEVARD 5'!G17="","",'BOULEVARD 5'!G17)</f>
        <v>45012</v>
      </c>
      <c r="H19" s="666" t="str">
        <f>IF(OR($A19="F&amp;F",$G19=""),"",IF(H$8&gt;$G19,IF(OR(status1B5!I19=1,status1B5!I19=2,'BOULEVARD 5'!K17&gt;0),"Pagado","impago"),""))</f>
        <v>Pagado</v>
      </c>
      <c r="I19" s="666" t="str">
        <f>IF(OR($A19="F&amp;F",$G19=""),"",IF(I$8&gt;$G19,IF(OR(status1B5!J19=1,status1B5!J19=2,'BOULEVARD 5'!L17&gt;0),"Pagado","impago"),""))</f>
        <v>Pagado</v>
      </c>
      <c r="J19" s="666" t="str">
        <f>IF(OR($A19="F&amp;F",$G19=""),"",IF(J$8&gt;$G19,IF(OR(status1B5!K19=1,status1B5!K19=2,'BOULEVARD 5'!M17&gt;0),"Pagado","impago"),""))</f>
        <v>Pagado</v>
      </c>
      <c r="K19" s="666" t="str">
        <f>IF(OR($A19="F&amp;F",$G19=""),"",IF(K$8&gt;$G19,IF(OR(status1B5!L19=1,status1B5!L19=2,'BOULEVARD 5'!N17&gt;0),"Pagado","impago"),""))</f>
        <v>Pagado</v>
      </c>
      <c r="L19" s="666" t="str">
        <f>IF(OR($A19="F&amp;F",$G19=""),"",IF(L$8&gt;$G19,IF(OR(status1B5!M19=1,status1B5!M19=2,'BOULEVARD 5'!O17&gt;0),"Pagado","impago"),""))</f>
        <v>Pagado</v>
      </c>
      <c r="M19" s="666" t="str">
        <f>IF(OR($A19="F&amp;F",$G19=""),"",IF(M$8&gt;$G19,IF(OR(status1B5!N19=1,status1B5!N19=2,'BOULEVARD 5'!P17&gt;0),"Pagado","impago"),""))</f>
        <v>Pagado</v>
      </c>
      <c r="N19" s="666" t="str">
        <f>IF(OR($A19="F&amp;F",$G19=""),"",IF(N$8&gt;$G19,IF(OR(status1B5!O19=1,status1B5!O19=2,'BOULEVARD 5'!Q17&gt;0),"Pagado","impago"),""))</f>
        <v>Pagado</v>
      </c>
      <c r="O19" s="666" t="str">
        <f>IF(OR($A19="F&amp;F",$G19=""),"",IF(O$8&gt;$G19,IF(OR(status1B5!P19=1,status1B5!P19=2,'BOULEVARD 5'!R17&gt;0),"Pagado","impago"),""))</f>
        <v>Pagado</v>
      </c>
      <c r="P19" s="666" t="str">
        <f>IF(OR($A19="F&amp;F",$G19=""),"",IF(P$8&gt;$G19,IF(OR(status1B5!Q19=1,status1B5!Q19=2,'BOULEVARD 5'!S17&gt;0),"Pagado","impago"),""))</f>
        <v>Pagado</v>
      </c>
      <c r="Q19" s="666" t="str">
        <f>IF(OR($A19="F&amp;F",$G19=""),"",IF(Q$8&gt;$G19,IF(OR(status1B5!R19=1,status1B5!R19=2,'BOULEVARD 5'!T17&gt;0),"Pagado","impago"),""))</f>
        <v>Pagado</v>
      </c>
      <c r="R19" s="666" t="str">
        <f>IF(OR($A19="F&amp;F",$G19=""),"",IF(R$8&gt;$G19,IF(OR(status1B5!S19=1,status1B5!S19=2,'BOULEVARD 5'!U17&gt;0),"Pagado","impago"),""))</f>
        <v>Pagado</v>
      </c>
      <c r="S19" s="666" t="str">
        <f>IF(OR($A19="F&amp;F",$G19=""),"",IF(S$8&gt;$G19,IF(OR(status1B5!T19=1,status1B5!T19=2,'BOULEVARD 5'!V17&gt;0),"Pagado","impago"),""))</f>
        <v>Pagado</v>
      </c>
      <c r="T19" s="666" t="str">
        <f>IF(OR($A19="F&amp;F",$G19=""),"",IF(T$8&gt;$G19,IF(OR(status1B5!U19=1,status1B5!U19=2,'BOULEVARD 5'!W17&gt;0),"Pagado","impago"),""))</f>
        <v>Pagado</v>
      </c>
      <c r="U19" s="666" t="str">
        <f>IF(OR($A19="F&amp;F",$G19=""),"",IF(U$8&gt;$G19,IF(OR(status1B5!V19=1,status1B5!V19=2,'BOULEVARD 5'!X17&gt;0),"Pagado","impago"),""))</f>
        <v>Pagado</v>
      </c>
      <c r="V19" s="666" t="str">
        <f>IF(OR($A19="F&amp;F",$G19=""),"",IF(V$8&gt;$G19,IF(OR(status1B5!W19=1,status1B5!W19=2,'BOULEVARD 5'!Y17&gt;0),"Pagado","impago"),""))</f>
        <v>Pagado</v>
      </c>
      <c r="W19" s="666" t="str">
        <f>IF(OR($A19="F&amp;F",$G19=""),"",IF(W$8&gt;$G19,IF(OR(status1B5!X19=1,status1B5!X19=2,'BOULEVARD 5'!Z17&gt;0),"Pagado","impago"),""))</f>
        <v>Pagado</v>
      </c>
      <c r="X19" s="666" t="str">
        <f>IF(OR($A19="F&amp;F",$G19=""),"",IF(X$8&gt;$G19,IF(OR(status1B5!Y19=1,status1B5!Y19=2,'BOULEVARD 5'!AA17&gt;0),"Pagado","impago"),""))</f>
        <v>Pagado</v>
      </c>
      <c r="Y19" s="666" t="str">
        <f>IF(OR($A19="F&amp;F",$G19=""),"",IF(Y$8&gt;$G19,IF(OR(status1B5!Z19=1,status1B5!Z19=2,'BOULEVARD 5'!AB17&gt;0),"Pagado","impago"),""))</f>
        <v>Pagado</v>
      </c>
      <c r="Z19" s="666" t="str">
        <f>IF(OR($A19="F&amp;F",$G19=""),"",IF(Z$8&gt;$G19,IF(OR(status1B5!AA19=1,status1B5!AA19=2,'BOULEVARD 5'!AC17&gt;0),"Pagado","impago"),""))</f>
        <v>Pagado</v>
      </c>
      <c r="AA19" s="666" t="str">
        <f>IF(OR($A19="F&amp;F",$G19=""),"",IF(AA$8&gt;$G19,IF(OR(status1B5!AB19=1,status1B5!AB19=2,'BOULEVARD 5'!AD17&gt;0),"Pagado","impago"),""))</f>
        <v>Pagado</v>
      </c>
      <c r="AB19" s="666" t="str">
        <f>IF(OR($A19="F&amp;F",$G19=""),"",IF(AB$8&gt;$G19,IF(OR(status1B5!AC19=1,status1B5!AC19=2,'BOULEVARD 5'!AE17&gt;0),"Pagado","impago"),""))</f>
        <v>Pagado</v>
      </c>
      <c r="AC19" s="666" t="str">
        <f>IF(OR($A19="F&amp;F",$G19=""),"",IF(AC$8&gt;$G19,IF(OR(status1B5!AD19=1,status1B5!AD19=2,'BOULEVARD 5'!AF17&gt;0),"Pagado","impago"),""))</f>
        <v>Pagado</v>
      </c>
      <c r="AD19" s="666" t="str">
        <f>IF(OR($A19="F&amp;F",$G19=""),"",IF(AD$8&gt;$G19,IF(OR(status1B5!AE19=1,status1B5!AE19=2,'BOULEVARD 5'!AG17&gt;0),"Pagado","impago"),""))</f>
        <v>Pagado</v>
      </c>
      <c r="AE19" s="666" t="str">
        <f>IF(OR($A19="F&amp;F",$G19=""),"",IF(AE$8&gt;$G19,IF(OR(status1B5!AF19=1,status1B5!AF19=2,'BOULEVARD 5'!AH17&gt;0),"Pagado","impago"),""))</f>
        <v>Pagado</v>
      </c>
      <c r="AF19" s="666" t="str">
        <f>IF(OR($A19="F&amp;F",$G19=""),"",IF(AF$8&gt;$G19,IF(OR(status1B5!AG19=1,status1B5!AG19=2,'BOULEVARD 5'!AI17&gt;0),"Pagado","impago"),""))</f>
        <v>Pagado</v>
      </c>
      <c r="AG19" s="666" t="str">
        <f>IF(OR($A19="F&amp;F",$G19=""),"",IF(AG$8&gt;$G19,IF(OR(status1B5!AH19=1,status1B5!AH19=2,'BOULEVARD 5'!AJ17&gt;0),"Pagado","impago"),""))</f>
        <v>Pagado</v>
      </c>
      <c r="AH19" s="666" t="str">
        <f>IF(OR($A19="F&amp;F",$G19=""),"",IF(AH$8&gt;$G19,IF(OR(status1B5!AI19=1,status1B5!AI19=2,'BOULEVARD 5'!AK17&gt;0),"Pagado","impago"),""))</f>
        <v>Pagado</v>
      </c>
      <c r="AI19" s="666" t="str">
        <f>IF(OR($A19="F&amp;F",$G19=""),"",IF(AI$8&gt;$G19,IF(OR(status1B5!AJ19=1,status1B5!AJ19=2,'BOULEVARD 5'!AL17&gt;0),"Pagado","impago"),""))</f>
        <v>Pagado</v>
      </c>
      <c r="AJ19" s="666" t="str">
        <f>IF(OR($A19="F&amp;F",$G19=""),"",IF(AJ$8&gt;$G19,IF(OR(status1B5!AK19=1,status1B5!AK19=2,'BOULEVARD 5'!AM17&gt;0),"Pagado","impago"),""))</f>
        <v>Pagado</v>
      </c>
      <c r="AK19" s="666" t="str">
        <f>IF(OR($A19="F&amp;F",$G19=""),"",IF(AK$8&gt;$G19,IF(OR(status1B5!AL19=1,status1B5!AL19=2,'BOULEVARD 5'!AN17&gt;0),"Pagado","impago"),""))</f>
        <v>Pagado</v>
      </c>
      <c r="AL19" s="666" t="str">
        <f>IF(OR($A19="F&amp;F",$G19=""),"",IF(AL$8&gt;$G19,IF(OR(status1B5!AM19=1,status1B5!AM19=2,'BOULEVARD 5'!AO17&gt;0),"Pagado","impago"),""))</f>
        <v>Pagado</v>
      </c>
      <c r="AM19" s="666" t="str">
        <f>IF(OR($A19="F&amp;F",$G19=""),"",IF(AM$8&gt;$G19,IF(OR(status1B5!AN19=1,status1B5!AN19=2,'BOULEVARD 5'!AP17&gt;0),"Pagado","impago"),""))</f>
        <v>Pagado</v>
      </c>
      <c r="AN19" s="666" t="str">
        <f>IF(OR($A19="F&amp;F",$G19=""),"",IF(AN$8&gt;$G19,IF(OR(status1B5!AO19=1,status1B5!AO19=2,'BOULEVARD 5'!AQ17&gt;0),"Pagado","impago"),""))</f>
        <v>Pagado</v>
      </c>
      <c r="AO19" s="666" t="str">
        <f>IF(OR($A19="F&amp;F",$G19=""),"",IF(AO$8&gt;$G19,IF(OR(status1B5!AP19=1,status1B5!AP19=2,'BOULEVARD 5'!AS17&gt;0),"Pagado","impago"),""))</f>
        <v>Pagado</v>
      </c>
      <c r="AP19" s="429" t="str">
        <f t="shared" ref="AP19:AP27" si="5">IF(G19="","No Vendido","Vendido")</f>
        <v>Vendido</v>
      </c>
    </row>
    <row r="20" spans="1:42" s="429" customFormat="1" ht="13.9" customHeight="1" x14ac:dyDescent="0.25">
      <c r="A20" s="472"/>
      <c r="B20" s="436">
        <f>'BOULEVARD 5'!B18</f>
        <v>112</v>
      </c>
      <c r="C20" s="436" t="s">
        <v>355</v>
      </c>
      <c r="D20" s="436"/>
      <c r="E20" s="436" t="str">
        <f>IF('BOULEVARD 5'!E18="","",'BOULEVARD 5'!E18)</f>
        <v>Brenda Búcaro</v>
      </c>
      <c r="F20" s="429" t="str">
        <f>IF('BOULEVARD 5'!F18="","",'BOULEVARD 5'!F18)</f>
        <v>Herbert Osiel Ramos Alfaro / Paula María Vásquez Cifuentes</v>
      </c>
      <c r="G20" s="473">
        <f>IF('BOULEVARD 5'!G18="","",'BOULEVARD 5'!G18)</f>
        <v>45006</v>
      </c>
      <c r="H20" s="666" t="str">
        <f>IF(OR($A20="F&amp;F",$G20=""),"",IF(H$8&gt;$G20,IF(OR(status1B5!I20=1,status1B5!I20=2,'BOULEVARD 5'!K18&gt;0),"Pagado","impago"),""))</f>
        <v>Pagado</v>
      </c>
      <c r="I20" s="666" t="str">
        <f>IF(OR($A20="F&amp;F",$G20=""),"",IF(I$8&gt;$G20,IF(OR(status1B5!J20=1,status1B5!J20=2,'BOULEVARD 5'!L18&gt;0),"Pagado","impago"),""))</f>
        <v>Pagado</v>
      </c>
      <c r="J20" s="666" t="str">
        <f>IF(OR($A20="F&amp;F",$G20=""),"",IF(J$8&gt;$G20,IF(OR(status1B5!K20=1,status1B5!K20=2,'BOULEVARD 5'!M18&gt;0),"Pagado","impago"),""))</f>
        <v>Pagado</v>
      </c>
      <c r="K20" s="666" t="str">
        <f>IF(OR($A20="F&amp;F",$G20=""),"",IF(K$8&gt;$G20,IF(OR(status1B5!L20=1,status1B5!L20=2,'BOULEVARD 5'!N18&gt;0),"Pagado","impago"),""))</f>
        <v>Pagado</v>
      </c>
      <c r="L20" s="666" t="str">
        <f>IF(OR($A20="F&amp;F",$G20=""),"",IF(L$8&gt;$G20,IF(OR(status1B5!M20=1,status1B5!M20=2,'BOULEVARD 5'!O18&gt;0),"Pagado","impago"),""))</f>
        <v>Pagado</v>
      </c>
      <c r="M20" s="666" t="str">
        <f>IF(OR($A20="F&amp;F",$G20=""),"",IF(M$8&gt;$G20,IF(OR(status1B5!N20=1,status1B5!N20=2,'BOULEVARD 5'!P18&gt;0),"Pagado","impago"),""))</f>
        <v>Pagado</v>
      </c>
      <c r="N20" s="666" t="str">
        <f>IF(OR($A20="F&amp;F",$G20=""),"",IF(N$8&gt;$G20,IF(OR(status1B5!O20=1,status1B5!O20=2,'BOULEVARD 5'!Q18&gt;0),"Pagado","impago"),""))</f>
        <v>Pagado</v>
      </c>
      <c r="O20" s="666" t="str">
        <f>IF(OR($A20="F&amp;F",$G20=""),"",IF(O$8&gt;$G20,IF(OR(status1B5!P20=1,status1B5!P20=2,'BOULEVARD 5'!R18&gt;0),"Pagado","impago"),""))</f>
        <v>Pagado</v>
      </c>
      <c r="P20" s="666" t="str">
        <f>IF(OR($A20="F&amp;F",$G20=""),"",IF(P$8&gt;$G20,IF(OR(status1B5!Q20=1,status1B5!Q20=2,'BOULEVARD 5'!S18&gt;0),"Pagado","impago"),""))</f>
        <v>Pagado</v>
      </c>
      <c r="Q20" s="666" t="str">
        <f>IF(OR($A20="F&amp;F",$G20=""),"",IF(Q$8&gt;$G20,IF(OR(status1B5!R20=1,status1B5!R20=2,'BOULEVARD 5'!T18&gt;0),"Pagado","impago"),""))</f>
        <v>Pagado</v>
      </c>
      <c r="R20" s="666" t="str">
        <f>IF(OR($A20="F&amp;F",$G20=""),"",IF(R$8&gt;$G20,IF(OR(status1B5!S20=1,status1B5!S20=2,'BOULEVARD 5'!U18&gt;0),"Pagado","impago"),""))</f>
        <v>Pagado</v>
      </c>
      <c r="S20" s="666" t="str">
        <f>IF(OR($A20="F&amp;F",$G20=""),"",IF(S$8&gt;$G20,IF(OR(status1B5!T20=1,status1B5!T20=2,'BOULEVARD 5'!V18&gt;0),"Pagado","impago"),""))</f>
        <v>Pagado</v>
      </c>
      <c r="T20" s="666" t="str">
        <f>IF(OR($A20="F&amp;F",$G20=""),"",IF(T$8&gt;$G20,IF(OR(status1B5!U20=1,status1B5!U20=2,'BOULEVARD 5'!W18&gt;0),"Pagado","impago"),""))</f>
        <v>Pagado</v>
      </c>
      <c r="U20" s="666" t="str">
        <f>IF(OR($A20="F&amp;F",$G20=""),"",IF(U$8&gt;$G20,IF(OR(status1B5!V20=1,status1B5!V20=2,'BOULEVARD 5'!X18&gt;0),"Pagado","impago"),""))</f>
        <v>Pagado</v>
      </c>
      <c r="V20" s="666" t="str">
        <f>IF(OR($A20="F&amp;F",$G20=""),"",IF(V$8&gt;$G20,IF(OR(status1B5!W20=1,status1B5!W20=2,'BOULEVARD 5'!Y18&gt;0),"Pagado","impago"),""))</f>
        <v>Pagado</v>
      </c>
      <c r="W20" s="666" t="str">
        <f>IF(OR($A20="F&amp;F",$G20=""),"",IF(W$8&gt;$G20,IF(OR(status1B5!X20=1,status1B5!X20=2,'BOULEVARD 5'!Z18&gt;0),"Pagado","impago"),""))</f>
        <v>Pagado</v>
      </c>
      <c r="X20" s="666" t="str">
        <f>IF(OR($A20="F&amp;F",$G20=""),"",IF(X$8&gt;$G20,IF(OR(status1B5!Y20=1,status1B5!Y20=2,'BOULEVARD 5'!AA18&gt;0),"Pagado","impago"),""))</f>
        <v>Pagado</v>
      </c>
      <c r="Y20" s="666" t="str">
        <f>IF(OR($A20="F&amp;F",$G20=""),"",IF(Y$8&gt;$G20,IF(OR(status1B5!Z20=1,status1B5!Z20=2,'BOULEVARD 5'!AB18&gt;0),"Pagado","impago"),""))</f>
        <v>Pagado</v>
      </c>
      <c r="Z20" s="666" t="str">
        <f>IF(OR($A20="F&amp;F",$G20=""),"",IF(Z$8&gt;$G20,IF(OR(status1B5!AA20=1,status1B5!AA20=2,'BOULEVARD 5'!AC18&gt;0),"Pagado","impago"),""))</f>
        <v>Pagado</v>
      </c>
      <c r="AA20" s="666" t="str">
        <f>IF(OR($A20="F&amp;F",$G20=""),"",IF(AA$8&gt;$G20,IF(OR(status1B5!AB20=1,status1B5!AB20=2,'BOULEVARD 5'!AD18&gt;0),"Pagado","impago"),""))</f>
        <v>Pagado</v>
      </c>
      <c r="AB20" s="666" t="str">
        <f>IF(OR($A20="F&amp;F",$G20=""),"",IF(AB$8&gt;$G20,IF(OR(status1B5!AC20=1,status1B5!AC20=2,'BOULEVARD 5'!AE18&gt;0),"Pagado","impago"),""))</f>
        <v>Pagado</v>
      </c>
      <c r="AC20" s="666" t="str">
        <f>IF(OR($A20="F&amp;F",$G20=""),"",IF(AC$8&gt;$G20,IF(OR(status1B5!AD20=1,status1B5!AD20=2,'BOULEVARD 5'!AF18&gt;0),"Pagado","impago"),""))</f>
        <v>Pagado</v>
      </c>
      <c r="AD20" s="666" t="str">
        <f>IF(OR($A20="F&amp;F",$G20=""),"",IF(AD$8&gt;$G20,IF(OR(status1B5!AE20=1,status1B5!AE20=2,'BOULEVARD 5'!AG18&gt;0),"Pagado","impago"),""))</f>
        <v>Pagado</v>
      </c>
      <c r="AE20" s="666" t="str">
        <f>IF(OR($A20="F&amp;F",$G20=""),"",IF(AE$8&gt;$G20,IF(OR(status1B5!AF20=1,status1B5!AF20=2,'BOULEVARD 5'!AH18&gt;0),"Pagado","impago"),""))</f>
        <v>Pagado</v>
      </c>
      <c r="AF20" s="666" t="str">
        <f>IF(OR($A20="F&amp;F",$G20=""),"",IF(AF$8&gt;$G20,IF(OR(status1B5!AG20=1,status1B5!AG20=2,'BOULEVARD 5'!AI18&gt;0),"Pagado","impago"),""))</f>
        <v>Pagado</v>
      </c>
      <c r="AG20" s="666" t="str">
        <f>IF(OR($A20="F&amp;F",$G20=""),"",IF(AG$8&gt;$G20,IF(OR(status1B5!AH20=1,status1B5!AH20=2,'BOULEVARD 5'!AJ18&gt;0),"Pagado","impago"),""))</f>
        <v>Pagado</v>
      </c>
      <c r="AH20" s="666" t="str">
        <f>IF(OR($A20="F&amp;F",$G20=""),"",IF(AH$8&gt;$G20,IF(OR(status1B5!AI20=1,status1B5!AI20=2,'BOULEVARD 5'!AK18&gt;0),"Pagado","impago"),""))</f>
        <v>Pagado</v>
      </c>
      <c r="AI20" s="666" t="str">
        <f>IF(OR($A20="F&amp;F",$G20=""),"",IF(AI$8&gt;$G20,IF(OR(status1B5!AJ20=1,status1B5!AJ20=2,'BOULEVARD 5'!AL18&gt;0),"Pagado","impago"),""))</f>
        <v>Pagado</v>
      </c>
      <c r="AJ20" s="666" t="str">
        <f>IF(OR($A20="F&amp;F",$G20=""),"",IF(AJ$8&gt;$G20,IF(OR(status1B5!AK20=1,status1B5!AK20=2,'BOULEVARD 5'!AM18&gt;0),"Pagado","impago"),""))</f>
        <v>Pagado</v>
      </c>
      <c r="AK20" s="666" t="str">
        <f>IF(OR($A20="F&amp;F",$G20=""),"",IF(AK$8&gt;$G20,IF(OR(status1B5!AL20=1,status1B5!AL20=2,'BOULEVARD 5'!AN18&gt;0),"Pagado","impago"),""))</f>
        <v>Pagado</v>
      </c>
      <c r="AL20" s="666" t="str">
        <f>IF(OR($A20="F&amp;F",$G20=""),"",IF(AL$8&gt;$G20,IF(OR(status1B5!AM20=1,status1B5!AM20=2,'BOULEVARD 5'!AO18&gt;0),"Pagado","impago"),""))</f>
        <v>Pagado</v>
      </c>
      <c r="AM20" s="666" t="str">
        <f>IF(OR($A20="F&amp;F",$G20=""),"",IF(AM$8&gt;$G20,IF(OR(status1B5!AN20=1,status1B5!AN20=2,'BOULEVARD 5'!AP18&gt;0),"Pagado","impago"),""))</f>
        <v>Pagado</v>
      </c>
      <c r="AN20" s="666" t="str">
        <f>IF(OR($A20="F&amp;F",$G20=""),"",IF(AN$8&gt;$G20,IF(OR(status1B5!AO20=1,status1B5!AO20=2,'BOULEVARD 5'!AQ18&gt;0),"Pagado","impago"),""))</f>
        <v>Pagado</v>
      </c>
      <c r="AO20" s="666" t="str">
        <f>IF(OR($A20="F&amp;F",$G20=""),"",IF(AO$8&gt;$G20,IF(OR(status1B5!AP20=1,status1B5!AP20=2,'BOULEVARD 5'!AS18&gt;0),"Pagado","impago"),""))</f>
        <v>Pagado</v>
      </c>
      <c r="AP20" s="429" t="str">
        <f t="shared" si="5"/>
        <v>Vendido</v>
      </c>
    </row>
    <row r="21" spans="1:42" s="429" customFormat="1" ht="13.9" customHeight="1" x14ac:dyDescent="0.25">
      <c r="A21" s="472"/>
      <c r="B21" s="477">
        <f>'BOULEVARD 5'!B19</f>
        <v>113</v>
      </c>
      <c r="C21" s="436" t="s">
        <v>355</v>
      </c>
      <c r="D21" s="641"/>
      <c r="E21" s="436" t="str">
        <f>IF('BOULEVARD 5'!E19="","",'BOULEVARD 5'!E19)</f>
        <v>Antonio Rada</v>
      </c>
      <c r="F21" s="429" t="str">
        <f>IF('BOULEVARD 5'!F19="","",'BOULEVARD 5'!F19)</f>
        <v>Rodrigo Rodas Pazos</v>
      </c>
      <c r="G21" s="473">
        <f>IF('BOULEVARD 5'!G19="","",'BOULEVARD 5'!G19)</f>
        <v>45616</v>
      </c>
      <c r="H21" s="666" t="str">
        <f>IF(OR($A21="F&amp;F",$G21=""),"",IF(H$8&gt;$G21,IF(OR(status1B5!I21=1,status1B5!I21=2,'BOULEVARD 5'!K19&gt;0),"Pagado","impago"),""))</f>
        <v/>
      </c>
      <c r="I21" s="666" t="str">
        <f>IF(OR($A21="F&amp;F",$G21=""),"",IF(I$8&gt;$G21,IF(OR(status1B5!J21=1,status1B5!J21=2,'BOULEVARD 5'!L19&gt;0),"Pagado","impago"),""))</f>
        <v/>
      </c>
      <c r="J21" s="666" t="str">
        <f>IF(OR($A21="F&amp;F",$G21=""),"",IF(J$8&gt;$G21,IF(OR(status1B5!K21=1,status1B5!K21=2,'BOULEVARD 5'!M19&gt;0),"Pagado","impago"),""))</f>
        <v/>
      </c>
      <c r="K21" s="666" t="str">
        <f>IF(OR($A21="F&amp;F",$G21=""),"",IF(K$8&gt;$G21,IF(OR(status1B5!L21=1,status1B5!L21=2,'BOULEVARD 5'!N19&gt;0),"Pagado","impago"),""))</f>
        <v/>
      </c>
      <c r="L21" s="666" t="str">
        <f>IF(OR($A21="F&amp;F",$G21=""),"",IF(L$8&gt;$G21,IF(OR(status1B5!M21=1,status1B5!M21=2,'BOULEVARD 5'!O19&gt;0),"Pagado","impago"),""))</f>
        <v/>
      </c>
      <c r="M21" s="666" t="str">
        <f>IF(OR($A21="F&amp;F",$G21=""),"",IF(M$8&gt;$G21,IF(OR(status1B5!N21=1,status1B5!N21=2,'BOULEVARD 5'!P19&gt;0),"Pagado","impago"),""))</f>
        <v/>
      </c>
      <c r="N21" s="666" t="str">
        <f>IF(OR($A21="F&amp;F",$G21=""),"",IF(N$8&gt;$G21,IF(OR(status1B5!O21=1,status1B5!O21=2,'BOULEVARD 5'!Q19&gt;0),"Pagado","impago"),""))</f>
        <v/>
      </c>
      <c r="O21" s="666" t="str">
        <f>IF(OR($A21="F&amp;F",$G21=""),"",IF(O$8&gt;$G21,IF(OR(status1B5!P21=1,status1B5!P21=2,'BOULEVARD 5'!R19&gt;0),"Pagado","impago"),""))</f>
        <v/>
      </c>
      <c r="P21" s="666" t="str">
        <f>IF(OR($A21="F&amp;F",$G21=""),"",IF(P$8&gt;$G21,IF(OR(status1B5!Q21=1,status1B5!Q21=2,'BOULEVARD 5'!S19&gt;0),"Pagado","impago"),""))</f>
        <v/>
      </c>
      <c r="Q21" s="666" t="str">
        <f>IF(OR($A21="F&amp;F",$G21=""),"",IF(Q$8&gt;$G21,IF(OR(status1B5!R21=1,status1B5!R21=2,'BOULEVARD 5'!T19&gt;0),"Pagado","impago"),""))</f>
        <v/>
      </c>
      <c r="R21" s="666" t="str">
        <f>IF(OR($A21="F&amp;F",$G21=""),"",IF(R$8&gt;$G21,IF(OR(status1B5!S21=1,status1B5!S21=2,'BOULEVARD 5'!U19&gt;0),"Pagado","impago"),""))</f>
        <v/>
      </c>
      <c r="S21" s="666" t="str">
        <f>IF(OR($A21="F&amp;F",$G21=""),"",IF(S$8&gt;$G21,IF(OR(status1B5!T21=1,status1B5!T21=2,'BOULEVARD 5'!V19&gt;0),"Pagado","impago"),""))</f>
        <v/>
      </c>
      <c r="T21" s="666" t="str">
        <f>IF(OR($A21="F&amp;F",$G21=""),"",IF(T$8&gt;$G21,IF(OR(status1B5!U21=1,status1B5!U21=2,'BOULEVARD 5'!W19&gt;0),"Pagado","impago"),""))</f>
        <v/>
      </c>
      <c r="U21" s="666" t="str">
        <f>IF(OR($A21="F&amp;F",$G21=""),"",IF(U$8&gt;$G21,IF(OR(status1B5!V21=1,status1B5!V21=2,'BOULEVARD 5'!X19&gt;0),"Pagado","impago"),""))</f>
        <v/>
      </c>
      <c r="V21" s="666" t="str">
        <f>IF(OR($A21="F&amp;F",$G21=""),"",IF(V$8&gt;$G21,IF(OR(status1B5!W21=1,status1B5!W21=2,'BOULEVARD 5'!Y19&gt;0),"Pagado","impago"),""))</f>
        <v/>
      </c>
      <c r="W21" s="666" t="str">
        <f>IF(OR($A21="F&amp;F",$G21=""),"",IF(W$8&gt;$G21,IF(OR(status1B5!X21=1,status1B5!X21=2,'BOULEVARD 5'!Z19&gt;0),"Pagado","impago"),""))</f>
        <v/>
      </c>
      <c r="X21" s="666" t="str">
        <f>IF(OR($A21="F&amp;F",$G21=""),"",IF(X$8&gt;$G21,IF(OR(status1B5!Y21=1,status1B5!Y21=2,'BOULEVARD 5'!AA19&gt;0),"Pagado","impago"),""))</f>
        <v/>
      </c>
      <c r="Y21" s="666" t="str">
        <f>IF(OR($A21="F&amp;F",$G21=""),"",IF(Y$8&gt;$G21,IF(OR(status1B5!Z21=1,status1B5!Z21=2,'BOULEVARD 5'!AB19&gt;0),"Pagado","impago"),""))</f>
        <v/>
      </c>
      <c r="Z21" s="666" t="str">
        <f>IF(OR($A21="F&amp;F",$G21=""),"",IF(Z$8&gt;$G21,IF(OR(status1B5!AA21=1,status1B5!AA21=2,'BOULEVARD 5'!AC19&gt;0),"Pagado","impago"),""))</f>
        <v/>
      </c>
      <c r="AA21" s="666" t="str">
        <f>IF(OR($A21="F&amp;F",$G21=""),"",IF(AA$8&gt;$G21,IF(OR(status1B5!AB21=1,status1B5!AB21=2,'BOULEVARD 5'!AD19&gt;0),"Pagado","impago"),""))</f>
        <v/>
      </c>
      <c r="AB21" s="666" t="str">
        <f>IF(OR($A21="F&amp;F",$G21=""),"",IF(AB$8&gt;$G21,IF(OR(status1B5!AC21=1,status1B5!AC21=2,'BOULEVARD 5'!AE19&gt;0),"Pagado","impago"),""))</f>
        <v>Pagado</v>
      </c>
      <c r="AC21" s="666" t="str">
        <f>IF(OR($A21="F&amp;F",$G21=""),"",IF(AC$8&gt;$G21,IF(OR(status1B5!AD21=1,status1B5!AD21=2,'BOULEVARD 5'!AF19&gt;0),"Pagado","impago"),""))</f>
        <v>Pagado</v>
      </c>
      <c r="AD21" s="666" t="str">
        <f>IF(OR($A21="F&amp;F",$G21=""),"",IF(AD$8&gt;$G21,IF(OR(status1B5!AE21=1,status1B5!AE21=2,'BOULEVARD 5'!AG19&gt;0),"Pagado","impago"),""))</f>
        <v>Pagado</v>
      </c>
      <c r="AE21" s="666" t="str">
        <f>IF(OR($A21="F&amp;F",$G21=""),"",IF(AE$8&gt;$G21,IF(OR(status1B5!AF21=1,status1B5!AF21=2,'BOULEVARD 5'!AH19&gt;0),"Pagado","impago"),""))</f>
        <v>Pagado</v>
      </c>
      <c r="AF21" s="666" t="str">
        <f>IF(OR($A21="F&amp;F",$G21=""),"",IF(AF$8&gt;$G21,IF(OR(status1B5!AG21=1,status1B5!AG21=2,'BOULEVARD 5'!AI19&gt;0),"Pagado","impago"),""))</f>
        <v>Pagado</v>
      </c>
      <c r="AG21" s="666" t="str">
        <f>IF(OR($A21="F&amp;F",$G21=""),"",IF(AG$8&gt;$G21,IF(OR(status1B5!AH21=1,status1B5!AH21=2,'BOULEVARD 5'!AJ19&gt;0),"Pagado","impago"),""))</f>
        <v>Pagado</v>
      </c>
      <c r="AH21" s="666" t="str">
        <f>IF(OR($A21="F&amp;F",$G21=""),"",IF(AH$8&gt;$G21,IF(OR(status1B5!AI21=1,status1B5!AI21=2,'BOULEVARD 5'!AK19&gt;0),"Pagado","impago"),""))</f>
        <v>Pagado</v>
      </c>
      <c r="AI21" s="666" t="str">
        <f>IF(OR($A21="F&amp;F",$G21=""),"",IF(AI$8&gt;$G21,IF(OR(status1B5!AJ21=1,status1B5!AJ21=2,'BOULEVARD 5'!AL19&gt;0),"Pagado","impago"),""))</f>
        <v>Pagado</v>
      </c>
      <c r="AJ21" s="666" t="str">
        <f>IF(OR($A21="F&amp;F",$G21=""),"",IF(AJ$8&gt;$G21,IF(OR(status1B5!AK21=1,status1B5!AK21=2,'BOULEVARD 5'!AM19&gt;0),"Pagado","impago"),""))</f>
        <v>Pagado</v>
      </c>
      <c r="AK21" s="666" t="str">
        <f>IF(OR($A21="F&amp;F",$G21=""),"",IF(AK$8&gt;$G21,IF(OR(status1B5!AL21=1,status1B5!AL21=2,'BOULEVARD 5'!AN19&gt;0),"Pagado","impago"),""))</f>
        <v>Pagado</v>
      </c>
      <c r="AL21" s="666" t="str">
        <f>IF(OR($A21="F&amp;F",$G21=""),"",IF(AL$8&gt;$G21,IF(OR(status1B5!AM21=1,status1B5!AM21=2,'BOULEVARD 5'!AO19&gt;0),"Pagado","impago"),""))</f>
        <v>Pagado</v>
      </c>
      <c r="AM21" s="666" t="str">
        <f>IF(OR($A21="F&amp;F",$G21=""),"",IF(AM$8&gt;$G21,IF(OR(status1B5!AN21=1,status1B5!AN21=2,'BOULEVARD 5'!AP19&gt;0),"Pagado","impago"),""))</f>
        <v>Pagado</v>
      </c>
      <c r="AN21" s="666" t="str">
        <f>IF(OR($A21="F&amp;F",$G21=""),"",IF(AN$8&gt;$G21,IF(OR(status1B5!AO21=1,status1B5!AO21=2,'BOULEVARD 5'!AQ19&gt;0),"Pagado","impago"),""))</f>
        <v>Pagado</v>
      </c>
      <c r="AO21" s="666" t="str">
        <f>IF(OR($A21="F&amp;F",$G21=""),"",IF(AO$8&gt;$G21,IF(OR(status1B5!AP21=1,status1B5!AP21=2,'BOULEVARD 5'!AS19&gt;0),"Pagado","impago"),""))</f>
        <v>Pagado</v>
      </c>
      <c r="AP21" s="429" t="str">
        <f t="shared" si="5"/>
        <v>Vendido</v>
      </c>
    </row>
    <row r="22" spans="1:42" s="429" customFormat="1" ht="13.9" customHeight="1" x14ac:dyDescent="0.25">
      <c r="A22" s="472" t="s">
        <v>58</v>
      </c>
      <c r="B22" s="475">
        <f>'BOULEVARD 5'!B20</f>
        <v>114</v>
      </c>
      <c r="C22" s="475" t="s">
        <v>355</v>
      </c>
      <c r="D22" s="475"/>
      <c r="E22" s="475" t="str">
        <f>IF('BOULEVARD 5'!E20="","",'BOULEVARD 5'!E20)</f>
        <v>Antonio Rada</v>
      </c>
      <c r="F22" s="476" t="str">
        <f>IF('BOULEVARD 5'!F20="","",'BOULEVARD 5'!F20)</f>
        <v>Mauricio Arimany Monzon</v>
      </c>
      <c r="G22" s="473">
        <f>IF('BOULEVARD 5'!G20="","",'BOULEVARD 5'!G20)</f>
        <v>45012</v>
      </c>
      <c r="H22" s="666" t="str">
        <f>IF(OR($A22="F&amp;F",$G22=""),"",IF(H$8&gt;$G22,IF(OR(status1B5!I22=1,status1B5!I22=2,'BOULEVARD 5'!K20&gt;0),"Pagado","impago"),""))</f>
        <v/>
      </c>
      <c r="I22" s="666" t="str">
        <f>IF(OR($A22="F&amp;F",$G22=""),"",IF(I$8&gt;$G22,IF(OR(status1B5!J22=1,status1B5!J22=2,'BOULEVARD 5'!L20&gt;0),"Pagado","impago"),""))</f>
        <v/>
      </c>
      <c r="J22" s="666" t="str">
        <f>IF(OR($A22="F&amp;F",$G22=""),"",IF(J$8&gt;$G22,IF(OR(status1B5!K22=1,status1B5!K22=2,'BOULEVARD 5'!M20&gt;0),"Pagado","impago"),""))</f>
        <v/>
      </c>
      <c r="K22" s="666" t="str">
        <f>IF(OR($A22="F&amp;F",$G22=""),"",IF(K$8&gt;$G22,IF(OR(status1B5!L22=1,status1B5!L22=2,'BOULEVARD 5'!N20&gt;0),"Pagado","impago"),""))</f>
        <v/>
      </c>
      <c r="L22" s="666" t="str">
        <f>IF(OR($A22="F&amp;F",$G22=""),"",IF(L$8&gt;$G22,IF(OR(status1B5!M22=1,status1B5!M22=2,'BOULEVARD 5'!O20&gt;0),"Pagado","impago"),""))</f>
        <v/>
      </c>
      <c r="M22" s="666" t="str">
        <f>IF(OR($A22="F&amp;F",$G22=""),"",IF(M$8&gt;$G22,IF(OR(status1B5!N22=1,status1B5!N22=2,'BOULEVARD 5'!P20&gt;0),"Pagado","impago"),""))</f>
        <v/>
      </c>
      <c r="N22" s="666" t="str">
        <f>IF(OR($A22="F&amp;F",$G22=""),"",IF(N$8&gt;$G22,IF(OR(status1B5!O22=1,status1B5!O22=2,'BOULEVARD 5'!Q20&gt;0),"Pagado","impago"),""))</f>
        <v/>
      </c>
      <c r="O22" s="666" t="str">
        <f>IF(OR($A22="F&amp;F",$G22=""),"",IF(O$8&gt;$G22,IF(OR(status1B5!P22=1,status1B5!P22=2,'BOULEVARD 5'!R20&gt;0),"Pagado","impago"),""))</f>
        <v/>
      </c>
      <c r="P22" s="666" t="str">
        <f>IF(OR($A22="F&amp;F",$G22=""),"",IF(P$8&gt;$G22,IF(OR(status1B5!Q22=1,status1B5!Q22=2,'BOULEVARD 5'!S20&gt;0),"Pagado","impago"),""))</f>
        <v/>
      </c>
      <c r="Q22" s="666" t="str">
        <f>IF(OR($A22="F&amp;F",$G22=""),"",IF(Q$8&gt;$G22,IF(OR(status1B5!R22=1,status1B5!R22=2,'BOULEVARD 5'!T20&gt;0),"Pagado","impago"),""))</f>
        <v/>
      </c>
      <c r="R22" s="666" t="str">
        <f>IF(OR($A22="F&amp;F",$G22=""),"",IF(R$8&gt;$G22,IF(OR(status1B5!S22=1,status1B5!S22=2,'BOULEVARD 5'!U20&gt;0),"Pagado","impago"),""))</f>
        <v/>
      </c>
      <c r="S22" s="666" t="str">
        <f>IF(OR($A22="F&amp;F",$G22=""),"",IF(S$8&gt;$G22,IF(OR(status1B5!T22=1,status1B5!T22=2,'BOULEVARD 5'!V20&gt;0),"Pagado","impago"),""))</f>
        <v/>
      </c>
      <c r="T22" s="666" t="str">
        <f>IF(OR($A22="F&amp;F",$G22=""),"",IF(T$8&gt;$G22,IF(OR(status1B5!U22=1,status1B5!U22=2,'BOULEVARD 5'!W20&gt;0),"Pagado","impago"),""))</f>
        <v/>
      </c>
      <c r="U22" s="666" t="str">
        <f>IF(OR($A22="F&amp;F",$G22=""),"",IF(U$8&gt;$G22,IF(OR(status1B5!V22=1,status1B5!V22=2,'BOULEVARD 5'!X20&gt;0),"Pagado","impago"),""))</f>
        <v/>
      </c>
      <c r="V22" s="666" t="str">
        <f>IF(OR($A22="F&amp;F",$G22=""),"",IF(V$8&gt;$G22,IF(OR(status1B5!W22=1,status1B5!W22=2,'BOULEVARD 5'!Y20&gt;0),"Pagado","impago"),""))</f>
        <v/>
      </c>
      <c r="W22" s="666" t="str">
        <f>IF(OR($A22="F&amp;F",$G22=""),"",IF(W$8&gt;$G22,IF(OR(status1B5!X22=1,status1B5!X22=2,'BOULEVARD 5'!Z20&gt;0),"Pagado","impago"),""))</f>
        <v/>
      </c>
      <c r="X22" s="666" t="str">
        <f>IF(OR($A22="F&amp;F",$G22=""),"",IF(X$8&gt;$G22,IF(OR(status1B5!Y22=1,status1B5!Y22=2,'BOULEVARD 5'!AA20&gt;0),"Pagado","impago"),""))</f>
        <v/>
      </c>
      <c r="Y22" s="666" t="str">
        <f>IF(OR($A22="F&amp;F",$G22=""),"",IF(Y$8&gt;$G22,IF(OR(status1B5!Z22=1,status1B5!Z22=2,'BOULEVARD 5'!AB20&gt;0),"Pagado","impago"),""))</f>
        <v/>
      </c>
      <c r="Z22" s="666" t="str">
        <f>IF(OR($A22="F&amp;F",$G22=""),"",IF(Z$8&gt;$G22,IF(OR(status1B5!AA22=1,status1B5!AA22=2,'BOULEVARD 5'!AC20&gt;0),"Pagado","impago"),""))</f>
        <v/>
      </c>
      <c r="AA22" s="666" t="str">
        <f>IF(OR($A22="F&amp;F",$G22=""),"",IF(AA$8&gt;$G22,IF(OR(status1B5!AB22=1,status1B5!AB22=2,'BOULEVARD 5'!AD20&gt;0),"Pagado","impago"),""))</f>
        <v/>
      </c>
      <c r="AB22" s="666" t="str">
        <f>IF(OR($A22="F&amp;F",$G22=""),"",IF(AB$8&gt;$G22,IF(OR(status1B5!AC22=1,status1B5!AC22=2,'BOULEVARD 5'!AE20&gt;0),"Pagado","impago"),""))</f>
        <v/>
      </c>
      <c r="AC22" s="666" t="str">
        <f>IF(OR($A22="F&amp;F",$G22=""),"",IF(AC$8&gt;$G22,IF(OR(status1B5!AD22=1,status1B5!AD22=2,'BOULEVARD 5'!AF20&gt;0),"Pagado","impago"),""))</f>
        <v/>
      </c>
      <c r="AD22" s="666" t="str">
        <f>IF(OR($A22="F&amp;F",$G22=""),"",IF(AD$8&gt;$G22,IF(OR(status1B5!AE22=1,status1B5!AE22=2,'BOULEVARD 5'!AG20&gt;0),"Pagado","impago"),""))</f>
        <v/>
      </c>
      <c r="AE22" s="666" t="str">
        <f>IF(OR($A22="F&amp;F",$G22=""),"",IF(AE$8&gt;$G22,IF(OR(status1B5!AF22=1,status1B5!AF22=2,'BOULEVARD 5'!AH20&gt;0),"Pagado","impago"),""))</f>
        <v/>
      </c>
      <c r="AF22" s="666" t="str">
        <f>IF(OR($A22="F&amp;F",$G22=""),"",IF(AF$8&gt;$G22,IF(OR(status1B5!AG22=1,status1B5!AG22=2,'BOULEVARD 5'!AI20&gt;0),"Pagado","impago"),""))</f>
        <v/>
      </c>
      <c r="AG22" s="666" t="str">
        <f>IF(OR($A22="F&amp;F",$G22=""),"",IF(AG$8&gt;$G22,IF(OR(status1B5!AH22=1,status1B5!AH22=2,'BOULEVARD 5'!AJ20&gt;0),"Pagado","impago"),""))</f>
        <v/>
      </c>
      <c r="AH22" s="666" t="str">
        <f>IF(OR($A22="F&amp;F",$G22=""),"",IF(AH$8&gt;$G22,IF(OR(status1B5!AI22=1,status1B5!AI22=2,'BOULEVARD 5'!AK20&gt;0),"Pagado","impago"),""))</f>
        <v/>
      </c>
      <c r="AI22" s="666" t="str">
        <f>IF(OR($A22="F&amp;F",$G22=""),"",IF(AI$8&gt;$G22,IF(OR(status1B5!AJ22=1,status1B5!AJ22=2,'BOULEVARD 5'!AL20&gt;0),"Pagado","impago"),""))</f>
        <v/>
      </c>
      <c r="AJ22" s="666" t="str">
        <f>IF(OR($A22="F&amp;F",$G22=""),"",IF(AJ$8&gt;$G22,IF(OR(status1B5!AK22=1,status1B5!AK22=2,'BOULEVARD 5'!AM20&gt;0),"Pagado","impago"),""))</f>
        <v/>
      </c>
      <c r="AK22" s="666" t="str">
        <f>IF(OR($A22="F&amp;F",$G22=""),"",IF(AK$8&gt;$G22,IF(OR(status1B5!AL22=1,status1B5!AL22=2,'BOULEVARD 5'!AN20&gt;0),"Pagado","impago"),""))</f>
        <v/>
      </c>
      <c r="AL22" s="666" t="str">
        <f>IF(OR($A22="F&amp;F",$G22=""),"",IF(AL$8&gt;$G22,IF(OR(status1B5!AM22=1,status1B5!AM22=2,'BOULEVARD 5'!AO20&gt;0),"Pagado","impago"),""))</f>
        <v/>
      </c>
      <c r="AM22" s="666" t="str">
        <f>IF(OR($A22="F&amp;F",$G22=""),"",IF(AM$8&gt;$G22,IF(OR(status1B5!AN22=1,status1B5!AN22=2,'BOULEVARD 5'!AP20&gt;0),"Pagado","impago"),""))</f>
        <v/>
      </c>
      <c r="AN22" s="666" t="str">
        <f>IF(OR($A22="F&amp;F",$G22=""),"",IF(AN$8&gt;$G22,IF(OR(status1B5!AO22=1,status1B5!AO22=2,'BOULEVARD 5'!AQ20&gt;0),"Pagado","impago"),""))</f>
        <v/>
      </c>
      <c r="AO22" s="666" t="str">
        <f>IF(OR($A22="F&amp;F",$G22=""),"",IF(AO$8&gt;$G22,IF(OR(status1B5!AP22=1,status1B5!AP22=2,'BOULEVARD 5'!AS20&gt;0),"Pagado","impago"),""))</f>
        <v/>
      </c>
      <c r="AP22" s="429" t="str">
        <f t="shared" si="5"/>
        <v>Vendido</v>
      </c>
    </row>
    <row r="23" spans="1:42" s="429" customFormat="1" ht="13.9" customHeight="1" x14ac:dyDescent="0.25">
      <c r="A23" s="472"/>
      <c r="B23" s="436">
        <f>'BOULEVARD 5'!B21</f>
        <v>201</v>
      </c>
      <c r="C23" s="436" t="s">
        <v>355</v>
      </c>
      <c r="D23" s="436"/>
      <c r="E23" s="436" t="str">
        <f>IF('BOULEVARD 5'!E21="","",'BOULEVARD 5'!E21)</f>
        <v/>
      </c>
      <c r="F23" s="429" t="str">
        <f>IF('BOULEVARD 5'!F21="","",'BOULEVARD 5'!F21)</f>
        <v/>
      </c>
      <c r="G23" s="473" t="str">
        <f>IF('BOULEVARD 5'!G21="","",'BOULEVARD 5'!G21)</f>
        <v/>
      </c>
      <c r="H23" s="666" t="str">
        <f>IF(OR($A23="F&amp;F",$G23=""),"",IF(H$8&gt;$G23,IF(OR(status1B5!I23=1,status1B5!I23=2,'BOULEVARD 5'!K21&gt;0),"Pagado","impago"),""))</f>
        <v/>
      </c>
      <c r="I23" s="666" t="str">
        <f>IF(OR($A23="F&amp;F",$G23=""),"",IF(I$8&gt;$G23,IF(OR(status1B5!J23=1,status1B5!J23=2,'BOULEVARD 5'!L21&gt;0),"Pagado","impago"),""))</f>
        <v/>
      </c>
      <c r="J23" s="666" t="str">
        <f>IF(OR($A23="F&amp;F",$G23=""),"",IF(J$8&gt;$G23,IF(OR(status1B5!K23=1,status1B5!K23=2,'BOULEVARD 5'!M21&gt;0),"Pagado","impago"),""))</f>
        <v/>
      </c>
      <c r="K23" s="666" t="str">
        <f>IF(OR($A23="F&amp;F",$G23=""),"",IF(K$8&gt;$G23,IF(OR(status1B5!L23=1,status1B5!L23=2,'BOULEVARD 5'!N21&gt;0),"Pagado","impago"),""))</f>
        <v/>
      </c>
      <c r="L23" s="666" t="str">
        <f>IF(OR($A23="F&amp;F",$G23=""),"",IF(L$8&gt;$G23,IF(OR(status1B5!M23=1,status1B5!M23=2,'BOULEVARD 5'!O21&gt;0),"Pagado","impago"),""))</f>
        <v/>
      </c>
      <c r="M23" s="666" t="str">
        <f>IF(OR($A23="F&amp;F",$G23=""),"",IF(M$8&gt;$G23,IF(OR(status1B5!N23=1,status1B5!N23=2,'BOULEVARD 5'!P21&gt;0),"Pagado","impago"),""))</f>
        <v/>
      </c>
      <c r="N23" s="666" t="str">
        <f>IF(OR($A23="F&amp;F",$G23=""),"",IF(N$8&gt;$G23,IF(OR(status1B5!O23=1,status1B5!O23=2,'BOULEVARD 5'!Q21&gt;0),"Pagado","impago"),""))</f>
        <v/>
      </c>
      <c r="O23" s="666" t="str">
        <f>IF(OR($A23="F&amp;F",$G23=""),"",IF(O$8&gt;$G23,IF(OR(status1B5!P23=1,status1B5!P23=2,'BOULEVARD 5'!R21&gt;0),"Pagado","impago"),""))</f>
        <v/>
      </c>
      <c r="P23" s="666" t="str">
        <f>IF(OR($A23="F&amp;F",$G23=""),"",IF(P$8&gt;$G23,IF(OR(status1B5!Q23=1,status1B5!Q23=2,'BOULEVARD 5'!S21&gt;0),"Pagado","impago"),""))</f>
        <v/>
      </c>
      <c r="Q23" s="666" t="str">
        <f>IF(OR($A23="F&amp;F",$G23=""),"",IF(Q$8&gt;$G23,IF(OR(status1B5!R23=1,status1B5!R23=2,'BOULEVARD 5'!T21&gt;0),"Pagado","impago"),""))</f>
        <v/>
      </c>
      <c r="R23" s="666" t="str">
        <f>IF(OR($A23="F&amp;F",$G23=""),"",IF(R$8&gt;$G23,IF(OR(status1B5!S23=1,status1B5!S23=2,'BOULEVARD 5'!U21&gt;0),"Pagado","impago"),""))</f>
        <v/>
      </c>
      <c r="S23" s="666" t="str">
        <f>IF(OR($A23="F&amp;F",$G23=""),"",IF(S$8&gt;$G23,IF(OR(status1B5!T23=1,status1B5!T23=2,'BOULEVARD 5'!V21&gt;0),"Pagado","impago"),""))</f>
        <v/>
      </c>
      <c r="T23" s="666" t="str">
        <f>IF(OR($A23="F&amp;F",$G23=""),"",IF(T$8&gt;$G23,IF(OR(status1B5!U23=1,status1B5!U23=2,'BOULEVARD 5'!W21&gt;0),"Pagado","impago"),""))</f>
        <v/>
      </c>
      <c r="U23" s="666" t="str">
        <f>IF(OR($A23="F&amp;F",$G23=""),"",IF(U$8&gt;$G23,IF(OR(status1B5!V23=1,status1B5!V23=2,'BOULEVARD 5'!X21&gt;0),"Pagado","impago"),""))</f>
        <v/>
      </c>
      <c r="V23" s="666" t="str">
        <f>IF(OR($A23="F&amp;F",$G23=""),"",IF(V$8&gt;$G23,IF(OR(status1B5!W23=1,status1B5!W23=2,'BOULEVARD 5'!Y21&gt;0),"Pagado","impago"),""))</f>
        <v/>
      </c>
      <c r="W23" s="666" t="str">
        <f>IF(OR($A23="F&amp;F",$G23=""),"",IF(W$8&gt;$G23,IF(OR(status1B5!X23=1,status1B5!X23=2,'BOULEVARD 5'!Z21&gt;0),"Pagado","impago"),""))</f>
        <v/>
      </c>
      <c r="X23" s="666" t="str">
        <f>IF(OR($A23="F&amp;F",$G23=""),"",IF(X$8&gt;$G23,IF(OR(status1B5!Y23=1,status1B5!Y23=2,'BOULEVARD 5'!AA21&gt;0),"Pagado","impago"),""))</f>
        <v/>
      </c>
      <c r="Y23" s="666" t="str">
        <f>IF(OR($A23="F&amp;F",$G23=""),"",IF(Y$8&gt;$G23,IF(OR(status1B5!Z23=1,status1B5!Z23=2,'BOULEVARD 5'!AB21&gt;0),"Pagado","impago"),""))</f>
        <v/>
      </c>
      <c r="Z23" s="666" t="str">
        <f>IF(OR($A23="F&amp;F",$G23=""),"",IF(Z$8&gt;$G23,IF(OR(status1B5!AA23=1,status1B5!AA23=2,'BOULEVARD 5'!AC21&gt;0),"Pagado","impago"),""))</f>
        <v/>
      </c>
      <c r="AA23" s="666" t="str">
        <f>IF(OR($A23="F&amp;F",$G23=""),"",IF(AA$8&gt;$G23,IF(OR(status1B5!AB23=1,status1B5!AB23=2,'BOULEVARD 5'!AD21&gt;0),"Pagado","impago"),""))</f>
        <v/>
      </c>
      <c r="AB23" s="666" t="str">
        <f>IF(OR($A23="F&amp;F",$G23=""),"",IF(AB$8&gt;$G23,IF(OR(status1B5!AC23=1,status1B5!AC23=2,'BOULEVARD 5'!AE21&gt;0),"Pagado","impago"),""))</f>
        <v/>
      </c>
      <c r="AC23" s="666" t="str">
        <f>IF(OR($A23="F&amp;F",$G23=""),"",IF(AC$8&gt;$G23,IF(OR(status1B5!AD23=1,status1B5!AD23=2,'BOULEVARD 5'!AF21&gt;0),"Pagado","impago"),""))</f>
        <v/>
      </c>
      <c r="AD23" s="666" t="str">
        <f>IF(OR($A23="F&amp;F",$G23=""),"",IF(AD$8&gt;$G23,IF(OR(status1B5!AE23=1,status1B5!AE23=2,'BOULEVARD 5'!AG21&gt;0),"Pagado","impago"),""))</f>
        <v/>
      </c>
      <c r="AE23" s="666" t="str">
        <f>IF(OR($A23="F&amp;F",$G23=""),"",IF(AE$8&gt;$G23,IF(OR(status1B5!AF23=1,status1B5!AF23=2,'BOULEVARD 5'!AH21&gt;0),"Pagado","impago"),""))</f>
        <v/>
      </c>
      <c r="AF23" s="666" t="str">
        <f>IF(OR($A23="F&amp;F",$G23=""),"",IF(AF$8&gt;$G23,IF(OR(status1B5!AG23=1,status1B5!AG23=2,'BOULEVARD 5'!AI21&gt;0),"Pagado","impago"),""))</f>
        <v/>
      </c>
      <c r="AG23" s="666" t="str">
        <f>IF(OR($A23="F&amp;F",$G23=""),"",IF(AG$8&gt;$G23,IF(OR(status1B5!AH23=1,status1B5!AH23=2,'BOULEVARD 5'!AJ21&gt;0),"Pagado","impago"),""))</f>
        <v/>
      </c>
      <c r="AH23" s="666" t="str">
        <f>IF(OR($A23="F&amp;F",$G23=""),"",IF(AH$8&gt;$G23,IF(OR(status1B5!AI23=1,status1B5!AI23=2,'BOULEVARD 5'!AK21&gt;0),"Pagado","impago"),""))</f>
        <v/>
      </c>
      <c r="AI23" s="666" t="str">
        <f>IF(OR($A23="F&amp;F",$G23=""),"",IF(AI$8&gt;$G23,IF(OR(status1B5!AJ23=1,status1B5!AJ23=2,'BOULEVARD 5'!AL21&gt;0),"Pagado","impago"),""))</f>
        <v/>
      </c>
      <c r="AJ23" s="666" t="str">
        <f>IF(OR($A23="F&amp;F",$G23=""),"",IF(AJ$8&gt;$G23,IF(OR(status1B5!AK23=1,status1B5!AK23=2,'BOULEVARD 5'!AM21&gt;0),"Pagado","impago"),""))</f>
        <v/>
      </c>
      <c r="AK23" s="666" t="str">
        <f>IF(OR($A23="F&amp;F",$G23=""),"",IF(AK$8&gt;$G23,IF(OR(status1B5!AL23=1,status1B5!AL23=2,'BOULEVARD 5'!AN21&gt;0),"Pagado","impago"),""))</f>
        <v/>
      </c>
      <c r="AL23" s="666" t="str">
        <f>IF(OR($A23="F&amp;F",$G23=""),"",IF(AL$8&gt;$G23,IF(OR(status1B5!AM23=1,status1B5!AM23=2,'BOULEVARD 5'!AO21&gt;0),"Pagado","impago"),""))</f>
        <v/>
      </c>
      <c r="AM23" s="666" t="str">
        <f>IF(OR($A23="F&amp;F",$G23=""),"",IF(AM$8&gt;$G23,IF(OR(status1B5!AN23=1,status1B5!AN23=2,'BOULEVARD 5'!AP21&gt;0),"Pagado","impago"),""))</f>
        <v/>
      </c>
      <c r="AN23" s="666" t="str">
        <f>IF(OR($A23="F&amp;F",$G23=""),"",IF(AN$8&gt;$G23,IF(OR(status1B5!AO23=1,status1B5!AO23=2,'BOULEVARD 5'!AQ21&gt;0),"Pagado","impago"),""))</f>
        <v/>
      </c>
      <c r="AO23" s="666" t="str">
        <f>IF(OR($A23="F&amp;F",$G23=""),"",IF(AO$8&gt;$G23,IF(OR(status1B5!AP23=1,status1B5!AP23=2,'BOULEVARD 5'!AS21&gt;0),"Pagado","impago"),""))</f>
        <v/>
      </c>
      <c r="AP23" s="429" t="str">
        <f t="shared" si="5"/>
        <v>No Vendido</v>
      </c>
    </row>
    <row r="24" spans="1:42" s="429" customFormat="1" ht="13.9" customHeight="1" x14ac:dyDescent="0.25">
      <c r="A24" s="472"/>
      <c r="B24" s="436">
        <f>'BOULEVARD 5'!B22</f>
        <v>202</v>
      </c>
      <c r="C24" s="436" t="s">
        <v>355</v>
      </c>
      <c r="D24" s="436"/>
      <c r="E24" s="436" t="str">
        <f>IF('BOULEVARD 5'!E22="","",'BOULEVARD 5'!E22)</f>
        <v>Antonio Rada</v>
      </c>
      <c r="F24" s="429" t="str">
        <f>IF('BOULEVARD 5'!F22="","",'BOULEVARD 5'!F22)</f>
        <v>Bella Rosana Chaveque Gonzalez</v>
      </c>
      <c r="G24" s="473">
        <f>IF('BOULEVARD 5'!G22="","",'BOULEVARD 5'!G22)</f>
        <v>45736</v>
      </c>
      <c r="H24" s="666" t="str">
        <f>IF(OR($A24="F&amp;F",$G24=""),"",IF(H$8&gt;$G24,IF(OR(status1B5!I24=1,status1B5!I24=2,'BOULEVARD 5'!K22&gt;0),"Pagado","impago"),""))</f>
        <v/>
      </c>
      <c r="I24" s="666" t="str">
        <f>IF(OR($A24="F&amp;F",$G24=""),"",IF(I$8&gt;$G24,IF(OR(status1B5!J24=1,status1B5!J24=2,'BOULEVARD 5'!L22&gt;0),"Pagado","impago"),""))</f>
        <v/>
      </c>
      <c r="J24" s="666" t="str">
        <f>IF(OR($A24="F&amp;F",$G24=""),"",IF(J$8&gt;$G24,IF(OR(status1B5!K24=1,status1B5!K24=2,'BOULEVARD 5'!M22&gt;0),"Pagado","impago"),""))</f>
        <v/>
      </c>
      <c r="K24" s="666" t="str">
        <f>IF(OR($A24="F&amp;F",$G24=""),"",IF(K$8&gt;$G24,IF(OR(status1B5!L24=1,status1B5!L24=2,'BOULEVARD 5'!N22&gt;0),"Pagado","impago"),""))</f>
        <v/>
      </c>
      <c r="L24" s="666" t="str">
        <f>IF(OR($A24="F&amp;F",$G24=""),"",IF(L$8&gt;$G24,IF(OR(status1B5!M24=1,status1B5!M24=2,'BOULEVARD 5'!O22&gt;0),"Pagado","impago"),""))</f>
        <v/>
      </c>
      <c r="M24" s="666" t="str">
        <f>IF(OR($A24="F&amp;F",$G24=""),"",IF(M$8&gt;$G24,IF(OR(status1B5!N24=1,status1B5!N24=2,'BOULEVARD 5'!P22&gt;0),"Pagado","impago"),""))</f>
        <v/>
      </c>
      <c r="N24" s="666" t="str">
        <f>IF(OR($A24="F&amp;F",$G24=""),"",IF(N$8&gt;$G24,IF(OR(status1B5!O24=1,status1B5!O24=2,'BOULEVARD 5'!Q22&gt;0),"Pagado","impago"),""))</f>
        <v/>
      </c>
      <c r="O24" s="666" t="str">
        <f>IF(OR($A24="F&amp;F",$G24=""),"",IF(O$8&gt;$G24,IF(OR(status1B5!P24=1,status1B5!P24=2,'BOULEVARD 5'!R22&gt;0),"Pagado","impago"),""))</f>
        <v/>
      </c>
      <c r="P24" s="666" t="str">
        <f>IF(OR($A24="F&amp;F",$G24=""),"",IF(P$8&gt;$G24,IF(OR(status1B5!Q24=1,status1B5!Q24=2,'BOULEVARD 5'!S22&gt;0),"Pagado","impago"),""))</f>
        <v/>
      </c>
      <c r="Q24" s="666" t="str">
        <f>IF(OR($A24="F&amp;F",$G24=""),"",IF(Q$8&gt;$G24,IF(OR(status1B5!R24=1,status1B5!R24=2,'BOULEVARD 5'!T22&gt;0),"Pagado","impago"),""))</f>
        <v/>
      </c>
      <c r="R24" s="666" t="str">
        <f>IF(OR($A24="F&amp;F",$G24=""),"",IF(R$8&gt;$G24,IF(OR(status1B5!S24=1,status1B5!S24=2,'BOULEVARD 5'!U22&gt;0),"Pagado","impago"),""))</f>
        <v/>
      </c>
      <c r="S24" s="666" t="str">
        <f>IF(OR($A24="F&amp;F",$G24=""),"",IF(S$8&gt;$G24,IF(OR(status1B5!T24=1,status1B5!T24=2,'BOULEVARD 5'!V22&gt;0),"Pagado","impago"),""))</f>
        <v/>
      </c>
      <c r="T24" s="666" t="str">
        <f>IF(OR($A24="F&amp;F",$G24=""),"",IF(T$8&gt;$G24,IF(OR(status1B5!U24=1,status1B5!U24=2,'BOULEVARD 5'!W22&gt;0),"Pagado","impago"),""))</f>
        <v/>
      </c>
      <c r="U24" s="666" t="str">
        <f>IF(OR($A24="F&amp;F",$G24=""),"",IF(U$8&gt;$G24,IF(OR(status1B5!V24=1,status1B5!V24=2,'BOULEVARD 5'!X22&gt;0),"Pagado","impago"),""))</f>
        <v/>
      </c>
      <c r="V24" s="666" t="str">
        <f>IF(OR($A24="F&amp;F",$G24=""),"",IF(V$8&gt;$G24,IF(OR(status1B5!W24=1,status1B5!W24=2,'BOULEVARD 5'!Y22&gt;0),"Pagado","impago"),""))</f>
        <v/>
      </c>
      <c r="W24" s="666" t="str">
        <f>IF(OR($A24="F&amp;F",$G24=""),"",IF(W$8&gt;$G24,IF(OR(status1B5!X24=1,status1B5!X24=2,'BOULEVARD 5'!Z22&gt;0),"Pagado","impago"),""))</f>
        <v/>
      </c>
      <c r="X24" s="666" t="str">
        <f>IF(OR($A24="F&amp;F",$G24=""),"",IF(X$8&gt;$G24,IF(OR(status1B5!Y24=1,status1B5!Y24=2,'BOULEVARD 5'!AA22&gt;0),"Pagado","impago"),""))</f>
        <v/>
      </c>
      <c r="Y24" s="666" t="str">
        <f>IF(OR($A24="F&amp;F",$G24=""),"",IF(Y$8&gt;$G24,IF(OR(status1B5!Z24=1,status1B5!Z24=2,'BOULEVARD 5'!AB22&gt;0),"Pagado","impago"),""))</f>
        <v/>
      </c>
      <c r="Z24" s="666" t="str">
        <f>IF(OR($A24="F&amp;F",$G24=""),"",IF(Z$8&gt;$G24,IF(OR(status1B5!AA24=1,status1B5!AA24=2,'BOULEVARD 5'!AC22&gt;0),"Pagado","impago"),""))</f>
        <v/>
      </c>
      <c r="AA24" s="666" t="str">
        <f>IF(OR($A24="F&amp;F",$G24=""),"",IF(AA$8&gt;$G24,IF(OR(status1B5!AB24=1,status1B5!AB24=2,'BOULEVARD 5'!AD22&gt;0),"Pagado","impago"),""))</f>
        <v/>
      </c>
      <c r="AB24" s="666" t="str">
        <f>IF(OR($A24="F&amp;F",$G24=""),"",IF(AB$8&gt;$G24,IF(OR(status1B5!AC24=1,status1B5!AC24=2,'BOULEVARD 5'!AE22&gt;0),"Pagado","impago"),""))</f>
        <v/>
      </c>
      <c r="AC24" s="666" t="str">
        <f>IF(OR($A24="F&amp;F",$G24=""),"",IF(AC$8&gt;$G24,IF(OR(status1B5!AD24=1,status1B5!AD24=2,'BOULEVARD 5'!AF22&gt;0),"Pagado","impago"),""))</f>
        <v/>
      </c>
      <c r="AD24" s="666" t="str">
        <f>IF(OR($A24="F&amp;F",$G24=""),"",IF(AD$8&gt;$G24,IF(OR(status1B5!AE24=1,status1B5!AE24=2,'BOULEVARD 5'!AG22&gt;0),"Pagado","impago"),""))</f>
        <v/>
      </c>
      <c r="AE24" s="666" t="str">
        <f>IF(OR($A24="F&amp;F",$G24=""),"",IF(AE$8&gt;$G24,IF(OR(status1B5!AF24=1,status1B5!AF24=2,'BOULEVARD 5'!AH22&gt;0),"Pagado","impago"),""))</f>
        <v/>
      </c>
      <c r="AF24" s="669" t="str">
        <f>IF(OR($A24="F&amp;F",$G24=""),"",IF(AF$8&gt;$G24,IF(OR(status1B5!AG24=1,status1B5!AG24=2,'BOULEVARD 5'!AI22&gt;0),"Pagado","impago"),""))</f>
        <v>Pagado</v>
      </c>
      <c r="AG24" s="666" t="str">
        <f>IF(OR($A24="F&amp;F",$G24=""),"",IF(AG$8&gt;$G24,IF(OR(status1B5!AH24=1,status1B5!AH24=2,'BOULEVARD 5'!AJ22&gt;0),"Pagado","impago"),""))</f>
        <v>Pagado</v>
      </c>
      <c r="AH24" s="666" t="str">
        <f>IF(OR($A24="F&amp;F",$G24=""),"",IF(AH$8&gt;$G24,IF(OR(status1B5!AI24=1,status1B5!AI24=2,'BOULEVARD 5'!AK22&gt;0),"Pagado","impago"),""))</f>
        <v>Pagado</v>
      </c>
      <c r="AI24" s="666" t="str">
        <f>IF(OR($A24="F&amp;F",$G24=""),"",IF(AI$8&gt;$G24,IF(OR(status1B5!AJ24=1,status1B5!AJ24=2,'BOULEVARD 5'!AL22&gt;0),"Pagado","impago"),""))</f>
        <v>Pagado</v>
      </c>
      <c r="AJ24" s="666" t="str">
        <f>IF(OR($A24="F&amp;F",$G24=""),"",IF(AJ$8&gt;$G24,IF(OR(status1B5!AK24=1,status1B5!AK24=2,'BOULEVARD 5'!AM22&gt;0),"Pagado","impago"),""))</f>
        <v>Pagado</v>
      </c>
      <c r="AK24" s="666" t="str">
        <f>IF(OR($A24="F&amp;F",$G24=""),"",IF(AK$8&gt;$G24,IF(OR(status1B5!AL24=1,status1B5!AL24=2,'BOULEVARD 5'!AN22&gt;0),"Pagado","impago"),""))</f>
        <v>Pagado</v>
      </c>
      <c r="AL24" s="666" t="str">
        <f>IF(OR($A24="F&amp;F",$G24=""),"",IF(AL$8&gt;$G24,IF(OR(status1B5!AM24=1,status1B5!AM24=2,'BOULEVARD 5'!AO22&gt;0),"Pagado","impago"),""))</f>
        <v>Pagado</v>
      </c>
      <c r="AM24" s="666" t="str">
        <f>IF(OR($A24="F&amp;F",$G24=""),"",IF(AM$8&gt;$G24,IF(OR(status1B5!AN24=1,status1B5!AN24=2,'BOULEVARD 5'!AP22&gt;0),"Pagado","impago"),""))</f>
        <v>Pagado</v>
      </c>
      <c r="AN24" s="666" t="str">
        <f>IF(OR($A24="F&amp;F",$G24=""),"",IF(AN$8&gt;$G24,IF(OR(status1B5!AO24=1,status1B5!AO24=2,'BOULEVARD 5'!AQ22&gt;0),"Pagado","impago"),""))</f>
        <v>Pagado</v>
      </c>
      <c r="AO24" s="666" t="str">
        <f>IF(OR($A24="F&amp;F",$G24=""),"",IF(AO$8&gt;$G24,IF(OR(status1B5!AP24=1,status1B5!AP24=2,'BOULEVARD 5'!AS22&gt;0),"Pagado","impago"),""))</f>
        <v>Pagado</v>
      </c>
      <c r="AP24" s="429" t="str">
        <f t="shared" si="5"/>
        <v>Vendido</v>
      </c>
    </row>
    <row r="25" spans="1:42" s="429" customFormat="1" ht="13.9" customHeight="1" x14ac:dyDescent="0.25">
      <c r="A25" s="472"/>
      <c r="B25" s="436">
        <f>'BOULEVARD 5'!B23</f>
        <v>203</v>
      </c>
      <c r="C25" s="436" t="s">
        <v>355</v>
      </c>
      <c r="D25" s="436"/>
      <c r="E25" s="436" t="str">
        <f>IF('BOULEVARD 5'!E23="","",'BOULEVARD 5'!E23)</f>
        <v/>
      </c>
      <c r="F25" s="429" t="str">
        <f>IF('BOULEVARD 5'!F23="","",'BOULEVARD 5'!F23)</f>
        <v/>
      </c>
      <c r="G25" s="473" t="str">
        <f>IF('BOULEVARD 5'!G23="","",'BOULEVARD 5'!G23)</f>
        <v/>
      </c>
      <c r="H25" s="666" t="str">
        <f>IF(OR($A25="F&amp;F",$G25=""),"",IF(H$8&gt;$G25,IF(OR(status1B5!I25=1,status1B5!I25=2,'BOULEVARD 5'!K23&gt;0),"Pagado","impago"),""))</f>
        <v/>
      </c>
      <c r="I25" s="666" t="str">
        <f>IF(OR($A25="F&amp;F",$G25=""),"",IF(I$8&gt;$G25,IF(OR(status1B5!J25=1,status1B5!J25=2,'BOULEVARD 5'!L23&gt;0),"Pagado","impago"),""))</f>
        <v/>
      </c>
      <c r="J25" s="666" t="str">
        <f>IF(OR($A25="F&amp;F",$G25=""),"",IF(J$8&gt;$G25,IF(OR(status1B5!K25=1,status1B5!K25=2,'BOULEVARD 5'!M23&gt;0),"Pagado","impago"),""))</f>
        <v/>
      </c>
      <c r="K25" s="666" t="str">
        <f>IF(OR($A25="F&amp;F",$G25=""),"",IF(K$8&gt;$G25,IF(OR(status1B5!L25=1,status1B5!L25=2,'BOULEVARD 5'!N23&gt;0),"Pagado","impago"),""))</f>
        <v/>
      </c>
      <c r="L25" s="666" t="str">
        <f>IF(OR($A25="F&amp;F",$G25=""),"",IF(L$8&gt;$G25,IF(OR(status1B5!M25=1,status1B5!M25=2,'BOULEVARD 5'!O23&gt;0),"Pagado","impago"),""))</f>
        <v/>
      </c>
      <c r="M25" s="666" t="str">
        <f>IF(OR($A25="F&amp;F",$G25=""),"",IF(M$8&gt;$G25,IF(OR(status1B5!N25=1,status1B5!N25=2,'BOULEVARD 5'!P23&gt;0),"Pagado","impago"),""))</f>
        <v/>
      </c>
      <c r="N25" s="666" t="str">
        <f>IF(OR($A25="F&amp;F",$G25=""),"",IF(N$8&gt;$G25,IF(OR(status1B5!O25=1,status1B5!O25=2,'BOULEVARD 5'!Q23&gt;0),"Pagado","impago"),""))</f>
        <v/>
      </c>
      <c r="O25" s="666" t="str">
        <f>IF(OR($A25="F&amp;F",$G25=""),"",IF(O$8&gt;$G25,IF(OR(status1B5!P25=1,status1B5!P25=2,'BOULEVARD 5'!R23&gt;0),"Pagado","impago"),""))</f>
        <v/>
      </c>
      <c r="P25" s="666" t="str">
        <f>IF(OR($A25="F&amp;F",$G25=""),"",IF(P$8&gt;$G25,IF(OR(status1B5!Q25=1,status1B5!Q25=2,'BOULEVARD 5'!S23&gt;0),"Pagado","impago"),""))</f>
        <v/>
      </c>
      <c r="Q25" s="666" t="str">
        <f>IF(OR($A25="F&amp;F",$G25=""),"",IF(Q$8&gt;$G25,IF(OR(status1B5!R25=1,status1B5!R25=2,'BOULEVARD 5'!T23&gt;0),"Pagado","impago"),""))</f>
        <v/>
      </c>
      <c r="R25" s="666" t="str">
        <f>IF(OR($A25="F&amp;F",$G25=""),"",IF(R$8&gt;$G25,IF(OR(status1B5!S25=1,status1B5!S25=2,'BOULEVARD 5'!U23&gt;0),"Pagado","impago"),""))</f>
        <v/>
      </c>
      <c r="S25" s="666" t="str">
        <f>IF(OR($A25="F&amp;F",$G25=""),"",IF(S$8&gt;$G25,IF(OR(status1B5!T25=1,status1B5!T25=2,'BOULEVARD 5'!V23&gt;0),"Pagado","impago"),""))</f>
        <v/>
      </c>
      <c r="T25" s="666" t="str">
        <f>IF(OR($A25="F&amp;F",$G25=""),"",IF(T$8&gt;$G25,IF(OR(status1B5!U25=1,status1B5!U25=2,'BOULEVARD 5'!W23&gt;0),"Pagado","impago"),""))</f>
        <v/>
      </c>
      <c r="U25" s="666" t="str">
        <f>IF(OR($A25="F&amp;F",$G25=""),"",IF(U$8&gt;$G25,IF(OR(status1B5!V25=1,status1B5!V25=2,'BOULEVARD 5'!X23&gt;0),"Pagado","impago"),""))</f>
        <v/>
      </c>
      <c r="V25" s="666" t="str">
        <f>IF(OR($A25="F&amp;F",$G25=""),"",IF(V$8&gt;$G25,IF(OR(status1B5!W25=1,status1B5!W25=2,'BOULEVARD 5'!Y23&gt;0),"Pagado","impago"),""))</f>
        <v/>
      </c>
      <c r="W25" s="666" t="str">
        <f>IF(OR($A25="F&amp;F",$G25=""),"",IF(W$8&gt;$G25,IF(OR(status1B5!X25=1,status1B5!X25=2,'BOULEVARD 5'!Z23&gt;0),"Pagado","impago"),""))</f>
        <v/>
      </c>
      <c r="X25" s="666" t="str">
        <f>IF(OR($A25="F&amp;F",$G25=""),"",IF(X$8&gt;$G25,IF(OR(status1B5!Y25=1,status1B5!Y25=2,'BOULEVARD 5'!AA23&gt;0),"Pagado","impago"),""))</f>
        <v/>
      </c>
      <c r="Y25" s="666" t="str">
        <f>IF(OR($A25="F&amp;F",$G25=""),"",IF(Y$8&gt;$G25,IF(OR(status1B5!Z25=1,status1B5!Z25=2,'BOULEVARD 5'!AB23&gt;0),"Pagado","impago"),""))</f>
        <v/>
      </c>
      <c r="Z25" s="666" t="str">
        <f>IF(OR($A25="F&amp;F",$G25=""),"",IF(Z$8&gt;$G25,IF(OR(status1B5!AA25=1,status1B5!AA25=2,'BOULEVARD 5'!AC23&gt;0),"Pagado","impago"),""))</f>
        <v/>
      </c>
      <c r="AA25" s="666" t="str">
        <f>IF(OR($A25="F&amp;F",$G25=""),"",IF(AA$8&gt;$G25,IF(OR(status1B5!AB25=1,status1B5!AB25=2,'BOULEVARD 5'!AD23&gt;0),"Pagado","impago"),""))</f>
        <v/>
      </c>
      <c r="AB25" s="666" t="str">
        <f>IF(OR($A25="F&amp;F",$G25=""),"",IF(AB$8&gt;$G25,IF(OR(status1B5!AC25=1,status1B5!AC25=2,'BOULEVARD 5'!AE23&gt;0),"Pagado","impago"),""))</f>
        <v/>
      </c>
      <c r="AC25" s="666" t="str">
        <f>IF(OR($A25="F&amp;F",$G25=""),"",IF(AC$8&gt;$G25,IF(OR(status1B5!AD25=1,status1B5!AD25=2,'BOULEVARD 5'!AF23&gt;0),"Pagado","impago"),""))</f>
        <v/>
      </c>
      <c r="AD25" s="666" t="str">
        <f>IF(OR($A25="F&amp;F",$G25=""),"",IF(AD$8&gt;$G25,IF(OR(status1B5!AE25=1,status1B5!AE25=2,'BOULEVARD 5'!AG23&gt;0),"Pagado","impago"),""))</f>
        <v/>
      </c>
      <c r="AE25" s="666" t="str">
        <f>IF(OR($A25="F&amp;F",$G25=""),"",IF(AE$8&gt;$G25,IF(OR(status1B5!AF25=1,status1B5!AF25=2,'BOULEVARD 5'!AH23&gt;0),"Pagado","impago"),""))</f>
        <v/>
      </c>
      <c r="AF25" s="666" t="str">
        <f>IF(OR($A25="F&amp;F",$G25=""),"",IF(AF$8&gt;$G25,IF(OR(status1B5!AG25=1,status1B5!AG25=2,'BOULEVARD 5'!AI23&gt;0),"Pagado","impago"),""))</f>
        <v/>
      </c>
      <c r="AG25" s="666" t="str">
        <f>IF(OR($A25="F&amp;F",$G25=""),"",IF(AG$8&gt;$G25,IF(OR(status1B5!AH25=1,status1B5!AH25=2,'BOULEVARD 5'!AJ23&gt;0),"Pagado","impago"),""))</f>
        <v/>
      </c>
      <c r="AH25" s="666" t="str">
        <f>IF(OR($A25="F&amp;F",$G25=""),"",IF(AH$8&gt;$G25,IF(OR(status1B5!AI25=1,status1B5!AI25=2,'BOULEVARD 5'!AK23&gt;0),"Pagado","impago"),""))</f>
        <v/>
      </c>
      <c r="AI25" s="666" t="str">
        <f>IF(OR($A25="F&amp;F",$G25=""),"",IF(AI$8&gt;$G25,IF(OR(status1B5!AJ25=1,status1B5!AJ25=2,'BOULEVARD 5'!AL23&gt;0),"Pagado","impago"),""))</f>
        <v/>
      </c>
      <c r="AJ25" s="666" t="str">
        <f>IF(OR($A25="F&amp;F",$G25=""),"",IF(AJ$8&gt;$G25,IF(OR(status1B5!AK25=1,status1B5!AK25=2,'BOULEVARD 5'!AM23&gt;0),"Pagado","impago"),""))</f>
        <v/>
      </c>
      <c r="AK25" s="666" t="str">
        <f>IF(OR($A25="F&amp;F",$G25=""),"",IF(AK$8&gt;$G25,IF(OR(status1B5!AL25=1,status1B5!AL25=2,'BOULEVARD 5'!AN23&gt;0),"Pagado","impago"),""))</f>
        <v/>
      </c>
      <c r="AL25" s="666" t="str">
        <f>IF(OR($A25="F&amp;F",$G25=""),"",IF(AL$8&gt;$G25,IF(OR(status1B5!AM25=1,status1B5!AM25=2,'BOULEVARD 5'!AO23&gt;0),"Pagado","impago"),""))</f>
        <v/>
      </c>
      <c r="AM25" s="666" t="str">
        <f>IF(OR($A25="F&amp;F",$G25=""),"",IF(AM$8&gt;$G25,IF(OR(status1B5!AN25=1,status1B5!AN25=2,'BOULEVARD 5'!AP23&gt;0),"Pagado","impago"),""))</f>
        <v/>
      </c>
      <c r="AN25" s="666" t="str">
        <f>IF(OR($A25="F&amp;F",$G25=""),"",IF(AN$8&gt;$G25,IF(OR(status1B5!AO25=1,status1B5!AO25=2,'BOULEVARD 5'!AQ23&gt;0),"Pagado","impago"),""))</f>
        <v/>
      </c>
      <c r="AO25" s="666" t="str">
        <f>IF(OR($A25="F&amp;F",$G25=""),"",IF(AO$8&gt;$G25,IF(OR(status1B5!AP25=1,status1B5!AP25=2,'BOULEVARD 5'!AS23&gt;0),"Pagado","impago"),""))</f>
        <v/>
      </c>
      <c r="AP25" s="429" t="str">
        <f t="shared" si="5"/>
        <v>No Vendido</v>
      </c>
    </row>
    <row r="26" spans="1:42" s="429" customFormat="1" ht="13.9" customHeight="1" x14ac:dyDescent="0.25">
      <c r="A26" s="472"/>
      <c r="B26" s="436">
        <f>'BOULEVARD 5'!B24</f>
        <v>204</v>
      </c>
      <c r="C26" s="436" t="s">
        <v>355</v>
      </c>
      <c r="D26" s="436"/>
      <c r="E26" s="436" t="str">
        <f>IF('BOULEVARD 5'!E24="","",'BOULEVARD 5'!E24)</f>
        <v>Antonio Rada</v>
      </c>
      <c r="F26" s="429" t="str">
        <f>IF('BOULEVARD 5'!F24="","",'BOULEVARD 5'!F24)</f>
        <v>Paulette Leslie Wauthion Jimenez</v>
      </c>
      <c r="G26" s="473">
        <f>IF('BOULEVARD 5'!G24="","",'BOULEVARD 5'!G24)</f>
        <v>45596</v>
      </c>
      <c r="H26" s="666" t="str">
        <f>IF(OR($A26="F&amp;F",$G26=""),"",IF(H$8&gt;$G26,IF(OR(status1B5!I26=1,status1B5!I26=2,'BOULEVARD 5'!K24&gt;0),"Pagado","impago"),""))</f>
        <v/>
      </c>
      <c r="I26" s="666" t="str">
        <f>IF(OR($A26="F&amp;F",$G26=""),"",IF(I$8&gt;$G26,IF(OR(status1B5!J26=1,status1B5!J26=2,'BOULEVARD 5'!L24&gt;0),"Pagado","impago"),""))</f>
        <v/>
      </c>
      <c r="J26" s="666" t="str">
        <f>IF(OR($A26="F&amp;F",$G26=""),"",IF(J$8&gt;$G26,IF(OR(status1B5!K26=1,status1B5!K26=2,'BOULEVARD 5'!M24&gt;0),"Pagado","impago"),""))</f>
        <v/>
      </c>
      <c r="K26" s="666" t="str">
        <f>IF(OR($A26="F&amp;F",$G26=""),"",IF(K$8&gt;$G26,IF(OR(status1B5!L26=1,status1B5!L26=2,'BOULEVARD 5'!N24&gt;0),"Pagado","impago"),""))</f>
        <v/>
      </c>
      <c r="L26" s="666" t="str">
        <f>IF(OR($A26="F&amp;F",$G26=""),"",IF(L$8&gt;$G26,IF(OR(status1B5!M26=1,status1B5!M26=2,'BOULEVARD 5'!O24&gt;0),"Pagado","impago"),""))</f>
        <v/>
      </c>
      <c r="M26" s="666" t="str">
        <f>IF(OR($A26="F&amp;F",$G26=""),"",IF(M$8&gt;$G26,IF(OR(status1B5!N26=1,status1B5!N26=2,'BOULEVARD 5'!P24&gt;0),"Pagado","impago"),""))</f>
        <v/>
      </c>
      <c r="N26" s="666" t="str">
        <f>IF(OR($A26="F&amp;F",$G26=""),"",IF(N$8&gt;$G26,IF(OR(status1B5!O26=1,status1B5!O26=2,'BOULEVARD 5'!Q24&gt;0),"Pagado","impago"),""))</f>
        <v/>
      </c>
      <c r="O26" s="666" t="str">
        <f>IF(OR($A26="F&amp;F",$G26=""),"",IF(O$8&gt;$G26,IF(OR(status1B5!P26=1,status1B5!P26=2,'BOULEVARD 5'!R24&gt;0),"Pagado","impago"),""))</f>
        <v/>
      </c>
      <c r="P26" s="666" t="str">
        <f>IF(OR($A26="F&amp;F",$G26=""),"",IF(P$8&gt;$G26,IF(OR(status1B5!Q26=1,status1B5!Q26=2,'BOULEVARD 5'!S24&gt;0),"Pagado","impago"),""))</f>
        <v/>
      </c>
      <c r="Q26" s="666" t="str">
        <f>IF(OR($A26="F&amp;F",$G26=""),"",IF(Q$8&gt;$G26,IF(OR(status1B5!R26=1,status1B5!R26=2,'BOULEVARD 5'!T24&gt;0),"Pagado","impago"),""))</f>
        <v/>
      </c>
      <c r="R26" s="666" t="str">
        <f>IF(OR($A26="F&amp;F",$G26=""),"",IF(R$8&gt;$G26,IF(OR(status1B5!S26=1,status1B5!S26=2,'BOULEVARD 5'!U24&gt;0),"Pagado","impago"),""))</f>
        <v/>
      </c>
      <c r="S26" s="666" t="str">
        <f>IF(OR($A26="F&amp;F",$G26=""),"",IF(S$8&gt;$G26,IF(OR(status1B5!T26=1,status1B5!T26=2,'BOULEVARD 5'!V24&gt;0),"Pagado","impago"),""))</f>
        <v/>
      </c>
      <c r="T26" s="666" t="str">
        <f>IF(OR($A26="F&amp;F",$G26=""),"",IF(T$8&gt;$G26,IF(OR(status1B5!U26=1,status1B5!U26=2,'BOULEVARD 5'!W24&gt;0),"Pagado","impago"),""))</f>
        <v/>
      </c>
      <c r="U26" s="666" t="str">
        <f>IF(OR($A26="F&amp;F",$G26=""),"",IF(U$8&gt;$G26,IF(OR(status1B5!V26=1,status1B5!V26=2,'BOULEVARD 5'!X24&gt;0),"Pagado","impago"),""))</f>
        <v/>
      </c>
      <c r="V26" s="666" t="str">
        <f>IF(OR($A26="F&amp;F",$G26=""),"",IF(V$8&gt;$G26,IF(OR(status1B5!W26=1,status1B5!W26=2,'BOULEVARD 5'!Y24&gt;0),"Pagado","impago"),""))</f>
        <v/>
      </c>
      <c r="W26" s="666" t="str">
        <f>IF(OR($A26="F&amp;F",$G26=""),"",IF(W$8&gt;$G26,IF(OR(status1B5!X26=1,status1B5!X26=2,'BOULEVARD 5'!Z24&gt;0),"Pagado","impago"),""))</f>
        <v/>
      </c>
      <c r="X26" s="666" t="str">
        <f>IF(OR($A26="F&amp;F",$G26=""),"",IF(X$8&gt;$G26,IF(OR(status1B5!Y26=1,status1B5!Y26=2,'BOULEVARD 5'!AA24&gt;0),"Pagado","impago"),""))</f>
        <v/>
      </c>
      <c r="Y26" s="666" t="str">
        <f>IF(OR($A26="F&amp;F",$G26=""),"",IF(Y$8&gt;$G26,IF(OR(status1B5!Z26=1,status1B5!Z26=2,'BOULEVARD 5'!AB24&gt;0),"Pagado","impago"),""))</f>
        <v/>
      </c>
      <c r="Z26" s="666" t="str">
        <f>IF(OR($A26="F&amp;F",$G26=""),"",IF(Z$8&gt;$G26,IF(OR(status1B5!AA26=1,status1B5!AA26=2,'BOULEVARD 5'!AC24&gt;0),"Pagado","impago"),""))</f>
        <v/>
      </c>
      <c r="AA26" s="666" t="str">
        <f>IF(OR($A26="F&amp;F",$G26=""),"",IF(AA$8&gt;$G26,IF(OR(status1B5!AB26=1,status1B5!AB26=2,'BOULEVARD 5'!AD24&gt;0),"Pagado","impago"),""))</f>
        <v/>
      </c>
      <c r="AB26" s="666" t="str">
        <f>IF(OR($A26="F&amp;F",$G26=""),"",IF(AB$8&gt;$G26,IF(OR(status1B5!AC26=1,status1B5!AC26=2,'BOULEVARD 5'!AE24&gt;0),"Pagado","impago"),""))</f>
        <v>Pagado</v>
      </c>
      <c r="AC26" s="666" t="str">
        <f>IF(OR($A26="F&amp;F",$G26=""),"",IF(AC$8&gt;$G26,IF(OR(status1B5!AD26=1,status1B5!AD26=2,'BOULEVARD 5'!AF24&gt;0),"Pagado","impago"),""))</f>
        <v>Pagado</v>
      </c>
      <c r="AD26" s="666" t="str">
        <f>IF(OR($A26="F&amp;F",$G26=""),"",IF(AD$8&gt;$G26,IF(OR(status1B5!AE26=1,status1B5!AE26=2,'BOULEVARD 5'!AG24&gt;0),"Pagado","impago"),""))</f>
        <v>Pagado</v>
      </c>
      <c r="AE26" s="666" t="str">
        <f>IF(OR($A26="F&amp;F",$G26=""),"",IF(AE$8&gt;$G26,IF(OR(status1B5!AF26=1,status1B5!AF26=2,'BOULEVARD 5'!AH24&gt;0),"Pagado","impago"),""))</f>
        <v>Pagado</v>
      </c>
      <c r="AF26" s="666" t="str">
        <f>IF(OR($A26="F&amp;F",$G26=""),"",IF(AF$8&gt;$G26,IF(OR(status1B5!AG26=1,status1B5!AG26=2,'BOULEVARD 5'!AI24&gt;0),"Pagado","impago"),""))</f>
        <v>Pagado</v>
      </c>
      <c r="AG26" s="666" t="str">
        <f>IF(OR($A26="F&amp;F",$G26=""),"",IF(AG$8&gt;$G26,IF(OR(status1B5!AH26=1,status1B5!AH26=2,'BOULEVARD 5'!AJ24&gt;0),"Pagado","impago"),""))</f>
        <v>Pagado</v>
      </c>
      <c r="AH26" s="666" t="str">
        <f>IF(OR($A26="F&amp;F",$G26=""),"",IF(AH$8&gt;$G26,IF(OR(status1B5!AI26=1,status1B5!AI26=2,'BOULEVARD 5'!AK24&gt;0),"Pagado","impago"),""))</f>
        <v>Pagado</v>
      </c>
      <c r="AI26" s="666" t="str">
        <f>IF(OR($A26="F&amp;F",$G26=""),"",IF(AI$8&gt;$G26,IF(OR(status1B5!AJ26=1,status1B5!AJ26=2,'BOULEVARD 5'!AL24&gt;0),"Pagado","impago"),""))</f>
        <v>Pagado</v>
      </c>
      <c r="AJ26" s="666" t="str">
        <f>IF(OR($A26="F&amp;F",$G26=""),"",IF(AJ$8&gt;$G26,IF(OR(status1B5!AK26=1,status1B5!AK26=2,'BOULEVARD 5'!AM24&gt;0),"Pagado","impago"),""))</f>
        <v>Pagado</v>
      </c>
      <c r="AK26" s="666" t="str">
        <f>IF(OR($A26="F&amp;F",$G26=""),"",IF(AK$8&gt;$G26,IF(OR(status1B5!AL26=1,status1B5!AL26=2,'BOULEVARD 5'!AN24&gt;0),"Pagado","impago"),""))</f>
        <v>Pagado</v>
      </c>
      <c r="AL26" s="666" t="str">
        <f>IF(OR($A26="F&amp;F",$G26=""),"",IF(AL$8&gt;$G26,IF(OR(status1B5!AM26=1,status1B5!AM26=2,'BOULEVARD 5'!AO24&gt;0),"Pagado","impago"),""))</f>
        <v>Pagado</v>
      </c>
      <c r="AM26" s="666" t="str">
        <f>IF(OR($A26="F&amp;F",$G26=""),"",IF(AM$8&gt;$G26,IF(OR(status1B5!AN26=1,status1B5!AN26=2,'BOULEVARD 5'!AP24&gt;0),"Pagado","impago"),""))</f>
        <v>Pagado</v>
      </c>
      <c r="AN26" s="666" t="str">
        <f>IF(OR($A26="F&amp;F",$G26=""),"",IF(AN$8&gt;$G26,IF(OR(status1B5!AO26=1,status1B5!AO26=2,'BOULEVARD 5'!AQ24&gt;0),"Pagado","impago"),""))</f>
        <v>Pagado</v>
      </c>
      <c r="AO26" s="666" t="str">
        <f>IF(OR($A26="F&amp;F",$G26=""),"",IF(AO$8&gt;$G26,IF(OR(status1B5!AP26=1,status1B5!AP26=2,'BOULEVARD 5'!AS24&gt;0),"Pagado","impago"),""))</f>
        <v>Pagado</v>
      </c>
      <c r="AP26" s="429" t="str">
        <f t="shared" si="5"/>
        <v>Vendido</v>
      </c>
    </row>
    <row r="27" spans="1:42" s="429" customFormat="1" ht="13.9" customHeight="1" x14ac:dyDescent="0.25">
      <c r="B27" s="436">
        <f>'BOULEVARD 5'!B25</f>
        <v>205</v>
      </c>
      <c r="C27" s="436" t="s">
        <v>355</v>
      </c>
      <c r="D27" s="436"/>
      <c r="E27" s="436" t="str">
        <f>IF('BOULEVARD 5'!E25="","",'BOULEVARD 5'!E25)</f>
        <v>Sofia Paredes</v>
      </c>
      <c r="F27" s="429" t="str">
        <f>IF('BOULEVARD 5'!F25="","",'BOULEVARD 5'!F25)</f>
        <v>Javier Adolfo Hernandez Leon</v>
      </c>
      <c r="G27" s="473">
        <f>IF('BOULEVARD 5'!G25="","",'BOULEVARD 5'!G25)</f>
        <v>45706</v>
      </c>
      <c r="H27" s="666" t="str">
        <f>IF(OR($A27="F&amp;F",$G27=""),"",IF(H$8&gt;$G27,IF(OR(status1B5!I27=1,status1B5!I27=2,'BOULEVARD 5'!K25&gt;0),"Pagado","impago"),""))</f>
        <v/>
      </c>
      <c r="I27" s="666" t="str">
        <f>IF(OR($A27="F&amp;F",$G27=""),"",IF(I$8&gt;$G27,IF(OR(status1B5!J27=1,status1B5!J27=2,'BOULEVARD 5'!L25&gt;0),"Pagado","impago"),""))</f>
        <v/>
      </c>
      <c r="J27" s="666" t="str">
        <f>IF(OR($A27="F&amp;F",$G27=""),"",IF(J$8&gt;$G27,IF(OR(status1B5!K27=1,status1B5!K27=2,'BOULEVARD 5'!M25&gt;0),"Pagado","impago"),""))</f>
        <v/>
      </c>
      <c r="K27" s="666" t="str">
        <f>IF(OR($A27="F&amp;F",$G27=""),"",IF(K$8&gt;$G27,IF(OR(status1B5!L27=1,status1B5!L27=2,'BOULEVARD 5'!N25&gt;0),"Pagado","impago"),""))</f>
        <v/>
      </c>
      <c r="L27" s="666" t="str">
        <f>IF(OR($A27="F&amp;F",$G27=""),"",IF(L$8&gt;$G27,IF(OR(status1B5!M27=1,status1B5!M27=2,'BOULEVARD 5'!O25&gt;0),"Pagado","impago"),""))</f>
        <v/>
      </c>
      <c r="M27" s="666" t="str">
        <f>IF(OR($A27="F&amp;F",$G27=""),"",IF(M$8&gt;$G27,IF(OR(status1B5!N27=1,status1B5!N27=2,'BOULEVARD 5'!P25&gt;0),"Pagado","impago"),""))</f>
        <v/>
      </c>
      <c r="N27" s="666" t="str">
        <f>IF(OR($A27="F&amp;F",$G27=""),"",IF(N$8&gt;$G27,IF(OR(status1B5!O27=1,status1B5!O27=2,'BOULEVARD 5'!Q25&gt;0),"Pagado","impago"),""))</f>
        <v/>
      </c>
      <c r="O27" s="666" t="str">
        <f>IF(OR($A27="F&amp;F",$G27=""),"",IF(O$8&gt;$G27,IF(OR(status1B5!P27=1,status1B5!P27=2,'BOULEVARD 5'!R25&gt;0),"Pagado","impago"),""))</f>
        <v/>
      </c>
      <c r="P27" s="666" t="str">
        <f>IF(OR($A27="F&amp;F",$G27=""),"",IF(P$8&gt;$G27,IF(OR(status1B5!Q27=1,status1B5!Q27=2,'BOULEVARD 5'!S25&gt;0),"Pagado","impago"),""))</f>
        <v/>
      </c>
      <c r="Q27" s="666" t="str">
        <f>IF(OR($A27="F&amp;F",$G27=""),"",IF(Q$8&gt;$G27,IF(OR(status1B5!R27=1,status1B5!R27=2,'BOULEVARD 5'!T25&gt;0),"Pagado","impago"),""))</f>
        <v/>
      </c>
      <c r="R27" s="666" t="str">
        <f>IF(OR($A27="F&amp;F",$G27=""),"",IF(R$8&gt;$G27,IF(OR(status1B5!S27=1,status1B5!S27=2,'BOULEVARD 5'!U25&gt;0),"Pagado","impago"),""))</f>
        <v/>
      </c>
      <c r="S27" s="666" t="str">
        <f>IF(OR($A27="F&amp;F",$G27=""),"",IF(S$8&gt;$G27,IF(OR(status1B5!T27=1,status1B5!T27=2,'BOULEVARD 5'!V25&gt;0),"Pagado","impago"),""))</f>
        <v/>
      </c>
      <c r="T27" s="666" t="str">
        <f>IF(OR($A27="F&amp;F",$G27=""),"",IF(T$8&gt;$G27,IF(OR(status1B5!U27=1,status1B5!U27=2,'BOULEVARD 5'!W25&gt;0),"Pagado","impago"),""))</f>
        <v/>
      </c>
      <c r="U27" s="666" t="str">
        <f>IF(OR($A27="F&amp;F",$G27=""),"",IF(U$8&gt;$G27,IF(OR(status1B5!V27=1,status1B5!V27=2,'BOULEVARD 5'!X25&gt;0),"Pagado","impago"),""))</f>
        <v/>
      </c>
      <c r="V27" s="666" t="str">
        <f>IF(OR($A27="F&amp;F",$G27=""),"",IF(V$8&gt;$G27,IF(OR(status1B5!W27=1,status1B5!W27=2,'BOULEVARD 5'!Y25&gt;0),"Pagado","impago"),""))</f>
        <v/>
      </c>
      <c r="W27" s="666" t="str">
        <f>IF(OR($A27="F&amp;F",$G27=""),"",IF(W$8&gt;$G27,IF(OR(status1B5!X27=1,status1B5!X27=2,'BOULEVARD 5'!Z25&gt;0),"Pagado","impago"),""))</f>
        <v/>
      </c>
      <c r="X27" s="666" t="str">
        <f>IF(OR($A27="F&amp;F",$G27=""),"",IF(X$8&gt;$G27,IF(OR(status1B5!Y27=1,status1B5!Y27=2,'BOULEVARD 5'!AA25&gt;0),"Pagado","impago"),""))</f>
        <v/>
      </c>
      <c r="Y27" s="666" t="str">
        <f>IF(OR($A27="F&amp;F",$G27=""),"",IF(Y$8&gt;$G27,IF(OR(status1B5!Z27=1,status1B5!Z27=2,'BOULEVARD 5'!AB25&gt;0),"Pagado","impago"),""))</f>
        <v/>
      </c>
      <c r="Z27" s="666" t="str">
        <f>IF(OR($A27="F&amp;F",$G27=""),"",IF(Z$8&gt;$G27,IF(OR(status1B5!AA27=1,status1B5!AA27=2,'BOULEVARD 5'!AC25&gt;0),"Pagado","impago"),""))</f>
        <v/>
      </c>
      <c r="AA27" s="666" t="str">
        <f>IF(OR($A27="F&amp;F",$G27=""),"",IF(AA$8&gt;$G27,IF(OR(status1B5!AB27=1,status1B5!AB27=2,'BOULEVARD 5'!AD25&gt;0),"Pagado","impago"),""))</f>
        <v/>
      </c>
      <c r="AB27" s="666" t="str">
        <f>IF(OR($A27="F&amp;F",$G27=""),"",IF(AB$8&gt;$G27,IF(OR(status1B5!AC27=1,status1B5!AC27=2,'BOULEVARD 5'!AE25&gt;0),"Pagado","impago"),""))</f>
        <v/>
      </c>
      <c r="AC27" s="666" t="str">
        <f>IF(OR($A27="F&amp;F",$G27=""),"",IF(AC$8&gt;$G27,IF(OR(status1B5!AD27=1,status1B5!AD27=2,'BOULEVARD 5'!AF25&gt;0),"Pagado","impago"),""))</f>
        <v/>
      </c>
      <c r="AD27" s="666" t="str">
        <f>IF(OR($A27="F&amp;F",$G27=""),"",IF(AD$8&gt;$G27,IF(OR(status1B5!AE27=1,status1B5!AE27=2,'BOULEVARD 5'!AG25&gt;0),"Pagado","impago"),""))</f>
        <v/>
      </c>
      <c r="AE27" s="666" t="str">
        <f>IF(OR($A27="F&amp;F",$G27=""),"",IF(AE$8&gt;$G27,IF(OR(status1B5!AF27=1,status1B5!AF27=2,'BOULEVARD 5'!AH25&gt;0),"Pagado","impago"),""))</f>
        <v>Pagado</v>
      </c>
      <c r="AF27" s="666" t="str">
        <f>IF(OR($A27="F&amp;F",$G27=""),"",IF(AF$8&gt;$G27,IF(OR(status1B5!AG27=1,status1B5!AG27=2,'BOULEVARD 5'!AI25&gt;0),"Pagado","impago"),""))</f>
        <v>Pagado</v>
      </c>
      <c r="AG27" s="666" t="str">
        <f>IF(OR($A27="F&amp;F",$G27=""),"",IF(AG$8&gt;$G27,IF(OR(status1B5!AH27=1,status1B5!AH27=2,'BOULEVARD 5'!AJ25&gt;0),"Pagado","impago"),""))</f>
        <v>Pagado</v>
      </c>
      <c r="AH27" s="666" t="str">
        <f>IF(OR($A27="F&amp;F",$G27=""),"",IF(AH$8&gt;$G27,IF(OR(status1B5!AI27=1,status1B5!AI27=2,'BOULEVARD 5'!AK25&gt;0),"Pagado","impago"),""))</f>
        <v>Pagado</v>
      </c>
      <c r="AI27" s="666" t="str">
        <f>IF(OR($A27="F&amp;F",$G27=""),"",IF(AI$8&gt;$G27,IF(OR(status1B5!AJ27=1,status1B5!AJ27=2,'BOULEVARD 5'!AL25&gt;0),"Pagado","impago"),""))</f>
        <v>Pagado</v>
      </c>
      <c r="AJ27" s="666" t="str">
        <f>IF(OR($A27="F&amp;F",$G27=""),"",IF(AJ$8&gt;$G27,IF(OR(status1B5!AK27=1,status1B5!AK27=2,'BOULEVARD 5'!AM25&gt;0),"Pagado","impago"),""))</f>
        <v>Pagado</v>
      </c>
      <c r="AK27" s="666" t="str">
        <f>IF(OR($A27="F&amp;F",$G27=""),"",IF(AK$8&gt;$G27,IF(OR(status1B5!AL27=1,status1B5!AL27=2,'BOULEVARD 5'!AN25&gt;0),"Pagado","impago"),""))</f>
        <v>Pagado</v>
      </c>
      <c r="AL27" s="666" t="str">
        <f>IF(OR($A27="F&amp;F",$G27=""),"",IF(AL$8&gt;$G27,IF(OR(status1B5!AM27=1,status1B5!AM27=2,'BOULEVARD 5'!AO25&gt;0),"Pagado","impago"),""))</f>
        <v>Pagado</v>
      </c>
      <c r="AM27" s="666" t="str">
        <f>IF(OR($A27="F&amp;F",$G27=""),"",IF(AM$8&gt;$G27,IF(OR(status1B5!AN27=1,status1B5!AN27=2,'BOULEVARD 5'!AP25&gt;0),"Pagado","impago"),""))</f>
        <v>Pagado</v>
      </c>
      <c r="AN27" s="666" t="str">
        <f>IF(OR($A27="F&amp;F",$G27=""),"",IF(AN$8&gt;$G27,IF(OR(status1B5!AO27=1,status1B5!AO27=2,'BOULEVARD 5'!AQ25&gt;0),"Pagado","impago"),""))</f>
        <v>Pagado</v>
      </c>
      <c r="AO27" s="666" t="str">
        <f>IF(OR($A27="F&amp;F",$G27=""),"",IF(AO$8&gt;$G27,IF(OR(status1B5!AP27=1,status1B5!AP27=2,'BOULEVARD 5'!AS25&gt;0),"Pagado","impago"),""))</f>
        <v>Pagado</v>
      </c>
      <c r="AP27" s="429" t="str">
        <f t="shared" si="5"/>
        <v>Vendido</v>
      </c>
    </row>
    <row r="28" spans="1:42" s="429" customFormat="1" ht="13.9" customHeight="1" x14ac:dyDescent="0.25">
      <c r="A28" s="472"/>
      <c r="B28" s="436">
        <f>'BOULEVARD 5'!B26</f>
        <v>206</v>
      </c>
      <c r="C28" s="436" t="s">
        <v>355</v>
      </c>
      <c r="D28" s="436"/>
      <c r="E28" s="436" t="str">
        <f>IF('BOULEVARD 5'!E26="","",'BOULEVARD 5'!E26)</f>
        <v/>
      </c>
      <c r="F28" s="429" t="str">
        <f>IF('BOULEVARD 5'!F26="","",'BOULEVARD 5'!F26)</f>
        <v/>
      </c>
      <c r="G28" s="473" t="str">
        <f>IF('BOULEVARD 5'!G26="","",'BOULEVARD 5'!G26)</f>
        <v/>
      </c>
      <c r="H28" s="666" t="str">
        <f>IF(OR($A28="F&amp;F",$G28=""),"",IF(H$8&gt;$G28,IF(OR(status1B5!I28=1,status1B5!I28=2,'BOULEVARD 5'!K26&gt;0),"Pagado","impago"),""))</f>
        <v/>
      </c>
      <c r="I28" s="666" t="str">
        <f>IF(OR($A28="F&amp;F",$G28=""),"",IF(I$8&gt;$G28,IF(OR(status1B5!J28=1,status1B5!J28=2,'BOULEVARD 5'!L26&gt;0),"Pagado","impago"),""))</f>
        <v/>
      </c>
      <c r="J28" s="666" t="str">
        <f>IF(OR($A28="F&amp;F",$G28=""),"",IF(J$8&gt;$G28,IF(OR(status1B5!K28=1,status1B5!K28=2,'BOULEVARD 5'!M26&gt;0),"Pagado","impago"),""))</f>
        <v/>
      </c>
      <c r="K28" s="666" t="str">
        <f>IF(OR($A28="F&amp;F",$G28=""),"",IF(K$8&gt;$G28,IF(OR(status1B5!L28=1,status1B5!L28=2,'BOULEVARD 5'!N26&gt;0),"Pagado","impago"),""))</f>
        <v/>
      </c>
      <c r="L28" s="666" t="str">
        <f>IF(OR($A28="F&amp;F",$G28=""),"",IF(L$8&gt;$G28,IF(OR(status1B5!M28=1,status1B5!M28=2,'BOULEVARD 5'!O26&gt;0),"Pagado","impago"),""))</f>
        <v/>
      </c>
      <c r="M28" s="666" t="str">
        <f>IF(OR($A28="F&amp;F",$G28=""),"",IF(M$8&gt;$G28,IF(OR(status1B5!N28=1,status1B5!N28=2,'BOULEVARD 5'!P26&gt;0),"Pagado","impago"),""))</f>
        <v/>
      </c>
      <c r="N28" s="666" t="str">
        <f>IF(OR($A28="F&amp;F",$G28=""),"",IF(N$8&gt;$G28,IF(OR(status1B5!O28=1,status1B5!O28=2,'BOULEVARD 5'!Q26&gt;0),"Pagado","impago"),""))</f>
        <v/>
      </c>
      <c r="O28" s="666" t="str">
        <f>IF(OR($A28="F&amp;F",$G28=""),"",IF(O$8&gt;$G28,IF(OR(status1B5!P28=1,status1B5!P28=2,'BOULEVARD 5'!R26&gt;0),"Pagado","impago"),""))</f>
        <v/>
      </c>
      <c r="P28" s="666" t="str">
        <f>IF(OR($A28="F&amp;F",$G28=""),"",IF(P$8&gt;$G28,IF(OR(status1B5!Q28=1,status1B5!Q28=2,'BOULEVARD 5'!S26&gt;0),"Pagado","impago"),""))</f>
        <v/>
      </c>
      <c r="Q28" s="666" t="str">
        <f>IF(OR($A28="F&amp;F",$G28=""),"",IF(Q$8&gt;$G28,IF(OR(status1B5!R28=1,status1B5!R28=2,'BOULEVARD 5'!T26&gt;0),"Pagado","impago"),""))</f>
        <v/>
      </c>
      <c r="R28" s="666" t="str">
        <f>IF(OR($A28="F&amp;F",$G28=""),"",IF(R$8&gt;$G28,IF(OR(status1B5!S28=1,status1B5!S28=2,'BOULEVARD 5'!U26&gt;0),"Pagado","impago"),""))</f>
        <v/>
      </c>
      <c r="S28" s="666" t="str">
        <f>IF(OR($A28="F&amp;F",$G28=""),"",IF(S$8&gt;$G28,IF(OR(status1B5!T28=1,status1B5!T28=2,'BOULEVARD 5'!V26&gt;0),"Pagado","impago"),""))</f>
        <v/>
      </c>
      <c r="T28" s="666" t="str">
        <f>IF(OR($A28="F&amp;F",$G28=""),"",IF(T$8&gt;$G28,IF(OR(status1B5!U28=1,status1B5!U28=2,'BOULEVARD 5'!W26&gt;0),"Pagado","impago"),""))</f>
        <v/>
      </c>
      <c r="U28" s="666" t="str">
        <f>IF(OR($A28="F&amp;F",$G28=""),"",IF(U$8&gt;$G28,IF(OR(status1B5!V28=1,status1B5!V28=2,'BOULEVARD 5'!X26&gt;0),"Pagado","impago"),""))</f>
        <v/>
      </c>
      <c r="V28" s="666" t="str">
        <f>IF(OR($A28="F&amp;F",$G28=""),"",IF(V$8&gt;$G28,IF(OR(status1B5!W28=1,status1B5!W28=2,'BOULEVARD 5'!Y26&gt;0),"Pagado","impago"),""))</f>
        <v/>
      </c>
      <c r="W28" s="666" t="str">
        <f>IF(OR($A28="F&amp;F",$G28=""),"",IF(W$8&gt;$G28,IF(OR(status1B5!X28=1,status1B5!X28=2,'BOULEVARD 5'!Z26&gt;0),"Pagado","impago"),""))</f>
        <v/>
      </c>
      <c r="X28" s="666" t="str">
        <f>IF(OR($A28="F&amp;F",$G28=""),"",IF(X$8&gt;$G28,IF(OR(status1B5!Y28=1,status1B5!Y28=2,'BOULEVARD 5'!AA26&gt;0),"Pagado","impago"),""))</f>
        <v/>
      </c>
      <c r="Y28" s="666" t="str">
        <f>IF(OR($A28="F&amp;F",$G28=""),"",IF(Y$8&gt;$G28,IF(OR(status1B5!Z28=1,status1B5!Z28=2,'BOULEVARD 5'!AB26&gt;0),"Pagado","impago"),""))</f>
        <v/>
      </c>
      <c r="Z28" s="666" t="str">
        <f>IF(OR($A28="F&amp;F",$G28=""),"",IF(Z$8&gt;$G28,IF(OR(status1B5!AA28=1,status1B5!AA28=2,'BOULEVARD 5'!AC26&gt;0),"Pagado","impago"),""))</f>
        <v/>
      </c>
      <c r="AA28" s="666" t="str">
        <f>IF(OR($A28="F&amp;F",$G28=""),"",IF(AA$8&gt;$G28,IF(OR(status1B5!AB28=1,status1B5!AB28=2,'BOULEVARD 5'!AD26&gt;0),"Pagado","impago"),""))</f>
        <v/>
      </c>
      <c r="AB28" s="666" t="str">
        <f>IF(OR($A28="F&amp;F",$G28=""),"",IF(AB$8&gt;$G28,IF(OR(status1B5!AC28=1,status1B5!AC28=2,'BOULEVARD 5'!AE26&gt;0),"Pagado","impago"),""))</f>
        <v/>
      </c>
      <c r="AC28" s="666" t="str">
        <f>IF(OR($A28="F&amp;F",$G28=""),"",IF(AC$8&gt;$G28,IF(OR(status1B5!AD28=1,status1B5!AD28=2,'BOULEVARD 5'!AF26&gt;0),"Pagado","impago"),""))</f>
        <v/>
      </c>
      <c r="AD28" s="666" t="str">
        <f>IF(OR($A28="F&amp;F",$G28=""),"",IF(AD$8&gt;$G28,IF(OR(status1B5!AE28=1,status1B5!AE28=2,'BOULEVARD 5'!AG26&gt;0),"Pagado","impago"),""))</f>
        <v/>
      </c>
      <c r="AE28" s="666" t="str">
        <f>IF(OR($A28="F&amp;F",$G28=""),"",IF(AE$8&gt;$G28,IF(OR(status1B5!AF28=1,status1B5!AF28=2,'BOULEVARD 5'!AH26&gt;0),"Pagado","impago"),""))</f>
        <v/>
      </c>
      <c r="AF28" s="666" t="str">
        <f>IF(OR($A28="F&amp;F",$G28=""),"",IF(AF$8&gt;$G28,IF(OR(status1B5!AG28=1,status1B5!AG28=2,'BOULEVARD 5'!AI26&gt;0),"Pagado","impago"),""))</f>
        <v/>
      </c>
      <c r="AG28" s="666" t="str">
        <f>IF(OR($A28="F&amp;F",$G28=""),"",IF(AG$8&gt;$G28,IF(OR(status1B5!AH28=1,status1B5!AH28=2,'BOULEVARD 5'!AJ26&gt;0),"Pagado","impago"),""))</f>
        <v/>
      </c>
      <c r="AH28" s="666" t="str">
        <f>IF(OR($A28="F&amp;F",$G28=""),"",IF(AH$8&gt;$G28,IF(OR(status1B5!AI28=1,status1B5!AI28=2,'BOULEVARD 5'!AK26&gt;0),"Pagado","impago"),""))</f>
        <v/>
      </c>
      <c r="AI28" s="666" t="str">
        <f>IF(OR($A28="F&amp;F",$G28=""),"",IF(AI$8&gt;$G28,IF(OR(status1B5!AJ28=1,status1B5!AJ28=2,'BOULEVARD 5'!AL26&gt;0),"Pagado","impago"),""))</f>
        <v/>
      </c>
      <c r="AJ28" s="666" t="str">
        <f>IF(OR($A28="F&amp;F",$G28=""),"",IF(AJ$8&gt;$G28,IF(OR(status1B5!AK28=1,status1B5!AK28=2,'BOULEVARD 5'!AM26&gt;0),"Pagado","impago"),""))</f>
        <v/>
      </c>
      <c r="AK28" s="666" t="str">
        <f>IF(OR($A28="F&amp;F",$G28=""),"",IF(AK$8&gt;$G28,IF(OR(status1B5!AL28=1,status1B5!AL28=2,'BOULEVARD 5'!AN26&gt;0),"Pagado","impago"),""))</f>
        <v/>
      </c>
      <c r="AL28" s="666" t="str">
        <f>IF(OR($A28="F&amp;F",$G28=""),"",IF(AL$8&gt;$G28,IF(OR(status1B5!AM28=1,status1B5!AM28=2,'BOULEVARD 5'!AO26&gt;0),"Pagado","impago"),""))</f>
        <v/>
      </c>
      <c r="AM28" s="666" t="str">
        <f>IF(OR($A28="F&amp;F",$G28=""),"",IF(AM$8&gt;$G28,IF(OR(status1B5!AN28=1,status1B5!AN28=2,'BOULEVARD 5'!AP26&gt;0),"Pagado","impago"),""))</f>
        <v/>
      </c>
      <c r="AN28" s="666" t="str">
        <f>IF(OR($A28="F&amp;F",$G28=""),"",IF(AN$8&gt;$G28,IF(OR(status1B5!AO28=1,status1B5!AO28=2,'BOULEVARD 5'!AQ26&gt;0),"Pagado","impago"),""))</f>
        <v/>
      </c>
      <c r="AO28" s="666" t="str">
        <f>IF(OR($A28="F&amp;F",$G28=""),"",IF(AO$8&gt;$G28,IF(OR(status1B5!AP28=1,status1B5!AP28=2,'BOULEVARD 5'!AS26&gt;0),"Pagado","impago"),""))</f>
        <v/>
      </c>
      <c r="AP28" s="429" t="str">
        <f t="shared" si="4"/>
        <v>No Vendido</v>
      </c>
    </row>
    <row r="29" spans="1:42" s="429" customFormat="1" ht="13.9" customHeight="1" x14ac:dyDescent="0.25">
      <c r="A29" s="472"/>
      <c r="B29" s="436">
        <f>'BOULEVARD 5'!B27</f>
        <v>207</v>
      </c>
      <c r="C29" s="436" t="s">
        <v>355</v>
      </c>
      <c r="D29" s="436"/>
      <c r="E29" s="436" t="str">
        <f>IF('BOULEVARD 5'!E27="","",'BOULEVARD 5'!E27)</f>
        <v>Anahí Cisneros</v>
      </c>
      <c r="F29" s="429" t="str">
        <f>IF('BOULEVARD 5'!F27="","",'BOULEVARD 5'!F27)</f>
        <v/>
      </c>
      <c r="G29" s="473" t="str">
        <f>IF('BOULEVARD 5'!G27="","",'BOULEVARD 5'!G27)</f>
        <v/>
      </c>
      <c r="H29" s="666" t="str">
        <f>IF(OR($A29="F&amp;F",$G29=""),"",IF(H$8&gt;$G29,IF(OR(status1B5!I29=1,status1B5!I29=2,'BOULEVARD 5'!K27&gt;0),"Pagado","impago"),""))</f>
        <v/>
      </c>
      <c r="I29" s="666" t="str">
        <f>IF(OR($A29="F&amp;F",$G29=""),"",IF(I$8&gt;$G29,IF(OR(status1B5!J29=1,status1B5!J29=2,'BOULEVARD 5'!L27&gt;0),"Pagado","impago"),""))</f>
        <v/>
      </c>
      <c r="J29" s="666" t="str">
        <f>IF(OR($A29="F&amp;F",$G29=""),"",IF(J$8&gt;$G29,IF(OR(status1B5!K29=1,status1B5!K29=2,'BOULEVARD 5'!M27&gt;0),"Pagado","impago"),""))</f>
        <v/>
      </c>
      <c r="K29" s="666" t="str">
        <f>IF(OR($A29="F&amp;F",$G29=""),"",IF(K$8&gt;$G29,IF(OR(status1B5!L29=1,status1B5!L29=2,'BOULEVARD 5'!N27&gt;0),"Pagado","impago"),""))</f>
        <v/>
      </c>
      <c r="L29" s="666" t="str">
        <f>IF(OR($A29="F&amp;F",$G29=""),"",IF(L$8&gt;$G29,IF(OR(status1B5!M29=1,status1B5!M29=2,'BOULEVARD 5'!O27&gt;0),"Pagado","impago"),""))</f>
        <v/>
      </c>
      <c r="M29" s="666" t="str">
        <f>IF(OR($A29="F&amp;F",$G29=""),"",IF(M$8&gt;$G29,IF(OR(status1B5!N29=1,status1B5!N29=2,'BOULEVARD 5'!P27&gt;0),"Pagado","impago"),""))</f>
        <v/>
      </c>
      <c r="N29" s="666" t="str">
        <f>IF(OR($A29="F&amp;F",$G29=""),"",IF(N$8&gt;$G29,IF(OR(status1B5!O29=1,status1B5!O29=2,'BOULEVARD 5'!Q27&gt;0),"Pagado","impago"),""))</f>
        <v/>
      </c>
      <c r="O29" s="666" t="str">
        <f>IF(OR($A29="F&amp;F",$G29=""),"",IF(O$8&gt;$G29,IF(OR(status1B5!P29=1,status1B5!P29=2,'BOULEVARD 5'!R27&gt;0),"Pagado","impago"),""))</f>
        <v/>
      </c>
      <c r="P29" s="666" t="str">
        <f>IF(OR($A29="F&amp;F",$G29=""),"",IF(P$8&gt;$G29,IF(OR(status1B5!Q29=1,status1B5!Q29=2,'BOULEVARD 5'!S27&gt;0),"Pagado","impago"),""))</f>
        <v/>
      </c>
      <c r="Q29" s="666" t="str">
        <f>IF(OR($A29="F&amp;F",$G29=""),"",IF(Q$8&gt;$G29,IF(OR(status1B5!R29=1,status1B5!R29=2,'BOULEVARD 5'!T27&gt;0),"Pagado","impago"),""))</f>
        <v/>
      </c>
      <c r="R29" s="666" t="str">
        <f>IF(OR($A29="F&amp;F",$G29=""),"",IF(R$8&gt;$G29,IF(OR(status1B5!S29=1,status1B5!S29=2,'BOULEVARD 5'!U27&gt;0),"Pagado","impago"),""))</f>
        <v/>
      </c>
      <c r="S29" s="666" t="str">
        <f>IF(OR($A29="F&amp;F",$G29=""),"",IF(S$8&gt;$G29,IF(OR(status1B5!T29=1,status1B5!T29=2,'BOULEVARD 5'!V27&gt;0),"Pagado","impago"),""))</f>
        <v/>
      </c>
      <c r="T29" s="666" t="str">
        <f>IF(OR($A29="F&amp;F",$G29=""),"",IF(T$8&gt;$G29,IF(OR(status1B5!U29=1,status1B5!U29=2,'BOULEVARD 5'!W27&gt;0),"Pagado","impago"),""))</f>
        <v/>
      </c>
      <c r="U29" s="666" t="str">
        <f>IF(OR($A29="F&amp;F",$G29=""),"",IF(U$8&gt;$G29,IF(OR(status1B5!V29=1,status1B5!V29=2,'BOULEVARD 5'!X27&gt;0),"Pagado","impago"),""))</f>
        <v/>
      </c>
      <c r="V29" s="666" t="str">
        <f>IF(OR($A29="F&amp;F",$G29=""),"",IF(V$8&gt;$G29,IF(OR(status1B5!W29=1,status1B5!W29=2,'BOULEVARD 5'!Y27&gt;0),"Pagado","impago"),""))</f>
        <v/>
      </c>
      <c r="W29" s="666" t="str">
        <f>IF(OR($A29="F&amp;F",$G29=""),"",IF(W$8&gt;$G29,IF(OR(status1B5!X29=1,status1B5!X29=2,'BOULEVARD 5'!Z27&gt;0),"Pagado","impago"),""))</f>
        <v/>
      </c>
      <c r="X29" s="666" t="str">
        <f>IF(OR($A29="F&amp;F",$G29=""),"",IF(X$8&gt;$G29,IF(OR(status1B5!Y29=1,status1B5!Y29=2,'BOULEVARD 5'!AA27&gt;0),"Pagado","impago"),""))</f>
        <v/>
      </c>
      <c r="Y29" s="666" t="str">
        <f>IF(OR($A29="F&amp;F",$G29=""),"",IF(Y$8&gt;$G29,IF(OR(status1B5!Z29=1,status1B5!Z29=2,'BOULEVARD 5'!AB27&gt;0),"Pagado","impago"),""))</f>
        <v/>
      </c>
      <c r="Z29" s="666" t="str">
        <f>IF(OR($A29="F&amp;F",$G29=""),"",IF(Z$8&gt;$G29,IF(OR(status1B5!AA29=1,status1B5!AA29=2,'BOULEVARD 5'!AC27&gt;0),"Pagado","impago"),""))</f>
        <v/>
      </c>
      <c r="AA29" s="666" t="str">
        <f>IF(OR($A29="F&amp;F",$G29=""),"",IF(AA$8&gt;$G29,IF(OR(status1B5!AB29=1,status1B5!AB29=2,'BOULEVARD 5'!AD27&gt;0),"Pagado","impago"),""))</f>
        <v/>
      </c>
      <c r="AB29" s="666" t="str">
        <f>IF(OR($A29="F&amp;F",$G29=""),"",IF(AB$8&gt;$G29,IF(OR(status1B5!AC29=1,status1B5!AC29=2,'BOULEVARD 5'!AE27&gt;0),"Pagado","impago"),""))</f>
        <v/>
      </c>
      <c r="AC29" s="666" t="str">
        <f>IF(OR($A29="F&amp;F",$G29=""),"",IF(AC$8&gt;$G29,IF(OR(status1B5!AD29=1,status1B5!AD29=2,'BOULEVARD 5'!AF27&gt;0),"Pagado","impago"),""))</f>
        <v/>
      </c>
      <c r="AD29" s="666" t="str">
        <f>IF(OR($A29="F&amp;F",$G29=""),"",IF(AD$8&gt;$G29,IF(OR(status1B5!AE29=1,status1B5!AE29=2,'BOULEVARD 5'!AG27&gt;0),"Pagado","impago"),""))</f>
        <v/>
      </c>
      <c r="AE29" s="666" t="str">
        <f>IF(OR($A29="F&amp;F",$G29=""),"",IF(AE$8&gt;$G29,IF(OR(status1B5!AF29=1,status1B5!AF29=2,'BOULEVARD 5'!AH27&gt;0),"Pagado","impago"),""))</f>
        <v/>
      </c>
      <c r="AF29" s="666" t="str">
        <f>IF(OR($A29="F&amp;F",$G29=""),"",IF(AF$8&gt;$G29,IF(OR(status1B5!AG29=1,status1B5!AG29=2,'BOULEVARD 5'!AI27&gt;0),"Pagado","impago"),""))</f>
        <v/>
      </c>
      <c r="AG29" s="666" t="str">
        <f>IF(OR($A29="F&amp;F",$G29=""),"",IF(AG$8&gt;$G29,IF(OR(status1B5!AH29=1,status1B5!AH29=2,'BOULEVARD 5'!AJ27&gt;0),"Pagado","impago"),""))</f>
        <v/>
      </c>
      <c r="AH29" s="666" t="str">
        <f>IF(OR($A29="F&amp;F",$G29=""),"",IF(AH$8&gt;$G29,IF(OR(status1B5!AI29=1,status1B5!AI29=2,'BOULEVARD 5'!AK27&gt;0),"Pagado","impago"),""))</f>
        <v/>
      </c>
      <c r="AI29" s="666" t="str">
        <f>IF(OR($A29="F&amp;F",$G29=""),"",IF(AI$8&gt;$G29,IF(OR(status1B5!AJ29=1,status1B5!AJ29=2,'BOULEVARD 5'!AL27&gt;0),"Pagado","impago"),""))</f>
        <v/>
      </c>
      <c r="AJ29" s="666" t="str">
        <f>IF(OR($A29="F&amp;F",$G29=""),"",IF(AJ$8&gt;$G29,IF(OR(status1B5!AK29=1,status1B5!AK29=2,'BOULEVARD 5'!AM27&gt;0),"Pagado","impago"),""))</f>
        <v/>
      </c>
      <c r="AK29" s="666" t="str">
        <f>IF(OR($A29="F&amp;F",$G29=""),"",IF(AK$8&gt;$G29,IF(OR(status1B5!AL29=1,status1B5!AL29=2,'BOULEVARD 5'!AN27&gt;0),"Pagado","impago"),""))</f>
        <v/>
      </c>
      <c r="AL29" s="666" t="str">
        <f>IF(OR($A29="F&amp;F",$G29=""),"",IF(AL$8&gt;$G29,IF(OR(status1B5!AM29=1,status1B5!AM29=2,'BOULEVARD 5'!AO27&gt;0),"Pagado","impago"),""))</f>
        <v/>
      </c>
      <c r="AM29" s="666" t="str">
        <f>IF(OR($A29="F&amp;F",$G29=""),"",IF(AM$8&gt;$G29,IF(OR(status1B5!AN29=1,status1B5!AN29=2,'BOULEVARD 5'!AP27&gt;0),"Pagado","impago"),""))</f>
        <v/>
      </c>
      <c r="AN29" s="666" t="str">
        <f>IF(OR($A29="F&amp;F",$G29=""),"",IF(AN$8&gt;$G29,IF(OR(status1B5!AO29=1,status1B5!AO29=2,'BOULEVARD 5'!AQ27&gt;0),"Pagado","impago"),""))</f>
        <v/>
      </c>
      <c r="AO29" s="666" t="str">
        <f>IF(OR($A29="F&amp;F",$G29=""),"",IF(AO$8&gt;$G29,IF(OR(status1B5!AP29=1,status1B5!AP29=2,'BOULEVARD 5'!AS27&gt;0),"Pagado","impago"),""))</f>
        <v/>
      </c>
      <c r="AP29" s="429" t="str">
        <f t="shared" si="4"/>
        <v>No Vendido</v>
      </c>
    </row>
    <row r="30" spans="1:42" s="429" customFormat="1" ht="13.9" customHeight="1" x14ac:dyDescent="0.25">
      <c r="A30" s="472"/>
      <c r="B30" s="436">
        <f>'BOULEVARD 5'!B28</f>
        <v>208</v>
      </c>
      <c r="C30" s="436" t="s">
        <v>355</v>
      </c>
      <c r="D30" s="436"/>
      <c r="E30" s="436" t="str">
        <f>IF('BOULEVARD 5'!E28="","",'BOULEVARD 5'!E28)</f>
        <v/>
      </c>
      <c r="F30" s="429" t="str">
        <f>IF('BOULEVARD 5'!F28="","",'BOULEVARD 5'!F28)</f>
        <v/>
      </c>
      <c r="G30" s="473" t="str">
        <f>IF('BOULEVARD 5'!G28="","",'BOULEVARD 5'!G28)</f>
        <v/>
      </c>
      <c r="H30" s="666" t="str">
        <f>IF(OR($A30="F&amp;F",$G30=""),"",IF(H$8&gt;$G30,IF(OR(status1B5!I30=1,status1B5!I30=2,'BOULEVARD 5'!K28&gt;0),"Pagado","impago"),""))</f>
        <v/>
      </c>
      <c r="I30" s="666" t="str">
        <f>IF(OR($A30="F&amp;F",$G30=""),"",IF(I$8&gt;$G30,IF(OR(status1B5!J30=1,status1B5!J30=2,'BOULEVARD 5'!L28&gt;0),"Pagado","impago"),""))</f>
        <v/>
      </c>
      <c r="J30" s="666" t="str">
        <f>IF(OR($A30="F&amp;F",$G30=""),"",IF(J$8&gt;$G30,IF(OR(status1B5!K30=1,status1B5!K30=2,'BOULEVARD 5'!M28&gt;0),"Pagado","impago"),""))</f>
        <v/>
      </c>
      <c r="K30" s="666" t="str">
        <f>IF(OR($A30="F&amp;F",$G30=""),"",IF(K$8&gt;$G30,IF(OR(status1B5!L30=1,status1B5!L30=2,'BOULEVARD 5'!N28&gt;0),"Pagado","impago"),""))</f>
        <v/>
      </c>
      <c r="L30" s="666" t="str">
        <f>IF(OR($A30="F&amp;F",$G30=""),"",IF(L$8&gt;$G30,IF(OR(status1B5!M30=1,status1B5!M30=2,'BOULEVARD 5'!O28&gt;0),"Pagado","impago"),""))</f>
        <v/>
      </c>
      <c r="M30" s="666" t="str">
        <f>IF(OR($A30="F&amp;F",$G30=""),"",IF(M$8&gt;$G30,IF(OR(status1B5!N30=1,status1B5!N30=2,'BOULEVARD 5'!P28&gt;0),"Pagado","impago"),""))</f>
        <v/>
      </c>
      <c r="N30" s="666" t="str">
        <f>IF(OR($A30="F&amp;F",$G30=""),"",IF(N$8&gt;$G30,IF(OR(status1B5!O30=1,status1B5!O30=2,'BOULEVARD 5'!Q28&gt;0),"Pagado","impago"),""))</f>
        <v/>
      </c>
      <c r="O30" s="666" t="str">
        <f>IF(OR($A30="F&amp;F",$G30=""),"",IF(O$8&gt;$G30,IF(OR(status1B5!P30=1,status1B5!P30=2,'BOULEVARD 5'!R28&gt;0),"Pagado","impago"),""))</f>
        <v/>
      </c>
      <c r="P30" s="666" t="str">
        <f>IF(OR($A30="F&amp;F",$G30=""),"",IF(P$8&gt;$G30,IF(OR(status1B5!Q30=1,status1B5!Q30=2,'BOULEVARD 5'!S28&gt;0),"Pagado","impago"),""))</f>
        <v/>
      </c>
      <c r="Q30" s="666" t="str">
        <f>IF(OR($A30="F&amp;F",$G30=""),"",IF(Q$8&gt;$G30,IF(OR(status1B5!R30=1,status1B5!R30=2,'BOULEVARD 5'!T28&gt;0),"Pagado","impago"),""))</f>
        <v/>
      </c>
      <c r="R30" s="666" t="str">
        <f>IF(OR($A30="F&amp;F",$G30=""),"",IF(R$8&gt;$G30,IF(OR(status1B5!S30=1,status1B5!S30=2,'BOULEVARD 5'!U28&gt;0),"Pagado","impago"),""))</f>
        <v/>
      </c>
      <c r="S30" s="666" t="str">
        <f>IF(OR($A30="F&amp;F",$G30=""),"",IF(S$8&gt;$G30,IF(OR(status1B5!T30=1,status1B5!T30=2,'BOULEVARD 5'!V28&gt;0),"Pagado","impago"),""))</f>
        <v/>
      </c>
      <c r="T30" s="666" t="str">
        <f>IF(OR($A30="F&amp;F",$G30=""),"",IF(T$8&gt;$G30,IF(OR(status1B5!U30=1,status1B5!U30=2,'BOULEVARD 5'!W28&gt;0),"Pagado","impago"),""))</f>
        <v/>
      </c>
      <c r="U30" s="666" t="str">
        <f>IF(OR($A30="F&amp;F",$G30=""),"",IF(U$8&gt;$G30,IF(OR(status1B5!V30=1,status1B5!V30=2,'BOULEVARD 5'!X28&gt;0),"Pagado","impago"),""))</f>
        <v/>
      </c>
      <c r="V30" s="666" t="str">
        <f>IF(OR($A30="F&amp;F",$G30=""),"",IF(V$8&gt;$G30,IF(OR(status1B5!W30=1,status1B5!W30=2,'BOULEVARD 5'!Y28&gt;0),"Pagado","impago"),""))</f>
        <v/>
      </c>
      <c r="W30" s="666" t="str">
        <f>IF(OR($A30="F&amp;F",$G30=""),"",IF(W$8&gt;$G30,IF(OR(status1B5!X30=1,status1B5!X30=2,'BOULEVARD 5'!Z28&gt;0),"Pagado","impago"),""))</f>
        <v/>
      </c>
      <c r="X30" s="666" t="str">
        <f>IF(OR($A30="F&amp;F",$G30=""),"",IF(X$8&gt;$G30,IF(OR(status1B5!Y30=1,status1B5!Y30=2,'BOULEVARD 5'!AA28&gt;0),"Pagado","impago"),""))</f>
        <v/>
      </c>
      <c r="Y30" s="666" t="str">
        <f>IF(OR($A30="F&amp;F",$G30=""),"",IF(Y$8&gt;$G30,IF(OR(status1B5!Z30=1,status1B5!Z30=2,'BOULEVARD 5'!AB28&gt;0),"Pagado","impago"),""))</f>
        <v/>
      </c>
      <c r="Z30" s="666" t="str">
        <f>IF(OR($A30="F&amp;F",$G30=""),"",IF(Z$8&gt;$G30,IF(OR(status1B5!AA30=1,status1B5!AA30=2,'BOULEVARD 5'!AC28&gt;0),"Pagado","impago"),""))</f>
        <v/>
      </c>
      <c r="AA30" s="666" t="str">
        <f>IF(OR($A30="F&amp;F",$G30=""),"",IF(AA$8&gt;$G30,IF(OR(status1B5!AB30=1,status1B5!AB30=2,'BOULEVARD 5'!AD28&gt;0),"Pagado","impago"),""))</f>
        <v/>
      </c>
      <c r="AB30" s="666" t="str">
        <f>IF(OR($A30="F&amp;F",$G30=""),"",IF(AB$8&gt;$G30,IF(OR(status1B5!AC30=1,status1B5!AC30=2,'BOULEVARD 5'!AE28&gt;0),"Pagado","impago"),""))</f>
        <v/>
      </c>
      <c r="AC30" s="666" t="str">
        <f>IF(OR($A30="F&amp;F",$G30=""),"",IF(AC$8&gt;$G30,IF(OR(status1B5!AD30=1,status1B5!AD30=2,'BOULEVARD 5'!AF28&gt;0),"Pagado","impago"),""))</f>
        <v/>
      </c>
      <c r="AD30" s="666" t="str">
        <f>IF(OR($A30="F&amp;F",$G30=""),"",IF(AD$8&gt;$G30,IF(OR(status1B5!AE30=1,status1B5!AE30=2,'BOULEVARD 5'!AG28&gt;0),"Pagado","impago"),""))</f>
        <v/>
      </c>
      <c r="AE30" s="666" t="str">
        <f>IF(OR($A30="F&amp;F",$G30=""),"",IF(AE$8&gt;$G30,IF(OR(status1B5!AF30=1,status1B5!AF30=2,'BOULEVARD 5'!AH28&gt;0),"Pagado","impago"),""))</f>
        <v/>
      </c>
      <c r="AF30" s="666" t="str">
        <f>IF(OR($A30="F&amp;F",$G30=""),"",IF(AF$8&gt;$G30,IF(OR(status1B5!AG30=1,status1B5!AG30=2,'BOULEVARD 5'!AI28&gt;0),"Pagado","impago"),""))</f>
        <v/>
      </c>
      <c r="AG30" s="666" t="str">
        <f>IF(OR($A30="F&amp;F",$G30=""),"",IF(AG$8&gt;$G30,IF(OR(status1B5!AH30=1,status1B5!AH30=2,'BOULEVARD 5'!AJ28&gt;0),"Pagado","impago"),""))</f>
        <v/>
      </c>
      <c r="AH30" s="666" t="str">
        <f>IF(OR($A30="F&amp;F",$G30=""),"",IF(AH$8&gt;$G30,IF(OR(status1B5!AI30=1,status1B5!AI30=2,'BOULEVARD 5'!AK28&gt;0),"Pagado","impago"),""))</f>
        <v/>
      </c>
      <c r="AI30" s="666" t="str">
        <f>IF(OR($A30="F&amp;F",$G30=""),"",IF(AI$8&gt;$G30,IF(OR(status1B5!AJ30=1,status1B5!AJ30=2,'BOULEVARD 5'!AL28&gt;0),"Pagado","impago"),""))</f>
        <v/>
      </c>
      <c r="AJ30" s="666" t="str">
        <f>IF(OR($A30="F&amp;F",$G30=""),"",IF(AJ$8&gt;$G30,IF(OR(status1B5!AK30=1,status1B5!AK30=2,'BOULEVARD 5'!AM28&gt;0),"Pagado","impago"),""))</f>
        <v/>
      </c>
      <c r="AK30" s="666" t="str">
        <f>IF(OR($A30="F&amp;F",$G30=""),"",IF(AK$8&gt;$G30,IF(OR(status1B5!AL30=1,status1B5!AL30=2,'BOULEVARD 5'!AN28&gt;0),"Pagado","impago"),""))</f>
        <v/>
      </c>
      <c r="AL30" s="666" t="str">
        <f>IF(OR($A30="F&amp;F",$G30=""),"",IF(AL$8&gt;$G30,IF(OR(status1B5!AM30=1,status1B5!AM30=2,'BOULEVARD 5'!AO28&gt;0),"Pagado","impago"),""))</f>
        <v/>
      </c>
      <c r="AM30" s="666" t="str">
        <f>IF(OR($A30="F&amp;F",$G30=""),"",IF(AM$8&gt;$G30,IF(OR(status1B5!AN30=1,status1B5!AN30=2,'BOULEVARD 5'!AP28&gt;0),"Pagado","impago"),""))</f>
        <v/>
      </c>
      <c r="AN30" s="666" t="str">
        <f>IF(OR($A30="F&amp;F",$G30=""),"",IF(AN$8&gt;$G30,IF(OR(status1B5!AO30=1,status1B5!AO30=2,'BOULEVARD 5'!AQ28&gt;0),"Pagado","impago"),""))</f>
        <v/>
      </c>
      <c r="AO30" s="666" t="str">
        <f>IF(OR($A30="F&amp;F",$G30=""),"",IF(AO$8&gt;$G30,IF(OR(status1B5!AP30=1,status1B5!AP30=2,'BOULEVARD 5'!AS28&gt;0),"Pagado","impago"),""))</f>
        <v/>
      </c>
      <c r="AP30" s="429" t="str">
        <f t="shared" si="4"/>
        <v>No Vendido</v>
      </c>
    </row>
    <row r="31" spans="1:42" s="429" customFormat="1" ht="13.9" customHeight="1" x14ac:dyDescent="0.25">
      <c r="A31" s="472"/>
      <c r="B31" s="436">
        <f>'BOULEVARD 5'!B29</f>
        <v>209</v>
      </c>
      <c r="C31" s="436" t="s">
        <v>355</v>
      </c>
      <c r="D31" s="641"/>
      <c r="E31" s="436" t="str">
        <f>IF('BOULEVARD 5'!E29="","",'BOULEVARD 5'!E29)</f>
        <v>Antonio Rada</v>
      </c>
      <c r="F31" s="429" t="str">
        <f>IF('BOULEVARD 5'!F29="","",'BOULEVARD 5'!F29)</f>
        <v>Igor Alejandro Salazar Zamora</v>
      </c>
      <c r="G31" s="473">
        <f>IF('BOULEVARD 5'!G29="","",'BOULEVARD 5'!G29)</f>
        <v>45838</v>
      </c>
      <c r="H31" s="666" t="str">
        <f>IF(OR($A31="F&amp;F",$G31=""),"",IF(H$8&gt;$G31,IF(OR(status1B5!I31=1,status1B5!I31=2,'BOULEVARD 5'!K29&gt;0),"Pagado","impago"),""))</f>
        <v/>
      </c>
      <c r="I31" s="666" t="str">
        <f>IF(OR($A31="F&amp;F",$G31=""),"",IF(I$8&gt;$G31,IF(OR(status1B5!J31=1,status1B5!J31=2,'BOULEVARD 5'!L29&gt;0),"Pagado","impago"),""))</f>
        <v/>
      </c>
      <c r="J31" s="666" t="str">
        <f>IF(OR($A31="F&amp;F",$G31=""),"",IF(J$8&gt;$G31,IF(OR(status1B5!K31=1,status1B5!K31=2,'BOULEVARD 5'!M29&gt;0),"Pagado","impago"),""))</f>
        <v/>
      </c>
      <c r="K31" s="666" t="str">
        <f>IF(OR($A31="F&amp;F",$G31=""),"",IF(K$8&gt;$G31,IF(OR(status1B5!L31=1,status1B5!L31=2,'BOULEVARD 5'!N29&gt;0),"Pagado","impago"),""))</f>
        <v/>
      </c>
      <c r="L31" s="666" t="str">
        <f>IF(OR($A31="F&amp;F",$G31=""),"",IF(L$8&gt;$G31,IF(OR(status1B5!M31=1,status1B5!M31=2,'BOULEVARD 5'!O29&gt;0),"Pagado","impago"),""))</f>
        <v/>
      </c>
      <c r="M31" s="666" t="str">
        <f>IF(OR($A31="F&amp;F",$G31=""),"",IF(M$8&gt;$G31,IF(OR(status1B5!N31=1,status1B5!N31=2,'BOULEVARD 5'!P29&gt;0),"Pagado","impago"),""))</f>
        <v/>
      </c>
      <c r="N31" s="666" t="str">
        <f>IF(OR($A31="F&amp;F",$G31=""),"",IF(N$8&gt;$G31,IF(OR(status1B5!O31=1,status1B5!O31=2,'BOULEVARD 5'!Q29&gt;0),"Pagado","impago"),""))</f>
        <v/>
      </c>
      <c r="O31" s="666" t="str">
        <f>IF(OR($A31="F&amp;F",$G31=""),"",IF(O$8&gt;$G31,IF(OR(status1B5!P31=1,status1B5!P31=2,'BOULEVARD 5'!R29&gt;0),"Pagado","impago"),""))</f>
        <v/>
      </c>
      <c r="P31" s="666" t="str">
        <f>IF(OR($A31="F&amp;F",$G31=""),"",IF(P$8&gt;$G31,IF(OR(status1B5!Q31=1,status1B5!Q31=2,'BOULEVARD 5'!S29&gt;0),"Pagado","impago"),""))</f>
        <v/>
      </c>
      <c r="Q31" s="666" t="str">
        <f>IF(OR($A31="F&amp;F",$G31=""),"",IF(Q$8&gt;$G31,IF(OR(status1B5!R31=1,status1B5!R31=2,'BOULEVARD 5'!T29&gt;0),"Pagado","impago"),""))</f>
        <v/>
      </c>
      <c r="R31" s="666" t="str">
        <f>IF(OR($A31="F&amp;F",$G31=""),"",IF(R$8&gt;$G31,IF(OR(status1B5!S31=1,status1B5!S31=2,'BOULEVARD 5'!U29&gt;0),"Pagado","impago"),""))</f>
        <v/>
      </c>
      <c r="S31" s="666" t="str">
        <f>IF(OR($A31="F&amp;F",$G31=""),"",IF(S$8&gt;$G31,IF(OR(status1B5!T31=1,status1B5!T31=2,'BOULEVARD 5'!V29&gt;0),"Pagado","impago"),""))</f>
        <v/>
      </c>
      <c r="T31" s="666" t="str">
        <f>IF(OR($A31="F&amp;F",$G31=""),"",IF(T$8&gt;$G31,IF(OR(status1B5!U31=1,status1B5!U31=2,'BOULEVARD 5'!W29&gt;0),"Pagado","impago"),""))</f>
        <v/>
      </c>
      <c r="U31" s="666" t="str">
        <f>IF(OR($A31="F&amp;F",$G31=""),"",IF(U$8&gt;$G31,IF(OR(status1B5!V31=1,status1B5!V31=2,'BOULEVARD 5'!X29&gt;0),"Pagado","impago"),""))</f>
        <v/>
      </c>
      <c r="V31" s="666" t="str">
        <f>IF(OR($A31="F&amp;F",$G31=""),"",IF(V$8&gt;$G31,IF(OR(status1B5!W31=1,status1B5!W31=2,'BOULEVARD 5'!Y29&gt;0),"Pagado","impago"),""))</f>
        <v/>
      </c>
      <c r="W31" s="666" t="str">
        <f>IF(OR($A31="F&amp;F",$G31=""),"",IF(W$8&gt;$G31,IF(OR(status1B5!X31=1,status1B5!X31=2,'BOULEVARD 5'!Z29&gt;0),"Pagado","impago"),""))</f>
        <v/>
      </c>
      <c r="X31" s="666" t="str">
        <f>IF(OR($A31="F&amp;F",$G31=""),"",IF(X$8&gt;$G31,IF(OR(status1B5!Y31=1,status1B5!Y31=2,'BOULEVARD 5'!AA29&gt;0),"Pagado","impago"),""))</f>
        <v/>
      </c>
      <c r="Y31" s="666" t="str">
        <f>IF(OR($A31="F&amp;F",$G31=""),"",IF(Y$8&gt;$G31,IF(OR(status1B5!Z31=1,status1B5!Z31=2,'BOULEVARD 5'!AB29&gt;0),"Pagado","impago"),""))</f>
        <v/>
      </c>
      <c r="Z31" s="666" t="str">
        <f>IF(OR($A31="F&amp;F",$G31=""),"",IF(Z$8&gt;$G31,IF(OR(status1B5!AA31=1,status1B5!AA31=2,'BOULEVARD 5'!AC29&gt;0),"Pagado","impago"),""))</f>
        <v/>
      </c>
      <c r="AA31" s="666" t="str">
        <f>IF(OR($A31="F&amp;F",$G31=""),"",IF(AA$8&gt;$G31,IF(OR(status1B5!AB31=1,status1B5!AB31=2,'BOULEVARD 5'!AD29&gt;0),"Pagado","impago"),""))</f>
        <v/>
      </c>
      <c r="AB31" s="666" t="str">
        <f>IF(OR($A31="F&amp;F",$G31=""),"",IF(AB$8&gt;$G31,IF(OR(status1B5!AC31=1,status1B5!AC31=2,'BOULEVARD 5'!AE29&gt;0),"Pagado","impago"),""))</f>
        <v/>
      </c>
      <c r="AC31" s="666" t="str">
        <f>IF(OR($A31="F&amp;F",$G31=""),"",IF(AC$8&gt;$G31,IF(OR(status1B5!AD31=1,status1B5!AD31=2,'BOULEVARD 5'!AF29&gt;0),"Pagado","impago"),""))</f>
        <v/>
      </c>
      <c r="AD31" s="666" t="str">
        <f>IF(OR($A31="F&amp;F",$G31=""),"",IF(AD$8&gt;$G31,IF(OR(status1B5!AE31=1,status1B5!AE31=2,'BOULEVARD 5'!AG29&gt;0),"Pagado","impago"),""))</f>
        <v/>
      </c>
      <c r="AE31" s="666" t="str">
        <f>IF(OR($A31="F&amp;F",$G31=""),"",IF(AE$8&gt;$G31,IF(OR(status1B5!AF31=1,status1B5!AF31=2,'BOULEVARD 5'!AH29&gt;0),"Pagado","impago"),""))</f>
        <v/>
      </c>
      <c r="AF31" s="666" t="str">
        <f>IF(OR($A31="F&amp;F",$G31=""),"",IF(AF$8&gt;$G31,IF(OR(status1B5!AG31=1,status1B5!AG31=2,'BOULEVARD 5'!AI29&gt;0),"Pagado","impago"),""))</f>
        <v/>
      </c>
      <c r="AG31" s="666" t="str">
        <f>IF(OR($A31="F&amp;F",$G31=""),"",IF(AG$8&gt;$G31,IF(OR(status1B5!AH31=1,status1B5!AH31=2,'BOULEVARD 5'!AJ29&gt;0),"Pagado","impago"),""))</f>
        <v/>
      </c>
      <c r="AH31" s="666" t="str">
        <f>IF(OR($A31="F&amp;F",$G31=""),"",IF(AH$8&gt;$G31,IF(OR(status1B5!AI31=1,status1B5!AI31=2,'BOULEVARD 5'!AK29&gt;0),"Pagado","impago"),""))</f>
        <v/>
      </c>
      <c r="AI31" s="666" t="str">
        <f>IF(OR($A31="F&amp;F",$G31=""),"",IF(AI$8&gt;$G31,IF(OR(status1B5!AJ31=1,status1B5!AJ31=2,'BOULEVARD 5'!AL29&gt;0),"Pagado","impago"),""))</f>
        <v/>
      </c>
      <c r="AJ31" s="666" t="str">
        <f>IF(OR($A31="F&amp;F",$G31=""),"",IF(AJ$8&gt;$G31,IF(OR(status1B5!AK31=1,status1B5!AK31=2,'BOULEVARD 5'!AM29&gt;0),"Pagado","impago"),""))</f>
        <v>Pagado</v>
      </c>
      <c r="AK31" s="666" t="str">
        <f>IF(OR($A31="F&amp;F",$G31=""),"",IF(AK$8&gt;$G31,IF(OR(status1B5!AL31=1,status1B5!AL31=2,'BOULEVARD 5'!AN29&gt;0),"Pagado","impago"),""))</f>
        <v>Pagado</v>
      </c>
      <c r="AL31" s="666" t="str">
        <f>IF(OR($A31="F&amp;F",$G31=""),"",IF(AL$8&gt;$G31,IF(OR(status1B5!AM31=1,status1B5!AM31=2,'BOULEVARD 5'!AO29&gt;0),"Pagado","impago"),""))</f>
        <v>Pagado</v>
      </c>
      <c r="AM31" s="666" t="str">
        <f>IF(OR($A31="F&amp;F",$G31=""),"",IF(AM$8&gt;$G31,IF(OR(status1B5!AN31=1,status1B5!AN31=2,'BOULEVARD 5'!AP29&gt;0),"Pagado","impago"),""))</f>
        <v>Pagado</v>
      </c>
      <c r="AN31" s="666" t="str">
        <f>IF(OR($A31="F&amp;F",$G31=""),"",IF(AN$8&gt;$G31,IF(OR(status1B5!AO31=1,status1B5!AO31=2,'BOULEVARD 5'!AQ29&gt;0),"Pagado","impago"),""))</f>
        <v>Pagado</v>
      </c>
      <c r="AO31" s="666" t="str">
        <f>IF(OR($A31="F&amp;F",$G31=""),"",IF(AO$8&gt;$G31,IF(OR(status1B5!AP31=1,status1B5!AP31=2,'BOULEVARD 5'!AS29&gt;0),"Pagado","impago"),""))</f>
        <v>Pagado</v>
      </c>
      <c r="AP31" s="429" t="str">
        <f t="shared" si="4"/>
        <v>Vendido</v>
      </c>
    </row>
    <row r="32" spans="1:42" s="429" customFormat="1" ht="13.9" customHeight="1" x14ac:dyDescent="0.25">
      <c r="A32" s="472"/>
      <c r="B32" s="436">
        <f>'BOULEVARD 5'!B30</f>
        <v>210</v>
      </c>
      <c r="C32" s="436" t="s">
        <v>355</v>
      </c>
      <c r="D32" s="436"/>
      <c r="E32" s="436" t="str">
        <f>IF('BOULEVARD 5'!E30="","",'BOULEVARD 5'!E30)</f>
        <v>Laura Molina</v>
      </c>
      <c r="F32" s="429" t="str">
        <f>IF('BOULEVARD 5'!F30="","",'BOULEVARD 5'!F30)</f>
        <v>Carlos Alejandro de León Samayoa</v>
      </c>
      <c r="G32" s="473">
        <f>IF('BOULEVARD 5'!G30="","",'BOULEVARD 5'!G30)</f>
        <v>45859</v>
      </c>
      <c r="H32" s="666" t="str">
        <f>IF(OR($A32="F&amp;F",$G32=""),"",IF(H$8&gt;$G32,IF(OR(status1B5!I32=1,status1B5!I32=2,'BOULEVARD 5'!K30&gt;0),"Pagado","impago"),""))</f>
        <v/>
      </c>
      <c r="I32" s="666" t="str">
        <f>IF(OR($A32="F&amp;F",$G32=""),"",IF(I$8&gt;$G32,IF(OR(status1B5!J32=1,status1B5!J32=2,'BOULEVARD 5'!L30&gt;0),"Pagado","impago"),""))</f>
        <v/>
      </c>
      <c r="J32" s="666" t="str">
        <f>IF(OR($A32="F&amp;F",$G32=""),"",IF(J$8&gt;$G32,IF(OR(status1B5!K32=1,status1B5!K32=2,'BOULEVARD 5'!M30&gt;0),"Pagado","impago"),""))</f>
        <v/>
      </c>
      <c r="K32" s="666" t="str">
        <f>IF(OR($A32="F&amp;F",$G32=""),"",IF(K$8&gt;$G32,IF(OR(status1B5!L32=1,status1B5!L32=2,'BOULEVARD 5'!N30&gt;0),"Pagado","impago"),""))</f>
        <v/>
      </c>
      <c r="L32" s="666" t="str">
        <f>IF(OR($A32="F&amp;F",$G32=""),"",IF(L$8&gt;$G32,IF(OR(status1B5!M32=1,status1B5!M32=2,'BOULEVARD 5'!O30&gt;0),"Pagado","impago"),""))</f>
        <v/>
      </c>
      <c r="M32" s="666" t="str">
        <f>IF(OR($A32="F&amp;F",$G32=""),"",IF(M$8&gt;$G32,IF(OR(status1B5!N32=1,status1B5!N32=2,'BOULEVARD 5'!P30&gt;0),"Pagado","impago"),""))</f>
        <v/>
      </c>
      <c r="N32" s="666" t="str">
        <f>IF(OR($A32="F&amp;F",$G32=""),"",IF(N$8&gt;$G32,IF(OR(status1B5!O32=1,status1B5!O32=2,'BOULEVARD 5'!Q30&gt;0),"Pagado","impago"),""))</f>
        <v/>
      </c>
      <c r="O32" s="666" t="str">
        <f>IF(OR($A32="F&amp;F",$G32=""),"",IF(O$8&gt;$G32,IF(OR(status1B5!P32=1,status1B5!P32=2,'BOULEVARD 5'!R30&gt;0),"Pagado","impago"),""))</f>
        <v/>
      </c>
      <c r="P32" s="666" t="str">
        <f>IF(OR($A32="F&amp;F",$G32=""),"",IF(P$8&gt;$G32,IF(OR(status1B5!Q32=1,status1B5!Q32=2,'BOULEVARD 5'!S30&gt;0),"Pagado","impago"),""))</f>
        <v/>
      </c>
      <c r="Q32" s="666" t="str">
        <f>IF(OR($A32="F&amp;F",$G32=""),"",IF(Q$8&gt;$G32,IF(OR(status1B5!R32=1,status1B5!R32=2,'BOULEVARD 5'!T30&gt;0),"Pagado","impago"),""))</f>
        <v/>
      </c>
      <c r="R32" s="666" t="str">
        <f>IF(OR($A32="F&amp;F",$G32=""),"",IF(R$8&gt;$G32,IF(OR(status1B5!S32=1,status1B5!S32=2,'BOULEVARD 5'!U30&gt;0),"Pagado","impago"),""))</f>
        <v/>
      </c>
      <c r="S32" s="666" t="str">
        <f>IF(OR($A32="F&amp;F",$G32=""),"",IF(S$8&gt;$G32,IF(OR(status1B5!T32=1,status1B5!T32=2,'BOULEVARD 5'!V30&gt;0),"Pagado","impago"),""))</f>
        <v/>
      </c>
      <c r="T32" s="666" t="str">
        <f>IF(OR($A32="F&amp;F",$G32=""),"",IF(T$8&gt;$G32,IF(OR(status1B5!U32=1,status1B5!U32=2,'BOULEVARD 5'!W30&gt;0),"Pagado","impago"),""))</f>
        <v/>
      </c>
      <c r="U32" s="666" t="str">
        <f>IF(OR($A32="F&amp;F",$G32=""),"",IF(U$8&gt;$G32,IF(OR(status1B5!V32=1,status1B5!V32=2,'BOULEVARD 5'!X30&gt;0),"Pagado","impago"),""))</f>
        <v/>
      </c>
      <c r="V32" s="666" t="str">
        <f>IF(OR($A32="F&amp;F",$G32=""),"",IF(V$8&gt;$G32,IF(OR(status1B5!W32=1,status1B5!W32=2,'BOULEVARD 5'!Y30&gt;0),"Pagado","impago"),""))</f>
        <v/>
      </c>
      <c r="W32" s="666" t="str">
        <f>IF(OR($A32="F&amp;F",$G32=""),"",IF(W$8&gt;$G32,IF(OR(status1B5!X32=1,status1B5!X32=2,'BOULEVARD 5'!Z30&gt;0),"Pagado","impago"),""))</f>
        <v/>
      </c>
      <c r="X32" s="666" t="str">
        <f>IF(OR($A32="F&amp;F",$G32=""),"",IF(X$8&gt;$G32,IF(OR(status1B5!Y32=1,status1B5!Y32=2,'BOULEVARD 5'!AA30&gt;0),"Pagado","impago"),""))</f>
        <v/>
      </c>
      <c r="Y32" s="666" t="str">
        <f>IF(OR($A32="F&amp;F",$G32=""),"",IF(Y$8&gt;$G32,IF(OR(status1B5!Z32=1,status1B5!Z32=2,'BOULEVARD 5'!AB30&gt;0),"Pagado","impago"),""))</f>
        <v/>
      </c>
      <c r="Z32" s="666" t="str">
        <f>IF(OR($A32="F&amp;F",$G32=""),"",IF(Z$8&gt;$G32,IF(OR(status1B5!AA32=1,status1B5!AA32=2,'BOULEVARD 5'!AC30&gt;0),"Pagado","impago"),""))</f>
        <v/>
      </c>
      <c r="AA32" s="666" t="str">
        <f>IF(OR($A32="F&amp;F",$G32=""),"",IF(AA$8&gt;$G32,IF(OR(status1B5!AB32=1,status1B5!AB32=2,'BOULEVARD 5'!AD30&gt;0),"Pagado","impago"),""))</f>
        <v/>
      </c>
      <c r="AB32" s="666" t="str">
        <f>IF(OR($A32="F&amp;F",$G32=""),"",IF(AB$8&gt;$G32,IF(OR(status1B5!AC32=1,status1B5!AC32=2,'BOULEVARD 5'!AE30&gt;0),"Pagado","impago"),""))</f>
        <v/>
      </c>
      <c r="AC32" s="666" t="str">
        <f>IF(OR($A32="F&amp;F",$G32=""),"",IF(AC$8&gt;$G32,IF(OR(status1B5!AD32=1,status1B5!AD32=2,'BOULEVARD 5'!AF30&gt;0),"Pagado","impago"),""))</f>
        <v/>
      </c>
      <c r="AD32" s="666" t="str">
        <f>IF(OR($A32="F&amp;F",$G32=""),"",IF(AD$8&gt;$G32,IF(OR(status1B5!AE32=1,status1B5!AE32=2,'BOULEVARD 5'!AG30&gt;0),"Pagado","impago"),""))</f>
        <v/>
      </c>
      <c r="AE32" s="666" t="str">
        <f>IF(OR($A32="F&amp;F",$G32=""),"",IF(AE$8&gt;$G32,IF(OR(status1B5!AF32=1,status1B5!AF32=2,'BOULEVARD 5'!AH30&gt;0),"Pagado","impago"),""))</f>
        <v/>
      </c>
      <c r="AF32" s="666" t="str">
        <f>IF(OR($A32="F&amp;F",$G32=""),"",IF(AF$8&gt;$G32,IF(OR(status1B5!AG32=1,status1B5!AG32=2,'BOULEVARD 5'!AI30&gt;0),"Pagado","impago"),""))</f>
        <v/>
      </c>
      <c r="AG32" s="666" t="str">
        <f>IF(OR($A32="F&amp;F",$G32=""),"",IF(AG$8&gt;$G32,IF(OR(status1B5!AH32=1,status1B5!AH32=2,'BOULEVARD 5'!AJ30&gt;0),"Pagado","impago"),""))</f>
        <v/>
      </c>
      <c r="AH32" s="666" t="str">
        <f>IF(OR($A32="F&amp;F",$G32=""),"",IF(AH$8&gt;$G32,IF(OR(status1B5!AI32=1,status1B5!AI32=2,'BOULEVARD 5'!AK30&gt;0),"Pagado","impago"),""))</f>
        <v/>
      </c>
      <c r="AI32" s="666" t="str">
        <f>IF(OR($A32="F&amp;F",$G32=""),"",IF(AI$8&gt;$G32,IF(OR(status1B5!AJ32=1,status1B5!AJ32=2,'BOULEVARD 5'!AL30&gt;0),"Pagado","impago"),""))</f>
        <v/>
      </c>
      <c r="AJ32" s="666" t="str">
        <f>IF(OR($A32="F&amp;F",$G32=""),"",IF(AJ$8&gt;$G32,IF(OR(status1B5!AK32=1,status1B5!AK32=2,'BOULEVARD 5'!AM30&gt;0),"Pagado","impago"),""))</f>
        <v>Pagado</v>
      </c>
      <c r="AK32" s="666" t="str">
        <f>IF(OR($A32="F&amp;F",$G32=""),"",IF(AK$8&gt;$G32,IF(OR(status1B5!AL32=1,status1B5!AL32=2,'BOULEVARD 5'!AN30&gt;0),"Pagado","impago"),""))</f>
        <v>Pagado</v>
      </c>
      <c r="AL32" s="666" t="str">
        <f>IF(OR($A32="F&amp;F",$G32=""),"",IF(AL$8&gt;$G32,IF(OR(status1B5!AM32=1,status1B5!AM32=2,'BOULEVARD 5'!AO30&gt;0),"Pagado","impago"),""))</f>
        <v>Pagado</v>
      </c>
      <c r="AM32" s="666" t="str">
        <f>IF(OR($A32="F&amp;F",$G32=""),"",IF(AM$8&gt;$G32,IF(OR(status1B5!AN32=1,status1B5!AN32=2,'BOULEVARD 5'!AP30&gt;0),"Pagado","impago"),""))</f>
        <v>Pagado</v>
      </c>
      <c r="AN32" s="666" t="str">
        <f>IF(OR($A32="F&amp;F",$G32=""),"",IF(AN$8&gt;$G32,IF(OR(status1B5!AO32=1,status1B5!AO32=2,'BOULEVARD 5'!AQ30&gt;0),"Pagado","impago"),""))</f>
        <v>Pagado</v>
      </c>
      <c r="AO32" s="666" t="str">
        <f>IF(OR($A32="F&amp;F",$G32=""),"",IF(AO$8&gt;$G32,IF(OR(status1B5!AP32=1,status1B5!AP32=2,'BOULEVARD 5'!AS30&gt;0),"Pagado","impago"),""))</f>
        <v>Pagado</v>
      </c>
      <c r="AP32" s="429" t="str">
        <f t="shared" si="4"/>
        <v>Vendido</v>
      </c>
    </row>
    <row r="33" spans="1:42" s="429" customFormat="1" ht="13.9" customHeight="1" x14ac:dyDescent="0.25">
      <c r="A33" s="472"/>
      <c r="B33" s="436">
        <f>'BOULEVARD 5'!B31</f>
        <v>211</v>
      </c>
      <c r="C33" s="436" t="s">
        <v>355</v>
      </c>
      <c r="D33" s="436"/>
      <c r="E33" s="436" t="str">
        <f>IF('BOULEVARD 5'!E31="","",'BOULEVARD 5'!E31)</f>
        <v/>
      </c>
      <c r="F33" s="429" t="str">
        <f>IF('BOULEVARD 5'!F31="","",'BOULEVARD 5'!F31)</f>
        <v/>
      </c>
      <c r="G33" s="473" t="str">
        <f>IF('BOULEVARD 5'!G31="","",'BOULEVARD 5'!G31)</f>
        <v/>
      </c>
      <c r="H33" s="666" t="str">
        <f>IF(OR($A33="F&amp;F",$G33=""),"",IF(H$8&gt;$G33,IF(OR(status1B5!I33=1,status1B5!I33=2,'BOULEVARD 5'!K31&gt;0),"Pagado","impago"),""))</f>
        <v/>
      </c>
      <c r="I33" s="666" t="str">
        <f>IF(OR($A33="F&amp;F",$G33=""),"",IF(I$8&gt;$G33,IF(OR(status1B5!J33=1,status1B5!J33=2,'BOULEVARD 5'!L31&gt;0),"Pagado","impago"),""))</f>
        <v/>
      </c>
      <c r="J33" s="666" t="str">
        <f>IF(OR($A33="F&amp;F",$G33=""),"",IF(J$8&gt;$G33,IF(OR(status1B5!K33=1,status1B5!K33=2,'BOULEVARD 5'!M31&gt;0),"Pagado","impago"),""))</f>
        <v/>
      </c>
      <c r="K33" s="666" t="str">
        <f>IF(OR($A33="F&amp;F",$G33=""),"",IF(K$8&gt;$G33,IF(OR(status1B5!L33=1,status1B5!L33=2,'BOULEVARD 5'!N31&gt;0),"Pagado","impago"),""))</f>
        <v/>
      </c>
      <c r="L33" s="666" t="str">
        <f>IF(OR($A33="F&amp;F",$G33=""),"",IF(L$8&gt;$G33,IF(OR(status1B5!M33=1,status1B5!M33=2,'BOULEVARD 5'!O31&gt;0),"Pagado","impago"),""))</f>
        <v/>
      </c>
      <c r="M33" s="666" t="str">
        <f>IF(OR($A33="F&amp;F",$G33=""),"",IF(M$8&gt;$G33,IF(OR(status1B5!N33=1,status1B5!N33=2,'BOULEVARD 5'!P31&gt;0),"Pagado","impago"),""))</f>
        <v/>
      </c>
      <c r="N33" s="666" t="str">
        <f>IF(OR($A33="F&amp;F",$G33=""),"",IF(N$8&gt;$G33,IF(OR(status1B5!O33=1,status1B5!O33=2,'BOULEVARD 5'!Q31&gt;0),"Pagado","impago"),""))</f>
        <v/>
      </c>
      <c r="O33" s="666" t="str">
        <f>IF(OR($A33="F&amp;F",$G33=""),"",IF(O$8&gt;$G33,IF(OR(status1B5!P33=1,status1B5!P33=2,'BOULEVARD 5'!R31&gt;0),"Pagado","impago"),""))</f>
        <v/>
      </c>
      <c r="P33" s="666" t="str">
        <f>IF(OR($A33="F&amp;F",$G33=""),"",IF(P$8&gt;$G33,IF(OR(status1B5!Q33=1,status1B5!Q33=2,'BOULEVARD 5'!S31&gt;0),"Pagado","impago"),""))</f>
        <v/>
      </c>
      <c r="Q33" s="666" t="str">
        <f>IF(OR($A33="F&amp;F",$G33=""),"",IF(Q$8&gt;$G33,IF(OR(status1B5!R33=1,status1B5!R33=2,'BOULEVARD 5'!T31&gt;0),"Pagado","impago"),""))</f>
        <v/>
      </c>
      <c r="R33" s="666" t="str">
        <f>IF(OR($A33="F&amp;F",$G33=""),"",IF(R$8&gt;$G33,IF(OR(status1B5!S33=1,status1B5!S33=2,'BOULEVARD 5'!U31&gt;0),"Pagado","impago"),""))</f>
        <v/>
      </c>
      <c r="S33" s="666" t="str">
        <f>IF(OR($A33="F&amp;F",$G33=""),"",IF(S$8&gt;$G33,IF(OR(status1B5!T33=1,status1B5!T33=2,'BOULEVARD 5'!V31&gt;0),"Pagado","impago"),""))</f>
        <v/>
      </c>
      <c r="T33" s="666" t="str">
        <f>IF(OR($A33="F&amp;F",$G33=""),"",IF(T$8&gt;$G33,IF(OR(status1B5!U33=1,status1B5!U33=2,'BOULEVARD 5'!W31&gt;0),"Pagado","impago"),""))</f>
        <v/>
      </c>
      <c r="U33" s="666" t="str">
        <f>IF(OR($A33="F&amp;F",$G33=""),"",IF(U$8&gt;$G33,IF(OR(status1B5!V33=1,status1B5!V33=2,'BOULEVARD 5'!X31&gt;0),"Pagado","impago"),""))</f>
        <v/>
      </c>
      <c r="V33" s="666" t="str">
        <f>IF(OR($A33="F&amp;F",$G33=""),"",IF(V$8&gt;$G33,IF(OR(status1B5!W33=1,status1B5!W33=2,'BOULEVARD 5'!Y31&gt;0),"Pagado","impago"),""))</f>
        <v/>
      </c>
      <c r="W33" s="666" t="str">
        <f>IF(OR($A33="F&amp;F",$G33=""),"",IF(W$8&gt;$G33,IF(OR(status1B5!X33=1,status1B5!X33=2,'BOULEVARD 5'!Z31&gt;0),"Pagado","impago"),""))</f>
        <v/>
      </c>
      <c r="X33" s="666" t="str">
        <f>IF(OR($A33="F&amp;F",$G33=""),"",IF(X$8&gt;$G33,IF(OR(status1B5!Y33=1,status1B5!Y33=2,'BOULEVARD 5'!AA31&gt;0),"Pagado","impago"),""))</f>
        <v/>
      </c>
      <c r="Y33" s="666" t="str">
        <f>IF(OR($A33="F&amp;F",$G33=""),"",IF(Y$8&gt;$G33,IF(OR(status1B5!Z33=1,status1B5!Z33=2,'BOULEVARD 5'!AB31&gt;0),"Pagado","impago"),""))</f>
        <v/>
      </c>
      <c r="Z33" s="666" t="str">
        <f>IF(OR($A33="F&amp;F",$G33=""),"",IF(Z$8&gt;$G33,IF(OR(status1B5!AA33=1,status1B5!AA33=2,'BOULEVARD 5'!AC31&gt;0),"Pagado","impago"),""))</f>
        <v/>
      </c>
      <c r="AA33" s="666" t="str">
        <f>IF(OR($A33="F&amp;F",$G33=""),"",IF(AA$8&gt;$G33,IF(OR(status1B5!AB33=1,status1B5!AB33=2,'BOULEVARD 5'!AD31&gt;0),"Pagado","impago"),""))</f>
        <v/>
      </c>
      <c r="AB33" s="666" t="str">
        <f>IF(OR($A33="F&amp;F",$G33=""),"",IF(AB$8&gt;$G33,IF(OR(status1B5!AC33=1,status1B5!AC33=2,'BOULEVARD 5'!AE31&gt;0),"Pagado","impago"),""))</f>
        <v/>
      </c>
      <c r="AC33" s="666" t="str">
        <f>IF(OR($A33="F&amp;F",$G33=""),"",IF(AC$8&gt;$G33,IF(OR(status1B5!AD33=1,status1B5!AD33=2,'BOULEVARD 5'!AF31&gt;0),"Pagado","impago"),""))</f>
        <v/>
      </c>
      <c r="AD33" s="666" t="str">
        <f>IF(OR($A33="F&amp;F",$G33=""),"",IF(AD$8&gt;$G33,IF(OR(status1B5!AE33=1,status1B5!AE33=2,'BOULEVARD 5'!AG31&gt;0),"Pagado","impago"),""))</f>
        <v/>
      </c>
      <c r="AE33" s="666" t="str">
        <f>IF(OR($A33="F&amp;F",$G33=""),"",IF(AE$8&gt;$G33,IF(OR(status1B5!AF33=1,status1B5!AF33=2,'BOULEVARD 5'!AH31&gt;0),"Pagado","impago"),""))</f>
        <v/>
      </c>
      <c r="AF33" s="666" t="str">
        <f>IF(OR($A33="F&amp;F",$G33=""),"",IF(AF$8&gt;$G33,IF(OR(status1B5!AG33=1,status1B5!AG33=2,'BOULEVARD 5'!AI31&gt;0),"Pagado","impago"),""))</f>
        <v/>
      </c>
      <c r="AG33" s="666" t="str">
        <f>IF(OR($A33="F&amp;F",$G33=""),"",IF(AG$8&gt;$G33,IF(OR(status1B5!AH33=1,status1B5!AH33=2,'BOULEVARD 5'!AJ31&gt;0),"Pagado","impago"),""))</f>
        <v/>
      </c>
      <c r="AH33" s="666" t="str">
        <f>IF(OR($A33="F&amp;F",$G33=""),"",IF(AH$8&gt;$G33,IF(OR(status1B5!AI33=1,status1B5!AI33=2,'BOULEVARD 5'!AK31&gt;0),"Pagado","impago"),""))</f>
        <v/>
      </c>
      <c r="AI33" s="666" t="str">
        <f>IF(OR($A33="F&amp;F",$G33=""),"",IF(AI$8&gt;$G33,IF(OR(status1B5!AJ33=1,status1B5!AJ33=2,'BOULEVARD 5'!AL31&gt;0),"Pagado","impago"),""))</f>
        <v/>
      </c>
      <c r="AJ33" s="666" t="str">
        <f>IF(OR($A33="F&amp;F",$G33=""),"",IF(AJ$8&gt;$G33,IF(OR(status1B5!AK33=1,status1B5!AK33=2,'BOULEVARD 5'!AM31&gt;0),"Pagado","impago"),""))</f>
        <v/>
      </c>
      <c r="AK33" s="666" t="str">
        <f>IF(OR($A33="F&amp;F",$G33=""),"",IF(AK$8&gt;$G33,IF(OR(status1B5!AL33=1,status1B5!AL33=2,'BOULEVARD 5'!AN31&gt;0),"Pagado","impago"),""))</f>
        <v/>
      </c>
      <c r="AL33" s="666" t="str">
        <f>IF(OR($A33="F&amp;F",$G33=""),"",IF(AL$8&gt;$G33,IF(OR(status1B5!AM33=1,status1B5!AM33=2,'BOULEVARD 5'!AO31&gt;0),"Pagado","impago"),""))</f>
        <v/>
      </c>
      <c r="AM33" s="666" t="str">
        <f>IF(OR($A33="F&amp;F",$G33=""),"",IF(AM$8&gt;$G33,IF(OR(status1B5!AN33=1,status1B5!AN33=2,'BOULEVARD 5'!AP31&gt;0),"Pagado","impago"),""))</f>
        <v/>
      </c>
      <c r="AN33" s="666" t="str">
        <f>IF(OR($A33="F&amp;F",$G33=""),"",IF(AN$8&gt;$G33,IF(OR(status1B5!AO33=1,status1B5!AO33=2,'BOULEVARD 5'!AQ31&gt;0),"Pagado","impago"),""))</f>
        <v/>
      </c>
      <c r="AO33" s="666" t="str">
        <f>IF(OR($A33="F&amp;F",$G33=""),"",IF(AO$8&gt;$G33,IF(OR(status1B5!AP33=1,status1B5!AP33=2,'BOULEVARD 5'!AS31&gt;0),"Pagado","impago"),""))</f>
        <v/>
      </c>
      <c r="AP33" s="429" t="str">
        <f t="shared" si="4"/>
        <v>No Vendido</v>
      </c>
    </row>
    <row r="34" spans="1:42" s="429" customFormat="1" ht="13.9" customHeight="1" x14ac:dyDescent="0.25">
      <c r="A34" s="472"/>
      <c r="B34" s="436">
        <f>'BOULEVARD 5'!B32</f>
        <v>212</v>
      </c>
      <c r="C34" s="436" t="s">
        <v>355</v>
      </c>
      <c r="D34" s="436"/>
      <c r="E34" s="436" t="str">
        <f>IF('BOULEVARD 5'!E32="","",'BOULEVARD 5'!E32)</f>
        <v>Antonio Rada</v>
      </c>
      <c r="F34" s="429" t="str">
        <f>IF('BOULEVARD 5'!F32="","",'BOULEVARD 5'!F32)</f>
        <v>Julio Eduardo Farnes Bucaro</v>
      </c>
      <c r="G34" s="473">
        <f>IF('BOULEVARD 5'!G32="","",'BOULEVARD 5'!G32)</f>
        <v>45244</v>
      </c>
      <c r="H34" s="666" t="str">
        <f>IF(OR($A34="F&amp;F",$G34=""),"",IF(H$8&gt;$G34,IF(OR(status1B5!I34=1,status1B5!I34=2,'BOULEVARD 5'!K32&gt;0),"Pagado","impago"),""))</f>
        <v/>
      </c>
      <c r="I34" s="666" t="str">
        <f>IF(OR($A34="F&amp;F",$G34=""),"",IF(I$8&gt;$G34,IF(OR(status1B5!J34=1,status1B5!J34=2,'BOULEVARD 5'!L32&gt;0),"Pagado","impago"),""))</f>
        <v/>
      </c>
      <c r="J34" s="666" t="str">
        <f>IF(OR($A34="F&amp;F",$G34=""),"",IF(J$8&gt;$G34,IF(OR(status1B5!K34=1,status1B5!K34=2,'BOULEVARD 5'!M32&gt;0),"Pagado","impago"),""))</f>
        <v/>
      </c>
      <c r="K34" s="666" t="str">
        <f>IF(OR($A34="F&amp;F",$G34=""),"",IF(K$8&gt;$G34,IF(OR(status1B5!L34=1,status1B5!L34=2,'BOULEVARD 5'!N32&gt;0),"Pagado","impago"),""))</f>
        <v/>
      </c>
      <c r="L34" s="666" t="str">
        <f>IF(OR($A34="F&amp;F",$G34=""),"",IF(L$8&gt;$G34,IF(OR(status1B5!M34=1,status1B5!M34=2,'BOULEVARD 5'!O32&gt;0),"Pagado","impago"),""))</f>
        <v/>
      </c>
      <c r="M34" s="666" t="str">
        <f>IF(OR($A34="F&amp;F",$G34=""),"",IF(M$8&gt;$G34,IF(OR(status1B5!N34=1,status1B5!N34=2,'BOULEVARD 5'!P32&gt;0),"Pagado","impago"),""))</f>
        <v/>
      </c>
      <c r="N34" s="666" t="str">
        <f>IF(OR($A34="F&amp;F",$G34=""),"",IF(N$8&gt;$G34,IF(OR(status1B5!O34=1,status1B5!O34=2,'BOULEVARD 5'!Q32&gt;0),"Pagado","impago"),""))</f>
        <v/>
      </c>
      <c r="O34" s="666" t="str">
        <f>IF(OR($A34="F&amp;F",$G34=""),"",IF(O$8&gt;$G34,IF(OR(status1B5!P34=1,status1B5!P34=2,'BOULEVARD 5'!R32&gt;0),"Pagado","impago"),""))</f>
        <v/>
      </c>
      <c r="P34" s="666" t="str">
        <f>IF(OR($A34="F&amp;F",$G34=""),"",IF(P$8&gt;$G34,IF(OR(status1B5!Q34=1,status1B5!Q34=2,'BOULEVARD 5'!S32&gt;0),"Pagado","impago"),""))</f>
        <v>Pagado</v>
      </c>
      <c r="Q34" s="666" t="str">
        <f>IF(OR($A34="F&amp;F",$G34=""),"",IF(Q$8&gt;$G34,IF(OR(status1B5!R34=1,status1B5!R34=2,'BOULEVARD 5'!T32&gt;0),"Pagado","impago"),""))</f>
        <v>Pagado</v>
      </c>
      <c r="R34" s="666" t="str">
        <f>IF(OR($A34="F&amp;F",$G34=""),"",IF(R$8&gt;$G34,IF(OR(status1B5!S34=1,status1B5!S34=2,'BOULEVARD 5'!U32&gt;0),"Pagado","impago"),""))</f>
        <v>Pagado</v>
      </c>
      <c r="S34" s="666" t="str">
        <f>IF(OR($A34="F&amp;F",$G34=""),"",IF(S$8&gt;$G34,IF(OR(status1B5!T34=1,status1B5!T34=2,'BOULEVARD 5'!V32&gt;0),"Pagado","impago"),""))</f>
        <v>Pagado</v>
      </c>
      <c r="T34" s="666" t="str">
        <f>IF(OR($A34="F&amp;F",$G34=""),"",IF(T$8&gt;$G34,IF(OR(status1B5!U34=1,status1B5!U34=2,'BOULEVARD 5'!W32&gt;0),"Pagado","impago"),""))</f>
        <v>Pagado</v>
      </c>
      <c r="U34" s="666" t="str">
        <f>IF(OR($A34="F&amp;F",$G34=""),"",IF(U$8&gt;$G34,IF(OR(status1B5!V34=1,status1B5!V34=2,'BOULEVARD 5'!X32&gt;0),"Pagado","impago"),""))</f>
        <v>Pagado</v>
      </c>
      <c r="V34" s="666" t="str">
        <f>IF(OR($A34="F&amp;F",$G34=""),"",IF(V$8&gt;$G34,IF(OR(status1B5!W34=1,status1B5!W34=2,'BOULEVARD 5'!Y32&gt;0),"Pagado","impago"),""))</f>
        <v>Pagado</v>
      </c>
      <c r="W34" s="666" t="str">
        <f>IF(OR($A34="F&amp;F",$G34=""),"",IF(W$8&gt;$G34,IF(OR(status1B5!X34=1,status1B5!X34=2,'BOULEVARD 5'!Z32&gt;0),"Pagado","impago"),""))</f>
        <v>Pagado</v>
      </c>
      <c r="X34" s="666" t="str">
        <f>IF(OR($A34="F&amp;F",$G34=""),"",IF(X$8&gt;$G34,IF(OR(status1B5!Y34=1,status1B5!Y34=2,'BOULEVARD 5'!AA32&gt;0),"Pagado","impago"),""))</f>
        <v>Pagado</v>
      </c>
      <c r="Y34" s="666" t="str">
        <f>IF(OR($A34="F&amp;F",$G34=""),"",IF(Y$8&gt;$G34,IF(OR(status1B5!Z34=1,status1B5!Z34=2,'BOULEVARD 5'!AB32&gt;0),"Pagado","impago"),""))</f>
        <v>Pagado</v>
      </c>
      <c r="Z34" s="666" t="str">
        <f>IF(OR($A34="F&amp;F",$G34=""),"",IF(Z$8&gt;$G34,IF(OR(status1B5!AA34=1,status1B5!AA34=2,'BOULEVARD 5'!AC32&gt;0),"Pagado","impago"),""))</f>
        <v>Pagado</v>
      </c>
      <c r="AA34" s="666" t="str">
        <f>IF(OR($A34="F&amp;F",$G34=""),"",IF(AA$8&gt;$G34,IF(OR(status1B5!AB34=1,status1B5!AB34=2,'BOULEVARD 5'!AD32&gt;0),"Pagado","impago"),""))</f>
        <v>Pagado</v>
      </c>
      <c r="AB34" s="666" t="str">
        <f>IF(OR($A34="F&amp;F",$G34=""),"",IF(AB$8&gt;$G34,IF(OR(status1B5!AC34=1,status1B5!AC34=2,'BOULEVARD 5'!AE32&gt;0),"Pagado","impago"),""))</f>
        <v>Pagado</v>
      </c>
      <c r="AC34" s="666" t="str">
        <f>IF(OR($A34="F&amp;F",$G34=""),"",IF(AC$8&gt;$G34,IF(OR(status1B5!AD34=1,status1B5!AD34=2,'BOULEVARD 5'!AF32&gt;0),"Pagado","impago"),""))</f>
        <v>Pagado</v>
      </c>
      <c r="AD34" s="666" t="str">
        <f>IF(OR($A34="F&amp;F",$G34=""),"",IF(AD$8&gt;$G34,IF(OR(status1B5!AE34=1,status1B5!AE34=2,'BOULEVARD 5'!AG32&gt;0),"Pagado","impago"),""))</f>
        <v>Pagado</v>
      </c>
      <c r="AE34" s="666" t="str">
        <f>IF(OR($A34="F&amp;F",$G34=""),"",IF(AE$8&gt;$G34,IF(OR(status1B5!AF34=1,status1B5!AF34=2,'BOULEVARD 5'!AH32&gt;0),"Pagado","impago"),""))</f>
        <v>Pagado</v>
      </c>
      <c r="AF34" s="666" t="str">
        <f>IF(OR($A34="F&amp;F",$G34=""),"",IF(AF$8&gt;$G34,IF(OR(status1B5!AG34=1,status1B5!AG34=2,'BOULEVARD 5'!AI32&gt;0),"Pagado","impago"),""))</f>
        <v>Pagado</v>
      </c>
      <c r="AG34" s="666" t="str">
        <f>IF(OR($A34="F&amp;F",$G34=""),"",IF(AG$8&gt;$G34,IF(OR(status1B5!AH34=1,status1B5!AH34=2,'BOULEVARD 5'!AJ32&gt;0),"Pagado","impago"),""))</f>
        <v>Pagado</v>
      </c>
      <c r="AH34" s="666" t="str">
        <f>IF(OR($A34="F&amp;F",$G34=""),"",IF(AH$8&gt;$G34,IF(OR(status1B5!AI34=1,status1B5!AI34=2,'BOULEVARD 5'!AK32&gt;0),"Pagado","impago"),""))</f>
        <v>Pagado</v>
      </c>
      <c r="AI34" s="666" t="str">
        <f>IF(OR($A34="F&amp;F",$G34=""),"",IF(AI$8&gt;$G34,IF(OR(status1B5!AJ34=1,status1B5!AJ34=2,'BOULEVARD 5'!AL32&gt;0),"Pagado","impago"),""))</f>
        <v>Pagado</v>
      </c>
      <c r="AJ34" s="666" t="str">
        <f>IF(OR($A34="F&amp;F",$G34=""),"",IF(AJ$8&gt;$G34,IF(OR(status1B5!AK34=1,status1B5!AK34=2,'BOULEVARD 5'!AM32&gt;0),"Pagado","impago"),""))</f>
        <v>Pagado</v>
      </c>
      <c r="AK34" s="666" t="str">
        <f>IF(OR($A34="F&amp;F",$G34=""),"",IF(AK$8&gt;$G34,IF(OR(status1B5!AL34=1,status1B5!AL34=2,'BOULEVARD 5'!AN32&gt;0),"Pagado","impago"),""))</f>
        <v>Pagado</v>
      </c>
      <c r="AL34" s="666" t="str">
        <f>IF(OR($A34="F&amp;F",$G34=""),"",IF(AL$8&gt;$G34,IF(OR(status1B5!AM34=1,status1B5!AM34=2,'BOULEVARD 5'!AO32&gt;0),"Pagado","impago"),""))</f>
        <v>Pagado</v>
      </c>
      <c r="AM34" s="666" t="str">
        <f>IF(OR($A34="F&amp;F",$G34=""),"",IF(AM$8&gt;$G34,IF(OR(status1B5!AN34=1,status1B5!AN34=2,'BOULEVARD 5'!AP32&gt;0),"Pagado","impago"),""))</f>
        <v>Pagado</v>
      </c>
      <c r="AN34" s="666" t="str">
        <f>IF(OR($A34="F&amp;F",$G34=""),"",IF(AN$8&gt;$G34,IF(OR(status1B5!AO34=1,status1B5!AO34=2,'BOULEVARD 5'!AQ32&gt;0),"Pagado","impago"),""))</f>
        <v>Pagado</v>
      </c>
      <c r="AO34" s="666" t="str">
        <f>IF(OR($A34="F&amp;F",$G34=""),"",IF(AO$8&gt;$G34,IF(OR(status1B5!AP34=1,status1B5!AP34=2,'BOULEVARD 5'!AS32&gt;0),"Pagado","impago"),""))</f>
        <v>Pagado</v>
      </c>
      <c r="AP34" s="429" t="str">
        <f t="shared" si="4"/>
        <v>Vendido</v>
      </c>
    </row>
    <row r="35" spans="1:42" s="429" customFormat="1" ht="13.9" customHeight="1" x14ac:dyDescent="0.25">
      <c r="B35" s="436">
        <f>'BOULEVARD 5'!B33</f>
        <v>213</v>
      </c>
      <c r="C35" s="436" t="s">
        <v>355</v>
      </c>
      <c r="D35" s="436"/>
      <c r="E35" s="436" t="str">
        <f>IF('BOULEVARD 5'!E33="","",'BOULEVARD 5'!E33)</f>
        <v>Sofia Paredes</v>
      </c>
      <c r="F35" s="429" t="str">
        <f>IF('BOULEVARD 5'!F33="","",'BOULEVARD 5'!F33)</f>
        <v xml:space="preserve">Carlos Humberto Rivera Carrillo </v>
      </c>
      <c r="G35" s="473">
        <f>IF('BOULEVARD 5'!G33="","",'BOULEVARD 5'!G33)</f>
        <v>45695</v>
      </c>
      <c r="H35" s="666" t="str">
        <f>IF(OR($A35="F&amp;F",$G35=""),"",IF(H$8&gt;$G35,IF(OR(status1B5!I35=1,status1B5!I35=2,'BOULEVARD 5'!K33&gt;0),"Pagado","impago"),""))</f>
        <v/>
      </c>
      <c r="I35" s="666" t="str">
        <f>IF(OR($A35="F&amp;F",$G35=""),"",IF(I$8&gt;$G35,IF(OR(status1B5!J35=1,status1B5!J35=2,'BOULEVARD 5'!L33&gt;0),"Pagado","impago"),""))</f>
        <v/>
      </c>
      <c r="J35" s="666" t="str">
        <f>IF(OR($A35="F&amp;F",$G35=""),"",IF(J$8&gt;$G35,IF(OR(status1B5!K35=1,status1B5!K35=2,'BOULEVARD 5'!M33&gt;0),"Pagado","impago"),""))</f>
        <v/>
      </c>
      <c r="K35" s="666" t="str">
        <f>IF(OR($A35="F&amp;F",$G35=""),"",IF(K$8&gt;$G35,IF(OR(status1B5!L35=1,status1B5!L35=2,'BOULEVARD 5'!N33&gt;0),"Pagado","impago"),""))</f>
        <v/>
      </c>
      <c r="L35" s="666" t="str">
        <f>IF(OR($A35="F&amp;F",$G35=""),"",IF(L$8&gt;$G35,IF(OR(status1B5!M35=1,status1B5!M35=2,'BOULEVARD 5'!O33&gt;0),"Pagado","impago"),""))</f>
        <v/>
      </c>
      <c r="M35" s="666" t="str">
        <f>IF(OR($A35="F&amp;F",$G35=""),"",IF(M$8&gt;$G35,IF(OR(status1B5!N35=1,status1B5!N35=2,'BOULEVARD 5'!P33&gt;0),"Pagado","impago"),""))</f>
        <v/>
      </c>
      <c r="N35" s="666" t="str">
        <f>IF(OR($A35="F&amp;F",$G35=""),"",IF(N$8&gt;$G35,IF(OR(status1B5!O35=1,status1B5!O35=2,'BOULEVARD 5'!Q33&gt;0),"Pagado","impago"),""))</f>
        <v/>
      </c>
      <c r="O35" s="666" t="str">
        <f>IF(OR($A35="F&amp;F",$G35=""),"",IF(O$8&gt;$G35,IF(OR(status1B5!P35=1,status1B5!P35=2,'BOULEVARD 5'!R33&gt;0),"Pagado","impago"),""))</f>
        <v/>
      </c>
      <c r="P35" s="666" t="str">
        <f>IF(OR($A35="F&amp;F",$G35=""),"",IF(P$8&gt;$G35,IF(OR(status1B5!Q35=1,status1B5!Q35=2,'BOULEVARD 5'!S33&gt;0),"Pagado","impago"),""))</f>
        <v/>
      </c>
      <c r="Q35" s="666" t="str">
        <f>IF(OR($A35="F&amp;F",$G35=""),"",IF(Q$8&gt;$G35,IF(OR(status1B5!R35=1,status1B5!R35=2,'BOULEVARD 5'!T33&gt;0),"Pagado","impago"),""))</f>
        <v/>
      </c>
      <c r="R35" s="666" t="str">
        <f>IF(OR($A35="F&amp;F",$G35=""),"",IF(R$8&gt;$G35,IF(OR(status1B5!S35=1,status1B5!S35=2,'BOULEVARD 5'!U33&gt;0),"Pagado","impago"),""))</f>
        <v/>
      </c>
      <c r="S35" s="666" t="str">
        <f>IF(OR($A35="F&amp;F",$G35=""),"",IF(S$8&gt;$G35,IF(OR(status1B5!T35=1,status1B5!T35=2,'BOULEVARD 5'!V33&gt;0),"Pagado","impago"),""))</f>
        <v/>
      </c>
      <c r="T35" s="666" t="str">
        <f>IF(OR($A35="F&amp;F",$G35=""),"",IF(T$8&gt;$G35,IF(OR(status1B5!U35=1,status1B5!U35=2,'BOULEVARD 5'!W33&gt;0),"Pagado","impago"),""))</f>
        <v/>
      </c>
      <c r="U35" s="666" t="str">
        <f>IF(OR($A35="F&amp;F",$G35=""),"",IF(U$8&gt;$G35,IF(OR(status1B5!V35=1,status1B5!V35=2,'BOULEVARD 5'!X33&gt;0),"Pagado","impago"),""))</f>
        <v/>
      </c>
      <c r="V35" s="666" t="str">
        <f>IF(OR($A35="F&amp;F",$G35=""),"",IF(V$8&gt;$G35,IF(OR(status1B5!W35=1,status1B5!W35=2,'BOULEVARD 5'!Y33&gt;0),"Pagado","impago"),""))</f>
        <v/>
      </c>
      <c r="W35" s="666" t="str">
        <f>IF(OR($A35="F&amp;F",$G35=""),"",IF(W$8&gt;$G35,IF(OR(status1B5!X35=1,status1B5!X35=2,'BOULEVARD 5'!Z33&gt;0),"Pagado","impago"),""))</f>
        <v/>
      </c>
      <c r="X35" s="666" t="str">
        <f>IF(OR($A35="F&amp;F",$G35=""),"",IF(X$8&gt;$G35,IF(OR(status1B5!Y35=1,status1B5!Y35=2,'BOULEVARD 5'!AA33&gt;0),"Pagado","impago"),""))</f>
        <v/>
      </c>
      <c r="Y35" s="666" t="str">
        <f>IF(OR($A35="F&amp;F",$G35=""),"",IF(Y$8&gt;$G35,IF(OR(status1B5!Z35=1,status1B5!Z35=2,'BOULEVARD 5'!AB33&gt;0),"Pagado","impago"),""))</f>
        <v/>
      </c>
      <c r="Z35" s="666" t="str">
        <f>IF(OR($A35="F&amp;F",$G35=""),"",IF(Z$8&gt;$G35,IF(OR(status1B5!AA35=1,status1B5!AA35=2,'BOULEVARD 5'!AC33&gt;0),"Pagado","impago"),""))</f>
        <v/>
      </c>
      <c r="AA35" s="666" t="str">
        <f>IF(OR($A35="F&amp;F",$G35=""),"",IF(AA$8&gt;$G35,IF(OR(status1B5!AB35=1,status1B5!AB35=2,'BOULEVARD 5'!AD33&gt;0),"Pagado","impago"),""))</f>
        <v/>
      </c>
      <c r="AB35" s="666" t="str">
        <f>IF(OR($A35="F&amp;F",$G35=""),"",IF(AB$8&gt;$G35,IF(OR(status1B5!AC35=1,status1B5!AC35=2,'BOULEVARD 5'!AE33&gt;0),"Pagado","impago"),""))</f>
        <v/>
      </c>
      <c r="AC35" s="666" t="str">
        <f>IF(OR($A35="F&amp;F",$G35=""),"",IF(AC$8&gt;$G35,IF(OR(status1B5!AD35=1,status1B5!AD35=2,'BOULEVARD 5'!AF33&gt;0),"Pagado","impago"),""))</f>
        <v/>
      </c>
      <c r="AD35" s="666" t="str">
        <f>IF(OR($A35="F&amp;F",$G35=""),"",IF(AD$8&gt;$G35,IF(OR(status1B5!AE35=1,status1B5!AE35=2,'BOULEVARD 5'!AG33&gt;0),"Pagado","impago"),""))</f>
        <v/>
      </c>
      <c r="AE35" s="666" t="str">
        <f>IF(OR($A35="F&amp;F",$G35=""),"",IF(AE$8&gt;$G35,IF(OR(status1B5!AF35=1,status1B5!AF35=2,'BOULEVARD 5'!AH33&gt;0),"Pagado","impago"),""))</f>
        <v>Pagado</v>
      </c>
      <c r="AF35" s="666" t="str">
        <f>IF(OR($A35="F&amp;F",$G35=""),"",IF(AF$8&gt;$G35,IF(OR(status1B5!AG35=1,status1B5!AG35=2,'BOULEVARD 5'!AI33&gt;0),"Pagado","impago"),""))</f>
        <v>Pagado</v>
      </c>
      <c r="AG35" s="666" t="str">
        <f>IF(OR($A35="F&amp;F",$G35=""),"",IF(AG$8&gt;$G35,IF(OR(status1B5!AH35=1,status1B5!AH35=2,'BOULEVARD 5'!AJ33&gt;0),"Pagado","impago"),""))</f>
        <v>Pagado</v>
      </c>
      <c r="AH35" s="666" t="str">
        <f>IF(OR($A35="F&amp;F",$G35=""),"",IF(AH$8&gt;$G35,IF(OR(status1B5!AI35=1,status1B5!AI35=2,'BOULEVARD 5'!AK33&gt;0),"Pagado","impago"),""))</f>
        <v>Pagado</v>
      </c>
      <c r="AI35" s="666" t="str">
        <f>IF(OR($A35="F&amp;F",$G35=""),"",IF(AI$8&gt;$G35,IF(OR(status1B5!AJ35=1,status1B5!AJ35=2,'BOULEVARD 5'!AL33&gt;0),"Pagado","impago"),""))</f>
        <v>Pagado</v>
      </c>
      <c r="AJ35" s="666" t="str">
        <f>IF(OR($A35="F&amp;F",$G35=""),"",IF(AJ$8&gt;$G35,IF(OR(status1B5!AK35=1,status1B5!AK35=2,'BOULEVARD 5'!AM33&gt;0),"Pagado","impago"),""))</f>
        <v>Pagado</v>
      </c>
      <c r="AK35" s="666" t="str">
        <f>IF(OR($A35="F&amp;F",$G35=""),"",IF(AK$8&gt;$G35,IF(OR(status1B5!AL35=1,status1B5!AL35=2,'BOULEVARD 5'!AN33&gt;0),"Pagado","impago"),""))</f>
        <v>Pagado</v>
      </c>
      <c r="AL35" s="666" t="str">
        <f>IF(OR($A35="F&amp;F",$G35=""),"",IF(AL$8&gt;$G35,IF(OR(status1B5!AM35=1,status1B5!AM35=2,'BOULEVARD 5'!AO33&gt;0),"Pagado","impago"),""))</f>
        <v>Pagado</v>
      </c>
      <c r="AM35" s="666" t="str">
        <f>IF(OR($A35="F&amp;F",$G35=""),"",IF(AM$8&gt;$G35,IF(OR(status1B5!AN35=1,status1B5!AN35=2,'BOULEVARD 5'!AP33&gt;0),"Pagado","impago"),""))</f>
        <v>Pagado</v>
      </c>
      <c r="AN35" s="666" t="str">
        <f>IF(OR($A35="F&amp;F",$G35=""),"",IF(AN$8&gt;$G35,IF(OR(status1B5!AO35=1,status1B5!AO35=2,'BOULEVARD 5'!AQ33&gt;0),"Pagado","impago"),""))</f>
        <v>Pagado</v>
      </c>
      <c r="AO35" s="666" t="str">
        <f>IF(OR($A35="F&amp;F",$G35=""),"",IF(AO$8&gt;$G35,IF(OR(status1B5!AP35=1,status1B5!AP35=2,'BOULEVARD 5'!AS33&gt;0),"Pagado","impago"),""))</f>
        <v>Pagado</v>
      </c>
      <c r="AP35" s="429" t="str">
        <f t="shared" si="4"/>
        <v>Vendido</v>
      </c>
    </row>
    <row r="36" spans="1:42" s="429" customFormat="1" ht="13.9" customHeight="1" x14ac:dyDescent="0.25">
      <c r="A36" s="472"/>
      <c r="B36" s="436">
        <f>'BOULEVARD 5'!B34</f>
        <v>214</v>
      </c>
      <c r="C36" s="436" t="s">
        <v>355</v>
      </c>
      <c r="D36" s="436"/>
      <c r="E36" s="436" t="str">
        <f>IF('BOULEVARD 5'!E34="","",'BOULEVARD 5'!E34)</f>
        <v>Antonio Rada</v>
      </c>
      <c r="F36" s="429" t="str">
        <f>IF('BOULEVARD 5'!F34="","",'BOULEVARD 5'!F34)</f>
        <v>Jorge Daniel Baca Chiroy</v>
      </c>
      <c r="G36" s="473">
        <f>IF('BOULEVARD 5'!G34="","",'BOULEVARD 5'!G34)</f>
        <v>45259</v>
      </c>
      <c r="H36" s="666" t="str">
        <f>IF(OR($A36="F&amp;F",$G36=""),"",IF(H$8&gt;$G36,IF(OR(status1B5!I36=1,status1B5!I36=2,'BOULEVARD 5'!K34&gt;0),"Pagado","impago"),""))</f>
        <v/>
      </c>
      <c r="I36" s="666" t="str">
        <f>IF(OR($A36="F&amp;F",$G36=""),"",IF(I$8&gt;$G36,IF(OR(status1B5!J36=1,status1B5!J36=2,'BOULEVARD 5'!L34&gt;0),"Pagado","impago"),""))</f>
        <v/>
      </c>
      <c r="J36" s="666" t="str">
        <f>IF(OR($A36="F&amp;F",$G36=""),"",IF(J$8&gt;$G36,IF(OR(status1B5!K36=1,status1B5!K36=2,'BOULEVARD 5'!M34&gt;0),"Pagado","impago"),""))</f>
        <v/>
      </c>
      <c r="K36" s="666" t="str">
        <f>IF(OR($A36="F&amp;F",$G36=""),"",IF(K$8&gt;$G36,IF(OR(status1B5!L36=1,status1B5!L36=2,'BOULEVARD 5'!N34&gt;0),"Pagado","impago"),""))</f>
        <v/>
      </c>
      <c r="L36" s="666" t="str">
        <f>IF(OR($A36="F&amp;F",$G36=""),"",IF(L$8&gt;$G36,IF(OR(status1B5!M36=1,status1B5!M36=2,'BOULEVARD 5'!O34&gt;0),"Pagado","impago"),""))</f>
        <v/>
      </c>
      <c r="M36" s="666" t="str">
        <f>IF(OR($A36="F&amp;F",$G36=""),"",IF(M$8&gt;$G36,IF(OR(status1B5!N36=1,status1B5!N36=2,'BOULEVARD 5'!P34&gt;0),"Pagado","impago"),""))</f>
        <v/>
      </c>
      <c r="N36" s="666" t="str">
        <f>IF(OR($A36="F&amp;F",$G36=""),"",IF(N$8&gt;$G36,IF(OR(status1B5!O36=1,status1B5!O36=2,'BOULEVARD 5'!Q34&gt;0),"Pagado","impago"),""))</f>
        <v/>
      </c>
      <c r="O36" s="666" t="str">
        <f>IF(OR($A36="F&amp;F",$G36=""),"",IF(O$8&gt;$G36,IF(OR(status1B5!P36=1,status1B5!P36=2,'BOULEVARD 5'!R34&gt;0),"Pagado","impago"),""))</f>
        <v/>
      </c>
      <c r="P36" s="666" t="str">
        <f>IF(OR($A36="F&amp;F",$G36=""),"",IF(P$8&gt;$G36,IF(OR(status1B5!Q36=1,status1B5!Q36=2,'BOULEVARD 5'!S34&gt;0),"Pagado","impago"),""))</f>
        <v>Pagado</v>
      </c>
      <c r="Q36" s="666" t="str">
        <f>IF(OR($A36="F&amp;F",$G36=""),"",IF(Q$8&gt;$G36,IF(OR(status1B5!R36=1,status1B5!R36=2,'BOULEVARD 5'!T34&gt;0),"Pagado","impago"),""))</f>
        <v>Pagado</v>
      </c>
      <c r="R36" s="666" t="str">
        <f>IF(OR($A36="F&amp;F",$G36=""),"",IF(R$8&gt;$G36,IF(OR(status1B5!S36=1,status1B5!S36=2,'BOULEVARD 5'!U34&gt;0),"Pagado","impago"),""))</f>
        <v>Pagado</v>
      </c>
      <c r="S36" s="666" t="str">
        <f>IF(OR($A36="F&amp;F",$G36=""),"",IF(S$8&gt;$G36,IF(OR(status1B5!T36=1,status1B5!T36=2,'BOULEVARD 5'!V34&gt;0),"Pagado","impago"),""))</f>
        <v>Pagado</v>
      </c>
      <c r="T36" s="666" t="str">
        <f>IF(OR($A36="F&amp;F",$G36=""),"",IF(T$8&gt;$G36,IF(OR(status1B5!U36=1,status1B5!U36=2,'BOULEVARD 5'!W34&gt;0),"Pagado","impago"),""))</f>
        <v>Pagado</v>
      </c>
      <c r="U36" s="666" t="str">
        <f>IF(OR($A36="F&amp;F",$G36=""),"",IF(U$8&gt;$G36,IF(OR(status1B5!V36=1,status1B5!V36=2,'BOULEVARD 5'!X34&gt;0),"Pagado","impago"),""))</f>
        <v>Pagado</v>
      </c>
      <c r="V36" s="666" t="str">
        <f>IF(OR($A36="F&amp;F",$G36=""),"",IF(V$8&gt;$G36,IF(OR(status1B5!W36=1,status1B5!W36=2,'BOULEVARD 5'!Y34&gt;0),"Pagado","impago"),""))</f>
        <v>Pagado</v>
      </c>
      <c r="W36" s="666" t="str">
        <f>IF(OR($A36="F&amp;F",$G36=""),"",IF(W$8&gt;$G36,IF(OR(status1B5!X36=1,status1B5!X36=2,'BOULEVARD 5'!Z34&gt;0),"Pagado","impago"),""))</f>
        <v>Pagado</v>
      </c>
      <c r="X36" s="666" t="str">
        <f>IF(OR($A36="F&amp;F",$G36=""),"",IF(X$8&gt;$G36,IF(OR(status1B5!Y36=1,status1B5!Y36=2,'BOULEVARD 5'!AA34&gt;0),"Pagado","impago"),""))</f>
        <v>Pagado</v>
      </c>
      <c r="Y36" s="666" t="str">
        <f>IF(OR($A36="F&amp;F",$G36=""),"",IF(Y$8&gt;$G36,IF(OR(status1B5!Z36=1,status1B5!Z36=2,'BOULEVARD 5'!AB34&gt;0),"Pagado","impago"),""))</f>
        <v>Pagado</v>
      </c>
      <c r="Z36" s="666" t="str">
        <f>IF(OR($A36="F&amp;F",$G36=""),"",IF(Z$8&gt;$G36,IF(OR(status1B5!AA36=1,status1B5!AA36=2,'BOULEVARD 5'!AC34&gt;0),"Pagado","impago"),""))</f>
        <v>Pagado</v>
      </c>
      <c r="AA36" s="666" t="str">
        <f>IF(OR($A36="F&amp;F",$G36=""),"",IF(AA$8&gt;$G36,IF(OR(status1B5!AB36=1,status1B5!AB36=2,'BOULEVARD 5'!AD34&gt;0),"Pagado","impago"),""))</f>
        <v>Pagado</v>
      </c>
      <c r="AB36" s="666" t="str">
        <f>IF(OR($A36="F&amp;F",$G36=""),"",IF(AB$8&gt;$G36,IF(OR(status1B5!AC36=1,status1B5!AC36=2,'BOULEVARD 5'!AE34&gt;0),"Pagado","impago"),""))</f>
        <v>Pagado</v>
      </c>
      <c r="AC36" s="666" t="str">
        <f>IF(OR($A36="F&amp;F",$G36=""),"",IF(AC$8&gt;$G36,IF(OR(status1B5!AD36=1,status1B5!AD36=2,'BOULEVARD 5'!AF34&gt;0),"Pagado","impago"),""))</f>
        <v>Pagado</v>
      </c>
      <c r="AD36" s="666" t="str">
        <f>IF(OR($A36="F&amp;F",$G36=""),"",IF(AD$8&gt;$G36,IF(OR(status1B5!AE36=1,status1B5!AE36=2,'BOULEVARD 5'!AG34&gt;0),"Pagado","impago"),""))</f>
        <v>Pagado</v>
      </c>
      <c r="AE36" s="666" t="str">
        <f>IF(OR($A36="F&amp;F",$G36=""),"",IF(AE$8&gt;$G36,IF(OR(status1B5!AF36=1,status1B5!AF36=2,'BOULEVARD 5'!AH34&gt;0),"Pagado","impago"),""))</f>
        <v>Pagado</v>
      </c>
      <c r="AF36" s="666" t="str">
        <f>IF(OR($A36="F&amp;F",$G36=""),"",IF(AF$8&gt;$G36,IF(OR(status1B5!AG36=1,status1B5!AG36=2,'BOULEVARD 5'!AI34&gt;0),"Pagado","impago"),""))</f>
        <v>Pagado</v>
      </c>
      <c r="AG36" s="666" t="str">
        <f>IF(OR($A36="F&amp;F",$G36=""),"",IF(AG$8&gt;$G36,IF(OR(status1B5!AH36=1,status1B5!AH36=2,'BOULEVARD 5'!AJ34&gt;0),"Pagado","impago"),""))</f>
        <v>Pagado</v>
      </c>
      <c r="AH36" s="666" t="str">
        <f>IF(OR($A36="F&amp;F",$G36=""),"",IF(AH$8&gt;$G36,IF(OR(status1B5!AI36=1,status1B5!AI36=2,'BOULEVARD 5'!AK34&gt;0),"Pagado","impago"),""))</f>
        <v>Pagado</v>
      </c>
      <c r="AI36" s="666" t="str">
        <f>IF(OR($A36="F&amp;F",$G36=""),"",IF(AI$8&gt;$G36,IF(OR(status1B5!AJ36=1,status1B5!AJ36=2,'BOULEVARD 5'!AL34&gt;0),"Pagado","impago"),""))</f>
        <v>Pagado</v>
      </c>
      <c r="AJ36" s="666" t="str">
        <f>IF(OR($A36="F&amp;F",$G36=""),"",IF(AJ$8&gt;$G36,IF(OR(status1B5!AK36=1,status1B5!AK36=2,'BOULEVARD 5'!AM34&gt;0),"Pagado","impago"),""))</f>
        <v>Pagado</v>
      </c>
      <c r="AK36" s="666" t="str">
        <f>IF(OR($A36="F&amp;F",$G36=""),"",IF(AK$8&gt;$G36,IF(OR(status1B5!AL36=1,status1B5!AL36=2,'BOULEVARD 5'!AN34&gt;0),"Pagado","impago"),""))</f>
        <v>Pagado</v>
      </c>
      <c r="AL36" s="666" t="str">
        <f>IF(OR($A36="F&amp;F",$G36=""),"",IF(AL$8&gt;$G36,IF(OR(status1B5!AM36=1,status1B5!AM36=2,'BOULEVARD 5'!AO34&gt;0),"Pagado","impago"),""))</f>
        <v>Pagado</v>
      </c>
      <c r="AM36" s="666" t="str">
        <f>IF(OR($A36="F&amp;F",$G36=""),"",IF(AM$8&gt;$G36,IF(OR(status1B5!AN36=1,status1B5!AN36=2,'BOULEVARD 5'!AP34&gt;0),"Pagado","impago"),""))</f>
        <v>Pagado</v>
      </c>
      <c r="AN36" s="666" t="str">
        <f>IF(OR($A36="F&amp;F",$G36=""),"",IF(AN$8&gt;$G36,IF(OR(status1B5!AO36=1,status1B5!AO36=2,'BOULEVARD 5'!AQ34&gt;0),"Pagado","impago"),""))</f>
        <v>Pagado</v>
      </c>
      <c r="AO36" s="666" t="str">
        <f>IF(OR($A36="F&amp;F",$G36=""),"",IF(AO$8&gt;$G36,IF(OR(status1B5!AP36=1,status1B5!AP36=2,'BOULEVARD 5'!AS34&gt;0),"Pagado","impago"),""))</f>
        <v>Pagado</v>
      </c>
      <c r="AP36" s="429" t="str">
        <f t="shared" si="4"/>
        <v>Vendido</v>
      </c>
    </row>
    <row r="37" spans="1:42" s="429" customFormat="1" ht="13.9" customHeight="1" x14ac:dyDescent="0.25">
      <c r="A37" s="472"/>
      <c r="B37" s="436">
        <f>'BOULEVARD 5'!B35</f>
        <v>215</v>
      </c>
      <c r="C37" s="436" t="s">
        <v>355</v>
      </c>
      <c r="D37" s="436"/>
      <c r="E37" s="436" t="str">
        <f>IF('BOULEVARD 5'!E35="","",'BOULEVARD 5'!E35)</f>
        <v>Antonio Rada</v>
      </c>
      <c r="F37" s="429" t="str">
        <f>IF('BOULEVARD 5'!F35="","",'BOULEVARD 5'!F35)</f>
        <v>Lidia Elizabeth Pocasangre Rac</v>
      </c>
      <c r="G37" s="473">
        <f>IF('BOULEVARD 5'!G35="","",'BOULEVARD 5'!G35)</f>
        <v>45353</v>
      </c>
      <c r="H37" s="666" t="str">
        <f>IF(OR($A37="F&amp;F",$G37=""),"",IF(H$8&gt;$G37,IF(OR(status1B5!I37=1,status1B5!I37=2,'BOULEVARD 5'!K35&gt;0),"Pagado","impago"),""))</f>
        <v/>
      </c>
      <c r="I37" s="666" t="str">
        <f>IF(OR($A37="F&amp;F",$G37=""),"",IF(I$8&gt;$G37,IF(OR(status1B5!J37=1,status1B5!J37=2,'BOULEVARD 5'!L35&gt;0),"Pagado","impago"),""))</f>
        <v/>
      </c>
      <c r="J37" s="666" t="str">
        <f>IF(OR($A37="F&amp;F",$G37=""),"",IF(J$8&gt;$G37,IF(OR(status1B5!K37=1,status1B5!K37=2,'BOULEVARD 5'!M35&gt;0),"Pagado","impago"),""))</f>
        <v/>
      </c>
      <c r="K37" s="666" t="str">
        <f>IF(OR($A37="F&amp;F",$G37=""),"",IF(K$8&gt;$G37,IF(OR(status1B5!L37=1,status1B5!L37=2,'BOULEVARD 5'!N35&gt;0),"Pagado","impago"),""))</f>
        <v/>
      </c>
      <c r="L37" s="666" t="str">
        <f>IF(OR($A37="F&amp;F",$G37=""),"",IF(L$8&gt;$G37,IF(OR(status1B5!M37=1,status1B5!M37=2,'BOULEVARD 5'!O35&gt;0),"Pagado","impago"),""))</f>
        <v/>
      </c>
      <c r="M37" s="666" t="str">
        <f>IF(OR($A37="F&amp;F",$G37=""),"",IF(M$8&gt;$G37,IF(OR(status1B5!N37=1,status1B5!N37=2,'BOULEVARD 5'!P35&gt;0),"Pagado","impago"),""))</f>
        <v/>
      </c>
      <c r="N37" s="666" t="str">
        <f>IF(OR($A37="F&amp;F",$G37=""),"",IF(N$8&gt;$G37,IF(OR(status1B5!O37=1,status1B5!O37=2,'BOULEVARD 5'!Q35&gt;0),"Pagado","impago"),""))</f>
        <v/>
      </c>
      <c r="O37" s="666" t="str">
        <f>IF(OR($A37="F&amp;F",$G37=""),"",IF(O$8&gt;$G37,IF(OR(status1B5!P37=1,status1B5!P37=2,'BOULEVARD 5'!R35&gt;0),"Pagado","impago"),""))</f>
        <v/>
      </c>
      <c r="P37" s="666" t="str">
        <f>IF(OR($A37="F&amp;F",$G37=""),"",IF(P$8&gt;$G37,IF(OR(status1B5!Q37=1,status1B5!Q37=2,'BOULEVARD 5'!S35&gt;0),"Pagado","impago"),""))</f>
        <v/>
      </c>
      <c r="Q37" s="666" t="str">
        <f>IF(OR($A37="F&amp;F",$G37=""),"",IF(Q$8&gt;$G37,IF(OR(status1B5!R37=1,status1B5!R37=2,'BOULEVARD 5'!T35&gt;0),"Pagado","impago"),""))</f>
        <v/>
      </c>
      <c r="R37" s="666" t="str">
        <f>IF(OR($A37="F&amp;F",$G37=""),"",IF(R$8&gt;$G37,IF(OR(status1B5!S37=1,status1B5!S37=2,'BOULEVARD 5'!U35&gt;0),"Pagado","impago"),""))</f>
        <v/>
      </c>
      <c r="S37" s="666" t="str">
        <f>IF(OR($A37="F&amp;F",$G37=""),"",IF(S$8&gt;$G37,IF(OR(status1B5!T37=1,status1B5!T37=2,'BOULEVARD 5'!V35&gt;0),"Pagado","impago"),""))</f>
        <v/>
      </c>
      <c r="T37" s="666" t="str">
        <f>IF(OR($A37="F&amp;F",$G37=""),"",IF(T$8&gt;$G37,IF(OR(status1B5!U37=1,status1B5!U37=2,'BOULEVARD 5'!W35&gt;0),"Pagado","impago"),""))</f>
        <v>Pagado</v>
      </c>
      <c r="U37" s="666" t="str">
        <f>IF(OR($A37="F&amp;F",$G37=""),"",IF(U$8&gt;$G37,IF(OR(status1B5!V37=1,status1B5!V37=2,'BOULEVARD 5'!X35&gt;0),"Pagado","impago"),""))</f>
        <v>Pagado</v>
      </c>
      <c r="V37" s="666" t="str">
        <f>IF(OR($A37="F&amp;F",$G37=""),"",IF(V$8&gt;$G37,IF(OR(status1B5!W37=1,status1B5!W37=2,'BOULEVARD 5'!Y35&gt;0),"Pagado","impago"),""))</f>
        <v>Pagado</v>
      </c>
      <c r="W37" s="666" t="str">
        <f>IF(OR($A37="F&amp;F",$G37=""),"",IF(W$8&gt;$G37,IF(OR(status1B5!X37=1,status1B5!X37=2,'BOULEVARD 5'!Z35&gt;0),"Pagado","impago"),""))</f>
        <v>Pagado</v>
      </c>
      <c r="X37" s="666" t="str">
        <f>IF(OR($A37="F&amp;F",$G37=""),"",IF(X$8&gt;$G37,IF(OR(status1B5!Y37=1,status1B5!Y37=2,'BOULEVARD 5'!AA35&gt;0),"Pagado","impago"),""))</f>
        <v>Pagado</v>
      </c>
      <c r="Y37" s="666" t="str">
        <f>IF(OR($A37="F&amp;F",$G37=""),"",IF(Y$8&gt;$G37,IF(OR(status1B5!Z37=1,status1B5!Z37=2,'BOULEVARD 5'!AB35&gt;0),"Pagado","impago"),""))</f>
        <v>Pagado</v>
      </c>
      <c r="Z37" s="666" t="str">
        <f>IF(OR($A37="F&amp;F",$G37=""),"",IF(Z$8&gt;$G37,IF(OR(status1B5!AA37=1,status1B5!AA37=2,'BOULEVARD 5'!AC35&gt;0),"Pagado","impago"),""))</f>
        <v>Pagado</v>
      </c>
      <c r="AA37" s="666" t="str">
        <f>IF(OR($A37="F&amp;F",$G37=""),"",IF(AA$8&gt;$G37,IF(OR(status1B5!AB37=1,status1B5!AB37=2,'BOULEVARD 5'!AD35&gt;0),"Pagado","impago"),""))</f>
        <v>Pagado</v>
      </c>
      <c r="AB37" s="666" t="str">
        <f>IF(OR($A37="F&amp;F",$G37=""),"",IF(AB$8&gt;$G37,IF(OR(status1B5!AC37=1,status1B5!AC37=2,'BOULEVARD 5'!AE35&gt;0),"Pagado","impago"),""))</f>
        <v>Pagado</v>
      </c>
      <c r="AC37" s="666" t="str">
        <f>IF(OR($A37="F&amp;F",$G37=""),"",IF(AC$8&gt;$G37,IF(OR(status1B5!AD37=1,status1B5!AD37=2,'BOULEVARD 5'!AF35&gt;0),"Pagado","impago"),""))</f>
        <v>Pagado</v>
      </c>
      <c r="AD37" s="666" t="str">
        <f>IF(OR($A37="F&amp;F",$G37=""),"",IF(AD$8&gt;$G37,IF(OR(status1B5!AE37=1,status1B5!AE37=2,'BOULEVARD 5'!AG35&gt;0),"Pagado","impago"),""))</f>
        <v>Pagado</v>
      </c>
      <c r="AE37" s="666" t="str">
        <f>IF(OR($A37="F&amp;F",$G37=""),"",IF(AE$8&gt;$G37,IF(OR(status1B5!AF37=1,status1B5!AF37=2,'BOULEVARD 5'!AH35&gt;0),"Pagado","impago"),""))</f>
        <v>Pagado</v>
      </c>
      <c r="AF37" s="666" t="str">
        <f>IF(OR($A37="F&amp;F",$G37=""),"",IF(AF$8&gt;$G37,IF(OR(status1B5!AG37=1,status1B5!AG37=2,'BOULEVARD 5'!AI35&gt;0),"Pagado","impago"),""))</f>
        <v>Pagado</v>
      </c>
      <c r="AG37" s="666" t="str">
        <f>IF(OR($A37="F&amp;F",$G37=""),"",IF(AG$8&gt;$G37,IF(OR(status1B5!AH37=1,status1B5!AH37=2,'BOULEVARD 5'!AJ35&gt;0),"Pagado","impago"),""))</f>
        <v>Pagado</v>
      </c>
      <c r="AH37" s="666" t="str">
        <f>IF(OR($A37="F&amp;F",$G37=""),"",IF(AH$8&gt;$G37,IF(OR(status1B5!AI37=1,status1B5!AI37=2,'BOULEVARD 5'!AK35&gt;0),"Pagado","impago"),""))</f>
        <v>Pagado</v>
      </c>
      <c r="AI37" s="666" t="str">
        <f>IF(OR($A37="F&amp;F",$G37=""),"",IF(AI$8&gt;$G37,IF(OR(status1B5!AJ37=1,status1B5!AJ37=2,'BOULEVARD 5'!AL35&gt;0),"Pagado","impago"),""))</f>
        <v>Pagado</v>
      </c>
      <c r="AJ37" s="666" t="str">
        <f>IF(OR($A37="F&amp;F",$G37=""),"",IF(AJ$8&gt;$G37,IF(OR(status1B5!AK37=1,status1B5!AK37=2,'BOULEVARD 5'!AM35&gt;0),"Pagado","impago"),""))</f>
        <v>Pagado</v>
      </c>
      <c r="AK37" s="666" t="str">
        <f>IF(OR($A37="F&amp;F",$G37=""),"",IF(AK$8&gt;$G37,IF(OR(status1B5!AL37=1,status1B5!AL37=2,'BOULEVARD 5'!AN35&gt;0),"Pagado","impago"),""))</f>
        <v>Pagado</v>
      </c>
      <c r="AL37" s="666" t="str">
        <f>IF(OR($A37="F&amp;F",$G37=""),"",IF(AL$8&gt;$G37,IF(OR(status1B5!AM37=1,status1B5!AM37=2,'BOULEVARD 5'!AO35&gt;0),"Pagado","impago"),""))</f>
        <v>Pagado</v>
      </c>
      <c r="AM37" s="666" t="str">
        <f>IF(OR($A37="F&amp;F",$G37=""),"",IF(AM$8&gt;$G37,IF(OR(status1B5!AN37=1,status1B5!AN37=2,'BOULEVARD 5'!AP35&gt;0),"Pagado","impago"),""))</f>
        <v>Pagado</v>
      </c>
      <c r="AN37" s="666" t="str">
        <f>IF(OR($A37="F&amp;F",$G37=""),"",IF(AN$8&gt;$G37,IF(OR(status1B5!AO37=1,status1B5!AO37=2,'BOULEVARD 5'!AQ35&gt;0),"Pagado","impago"),""))</f>
        <v>Pagado</v>
      </c>
      <c r="AO37" s="666" t="str">
        <f>IF(OR($A37="F&amp;F",$G37=""),"",IF(AO$8&gt;$G37,IF(OR(status1B5!AP37=1,status1B5!AP37=2,'BOULEVARD 5'!AS35&gt;0),"Pagado","impago"),""))</f>
        <v>Pagado</v>
      </c>
      <c r="AP37" s="429" t="str">
        <f t="shared" si="4"/>
        <v>Vendido</v>
      </c>
    </row>
    <row r="38" spans="1:42" s="429" customFormat="1" ht="13.9" customHeight="1" x14ac:dyDescent="0.25">
      <c r="A38" s="472"/>
      <c r="B38" s="436">
        <f>'BOULEVARD 5'!B36</f>
        <v>216</v>
      </c>
      <c r="C38" s="436" t="s">
        <v>355</v>
      </c>
      <c r="D38" s="641"/>
      <c r="E38" s="436" t="str">
        <f>IF('BOULEVARD 5'!E36="","",'BOULEVARD 5'!E36)</f>
        <v>Antonio Rada</v>
      </c>
      <c r="F38" s="429" t="str">
        <f>IF('BOULEVARD 5'!F36="","",'BOULEVARD 5'!F36)</f>
        <v>Narvesters Gabriell Moreno Cedeño</v>
      </c>
      <c r="G38" s="473">
        <f>IF('BOULEVARD 5'!G36="","",'BOULEVARD 5'!G36)</f>
        <v>45360</v>
      </c>
      <c r="H38" s="666" t="str">
        <f>IF(OR($A38="F&amp;F",$G38=""),"",IF(H$8&gt;$G38,IF(OR(status1B5!I38=1,status1B5!I38=2,'BOULEVARD 5'!K36&gt;0),"Pagado","impago"),""))</f>
        <v/>
      </c>
      <c r="I38" s="666" t="str">
        <f>IF(OR($A38="F&amp;F",$G38=""),"",IF(I$8&gt;$G38,IF(OR(status1B5!J38=1,status1B5!J38=2,'BOULEVARD 5'!L36&gt;0),"Pagado","impago"),""))</f>
        <v/>
      </c>
      <c r="J38" s="666" t="str">
        <f>IF(OR($A38="F&amp;F",$G38=""),"",IF(J$8&gt;$G38,IF(OR(status1B5!K38=1,status1B5!K38=2,'BOULEVARD 5'!M36&gt;0),"Pagado","impago"),""))</f>
        <v/>
      </c>
      <c r="K38" s="666" t="str">
        <f>IF(OR($A38="F&amp;F",$G38=""),"",IF(K$8&gt;$G38,IF(OR(status1B5!L38=1,status1B5!L38=2,'BOULEVARD 5'!N36&gt;0),"Pagado","impago"),""))</f>
        <v/>
      </c>
      <c r="L38" s="666" t="str">
        <f>IF(OR($A38="F&amp;F",$G38=""),"",IF(L$8&gt;$G38,IF(OR(status1B5!M38=1,status1B5!M38=2,'BOULEVARD 5'!O36&gt;0),"Pagado","impago"),""))</f>
        <v/>
      </c>
      <c r="M38" s="666" t="str">
        <f>IF(OR($A38="F&amp;F",$G38=""),"",IF(M$8&gt;$G38,IF(OR(status1B5!N38=1,status1B5!N38=2,'BOULEVARD 5'!P36&gt;0),"Pagado","impago"),""))</f>
        <v/>
      </c>
      <c r="N38" s="666" t="str">
        <f>IF(OR($A38="F&amp;F",$G38=""),"",IF(N$8&gt;$G38,IF(OR(status1B5!O38=1,status1B5!O38=2,'BOULEVARD 5'!Q36&gt;0),"Pagado","impago"),""))</f>
        <v/>
      </c>
      <c r="O38" s="666" t="str">
        <f>IF(OR($A38="F&amp;F",$G38=""),"",IF(O$8&gt;$G38,IF(OR(status1B5!P38=1,status1B5!P38=2,'BOULEVARD 5'!R36&gt;0),"Pagado","impago"),""))</f>
        <v/>
      </c>
      <c r="P38" s="666" t="str">
        <f>IF(OR($A38="F&amp;F",$G38=""),"",IF(P$8&gt;$G38,IF(OR(status1B5!Q38=1,status1B5!Q38=2,'BOULEVARD 5'!S36&gt;0),"Pagado","impago"),""))</f>
        <v/>
      </c>
      <c r="Q38" s="666" t="str">
        <f>IF(OR($A38="F&amp;F",$G38=""),"",IF(Q$8&gt;$G38,IF(OR(status1B5!R38=1,status1B5!R38=2,'BOULEVARD 5'!T36&gt;0),"Pagado","impago"),""))</f>
        <v/>
      </c>
      <c r="R38" s="666" t="str">
        <f>IF(OR($A38="F&amp;F",$G38=""),"",IF(R$8&gt;$G38,IF(OR(status1B5!S38=1,status1B5!S38=2,'BOULEVARD 5'!U36&gt;0),"Pagado","impago"),""))</f>
        <v/>
      </c>
      <c r="S38" s="666" t="str">
        <f>IF(OR($A38="F&amp;F",$G38=""),"",IF(S$8&gt;$G38,IF(OR(status1B5!T38=1,status1B5!T38=2,'BOULEVARD 5'!V36&gt;0),"Pagado","impago"),""))</f>
        <v/>
      </c>
      <c r="T38" s="666" t="str">
        <f>IF(OR($A38="F&amp;F",$G38=""),"",IF(T$8&gt;$G38,IF(OR(status1B5!U38=1,status1B5!U38=2,'BOULEVARD 5'!W36&gt;0),"Pagado","impago"),""))</f>
        <v>Pagado</v>
      </c>
      <c r="U38" s="666" t="str">
        <f>IF(OR($A38="F&amp;F",$G38=""),"",IF(U$8&gt;$G38,IF(OR(status1B5!V38=1,status1B5!V38=2,'BOULEVARD 5'!X36&gt;0),"Pagado","impago"),""))</f>
        <v>Pagado</v>
      </c>
      <c r="V38" s="666" t="str">
        <f>IF(OR($A38="F&amp;F",$G38=""),"",IF(V$8&gt;$G38,IF(OR(status1B5!W38=1,status1B5!W38=2,'BOULEVARD 5'!Y36&gt;0),"Pagado","impago"),""))</f>
        <v>Pagado</v>
      </c>
      <c r="W38" s="666" t="str">
        <f>IF(OR($A38="F&amp;F",$G38=""),"",IF(W$8&gt;$G38,IF(OR(status1B5!X38=1,status1B5!X38=2,'BOULEVARD 5'!Z36&gt;0),"Pagado","impago"),""))</f>
        <v>Pagado</v>
      </c>
      <c r="X38" s="666" t="str">
        <f>IF(OR($A38="F&amp;F",$G38=""),"",IF(X$8&gt;$G38,IF(OR(status1B5!Y38=1,status1B5!Y38=2,'BOULEVARD 5'!AA36&gt;0),"Pagado","impago"),""))</f>
        <v>Pagado</v>
      </c>
      <c r="Y38" s="666" t="str">
        <f>IF(OR($A38="F&amp;F",$G38=""),"",IF(Y$8&gt;$G38,IF(OR(status1B5!Z38=1,status1B5!Z38=2,'BOULEVARD 5'!AB36&gt;0),"Pagado","impago"),""))</f>
        <v>Pagado</v>
      </c>
      <c r="Z38" s="666" t="str">
        <f>IF(OR($A38="F&amp;F",$G38=""),"",IF(Z$8&gt;$G38,IF(OR(status1B5!AA38=1,status1B5!AA38=2,'BOULEVARD 5'!AC36&gt;0),"Pagado","impago"),""))</f>
        <v>Pagado</v>
      </c>
      <c r="AA38" s="666" t="str">
        <f>IF(OR($A38="F&amp;F",$G38=""),"",IF(AA$8&gt;$G38,IF(OR(status1B5!AB38=1,status1B5!AB38=2,'BOULEVARD 5'!AD36&gt;0),"Pagado","impago"),""))</f>
        <v>Pagado</v>
      </c>
      <c r="AB38" s="666" t="str">
        <f>IF(OR($A38="F&amp;F",$G38=""),"",IF(AB$8&gt;$G38,IF(OR(status1B5!AC38=1,status1B5!AC38=2,'BOULEVARD 5'!AE36&gt;0),"Pagado","impago"),""))</f>
        <v>Pagado</v>
      </c>
      <c r="AC38" s="666" t="str">
        <f>IF(OR($A38="F&amp;F",$G38=""),"",IF(AC$8&gt;$G38,IF(OR(status1B5!AD38=1,status1B5!AD38=2,'BOULEVARD 5'!AF36&gt;0),"Pagado","impago"),""))</f>
        <v>Pagado</v>
      </c>
      <c r="AD38" s="666" t="str">
        <f>IF(OR($A38="F&amp;F",$G38=""),"",IF(AD$8&gt;$G38,IF(OR(status1B5!AE38=1,status1B5!AE38=2,'BOULEVARD 5'!AG36&gt;0),"Pagado","impago"),""))</f>
        <v>Pagado</v>
      </c>
      <c r="AE38" s="666" t="str">
        <f>IF(OR($A38="F&amp;F",$G38=""),"",IF(AE$8&gt;$G38,IF(OR(status1B5!AF38=1,status1B5!AF38=2,'BOULEVARD 5'!AH36&gt;0),"Pagado","impago"),""))</f>
        <v>Pagado</v>
      </c>
      <c r="AF38" s="666" t="str">
        <f>IF(OR($A38="F&amp;F",$G38=""),"",IF(AF$8&gt;$G38,IF(OR(status1B5!AG38=1,status1B5!AG38=2,'BOULEVARD 5'!AI36&gt;0),"Pagado","impago"),""))</f>
        <v>Pagado</v>
      </c>
      <c r="AG38" s="666" t="str">
        <f>IF(OR($A38="F&amp;F",$G38=""),"",IF(AG$8&gt;$G38,IF(OR(status1B5!AH38=1,status1B5!AH38=2,'BOULEVARD 5'!AJ36&gt;0),"Pagado","impago"),""))</f>
        <v>Pagado</v>
      </c>
      <c r="AH38" s="666" t="str">
        <f>IF(OR($A38="F&amp;F",$G38=""),"",IF(AH$8&gt;$G38,IF(OR(status1B5!AI38=1,status1B5!AI38=2,'BOULEVARD 5'!AK36&gt;0),"Pagado","impago"),""))</f>
        <v>Pagado</v>
      </c>
      <c r="AI38" s="666" t="str">
        <f>IF(OR($A38="F&amp;F",$G38=""),"",IF(AI$8&gt;$G38,IF(OR(status1B5!AJ38=1,status1B5!AJ38=2,'BOULEVARD 5'!AL36&gt;0),"Pagado","impago"),""))</f>
        <v>Pagado</v>
      </c>
      <c r="AJ38" s="666" t="str">
        <f>IF(OR($A38="F&amp;F",$G38=""),"",IF(AJ$8&gt;$G38,IF(OR(status1B5!AK38=1,status1B5!AK38=2,'BOULEVARD 5'!AM36&gt;0),"Pagado","impago"),""))</f>
        <v>Pagado</v>
      </c>
      <c r="AK38" s="666" t="str">
        <f>IF(OR($A38="F&amp;F",$G38=""),"",IF(AK$8&gt;$G38,IF(OR(status1B5!AL38=1,status1B5!AL38=2,'BOULEVARD 5'!AN36&gt;0),"Pagado","impago"),""))</f>
        <v>Pagado</v>
      </c>
      <c r="AL38" s="666" t="str">
        <f>IF(OR($A38="F&amp;F",$G38=""),"",IF(AL$8&gt;$G38,IF(OR(status1B5!AM38=1,status1B5!AM38=2,'BOULEVARD 5'!AO36&gt;0),"Pagado","impago"),""))</f>
        <v>Pagado</v>
      </c>
      <c r="AM38" s="666" t="str">
        <f>IF(OR($A38="F&amp;F",$G38=""),"",IF(AM$8&gt;$G38,IF(OR(status1B5!AN38=1,status1B5!AN38=2,'BOULEVARD 5'!AP36&gt;0),"Pagado","impago"),""))</f>
        <v>Pagado</v>
      </c>
      <c r="AN38" s="666" t="str">
        <f>IF(OR($A38="F&amp;F",$G38=""),"",IF(AN$8&gt;$G38,IF(OR(status1B5!AO38=1,status1B5!AO38=2,'BOULEVARD 5'!AQ36&gt;0),"Pagado","impago"),""))</f>
        <v>Pagado</v>
      </c>
      <c r="AO38" s="666" t="str">
        <f>IF(OR($A38="F&amp;F",$G38=""),"",IF(AO$8&gt;$G38,IF(OR(status1B5!AP38=1,status1B5!AP38=2,'BOULEVARD 5'!AS36&gt;0),"Pagado","impago"),""))</f>
        <v>Pagado</v>
      </c>
      <c r="AP38" s="429" t="str">
        <f t="shared" si="4"/>
        <v>Vendido</v>
      </c>
    </row>
    <row r="39" spans="1:42" s="429" customFormat="1" ht="13.9" customHeight="1" x14ac:dyDescent="0.25">
      <c r="A39" s="472"/>
      <c r="B39" s="436">
        <f>'BOULEVARD 5'!B37</f>
        <v>301</v>
      </c>
      <c r="C39" s="436" t="s">
        <v>355</v>
      </c>
      <c r="D39" s="436"/>
      <c r="E39" s="436" t="str">
        <f>IF('BOULEVARD 5'!E37="","",'BOULEVARD 5'!E37)</f>
        <v>Antonio Rada</v>
      </c>
      <c r="F39" s="429" t="str">
        <f>IF('BOULEVARD 5'!F37="","",'BOULEVARD 5'!F37)</f>
        <v>Jonathan Kiril Thomas Menkos</v>
      </c>
      <c r="G39" s="473">
        <f>IF('BOULEVARD 5'!G37="","",'BOULEVARD 5'!G37)</f>
        <v>45494</v>
      </c>
      <c r="H39" s="666" t="str">
        <f>IF(OR($A39="F&amp;F",$G39=""),"",IF(H$8&gt;$G39,IF(OR(status1B5!I39=1,status1B5!I39=2,'BOULEVARD 5'!K37&gt;0),"Pagado","impago"),""))</f>
        <v/>
      </c>
      <c r="I39" s="666" t="str">
        <f>IF(OR($A39="F&amp;F",$G39=""),"",IF(I$8&gt;$G39,IF(OR(status1B5!J39=1,status1B5!J39=2,'BOULEVARD 5'!L37&gt;0),"Pagado","impago"),""))</f>
        <v/>
      </c>
      <c r="J39" s="666" t="str">
        <f>IF(OR($A39="F&amp;F",$G39=""),"",IF(J$8&gt;$G39,IF(OR(status1B5!K39=1,status1B5!K39=2,'BOULEVARD 5'!M37&gt;0),"Pagado","impago"),""))</f>
        <v/>
      </c>
      <c r="K39" s="666" t="str">
        <f>IF(OR($A39="F&amp;F",$G39=""),"",IF(K$8&gt;$G39,IF(OR(status1B5!L39=1,status1B5!L39=2,'BOULEVARD 5'!N37&gt;0),"Pagado","impago"),""))</f>
        <v/>
      </c>
      <c r="L39" s="666" t="str">
        <f>IF(OR($A39="F&amp;F",$G39=""),"",IF(L$8&gt;$G39,IF(OR(status1B5!M39=1,status1B5!M39=2,'BOULEVARD 5'!O37&gt;0),"Pagado","impago"),""))</f>
        <v/>
      </c>
      <c r="M39" s="666" t="str">
        <f>IF(OR($A39="F&amp;F",$G39=""),"",IF(M$8&gt;$G39,IF(OR(status1B5!N39=1,status1B5!N39=2,'BOULEVARD 5'!P37&gt;0),"Pagado","impago"),""))</f>
        <v/>
      </c>
      <c r="N39" s="666" t="str">
        <f>IF(OR($A39="F&amp;F",$G39=""),"",IF(N$8&gt;$G39,IF(OR(status1B5!O39=1,status1B5!O39=2,'BOULEVARD 5'!Q37&gt;0),"Pagado","impago"),""))</f>
        <v/>
      </c>
      <c r="O39" s="666" t="str">
        <f>IF(OR($A39="F&amp;F",$G39=""),"",IF(O$8&gt;$G39,IF(OR(status1B5!P39=1,status1B5!P39=2,'BOULEVARD 5'!R37&gt;0),"Pagado","impago"),""))</f>
        <v/>
      </c>
      <c r="P39" s="666" t="str">
        <f>IF(OR($A39="F&amp;F",$G39=""),"",IF(P$8&gt;$G39,IF(OR(status1B5!Q39=1,status1B5!Q39=2,'BOULEVARD 5'!S37&gt;0),"Pagado","impago"),""))</f>
        <v/>
      </c>
      <c r="Q39" s="666" t="str">
        <f>IF(OR($A39="F&amp;F",$G39=""),"",IF(Q$8&gt;$G39,IF(OR(status1B5!R39=1,status1B5!R39=2,'BOULEVARD 5'!T37&gt;0),"Pagado","impago"),""))</f>
        <v/>
      </c>
      <c r="R39" s="666" t="str">
        <f>IF(OR($A39="F&amp;F",$G39=""),"",IF(R$8&gt;$G39,IF(OR(status1B5!S39=1,status1B5!S39=2,'BOULEVARD 5'!U37&gt;0),"Pagado","impago"),""))</f>
        <v/>
      </c>
      <c r="S39" s="666" t="str">
        <f>IF(OR($A39="F&amp;F",$G39=""),"",IF(S$8&gt;$G39,IF(OR(status1B5!T39=1,status1B5!T39=2,'BOULEVARD 5'!V37&gt;0),"Pagado","impago"),""))</f>
        <v/>
      </c>
      <c r="T39" s="666" t="str">
        <f>IF(OR($A39="F&amp;F",$G39=""),"",IF(T$8&gt;$G39,IF(OR(status1B5!U39=1,status1B5!U39=2,'BOULEVARD 5'!W37&gt;0),"Pagado","impago"),""))</f>
        <v/>
      </c>
      <c r="U39" s="666" t="str">
        <f>IF(OR($A39="F&amp;F",$G39=""),"",IF(U$8&gt;$G39,IF(OR(status1B5!V39=1,status1B5!V39=2,'BOULEVARD 5'!X37&gt;0),"Pagado","impago"),""))</f>
        <v/>
      </c>
      <c r="V39" s="666" t="str">
        <f>IF(OR($A39="F&amp;F",$G39=""),"",IF(V$8&gt;$G39,IF(OR(status1B5!W39=1,status1B5!W39=2,'BOULEVARD 5'!Y37&gt;0),"Pagado","impago"),""))</f>
        <v/>
      </c>
      <c r="W39" s="666" t="str">
        <f>IF(OR($A39="F&amp;F",$G39=""),"",IF(W$8&gt;$G39,IF(OR(status1B5!X39=1,status1B5!X39=2,'BOULEVARD 5'!Z37&gt;0),"Pagado","impago"),""))</f>
        <v/>
      </c>
      <c r="X39" s="666" t="str">
        <f>IF(OR($A39="F&amp;F",$G39=""),"",IF(X$8&gt;$G39,IF(OR(status1B5!Y39=1,status1B5!Y39=2,'BOULEVARD 5'!AA37&gt;0),"Pagado","impago"),""))</f>
        <v>Pagado</v>
      </c>
      <c r="Y39" s="666" t="str">
        <f>IF(OR($A39="F&amp;F",$G39=""),"",IF(Y$8&gt;$G39,IF(OR(status1B5!Z39=1,status1B5!Z39=2,'BOULEVARD 5'!AB37&gt;0),"Pagado","impago"),""))</f>
        <v>Pagado</v>
      </c>
      <c r="Z39" s="666" t="str">
        <f>IF(OR($A39="F&amp;F",$G39=""),"",IF(Z$8&gt;$G39,IF(OR(status1B5!AA39=1,status1B5!AA39=2,'BOULEVARD 5'!AC37&gt;0),"Pagado","impago"),""))</f>
        <v>Pagado</v>
      </c>
      <c r="AA39" s="666" t="str">
        <f>IF(OR($A39="F&amp;F",$G39=""),"",IF(AA$8&gt;$G39,IF(OR(status1B5!AB39=1,status1B5!AB39=2,'BOULEVARD 5'!AD37&gt;0),"Pagado","impago"),""))</f>
        <v>Pagado</v>
      </c>
      <c r="AB39" s="666" t="str">
        <f>IF(OR($A39="F&amp;F",$G39=""),"",IF(AB$8&gt;$G39,IF(OR(status1B5!AC39=1,status1B5!AC39=2,'BOULEVARD 5'!AE37&gt;0),"Pagado","impago"),""))</f>
        <v>Pagado</v>
      </c>
      <c r="AC39" s="666" t="str">
        <f>IF(OR($A39="F&amp;F",$G39=""),"",IF(AC$8&gt;$G39,IF(OR(status1B5!AD39=1,status1B5!AD39=2,'BOULEVARD 5'!AF37&gt;0),"Pagado","impago"),""))</f>
        <v>Pagado</v>
      </c>
      <c r="AD39" s="666" t="str">
        <f>IF(OR($A39="F&amp;F",$G39=""),"",IF(AD$8&gt;$G39,IF(OR(status1B5!AE39=1,status1B5!AE39=2,'BOULEVARD 5'!AG37&gt;0),"Pagado","impago"),""))</f>
        <v>Pagado</v>
      </c>
      <c r="AE39" s="666" t="str">
        <f>IF(OR($A39="F&amp;F",$G39=""),"",IF(AE$8&gt;$G39,IF(OR(status1B5!AF39=1,status1B5!AF39=2,'BOULEVARD 5'!AH37&gt;0),"Pagado","impago"),""))</f>
        <v>Pagado</v>
      </c>
      <c r="AF39" s="666" t="str">
        <f>IF(OR($A39="F&amp;F",$G39=""),"",IF(AF$8&gt;$G39,IF(OR(status1B5!AG39=1,status1B5!AG39=2,'BOULEVARD 5'!AI37&gt;0),"Pagado","impago"),""))</f>
        <v>Pagado</v>
      </c>
      <c r="AG39" s="666" t="str">
        <f>IF(OR($A39="F&amp;F",$G39=""),"",IF(AG$8&gt;$G39,IF(OR(status1B5!AH39=1,status1B5!AH39=2,'BOULEVARD 5'!AJ37&gt;0),"Pagado","impago"),""))</f>
        <v>Pagado</v>
      </c>
      <c r="AH39" s="666" t="str">
        <f>IF(OR($A39="F&amp;F",$G39=""),"",IF(AH$8&gt;$G39,IF(OR(status1B5!AI39=1,status1B5!AI39=2,'BOULEVARD 5'!AK37&gt;0),"Pagado","impago"),""))</f>
        <v>Pagado</v>
      </c>
      <c r="AI39" s="666" t="str">
        <f>IF(OR($A39="F&amp;F",$G39=""),"",IF(AI$8&gt;$G39,IF(OR(status1B5!AJ39=1,status1B5!AJ39=2,'BOULEVARD 5'!AL37&gt;0),"Pagado","impago"),""))</f>
        <v>Pagado</v>
      </c>
      <c r="AJ39" s="666" t="str">
        <f>IF(OR($A39="F&amp;F",$G39=""),"",IF(AJ$8&gt;$G39,IF(OR(status1B5!AK39=1,status1B5!AK39=2,'BOULEVARD 5'!AM37&gt;0),"Pagado","impago"),""))</f>
        <v>Pagado</v>
      </c>
      <c r="AK39" s="666" t="str">
        <f>IF(OR($A39="F&amp;F",$G39=""),"",IF(AK$8&gt;$G39,IF(OR(status1B5!AL39=1,status1B5!AL39=2,'BOULEVARD 5'!AN37&gt;0),"Pagado","impago"),""))</f>
        <v>Pagado</v>
      </c>
      <c r="AL39" s="666" t="str">
        <f>IF(OR($A39="F&amp;F",$G39=""),"",IF(AL$8&gt;$G39,IF(OR(status1B5!AM39=1,status1B5!AM39=2,'BOULEVARD 5'!AO37&gt;0),"Pagado","impago"),""))</f>
        <v>Pagado</v>
      </c>
      <c r="AM39" s="666" t="str">
        <f>IF(OR($A39="F&amp;F",$G39=""),"",IF(AM$8&gt;$G39,IF(OR(status1B5!AN39=1,status1B5!AN39=2,'BOULEVARD 5'!AP37&gt;0),"Pagado","impago"),""))</f>
        <v>Pagado</v>
      </c>
      <c r="AN39" s="666" t="str">
        <f>IF(OR($A39="F&amp;F",$G39=""),"",IF(AN$8&gt;$G39,IF(OR(status1B5!AO39=1,status1B5!AO39=2,'BOULEVARD 5'!AQ37&gt;0),"Pagado","impago"),""))</f>
        <v>Pagado</v>
      </c>
      <c r="AO39" s="666" t="str">
        <f>IF(OR($A39="F&amp;F",$G39=""),"",IF(AO$8&gt;$G39,IF(OR(status1B5!AP39=1,status1B5!AP39=2,'BOULEVARD 5'!AS37&gt;0),"Pagado","impago"),""))</f>
        <v>Pagado</v>
      </c>
      <c r="AP39" s="429" t="str">
        <f t="shared" si="4"/>
        <v>Vendido</v>
      </c>
    </row>
    <row r="40" spans="1:42" s="429" customFormat="1" ht="13.9" customHeight="1" x14ac:dyDescent="0.25">
      <c r="A40" s="472"/>
      <c r="B40" s="436">
        <f>'BOULEVARD 5'!B38</f>
        <v>302</v>
      </c>
      <c r="C40" s="436" t="s">
        <v>355</v>
      </c>
      <c r="D40" s="436"/>
      <c r="E40" s="436" t="str">
        <f>IF('BOULEVARD 5'!E38="","",'BOULEVARD 5'!E38)</f>
        <v>Anahí Cisneros</v>
      </c>
      <c r="F40" s="429" t="str">
        <f>IF('BOULEVARD 5'!F38="","",'BOULEVARD 5'!F38)</f>
        <v>José Ignacio Ramírez Soto</v>
      </c>
      <c r="G40" s="473">
        <f>IF('BOULEVARD 5'!G38="","",'BOULEVARD 5'!G38)</f>
        <v>45898</v>
      </c>
      <c r="H40" s="666" t="str">
        <f>IF(OR($A40="F&amp;F",$G40=""),"",IF(H$8&gt;$G40,IF(OR(status1B5!I40=1,status1B5!I40=2,'BOULEVARD 5'!K38&gt;0),"Pagado","impago"),""))</f>
        <v/>
      </c>
      <c r="I40" s="666" t="str">
        <f>IF(OR($A40="F&amp;F",$G40=""),"",IF(I$8&gt;$G40,IF(OR(status1B5!J40=1,status1B5!J40=2,'BOULEVARD 5'!L38&gt;0),"Pagado","impago"),""))</f>
        <v/>
      </c>
      <c r="J40" s="666" t="str">
        <f>IF(OR($A40="F&amp;F",$G40=""),"",IF(J$8&gt;$G40,IF(OR(status1B5!K40=1,status1B5!K40=2,'BOULEVARD 5'!M38&gt;0),"Pagado","impago"),""))</f>
        <v/>
      </c>
      <c r="K40" s="666" t="str">
        <f>IF(OR($A40="F&amp;F",$G40=""),"",IF(K$8&gt;$G40,IF(OR(status1B5!L40=1,status1B5!L40=2,'BOULEVARD 5'!N38&gt;0),"Pagado","impago"),""))</f>
        <v/>
      </c>
      <c r="L40" s="666" t="str">
        <f>IF(OR($A40="F&amp;F",$G40=""),"",IF(L$8&gt;$G40,IF(OR(status1B5!M40=1,status1B5!M40=2,'BOULEVARD 5'!O38&gt;0),"Pagado","impago"),""))</f>
        <v/>
      </c>
      <c r="M40" s="666" t="str">
        <f>IF(OR($A40="F&amp;F",$G40=""),"",IF(M$8&gt;$G40,IF(OR(status1B5!N40=1,status1B5!N40=2,'BOULEVARD 5'!P38&gt;0),"Pagado","impago"),""))</f>
        <v/>
      </c>
      <c r="N40" s="666" t="str">
        <f>IF(OR($A40="F&amp;F",$G40=""),"",IF(N$8&gt;$G40,IF(OR(status1B5!O40=1,status1B5!O40=2,'BOULEVARD 5'!Q38&gt;0),"Pagado","impago"),""))</f>
        <v/>
      </c>
      <c r="O40" s="666" t="str">
        <f>IF(OR($A40="F&amp;F",$G40=""),"",IF(O$8&gt;$G40,IF(OR(status1B5!P40=1,status1B5!P40=2,'BOULEVARD 5'!R38&gt;0),"Pagado","impago"),""))</f>
        <v/>
      </c>
      <c r="P40" s="666" t="str">
        <f>IF(OR($A40="F&amp;F",$G40=""),"",IF(P$8&gt;$G40,IF(OR(status1B5!Q40=1,status1B5!Q40=2,'BOULEVARD 5'!S38&gt;0),"Pagado","impago"),""))</f>
        <v/>
      </c>
      <c r="Q40" s="666" t="str">
        <f>IF(OR($A40="F&amp;F",$G40=""),"",IF(Q$8&gt;$G40,IF(OR(status1B5!R40=1,status1B5!R40=2,'BOULEVARD 5'!T38&gt;0),"Pagado","impago"),""))</f>
        <v/>
      </c>
      <c r="R40" s="666" t="str">
        <f>IF(OR($A40="F&amp;F",$G40=""),"",IF(R$8&gt;$G40,IF(OR(status1B5!S40=1,status1B5!S40=2,'BOULEVARD 5'!U38&gt;0),"Pagado","impago"),""))</f>
        <v/>
      </c>
      <c r="S40" s="666" t="str">
        <f>IF(OR($A40="F&amp;F",$G40=""),"",IF(S$8&gt;$G40,IF(OR(status1B5!T40=1,status1B5!T40=2,'BOULEVARD 5'!V38&gt;0),"Pagado","impago"),""))</f>
        <v/>
      </c>
      <c r="T40" s="666" t="str">
        <f>IF(OR($A40="F&amp;F",$G40=""),"",IF(T$8&gt;$G40,IF(OR(status1B5!U40=1,status1B5!U40=2,'BOULEVARD 5'!W38&gt;0),"Pagado","impago"),""))</f>
        <v/>
      </c>
      <c r="U40" s="666" t="str">
        <f>IF(OR($A40="F&amp;F",$G40=""),"",IF(U$8&gt;$G40,IF(OR(status1B5!V40=1,status1B5!V40=2,'BOULEVARD 5'!X38&gt;0),"Pagado","impago"),""))</f>
        <v/>
      </c>
      <c r="V40" s="666" t="str">
        <f>IF(OR($A40="F&amp;F",$G40=""),"",IF(V$8&gt;$G40,IF(OR(status1B5!W40=1,status1B5!W40=2,'BOULEVARD 5'!Y38&gt;0),"Pagado","impago"),""))</f>
        <v/>
      </c>
      <c r="W40" s="666" t="str">
        <f>IF(OR($A40="F&amp;F",$G40=""),"",IF(W$8&gt;$G40,IF(OR(status1B5!X40=1,status1B5!X40=2,'BOULEVARD 5'!Z38&gt;0),"Pagado","impago"),""))</f>
        <v/>
      </c>
      <c r="X40" s="666" t="str">
        <f>IF(OR($A40="F&amp;F",$G40=""),"",IF(X$8&gt;$G40,IF(OR(status1B5!Y40=1,status1B5!Y40=2,'BOULEVARD 5'!AA38&gt;0),"Pagado","impago"),""))</f>
        <v/>
      </c>
      <c r="Y40" s="666" t="str">
        <f>IF(OR($A40="F&amp;F",$G40=""),"",IF(Y$8&gt;$G40,IF(OR(status1B5!Z40=1,status1B5!Z40=2,'BOULEVARD 5'!AB38&gt;0),"Pagado","impago"),""))</f>
        <v/>
      </c>
      <c r="Z40" s="666" t="str">
        <f>IF(OR($A40="F&amp;F",$G40=""),"",IF(Z$8&gt;$G40,IF(OR(status1B5!AA40=1,status1B5!AA40=2,'BOULEVARD 5'!AC38&gt;0),"Pagado","impago"),""))</f>
        <v/>
      </c>
      <c r="AA40" s="666" t="str">
        <f>IF(OR($A40="F&amp;F",$G40=""),"",IF(AA$8&gt;$G40,IF(OR(status1B5!AB40=1,status1B5!AB40=2,'BOULEVARD 5'!AD38&gt;0),"Pagado","impago"),""))</f>
        <v/>
      </c>
      <c r="AB40" s="666" t="str">
        <f>IF(OR($A40="F&amp;F",$G40=""),"",IF(AB$8&gt;$G40,IF(OR(status1B5!AC40=1,status1B5!AC40=2,'BOULEVARD 5'!AE38&gt;0),"Pagado","impago"),""))</f>
        <v/>
      </c>
      <c r="AC40" s="666" t="str">
        <f>IF(OR($A40="F&amp;F",$G40=""),"",IF(AC$8&gt;$G40,IF(OR(status1B5!AD40=1,status1B5!AD40=2,'BOULEVARD 5'!AF38&gt;0),"Pagado","impago"),""))</f>
        <v/>
      </c>
      <c r="AD40" s="666" t="str">
        <f>IF(OR($A40="F&amp;F",$G40=""),"",IF(AD$8&gt;$G40,IF(OR(status1B5!AE40=1,status1B5!AE40=2,'BOULEVARD 5'!AG38&gt;0),"Pagado","impago"),""))</f>
        <v/>
      </c>
      <c r="AE40" s="666" t="str">
        <f>IF(OR($A40="F&amp;F",$G40=""),"",IF(AE$8&gt;$G40,IF(OR(status1B5!AF40=1,status1B5!AF40=2,'BOULEVARD 5'!AH38&gt;0),"Pagado","impago"),""))</f>
        <v/>
      </c>
      <c r="AF40" s="666" t="str">
        <f>IF(OR($A40="F&amp;F",$G40=""),"",IF(AF$8&gt;$G40,IF(OR(status1B5!AG40=1,status1B5!AG40=2,'BOULEVARD 5'!AI38&gt;0),"Pagado","impago"),""))</f>
        <v/>
      </c>
      <c r="AG40" s="666" t="str">
        <f>IF(OR($A40="F&amp;F",$G40=""),"",IF(AG$8&gt;$G40,IF(OR(status1B5!AH40=1,status1B5!AH40=2,'BOULEVARD 5'!AJ38&gt;0),"Pagado","impago"),""))</f>
        <v/>
      </c>
      <c r="AH40" s="666" t="str">
        <f>IF(OR($A40="F&amp;F",$G40=""),"",IF(AH$8&gt;$G40,IF(OR(status1B5!AI40=1,status1B5!AI40=2,'BOULEVARD 5'!AK38&gt;0),"Pagado","impago"),""))</f>
        <v/>
      </c>
      <c r="AI40" s="666" t="str">
        <f>IF(OR($A40="F&amp;F",$G40=""),"",IF(AI$8&gt;$G40,IF(OR(status1B5!AJ40=1,status1B5!AJ40=2,'BOULEVARD 5'!AL38&gt;0),"Pagado","impago"),""))</f>
        <v/>
      </c>
      <c r="AJ40" s="666" t="str">
        <f>IF(OR($A40="F&amp;F",$G40=""),"",IF(AJ$8&gt;$G40,IF(OR(status1B5!AK40=1,status1B5!AK40=2,'BOULEVARD 5'!AM38&gt;0),"Pagado","impago"),""))</f>
        <v/>
      </c>
      <c r="AK40" s="666" t="str">
        <f>IF(OR($A40="F&amp;F",$G40=""),"",IF(AK$8&gt;$G40,IF(OR(status1B5!AL40=1,status1B5!AL40=2,'BOULEVARD 5'!AN38&gt;0),"Pagado","impago"),""))</f>
        <v>Pagado</v>
      </c>
      <c r="AL40" s="666" t="str">
        <f>IF(OR($A40="F&amp;F",$G40=""),"",IF(AL$8&gt;$G40,IF(OR(status1B5!AM40=1,status1B5!AM40=2,'BOULEVARD 5'!AO38&gt;0),"Pagado","impago"),""))</f>
        <v>Pagado</v>
      </c>
      <c r="AM40" s="666" t="str">
        <f>IF(OR($A40="F&amp;F",$G40=""),"",IF(AM$8&gt;$G40,IF(OR(status1B5!AN40=1,status1B5!AN40=2,'BOULEVARD 5'!AP38&gt;0),"Pagado","impago"),""))</f>
        <v>Pagado</v>
      </c>
      <c r="AN40" s="666" t="str">
        <f>IF(OR($A40="F&amp;F",$G40=""),"",IF(AN$8&gt;$G40,IF(OR(status1B5!AO40=1,status1B5!AO40=2,'BOULEVARD 5'!AQ38&gt;0),"Pagado","impago"),""))</f>
        <v>Pagado</v>
      </c>
      <c r="AO40" s="666" t="str">
        <f>IF(OR($A40="F&amp;F",$G40=""),"",IF(AO$8&gt;$G40,IF(OR(status1B5!AP40=1,status1B5!AP40=2,'BOULEVARD 5'!AS38&gt;0),"Pagado","impago"),""))</f>
        <v>Pagado</v>
      </c>
      <c r="AP40" s="429" t="str">
        <f t="shared" si="4"/>
        <v>Vendido</v>
      </c>
    </row>
    <row r="41" spans="1:42" s="429" customFormat="1" ht="13.9" customHeight="1" x14ac:dyDescent="0.25">
      <c r="B41" s="436">
        <f>'BOULEVARD 5'!B39</f>
        <v>303</v>
      </c>
      <c r="C41" s="436" t="s">
        <v>355</v>
      </c>
      <c r="D41" s="436"/>
      <c r="E41" s="436" t="str">
        <f>IF('BOULEVARD 5'!E39="","",'BOULEVARD 5'!E39)</f>
        <v>Erwin Cardona</v>
      </c>
      <c r="F41" s="429" t="str">
        <f>IF('BOULEVARD 5'!F39="","",'BOULEVARD 5'!F39)</f>
        <v>Pedro Antonio Gomar Chávez</v>
      </c>
      <c r="G41" s="473" t="str">
        <f>IF('BOULEVARD 5'!G39="","",'BOULEVARD 5'!G39)</f>
        <v>27/11/205</v>
      </c>
      <c r="H41" s="666" t="str">
        <f>IF(OR($A41="F&amp;F",$G41=""),"",IF(H$8&gt;$G41,IF(OR(status1B5!I41=1,status1B5!I41=2,'BOULEVARD 5'!K39&gt;0),"Pagado","impago"),""))</f>
        <v/>
      </c>
      <c r="I41" s="666" t="str">
        <f>IF(OR($A41="F&amp;F",$G41=""),"",IF(I$8&gt;$G41,IF(OR(status1B5!J41=1,status1B5!J41=2,'BOULEVARD 5'!L39&gt;0),"Pagado","impago"),""))</f>
        <v/>
      </c>
      <c r="J41" s="666" t="str">
        <f>IF(OR($A41="F&amp;F",$G41=""),"",IF(J$8&gt;$G41,IF(OR(status1B5!K41=1,status1B5!K41=2,'BOULEVARD 5'!M39&gt;0),"Pagado","impago"),""))</f>
        <v/>
      </c>
      <c r="K41" s="666" t="str">
        <f>IF(OR($A41="F&amp;F",$G41=""),"",IF(K$8&gt;$G41,IF(OR(status1B5!L41=1,status1B5!L41=2,'BOULEVARD 5'!N39&gt;0),"Pagado","impago"),""))</f>
        <v/>
      </c>
      <c r="L41" s="666" t="str">
        <f>IF(OR($A41="F&amp;F",$G41=""),"",IF(L$8&gt;$G41,IF(OR(status1B5!M41=1,status1B5!M41=2,'BOULEVARD 5'!O39&gt;0),"Pagado","impago"),""))</f>
        <v/>
      </c>
      <c r="M41" s="666" t="str">
        <f>IF(OR($A41="F&amp;F",$G41=""),"",IF(M$8&gt;$G41,IF(OR(status1B5!N41=1,status1B5!N41=2,'BOULEVARD 5'!P39&gt;0),"Pagado","impago"),""))</f>
        <v/>
      </c>
      <c r="N41" s="666" t="str">
        <f>IF(OR($A41="F&amp;F",$G41=""),"",IF(N$8&gt;$G41,IF(OR(status1B5!O41=1,status1B5!O41=2,'BOULEVARD 5'!Q39&gt;0),"Pagado","impago"),""))</f>
        <v/>
      </c>
      <c r="O41" s="666" t="str">
        <f>IF(OR($A41="F&amp;F",$G41=""),"",IF(O$8&gt;$G41,IF(OR(status1B5!P41=1,status1B5!P41=2,'BOULEVARD 5'!R39&gt;0),"Pagado","impago"),""))</f>
        <v/>
      </c>
      <c r="P41" s="666" t="str">
        <f>IF(OR($A41="F&amp;F",$G41=""),"",IF(P$8&gt;$G41,IF(OR(status1B5!Q41=1,status1B5!Q41=2,'BOULEVARD 5'!S39&gt;0),"Pagado","impago"),""))</f>
        <v/>
      </c>
      <c r="Q41" s="666" t="str">
        <f>IF(OR($A41="F&amp;F",$G41=""),"",IF(Q$8&gt;$G41,IF(OR(status1B5!R41=1,status1B5!R41=2,'BOULEVARD 5'!T39&gt;0),"Pagado","impago"),""))</f>
        <v/>
      </c>
      <c r="R41" s="666" t="str">
        <f>IF(OR($A41="F&amp;F",$G41=""),"",IF(R$8&gt;$G41,IF(OR(status1B5!S41=1,status1B5!S41=2,'BOULEVARD 5'!U39&gt;0),"Pagado","impago"),""))</f>
        <v/>
      </c>
      <c r="S41" s="666" t="str">
        <f>IF(OR($A41="F&amp;F",$G41=""),"",IF(S$8&gt;$G41,IF(OR(status1B5!T41=1,status1B5!T41=2,'BOULEVARD 5'!V39&gt;0),"Pagado","impago"),""))</f>
        <v/>
      </c>
      <c r="T41" s="666" t="str">
        <f>IF(OR($A41="F&amp;F",$G41=""),"",IF(T$8&gt;$G41,IF(OR(status1B5!U41=1,status1B5!U41=2,'BOULEVARD 5'!W39&gt;0),"Pagado","impago"),""))</f>
        <v/>
      </c>
      <c r="U41" s="666" t="str">
        <f>IF(OR($A41="F&amp;F",$G41=""),"",IF(U$8&gt;$G41,IF(OR(status1B5!V41=1,status1B5!V41=2,'BOULEVARD 5'!X39&gt;0),"Pagado","impago"),""))</f>
        <v/>
      </c>
      <c r="V41" s="666" t="str">
        <f>IF(OR($A41="F&amp;F",$G41=""),"",IF(V$8&gt;$G41,IF(OR(status1B5!W41=1,status1B5!W41=2,'BOULEVARD 5'!Y39&gt;0),"Pagado","impago"),""))</f>
        <v/>
      </c>
      <c r="W41" s="666" t="str">
        <f>IF(OR($A41="F&amp;F",$G41=""),"",IF(W$8&gt;$G41,IF(OR(status1B5!X41=1,status1B5!X41=2,'BOULEVARD 5'!Z39&gt;0),"Pagado","impago"),""))</f>
        <v/>
      </c>
      <c r="X41" s="666" t="str">
        <f>IF(OR($A41="F&amp;F",$G41=""),"",IF(X$8&gt;$G41,IF(OR(status1B5!Y41=1,status1B5!Y41=2,'BOULEVARD 5'!AA39&gt;0),"Pagado","impago"),""))</f>
        <v/>
      </c>
      <c r="Y41" s="666" t="str">
        <f>IF(OR($A41="F&amp;F",$G41=""),"",IF(Y$8&gt;$G41,IF(OR(status1B5!Z41=1,status1B5!Z41=2,'BOULEVARD 5'!AB39&gt;0),"Pagado","impago"),""))</f>
        <v/>
      </c>
      <c r="Z41" s="666" t="str">
        <f>IF(OR($A41="F&amp;F",$G41=""),"",IF(Z$8&gt;$G41,IF(OR(status1B5!AA41=1,status1B5!AA41=2,'BOULEVARD 5'!AC39&gt;0),"Pagado","impago"),""))</f>
        <v/>
      </c>
      <c r="AA41" s="666" t="str">
        <f>IF(OR($A41="F&amp;F",$G41=""),"",IF(AA$8&gt;$G41,IF(OR(status1B5!AB41=1,status1B5!AB41=2,'BOULEVARD 5'!AD39&gt;0),"Pagado","impago"),""))</f>
        <v/>
      </c>
      <c r="AB41" s="666" t="str">
        <f>IF(OR($A41="F&amp;F",$G41=""),"",IF(AB$8&gt;$G41,IF(OR(status1B5!AC41=1,status1B5!AC41=2,'BOULEVARD 5'!AE39&gt;0),"Pagado","impago"),""))</f>
        <v/>
      </c>
      <c r="AC41" s="666" t="str">
        <f>IF(OR($A41="F&amp;F",$G41=""),"",IF(AC$8&gt;$G41,IF(OR(status1B5!AD41=1,status1B5!AD41=2,'BOULEVARD 5'!AF39&gt;0),"Pagado","impago"),""))</f>
        <v/>
      </c>
      <c r="AD41" s="666" t="str">
        <f>IF(OR($A41="F&amp;F",$G41=""),"",IF(AD$8&gt;$G41,IF(OR(status1B5!AE41=1,status1B5!AE41=2,'BOULEVARD 5'!AG39&gt;0),"Pagado","impago"),""))</f>
        <v/>
      </c>
      <c r="AE41" s="666" t="str">
        <f>IF(OR($A41="F&amp;F",$G41=""),"",IF(AE$8&gt;$G41,IF(OR(status1B5!AF41=1,status1B5!AF41=2,'BOULEVARD 5'!AH39&gt;0),"Pagado","impago"),""))</f>
        <v/>
      </c>
      <c r="AF41" s="666" t="str">
        <f>IF(OR($A41="F&amp;F",$G41=""),"",IF(AF$8&gt;$G41,IF(OR(status1B5!AG41=1,status1B5!AG41=2,'BOULEVARD 5'!AI39&gt;0),"Pagado","impago"),""))</f>
        <v/>
      </c>
      <c r="AG41" s="666" t="str">
        <f>IF(OR($A41="F&amp;F",$G41=""),"",IF(AG$8&gt;$G41,IF(OR(status1B5!AH41=1,status1B5!AH41=2,'BOULEVARD 5'!AJ39&gt;0),"Pagado","impago"),""))</f>
        <v/>
      </c>
      <c r="AH41" s="666" t="str">
        <f>IF(OR($A41="F&amp;F",$G41=""),"",IF(AH$8&gt;$G41,IF(OR(status1B5!AI41=1,status1B5!AI41=2,'BOULEVARD 5'!AK39&gt;0),"Pagado","impago"),""))</f>
        <v/>
      </c>
      <c r="AI41" s="666" t="str">
        <f>IF(OR($A41="F&amp;F",$G41=""),"",IF(AI$8&gt;$G41,IF(OR(status1B5!AJ41=1,status1B5!AJ41=2,'BOULEVARD 5'!AL39&gt;0),"Pagado","impago"),""))</f>
        <v/>
      </c>
      <c r="AJ41" s="666" t="str">
        <f>IF(OR($A41="F&amp;F",$G41=""),"",IF(AJ$8&gt;$G41,IF(OR(status1B5!AK41=1,status1B5!AK41=2,'BOULEVARD 5'!AM39&gt;0),"Pagado","impago"),""))</f>
        <v/>
      </c>
      <c r="AK41" s="666" t="str">
        <f>IF(OR($A41="F&amp;F",$G41=""),"",IF(AK$8&gt;$G41,IF(OR(status1B5!AL41=1,status1B5!AL41=2,'BOULEVARD 5'!AN39&gt;0),"Pagado","impago"),""))</f>
        <v/>
      </c>
      <c r="AL41" s="666" t="str">
        <f>IF(OR($A41="F&amp;F",$G41=""),"",IF(AL$8&gt;$G41,IF(OR(status1B5!AM41=1,status1B5!AM41=2,'BOULEVARD 5'!AO39&gt;0),"Pagado","impago"),""))</f>
        <v/>
      </c>
      <c r="AM41" s="666" t="str">
        <f>IF(OR($A41="F&amp;F",$G41=""),"",IF(AM$8&gt;$G41,IF(OR(status1B5!AN41=1,status1B5!AN41=2,'BOULEVARD 5'!AP39&gt;0),"Pagado","impago"),""))</f>
        <v/>
      </c>
      <c r="AN41" s="666" t="str">
        <f>IF(OR($A41="F&amp;F",$G41=""),"",IF(AN$8&gt;$G41,IF(OR(status1B5!AO41=1,status1B5!AO41=2,'BOULEVARD 5'!AQ39&gt;0),"Pagado","impago"),""))</f>
        <v/>
      </c>
      <c r="AO41" s="666" t="str">
        <f>IF(OR($A41="F&amp;F",$G41=""),"",IF(AO$8&gt;$G41,IF(OR(status1B5!AP41=1,status1B5!AP41=2,'BOULEVARD 5'!AS39&gt;0),"Pagado","impago"),""))</f>
        <v/>
      </c>
      <c r="AP41" s="429" t="str">
        <f t="shared" si="4"/>
        <v>Vendido</v>
      </c>
    </row>
    <row r="42" spans="1:42" s="429" customFormat="1" ht="13.9" customHeight="1" x14ac:dyDescent="0.25">
      <c r="A42" s="472"/>
      <c r="B42" s="436">
        <f>'BOULEVARD 5'!B40</f>
        <v>304</v>
      </c>
      <c r="C42" s="436" t="s">
        <v>355</v>
      </c>
      <c r="D42" s="436"/>
      <c r="E42" s="436" t="str">
        <f>IF('BOULEVARD 5'!E40="","",'BOULEVARD 5'!E40)</f>
        <v>Antonio Rada</v>
      </c>
      <c r="F42" s="429" t="str">
        <f>IF('BOULEVARD 5'!F40="","",'BOULEVARD 5'!F40)</f>
        <v>Ricardo Alberto Vásquez Monterroso</v>
      </c>
      <c r="G42" s="473">
        <f>IF('BOULEVARD 5'!G40="","",'BOULEVARD 5'!G40)</f>
        <v>45719</v>
      </c>
      <c r="H42" s="666" t="str">
        <f>IF(OR($A42="F&amp;F",$G42=""),"",IF(H$8&gt;$G42,IF(OR(status1B5!I42=1,status1B5!I42=2,'BOULEVARD 5'!K40&gt;0),"Pagado","impago"),""))</f>
        <v/>
      </c>
      <c r="I42" s="666" t="str">
        <f>IF(OR($A42="F&amp;F",$G42=""),"",IF(I$8&gt;$G42,IF(OR(status1B5!J42=1,status1B5!J42=2,'BOULEVARD 5'!L40&gt;0),"Pagado","impago"),""))</f>
        <v/>
      </c>
      <c r="J42" s="666" t="str">
        <f>IF(OR($A42="F&amp;F",$G42=""),"",IF(J$8&gt;$G42,IF(OR(status1B5!K42=1,status1B5!K42=2,'BOULEVARD 5'!M40&gt;0),"Pagado","impago"),""))</f>
        <v/>
      </c>
      <c r="K42" s="666" t="str">
        <f>IF(OR($A42="F&amp;F",$G42=""),"",IF(K$8&gt;$G42,IF(OR(status1B5!L42=1,status1B5!L42=2,'BOULEVARD 5'!N40&gt;0),"Pagado","impago"),""))</f>
        <v/>
      </c>
      <c r="L42" s="666" t="str">
        <f>IF(OR($A42="F&amp;F",$G42=""),"",IF(L$8&gt;$G42,IF(OR(status1B5!M42=1,status1B5!M42=2,'BOULEVARD 5'!O40&gt;0),"Pagado","impago"),""))</f>
        <v/>
      </c>
      <c r="M42" s="666" t="str">
        <f>IF(OR($A42="F&amp;F",$G42=""),"",IF(M$8&gt;$G42,IF(OR(status1B5!N42=1,status1B5!N42=2,'BOULEVARD 5'!P40&gt;0),"Pagado","impago"),""))</f>
        <v/>
      </c>
      <c r="N42" s="666" t="str">
        <f>IF(OR($A42="F&amp;F",$G42=""),"",IF(N$8&gt;$G42,IF(OR(status1B5!O42=1,status1B5!O42=2,'BOULEVARD 5'!Q40&gt;0),"Pagado","impago"),""))</f>
        <v/>
      </c>
      <c r="O42" s="666" t="str">
        <f>IF(OR($A42="F&amp;F",$G42=""),"",IF(O$8&gt;$G42,IF(OR(status1B5!P42=1,status1B5!P42=2,'BOULEVARD 5'!R40&gt;0),"Pagado","impago"),""))</f>
        <v/>
      </c>
      <c r="P42" s="666" t="str">
        <f>IF(OR($A42="F&amp;F",$G42=""),"",IF(P$8&gt;$G42,IF(OR(status1B5!Q42=1,status1B5!Q42=2,'BOULEVARD 5'!S40&gt;0),"Pagado","impago"),""))</f>
        <v/>
      </c>
      <c r="Q42" s="666" t="str">
        <f>IF(OR($A42="F&amp;F",$G42=""),"",IF(Q$8&gt;$G42,IF(OR(status1B5!R42=1,status1B5!R42=2,'BOULEVARD 5'!T40&gt;0),"Pagado","impago"),""))</f>
        <v/>
      </c>
      <c r="R42" s="666" t="str">
        <f>IF(OR($A42="F&amp;F",$G42=""),"",IF(R$8&gt;$G42,IF(OR(status1B5!S42=1,status1B5!S42=2,'BOULEVARD 5'!U40&gt;0),"Pagado","impago"),""))</f>
        <v/>
      </c>
      <c r="S42" s="666" t="str">
        <f>IF(OR($A42="F&amp;F",$G42=""),"",IF(S$8&gt;$G42,IF(OR(status1B5!T42=1,status1B5!T42=2,'BOULEVARD 5'!V40&gt;0),"Pagado","impago"),""))</f>
        <v/>
      </c>
      <c r="T42" s="666" t="str">
        <f>IF(OR($A42="F&amp;F",$G42=""),"",IF(T$8&gt;$G42,IF(OR(status1B5!U42=1,status1B5!U42=2,'BOULEVARD 5'!W40&gt;0),"Pagado","impago"),""))</f>
        <v/>
      </c>
      <c r="U42" s="666" t="str">
        <f>IF(OR($A42="F&amp;F",$G42=""),"",IF(U$8&gt;$G42,IF(OR(status1B5!V42=1,status1B5!V42=2,'BOULEVARD 5'!X40&gt;0),"Pagado","impago"),""))</f>
        <v/>
      </c>
      <c r="V42" s="666" t="str">
        <f>IF(OR($A42="F&amp;F",$G42=""),"",IF(V$8&gt;$G42,IF(OR(status1B5!W42=1,status1B5!W42=2,'BOULEVARD 5'!Y40&gt;0),"Pagado","impago"),""))</f>
        <v/>
      </c>
      <c r="W42" s="666" t="str">
        <f>IF(OR($A42="F&amp;F",$G42=""),"",IF(W$8&gt;$G42,IF(OR(status1B5!X42=1,status1B5!X42=2,'BOULEVARD 5'!Z40&gt;0),"Pagado","impago"),""))</f>
        <v/>
      </c>
      <c r="X42" s="666" t="str">
        <f>IF(OR($A42="F&amp;F",$G42=""),"",IF(X$8&gt;$G42,IF(OR(status1B5!Y42=1,status1B5!Y42=2,'BOULEVARD 5'!AA40&gt;0),"Pagado","impago"),""))</f>
        <v/>
      </c>
      <c r="Y42" s="666" t="str">
        <f>IF(OR($A42="F&amp;F",$G42=""),"",IF(Y$8&gt;$G42,IF(OR(status1B5!Z42=1,status1B5!Z42=2,'BOULEVARD 5'!AB40&gt;0),"Pagado","impago"),""))</f>
        <v/>
      </c>
      <c r="Z42" s="666" t="str">
        <f>IF(OR($A42="F&amp;F",$G42=""),"",IF(Z$8&gt;$G42,IF(OR(status1B5!AA42=1,status1B5!AA42=2,'BOULEVARD 5'!AC40&gt;0),"Pagado","impago"),""))</f>
        <v/>
      </c>
      <c r="AA42" s="666" t="str">
        <f>IF(OR($A42="F&amp;F",$G42=""),"",IF(AA$8&gt;$G42,IF(OR(status1B5!AB42=1,status1B5!AB42=2,'BOULEVARD 5'!AD40&gt;0),"Pagado","impago"),""))</f>
        <v/>
      </c>
      <c r="AB42" s="666" t="str">
        <f>IF(OR($A42="F&amp;F",$G42=""),"",IF(AB$8&gt;$G42,IF(OR(status1B5!AC42=1,status1B5!AC42=2,'BOULEVARD 5'!AE40&gt;0),"Pagado","impago"),""))</f>
        <v/>
      </c>
      <c r="AC42" s="666" t="str">
        <f>IF(OR($A42="F&amp;F",$G42=""),"",IF(AC$8&gt;$G42,IF(OR(status1B5!AD42=1,status1B5!AD42=2,'BOULEVARD 5'!AF40&gt;0),"Pagado","impago"),""))</f>
        <v/>
      </c>
      <c r="AD42" s="666" t="str">
        <f>IF(OR($A42="F&amp;F",$G42=""),"",IF(AD$8&gt;$G42,IF(OR(status1B5!AE42=1,status1B5!AE42=2,'BOULEVARD 5'!AG40&gt;0),"Pagado","impago"),""))</f>
        <v/>
      </c>
      <c r="AE42" s="666" t="str">
        <f>IF(OR($A42="F&amp;F",$G42=""),"",IF(AE$8&gt;$G42,IF(OR(status1B5!AF42=1,status1B5!AF42=2,'BOULEVARD 5'!AH40&gt;0),"Pagado","impago"),""))</f>
        <v/>
      </c>
      <c r="AF42" s="666" t="str">
        <f>IF(OR($A42="F&amp;F",$G42=""),"",IF(AF$8&gt;$G42,IF(OR(status1B5!AG42=1,status1B5!AG42=2,'BOULEVARD 5'!AI40&gt;0),"Pagado","impago"),""))</f>
        <v>Pagado</v>
      </c>
      <c r="AG42" s="666" t="str">
        <f>IF(OR($A42="F&amp;F",$G42=""),"",IF(AG$8&gt;$G42,IF(OR(status1B5!AH42=1,status1B5!AH42=2,'BOULEVARD 5'!AJ40&gt;0),"Pagado","impago"),""))</f>
        <v>Pagado</v>
      </c>
      <c r="AH42" s="666" t="str">
        <f>IF(OR($A42="F&amp;F",$G42=""),"",IF(AH$8&gt;$G42,IF(OR(status1B5!AI42=1,status1B5!AI42=2,'BOULEVARD 5'!AK40&gt;0),"Pagado","impago"),""))</f>
        <v>Pagado</v>
      </c>
      <c r="AI42" s="666" t="str">
        <f>IF(OR($A42="F&amp;F",$G42=""),"",IF(AI$8&gt;$G42,IF(OR(status1B5!AJ42=1,status1B5!AJ42=2,'BOULEVARD 5'!AL40&gt;0),"Pagado","impago"),""))</f>
        <v>Pagado</v>
      </c>
      <c r="AJ42" s="666" t="str">
        <f>IF(OR($A42="F&amp;F",$G42=""),"",IF(AJ$8&gt;$G42,IF(OR(status1B5!AK42=1,status1B5!AK42=2,'BOULEVARD 5'!AM40&gt;0),"Pagado","impago"),""))</f>
        <v>Pagado</v>
      </c>
      <c r="AK42" s="666" t="str">
        <f>IF(OR($A42="F&amp;F",$G42=""),"",IF(AK$8&gt;$G42,IF(OR(status1B5!AL42=1,status1B5!AL42=2,'BOULEVARD 5'!AN40&gt;0),"Pagado","impago"),""))</f>
        <v>Pagado</v>
      </c>
      <c r="AL42" s="666" t="str">
        <f>IF(OR($A42="F&amp;F",$G42=""),"",IF(AL$8&gt;$G42,IF(OR(status1B5!AM42=1,status1B5!AM42=2,'BOULEVARD 5'!AO40&gt;0),"Pagado","impago"),""))</f>
        <v>Pagado</v>
      </c>
      <c r="AM42" s="666" t="str">
        <f>IF(OR($A42="F&amp;F",$G42=""),"",IF(AM$8&gt;$G42,IF(OR(status1B5!AN42=1,status1B5!AN42=2,'BOULEVARD 5'!AP40&gt;0),"Pagado","impago"),""))</f>
        <v>Pagado</v>
      </c>
      <c r="AN42" s="666" t="str">
        <f>IF(OR($A42="F&amp;F",$G42=""),"",IF(AN$8&gt;$G42,IF(OR(status1B5!AO42=1,status1B5!AO42=2,'BOULEVARD 5'!AQ40&gt;0),"Pagado","impago"),""))</f>
        <v>Pagado</v>
      </c>
      <c r="AO42" s="666" t="str">
        <f>IF(OR($A42="F&amp;F",$G42=""),"",IF(AO$8&gt;$G42,IF(OR(status1B5!AP42=1,status1B5!AP42=2,'BOULEVARD 5'!AS40&gt;0),"Pagado","impago"),""))</f>
        <v>Pagado</v>
      </c>
      <c r="AP42" s="429" t="str">
        <f t="shared" si="4"/>
        <v>Vendido</v>
      </c>
    </row>
    <row r="43" spans="1:42" s="429" customFormat="1" ht="13.9" customHeight="1" x14ac:dyDescent="0.25">
      <c r="A43" s="472"/>
      <c r="B43" s="436">
        <f>'BOULEVARD 5'!B41</f>
        <v>305</v>
      </c>
      <c r="C43" s="436" t="s">
        <v>355</v>
      </c>
      <c r="D43" s="436"/>
      <c r="E43" s="436" t="str">
        <f>IF('BOULEVARD 5'!E41="","",'BOULEVARD 5'!E41)</f>
        <v>Antonio Rada</v>
      </c>
      <c r="F43" s="429" t="str">
        <f>IF('BOULEVARD 5'!F41="","",'BOULEVARD 5'!F41)</f>
        <v>Josue Alejandro Arias Perez</v>
      </c>
      <c r="G43" s="473">
        <f>IF('BOULEVARD 5'!G41="","",'BOULEVARD 5'!G41)</f>
        <v>45748</v>
      </c>
      <c r="H43" s="666" t="str">
        <f>IF(OR($A43="F&amp;F",$G43=""),"",IF(H$8&gt;$G43,IF(OR(status1B5!I43=1,status1B5!I43=2,'BOULEVARD 5'!K41&gt;0),"Pagado","impago"),""))</f>
        <v/>
      </c>
      <c r="I43" s="666" t="str">
        <f>IF(OR($A43="F&amp;F",$G43=""),"",IF(I$8&gt;$G43,IF(OR(status1B5!J43=1,status1B5!J43=2,'BOULEVARD 5'!L41&gt;0),"Pagado","impago"),""))</f>
        <v/>
      </c>
      <c r="J43" s="666" t="str">
        <f>IF(OR($A43="F&amp;F",$G43=""),"",IF(J$8&gt;$G43,IF(OR(status1B5!K43=1,status1B5!K43=2,'BOULEVARD 5'!M41&gt;0),"Pagado","impago"),""))</f>
        <v/>
      </c>
      <c r="K43" s="666" t="str">
        <f>IF(OR($A43="F&amp;F",$G43=""),"",IF(K$8&gt;$G43,IF(OR(status1B5!L43=1,status1B5!L43=2,'BOULEVARD 5'!N41&gt;0),"Pagado","impago"),""))</f>
        <v/>
      </c>
      <c r="L43" s="666" t="str">
        <f>IF(OR($A43="F&amp;F",$G43=""),"",IF(L$8&gt;$G43,IF(OR(status1B5!M43=1,status1B5!M43=2,'BOULEVARD 5'!O41&gt;0),"Pagado","impago"),""))</f>
        <v/>
      </c>
      <c r="M43" s="666" t="str">
        <f>IF(OR($A43="F&amp;F",$G43=""),"",IF(M$8&gt;$G43,IF(OR(status1B5!N43=1,status1B5!N43=2,'BOULEVARD 5'!P41&gt;0),"Pagado","impago"),""))</f>
        <v/>
      </c>
      <c r="N43" s="666" t="str">
        <f>IF(OR($A43="F&amp;F",$G43=""),"",IF(N$8&gt;$G43,IF(OR(status1B5!O43=1,status1B5!O43=2,'BOULEVARD 5'!Q41&gt;0),"Pagado","impago"),""))</f>
        <v/>
      </c>
      <c r="O43" s="666" t="str">
        <f>IF(OR($A43="F&amp;F",$G43=""),"",IF(O$8&gt;$G43,IF(OR(status1B5!P43=1,status1B5!P43=2,'BOULEVARD 5'!R41&gt;0),"Pagado","impago"),""))</f>
        <v/>
      </c>
      <c r="P43" s="666" t="str">
        <f>IF(OR($A43="F&amp;F",$G43=""),"",IF(P$8&gt;$G43,IF(OR(status1B5!Q43=1,status1B5!Q43=2,'BOULEVARD 5'!S41&gt;0),"Pagado","impago"),""))</f>
        <v/>
      </c>
      <c r="Q43" s="666" t="str">
        <f>IF(OR($A43="F&amp;F",$G43=""),"",IF(Q$8&gt;$G43,IF(OR(status1B5!R43=1,status1B5!R43=2,'BOULEVARD 5'!T41&gt;0),"Pagado","impago"),""))</f>
        <v/>
      </c>
      <c r="R43" s="666" t="str">
        <f>IF(OR($A43="F&amp;F",$G43=""),"",IF(R$8&gt;$G43,IF(OR(status1B5!S43=1,status1B5!S43=2,'BOULEVARD 5'!U41&gt;0),"Pagado","impago"),""))</f>
        <v/>
      </c>
      <c r="S43" s="666" t="str">
        <f>IF(OR($A43="F&amp;F",$G43=""),"",IF(S$8&gt;$G43,IF(OR(status1B5!T43=1,status1B5!T43=2,'BOULEVARD 5'!V41&gt;0),"Pagado","impago"),""))</f>
        <v/>
      </c>
      <c r="T43" s="666" t="str">
        <f>IF(OR($A43="F&amp;F",$G43=""),"",IF(T$8&gt;$G43,IF(OR(status1B5!U43=1,status1B5!U43=2,'BOULEVARD 5'!W41&gt;0),"Pagado","impago"),""))</f>
        <v/>
      </c>
      <c r="U43" s="666" t="str">
        <f>IF(OR($A43="F&amp;F",$G43=""),"",IF(U$8&gt;$G43,IF(OR(status1B5!V43=1,status1B5!V43=2,'BOULEVARD 5'!X41&gt;0),"Pagado","impago"),""))</f>
        <v/>
      </c>
      <c r="V43" s="666" t="str">
        <f>IF(OR($A43="F&amp;F",$G43=""),"",IF(V$8&gt;$G43,IF(OR(status1B5!W43=1,status1B5!W43=2,'BOULEVARD 5'!Y41&gt;0),"Pagado","impago"),""))</f>
        <v/>
      </c>
      <c r="W43" s="666" t="str">
        <f>IF(OR($A43="F&amp;F",$G43=""),"",IF(W$8&gt;$G43,IF(OR(status1B5!X43=1,status1B5!X43=2,'BOULEVARD 5'!Z41&gt;0),"Pagado","impago"),""))</f>
        <v/>
      </c>
      <c r="X43" s="666" t="str">
        <f>IF(OR($A43="F&amp;F",$G43=""),"",IF(X$8&gt;$G43,IF(OR(status1B5!Y43=1,status1B5!Y43=2,'BOULEVARD 5'!AA41&gt;0),"Pagado","impago"),""))</f>
        <v/>
      </c>
      <c r="Y43" s="666" t="str">
        <f>IF(OR($A43="F&amp;F",$G43=""),"",IF(Y$8&gt;$G43,IF(OR(status1B5!Z43=1,status1B5!Z43=2,'BOULEVARD 5'!AB41&gt;0),"Pagado","impago"),""))</f>
        <v/>
      </c>
      <c r="Z43" s="666" t="str">
        <f>IF(OR($A43="F&amp;F",$G43=""),"",IF(Z$8&gt;$G43,IF(OR(status1B5!AA43=1,status1B5!AA43=2,'BOULEVARD 5'!AC41&gt;0),"Pagado","impago"),""))</f>
        <v/>
      </c>
      <c r="AA43" s="666" t="str">
        <f>IF(OR($A43="F&amp;F",$G43=""),"",IF(AA$8&gt;$G43,IF(OR(status1B5!AB43=1,status1B5!AB43=2,'BOULEVARD 5'!AD41&gt;0),"Pagado","impago"),""))</f>
        <v/>
      </c>
      <c r="AB43" s="666" t="str">
        <f>IF(OR($A43="F&amp;F",$G43=""),"",IF(AB$8&gt;$G43,IF(OR(status1B5!AC43=1,status1B5!AC43=2,'BOULEVARD 5'!AE41&gt;0),"Pagado","impago"),""))</f>
        <v/>
      </c>
      <c r="AC43" s="666" t="str">
        <f>IF(OR($A43="F&amp;F",$G43=""),"",IF(AC$8&gt;$G43,IF(OR(status1B5!AD43=1,status1B5!AD43=2,'BOULEVARD 5'!AF41&gt;0),"Pagado","impago"),""))</f>
        <v/>
      </c>
      <c r="AD43" s="666" t="str">
        <f>IF(OR($A43="F&amp;F",$G43=""),"",IF(AD$8&gt;$G43,IF(OR(status1B5!AE43=1,status1B5!AE43=2,'BOULEVARD 5'!AG41&gt;0),"Pagado","impago"),""))</f>
        <v/>
      </c>
      <c r="AE43" s="666" t="str">
        <f>IF(OR($A43="F&amp;F",$G43=""),"",IF(AE$8&gt;$G43,IF(OR(status1B5!AF43=1,status1B5!AF43=2,'BOULEVARD 5'!AH41&gt;0),"Pagado","impago"),""))</f>
        <v/>
      </c>
      <c r="AF43" s="666" t="str">
        <f>IF(OR($A43="F&amp;F",$G43=""),"",IF(AF$8&gt;$G43,IF(OR(status1B5!AG43=1,status1B5!AG43=2,'BOULEVARD 5'!AI41&gt;0),"Pagado","impago"),""))</f>
        <v/>
      </c>
      <c r="AG43" s="666" t="str">
        <f>IF(OR($A43="F&amp;F",$G43=""),"",IF(AG$8&gt;$G43,IF(OR(status1B5!AH43=1,status1B5!AH43=2,'BOULEVARD 5'!AJ41&gt;0),"Pagado","impago"),""))</f>
        <v>Pagado</v>
      </c>
      <c r="AH43" s="666" t="str">
        <f>IF(OR($A43="F&amp;F",$G43=""),"",IF(AH$8&gt;$G43,IF(OR(status1B5!AI43=1,status1B5!AI43=2,'BOULEVARD 5'!AK41&gt;0),"Pagado","impago"),""))</f>
        <v>Pagado</v>
      </c>
      <c r="AI43" s="666" t="str">
        <f>IF(OR($A43="F&amp;F",$G43=""),"",IF(AI$8&gt;$G43,IF(OR(status1B5!AJ43=1,status1B5!AJ43=2,'BOULEVARD 5'!AL41&gt;0),"Pagado","impago"),""))</f>
        <v>Pagado</v>
      </c>
      <c r="AJ43" s="666" t="str">
        <f>IF(OR($A43="F&amp;F",$G43=""),"",IF(AJ$8&gt;$G43,IF(OR(status1B5!AK43=1,status1B5!AK43=2,'BOULEVARD 5'!AM41&gt;0),"Pagado","impago"),""))</f>
        <v>Pagado</v>
      </c>
      <c r="AK43" s="666" t="str">
        <f>IF(OR($A43="F&amp;F",$G43=""),"",IF(AK$8&gt;$G43,IF(OR(status1B5!AL43=1,status1B5!AL43=2,'BOULEVARD 5'!AN41&gt;0),"Pagado","impago"),""))</f>
        <v>Pagado</v>
      </c>
      <c r="AL43" s="666" t="str">
        <f>IF(OR($A43="F&amp;F",$G43=""),"",IF(AL$8&gt;$G43,IF(OR(status1B5!AM43=1,status1B5!AM43=2,'BOULEVARD 5'!AO41&gt;0),"Pagado","impago"),""))</f>
        <v>Pagado</v>
      </c>
      <c r="AM43" s="666" t="str">
        <f>IF(OR($A43="F&amp;F",$G43=""),"",IF(AM$8&gt;$G43,IF(OR(status1B5!AN43=1,status1B5!AN43=2,'BOULEVARD 5'!AP41&gt;0),"Pagado","impago"),""))</f>
        <v>Pagado</v>
      </c>
      <c r="AN43" s="666" t="str">
        <f>IF(OR($A43="F&amp;F",$G43=""),"",IF(AN$8&gt;$G43,IF(OR(status1B5!AO43=1,status1B5!AO43=2,'BOULEVARD 5'!AQ41&gt;0),"Pagado","impago"),""))</f>
        <v>Pagado</v>
      </c>
      <c r="AO43" s="666" t="str">
        <f>IF(OR($A43="F&amp;F",$G43=""),"",IF(AO$8&gt;$G43,IF(OR(status1B5!AP43=1,status1B5!AP43=2,'BOULEVARD 5'!AS41&gt;0),"Pagado","impago"),""))</f>
        <v>Pagado</v>
      </c>
      <c r="AP43" s="429" t="str">
        <f t="shared" si="4"/>
        <v>Vendido</v>
      </c>
    </row>
    <row r="44" spans="1:42" s="429" customFormat="1" ht="13.9" customHeight="1" x14ac:dyDescent="0.25">
      <c r="A44" s="472"/>
      <c r="B44" s="436">
        <f>'BOULEVARD 5'!B42</f>
        <v>306</v>
      </c>
      <c r="C44" s="436" t="s">
        <v>355</v>
      </c>
      <c r="D44" s="436"/>
      <c r="E44" s="436" t="str">
        <f>IF('BOULEVARD 5'!E42="","",'BOULEVARD 5'!E42)</f>
        <v>Anahí Cisneros</v>
      </c>
      <c r="F44" s="429" t="str">
        <f>IF('BOULEVARD 5'!F42="","",'BOULEVARD 5'!F42)</f>
        <v>Ricardo José Ruiz Álvarez</v>
      </c>
      <c r="G44" s="473">
        <f>IF('BOULEVARD 5'!G42="","",'BOULEVARD 5'!G42)</f>
        <v>46033</v>
      </c>
      <c r="H44" s="666" t="str">
        <f>IF(OR($A44="F&amp;F",$G44=""),"",IF(H$8&gt;$G44,IF(OR(status1B5!I44=1,status1B5!I44=2,'BOULEVARD 5'!K42&gt;0),"Pagado","impago"),""))</f>
        <v/>
      </c>
      <c r="I44" s="666" t="str">
        <f>IF(OR($A44="F&amp;F",$G44=""),"",IF(I$8&gt;$G44,IF(OR(status1B5!J44=1,status1B5!J44=2,'BOULEVARD 5'!L42&gt;0),"Pagado","impago"),""))</f>
        <v/>
      </c>
      <c r="J44" s="666" t="str">
        <f>IF(OR($A44="F&amp;F",$G44=""),"",IF(J$8&gt;$G44,IF(OR(status1B5!K44=1,status1B5!K44=2,'BOULEVARD 5'!M42&gt;0),"Pagado","impago"),""))</f>
        <v/>
      </c>
      <c r="K44" s="666" t="str">
        <f>IF(OR($A44="F&amp;F",$G44=""),"",IF(K$8&gt;$G44,IF(OR(status1B5!L44=1,status1B5!L44=2,'BOULEVARD 5'!N42&gt;0),"Pagado","impago"),""))</f>
        <v/>
      </c>
      <c r="L44" s="666" t="str">
        <f>IF(OR($A44="F&amp;F",$G44=""),"",IF(L$8&gt;$G44,IF(OR(status1B5!M44=1,status1B5!M44=2,'BOULEVARD 5'!O42&gt;0),"Pagado","impago"),""))</f>
        <v/>
      </c>
      <c r="M44" s="666" t="str">
        <f>IF(OR($A44="F&amp;F",$G44=""),"",IF(M$8&gt;$G44,IF(OR(status1B5!N44=1,status1B5!N44=2,'BOULEVARD 5'!P42&gt;0),"Pagado","impago"),""))</f>
        <v/>
      </c>
      <c r="N44" s="666" t="str">
        <f>IF(OR($A44="F&amp;F",$G44=""),"",IF(N$8&gt;$G44,IF(OR(status1B5!O44=1,status1B5!O44=2,'BOULEVARD 5'!Q42&gt;0),"Pagado","impago"),""))</f>
        <v/>
      </c>
      <c r="O44" s="666" t="str">
        <f>IF(OR($A44="F&amp;F",$G44=""),"",IF(O$8&gt;$G44,IF(OR(status1B5!P44=1,status1B5!P44=2,'BOULEVARD 5'!R42&gt;0),"Pagado","impago"),""))</f>
        <v/>
      </c>
      <c r="P44" s="666" t="str">
        <f>IF(OR($A44="F&amp;F",$G44=""),"",IF(P$8&gt;$G44,IF(OR(status1B5!Q44=1,status1B5!Q44=2,'BOULEVARD 5'!S42&gt;0),"Pagado","impago"),""))</f>
        <v/>
      </c>
      <c r="Q44" s="666" t="str">
        <f>IF(OR($A44="F&amp;F",$G44=""),"",IF(Q$8&gt;$G44,IF(OR(status1B5!R44=1,status1B5!R44=2,'BOULEVARD 5'!T42&gt;0),"Pagado","impago"),""))</f>
        <v/>
      </c>
      <c r="R44" s="666" t="str">
        <f>IF(OR($A44="F&amp;F",$G44=""),"",IF(R$8&gt;$G44,IF(OR(status1B5!S44=1,status1B5!S44=2,'BOULEVARD 5'!U42&gt;0),"Pagado","impago"),""))</f>
        <v/>
      </c>
      <c r="S44" s="666" t="str">
        <f>IF(OR($A44="F&amp;F",$G44=""),"",IF(S$8&gt;$G44,IF(OR(status1B5!T44=1,status1B5!T44=2,'BOULEVARD 5'!V42&gt;0),"Pagado","impago"),""))</f>
        <v/>
      </c>
      <c r="T44" s="666" t="str">
        <f>IF(OR($A44="F&amp;F",$G44=""),"",IF(T$8&gt;$G44,IF(OR(status1B5!U44=1,status1B5!U44=2,'BOULEVARD 5'!W42&gt;0),"Pagado","impago"),""))</f>
        <v/>
      </c>
      <c r="U44" s="666" t="str">
        <f>IF(OR($A44="F&amp;F",$G44=""),"",IF(U$8&gt;$G44,IF(OR(status1B5!V44=1,status1B5!V44=2,'BOULEVARD 5'!X42&gt;0),"Pagado","impago"),""))</f>
        <v/>
      </c>
      <c r="V44" s="666" t="str">
        <f>IF(OR($A44="F&amp;F",$G44=""),"",IF(V$8&gt;$G44,IF(OR(status1B5!W44=1,status1B5!W44=2,'BOULEVARD 5'!Y42&gt;0),"Pagado","impago"),""))</f>
        <v/>
      </c>
      <c r="W44" s="666" t="str">
        <f>IF(OR($A44="F&amp;F",$G44=""),"",IF(W$8&gt;$G44,IF(OR(status1B5!X44=1,status1B5!X44=2,'BOULEVARD 5'!Z42&gt;0),"Pagado","impago"),""))</f>
        <v/>
      </c>
      <c r="X44" s="666" t="str">
        <f>IF(OR($A44="F&amp;F",$G44=""),"",IF(X$8&gt;$G44,IF(OR(status1B5!Y44=1,status1B5!Y44=2,'BOULEVARD 5'!AA42&gt;0),"Pagado","impago"),""))</f>
        <v/>
      </c>
      <c r="Y44" s="666" t="str">
        <f>IF(OR($A44="F&amp;F",$G44=""),"",IF(Y$8&gt;$G44,IF(OR(status1B5!Z44=1,status1B5!Z44=2,'BOULEVARD 5'!AB42&gt;0),"Pagado","impago"),""))</f>
        <v/>
      </c>
      <c r="Z44" s="666" t="str">
        <f>IF(OR($A44="F&amp;F",$G44=""),"",IF(Z$8&gt;$G44,IF(OR(status1B5!AA44=1,status1B5!AA44=2,'BOULEVARD 5'!AC42&gt;0),"Pagado","impago"),""))</f>
        <v/>
      </c>
      <c r="AA44" s="666" t="str">
        <f>IF(OR($A44="F&amp;F",$G44=""),"",IF(AA$8&gt;$G44,IF(OR(status1B5!AB44=1,status1B5!AB44=2,'BOULEVARD 5'!AD42&gt;0),"Pagado","impago"),""))</f>
        <v/>
      </c>
      <c r="AB44" s="666" t="str">
        <f>IF(OR($A44="F&amp;F",$G44=""),"",IF(AB$8&gt;$G44,IF(OR(status1B5!AC44=1,status1B5!AC44=2,'BOULEVARD 5'!AE42&gt;0),"Pagado","impago"),""))</f>
        <v/>
      </c>
      <c r="AC44" s="666" t="str">
        <f>IF(OR($A44="F&amp;F",$G44=""),"",IF(AC$8&gt;$G44,IF(OR(status1B5!AD44=1,status1B5!AD44=2,'BOULEVARD 5'!AF42&gt;0),"Pagado","impago"),""))</f>
        <v/>
      </c>
      <c r="AD44" s="666" t="str">
        <f>IF(OR($A44="F&amp;F",$G44=""),"",IF(AD$8&gt;$G44,IF(OR(status1B5!AE44=1,status1B5!AE44=2,'BOULEVARD 5'!AG42&gt;0),"Pagado","impago"),""))</f>
        <v/>
      </c>
      <c r="AE44" s="666" t="str">
        <f>IF(OR($A44="F&amp;F",$G44=""),"",IF(AE$8&gt;$G44,IF(OR(status1B5!AF44=1,status1B5!AF44=2,'BOULEVARD 5'!AH42&gt;0),"Pagado","impago"),""))</f>
        <v/>
      </c>
      <c r="AF44" s="666" t="str">
        <f>IF(OR($A44="F&amp;F",$G44=""),"",IF(AF$8&gt;$G44,IF(OR(status1B5!AG44=1,status1B5!AG44=2,'BOULEVARD 5'!AI42&gt;0),"Pagado","impago"),""))</f>
        <v/>
      </c>
      <c r="AG44" s="666" t="str">
        <f>IF(OR($A44="F&amp;F",$G44=""),"",IF(AG$8&gt;$G44,IF(OR(status1B5!AH44=1,status1B5!AH44=2,'BOULEVARD 5'!AJ42&gt;0),"Pagado","impago"),""))</f>
        <v/>
      </c>
      <c r="AH44" s="666" t="str">
        <f>IF(OR($A44="F&amp;F",$G44=""),"",IF(AH$8&gt;$G44,IF(OR(status1B5!AI44=1,status1B5!AI44=2,'BOULEVARD 5'!AK42&gt;0),"Pagado","impago"),""))</f>
        <v/>
      </c>
      <c r="AI44" s="666" t="str">
        <f>IF(OR($A44="F&amp;F",$G44=""),"",IF(AI$8&gt;$G44,IF(OR(status1B5!AJ44=1,status1B5!AJ44=2,'BOULEVARD 5'!AL42&gt;0),"Pagado","impago"),""))</f>
        <v/>
      </c>
      <c r="AJ44" s="666" t="str">
        <f>IF(OR($A44="F&amp;F",$G44=""),"",IF(AJ$8&gt;$G44,IF(OR(status1B5!AK44=1,status1B5!AK44=2,'BOULEVARD 5'!AM42&gt;0),"Pagado","impago"),""))</f>
        <v/>
      </c>
      <c r="AK44" s="666" t="str">
        <f>IF(OR($A44="F&amp;F",$G44=""),"",IF(AK$8&gt;$G44,IF(OR(status1B5!AL44=1,status1B5!AL44=2,'BOULEVARD 5'!AN42&gt;0),"Pagado","impago"),""))</f>
        <v/>
      </c>
      <c r="AL44" s="666" t="str">
        <f>IF(OR($A44="F&amp;F",$G44=""),"",IF(AL$8&gt;$G44,IF(OR(status1B5!AM44=1,status1B5!AM44=2,'BOULEVARD 5'!AO42&gt;0),"Pagado","impago"),""))</f>
        <v/>
      </c>
      <c r="AM44" s="666" t="str">
        <f>IF(OR($A44="F&amp;F",$G44=""),"",IF(AM$8&gt;$G44,IF(OR(status1B5!AN44=1,status1B5!AN44=2,'BOULEVARD 5'!AP42&gt;0),"Pagado","impago"),""))</f>
        <v/>
      </c>
      <c r="AN44" s="666" t="str">
        <f>IF(OR($A44="F&amp;F",$G44=""),"",IF(AN$8&gt;$G44,IF(OR(status1B5!AO44=1,status1B5!AO44=2,'BOULEVARD 5'!AQ42&gt;0),"Pagado","impago"),""))</f>
        <v/>
      </c>
      <c r="AO44" s="666" t="str">
        <f>IF(OR($A44="F&amp;F",$G44=""),"",IF(AO$8&gt;$G44,IF(OR(status1B5!AP44=1,status1B5!AP44=2,'BOULEVARD 5'!AS42&gt;0),"Pagado","impago"),""))</f>
        <v/>
      </c>
      <c r="AP44" s="429" t="str">
        <f t="shared" si="4"/>
        <v>Vendido</v>
      </c>
    </row>
    <row r="45" spans="1:42" s="429" customFormat="1" ht="13.9" customHeight="1" x14ac:dyDescent="0.25">
      <c r="A45" s="472"/>
      <c r="B45" s="436">
        <f>'BOULEVARD 5'!B43</f>
        <v>307</v>
      </c>
      <c r="C45" s="436" t="s">
        <v>355</v>
      </c>
      <c r="D45" s="436"/>
      <c r="E45" s="436" t="str">
        <f>IF('BOULEVARD 5'!E43="","",'BOULEVARD 5'!E43)</f>
        <v>Erwin Cardona</v>
      </c>
      <c r="F45" s="429" t="str">
        <f>IF('BOULEVARD 5'!F43="","",'BOULEVARD 5'!F43)</f>
        <v>Héctor Salvador Júarez Hernández/Angee Brizel Canelas Diaz</v>
      </c>
      <c r="G45" s="473">
        <f>IF('BOULEVARD 5'!G43="","",'BOULEVARD 5'!G43)</f>
        <v>45999</v>
      </c>
      <c r="H45" s="666" t="str">
        <f>IF(OR($A45="F&amp;F",$G45=""),"",IF(H$8&gt;$G45,IF(OR(status1B5!I45=1,status1B5!I45=2,'BOULEVARD 5'!K43&gt;0),"Pagado","impago"),""))</f>
        <v/>
      </c>
      <c r="I45" s="666" t="str">
        <f>IF(OR($A45="F&amp;F",$G45=""),"",IF(I$8&gt;$G45,IF(OR(status1B5!J45=1,status1B5!J45=2,'BOULEVARD 5'!L43&gt;0),"Pagado","impago"),""))</f>
        <v/>
      </c>
      <c r="J45" s="666" t="str">
        <f>IF(OR($A45="F&amp;F",$G45=""),"",IF(J$8&gt;$G45,IF(OR(status1B5!K45=1,status1B5!K45=2,'BOULEVARD 5'!M43&gt;0),"Pagado","impago"),""))</f>
        <v/>
      </c>
      <c r="K45" s="666" t="str">
        <f>IF(OR($A45="F&amp;F",$G45=""),"",IF(K$8&gt;$G45,IF(OR(status1B5!L45=1,status1B5!L45=2,'BOULEVARD 5'!N43&gt;0),"Pagado","impago"),""))</f>
        <v/>
      </c>
      <c r="L45" s="666" t="str">
        <f>IF(OR($A45="F&amp;F",$G45=""),"",IF(L$8&gt;$G45,IF(OR(status1B5!M45=1,status1B5!M45=2,'BOULEVARD 5'!O43&gt;0),"Pagado","impago"),""))</f>
        <v/>
      </c>
      <c r="M45" s="666" t="str">
        <f>IF(OR($A45="F&amp;F",$G45=""),"",IF(M$8&gt;$G45,IF(OR(status1B5!N45=1,status1B5!N45=2,'BOULEVARD 5'!P43&gt;0),"Pagado","impago"),""))</f>
        <v/>
      </c>
      <c r="N45" s="666" t="str">
        <f>IF(OR($A45="F&amp;F",$G45=""),"",IF(N$8&gt;$G45,IF(OR(status1B5!O45=1,status1B5!O45=2,'BOULEVARD 5'!Q43&gt;0),"Pagado","impago"),""))</f>
        <v/>
      </c>
      <c r="O45" s="666" t="str">
        <f>IF(OR($A45="F&amp;F",$G45=""),"",IF(O$8&gt;$G45,IF(OR(status1B5!P45=1,status1B5!P45=2,'BOULEVARD 5'!R43&gt;0),"Pagado","impago"),""))</f>
        <v/>
      </c>
      <c r="P45" s="666" t="str">
        <f>IF(OR($A45="F&amp;F",$G45=""),"",IF(P$8&gt;$G45,IF(OR(status1B5!Q45=1,status1B5!Q45=2,'BOULEVARD 5'!S43&gt;0),"Pagado","impago"),""))</f>
        <v/>
      </c>
      <c r="Q45" s="666" t="str">
        <f>IF(OR($A45="F&amp;F",$G45=""),"",IF(Q$8&gt;$G45,IF(OR(status1B5!R45=1,status1B5!R45=2,'BOULEVARD 5'!T43&gt;0),"Pagado","impago"),""))</f>
        <v/>
      </c>
      <c r="R45" s="666" t="str">
        <f>IF(OR($A45="F&amp;F",$G45=""),"",IF(R$8&gt;$G45,IF(OR(status1B5!S45=1,status1B5!S45=2,'BOULEVARD 5'!U43&gt;0),"Pagado","impago"),""))</f>
        <v/>
      </c>
      <c r="S45" s="666" t="str">
        <f>IF(OR($A45="F&amp;F",$G45=""),"",IF(S$8&gt;$G45,IF(OR(status1B5!T45=1,status1B5!T45=2,'BOULEVARD 5'!V43&gt;0),"Pagado","impago"),""))</f>
        <v/>
      </c>
      <c r="T45" s="666" t="str">
        <f>IF(OR($A45="F&amp;F",$G45=""),"",IF(T$8&gt;$G45,IF(OR(status1B5!U45=1,status1B5!U45=2,'BOULEVARD 5'!W43&gt;0),"Pagado","impago"),""))</f>
        <v/>
      </c>
      <c r="U45" s="666" t="str">
        <f>IF(OR($A45="F&amp;F",$G45=""),"",IF(U$8&gt;$G45,IF(OR(status1B5!V45=1,status1B5!V45=2,'BOULEVARD 5'!X43&gt;0),"Pagado","impago"),""))</f>
        <v/>
      </c>
      <c r="V45" s="666" t="str">
        <f>IF(OR($A45="F&amp;F",$G45=""),"",IF(V$8&gt;$G45,IF(OR(status1B5!W45=1,status1B5!W45=2,'BOULEVARD 5'!Y43&gt;0),"Pagado","impago"),""))</f>
        <v/>
      </c>
      <c r="W45" s="666" t="str">
        <f>IF(OR($A45="F&amp;F",$G45=""),"",IF(W$8&gt;$G45,IF(OR(status1B5!X45=1,status1B5!X45=2,'BOULEVARD 5'!Z43&gt;0),"Pagado","impago"),""))</f>
        <v/>
      </c>
      <c r="X45" s="666" t="str">
        <f>IF(OR($A45="F&amp;F",$G45=""),"",IF(X$8&gt;$G45,IF(OR(status1B5!Y45=1,status1B5!Y45=2,'BOULEVARD 5'!AA43&gt;0),"Pagado","impago"),""))</f>
        <v/>
      </c>
      <c r="Y45" s="666" t="str">
        <f>IF(OR($A45="F&amp;F",$G45=""),"",IF(Y$8&gt;$G45,IF(OR(status1B5!Z45=1,status1B5!Z45=2,'BOULEVARD 5'!AB43&gt;0),"Pagado","impago"),""))</f>
        <v/>
      </c>
      <c r="Z45" s="666" t="str">
        <f>IF(OR($A45="F&amp;F",$G45=""),"",IF(Z$8&gt;$G45,IF(OR(status1B5!AA45=1,status1B5!AA45=2,'BOULEVARD 5'!AC43&gt;0),"Pagado","impago"),""))</f>
        <v/>
      </c>
      <c r="AA45" s="666" t="str">
        <f>IF(OR($A45="F&amp;F",$G45=""),"",IF(AA$8&gt;$G45,IF(OR(status1B5!AB45=1,status1B5!AB45=2,'BOULEVARD 5'!AD43&gt;0),"Pagado","impago"),""))</f>
        <v/>
      </c>
      <c r="AB45" s="666" t="str">
        <f>IF(OR($A45="F&amp;F",$G45=""),"",IF(AB$8&gt;$G45,IF(OR(status1B5!AC45=1,status1B5!AC45=2,'BOULEVARD 5'!AE43&gt;0),"Pagado","impago"),""))</f>
        <v/>
      </c>
      <c r="AC45" s="666" t="str">
        <f>IF(OR($A45="F&amp;F",$G45=""),"",IF(AC$8&gt;$G45,IF(OR(status1B5!AD45=1,status1B5!AD45=2,'BOULEVARD 5'!AF43&gt;0),"Pagado","impago"),""))</f>
        <v/>
      </c>
      <c r="AD45" s="666" t="str">
        <f>IF(OR($A45="F&amp;F",$G45=""),"",IF(AD$8&gt;$G45,IF(OR(status1B5!AE45=1,status1B5!AE45=2,'BOULEVARD 5'!AG43&gt;0),"Pagado","impago"),""))</f>
        <v/>
      </c>
      <c r="AE45" s="666" t="str">
        <f>IF(OR($A45="F&amp;F",$G45=""),"",IF(AE$8&gt;$G45,IF(OR(status1B5!AF45=1,status1B5!AF45=2,'BOULEVARD 5'!AH43&gt;0),"Pagado","impago"),""))</f>
        <v/>
      </c>
      <c r="AF45" s="666" t="str">
        <f>IF(OR($A45="F&amp;F",$G45=""),"",IF(AF$8&gt;$G45,IF(OR(status1B5!AG45=1,status1B5!AG45=2,'BOULEVARD 5'!AI43&gt;0),"Pagado","impago"),""))</f>
        <v/>
      </c>
      <c r="AG45" s="666" t="str">
        <f>IF(OR($A45="F&amp;F",$G45=""),"",IF(AG$8&gt;$G45,IF(OR(status1B5!AH45=1,status1B5!AH45=2,'BOULEVARD 5'!AJ43&gt;0),"Pagado","impago"),""))</f>
        <v/>
      </c>
      <c r="AH45" s="666" t="str">
        <f>IF(OR($A45="F&amp;F",$G45=""),"",IF(AH$8&gt;$G45,IF(OR(status1B5!AI45=1,status1B5!AI45=2,'BOULEVARD 5'!AK43&gt;0),"Pagado","impago"),""))</f>
        <v/>
      </c>
      <c r="AI45" s="666" t="str">
        <f>IF(OR($A45="F&amp;F",$G45=""),"",IF(AI$8&gt;$G45,IF(OR(status1B5!AJ45=1,status1B5!AJ45=2,'BOULEVARD 5'!AL43&gt;0),"Pagado","impago"),""))</f>
        <v/>
      </c>
      <c r="AJ45" s="666" t="str">
        <f>IF(OR($A45="F&amp;F",$G45=""),"",IF(AJ$8&gt;$G45,IF(OR(status1B5!AK45=1,status1B5!AK45=2,'BOULEVARD 5'!AM43&gt;0),"Pagado","impago"),""))</f>
        <v/>
      </c>
      <c r="AK45" s="666" t="str">
        <f>IF(OR($A45="F&amp;F",$G45=""),"",IF(AK$8&gt;$G45,IF(OR(status1B5!AL45=1,status1B5!AL45=2,'BOULEVARD 5'!AN43&gt;0),"Pagado","impago"),""))</f>
        <v/>
      </c>
      <c r="AL45" s="666" t="str">
        <f>IF(OR($A45="F&amp;F",$G45=""),"",IF(AL$8&gt;$G45,IF(OR(status1B5!AM45=1,status1B5!AM45=2,'BOULEVARD 5'!AO43&gt;0),"Pagado","impago"),""))</f>
        <v/>
      </c>
      <c r="AM45" s="666" t="str">
        <f>IF(OR($A45="F&amp;F",$G45=""),"",IF(AM$8&gt;$G45,IF(OR(status1B5!AN45=1,status1B5!AN45=2,'BOULEVARD 5'!AP43&gt;0),"Pagado","impago"),""))</f>
        <v/>
      </c>
      <c r="AN45" s="666" t="str">
        <f>IF(OR($A45="F&amp;F",$G45=""),"",IF(AN$8&gt;$G45,IF(OR(status1B5!AO45=1,status1B5!AO45=2,'BOULEVARD 5'!AQ43&gt;0),"Pagado","impago"),""))</f>
        <v/>
      </c>
      <c r="AO45" s="666" t="str">
        <f>IF(OR($A45="F&amp;F",$G45=""),"",IF(AO$8&gt;$G45,IF(OR(status1B5!AP45=1,status1B5!AP45=2,'BOULEVARD 5'!AS43&gt;0),"Pagado","impago"),""))</f>
        <v>Pagado</v>
      </c>
      <c r="AP45" s="429" t="str">
        <f t="shared" si="4"/>
        <v>Vendido</v>
      </c>
    </row>
    <row r="46" spans="1:42" s="429" customFormat="1" ht="13.9" customHeight="1" x14ac:dyDescent="0.25">
      <c r="A46" s="472"/>
      <c r="B46" s="436">
        <f>'BOULEVARD 5'!B44</f>
        <v>308</v>
      </c>
      <c r="C46" s="436" t="s">
        <v>355</v>
      </c>
      <c r="D46" s="436"/>
      <c r="E46" s="436" t="str">
        <f>IF('BOULEVARD 5'!E44="","",'BOULEVARD 5'!E44)</f>
        <v>Antonio Rada</v>
      </c>
      <c r="F46" s="429" t="str">
        <f>IF('BOULEVARD 5'!F44="","",'BOULEVARD 5'!F44)</f>
        <v>Ricardo Alberto Vásquez Monterroso</v>
      </c>
      <c r="G46" s="473">
        <f>IF('BOULEVARD 5'!G44="","",'BOULEVARD 5'!G44)</f>
        <v>45719</v>
      </c>
      <c r="H46" s="666" t="str">
        <f>IF(OR($A46="F&amp;F",$G46=""),"",IF(H$8&gt;$G46,IF(OR(status1B5!I46=1,status1B5!I46=2,'BOULEVARD 5'!K44&gt;0),"Pagado","impago"),""))</f>
        <v/>
      </c>
      <c r="I46" s="666" t="str">
        <f>IF(OR($A46="F&amp;F",$G46=""),"",IF(I$8&gt;$G46,IF(OR(status1B5!J46=1,status1B5!J46=2,'BOULEVARD 5'!L44&gt;0),"Pagado","impago"),""))</f>
        <v/>
      </c>
      <c r="J46" s="666" t="str">
        <f>IF(OR($A46="F&amp;F",$G46=""),"",IF(J$8&gt;$G46,IF(OR(status1B5!K46=1,status1B5!K46=2,'BOULEVARD 5'!M44&gt;0),"Pagado","impago"),""))</f>
        <v/>
      </c>
      <c r="K46" s="666" t="str">
        <f>IF(OR($A46="F&amp;F",$G46=""),"",IF(K$8&gt;$G46,IF(OR(status1B5!L46=1,status1B5!L46=2,'BOULEVARD 5'!N44&gt;0),"Pagado","impago"),""))</f>
        <v/>
      </c>
      <c r="L46" s="666" t="str">
        <f>IF(OR($A46="F&amp;F",$G46=""),"",IF(L$8&gt;$G46,IF(OR(status1B5!M46=1,status1B5!M46=2,'BOULEVARD 5'!O44&gt;0),"Pagado","impago"),""))</f>
        <v/>
      </c>
      <c r="M46" s="666" t="str">
        <f>IF(OR($A46="F&amp;F",$G46=""),"",IF(M$8&gt;$G46,IF(OR(status1B5!N46=1,status1B5!N46=2,'BOULEVARD 5'!P44&gt;0),"Pagado","impago"),""))</f>
        <v/>
      </c>
      <c r="N46" s="666" t="str">
        <f>IF(OR($A46="F&amp;F",$G46=""),"",IF(N$8&gt;$G46,IF(OR(status1B5!O46=1,status1B5!O46=2,'BOULEVARD 5'!Q44&gt;0),"Pagado","impago"),""))</f>
        <v/>
      </c>
      <c r="O46" s="666" t="str">
        <f>IF(OR($A46="F&amp;F",$G46=""),"",IF(O$8&gt;$G46,IF(OR(status1B5!P46=1,status1B5!P46=2,'BOULEVARD 5'!R44&gt;0),"Pagado","impago"),""))</f>
        <v/>
      </c>
      <c r="P46" s="666" t="str">
        <f>IF(OR($A46="F&amp;F",$G46=""),"",IF(P$8&gt;$G46,IF(OR(status1B5!Q46=1,status1B5!Q46=2,'BOULEVARD 5'!S44&gt;0),"Pagado","impago"),""))</f>
        <v/>
      </c>
      <c r="Q46" s="666" t="str">
        <f>IF(OR($A46="F&amp;F",$G46=""),"",IF(Q$8&gt;$G46,IF(OR(status1B5!R46=1,status1B5!R46=2,'BOULEVARD 5'!T44&gt;0),"Pagado","impago"),""))</f>
        <v/>
      </c>
      <c r="R46" s="666" t="str">
        <f>IF(OR($A46="F&amp;F",$G46=""),"",IF(R$8&gt;$G46,IF(OR(status1B5!S46=1,status1B5!S46=2,'BOULEVARD 5'!U44&gt;0),"Pagado","impago"),""))</f>
        <v/>
      </c>
      <c r="S46" s="666" t="str">
        <f>IF(OR($A46="F&amp;F",$G46=""),"",IF(S$8&gt;$G46,IF(OR(status1B5!T46=1,status1B5!T46=2,'BOULEVARD 5'!V44&gt;0),"Pagado","impago"),""))</f>
        <v/>
      </c>
      <c r="T46" s="666" t="str">
        <f>IF(OR($A46="F&amp;F",$G46=""),"",IF(T$8&gt;$G46,IF(OR(status1B5!U46=1,status1B5!U46=2,'BOULEVARD 5'!W44&gt;0),"Pagado","impago"),""))</f>
        <v/>
      </c>
      <c r="U46" s="666" t="str">
        <f>IF(OR($A46="F&amp;F",$G46=""),"",IF(U$8&gt;$G46,IF(OR(status1B5!V46=1,status1B5!V46=2,'BOULEVARD 5'!X44&gt;0),"Pagado","impago"),""))</f>
        <v/>
      </c>
      <c r="V46" s="666" t="str">
        <f>IF(OR($A46="F&amp;F",$G46=""),"",IF(V$8&gt;$G46,IF(OR(status1B5!W46=1,status1B5!W46=2,'BOULEVARD 5'!Y44&gt;0),"Pagado","impago"),""))</f>
        <v/>
      </c>
      <c r="W46" s="666" t="str">
        <f>IF(OR($A46="F&amp;F",$G46=""),"",IF(W$8&gt;$G46,IF(OR(status1B5!X46=1,status1B5!X46=2,'BOULEVARD 5'!Z44&gt;0),"Pagado","impago"),""))</f>
        <v/>
      </c>
      <c r="X46" s="666" t="str">
        <f>IF(OR($A46="F&amp;F",$G46=""),"",IF(X$8&gt;$G46,IF(OR(status1B5!Y46=1,status1B5!Y46=2,'BOULEVARD 5'!AA44&gt;0),"Pagado","impago"),""))</f>
        <v/>
      </c>
      <c r="Y46" s="666" t="str">
        <f>IF(OR($A46="F&amp;F",$G46=""),"",IF(Y$8&gt;$G46,IF(OR(status1B5!Z46=1,status1B5!Z46=2,'BOULEVARD 5'!AB44&gt;0),"Pagado","impago"),""))</f>
        <v/>
      </c>
      <c r="Z46" s="666" t="str">
        <f>IF(OR($A46="F&amp;F",$G46=""),"",IF(Z$8&gt;$G46,IF(OR(status1B5!AA46=1,status1B5!AA46=2,'BOULEVARD 5'!AC44&gt;0),"Pagado","impago"),""))</f>
        <v/>
      </c>
      <c r="AA46" s="666" t="str">
        <f>IF(OR($A46="F&amp;F",$G46=""),"",IF(AA$8&gt;$G46,IF(OR(status1B5!AB46=1,status1B5!AB46=2,'BOULEVARD 5'!AD44&gt;0),"Pagado","impago"),""))</f>
        <v/>
      </c>
      <c r="AB46" s="666" t="str">
        <f>IF(OR($A46="F&amp;F",$G46=""),"",IF(AB$8&gt;$G46,IF(OR(status1B5!AC46=1,status1B5!AC46=2,'BOULEVARD 5'!AE44&gt;0),"Pagado","impago"),""))</f>
        <v/>
      </c>
      <c r="AC46" s="666" t="str">
        <f>IF(OR($A46="F&amp;F",$G46=""),"",IF(AC$8&gt;$G46,IF(OR(status1B5!AD46=1,status1B5!AD46=2,'BOULEVARD 5'!AF44&gt;0),"Pagado","impago"),""))</f>
        <v/>
      </c>
      <c r="AD46" s="666" t="str">
        <f>IF(OR($A46="F&amp;F",$G46=""),"",IF(AD$8&gt;$G46,IF(OR(status1B5!AE46=1,status1B5!AE46=2,'BOULEVARD 5'!AG44&gt;0),"Pagado","impago"),""))</f>
        <v/>
      </c>
      <c r="AE46" s="666" t="str">
        <f>IF(OR($A46="F&amp;F",$G46=""),"",IF(AE$8&gt;$G46,IF(OR(status1B5!AF46=1,status1B5!AF46=2,'BOULEVARD 5'!AH44&gt;0),"Pagado","impago"),""))</f>
        <v/>
      </c>
      <c r="AF46" s="666" t="str">
        <f>IF(OR($A46="F&amp;F",$G46=""),"",IF(AF$8&gt;$G46,IF(OR(status1B5!AG46=1,status1B5!AG46=2,'BOULEVARD 5'!AI44&gt;0),"Pagado","impago"),""))</f>
        <v>Pagado</v>
      </c>
      <c r="AG46" s="666" t="str">
        <f>IF(OR($A46="F&amp;F",$G46=""),"",IF(AG$8&gt;$G46,IF(OR(status1B5!AH46=1,status1B5!AH46=2,'BOULEVARD 5'!AJ44&gt;0),"Pagado","impago"),""))</f>
        <v>Pagado</v>
      </c>
      <c r="AH46" s="666" t="str">
        <f>IF(OR($A46="F&amp;F",$G46=""),"",IF(AH$8&gt;$G46,IF(OR(status1B5!AI46=1,status1B5!AI46=2,'BOULEVARD 5'!AK44&gt;0),"Pagado","impago"),""))</f>
        <v>Pagado</v>
      </c>
      <c r="AI46" s="666" t="str">
        <f>IF(OR($A46="F&amp;F",$G46=""),"",IF(AI$8&gt;$G46,IF(OR(status1B5!AJ46=1,status1B5!AJ46=2,'BOULEVARD 5'!AL44&gt;0),"Pagado","impago"),""))</f>
        <v>Pagado</v>
      </c>
      <c r="AJ46" s="666" t="str">
        <f>IF(OR($A46="F&amp;F",$G46=""),"",IF(AJ$8&gt;$G46,IF(OR(status1B5!AK46=1,status1B5!AK46=2,'BOULEVARD 5'!AM44&gt;0),"Pagado","impago"),""))</f>
        <v>Pagado</v>
      </c>
      <c r="AK46" s="666" t="str">
        <f>IF(OR($A46="F&amp;F",$G46=""),"",IF(AK$8&gt;$G46,IF(OR(status1B5!AL46=1,status1B5!AL46=2,'BOULEVARD 5'!AN44&gt;0),"Pagado","impago"),""))</f>
        <v>Pagado</v>
      </c>
      <c r="AL46" s="666" t="str">
        <f>IF(OR($A46="F&amp;F",$G46=""),"",IF(AL$8&gt;$G46,IF(OR(status1B5!AM46=1,status1B5!AM46=2,'BOULEVARD 5'!AO44&gt;0),"Pagado","impago"),""))</f>
        <v>Pagado</v>
      </c>
      <c r="AM46" s="666" t="str">
        <f>IF(OR($A46="F&amp;F",$G46=""),"",IF(AM$8&gt;$G46,IF(OR(status1B5!AN46=1,status1B5!AN46=2,'BOULEVARD 5'!AP44&gt;0),"Pagado","impago"),""))</f>
        <v>Pagado</v>
      </c>
      <c r="AN46" s="666" t="str">
        <f>IF(OR($A46="F&amp;F",$G46=""),"",IF(AN$8&gt;$G46,IF(OR(status1B5!AO46=1,status1B5!AO46=2,'BOULEVARD 5'!AQ44&gt;0),"Pagado","impago"),""))</f>
        <v>Pagado</v>
      </c>
      <c r="AO46" s="666" t="str">
        <f>IF(OR($A46="F&amp;F",$G46=""),"",IF(AO$8&gt;$G46,IF(OR(status1B5!AP46=1,status1B5!AP46=2,'BOULEVARD 5'!AS44&gt;0),"Pagado","impago"),""))</f>
        <v>Pagado</v>
      </c>
      <c r="AP46" s="429" t="str">
        <f t="shared" si="4"/>
        <v>Vendido</v>
      </c>
    </row>
    <row r="47" spans="1:42" s="429" customFormat="1" ht="13.9" customHeight="1" x14ac:dyDescent="0.25">
      <c r="A47" s="472"/>
      <c r="B47" s="436">
        <f>'BOULEVARD 5'!B45</f>
        <v>309</v>
      </c>
      <c r="C47" s="436" t="s">
        <v>355</v>
      </c>
      <c r="D47" s="436"/>
      <c r="E47" s="436" t="str">
        <f>IF('BOULEVARD 5'!E45="","",'BOULEVARD 5'!E45)</f>
        <v>Antonio Rada</v>
      </c>
      <c r="F47" s="429" t="str">
        <f>IF('BOULEVARD 5'!F45="","",'BOULEVARD 5'!F45)</f>
        <v>Leonel Bernardo Molina Gramajo</v>
      </c>
      <c r="G47" s="473">
        <f>IF('BOULEVARD 5'!G45="","",'BOULEVARD 5'!G45)</f>
        <v>45516</v>
      </c>
      <c r="H47" s="666" t="str">
        <f>IF(OR($A47="F&amp;F",$G47=""),"",IF(H$8&gt;$G47,IF(OR(status1B5!I47=1,status1B5!I47=2,'BOULEVARD 5'!K45&gt;0),"Pagado","impago"),""))</f>
        <v/>
      </c>
      <c r="I47" s="666" t="str">
        <f>IF(OR($A47="F&amp;F",$G47=""),"",IF(I$8&gt;$G47,IF(OR(status1B5!J47=1,status1B5!J47=2,'BOULEVARD 5'!L45&gt;0),"Pagado","impago"),""))</f>
        <v/>
      </c>
      <c r="J47" s="666" t="str">
        <f>IF(OR($A47="F&amp;F",$G47=""),"",IF(J$8&gt;$G47,IF(OR(status1B5!K47=1,status1B5!K47=2,'BOULEVARD 5'!M45&gt;0),"Pagado","impago"),""))</f>
        <v/>
      </c>
      <c r="K47" s="666" t="str">
        <f>IF(OR($A47="F&amp;F",$G47=""),"",IF(K$8&gt;$G47,IF(OR(status1B5!L47=1,status1B5!L47=2,'BOULEVARD 5'!N45&gt;0),"Pagado","impago"),""))</f>
        <v/>
      </c>
      <c r="L47" s="666" t="str">
        <f>IF(OR($A47="F&amp;F",$G47=""),"",IF(L$8&gt;$G47,IF(OR(status1B5!M47=1,status1B5!M47=2,'BOULEVARD 5'!O45&gt;0),"Pagado","impago"),""))</f>
        <v/>
      </c>
      <c r="M47" s="666" t="str">
        <f>IF(OR($A47="F&amp;F",$G47=""),"",IF(M$8&gt;$G47,IF(OR(status1B5!N47=1,status1B5!N47=2,'BOULEVARD 5'!P45&gt;0),"Pagado","impago"),""))</f>
        <v/>
      </c>
      <c r="N47" s="666" t="str">
        <f>IF(OR($A47="F&amp;F",$G47=""),"",IF(N$8&gt;$G47,IF(OR(status1B5!O47=1,status1B5!O47=2,'BOULEVARD 5'!Q45&gt;0),"Pagado","impago"),""))</f>
        <v/>
      </c>
      <c r="O47" s="666" t="str">
        <f>IF(OR($A47="F&amp;F",$G47=""),"",IF(O$8&gt;$G47,IF(OR(status1B5!P47=1,status1B5!P47=2,'BOULEVARD 5'!R45&gt;0),"Pagado","impago"),""))</f>
        <v/>
      </c>
      <c r="P47" s="666" t="str">
        <f>IF(OR($A47="F&amp;F",$G47=""),"",IF(P$8&gt;$G47,IF(OR(status1B5!Q47=1,status1B5!Q47=2,'BOULEVARD 5'!S45&gt;0),"Pagado","impago"),""))</f>
        <v/>
      </c>
      <c r="Q47" s="666" t="str">
        <f>IF(OR($A47="F&amp;F",$G47=""),"",IF(Q$8&gt;$G47,IF(OR(status1B5!R47=1,status1B5!R47=2,'BOULEVARD 5'!T45&gt;0),"Pagado","impago"),""))</f>
        <v/>
      </c>
      <c r="R47" s="666" t="str">
        <f>IF(OR($A47="F&amp;F",$G47=""),"",IF(R$8&gt;$G47,IF(OR(status1B5!S47=1,status1B5!S47=2,'BOULEVARD 5'!U45&gt;0),"Pagado","impago"),""))</f>
        <v/>
      </c>
      <c r="S47" s="666" t="str">
        <f>IF(OR($A47="F&amp;F",$G47=""),"",IF(S$8&gt;$G47,IF(OR(status1B5!T47=1,status1B5!T47=2,'BOULEVARD 5'!V45&gt;0),"Pagado","impago"),""))</f>
        <v/>
      </c>
      <c r="T47" s="666" t="str">
        <f>IF(OR($A47="F&amp;F",$G47=""),"",IF(T$8&gt;$G47,IF(OR(status1B5!U47=1,status1B5!U47=2,'BOULEVARD 5'!W45&gt;0),"Pagado","impago"),""))</f>
        <v/>
      </c>
      <c r="U47" s="666" t="str">
        <f>IF(OR($A47="F&amp;F",$G47=""),"",IF(U$8&gt;$G47,IF(OR(status1B5!V47=1,status1B5!V47=2,'BOULEVARD 5'!X45&gt;0),"Pagado","impago"),""))</f>
        <v/>
      </c>
      <c r="V47" s="666" t="str">
        <f>IF(OR($A47="F&amp;F",$G47=""),"",IF(V$8&gt;$G47,IF(OR(status1B5!W47=1,status1B5!W47=2,'BOULEVARD 5'!Y45&gt;0),"Pagado","impago"),""))</f>
        <v/>
      </c>
      <c r="W47" s="666" t="str">
        <f>IF(OR($A47="F&amp;F",$G47=""),"",IF(W$8&gt;$G47,IF(OR(status1B5!X47=1,status1B5!X47=2,'BOULEVARD 5'!Z45&gt;0),"Pagado","impago"),""))</f>
        <v/>
      </c>
      <c r="X47" s="666" t="str">
        <f>IF(OR($A47="F&amp;F",$G47=""),"",IF(X$8&gt;$G47,IF(OR(status1B5!Y47=1,status1B5!Y47=2,'BOULEVARD 5'!AA45&gt;0),"Pagado","impago"),""))</f>
        <v/>
      </c>
      <c r="Y47" s="666" t="str">
        <f>IF(OR($A47="F&amp;F",$G47=""),"",IF(Y$8&gt;$G47,IF(OR(status1B5!Z47=1,status1B5!Z47=2,'BOULEVARD 5'!AB45&gt;0),"Pagado","impago"),""))</f>
        <v>Pagado</v>
      </c>
      <c r="Z47" s="666" t="str">
        <f>IF(OR($A47="F&amp;F",$G47=""),"",IF(Z$8&gt;$G47,IF(OR(status1B5!AA47=1,status1B5!AA47=2,'BOULEVARD 5'!AC45&gt;0),"Pagado","impago"),""))</f>
        <v>Pagado</v>
      </c>
      <c r="AA47" s="666" t="str">
        <f>IF(OR($A47="F&amp;F",$G47=""),"",IF(AA$8&gt;$G47,IF(OR(status1B5!AB47=1,status1B5!AB47=2,'BOULEVARD 5'!AD45&gt;0),"Pagado","impago"),""))</f>
        <v>Pagado</v>
      </c>
      <c r="AB47" s="666" t="str">
        <f>IF(OR($A47="F&amp;F",$G47=""),"",IF(AB$8&gt;$G47,IF(OR(status1B5!AC47=1,status1B5!AC47=2,'BOULEVARD 5'!AE45&gt;0),"Pagado","impago"),""))</f>
        <v>Pagado</v>
      </c>
      <c r="AC47" s="666" t="str">
        <f>IF(OR($A47="F&amp;F",$G47=""),"",IF(AC$8&gt;$G47,IF(OR(status1B5!AD47=1,status1B5!AD47=2,'BOULEVARD 5'!AF45&gt;0),"Pagado","impago"),""))</f>
        <v>Pagado</v>
      </c>
      <c r="AD47" s="666" t="str">
        <f>IF(OR($A47="F&amp;F",$G47=""),"",IF(AD$8&gt;$G47,IF(OR(status1B5!AE47=1,status1B5!AE47=2,'BOULEVARD 5'!AG45&gt;0),"Pagado","impago"),""))</f>
        <v>Pagado</v>
      </c>
      <c r="AE47" s="666" t="str">
        <f>IF(OR($A47="F&amp;F",$G47=""),"",IF(AE$8&gt;$G47,IF(OR(status1B5!AF47=1,status1B5!AF47=2,'BOULEVARD 5'!AH45&gt;0),"Pagado","impago"),""))</f>
        <v>Pagado</v>
      </c>
      <c r="AF47" s="666" t="str">
        <f>IF(OR($A47="F&amp;F",$G47=""),"",IF(AF$8&gt;$G47,IF(OR(status1B5!AG47=1,status1B5!AG47=2,'BOULEVARD 5'!AI45&gt;0),"Pagado","impago"),""))</f>
        <v>Pagado</v>
      </c>
      <c r="AG47" s="666" t="str">
        <f>IF(OR($A47="F&amp;F",$G47=""),"",IF(AG$8&gt;$G47,IF(OR(status1B5!AH47=1,status1B5!AH47=2,'BOULEVARD 5'!AJ45&gt;0),"Pagado","impago"),""))</f>
        <v>Pagado</v>
      </c>
      <c r="AH47" s="666" t="str">
        <f>IF(OR($A47="F&amp;F",$G47=""),"",IF(AH$8&gt;$G47,IF(OR(status1B5!AI47=1,status1B5!AI47=2,'BOULEVARD 5'!AK45&gt;0),"Pagado","impago"),""))</f>
        <v>Pagado</v>
      </c>
      <c r="AI47" s="666" t="str">
        <f>IF(OR($A47="F&amp;F",$G47=""),"",IF(AI$8&gt;$G47,IF(OR(status1B5!AJ47=1,status1B5!AJ47=2,'BOULEVARD 5'!AL45&gt;0),"Pagado","impago"),""))</f>
        <v>Pagado</v>
      </c>
      <c r="AJ47" s="666" t="str">
        <f>IF(OR($A47="F&amp;F",$G47=""),"",IF(AJ$8&gt;$G47,IF(OR(status1B5!AK47=1,status1B5!AK47=2,'BOULEVARD 5'!AM45&gt;0),"Pagado","impago"),""))</f>
        <v>Pagado</v>
      </c>
      <c r="AK47" s="666" t="str">
        <f>IF(OR($A47="F&amp;F",$G47=""),"",IF(AK$8&gt;$G47,IF(OR(status1B5!AL47=1,status1B5!AL47=2,'BOULEVARD 5'!AN45&gt;0),"Pagado","impago"),""))</f>
        <v>Pagado</v>
      </c>
      <c r="AL47" s="666" t="str">
        <f>IF(OR($A47="F&amp;F",$G47=""),"",IF(AL$8&gt;$G47,IF(OR(status1B5!AM47=1,status1B5!AM47=2,'BOULEVARD 5'!AO45&gt;0),"Pagado","impago"),""))</f>
        <v>Pagado</v>
      </c>
      <c r="AM47" s="666" t="str">
        <f>IF(OR($A47="F&amp;F",$G47=""),"",IF(AM$8&gt;$G47,IF(OR(status1B5!AN47=1,status1B5!AN47=2,'BOULEVARD 5'!AP45&gt;0),"Pagado","impago"),""))</f>
        <v>Pagado</v>
      </c>
      <c r="AN47" s="666" t="str">
        <f>IF(OR($A47="F&amp;F",$G47=""),"",IF(AN$8&gt;$G47,IF(OR(status1B5!AO47=1,status1B5!AO47=2,'BOULEVARD 5'!AQ45&gt;0),"Pagado","impago"),""))</f>
        <v>Pagado</v>
      </c>
      <c r="AO47" s="666" t="str">
        <f>IF(OR($A47="F&amp;F",$G47=""),"",IF(AO$8&gt;$G47,IF(OR(status1B5!AP47=1,status1B5!AP47=2,'BOULEVARD 5'!AS45&gt;0),"Pagado","impago"),""))</f>
        <v>Pagado</v>
      </c>
      <c r="AP47" s="429" t="str">
        <f t="shared" si="4"/>
        <v>Vendido</v>
      </c>
    </row>
    <row r="48" spans="1:42" s="429" customFormat="1" ht="13.9" customHeight="1" x14ac:dyDescent="0.25">
      <c r="A48" s="472"/>
      <c r="B48" s="436">
        <f>'BOULEVARD 5'!B46</f>
        <v>310</v>
      </c>
      <c r="C48" s="436" t="s">
        <v>355</v>
      </c>
      <c r="D48" s="436"/>
      <c r="E48" s="436" t="str">
        <f>IF('BOULEVARD 5'!E46="","",'BOULEVARD 5'!E46)</f>
        <v>Erwin Cardona</v>
      </c>
      <c r="F48" s="429" t="str">
        <f>IF('BOULEVARD 5'!F46="","",'BOULEVARD 5'!F46)</f>
        <v>Fernando Javier Rosales Gramajo</v>
      </c>
      <c r="G48" s="473">
        <f>IF('BOULEVARD 5'!G46="","",'BOULEVARD 5'!G46)</f>
        <v>46000</v>
      </c>
      <c r="H48" s="666" t="str">
        <f>IF(OR($A48="F&amp;F",$G48=""),"",IF(H$8&gt;$G48,IF(OR(status1B5!I48=1,status1B5!I48=2,'BOULEVARD 5'!K46&gt;0),"Pagado","impago"),""))</f>
        <v/>
      </c>
      <c r="I48" s="666" t="str">
        <f>IF(OR($A48="F&amp;F",$G48=""),"",IF(I$8&gt;$G48,IF(OR(status1B5!J48=1,status1B5!J48=2,'BOULEVARD 5'!L46&gt;0),"Pagado","impago"),""))</f>
        <v/>
      </c>
      <c r="J48" s="666" t="str">
        <f>IF(OR($A48="F&amp;F",$G48=""),"",IF(J$8&gt;$G48,IF(OR(status1B5!K48=1,status1B5!K48=2,'BOULEVARD 5'!M46&gt;0),"Pagado","impago"),""))</f>
        <v/>
      </c>
      <c r="K48" s="666" t="str">
        <f>IF(OR($A48="F&amp;F",$G48=""),"",IF(K$8&gt;$G48,IF(OR(status1B5!L48=1,status1B5!L48=2,'BOULEVARD 5'!N46&gt;0),"Pagado","impago"),""))</f>
        <v/>
      </c>
      <c r="L48" s="666" t="str">
        <f>IF(OR($A48="F&amp;F",$G48=""),"",IF(L$8&gt;$G48,IF(OR(status1B5!M48=1,status1B5!M48=2,'BOULEVARD 5'!O46&gt;0),"Pagado","impago"),""))</f>
        <v/>
      </c>
      <c r="M48" s="666" t="str">
        <f>IF(OR($A48="F&amp;F",$G48=""),"",IF(M$8&gt;$G48,IF(OR(status1B5!N48=1,status1B5!N48=2,'BOULEVARD 5'!P46&gt;0),"Pagado","impago"),""))</f>
        <v/>
      </c>
      <c r="N48" s="666" t="str">
        <f>IF(OR($A48="F&amp;F",$G48=""),"",IF(N$8&gt;$G48,IF(OR(status1B5!O48=1,status1B5!O48=2,'BOULEVARD 5'!Q46&gt;0),"Pagado","impago"),""))</f>
        <v/>
      </c>
      <c r="O48" s="666" t="str">
        <f>IF(OR($A48="F&amp;F",$G48=""),"",IF(O$8&gt;$G48,IF(OR(status1B5!P48=1,status1B5!P48=2,'BOULEVARD 5'!R46&gt;0),"Pagado","impago"),""))</f>
        <v/>
      </c>
      <c r="P48" s="666" t="str">
        <f>IF(OR($A48="F&amp;F",$G48=""),"",IF(P$8&gt;$G48,IF(OR(status1B5!Q48=1,status1B5!Q48=2,'BOULEVARD 5'!S46&gt;0),"Pagado","impago"),""))</f>
        <v/>
      </c>
      <c r="Q48" s="666" t="str">
        <f>IF(OR($A48="F&amp;F",$G48=""),"",IF(Q$8&gt;$G48,IF(OR(status1B5!R48=1,status1B5!R48=2,'BOULEVARD 5'!T46&gt;0),"Pagado","impago"),""))</f>
        <v/>
      </c>
      <c r="R48" s="666" t="str">
        <f>IF(OR($A48="F&amp;F",$G48=""),"",IF(R$8&gt;$G48,IF(OR(status1B5!S48=1,status1B5!S48=2,'BOULEVARD 5'!U46&gt;0),"Pagado","impago"),""))</f>
        <v/>
      </c>
      <c r="S48" s="666" t="str">
        <f>IF(OR($A48="F&amp;F",$G48=""),"",IF(S$8&gt;$G48,IF(OR(status1B5!T48=1,status1B5!T48=2,'BOULEVARD 5'!V46&gt;0),"Pagado","impago"),""))</f>
        <v/>
      </c>
      <c r="T48" s="666" t="str">
        <f>IF(OR($A48="F&amp;F",$G48=""),"",IF(T$8&gt;$G48,IF(OR(status1B5!U48=1,status1B5!U48=2,'BOULEVARD 5'!W46&gt;0),"Pagado","impago"),""))</f>
        <v/>
      </c>
      <c r="U48" s="666" t="str">
        <f>IF(OR($A48="F&amp;F",$G48=""),"",IF(U$8&gt;$G48,IF(OR(status1B5!V48=1,status1B5!V48=2,'BOULEVARD 5'!X46&gt;0),"Pagado","impago"),""))</f>
        <v/>
      </c>
      <c r="V48" s="666" t="str">
        <f>IF(OR($A48="F&amp;F",$G48=""),"",IF(V$8&gt;$G48,IF(OR(status1B5!W48=1,status1B5!W48=2,'BOULEVARD 5'!Y46&gt;0),"Pagado","impago"),""))</f>
        <v/>
      </c>
      <c r="W48" s="666" t="str">
        <f>IF(OR($A48="F&amp;F",$G48=""),"",IF(W$8&gt;$G48,IF(OR(status1B5!X48=1,status1B5!X48=2,'BOULEVARD 5'!Z46&gt;0),"Pagado","impago"),""))</f>
        <v/>
      </c>
      <c r="X48" s="666" t="str">
        <f>IF(OR($A48="F&amp;F",$G48=""),"",IF(X$8&gt;$G48,IF(OR(status1B5!Y48=1,status1B5!Y48=2,'BOULEVARD 5'!AA46&gt;0),"Pagado","impago"),""))</f>
        <v/>
      </c>
      <c r="Y48" s="666" t="str">
        <f>IF(OR($A48="F&amp;F",$G48=""),"",IF(Y$8&gt;$G48,IF(OR(status1B5!Z48=1,status1B5!Z48=2,'BOULEVARD 5'!AB46&gt;0),"Pagado","impago"),""))</f>
        <v/>
      </c>
      <c r="Z48" s="666" t="str">
        <f>IF(OR($A48="F&amp;F",$G48=""),"",IF(Z$8&gt;$G48,IF(OR(status1B5!AA48=1,status1B5!AA48=2,'BOULEVARD 5'!AC46&gt;0),"Pagado","impago"),""))</f>
        <v/>
      </c>
      <c r="AA48" s="666" t="str">
        <f>IF(OR($A48="F&amp;F",$G48=""),"",IF(AA$8&gt;$G48,IF(OR(status1B5!AB48=1,status1B5!AB48=2,'BOULEVARD 5'!AD46&gt;0),"Pagado","impago"),""))</f>
        <v/>
      </c>
      <c r="AB48" s="666" t="str">
        <f>IF(OR($A48="F&amp;F",$G48=""),"",IF(AB$8&gt;$G48,IF(OR(status1B5!AC48=1,status1B5!AC48=2,'BOULEVARD 5'!AE46&gt;0),"Pagado","impago"),""))</f>
        <v/>
      </c>
      <c r="AC48" s="666" t="str">
        <f>IF(OR($A48="F&amp;F",$G48=""),"",IF(AC$8&gt;$G48,IF(OR(status1B5!AD48=1,status1B5!AD48=2,'BOULEVARD 5'!AF46&gt;0),"Pagado","impago"),""))</f>
        <v/>
      </c>
      <c r="AD48" s="666" t="str">
        <f>IF(OR($A48="F&amp;F",$G48=""),"",IF(AD$8&gt;$G48,IF(OR(status1B5!AE48=1,status1B5!AE48=2,'BOULEVARD 5'!AG46&gt;0),"Pagado","impago"),""))</f>
        <v/>
      </c>
      <c r="AE48" s="666" t="str">
        <f>IF(OR($A48="F&amp;F",$G48=""),"",IF(AE$8&gt;$G48,IF(OR(status1B5!AF48=1,status1B5!AF48=2,'BOULEVARD 5'!AH46&gt;0),"Pagado","impago"),""))</f>
        <v/>
      </c>
      <c r="AF48" s="666" t="str">
        <f>IF(OR($A48="F&amp;F",$G48=""),"",IF(AF$8&gt;$G48,IF(OR(status1B5!AG48=1,status1B5!AG48=2,'BOULEVARD 5'!AI46&gt;0),"Pagado","impago"),""))</f>
        <v/>
      </c>
      <c r="AG48" s="666" t="str">
        <f>IF(OR($A48="F&amp;F",$G48=""),"",IF(AG$8&gt;$G48,IF(OR(status1B5!AH48=1,status1B5!AH48=2,'BOULEVARD 5'!AJ46&gt;0),"Pagado","impago"),""))</f>
        <v/>
      </c>
      <c r="AH48" s="666" t="str">
        <f>IF(OR($A48="F&amp;F",$G48=""),"",IF(AH$8&gt;$G48,IF(OR(status1B5!AI48=1,status1B5!AI48=2,'BOULEVARD 5'!AK46&gt;0),"Pagado","impago"),""))</f>
        <v/>
      </c>
      <c r="AI48" s="666" t="str">
        <f>IF(OR($A48="F&amp;F",$G48=""),"",IF(AI$8&gt;$G48,IF(OR(status1B5!AJ48=1,status1B5!AJ48=2,'BOULEVARD 5'!AL46&gt;0),"Pagado","impago"),""))</f>
        <v/>
      </c>
      <c r="AJ48" s="666" t="str">
        <f>IF(OR($A48="F&amp;F",$G48=""),"",IF(AJ$8&gt;$G48,IF(OR(status1B5!AK48=1,status1B5!AK48=2,'BOULEVARD 5'!AM46&gt;0),"Pagado","impago"),""))</f>
        <v/>
      </c>
      <c r="AK48" s="666" t="str">
        <f>IF(OR($A48="F&amp;F",$G48=""),"",IF(AK$8&gt;$G48,IF(OR(status1B5!AL48=1,status1B5!AL48=2,'BOULEVARD 5'!AN46&gt;0),"Pagado","impago"),""))</f>
        <v/>
      </c>
      <c r="AL48" s="666" t="str">
        <f>IF(OR($A48="F&amp;F",$G48=""),"",IF(AL$8&gt;$G48,IF(OR(status1B5!AM48=1,status1B5!AM48=2,'BOULEVARD 5'!AO46&gt;0),"Pagado","impago"),""))</f>
        <v/>
      </c>
      <c r="AM48" s="666" t="str">
        <f>IF(OR($A48="F&amp;F",$G48=""),"",IF(AM$8&gt;$G48,IF(OR(status1B5!AN48=1,status1B5!AN48=2,'BOULEVARD 5'!AP46&gt;0),"Pagado","impago"),""))</f>
        <v/>
      </c>
      <c r="AN48" s="666" t="str">
        <f>IF(OR($A48="F&amp;F",$G48=""),"",IF(AN$8&gt;$G48,IF(OR(status1B5!AO48=1,status1B5!AO48=2,'BOULEVARD 5'!AQ46&gt;0),"Pagado","impago"),""))</f>
        <v/>
      </c>
      <c r="AO48" s="666" t="str">
        <f>IF(OR($A48="F&amp;F",$G48=""),"",IF(AO$8&gt;$G48,IF(OR(status1B5!AP48=1,status1B5!AP48=2,'BOULEVARD 5'!AS46&gt;0),"Pagado","impago"),""))</f>
        <v>Pagado</v>
      </c>
      <c r="AP48" s="429" t="str">
        <f t="shared" si="4"/>
        <v>Vendido</v>
      </c>
    </row>
    <row r="49" spans="1:42" s="429" customFormat="1" ht="13.9" customHeight="1" x14ac:dyDescent="0.25">
      <c r="A49" s="472"/>
      <c r="B49" s="436">
        <f>'BOULEVARD 5'!B47</f>
        <v>311</v>
      </c>
      <c r="C49" s="436" t="s">
        <v>355</v>
      </c>
      <c r="D49" s="641"/>
      <c r="E49" s="436" t="str">
        <f>IF('BOULEVARD 5'!E47="","",'BOULEVARD 5'!E47)</f>
        <v>Diana Alvarez</v>
      </c>
      <c r="F49" s="429" t="str">
        <f>IF('BOULEVARD 5'!F47="","",'BOULEVARD 5'!F47)</f>
        <v>Miguel Angel Teletor Riz</v>
      </c>
      <c r="G49" s="473">
        <f>IF('BOULEVARD 5'!G47="","",'BOULEVARD 5'!G47)</f>
        <v>45562</v>
      </c>
      <c r="H49" s="666" t="str">
        <f>IF(OR($A49="F&amp;F",$G49=""),"",IF(H$8&gt;$G49,IF(OR(status1B5!I49=1,status1B5!I49=2,'BOULEVARD 5'!K47&gt;0),"Pagado","impago"),""))</f>
        <v/>
      </c>
      <c r="I49" s="666" t="str">
        <f>IF(OR($A49="F&amp;F",$G49=""),"",IF(I$8&gt;$G49,IF(OR(status1B5!J49=1,status1B5!J49=2,'BOULEVARD 5'!L47&gt;0),"Pagado","impago"),""))</f>
        <v/>
      </c>
      <c r="J49" s="666" t="str">
        <f>IF(OR($A49="F&amp;F",$G49=""),"",IF(J$8&gt;$G49,IF(OR(status1B5!K49=1,status1B5!K49=2,'BOULEVARD 5'!M47&gt;0),"Pagado","impago"),""))</f>
        <v/>
      </c>
      <c r="K49" s="666" t="str">
        <f>IF(OR($A49="F&amp;F",$G49=""),"",IF(K$8&gt;$G49,IF(OR(status1B5!L49=1,status1B5!L49=2,'BOULEVARD 5'!N47&gt;0),"Pagado","impago"),""))</f>
        <v/>
      </c>
      <c r="L49" s="666" t="str">
        <f>IF(OR($A49="F&amp;F",$G49=""),"",IF(L$8&gt;$G49,IF(OR(status1B5!M49=1,status1B5!M49=2,'BOULEVARD 5'!O47&gt;0),"Pagado","impago"),""))</f>
        <v/>
      </c>
      <c r="M49" s="666" t="str">
        <f>IF(OR($A49="F&amp;F",$G49=""),"",IF(M$8&gt;$G49,IF(OR(status1B5!N49=1,status1B5!N49=2,'BOULEVARD 5'!P47&gt;0),"Pagado","impago"),""))</f>
        <v/>
      </c>
      <c r="N49" s="666" t="str">
        <f>IF(OR($A49="F&amp;F",$G49=""),"",IF(N$8&gt;$G49,IF(OR(status1B5!O49=1,status1B5!O49=2,'BOULEVARD 5'!Q47&gt;0),"Pagado","impago"),""))</f>
        <v/>
      </c>
      <c r="O49" s="666" t="str">
        <f>IF(OR($A49="F&amp;F",$G49=""),"",IF(O$8&gt;$G49,IF(OR(status1B5!P49=1,status1B5!P49=2,'BOULEVARD 5'!R47&gt;0),"Pagado","impago"),""))</f>
        <v/>
      </c>
      <c r="P49" s="666" t="str">
        <f>IF(OR($A49="F&amp;F",$G49=""),"",IF(P$8&gt;$G49,IF(OR(status1B5!Q49=1,status1B5!Q49=2,'BOULEVARD 5'!S47&gt;0),"Pagado","impago"),""))</f>
        <v/>
      </c>
      <c r="Q49" s="666" t="str">
        <f>IF(OR($A49="F&amp;F",$G49=""),"",IF(Q$8&gt;$G49,IF(OR(status1B5!R49=1,status1B5!R49=2,'BOULEVARD 5'!T47&gt;0),"Pagado","impago"),""))</f>
        <v/>
      </c>
      <c r="R49" s="666" t="str">
        <f>IF(OR($A49="F&amp;F",$G49=""),"",IF(R$8&gt;$G49,IF(OR(status1B5!S49=1,status1B5!S49=2,'BOULEVARD 5'!U47&gt;0),"Pagado","impago"),""))</f>
        <v/>
      </c>
      <c r="S49" s="666" t="str">
        <f>IF(OR($A49="F&amp;F",$G49=""),"",IF(S$8&gt;$G49,IF(OR(status1B5!T49=1,status1B5!T49=2,'BOULEVARD 5'!V47&gt;0),"Pagado","impago"),""))</f>
        <v/>
      </c>
      <c r="T49" s="666" t="str">
        <f>IF(OR($A49="F&amp;F",$G49=""),"",IF(T$8&gt;$G49,IF(OR(status1B5!U49=1,status1B5!U49=2,'BOULEVARD 5'!W47&gt;0),"Pagado","impago"),""))</f>
        <v/>
      </c>
      <c r="U49" s="666" t="str">
        <f>IF(OR($A49="F&amp;F",$G49=""),"",IF(U$8&gt;$G49,IF(OR(status1B5!V49=1,status1B5!V49=2,'BOULEVARD 5'!X47&gt;0),"Pagado","impago"),""))</f>
        <v/>
      </c>
      <c r="V49" s="666" t="str">
        <f>IF(OR($A49="F&amp;F",$G49=""),"",IF(V$8&gt;$G49,IF(OR(status1B5!W49=1,status1B5!W49=2,'BOULEVARD 5'!Y47&gt;0),"Pagado","impago"),""))</f>
        <v/>
      </c>
      <c r="W49" s="666" t="str">
        <f>IF(OR($A49="F&amp;F",$G49=""),"",IF(W$8&gt;$G49,IF(OR(status1B5!X49=1,status1B5!X49=2,'BOULEVARD 5'!Z47&gt;0),"Pagado","impago"),""))</f>
        <v/>
      </c>
      <c r="X49" s="666" t="str">
        <f>IF(OR($A49="F&amp;F",$G49=""),"",IF(X$8&gt;$G49,IF(OR(status1B5!Y49=1,status1B5!Y49=2,'BOULEVARD 5'!AA47&gt;0),"Pagado","impago"),""))</f>
        <v/>
      </c>
      <c r="Y49" s="666" t="str">
        <f>IF(OR($A49="F&amp;F",$G49=""),"",IF(Y$8&gt;$G49,IF(OR(status1B5!Z49=1,status1B5!Z49=2,'BOULEVARD 5'!AB47&gt;0),"Pagado","impago"),""))</f>
        <v/>
      </c>
      <c r="Z49" s="666" t="str">
        <f>IF(OR($A49="F&amp;F",$G49=""),"",IF(Z$8&gt;$G49,IF(OR(status1B5!AA49=1,status1B5!AA49=2,'BOULEVARD 5'!AC47&gt;0),"Pagado","impago"),""))</f>
        <v>Pagado</v>
      </c>
      <c r="AA49" s="666" t="str">
        <f>IF(OR($A49="F&amp;F",$G49=""),"",IF(AA$8&gt;$G49,IF(OR(status1B5!AB49=1,status1B5!AB49=2,'BOULEVARD 5'!AD47&gt;0),"Pagado","impago"),""))</f>
        <v>Pagado</v>
      </c>
      <c r="AB49" s="666" t="str">
        <f>IF(OR($A49="F&amp;F",$G49=""),"",IF(AB$8&gt;$G49,IF(OR(status1B5!AC49=1,status1B5!AC49=2,'BOULEVARD 5'!AE47&gt;0),"Pagado","impago"),""))</f>
        <v>Pagado</v>
      </c>
      <c r="AC49" s="666" t="str">
        <f>IF(OR($A49="F&amp;F",$G49=""),"",IF(AC$8&gt;$G49,IF(OR(status1B5!AD49=1,status1B5!AD49=2,'BOULEVARD 5'!AF47&gt;0),"Pagado","impago"),""))</f>
        <v>Pagado</v>
      </c>
      <c r="AD49" s="666" t="str">
        <f>IF(OR($A49="F&amp;F",$G49=""),"",IF(AD$8&gt;$G49,IF(OR(status1B5!AE49=1,status1B5!AE49=2,'BOULEVARD 5'!AG47&gt;0),"Pagado","impago"),""))</f>
        <v>Pagado</v>
      </c>
      <c r="AE49" s="666" t="str">
        <f>IF(OR($A49="F&amp;F",$G49=""),"",IF(AE$8&gt;$G49,IF(OR(status1B5!AF49=1,status1B5!AF49=2,'BOULEVARD 5'!AH47&gt;0),"Pagado","impago"),""))</f>
        <v>Pagado</v>
      </c>
      <c r="AF49" s="666" t="str">
        <f>IF(OR($A49="F&amp;F",$G49=""),"",IF(AF$8&gt;$G49,IF(OR(status1B5!AG49=1,status1B5!AG49=2,'BOULEVARD 5'!AI47&gt;0),"Pagado","impago"),""))</f>
        <v>Pagado</v>
      </c>
      <c r="AG49" s="666" t="str">
        <f>IF(OR($A49="F&amp;F",$G49=""),"",IF(AG$8&gt;$G49,IF(OR(status1B5!AH49=1,status1B5!AH49=2,'BOULEVARD 5'!AJ47&gt;0),"Pagado","impago"),""))</f>
        <v>Pagado</v>
      </c>
      <c r="AH49" s="666" t="str">
        <f>IF(OR($A49="F&amp;F",$G49=""),"",IF(AH$8&gt;$G49,IF(OR(status1B5!AI49=1,status1B5!AI49=2,'BOULEVARD 5'!AK47&gt;0),"Pagado","impago"),""))</f>
        <v>Pagado</v>
      </c>
      <c r="AI49" s="666" t="str">
        <f>IF(OR($A49="F&amp;F",$G49=""),"",IF(AI$8&gt;$G49,IF(OR(status1B5!AJ49=1,status1B5!AJ49=2,'BOULEVARD 5'!AL47&gt;0),"Pagado","impago"),""))</f>
        <v>Pagado</v>
      </c>
      <c r="AJ49" s="666" t="str">
        <f>IF(OR($A49="F&amp;F",$G49=""),"",IF(AJ$8&gt;$G49,IF(OR(status1B5!AK49=1,status1B5!AK49=2,'BOULEVARD 5'!AM47&gt;0),"Pagado","impago"),""))</f>
        <v>Pagado</v>
      </c>
      <c r="AK49" s="666" t="str">
        <f>IF(OR($A49="F&amp;F",$G49=""),"",IF(AK$8&gt;$G49,IF(OR(status1B5!AL49=1,status1B5!AL49=2,'BOULEVARD 5'!AN47&gt;0),"Pagado","impago"),""))</f>
        <v>Pagado</v>
      </c>
      <c r="AL49" s="666" t="str">
        <f>IF(OR($A49="F&amp;F",$G49=""),"",IF(AL$8&gt;$G49,IF(OR(status1B5!AM49=1,status1B5!AM49=2,'BOULEVARD 5'!AO47&gt;0),"Pagado","impago"),""))</f>
        <v>Pagado</v>
      </c>
      <c r="AM49" s="666" t="str">
        <f>IF(OR($A49="F&amp;F",$G49=""),"",IF(AM$8&gt;$G49,IF(OR(status1B5!AN49=1,status1B5!AN49=2,'BOULEVARD 5'!AP47&gt;0),"Pagado","impago"),""))</f>
        <v>Pagado</v>
      </c>
      <c r="AN49" s="666" t="str">
        <f>IF(OR($A49="F&amp;F",$G49=""),"",IF(AN$8&gt;$G49,IF(OR(status1B5!AO49=1,status1B5!AO49=2,'BOULEVARD 5'!AQ47&gt;0),"Pagado","impago"),""))</f>
        <v>Pagado</v>
      </c>
      <c r="AO49" s="666" t="str">
        <f>IF(OR($A49="F&amp;F",$G49=""),"",IF(AO$8&gt;$G49,IF(OR(status1B5!AP49=1,status1B5!AP49=2,'BOULEVARD 5'!AS47&gt;0),"Pagado","impago"),""))</f>
        <v>Pagado</v>
      </c>
      <c r="AP49" s="429" t="str">
        <f t="shared" si="4"/>
        <v>Vendido</v>
      </c>
    </row>
    <row r="50" spans="1:42" s="429" customFormat="1" ht="13.9" customHeight="1" x14ac:dyDescent="0.25">
      <c r="A50" s="472"/>
      <c r="B50" s="436">
        <f>'BOULEVARD 5'!B48</f>
        <v>312</v>
      </c>
      <c r="C50" s="436" t="s">
        <v>355</v>
      </c>
      <c r="D50" s="436"/>
      <c r="E50" s="436" t="str">
        <f>IF('BOULEVARD 5'!E48="","",'BOULEVARD 5'!E48)</f>
        <v>Antonio Rada</v>
      </c>
      <c r="F50" s="429" t="str">
        <f>IF('BOULEVARD 5'!F48="","",'BOULEVARD 5'!F48)</f>
        <v>Freddy Alejandro Chinchilla Culajay</v>
      </c>
      <c r="G50" s="473">
        <f>IF('BOULEVARD 5'!G48="","",'BOULEVARD 5'!G48)</f>
        <v>45650</v>
      </c>
      <c r="H50" s="666" t="str">
        <f>IF(OR($A50="F&amp;F",$G50=""),"",IF(H$8&gt;$G50,IF(OR(status1B5!I50=1,status1B5!I50=2,'BOULEVARD 5'!K48&gt;0),"Pagado","impago"),""))</f>
        <v/>
      </c>
      <c r="I50" s="666" t="str">
        <f>IF(OR($A50="F&amp;F",$G50=""),"",IF(I$8&gt;$G50,IF(OR(status1B5!J50=1,status1B5!J50=2,'BOULEVARD 5'!L48&gt;0),"Pagado","impago"),""))</f>
        <v/>
      </c>
      <c r="J50" s="666" t="str">
        <f>IF(OR($A50="F&amp;F",$G50=""),"",IF(J$8&gt;$G50,IF(OR(status1B5!K50=1,status1B5!K50=2,'BOULEVARD 5'!M48&gt;0),"Pagado","impago"),""))</f>
        <v/>
      </c>
      <c r="K50" s="666" t="str">
        <f>IF(OR($A50="F&amp;F",$G50=""),"",IF(K$8&gt;$G50,IF(OR(status1B5!L50=1,status1B5!L50=2,'BOULEVARD 5'!N48&gt;0),"Pagado","impago"),""))</f>
        <v/>
      </c>
      <c r="L50" s="666" t="str">
        <f>IF(OR($A50="F&amp;F",$G50=""),"",IF(L$8&gt;$G50,IF(OR(status1B5!M50=1,status1B5!M50=2,'BOULEVARD 5'!O48&gt;0),"Pagado","impago"),""))</f>
        <v/>
      </c>
      <c r="M50" s="666" t="str">
        <f>IF(OR($A50="F&amp;F",$G50=""),"",IF(M$8&gt;$G50,IF(OR(status1B5!N50=1,status1B5!N50=2,'BOULEVARD 5'!P48&gt;0),"Pagado","impago"),""))</f>
        <v/>
      </c>
      <c r="N50" s="666" t="str">
        <f>IF(OR($A50="F&amp;F",$G50=""),"",IF(N$8&gt;$G50,IF(OR(status1B5!O50=1,status1B5!O50=2,'BOULEVARD 5'!Q48&gt;0),"Pagado","impago"),""))</f>
        <v/>
      </c>
      <c r="O50" s="666" t="str">
        <f>IF(OR($A50="F&amp;F",$G50=""),"",IF(O$8&gt;$G50,IF(OR(status1B5!P50=1,status1B5!P50=2,'BOULEVARD 5'!R48&gt;0),"Pagado","impago"),""))</f>
        <v/>
      </c>
      <c r="P50" s="666" t="str">
        <f>IF(OR($A50="F&amp;F",$G50=""),"",IF(P$8&gt;$G50,IF(OR(status1B5!Q50=1,status1B5!Q50=2,'BOULEVARD 5'!S48&gt;0),"Pagado","impago"),""))</f>
        <v/>
      </c>
      <c r="Q50" s="666" t="str">
        <f>IF(OR($A50="F&amp;F",$G50=""),"",IF(Q$8&gt;$G50,IF(OR(status1B5!R50=1,status1B5!R50=2,'BOULEVARD 5'!T48&gt;0),"Pagado","impago"),""))</f>
        <v/>
      </c>
      <c r="R50" s="666" t="str">
        <f>IF(OR($A50="F&amp;F",$G50=""),"",IF(R$8&gt;$G50,IF(OR(status1B5!S50=1,status1B5!S50=2,'BOULEVARD 5'!U48&gt;0),"Pagado","impago"),""))</f>
        <v/>
      </c>
      <c r="S50" s="666" t="str">
        <f>IF(OR($A50="F&amp;F",$G50=""),"",IF(S$8&gt;$G50,IF(OR(status1B5!T50=1,status1B5!T50=2,'BOULEVARD 5'!V48&gt;0),"Pagado","impago"),""))</f>
        <v/>
      </c>
      <c r="T50" s="666" t="str">
        <f>IF(OR($A50="F&amp;F",$G50=""),"",IF(T$8&gt;$G50,IF(OR(status1B5!U50=1,status1B5!U50=2,'BOULEVARD 5'!W48&gt;0),"Pagado","impago"),""))</f>
        <v/>
      </c>
      <c r="U50" s="666" t="str">
        <f>IF(OR($A50="F&amp;F",$G50=""),"",IF(U$8&gt;$G50,IF(OR(status1B5!V50=1,status1B5!V50=2,'BOULEVARD 5'!X48&gt;0),"Pagado","impago"),""))</f>
        <v/>
      </c>
      <c r="V50" s="666" t="str">
        <f>IF(OR($A50="F&amp;F",$G50=""),"",IF(V$8&gt;$G50,IF(OR(status1B5!W50=1,status1B5!W50=2,'BOULEVARD 5'!Y48&gt;0),"Pagado","impago"),""))</f>
        <v/>
      </c>
      <c r="W50" s="666" t="str">
        <f>IF(OR($A50="F&amp;F",$G50=""),"",IF(W$8&gt;$G50,IF(OR(status1B5!X50=1,status1B5!X50=2,'BOULEVARD 5'!Z48&gt;0),"Pagado","impago"),""))</f>
        <v/>
      </c>
      <c r="X50" s="666" t="str">
        <f>IF(OR($A50="F&amp;F",$G50=""),"",IF(X$8&gt;$G50,IF(OR(status1B5!Y50=1,status1B5!Y50=2,'BOULEVARD 5'!AA48&gt;0),"Pagado","impago"),""))</f>
        <v/>
      </c>
      <c r="Y50" s="666" t="str">
        <f>IF(OR($A50="F&amp;F",$G50=""),"",IF(Y$8&gt;$G50,IF(OR(status1B5!Z50=1,status1B5!Z50=2,'BOULEVARD 5'!AB48&gt;0),"Pagado","impago"),""))</f>
        <v/>
      </c>
      <c r="Z50" s="666" t="str">
        <f>IF(OR($A50="F&amp;F",$G50=""),"",IF(Z$8&gt;$G50,IF(OR(status1B5!AA50=1,status1B5!AA50=2,'BOULEVARD 5'!AC48&gt;0),"Pagado","impago"),""))</f>
        <v/>
      </c>
      <c r="AA50" s="666" t="str">
        <f>IF(OR($A50="F&amp;F",$G50=""),"",IF(AA$8&gt;$G50,IF(OR(status1B5!AB50=1,status1B5!AB50=2,'BOULEVARD 5'!AD48&gt;0),"Pagado","impago"),""))</f>
        <v/>
      </c>
      <c r="AB50" s="666" t="str">
        <f>IF(OR($A50="F&amp;F",$G50=""),"",IF(AB$8&gt;$G50,IF(OR(status1B5!AC50=1,status1B5!AC50=2,'BOULEVARD 5'!AE48&gt;0),"Pagado","impago"),""))</f>
        <v/>
      </c>
      <c r="AC50" s="666" t="str">
        <f>IF(OR($A50="F&amp;F",$G50=""),"",IF(AC$8&gt;$G50,IF(OR(status1B5!AD50=1,status1B5!AD50=2,'BOULEVARD 5'!AF48&gt;0),"Pagado","impago"),""))</f>
        <v>Pagado</v>
      </c>
      <c r="AD50" s="666" t="str">
        <f>IF(OR($A50="F&amp;F",$G50=""),"",IF(AD$8&gt;$G50,IF(OR(status1B5!AE50=1,status1B5!AE50=2,'BOULEVARD 5'!AG48&gt;0),"Pagado","impago"),""))</f>
        <v>Pagado</v>
      </c>
      <c r="AE50" s="666" t="str">
        <f>IF(OR($A50="F&amp;F",$G50=""),"",IF(AE$8&gt;$G50,IF(OR(status1B5!AF50=1,status1B5!AF50=2,'BOULEVARD 5'!AH48&gt;0),"Pagado","impago"),""))</f>
        <v>Pagado</v>
      </c>
      <c r="AF50" s="666" t="str">
        <f>IF(OR($A50="F&amp;F",$G50=""),"",IF(AF$8&gt;$G50,IF(OR(status1B5!AG50=1,status1B5!AG50=2,'BOULEVARD 5'!AI48&gt;0),"Pagado","impago"),""))</f>
        <v>Pagado</v>
      </c>
      <c r="AG50" s="666" t="str">
        <f>IF(OR($A50="F&amp;F",$G50=""),"",IF(AG$8&gt;$G50,IF(OR(status1B5!AH50=1,status1B5!AH50=2,'BOULEVARD 5'!AJ48&gt;0),"Pagado","impago"),""))</f>
        <v>Pagado</v>
      </c>
      <c r="AH50" s="666" t="str">
        <f>IF(OR($A50="F&amp;F",$G50=""),"",IF(AH$8&gt;$G50,IF(OR(status1B5!AI50=1,status1B5!AI50=2,'BOULEVARD 5'!AK48&gt;0),"Pagado","impago"),""))</f>
        <v>Pagado</v>
      </c>
      <c r="AI50" s="666" t="str">
        <f>IF(OR($A50="F&amp;F",$G50=""),"",IF(AI$8&gt;$G50,IF(OR(status1B5!AJ50=1,status1B5!AJ50=2,'BOULEVARD 5'!AL48&gt;0),"Pagado","impago"),""))</f>
        <v>Pagado</v>
      </c>
      <c r="AJ50" s="666" t="str">
        <f>IF(OR($A50="F&amp;F",$G50=""),"",IF(AJ$8&gt;$G50,IF(OR(status1B5!AK50=1,status1B5!AK50=2,'BOULEVARD 5'!AM48&gt;0),"Pagado","impago"),""))</f>
        <v>Pagado</v>
      </c>
      <c r="AK50" s="666" t="str">
        <f>IF(OR($A50="F&amp;F",$G50=""),"",IF(AK$8&gt;$G50,IF(OR(status1B5!AL50=1,status1B5!AL50=2,'BOULEVARD 5'!AN48&gt;0),"Pagado","impago"),""))</f>
        <v>Pagado</v>
      </c>
      <c r="AL50" s="666" t="str">
        <f>IF(OR($A50="F&amp;F",$G50=""),"",IF(AL$8&gt;$G50,IF(OR(status1B5!AM50=1,status1B5!AM50=2,'BOULEVARD 5'!AO48&gt;0),"Pagado","impago"),""))</f>
        <v>Pagado</v>
      </c>
      <c r="AM50" s="666" t="str">
        <f>IF(OR($A50="F&amp;F",$G50=""),"",IF(AM$8&gt;$G50,IF(OR(status1B5!AN50=1,status1B5!AN50=2,'BOULEVARD 5'!AP48&gt;0),"Pagado","impago"),""))</f>
        <v>Pagado</v>
      </c>
      <c r="AN50" s="666" t="str">
        <f>IF(OR($A50="F&amp;F",$G50=""),"",IF(AN$8&gt;$G50,IF(OR(status1B5!AO50=1,status1B5!AO50=2,'BOULEVARD 5'!AQ48&gt;0),"Pagado","impago"),""))</f>
        <v>Pagado</v>
      </c>
      <c r="AO50" s="666" t="str">
        <f>IF(OR($A50="F&amp;F",$G50=""),"",IF(AO$8&gt;$G50,IF(OR(status1B5!AP50=1,status1B5!AP50=2,'BOULEVARD 5'!AS48&gt;0),"Pagado","impago"),""))</f>
        <v>Pagado</v>
      </c>
      <c r="AP50" s="429" t="str">
        <f t="shared" si="4"/>
        <v>Vendido</v>
      </c>
    </row>
    <row r="51" spans="1:42" s="429" customFormat="1" ht="13.9" customHeight="1" x14ac:dyDescent="0.25">
      <c r="A51" s="472"/>
      <c r="B51" s="436">
        <f>'BOULEVARD 5'!B49</f>
        <v>313</v>
      </c>
      <c r="C51" s="436" t="s">
        <v>355</v>
      </c>
      <c r="D51" s="436"/>
      <c r="E51" s="436" t="str">
        <f>IF('BOULEVARD 5'!E49="","",'BOULEVARD 5'!E49)</f>
        <v>Antonio Rada</v>
      </c>
      <c r="F51" s="429" t="str">
        <f>IF('BOULEVARD 5'!F49="","",'BOULEVARD 5'!F49)</f>
        <v>Leslly Franzoli Cortez Avila</v>
      </c>
      <c r="G51" s="473">
        <f>IF('BOULEVARD 5'!G49="","",'BOULEVARD 5'!G49)</f>
        <v>45419</v>
      </c>
      <c r="H51" s="666" t="str">
        <f>IF(OR($A51="F&amp;F",$G51=""),"",IF(H$8&gt;$G51,IF(OR(status1B5!I51=1,status1B5!I51=2,'BOULEVARD 5'!K49&gt;0),"Pagado","impago"),""))</f>
        <v/>
      </c>
      <c r="I51" s="666" t="str">
        <f>IF(OR($A51="F&amp;F",$G51=""),"",IF(I$8&gt;$G51,IF(OR(status1B5!J51=1,status1B5!J51=2,'BOULEVARD 5'!L49&gt;0),"Pagado","impago"),""))</f>
        <v/>
      </c>
      <c r="J51" s="666" t="str">
        <f>IF(OR($A51="F&amp;F",$G51=""),"",IF(J$8&gt;$G51,IF(OR(status1B5!K51=1,status1B5!K51=2,'BOULEVARD 5'!M49&gt;0),"Pagado","impago"),""))</f>
        <v/>
      </c>
      <c r="K51" s="666" t="str">
        <f>IF(OR($A51="F&amp;F",$G51=""),"",IF(K$8&gt;$G51,IF(OR(status1B5!L51=1,status1B5!L51=2,'BOULEVARD 5'!N49&gt;0),"Pagado","impago"),""))</f>
        <v/>
      </c>
      <c r="L51" s="666" t="str">
        <f>IF(OR($A51="F&amp;F",$G51=""),"",IF(L$8&gt;$G51,IF(OR(status1B5!M51=1,status1B5!M51=2,'BOULEVARD 5'!O49&gt;0),"Pagado","impago"),""))</f>
        <v/>
      </c>
      <c r="M51" s="666" t="str">
        <f>IF(OR($A51="F&amp;F",$G51=""),"",IF(M$8&gt;$G51,IF(OR(status1B5!N51=1,status1B5!N51=2,'BOULEVARD 5'!P49&gt;0),"Pagado","impago"),""))</f>
        <v/>
      </c>
      <c r="N51" s="666" t="str">
        <f>IF(OR($A51="F&amp;F",$G51=""),"",IF(N$8&gt;$G51,IF(OR(status1B5!O51=1,status1B5!O51=2,'BOULEVARD 5'!Q49&gt;0),"Pagado","impago"),""))</f>
        <v/>
      </c>
      <c r="O51" s="666" t="str">
        <f>IF(OR($A51="F&amp;F",$G51=""),"",IF(O$8&gt;$G51,IF(OR(status1B5!P51=1,status1B5!P51=2,'BOULEVARD 5'!R49&gt;0),"Pagado","impago"),""))</f>
        <v/>
      </c>
      <c r="P51" s="666" t="str">
        <f>IF(OR($A51="F&amp;F",$G51=""),"",IF(P$8&gt;$G51,IF(OR(status1B5!Q51=1,status1B5!Q51=2,'BOULEVARD 5'!S49&gt;0),"Pagado","impago"),""))</f>
        <v/>
      </c>
      <c r="Q51" s="666" t="str">
        <f>IF(OR($A51="F&amp;F",$G51=""),"",IF(Q$8&gt;$G51,IF(OR(status1B5!R51=1,status1B5!R51=2,'BOULEVARD 5'!T49&gt;0),"Pagado","impago"),""))</f>
        <v/>
      </c>
      <c r="R51" s="666" t="str">
        <f>IF(OR($A51="F&amp;F",$G51=""),"",IF(R$8&gt;$G51,IF(OR(status1B5!S51=1,status1B5!S51=2,'BOULEVARD 5'!U49&gt;0),"Pagado","impago"),""))</f>
        <v/>
      </c>
      <c r="S51" s="666" t="str">
        <f>IF(OR($A51="F&amp;F",$G51=""),"",IF(S$8&gt;$G51,IF(OR(status1B5!T51=1,status1B5!T51=2,'BOULEVARD 5'!V49&gt;0),"Pagado","impago"),""))</f>
        <v/>
      </c>
      <c r="T51" s="666" t="str">
        <f>IF(OR($A51="F&amp;F",$G51=""),"",IF(T$8&gt;$G51,IF(OR(status1B5!U51=1,status1B5!U51=2,'BOULEVARD 5'!W49&gt;0),"Pagado","impago"),""))</f>
        <v/>
      </c>
      <c r="U51" s="666" t="str">
        <f>IF(OR($A51="F&amp;F",$G51=""),"",IF(U$8&gt;$G51,IF(OR(status1B5!V51=1,status1B5!V51=2,'BOULEVARD 5'!X49&gt;0),"Pagado","impago"),""))</f>
        <v/>
      </c>
      <c r="V51" s="666" t="str">
        <f>IF(OR($A51="F&amp;F",$G51=""),"",IF(V$8&gt;$G51,IF(OR(status1B5!W51=1,status1B5!W51=2,'BOULEVARD 5'!Y49&gt;0),"Pagado","impago"),""))</f>
        <v>Pagado</v>
      </c>
      <c r="W51" s="666" t="str">
        <f>IF(OR($A51="F&amp;F",$G51=""),"",IF(W$8&gt;$G51,IF(OR(status1B5!X51=1,status1B5!X51=2,'BOULEVARD 5'!Z49&gt;0),"Pagado","impago"),""))</f>
        <v>Pagado</v>
      </c>
      <c r="X51" s="666" t="str">
        <f>IF(OR($A51="F&amp;F",$G51=""),"",IF(X$8&gt;$G51,IF(OR(status1B5!Y51=1,status1B5!Y51=2,'BOULEVARD 5'!AA49&gt;0),"Pagado","impago"),""))</f>
        <v>Pagado</v>
      </c>
      <c r="Y51" s="666" t="str">
        <f>IF(OR($A51="F&amp;F",$G51=""),"",IF(Y$8&gt;$G51,IF(OR(status1B5!Z51=1,status1B5!Z51=2,'BOULEVARD 5'!AB49&gt;0),"Pagado","impago"),""))</f>
        <v>Pagado</v>
      </c>
      <c r="Z51" s="666" t="str">
        <f>IF(OR($A51="F&amp;F",$G51=""),"",IF(Z$8&gt;$G51,IF(OR(status1B5!AA51=1,status1B5!AA51=2,'BOULEVARD 5'!AC49&gt;0),"Pagado","impago"),""))</f>
        <v>Pagado</v>
      </c>
      <c r="AA51" s="666" t="str">
        <f>IF(OR($A51="F&amp;F",$G51=""),"",IF(AA$8&gt;$G51,IF(OR(status1B5!AB51=1,status1B5!AB51=2,'BOULEVARD 5'!AD49&gt;0),"Pagado","impago"),""))</f>
        <v>Pagado</v>
      </c>
      <c r="AB51" s="666" t="str">
        <f>IF(OR($A51="F&amp;F",$G51=""),"",IF(AB$8&gt;$G51,IF(OR(status1B5!AC51=1,status1B5!AC51=2,'BOULEVARD 5'!AE49&gt;0),"Pagado","impago"),""))</f>
        <v>Pagado</v>
      </c>
      <c r="AC51" s="666" t="str">
        <f>IF(OR($A51="F&amp;F",$G51=""),"",IF(AC$8&gt;$G51,IF(OR(status1B5!AD51=1,status1B5!AD51=2,'BOULEVARD 5'!AF49&gt;0),"Pagado","impago"),""))</f>
        <v>Pagado</v>
      </c>
      <c r="AD51" s="666" t="str">
        <f>IF(OR($A51="F&amp;F",$G51=""),"",IF(AD$8&gt;$G51,IF(OR(status1B5!AE51=1,status1B5!AE51=2,'BOULEVARD 5'!AG49&gt;0),"Pagado","impago"),""))</f>
        <v>Pagado</v>
      </c>
      <c r="AE51" s="666" t="str">
        <f>IF(OR($A51="F&amp;F",$G51=""),"",IF(AE$8&gt;$G51,IF(OR(status1B5!AF51=1,status1B5!AF51=2,'BOULEVARD 5'!AH49&gt;0),"Pagado","impago"),""))</f>
        <v>Pagado</v>
      </c>
      <c r="AF51" s="666" t="str">
        <f>IF(OR($A51="F&amp;F",$G51=""),"",IF(AF$8&gt;$G51,IF(OR(status1B5!AG51=1,status1B5!AG51=2,'BOULEVARD 5'!AI49&gt;0),"Pagado","impago"),""))</f>
        <v>Pagado</v>
      </c>
      <c r="AG51" s="666" t="str">
        <f>IF(OR($A51="F&amp;F",$G51=""),"",IF(AG$8&gt;$G51,IF(OR(status1B5!AH51=1,status1B5!AH51=2,'BOULEVARD 5'!AJ49&gt;0),"Pagado","impago"),""))</f>
        <v>Pagado</v>
      </c>
      <c r="AH51" s="666" t="str">
        <f>IF(OR($A51="F&amp;F",$G51=""),"",IF(AH$8&gt;$G51,IF(OR(status1B5!AI51=1,status1B5!AI51=2,'BOULEVARD 5'!AK49&gt;0),"Pagado","impago"),""))</f>
        <v>Pagado</v>
      </c>
      <c r="AI51" s="666" t="str">
        <f>IF(OR($A51="F&amp;F",$G51=""),"",IF(AI$8&gt;$G51,IF(OR(status1B5!AJ51=1,status1B5!AJ51=2,'BOULEVARD 5'!AL49&gt;0),"Pagado","impago"),""))</f>
        <v>Pagado</v>
      </c>
      <c r="AJ51" s="666" t="str">
        <f>IF(OR($A51="F&amp;F",$G51=""),"",IF(AJ$8&gt;$G51,IF(OR(status1B5!AK51=1,status1B5!AK51=2,'BOULEVARD 5'!AM49&gt;0),"Pagado","impago"),""))</f>
        <v>Pagado</v>
      </c>
      <c r="AK51" s="666" t="str">
        <f>IF(OR($A51="F&amp;F",$G51=""),"",IF(AK$8&gt;$G51,IF(OR(status1B5!AL51=1,status1B5!AL51=2,'BOULEVARD 5'!AN49&gt;0),"Pagado","impago"),""))</f>
        <v>Pagado</v>
      </c>
      <c r="AL51" s="666" t="str">
        <f>IF(OR($A51="F&amp;F",$G51=""),"",IF(AL$8&gt;$G51,IF(OR(status1B5!AM51=1,status1B5!AM51=2,'BOULEVARD 5'!AO49&gt;0),"Pagado","impago"),""))</f>
        <v>Pagado</v>
      </c>
      <c r="AM51" s="666" t="str">
        <f>IF(OR($A51="F&amp;F",$G51=""),"",IF(AM$8&gt;$G51,IF(OR(status1B5!AN51=1,status1B5!AN51=2,'BOULEVARD 5'!AP49&gt;0),"Pagado","impago"),""))</f>
        <v>Pagado</v>
      </c>
      <c r="AN51" s="666" t="str">
        <f>IF(OR($A51="F&amp;F",$G51=""),"",IF(AN$8&gt;$G51,IF(OR(status1B5!AO51=1,status1B5!AO51=2,'BOULEVARD 5'!AQ49&gt;0),"Pagado","impago"),""))</f>
        <v>Pagado</v>
      </c>
      <c r="AO51" s="666" t="str">
        <f>IF(OR($A51="F&amp;F",$G51=""),"",IF(AO$8&gt;$G51,IF(OR(status1B5!AP51=1,status1B5!AP51=2,'BOULEVARD 5'!AS49&gt;0),"Pagado","impago"),""))</f>
        <v>Pagado</v>
      </c>
      <c r="AP51" s="429" t="str">
        <f t="shared" si="4"/>
        <v>Vendido</v>
      </c>
    </row>
    <row r="52" spans="1:42" s="429" customFormat="1" ht="13.9" customHeight="1" x14ac:dyDescent="0.25">
      <c r="A52" s="472"/>
      <c r="B52" s="436">
        <f>'BOULEVARD 5'!B50</f>
        <v>314</v>
      </c>
      <c r="C52" s="436" t="s">
        <v>355</v>
      </c>
      <c r="D52" s="436"/>
      <c r="E52" s="436" t="str">
        <f>IF('BOULEVARD 5'!E50="","",'BOULEVARD 5'!E50)</f>
        <v>Laura Molina</v>
      </c>
      <c r="F52" s="429" t="str">
        <f>IF('BOULEVARD 5'!F50="","",'BOULEVARD 5'!F50)</f>
        <v>Arcely Contreras</v>
      </c>
      <c r="G52" s="473">
        <f>IF('BOULEVARD 5'!G50="","",'BOULEVARD 5'!G50)</f>
        <v>45880</v>
      </c>
      <c r="H52" s="666" t="str">
        <f>IF(OR($A52="F&amp;F",$G52=""),"",IF(H$8&gt;$G52,IF(OR(status1B5!I52=1,status1B5!I52=2,'BOULEVARD 5'!K50&gt;0),"Pagado","impago"),""))</f>
        <v/>
      </c>
      <c r="I52" s="666" t="str">
        <f>IF(OR($A52="F&amp;F",$G52=""),"",IF(I$8&gt;$G52,IF(OR(status1B5!J52=1,status1B5!J52=2,'BOULEVARD 5'!L50&gt;0),"Pagado","impago"),""))</f>
        <v/>
      </c>
      <c r="J52" s="666" t="str">
        <f>IF(OR($A52="F&amp;F",$G52=""),"",IF(J$8&gt;$G52,IF(OR(status1B5!K52=1,status1B5!K52=2,'BOULEVARD 5'!M50&gt;0),"Pagado","impago"),""))</f>
        <v/>
      </c>
      <c r="K52" s="666" t="str">
        <f>IF(OR($A52="F&amp;F",$G52=""),"",IF(K$8&gt;$G52,IF(OR(status1B5!L52=1,status1B5!L52=2,'BOULEVARD 5'!N50&gt;0),"Pagado","impago"),""))</f>
        <v/>
      </c>
      <c r="L52" s="666" t="str">
        <f>IF(OR($A52="F&amp;F",$G52=""),"",IF(L$8&gt;$G52,IF(OR(status1B5!M52=1,status1B5!M52=2,'BOULEVARD 5'!O50&gt;0),"Pagado","impago"),""))</f>
        <v/>
      </c>
      <c r="M52" s="666" t="str">
        <f>IF(OR($A52="F&amp;F",$G52=""),"",IF(M$8&gt;$G52,IF(OR(status1B5!N52=1,status1B5!N52=2,'BOULEVARD 5'!P50&gt;0),"Pagado","impago"),""))</f>
        <v/>
      </c>
      <c r="N52" s="666" t="str">
        <f>IF(OR($A52="F&amp;F",$G52=""),"",IF(N$8&gt;$G52,IF(OR(status1B5!O52=1,status1B5!O52=2,'BOULEVARD 5'!Q50&gt;0),"Pagado","impago"),""))</f>
        <v/>
      </c>
      <c r="O52" s="666" t="str">
        <f>IF(OR($A52="F&amp;F",$G52=""),"",IF(O$8&gt;$G52,IF(OR(status1B5!P52=1,status1B5!P52=2,'BOULEVARD 5'!R50&gt;0),"Pagado","impago"),""))</f>
        <v/>
      </c>
      <c r="P52" s="666" t="str">
        <f>IF(OR($A52="F&amp;F",$G52=""),"",IF(P$8&gt;$G52,IF(OR(status1B5!Q52=1,status1B5!Q52=2,'BOULEVARD 5'!S50&gt;0),"Pagado","impago"),""))</f>
        <v/>
      </c>
      <c r="Q52" s="666" t="str">
        <f>IF(OR($A52="F&amp;F",$G52=""),"",IF(Q$8&gt;$G52,IF(OR(status1B5!R52=1,status1B5!R52=2,'BOULEVARD 5'!T50&gt;0),"Pagado","impago"),""))</f>
        <v/>
      </c>
      <c r="R52" s="666" t="str">
        <f>IF(OR($A52="F&amp;F",$G52=""),"",IF(R$8&gt;$G52,IF(OR(status1B5!S52=1,status1B5!S52=2,'BOULEVARD 5'!U50&gt;0),"Pagado","impago"),""))</f>
        <v/>
      </c>
      <c r="S52" s="666" t="str">
        <f>IF(OR($A52="F&amp;F",$G52=""),"",IF(S$8&gt;$G52,IF(OR(status1B5!T52=1,status1B5!T52=2,'BOULEVARD 5'!V50&gt;0),"Pagado","impago"),""))</f>
        <v/>
      </c>
      <c r="T52" s="666" t="str">
        <f>IF(OR($A52="F&amp;F",$G52=""),"",IF(T$8&gt;$G52,IF(OR(status1B5!U52=1,status1B5!U52=2,'BOULEVARD 5'!W50&gt;0),"Pagado","impago"),""))</f>
        <v/>
      </c>
      <c r="U52" s="666" t="str">
        <f>IF(OR($A52="F&amp;F",$G52=""),"",IF(U$8&gt;$G52,IF(OR(status1B5!V52=1,status1B5!V52=2,'BOULEVARD 5'!X50&gt;0),"Pagado","impago"),""))</f>
        <v/>
      </c>
      <c r="V52" s="666" t="str">
        <f>IF(OR($A52="F&amp;F",$G52=""),"",IF(V$8&gt;$G52,IF(OR(status1B5!W52=1,status1B5!W52=2,'BOULEVARD 5'!Y50&gt;0),"Pagado","impago"),""))</f>
        <v/>
      </c>
      <c r="W52" s="666" t="str">
        <f>IF(OR($A52="F&amp;F",$G52=""),"",IF(W$8&gt;$G52,IF(OR(status1B5!X52=1,status1B5!X52=2,'BOULEVARD 5'!Z50&gt;0),"Pagado","impago"),""))</f>
        <v/>
      </c>
      <c r="X52" s="666" t="str">
        <f>IF(OR($A52="F&amp;F",$G52=""),"",IF(X$8&gt;$G52,IF(OR(status1B5!Y52=1,status1B5!Y52=2,'BOULEVARD 5'!AA50&gt;0),"Pagado","impago"),""))</f>
        <v/>
      </c>
      <c r="Y52" s="666" t="str">
        <f>IF(OR($A52="F&amp;F",$G52=""),"",IF(Y$8&gt;$G52,IF(OR(status1B5!Z52=1,status1B5!Z52=2,'BOULEVARD 5'!AB50&gt;0),"Pagado","impago"),""))</f>
        <v/>
      </c>
      <c r="Z52" s="666" t="str">
        <f>IF(OR($A52="F&amp;F",$G52=""),"",IF(Z$8&gt;$G52,IF(OR(status1B5!AA52=1,status1B5!AA52=2,'BOULEVARD 5'!AC50&gt;0),"Pagado","impago"),""))</f>
        <v/>
      </c>
      <c r="AA52" s="666" t="str">
        <f>IF(OR($A52="F&amp;F",$G52=""),"",IF(AA$8&gt;$G52,IF(OR(status1B5!AB52=1,status1B5!AB52=2,'BOULEVARD 5'!AD50&gt;0),"Pagado","impago"),""))</f>
        <v/>
      </c>
      <c r="AB52" s="666" t="str">
        <f>IF(OR($A52="F&amp;F",$G52=""),"",IF(AB$8&gt;$G52,IF(OR(status1B5!AC52=1,status1B5!AC52=2,'BOULEVARD 5'!AE50&gt;0),"Pagado","impago"),""))</f>
        <v/>
      </c>
      <c r="AC52" s="666" t="str">
        <f>IF(OR($A52="F&amp;F",$G52=""),"",IF(AC$8&gt;$G52,IF(OR(status1B5!AD52=1,status1B5!AD52=2,'BOULEVARD 5'!AF50&gt;0),"Pagado","impago"),""))</f>
        <v/>
      </c>
      <c r="AD52" s="666" t="str">
        <f>IF(OR($A52="F&amp;F",$G52=""),"",IF(AD$8&gt;$G52,IF(OR(status1B5!AE52=1,status1B5!AE52=2,'BOULEVARD 5'!AG50&gt;0),"Pagado","impago"),""))</f>
        <v/>
      </c>
      <c r="AE52" s="666" t="str">
        <f>IF(OR($A52="F&amp;F",$G52=""),"",IF(AE$8&gt;$G52,IF(OR(status1B5!AF52=1,status1B5!AF52=2,'BOULEVARD 5'!AH50&gt;0),"Pagado","impago"),""))</f>
        <v/>
      </c>
      <c r="AF52" s="666" t="str">
        <f>IF(OR($A52="F&amp;F",$G52=""),"",IF(AF$8&gt;$G52,IF(OR(status1B5!AG52=1,status1B5!AG52=2,'BOULEVARD 5'!AI50&gt;0),"Pagado","impago"),""))</f>
        <v/>
      </c>
      <c r="AG52" s="666" t="str">
        <f>IF(OR($A52="F&amp;F",$G52=""),"",IF(AG$8&gt;$G52,IF(OR(status1B5!AH52=1,status1B5!AH52=2,'BOULEVARD 5'!AJ50&gt;0),"Pagado","impago"),""))</f>
        <v/>
      </c>
      <c r="AH52" s="666" t="str">
        <f>IF(OR($A52="F&amp;F",$G52=""),"",IF(AH$8&gt;$G52,IF(OR(status1B5!AI52=1,status1B5!AI52=2,'BOULEVARD 5'!AK50&gt;0),"Pagado","impago"),""))</f>
        <v/>
      </c>
      <c r="AI52" s="666" t="str">
        <f>IF(OR($A52="F&amp;F",$G52=""),"",IF(AI$8&gt;$G52,IF(OR(status1B5!AJ52=1,status1B5!AJ52=2,'BOULEVARD 5'!AL50&gt;0),"Pagado","impago"),""))</f>
        <v/>
      </c>
      <c r="AJ52" s="666" t="str">
        <f>IF(OR($A52="F&amp;F",$G52=""),"",IF(AJ$8&gt;$G52,IF(OR(status1B5!AK52=1,status1B5!AK52=2,'BOULEVARD 5'!AM50&gt;0),"Pagado","impago"),""))</f>
        <v/>
      </c>
      <c r="AK52" s="666" t="str">
        <f>IF(OR($A52="F&amp;F",$G52=""),"",IF(AK$8&gt;$G52,IF(OR(status1B5!AL52=1,status1B5!AL52=2,'BOULEVARD 5'!AN50&gt;0),"Pagado","impago"),""))</f>
        <v>Pagado</v>
      </c>
      <c r="AL52" s="666" t="str">
        <f>IF(OR($A52="F&amp;F",$G52=""),"",IF(AL$8&gt;$G52,IF(OR(status1B5!AM52=1,status1B5!AM52=2,'BOULEVARD 5'!AO50&gt;0),"Pagado","impago"),""))</f>
        <v>Pagado</v>
      </c>
      <c r="AM52" s="666" t="str">
        <f>IF(OR($A52="F&amp;F",$G52=""),"",IF(AM$8&gt;$G52,IF(OR(status1B5!AN52=1,status1B5!AN52=2,'BOULEVARD 5'!AP50&gt;0),"Pagado","impago"),""))</f>
        <v>Pagado</v>
      </c>
      <c r="AN52" s="666" t="str">
        <f>IF(OR($A52="F&amp;F",$G52=""),"",IF(AN$8&gt;$G52,IF(OR(status1B5!AO52=1,status1B5!AO52=2,'BOULEVARD 5'!AQ50&gt;0),"Pagado","impago"),""))</f>
        <v>Pagado</v>
      </c>
      <c r="AO52" s="666" t="str">
        <f>IF(OR($A52="F&amp;F",$G52=""),"",IF(AO$8&gt;$G52,IF(OR(status1B5!AP52=1,status1B5!AP52=2,'BOULEVARD 5'!AS50&gt;0),"Pagado","impago"),""))</f>
        <v>Pagado</v>
      </c>
      <c r="AP52" s="429" t="str">
        <f t="shared" si="4"/>
        <v>Vendido</v>
      </c>
    </row>
    <row r="53" spans="1:42" s="429" customFormat="1" ht="13.9" customHeight="1" x14ac:dyDescent="0.25">
      <c r="A53" s="472"/>
      <c r="B53" s="436">
        <f>'BOULEVARD 5'!B51</f>
        <v>315</v>
      </c>
      <c r="C53" s="436" t="s">
        <v>355</v>
      </c>
      <c r="D53" s="436"/>
      <c r="E53" s="436" t="str">
        <f>IF('BOULEVARD 5'!E51="","",'BOULEVARD 5'!E51)</f>
        <v>Sofia Paredes</v>
      </c>
      <c r="F53" s="429" t="str">
        <f>IF('BOULEVARD 5'!F51="","",'BOULEVARD 5'!F51)</f>
        <v>Lilian America Roldan Ochoa</v>
      </c>
      <c r="G53" s="473">
        <f>IF('BOULEVARD 5'!G51="","",'BOULEVARD 5'!G51)</f>
        <v>45752</v>
      </c>
      <c r="H53" s="666" t="str">
        <f>IF(OR($A53="F&amp;F",$G53=""),"",IF(H$8&gt;$G53,IF(OR(status1B5!I53=1,status1B5!I53=2,'BOULEVARD 5'!K51&gt;0),"Pagado","impago"),""))</f>
        <v/>
      </c>
      <c r="I53" s="666" t="str">
        <f>IF(OR($A53="F&amp;F",$G53=""),"",IF(I$8&gt;$G53,IF(OR(status1B5!J53=1,status1B5!J53=2,'BOULEVARD 5'!L51&gt;0),"Pagado","impago"),""))</f>
        <v/>
      </c>
      <c r="J53" s="666" t="str">
        <f>IF(OR($A53="F&amp;F",$G53=""),"",IF(J$8&gt;$G53,IF(OR(status1B5!K53=1,status1B5!K53=2,'BOULEVARD 5'!M51&gt;0),"Pagado","impago"),""))</f>
        <v/>
      </c>
      <c r="K53" s="666" t="str">
        <f>IF(OR($A53="F&amp;F",$G53=""),"",IF(K$8&gt;$G53,IF(OR(status1B5!L53=1,status1B5!L53=2,'BOULEVARD 5'!N51&gt;0),"Pagado","impago"),""))</f>
        <v/>
      </c>
      <c r="L53" s="666" t="str">
        <f>IF(OR($A53="F&amp;F",$G53=""),"",IF(L$8&gt;$G53,IF(OR(status1B5!M53=1,status1B5!M53=2,'BOULEVARD 5'!O51&gt;0),"Pagado","impago"),""))</f>
        <v/>
      </c>
      <c r="M53" s="666" t="str">
        <f>IF(OR($A53="F&amp;F",$G53=""),"",IF(M$8&gt;$G53,IF(OR(status1B5!N53=1,status1B5!N53=2,'BOULEVARD 5'!P51&gt;0),"Pagado","impago"),""))</f>
        <v/>
      </c>
      <c r="N53" s="666" t="str">
        <f>IF(OR($A53="F&amp;F",$G53=""),"",IF(N$8&gt;$G53,IF(OR(status1B5!O53=1,status1B5!O53=2,'BOULEVARD 5'!Q51&gt;0),"Pagado","impago"),""))</f>
        <v/>
      </c>
      <c r="O53" s="666" t="str">
        <f>IF(OR($A53="F&amp;F",$G53=""),"",IF(O$8&gt;$G53,IF(OR(status1B5!P53=1,status1B5!P53=2,'BOULEVARD 5'!R51&gt;0),"Pagado","impago"),""))</f>
        <v/>
      </c>
      <c r="P53" s="666" t="str">
        <f>IF(OR($A53="F&amp;F",$G53=""),"",IF(P$8&gt;$G53,IF(OR(status1B5!Q53=1,status1B5!Q53=2,'BOULEVARD 5'!S51&gt;0),"Pagado","impago"),""))</f>
        <v/>
      </c>
      <c r="Q53" s="666" t="str">
        <f>IF(OR($A53="F&amp;F",$G53=""),"",IF(Q$8&gt;$G53,IF(OR(status1B5!R53=1,status1B5!R53=2,'BOULEVARD 5'!T51&gt;0),"Pagado","impago"),""))</f>
        <v/>
      </c>
      <c r="R53" s="666" t="str">
        <f>IF(OR($A53="F&amp;F",$G53=""),"",IF(R$8&gt;$G53,IF(OR(status1B5!S53=1,status1B5!S53=2,'BOULEVARD 5'!U51&gt;0),"Pagado","impago"),""))</f>
        <v/>
      </c>
      <c r="S53" s="666" t="str">
        <f>IF(OR($A53="F&amp;F",$G53=""),"",IF(S$8&gt;$G53,IF(OR(status1B5!T53=1,status1B5!T53=2,'BOULEVARD 5'!V51&gt;0),"Pagado","impago"),""))</f>
        <v/>
      </c>
      <c r="T53" s="666" t="str">
        <f>IF(OR($A53="F&amp;F",$G53=""),"",IF(T$8&gt;$G53,IF(OR(status1B5!U53=1,status1B5!U53=2,'BOULEVARD 5'!W51&gt;0),"Pagado","impago"),""))</f>
        <v/>
      </c>
      <c r="U53" s="666" t="str">
        <f>IF(OR($A53="F&amp;F",$G53=""),"",IF(U$8&gt;$G53,IF(OR(status1B5!V53=1,status1B5!V53=2,'BOULEVARD 5'!X51&gt;0),"Pagado","impago"),""))</f>
        <v/>
      </c>
      <c r="V53" s="666" t="str">
        <f>IF(OR($A53="F&amp;F",$G53=""),"",IF(V$8&gt;$G53,IF(OR(status1B5!W53=1,status1B5!W53=2,'BOULEVARD 5'!Y51&gt;0),"Pagado","impago"),""))</f>
        <v/>
      </c>
      <c r="W53" s="666" t="str">
        <f>IF(OR($A53="F&amp;F",$G53=""),"",IF(W$8&gt;$G53,IF(OR(status1B5!X53=1,status1B5!X53=2,'BOULEVARD 5'!Z51&gt;0),"Pagado","impago"),""))</f>
        <v/>
      </c>
      <c r="X53" s="666" t="str">
        <f>IF(OR($A53="F&amp;F",$G53=""),"",IF(X$8&gt;$G53,IF(OR(status1B5!Y53=1,status1B5!Y53=2,'BOULEVARD 5'!AA51&gt;0),"Pagado","impago"),""))</f>
        <v/>
      </c>
      <c r="Y53" s="666" t="str">
        <f>IF(OR($A53="F&amp;F",$G53=""),"",IF(Y$8&gt;$G53,IF(OR(status1B5!Z53=1,status1B5!Z53=2,'BOULEVARD 5'!AB51&gt;0),"Pagado","impago"),""))</f>
        <v/>
      </c>
      <c r="Z53" s="666" t="str">
        <f>IF(OR($A53="F&amp;F",$G53=""),"",IF(Z$8&gt;$G53,IF(OR(status1B5!AA53=1,status1B5!AA53=2,'BOULEVARD 5'!AC51&gt;0),"Pagado","impago"),""))</f>
        <v/>
      </c>
      <c r="AA53" s="666" t="str">
        <f>IF(OR($A53="F&amp;F",$G53=""),"",IF(AA$8&gt;$G53,IF(OR(status1B5!AB53=1,status1B5!AB53=2,'BOULEVARD 5'!AD51&gt;0),"Pagado","impago"),""))</f>
        <v/>
      </c>
      <c r="AB53" s="666" t="str">
        <f>IF(OR($A53="F&amp;F",$G53=""),"",IF(AB$8&gt;$G53,IF(OR(status1B5!AC53=1,status1B5!AC53=2,'BOULEVARD 5'!AE51&gt;0),"Pagado","impago"),""))</f>
        <v/>
      </c>
      <c r="AC53" s="666" t="str">
        <f>IF(OR($A53="F&amp;F",$G53=""),"",IF(AC$8&gt;$G53,IF(OR(status1B5!AD53=1,status1B5!AD53=2,'BOULEVARD 5'!AF51&gt;0),"Pagado","impago"),""))</f>
        <v/>
      </c>
      <c r="AD53" s="666" t="str">
        <f>IF(OR($A53="F&amp;F",$G53=""),"",IF(AD$8&gt;$G53,IF(OR(status1B5!AE53=1,status1B5!AE53=2,'BOULEVARD 5'!AG51&gt;0),"Pagado","impago"),""))</f>
        <v/>
      </c>
      <c r="AE53" s="666" t="str">
        <f>IF(OR($A53="F&amp;F",$G53=""),"",IF(AE$8&gt;$G53,IF(OR(status1B5!AF53=1,status1B5!AF53=2,'BOULEVARD 5'!AH51&gt;0),"Pagado","impago"),""))</f>
        <v/>
      </c>
      <c r="AF53" s="666" t="str">
        <f>IF(OR($A53="F&amp;F",$G53=""),"",IF(AF$8&gt;$G53,IF(OR(status1B5!AG53=1,status1B5!AG53=2,'BOULEVARD 5'!AI51&gt;0),"Pagado","impago"),""))</f>
        <v/>
      </c>
      <c r="AG53" s="666" t="str">
        <f>IF(OR($A53="F&amp;F",$G53=""),"",IF(AG$8&gt;$G53,IF(OR(status1B5!AH53=1,status1B5!AH53=2,'BOULEVARD 5'!AJ51&gt;0),"Pagado","impago"),""))</f>
        <v>Pagado</v>
      </c>
      <c r="AH53" s="666" t="str">
        <f>IF(OR($A53="F&amp;F",$G53=""),"",IF(AH$8&gt;$G53,IF(OR(status1B5!AI53=1,status1B5!AI53=2,'BOULEVARD 5'!AK51&gt;0),"Pagado","impago"),""))</f>
        <v>Pagado</v>
      </c>
      <c r="AI53" s="666" t="str">
        <f>IF(OR($A53="F&amp;F",$G53=""),"",IF(AI$8&gt;$G53,IF(OR(status1B5!AJ53=1,status1B5!AJ53=2,'BOULEVARD 5'!AL51&gt;0),"Pagado","impago"),""))</f>
        <v>Pagado</v>
      </c>
      <c r="AJ53" s="666" t="str">
        <f>IF(OR($A53="F&amp;F",$G53=""),"",IF(AJ$8&gt;$G53,IF(OR(status1B5!AK53=1,status1B5!AK53=2,'BOULEVARD 5'!AM51&gt;0),"Pagado","impago"),""))</f>
        <v>Pagado</v>
      </c>
      <c r="AK53" s="666" t="str">
        <f>IF(OR($A53="F&amp;F",$G53=""),"",IF(AK$8&gt;$G53,IF(OR(status1B5!AL53=1,status1B5!AL53=2,'BOULEVARD 5'!AN51&gt;0),"Pagado","impago"),""))</f>
        <v>Pagado</v>
      </c>
      <c r="AL53" s="666" t="str">
        <f>IF(OR($A53="F&amp;F",$G53=""),"",IF(AL$8&gt;$G53,IF(OR(status1B5!AM53=1,status1B5!AM53=2,'BOULEVARD 5'!AO51&gt;0),"Pagado","impago"),""))</f>
        <v>Pagado</v>
      </c>
      <c r="AM53" s="666" t="str">
        <f>IF(OR($A53="F&amp;F",$G53=""),"",IF(AM$8&gt;$G53,IF(OR(status1B5!AN53=1,status1B5!AN53=2,'BOULEVARD 5'!AP51&gt;0),"Pagado","impago"),""))</f>
        <v>Pagado</v>
      </c>
      <c r="AN53" s="666" t="str">
        <f>IF(OR($A53="F&amp;F",$G53=""),"",IF(AN$8&gt;$G53,IF(OR(status1B5!AO53=1,status1B5!AO53=2,'BOULEVARD 5'!AQ51&gt;0),"Pagado","impago"),""))</f>
        <v>Pagado</v>
      </c>
      <c r="AO53" s="666" t="str">
        <f>IF(OR($A53="F&amp;F",$G53=""),"",IF(AO$8&gt;$G53,IF(OR(status1B5!AP53=1,status1B5!AP53=2,'BOULEVARD 5'!AS51&gt;0),"Pagado","impago"),""))</f>
        <v>Pagado</v>
      </c>
      <c r="AP53" s="429" t="str">
        <f t="shared" si="4"/>
        <v>Vendido</v>
      </c>
    </row>
    <row r="54" spans="1:42" s="429" customFormat="1" ht="13.9" customHeight="1" x14ac:dyDescent="0.25">
      <c r="A54" s="472"/>
      <c r="B54" s="436">
        <f>'BOULEVARD 5'!B52</f>
        <v>316</v>
      </c>
      <c r="C54" s="436" t="s">
        <v>355</v>
      </c>
      <c r="D54" s="436"/>
      <c r="E54" s="436" t="str">
        <f>IF('BOULEVARD 5'!E52="","",'BOULEVARD 5'!E52)</f>
        <v>Antonio Rada</v>
      </c>
      <c r="F54" s="429" t="str">
        <f>IF('BOULEVARD 5'!F52="","",'BOULEVARD 5'!F52)</f>
        <v>Allan Omar Alvarado Vásquez</v>
      </c>
      <c r="G54" s="473">
        <f>IF('BOULEVARD 5'!G52="","",'BOULEVARD 5'!G52)</f>
        <v>45228</v>
      </c>
      <c r="H54" s="666" t="str">
        <f>IF(OR($A54="F&amp;F",$G54=""),"",IF(H$8&gt;$G54,IF(OR(status1B5!I54=1,status1B5!I54=2,'BOULEVARD 5'!K52&gt;0),"Pagado","impago"),""))</f>
        <v/>
      </c>
      <c r="I54" s="666" t="str">
        <f>IF(OR($A54="F&amp;F",$G54=""),"",IF(I$8&gt;$G54,IF(OR(status1B5!J54=1,status1B5!J54=2,'BOULEVARD 5'!L52&gt;0),"Pagado","impago"),""))</f>
        <v/>
      </c>
      <c r="J54" s="666" t="str">
        <f>IF(OR($A54="F&amp;F",$G54=""),"",IF(J$8&gt;$G54,IF(OR(status1B5!K54=1,status1B5!K54=2,'BOULEVARD 5'!M52&gt;0),"Pagado","impago"),""))</f>
        <v/>
      </c>
      <c r="K54" s="666" t="str">
        <f>IF(OR($A54="F&amp;F",$G54=""),"",IF(K$8&gt;$G54,IF(OR(status1B5!L54=1,status1B5!L54=2,'BOULEVARD 5'!N52&gt;0),"Pagado","impago"),""))</f>
        <v/>
      </c>
      <c r="L54" s="666" t="str">
        <f>IF(OR($A54="F&amp;F",$G54=""),"",IF(L$8&gt;$G54,IF(OR(status1B5!M54=1,status1B5!M54=2,'BOULEVARD 5'!O52&gt;0),"Pagado","impago"),""))</f>
        <v/>
      </c>
      <c r="M54" s="666" t="str">
        <f>IF(OR($A54="F&amp;F",$G54=""),"",IF(M$8&gt;$G54,IF(OR(status1B5!N54=1,status1B5!N54=2,'BOULEVARD 5'!P52&gt;0),"Pagado","impago"),""))</f>
        <v/>
      </c>
      <c r="N54" s="666" t="str">
        <f>IF(OR($A54="F&amp;F",$G54=""),"",IF(N$8&gt;$G54,IF(OR(status1B5!O54=1,status1B5!O54=2,'BOULEVARD 5'!Q52&gt;0),"Pagado","impago"),""))</f>
        <v/>
      </c>
      <c r="O54" s="666" t="str">
        <f>IF(OR($A54="F&amp;F",$G54=""),"",IF(O$8&gt;$G54,IF(OR(status1B5!P54=1,status1B5!P54=2,'BOULEVARD 5'!R52&gt;0),"Pagado","impago"),""))</f>
        <v>Pagado</v>
      </c>
      <c r="P54" s="666" t="str">
        <f>IF(OR($A54="F&amp;F",$G54=""),"",IF(P$8&gt;$G54,IF(OR(status1B5!Q54=1,status1B5!Q54=2,'BOULEVARD 5'!S52&gt;0),"Pagado","impago"),""))</f>
        <v>Pagado</v>
      </c>
      <c r="Q54" s="666" t="str">
        <f>IF(OR($A54="F&amp;F",$G54=""),"",IF(Q$8&gt;$G54,IF(OR(status1B5!R54=1,status1B5!R54=2,'BOULEVARD 5'!T52&gt;0),"Pagado","impago"),""))</f>
        <v>Pagado</v>
      </c>
      <c r="R54" s="666" t="str">
        <f>IF(OR($A54="F&amp;F",$G54=""),"",IF(R$8&gt;$G54,IF(OR(status1B5!S54=1,status1B5!S54=2,'BOULEVARD 5'!U52&gt;0),"Pagado","impago"),""))</f>
        <v>Pagado</v>
      </c>
      <c r="S54" s="666" t="str">
        <f>IF(OR($A54="F&amp;F",$G54=""),"",IF(S$8&gt;$G54,IF(OR(status1B5!T54=1,status1B5!T54=2,'BOULEVARD 5'!V52&gt;0),"Pagado","impago"),""))</f>
        <v>Pagado</v>
      </c>
      <c r="T54" s="666" t="str">
        <f>IF(OR($A54="F&amp;F",$G54=""),"",IF(T$8&gt;$G54,IF(OR(status1B5!U54=1,status1B5!U54=2,'BOULEVARD 5'!W52&gt;0),"Pagado","impago"),""))</f>
        <v>Pagado</v>
      </c>
      <c r="U54" s="666" t="str">
        <f>IF(OR($A54="F&amp;F",$G54=""),"",IF(U$8&gt;$G54,IF(OR(status1B5!V54=1,status1B5!V54=2,'BOULEVARD 5'!X52&gt;0),"Pagado","impago"),""))</f>
        <v>Pagado</v>
      </c>
      <c r="V54" s="666" t="str">
        <f>IF(OR($A54="F&amp;F",$G54=""),"",IF(V$8&gt;$G54,IF(OR(status1B5!W54=1,status1B5!W54=2,'BOULEVARD 5'!Y52&gt;0),"Pagado","impago"),""))</f>
        <v>Pagado</v>
      </c>
      <c r="W54" s="666" t="str">
        <f>IF(OR($A54="F&amp;F",$G54=""),"",IF(W$8&gt;$G54,IF(OR(status1B5!X54=1,status1B5!X54=2,'BOULEVARD 5'!Z52&gt;0),"Pagado","impago"),""))</f>
        <v>Pagado</v>
      </c>
      <c r="X54" s="666" t="str">
        <f>IF(OR($A54="F&amp;F",$G54=""),"",IF(X$8&gt;$G54,IF(OR(status1B5!Y54=1,status1B5!Y54=2,'BOULEVARD 5'!AA52&gt;0),"Pagado","impago"),""))</f>
        <v>Pagado</v>
      </c>
      <c r="Y54" s="666" t="str">
        <f>IF(OR($A54="F&amp;F",$G54=""),"",IF(Y$8&gt;$G54,IF(OR(status1B5!Z54=1,status1B5!Z54=2,'BOULEVARD 5'!AB52&gt;0),"Pagado","impago"),""))</f>
        <v>Pagado</v>
      </c>
      <c r="Z54" s="666" t="str">
        <f>IF(OR($A54="F&amp;F",$G54=""),"",IF(Z$8&gt;$G54,IF(OR(status1B5!AA54=1,status1B5!AA54=2,'BOULEVARD 5'!AC52&gt;0),"Pagado","impago"),""))</f>
        <v>Pagado</v>
      </c>
      <c r="AA54" s="666" t="str">
        <f>IF(OR($A54="F&amp;F",$G54=""),"",IF(AA$8&gt;$G54,IF(OR(status1B5!AB54=1,status1B5!AB54=2,'BOULEVARD 5'!AD52&gt;0),"Pagado","impago"),""))</f>
        <v>Pagado</v>
      </c>
      <c r="AB54" s="666" t="str">
        <f>IF(OR($A54="F&amp;F",$G54=""),"",IF(AB$8&gt;$G54,IF(OR(status1B5!AC54=1,status1B5!AC54=2,'BOULEVARD 5'!AE52&gt;0),"Pagado","impago"),""))</f>
        <v>Pagado</v>
      </c>
      <c r="AC54" s="666" t="str">
        <f>IF(OR($A54="F&amp;F",$G54=""),"",IF(AC$8&gt;$G54,IF(OR(status1B5!AD54=1,status1B5!AD54=2,'BOULEVARD 5'!AF52&gt;0),"Pagado","impago"),""))</f>
        <v>Pagado</v>
      </c>
      <c r="AD54" s="666" t="str">
        <f>IF(OR($A54="F&amp;F",$G54=""),"",IF(AD$8&gt;$G54,IF(OR(status1B5!AE54=1,status1B5!AE54=2,'BOULEVARD 5'!AG52&gt;0),"Pagado","impago"),""))</f>
        <v>Pagado</v>
      </c>
      <c r="AE54" s="666" t="str">
        <f>IF(OR($A54="F&amp;F",$G54=""),"",IF(AE$8&gt;$G54,IF(OR(status1B5!AF54=1,status1B5!AF54=2,'BOULEVARD 5'!AH52&gt;0),"Pagado","impago"),""))</f>
        <v>Pagado</v>
      </c>
      <c r="AF54" s="666" t="str">
        <f>IF(OR($A54="F&amp;F",$G54=""),"",IF(AF$8&gt;$G54,IF(OR(status1B5!AG54=1,status1B5!AG54=2,'BOULEVARD 5'!AI52&gt;0),"Pagado","impago"),""))</f>
        <v>Pagado</v>
      </c>
      <c r="AG54" s="666" t="str">
        <f>IF(OR($A54="F&amp;F",$G54=""),"",IF(AG$8&gt;$G54,IF(OR(status1B5!AH54=1,status1B5!AH54=2,'BOULEVARD 5'!AJ52&gt;0),"Pagado","impago"),""))</f>
        <v>Pagado</v>
      </c>
      <c r="AH54" s="666" t="str">
        <f>IF(OR($A54="F&amp;F",$G54=""),"",IF(AH$8&gt;$G54,IF(OR(status1B5!AI54=1,status1B5!AI54=2,'BOULEVARD 5'!AK52&gt;0),"Pagado","impago"),""))</f>
        <v>Pagado</v>
      </c>
      <c r="AI54" s="666" t="str">
        <f>IF(OR($A54="F&amp;F",$G54=""),"",IF(AI$8&gt;$G54,IF(OR(status1B5!AJ54=1,status1B5!AJ54=2,'BOULEVARD 5'!AL52&gt;0),"Pagado","impago"),""))</f>
        <v>Pagado</v>
      </c>
      <c r="AJ54" s="666" t="str">
        <f>IF(OR($A54="F&amp;F",$G54=""),"",IF(AJ$8&gt;$G54,IF(OR(status1B5!AK54=1,status1B5!AK54=2,'BOULEVARD 5'!AM52&gt;0),"Pagado","impago"),""))</f>
        <v>Pagado</v>
      </c>
      <c r="AK54" s="666" t="str">
        <f>IF(OR($A54="F&amp;F",$G54=""),"",IF(AK$8&gt;$G54,IF(OR(status1B5!AL54=1,status1B5!AL54=2,'BOULEVARD 5'!AN52&gt;0),"Pagado","impago"),""))</f>
        <v>Pagado</v>
      </c>
      <c r="AL54" s="666" t="str">
        <f>IF(OR($A54="F&amp;F",$G54=""),"",IF(AL$8&gt;$G54,IF(OR(status1B5!AM54=1,status1B5!AM54=2,'BOULEVARD 5'!AO52&gt;0),"Pagado","impago"),""))</f>
        <v>Pagado</v>
      </c>
      <c r="AM54" s="666" t="str">
        <f>IF(OR($A54="F&amp;F",$G54=""),"",IF(AM$8&gt;$G54,IF(OR(status1B5!AN54=1,status1B5!AN54=2,'BOULEVARD 5'!AP52&gt;0),"Pagado","impago"),""))</f>
        <v>Pagado</v>
      </c>
      <c r="AN54" s="666" t="str">
        <f>IF(OR($A54="F&amp;F",$G54=""),"",IF(AN$8&gt;$G54,IF(OR(status1B5!AO54=1,status1B5!AO54=2,'BOULEVARD 5'!AQ52&gt;0),"Pagado","impago"),""))</f>
        <v>Pagado</v>
      </c>
      <c r="AO54" s="666" t="str">
        <f>IF(OR($A54="F&amp;F",$G54=""),"",IF(AO$8&gt;$G54,IF(OR(status1B5!AP54=1,status1B5!AP54=2,'BOULEVARD 5'!AS52&gt;0),"Pagado","impago"),""))</f>
        <v>Pagado</v>
      </c>
      <c r="AP54" s="429" t="str">
        <f t="shared" si="4"/>
        <v>Vendido</v>
      </c>
    </row>
    <row r="55" spans="1:42" s="429" customFormat="1" ht="13.9" customHeight="1" x14ac:dyDescent="0.25">
      <c r="A55" s="472"/>
      <c r="B55" s="436">
        <f>'BOULEVARD 5'!B53</f>
        <v>317</v>
      </c>
      <c r="C55" s="436" t="s">
        <v>355</v>
      </c>
      <c r="D55" s="436"/>
      <c r="E55" s="436" t="str">
        <f>IF('BOULEVARD 5'!E53="","",'BOULEVARD 5'!E53)</f>
        <v>Antonio Rada</v>
      </c>
      <c r="F55" s="429" t="str">
        <f>IF('BOULEVARD 5'!F53="","",'BOULEVARD 5'!F53)</f>
        <v>Antonio Meneses Hernandez</v>
      </c>
      <c r="G55" s="473">
        <f>IF('BOULEVARD 5'!G53="","",'BOULEVARD 5'!G53)</f>
        <v>45258</v>
      </c>
      <c r="H55" s="666" t="str">
        <f>IF(OR($A55="F&amp;F",$G55=""),"",IF(H$8&gt;$G55,IF(OR(status1B5!I55=1,status1B5!I55=2,'BOULEVARD 5'!K53&gt;0),"Pagado","impago"),""))</f>
        <v/>
      </c>
      <c r="I55" s="666" t="str">
        <f>IF(OR($A55="F&amp;F",$G55=""),"",IF(I$8&gt;$G55,IF(OR(status1B5!J55=1,status1B5!J55=2,'BOULEVARD 5'!L53&gt;0),"Pagado","impago"),""))</f>
        <v/>
      </c>
      <c r="J55" s="666" t="str">
        <f>IF(OR($A55="F&amp;F",$G55=""),"",IF(J$8&gt;$G55,IF(OR(status1B5!K55=1,status1B5!K55=2,'BOULEVARD 5'!M53&gt;0),"Pagado","impago"),""))</f>
        <v/>
      </c>
      <c r="K55" s="666" t="str">
        <f>IF(OR($A55="F&amp;F",$G55=""),"",IF(K$8&gt;$G55,IF(OR(status1B5!L55=1,status1B5!L55=2,'BOULEVARD 5'!N53&gt;0),"Pagado","impago"),""))</f>
        <v/>
      </c>
      <c r="L55" s="666" t="str">
        <f>IF(OR($A55="F&amp;F",$G55=""),"",IF(L$8&gt;$G55,IF(OR(status1B5!M55=1,status1B5!M55=2,'BOULEVARD 5'!O53&gt;0),"Pagado","impago"),""))</f>
        <v/>
      </c>
      <c r="M55" s="666" t="str">
        <f>IF(OR($A55="F&amp;F",$G55=""),"",IF(M$8&gt;$G55,IF(OR(status1B5!N55=1,status1B5!N55=2,'BOULEVARD 5'!P53&gt;0),"Pagado","impago"),""))</f>
        <v/>
      </c>
      <c r="N55" s="666" t="str">
        <f>IF(OR($A55="F&amp;F",$G55=""),"",IF(N$8&gt;$G55,IF(OR(status1B5!O55=1,status1B5!O55=2,'BOULEVARD 5'!Q53&gt;0),"Pagado","impago"),""))</f>
        <v/>
      </c>
      <c r="O55" s="666" t="str">
        <f>IF(OR($A55="F&amp;F",$G55=""),"",IF(O$8&gt;$G55,IF(OR(status1B5!P55=1,status1B5!P55=2,'BOULEVARD 5'!R53&gt;0),"Pagado","impago"),""))</f>
        <v/>
      </c>
      <c r="P55" s="666" t="str">
        <f>IF(OR($A55="F&amp;F",$G55=""),"",IF(P$8&gt;$G55,IF(OR(status1B5!Q55=1,status1B5!Q55=2,'BOULEVARD 5'!S53&gt;0),"Pagado","impago"),""))</f>
        <v>Pagado</v>
      </c>
      <c r="Q55" s="666" t="str">
        <f>IF(OR($A55="F&amp;F",$G55=""),"",IF(Q$8&gt;$G55,IF(OR(status1B5!R55=1,status1B5!R55=2,'BOULEVARD 5'!T53&gt;0),"Pagado","impago"),""))</f>
        <v>Pagado</v>
      </c>
      <c r="R55" s="666" t="str">
        <f>IF(OR($A55="F&amp;F",$G55=""),"",IF(R$8&gt;$G55,IF(OR(status1B5!S55=1,status1B5!S55=2,'BOULEVARD 5'!U53&gt;0),"Pagado","impago"),""))</f>
        <v>Pagado</v>
      </c>
      <c r="S55" s="666" t="str">
        <f>IF(OR($A55="F&amp;F",$G55=""),"",IF(S$8&gt;$G55,IF(OR(status1B5!T55=1,status1B5!T55=2,'BOULEVARD 5'!V53&gt;0),"Pagado","impago"),""))</f>
        <v>Pagado</v>
      </c>
      <c r="T55" s="666" t="str">
        <f>IF(OR($A55="F&amp;F",$G55=""),"",IF(T$8&gt;$G55,IF(OR(status1B5!U55=1,status1B5!U55=2,'BOULEVARD 5'!W53&gt;0),"Pagado","impago"),""))</f>
        <v>Pagado</v>
      </c>
      <c r="U55" s="666" t="str">
        <f>IF(OR($A55="F&amp;F",$G55=""),"",IF(U$8&gt;$G55,IF(OR(status1B5!V55=1,status1B5!V55=2,'BOULEVARD 5'!X53&gt;0),"Pagado","impago"),""))</f>
        <v>Pagado</v>
      </c>
      <c r="V55" s="666" t="str">
        <f>IF(OR($A55="F&amp;F",$G55=""),"",IF(V$8&gt;$G55,IF(OR(status1B5!W55=1,status1B5!W55=2,'BOULEVARD 5'!Y53&gt;0),"Pagado","impago"),""))</f>
        <v>Pagado</v>
      </c>
      <c r="W55" s="666" t="str">
        <f>IF(OR($A55="F&amp;F",$G55=""),"",IF(W$8&gt;$G55,IF(OR(status1B5!X55=1,status1B5!X55=2,'BOULEVARD 5'!Z53&gt;0),"Pagado","impago"),""))</f>
        <v>Pagado</v>
      </c>
      <c r="X55" s="666" t="str">
        <f>IF(OR($A55="F&amp;F",$G55=""),"",IF(X$8&gt;$G55,IF(OR(status1B5!Y55=1,status1B5!Y55=2,'BOULEVARD 5'!AA53&gt;0),"Pagado","impago"),""))</f>
        <v>Pagado</v>
      </c>
      <c r="Y55" s="666" t="str">
        <f>IF(OR($A55="F&amp;F",$G55=""),"",IF(Y$8&gt;$G55,IF(OR(status1B5!Z55=1,status1B5!Z55=2,'BOULEVARD 5'!AB53&gt;0),"Pagado","impago"),""))</f>
        <v>Pagado</v>
      </c>
      <c r="Z55" s="666" t="str">
        <f>IF(OR($A55="F&amp;F",$G55=""),"",IF(Z$8&gt;$G55,IF(OR(status1B5!AA55=1,status1B5!AA55=2,'BOULEVARD 5'!AC53&gt;0),"Pagado","impago"),""))</f>
        <v>Pagado</v>
      </c>
      <c r="AA55" s="666" t="str">
        <f>IF(OR($A55="F&amp;F",$G55=""),"",IF(AA$8&gt;$G55,IF(OR(status1B5!AB55=1,status1B5!AB55=2,'BOULEVARD 5'!AD53&gt;0),"Pagado","impago"),""))</f>
        <v>Pagado</v>
      </c>
      <c r="AB55" s="666" t="str">
        <f>IF(OR($A55="F&amp;F",$G55=""),"",IF(AB$8&gt;$G55,IF(OR(status1B5!AC55=1,status1B5!AC55=2,'BOULEVARD 5'!AE53&gt;0),"Pagado","impago"),""))</f>
        <v>Pagado</v>
      </c>
      <c r="AC55" s="666" t="str">
        <f>IF(OR($A55="F&amp;F",$G55=""),"",IF(AC$8&gt;$G55,IF(OR(status1B5!AD55=1,status1B5!AD55=2,'BOULEVARD 5'!AF53&gt;0),"Pagado","impago"),""))</f>
        <v>Pagado</v>
      </c>
      <c r="AD55" s="666" t="str">
        <f>IF(OR($A55="F&amp;F",$G55=""),"",IF(AD$8&gt;$G55,IF(OR(status1B5!AE55=1,status1B5!AE55=2,'BOULEVARD 5'!AG53&gt;0),"Pagado","impago"),""))</f>
        <v>Pagado</v>
      </c>
      <c r="AE55" s="666" t="str">
        <f>IF(OR($A55="F&amp;F",$G55=""),"",IF(AE$8&gt;$G55,IF(OR(status1B5!AF55=1,status1B5!AF55=2,'BOULEVARD 5'!AH53&gt;0),"Pagado","impago"),""))</f>
        <v>Pagado</v>
      </c>
      <c r="AF55" s="666" t="str">
        <f>IF(OR($A55="F&amp;F",$G55=""),"",IF(AF$8&gt;$G55,IF(OR(status1B5!AG55=1,status1B5!AG55=2,'BOULEVARD 5'!AI53&gt;0),"Pagado","impago"),""))</f>
        <v>Pagado</v>
      </c>
      <c r="AG55" s="666" t="str">
        <f>IF(OR($A55="F&amp;F",$G55=""),"",IF(AG$8&gt;$G55,IF(OR(status1B5!AH55=1,status1B5!AH55=2,'BOULEVARD 5'!AJ53&gt;0),"Pagado","impago"),""))</f>
        <v>Pagado</v>
      </c>
      <c r="AH55" s="666" t="str">
        <f>IF(OR($A55="F&amp;F",$G55=""),"",IF(AH$8&gt;$G55,IF(OR(status1B5!AI55=1,status1B5!AI55=2,'BOULEVARD 5'!AK53&gt;0),"Pagado","impago"),""))</f>
        <v>Pagado</v>
      </c>
      <c r="AI55" s="666" t="str">
        <f>IF(OR($A55="F&amp;F",$G55=""),"",IF(AI$8&gt;$G55,IF(OR(status1B5!AJ55=1,status1B5!AJ55=2,'BOULEVARD 5'!AL53&gt;0),"Pagado","impago"),""))</f>
        <v>Pagado</v>
      </c>
      <c r="AJ55" s="666" t="str">
        <f>IF(OR($A55="F&amp;F",$G55=""),"",IF(AJ$8&gt;$G55,IF(OR(status1B5!AK55=1,status1B5!AK55=2,'BOULEVARD 5'!AM53&gt;0),"Pagado","impago"),""))</f>
        <v>Pagado</v>
      </c>
      <c r="AK55" s="666" t="str">
        <f>IF(OR($A55="F&amp;F",$G55=""),"",IF(AK$8&gt;$G55,IF(OR(status1B5!AL55=1,status1B5!AL55=2,'BOULEVARD 5'!AN53&gt;0),"Pagado","impago"),""))</f>
        <v>Pagado</v>
      </c>
      <c r="AL55" s="666" t="str">
        <f>IF(OR($A55="F&amp;F",$G55=""),"",IF(AL$8&gt;$G55,IF(OR(status1B5!AM55=1,status1B5!AM55=2,'BOULEVARD 5'!AO53&gt;0),"Pagado","impago"),""))</f>
        <v>Pagado</v>
      </c>
      <c r="AM55" s="666" t="str">
        <f>IF(OR($A55="F&amp;F",$G55=""),"",IF(AM$8&gt;$G55,IF(OR(status1B5!AN55=1,status1B5!AN55=2,'BOULEVARD 5'!AP53&gt;0),"Pagado","impago"),""))</f>
        <v>Pagado</v>
      </c>
      <c r="AN55" s="666" t="str">
        <f>IF(OR($A55="F&amp;F",$G55=""),"",IF(AN$8&gt;$G55,IF(OR(status1B5!AO55=1,status1B5!AO55=2,'BOULEVARD 5'!AQ53&gt;0),"Pagado","impago"),""))</f>
        <v>Pagado</v>
      </c>
      <c r="AO55" s="666" t="str">
        <f>IF(OR($A55="F&amp;F",$G55=""),"",IF(AO$8&gt;$G55,IF(OR(status1B5!AP55=1,status1B5!AP55=2,'BOULEVARD 5'!AS53&gt;0),"Pagado","impago"),""))</f>
        <v>Pagado</v>
      </c>
      <c r="AP55" s="429" t="str">
        <f t="shared" si="4"/>
        <v>Vendido</v>
      </c>
    </row>
    <row r="56" spans="1:42" s="429" customFormat="1" ht="13.9" customHeight="1" x14ac:dyDescent="0.25">
      <c r="A56" s="472"/>
      <c r="B56" s="436">
        <f>'BOULEVARD 5'!B54</f>
        <v>318</v>
      </c>
      <c r="C56" s="436" t="s">
        <v>355</v>
      </c>
      <c r="D56" s="436"/>
      <c r="E56" s="436" t="str">
        <f>IF('BOULEVARD 5'!E54="","",'BOULEVARD 5'!E54)</f>
        <v>Antonio Rada</v>
      </c>
      <c r="F56" s="429" t="str">
        <f>IF('BOULEVARD 5'!F54="","",'BOULEVARD 5'!F54)</f>
        <v>Jose Reynaldo Linares</v>
      </c>
      <c r="G56" s="473">
        <f>IF('BOULEVARD 5'!G54="","",'BOULEVARD 5'!G54)</f>
        <v>45242</v>
      </c>
      <c r="H56" s="666" t="str">
        <f>IF(OR($A56="F&amp;F",$G56=""),"",IF(H$8&gt;$G56,IF(OR(status1B5!I56=1,status1B5!I56=2,'BOULEVARD 5'!K54&gt;0),"Pagado","impago"),""))</f>
        <v/>
      </c>
      <c r="I56" s="666" t="str">
        <f>IF(OR($A56="F&amp;F",$G56=""),"",IF(I$8&gt;$G56,IF(OR(status1B5!J56=1,status1B5!J56=2,'BOULEVARD 5'!L54&gt;0),"Pagado","impago"),""))</f>
        <v/>
      </c>
      <c r="J56" s="666" t="str">
        <f>IF(OR($A56="F&amp;F",$G56=""),"",IF(J$8&gt;$G56,IF(OR(status1B5!K56=1,status1B5!K56=2,'BOULEVARD 5'!M54&gt;0),"Pagado","impago"),""))</f>
        <v/>
      </c>
      <c r="K56" s="666" t="str">
        <f>IF(OR($A56="F&amp;F",$G56=""),"",IF(K$8&gt;$G56,IF(OR(status1B5!L56=1,status1B5!L56=2,'BOULEVARD 5'!N54&gt;0),"Pagado","impago"),""))</f>
        <v/>
      </c>
      <c r="L56" s="666" t="str">
        <f>IF(OR($A56="F&amp;F",$G56=""),"",IF(L$8&gt;$G56,IF(OR(status1B5!M56=1,status1B5!M56=2,'BOULEVARD 5'!O54&gt;0),"Pagado","impago"),""))</f>
        <v/>
      </c>
      <c r="M56" s="666" t="str">
        <f>IF(OR($A56="F&amp;F",$G56=""),"",IF(M$8&gt;$G56,IF(OR(status1B5!N56=1,status1B5!N56=2,'BOULEVARD 5'!P54&gt;0),"Pagado","impago"),""))</f>
        <v/>
      </c>
      <c r="N56" s="666" t="str">
        <f>IF(OR($A56="F&amp;F",$G56=""),"",IF(N$8&gt;$G56,IF(OR(status1B5!O56=1,status1B5!O56=2,'BOULEVARD 5'!Q54&gt;0),"Pagado","impago"),""))</f>
        <v/>
      </c>
      <c r="O56" s="666" t="str">
        <f>IF(OR($A56="F&amp;F",$G56=""),"",IF(O$8&gt;$G56,IF(OR(status1B5!P56=1,status1B5!P56=2,'BOULEVARD 5'!R54&gt;0),"Pagado","impago"),""))</f>
        <v/>
      </c>
      <c r="P56" s="666" t="str">
        <f>IF(OR($A56="F&amp;F",$G56=""),"",IF(P$8&gt;$G56,IF(OR(status1B5!Q56=1,status1B5!Q56=2,'BOULEVARD 5'!S54&gt;0),"Pagado","impago"),""))</f>
        <v>Pagado</v>
      </c>
      <c r="Q56" s="666" t="str">
        <f>IF(OR($A56="F&amp;F",$G56=""),"",IF(Q$8&gt;$G56,IF(OR(status1B5!R56=1,status1B5!R56=2,'BOULEVARD 5'!T54&gt;0),"Pagado","impago"),""))</f>
        <v>Pagado</v>
      </c>
      <c r="R56" s="666" t="str">
        <f>IF(OR($A56="F&amp;F",$G56=""),"",IF(R$8&gt;$G56,IF(OR(status1B5!S56=1,status1B5!S56=2,'BOULEVARD 5'!U54&gt;0),"Pagado","impago"),""))</f>
        <v>Pagado</v>
      </c>
      <c r="S56" s="666" t="str">
        <f>IF(OR($A56="F&amp;F",$G56=""),"",IF(S$8&gt;$G56,IF(OR(status1B5!T56=1,status1B5!T56=2,'BOULEVARD 5'!V54&gt;0),"Pagado","impago"),""))</f>
        <v>Pagado</v>
      </c>
      <c r="T56" s="666" t="str">
        <f>IF(OR($A56="F&amp;F",$G56=""),"",IF(T$8&gt;$G56,IF(OR(status1B5!U56=1,status1B5!U56=2,'BOULEVARD 5'!W54&gt;0),"Pagado","impago"),""))</f>
        <v>Pagado</v>
      </c>
      <c r="U56" s="666" t="str">
        <f>IF(OR($A56="F&amp;F",$G56=""),"",IF(U$8&gt;$G56,IF(OR(status1B5!V56=1,status1B5!V56=2,'BOULEVARD 5'!X54&gt;0),"Pagado","impago"),""))</f>
        <v>Pagado</v>
      </c>
      <c r="V56" s="666" t="str">
        <f>IF(OR($A56="F&amp;F",$G56=""),"",IF(V$8&gt;$G56,IF(OR(status1B5!W56=1,status1B5!W56=2,'BOULEVARD 5'!Y54&gt;0),"Pagado","impago"),""))</f>
        <v>Pagado</v>
      </c>
      <c r="W56" s="666" t="str">
        <f>IF(OR($A56="F&amp;F",$G56=""),"",IF(W$8&gt;$G56,IF(OR(status1B5!X56=1,status1B5!X56=2,'BOULEVARD 5'!Z54&gt;0),"Pagado","impago"),""))</f>
        <v>Pagado</v>
      </c>
      <c r="X56" s="666" t="str">
        <f>IF(OR($A56="F&amp;F",$G56=""),"",IF(X$8&gt;$G56,IF(OR(status1B5!Y56=1,status1B5!Y56=2,'BOULEVARD 5'!AA54&gt;0),"Pagado","impago"),""))</f>
        <v>Pagado</v>
      </c>
      <c r="Y56" s="666" t="str">
        <f>IF(OR($A56="F&amp;F",$G56=""),"",IF(Y$8&gt;$G56,IF(OR(status1B5!Z56=1,status1B5!Z56=2,'BOULEVARD 5'!AB54&gt;0),"Pagado","impago"),""))</f>
        <v>Pagado</v>
      </c>
      <c r="Z56" s="666" t="str">
        <f>IF(OR($A56="F&amp;F",$G56=""),"",IF(Z$8&gt;$G56,IF(OR(status1B5!AA56=1,status1B5!AA56=2,'BOULEVARD 5'!AC54&gt;0),"Pagado","impago"),""))</f>
        <v>Pagado</v>
      </c>
      <c r="AA56" s="666" t="str">
        <f>IF(OR($A56="F&amp;F",$G56=""),"",IF(AA$8&gt;$G56,IF(OR(status1B5!AB56=1,status1B5!AB56=2,'BOULEVARD 5'!AD54&gt;0),"Pagado","impago"),""))</f>
        <v>Pagado</v>
      </c>
      <c r="AB56" s="666" t="str">
        <f>IF(OR($A56="F&amp;F",$G56=""),"",IF(AB$8&gt;$G56,IF(OR(status1B5!AC56=1,status1B5!AC56=2,'BOULEVARD 5'!AE54&gt;0),"Pagado","impago"),""))</f>
        <v>Pagado</v>
      </c>
      <c r="AC56" s="666" t="str">
        <f>IF(OR($A56="F&amp;F",$G56=""),"",IF(AC$8&gt;$G56,IF(OR(status1B5!AD56=1,status1B5!AD56=2,'BOULEVARD 5'!AF54&gt;0),"Pagado","impago"),""))</f>
        <v>Pagado</v>
      </c>
      <c r="AD56" s="666" t="str">
        <f>IF(OR($A56="F&amp;F",$G56=""),"",IF(AD$8&gt;$G56,IF(OR(status1B5!AE56=1,status1B5!AE56=2,'BOULEVARD 5'!AG54&gt;0),"Pagado","impago"),""))</f>
        <v>Pagado</v>
      </c>
      <c r="AE56" s="666" t="str">
        <f>IF(OR($A56="F&amp;F",$G56=""),"",IF(AE$8&gt;$G56,IF(OR(status1B5!AF56=1,status1B5!AF56=2,'BOULEVARD 5'!AH54&gt;0),"Pagado","impago"),""))</f>
        <v>Pagado</v>
      </c>
      <c r="AF56" s="666" t="str">
        <f>IF(OR($A56="F&amp;F",$G56=""),"",IF(AF$8&gt;$G56,IF(OR(status1B5!AG56=1,status1B5!AG56=2,'BOULEVARD 5'!AI54&gt;0),"Pagado","impago"),""))</f>
        <v>Pagado</v>
      </c>
      <c r="AG56" s="666" t="str">
        <f>IF(OR($A56="F&amp;F",$G56=""),"",IF(AG$8&gt;$G56,IF(OR(status1B5!AH56=1,status1B5!AH56=2,'BOULEVARD 5'!AJ54&gt;0),"Pagado","impago"),""))</f>
        <v>Pagado</v>
      </c>
      <c r="AH56" s="666" t="str">
        <f>IF(OR($A56="F&amp;F",$G56=""),"",IF(AH$8&gt;$G56,IF(OR(status1B5!AI56=1,status1B5!AI56=2,'BOULEVARD 5'!AK54&gt;0),"Pagado","impago"),""))</f>
        <v>Pagado</v>
      </c>
      <c r="AI56" s="666" t="str">
        <f>IF(OR($A56="F&amp;F",$G56=""),"",IF(AI$8&gt;$G56,IF(OR(status1B5!AJ56=1,status1B5!AJ56=2,'BOULEVARD 5'!AL54&gt;0),"Pagado","impago"),""))</f>
        <v>Pagado</v>
      </c>
      <c r="AJ56" s="666" t="str">
        <f>IF(OR($A56="F&amp;F",$G56=""),"",IF(AJ$8&gt;$G56,IF(OR(status1B5!AK56=1,status1B5!AK56=2,'BOULEVARD 5'!AM54&gt;0),"Pagado","impago"),""))</f>
        <v>Pagado</v>
      </c>
      <c r="AK56" s="666" t="str">
        <f>IF(OR($A56="F&amp;F",$G56=""),"",IF(AK$8&gt;$G56,IF(OR(status1B5!AL56=1,status1B5!AL56=2,'BOULEVARD 5'!AN54&gt;0),"Pagado","impago"),""))</f>
        <v>Pagado</v>
      </c>
      <c r="AL56" s="666" t="str">
        <f>IF(OR($A56="F&amp;F",$G56=""),"",IF(AL$8&gt;$G56,IF(OR(status1B5!AM56=1,status1B5!AM56=2,'BOULEVARD 5'!AO54&gt;0),"Pagado","impago"),""))</f>
        <v>Pagado</v>
      </c>
      <c r="AM56" s="666" t="str">
        <f>IF(OR($A56="F&amp;F",$G56=""),"",IF(AM$8&gt;$G56,IF(OR(status1B5!AN56=1,status1B5!AN56=2,'BOULEVARD 5'!AP54&gt;0),"Pagado","impago"),""))</f>
        <v>Pagado</v>
      </c>
      <c r="AN56" s="666" t="str">
        <f>IF(OR($A56="F&amp;F",$G56=""),"",IF(AN$8&gt;$G56,IF(OR(status1B5!AO56=1,status1B5!AO56=2,'BOULEVARD 5'!AQ54&gt;0),"Pagado","impago"),""))</f>
        <v>Pagado</v>
      </c>
      <c r="AO56" s="666" t="str">
        <f>IF(OR($A56="F&amp;F",$G56=""),"",IF(AO$8&gt;$G56,IF(OR(status1B5!AP56=1,status1B5!AP56=2,'BOULEVARD 5'!AS54&gt;0),"Pagado","impago"),""))</f>
        <v>Pagado</v>
      </c>
      <c r="AP56" s="429" t="str">
        <f t="shared" si="4"/>
        <v>Vendido</v>
      </c>
    </row>
    <row r="57" spans="1:42" s="429" customFormat="1" ht="13.9" customHeight="1" x14ac:dyDescent="0.25">
      <c r="A57" s="472"/>
      <c r="B57" s="436">
        <f>'BOULEVARD 5'!B55</f>
        <v>319</v>
      </c>
      <c r="C57" s="436" t="s">
        <v>355</v>
      </c>
      <c r="D57" s="436"/>
      <c r="E57" s="436" t="str">
        <f>IF('BOULEVARD 5'!E55="","",'BOULEVARD 5'!E55)</f>
        <v>Antonio Rada</v>
      </c>
      <c r="F57" s="429" t="str">
        <f>IF('BOULEVARD 5'!F55="","",'BOULEVARD 5'!F55)</f>
        <v>Aaron Fabrizio Tello Merida</v>
      </c>
      <c r="G57" s="473">
        <f>IF('BOULEVARD 5'!G55="","",'BOULEVARD 5'!G55)</f>
        <v>45340</v>
      </c>
      <c r="H57" s="666" t="str">
        <f>IF(OR($A57="F&amp;F",$G57=""),"",IF(H$8&gt;$G57,IF(OR(status1B5!I57=1,status1B5!I57=2,'BOULEVARD 5'!K55&gt;0),"Pagado","impago"),""))</f>
        <v/>
      </c>
      <c r="I57" s="666" t="str">
        <f>IF(OR($A57="F&amp;F",$G57=""),"",IF(I$8&gt;$G57,IF(OR(status1B5!J57=1,status1B5!J57=2,'BOULEVARD 5'!L55&gt;0),"Pagado","impago"),""))</f>
        <v/>
      </c>
      <c r="J57" s="666" t="str">
        <f>IF(OR($A57="F&amp;F",$G57=""),"",IF(J$8&gt;$G57,IF(OR(status1B5!K57=1,status1B5!K57=2,'BOULEVARD 5'!M55&gt;0),"Pagado","impago"),""))</f>
        <v/>
      </c>
      <c r="K57" s="666" t="str">
        <f>IF(OR($A57="F&amp;F",$G57=""),"",IF(K$8&gt;$G57,IF(OR(status1B5!L57=1,status1B5!L57=2,'BOULEVARD 5'!N55&gt;0),"Pagado","impago"),""))</f>
        <v/>
      </c>
      <c r="L57" s="666" t="str">
        <f>IF(OR($A57="F&amp;F",$G57=""),"",IF(L$8&gt;$G57,IF(OR(status1B5!M57=1,status1B5!M57=2,'BOULEVARD 5'!O55&gt;0),"Pagado","impago"),""))</f>
        <v/>
      </c>
      <c r="M57" s="666" t="str">
        <f>IF(OR($A57="F&amp;F",$G57=""),"",IF(M$8&gt;$G57,IF(OR(status1B5!N57=1,status1B5!N57=2,'BOULEVARD 5'!P55&gt;0),"Pagado","impago"),""))</f>
        <v/>
      </c>
      <c r="N57" s="666" t="str">
        <f>IF(OR($A57="F&amp;F",$G57=""),"",IF(N$8&gt;$G57,IF(OR(status1B5!O57=1,status1B5!O57=2,'BOULEVARD 5'!Q55&gt;0),"Pagado","impago"),""))</f>
        <v/>
      </c>
      <c r="O57" s="666" t="str">
        <f>IF(OR($A57="F&amp;F",$G57=""),"",IF(O$8&gt;$G57,IF(OR(status1B5!P57=1,status1B5!P57=2,'BOULEVARD 5'!R55&gt;0),"Pagado","impago"),""))</f>
        <v/>
      </c>
      <c r="P57" s="666" t="str">
        <f>IF(OR($A57="F&amp;F",$G57=""),"",IF(P$8&gt;$G57,IF(OR(status1B5!Q57=1,status1B5!Q57=2,'BOULEVARD 5'!S55&gt;0),"Pagado","impago"),""))</f>
        <v/>
      </c>
      <c r="Q57" s="666" t="str">
        <f>IF(OR($A57="F&amp;F",$G57=""),"",IF(Q$8&gt;$G57,IF(OR(status1B5!R57=1,status1B5!R57=2,'BOULEVARD 5'!T55&gt;0),"Pagado","impago"),""))</f>
        <v/>
      </c>
      <c r="R57" s="666" t="str">
        <f>IF(OR($A57="F&amp;F",$G57=""),"",IF(R$8&gt;$G57,IF(OR(status1B5!S57=1,status1B5!S57=2,'BOULEVARD 5'!U55&gt;0),"Pagado","impago"),""))</f>
        <v/>
      </c>
      <c r="S57" s="666" t="str">
        <f>IF(OR($A57="F&amp;F",$G57=""),"",IF(S$8&gt;$G57,IF(OR(status1B5!T57=1,status1B5!T57=2,'BOULEVARD 5'!V55&gt;0),"Pagado","impago"),""))</f>
        <v>Pagado</v>
      </c>
      <c r="T57" s="666" t="str">
        <f>IF(OR($A57="F&amp;F",$G57=""),"",IF(T$8&gt;$G57,IF(OR(status1B5!U57=1,status1B5!U57=2,'BOULEVARD 5'!W55&gt;0),"Pagado","impago"),""))</f>
        <v>Pagado</v>
      </c>
      <c r="U57" s="666" t="str">
        <f>IF(OR($A57="F&amp;F",$G57=""),"",IF(U$8&gt;$G57,IF(OR(status1B5!V57=1,status1B5!V57=2,'BOULEVARD 5'!X55&gt;0),"Pagado","impago"),""))</f>
        <v>Pagado</v>
      </c>
      <c r="V57" s="666" t="str">
        <f>IF(OR($A57="F&amp;F",$G57=""),"",IF(V$8&gt;$G57,IF(OR(status1B5!W57=1,status1B5!W57=2,'BOULEVARD 5'!Y55&gt;0),"Pagado","impago"),""))</f>
        <v>Pagado</v>
      </c>
      <c r="W57" s="666" t="str">
        <f>IF(OR($A57="F&amp;F",$G57=""),"",IF(W$8&gt;$G57,IF(OR(status1B5!X57=1,status1B5!X57=2,'BOULEVARD 5'!Z55&gt;0),"Pagado","impago"),""))</f>
        <v>Pagado</v>
      </c>
      <c r="X57" s="666" t="str">
        <f>IF(OR($A57="F&amp;F",$G57=""),"",IF(X$8&gt;$G57,IF(OR(status1B5!Y57=1,status1B5!Y57=2,'BOULEVARD 5'!AA55&gt;0),"Pagado","impago"),""))</f>
        <v>Pagado</v>
      </c>
      <c r="Y57" s="666" t="str">
        <f>IF(OR($A57="F&amp;F",$G57=""),"",IF(Y$8&gt;$G57,IF(OR(status1B5!Z57=1,status1B5!Z57=2,'BOULEVARD 5'!AB55&gt;0),"Pagado","impago"),""))</f>
        <v>Pagado</v>
      </c>
      <c r="Z57" s="666" t="str">
        <f>IF(OR($A57="F&amp;F",$G57=""),"",IF(Z$8&gt;$G57,IF(OR(status1B5!AA57=1,status1B5!AA57=2,'BOULEVARD 5'!AC55&gt;0),"Pagado","impago"),""))</f>
        <v>Pagado</v>
      </c>
      <c r="AA57" s="666" t="str">
        <f>IF(OR($A57="F&amp;F",$G57=""),"",IF(AA$8&gt;$G57,IF(OR(status1B5!AB57=1,status1B5!AB57=2,'BOULEVARD 5'!AD55&gt;0),"Pagado","impago"),""))</f>
        <v>Pagado</v>
      </c>
      <c r="AB57" s="666" t="str">
        <f>IF(OR($A57="F&amp;F",$G57=""),"",IF(AB$8&gt;$G57,IF(OR(status1B5!AC57=1,status1B5!AC57=2,'BOULEVARD 5'!AE55&gt;0),"Pagado","impago"),""))</f>
        <v>Pagado</v>
      </c>
      <c r="AC57" s="666" t="str">
        <f>IF(OR($A57="F&amp;F",$G57=""),"",IF(AC$8&gt;$G57,IF(OR(status1B5!AD57=1,status1B5!AD57=2,'BOULEVARD 5'!AF55&gt;0),"Pagado","impago"),""))</f>
        <v>Pagado</v>
      </c>
      <c r="AD57" s="666" t="str">
        <f>IF(OR($A57="F&amp;F",$G57=""),"",IF(AD$8&gt;$G57,IF(OR(status1B5!AE57=1,status1B5!AE57=2,'BOULEVARD 5'!AG55&gt;0),"Pagado","impago"),""))</f>
        <v>Pagado</v>
      </c>
      <c r="AE57" s="666" t="str">
        <f>IF(OR($A57="F&amp;F",$G57=""),"",IF(AE$8&gt;$G57,IF(OR(status1B5!AF57=1,status1B5!AF57=2,'BOULEVARD 5'!AH55&gt;0),"Pagado","impago"),""))</f>
        <v>Pagado</v>
      </c>
      <c r="AF57" s="666" t="str">
        <f>IF(OR($A57="F&amp;F",$G57=""),"",IF(AF$8&gt;$G57,IF(OR(status1B5!AG57=1,status1B5!AG57=2,'BOULEVARD 5'!AI55&gt;0),"Pagado","impago"),""))</f>
        <v>Pagado</v>
      </c>
      <c r="AG57" s="666" t="str">
        <f>IF(OR($A57="F&amp;F",$G57=""),"",IF(AG$8&gt;$G57,IF(OR(status1B5!AH57=1,status1B5!AH57=2,'BOULEVARD 5'!AJ55&gt;0),"Pagado","impago"),""))</f>
        <v>Pagado</v>
      </c>
      <c r="AH57" s="666" t="str">
        <f>IF(OR($A57="F&amp;F",$G57=""),"",IF(AH$8&gt;$G57,IF(OR(status1B5!AI57=1,status1B5!AI57=2,'BOULEVARD 5'!AK55&gt;0),"Pagado","impago"),""))</f>
        <v>Pagado</v>
      </c>
      <c r="AI57" s="666" t="str">
        <f>IF(OR($A57="F&amp;F",$G57=""),"",IF(AI$8&gt;$G57,IF(OR(status1B5!AJ57=1,status1B5!AJ57=2,'BOULEVARD 5'!AL55&gt;0),"Pagado","impago"),""))</f>
        <v>Pagado</v>
      </c>
      <c r="AJ57" s="666" t="str">
        <f>IF(OR($A57="F&amp;F",$G57=""),"",IF(AJ$8&gt;$G57,IF(OR(status1B5!AK57=1,status1B5!AK57=2,'BOULEVARD 5'!AM55&gt;0),"Pagado","impago"),""))</f>
        <v>Pagado</v>
      </c>
      <c r="AK57" s="666" t="str">
        <f>IF(OR($A57="F&amp;F",$G57=""),"",IF(AK$8&gt;$G57,IF(OR(status1B5!AL57=1,status1B5!AL57=2,'BOULEVARD 5'!AN55&gt;0),"Pagado","impago"),""))</f>
        <v>Pagado</v>
      </c>
      <c r="AL57" s="666" t="str">
        <f>IF(OR($A57="F&amp;F",$G57=""),"",IF(AL$8&gt;$G57,IF(OR(status1B5!AM57=1,status1B5!AM57=2,'BOULEVARD 5'!AO55&gt;0),"Pagado","impago"),""))</f>
        <v>Pagado</v>
      </c>
      <c r="AM57" s="666" t="str">
        <f>IF(OR($A57="F&amp;F",$G57=""),"",IF(AM$8&gt;$G57,IF(OR(status1B5!AN57=1,status1B5!AN57=2,'BOULEVARD 5'!AP55&gt;0),"Pagado","impago"),""))</f>
        <v>Pagado</v>
      </c>
      <c r="AN57" s="666" t="str">
        <f>IF(OR($A57="F&amp;F",$G57=""),"",IF(AN$8&gt;$G57,IF(OR(status1B5!AO57=1,status1B5!AO57=2,'BOULEVARD 5'!AQ55&gt;0),"Pagado","impago"),""))</f>
        <v>Pagado</v>
      </c>
      <c r="AO57" s="666" t="str">
        <f>IF(OR($A57="F&amp;F",$G57=""),"",IF(AO$8&gt;$G57,IF(OR(status1B5!AP57=1,status1B5!AP57=2,'BOULEVARD 5'!AS55&gt;0),"Pagado","impago"),""))</f>
        <v>Pagado</v>
      </c>
      <c r="AP57" s="429" t="str">
        <f t="shared" si="4"/>
        <v>Vendido</v>
      </c>
    </row>
    <row r="58" spans="1:42" s="429" customFormat="1" ht="13.9" customHeight="1" x14ac:dyDescent="0.25">
      <c r="A58" s="472"/>
      <c r="B58" s="436">
        <f>'BOULEVARD 5'!B56</f>
        <v>320</v>
      </c>
      <c r="C58" s="436" t="s">
        <v>355</v>
      </c>
      <c r="D58" s="436"/>
      <c r="E58" s="436" t="str">
        <f>IF('BOULEVARD 5'!E56="","",'BOULEVARD 5'!E56)</f>
        <v>Antonio Rada</v>
      </c>
      <c r="F58" s="429" t="str">
        <f>IF('BOULEVARD 5'!F56="","",'BOULEVARD 5'!F56)</f>
        <v>Santiago Taracena Puga</v>
      </c>
      <c r="G58" s="473">
        <f>IF('BOULEVARD 5'!G56="","",'BOULEVARD 5'!G56)</f>
        <v>45150</v>
      </c>
      <c r="H58" s="666" t="str">
        <f>IF(OR($A58="F&amp;F",$G58=""),"",IF(H$8&gt;$G58,IF(OR(status1B5!I58=1,status1B5!I58=2,'BOULEVARD 5'!K56&gt;0),"Pagado","impago"),""))</f>
        <v/>
      </c>
      <c r="I58" s="666" t="str">
        <f>IF(OR($A58="F&amp;F",$G58=""),"",IF(I$8&gt;$G58,IF(OR(status1B5!J58=1,status1B5!J58=2,'BOULEVARD 5'!L56&gt;0),"Pagado","impago"),""))</f>
        <v/>
      </c>
      <c r="J58" s="666" t="str">
        <f>IF(OR($A58="F&amp;F",$G58=""),"",IF(J$8&gt;$G58,IF(OR(status1B5!K58=1,status1B5!K58=2,'BOULEVARD 5'!M56&gt;0),"Pagado","impago"),""))</f>
        <v/>
      </c>
      <c r="K58" s="666" t="str">
        <f>IF(OR($A58="F&amp;F",$G58=""),"",IF(K$8&gt;$G58,IF(OR(status1B5!L58=1,status1B5!L58=2,'BOULEVARD 5'!N56&gt;0),"Pagado","impago"),""))</f>
        <v/>
      </c>
      <c r="L58" s="666" t="str">
        <f>IF(OR($A58="F&amp;F",$G58=""),"",IF(L$8&gt;$G58,IF(OR(status1B5!M58=1,status1B5!M58=2,'BOULEVARD 5'!O56&gt;0),"Pagado","impago"),""))</f>
        <v/>
      </c>
      <c r="M58" s="666" t="str">
        <f>IF(OR($A58="F&amp;F",$G58=""),"",IF(M$8&gt;$G58,IF(OR(status1B5!N58=1,status1B5!N58=2,'BOULEVARD 5'!P56&gt;0),"Pagado","impago"),""))</f>
        <v>Pagado</v>
      </c>
      <c r="N58" s="666" t="str">
        <f>IF(OR($A58="F&amp;F",$G58=""),"",IF(N$8&gt;$G58,IF(OR(status1B5!O58=1,status1B5!O58=2,'BOULEVARD 5'!Q56&gt;0),"Pagado","impago"),""))</f>
        <v>Pagado</v>
      </c>
      <c r="O58" s="666" t="str">
        <f>IF(OR($A58="F&amp;F",$G58=""),"",IF(O$8&gt;$G58,IF(OR(status1B5!P58=1,status1B5!P58=2,'BOULEVARD 5'!R56&gt;0),"Pagado","impago"),""))</f>
        <v>Pagado</v>
      </c>
      <c r="P58" s="666" t="str">
        <f>IF(OR($A58="F&amp;F",$G58=""),"",IF(P$8&gt;$G58,IF(OR(status1B5!Q58=1,status1B5!Q58=2,'BOULEVARD 5'!S56&gt;0),"Pagado","impago"),""))</f>
        <v>Pagado</v>
      </c>
      <c r="Q58" s="666" t="str">
        <f>IF(OR($A58="F&amp;F",$G58=""),"",IF(Q$8&gt;$G58,IF(OR(status1B5!R58=1,status1B5!R58=2,'BOULEVARD 5'!T56&gt;0),"Pagado","impago"),""))</f>
        <v>Pagado</v>
      </c>
      <c r="R58" s="666" t="str">
        <f>IF(OR($A58="F&amp;F",$G58=""),"",IF(R$8&gt;$G58,IF(OR(status1B5!S58=1,status1B5!S58=2,'BOULEVARD 5'!U56&gt;0),"Pagado","impago"),""))</f>
        <v>Pagado</v>
      </c>
      <c r="S58" s="666" t="str">
        <f>IF(OR($A58="F&amp;F",$G58=""),"",IF(S$8&gt;$G58,IF(OR(status1B5!T58=1,status1B5!T58=2,'BOULEVARD 5'!V56&gt;0),"Pagado","impago"),""))</f>
        <v>Pagado</v>
      </c>
      <c r="T58" s="666" t="str">
        <f>IF(OR($A58="F&amp;F",$G58=""),"",IF(T$8&gt;$G58,IF(OR(status1B5!U58=1,status1B5!U58=2,'BOULEVARD 5'!W56&gt;0),"Pagado","impago"),""))</f>
        <v>Pagado</v>
      </c>
      <c r="U58" s="666" t="str">
        <f>IF(OR($A58="F&amp;F",$G58=""),"",IF(U$8&gt;$G58,IF(OR(status1B5!V58=1,status1B5!V58=2,'BOULEVARD 5'!X56&gt;0),"Pagado","impago"),""))</f>
        <v>Pagado</v>
      </c>
      <c r="V58" s="666" t="str">
        <f>IF(OR($A58="F&amp;F",$G58=""),"",IF(V$8&gt;$G58,IF(OR(status1B5!W58=1,status1B5!W58=2,'BOULEVARD 5'!Y56&gt;0),"Pagado","impago"),""))</f>
        <v>Pagado</v>
      </c>
      <c r="W58" s="666" t="str">
        <f>IF(OR($A58="F&amp;F",$G58=""),"",IF(W$8&gt;$G58,IF(OR(status1B5!X58=1,status1B5!X58=2,'BOULEVARD 5'!Z56&gt;0),"Pagado","impago"),""))</f>
        <v>Pagado</v>
      </c>
      <c r="X58" s="666" t="str">
        <f>IF(OR($A58="F&amp;F",$G58=""),"",IF(X$8&gt;$G58,IF(OR(status1B5!Y58=1,status1B5!Y58=2,'BOULEVARD 5'!AA56&gt;0),"Pagado","impago"),""))</f>
        <v>Pagado</v>
      </c>
      <c r="Y58" s="666" t="str">
        <f>IF(OR($A58="F&amp;F",$G58=""),"",IF(Y$8&gt;$G58,IF(OR(status1B5!Z58=1,status1B5!Z58=2,'BOULEVARD 5'!AB56&gt;0),"Pagado","impago"),""))</f>
        <v>Pagado</v>
      </c>
      <c r="Z58" s="666" t="str">
        <f>IF(OR($A58="F&amp;F",$G58=""),"",IF(Z$8&gt;$G58,IF(OR(status1B5!AA58=1,status1B5!AA58=2,'BOULEVARD 5'!AC56&gt;0),"Pagado","impago"),""))</f>
        <v>Pagado</v>
      </c>
      <c r="AA58" s="666" t="str">
        <f>IF(OR($A58="F&amp;F",$G58=""),"",IF(AA$8&gt;$G58,IF(OR(status1B5!AB58=1,status1B5!AB58=2,'BOULEVARD 5'!AD56&gt;0),"Pagado","impago"),""))</f>
        <v>Pagado</v>
      </c>
      <c r="AB58" s="666" t="str">
        <f>IF(OR($A58="F&amp;F",$G58=""),"",IF(AB$8&gt;$G58,IF(OR(status1B5!AC58=1,status1B5!AC58=2,'BOULEVARD 5'!AE56&gt;0),"Pagado","impago"),""))</f>
        <v>Pagado</v>
      </c>
      <c r="AC58" s="666" t="str">
        <f>IF(OR($A58="F&amp;F",$G58=""),"",IF(AC$8&gt;$G58,IF(OR(status1B5!AD58=1,status1B5!AD58=2,'BOULEVARD 5'!AF56&gt;0),"Pagado","impago"),""))</f>
        <v>Pagado</v>
      </c>
      <c r="AD58" s="666" t="str">
        <f>IF(OR($A58="F&amp;F",$G58=""),"",IF(AD$8&gt;$G58,IF(OR(status1B5!AE58=1,status1B5!AE58=2,'BOULEVARD 5'!AG56&gt;0),"Pagado","impago"),""))</f>
        <v>Pagado</v>
      </c>
      <c r="AE58" s="666" t="str">
        <f>IF(OR($A58="F&amp;F",$G58=""),"",IF(AE$8&gt;$G58,IF(OR(status1B5!AF58=1,status1B5!AF58=2,'BOULEVARD 5'!AH56&gt;0),"Pagado","impago"),""))</f>
        <v>Pagado</v>
      </c>
      <c r="AF58" s="666" t="str">
        <f>IF(OR($A58="F&amp;F",$G58=""),"",IF(AF$8&gt;$G58,IF(OR(status1B5!AG58=1,status1B5!AG58=2,'BOULEVARD 5'!AI56&gt;0),"Pagado","impago"),""))</f>
        <v>Pagado</v>
      </c>
      <c r="AG58" s="666" t="str">
        <f>IF(OR($A58="F&amp;F",$G58=""),"",IF(AG$8&gt;$G58,IF(OR(status1B5!AH58=1,status1B5!AH58=2,'BOULEVARD 5'!AJ56&gt;0),"Pagado","impago"),""))</f>
        <v>Pagado</v>
      </c>
      <c r="AH58" s="666" t="str">
        <f>IF(OR($A58="F&amp;F",$G58=""),"",IF(AH$8&gt;$G58,IF(OR(status1B5!AI58=1,status1B5!AI58=2,'BOULEVARD 5'!AK56&gt;0),"Pagado","impago"),""))</f>
        <v>Pagado</v>
      </c>
      <c r="AI58" s="666" t="str">
        <f>IF(OR($A58="F&amp;F",$G58=""),"",IF(AI$8&gt;$G58,IF(OR(status1B5!AJ58=1,status1B5!AJ58=2,'BOULEVARD 5'!AL56&gt;0),"Pagado","impago"),""))</f>
        <v>Pagado</v>
      </c>
      <c r="AJ58" s="666" t="str">
        <f>IF(OR($A58="F&amp;F",$G58=""),"",IF(AJ$8&gt;$G58,IF(OR(status1B5!AK58=1,status1B5!AK58=2,'BOULEVARD 5'!AM56&gt;0),"Pagado","impago"),""))</f>
        <v>Pagado</v>
      </c>
      <c r="AK58" s="666" t="str">
        <f>IF(OR($A58="F&amp;F",$G58=""),"",IF(AK$8&gt;$G58,IF(OR(status1B5!AL58=1,status1B5!AL58=2,'BOULEVARD 5'!AN56&gt;0),"Pagado","impago"),""))</f>
        <v>Pagado</v>
      </c>
      <c r="AL58" s="666" t="str">
        <f>IF(OR($A58="F&amp;F",$G58=""),"",IF(AL$8&gt;$G58,IF(OR(status1B5!AM58=1,status1B5!AM58=2,'BOULEVARD 5'!AO56&gt;0),"Pagado","impago"),""))</f>
        <v>Pagado</v>
      </c>
      <c r="AM58" s="666" t="str">
        <f>IF(OR($A58="F&amp;F",$G58=""),"",IF(AM$8&gt;$G58,IF(OR(status1B5!AN58=1,status1B5!AN58=2,'BOULEVARD 5'!AP56&gt;0),"Pagado","impago"),""))</f>
        <v>Pagado</v>
      </c>
      <c r="AN58" s="666" t="str">
        <f>IF(OR($A58="F&amp;F",$G58=""),"",IF(AN$8&gt;$G58,IF(OR(status1B5!AO58=1,status1B5!AO58=2,'BOULEVARD 5'!AQ56&gt;0),"Pagado","impago"),""))</f>
        <v>Pagado</v>
      </c>
      <c r="AO58" s="666" t="str">
        <f>IF(OR($A58="F&amp;F",$G58=""),"",IF(AO$8&gt;$G58,IF(OR(status1B5!AP58=1,status1B5!AP58=2,'BOULEVARD 5'!AS56&gt;0),"Pagado","impago"),""))</f>
        <v>Pagado</v>
      </c>
      <c r="AP58" s="429" t="str">
        <f t="shared" si="4"/>
        <v>Vendido</v>
      </c>
    </row>
    <row r="59" spans="1:42" s="429" customFormat="1" ht="13.9" customHeight="1" x14ac:dyDescent="0.25">
      <c r="A59" s="472"/>
      <c r="B59" s="436">
        <f>'BOULEVARD 5'!B57</f>
        <v>401</v>
      </c>
      <c r="C59" s="436" t="s">
        <v>355</v>
      </c>
      <c r="D59" s="436"/>
      <c r="E59" s="436" t="str">
        <f>IF('BOULEVARD 5'!E57="","",'BOULEVARD 5'!E57)</f>
        <v>Antonio Rada</v>
      </c>
      <c r="F59" s="429" t="str">
        <f>IF('BOULEVARD 5'!F57="","",'BOULEVARD 5'!F57)</f>
        <v>Sara Veronica Ortíz De León</v>
      </c>
      <c r="G59" s="473">
        <f>IF('BOULEVARD 5'!G57="","",'BOULEVARD 5'!G57)</f>
        <v>45320</v>
      </c>
      <c r="H59" s="666" t="str">
        <f>IF(OR($A59="F&amp;F",$G59=""),"",IF(H$8&gt;$G59,IF(OR(status1B5!I59=1,status1B5!I59=2,'BOULEVARD 5'!K57&gt;0),"Pagado","impago"),""))</f>
        <v/>
      </c>
      <c r="I59" s="666" t="str">
        <f>IF(OR($A59="F&amp;F",$G59=""),"",IF(I$8&gt;$G59,IF(OR(status1B5!J59=1,status1B5!J59=2,'BOULEVARD 5'!L57&gt;0),"Pagado","impago"),""))</f>
        <v/>
      </c>
      <c r="J59" s="666" t="str">
        <f>IF(OR($A59="F&amp;F",$G59=""),"",IF(J$8&gt;$G59,IF(OR(status1B5!K59=1,status1B5!K59=2,'BOULEVARD 5'!M57&gt;0),"Pagado","impago"),""))</f>
        <v/>
      </c>
      <c r="K59" s="666" t="str">
        <f>IF(OR($A59="F&amp;F",$G59=""),"",IF(K$8&gt;$G59,IF(OR(status1B5!L59=1,status1B5!L59=2,'BOULEVARD 5'!N57&gt;0),"Pagado","impago"),""))</f>
        <v/>
      </c>
      <c r="L59" s="666" t="str">
        <f>IF(OR($A59="F&amp;F",$G59=""),"",IF(L$8&gt;$G59,IF(OR(status1B5!M59=1,status1B5!M59=2,'BOULEVARD 5'!O57&gt;0),"Pagado","impago"),""))</f>
        <v/>
      </c>
      <c r="M59" s="666" t="str">
        <f>IF(OR($A59="F&amp;F",$G59=""),"",IF(M$8&gt;$G59,IF(OR(status1B5!N59=1,status1B5!N59=2,'BOULEVARD 5'!P57&gt;0),"Pagado","impago"),""))</f>
        <v/>
      </c>
      <c r="N59" s="666" t="str">
        <f>IF(OR($A59="F&amp;F",$G59=""),"",IF(N$8&gt;$G59,IF(OR(status1B5!O59=1,status1B5!O59=2,'BOULEVARD 5'!Q57&gt;0),"Pagado","impago"),""))</f>
        <v/>
      </c>
      <c r="O59" s="666" t="str">
        <f>IF(OR($A59="F&amp;F",$G59=""),"",IF(O$8&gt;$G59,IF(OR(status1B5!P59=1,status1B5!P59=2,'BOULEVARD 5'!R57&gt;0),"Pagado","impago"),""))</f>
        <v/>
      </c>
      <c r="P59" s="666" t="str">
        <f>IF(OR($A59="F&amp;F",$G59=""),"",IF(P$8&gt;$G59,IF(OR(status1B5!Q59=1,status1B5!Q59=2,'BOULEVARD 5'!S57&gt;0),"Pagado","impago"),""))</f>
        <v/>
      </c>
      <c r="Q59" s="666" t="str">
        <f>IF(OR($A59="F&amp;F",$G59=""),"",IF(Q$8&gt;$G59,IF(OR(status1B5!R59=1,status1B5!R59=2,'BOULEVARD 5'!T57&gt;0),"Pagado","impago"),""))</f>
        <v/>
      </c>
      <c r="R59" s="666" t="str">
        <f>IF(OR($A59="F&amp;F",$G59=""),"",IF(R$8&gt;$G59,IF(OR(status1B5!S59=1,status1B5!S59=2,'BOULEVARD 5'!U57&gt;0),"Pagado","impago"),""))</f>
        <v>Pagado</v>
      </c>
      <c r="S59" s="666" t="str">
        <f>IF(OR($A59="F&amp;F",$G59=""),"",IF(S$8&gt;$G59,IF(OR(status1B5!T59=1,status1B5!T59=2,'BOULEVARD 5'!V57&gt;0),"Pagado","impago"),""))</f>
        <v>Pagado</v>
      </c>
      <c r="T59" s="666" t="str">
        <f>IF(OR($A59="F&amp;F",$G59=""),"",IF(T$8&gt;$G59,IF(OR(status1B5!U59=1,status1B5!U59=2,'BOULEVARD 5'!W57&gt;0),"Pagado","impago"),""))</f>
        <v>Pagado</v>
      </c>
      <c r="U59" s="666" t="str">
        <f>IF(OR($A59="F&amp;F",$G59=""),"",IF(U$8&gt;$G59,IF(OR(status1B5!V59=1,status1B5!V59=2,'BOULEVARD 5'!X57&gt;0),"Pagado","impago"),""))</f>
        <v>Pagado</v>
      </c>
      <c r="V59" s="666" t="str">
        <f>IF(OR($A59="F&amp;F",$G59=""),"",IF(V$8&gt;$G59,IF(OR(status1B5!W59=1,status1B5!W59=2,'BOULEVARD 5'!Y57&gt;0),"Pagado","impago"),""))</f>
        <v>Pagado</v>
      </c>
      <c r="W59" s="666" t="str">
        <f>IF(OR($A59="F&amp;F",$G59=""),"",IF(W$8&gt;$G59,IF(OR(status1B5!X59=1,status1B5!X59=2,'BOULEVARD 5'!Z57&gt;0),"Pagado","impago"),""))</f>
        <v>Pagado</v>
      </c>
      <c r="X59" s="666" t="str">
        <f>IF(OR($A59="F&amp;F",$G59=""),"",IF(X$8&gt;$G59,IF(OR(status1B5!Y59=1,status1B5!Y59=2,'BOULEVARD 5'!AA57&gt;0),"Pagado","impago"),""))</f>
        <v>Pagado</v>
      </c>
      <c r="Y59" s="666" t="str">
        <f>IF(OR($A59="F&amp;F",$G59=""),"",IF(Y$8&gt;$G59,IF(OR(status1B5!Z59=1,status1B5!Z59=2,'BOULEVARD 5'!AB57&gt;0),"Pagado","impago"),""))</f>
        <v>Pagado</v>
      </c>
      <c r="Z59" s="666" t="str">
        <f>IF(OR($A59="F&amp;F",$G59=""),"",IF(Z$8&gt;$G59,IF(OR(status1B5!AA59=1,status1B5!AA59=2,'BOULEVARD 5'!AC57&gt;0),"Pagado","impago"),""))</f>
        <v>Pagado</v>
      </c>
      <c r="AA59" s="666" t="str">
        <f>IF(OR($A59="F&amp;F",$G59=""),"",IF(AA$8&gt;$G59,IF(OR(status1B5!AB59=1,status1B5!AB59=2,'BOULEVARD 5'!AD57&gt;0),"Pagado","impago"),""))</f>
        <v>Pagado</v>
      </c>
      <c r="AB59" s="666" t="str">
        <f>IF(OR($A59="F&amp;F",$G59=""),"",IF(AB$8&gt;$G59,IF(OR(status1B5!AC59=1,status1B5!AC59=2,'BOULEVARD 5'!AE57&gt;0),"Pagado","impago"),""))</f>
        <v>Pagado</v>
      </c>
      <c r="AC59" s="666" t="str">
        <f>IF(OR($A59="F&amp;F",$G59=""),"",IF(AC$8&gt;$G59,IF(OR(status1B5!AD59=1,status1B5!AD59=2,'BOULEVARD 5'!AF57&gt;0),"Pagado","impago"),""))</f>
        <v>Pagado</v>
      </c>
      <c r="AD59" s="666" t="str">
        <f>IF(OR($A59="F&amp;F",$G59=""),"",IF(AD$8&gt;$G59,IF(OR(status1B5!AE59=1,status1B5!AE59=2,'BOULEVARD 5'!AG57&gt;0),"Pagado","impago"),""))</f>
        <v>Pagado</v>
      </c>
      <c r="AE59" s="666" t="str">
        <f>IF(OR($A59="F&amp;F",$G59=""),"",IF(AE$8&gt;$G59,IF(OR(status1B5!AF59=1,status1B5!AF59=2,'BOULEVARD 5'!AH57&gt;0),"Pagado","impago"),""))</f>
        <v>Pagado</v>
      </c>
      <c r="AF59" s="666" t="str">
        <f>IF(OR($A59="F&amp;F",$G59=""),"",IF(AF$8&gt;$G59,IF(OR(status1B5!AG59=1,status1B5!AG59=2,'BOULEVARD 5'!AI57&gt;0),"Pagado","impago"),""))</f>
        <v>Pagado</v>
      </c>
      <c r="AG59" s="666" t="str">
        <f>IF(OR($A59="F&amp;F",$G59=""),"",IF(AG$8&gt;$G59,IF(OR(status1B5!AH59=1,status1B5!AH59=2,'BOULEVARD 5'!AJ57&gt;0),"Pagado","impago"),""))</f>
        <v>Pagado</v>
      </c>
      <c r="AH59" s="666" t="str">
        <f>IF(OR($A59="F&amp;F",$G59=""),"",IF(AH$8&gt;$G59,IF(OR(status1B5!AI59=1,status1B5!AI59=2,'BOULEVARD 5'!AK57&gt;0),"Pagado","impago"),""))</f>
        <v>Pagado</v>
      </c>
      <c r="AI59" s="666" t="str">
        <f>IF(OR($A59="F&amp;F",$G59=""),"",IF(AI$8&gt;$G59,IF(OR(status1B5!AJ59=1,status1B5!AJ59=2,'BOULEVARD 5'!AL57&gt;0),"Pagado","impago"),""))</f>
        <v>Pagado</v>
      </c>
      <c r="AJ59" s="666" t="str">
        <f>IF(OR($A59="F&amp;F",$G59=""),"",IF(AJ$8&gt;$G59,IF(OR(status1B5!AK59=1,status1B5!AK59=2,'BOULEVARD 5'!AM57&gt;0),"Pagado","impago"),""))</f>
        <v>Pagado</v>
      </c>
      <c r="AK59" s="666" t="str">
        <f>IF(OR($A59="F&amp;F",$G59=""),"",IF(AK$8&gt;$G59,IF(OR(status1B5!AL59=1,status1B5!AL59=2,'BOULEVARD 5'!AN57&gt;0),"Pagado","impago"),""))</f>
        <v>Pagado</v>
      </c>
      <c r="AL59" s="666" t="str">
        <f>IF(OR($A59="F&amp;F",$G59=""),"",IF(AL$8&gt;$G59,IF(OR(status1B5!AM59=1,status1B5!AM59=2,'BOULEVARD 5'!AO57&gt;0),"Pagado","impago"),""))</f>
        <v>Pagado</v>
      </c>
      <c r="AM59" s="666" t="str">
        <f>IF(OR($A59="F&amp;F",$G59=""),"",IF(AM$8&gt;$G59,IF(OR(status1B5!AN59=1,status1B5!AN59=2,'BOULEVARD 5'!AP57&gt;0),"Pagado","impago"),""))</f>
        <v>Pagado</v>
      </c>
      <c r="AN59" s="666" t="str">
        <f>IF(OR($A59="F&amp;F",$G59=""),"",IF(AN$8&gt;$G59,IF(OR(status1B5!AO59=1,status1B5!AO59=2,'BOULEVARD 5'!AQ57&gt;0),"Pagado","impago"),""))</f>
        <v>Pagado</v>
      </c>
      <c r="AO59" s="666" t="str">
        <f>IF(OR($A59="F&amp;F",$G59=""),"",IF(AO$8&gt;$G59,IF(OR(status1B5!AP59=1,status1B5!AP59=2,'BOULEVARD 5'!AS57&gt;0),"Pagado","impago"),""))</f>
        <v>Pagado</v>
      </c>
      <c r="AP59" s="429" t="str">
        <f t="shared" si="4"/>
        <v>Vendido</v>
      </c>
    </row>
    <row r="60" spans="1:42" s="429" customFormat="1" ht="13.9" customHeight="1" x14ac:dyDescent="0.25">
      <c r="A60" s="472"/>
      <c r="B60" s="436">
        <f>'BOULEVARD 5'!B58</f>
        <v>402</v>
      </c>
      <c r="C60" s="436" t="s">
        <v>355</v>
      </c>
      <c r="D60" s="436"/>
      <c r="E60" s="436" t="str">
        <f>IF('BOULEVARD 5'!E58="","",'BOULEVARD 5'!E58)</f>
        <v>Antonio Rada</v>
      </c>
      <c r="F60" s="429" t="str">
        <f>IF('BOULEVARD 5'!F58="","",'BOULEVARD 5'!F58)</f>
        <v>Guillermo Vinicio Cotto Mux</v>
      </c>
      <c r="G60" s="473">
        <f>IF('BOULEVARD 5'!G58="","",'BOULEVARD 5'!G58)</f>
        <v>45263</v>
      </c>
      <c r="H60" s="666" t="str">
        <f>IF(OR($A60="F&amp;F",$G60=""),"",IF(H$8&gt;$G60,IF(OR(status1B5!I60=1,status1B5!I60=2,'BOULEVARD 5'!K58&gt;0),"Pagado","impago"),""))</f>
        <v/>
      </c>
      <c r="I60" s="666" t="str">
        <f>IF(OR($A60="F&amp;F",$G60=""),"",IF(I$8&gt;$G60,IF(OR(status1B5!J60=1,status1B5!J60=2,'BOULEVARD 5'!L58&gt;0),"Pagado","impago"),""))</f>
        <v/>
      </c>
      <c r="J60" s="666" t="str">
        <f>IF(OR($A60="F&amp;F",$G60=""),"",IF(J$8&gt;$G60,IF(OR(status1B5!K60=1,status1B5!K60=2,'BOULEVARD 5'!M58&gt;0),"Pagado","impago"),""))</f>
        <v/>
      </c>
      <c r="K60" s="666" t="str">
        <f>IF(OR($A60="F&amp;F",$G60=""),"",IF(K$8&gt;$G60,IF(OR(status1B5!L60=1,status1B5!L60=2,'BOULEVARD 5'!N58&gt;0),"Pagado","impago"),""))</f>
        <v/>
      </c>
      <c r="L60" s="666" t="str">
        <f>IF(OR($A60="F&amp;F",$G60=""),"",IF(L$8&gt;$G60,IF(OR(status1B5!M60=1,status1B5!M60=2,'BOULEVARD 5'!O58&gt;0),"Pagado","impago"),""))</f>
        <v/>
      </c>
      <c r="M60" s="666" t="str">
        <f>IF(OR($A60="F&amp;F",$G60=""),"",IF(M$8&gt;$G60,IF(OR(status1B5!N60=1,status1B5!N60=2,'BOULEVARD 5'!P58&gt;0),"Pagado","impago"),""))</f>
        <v/>
      </c>
      <c r="N60" s="666" t="str">
        <f>IF(OR($A60="F&amp;F",$G60=""),"",IF(N$8&gt;$G60,IF(OR(status1B5!O60=1,status1B5!O60=2,'BOULEVARD 5'!Q58&gt;0),"Pagado","impago"),""))</f>
        <v/>
      </c>
      <c r="O60" s="666" t="str">
        <f>IF(OR($A60="F&amp;F",$G60=""),"",IF(O$8&gt;$G60,IF(OR(status1B5!P60=1,status1B5!P60=2,'BOULEVARD 5'!R58&gt;0),"Pagado","impago"),""))</f>
        <v/>
      </c>
      <c r="P60" s="666" t="str">
        <f>IF(OR($A60="F&amp;F",$G60=""),"",IF(P$8&gt;$G60,IF(OR(status1B5!Q60=1,status1B5!Q60=2,'BOULEVARD 5'!S58&gt;0),"Pagado","impago"),""))</f>
        <v/>
      </c>
      <c r="Q60" s="666" t="str">
        <f>IF(OR($A60="F&amp;F",$G60=""),"",IF(Q$8&gt;$G60,IF(OR(status1B5!R60=1,status1B5!R60=2,'BOULEVARD 5'!T58&gt;0),"Pagado","impago"),""))</f>
        <v>Pagado</v>
      </c>
      <c r="R60" s="666" t="str">
        <f>IF(OR($A60="F&amp;F",$G60=""),"",IF(R$8&gt;$G60,IF(OR(status1B5!S60=1,status1B5!S60=2,'BOULEVARD 5'!U58&gt;0),"Pagado","impago"),""))</f>
        <v>Pagado</v>
      </c>
      <c r="S60" s="666" t="str">
        <f>IF(OR($A60="F&amp;F",$G60=""),"",IF(S$8&gt;$G60,IF(OR(status1B5!T60=1,status1B5!T60=2,'BOULEVARD 5'!V58&gt;0),"Pagado","impago"),""))</f>
        <v>Pagado</v>
      </c>
      <c r="T60" s="666" t="str">
        <f>IF(OR($A60="F&amp;F",$G60=""),"",IF(T$8&gt;$G60,IF(OR(status1B5!U60=1,status1B5!U60=2,'BOULEVARD 5'!W58&gt;0),"Pagado","impago"),""))</f>
        <v>Pagado</v>
      </c>
      <c r="U60" s="666" t="str">
        <f>IF(OR($A60="F&amp;F",$G60=""),"",IF(U$8&gt;$G60,IF(OR(status1B5!V60=1,status1B5!V60=2,'BOULEVARD 5'!X58&gt;0),"Pagado","impago"),""))</f>
        <v>Pagado</v>
      </c>
      <c r="V60" s="666" t="str">
        <f>IF(OR($A60="F&amp;F",$G60=""),"",IF(V$8&gt;$G60,IF(OR(status1B5!W60=1,status1B5!W60=2,'BOULEVARD 5'!Y58&gt;0),"Pagado","impago"),""))</f>
        <v>Pagado</v>
      </c>
      <c r="W60" s="666" t="str">
        <f>IF(OR($A60="F&amp;F",$G60=""),"",IF(W$8&gt;$G60,IF(OR(status1B5!X60=1,status1B5!X60=2,'BOULEVARD 5'!Z58&gt;0),"Pagado","impago"),""))</f>
        <v>Pagado</v>
      </c>
      <c r="X60" s="666" t="str">
        <f>IF(OR($A60="F&amp;F",$G60=""),"",IF(X$8&gt;$G60,IF(OR(status1B5!Y60=1,status1B5!Y60=2,'BOULEVARD 5'!AA58&gt;0),"Pagado","impago"),""))</f>
        <v>Pagado</v>
      </c>
      <c r="Y60" s="666" t="str">
        <f>IF(OR($A60="F&amp;F",$G60=""),"",IF(Y$8&gt;$G60,IF(OR(status1B5!Z60=1,status1B5!Z60=2,'BOULEVARD 5'!AB58&gt;0),"Pagado","impago"),""))</f>
        <v>Pagado</v>
      </c>
      <c r="Z60" s="666" t="str">
        <f>IF(OR($A60="F&amp;F",$G60=""),"",IF(Z$8&gt;$G60,IF(OR(status1B5!AA60=1,status1B5!AA60=2,'BOULEVARD 5'!AC58&gt;0),"Pagado","impago"),""))</f>
        <v>Pagado</v>
      </c>
      <c r="AA60" s="666" t="str">
        <f>IF(OR($A60="F&amp;F",$G60=""),"",IF(AA$8&gt;$G60,IF(OR(status1B5!AB60=1,status1B5!AB60=2,'BOULEVARD 5'!AD58&gt;0),"Pagado","impago"),""))</f>
        <v>Pagado</v>
      </c>
      <c r="AB60" s="666" t="str">
        <f>IF(OR($A60="F&amp;F",$G60=""),"",IF(AB$8&gt;$G60,IF(OR(status1B5!AC60=1,status1B5!AC60=2,'BOULEVARD 5'!AE58&gt;0),"Pagado","impago"),""))</f>
        <v>Pagado</v>
      </c>
      <c r="AC60" s="666" t="str">
        <f>IF(OR($A60="F&amp;F",$G60=""),"",IF(AC$8&gt;$G60,IF(OR(status1B5!AD60=1,status1B5!AD60=2,'BOULEVARD 5'!AF58&gt;0),"Pagado","impago"),""))</f>
        <v>Pagado</v>
      </c>
      <c r="AD60" s="666" t="str">
        <f>IF(OR($A60="F&amp;F",$G60=""),"",IF(AD$8&gt;$G60,IF(OR(status1B5!AE60=1,status1B5!AE60=2,'BOULEVARD 5'!AG58&gt;0),"Pagado","impago"),""))</f>
        <v>Pagado</v>
      </c>
      <c r="AE60" s="666" t="str">
        <f>IF(OR($A60="F&amp;F",$G60=""),"",IF(AE$8&gt;$G60,IF(OR(status1B5!AF60=1,status1B5!AF60=2,'BOULEVARD 5'!AH58&gt;0),"Pagado","impago"),""))</f>
        <v>Pagado</v>
      </c>
      <c r="AF60" s="666" t="str">
        <f>IF(OR($A60="F&amp;F",$G60=""),"",IF(AF$8&gt;$G60,IF(OR(status1B5!AG60=1,status1B5!AG60=2,'BOULEVARD 5'!AI58&gt;0),"Pagado","impago"),""))</f>
        <v>Pagado</v>
      </c>
      <c r="AG60" s="666" t="str">
        <f>IF(OR($A60="F&amp;F",$G60=""),"",IF(AG$8&gt;$G60,IF(OR(status1B5!AH60=1,status1B5!AH60=2,'BOULEVARD 5'!AJ58&gt;0),"Pagado","impago"),""))</f>
        <v>Pagado</v>
      </c>
      <c r="AH60" s="666" t="str">
        <f>IF(OR($A60="F&amp;F",$G60=""),"",IF(AH$8&gt;$G60,IF(OR(status1B5!AI60=1,status1B5!AI60=2,'BOULEVARD 5'!AK58&gt;0),"Pagado","impago"),""))</f>
        <v>Pagado</v>
      </c>
      <c r="AI60" s="666" t="str">
        <f>IF(OR($A60="F&amp;F",$G60=""),"",IF(AI$8&gt;$G60,IF(OR(status1B5!AJ60=1,status1B5!AJ60=2,'BOULEVARD 5'!AL58&gt;0),"Pagado","impago"),""))</f>
        <v>Pagado</v>
      </c>
      <c r="AJ60" s="666" t="str">
        <f>IF(OR($A60="F&amp;F",$G60=""),"",IF(AJ$8&gt;$G60,IF(OR(status1B5!AK60=1,status1B5!AK60=2,'BOULEVARD 5'!AM58&gt;0),"Pagado","impago"),""))</f>
        <v>Pagado</v>
      </c>
      <c r="AK60" s="666" t="str">
        <f>IF(OR($A60="F&amp;F",$G60=""),"",IF(AK$8&gt;$G60,IF(OR(status1B5!AL60=1,status1B5!AL60=2,'BOULEVARD 5'!AN58&gt;0),"Pagado","impago"),""))</f>
        <v>Pagado</v>
      </c>
      <c r="AL60" s="666" t="str">
        <f>IF(OR($A60="F&amp;F",$G60=""),"",IF(AL$8&gt;$G60,IF(OR(status1B5!AM60=1,status1B5!AM60=2,'BOULEVARD 5'!AO58&gt;0),"Pagado","impago"),""))</f>
        <v>Pagado</v>
      </c>
      <c r="AM60" s="666" t="str">
        <f>IF(OR($A60="F&amp;F",$G60=""),"",IF(AM$8&gt;$G60,IF(OR(status1B5!AN60=1,status1B5!AN60=2,'BOULEVARD 5'!AP58&gt;0),"Pagado","impago"),""))</f>
        <v>Pagado</v>
      </c>
      <c r="AN60" s="666" t="str">
        <f>IF(OR($A60="F&amp;F",$G60=""),"",IF(AN$8&gt;$G60,IF(OR(status1B5!AO60=1,status1B5!AO60=2,'BOULEVARD 5'!AQ58&gt;0),"Pagado","impago"),""))</f>
        <v>Pagado</v>
      </c>
      <c r="AO60" s="666" t="str">
        <f>IF(OR($A60="F&amp;F",$G60=""),"",IF(AO$8&gt;$G60,IF(OR(status1B5!AP60=1,status1B5!AP60=2,'BOULEVARD 5'!AS58&gt;0),"Pagado","impago"),""))</f>
        <v>Pagado</v>
      </c>
      <c r="AP60" s="429" t="str">
        <f t="shared" si="4"/>
        <v>Vendido</v>
      </c>
    </row>
    <row r="61" spans="1:42" s="429" customFormat="1" ht="13.9" customHeight="1" x14ac:dyDescent="0.25">
      <c r="A61" s="472"/>
      <c r="B61" s="436">
        <f>'BOULEVARD 5'!B59</f>
        <v>403</v>
      </c>
      <c r="C61" s="436" t="s">
        <v>355</v>
      </c>
      <c r="D61" s="436"/>
      <c r="E61" s="436" t="str">
        <f>IF('BOULEVARD 5'!E59="","",'BOULEVARD 5'!E59)</f>
        <v>Antonio Rada</v>
      </c>
      <c r="F61" s="429" t="str">
        <f>IF('BOULEVARD 5'!F59="","",'BOULEVARD 5'!F59)</f>
        <v>Denis Estuardo Mazariegos Fuentes</v>
      </c>
      <c r="G61" s="473">
        <f>IF('BOULEVARD 5'!G59="","",'BOULEVARD 5'!G59)</f>
        <v>45158</v>
      </c>
      <c r="H61" s="666" t="str">
        <f>IF(OR($A61="F&amp;F",$G61=""),"",IF(H$8&gt;$G61,IF(OR(status1B5!I61=1,status1B5!I61=2,'BOULEVARD 5'!K59&gt;0),"Pagado","impago"),""))</f>
        <v/>
      </c>
      <c r="I61" s="666" t="str">
        <f>IF(OR($A61="F&amp;F",$G61=""),"",IF(I$8&gt;$G61,IF(OR(status1B5!J61=1,status1B5!J61=2,'BOULEVARD 5'!L59&gt;0),"Pagado","impago"),""))</f>
        <v/>
      </c>
      <c r="J61" s="666" t="str">
        <f>IF(OR($A61="F&amp;F",$G61=""),"",IF(J$8&gt;$G61,IF(OR(status1B5!K61=1,status1B5!K61=2,'BOULEVARD 5'!M59&gt;0),"Pagado","impago"),""))</f>
        <v/>
      </c>
      <c r="K61" s="666" t="str">
        <f>IF(OR($A61="F&amp;F",$G61=""),"",IF(K$8&gt;$G61,IF(OR(status1B5!L61=1,status1B5!L61=2,'BOULEVARD 5'!N59&gt;0),"Pagado","impago"),""))</f>
        <v/>
      </c>
      <c r="L61" s="666" t="str">
        <f>IF(OR($A61="F&amp;F",$G61=""),"",IF(L$8&gt;$G61,IF(OR(status1B5!M61=1,status1B5!M61=2,'BOULEVARD 5'!O59&gt;0),"Pagado","impago"),""))</f>
        <v/>
      </c>
      <c r="M61" s="666" t="str">
        <f>IF(OR($A61="F&amp;F",$G61=""),"",IF(M$8&gt;$G61,IF(OR(status1B5!N61=1,status1B5!N61=2,'BOULEVARD 5'!P59&gt;0),"Pagado","impago"),""))</f>
        <v>Pagado</v>
      </c>
      <c r="N61" s="666" t="str">
        <f>IF(OR($A61="F&amp;F",$G61=""),"",IF(N$8&gt;$G61,IF(OR(status1B5!O61=1,status1B5!O61=2,'BOULEVARD 5'!Q59&gt;0),"Pagado","impago"),""))</f>
        <v>Pagado</v>
      </c>
      <c r="O61" s="666" t="str">
        <f>IF(OR($A61="F&amp;F",$G61=""),"",IF(O$8&gt;$G61,IF(OR(status1B5!P61=1,status1B5!P61=2,'BOULEVARD 5'!R59&gt;0),"Pagado","impago"),""))</f>
        <v>Pagado</v>
      </c>
      <c r="P61" s="666" t="str">
        <f>IF(OR($A61="F&amp;F",$G61=""),"",IF(P$8&gt;$G61,IF(OR(status1B5!Q61=1,status1B5!Q61=2,'BOULEVARD 5'!S59&gt;0),"Pagado","impago"),""))</f>
        <v>Pagado</v>
      </c>
      <c r="Q61" s="666" t="str">
        <f>IF(OR($A61="F&amp;F",$G61=""),"",IF(Q$8&gt;$G61,IF(OR(status1B5!R61=1,status1B5!R61=2,'BOULEVARD 5'!T59&gt;0),"Pagado","impago"),""))</f>
        <v>Pagado</v>
      </c>
      <c r="R61" s="666" t="str">
        <f>IF(OR($A61="F&amp;F",$G61=""),"",IF(R$8&gt;$G61,IF(OR(status1B5!S61=1,status1B5!S61=2,'BOULEVARD 5'!U59&gt;0),"Pagado","impago"),""))</f>
        <v>Pagado</v>
      </c>
      <c r="S61" s="666" t="str">
        <f>IF(OR($A61="F&amp;F",$G61=""),"",IF(S$8&gt;$G61,IF(OR(status1B5!T61=1,status1B5!T61=2,'BOULEVARD 5'!V59&gt;0),"Pagado","impago"),""))</f>
        <v>Pagado</v>
      </c>
      <c r="T61" s="666" t="str">
        <f>IF(OR($A61="F&amp;F",$G61=""),"",IF(T$8&gt;$G61,IF(OR(status1B5!U61=1,status1B5!U61=2,'BOULEVARD 5'!W59&gt;0),"Pagado","impago"),""))</f>
        <v>Pagado</v>
      </c>
      <c r="U61" s="666" t="str">
        <f>IF(OR($A61="F&amp;F",$G61=""),"",IF(U$8&gt;$G61,IF(OR(status1B5!V61=1,status1B5!V61=2,'BOULEVARD 5'!X59&gt;0),"Pagado","impago"),""))</f>
        <v>Pagado</v>
      </c>
      <c r="V61" s="666" t="str">
        <f>IF(OR($A61="F&amp;F",$G61=""),"",IF(V$8&gt;$G61,IF(OR(status1B5!W61=1,status1B5!W61=2,'BOULEVARD 5'!Y59&gt;0),"Pagado","impago"),""))</f>
        <v>Pagado</v>
      </c>
      <c r="W61" s="666" t="str">
        <f>IF(OR($A61="F&amp;F",$G61=""),"",IF(W$8&gt;$G61,IF(OR(status1B5!X61=1,status1B5!X61=2,'BOULEVARD 5'!Z59&gt;0),"Pagado","impago"),""))</f>
        <v>Pagado</v>
      </c>
      <c r="X61" s="666" t="str">
        <f>IF(OR($A61="F&amp;F",$G61=""),"",IF(X$8&gt;$G61,IF(OR(status1B5!Y61=1,status1B5!Y61=2,'BOULEVARD 5'!AA59&gt;0),"Pagado","impago"),""))</f>
        <v>Pagado</v>
      </c>
      <c r="Y61" s="666" t="str">
        <f>IF(OR($A61="F&amp;F",$G61=""),"",IF(Y$8&gt;$G61,IF(OR(status1B5!Z61=1,status1B5!Z61=2,'BOULEVARD 5'!AB59&gt;0),"Pagado","impago"),""))</f>
        <v>Pagado</v>
      </c>
      <c r="Z61" s="666" t="str">
        <f>IF(OR($A61="F&amp;F",$G61=""),"",IF(Z$8&gt;$G61,IF(OR(status1B5!AA61=1,status1B5!AA61=2,'BOULEVARD 5'!AC59&gt;0),"Pagado","impago"),""))</f>
        <v>Pagado</v>
      </c>
      <c r="AA61" s="666" t="str">
        <f>IF(OR($A61="F&amp;F",$G61=""),"",IF(AA$8&gt;$G61,IF(OR(status1B5!AB61=1,status1B5!AB61=2,'BOULEVARD 5'!AD59&gt;0),"Pagado","impago"),""))</f>
        <v>Pagado</v>
      </c>
      <c r="AB61" s="666" t="str">
        <f>IF(OR($A61="F&amp;F",$G61=""),"",IF(AB$8&gt;$G61,IF(OR(status1B5!AC61=1,status1B5!AC61=2,'BOULEVARD 5'!AE59&gt;0),"Pagado","impago"),""))</f>
        <v>Pagado</v>
      </c>
      <c r="AC61" s="666" t="str">
        <f>IF(OR($A61="F&amp;F",$G61=""),"",IF(AC$8&gt;$G61,IF(OR(status1B5!AD61=1,status1B5!AD61=2,'BOULEVARD 5'!AF59&gt;0),"Pagado","impago"),""))</f>
        <v>Pagado</v>
      </c>
      <c r="AD61" s="666" t="str">
        <f>IF(OR($A61="F&amp;F",$G61=""),"",IF(AD$8&gt;$G61,IF(OR(status1B5!AE61=1,status1B5!AE61=2,'BOULEVARD 5'!AG59&gt;0),"Pagado","impago"),""))</f>
        <v>Pagado</v>
      </c>
      <c r="AE61" s="666" t="str">
        <f>IF(OR($A61="F&amp;F",$G61=""),"",IF(AE$8&gt;$G61,IF(OR(status1B5!AF61=1,status1B5!AF61=2,'BOULEVARD 5'!AH59&gt;0),"Pagado","impago"),""))</f>
        <v>Pagado</v>
      </c>
      <c r="AF61" s="666" t="str">
        <f>IF(OR($A61="F&amp;F",$G61=""),"",IF(AF$8&gt;$G61,IF(OR(status1B5!AG61=1,status1B5!AG61=2,'BOULEVARD 5'!AI59&gt;0),"Pagado","impago"),""))</f>
        <v>Pagado</v>
      </c>
      <c r="AG61" s="666" t="str">
        <f>IF(OR($A61="F&amp;F",$G61=""),"",IF(AG$8&gt;$G61,IF(OR(status1B5!AH61=1,status1B5!AH61=2,'BOULEVARD 5'!AJ59&gt;0),"Pagado","impago"),""))</f>
        <v>Pagado</v>
      </c>
      <c r="AH61" s="666" t="str">
        <f>IF(OR($A61="F&amp;F",$G61=""),"",IF(AH$8&gt;$G61,IF(OR(status1B5!AI61=1,status1B5!AI61=2,'BOULEVARD 5'!AK59&gt;0),"Pagado","impago"),""))</f>
        <v>Pagado</v>
      </c>
      <c r="AI61" s="666" t="str">
        <f>IF(OR($A61="F&amp;F",$G61=""),"",IF(AI$8&gt;$G61,IF(OR(status1B5!AJ61=1,status1B5!AJ61=2,'BOULEVARD 5'!AL59&gt;0),"Pagado","impago"),""))</f>
        <v>Pagado</v>
      </c>
      <c r="AJ61" s="666" t="str">
        <f>IF(OR($A61="F&amp;F",$G61=""),"",IF(AJ$8&gt;$G61,IF(OR(status1B5!AK61=1,status1B5!AK61=2,'BOULEVARD 5'!AM59&gt;0),"Pagado","impago"),""))</f>
        <v>Pagado</v>
      </c>
      <c r="AK61" s="666" t="str">
        <f>IF(OR($A61="F&amp;F",$G61=""),"",IF(AK$8&gt;$G61,IF(OR(status1B5!AL61=1,status1B5!AL61=2,'BOULEVARD 5'!AN59&gt;0),"Pagado","impago"),""))</f>
        <v>Pagado</v>
      </c>
      <c r="AL61" s="666" t="str">
        <f>IF(OR($A61="F&amp;F",$G61=""),"",IF(AL$8&gt;$G61,IF(OR(status1B5!AM61=1,status1B5!AM61=2,'BOULEVARD 5'!AO59&gt;0),"Pagado","impago"),""))</f>
        <v>Pagado</v>
      </c>
      <c r="AM61" s="666" t="str">
        <f>IF(OR($A61="F&amp;F",$G61=""),"",IF(AM$8&gt;$G61,IF(OR(status1B5!AN61=1,status1B5!AN61=2,'BOULEVARD 5'!AP59&gt;0),"Pagado","impago"),""))</f>
        <v>Pagado</v>
      </c>
      <c r="AN61" s="666" t="str">
        <f>IF(OR($A61="F&amp;F",$G61=""),"",IF(AN$8&gt;$G61,IF(OR(status1B5!AO61=1,status1B5!AO61=2,'BOULEVARD 5'!AQ59&gt;0),"Pagado","impago"),""))</f>
        <v>Pagado</v>
      </c>
      <c r="AO61" s="666" t="str">
        <f>IF(OR($A61="F&amp;F",$G61=""),"",IF(AO$8&gt;$G61,IF(OR(status1B5!AP61=1,status1B5!AP61=2,'BOULEVARD 5'!AS59&gt;0),"Pagado","impago"),""))</f>
        <v>Pagado</v>
      </c>
      <c r="AP61" s="429" t="str">
        <f t="shared" si="4"/>
        <v>Vendido</v>
      </c>
    </row>
    <row r="62" spans="1:42" s="429" customFormat="1" ht="13.9" customHeight="1" x14ac:dyDescent="0.25">
      <c r="A62" s="472"/>
      <c r="B62" s="436">
        <f>'BOULEVARD 5'!B60</f>
        <v>404</v>
      </c>
      <c r="C62" s="436" t="s">
        <v>355</v>
      </c>
      <c r="D62" s="436"/>
      <c r="E62" s="436" t="str">
        <f>IF('BOULEVARD 5'!E60="","",'BOULEVARD 5'!E60)</f>
        <v>Brenda Búcaro</v>
      </c>
      <c r="F62" s="429" t="str">
        <f>IF('BOULEVARD 5'!F60="","",'BOULEVARD 5'!F60)</f>
        <v>Gerson Andre Villatoro Urizar</v>
      </c>
      <c r="G62" s="473">
        <f>IF('BOULEVARD 5'!G60="","",'BOULEVARD 5'!G60)</f>
        <v>45230</v>
      </c>
      <c r="H62" s="666" t="str">
        <f>IF(OR($A62="F&amp;F",$G62=""),"",IF(H$8&gt;$G62,IF(OR(status1B5!I62=1,status1B5!I62=2,'BOULEVARD 5'!K60&gt;0),"Pagado","impago"),""))</f>
        <v/>
      </c>
      <c r="I62" s="666" t="str">
        <f>IF(OR($A62="F&amp;F",$G62=""),"",IF(I$8&gt;$G62,IF(OR(status1B5!J62=1,status1B5!J62=2,'BOULEVARD 5'!L60&gt;0),"Pagado","impago"),""))</f>
        <v/>
      </c>
      <c r="J62" s="666" t="str">
        <f>IF(OR($A62="F&amp;F",$G62=""),"",IF(J$8&gt;$G62,IF(OR(status1B5!K62=1,status1B5!K62=2,'BOULEVARD 5'!M60&gt;0),"Pagado","impago"),""))</f>
        <v/>
      </c>
      <c r="K62" s="666" t="str">
        <f>IF(OR($A62="F&amp;F",$G62=""),"",IF(K$8&gt;$G62,IF(OR(status1B5!L62=1,status1B5!L62=2,'BOULEVARD 5'!N60&gt;0),"Pagado","impago"),""))</f>
        <v/>
      </c>
      <c r="L62" s="666" t="str">
        <f>IF(OR($A62="F&amp;F",$G62=""),"",IF(L$8&gt;$G62,IF(OR(status1B5!M62=1,status1B5!M62=2,'BOULEVARD 5'!O60&gt;0),"Pagado","impago"),""))</f>
        <v/>
      </c>
      <c r="M62" s="666" t="str">
        <f>IF(OR($A62="F&amp;F",$G62=""),"",IF(M$8&gt;$G62,IF(OR(status1B5!N62=1,status1B5!N62=2,'BOULEVARD 5'!P60&gt;0),"Pagado","impago"),""))</f>
        <v/>
      </c>
      <c r="N62" s="666" t="str">
        <f>IF(OR($A62="F&amp;F",$G62=""),"",IF(N$8&gt;$G62,IF(OR(status1B5!O62=1,status1B5!O62=2,'BOULEVARD 5'!Q60&gt;0),"Pagado","impago"),""))</f>
        <v/>
      </c>
      <c r="O62" s="666" t="str">
        <f>IF(OR($A62="F&amp;F",$G62=""),"",IF(O$8&gt;$G62,IF(OR(status1B5!P62=1,status1B5!P62=2,'BOULEVARD 5'!R60&gt;0),"Pagado","impago"),""))</f>
        <v/>
      </c>
      <c r="P62" s="666" t="str">
        <f>IF(OR($A62="F&amp;F",$G62=""),"",IF(P$8&gt;$G62,IF(OR(status1B5!Q62=1,status1B5!Q62=2,'BOULEVARD 5'!S60&gt;0),"Pagado","impago"),""))</f>
        <v>Pagado</v>
      </c>
      <c r="Q62" s="666" t="str">
        <f>IF(OR($A62="F&amp;F",$G62=""),"",IF(Q$8&gt;$G62,IF(OR(status1B5!R62=1,status1B5!R62=2,'BOULEVARD 5'!T60&gt;0),"Pagado","impago"),""))</f>
        <v>Pagado</v>
      </c>
      <c r="R62" s="666" t="str">
        <f>IF(OR($A62="F&amp;F",$G62=""),"",IF(R$8&gt;$G62,IF(OR(status1B5!S62=1,status1B5!S62=2,'BOULEVARD 5'!U60&gt;0),"Pagado","impago"),""))</f>
        <v>Pagado</v>
      </c>
      <c r="S62" s="666" t="str">
        <f>IF(OR($A62="F&amp;F",$G62=""),"",IF(S$8&gt;$G62,IF(OR(status1B5!T62=1,status1B5!T62=2,'BOULEVARD 5'!V60&gt;0),"Pagado","impago"),""))</f>
        <v>Pagado</v>
      </c>
      <c r="T62" s="666" t="str">
        <f>IF(OR($A62="F&amp;F",$G62=""),"",IF(T$8&gt;$G62,IF(OR(status1B5!U62=1,status1B5!U62=2,'BOULEVARD 5'!W60&gt;0),"Pagado","impago"),""))</f>
        <v>Pagado</v>
      </c>
      <c r="U62" s="666" t="str">
        <f>IF(OR($A62="F&amp;F",$G62=""),"",IF(U$8&gt;$G62,IF(OR(status1B5!V62=1,status1B5!V62=2,'BOULEVARD 5'!X60&gt;0),"Pagado","impago"),""))</f>
        <v>Pagado</v>
      </c>
      <c r="V62" s="666" t="str">
        <f>IF(OR($A62="F&amp;F",$G62=""),"",IF(V$8&gt;$G62,IF(OR(status1B5!W62=1,status1B5!W62=2,'BOULEVARD 5'!Y60&gt;0),"Pagado","impago"),""))</f>
        <v>Pagado</v>
      </c>
      <c r="W62" s="666" t="str">
        <f>IF(OR($A62="F&amp;F",$G62=""),"",IF(W$8&gt;$G62,IF(OR(status1B5!X62=1,status1B5!X62=2,'BOULEVARD 5'!Z60&gt;0),"Pagado","impago"),""))</f>
        <v>Pagado</v>
      </c>
      <c r="X62" s="666" t="str">
        <f>IF(OR($A62="F&amp;F",$G62=""),"",IF(X$8&gt;$G62,IF(OR(status1B5!Y62=1,status1B5!Y62=2,'BOULEVARD 5'!AA60&gt;0),"Pagado","impago"),""))</f>
        <v>Pagado</v>
      </c>
      <c r="Y62" s="666" t="str">
        <f>IF(OR($A62="F&amp;F",$G62=""),"",IF(Y$8&gt;$G62,IF(OR(status1B5!Z62=1,status1B5!Z62=2,'BOULEVARD 5'!AB60&gt;0),"Pagado","impago"),""))</f>
        <v>Pagado</v>
      </c>
      <c r="Z62" s="666" t="str">
        <f>IF(OR($A62="F&amp;F",$G62=""),"",IF(Z$8&gt;$G62,IF(OR(status1B5!AA62=1,status1B5!AA62=2,'BOULEVARD 5'!AC60&gt;0),"Pagado","impago"),""))</f>
        <v>Pagado</v>
      </c>
      <c r="AA62" s="666" t="str">
        <f>IF(OR($A62="F&amp;F",$G62=""),"",IF(AA$8&gt;$G62,IF(OR(status1B5!AB62=1,status1B5!AB62=2,'BOULEVARD 5'!AD60&gt;0),"Pagado","impago"),""))</f>
        <v>Pagado</v>
      </c>
      <c r="AB62" s="666" t="str">
        <f>IF(OR($A62="F&amp;F",$G62=""),"",IF(AB$8&gt;$G62,IF(OR(status1B5!AC62=1,status1B5!AC62=2,'BOULEVARD 5'!AE60&gt;0),"Pagado","impago"),""))</f>
        <v>Pagado</v>
      </c>
      <c r="AC62" s="666" t="str">
        <f>IF(OR($A62="F&amp;F",$G62=""),"",IF(AC$8&gt;$G62,IF(OR(status1B5!AD62=1,status1B5!AD62=2,'BOULEVARD 5'!AF60&gt;0),"Pagado","impago"),""))</f>
        <v>Pagado</v>
      </c>
      <c r="AD62" s="666" t="str">
        <f>IF(OR($A62="F&amp;F",$G62=""),"",IF(AD$8&gt;$G62,IF(OR(status1B5!AE62=1,status1B5!AE62=2,'BOULEVARD 5'!AG60&gt;0),"Pagado","impago"),""))</f>
        <v>Pagado</v>
      </c>
      <c r="AE62" s="666" t="str">
        <f>IF(OR($A62="F&amp;F",$G62=""),"",IF(AE$8&gt;$G62,IF(OR(status1B5!AF62=1,status1B5!AF62=2,'BOULEVARD 5'!AH60&gt;0),"Pagado","impago"),""))</f>
        <v>Pagado</v>
      </c>
      <c r="AF62" s="666" t="str">
        <f>IF(OR($A62="F&amp;F",$G62=""),"",IF(AF$8&gt;$G62,IF(OR(status1B5!AG62=1,status1B5!AG62=2,'BOULEVARD 5'!AI60&gt;0),"Pagado","impago"),""))</f>
        <v>Pagado</v>
      </c>
      <c r="AG62" s="666" t="str">
        <f>IF(OR($A62="F&amp;F",$G62=""),"",IF(AG$8&gt;$G62,IF(OR(status1B5!AH62=1,status1B5!AH62=2,'BOULEVARD 5'!AJ60&gt;0),"Pagado","impago"),""))</f>
        <v>Pagado</v>
      </c>
      <c r="AH62" s="666" t="str">
        <f>IF(OR($A62="F&amp;F",$G62=""),"",IF(AH$8&gt;$G62,IF(OR(status1B5!AI62=1,status1B5!AI62=2,'BOULEVARD 5'!AK60&gt;0),"Pagado","impago"),""))</f>
        <v>Pagado</v>
      </c>
      <c r="AI62" s="666" t="str">
        <f>IF(OR($A62="F&amp;F",$G62=""),"",IF(AI$8&gt;$G62,IF(OR(status1B5!AJ62=1,status1B5!AJ62=2,'BOULEVARD 5'!AL60&gt;0),"Pagado","impago"),""))</f>
        <v>Pagado</v>
      </c>
      <c r="AJ62" s="666" t="str">
        <f>IF(OR($A62="F&amp;F",$G62=""),"",IF(AJ$8&gt;$G62,IF(OR(status1B5!AK62=1,status1B5!AK62=2,'BOULEVARD 5'!AM60&gt;0),"Pagado","impago"),""))</f>
        <v>Pagado</v>
      </c>
      <c r="AK62" s="666" t="str">
        <f>IF(OR($A62="F&amp;F",$G62=""),"",IF(AK$8&gt;$G62,IF(OR(status1B5!AL62=1,status1B5!AL62=2,'BOULEVARD 5'!AN60&gt;0),"Pagado","impago"),""))</f>
        <v>Pagado</v>
      </c>
      <c r="AL62" s="666" t="str">
        <f>IF(OR($A62="F&amp;F",$G62=""),"",IF(AL$8&gt;$G62,IF(OR(status1B5!AM62=1,status1B5!AM62=2,'BOULEVARD 5'!AO60&gt;0),"Pagado","impago"),""))</f>
        <v>Pagado</v>
      </c>
      <c r="AM62" s="666" t="str">
        <f>IF(OR($A62="F&amp;F",$G62=""),"",IF(AM$8&gt;$G62,IF(OR(status1B5!AN62=1,status1B5!AN62=2,'BOULEVARD 5'!AP60&gt;0),"Pagado","impago"),""))</f>
        <v>Pagado</v>
      </c>
      <c r="AN62" s="666" t="str">
        <f>IF(OR($A62="F&amp;F",$G62=""),"",IF(AN$8&gt;$G62,IF(OR(status1B5!AO62=1,status1B5!AO62=2,'BOULEVARD 5'!AQ60&gt;0),"Pagado","impago"),""))</f>
        <v>Pagado</v>
      </c>
      <c r="AO62" s="666" t="str">
        <f>IF(OR($A62="F&amp;F",$G62=""),"",IF(AO$8&gt;$G62,IF(OR(status1B5!AP62=1,status1B5!AP62=2,'BOULEVARD 5'!AS60&gt;0),"Pagado","impago"),""))</f>
        <v>Pagado</v>
      </c>
      <c r="AP62" s="429" t="str">
        <f t="shared" si="4"/>
        <v>Vendido</v>
      </c>
    </row>
    <row r="63" spans="1:42" s="429" customFormat="1" ht="13.9" customHeight="1" x14ac:dyDescent="0.25">
      <c r="A63" s="472"/>
      <c r="B63" s="436">
        <f>'BOULEVARD 5'!B61</f>
        <v>405</v>
      </c>
      <c r="C63" s="436" t="s">
        <v>355</v>
      </c>
      <c r="D63" s="436"/>
      <c r="E63" s="436" t="str">
        <f>IF('BOULEVARD 5'!E61="","",'BOULEVARD 5'!E61)</f>
        <v/>
      </c>
      <c r="F63" s="429" t="str">
        <f>IF('BOULEVARD 5'!F61="","",'BOULEVARD 5'!F61)</f>
        <v>Mario Saul Aragón Zepeda</v>
      </c>
      <c r="G63" s="473">
        <f>IF('BOULEVARD 5'!G61="","",'BOULEVARD 5'!G61)</f>
        <v>45995</v>
      </c>
      <c r="H63" s="666" t="str">
        <f>IF(OR($A63="F&amp;F",$G63=""),"",IF(H$8&gt;$G63,IF(OR(status1B5!I63=1,status1B5!I63=2,'BOULEVARD 5'!K61&gt;0),"Pagado","impago"),""))</f>
        <v/>
      </c>
      <c r="I63" s="666" t="str">
        <f>IF(OR($A63="F&amp;F",$G63=""),"",IF(I$8&gt;$G63,IF(OR(status1B5!J63=1,status1B5!J63=2,'BOULEVARD 5'!L61&gt;0),"Pagado","impago"),""))</f>
        <v/>
      </c>
      <c r="J63" s="666" t="str">
        <f>IF(OR($A63="F&amp;F",$G63=""),"",IF(J$8&gt;$G63,IF(OR(status1B5!K63=1,status1B5!K63=2,'BOULEVARD 5'!M61&gt;0),"Pagado","impago"),""))</f>
        <v/>
      </c>
      <c r="K63" s="666" t="str">
        <f>IF(OR($A63="F&amp;F",$G63=""),"",IF(K$8&gt;$G63,IF(OR(status1B5!L63=1,status1B5!L63=2,'BOULEVARD 5'!N61&gt;0),"Pagado","impago"),""))</f>
        <v/>
      </c>
      <c r="L63" s="666" t="str">
        <f>IF(OR($A63="F&amp;F",$G63=""),"",IF(L$8&gt;$G63,IF(OR(status1B5!M63=1,status1B5!M63=2,'BOULEVARD 5'!O61&gt;0),"Pagado","impago"),""))</f>
        <v/>
      </c>
      <c r="M63" s="666" t="str">
        <f>IF(OR($A63="F&amp;F",$G63=""),"",IF(M$8&gt;$G63,IF(OR(status1B5!N63=1,status1B5!N63=2,'BOULEVARD 5'!P61&gt;0),"Pagado","impago"),""))</f>
        <v/>
      </c>
      <c r="N63" s="666" t="str">
        <f>IF(OR($A63="F&amp;F",$G63=""),"",IF(N$8&gt;$G63,IF(OR(status1B5!O63=1,status1B5!O63=2,'BOULEVARD 5'!Q61&gt;0),"Pagado","impago"),""))</f>
        <v/>
      </c>
      <c r="O63" s="666" t="str">
        <f>IF(OR($A63="F&amp;F",$G63=""),"",IF(O$8&gt;$G63,IF(OR(status1B5!P63=1,status1B5!P63=2,'BOULEVARD 5'!R61&gt;0),"Pagado","impago"),""))</f>
        <v/>
      </c>
      <c r="P63" s="666" t="str">
        <f>IF(OR($A63="F&amp;F",$G63=""),"",IF(P$8&gt;$G63,IF(OR(status1B5!Q63=1,status1B5!Q63=2,'BOULEVARD 5'!S61&gt;0),"Pagado","impago"),""))</f>
        <v/>
      </c>
      <c r="Q63" s="666" t="str">
        <f>IF(OR($A63="F&amp;F",$G63=""),"",IF(Q$8&gt;$G63,IF(OR(status1B5!R63=1,status1B5!R63=2,'BOULEVARD 5'!T61&gt;0),"Pagado","impago"),""))</f>
        <v/>
      </c>
      <c r="R63" s="666" t="str">
        <f>IF(OR($A63="F&amp;F",$G63=""),"",IF(R$8&gt;$G63,IF(OR(status1B5!S63=1,status1B5!S63=2,'BOULEVARD 5'!U61&gt;0),"Pagado","impago"),""))</f>
        <v/>
      </c>
      <c r="S63" s="666" t="str">
        <f>IF(OR($A63="F&amp;F",$G63=""),"",IF(S$8&gt;$G63,IF(OR(status1B5!T63=1,status1B5!T63=2,'BOULEVARD 5'!V61&gt;0),"Pagado","impago"),""))</f>
        <v/>
      </c>
      <c r="T63" s="666" t="str">
        <f>IF(OR($A63="F&amp;F",$G63=""),"",IF(T$8&gt;$G63,IF(OR(status1B5!U63=1,status1B5!U63=2,'BOULEVARD 5'!W61&gt;0),"Pagado","impago"),""))</f>
        <v/>
      </c>
      <c r="U63" s="666" t="str">
        <f>IF(OR($A63="F&amp;F",$G63=""),"",IF(U$8&gt;$G63,IF(OR(status1B5!V63=1,status1B5!V63=2,'BOULEVARD 5'!X61&gt;0),"Pagado","impago"),""))</f>
        <v/>
      </c>
      <c r="V63" s="666" t="str">
        <f>IF(OR($A63="F&amp;F",$G63=""),"",IF(V$8&gt;$G63,IF(OR(status1B5!W63=1,status1B5!W63=2,'BOULEVARD 5'!Y61&gt;0),"Pagado","impago"),""))</f>
        <v/>
      </c>
      <c r="W63" s="666" t="str">
        <f>IF(OR($A63="F&amp;F",$G63=""),"",IF(W$8&gt;$G63,IF(OR(status1B5!X63=1,status1B5!X63=2,'BOULEVARD 5'!Z61&gt;0),"Pagado","impago"),""))</f>
        <v/>
      </c>
      <c r="X63" s="666" t="str">
        <f>IF(OR($A63="F&amp;F",$G63=""),"",IF(X$8&gt;$G63,IF(OR(status1B5!Y63=1,status1B5!Y63=2,'BOULEVARD 5'!AA61&gt;0),"Pagado","impago"),""))</f>
        <v/>
      </c>
      <c r="Y63" s="666" t="str">
        <f>IF(OR($A63="F&amp;F",$G63=""),"",IF(Y$8&gt;$G63,IF(OR(status1B5!Z63=1,status1B5!Z63=2,'BOULEVARD 5'!AB61&gt;0),"Pagado","impago"),""))</f>
        <v/>
      </c>
      <c r="Z63" s="666" t="str">
        <f>IF(OR($A63="F&amp;F",$G63=""),"",IF(Z$8&gt;$G63,IF(OR(status1B5!AA63=1,status1B5!AA63=2,'BOULEVARD 5'!AC61&gt;0),"Pagado","impago"),""))</f>
        <v/>
      </c>
      <c r="AA63" s="666" t="str">
        <f>IF(OR($A63="F&amp;F",$G63=""),"",IF(AA$8&gt;$G63,IF(OR(status1B5!AB63=1,status1B5!AB63=2,'BOULEVARD 5'!AD61&gt;0),"Pagado","impago"),""))</f>
        <v/>
      </c>
      <c r="AB63" s="666" t="str">
        <f>IF(OR($A63="F&amp;F",$G63=""),"",IF(AB$8&gt;$G63,IF(OR(status1B5!AC63=1,status1B5!AC63=2,'BOULEVARD 5'!AE61&gt;0),"Pagado","impago"),""))</f>
        <v/>
      </c>
      <c r="AC63" s="666" t="str">
        <f>IF(OR($A63="F&amp;F",$G63=""),"",IF(AC$8&gt;$G63,IF(OR(status1B5!AD63=1,status1B5!AD63=2,'BOULEVARD 5'!AF61&gt;0),"Pagado","impago"),""))</f>
        <v/>
      </c>
      <c r="AD63" s="666" t="str">
        <f>IF(OR($A63="F&amp;F",$G63=""),"",IF(AD$8&gt;$G63,IF(OR(status1B5!AE63=1,status1B5!AE63=2,'BOULEVARD 5'!AG61&gt;0),"Pagado","impago"),""))</f>
        <v/>
      </c>
      <c r="AE63" s="666" t="str">
        <f>IF(OR($A63="F&amp;F",$G63=""),"",IF(AE$8&gt;$G63,IF(OR(status1B5!AF63=1,status1B5!AF63=2,'BOULEVARD 5'!AH61&gt;0),"Pagado","impago"),""))</f>
        <v/>
      </c>
      <c r="AF63" s="666" t="str">
        <f>IF(OR($A63="F&amp;F",$G63=""),"",IF(AF$8&gt;$G63,IF(OR(status1B5!AG63=1,status1B5!AG63=2,'BOULEVARD 5'!AI61&gt;0),"Pagado","impago"),""))</f>
        <v/>
      </c>
      <c r="AG63" s="666" t="str">
        <f>IF(OR($A63="F&amp;F",$G63=""),"",IF(AG$8&gt;$G63,IF(OR(status1B5!AH63=1,status1B5!AH63=2,'BOULEVARD 5'!AJ61&gt;0),"Pagado","impago"),""))</f>
        <v/>
      </c>
      <c r="AH63" s="666" t="str">
        <f>IF(OR($A63="F&amp;F",$G63=""),"",IF(AH$8&gt;$G63,IF(OR(status1B5!AI63=1,status1B5!AI63=2,'BOULEVARD 5'!AK61&gt;0),"Pagado","impago"),""))</f>
        <v/>
      </c>
      <c r="AI63" s="666" t="str">
        <f>IF(OR($A63="F&amp;F",$G63=""),"",IF(AI$8&gt;$G63,IF(OR(status1B5!AJ63=1,status1B5!AJ63=2,'BOULEVARD 5'!AL61&gt;0),"Pagado","impago"),""))</f>
        <v/>
      </c>
      <c r="AJ63" s="666" t="str">
        <f>IF(OR($A63="F&amp;F",$G63=""),"",IF(AJ$8&gt;$G63,IF(OR(status1B5!AK63=1,status1B5!AK63=2,'BOULEVARD 5'!AM61&gt;0),"Pagado","impago"),""))</f>
        <v/>
      </c>
      <c r="AK63" s="666" t="str">
        <f>IF(OR($A63="F&amp;F",$G63=""),"",IF(AK$8&gt;$G63,IF(OR(status1B5!AL63=1,status1B5!AL63=2,'BOULEVARD 5'!AN61&gt;0),"Pagado","impago"),""))</f>
        <v/>
      </c>
      <c r="AL63" s="666" t="str">
        <f>IF(OR($A63="F&amp;F",$G63=""),"",IF(AL$8&gt;$G63,IF(OR(status1B5!AM63=1,status1B5!AM63=2,'BOULEVARD 5'!AO61&gt;0),"Pagado","impago"),""))</f>
        <v/>
      </c>
      <c r="AM63" s="666" t="str">
        <f>IF(OR($A63="F&amp;F",$G63=""),"",IF(AM$8&gt;$G63,IF(OR(status1B5!AN63=1,status1B5!AN63=2,'BOULEVARD 5'!AP61&gt;0),"Pagado","impago"),""))</f>
        <v/>
      </c>
      <c r="AN63" s="666" t="str">
        <f>IF(OR($A63="F&amp;F",$G63=""),"",IF(AN$8&gt;$G63,IF(OR(status1B5!AO63=1,status1B5!AO63=2,'BOULEVARD 5'!AQ61&gt;0),"Pagado","impago"),""))</f>
        <v/>
      </c>
      <c r="AO63" s="666" t="str">
        <f>IF(OR($A63="F&amp;F",$G63=""),"",IF(AO$8&gt;$G63,IF(OR(status1B5!AP63=1,status1B5!AP63=2,'BOULEVARD 5'!AS61&gt;0),"Pagado","impago"),""))</f>
        <v>Pagado</v>
      </c>
      <c r="AP63" s="429" t="str">
        <f t="shared" si="4"/>
        <v>Vendido</v>
      </c>
    </row>
    <row r="64" spans="1:42" s="429" customFormat="1" ht="13.9" customHeight="1" x14ac:dyDescent="0.25">
      <c r="A64" s="472"/>
      <c r="B64" s="436">
        <f>'BOULEVARD 5'!B62</f>
        <v>406</v>
      </c>
      <c r="C64" s="436" t="s">
        <v>355</v>
      </c>
      <c r="D64" s="436"/>
      <c r="E64" s="436" t="str">
        <f>IF('BOULEVARD 5'!E62="","",'BOULEVARD 5'!E62)</f>
        <v>SIN DATOS</v>
      </c>
      <c r="F64" s="429" t="str">
        <f>IF('BOULEVARD 5'!F62="","",'BOULEVARD 5'!F62)</f>
        <v xml:space="preserve">Andrea Joanna Hidalgo Mendizábal </v>
      </c>
      <c r="G64" s="473">
        <f>IF('BOULEVARD 5'!G62="","",'BOULEVARD 5'!G62)</f>
        <v>45800</v>
      </c>
      <c r="H64" s="666" t="str">
        <f>IF(OR($A64="F&amp;F",$G64=""),"",IF(H$8&gt;$G64,IF(OR(status1B5!I64=1,status1B5!I64=2,'BOULEVARD 5'!K62&gt;0),"Pagado","impago"),""))</f>
        <v/>
      </c>
      <c r="I64" s="666" t="str">
        <f>IF(OR($A64="F&amp;F",$G64=""),"",IF(I$8&gt;$G64,IF(OR(status1B5!J64=1,status1B5!J64=2,'BOULEVARD 5'!L62&gt;0),"Pagado","impago"),""))</f>
        <v/>
      </c>
      <c r="J64" s="666" t="str">
        <f>IF(OR($A64="F&amp;F",$G64=""),"",IF(J$8&gt;$G64,IF(OR(status1B5!K64=1,status1B5!K64=2,'BOULEVARD 5'!M62&gt;0),"Pagado","impago"),""))</f>
        <v/>
      </c>
      <c r="K64" s="666" t="str">
        <f>IF(OR($A64="F&amp;F",$G64=""),"",IF(K$8&gt;$G64,IF(OR(status1B5!L64=1,status1B5!L64=2,'BOULEVARD 5'!N62&gt;0),"Pagado","impago"),""))</f>
        <v/>
      </c>
      <c r="L64" s="666" t="str">
        <f>IF(OR($A64="F&amp;F",$G64=""),"",IF(L$8&gt;$G64,IF(OR(status1B5!M64=1,status1B5!M64=2,'BOULEVARD 5'!O62&gt;0),"Pagado","impago"),""))</f>
        <v/>
      </c>
      <c r="M64" s="666" t="str">
        <f>IF(OR($A64="F&amp;F",$G64=""),"",IF(M$8&gt;$G64,IF(OR(status1B5!N64=1,status1B5!N64=2,'BOULEVARD 5'!P62&gt;0),"Pagado","impago"),""))</f>
        <v/>
      </c>
      <c r="N64" s="666" t="str">
        <f>IF(OR($A64="F&amp;F",$G64=""),"",IF(N$8&gt;$G64,IF(OR(status1B5!O64=1,status1B5!O64=2,'BOULEVARD 5'!Q62&gt;0),"Pagado","impago"),""))</f>
        <v/>
      </c>
      <c r="O64" s="666" t="str">
        <f>IF(OR($A64="F&amp;F",$G64=""),"",IF(O$8&gt;$G64,IF(OR(status1B5!P64=1,status1B5!P64=2,'BOULEVARD 5'!R62&gt;0),"Pagado","impago"),""))</f>
        <v/>
      </c>
      <c r="P64" s="666" t="str">
        <f>IF(OR($A64="F&amp;F",$G64=""),"",IF(P$8&gt;$G64,IF(OR(status1B5!Q64=1,status1B5!Q64=2,'BOULEVARD 5'!S62&gt;0),"Pagado","impago"),""))</f>
        <v/>
      </c>
      <c r="Q64" s="666" t="str">
        <f>IF(OR($A64="F&amp;F",$G64=""),"",IF(Q$8&gt;$G64,IF(OR(status1B5!R64=1,status1B5!R64=2,'BOULEVARD 5'!T62&gt;0),"Pagado","impago"),""))</f>
        <v/>
      </c>
      <c r="R64" s="666" t="str">
        <f>IF(OR($A64="F&amp;F",$G64=""),"",IF(R$8&gt;$G64,IF(OR(status1B5!S64=1,status1B5!S64=2,'BOULEVARD 5'!U62&gt;0),"Pagado","impago"),""))</f>
        <v/>
      </c>
      <c r="S64" s="666" t="str">
        <f>IF(OR($A64="F&amp;F",$G64=""),"",IF(S$8&gt;$G64,IF(OR(status1B5!T64=1,status1B5!T64=2,'BOULEVARD 5'!V62&gt;0),"Pagado","impago"),""))</f>
        <v/>
      </c>
      <c r="T64" s="666" t="str">
        <f>IF(OR($A64="F&amp;F",$G64=""),"",IF(T$8&gt;$G64,IF(OR(status1B5!U64=1,status1B5!U64=2,'BOULEVARD 5'!W62&gt;0),"Pagado","impago"),""))</f>
        <v/>
      </c>
      <c r="U64" s="666" t="str">
        <f>IF(OR($A64="F&amp;F",$G64=""),"",IF(U$8&gt;$G64,IF(OR(status1B5!V64=1,status1B5!V64=2,'BOULEVARD 5'!X62&gt;0),"Pagado","impago"),""))</f>
        <v/>
      </c>
      <c r="V64" s="666" t="str">
        <f>IF(OR($A64="F&amp;F",$G64=""),"",IF(V$8&gt;$G64,IF(OR(status1B5!W64=1,status1B5!W64=2,'BOULEVARD 5'!Y62&gt;0),"Pagado","impago"),""))</f>
        <v/>
      </c>
      <c r="W64" s="666" t="str">
        <f>IF(OR($A64="F&amp;F",$G64=""),"",IF(W$8&gt;$G64,IF(OR(status1B5!X64=1,status1B5!X64=2,'BOULEVARD 5'!Z62&gt;0),"Pagado","impago"),""))</f>
        <v/>
      </c>
      <c r="X64" s="666" t="str">
        <f>IF(OR($A64="F&amp;F",$G64=""),"",IF(X$8&gt;$G64,IF(OR(status1B5!Y64=1,status1B5!Y64=2,'BOULEVARD 5'!AA62&gt;0),"Pagado","impago"),""))</f>
        <v/>
      </c>
      <c r="Y64" s="666" t="str">
        <f>IF(OR($A64="F&amp;F",$G64=""),"",IF(Y$8&gt;$G64,IF(OR(status1B5!Z64=1,status1B5!Z64=2,'BOULEVARD 5'!AB62&gt;0),"Pagado","impago"),""))</f>
        <v/>
      </c>
      <c r="Z64" s="666" t="str">
        <f>IF(OR($A64="F&amp;F",$G64=""),"",IF(Z$8&gt;$G64,IF(OR(status1B5!AA64=1,status1B5!AA64=2,'BOULEVARD 5'!AC62&gt;0),"Pagado","impago"),""))</f>
        <v/>
      </c>
      <c r="AA64" s="666" t="str">
        <f>IF(OR($A64="F&amp;F",$G64=""),"",IF(AA$8&gt;$G64,IF(OR(status1B5!AB64=1,status1B5!AB64=2,'BOULEVARD 5'!AD62&gt;0),"Pagado","impago"),""))</f>
        <v/>
      </c>
      <c r="AB64" s="666" t="str">
        <f>IF(OR($A64="F&amp;F",$G64=""),"",IF(AB$8&gt;$G64,IF(OR(status1B5!AC64=1,status1B5!AC64=2,'BOULEVARD 5'!AE62&gt;0),"Pagado","impago"),""))</f>
        <v/>
      </c>
      <c r="AC64" s="666" t="str">
        <f>IF(OR($A64="F&amp;F",$G64=""),"",IF(AC$8&gt;$G64,IF(OR(status1B5!AD64=1,status1B5!AD64=2,'BOULEVARD 5'!AF62&gt;0),"Pagado","impago"),""))</f>
        <v/>
      </c>
      <c r="AD64" s="666" t="str">
        <f>IF(OR($A64="F&amp;F",$G64=""),"",IF(AD$8&gt;$G64,IF(OR(status1B5!AE64=1,status1B5!AE64=2,'BOULEVARD 5'!AG62&gt;0),"Pagado","impago"),""))</f>
        <v/>
      </c>
      <c r="AE64" s="666" t="str">
        <f>IF(OR($A64="F&amp;F",$G64=""),"",IF(AE$8&gt;$G64,IF(OR(status1B5!AF64=1,status1B5!AF64=2,'BOULEVARD 5'!AH62&gt;0),"Pagado","impago"),""))</f>
        <v/>
      </c>
      <c r="AF64" s="666" t="str">
        <f>IF(OR($A64="F&amp;F",$G64=""),"",IF(AF$8&gt;$G64,IF(OR(status1B5!AG64=1,status1B5!AG64=2,'BOULEVARD 5'!AI62&gt;0),"Pagado","impago"),""))</f>
        <v/>
      </c>
      <c r="AG64" s="666" t="str">
        <f>IF(OR($A64="F&amp;F",$G64=""),"",IF(AG$8&gt;$G64,IF(OR(status1B5!AH64=1,status1B5!AH64=2,'BOULEVARD 5'!AJ62&gt;0),"Pagado","impago"),""))</f>
        <v/>
      </c>
      <c r="AH64" s="666" t="str">
        <f>IF(OR($A64="F&amp;F",$G64=""),"",IF(AH$8&gt;$G64,IF(OR(status1B5!AI64=1,status1B5!AI64=2,'BOULEVARD 5'!AK62&gt;0),"Pagado","impago"),""))</f>
        <v>Pagado</v>
      </c>
      <c r="AI64" s="666" t="str">
        <f>IF(OR($A64="F&amp;F",$G64=""),"",IF(AI$8&gt;$G64,IF(OR(status1B5!AJ64=1,status1B5!AJ64=2,'BOULEVARD 5'!AL62&gt;0),"Pagado","impago"),""))</f>
        <v>Pagado</v>
      </c>
      <c r="AJ64" s="666" t="str">
        <f>IF(OR($A64="F&amp;F",$G64=""),"",IF(AJ$8&gt;$G64,IF(OR(status1B5!AK64=1,status1B5!AK64=2,'BOULEVARD 5'!AM62&gt;0),"Pagado","impago"),""))</f>
        <v>Pagado</v>
      </c>
      <c r="AK64" s="666" t="str">
        <f>IF(OR($A64="F&amp;F",$G64=""),"",IF(AK$8&gt;$G64,IF(OR(status1B5!AL64=1,status1B5!AL64=2,'BOULEVARD 5'!AN62&gt;0),"Pagado","impago"),""))</f>
        <v>Pagado</v>
      </c>
      <c r="AL64" s="666" t="str">
        <f>IF(OR($A64="F&amp;F",$G64=""),"",IF(AL$8&gt;$G64,IF(OR(status1B5!AM64=1,status1B5!AM64=2,'BOULEVARD 5'!AO62&gt;0),"Pagado","impago"),""))</f>
        <v>Pagado</v>
      </c>
      <c r="AM64" s="666" t="str">
        <f>IF(OR($A64="F&amp;F",$G64=""),"",IF(AM$8&gt;$G64,IF(OR(status1B5!AN64=1,status1B5!AN64=2,'BOULEVARD 5'!AP62&gt;0),"Pagado","impago"),""))</f>
        <v>Pagado</v>
      </c>
      <c r="AN64" s="666" t="str">
        <f>IF(OR($A64="F&amp;F",$G64=""),"",IF(AN$8&gt;$G64,IF(OR(status1B5!AO64=1,status1B5!AO64=2,'BOULEVARD 5'!AQ62&gt;0),"Pagado","impago"),""))</f>
        <v>Pagado</v>
      </c>
      <c r="AO64" s="666" t="str">
        <f>IF(OR($A64="F&amp;F",$G64=""),"",IF(AO$8&gt;$G64,IF(OR(status1B5!AP64=1,status1B5!AP64=2,'BOULEVARD 5'!AS62&gt;0),"Pagado","impago"),""))</f>
        <v>Pagado</v>
      </c>
      <c r="AP64" s="429" t="str">
        <f t="shared" si="4"/>
        <v>Vendido</v>
      </c>
    </row>
    <row r="65" spans="1:42" s="429" customFormat="1" ht="13.9" customHeight="1" x14ac:dyDescent="0.25">
      <c r="A65" s="472"/>
      <c r="B65" s="436">
        <f>'BOULEVARD 5'!B63</f>
        <v>407</v>
      </c>
      <c r="C65" s="436" t="s">
        <v>355</v>
      </c>
      <c r="D65" s="436"/>
      <c r="E65" s="436" t="str">
        <f>IF('BOULEVARD 5'!E63="","",'BOULEVARD 5'!E63)</f>
        <v>Laura Molina</v>
      </c>
      <c r="F65" s="429" t="str">
        <f>IF('BOULEVARD 5'!F63="","",'BOULEVARD 5'!F63)</f>
        <v>Alberto Antonio Arrecis Rosales</v>
      </c>
      <c r="G65" s="473">
        <f>IF('BOULEVARD 5'!G63="","",'BOULEVARD 5'!G63)</f>
        <v>45883</v>
      </c>
      <c r="H65" s="666" t="str">
        <f>IF(OR($A65="F&amp;F",$G65=""),"",IF(H$8&gt;$G65,IF(OR(status1B5!I65=1,status1B5!I65=2,'BOULEVARD 5'!K63&gt;0),"Pagado","impago"),""))</f>
        <v/>
      </c>
      <c r="I65" s="666" t="str">
        <f>IF(OR($A65="F&amp;F",$G65=""),"",IF(I$8&gt;$G65,IF(OR(status1B5!J65=1,status1B5!J65=2,'BOULEVARD 5'!L63&gt;0),"Pagado","impago"),""))</f>
        <v/>
      </c>
      <c r="J65" s="666" t="str">
        <f>IF(OR($A65="F&amp;F",$G65=""),"",IF(J$8&gt;$G65,IF(OR(status1B5!K65=1,status1B5!K65=2,'BOULEVARD 5'!M63&gt;0),"Pagado","impago"),""))</f>
        <v/>
      </c>
      <c r="K65" s="666" t="str">
        <f>IF(OR($A65="F&amp;F",$G65=""),"",IF(K$8&gt;$G65,IF(OR(status1B5!L65=1,status1B5!L65=2,'BOULEVARD 5'!N63&gt;0),"Pagado","impago"),""))</f>
        <v/>
      </c>
      <c r="L65" s="666" t="str">
        <f>IF(OR($A65="F&amp;F",$G65=""),"",IF(L$8&gt;$G65,IF(OR(status1B5!M65=1,status1B5!M65=2,'BOULEVARD 5'!O63&gt;0),"Pagado","impago"),""))</f>
        <v/>
      </c>
      <c r="M65" s="666" t="str">
        <f>IF(OR($A65="F&amp;F",$G65=""),"",IF(M$8&gt;$G65,IF(OR(status1B5!N65=1,status1B5!N65=2,'BOULEVARD 5'!P63&gt;0),"Pagado","impago"),""))</f>
        <v/>
      </c>
      <c r="N65" s="666" t="str">
        <f>IF(OR($A65="F&amp;F",$G65=""),"",IF(N$8&gt;$G65,IF(OR(status1B5!O65=1,status1B5!O65=2,'BOULEVARD 5'!Q63&gt;0),"Pagado","impago"),""))</f>
        <v/>
      </c>
      <c r="O65" s="666" t="str">
        <f>IF(OR($A65="F&amp;F",$G65=""),"",IF(O$8&gt;$G65,IF(OR(status1B5!P65=1,status1B5!P65=2,'BOULEVARD 5'!R63&gt;0),"Pagado","impago"),""))</f>
        <v/>
      </c>
      <c r="P65" s="666" t="str">
        <f>IF(OR($A65="F&amp;F",$G65=""),"",IF(P$8&gt;$G65,IF(OR(status1B5!Q65=1,status1B5!Q65=2,'BOULEVARD 5'!S63&gt;0),"Pagado","impago"),""))</f>
        <v/>
      </c>
      <c r="Q65" s="666" t="str">
        <f>IF(OR($A65="F&amp;F",$G65=""),"",IF(Q$8&gt;$G65,IF(OR(status1B5!R65=1,status1B5!R65=2,'BOULEVARD 5'!T63&gt;0),"Pagado","impago"),""))</f>
        <v/>
      </c>
      <c r="R65" s="666" t="str">
        <f>IF(OR($A65="F&amp;F",$G65=""),"",IF(R$8&gt;$G65,IF(OR(status1B5!S65=1,status1B5!S65=2,'BOULEVARD 5'!U63&gt;0),"Pagado","impago"),""))</f>
        <v/>
      </c>
      <c r="S65" s="666" t="str">
        <f>IF(OR($A65="F&amp;F",$G65=""),"",IF(S$8&gt;$G65,IF(OR(status1B5!T65=1,status1B5!T65=2,'BOULEVARD 5'!V63&gt;0),"Pagado","impago"),""))</f>
        <v/>
      </c>
      <c r="T65" s="666" t="str">
        <f>IF(OR($A65="F&amp;F",$G65=""),"",IF(T$8&gt;$G65,IF(OR(status1B5!U65=1,status1B5!U65=2,'BOULEVARD 5'!W63&gt;0),"Pagado","impago"),""))</f>
        <v/>
      </c>
      <c r="U65" s="666" t="str">
        <f>IF(OR($A65="F&amp;F",$G65=""),"",IF(U$8&gt;$G65,IF(OR(status1B5!V65=1,status1B5!V65=2,'BOULEVARD 5'!X63&gt;0),"Pagado","impago"),""))</f>
        <v/>
      </c>
      <c r="V65" s="666" t="str">
        <f>IF(OR($A65="F&amp;F",$G65=""),"",IF(V$8&gt;$G65,IF(OR(status1B5!W65=1,status1B5!W65=2,'BOULEVARD 5'!Y63&gt;0),"Pagado","impago"),""))</f>
        <v/>
      </c>
      <c r="W65" s="666" t="str">
        <f>IF(OR($A65="F&amp;F",$G65=""),"",IF(W$8&gt;$G65,IF(OR(status1B5!X65=1,status1B5!X65=2,'BOULEVARD 5'!Z63&gt;0),"Pagado","impago"),""))</f>
        <v/>
      </c>
      <c r="X65" s="666" t="str">
        <f>IF(OR($A65="F&amp;F",$G65=""),"",IF(X$8&gt;$G65,IF(OR(status1B5!Y65=1,status1B5!Y65=2,'BOULEVARD 5'!AA63&gt;0),"Pagado","impago"),""))</f>
        <v/>
      </c>
      <c r="Y65" s="666" t="str">
        <f>IF(OR($A65="F&amp;F",$G65=""),"",IF(Y$8&gt;$G65,IF(OR(status1B5!Z65=1,status1B5!Z65=2,'BOULEVARD 5'!AB63&gt;0),"Pagado","impago"),""))</f>
        <v/>
      </c>
      <c r="Z65" s="666" t="str">
        <f>IF(OR($A65="F&amp;F",$G65=""),"",IF(Z$8&gt;$G65,IF(OR(status1B5!AA65=1,status1B5!AA65=2,'BOULEVARD 5'!AC63&gt;0),"Pagado","impago"),""))</f>
        <v/>
      </c>
      <c r="AA65" s="666" t="str">
        <f>IF(OR($A65="F&amp;F",$G65=""),"",IF(AA$8&gt;$G65,IF(OR(status1B5!AB65=1,status1B5!AB65=2,'BOULEVARD 5'!AD63&gt;0),"Pagado","impago"),""))</f>
        <v/>
      </c>
      <c r="AB65" s="666" t="str">
        <f>IF(OR($A65="F&amp;F",$G65=""),"",IF(AB$8&gt;$G65,IF(OR(status1B5!AC65=1,status1B5!AC65=2,'BOULEVARD 5'!AE63&gt;0),"Pagado","impago"),""))</f>
        <v/>
      </c>
      <c r="AC65" s="666" t="str">
        <f>IF(OR($A65="F&amp;F",$G65=""),"",IF(AC$8&gt;$G65,IF(OR(status1B5!AD65=1,status1B5!AD65=2,'BOULEVARD 5'!AF63&gt;0),"Pagado","impago"),""))</f>
        <v/>
      </c>
      <c r="AD65" s="666" t="str">
        <f>IF(OR($A65="F&amp;F",$G65=""),"",IF(AD$8&gt;$G65,IF(OR(status1B5!AE65=1,status1B5!AE65=2,'BOULEVARD 5'!AG63&gt;0),"Pagado","impago"),""))</f>
        <v/>
      </c>
      <c r="AE65" s="666" t="str">
        <f>IF(OR($A65="F&amp;F",$G65=""),"",IF(AE$8&gt;$G65,IF(OR(status1B5!AF65=1,status1B5!AF65=2,'BOULEVARD 5'!AH63&gt;0),"Pagado","impago"),""))</f>
        <v/>
      </c>
      <c r="AF65" s="666" t="str">
        <f>IF(OR($A65="F&amp;F",$G65=""),"",IF(AF$8&gt;$G65,IF(OR(status1B5!AG65=1,status1B5!AG65=2,'BOULEVARD 5'!AI63&gt;0),"Pagado","impago"),""))</f>
        <v/>
      </c>
      <c r="AG65" s="666" t="str">
        <f>IF(OR($A65="F&amp;F",$G65=""),"",IF(AG$8&gt;$G65,IF(OR(status1B5!AH65=1,status1B5!AH65=2,'BOULEVARD 5'!AJ63&gt;0),"Pagado","impago"),""))</f>
        <v/>
      </c>
      <c r="AH65" s="666" t="str">
        <f>IF(OR($A65="F&amp;F",$G65=""),"",IF(AH$8&gt;$G65,IF(OR(status1B5!AI65=1,status1B5!AI65=2,'BOULEVARD 5'!AK63&gt;0),"Pagado","impago"),""))</f>
        <v/>
      </c>
      <c r="AI65" s="666" t="str">
        <f>IF(OR($A65="F&amp;F",$G65=""),"",IF(AI$8&gt;$G65,IF(OR(status1B5!AJ65=1,status1B5!AJ65=2,'BOULEVARD 5'!AL63&gt;0),"Pagado","impago"),""))</f>
        <v/>
      </c>
      <c r="AJ65" s="666" t="str">
        <f>IF(OR($A65="F&amp;F",$G65=""),"",IF(AJ$8&gt;$G65,IF(OR(status1B5!AK65=1,status1B5!AK65=2,'BOULEVARD 5'!AM63&gt;0),"Pagado","impago"),""))</f>
        <v/>
      </c>
      <c r="AK65" s="666" t="str">
        <f>IF(OR($A65="F&amp;F",$G65=""),"",IF(AK$8&gt;$G65,IF(OR(status1B5!AL65=1,status1B5!AL65=2,'BOULEVARD 5'!AN63&gt;0),"Pagado","impago"),""))</f>
        <v>Pagado</v>
      </c>
      <c r="AL65" s="666" t="str">
        <f>IF(OR($A65="F&amp;F",$G65=""),"",IF(AL$8&gt;$G65,IF(OR(status1B5!AM65=1,status1B5!AM65=2,'BOULEVARD 5'!AO63&gt;0),"Pagado","impago"),""))</f>
        <v>Pagado</v>
      </c>
      <c r="AM65" s="666" t="str">
        <f>IF(OR($A65="F&amp;F",$G65=""),"",IF(AM$8&gt;$G65,IF(OR(status1B5!AN65=1,status1B5!AN65=2,'BOULEVARD 5'!AP63&gt;0),"Pagado","impago"),""))</f>
        <v>Pagado</v>
      </c>
      <c r="AN65" s="666" t="str">
        <f>IF(OR($A65="F&amp;F",$G65=""),"",IF(AN$8&gt;$G65,IF(OR(status1B5!AO65=1,status1B5!AO65=2,'BOULEVARD 5'!AQ63&gt;0),"Pagado","impago"),""))</f>
        <v>Pagado</v>
      </c>
      <c r="AO65" s="666" t="str">
        <f>IF(OR($A65="F&amp;F",$G65=""),"",IF(AO$8&gt;$G65,IF(OR(status1B5!AP65=1,status1B5!AP65=2,'BOULEVARD 5'!AS63&gt;0),"Pagado","impago"),""))</f>
        <v>Pagado</v>
      </c>
      <c r="AP65" s="429" t="str">
        <f t="shared" si="4"/>
        <v>Vendido</v>
      </c>
    </row>
    <row r="66" spans="1:42" s="429" customFormat="1" ht="13.9" customHeight="1" x14ac:dyDescent="0.25">
      <c r="A66" s="472"/>
      <c r="B66" s="436">
        <f>'BOULEVARD 5'!B64</f>
        <v>408</v>
      </c>
      <c r="C66" s="436" t="s">
        <v>355</v>
      </c>
      <c r="D66" s="642"/>
      <c r="E66" s="436" t="str">
        <f>IF('BOULEVARD 5'!E64="","",'BOULEVARD 5'!E64)</f>
        <v>Antonio Rada</v>
      </c>
      <c r="F66" s="429" t="str">
        <f>IF('BOULEVARD 5'!F64="","",'BOULEVARD 5'!F64)</f>
        <v>Maria Gabriela Chang Quan De Garcia</v>
      </c>
      <c r="G66" s="473">
        <f>IF('BOULEVARD 5'!G64="","",'BOULEVARD 5'!G64)</f>
        <v>45335</v>
      </c>
      <c r="H66" s="666" t="str">
        <f>IF(OR($A66="F&amp;F",$G66=""),"",IF(H$8&gt;$G66,IF(OR(status1B5!I66=1,status1B5!I66=2,'BOULEVARD 5'!K64&gt;0),"Pagado","impago"),""))</f>
        <v/>
      </c>
      <c r="I66" s="666" t="str">
        <f>IF(OR($A66="F&amp;F",$G66=""),"",IF(I$8&gt;$G66,IF(OR(status1B5!J66=1,status1B5!J66=2,'BOULEVARD 5'!L64&gt;0),"Pagado","impago"),""))</f>
        <v/>
      </c>
      <c r="J66" s="666" t="str">
        <f>IF(OR($A66="F&amp;F",$G66=""),"",IF(J$8&gt;$G66,IF(OR(status1B5!K66=1,status1B5!K66=2,'BOULEVARD 5'!M64&gt;0),"Pagado","impago"),""))</f>
        <v/>
      </c>
      <c r="K66" s="666" t="str">
        <f>IF(OR($A66="F&amp;F",$G66=""),"",IF(K$8&gt;$G66,IF(OR(status1B5!L66=1,status1B5!L66=2,'BOULEVARD 5'!N64&gt;0),"Pagado","impago"),""))</f>
        <v/>
      </c>
      <c r="L66" s="666" t="str">
        <f>IF(OR($A66="F&amp;F",$G66=""),"",IF(L$8&gt;$G66,IF(OR(status1B5!M66=1,status1B5!M66=2,'BOULEVARD 5'!O64&gt;0),"Pagado","impago"),""))</f>
        <v/>
      </c>
      <c r="M66" s="666" t="str">
        <f>IF(OR($A66="F&amp;F",$G66=""),"",IF(M$8&gt;$G66,IF(OR(status1B5!N66=1,status1B5!N66=2,'BOULEVARD 5'!P64&gt;0),"Pagado","impago"),""))</f>
        <v/>
      </c>
      <c r="N66" s="666" t="str">
        <f>IF(OR($A66="F&amp;F",$G66=""),"",IF(N$8&gt;$G66,IF(OR(status1B5!O66=1,status1B5!O66=2,'BOULEVARD 5'!Q64&gt;0),"Pagado","impago"),""))</f>
        <v/>
      </c>
      <c r="O66" s="666" t="str">
        <f>IF(OR($A66="F&amp;F",$G66=""),"",IF(O$8&gt;$G66,IF(OR(status1B5!P66=1,status1B5!P66=2,'BOULEVARD 5'!R64&gt;0),"Pagado","impago"),""))</f>
        <v/>
      </c>
      <c r="P66" s="666" t="str">
        <f>IF(OR($A66="F&amp;F",$G66=""),"",IF(P$8&gt;$G66,IF(OR(status1B5!Q66=1,status1B5!Q66=2,'BOULEVARD 5'!S64&gt;0),"Pagado","impago"),""))</f>
        <v/>
      </c>
      <c r="Q66" s="666" t="str">
        <f>IF(OR($A66="F&amp;F",$G66=""),"",IF(Q$8&gt;$G66,IF(OR(status1B5!R66=1,status1B5!R66=2,'BOULEVARD 5'!T64&gt;0),"Pagado","impago"),""))</f>
        <v/>
      </c>
      <c r="R66" s="666" t="str">
        <f>IF(OR($A66="F&amp;F",$G66=""),"",IF(R$8&gt;$G66,IF(OR(status1B5!S66=1,status1B5!S66=2,'BOULEVARD 5'!U64&gt;0),"Pagado","impago"),""))</f>
        <v/>
      </c>
      <c r="S66" s="666" t="str">
        <f>IF(OR($A66="F&amp;F",$G66=""),"",IF(S$8&gt;$G66,IF(OR(status1B5!T66=1,status1B5!T66=2,'BOULEVARD 5'!V64&gt;0),"Pagado","impago"),""))</f>
        <v>Pagado</v>
      </c>
      <c r="T66" s="666" t="str">
        <f>IF(OR($A66="F&amp;F",$G66=""),"",IF(T$8&gt;$G66,IF(OR(status1B5!U66=1,status1B5!U66=2,'BOULEVARD 5'!W64&gt;0),"Pagado","impago"),""))</f>
        <v>Pagado</v>
      </c>
      <c r="U66" s="666" t="str">
        <f>IF(OR($A66="F&amp;F",$G66=""),"",IF(U$8&gt;$G66,IF(OR(status1B5!V66=1,status1B5!V66=2,'BOULEVARD 5'!X64&gt;0),"Pagado","impago"),""))</f>
        <v>Pagado</v>
      </c>
      <c r="V66" s="666" t="str">
        <f>IF(OR($A66="F&amp;F",$G66=""),"",IF(V$8&gt;$G66,IF(OR(status1B5!W66=1,status1B5!W66=2,'BOULEVARD 5'!Y64&gt;0),"Pagado","impago"),""))</f>
        <v>Pagado</v>
      </c>
      <c r="W66" s="666" t="str">
        <f>IF(OR($A66="F&amp;F",$G66=""),"",IF(W$8&gt;$G66,IF(OR(status1B5!X66=1,status1B5!X66=2,'BOULEVARD 5'!Z64&gt;0),"Pagado","impago"),""))</f>
        <v>Pagado</v>
      </c>
      <c r="X66" s="666" t="str">
        <f>IF(OR($A66="F&amp;F",$G66=""),"",IF(X$8&gt;$G66,IF(OR(status1B5!Y66=1,status1B5!Y66=2,'BOULEVARD 5'!AA64&gt;0),"Pagado","impago"),""))</f>
        <v>Pagado</v>
      </c>
      <c r="Y66" s="666" t="str">
        <f>IF(OR($A66="F&amp;F",$G66=""),"",IF(Y$8&gt;$G66,IF(OR(status1B5!Z66=1,status1B5!Z66=2,'BOULEVARD 5'!AB64&gt;0),"Pagado","impago"),""))</f>
        <v>Pagado</v>
      </c>
      <c r="Z66" s="666" t="str">
        <f>IF(OR($A66="F&amp;F",$G66=""),"",IF(Z$8&gt;$G66,IF(OR(status1B5!AA66=1,status1B5!AA66=2,'BOULEVARD 5'!AC64&gt;0),"Pagado","impago"),""))</f>
        <v>Pagado</v>
      </c>
      <c r="AA66" s="666" t="str">
        <f>IF(OR($A66="F&amp;F",$G66=""),"",IF(AA$8&gt;$G66,IF(OR(status1B5!AB66=1,status1B5!AB66=2,'BOULEVARD 5'!AD64&gt;0),"Pagado","impago"),""))</f>
        <v>Pagado</v>
      </c>
      <c r="AB66" s="666" t="str">
        <f>IF(OR($A66="F&amp;F",$G66=""),"",IF(AB$8&gt;$G66,IF(OR(status1B5!AC66=1,status1B5!AC66=2,'BOULEVARD 5'!AE64&gt;0),"Pagado","impago"),""))</f>
        <v>Pagado</v>
      </c>
      <c r="AC66" s="666" t="str">
        <f>IF(OR($A66="F&amp;F",$G66=""),"",IF(AC$8&gt;$G66,IF(OR(status1B5!AD66=1,status1B5!AD66=2,'BOULEVARD 5'!AF64&gt;0),"Pagado","impago"),""))</f>
        <v>Pagado</v>
      </c>
      <c r="AD66" s="666" t="str">
        <f>IF(OR($A66="F&amp;F",$G66=""),"",IF(AD$8&gt;$G66,IF(OR(status1B5!AE66=1,status1B5!AE66=2,'BOULEVARD 5'!AG64&gt;0),"Pagado","impago"),""))</f>
        <v>Pagado</v>
      </c>
      <c r="AE66" s="666" t="str">
        <f>IF(OR($A66="F&amp;F",$G66=""),"",IF(AE$8&gt;$G66,IF(OR(status1B5!AF66=1,status1B5!AF66=2,'BOULEVARD 5'!AH64&gt;0),"Pagado","impago"),""))</f>
        <v>Pagado</v>
      </c>
      <c r="AF66" s="666" t="str">
        <f>IF(OR($A66="F&amp;F",$G66=""),"",IF(AF$8&gt;$G66,IF(OR(status1B5!AG66=1,status1B5!AG66=2,'BOULEVARD 5'!AI64&gt;0),"Pagado","impago"),""))</f>
        <v>Pagado</v>
      </c>
      <c r="AG66" s="666" t="str">
        <f>IF(OR($A66="F&amp;F",$G66=""),"",IF(AG$8&gt;$G66,IF(OR(status1B5!AH66=1,status1B5!AH66=2,'BOULEVARD 5'!AJ64&gt;0),"Pagado","impago"),""))</f>
        <v>Pagado</v>
      </c>
      <c r="AH66" s="666" t="str">
        <f>IF(OR($A66="F&amp;F",$G66=""),"",IF(AH$8&gt;$G66,IF(OR(status1B5!AI66=1,status1B5!AI66=2,'BOULEVARD 5'!AK64&gt;0),"Pagado","impago"),""))</f>
        <v>Pagado</v>
      </c>
      <c r="AI66" s="666" t="str">
        <f>IF(OR($A66="F&amp;F",$G66=""),"",IF(AI$8&gt;$G66,IF(OR(status1B5!AJ66=1,status1B5!AJ66=2,'BOULEVARD 5'!AL64&gt;0),"Pagado","impago"),""))</f>
        <v>Pagado</v>
      </c>
      <c r="AJ66" s="666" t="str">
        <f>IF(OR($A66="F&amp;F",$G66=""),"",IF(AJ$8&gt;$G66,IF(OR(status1B5!AK66=1,status1B5!AK66=2,'BOULEVARD 5'!AM64&gt;0),"Pagado","impago"),""))</f>
        <v>Pagado</v>
      </c>
      <c r="AK66" s="666" t="str">
        <f>IF(OR($A66="F&amp;F",$G66=""),"",IF(AK$8&gt;$G66,IF(OR(status1B5!AL66=1,status1B5!AL66=2,'BOULEVARD 5'!AN64&gt;0),"Pagado","impago"),""))</f>
        <v>Pagado</v>
      </c>
      <c r="AL66" s="666" t="str">
        <f>IF(OR($A66="F&amp;F",$G66=""),"",IF(AL$8&gt;$G66,IF(OR(status1B5!AM66=1,status1B5!AM66=2,'BOULEVARD 5'!AO64&gt;0),"Pagado","impago"),""))</f>
        <v>Pagado</v>
      </c>
      <c r="AM66" s="666" t="str">
        <f>IF(OR($A66="F&amp;F",$G66=""),"",IF(AM$8&gt;$G66,IF(OR(status1B5!AN66=1,status1B5!AN66=2,'BOULEVARD 5'!AP64&gt;0),"Pagado","impago"),""))</f>
        <v>Pagado</v>
      </c>
      <c r="AN66" s="666" t="str">
        <f>IF(OR($A66="F&amp;F",$G66=""),"",IF(AN$8&gt;$G66,IF(OR(status1B5!AO66=1,status1B5!AO66=2,'BOULEVARD 5'!AQ64&gt;0),"Pagado","impago"),""))</f>
        <v>Pagado</v>
      </c>
      <c r="AO66" s="666" t="str">
        <f>IF(OR($A66="F&amp;F",$G66=""),"",IF(AO$8&gt;$G66,IF(OR(status1B5!AP66=1,status1B5!AP66=2,'BOULEVARD 5'!AS64&gt;0),"Pagado","impago"),""))</f>
        <v>Pagado</v>
      </c>
      <c r="AP66" s="429" t="str">
        <f t="shared" si="4"/>
        <v>Vendido</v>
      </c>
    </row>
    <row r="67" spans="1:42" s="429" customFormat="1" ht="13.9" customHeight="1" x14ac:dyDescent="0.25">
      <c r="A67" s="472"/>
      <c r="B67" s="436">
        <f>'BOULEVARD 5'!B65</f>
        <v>409</v>
      </c>
      <c r="C67" s="436" t="s">
        <v>355</v>
      </c>
      <c r="D67" s="436"/>
      <c r="E67" s="436" t="str">
        <f>IF('BOULEVARD 5'!E65="","",'BOULEVARD 5'!E65)</f>
        <v>Antonio Rada</v>
      </c>
      <c r="F67" s="429" t="str">
        <f>IF('BOULEVARD 5'!F65="","",'BOULEVARD 5'!F65)</f>
        <v>Rafael Leonidas Tabic Borja</v>
      </c>
      <c r="G67" s="473">
        <f>IF('BOULEVARD 5'!G65="","",'BOULEVARD 5'!G65)</f>
        <v>45512</v>
      </c>
      <c r="H67" s="666" t="str">
        <f>IF(OR($A67="F&amp;F",$G67=""),"",IF(H$8&gt;$G67,IF(OR(status1B5!I67=1,status1B5!I67=2,'BOULEVARD 5'!K65&gt;0),"Pagado","impago"),""))</f>
        <v/>
      </c>
      <c r="I67" s="666" t="str">
        <f>IF(OR($A67="F&amp;F",$G67=""),"",IF(I$8&gt;$G67,IF(OR(status1B5!J67=1,status1B5!J67=2,'BOULEVARD 5'!L65&gt;0),"Pagado","impago"),""))</f>
        <v/>
      </c>
      <c r="J67" s="666" t="str">
        <f>IF(OR($A67="F&amp;F",$G67=""),"",IF(J$8&gt;$G67,IF(OR(status1B5!K67=1,status1B5!K67=2,'BOULEVARD 5'!M65&gt;0),"Pagado","impago"),""))</f>
        <v/>
      </c>
      <c r="K67" s="666" t="str">
        <f>IF(OR($A67="F&amp;F",$G67=""),"",IF(K$8&gt;$G67,IF(OR(status1B5!L67=1,status1B5!L67=2,'BOULEVARD 5'!N65&gt;0),"Pagado","impago"),""))</f>
        <v/>
      </c>
      <c r="L67" s="666" t="str">
        <f>IF(OR($A67="F&amp;F",$G67=""),"",IF(L$8&gt;$G67,IF(OR(status1B5!M67=1,status1B5!M67=2,'BOULEVARD 5'!O65&gt;0),"Pagado","impago"),""))</f>
        <v/>
      </c>
      <c r="M67" s="666" t="str">
        <f>IF(OR($A67="F&amp;F",$G67=""),"",IF(M$8&gt;$G67,IF(OR(status1B5!N67=1,status1B5!N67=2,'BOULEVARD 5'!P65&gt;0),"Pagado","impago"),""))</f>
        <v/>
      </c>
      <c r="N67" s="666" t="str">
        <f>IF(OR($A67="F&amp;F",$G67=""),"",IF(N$8&gt;$G67,IF(OR(status1B5!O67=1,status1B5!O67=2,'BOULEVARD 5'!Q65&gt;0),"Pagado","impago"),""))</f>
        <v/>
      </c>
      <c r="O67" s="666" t="str">
        <f>IF(OR($A67="F&amp;F",$G67=""),"",IF(O$8&gt;$G67,IF(OR(status1B5!P67=1,status1B5!P67=2,'BOULEVARD 5'!R65&gt;0),"Pagado","impago"),""))</f>
        <v/>
      </c>
      <c r="P67" s="666" t="str">
        <f>IF(OR($A67="F&amp;F",$G67=""),"",IF(P$8&gt;$G67,IF(OR(status1B5!Q67=1,status1B5!Q67=2,'BOULEVARD 5'!S65&gt;0),"Pagado","impago"),""))</f>
        <v/>
      </c>
      <c r="Q67" s="666" t="str">
        <f>IF(OR($A67="F&amp;F",$G67=""),"",IF(Q$8&gt;$G67,IF(OR(status1B5!R67=1,status1B5!R67=2,'BOULEVARD 5'!T65&gt;0),"Pagado","impago"),""))</f>
        <v/>
      </c>
      <c r="R67" s="666" t="str">
        <f>IF(OR($A67="F&amp;F",$G67=""),"",IF(R$8&gt;$G67,IF(OR(status1B5!S67=1,status1B5!S67=2,'BOULEVARD 5'!U65&gt;0),"Pagado","impago"),""))</f>
        <v/>
      </c>
      <c r="S67" s="666" t="str">
        <f>IF(OR($A67="F&amp;F",$G67=""),"",IF(S$8&gt;$G67,IF(OR(status1B5!T67=1,status1B5!T67=2,'BOULEVARD 5'!V65&gt;0),"Pagado","impago"),""))</f>
        <v/>
      </c>
      <c r="T67" s="666" t="str">
        <f>IF(OR($A67="F&amp;F",$G67=""),"",IF(T$8&gt;$G67,IF(OR(status1B5!U67=1,status1B5!U67=2,'BOULEVARD 5'!W65&gt;0),"Pagado","impago"),""))</f>
        <v/>
      </c>
      <c r="U67" s="666" t="str">
        <f>IF(OR($A67="F&amp;F",$G67=""),"",IF(U$8&gt;$G67,IF(OR(status1B5!V67=1,status1B5!V67=2,'BOULEVARD 5'!X65&gt;0),"Pagado","impago"),""))</f>
        <v/>
      </c>
      <c r="V67" s="666" t="str">
        <f>IF(OR($A67="F&amp;F",$G67=""),"",IF(V$8&gt;$G67,IF(OR(status1B5!W67=1,status1B5!W67=2,'BOULEVARD 5'!Y65&gt;0),"Pagado","impago"),""))</f>
        <v/>
      </c>
      <c r="W67" s="666" t="str">
        <f>IF(OR($A67="F&amp;F",$G67=""),"",IF(W$8&gt;$G67,IF(OR(status1B5!X67=1,status1B5!X67=2,'BOULEVARD 5'!Z65&gt;0),"Pagado","impago"),""))</f>
        <v/>
      </c>
      <c r="X67" s="666" t="str">
        <f>IF(OR($A67="F&amp;F",$G67=""),"",IF(X$8&gt;$G67,IF(OR(status1B5!Y67=1,status1B5!Y67=2,'BOULEVARD 5'!AA65&gt;0),"Pagado","impago"),""))</f>
        <v/>
      </c>
      <c r="Y67" s="666" t="str">
        <f>IF(OR($A67="F&amp;F",$G67=""),"",IF(Y$8&gt;$G67,IF(OR(status1B5!Z67=1,status1B5!Z67=2,'BOULEVARD 5'!AB65&gt;0),"Pagado","impago"),""))</f>
        <v>Pagado</v>
      </c>
      <c r="Z67" s="666" t="str">
        <f>IF(OR($A67="F&amp;F",$G67=""),"",IF(Z$8&gt;$G67,IF(OR(status1B5!AA67=1,status1B5!AA67=2,'BOULEVARD 5'!AC65&gt;0),"Pagado","impago"),""))</f>
        <v>Pagado</v>
      </c>
      <c r="AA67" s="666" t="str">
        <f>IF(OR($A67="F&amp;F",$G67=""),"",IF(AA$8&gt;$G67,IF(OR(status1B5!AB67=1,status1B5!AB67=2,'BOULEVARD 5'!AD65&gt;0),"Pagado","impago"),""))</f>
        <v>Pagado</v>
      </c>
      <c r="AB67" s="666" t="str">
        <f>IF(OR($A67="F&amp;F",$G67=""),"",IF(AB$8&gt;$G67,IF(OR(status1B5!AC67=1,status1B5!AC67=2,'BOULEVARD 5'!AE65&gt;0),"Pagado","impago"),""))</f>
        <v>Pagado</v>
      </c>
      <c r="AC67" s="666" t="str">
        <f>IF(OR($A67="F&amp;F",$G67=""),"",IF(AC$8&gt;$G67,IF(OR(status1B5!AD67=1,status1B5!AD67=2,'BOULEVARD 5'!AF65&gt;0),"Pagado","impago"),""))</f>
        <v>Pagado</v>
      </c>
      <c r="AD67" s="666" t="str">
        <f>IF(OR($A67="F&amp;F",$G67=""),"",IF(AD$8&gt;$G67,IF(OR(status1B5!AE67=1,status1B5!AE67=2,'BOULEVARD 5'!AG65&gt;0),"Pagado","impago"),""))</f>
        <v>Pagado</v>
      </c>
      <c r="AE67" s="666" t="str">
        <f>IF(OR($A67="F&amp;F",$G67=""),"",IF(AE$8&gt;$G67,IF(OR(status1B5!AF67=1,status1B5!AF67=2,'BOULEVARD 5'!AH65&gt;0),"Pagado","impago"),""))</f>
        <v>Pagado</v>
      </c>
      <c r="AF67" s="666" t="str">
        <f>IF(OR($A67="F&amp;F",$G67=""),"",IF(AF$8&gt;$G67,IF(OR(status1B5!AG67=1,status1B5!AG67=2,'BOULEVARD 5'!AI65&gt;0),"Pagado","impago"),""))</f>
        <v>Pagado</v>
      </c>
      <c r="AG67" s="666" t="str">
        <f>IF(OR($A67="F&amp;F",$G67=""),"",IF(AG$8&gt;$G67,IF(OR(status1B5!AH67=1,status1B5!AH67=2,'BOULEVARD 5'!AJ65&gt;0),"Pagado","impago"),""))</f>
        <v>Pagado</v>
      </c>
      <c r="AH67" s="666" t="str">
        <f>IF(OR($A67="F&amp;F",$G67=""),"",IF(AH$8&gt;$G67,IF(OR(status1B5!AI67=1,status1B5!AI67=2,'BOULEVARD 5'!AK65&gt;0),"Pagado","impago"),""))</f>
        <v>Pagado</v>
      </c>
      <c r="AI67" s="666" t="str">
        <f>IF(OR($A67="F&amp;F",$G67=""),"",IF(AI$8&gt;$G67,IF(OR(status1B5!AJ67=1,status1B5!AJ67=2,'BOULEVARD 5'!AL65&gt;0),"Pagado","impago"),""))</f>
        <v>Pagado</v>
      </c>
      <c r="AJ67" s="666" t="str">
        <f>IF(OR($A67="F&amp;F",$G67=""),"",IF(AJ$8&gt;$G67,IF(OR(status1B5!AK67=1,status1B5!AK67=2,'BOULEVARD 5'!AM65&gt;0),"Pagado","impago"),""))</f>
        <v>Pagado</v>
      </c>
      <c r="AK67" s="666" t="str">
        <f>IF(OR($A67="F&amp;F",$G67=""),"",IF(AK$8&gt;$G67,IF(OR(status1B5!AL67=1,status1B5!AL67=2,'BOULEVARD 5'!AN65&gt;0),"Pagado","impago"),""))</f>
        <v>Pagado</v>
      </c>
      <c r="AL67" s="666" t="str">
        <f>IF(OR($A67="F&amp;F",$G67=""),"",IF(AL$8&gt;$G67,IF(OR(status1B5!AM67=1,status1B5!AM67=2,'BOULEVARD 5'!AO65&gt;0),"Pagado","impago"),""))</f>
        <v>Pagado</v>
      </c>
      <c r="AM67" s="666" t="str">
        <f>IF(OR($A67="F&amp;F",$G67=""),"",IF(AM$8&gt;$G67,IF(OR(status1B5!AN67=1,status1B5!AN67=2,'BOULEVARD 5'!AP65&gt;0),"Pagado","impago"),""))</f>
        <v>Pagado</v>
      </c>
      <c r="AN67" s="666" t="str">
        <f>IF(OR($A67="F&amp;F",$G67=""),"",IF(AN$8&gt;$G67,IF(OR(status1B5!AO67=1,status1B5!AO67=2,'BOULEVARD 5'!AQ65&gt;0),"Pagado","impago"),""))</f>
        <v>Pagado</v>
      </c>
      <c r="AO67" s="666" t="str">
        <f>IF(OR($A67="F&amp;F",$G67=""),"",IF(AO$8&gt;$G67,IF(OR(status1B5!AP67=1,status1B5!AP67=2,'BOULEVARD 5'!AS65&gt;0),"Pagado","impago"),""))</f>
        <v>Pagado</v>
      </c>
      <c r="AP67" s="429" t="str">
        <f t="shared" si="4"/>
        <v>Vendido</v>
      </c>
    </row>
    <row r="68" spans="1:42" s="429" customFormat="1" ht="13.9" customHeight="1" x14ac:dyDescent="0.25">
      <c r="A68" s="472"/>
      <c r="B68" s="436">
        <f>'BOULEVARD 5'!B66</f>
        <v>410</v>
      </c>
      <c r="C68" s="436" t="s">
        <v>355</v>
      </c>
      <c r="D68" s="436"/>
      <c r="E68" s="436" t="str">
        <f>IF('BOULEVARD 5'!E66="","",'BOULEVARD 5'!E66)</f>
        <v>Anahí Cisneros</v>
      </c>
      <c r="F68" s="429" t="str">
        <f>IF('BOULEVARD 5'!F66="","",'BOULEVARD 5'!F66)</f>
        <v>Josué Ernesto Herrera Aguilar</v>
      </c>
      <c r="G68" s="473">
        <f>IF('BOULEVARD 5'!G66="","",'BOULEVARD 5'!G66)</f>
        <v>45849</v>
      </c>
      <c r="H68" s="666" t="str">
        <f>IF(OR($A68="F&amp;F",$G68=""),"",IF(H$8&gt;$G68,IF(OR(status1B5!I68=1,status1B5!I68=2,'BOULEVARD 5'!K66&gt;0),"Pagado","impago"),""))</f>
        <v/>
      </c>
      <c r="I68" s="666" t="str">
        <f>IF(OR($A68="F&amp;F",$G68=""),"",IF(I$8&gt;$G68,IF(OR(status1B5!J68=1,status1B5!J68=2,'BOULEVARD 5'!L66&gt;0),"Pagado","impago"),""))</f>
        <v/>
      </c>
      <c r="J68" s="666" t="str">
        <f>IF(OR($A68="F&amp;F",$G68=""),"",IF(J$8&gt;$G68,IF(OR(status1B5!K68=1,status1B5!K68=2,'BOULEVARD 5'!M66&gt;0),"Pagado","impago"),""))</f>
        <v/>
      </c>
      <c r="K68" s="666" t="str">
        <f>IF(OR($A68="F&amp;F",$G68=""),"",IF(K$8&gt;$G68,IF(OR(status1B5!L68=1,status1B5!L68=2,'BOULEVARD 5'!N66&gt;0),"Pagado","impago"),""))</f>
        <v/>
      </c>
      <c r="L68" s="666" t="str">
        <f>IF(OR($A68="F&amp;F",$G68=""),"",IF(L$8&gt;$G68,IF(OR(status1B5!M68=1,status1B5!M68=2,'BOULEVARD 5'!O66&gt;0),"Pagado","impago"),""))</f>
        <v/>
      </c>
      <c r="M68" s="666" t="str">
        <f>IF(OR($A68="F&amp;F",$G68=""),"",IF(M$8&gt;$G68,IF(OR(status1B5!N68=1,status1B5!N68=2,'BOULEVARD 5'!P66&gt;0),"Pagado","impago"),""))</f>
        <v/>
      </c>
      <c r="N68" s="666" t="str">
        <f>IF(OR($A68="F&amp;F",$G68=""),"",IF(N$8&gt;$G68,IF(OR(status1B5!O68=1,status1B5!O68=2,'BOULEVARD 5'!Q66&gt;0),"Pagado","impago"),""))</f>
        <v/>
      </c>
      <c r="O68" s="666" t="str">
        <f>IF(OR($A68="F&amp;F",$G68=""),"",IF(O$8&gt;$G68,IF(OR(status1B5!P68=1,status1B5!P68=2,'BOULEVARD 5'!R66&gt;0),"Pagado","impago"),""))</f>
        <v/>
      </c>
      <c r="P68" s="666" t="str">
        <f>IF(OR($A68="F&amp;F",$G68=""),"",IF(P$8&gt;$G68,IF(OR(status1B5!Q68=1,status1B5!Q68=2,'BOULEVARD 5'!S66&gt;0),"Pagado","impago"),""))</f>
        <v/>
      </c>
      <c r="Q68" s="666" t="str">
        <f>IF(OR($A68="F&amp;F",$G68=""),"",IF(Q$8&gt;$G68,IF(OR(status1B5!R68=1,status1B5!R68=2,'BOULEVARD 5'!T66&gt;0),"Pagado","impago"),""))</f>
        <v/>
      </c>
      <c r="R68" s="666" t="str">
        <f>IF(OR($A68="F&amp;F",$G68=""),"",IF(R$8&gt;$G68,IF(OR(status1B5!S68=1,status1B5!S68=2,'BOULEVARD 5'!U66&gt;0),"Pagado","impago"),""))</f>
        <v/>
      </c>
      <c r="S68" s="666" t="str">
        <f>IF(OR($A68="F&amp;F",$G68=""),"",IF(S$8&gt;$G68,IF(OR(status1B5!T68=1,status1B5!T68=2,'BOULEVARD 5'!V66&gt;0),"Pagado","impago"),""))</f>
        <v/>
      </c>
      <c r="T68" s="666" t="str">
        <f>IF(OR($A68="F&amp;F",$G68=""),"",IF(T$8&gt;$G68,IF(OR(status1B5!U68=1,status1B5!U68=2,'BOULEVARD 5'!W66&gt;0),"Pagado","impago"),""))</f>
        <v/>
      </c>
      <c r="U68" s="666" t="str">
        <f>IF(OR($A68="F&amp;F",$G68=""),"",IF(U$8&gt;$G68,IF(OR(status1B5!V68=1,status1B5!V68=2,'BOULEVARD 5'!X66&gt;0),"Pagado","impago"),""))</f>
        <v/>
      </c>
      <c r="V68" s="666" t="str">
        <f>IF(OR($A68="F&amp;F",$G68=""),"",IF(V$8&gt;$G68,IF(OR(status1B5!W68=1,status1B5!W68=2,'BOULEVARD 5'!Y66&gt;0),"Pagado","impago"),""))</f>
        <v/>
      </c>
      <c r="W68" s="666" t="str">
        <f>IF(OR($A68="F&amp;F",$G68=""),"",IF(W$8&gt;$G68,IF(OR(status1B5!X68=1,status1B5!X68=2,'BOULEVARD 5'!Z66&gt;0),"Pagado","impago"),""))</f>
        <v/>
      </c>
      <c r="X68" s="666" t="str">
        <f>IF(OR($A68="F&amp;F",$G68=""),"",IF(X$8&gt;$G68,IF(OR(status1B5!Y68=1,status1B5!Y68=2,'BOULEVARD 5'!AA66&gt;0),"Pagado","impago"),""))</f>
        <v/>
      </c>
      <c r="Y68" s="666" t="str">
        <f>IF(OR($A68="F&amp;F",$G68=""),"",IF(Y$8&gt;$G68,IF(OR(status1B5!Z68=1,status1B5!Z68=2,'BOULEVARD 5'!AB66&gt;0),"Pagado","impago"),""))</f>
        <v/>
      </c>
      <c r="Z68" s="666" t="str">
        <f>IF(OR($A68="F&amp;F",$G68=""),"",IF(Z$8&gt;$G68,IF(OR(status1B5!AA68=1,status1B5!AA68=2,'BOULEVARD 5'!AC66&gt;0),"Pagado","impago"),""))</f>
        <v/>
      </c>
      <c r="AA68" s="666" t="str">
        <f>IF(OR($A68="F&amp;F",$G68=""),"",IF(AA$8&gt;$G68,IF(OR(status1B5!AB68=1,status1B5!AB68=2,'BOULEVARD 5'!AD66&gt;0),"Pagado","impago"),""))</f>
        <v/>
      </c>
      <c r="AB68" s="666" t="str">
        <f>IF(OR($A68="F&amp;F",$G68=""),"",IF(AB$8&gt;$G68,IF(OR(status1B5!AC68=1,status1B5!AC68=2,'BOULEVARD 5'!AE66&gt;0),"Pagado","impago"),""))</f>
        <v/>
      </c>
      <c r="AC68" s="666" t="str">
        <f>IF(OR($A68="F&amp;F",$G68=""),"",IF(AC$8&gt;$G68,IF(OR(status1B5!AD68=1,status1B5!AD68=2,'BOULEVARD 5'!AF66&gt;0),"Pagado","impago"),""))</f>
        <v/>
      </c>
      <c r="AD68" s="666" t="str">
        <f>IF(OR($A68="F&amp;F",$G68=""),"",IF(AD$8&gt;$G68,IF(OR(status1B5!AE68=1,status1B5!AE68=2,'BOULEVARD 5'!AG66&gt;0),"Pagado","impago"),""))</f>
        <v/>
      </c>
      <c r="AE68" s="666" t="str">
        <f>IF(OR($A68="F&amp;F",$G68=""),"",IF(AE$8&gt;$G68,IF(OR(status1B5!AF68=1,status1B5!AF68=2,'BOULEVARD 5'!AH66&gt;0),"Pagado","impago"),""))</f>
        <v/>
      </c>
      <c r="AF68" s="666" t="str">
        <f>IF(OR($A68="F&amp;F",$G68=""),"",IF(AF$8&gt;$G68,IF(OR(status1B5!AG68=1,status1B5!AG68=2,'BOULEVARD 5'!AI66&gt;0),"Pagado","impago"),""))</f>
        <v/>
      </c>
      <c r="AG68" s="666" t="str">
        <f>IF(OR($A68="F&amp;F",$G68=""),"",IF(AG$8&gt;$G68,IF(OR(status1B5!AH68=1,status1B5!AH68=2,'BOULEVARD 5'!AJ66&gt;0),"Pagado","impago"),""))</f>
        <v/>
      </c>
      <c r="AH68" s="666" t="str">
        <f>IF(OR($A68="F&amp;F",$G68=""),"",IF(AH$8&gt;$G68,IF(OR(status1B5!AI68=1,status1B5!AI68=2,'BOULEVARD 5'!AK66&gt;0),"Pagado","impago"),""))</f>
        <v/>
      </c>
      <c r="AI68" s="666" t="str">
        <f>IF(OR($A68="F&amp;F",$G68=""),"",IF(AI$8&gt;$G68,IF(OR(status1B5!AJ68=1,status1B5!AJ68=2,'BOULEVARD 5'!AL66&gt;0),"Pagado","impago"),""))</f>
        <v/>
      </c>
      <c r="AJ68" s="666" t="str">
        <f>IF(OR($A68="F&amp;F",$G68=""),"",IF(AJ$8&gt;$G68,IF(OR(status1B5!AK68=1,status1B5!AK68=2,'BOULEVARD 5'!AM66&gt;0),"Pagado","impago"),""))</f>
        <v>Pagado</v>
      </c>
      <c r="AK68" s="666" t="str">
        <f>IF(OR($A68="F&amp;F",$G68=""),"",IF(AK$8&gt;$G68,IF(OR(status1B5!AL68=1,status1B5!AL68=2,'BOULEVARD 5'!AN66&gt;0),"Pagado","impago"),""))</f>
        <v>Pagado</v>
      </c>
      <c r="AL68" s="666" t="str">
        <f>IF(OR($A68="F&amp;F",$G68=""),"",IF(AL$8&gt;$G68,IF(OR(status1B5!AM68=1,status1B5!AM68=2,'BOULEVARD 5'!AO66&gt;0),"Pagado","impago"),""))</f>
        <v>Pagado</v>
      </c>
      <c r="AM68" s="666" t="str">
        <f>IF(OR($A68="F&amp;F",$G68=""),"",IF(AM$8&gt;$G68,IF(OR(status1B5!AN68=1,status1B5!AN68=2,'BOULEVARD 5'!AP66&gt;0),"Pagado","impago"),""))</f>
        <v>Pagado</v>
      </c>
      <c r="AN68" s="666" t="str">
        <f>IF(OR($A68="F&amp;F",$G68=""),"",IF(AN$8&gt;$G68,IF(OR(status1B5!AO68=1,status1B5!AO68=2,'BOULEVARD 5'!AQ66&gt;0),"Pagado","impago"),""))</f>
        <v>Pagado</v>
      </c>
      <c r="AO68" s="666" t="str">
        <f>IF(OR($A68="F&amp;F",$G68=""),"",IF(AO$8&gt;$G68,IF(OR(status1B5!AP68=1,status1B5!AP68=2,'BOULEVARD 5'!AS66&gt;0),"Pagado","impago"),""))</f>
        <v>Pagado</v>
      </c>
      <c r="AP68" s="429" t="str">
        <f t="shared" si="4"/>
        <v>Vendido</v>
      </c>
    </row>
    <row r="69" spans="1:42" s="429" customFormat="1" ht="13.9" customHeight="1" x14ac:dyDescent="0.25">
      <c r="A69" s="472"/>
      <c r="B69" s="436">
        <f>'BOULEVARD 5'!B67</f>
        <v>411</v>
      </c>
      <c r="C69" s="436" t="s">
        <v>355</v>
      </c>
      <c r="D69" s="436"/>
      <c r="E69" s="436" t="str">
        <f>IF('BOULEVARD 5'!E67="","",'BOULEVARD 5'!E67)</f>
        <v>Anahí Cisneros</v>
      </c>
      <c r="F69" s="429" t="str">
        <f>IF('BOULEVARD 5'!F67="","",'BOULEVARD 5'!F67)</f>
        <v>Sonia Elizabeth Gómez Méndez de García</v>
      </c>
      <c r="G69" s="473">
        <f>IF('BOULEVARD 5'!G67="","",'BOULEVARD 5'!G67)</f>
        <v>45971</v>
      </c>
      <c r="H69" s="666" t="str">
        <f>IF(OR($A69="F&amp;F",$G69=""),"",IF(H$8&gt;$G69,IF(OR(status1B5!I69=1,status1B5!I69=2,'BOULEVARD 5'!K67&gt;0),"Pagado","impago"),""))</f>
        <v/>
      </c>
      <c r="I69" s="666" t="str">
        <f>IF(OR($A69="F&amp;F",$G69=""),"",IF(I$8&gt;$G69,IF(OR(status1B5!J69=1,status1B5!J69=2,'BOULEVARD 5'!L67&gt;0),"Pagado","impago"),""))</f>
        <v/>
      </c>
      <c r="J69" s="666" t="str">
        <f>IF(OR($A69="F&amp;F",$G69=""),"",IF(J$8&gt;$G69,IF(OR(status1B5!K69=1,status1B5!K69=2,'BOULEVARD 5'!M67&gt;0),"Pagado","impago"),""))</f>
        <v/>
      </c>
      <c r="K69" s="666" t="str">
        <f>IF(OR($A69="F&amp;F",$G69=""),"",IF(K$8&gt;$G69,IF(OR(status1B5!L69=1,status1B5!L69=2,'BOULEVARD 5'!N67&gt;0),"Pagado","impago"),""))</f>
        <v/>
      </c>
      <c r="L69" s="666" t="str">
        <f>IF(OR($A69="F&amp;F",$G69=""),"",IF(L$8&gt;$G69,IF(OR(status1B5!M69=1,status1B5!M69=2,'BOULEVARD 5'!O67&gt;0),"Pagado","impago"),""))</f>
        <v/>
      </c>
      <c r="M69" s="666" t="str">
        <f>IF(OR($A69="F&amp;F",$G69=""),"",IF(M$8&gt;$G69,IF(OR(status1B5!N69=1,status1B5!N69=2,'BOULEVARD 5'!P67&gt;0),"Pagado","impago"),""))</f>
        <v/>
      </c>
      <c r="N69" s="666" t="str">
        <f>IF(OR($A69="F&amp;F",$G69=""),"",IF(N$8&gt;$G69,IF(OR(status1B5!O69=1,status1B5!O69=2,'BOULEVARD 5'!Q67&gt;0),"Pagado","impago"),""))</f>
        <v/>
      </c>
      <c r="O69" s="666" t="str">
        <f>IF(OR($A69="F&amp;F",$G69=""),"",IF(O$8&gt;$G69,IF(OR(status1B5!P69=1,status1B5!P69=2,'BOULEVARD 5'!R67&gt;0),"Pagado","impago"),""))</f>
        <v/>
      </c>
      <c r="P69" s="666" t="str">
        <f>IF(OR($A69="F&amp;F",$G69=""),"",IF(P$8&gt;$G69,IF(OR(status1B5!Q69=1,status1B5!Q69=2,'BOULEVARD 5'!S67&gt;0),"Pagado","impago"),""))</f>
        <v/>
      </c>
      <c r="Q69" s="666" t="str">
        <f>IF(OR($A69="F&amp;F",$G69=""),"",IF(Q$8&gt;$G69,IF(OR(status1B5!R69=1,status1B5!R69=2,'BOULEVARD 5'!T67&gt;0),"Pagado","impago"),""))</f>
        <v/>
      </c>
      <c r="R69" s="666" t="str">
        <f>IF(OR($A69="F&amp;F",$G69=""),"",IF(R$8&gt;$G69,IF(OR(status1B5!S69=1,status1B5!S69=2,'BOULEVARD 5'!U67&gt;0),"Pagado","impago"),""))</f>
        <v/>
      </c>
      <c r="S69" s="666" t="str">
        <f>IF(OR($A69="F&amp;F",$G69=""),"",IF(S$8&gt;$G69,IF(OR(status1B5!T69=1,status1B5!T69=2,'BOULEVARD 5'!V67&gt;0),"Pagado","impago"),""))</f>
        <v/>
      </c>
      <c r="T69" s="666" t="str">
        <f>IF(OR($A69="F&amp;F",$G69=""),"",IF(T$8&gt;$G69,IF(OR(status1B5!U69=1,status1B5!U69=2,'BOULEVARD 5'!W67&gt;0),"Pagado","impago"),""))</f>
        <v/>
      </c>
      <c r="U69" s="666" t="str">
        <f>IF(OR($A69="F&amp;F",$G69=""),"",IF(U$8&gt;$G69,IF(OR(status1B5!V69=1,status1B5!V69=2,'BOULEVARD 5'!X67&gt;0),"Pagado","impago"),""))</f>
        <v/>
      </c>
      <c r="V69" s="666" t="str">
        <f>IF(OR($A69="F&amp;F",$G69=""),"",IF(V$8&gt;$G69,IF(OR(status1B5!W69=1,status1B5!W69=2,'BOULEVARD 5'!Y67&gt;0),"Pagado","impago"),""))</f>
        <v/>
      </c>
      <c r="W69" s="666" t="str">
        <f>IF(OR($A69="F&amp;F",$G69=""),"",IF(W$8&gt;$G69,IF(OR(status1B5!X69=1,status1B5!X69=2,'BOULEVARD 5'!Z67&gt;0),"Pagado","impago"),""))</f>
        <v/>
      </c>
      <c r="X69" s="666" t="str">
        <f>IF(OR($A69="F&amp;F",$G69=""),"",IF(X$8&gt;$G69,IF(OR(status1B5!Y69=1,status1B5!Y69=2,'BOULEVARD 5'!AA67&gt;0),"Pagado","impago"),""))</f>
        <v/>
      </c>
      <c r="Y69" s="666" t="str">
        <f>IF(OR($A69="F&amp;F",$G69=""),"",IF(Y$8&gt;$G69,IF(OR(status1B5!Z69=1,status1B5!Z69=2,'BOULEVARD 5'!AB67&gt;0),"Pagado","impago"),""))</f>
        <v/>
      </c>
      <c r="Z69" s="666" t="str">
        <f>IF(OR($A69="F&amp;F",$G69=""),"",IF(Z$8&gt;$G69,IF(OR(status1B5!AA69=1,status1B5!AA69=2,'BOULEVARD 5'!AC67&gt;0),"Pagado","impago"),""))</f>
        <v/>
      </c>
      <c r="AA69" s="666" t="str">
        <f>IF(OR($A69="F&amp;F",$G69=""),"",IF(AA$8&gt;$G69,IF(OR(status1B5!AB69=1,status1B5!AB69=2,'BOULEVARD 5'!AD67&gt;0),"Pagado","impago"),""))</f>
        <v/>
      </c>
      <c r="AB69" s="666" t="str">
        <f>IF(OR($A69="F&amp;F",$G69=""),"",IF(AB$8&gt;$G69,IF(OR(status1B5!AC69=1,status1B5!AC69=2,'BOULEVARD 5'!AE67&gt;0),"Pagado","impago"),""))</f>
        <v/>
      </c>
      <c r="AC69" s="666" t="str">
        <f>IF(OR($A69="F&amp;F",$G69=""),"",IF(AC$8&gt;$G69,IF(OR(status1B5!AD69=1,status1B5!AD69=2,'BOULEVARD 5'!AF67&gt;0),"Pagado","impago"),""))</f>
        <v/>
      </c>
      <c r="AD69" s="666" t="str">
        <f>IF(OR($A69="F&amp;F",$G69=""),"",IF(AD$8&gt;$G69,IF(OR(status1B5!AE69=1,status1B5!AE69=2,'BOULEVARD 5'!AG67&gt;0),"Pagado","impago"),""))</f>
        <v/>
      </c>
      <c r="AE69" s="666" t="str">
        <f>IF(OR($A69="F&amp;F",$G69=""),"",IF(AE$8&gt;$G69,IF(OR(status1B5!AF69=1,status1B5!AF69=2,'BOULEVARD 5'!AH67&gt;0),"Pagado","impago"),""))</f>
        <v/>
      </c>
      <c r="AF69" s="666" t="str">
        <f>IF(OR($A69="F&amp;F",$G69=""),"",IF(AF$8&gt;$G69,IF(OR(status1B5!AG69=1,status1B5!AG69=2,'BOULEVARD 5'!AI67&gt;0),"Pagado","impago"),""))</f>
        <v/>
      </c>
      <c r="AG69" s="666" t="str">
        <f>IF(OR($A69="F&amp;F",$G69=""),"",IF(AG$8&gt;$G69,IF(OR(status1B5!AH69=1,status1B5!AH69=2,'BOULEVARD 5'!AJ67&gt;0),"Pagado","impago"),""))</f>
        <v/>
      </c>
      <c r="AH69" s="666" t="str">
        <f>IF(OR($A69="F&amp;F",$G69=""),"",IF(AH$8&gt;$G69,IF(OR(status1B5!AI69=1,status1B5!AI69=2,'BOULEVARD 5'!AK67&gt;0),"Pagado","impago"),""))</f>
        <v/>
      </c>
      <c r="AI69" s="666" t="str">
        <f>IF(OR($A69="F&amp;F",$G69=""),"",IF(AI$8&gt;$G69,IF(OR(status1B5!AJ69=1,status1B5!AJ69=2,'BOULEVARD 5'!AL67&gt;0),"Pagado","impago"),""))</f>
        <v/>
      </c>
      <c r="AJ69" s="666" t="str">
        <f>IF(OR($A69="F&amp;F",$G69=""),"",IF(AJ$8&gt;$G69,IF(OR(status1B5!AK69=1,status1B5!AK69=2,'BOULEVARD 5'!AM67&gt;0),"Pagado","impago"),""))</f>
        <v/>
      </c>
      <c r="AK69" s="666" t="str">
        <f>IF(OR($A69="F&amp;F",$G69=""),"",IF(AK$8&gt;$G69,IF(OR(status1B5!AL69=1,status1B5!AL69=2,'BOULEVARD 5'!AN67&gt;0),"Pagado","impago"),""))</f>
        <v/>
      </c>
      <c r="AL69" s="666" t="str">
        <f>IF(OR($A69="F&amp;F",$G69=""),"",IF(AL$8&gt;$G69,IF(OR(status1B5!AM69=1,status1B5!AM69=2,'BOULEVARD 5'!AO67&gt;0),"Pagado","impago"),""))</f>
        <v/>
      </c>
      <c r="AM69" s="666" t="str">
        <f>IF(OR($A69="F&amp;F",$G69=""),"",IF(AM$8&gt;$G69,IF(OR(status1B5!AN69=1,status1B5!AN69=2,'BOULEVARD 5'!AP67&gt;0),"Pagado","impago"),""))</f>
        <v/>
      </c>
      <c r="AN69" s="666" t="str">
        <f>IF(OR($A69="F&amp;F",$G69=""),"",IF(AN$8&gt;$G69,IF(OR(status1B5!AO69=1,status1B5!AO69=2,'BOULEVARD 5'!AQ67&gt;0),"Pagado","impago"),""))</f>
        <v>Pagado</v>
      </c>
      <c r="AO69" s="666" t="str">
        <f>IF(OR($A69="F&amp;F",$G69=""),"",IF(AO$8&gt;$G69,IF(OR(status1B5!AP69=1,status1B5!AP69=2,'BOULEVARD 5'!AS67&gt;0),"Pagado","impago"),""))</f>
        <v>Pagado</v>
      </c>
      <c r="AP69" s="429" t="str">
        <f t="shared" si="4"/>
        <v>Vendido</v>
      </c>
    </row>
    <row r="70" spans="1:42" s="429" customFormat="1" ht="13.9" customHeight="1" x14ac:dyDescent="0.25">
      <c r="A70" s="472"/>
      <c r="B70" s="436">
        <f>'BOULEVARD 5'!B68</f>
        <v>412</v>
      </c>
      <c r="C70" s="436" t="s">
        <v>355</v>
      </c>
      <c r="D70" s="436"/>
      <c r="E70" s="436" t="str">
        <f>IF('BOULEVARD 5'!E68="","",'BOULEVARD 5'!E68)</f>
        <v>Anahí Cisneros</v>
      </c>
      <c r="F70" s="429" t="str">
        <f>IF('BOULEVARD 5'!F68="","",'BOULEVARD 5'!F68)</f>
        <v>Silvia Rose Mary Monzón Paniagua</v>
      </c>
      <c r="G70" s="473">
        <f>IF('BOULEVARD 5'!G68="","",'BOULEVARD 5'!G68)</f>
        <v>45971</v>
      </c>
      <c r="H70" s="666" t="str">
        <f>IF(OR($A70="F&amp;F",$G70=""),"",IF(H$8&gt;$G70,IF(OR(status1B5!I70=1,status1B5!I70=2,'BOULEVARD 5'!K68&gt;0),"Pagado","impago"),""))</f>
        <v/>
      </c>
      <c r="I70" s="666" t="str">
        <f>IF(OR($A70="F&amp;F",$G70=""),"",IF(I$8&gt;$G70,IF(OR(status1B5!J70=1,status1B5!J70=2,'BOULEVARD 5'!L68&gt;0),"Pagado","impago"),""))</f>
        <v/>
      </c>
      <c r="J70" s="666" t="str">
        <f>IF(OR($A70="F&amp;F",$G70=""),"",IF(J$8&gt;$G70,IF(OR(status1B5!K70=1,status1B5!K70=2,'BOULEVARD 5'!M68&gt;0),"Pagado","impago"),""))</f>
        <v/>
      </c>
      <c r="K70" s="666" t="str">
        <f>IF(OR($A70="F&amp;F",$G70=""),"",IF(K$8&gt;$G70,IF(OR(status1B5!L70=1,status1B5!L70=2,'BOULEVARD 5'!N68&gt;0),"Pagado","impago"),""))</f>
        <v/>
      </c>
      <c r="L70" s="666" t="str">
        <f>IF(OR($A70="F&amp;F",$G70=""),"",IF(L$8&gt;$G70,IF(OR(status1B5!M70=1,status1B5!M70=2,'BOULEVARD 5'!O68&gt;0),"Pagado","impago"),""))</f>
        <v/>
      </c>
      <c r="M70" s="666" t="str">
        <f>IF(OR($A70="F&amp;F",$G70=""),"",IF(M$8&gt;$G70,IF(OR(status1B5!N70=1,status1B5!N70=2,'BOULEVARD 5'!P68&gt;0),"Pagado","impago"),""))</f>
        <v/>
      </c>
      <c r="N70" s="666" t="str">
        <f>IF(OR($A70="F&amp;F",$G70=""),"",IF(N$8&gt;$G70,IF(OR(status1B5!O70=1,status1B5!O70=2,'BOULEVARD 5'!Q68&gt;0),"Pagado","impago"),""))</f>
        <v/>
      </c>
      <c r="O70" s="666" t="str">
        <f>IF(OR($A70="F&amp;F",$G70=""),"",IF(O$8&gt;$G70,IF(OR(status1B5!P70=1,status1B5!P70=2,'BOULEVARD 5'!R68&gt;0),"Pagado","impago"),""))</f>
        <v/>
      </c>
      <c r="P70" s="666" t="str">
        <f>IF(OR($A70="F&amp;F",$G70=""),"",IF(P$8&gt;$G70,IF(OR(status1B5!Q70=1,status1B5!Q70=2,'BOULEVARD 5'!S68&gt;0),"Pagado","impago"),""))</f>
        <v/>
      </c>
      <c r="Q70" s="666" t="str">
        <f>IF(OR($A70="F&amp;F",$G70=""),"",IF(Q$8&gt;$G70,IF(OR(status1B5!R70=1,status1B5!R70=2,'BOULEVARD 5'!T68&gt;0),"Pagado","impago"),""))</f>
        <v/>
      </c>
      <c r="R70" s="666" t="str">
        <f>IF(OR($A70="F&amp;F",$G70=""),"",IF(R$8&gt;$G70,IF(OR(status1B5!S70=1,status1B5!S70=2,'BOULEVARD 5'!U68&gt;0),"Pagado","impago"),""))</f>
        <v/>
      </c>
      <c r="S70" s="666" t="str">
        <f>IF(OR($A70="F&amp;F",$G70=""),"",IF(S$8&gt;$G70,IF(OR(status1B5!T70=1,status1B5!T70=2,'BOULEVARD 5'!V68&gt;0),"Pagado","impago"),""))</f>
        <v/>
      </c>
      <c r="T70" s="666" t="str">
        <f>IF(OR($A70="F&amp;F",$G70=""),"",IF(T$8&gt;$G70,IF(OR(status1B5!U70=1,status1B5!U70=2,'BOULEVARD 5'!W68&gt;0),"Pagado","impago"),""))</f>
        <v/>
      </c>
      <c r="U70" s="666" t="str">
        <f>IF(OR($A70="F&amp;F",$G70=""),"",IF(U$8&gt;$G70,IF(OR(status1B5!V70=1,status1B5!V70=2,'BOULEVARD 5'!X68&gt;0),"Pagado","impago"),""))</f>
        <v/>
      </c>
      <c r="V70" s="666" t="str">
        <f>IF(OR($A70="F&amp;F",$G70=""),"",IF(V$8&gt;$G70,IF(OR(status1B5!W70=1,status1B5!W70=2,'BOULEVARD 5'!Y68&gt;0),"Pagado","impago"),""))</f>
        <v/>
      </c>
      <c r="W70" s="666" t="str">
        <f>IF(OR($A70="F&amp;F",$G70=""),"",IF(W$8&gt;$G70,IF(OR(status1B5!X70=1,status1B5!X70=2,'BOULEVARD 5'!Z68&gt;0),"Pagado","impago"),""))</f>
        <v/>
      </c>
      <c r="X70" s="666" t="str">
        <f>IF(OR($A70="F&amp;F",$G70=""),"",IF(X$8&gt;$G70,IF(OR(status1B5!Y70=1,status1B5!Y70=2,'BOULEVARD 5'!AA68&gt;0),"Pagado","impago"),""))</f>
        <v/>
      </c>
      <c r="Y70" s="666" t="str">
        <f>IF(OR($A70="F&amp;F",$G70=""),"",IF(Y$8&gt;$G70,IF(OR(status1B5!Z70=1,status1B5!Z70=2,'BOULEVARD 5'!AB68&gt;0),"Pagado","impago"),""))</f>
        <v/>
      </c>
      <c r="Z70" s="666" t="str">
        <f>IF(OR($A70="F&amp;F",$G70=""),"",IF(Z$8&gt;$G70,IF(OR(status1B5!AA70=1,status1B5!AA70=2,'BOULEVARD 5'!AC68&gt;0),"Pagado","impago"),""))</f>
        <v/>
      </c>
      <c r="AA70" s="666" t="str">
        <f>IF(OR($A70="F&amp;F",$G70=""),"",IF(AA$8&gt;$G70,IF(OR(status1B5!AB70=1,status1B5!AB70=2,'BOULEVARD 5'!AD68&gt;0),"Pagado","impago"),""))</f>
        <v/>
      </c>
      <c r="AB70" s="666" t="str">
        <f>IF(OR($A70="F&amp;F",$G70=""),"",IF(AB$8&gt;$G70,IF(OR(status1B5!AC70=1,status1B5!AC70=2,'BOULEVARD 5'!AE68&gt;0),"Pagado","impago"),""))</f>
        <v/>
      </c>
      <c r="AC70" s="666" t="str">
        <f>IF(OR($A70="F&amp;F",$G70=""),"",IF(AC$8&gt;$G70,IF(OR(status1B5!AD70=1,status1B5!AD70=2,'BOULEVARD 5'!AF68&gt;0),"Pagado","impago"),""))</f>
        <v/>
      </c>
      <c r="AD70" s="666" t="str">
        <f>IF(OR($A70="F&amp;F",$G70=""),"",IF(AD$8&gt;$G70,IF(OR(status1B5!AE70=1,status1B5!AE70=2,'BOULEVARD 5'!AG68&gt;0),"Pagado","impago"),""))</f>
        <v/>
      </c>
      <c r="AE70" s="666" t="str">
        <f>IF(OR($A70="F&amp;F",$G70=""),"",IF(AE$8&gt;$G70,IF(OR(status1B5!AF70=1,status1B5!AF70=2,'BOULEVARD 5'!AH68&gt;0),"Pagado","impago"),""))</f>
        <v/>
      </c>
      <c r="AF70" s="666" t="str">
        <f>IF(OR($A70="F&amp;F",$G70=""),"",IF(AF$8&gt;$G70,IF(OR(status1B5!AG70=1,status1B5!AG70=2,'BOULEVARD 5'!AI68&gt;0),"Pagado","impago"),""))</f>
        <v/>
      </c>
      <c r="AG70" s="666" t="str">
        <f>IF(OR($A70="F&amp;F",$G70=""),"",IF(AG$8&gt;$G70,IF(OR(status1B5!AH70=1,status1B5!AH70=2,'BOULEVARD 5'!AJ68&gt;0),"Pagado","impago"),""))</f>
        <v/>
      </c>
      <c r="AH70" s="666" t="str">
        <f>IF(OR($A70="F&amp;F",$G70=""),"",IF(AH$8&gt;$G70,IF(OR(status1B5!AI70=1,status1B5!AI70=2,'BOULEVARD 5'!AK68&gt;0),"Pagado","impago"),""))</f>
        <v/>
      </c>
      <c r="AI70" s="666" t="str">
        <f>IF(OR($A70="F&amp;F",$G70=""),"",IF(AI$8&gt;$G70,IF(OR(status1B5!AJ70=1,status1B5!AJ70=2,'BOULEVARD 5'!AL68&gt;0),"Pagado","impago"),""))</f>
        <v/>
      </c>
      <c r="AJ70" s="666" t="str">
        <f>IF(OR($A70="F&amp;F",$G70=""),"",IF(AJ$8&gt;$G70,IF(OR(status1B5!AK70=1,status1B5!AK70=2,'BOULEVARD 5'!AM68&gt;0),"Pagado","impago"),""))</f>
        <v/>
      </c>
      <c r="AK70" s="666" t="str">
        <f>IF(OR($A70="F&amp;F",$G70=""),"",IF(AK$8&gt;$G70,IF(OR(status1B5!AL70=1,status1B5!AL70=2,'BOULEVARD 5'!AN68&gt;0),"Pagado","impago"),""))</f>
        <v/>
      </c>
      <c r="AL70" s="666" t="str">
        <f>IF(OR($A70="F&amp;F",$G70=""),"",IF(AL$8&gt;$G70,IF(OR(status1B5!AM70=1,status1B5!AM70=2,'BOULEVARD 5'!AO68&gt;0),"Pagado","impago"),""))</f>
        <v/>
      </c>
      <c r="AM70" s="666" t="str">
        <f>IF(OR($A70="F&amp;F",$G70=""),"",IF(AM$8&gt;$G70,IF(OR(status1B5!AN70=1,status1B5!AN70=2,'BOULEVARD 5'!AP68&gt;0),"Pagado","impago"),""))</f>
        <v/>
      </c>
      <c r="AN70" s="666" t="str">
        <f>IF(OR($A70="F&amp;F",$G70=""),"",IF(AN$8&gt;$G70,IF(OR(status1B5!AO70=1,status1B5!AO70=2,'BOULEVARD 5'!AQ68&gt;0),"Pagado","impago"),""))</f>
        <v>Pagado</v>
      </c>
      <c r="AO70" s="666" t="str">
        <f>IF(OR($A70="F&amp;F",$G70=""),"",IF(AO$8&gt;$G70,IF(OR(status1B5!AP70=1,status1B5!AP70=2,'BOULEVARD 5'!AS68&gt;0),"Pagado","impago"),""))</f>
        <v>Pagado</v>
      </c>
      <c r="AP70" s="429" t="str">
        <f t="shared" si="4"/>
        <v>Vendido</v>
      </c>
    </row>
    <row r="71" spans="1:42" s="429" customFormat="1" ht="13.9" customHeight="1" x14ac:dyDescent="0.25">
      <c r="B71" s="436">
        <f>'BOULEVARD 5'!B69</f>
        <v>413</v>
      </c>
      <c r="C71" s="436" t="s">
        <v>355</v>
      </c>
      <c r="D71" s="436"/>
      <c r="E71" s="436" t="str">
        <f>IF('BOULEVARD 5'!E69="","",'BOULEVARD 5'!E69)</f>
        <v>Sofia Paredes</v>
      </c>
      <c r="F71" s="429" t="str">
        <f>IF('BOULEVARD 5'!F69="","",'BOULEVARD 5'!F69)</f>
        <v>Cindy Carolina Toscano Merida</v>
      </c>
      <c r="G71" s="473">
        <f>IF('BOULEVARD 5'!G69="","",'BOULEVARD 5'!G69)</f>
        <v>45688</v>
      </c>
      <c r="H71" s="666" t="str">
        <f>IF(OR($A71="F&amp;F",$G71=""),"",IF(H$8&gt;$G71,IF(OR(status1B5!I71=1,status1B5!I71=2,'BOULEVARD 5'!K69&gt;0),"Pagado","impago"),""))</f>
        <v/>
      </c>
      <c r="I71" s="666" t="str">
        <f>IF(OR($A71="F&amp;F",$G71=""),"",IF(I$8&gt;$G71,IF(OR(status1B5!J71=1,status1B5!J71=2,'BOULEVARD 5'!L69&gt;0),"Pagado","impago"),""))</f>
        <v/>
      </c>
      <c r="J71" s="666" t="str">
        <f>IF(OR($A71="F&amp;F",$G71=""),"",IF(J$8&gt;$G71,IF(OR(status1B5!K71=1,status1B5!K71=2,'BOULEVARD 5'!M69&gt;0),"Pagado","impago"),""))</f>
        <v/>
      </c>
      <c r="K71" s="666" t="str">
        <f>IF(OR($A71="F&amp;F",$G71=""),"",IF(K$8&gt;$G71,IF(OR(status1B5!L71=1,status1B5!L71=2,'BOULEVARD 5'!N69&gt;0),"Pagado","impago"),""))</f>
        <v/>
      </c>
      <c r="L71" s="666" t="str">
        <f>IF(OR($A71="F&amp;F",$G71=""),"",IF(L$8&gt;$G71,IF(OR(status1B5!M71=1,status1B5!M71=2,'BOULEVARD 5'!O69&gt;0),"Pagado","impago"),""))</f>
        <v/>
      </c>
      <c r="M71" s="666" t="str">
        <f>IF(OR($A71="F&amp;F",$G71=""),"",IF(M$8&gt;$G71,IF(OR(status1B5!N71=1,status1B5!N71=2,'BOULEVARD 5'!P69&gt;0),"Pagado","impago"),""))</f>
        <v/>
      </c>
      <c r="N71" s="666" t="str">
        <f>IF(OR($A71="F&amp;F",$G71=""),"",IF(N$8&gt;$G71,IF(OR(status1B5!O71=1,status1B5!O71=2,'BOULEVARD 5'!Q69&gt;0),"Pagado","impago"),""))</f>
        <v/>
      </c>
      <c r="O71" s="666" t="str">
        <f>IF(OR($A71="F&amp;F",$G71=""),"",IF(O$8&gt;$G71,IF(OR(status1B5!P71=1,status1B5!P71=2,'BOULEVARD 5'!R69&gt;0),"Pagado","impago"),""))</f>
        <v/>
      </c>
      <c r="P71" s="666" t="str">
        <f>IF(OR($A71="F&amp;F",$G71=""),"",IF(P$8&gt;$G71,IF(OR(status1B5!Q71=1,status1B5!Q71=2,'BOULEVARD 5'!S69&gt;0),"Pagado","impago"),""))</f>
        <v/>
      </c>
      <c r="Q71" s="666" t="str">
        <f>IF(OR($A71="F&amp;F",$G71=""),"",IF(Q$8&gt;$G71,IF(OR(status1B5!R71=1,status1B5!R71=2,'BOULEVARD 5'!T69&gt;0),"Pagado","impago"),""))</f>
        <v/>
      </c>
      <c r="R71" s="666" t="str">
        <f>IF(OR($A71="F&amp;F",$G71=""),"",IF(R$8&gt;$G71,IF(OR(status1B5!S71=1,status1B5!S71=2,'BOULEVARD 5'!U69&gt;0),"Pagado","impago"),""))</f>
        <v/>
      </c>
      <c r="S71" s="666" t="str">
        <f>IF(OR($A71="F&amp;F",$G71=""),"",IF(S$8&gt;$G71,IF(OR(status1B5!T71=1,status1B5!T71=2,'BOULEVARD 5'!V69&gt;0),"Pagado","impago"),""))</f>
        <v/>
      </c>
      <c r="T71" s="666" t="str">
        <f>IF(OR($A71="F&amp;F",$G71=""),"",IF(T$8&gt;$G71,IF(OR(status1B5!U71=1,status1B5!U71=2,'BOULEVARD 5'!W69&gt;0),"Pagado","impago"),""))</f>
        <v/>
      </c>
      <c r="U71" s="666" t="str">
        <f>IF(OR($A71="F&amp;F",$G71=""),"",IF(U$8&gt;$G71,IF(OR(status1B5!V71=1,status1B5!V71=2,'BOULEVARD 5'!X69&gt;0),"Pagado","impago"),""))</f>
        <v/>
      </c>
      <c r="V71" s="666" t="str">
        <f>IF(OR($A71="F&amp;F",$G71=""),"",IF(V$8&gt;$G71,IF(OR(status1B5!W71=1,status1B5!W71=2,'BOULEVARD 5'!Y69&gt;0),"Pagado","impago"),""))</f>
        <v/>
      </c>
      <c r="W71" s="666" t="str">
        <f>IF(OR($A71="F&amp;F",$G71=""),"",IF(W$8&gt;$G71,IF(OR(status1B5!X71=1,status1B5!X71=2,'BOULEVARD 5'!Z69&gt;0),"Pagado","impago"),""))</f>
        <v/>
      </c>
      <c r="X71" s="666" t="str">
        <f>IF(OR($A71="F&amp;F",$G71=""),"",IF(X$8&gt;$G71,IF(OR(status1B5!Y71=1,status1B5!Y71=2,'BOULEVARD 5'!AA69&gt;0),"Pagado","impago"),""))</f>
        <v/>
      </c>
      <c r="Y71" s="666" t="str">
        <f>IF(OR($A71="F&amp;F",$G71=""),"",IF(Y$8&gt;$G71,IF(OR(status1B5!Z71=1,status1B5!Z71=2,'BOULEVARD 5'!AB69&gt;0),"Pagado","impago"),""))</f>
        <v/>
      </c>
      <c r="Z71" s="666" t="str">
        <f>IF(OR($A71="F&amp;F",$G71=""),"",IF(Z$8&gt;$G71,IF(OR(status1B5!AA71=1,status1B5!AA71=2,'BOULEVARD 5'!AC69&gt;0),"Pagado","impago"),""))</f>
        <v/>
      </c>
      <c r="AA71" s="666" t="str">
        <f>IF(OR($A71="F&amp;F",$G71=""),"",IF(AA$8&gt;$G71,IF(OR(status1B5!AB71=1,status1B5!AB71=2,'BOULEVARD 5'!AD69&gt;0),"Pagado","impago"),""))</f>
        <v/>
      </c>
      <c r="AB71" s="666" t="str">
        <f>IF(OR($A71="F&amp;F",$G71=""),"",IF(AB$8&gt;$G71,IF(OR(status1B5!AC71=1,status1B5!AC71=2,'BOULEVARD 5'!AE69&gt;0),"Pagado","impago"),""))</f>
        <v/>
      </c>
      <c r="AC71" s="666" t="str">
        <f>IF(OR($A71="F&amp;F",$G71=""),"",IF(AC$8&gt;$G71,IF(OR(status1B5!AD71=1,status1B5!AD71=2,'BOULEVARD 5'!AF69&gt;0),"Pagado","impago"),""))</f>
        <v/>
      </c>
      <c r="AD71" s="666" t="str">
        <f>IF(OR($A71="F&amp;F",$G71=""),"",IF(AD$8&gt;$G71,IF(OR(status1B5!AE71=1,status1B5!AE71=2,'BOULEVARD 5'!AG69&gt;0),"Pagado","impago"),""))</f>
        <v/>
      </c>
      <c r="AE71" s="666" t="str">
        <f>IF(OR($A71="F&amp;F",$G71=""),"",IF(AE$8&gt;$G71,IF(OR(status1B5!AF71=1,status1B5!AF71=2,'BOULEVARD 5'!AH69&gt;0),"Pagado","impago"),""))</f>
        <v>Pagado</v>
      </c>
      <c r="AF71" s="666" t="str">
        <f>IF(OR($A71="F&amp;F",$G71=""),"",IF(AF$8&gt;$G71,IF(OR(status1B5!AG71=1,status1B5!AG71=2,'BOULEVARD 5'!AI69&gt;0),"Pagado","impago"),""))</f>
        <v>Pagado</v>
      </c>
      <c r="AG71" s="666" t="str">
        <f>IF(OR($A71="F&amp;F",$G71=""),"",IF(AG$8&gt;$G71,IF(OR(status1B5!AH71=1,status1B5!AH71=2,'BOULEVARD 5'!AJ69&gt;0),"Pagado","impago"),""))</f>
        <v>Pagado</v>
      </c>
      <c r="AH71" s="666" t="str">
        <f>IF(OR($A71="F&amp;F",$G71=""),"",IF(AH$8&gt;$G71,IF(OR(status1B5!AI71=1,status1B5!AI71=2,'BOULEVARD 5'!AK69&gt;0),"Pagado","impago"),""))</f>
        <v>Pagado</v>
      </c>
      <c r="AI71" s="666" t="str">
        <f>IF(OR($A71="F&amp;F",$G71=""),"",IF(AI$8&gt;$G71,IF(OR(status1B5!AJ71=1,status1B5!AJ71=2,'BOULEVARD 5'!AL69&gt;0),"Pagado","impago"),""))</f>
        <v>Pagado</v>
      </c>
      <c r="AJ71" s="666" t="str">
        <f>IF(OR($A71="F&amp;F",$G71=""),"",IF(AJ$8&gt;$G71,IF(OR(status1B5!AK71=1,status1B5!AK71=2,'BOULEVARD 5'!AM69&gt;0),"Pagado","impago"),""))</f>
        <v>Pagado</v>
      </c>
      <c r="AK71" s="666" t="str">
        <f>IF(OR($A71="F&amp;F",$G71=""),"",IF(AK$8&gt;$G71,IF(OR(status1B5!AL71=1,status1B5!AL71=2,'BOULEVARD 5'!AN69&gt;0),"Pagado","impago"),""))</f>
        <v>Pagado</v>
      </c>
      <c r="AL71" s="666" t="str">
        <f>IF(OR($A71="F&amp;F",$G71=""),"",IF(AL$8&gt;$G71,IF(OR(status1B5!AM71=1,status1B5!AM71=2,'BOULEVARD 5'!AO69&gt;0),"Pagado","impago"),""))</f>
        <v>Pagado</v>
      </c>
      <c r="AM71" s="666" t="str">
        <f>IF(OR($A71="F&amp;F",$G71=""),"",IF(AM$8&gt;$G71,IF(OR(status1B5!AN71=1,status1B5!AN71=2,'BOULEVARD 5'!AP69&gt;0),"Pagado","impago"),""))</f>
        <v>Pagado</v>
      </c>
      <c r="AN71" s="666" t="str">
        <f>IF(OR($A71="F&amp;F",$G71=""),"",IF(AN$8&gt;$G71,IF(OR(status1B5!AO71=1,status1B5!AO71=2,'BOULEVARD 5'!AQ69&gt;0),"Pagado","impago"),""))</f>
        <v>Pagado</v>
      </c>
      <c r="AO71" s="666" t="str">
        <f>IF(OR($A71="F&amp;F",$G71=""),"",IF(AO$8&gt;$G71,IF(OR(status1B5!AP71=1,status1B5!AP71=2,'BOULEVARD 5'!AS69&gt;0),"Pagado","impago"),""))</f>
        <v>Pagado</v>
      </c>
      <c r="AP71" s="429" t="str">
        <f t="shared" si="4"/>
        <v>Vendido</v>
      </c>
    </row>
    <row r="72" spans="1:42" s="429" customFormat="1" ht="13.9" customHeight="1" x14ac:dyDescent="0.25">
      <c r="A72" s="472"/>
      <c r="B72" s="436">
        <f>'BOULEVARD 5'!B70</f>
        <v>414</v>
      </c>
      <c r="C72" s="436" t="s">
        <v>355</v>
      </c>
      <c r="D72" s="436"/>
      <c r="E72" s="436" t="str">
        <f>IF('BOULEVARD 5'!E70="","",'BOULEVARD 5'!E70)</f>
        <v>Antonio Rada</v>
      </c>
      <c r="F72" s="429" t="str">
        <f>IF('BOULEVARD 5'!F70="","",'BOULEVARD 5'!F70)</f>
        <v>Carolina Rivas Le Sage De Alonzo</v>
      </c>
      <c r="G72" s="473">
        <f>IF('BOULEVARD 5'!G70="","",'BOULEVARD 5'!G70)</f>
        <v>45439</v>
      </c>
      <c r="H72" s="666" t="str">
        <f>IF(OR($A72="F&amp;F",$G72=""),"",IF(H$8&gt;$G72,IF(OR(status1B5!I72=1,status1B5!I72=2,'BOULEVARD 5'!K70&gt;0),"Pagado","impago"),""))</f>
        <v/>
      </c>
      <c r="I72" s="666" t="str">
        <f>IF(OR($A72="F&amp;F",$G72=""),"",IF(I$8&gt;$G72,IF(OR(status1B5!J72=1,status1B5!J72=2,'BOULEVARD 5'!L70&gt;0),"Pagado","impago"),""))</f>
        <v/>
      </c>
      <c r="J72" s="666" t="str">
        <f>IF(OR($A72="F&amp;F",$G72=""),"",IF(J$8&gt;$G72,IF(OR(status1B5!K72=1,status1B5!K72=2,'BOULEVARD 5'!M70&gt;0),"Pagado","impago"),""))</f>
        <v/>
      </c>
      <c r="K72" s="666" t="str">
        <f>IF(OR($A72="F&amp;F",$G72=""),"",IF(K$8&gt;$G72,IF(OR(status1B5!L72=1,status1B5!L72=2,'BOULEVARD 5'!N70&gt;0),"Pagado","impago"),""))</f>
        <v/>
      </c>
      <c r="L72" s="666" t="str">
        <f>IF(OR($A72="F&amp;F",$G72=""),"",IF(L$8&gt;$G72,IF(OR(status1B5!M72=1,status1B5!M72=2,'BOULEVARD 5'!O70&gt;0),"Pagado","impago"),""))</f>
        <v/>
      </c>
      <c r="M72" s="666" t="str">
        <f>IF(OR($A72="F&amp;F",$G72=""),"",IF(M$8&gt;$G72,IF(OR(status1B5!N72=1,status1B5!N72=2,'BOULEVARD 5'!P70&gt;0),"Pagado","impago"),""))</f>
        <v/>
      </c>
      <c r="N72" s="666" t="str">
        <f>IF(OR($A72="F&amp;F",$G72=""),"",IF(N$8&gt;$G72,IF(OR(status1B5!O72=1,status1B5!O72=2,'BOULEVARD 5'!Q70&gt;0),"Pagado","impago"),""))</f>
        <v/>
      </c>
      <c r="O72" s="666" t="str">
        <f>IF(OR($A72="F&amp;F",$G72=""),"",IF(O$8&gt;$G72,IF(OR(status1B5!P72=1,status1B5!P72=2,'BOULEVARD 5'!R70&gt;0),"Pagado","impago"),""))</f>
        <v/>
      </c>
      <c r="P72" s="666" t="str">
        <f>IF(OR($A72="F&amp;F",$G72=""),"",IF(P$8&gt;$G72,IF(OR(status1B5!Q72=1,status1B5!Q72=2,'BOULEVARD 5'!S70&gt;0),"Pagado","impago"),""))</f>
        <v/>
      </c>
      <c r="Q72" s="666" t="str">
        <f>IF(OR($A72="F&amp;F",$G72=""),"",IF(Q$8&gt;$G72,IF(OR(status1B5!R72=1,status1B5!R72=2,'BOULEVARD 5'!T70&gt;0),"Pagado","impago"),""))</f>
        <v/>
      </c>
      <c r="R72" s="666" t="str">
        <f>IF(OR($A72="F&amp;F",$G72=""),"",IF(R$8&gt;$G72,IF(OR(status1B5!S72=1,status1B5!S72=2,'BOULEVARD 5'!U70&gt;0),"Pagado","impago"),""))</f>
        <v/>
      </c>
      <c r="S72" s="666" t="str">
        <f>IF(OR($A72="F&amp;F",$G72=""),"",IF(S$8&gt;$G72,IF(OR(status1B5!T72=1,status1B5!T72=2,'BOULEVARD 5'!V70&gt;0),"Pagado","impago"),""))</f>
        <v/>
      </c>
      <c r="T72" s="666" t="str">
        <f>IF(OR($A72="F&amp;F",$G72=""),"",IF(T$8&gt;$G72,IF(OR(status1B5!U72=1,status1B5!U72=2,'BOULEVARD 5'!W70&gt;0),"Pagado","impago"),""))</f>
        <v/>
      </c>
      <c r="U72" s="666" t="str">
        <f>IF(OR($A72="F&amp;F",$G72=""),"",IF(U$8&gt;$G72,IF(OR(status1B5!V72=1,status1B5!V72=2,'BOULEVARD 5'!X70&gt;0),"Pagado","impago"),""))</f>
        <v/>
      </c>
      <c r="V72" s="666" t="str">
        <f>IF(OR($A72="F&amp;F",$G72=""),"",IF(V$8&gt;$G72,IF(OR(status1B5!W72=1,status1B5!W72=2,'BOULEVARD 5'!Y70&gt;0),"Pagado","impago"),""))</f>
        <v>Pagado</v>
      </c>
      <c r="W72" s="666" t="str">
        <f>IF(OR($A72="F&amp;F",$G72=""),"",IF(W$8&gt;$G72,IF(OR(status1B5!X72=1,status1B5!X72=2,'BOULEVARD 5'!Z70&gt;0),"Pagado","impago"),""))</f>
        <v>Pagado</v>
      </c>
      <c r="X72" s="666" t="str">
        <f>IF(OR($A72="F&amp;F",$G72=""),"",IF(X$8&gt;$G72,IF(OR(status1B5!Y72=1,status1B5!Y72=2,'BOULEVARD 5'!AA70&gt;0),"Pagado","impago"),""))</f>
        <v>Pagado</v>
      </c>
      <c r="Y72" s="666" t="str">
        <f>IF(OR($A72="F&amp;F",$G72=""),"",IF(Y$8&gt;$G72,IF(OR(status1B5!Z72=1,status1B5!Z72=2,'BOULEVARD 5'!AB70&gt;0),"Pagado","impago"),""))</f>
        <v>Pagado</v>
      </c>
      <c r="Z72" s="666" t="str">
        <f>IF(OR($A72="F&amp;F",$G72=""),"",IF(Z$8&gt;$G72,IF(OR(status1B5!AA72=1,status1B5!AA72=2,'BOULEVARD 5'!AC70&gt;0),"Pagado","impago"),""))</f>
        <v>Pagado</v>
      </c>
      <c r="AA72" s="666" t="str">
        <f>IF(OR($A72="F&amp;F",$G72=""),"",IF(AA$8&gt;$G72,IF(OR(status1B5!AB72=1,status1B5!AB72=2,'BOULEVARD 5'!AD70&gt;0),"Pagado","impago"),""))</f>
        <v>Pagado</v>
      </c>
      <c r="AB72" s="666" t="str">
        <f>IF(OR($A72="F&amp;F",$G72=""),"",IF(AB$8&gt;$G72,IF(OR(status1B5!AC72=1,status1B5!AC72=2,'BOULEVARD 5'!AE70&gt;0),"Pagado","impago"),""))</f>
        <v>Pagado</v>
      </c>
      <c r="AC72" s="666" t="str">
        <f>IF(OR($A72="F&amp;F",$G72=""),"",IF(AC$8&gt;$G72,IF(OR(status1B5!AD72=1,status1B5!AD72=2,'BOULEVARD 5'!AF70&gt;0),"Pagado","impago"),""))</f>
        <v>Pagado</v>
      </c>
      <c r="AD72" s="666" t="str">
        <f>IF(OR($A72="F&amp;F",$G72=""),"",IF(AD$8&gt;$G72,IF(OR(status1B5!AE72=1,status1B5!AE72=2,'BOULEVARD 5'!AG70&gt;0),"Pagado","impago"),""))</f>
        <v>Pagado</v>
      </c>
      <c r="AE72" s="666" t="str">
        <f>IF(OR($A72="F&amp;F",$G72=""),"",IF(AE$8&gt;$G72,IF(OR(status1B5!AF72=1,status1B5!AF72=2,'BOULEVARD 5'!AH70&gt;0),"Pagado","impago"),""))</f>
        <v>Pagado</v>
      </c>
      <c r="AF72" s="666" t="str">
        <f>IF(OR($A72="F&amp;F",$G72=""),"",IF(AF$8&gt;$G72,IF(OR(status1B5!AG72=1,status1B5!AG72=2,'BOULEVARD 5'!AI70&gt;0),"Pagado","impago"),""))</f>
        <v>Pagado</v>
      </c>
      <c r="AG72" s="666" t="str">
        <f>IF(OR($A72="F&amp;F",$G72=""),"",IF(AG$8&gt;$G72,IF(OR(status1B5!AH72=1,status1B5!AH72=2,'BOULEVARD 5'!AJ70&gt;0),"Pagado","impago"),""))</f>
        <v>Pagado</v>
      </c>
      <c r="AH72" s="666" t="str">
        <f>IF(OR($A72="F&amp;F",$G72=""),"",IF(AH$8&gt;$G72,IF(OR(status1B5!AI72=1,status1B5!AI72=2,'BOULEVARD 5'!AK70&gt;0),"Pagado","impago"),""))</f>
        <v>Pagado</v>
      </c>
      <c r="AI72" s="666" t="str">
        <f>IF(OR($A72="F&amp;F",$G72=""),"",IF(AI$8&gt;$G72,IF(OR(status1B5!AJ72=1,status1B5!AJ72=2,'BOULEVARD 5'!AL70&gt;0),"Pagado","impago"),""))</f>
        <v>Pagado</v>
      </c>
      <c r="AJ72" s="666" t="str">
        <f>IF(OR($A72="F&amp;F",$G72=""),"",IF(AJ$8&gt;$G72,IF(OR(status1B5!AK72=1,status1B5!AK72=2,'BOULEVARD 5'!AM70&gt;0),"Pagado","impago"),""))</f>
        <v>Pagado</v>
      </c>
      <c r="AK72" s="666" t="str">
        <f>IF(OR($A72="F&amp;F",$G72=""),"",IF(AK$8&gt;$G72,IF(OR(status1B5!AL72=1,status1B5!AL72=2,'BOULEVARD 5'!AN70&gt;0),"Pagado","impago"),""))</f>
        <v>Pagado</v>
      </c>
      <c r="AL72" s="666" t="str">
        <f>IF(OR($A72="F&amp;F",$G72=""),"",IF(AL$8&gt;$G72,IF(OR(status1B5!AM72=1,status1B5!AM72=2,'BOULEVARD 5'!AO70&gt;0),"Pagado","impago"),""))</f>
        <v>Pagado</v>
      </c>
      <c r="AM72" s="666" t="str">
        <f>IF(OR($A72="F&amp;F",$G72=""),"",IF(AM$8&gt;$G72,IF(OR(status1B5!AN72=1,status1B5!AN72=2,'BOULEVARD 5'!AP70&gt;0),"Pagado","impago"),""))</f>
        <v>Pagado</v>
      </c>
      <c r="AN72" s="666" t="str">
        <f>IF(OR($A72="F&amp;F",$G72=""),"",IF(AN$8&gt;$G72,IF(OR(status1B5!AO72=1,status1B5!AO72=2,'BOULEVARD 5'!AQ70&gt;0),"Pagado","impago"),""))</f>
        <v>Pagado</v>
      </c>
      <c r="AO72" s="666" t="str">
        <f>IF(OR($A72="F&amp;F",$G72=""),"",IF(AO$8&gt;$G72,IF(OR(status1B5!AP72=1,status1B5!AP72=2,'BOULEVARD 5'!AS70&gt;0),"Pagado","impago"),""))</f>
        <v>Pagado</v>
      </c>
      <c r="AP72" s="429" t="str">
        <f t="shared" si="4"/>
        <v>Vendido</v>
      </c>
    </row>
    <row r="73" spans="1:42" s="429" customFormat="1" ht="13.9" customHeight="1" x14ac:dyDescent="0.25">
      <c r="A73" s="472"/>
      <c r="B73" s="436">
        <f>'BOULEVARD 5'!B71</f>
        <v>415</v>
      </c>
      <c r="C73" s="436" t="s">
        <v>355</v>
      </c>
      <c r="D73" s="436"/>
      <c r="E73" s="436" t="str">
        <f>IF('BOULEVARD 5'!E71="","",'BOULEVARD 5'!E71)</f>
        <v>Anahí Cisneros</v>
      </c>
      <c r="F73" s="429" t="str">
        <f>IF('BOULEVARD 5'!F71="","",'BOULEVARD 5'!F71)</f>
        <v>Kevin Mario Andrés Leal Morales / Flor de María Herrera Reyes de Gil</v>
      </c>
      <c r="G73" s="473">
        <f>IF('BOULEVARD 5'!G71="","",'BOULEVARD 5'!G71)</f>
        <v>45818</v>
      </c>
      <c r="H73" s="666" t="str">
        <f>IF(OR($A73="F&amp;F",$G73=""),"",IF(H$8&gt;$G73,IF(OR(status1B5!I73=1,status1B5!I73=2,'BOULEVARD 5'!K71&gt;0),"Pagado","impago"),""))</f>
        <v/>
      </c>
      <c r="I73" s="666" t="str">
        <f>IF(OR($A73="F&amp;F",$G73=""),"",IF(I$8&gt;$G73,IF(OR(status1B5!J73=1,status1B5!J73=2,'BOULEVARD 5'!L71&gt;0),"Pagado","impago"),""))</f>
        <v/>
      </c>
      <c r="J73" s="666" t="str">
        <f>IF(OR($A73="F&amp;F",$G73=""),"",IF(J$8&gt;$G73,IF(OR(status1B5!K73=1,status1B5!K73=2,'BOULEVARD 5'!M71&gt;0),"Pagado","impago"),""))</f>
        <v/>
      </c>
      <c r="K73" s="666" t="str">
        <f>IF(OR($A73="F&amp;F",$G73=""),"",IF(K$8&gt;$G73,IF(OR(status1B5!L73=1,status1B5!L73=2,'BOULEVARD 5'!N71&gt;0),"Pagado","impago"),""))</f>
        <v/>
      </c>
      <c r="L73" s="666" t="str">
        <f>IF(OR($A73="F&amp;F",$G73=""),"",IF(L$8&gt;$G73,IF(OR(status1B5!M73=1,status1B5!M73=2,'BOULEVARD 5'!O71&gt;0),"Pagado","impago"),""))</f>
        <v/>
      </c>
      <c r="M73" s="666" t="str">
        <f>IF(OR($A73="F&amp;F",$G73=""),"",IF(M$8&gt;$G73,IF(OR(status1B5!N73=1,status1B5!N73=2,'BOULEVARD 5'!P71&gt;0),"Pagado","impago"),""))</f>
        <v/>
      </c>
      <c r="N73" s="666" t="str">
        <f>IF(OR($A73="F&amp;F",$G73=""),"",IF(N$8&gt;$G73,IF(OR(status1B5!O73=1,status1B5!O73=2,'BOULEVARD 5'!Q71&gt;0),"Pagado","impago"),""))</f>
        <v/>
      </c>
      <c r="O73" s="666" t="str">
        <f>IF(OR($A73="F&amp;F",$G73=""),"",IF(O$8&gt;$G73,IF(OR(status1B5!P73=1,status1B5!P73=2,'BOULEVARD 5'!R71&gt;0),"Pagado","impago"),""))</f>
        <v/>
      </c>
      <c r="P73" s="666" t="str">
        <f>IF(OR($A73="F&amp;F",$G73=""),"",IF(P$8&gt;$G73,IF(OR(status1B5!Q73=1,status1B5!Q73=2,'BOULEVARD 5'!S71&gt;0),"Pagado","impago"),""))</f>
        <v/>
      </c>
      <c r="Q73" s="666" t="str">
        <f>IF(OR($A73="F&amp;F",$G73=""),"",IF(Q$8&gt;$G73,IF(OR(status1B5!R73=1,status1B5!R73=2,'BOULEVARD 5'!T71&gt;0),"Pagado","impago"),""))</f>
        <v/>
      </c>
      <c r="R73" s="666" t="str">
        <f>IF(OR($A73="F&amp;F",$G73=""),"",IF(R$8&gt;$G73,IF(OR(status1B5!S73=1,status1B5!S73=2,'BOULEVARD 5'!U71&gt;0),"Pagado","impago"),""))</f>
        <v/>
      </c>
      <c r="S73" s="666" t="str">
        <f>IF(OR($A73="F&amp;F",$G73=""),"",IF(S$8&gt;$G73,IF(OR(status1B5!T73=1,status1B5!T73=2,'BOULEVARD 5'!V71&gt;0),"Pagado","impago"),""))</f>
        <v/>
      </c>
      <c r="T73" s="666" t="str">
        <f>IF(OR($A73="F&amp;F",$G73=""),"",IF(T$8&gt;$G73,IF(OR(status1B5!U73=1,status1B5!U73=2,'BOULEVARD 5'!W71&gt;0),"Pagado","impago"),""))</f>
        <v/>
      </c>
      <c r="U73" s="666" t="str">
        <f>IF(OR($A73="F&amp;F",$G73=""),"",IF(U$8&gt;$G73,IF(OR(status1B5!V73=1,status1B5!V73=2,'BOULEVARD 5'!X71&gt;0),"Pagado","impago"),""))</f>
        <v/>
      </c>
      <c r="V73" s="666" t="str">
        <f>IF(OR($A73="F&amp;F",$G73=""),"",IF(V$8&gt;$G73,IF(OR(status1B5!W73=1,status1B5!W73=2,'BOULEVARD 5'!Y71&gt;0),"Pagado","impago"),""))</f>
        <v/>
      </c>
      <c r="W73" s="666" t="str">
        <f>IF(OR($A73="F&amp;F",$G73=""),"",IF(W$8&gt;$G73,IF(OR(status1B5!X73=1,status1B5!X73=2,'BOULEVARD 5'!Z71&gt;0),"Pagado","impago"),""))</f>
        <v/>
      </c>
      <c r="X73" s="666" t="str">
        <f>IF(OR($A73="F&amp;F",$G73=""),"",IF(X$8&gt;$G73,IF(OR(status1B5!Y73=1,status1B5!Y73=2,'BOULEVARD 5'!AA71&gt;0),"Pagado","impago"),""))</f>
        <v/>
      </c>
      <c r="Y73" s="666" t="str">
        <f>IF(OR($A73="F&amp;F",$G73=""),"",IF(Y$8&gt;$G73,IF(OR(status1B5!Z73=1,status1B5!Z73=2,'BOULEVARD 5'!AB71&gt;0),"Pagado","impago"),""))</f>
        <v/>
      </c>
      <c r="Z73" s="666" t="str">
        <f>IF(OR($A73="F&amp;F",$G73=""),"",IF(Z$8&gt;$G73,IF(OR(status1B5!AA73=1,status1B5!AA73=2,'BOULEVARD 5'!AC71&gt;0),"Pagado","impago"),""))</f>
        <v/>
      </c>
      <c r="AA73" s="666" t="str">
        <f>IF(OR($A73="F&amp;F",$G73=""),"",IF(AA$8&gt;$G73,IF(OR(status1B5!AB73=1,status1B5!AB73=2,'BOULEVARD 5'!AD71&gt;0),"Pagado","impago"),""))</f>
        <v/>
      </c>
      <c r="AB73" s="666" t="str">
        <f>IF(OR($A73="F&amp;F",$G73=""),"",IF(AB$8&gt;$G73,IF(OR(status1B5!AC73=1,status1B5!AC73=2,'BOULEVARD 5'!AE71&gt;0),"Pagado","impago"),""))</f>
        <v/>
      </c>
      <c r="AC73" s="666" t="str">
        <f>IF(OR($A73="F&amp;F",$G73=""),"",IF(AC$8&gt;$G73,IF(OR(status1B5!AD73=1,status1B5!AD73=2,'BOULEVARD 5'!AF71&gt;0),"Pagado","impago"),""))</f>
        <v/>
      </c>
      <c r="AD73" s="666" t="str">
        <f>IF(OR($A73="F&amp;F",$G73=""),"",IF(AD$8&gt;$G73,IF(OR(status1B5!AE73=1,status1B5!AE73=2,'BOULEVARD 5'!AG71&gt;0),"Pagado","impago"),""))</f>
        <v/>
      </c>
      <c r="AE73" s="666" t="str">
        <f>IF(OR($A73="F&amp;F",$G73=""),"",IF(AE$8&gt;$G73,IF(OR(status1B5!AF73=1,status1B5!AF73=2,'BOULEVARD 5'!AH71&gt;0),"Pagado","impago"),""))</f>
        <v/>
      </c>
      <c r="AF73" s="666" t="str">
        <f>IF(OR($A73="F&amp;F",$G73=""),"",IF(AF$8&gt;$G73,IF(OR(status1B5!AG73=1,status1B5!AG73=2,'BOULEVARD 5'!AI71&gt;0),"Pagado","impago"),""))</f>
        <v/>
      </c>
      <c r="AG73" s="666" t="str">
        <f>IF(OR($A73="F&amp;F",$G73=""),"",IF(AG$8&gt;$G73,IF(OR(status1B5!AH73=1,status1B5!AH73=2,'BOULEVARD 5'!AJ71&gt;0),"Pagado","impago"),""))</f>
        <v/>
      </c>
      <c r="AH73" s="666" t="str">
        <f>IF(OR($A73="F&amp;F",$G73=""),"",IF(AH$8&gt;$G73,IF(OR(status1B5!AI73=1,status1B5!AI73=2,'BOULEVARD 5'!AK71&gt;0),"Pagado","impago"),""))</f>
        <v/>
      </c>
      <c r="AI73" s="666" t="str">
        <f>IF(OR($A73="F&amp;F",$G73=""),"",IF(AI$8&gt;$G73,IF(OR(status1B5!AJ73=1,status1B5!AJ73=2,'BOULEVARD 5'!AL71&gt;0),"Pagado","impago"),""))</f>
        <v>Pagado</v>
      </c>
      <c r="AJ73" s="666" t="str">
        <f>IF(OR($A73="F&amp;F",$G73=""),"",IF(AJ$8&gt;$G73,IF(OR(status1B5!AK73=1,status1B5!AK73=2,'BOULEVARD 5'!AM71&gt;0),"Pagado","impago"),""))</f>
        <v>Pagado</v>
      </c>
      <c r="AK73" s="666" t="str">
        <f>IF(OR($A73="F&amp;F",$G73=""),"",IF(AK$8&gt;$G73,IF(OR(status1B5!AL73=1,status1B5!AL73=2,'BOULEVARD 5'!AN71&gt;0),"Pagado","impago"),""))</f>
        <v>Pagado</v>
      </c>
      <c r="AL73" s="666" t="str">
        <f>IF(OR($A73="F&amp;F",$G73=""),"",IF(AL$8&gt;$G73,IF(OR(status1B5!AM73=1,status1B5!AM73=2,'BOULEVARD 5'!AO71&gt;0),"Pagado","impago"),""))</f>
        <v>Pagado</v>
      </c>
      <c r="AM73" s="666" t="str">
        <f>IF(OR($A73="F&amp;F",$G73=""),"",IF(AM$8&gt;$G73,IF(OR(status1B5!AN73=1,status1B5!AN73=2,'BOULEVARD 5'!AP71&gt;0),"Pagado","impago"),""))</f>
        <v>Pagado</v>
      </c>
      <c r="AN73" s="666" t="str">
        <f>IF(OR($A73="F&amp;F",$G73=""),"",IF(AN$8&gt;$G73,IF(OR(status1B5!AO73=1,status1B5!AO73=2,'BOULEVARD 5'!AQ71&gt;0),"Pagado","impago"),""))</f>
        <v>Pagado</v>
      </c>
      <c r="AO73" s="666" t="str">
        <f>IF(OR($A73="F&amp;F",$G73=""),"",IF(AO$8&gt;$G73,IF(OR(status1B5!AP73=1,status1B5!AP73=2,'BOULEVARD 5'!AS71&gt;0),"Pagado","impago"),""))</f>
        <v>Pagado</v>
      </c>
      <c r="AP73" s="429" t="str">
        <f t="shared" ref="AP73:AP136" si="6">IF(G73="","No Vendido","Vendido")</f>
        <v>Vendido</v>
      </c>
    </row>
    <row r="74" spans="1:42" s="466" customFormat="1" ht="13.9" customHeight="1" x14ac:dyDescent="0.25">
      <c r="B74" s="477">
        <f>'BOULEVARD 5'!B72</f>
        <v>416</v>
      </c>
      <c r="C74" s="477" t="s">
        <v>355</v>
      </c>
      <c r="D74" s="477"/>
      <c r="E74" s="477" t="str">
        <f>IF('BOULEVARD 5'!E72="","",'BOULEVARD 5'!E72)</f>
        <v>Sofia Paredes</v>
      </c>
      <c r="F74" s="466" t="str">
        <f>IF('BOULEVARD 5'!F72="","",'BOULEVARD 5'!F72)</f>
        <v xml:space="preserve">Carlos Humberto Rivera Carrillo </v>
      </c>
      <c r="G74" s="473">
        <f>IF('BOULEVARD 5'!G72="","",'BOULEVARD 5'!G72)</f>
        <v>45695</v>
      </c>
      <c r="H74" s="666" t="str">
        <f>IF(OR($A74="F&amp;F",$G74=""),"",IF(H$8&gt;$G74,IF(OR(status1B5!I74=1,status1B5!I74=2,'BOULEVARD 5'!K72&gt;0),"Pagado","impago"),""))</f>
        <v/>
      </c>
      <c r="I74" s="666" t="str">
        <f>IF(OR($A74="F&amp;F",$G74=""),"",IF(I$8&gt;$G74,IF(OR(status1B5!J74=1,status1B5!J74=2,'BOULEVARD 5'!L72&gt;0),"Pagado","impago"),""))</f>
        <v/>
      </c>
      <c r="J74" s="666" t="str">
        <f>IF(OR($A74="F&amp;F",$G74=""),"",IF(J$8&gt;$G74,IF(OR(status1B5!K74=1,status1B5!K74=2,'BOULEVARD 5'!M72&gt;0),"Pagado","impago"),""))</f>
        <v/>
      </c>
      <c r="K74" s="666" t="str">
        <f>IF(OR($A74="F&amp;F",$G74=""),"",IF(K$8&gt;$G74,IF(OR(status1B5!L74=1,status1B5!L74=2,'BOULEVARD 5'!N72&gt;0),"Pagado","impago"),""))</f>
        <v/>
      </c>
      <c r="L74" s="666" t="str">
        <f>IF(OR($A74="F&amp;F",$G74=""),"",IF(L$8&gt;$G74,IF(OR(status1B5!M74=1,status1B5!M74=2,'BOULEVARD 5'!O72&gt;0),"Pagado","impago"),""))</f>
        <v/>
      </c>
      <c r="M74" s="666" t="str">
        <f>IF(OR($A74="F&amp;F",$G74=""),"",IF(M$8&gt;$G74,IF(OR(status1B5!N74=1,status1B5!N74=2,'BOULEVARD 5'!P72&gt;0),"Pagado","impago"),""))</f>
        <v/>
      </c>
      <c r="N74" s="666" t="str">
        <f>IF(OR($A74="F&amp;F",$G74=""),"",IF(N$8&gt;$G74,IF(OR(status1B5!O74=1,status1B5!O74=2,'BOULEVARD 5'!Q72&gt;0),"Pagado","impago"),""))</f>
        <v/>
      </c>
      <c r="O74" s="666" t="str">
        <f>IF(OR($A74="F&amp;F",$G74=""),"",IF(O$8&gt;$G74,IF(OR(status1B5!P74=1,status1B5!P74=2,'BOULEVARD 5'!R72&gt;0),"Pagado","impago"),""))</f>
        <v/>
      </c>
      <c r="P74" s="666" t="str">
        <f>IF(OR($A74="F&amp;F",$G74=""),"",IF(P$8&gt;$G74,IF(OR(status1B5!Q74=1,status1B5!Q74=2,'BOULEVARD 5'!S72&gt;0),"Pagado","impago"),""))</f>
        <v/>
      </c>
      <c r="Q74" s="666" t="str">
        <f>IF(OR($A74="F&amp;F",$G74=""),"",IF(Q$8&gt;$G74,IF(OR(status1B5!R74=1,status1B5!R74=2,'BOULEVARD 5'!T72&gt;0),"Pagado","impago"),""))</f>
        <v/>
      </c>
      <c r="R74" s="666" t="str">
        <f>IF(OR($A74="F&amp;F",$G74=""),"",IF(R$8&gt;$G74,IF(OR(status1B5!S74=1,status1B5!S74=2,'BOULEVARD 5'!U72&gt;0),"Pagado","impago"),""))</f>
        <v/>
      </c>
      <c r="S74" s="666" t="str">
        <f>IF(OR($A74="F&amp;F",$G74=""),"",IF(S$8&gt;$G74,IF(OR(status1B5!T74=1,status1B5!T74=2,'BOULEVARD 5'!V72&gt;0),"Pagado","impago"),""))</f>
        <v/>
      </c>
      <c r="T74" s="666" t="str">
        <f>IF(OR($A74="F&amp;F",$G74=""),"",IF(T$8&gt;$G74,IF(OR(status1B5!U74=1,status1B5!U74=2,'BOULEVARD 5'!W72&gt;0),"Pagado","impago"),""))</f>
        <v/>
      </c>
      <c r="U74" s="666" t="str">
        <f>IF(OR($A74="F&amp;F",$G74=""),"",IF(U$8&gt;$G74,IF(OR(status1B5!V74=1,status1B5!V74=2,'BOULEVARD 5'!X72&gt;0),"Pagado","impago"),""))</f>
        <v/>
      </c>
      <c r="V74" s="666" t="str">
        <f>IF(OR($A74="F&amp;F",$G74=""),"",IF(V$8&gt;$G74,IF(OR(status1B5!W74=1,status1B5!W74=2,'BOULEVARD 5'!Y72&gt;0),"Pagado","impago"),""))</f>
        <v/>
      </c>
      <c r="W74" s="666" t="str">
        <f>IF(OR($A74="F&amp;F",$G74=""),"",IF(W$8&gt;$G74,IF(OR(status1B5!X74=1,status1B5!X74=2,'BOULEVARD 5'!Z72&gt;0),"Pagado","impago"),""))</f>
        <v/>
      </c>
      <c r="X74" s="666" t="str">
        <f>IF(OR($A74="F&amp;F",$G74=""),"",IF(X$8&gt;$G74,IF(OR(status1B5!Y74=1,status1B5!Y74=2,'BOULEVARD 5'!AA72&gt;0),"Pagado","impago"),""))</f>
        <v/>
      </c>
      <c r="Y74" s="666" t="str">
        <f>IF(OR($A74="F&amp;F",$G74=""),"",IF(Y$8&gt;$G74,IF(OR(status1B5!Z74=1,status1B5!Z74=2,'BOULEVARD 5'!AB72&gt;0),"Pagado","impago"),""))</f>
        <v/>
      </c>
      <c r="Z74" s="666" t="str">
        <f>IF(OR($A74="F&amp;F",$G74=""),"",IF(Z$8&gt;$G74,IF(OR(status1B5!AA74=1,status1B5!AA74=2,'BOULEVARD 5'!AC72&gt;0),"Pagado","impago"),""))</f>
        <v/>
      </c>
      <c r="AA74" s="666" t="str">
        <f>IF(OR($A74="F&amp;F",$G74=""),"",IF(AA$8&gt;$G74,IF(OR(status1B5!AB74=1,status1B5!AB74=2,'BOULEVARD 5'!AD72&gt;0),"Pagado","impago"),""))</f>
        <v/>
      </c>
      <c r="AB74" s="666" t="str">
        <f>IF(OR($A74="F&amp;F",$G74=""),"",IF(AB$8&gt;$G74,IF(OR(status1B5!AC74=1,status1B5!AC74=2,'BOULEVARD 5'!AE72&gt;0),"Pagado","impago"),""))</f>
        <v/>
      </c>
      <c r="AC74" s="666" t="str">
        <f>IF(OR($A74="F&amp;F",$G74=""),"",IF(AC$8&gt;$G74,IF(OR(status1B5!AD74=1,status1B5!AD74=2,'BOULEVARD 5'!AF72&gt;0),"Pagado","impago"),""))</f>
        <v/>
      </c>
      <c r="AD74" s="666" t="str">
        <f>IF(OR($A74="F&amp;F",$G74=""),"",IF(AD$8&gt;$G74,IF(OR(status1B5!AE74=1,status1B5!AE74=2,'BOULEVARD 5'!AG72&gt;0),"Pagado","impago"),""))</f>
        <v/>
      </c>
      <c r="AE74" s="666" t="str">
        <f>IF(OR($A74="F&amp;F",$G74=""),"",IF(AE$8&gt;$G74,IF(OR(status1B5!AF74=1,status1B5!AF74=2,'BOULEVARD 5'!AH72&gt;0),"Pagado","impago"),""))</f>
        <v>Pagado</v>
      </c>
      <c r="AF74" s="666" t="str">
        <f>IF(OR($A74="F&amp;F",$G74=""),"",IF(AF$8&gt;$G74,IF(OR(status1B5!AG74=1,status1B5!AG74=2,'BOULEVARD 5'!AI72&gt;0),"Pagado","impago"),""))</f>
        <v>Pagado</v>
      </c>
      <c r="AG74" s="666" t="str">
        <f>IF(OR($A74="F&amp;F",$G74=""),"",IF(AG$8&gt;$G74,IF(OR(status1B5!AH74=1,status1B5!AH74=2,'BOULEVARD 5'!AJ72&gt;0),"Pagado","impago"),""))</f>
        <v>Pagado</v>
      </c>
      <c r="AH74" s="666" t="str">
        <f>IF(OR($A74="F&amp;F",$G74=""),"",IF(AH$8&gt;$G74,IF(OR(status1B5!AI74=1,status1B5!AI74=2,'BOULEVARD 5'!AK72&gt;0),"Pagado","impago"),""))</f>
        <v>Pagado</v>
      </c>
      <c r="AI74" s="666" t="str">
        <f>IF(OR($A74="F&amp;F",$G74=""),"",IF(AI$8&gt;$G74,IF(OR(status1B5!AJ74=1,status1B5!AJ74=2,'BOULEVARD 5'!AL72&gt;0),"Pagado","impago"),""))</f>
        <v>Pagado</v>
      </c>
      <c r="AJ74" s="666" t="str">
        <f>IF(OR($A74="F&amp;F",$G74=""),"",IF(AJ$8&gt;$G74,IF(OR(status1B5!AK74=1,status1B5!AK74=2,'BOULEVARD 5'!AM72&gt;0),"Pagado","impago"),""))</f>
        <v>Pagado</v>
      </c>
      <c r="AK74" s="666" t="str">
        <f>IF(OR($A74="F&amp;F",$G74=""),"",IF(AK$8&gt;$G74,IF(OR(status1B5!AL74=1,status1B5!AL74=2,'BOULEVARD 5'!AN72&gt;0),"Pagado","impago"),""))</f>
        <v>Pagado</v>
      </c>
      <c r="AL74" s="666" t="str">
        <f>IF(OR($A74="F&amp;F",$G74=""),"",IF(AL$8&gt;$G74,IF(OR(status1B5!AM74=1,status1B5!AM74=2,'BOULEVARD 5'!AO72&gt;0),"Pagado","impago"),""))</f>
        <v>Pagado</v>
      </c>
      <c r="AM74" s="666" t="str">
        <f>IF(OR($A74="F&amp;F",$G74=""),"",IF(AM$8&gt;$G74,IF(OR(status1B5!AN74=1,status1B5!AN74=2,'BOULEVARD 5'!AP72&gt;0),"Pagado","impago"),""))</f>
        <v>Pagado</v>
      </c>
      <c r="AN74" s="666" t="str">
        <f>IF(OR($A74="F&amp;F",$G74=""),"",IF(AN$8&gt;$G74,IF(OR(status1B5!AO74=1,status1B5!AO74=2,'BOULEVARD 5'!AQ72&gt;0),"Pagado","impago"),""))</f>
        <v>Pagado</v>
      </c>
      <c r="AO74" s="666" t="str">
        <f>IF(OR($A74="F&amp;F",$G74=""),"",IF(AO$8&gt;$G74,IF(OR(status1B5!AP74=1,status1B5!AP74=2,'BOULEVARD 5'!AS72&gt;0),"Pagado","impago"),""))</f>
        <v>Pagado</v>
      </c>
      <c r="AP74" s="429" t="str">
        <f t="shared" si="6"/>
        <v>Vendido</v>
      </c>
    </row>
    <row r="75" spans="1:42" s="429" customFormat="1" ht="13.9" customHeight="1" x14ac:dyDescent="0.25">
      <c r="A75" s="472"/>
      <c r="B75" s="436">
        <f>'BOULEVARD 5'!B73</f>
        <v>417</v>
      </c>
      <c r="C75" s="436" t="s">
        <v>355</v>
      </c>
      <c r="D75" s="436"/>
      <c r="E75" s="436" t="str">
        <f>IF('BOULEVARD 5'!E73="","",'BOULEVARD 5'!E73)</f>
        <v>Antonio Rada</v>
      </c>
      <c r="F75" s="429" t="str">
        <f>IF('BOULEVARD 5'!F73="","",'BOULEVARD 5'!F73)</f>
        <v>Miguel Angel Flores Linares</v>
      </c>
      <c r="G75" s="473">
        <f>IF('BOULEVARD 5'!G73="","",'BOULEVARD 5'!G73)</f>
        <v>45249</v>
      </c>
      <c r="H75" s="666" t="str">
        <f>IF(OR($A75="F&amp;F",$G75=""),"",IF(H$8&gt;$G75,IF(OR(status1B5!I75=1,status1B5!I75=2,'BOULEVARD 5'!K73&gt;0),"Pagado","impago"),""))</f>
        <v/>
      </c>
      <c r="I75" s="666" t="str">
        <f>IF(OR($A75="F&amp;F",$G75=""),"",IF(I$8&gt;$G75,IF(OR(status1B5!J75=1,status1B5!J75=2,'BOULEVARD 5'!L73&gt;0),"Pagado","impago"),""))</f>
        <v/>
      </c>
      <c r="J75" s="666" t="str">
        <f>IF(OR($A75="F&amp;F",$G75=""),"",IF(J$8&gt;$G75,IF(OR(status1B5!K75=1,status1B5!K75=2,'BOULEVARD 5'!M73&gt;0),"Pagado","impago"),""))</f>
        <v/>
      </c>
      <c r="K75" s="666" t="str">
        <f>IF(OR($A75="F&amp;F",$G75=""),"",IF(K$8&gt;$G75,IF(OR(status1B5!L75=1,status1B5!L75=2,'BOULEVARD 5'!N73&gt;0),"Pagado","impago"),""))</f>
        <v/>
      </c>
      <c r="L75" s="666" t="str">
        <f>IF(OR($A75="F&amp;F",$G75=""),"",IF(L$8&gt;$G75,IF(OR(status1B5!M75=1,status1B5!M75=2,'BOULEVARD 5'!O73&gt;0),"Pagado","impago"),""))</f>
        <v/>
      </c>
      <c r="M75" s="666" t="str">
        <f>IF(OR($A75="F&amp;F",$G75=""),"",IF(M$8&gt;$G75,IF(OR(status1B5!N75=1,status1B5!N75=2,'BOULEVARD 5'!P73&gt;0),"Pagado","impago"),""))</f>
        <v/>
      </c>
      <c r="N75" s="666" t="str">
        <f>IF(OR($A75="F&amp;F",$G75=""),"",IF(N$8&gt;$G75,IF(OR(status1B5!O75=1,status1B5!O75=2,'BOULEVARD 5'!Q73&gt;0),"Pagado","impago"),""))</f>
        <v/>
      </c>
      <c r="O75" s="666" t="str">
        <f>IF(OR($A75="F&amp;F",$G75=""),"",IF(O$8&gt;$G75,IF(OR(status1B5!P75=1,status1B5!P75=2,'BOULEVARD 5'!R73&gt;0),"Pagado","impago"),""))</f>
        <v/>
      </c>
      <c r="P75" s="666" t="str">
        <f>IF(OR($A75="F&amp;F",$G75=""),"",IF(P$8&gt;$G75,IF(OR(status1B5!Q75=1,status1B5!Q75=2,'BOULEVARD 5'!S73&gt;0),"Pagado","impago"),""))</f>
        <v>Pagado</v>
      </c>
      <c r="Q75" s="666" t="str">
        <f>IF(OR($A75="F&amp;F",$G75=""),"",IF(Q$8&gt;$G75,IF(OR(status1B5!R75=1,status1B5!R75=2,'BOULEVARD 5'!T73&gt;0),"Pagado","impago"),""))</f>
        <v>Pagado</v>
      </c>
      <c r="R75" s="666" t="str">
        <f>IF(OR($A75="F&amp;F",$G75=""),"",IF(R$8&gt;$G75,IF(OR(status1B5!S75=1,status1B5!S75=2,'BOULEVARD 5'!U73&gt;0),"Pagado","impago"),""))</f>
        <v>Pagado</v>
      </c>
      <c r="S75" s="666" t="str">
        <f>IF(OR($A75="F&amp;F",$G75=""),"",IF(S$8&gt;$G75,IF(OR(status1B5!T75=1,status1B5!T75=2,'BOULEVARD 5'!V73&gt;0),"Pagado","impago"),""))</f>
        <v>Pagado</v>
      </c>
      <c r="T75" s="666" t="str">
        <f>IF(OR($A75="F&amp;F",$G75=""),"",IF(T$8&gt;$G75,IF(OR(status1B5!U75=1,status1B5!U75=2,'BOULEVARD 5'!W73&gt;0),"Pagado","impago"),""))</f>
        <v>Pagado</v>
      </c>
      <c r="U75" s="666" t="str">
        <f>IF(OR($A75="F&amp;F",$G75=""),"",IF(U$8&gt;$G75,IF(OR(status1B5!V75=1,status1B5!V75=2,'BOULEVARD 5'!X73&gt;0),"Pagado","impago"),""))</f>
        <v>Pagado</v>
      </c>
      <c r="V75" s="666" t="str">
        <f>IF(OR($A75="F&amp;F",$G75=""),"",IF(V$8&gt;$G75,IF(OR(status1B5!W75=1,status1B5!W75=2,'BOULEVARD 5'!Y73&gt;0),"Pagado","impago"),""))</f>
        <v>Pagado</v>
      </c>
      <c r="W75" s="666" t="str">
        <f>IF(OR($A75="F&amp;F",$G75=""),"",IF(W$8&gt;$G75,IF(OR(status1B5!X75=1,status1B5!X75=2,'BOULEVARD 5'!Z73&gt;0),"Pagado","impago"),""))</f>
        <v>Pagado</v>
      </c>
      <c r="X75" s="666" t="str">
        <f>IF(OR($A75="F&amp;F",$G75=""),"",IF(X$8&gt;$G75,IF(OR(status1B5!Y75=1,status1B5!Y75=2,'BOULEVARD 5'!AA73&gt;0),"Pagado","impago"),""))</f>
        <v>Pagado</v>
      </c>
      <c r="Y75" s="666" t="str">
        <f>IF(OR($A75="F&amp;F",$G75=""),"",IF(Y$8&gt;$G75,IF(OR(status1B5!Z75=1,status1B5!Z75=2,'BOULEVARD 5'!AB73&gt;0),"Pagado","impago"),""))</f>
        <v>Pagado</v>
      </c>
      <c r="Z75" s="666" t="str">
        <f>IF(OR($A75="F&amp;F",$G75=""),"",IF(Z$8&gt;$G75,IF(OR(status1B5!AA75=1,status1B5!AA75=2,'BOULEVARD 5'!AC73&gt;0),"Pagado","impago"),""))</f>
        <v>Pagado</v>
      </c>
      <c r="AA75" s="666" t="str">
        <f>IF(OR($A75="F&amp;F",$G75=""),"",IF(AA$8&gt;$G75,IF(OR(status1B5!AB75=1,status1B5!AB75=2,'BOULEVARD 5'!AD73&gt;0),"Pagado","impago"),""))</f>
        <v>Pagado</v>
      </c>
      <c r="AB75" s="666" t="str">
        <f>IF(OR($A75="F&amp;F",$G75=""),"",IF(AB$8&gt;$G75,IF(OR(status1B5!AC75=1,status1B5!AC75=2,'BOULEVARD 5'!AE73&gt;0),"Pagado","impago"),""))</f>
        <v>Pagado</v>
      </c>
      <c r="AC75" s="666" t="str">
        <f>IF(OR($A75="F&amp;F",$G75=""),"",IF(AC$8&gt;$G75,IF(OR(status1B5!AD75=1,status1B5!AD75=2,'BOULEVARD 5'!AF73&gt;0),"Pagado","impago"),""))</f>
        <v>Pagado</v>
      </c>
      <c r="AD75" s="666" t="str">
        <f>IF(OR($A75="F&amp;F",$G75=""),"",IF(AD$8&gt;$G75,IF(OR(status1B5!AE75=1,status1B5!AE75=2,'BOULEVARD 5'!AG73&gt;0),"Pagado","impago"),""))</f>
        <v>Pagado</v>
      </c>
      <c r="AE75" s="666" t="str">
        <f>IF(OR($A75="F&amp;F",$G75=""),"",IF(AE$8&gt;$G75,IF(OR(status1B5!AF75=1,status1B5!AF75=2,'BOULEVARD 5'!AH73&gt;0),"Pagado","impago"),""))</f>
        <v>Pagado</v>
      </c>
      <c r="AF75" s="666" t="str">
        <f>IF(OR($A75="F&amp;F",$G75=""),"",IF(AF$8&gt;$G75,IF(OR(status1B5!AG75=1,status1B5!AG75=2,'BOULEVARD 5'!AI73&gt;0),"Pagado","impago"),""))</f>
        <v>Pagado</v>
      </c>
      <c r="AG75" s="666" t="str">
        <f>IF(OR($A75="F&amp;F",$G75=""),"",IF(AG$8&gt;$G75,IF(OR(status1B5!AH75=1,status1B5!AH75=2,'BOULEVARD 5'!AJ73&gt;0),"Pagado","impago"),""))</f>
        <v>Pagado</v>
      </c>
      <c r="AH75" s="666" t="str">
        <f>IF(OR($A75="F&amp;F",$G75=""),"",IF(AH$8&gt;$G75,IF(OR(status1B5!AI75=1,status1B5!AI75=2,'BOULEVARD 5'!AK73&gt;0),"Pagado","impago"),""))</f>
        <v>Pagado</v>
      </c>
      <c r="AI75" s="666" t="str">
        <f>IF(OR($A75="F&amp;F",$G75=""),"",IF(AI$8&gt;$G75,IF(OR(status1B5!AJ75=1,status1B5!AJ75=2,'BOULEVARD 5'!AL73&gt;0),"Pagado","impago"),""))</f>
        <v>Pagado</v>
      </c>
      <c r="AJ75" s="666" t="str">
        <f>IF(OR($A75="F&amp;F",$G75=""),"",IF(AJ$8&gt;$G75,IF(OR(status1B5!AK75=1,status1B5!AK75=2,'BOULEVARD 5'!AM73&gt;0),"Pagado","impago"),""))</f>
        <v>Pagado</v>
      </c>
      <c r="AK75" s="666" t="str">
        <f>IF(OR($A75="F&amp;F",$G75=""),"",IF(AK$8&gt;$G75,IF(OR(status1B5!AL75=1,status1B5!AL75=2,'BOULEVARD 5'!AN73&gt;0),"Pagado","impago"),""))</f>
        <v>Pagado</v>
      </c>
      <c r="AL75" s="666" t="str">
        <f>IF(OR($A75="F&amp;F",$G75=""),"",IF(AL$8&gt;$G75,IF(OR(status1B5!AM75=1,status1B5!AM75=2,'BOULEVARD 5'!AO73&gt;0),"Pagado","impago"),""))</f>
        <v>Pagado</v>
      </c>
      <c r="AM75" s="666" t="str">
        <f>IF(OR($A75="F&amp;F",$G75=""),"",IF(AM$8&gt;$G75,IF(OR(status1B5!AN75=1,status1B5!AN75=2,'BOULEVARD 5'!AP73&gt;0),"Pagado","impago"),""))</f>
        <v>Pagado</v>
      </c>
      <c r="AN75" s="666" t="str">
        <f>IF(OR($A75="F&amp;F",$G75=""),"",IF(AN$8&gt;$G75,IF(OR(status1B5!AO75=1,status1B5!AO75=2,'BOULEVARD 5'!AQ73&gt;0),"Pagado","impago"),""))</f>
        <v>Pagado</v>
      </c>
      <c r="AO75" s="666" t="str">
        <f>IF(OR($A75="F&amp;F",$G75=""),"",IF(AO$8&gt;$G75,IF(OR(status1B5!AP75=1,status1B5!AP75=2,'BOULEVARD 5'!AS73&gt;0),"Pagado","impago"),""))</f>
        <v>Pagado</v>
      </c>
      <c r="AP75" s="429" t="str">
        <f t="shared" si="6"/>
        <v>Vendido</v>
      </c>
    </row>
    <row r="76" spans="1:42" s="429" customFormat="1" ht="13.9" customHeight="1" x14ac:dyDescent="0.25">
      <c r="A76" s="472"/>
      <c r="B76" s="436">
        <f>'BOULEVARD 5'!B74</f>
        <v>418</v>
      </c>
      <c r="C76" s="436" t="s">
        <v>355</v>
      </c>
      <c r="D76" s="436"/>
      <c r="E76" s="436" t="str">
        <f>IF('BOULEVARD 5'!E74="","",'BOULEVARD 5'!E74)</f>
        <v>Antonio Rada</v>
      </c>
      <c r="F76" s="429" t="str">
        <f>IF('BOULEVARD 5'!F74="","",'BOULEVARD 5'!F74)</f>
        <v xml:space="preserve">Antonio Vicente Tzep Tahay </v>
      </c>
      <c r="G76" s="473">
        <f>IF('BOULEVARD 5'!G74="","",'BOULEVARD 5'!G74)</f>
        <v>45785</v>
      </c>
      <c r="H76" s="666" t="str">
        <f>IF(OR($A76="F&amp;F",$G76=""),"",IF(H$8&gt;$G76,IF(OR(status1B5!I76=1,status1B5!I76=2,'BOULEVARD 5'!K74&gt;0),"Pagado","impago"),""))</f>
        <v/>
      </c>
      <c r="I76" s="666" t="str">
        <f>IF(OR($A76="F&amp;F",$G76=""),"",IF(I$8&gt;$G76,IF(OR(status1B5!J76=1,status1B5!J76=2,'BOULEVARD 5'!L74&gt;0),"Pagado","impago"),""))</f>
        <v/>
      </c>
      <c r="J76" s="666" t="str">
        <f>IF(OR($A76="F&amp;F",$G76=""),"",IF(J$8&gt;$G76,IF(OR(status1B5!K76=1,status1B5!K76=2,'BOULEVARD 5'!M74&gt;0),"Pagado","impago"),""))</f>
        <v/>
      </c>
      <c r="K76" s="666" t="str">
        <f>IF(OR($A76="F&amp;F",$G76=""),"",IF(K$8&gt;$G76,IF(OR(status1B5!L76=1,status1B5!L76=2,'BOULEVARD 5'!N74&gt;0),"Pagado","impago"),""))</f>
        <v/>
      </c>
      <c r="L76" s="666" t="str">
        <f>IF(OR($A76="F&amp;F",$G76=""),"",IF(L$8&gt;$G76,IF(OR(status1B5!M76=1,status1B5!M76=2,'BOULEVARD 5'!O74&gt;0),"Pagado","impago"),""))</f>
        <v/>
      </c>
      <c r="M76" s="666" t="str">
        <f>IF(OR($A76="F&amp;F",$G76=""),"",IF(M$8&gt;$G76,IF(OR(status1B5!N76=1,status1B5!N76=2,'BOULEVARD 5'!P74&gt;0),"Pagado","impago"),""))</f>
        <v/>
      </c>
      <c r="N76" s="666" t="str">
        <f>IF(OR($A76="F&amp;F",$G76=""),"",IF(N$8&gt;$G76,IF(OR(status1B5!O76=1,status1B5!O76=2,'BOULEVARD 5'!Q74&gt;0),"Pagado","impago"),""))</f>
        <v/>
      </c>
      <c r="O76" s="666" t="str">
        <f>IF(OR($A76="F&amp;F",$G76=""),"",IF(O$8&gt;$G76,IF(OR(status1B5!P76=1,status1B5!P76=2,'BOULEVARD 5'!R74&gt;0),"Pagado","impago"),""))</f>
        <v/>
      </c>
      <c r="P76" s="666" t="str">
        <f>IF(OR($A76="F&amp;F",$G76=""),"",IF(P$8&gt;$G76,IF(OR(status1B5!Q76=1,status1B5!Q76=2,'BOULEVARD 5'!S74&gt;0),"Pagado","impago"),""))</f>
        <v/>
      </c>
      <c r="Q76" s="666" t="str">
        <f>IF(OR($A76="F&amp;F",$G76=""),"",IF(Q$8&gt;$G76,IF(OR(status1B5!R76=1,status1B5!R76=2,'BOULEVARD 5'!T74&gt;0),"Pagado","impago"),""))</f>
        <v/>
      </c>
      <c r="R76" s="666" t="str">
        <f>IF(OR($A76="F&amp;F",$G76=""),"",IF(R$8&gt;$G76,IF(OR(status1B5!S76=1,status1B5!S76=2,'BOULEVARD 5'!U74&gt;0),"Pagado","impago"),""))</f>
        <v/>
      </c>
      <c r="S76" s="666" t="str">
        <f>IF(OR($A76="F&amp;F",$G76=""),"",IF(S$8&gt;$G76,IF(OR(status1B5!T76=1,status1B5!T76=2,'BOULEVARD 5'!V74&gt;0),"Pagado","impago"),""))</f>
        <v/>
      </c>
      <c r="T76" s="666" t="str">
        <f>IF(OR($A76="F&amp;F",$G76=""),"",IF(T$8&gt;$G76,IF(OR(status1B5!U76=1,status1B5!U76=2,'BOULEVARD 5'!W74&gt;0),"Pagado","impago"),""))</f>
        <v/>
      </c>
      <c r="U76" s="666" t="str">
        <f>IF(OR($A76="F&amp;F",$G76=""),"",IF(U$8&gt;$G76,IF(OR(status1B5!V76=1,status1B5!V76=2,'BOULEVARD 5'!X74&gt;0),"Pagado","impago"),""))</f>
        <v/>
      </c>
      <c r="V76" s="666" t="str">
        <f>IF(OR($A76="F&amp;F",$G76=""),"",IF(V$8&gt;$G76,IF(OR(status1B5!W76=1,status1B5!W76=2,'BOULEVARD 5'!Y74&gt;0),"Pagado","impago"),""))</f>
        <v/>
      </c>
      <c r="W76" s="666" t="str">
        <f>IF(OR($A76="F&amp;F",$G76=""),"",IF(W$8&gt;$G76,IF(OR(status1B5!X76=1,status1B5!X76=2,'BOULEVARD 5'!Z74&gt;0),"Pagado","impago"),""))</f>
        <v/>
      </c>
      <c r="X76" s="666" t="str">
        <f>IF(OR($A76="F&amp;F",$G76=""),"",IF(X$8&gt;$G76,IF(OR(status1B5!Y76=1,status1B5!Y76=2,'BOULEVARD 5'!AA74&gt;0),"Pagado","impago"),""))</f>
        <v/>
      </c>
      <c r="Y76" s="666" t="str">
        <f>IF(OR($A76="F&amp;F",$G76=""),"",IF(Y$8&gt;$G76,IF(OR(status1B5!Z76=1,status1B5!Z76=2,'BOULEVARD 5'!AB74&gt;0),"Pagado","impago"),""))</f>
        <v/>
      </c>
      <c r="Z76" s="666" t="str">
        <f>IF(OR($A76="F&amp;F",$G76=""),"",IF(Z$8&gt;$G76,IF(OR(status1B5!AA76=1,status1B5!AA76=2,'BOULEVARD 5'!AC74&gt;0),"Pagado","impago"),""))</f>
        <v/>
      </c>
      <c r="AA76" s="666" t="str">
        <f>IF(OR($A76="F&amp;F",$G76=""),"",IF(AA$8&gt;$G76,IF(OR(status1B5!AB76=1,status1B5!AB76=2,'BOULEVARD 5'!AD74&gt;0),"Pagado","impago"),""))</f>
        <v/>
      </c>
      <c r="AB76" s="666" t="str">
        <f>IF(OR($A76="F&amp;F",$G76=""),"",IF(AB$8&gt;$G76,IF(OR(status1B5!AC76=1,status1B5!AC76=2,'BOULEVARD 5'!AE74&gt;0),"Pagado","impago"),""))</f>
        <v/>
      </c>
      <c r="AC76" s="666" t="str">
        <f>IF(OR($A76="F&amp;F",$G76=""),"",IF(AC$8&gt;$G76,IF(OR(status1B5!AD76=1,status1B5!AD76=2,'BOULEVARD 5'!AF74&gt;0),"Pagado","impago"),""))</f>
        <v/>
      </c>
      <c r="AD76" s="666" t="str">
        <f>IF(OR($A76="F&amp;F",$G76=""),"",IF(AD$8&gt;$G76,IF(OR(status1B5!AE76=1,status1B5!AE76=2,'BOULEVARD 5'!AG74&gt;0),"Pagado","impago"),""))</f>
        <v/>
      </c>
      <c r="AE76" s="666" t="str">
        <f>IF(OR($A76="F&amp;F",$G76=""),"",IF(AE$8&gt;$G76,IF(OR(status1B5!AF76=1,status1B5!AF76=2,'BOULEVARD 5'!AH74&gt;0),"Pagado","impago"),""))</f>
        <v/>
      </c>
      <c r="AF76" s="666" t="str">
        <f>IF(OR($A76="F&amp;F",$G76=""),"",IF(AF$8&gt;$G76,IF(OR(status1B5!AG76=1,status1B5!AG76=2,'BOULEVARD 5'!AI74&gt;0),"Pagado","impago"),""))</f>
        <v/>
      </c>
      <c r="AG76" s="666" t="str">
        <f>IF(OR($A76="F&amp;F",$G76=""),"",IF(AG$8&gt;$G76,IF(OR(status1B5!AH76=1,status1B5!AH76=2,'BOULEVARD 5'!AJ74&gt;0),"Pagado","impago"),""))</f>
        <v/>
      </c>
      <c r="AH76" s="666" t="str">
        <f>IF(OR($A76="F&amp;F",$G76=""),"",IF(AH$8&gt;$G76,IF(OR(status1B5!AI76=1,status1B5!AI76=2,'BOULEVARD 5'!AK74&gt;0),"Pagado","impago"),""))</f>
        <v>Pagado</v>
      </c>
      <c r="AI76" s="666" t="str">
        <f>IF(OR($A76="F&amp;F",$G76=""),"",IF(AI$8&gt;$G76,IF(OR(status1B5!AJ76=1,status1B5!AJ76=2,'BOULEVARD 5'!AL74&gt;0),"Pagado","impago"),""))</f>
        <v>Pagado</v>
      </c>
      <c r="AJ76" s="666" t="str">
        <f>IF(OR($A76="F&amp;F",$G76=""),"",IF(AJ$8&gt;$G76,IF(OR(status1B5!AK76=1,status1B5!AK76=2,'BOULEVARD 5'!AM74&gt;0),"Pagado","impago"),""))</f>
        <v>Pagado</v>
      </c>
      <c r="AK76" s="666" t="str">
        <f>IF(OR($A76="F&amp;F",$G76=""),"",IF(AK$8&gt;$G76,IF(OR(status1B5!AL76=1,status1B5!AL76=2,'BOULEVARD 5'!AN74&gt;0),"Pagado","impago"),""))</f>
        <v>Pagado</v>
      </c>
      <c r="AL76" s="666" t="str">
        <f>IF(OR($A76="F&amp;F",$G76=""),"",IF(AL$8&gt;$G76,IF(OR(status1B5!AM76=1,status1B5!AM76=2,'BOULEVARD 5'!AO74&gt;0),"Pagado","impago"),""))</f>
        <v>Pagado</v>
      </c>
      <c r="AM76" s="666" t="str">
        <f>IF(OR($A76="F&amp;F",$G76=""),"",IF(AM$8&gt;$G76,IF(OR(status1B5!AN76=1,status1B5!AN76=2,'BOULEVARD 5'!AP74&gt;0),"Pagado","impago"),""))</f>
        <v>Pagado</v>
      </c>
      <c r="AN76" s="666" t="str">
        <f>IF(OR($A76="F&amp;F",$G76=""),"",IF(AN$8&gt;$G76,IF(OR(status1B5!AO76=1,status1B5!AO76=2,'BOULEVARD 5'!AQ74&gt;0),"Pagado","impago"),""))</f>
        <v>Pagado</v>
      </c>
      <c r="AO76" s="666" t="str">
        <f>IF(OR($A76="F&amp;F",$G76=""),"",IF(AO$8&gt;$G76,IF(OR(status1B5!AP76=1,status1B5!AP76=2,'BOULEVARD 5'!AS74&gt;0),"Pagado","impago"),""))</f>
        <v>Pagado</v>
      </c>
      <c r="AP76" s="429" t="str">
        <f t="shared" si="6"/>
        <v>Vendido</v>
      </c>
    </row>
    <row r="77" spans="1:42" s="429" customFormat="1" ht="13.9" customHeight="1" x14ac:dyDescent="0.25">
      <c r="A77" s="472"/>
      <c r="B77" s="436">
        <f>'BOULEVARD 5'!B75</f>
        <v>419</v>
      </c>
      <c r="C77" s="436" t="s">
        <v>355</v>
      </c>
      <c r="D77" s="436"/>
      <c r="E77" s="436" t="str">
        <f>IF('BOULEVARD 5'!E75="","",'BOULEVARD 5'!E75)</f>
        <v>Antonio Rada</v>
      </c>
      <c r="F77" s="429" t="str">
        <f>IF('BOULEVARD 5'!F75="","",'BOULEVARD 5'!F75)</f>
        <v>Andrea Elizabeth Ortiz Perez</v>
      </c>
      <c r="G77" s="473">
        <f>IF('BOULEVARD 5'!G75="","",'BOULEVARD 5'!G75)</f>
        <v>45231</v>
      </c>
      <c r="H77" s="666" t="str">
        <f>IF(OR($A77="F&amp;F",$G77=""),"",IF(H$8&gt;$G77,IF(OR(status1B5!I77=1,status1B5!I77=2,'BOULEVARD 5'!K75&gt;0),"Pagado","impago"),""))</f>
        <v/>
      </c>
      <c r="I77" s="666" t="str">
        <f>IF(OR($A77="F&amp;F",$G77=""),"",IF(I$8&gt;$G77,IF(OR(status1B5!J77=1,status1B5!J77=2,'BOULEVARD 5'!L75&gt;0),"Pagado","impago"),""))</f>
        <v/>
      </c>
      <c r="J77" s="666" t="str">
        <f>IF(OR($A77="F&amp;F",$G77=""),"",IF(J$8&gt;$G77,IF(OR(status1B5!K77=1,status1B5!K77=2,'BOULEVARD 5'!M75&gt;0),"Pagado","impago"),""))</f>
        <v/>
      </c>
      <c r="K77" s="666" t="str">
        <f>IF(OR($A77="F&amp;F",$G77=""),"",IF(K$8&gt;$G77,IF(OR(status1B5!L77=1,status1B5!L77=2,'BOULEVARD 5'!N75&gt;0),"Pagado","impago"),""))</f>
        <v/>
      </c>
      <c r="L77" s="666" t="str">
        <f>IF(OR($A77="F&amp;F",$G77=""),"",IF(L$8&gt;$G77,IF(OR(status1B5!M77=1,status1B5!M77=2,'BOULEVARD 5'!O75&gt;0),"Pagado","impago"),""))</f>
        <v/>
      </c>
      <c r="M77" s="666" t="str">
        <f>IF(OR($A77="F&amp;F",$G77=""),"",IF(M$8&gt;$G77,IF(OR(status1B5!N77=1,status1B5!N77=2,'BOULEVARD 5'!P75&gt;0),"Pagado","impago"),""))</f>
        <v/>
      </c>
      <c r="N77" s="666" t="str">
        <f>IF(OR($A77="F&amp;F",$G77=""),"",IF(N$8&gt;$G77,IF(OR(status1B5!O77=1,status1B5!O77=2,'BOULEVARD 5'!Q75&gt;0),"Pagado","impago"),""))</f>
        <v/>
      </c>
      <c r="O77" s="666" t="str">
        <f>IF(OR($A77="F&amp;F",$G77=""),"",IF(O$8&gt;$G77,IF(OR(status1B5!P77=1,status1B5!P77=2,'BOULEVARD 5'!R75&gt;0),"Pagado","impago"),""))</f>
        <v/>
      </c>
      <c r="P77" s="666" t="str">
        <f>IF(OR($A77="F&amp;F",$G77=""),"",IF(P$8&gt;$G77,IF(OR(status1B5!Q77=1,status1B5!Q77=2,'BOULEVARD 5'!S75&gt;0),"Pagado","impago"),""))</f>
        <v>Pagado</v>
      </c>
      <c r="Q77" s="666" t="str">
        <f>IF(OR($A77="F&amp;F",$G77=""),"",IF(Q$8&gt;$G77,IF(OR(status1B5!R77=1,status1B5!R77=2,'BOULEVARD 5'!T75&gt;0),"Pagado","impago"),""))</f>
        <v>Pagado</v>
      </c>
      <c r="R77" s="666" t="str">
        <f>IF(OR($A77="F&amp;F",$G77=""),"",IF(R$8&gt;$G77,IF(OR(status1B5!S77=1,status1B5!S77=2,'BOULEVARD 5'!U75&gt;0),"Pagado","impago"),""))</f>
        <v>Pagado</v>
      </c>
      <c r="S77" s="666" t="str">
        <f>IF(OR($A77="F&amp;F",$G77=""),"",IF(S$8&gt;$G77,IF(OR(status1B5!T77=1,status1B5!T77=2,'BOULEVARD 5'!V75&gt;0),"Pagado","impago"),""))</f>
        <v>Pagado</v>
      </c>
      <c r="T77" s="666" t="str">
        <f>IF(OR($A77="F&amp;F",$G77=""),"",IF(T$8&gt;$G77,IF(OR(status1B5!U77=1,status1B5!U77=2,'BOULEVARD 5'!W75&gt;0),"Pagado","impago"),""))</f>
        <v>Pagado</v>
      </c>
      <c r="U77" s="666" t="str">
        <f>IF(OR($A77="F&amp;F",$G77=""),"",IF(U$8&gt;$G77,IF(OR(status1B5!V77=1,status1B5!V77=2,'BOULEVARD 5'!X75&gt;0),"Pagado","impago"),""))</f>
        <v>Pagado</v>
      </c>
      <c r="V77" s="666" t="str">
        <f>IF(OR($A77="F&amp;F",$G77=""),"",IF(V$8&gt;$G77,IF(OR(status1B5!W77=1,status1B5!W77=2,'BOULEVARD 5'!Y75&gt;0),"Pagado","impago"),""))</f>
        <v>Pagado</v>
      </c>
      <c r="W77" s="666" t="str">
        <f>IF(OR($A77="F&amp;F",$G77=""),"",IF(W$8&gt;$G77,IF(OR(status1B5!X77=1,status1B5!X77=2,'BOULEVARD 5'!Z75&gt;0),"Pagado","impago"),""))</f>
        <v>Pagado</v>
      </c>
      <c r="X77" s="666" t="str">
        <f>IF(OR($A77="F&amp;F",$G77=""),"",IF(X$8&gt;$G77,IF(OR(status1B5!Y77=1,status1B5!Y77=2,'BOULEVARD 5'!AA75&gt;0),"Pagado","impago"),""))</f>
        <v>Pagado</v>
      </c>
      <c r="Y77" s="666" t="str">
        <f>IF(OR($A77="F&amp;F",$G77=""),"",IF(Y$8&gt;$G77,IF(OR(status1B5!Z77=1,status1B5!Z77=2,'BOULEVARD 5'!AB75&gt;0),"Pagado","impago"),""))</f>
        <v>Pagado</v>
      </c>
      <c r="Z77" s="666" t="str">
        <f>IF(OR($A77="F&amp;F",$G77=""),"",IF(Z$8&gt;$G77,IF(OR(status1B5!AA77=1,status1B5!AA77=2,'BOULEVARD 5'!AC75&gt;0),"Pagado","impago"),""))</f>
        <v>Pagado</v>
      </c>
      <c r="AA77" s="666" t="str">
        <f>IF(OR($A77="F&amp;F",$G77=""),"",IF(AA$8&gt;$G77,IF(OR(status1B5!AB77=1,status1B5!AB77=2,'BOULEVARD 5'!AD75&gt;0),"Pagado","impago"),""))</f>
        <v>Pagado</v>
      </c>
      <c r="AB77" s="666" t="str">
        <f>IF(OR($A77="F&amp;F",$G77=""),"",IF(AB$8&gt;$G77,IF(OR(status1B5!AC77=1,status1B5!AC77=2,'BOULEVARD 5'!AE75&gt;0),"Pagado","impago"),""))</f>
        <v>Pagado</v>
      </c>
      <c r="AC77" s="666" t="str">
        <f>IF(OR($A77="F&amp;F",$G77=""),"",IF(AC$8&gt;$G77,IF(OR(status1B5!AD77=1,status1B5!AD77=2,'BOULEVARD 5'!AF75&gt;0),"Pagado","impago"),""))</f>
        <v>Pagado</v>
      </c>
      <c r="AD77" s="666" t="str">
        <f>IF(OR($A77="F&amp;F",$G77=""),"",IF(AD$8&gt;$G77,IF(OR(status1B5!AE77=1,status1B5!AE77=2,'BOULEVARD 5'!AG75&gt;0),"Pagado","impago"),""))</f>
        <v>Pagado</v>
      </c>
      <c r="AE77" s="666" t="str">
        <f>IF(OR($A77="F&amp;F",$G77=""),"",IF(AE$8&gt;$G77,IF(OR(status1B5!AF77=1,status1B5!AF77=2,'BOULEVARD 5'!AH75&gt;0),"Pagado","impago"),""))</f>
        <v>Pagado</v>
      </c>
      <c r="AF77" s="666" t="str">
        <f>IF(OR($A77="F&amp;F",$G77=""),"",IF(AF$8&gt;$G77,IF(OR(status1B5!AG77=1,status1B5!AG77=2,'BOULEVARD 5'!AI75&gt;0),"Pagado","impago"),""))</f>
        <v>Pagado</v>
      </c>
      <c r="AG77" s="666" t="str">
        <f>IF(OR($A77="F&amp;F",$G77=""),"",IF(AG$8&gt;$G77,IF(OR(status1B5!AH77=1,status1B5!AH77=2,'BOULEVARD 5'!AJ75&gt;0),"Pagado","impago"),""))</f>
        <v>Pagado</v>
      </c>
      <c r="AH77" s="666" t="str">
        <f>IF(OR($A77="F&amp;F",$G77=""),"",IF(AH$8&gt;$G77,IF(OR(status1B5!AI77=1,status1B5!AI77=2,'BOULEVARD 5'!AK75&gt;0),"Pagado","impago"),""))</f>
        <v>Pagado</v>
      </c>
      <c r="AI77" s="666" t="str">
        <f>IF(OR($A77="F&amp;F",$G77=""),"",IF(AI$8&gt;$G77,IF(OR(status1B5!AJ77=1,status1B5!AJ77=2,'BOULEVARD 5'!AL75&gt;0),"Pagado","impago"),""))</f>
        <v>Pagado</v>
      </c>
      <c r="AJ77" s="666" t="str">
        <f>IF(OR($A77="F&amp;F",$G77=""),"",IF(AJ$8&gt;$G77,IF(OR(status1B5!AK77=1,status1B5!AK77=2,'BOULEVARD 5'!AM75&gt;0),"Pagado","impago"),""))</f>
        <v>Pagado</v>
      </c>
      <c r="AK77" s="666" t="str">
        <f>IF(OR($A77="F&amp;F",$G77=""),"",IF(AK$8&gt;$G77,IF(OR(status1B5!AL77=1,status1B5!AL77=2,'BOULEVARD 5'!AN75&gt;0),"Pagado","impago"),""))</f>
        <v>Pagado</v>
      </c>
      <c r="AL77" s="666" t="str">
        <f>IF(OR($A77="F&amp;F",$G77=""),"",IF(AL$8&gt;$G77,IF(OR(status1B5!AM77=1,status1B5!AM77=2,'BOULEVARD 5'!AO75&gt;0),"Pagado","impago"),""))</f>
        <v>Pagado</v>
      </c>
      <c r="AM77" s="666" t="str">
        <f>IF(OR($A77="F&amp;F",$G77=""),"",IF(AM$8&gt;$G77,IF(OR(status1B5!AN77=1,status1B5!AN77=2,'BOULEVARD 5'!AP75&gt;0),"Pagado","impago"),""))</f>
        <v>Pagado</v>
      </c>
      <c r="AN77" s="666" t="str">
        <f>IF(OR($A77="F&amp;F",$G77=""),"",IF(AN$8&gt;$G77,IF(OR(status1B5!AO77=1,status1B5!AO77=2,'BOULEVARD 5'!AQ75&gt;0),"Pagado","impago"),""))</f>
        <v>Pagado</v>
      </c>
      <c r="AO77" s="666" t="str">
        <f>IF(OR($A77="F&amp;F",$G77=""),"",IF(AO$8&gt;$G77,IF(OR(status1B5!AP77=1,status1B5!AP77=2,'BOULEVARD 5'!AS75&gt;0),"Pagado","impago"),""))</f>
        <v>Pagado</v>
      </c>
      <c r="AP77" s="429" t="str">
        <f t="shared" si="6"/>
        <v>Vendido</v>
      </c>
    </row>
    <row r="78" spans="1:42" s="429" customFormat="1" ht="13.9" customHeight="1" x14ac:dyDescent="0.25">
      <c r="A78" s="472"/>
      <c r="B78" s="436">
        <f>'BOULEVARD 5'!B76</f>
        <v>420</v>
      </c>
      <c r="C78" s="436" t="s">
        <v>355</v>
      </c>
      <c r="D78" s="436"/>
      <c r="E78" s="436" t="str">
        <f>IF('BOULEVARD 5'!E76="","",'BOULEVARD 5'!E76)</f>
        <v>Antonio Rada</v>
      </c>
      <c r="F78" s="429" t="str">
        <f>IF('BOULEVARD 5'!F76="","",'BOULEVARD 5'!F76)</f>
        <v>Rodriga Virginia Figueroa Perez</v>
      </c>
      <c r="G78" s="473">
        <f>IF('BOULEVARD 5'!G76="","",'BOULEVARD 5'!G76)</f>
        <v>45490</v>
      </c>
      <c r="H78" s="666" t="str">
        <f>IF(OR($A78="F&amp;F",$G78=""),"",IF(H$8&gt;$G78,IF(OR(status1B5!I78=1,status1B5!I78=2,'BOULEVARD 5'!K76&gt;0),"Pagado","impago"),""))</f>
        <v/>
      </c>
      <c r="I78" s="666" t="str">
        <f>IF(OR($A78="F&amp;F",$G78=""),"",IF(I$8&gt;$G78,IF(OR(status1B5!J78=1,status1B5!J78=2,'BOULEVARD 5'!L76&gt;0),"Pagado","impago"),""))</f>
        <v/>
      </c>
      <c r="J78" s="666" t="str">
        <f>IF(OR($A78="F&amp;F",$G78=""),"",IF(J$8&gt;$G78,IF(OR(status1B5!K78=1,status1B5!K78=2,'BOULEVARD 5'!M76&gt;0),"Pagado","impago"),""))</f>
        <v/>
      </c>
      <c r="K78" s="666" t="str">
        <f>IF(OR($A78="F&amp;F",$G78=""),"",IF(K$8&gt;$G78,IF(OR(status1B5!L78=1,status1B5!L78=2,'BOULEVARD 5'!N76&gt;0),"Pagado","impago"),""))</f>
        <v/>
      </c>
      <c r="L78" s="666" t="str">
        <f>IF(OR($A78="F&amp;F",$G78=""),"",IF(L$8&gt;$G78,IF(OR(status1B5!M78=1,status1B5!M78=2,'BOULEVARD 5'!O76&gt;0),"Pagado","impago"),""))</f>
        <v/>
      </c>
      <c r="M78" s="666" t="str">
        <f>IF(OR($A78="F&amp;F",$G78=""),"",IF(M$8&gt;$G78,IF(OR(status1B5!N78=1,status1B5!N78=2,'BOULEVARD 5'!P76&gt;0),"Pagado","impago"),""))</f>
        <v/>
      </c>
      <c r="N78" s="666" t="str">
        <f>IF(OR($A78="F&amp;F",$G78=""),"",IF(N$8&gt;$G78,IF(OR(status1B5!O78=1,status1B5!O78=2,'BOULEVARD 5'!Q76&gt;0),"Pagado","impago"),""))</f>
        <v/>
      </c>
      <c r="O78" s="666" t="str">
        <f>IF(OR($A78="F&amp;F",$G78=""),"",IF(O$8&gt;$G78,IF(OR(status1B5!P78=1,status1B5!P78=2,'BOULEVARD 5'!R76&gt;0),"Pagado","impago"),""))</f>
        <v/>
      </c>
      <c r="P78" s="666" t="str">
        <f>IF(OR($A78="F&amp;F",$G78=""),"",IF(P$8&gt;$G78,IF(OR(status1B5!Q78=1,status1B5!Q78=2,'BOULEVARD 5'!S76&gt;0),"Pagado","impago"),""))</f>
        <v/>
      </c>
      <c r="Q78" s="666" t="str">
        <f>IF(OR($A78="F&amp;F",$G78=""),"",IF(Q$8&gt;$G78,IF(OR(status1B5!R78=1,status1B5!R78=2,'BOULEVARD 5'!T76&gt;0),"Pagado","impago"),""))</f>
        <v/>
      </c>
      <c r="R78" s="666" t="str">
        <f>IF(OR($A78="F&amp;F",$G78=""),"",IF(R$8&gt;$G78,IF(OR(status1B5!S78=1,status1B5!S78=2,'BOULEVARD 5'!U76&gt;0),"Pagado","impago"),""))</f>
        <v/>
      </c>
      <c r="S78" s="666" t="str">
        <f>IF(OR($A78="F&amp;F",$G78=""),"",IF(S$8&gt;$G78,IF(OR(status1B5!T78=1,status1B5!T78=2,'BOULEVARD 5'!V76&gt;0),"Pagado","impago"),""))</f>
        <v/>
      </c>
      <c r="T78" s="666" t="str">
        <f>IF(OR($A78="F&amp;F",$G78=""),"",IF(T$8&gt;$G78,IF(OR(status1B5!U78=1,status1B5!U78=2,'BOULEVARD 5'!W76&gt;0),"Pagado","impago"),""))</f>
        <v/>
      </c>
      <c r="U78" s="666" t="str">
        <f>IF(OR($A78="F&amp;F",$G78=""),"",IF(U$8&gt;$G78,IF(OR(status1B5!V78=1,status1B5!V78=2,'BOULEVARD 5'!X76&gt;0),"Pagado","impago"),""))</f>
        <v/>
      </c>
      <c r="V78" s="666" t="str">
        <f>IF(OR($A78="F&amp;F",$G78=""),"",IF(V$8&gt;$G78,IF(OR(status1B5!W78=1,status1B5!W78=2,'BOULEVARD 5'!Y76&gt;0),"Pagado","impago"),""))</f>
        <v/>
      </c>
      <c r="W78" s="666" t="str">
        <f>IF(OR($A78="F&amp;F",$G78=""),"",IF(W$8&gt;$G78,IF(OR(status1B5!X78=1,status1B5!X78=2,'BOULEVARD 5'!Z76&gt;0),"Pagado","impago"),""))</f>
        <v/>
      </c>
      <c r="X78" s="666" t="str">
        <f>IF(OR($A78="F&amp;F",$G78=""),"",IF(X$8&gt;$G78,IF(OR(status1B5!Y78=1,status1B5!Y78=2,'BOULEVARD 5'!AA76&gt;0),"Pagado","impago"),""))</f>
        <v>Pagado</v>
      </c>
      <c r="Y78" s="666" t="str">
        <f>IF(OR($A78="F&amp;F",$G78=""),"",IF(Y$8&gt;$G78,IF(OR(status1B5!Z78=1,status1B5!Z78=2,'BOULEVARD 5'!AB76&gt;0),"Pagado","impago"),""))</f>
        <v>Pagado</v>
      </c>
      <c r="Z78" s="666" t="str">
        <f>IF(OR($A78="F&amp;F",$G78=""),"",IF(Z$8&gt;$G78,IF(OR(status1B5!AA78=1,status1B5!AA78=2,'BOULEVARD 5'!AC76&gt;0),"Pagado","impago"),""))</f>
        <v>Pagado</v>
      </c>
      <c r="AA78" s="666" t="str">
        <f>IF(OR($A78="F&amp;F",$G78=""),"",IF(AA$8&gt;$G78,IF(OR(status1B5!AB78=1,status1B5!AB78=2,'BOULEVARD 5'!AD76&gt;0),"Pagado","impago"),""))</f>
        <v>Pagado</v>
      </c>
      <c r="AB78" s="666" t="str">
        <f>IF(OR($A78="F&amp;F",$G78=""),"",IF(AB$8&gt;$G78,IF(OR(status1B5!AC78=1,status1B5!AC78=2,'BOULEVARD 5'!AE76&gt;0),"Pagado","impago"),""))</f>
        <v>Pagado</v>
      </c>
      <c r="AC78" s="666" t="str">
        <f>IF(OR($A78="F&amp;F",$G78=""),"",IF(AC$8&gt;$G78,IF(OR(status1B5!AD78=1,status1B5!AD78=2,'BOULEVARD 5'!AF76&gt;0),"Pagado","impago"),""))</f>
        <v>Pagado</v>
      </c>
      <c r="AD78" s="666" t="str">
        <f>IF(OR($A78="F&amp;F",$G78=""),"",IF(AD$8&gt;$G78,IF(OR(status1B5!AE78=1,status1B5!AE78=2,'BOULEVARD 5'!AG76&gt;0),"Pagado","impago"),""))</f>
        <v>Pagado</v>
      </c>
      <c r="AE78" s="666" t="str">
        <f>IF(OR($A78="F&amp;F",$G78=""),"",IF(AE$8&gt;$G78,IF(OR(status1B5!AF78=1,status1B5!AF78=2,'BOULEVARD 5'!AH76&gt;0),"Pagado","impago"),""))</f>
        <v>Pagado</v>
      </c>
      <c r="AF78" s="666" t="str">
        <f>IF(OR($A78="F&amp;F",$G78=""),"",IF(AF$8&gt;$G78,IF(OR(status1B5!AG78=1,status1B5!AG78=2,'BOULEVARD 5'!AI76&gt;0),"Pagado","impago"),""))</f>
        <v>Pagado</v>
      </c>
      <c r="AG78" s="666" t="str">
        <f>IF(OR($A78="F&amp;F",$G78=""),"",IF(AG$8&gt;$G78,IF(OR(status1B5!AH78=1,status1B5!AH78=2,'BOULEVARD 5'!AJ76&gt;0),"Pagado","impago"),""))</f>
        <v>Pagado</v>
      </c>
      <c r="AH78" s="666" t="str">
        <f>IF(OR($A78="F&amp;F",$G78=""),"",IF(AH$8&gt;$G78,IF(OR(status1B5!AI78=1,status1B5!AI78=2,'BOULEVARD 5'!AK76&gt;0),"Pagado","impago"),""))</f>
        <v>Pagado</v>
      </c>
      <c r="AI78" s="666" t="str">
        <f>IF(OR($A78="F&amp;F",$G78=""),"",IF(AI$8&gt;$G78,IF(OR(status1B5!AJ78=1,status1B5!AJ78=2,'BOULEVARD 5'!AL76&gt;0),"Pagado","impago"),""))</f>
        <v>Pagado</v>
      </c>
      <c r="AJ78" s="666" t="str">
        <f>IF(OR($A78="F&amp;F",$G78=""),"",IF(AJ$8&gt;$G78,IF(OR(status1B5!AK78=1,status1B5!AK78=2,'BOULEVARD 5'!AM76&gt;0),"Pagado","impago"),""))</f>
        <v>Pagado</v>
      </c>
      <c r="AK78" s="666" t="str">
        <f>IF(OR($A78="F&amp;F",$G78=""),"",IF(AK$8&gt;$G78,IF(OR(status1B5!AL78=1,status1B5!AL78=2,'BOULEVARD 5'!AN76&gt;0),"Pagado","impago"),""))</f>
        <v>Pagado</v>
      </c>
      <c r="AL78" s="666" t="str">
        <f>IF(OR($A78="F&amp;F",$G78=""),"",IF(AL$8&gt;$G78,IF(OR(status1B5!AM78=1,status1B5!AM78=2,'BOULEVARD 5'!AO76&gt;0),"Pagado","impago"),""))</f>
        <v>Pagado</v>
      </c>
      <c r="AM78" s="666" t="str">
        <f>IF(OR($A78="F&amp;F",$G78=""),"",IF(AM$8&gt;$G78,IF(OR(status1B5!AN78=1,status1B5!AN78=2,'BOULEVARD 5'!AP76&gt;0),"Pagado","impago"),""))</f>
        <v>Pagado</v>
      </c>
      <c r="AN78" s="666" t="str">
        <f>IF(OR($A78="F&amp;F",$G78=""),"",IF(AN$8&gt;$G78,IF(OR(status1B5!AO78=1,status1B5!AO78=2,'BOULEVARD 5'!AQ76&gt;0),"Pagado","impago"),""))</f>
        <v>Pagado</v>
      </c>
      <c r="AO78" s="666" t="str">
        <f>IF(OR($A78="F&amp;F",$G78=""),"",IF(AO$8&gt;$G78,IF(OR(status1B5!AP78=1,status1B5!AP78=2,'BOULEVARD 5'!AS76&gt;0),"Pagado","impago"),""))</f>
        <v>Pagado</v>
      </c>
      <c r="AP78" s="429" t="str">
        <f t="shared" si="6"/>
        <v>Vendido</v>
      </c>
    </row>
    <row r="79" spans="1:42" s="429" customFormat="1" ht="13.9" customHeight="1" x14ac:dyDescent="0.25">
      <c r="B79" s="436">
        <f>'BOULEVARD 5'!B77</f>
        <v>501</v>
      </c>
      <c r="C79" s="436" t="s">
        <v>355</v>
      </c>
      <c r="D79" s="436"/>
      <c r="E79" s="436" t="str">
        <f>IF('BOULEVARD 5'!E77="","",'BOULEVARD 5'!E77)</f>
        <v>Sofia Paredes</v>
      </c>
      <c r="F79" s="429" t="str">
        <f>IF('BOULEVARD 5'!F77="","",'BOULEVARD 5'!F77)</f>
        <v>Erick Guillermo Ruano Garcia</v>
      </c>
      <c r="G79" s="473">
        <f>IF('BOULEVARD 5'!G77="","",'BOULEVARD 5'!G77)</f>
        <v>45681</v>
      </c>
      <c r="H79" s="666" t="str">
        <f>IF(OR($A79="F&amp;F",$G79=""),"",IF(H$8&gt;$G79,IF(OR(status1B5!I79=1,status1B5!I79=2,'BOULEVARD 5'!K77&gt;0),"Pagado","impago"),""))</f>
        <v/>
      </c>
      <c r="I79" s="666" t="str">
        <f>IF(OR($A79="F&amp;F",$G79=""),"",IF(I$8&gt;$G79,IF(OR(status1B5!J79=1,status1B5!J79=2,'BOULEVARD 5'!L77&gt;0),"Pagado","impago"),""))</f>
        <v/>
      </c>
      <c r="J79" s="666" t="str">
        <f>IF(OR($A79="F&amp;F",$G79=""),"",IF(J$8&gt;$G79,IF(OR(status1B5!K79=1,status1B5!K79=2,'BOULEVARD 5'!M77&gt;0),"Pagado","impago"),""))</f>
        <v/>
      </c>
      <c r="K79" s="666" t="str">
        <f>IF(OR($A79="F&amp;F",$G79=""),"",IF(K$8&gt;$G79,IF(OR(status1B5!L79=1,status1B5!L79=2,'BOULEVARD 5'!N77&gt;0),"Pagado","impago"),""))</f>
        <v/>
      </c>
      <c r="L79" s="666" t="str">
        <f>IF(OR($A79="F&amp;F",$G79=""),"",IF(L$8&gt;$G79,IF(OR(status1B5!M79=1,status1B5!M79=2,'BOULEVARD 5'!O77&gt;0),"Pagado","impago"),""))</f>
        <v/>
      </c>
      <c r="M79" s="666" t="str">
        <f>IF(OR($A79="F&amp;F",$G79=""),"",IF(M$8&gt;$G79,IF(OR(status1B5!N79=1,status1B5!N79=2,'BOULEVARD 5'!P77&gt;0),"Pagado","impago"),""))</f>
        <v/>
      </c>
      <c r="N79" s="666" t="str">
        <f>IF(OR($A79="F&amp;F",$G79=""),"",IF(N$8&gt;$G79,IF(OR(status1B5!O79=1,status1B5!O79=2,'BOULEVARD 5'!Q77&gt;0),"Pagado","impago"),""))</f>
        <v/>
      </c>
      <c r="O79" s="666" t="str">
        <f>IF(OR($A79="F&amp;F",$G79=""),"",IF(O$8&gt;$G79,IF(OR(status1B5!P79=1,status1B5!P79=2,'BOULEVARD 5'!R77&gt;0),"Pagado","impago"),""))</f>
        <v/>
      </c>
      <c r="P79" s="666" t="str">
        <f>IF(OR($A79="F&amp;F",$G79=""),"",IF(P$8&gt;$G79,IF(OR(status1B5!Q79=1,status1B5!Q79=2,'BOULEVARD 5'!S77&gt;0),"Pagado","impago"),""))</f>
        <v/>
      </c>
      <c r="Q79" s="666" t="str">
        <f>IF(OR($A79="F&amp;F",$G79=""),"",IF(Q$8&gt;$G79,IF(OR(status1B5!R79=1,status1B5!R79=2,'BOULEVARD 5'!T77&gt;0),"Pagado","impago"),""))</f>
        <v/>
      </c>
      <c r="R79" s="666" t="str">
        <f>IF(OR($A79="F&amp;F",$G79=""),"",IF(R$8&gt;$G79,IF(OR(status1B5!S79=1,status1B5!S79=2,'BOULEVARD 5'!U77&gt;0),"Pagado","impago"),""))</f>
        <v/>
      </c>
      <c r="S79" s="666" t="str">
        <f>IF(OR($A79="F&amp;F",$G79=""),"",IF(S$8&gt;$G79,IF(OR(status1B5!T79=1,status1B5!T79=2,'BOULEVARD 5'!V77&gt;0),"Pagado","impago"),""))</f>
        <v/>
      </c>
      <c r="T79" s="666" t="str">
        <f>IF(OR($A79="F&amp;F",$G79=""),"",IF(T$8&gt;$G79,IF(OR(status1B5!U79=1,status1B5!U79=2,'BOULEVARD 5'!W77&gt;0),"Pagado","impago"),""))</f>
        <v/>
      </c>
      <c r="U79" s="666" t="str">
        <f>IF(OR($A79="F&amp;F",$G79=""),"",IF(U$8&gt;$G79,IF(OR(status1B5!V79=1,status1B5!V79=2,'BOULEVARD 5'!X77&gt;0),"Pagado","impago"),""))</f>
        <v/>
      </c>
      <c r="V79" s="666" t="str">
        <f>IF(OR($A79="F&amp;F",$G79=""),"",IF(V$8&gt;$G79,IF(OR(status1B5!W79=1,status1B5!W79=2,'BOULEVARD 5'!Y77&gt;0),"Pagado","impago"),""))</f>
        <v/>
      </c>
      <c r="W79" s="666" t="str">
        <f>IF(OR($A79="F&amp;F",$G79=""),"",IF(W$8&gt;$G79,IF(OR(status1B5!X79=1,status1B5!X79=2,'BOULEVARD 5'!Z77&gt;0),"Pagado","impago"),""))</f>
        <v/>
      </c>
      <c r="X79" s="666" t="str">
        <f>IF(OR($A79="F&amp;F",$G79=""),"",IF(X$8&gt;$G79,IF(OR(status1B5!Y79=1,status1B5!Y79=2,'BOULEVARD 5'!AA77&gt;0),"Pagado","impago"),""))</f>
        <v/>
      </c>
      <c r="Y79" s="666" t="str">
        <f>IF(OR($A79="F&amp;F",$G79=""),"",IF(Y$8&gt;$G79,IF(OR(status1B5!Z79=1,status1B5!Z79=2,'BOULEVARD 5'!AB77&gt;0),"Pagado","impago"),""))</f>
        <v/>
      </c>
      <c r="Z79" s="666" t="str">
        <f>IF(OR($A79="F&amp;F",$G79=""),"",IF(Z$8&gt;$G79,IF(OR(status1B5!AA79=1,status1B5!AA79=2,'BOULEVARD 5'!AC77&gt;0),"Pagado","impago"),""))</f>
        <v/>
      </c>
      <c r="AA79" s="666" t="str">
        <f>IF(OR($A79="F&amp;F",$G79=""),"",IF(AA$8&gt;$G79,IF(OR(status1B5!AB79=1,status1B5!AB79=2,'BOULEVARD 5'!AD77&gt;0),"Pagado","impago"),""))</f>
        <v/>
      </c>
      <c r="AB79" s="666" t="str">
        <f>IF(OR($A79="F&amp;F",$G79=""),"",IF(AB$8&gt;$G79,IF(OR(status1B5!AC79=1,status1B5!AC79=2,'BOULEVARD 5'!AE77&gt;0),"Pagado","impago"),""))</f>
        <v/>
      </c>
      <c r="AC79" s="666" t="str">
        <f>IF(OR($A79="F&amp;F",$G79=""),"",IF(AC$8&gt;$G79,IF(OR(status1B5!AD79=1,status1B5!AD79=2,'BOULEVARD 5'!AF77&gt;0),"Pagado","impago"),""))</f>
        <v/>
      </c>
      <c r="AD79" s="666" t="str">
        <f>IF(OR($A79="F&amp;F",$G79=""),"",IF(AD$8&gt;$G79,IF(OR(status1B5!AE79=1,status1B5!AE79=2,'BOULEVARD 5'!AG77&gt;0),"Pagado","impago"),""))</f>
        <v>Pagado</v>
      </c>
      <c r="AE79" s="666" t="str">
        <f>IF(OR($A79="F&amp;F",$G79=""),"",IF(AE$8&gt;$G79,IF(OR(status1B5!AF79=1,status1B5!AF79=2,'BOULEVARD 5'!AH77&gt;0),"Pagado","impago"),""))</f>
        <v>Pagado</v>
      </c>
      <c r="AF79" s="666" t="str">
        <f>IF(OR($A79="F&amp;F",$G79=""),"",IF(AF$8&gt;$G79,IF(OR(status1B5!AG79=1,status1B5!AG79=2,'BOULEVARD 5'!AI77&gt;0),"Pagado","impago"),""))</f>
        <v>Pagado</v>
      </c>
      <c r="AG79" s="666" t="str">
        <f>IF(OR($A79="F&amp;F",$G79=""),"",IF(AG$8&gt;$G79,IF(OR(status1B5!AH79=1,status1B5!AH79=2,'BOULEVARD 5'!AJ77&gt;0),"Pagado","impago"),""))</f>
        <v>Pagado</v>
      </c>
      <c r="AH79" s="666" t="str">
        <f>IF(OR($A79="F&amp;F",$G79=""),"",IF(AH$8&gt;$G79,IF(OR(status1B5!AI79=1,status1B5!AI79=2,'BOULEVARD 5'!AK77&gt;0),"Pagado","impago"),""))</f>
        <v>Pagado</v>
      </c>
      <c r="AI79" s="666" t="str">
        <f>IF(OR($A79="F&amp;F",$G79=""),"",IF(AI$8&gt;$G79,IF(OR(status1B5!AJ79=1,status1B5!AJ79=2,'BOULEVARD 5'!AL77&gt;0),"Pagado","impago"),""))</f>
        <v>Pagado</v>
      </c>
      <c r="AJ79" s="666" t="str">
        <f>IF(OR($A79="F&amp;F",$G79=""),"",IF(AJ$8&gt;$G79,IF(OR(status1B5!AK79=1,status1B5!AK79=2,'BOULEVARD 5'!AM77&gt;0),"Pagado","impago"),""))</f>
        <v>Pagado</v>
      </c>
      <c r="AK79" s="666" t="str">
        <f>IF(OR($A79="F&amp;F",$G79=""),"",IF(AK$8&gt;$G79,IF(OR(status1B5!AL79=1,status1B5!AL79=2,'BOULEVARD 5'!AN77&gt;0),"Pagado","impago"),""))</f>
        <v>Pagado</v>
      </c>
      <c r="AL79" s="666" t="str">
        <f>IF(OR($A79="F&amp;F",$G79=""),"",IF(AL$8&gt;$G79,IF(OR(status1B5!AM79=1,status1B5!AM79=2,'BOULEVARD 5'!AO77&gt;0),"Pagado","impago"),""))</f>
        <v>Pagado</v>
      </c>
      <c r="AM79" s="666" t="str">
        <f>IF(OR($A79="F&amp;F",$G79=""),"",IF(AM$8&gt;$G79,IF(OR(status1B5!AN79=1,status1B5!AN79=2,'BOULEVARD 5'!AP77&gt;0),"Pagado","impago"),""))</f>
        <v>Pagado</v>
      </c>
      <c r="AN79" s="666" t="str">
        <f>IF(OR($A79="F&amp;F",$G79=""),"",IF(AN$8&gt;$G79,IF(OR(status1B5!AO79=1,status1B5!AO79=2,'BOULEVARD 5'!AQ77&gt;0),"Pagado","impago"),""))</f>
        <v>Pagado</v>
      </c>
      <c r="AO79" s="666" t="str">
        <f>IF(OR($A79="F&amp;F",$G79=""),"",IF(AO$8&gt;$G79,IF(OR(status1B5!AP79=1,status1B5!AP79=2,'BOULEVARD 5'!AS77&gt;0),"Pagado","impago"),""))</f>
        <v>Pagado</v>
      </c>
      <c r="AP79" s="429" t="str">
        <f t="shared" si="6"/>
        <v>Vendido</v>
      </c>
    </row>
    <row r="80" spans="1:42" s="429" customFormat="1" ht="13.9" customHeight="1" x14ac:dyDescent="0.25">
      <c r="A80" s="472"/>
      <c r="B80" s="436">
        <f>'BOULEVARD 5'!B78</f>
        <v>502</v>
      </c>
      <c r="C80" s="436" t="s">
        <v>355</v>
      </c>
      <c r="D80" s="436"/>
      <c r="E80" s="436" t="str">
        <f>IF('BOULEVARD 5'!E78="","",'BOULEVARD 5'!E78)</f>
        <v>Laura Molina</v>
      </c>
      <c r="F80" s="429" t="str">
        <f>IF('BOULEVARD 5'!F78="","",'BOULEVARD 5'!F78)</f>
        <v>Rudy Baldemar Villeda Vanegas / Marcia Corina Hernández Ruiz de Villeda</v>
      </c>
      <c r="G80" s="473">
        <f>IF('BOULEVARD 5'!G78="","",'BOULEVARD 5'!G78)</f>
        <v>45832</v>
      </c>
      <c r="H80" s="666" t="str">
        <f>IF(OR($A80="F&amp;F",$G80=""),"",IF(H$8&gt;$G80,IF(OR(status1B5!I80=1,status1B5!I80=2,'BOULEVARD 5'!K78&gt;0),"Pagado","impago"),""))</f>
        <v/>
      </c>
      <c r="I80" s="666" t="str">
        <f>IF(OR($A80="F&amp;F",$G80=""),"",IF(I$8&gt;$G80,IF(OR(status1B5!J80=1,status1B5!J80=2,'BOULEVARD 5'!L78&gt;0),"Pagado","impago"),""))</f>
        <v/>
      </c>
      <c r="J80" s="666" t="str">
        <f>IF(OR($A80="F&amp;F",$G80=""),"",IF(J$8&gt;$G80,IF(OR(status1B5!K80=1,status1B5!K80=2,'BOULEVARD 5'!M78&gt;0),"Pagado","impago"),""))</f>
        <v/>
      </c>
      <c r="K80" s="666" t="str">
        <f>IF(OR($A80="F&amp;F",$G80=""),"",IF(K$8&gt;$G80,IF(OR(status1B5!L80=1,status1B5!L80=2,'BOULEVARD 5'!N78&gt;0),"Pagado","impago"),""))</f>
        <v/>
      </c>
      <c r="L80" s="666" t="str">
        <f>IF(OR($A80="F&amp;F",$G80=""),"",IF(L$8&gt;$G80,IF(OR(status1B5!M80=1,status1B5!M80=2,'BOULEVARD 5'!O78&gt;0),"Pagado","impago"),""))</f>
        <v/>
      </c>
      <c r="M80" s="666" t="str">
        <f>IF(OR($A80="F&amp;F",$G80=""),"",IF(M$8&gt;$G80,IF(OR(status1B5!N80=1,status1B5!N80=2,'BOULEVARD 5'!P78&gt;0),"Pagado","impago"),""))</f>
        <v/>
      </c>
      <c r="N80" s="666" t="str">
        <f>IF(OR($A80="F&amp;F",$G80=""),"",IF(N$8&gt;$G80,IF(OR(status1B5!O80=1,status1B5!O80=2,'BOULEVARD 5'!Q78&gt;0),"Pagado","impago"),""))</f>
        <v/>
      </c>
      <c r="O80" s="666" t="str">
        <f>IF(OR($A80="F&amp;F",$G80=""),"",IF(O$8&gt;$G80,IF(OR(status1B5!P80=1,status1B5!P80=2,'BOULEVARD 5'!R78&gt;0),"Pagado","impago"),""))</f>
        <v/>
      </c>
      <c r="P80" s="666" t="str">
        <f>IF(OR($A80="F&amp;F",$G80=""),"",IF(P$8&gt;$G80,IF(OR(status1B5!Q80=1,status1B5!Q80=2,'BOULEVARD 5'!S78&gt;0),"Pagado","impago"),""))</f>
        <v/>
      </c>
      <c r="Q80" s="666" t="str">
        <f>IF(OR($A80="F&amp;F",$G80=""),"",IF(Q$8&gt;$G80,IF(OR(status1B5!R80=1,status1B5!R80=2,'BOULEVARD 5'!T78&gt;0),"Pagado","impago"),""))</f>
        <v/>
      </c>
      <c r="R80" s="666" t="str">
        <f>IF(OR($A80="F&amp;F",$G80=""),"",IF(R$8&gt;$G80,IF(OR(status1B5!S80=1,status1B5!S80=2,'BOULEVARD 5'!U78&gt;0),"Pagado","impago"),""))</f>
        <v/>
      </c>
      <c r="S80" s="666" t="str">
        <f>IF(OR($A80="F&amp;F",$G80=""),"",IF(S$8&gt;$G80,IF(OR(status1B5!T80=1,status1B5!T80=2,'BOULEVARD 5'!V78&gt;0),"Pagado","impago"),""))</f>
        <v/>
      </c>
      <c r="T80" s="666" t="str">
        <f>IF(OR($A80="F&amp;F",$G80=""),"",IF(T$8&gt;$G80,IF(OR(status1B5!U80=1,status1B5!U80=2,'BOULEVARD 5'!W78&gt;0),"Pagado","impago"),""))</f>
        <v/>
      </c>
      <c r="U80" s="666" t="str">
        <f>IF(OR($A80="F&amp;F",$G80=""),"",IF(U$8&gt;$G80,IF(OR(status1B5!V80=1,status1B5!V80=2,'BOULEVARD 5'!X78&gt;0),"Pagado","impago"),""))</f>
        <v/>
      </c>
      <c r="V80" s="666" t="str">
        <f>IF(OR($A80="F&amp;F",$G80=""),"",IF(V$8&gt;$G80,IF(OR(status1B5!W80=1,status1B5!W80=2,'BOULEVARD 5'!Y78&gt;0),"Pagado","impago"),""))</f>
        <v/>
      </c>
      <c r="W80" s="666" t="str">
        <f>IF(OR($A80="F&amp;F",$G80=""),"",IF(W$8&gt;$G80,IF(OR(status1B5!X80=1,status1B5!X80=2,'BOULEVARD 5'!Z78&gt;0),"Pagado","impago"),""))</f>
        <v/>
      </c>
      <c r="X80" s="666" t="str">
        <f>IF(OR($A80="F&amp;F",$G80=""),"",IF(X$8&gt;$G80,IF(OR(status1B5!Y80=1,status1B5!Y80=2,'BOULEVARD 5'!AA78&gt;0),"Pagado","impago"),""))</f>
        <v/>
      </c>
      <c r="Y80" s="666" t="str">
        <f>IF(OR($A80="F&amp;F",$G80=""),"",IF(Y$8&gt;$G80,IF(OR(status1B5!Z80=1,status1B5!Z80=2,'BOULEVARD 5'!AB78&gt;0),"Pagado","impago"),""))</f>
        <v/>
      </c>
      <c r="Z80" s="666" t="str">
        <f>IF(OR($A80="F&amp;F",$G80=""),"",IF(Z$8&gt;$G80,IF(OR(status1B5!AA80=1,status1B5!AA80=2,'BOULEVARD 5'!AC78&gt;0),"Pagado","impago"),""))</f>
        <v/>
      </c>
      <c r="AA80" s="666" t="str">
        <f>IF(OR($A80="F&amp;F",$G80=""),"",IF(AA$8&gt;$G80,IF(OR(status1B5!AB80=1,status1B5!AB80=2,'BOULEVARD 5'!AD78&gt;0),"Pagado","impago"),""))</f>
        <v/>
      </c>
      <c r="AB80" s="666" t="str">
        <f>IF(OR($A80="F&amp;F",$G80=""),"",IF(AB$8&gt;$G80,IF(OR(status1B5!AC80=1,status1B5!AC80=2,'BOULEVARD 5'!AE78&gt;0),"Pagado","impago"),""))</f>
        <v/>
      </c>
      <c r="AC80" s="666" t="str">
        <f>IF(OR($A80="F&amp;F",$G80=""),"",IF(AC$8&gt;$G80,IF(OR(status1B5!AD80=1,status1B5!AD80=2,'BOULEVARD 5'!AF78&gt;0),"Pagado","impago"),""))</f>
        <v/>
      </c>
      <c r="AD80" s="666" t="str">
        <f>IF(OR($A80="F&amp;F",$G80=""),"",IF(AD$8&gt;$G80,IF(OR(status1B5!AE80=1,status1B5!AE80=2,'BOULEVARD 5'!AG78&gt;0),"Pagado","impago"),""))</f>
        <v/>
      </c>
      <c r="AE80" s="666" t="str">
        <f>IF(OR($A80="F&amp;F",$G80=""),"",IF(AE$8&gt;$G80,IF(OR(status1B5!AF80=1,status1B5!AF80=2,'BOULEVARD 5'!AH78&gt;0),"Pagado","impago"),""))</f>
        <v/>
      </c>
      <c r="AF80" s="666" t="str">
        <f>IF(OR($A80="F&amp;F",$G80=""),"",IF(AF$8&gt;$G80,IF(OR(status1B5!AG80=1,status1B5!AG80=2,'BOULEVARD 5'!AI78&gt;0),"Pagado","impago"),""))</f>
        <v/>
      </c>
      <c r="AG80" s="666" t="str">
        <f>IF(OR($A80="F&amp;F",$G80=""),"",IF(AG$8&gt;$G80,IF(OR(status1B5!AH80=1,status1B5!AH80=2,'BOULEVARD 5'!AJ78&gt;0),"Pagado","impago"),""))</f>
        <v/>
      </c>
      <c r="AH80" s="666" t="str">
        <f>IF(OR($A80="F&amp;F",$G80=""),"",IF(AH$8&gt;$G80,IF(OR(status1B5!AI80=1,status1B5!AI80=2,'BOULEVARD 5'!AK78&gt;0),"Pagado","impago"),""))</f>
        <v/>
      </c>
      <c r="AI80" s="666" t="str">
        <f>IF(OR($A80="F&amp;F",$G80=""),"",IF(AI$8&gt;$G80,IF(OR(status1B5!AJ80=1,status1B5!AJ80=2,'BOULEVARD 5'!AL78&gt;0),"Pagado","impago"),""))</f>
        <v>Pagado</v>
      </c>
      <c r="AJ80" s="666" t="str">
        <f>IF(OR($A80="F&amp;F",$G80=""),"",IF(AJ$8&gt;$G80,IF(OR(status1B5!AK80=1,status1B5!AK80=2,'BOULEVARD 5'!AM78&gt;0),"Pagado","impago"),""))</f>
        <v>Pagado</v>
      </c>
      <c r="AK80" s="666" t="str">
        <f>IF(OR($A80="F&amp;F",$G80=""),"",IF(AK$8&gt;$G80,IF(OR(status1B5!AL80=1,status1B5!AL80=2,'BOULEVARD 5'!AN78&gt;0),"Pagado","impago"),""))</f>
        <v>Pagado</v>
      </c>
      <c r="AL80" s="666" t="str">
        <f>IF(OR($A80="F&amp;F",$G80=""),"",IF(AL$8&gt;$G80,IF(OR(status1B5!AM80=1,status1B5!AM80=2,'BOULEVARD 5'!AO78&gt;0),"Pagado","impago"),""))</f>
        <v>Pagado</v>
      </c>
      <c r="AM80" s="666" t="str">
        <f>IF(OR($A80="F&amp;F",$G80=""),"",IF(AM$8&gt;$G80,IF(OR(status1B5!AN80=1,status1B5!AN80=2,'BOULEVARD 5'!AP78&gt;0),"Pagado","impago"),""))</f>
        <v>Pagado</v>
      </c>
      <c r="AN80" s="666" t="str">
        <f>IF(OR($A80="F&amp;F",$G80=""),"",IF(AN$8&gt;$G80,IF(OR(status1B5!AO80=1,status1B5!AO80=2,'BOULEVARD 5'!AQ78&gt;0),"Pagado","impago"),""))</f>
        <v>Pagado</v>
      </c>
      <c r="AO80" s="666" t="str">
        <f>IF(OR($A80="F&amp;F",$G80=""),"",IF(AO$8&gt;$G80,IF(OR(status1B5!AP80=1,status1B5!AP80=2,'BOULEVARD 5'!AS78&gt;0),"Pagado","impago"),""))</f>
        <v>Pagado</v>
      </c>
      <c r="AP80" s="429" t="str">
        <f t="shared" si="6"/>
        <v>Vendido</v>
      </c>
    </row>
    <row r="81" spans="1:42" s="429" customFormat="1" ht="13.9" customHeight="1" x14ac:dyDescent="0.25">
      <c r="A81" s="472"/>
      <c r="B81" s="436">
        <f>'BOULEVARD 5'!B79</f>
        <v>503</v>
      </c>
      <c r="C81" s="436" t="s">
        <v>355</v>
      </c>
      <c r="D81" s="436"/>
      <c r="E81" s="436" t="str">
        <f>IF('BOULEVARD 5'!E79="","",'BOULEVARD 5'!E79)</f>
        <v>Antonio Rada</v>
      </c>
      <c r="F81" s="429" t="str">
        <f>IF('BOULEVARD 5'!F79="","",'BOULEVARD 5'!F79)</f>
        <v>David Eduardo Orellana Rivera</v>
      </c>
      <c r="G81" s="473">
        <f>IF('BOULEVARD 5'!G79="","",'BOULEVARD 5'!G79)</f>
        <v>45798</v>
      </c>
      <c r="H81" s="666" t="str">
        <f>IF(OR($A81="F&amp;F",$G81=""),"",IF(H$8&gt;$G81,IF(OR(status1B5!I81=1,status1B5!I81=2,'BOULEVARD 5'!K79&gt;0),"Pagado","impago"),""))</f>
        <v/>
      </c>
      <c r="I81" s="666" t="str">
        <f>IF(OR($A81="F&amp;F",$G81=""),"",IF(I$8&gt;$G81,IF(OR(status1B5!J81=1,status1B5!J81=2,'BOULEVARD 5'!L79&gt;0),"Pagado","impago"),""))</f>
        <v/>
      </c>
      <c r="J81" s="666" t="str">
        <f>IF(OR($A81="F&amp;F",$G81=""),"",IF(J$8&gt;$G81,IF(OR(status1B5!K81=1,status1B5!K81=2,'BOULEVARD 5'!M79&gt;0),"Pagado","impago"),""))</f>
        <v/>
      </c>
      <c r="K81" s="666" t="str">
        <f>IF(OR($A81="F&amp;F",$G81=""),"",IF(K$8&gt;$G81,IF(OR(status1B5!L81=1,status1B5!L81=2,'BOULEVARD 5'!N79&gt;0),"Pagado","impago"),""))</f>
        <v/>
      </c>
      <c r="L81" s="666" t="str">
        <f>IF(OR($A81="F&amp;F",$G81=""),"",IF(L$8&gt;$G81,IF(OR(status1B5!M81=1,status1B5!M81=2,'BOULEVARD 5'!O79&gt;0),"Pagado","impago"),""))</f>
        <v/>
      </c>
      <c r="M81" s="666" t="str">
        <f>IF(OR($A81="F&amp;F",$G81=""),"",IF(M$8&gt;$G81,IF(OR(status1B5!N81=1,status1B5!N81=2,'BOULEVARD 5'!P79&gt;0),"Pagado","impago"),""))</f>
        <v/>
      </c>
      <c r="N81" s="666" t="str">
        <f>IF(OR($A81="F&amp;F",$G81=""),"",IF(N$8&gt;$G81,IF(OR(status1B5!O81=1,status1B5!O81=2,'BOULEVARD 5'!Q79&gt;0),"Pagado","impago"),""))</f>
        <v/>
      </c>
      <c r="O81" s="666" t="str">
        <f>IF(OR($A81="F&amp;F",$G81=""),"",IF(O$8&gt;$G81,IF(OR(status1B5!P81=1,status1B5!P81=2,'BOULEVARD 5'!R79&gt;0),"Pagado","impago"),""))</f>
        <v/>
      </c>
      <c r="P81" s="666" t="str">
        <f>IF(OR($A81="F&amp;F",$G81=""),"",IF(P$8&gt;$G81,IF(OR(status1B5!Q81=1,status1B5!Q81=2,'BOULEVARD 5'!S79&gt;0),"Pagado","impago"),""))</f>
        <v/>
      </c>
      <c r="Q81" s="666" t="str">
        <f>IF(OR($A81="F&amp;F",$G81=""),"",IF(Q$8&gt;$G81,IF(OR(status1B5!R81=1,status1B5!R81=2,'BOULEVARD 5'!T79&gt;0),"Pagado","impago"),""))</f>
        <v/>
      </c>
      <c r="R81" s="666" t="str">
        <f>IF(OR($A81="F&amp;F",$G81=""),"",IF(R$8&gt;$G81,IF(OR(status1B5!S81=1,status1B5!S81=2,'BOULEVARD 5'!U79&gt;0),"Pagado","impago"),""))</f>
        <v/>
      </c>
      <c r="S81" s="666" t="str">
        <f>IF(OR($A81="F&amp;F",$G81=""),"",IF(S$8&gt;$G81,IF(OR(status1B5!T81=1,status1B5!T81=2,'BOULEVARD 5'!V79&gt;0),"Pagado","impago"),""))</f>
        <v/>
      </c>
      <c r="T81" s="666" t="str">
        <f>IF(OR($A81="F&amp;F",$G81=""),"",IF(T$8&gt;$G81,IF(OR(status1B5!U81=1,status1B5!U81=2,'BOULEVARD 5'!W79&gt;0),"Pagado","impago"),""))</f>
        <v/>
      </c>
      <c r="U81" s="666" t="str">
        <f>IF(OR($A81="F&amp;F",$G81=""),"",IF(U$8&gt;$G81,IF(OR(status1B5!V81=1,status1B5!V81=2,'BOULEVARD 5'!X79&gt;0),"Pagado","impago"),""))</f>
        <v/>
      </c>
      <c r="V81" s="666" t="str">
        <f>IF(OR($A81="F&amp;F",$G81=""),"",IF(V$8&gt;$G81,IF(OR(status1B5!W81=1,status1B5!W81=2,'BOULEVARD 5'!Y79&gt;0),"Pagado","impago"),""))</f>
        <v/>
      </c>
      <c r="W81" s="666" t="str">
        <f>IF(OR($A81="F&amp;F",$G81=""),"",IF(W$8&gt;$G81,IF(OR(status1B5!X81=1,status1B5!X81=2,'BOULEVARD 5'!Z79&gt;0),"Pagado","impago"),""))</f>
        <v/>
      </c>
      <c r="X81" s="666" t="str">
        <f>IF(OR($A81="F&amp;F",$G81=""),"",IF(X$8&gt;$G81,IF(OR(status1B5!Y81=1,status1B5!Y81=2,'BOULEVARD 5'!AA79&gt;0),"Pagado","impago"),""))</f>
        <v/>
      </c>
      <c r="Y81" s="666" t="str">
        <f>IF(OR($A81="F&amp;F",$G81=""),"",IF(Y$8&gt;$G81,IF(OR(status1B5!Z81=1,status1B5!Z81=2,'BOULEVARD 5'!AB79&gt;0),"Pagado","impago"),""))</f>
        <v/>
      </c>
      <c r="Z81" s="666" t="str">
        <f>IF(OR($A81="F&amp;F",$G81=""),"",IF(Z$8&gt;$G81,IF(OR(status1B5!AA81=1,status1B5!AA81=2,'BOULEVARD 5'!AC79&gt;0),"Pagado","impago"),""))</f>
        <v/>
      </c>
      <c r="AA81" s="666" t="str">
        <f>IF(OR($A81="F&amp;F",$G81=""),"",IF(AA$8&gt;$G81,IF(OR(status1B5!AB81=1,status1B5!AB81=2,'BOULEVARD 5'!AD79&gt;0),"Pagado","impago"),""))</f>
        <v/>
      </c>
      <c r="AB81" s="666" t="str">
        <f>IF(OR($A81="F&amp;F",$G81=""),"",IF(AB$8&gt;$G81,IF(OR(status1B5!AC81=1,status1B5!AC81=2,'BOULEVARD 5'!AE79&gt;0),"Pagado","impago"),""))</f>
        <v/>
      </c>
      <c r="AC81" s="666" t="str">
        <f>IF(OR($A81="F&amp;F",$G81=""),"",IF(AC$8&gt;$G81,IF(OR(status1B5!AD81=1,status1B5!AD81=2,'BOULEVARD 5'!AF79&gt;0),"Pagado","impago"),""))</f>
        <v/>
      </c>
      <c r="AD81" s="666" t="str">
        <f>IF(OR($A81="F&amp;F",$G81=""),"",IF(AD$8&gt;$G81,IF(OR(status1B5!AE81=1,status1B5!AE81=2,'BOULEVARD 5'!AG79&gt;0),"Pagado","impago"),""))</f>
        <v/>
      </c>
      <c r="AE81" s="666" t="str">
        <f>IF(OR($A81="F&amp;F",$G81=""),"",IF(AE$8&gt;$G81,IF(OR(status1B5!AF81=1,status1B5!AF81=2,'BOULEVARD 5'!AH79&gt;0),"Pagado","impago"),""))</f>
        <v/>
      </c>
      <c r="AF81" s="666" t="str">
        <f>IF(OR($A81="F&amp;F",$G81=""),"",IF(AF$8&gt;$G81,IF(OR(status1B5!AG81=1,status1B5!AG81=2,'BOULEVARD 5'!AI79&gt;0),"Pagado","impago"),""))</f>
        <v/>
      </c>
      <c r="AG81" s="666" t="str">
        <f>IF(OR($A81="F&amp;F",$G81=""),"",IF(AG$8&gt;$G81,IF(OR(status1B5!AH81=1,status1B5!AH81=2,'BOULEVARD 5'!AJ79&gt;0),"Pagado","impago"),""))</f>
        <v/>
      </c>
      <c r="AH81" s="666" t="str">
        <f>IF(OR($A81="F&amp;F",$G81=""),"",IF(AH$8&gt;$G81,IF(OR(status1B5!AI81=1,status1B5!AI81=2,'BOULEVARD 5'!AK79&gt;0),"Pagado","impago"),""))</f>
        <v>Pagado</v>
      </c>
      <c r="AI81" s="666" t="str">
        <f>IF(OR($A81="F&amp;F",$G81=""),"",IF(AI$8&gt;$G81,IF(OR(status1B5!AJ81=1,status1B5!AJ81=2,'BOULEVARD 5'!AL79&gt;0),"Pagado","impago"),""))</f>
        <v>Pagado</v>
      </c>
      <c r="AJ81" s="666" t="str">
        <f>IF(OR($A81="F&amp;F",$G81=""),"",IF(AJ$8&gt;$G81,IF(OR(status1B5!AK81=1,status1B5!AK81=2,'BOULEVARD 5'!AM79&gt;0),"Pagado","impago"),""))</f>
        <v>Pagado</v>
      </c>
      <c r="AK81" s="666" t="str">
        <f>IF(OR($A81="F&amp;F",$G81=""),"",IF(AK$8&gt;$G81,IF(OR(status1B5!AL81=1,status1B5!AL81=2,'BOULEVARD 5'!AN79&gt;0),"Pagado","impago"),""))</f>
        <v>Pagado</v>
      </c>
      <c r="AL81" s="666" t="str">
        <f>IF(OR($A81="F&amp;F",$G81=""),"",IF(AL$8&gt;$G81,IF(OR(status1B5!AM81=1,status1B5!AM81=2,'BOULEVARD 5'!AO79&gt;0),"Pagado","impago"),""))</f>
        <v>Pagado</v>
      </c>
      <c r="AM81" s="666" t="str">
        <f>IF(OR($A81="F&amp;F",$G81=""),"",IF(AM$8&gt;$G81,IF(OR(status1B5!AN81=1,status1B5!AN81=2,'BOULEVARD 5'!AP79&gt;0),"Pagado","impago"),""))</f>
        <v>Pagado</v>
      </c>
      <c r="AN81" s="666" t="str">
        <f>IF(OR($A81="F&amp;F",$G81=""),"",IF(AN$8&gt;$G81,IF(OR(status1B5!AO81=1,status1B5!AO81=2,'BOULEVARD 5'!AQ79&gt;0),"Pagado","impago"),""))</f>
        <v>Pagado</v>
      </c>
      <c r="AO81" s="666" t="str">
        <f>IF(OR($A81="F&amp;F",$G81=""),"",IF(AO$8&gt;$G81,IF(OR(status1B5!AP81=1,status1B5!AP81=2,'BOULEVARD 5'!AS79&gt;0),"Pagado","impago"),""))</f>
        <v>Pagado</v>
      </c>
      <c r="AP81" s="429" t="str">
        <f t="shared" si="6"/>
        <v>Vendido</v>
      </c>
    </row>
    <row r="82" spans="1:42" s="429" customFormat="1" ht="13.9" customHeight="1" x14ac:dyDescent="0.25">
      <c r="A82" s="472"/>
      <c r="B82" s="436">
        <f>'BOULEVARD 5'!B80</f>
        <v>504</v>
      </c>
      <c r="C82" s="436" t="s">
        <v>355</v>
      </c>
      <c r="D82" s="436"/>
      <c r="E82" s="436" t="str">
        <f>IF('BOULEVARD 5'!E80="","",'BOULEVARD 5'!E80)</f>
        <v>Antonio Rada</v>
      </c>
      <c r="F82" s="429" t="str">
        <f>IF('BOULEVARD 5'!F80="","",'BOULEVARD 5'!F80)</f>
        <v>Jaquelyn Andrea España Siliezar</v>
      </c>
      <c r="G82" s="473">
        <f>IF('BOULEVARD 5'!G80="","",'BOULEVARD 5'!G80)</f>
        <v>45788</v>
      </c>
      <c r="H82" s="666" t="str">
        <f>IF(OR($A82="F&amp;F",$G82=""),"",IF(H$8&gt;$G82,IF(OR(status1B5!I82=1,status1B5!I82=2,'BOULEVARD 5'!K80&gt;0),"Pagado","impago"),""))</f>
        <v/>
      </c>
      <c r="I82" s="666" t="str">
        <f>IF(OR($A82="F&amp;F",$G82=""),"",IF(I$8&gt;$G82,IF(OR(status1B5!J82=1,status1B5!J82=2,'BOULEVARD 5'!L80&gt;0),"Pagado","impago"),""))</f>
        <v/>
      </c>
      <c r="J82" s="666" t="str">
        <f>IF(OR($A82="F&amp;F",$G82=""),"",IF(J$8&gt;$G82,IF(OR(status1B5!K82=1,status1B5!K82=2,'BOULEVARD 5'!M80&gt;0),"Pagado","impago"),""))</f>
        <v/>
      </c>
      <c r="K82" s="666" t="str">
        <f>IF(OR($A82="F&amp;F",$G82=""),"",IF(K$8&gt;$G82,IF(OR(status1B5!L82=1,status1B5!L82=2,'BOULEVARD 5'!N80&gt;0),"Pagado","impago"),""))</f>
        <v/>
      </c>
      <c r="L82" s="666" t="str">
        <f>IF(OR($A82="F&amp;F",$G82=""),"",IF(L$8&gt;$G82,IF(OR(status1B5!M82=1,status1B5!M82=2,'BOULEVARD 5'!O80&gt;0),"Pagado","impago"),""))</f>
        <v/>
      </c>
      <c r="M82" s="666" t="str">
        <f>IF(OR($A82="F&amp;F",$G82=""),"",IF(M$8&gt;$G82,IF(OR(status1B5!N82=1,status1B5!N82=2,'BOULEVARD 5'!P80&gt;0),"Pagado","impago"),""))</f>
        <v/>
      </c>
      <c r="N82" s="666" t="str">
        <f>IF(OR($A82="F&amp;F",$G82=""),"",IF(N$8&gt;$G82,IF(OR(status1B5!O82=1,status1B5!O82=2,'BOULEVARD 5'!Q80&gt;0),"Pagado","impago"),""))</f>
        <v/>
      </c>
      <c r="O82" s="666" t="str">
        <f>IF(OR($A82="F&amp;F",$G82=""),"",IF(O$8&gt;$G82,IF(OR(status1B5!P82=1,status1B5!P82=2,'BOULEVARD 5'!R80&gt;0),"Pagado","impago"),""))</f>
        <v/>
      </c>
      <c r="P82" s="666" t="str">
        <f>IF(OR($A82="F&amp;F",$G82=""),"",IF(P$8&gt;$G82,IF(OR(status1B5!Q82=1,status1B5!Q82=2,'BOULEVARD 5'!S80&gt;0),"Pagado","impago"),""))</f>
        <v/>
      </c>
      <c r="Q82" s="666" t="str">
        <f>IF(OR($A82="F&amp;F",$G82=""),"",IF(Q$8&gt;$G82,IF(OR(status1B5!R82=1,status1B5!R82=2,'BOULEVARD 5'!T80&gt;0),"Pagado","impago"),""))</f>
        <v/>
      </c>
      <c r="R82" s="666" t="str">
        <f>IF(OR($A82="F&amp;F",$G82=""),"",IF(R$8&gt;$G82,IF(OR(status1B5!S82=1,status1B5!S82=2,'BOULEVARD 5'!U80&gt;0),"Pagado","impago"),""))</f>
        <v/>
      </c>
      <c r="S82" s="666" t="str">
        <f>IF(OR($A82="F&amp;F",$G82=""),"",IF(S$8&gt;$G82,IF(OR(status1B5!T82=1,status1B5!T82=2,'BOULEVARD 5'!V80&gt;0),"Pagado","impago"),""))</f>
        <v/>
      </c>
      <c r="T82" s="666" t="str">
        <f>IF(OR($A82="F&amp;F",$G82=""),"",IF(T$8&gt;$G82,IF(OR(status1B5!U82=1,status1B5!U82=2,'BOULEVARD 5'!W80&gt;0),"Pagado","impago"),""))</f>
        <v/>
      </c>
      <c r="U82" s="666" t="str">
        <f>IF(OR($A82="F&amp;F",$G82=""),"",IF(U$8&gt;$G82,IF(OR(status1B5!V82=1,status1B5!V82=2,'BOULEVARD 5'!X80&gt;0),"Pagado","impago"),""))</f>
        <v/>
      </c>
      <c r="V82" s="666" t="str">
        <f>IF(OR($A82="F&amp;F",$G82=""),"",IF(V$8&gt;$G82,IF(OR(status1B5!W82=1,status1B5!W82=2,'BOULEVARD 5'!Y80&gt;0),"Pagado","impago"),""))</f>
        <v/>
      </c>
      <c r="W82" s="666" t="str">
        <f>IF(OR($A82="F&amp;F",$G82=""),"",IF(W$8&gt;$G82,IF(OR(status1B5!X82=1,status1B5!X82=2,'BOULEVARD 5'!Z80&gt;0),"Pagado","impago"),""))</f>
        <v/>
      </c>
      <c r="X82" s="666" t="str">
        <f>IF(OR($A82="F&amp;F",$G82=""),"",IF(X$8&gt;$G82,IF(OR(status1B5!Y82=1,status1B5!Y82=2,'BOULEVARD 5'!AA80&gt;0),"Pagado","impago"),""))</f>
        <v/>
      </c>
      <c r="Y82" s="666" t="str">
        <f>IF(OR($A82="F&amp;F",$G82=""),"",IF(Y$8&gt;$G82,IF(OR(status1B5!Z82=1,status1B5!Z82=2,'BOULEVARD 5'!AB80&gt;0),"Pagado","impago"),""))</f>
        <v/>
      </c>
      <c r="Z82" s="666" t="str">
        <f>IF(OR($A82="F&amp;F",$G82=""),"",IF(Z$8&gt;$G82,IF(OR(status1B5!AA82=1,status1B5!AA82=2,'BOULEVARD 5'!AC80&gt;0),"Pagado","impago"),""))</f>
        <v/>
      </c>
      <c r="AA82" s="666" t="str">
        <f>IF(OR($A82="F&amp;F",$G82=""),"",IF(AA$8&gt;$G82,IF(OR(status1B5!AB82=1,status1B5!AB82=2,'BOULEVARD 5'!AD80&gt;0),"Pagado","impago"),""))</f>
        <v/>
      </c>
      <c r="AB82" s="666" t="str">
        <f>IF(OR($A82="F&amp;F",$G82=""),"",IF(AB$8&gt;$G82,IF(OR(status1B5!AC82=1,status1B5!AC82=2,'BOULEVARD 5'!AE80&gt;0),"Pagado","impago"),""))</f>
        <v/>
      </c>
      <c r="AC82" s="666" t="str">
        <f>IF(OR($A82="F&amp;F",$G82=""),"",IF(AC$8&gt;$G82,IF(OR(status1B5!AD82=1,status1B5!AD82=2,'BOULEVARD 5'!AF80&gt;0),"Pagado","impago"),""))</f>
        <v/>
      </c>
      <c r="AD82" s="666" t="str">
        <f>IF(OR($A82="F&amp;F",$G82=""),"",IF(AD$8&gt;$G82,IF(OR(status1B5!AE82=1,status1B5!AE82=2,'BOULEVARD 5'!AG80&gt;0),"Pagado","impago"),""))</f>
        <v/>
      </c>
      <c r="AE82" s="666" t="str">
        <f>IF(OR($A82="F&amp;F",$G82=""),"",IF(AE$8&gt;$G82,IF(OR(status1B5!AF82=1,status1B5!AF82=2,'BOULEVARD 5'!AH80&gt;0),"Pagado","impago"),""))</f>
        <v/>
      </c>
      <c r="AF82" s="666" t="str">
        <f>IF(OR($A82="F&amp;F",$G82=""),"",IF(AF$8&gt;$G82,IF(OR(status1B5!AG82=1,status1B5!AG82=2,'BOULEVARD 5'!AI80&gt;0),"Pagado","impago"),""))</f>
        <v/>
      </c>
      <c r="AG82" s="666" t="str">
        <f>IF(OR($A82="F&amp;F",$G82=""),"",IF(AG$8&gt;$G82,IF(OR(status1B5!AH82=1,status1B5!AH82=2,'BOULEVARD 5'!AJ80&gt;0),"Pagado","impago"),""))</f>
        <v/>
      </c>
      <c r="AH82" s="666" t="str">
        <f>IF(OR($A82="F&amp;F",$G82=""),"",IF(AH$8&gt;$G82,IF(OR(status1B5!AI82=1,status1B5!AI82=2,'BOULEVARD 5'!AK80&gt;0),"Pagado","impago"),""))</f>
        <v>Pagado</v>
      </c>
      <c r="AI82" s="666" t="str">
        <f>IF(OR($A82="F&amp;F",$G82=""),"",IF(AI$8&gt;$G82,IF(OR(status1B5!AJ82=1,status1B5!AJ82=2,'BOULEVARD 5'!AL80&gt;0),"Pagado","impago"),""))</f>
        <v>Pagado</v>
      </c>
      <c r="AJ82" s="666" t="str">
        <f>IF(OR($A82="F&amp;F",$G82=""),"",IF(AJ$8&gt;$G82,IF(OR(status1B5!AK82=1,status1B5!AK82=2,'BOULEVARD 5'!AM80&gt;0),"Pagado","impago"),""))</f>
        <v>Pagado</v>
      </c>
      <c r="AK82" s="666" t="str">
        <f>IF(OR($A82="F&amp;F",$G82=""),"",IF(AK$8&gt;$G82,IF(OR(status1B5!AL82=1,status1B5!AL82=2,'BOULEVARD 5'!AN80&gt;0),"Pagado","impago"),""))</f>
        <v>Pagado</v>
      </c>
      <c r="AL82" s="666" t="str">
        <f>IF(OR($A82="F&amp;F",$G82=""),"",IF(AL$8&gt;$G82,IF(OR(status1B5!AM82=1,status1B5!AM82=2,'BOULEVARD 5'!AO80&gt;0),"Pagado","impago"),""))</f>
        <v>Pagado</v>
      </c>
      <c r="AM82" s="666" t="str">
        <f>IF(OR($A82="F&amp;F",$G82=""),"",IF(AM$8&gt;$G82,IF(OR(status1B5!AN82=1,status1B5!AN82=2,'BOULEVARD 5'!AP80&gt;0),"Pagado","impago"),""))</f>
        <v>Pagado</v>
      </c>
      <c r="AN82" s="666" t="str">
        <f>IF(OR($A82="F&amp;F",$G82=""),"",IF(AN$8&gt;$G82,IF(OR(status1B5!AO82=1,status1B5!AO82=2,'BOULEVARD 5'!AQ80&gt;0),"Pagado","impago"),""))</f>
        <v>Pagado</v>
      </c>
      <c r="AO82" s="666" t="str">
        <f>IF(OR($A82="F&amp;F",$G82=""),"",IF(AO$8&gt;$G82,IF(OR(status1B5!AP82=1,status1B5!AP82=2,'BOULEVARD 5'!AS80&gt;0),"Pagado","impago"),""))</f>
        <v>Pagado</v>
      </c>
      <c r="AP82" s="429" t="str">
        <f t="shared" si="6"/>
        <v>Vendido</v>
      </c>
    </row>
    <row r="83" spans="1:42" s="429" customFormat="1" ht="13.9" customHeight="1" x14ac:dyDescent="0.25">
      <c r="A83" s="472"/>
      <c r="B83" s="436">
        <f>'BOULEVARD 5'!B81</f>
        <v>505</v>
      </c>
      <c r="C83" s="436" t="s">
        <v>355</v>
      </c>
      <c r="D83" s="436"/>
      <c r="E83" s="436" t="str">
        <f>IF('BOULEVARD 5'!E81="","",'BOULEVARD 5'!E81)</f>
        <v>Antonio Rada</v>
      </c>
      <c r="F83" s="429" t="str">
        <f>IF('BOULEVARD 5'!F81="","",'BOULEVARD 5'!F81)</f>
        <v>Nancy Eugenia Cisneros Sanchez De Davila</v>
      </c>
      <c r="G83" s="473">
        <f>IF('BOULEVARD 5'!G81="","",'BOULEVARD 5'!G81)</f>
        <v>45503</v>
      </c>
      <c r="H83" s="666" t="str">
        <f>IF(OR($A83="F&amp;F",$G83=""),"",IF(H$8&gt;$G83,IF(OR(status1B5!I83=1,status1B5!I83=2,'BOULEVARD 5'!K81&gt;0),"Pagado","impago"),""))</f>
        <v/>
      </c>
      <c r="I83" s="666" t="str">
        <f>IF(OR($A83="F&amp;F",$G83=""),"",IF(I$8&gt;$G83,IF(OR(status1B5!J83=1,status1B5!J83=2,'BOULEVARD 5'!L81&gt;0),"Pagado","impago"),""))</f>
        <v/>
      </c>
      <c r="J83" s="666" t="str">
        <f>IF(OR($A83="F&amp;F",$G83=""),"",IF(J$8&gt;$G83,IF(OR(status1B5!K83=1,status1B5!K83=2,'BOULEVARD 5'!M81&gt;0),"Pagado","impago"),""))</f>
        <v/>
      </c>
      <c r="K83" s="666" t="str">
        <f>IF(OR($A83="F&amp;F",$G83=""),"",IF(K$8&gt;$G83,IF(OR(status1B5!L83=1,status1B5!L83=2,'BOULEVARD 5'!N81&gt;0),"Pagado","impago"),""))</f>
        <v/>
      </c>
      <c r="L83" s="666" t="str">
        <f>IF(OR($A83="F&amp;F",$G83=""),"",IF(L$8&gt;$G83,IF(OR(status1B5!M83=1,status1B5!M83=2,'BOULEVARD 5'!O81&gt;0),"Pagado","impago"),""))</f>
        <v/>
      </c>
      <c r="M83" s="666" t="str">
        <f>IF(OR($A83="F&amp;F",$G83=""),"",IF(M$8&gt;$G83,IF(OR(status1B5!N83=1,status1B5!N83=2,'BOULEVARD 5'!P81&gt;0),"Pagado","impago"),""))</f>
        <v/>
      </c>
      <c r="N83" s="666" t="str">
        <f>IF(OR($A83="F&amp;F",$G83=""),"",IF(N$8&gt;$G83,IF(OR(status1B5!O83=1,status1B5!O83=2,'BOULEVARD 5'!Q81&gt;0),"Pagado","impago"),""))</f>
        <v/>
      </c>
      <c r="O83" s="666" t="str">
        <f>IF(OR($A83="F&amp;F",$G83=""),"",IF(O$8&gt;$G83,IF(OR(status1B5!P83=1,status1B5!P83=2,'BOULEVARD 5'!R81&gt;0),"Pagado","impago"),""))</f>
        <v/>
      </c>
      <c r="P83" s="666" t="str">
        <f>IF(OR($A83="F&amp;F",$G83=""),"",IF(P$8&gt;$G83,IF(OR(status1B5!Q83=1,status1B5!Q83=2,'BOULEVARD 5'!S81&gt;0),"Pagado","impago"),""))</f>
        <v/>
      </c>
      <c r="Q83" s="666" t="str">
        <f>IF(OR($A83="F&amp;F",$G83=""),"",IF(Q$8&gt;$G83,IF(OR(status1B5!R83=1,status1B5!R83=2,'BOULEVARD 5'!T81&gt;0),"Pagado","impago"),""))</f>
        <v/>
      </c>
      <c r="R83" s="666" t="str">
        <f>IF(OR($A83="F&amp;F",$G83=""),"",IF(R$8&gt;$G83,IF(OR(status1B5!S83=1,status1B5!S83=2,'BOULEVARD 5'!U81&gt;0),"Pagado","impago"),""))</f>
        <v/>
      </c>
      <c r="S83" s="666" t="str">
        <f>IF(OR($A83="F&amp;F",$G83=""),"",IF(S$8&gt;$G83,IF(OR(status1B5!T83=1,status1B5!T83=2,'BOULEVARD 5'!V81&gt;0),"Pagado","impago"),""))</f>
        <v/>
      </c>
      <c r="T83" s="666" t="str">
        <f>IF(OR($A83="F&amp;F",$G83=""),"",IF(T$8&gt;$G83,IF(OR(status1B5!U83=1,status1B5!U83=2,'BOULEVARD 5'!W81&gt;0),"Pagado","impago"),""))</f>
        <v/>
      </c>
      <c r="U83" s="666" t="str">
        <f>IF(OR($A83="F&amp;F",$G83=""),"",IF(U$8&gt;$G83,IF(OR(status1B5!V83=1,status1B5!V83=2,'BOULEVARD 5'!X81&gt;0),"Pagado","impago"),""))</f>
        <v/>
      </c>
      <c r="V83" s="666" t="str">
        <f>IF(OR($A83="F&amp;F",$G83=""),"",IF(V$8&gt;$G83,IF(OR(status1B5!W83=1,status1B5!W83=2,'BOULEVARD 5'!Y81&gt;0),"Pagado","impago"),""))</f>
        <v/>
      </c>
      <c r="W83" s="666" t="str">
        <f>IF(OR($A83="F&amp;F",$G83=""),"",IF(W$8&gt;$G83,IF(OR(status1B5!X83=1,status1B5!X83=2,'BOULEVARD 5'!Z81&gt;0),"Pagado","impago"),""))</f>
        <v/>
      </c>
      <c r="X83" s="666" t="str">
        <f>IF(OR($A83="F&amp;F",$G83=""),"",IF(X$8&gt;$G83,IF(OR(status1B5!Y83=1,status1B5!Y83=2,'BOULEVARD 5'!AA81&gt;0),"Pagado","impago"),""))</f>
        <v>Pagado</v>
      </c>
      <c r="Y83" s="666" t="str">
        <f>IF(OR($A83="F&amp;F",$G83=""),"",IF(Y$8&gt;$G83,IF(OR(status1B5!Z83=1,status1B5!Z83=2,'BOULEVARD 5'!AB81&gt;0),"Pagado","impago"),""))</f>
        <v>Pagado</v>
      </c>
      <c r="Z83" s="666" t="str">
        <f>IF(OR($A83="F&amp;F",$G83=""),"",IF(Z$8&gt;$G83,IF(OR(status1B5!AA83=1,status1B5!AA83=2,'BOULEVARD 5'!AC81&gt;0),"Pagado","impago"),""))</f>
        <v>Pagado</v>
      </c>
      <c r="AA83" s="666" t="str">
        <f>IF(OR($A83="F&amp;F",$G83=""),"",IF(AA$8&gt;$G83,IF(OR(status1B5!AB83=1,status1B5!AB83=2,'BOULEVARD 5'!AD81&gt;0),"Pagado","impago"),""))</f>
        <v>Pagado</v>
      </c>
      <c r="AB83" s="666" t="str">
        <f>IF(OR($A83="F&amp;F",$G83=""),"",IF(AB$8&gt;$G83,IF(OR(status1B5!AC83=1,status1B5!AC83=2,'BOULEVARD 5'!AE81&gt;0),"Pagado","impago"),""))</f>
        <v>Pagado</v>
      </c>
      <c r="AC83" s="666" t="str">
        <f>IF(OR($A83="F&amp;F",$G83=""),"",IF(AC$8&gt;$G83,IF(OR(status1B5!AD83=1,status1B5!AD83=2,'BOULEVARD 5'!AF81&gt;0),"Pagado","impago"),""))</f>
        <v>Pagado</v>
      </c>
      <c r="AD83" s="666" t="str">
        <f>IF(OR($A83="F&amp;F",$G83=""),"",IF(AD$8&gt;$G83,IF(OR(status1B5!AE83=1,status1B5!AE83=2,'BOULEVARD 5'!AG81&gt;0),"Pagado","impago"),""))</f>
        <v>Pagado</v>
      </c>
      <c r="AE83" s="666" t="str">
        <f>IF(OR($A83="F&amp;F",$G83=""),"",IF(AE$8&gt;$G83,IF(OR(status1B5!AF83=1,status1B5!AF83=2,'BOULEVARD 5'!AH81&gt;0),"Pagado","impago"),""))</f>
        <v>Pagado</v>
      </c>
      <c r="AF83" s="666" t="str">
        <f>IF(OR($A83="F&amp;F",$G83=""),"",IF(AF$8&gt;$G83,IF(OR(status1B5!AG83=1,status1B5!AG83=2,'BOULEVARD 5'!AI81&gt;0),"Pagado","impago"),""))</f>
        <v>Pagado</v>
      </c>
      <c r="AG83" s="666" t="str">
        <f>IF(OR($A83="F&amp;F",$G83=""),"",IF(AG$8&gt;$G83,IF(OR(status1B5!AH83=1,status1B5!AH83=2,'BOULEVARD 5'!AJ81&gt;0),"Pagado","impago"),""))</f>
        <v>Pagado</v>
      </c>
      <c r="AH83" s="666" t="str">
        <f>IF(OR($A83="F&amp;F",$G83=""),"",IF(AH$8&gt;$G83,IF(OR(status1B5!AI83=1,status1B5!AI83=2,'BOULEVARD 5'!AK81&gt;0),"Pagado","impago"),""))</f>
        <v>Pagado</v>
      </c>
      <c r="AI83" s="666" t="str">
        <f>IF(OR($A83="F&amp;F",$G83=""),"",IF(AI$8&gt;$G83,IF(OR(status1B5!AJ83=1,status1B5!AJ83=2,'BOULEVARD 5'!AL81&gt;0),"Pagado","impago"),""))</f>
        <v>Pagado</v>
      </c>
      <c r="AJ83" s="666" t="str">
        <f>IF(OR($A83="F&amp;F",$G83=""),"",IF(AJ$8&gt;$G83,IF(OR(status1B5!AK83=1,status1B5!AK83=2,'BOULEVARD 5'!AM81&gt;0),"Pagado","impago"),""))</f>
        <v>Pagado</v>
      </c>
      <c r="AK83" s="666" t="str">
        <f>IF(OR($A83="F&amp;F",$G83=""),"",IF(AK$8&gt;$G83,IF(OR(status1B5!AL83=1,status1B5!AL83=2,'BOULEVARD 5'!AN81&gt;0),"Pagado","impago"),""))</f>
        <v>Pagado</v>
      </c>
      <c r="AL83" s="666" t="str">
        <f>IF(OR($A83="F&amp;F",$G83=""),"",IF(AL$8&gt;$G83,IF(OR(status1B5!AM83=1,status1B5!AM83=2,'BOULEVARD 5'!AO81&gt;0),"Pagado","impago"),""))</f>
        <v>Pagado</v>
      </c>
      <c r="AM83" s="666" t="str">
        <f>IF(OR($A83="F&amp;F",$G83=""),"",IF(AM$8&gt;$G83,IF(OR(status1B5!AN83=1,status1B5!AN83=2,'BOULEVARD 5'!AP81&gt;0),"Pagado","impago"),""))</f>
        <v>Pagado</v>
      </c>
      <c r="AN83" s="666" t="str">
        <f>IF(OR($A83="F&amp;F",$G83=""),"",IF(AN$8&gt;$G83,IF(OR(status1B5!AO83=1,status1B5!AO83=2,'BOULEVARD 5'!AQ81&gt;0),"Pagado","impago"),""))</f>
        <v>Pagado</v>
      </c>
      <c r="AO83" s="666" t="str">
        <f>IF(OR($A83="F&amp;F",$G83=""),"",IF(AO$8&gt;$G83,IF(OR(status1B5!AP83=1,status1B5!AP83=2,'BOULEVARD 5'!AS81&gt;0),"Pagado","impago"),""))</f>
        <v>Pagado</v>
      </c>
      <c r="AP83" s="429" t="str">
        <f t="shared" si="6"/>
        <v>Vendido</v>
      </c>
    </row>
    <row r="84" spans="1:42" s="429" customFormat="1" ht="13.9" customHeight="1" x14ac:dyDescent="0.25">
      <c r="A84" s="472"/>
      <c r="B84" s="436">
        <f>'BOULEVARD 5'!B82</f>
        <v>506</v>
      </c>
      <c r="C84" s="436" t="s">
        <v>355</v>
      </c>
      <c r="D84" s="436"/>
      <c r="E84" s="436" t="str">
        <f>IF('BOULEVARD 5'!E82="","",'BOULEVARD 5'!E82)</f>
        <v>Antonio Rada</v>
      </c>
      <c r="F84" s="429" t="str">
        <f>IF('BOULEVARD 5'!F82="","",'BOULEVARD 5'!F82)</f>
        <v>Carlos Eduardo Miranda Y Nancy Patricia Medina</v>
      </c>
      <c r="G84" s="473">
        <f>IF('BOULEVARD 5'!G82="","",'BOULEVARD 5'!G82)</f>
        <v>45580</v>
      </c>
      <c r="H84" s="666" t="str">
        <f>IF(OR($A84="F&amp;F",$G84=""),"",IF(H$8&gt;$G84,IF(OR(status1B5!I84=1,status1B5!I84=2,'BOULEVARD 5'!K82&gt;0),"Pagado","impago"),""))</f>
        <v/>
      </c>
      <c r="I84" s="666" t="str">
        <f>IF(OR($A84="F&amp;F",$G84=""),"",IF(I$8&gt;$G84,IF(OR(status1B5!J84=1,status1B5!J84=2,'BOULEVARD 5'!L82&gt;0),"Pagado","impago"),""))</f>
        <v/>
      </c>
      <c r="J84" s="666" t="str">
        <f>IF(OR($A84="F&amp;F",$G84=""),"",IF(J$8&gt;$G84,IF(OR(status1B5!K84=1,status1B5!K84=2,'BOULEVARD 5'!M82&gt;0),"Pagado","impago"),""))</f>
        <v/>
      </c>
      <c r="K84" s="666" t="str">
        <f>IF(OR($A84="F&amp;F",$G84=""),"",IF(K$8&gt;$G84,IF(OR(status1B5!L84=1,status1B5!L84=2,'BOULEVARD 5'!N82&gt;0),"Pagado","impago"),""))</f>
        <v/>
      </c>
      <c r="L84" s="666" t="str">
        <f>IF(OR($A84="F&amp;F",$G84=""),"",IF(L$8&gt;$G84,IF(OR(status1B5!M84=1,status1B5!M84=2,'BOULEVARD 5'!O82&gt;0),"Pagado","impago"),""))</f>
        <v/>
      </c>
      <c r="M84" s="666" t="str">
        <f>IF(OR($A84="F&amp;F",$G84=""),"",IF(M$8&gt;$G84,IF(OR(status1B5!N84=1,status1B5!N84=2,'BOULEVARD 5'!P82&gt;0),"Pagado","impago"),""))</f>
        <v/>
      </c>
      <c r="N84" s="666" t="str">
        <f>IF(OR($A84="F&amp;F",$G84=""),"",IF(N$8&gt;$G84,IF(OR(status1B5!O84=1,status1B5!O84=2,'BOULEVARD 5'!Q82&gt;0),"Pagado","impago"),""))</f>
        <v/>
      </c>
      <c r="O84" s="666" t="str">
        <f>IF(OR($A84="F&amp;F",$G84=""),"",IF(O$8&gt;$G84,IF(OR(status1B5!P84=1,status1B5!P84=2,'BOULEVARD 5'!R82&gt;0),"Pagado","impago"),""))</f>
        <v/>
      </c>
      <c r="P84" s="666" t="str">
        <f>IF(OR($A84="F&amp;F",$G84=""),"",IF(P$8&gt;$G84,IF(OR(status1B5!Q84=1,status1B5!Q84=2,'BOULEVARD 5'!S82&gt;0),"Pagado","impago"),""))</f>
        <v/>
      </c>
      <c r="Q84" s="666" t="str">
        <f>IF(OR($A84="F&amp;F",$G84=""),"",IF(Q$8&gt;$G84,IF(OR(status1B5!R84=1,status1B5!R84=2,'BOULEVARD 5'!T82&gt;0),"Pagado","impago"),""))</f>
        <v/>
      </c>
      <c r="R84" s="666" t="str">
        <f>IF(OR($A84="F&amp;F",$G84=""),"",IF(R$8&gt;$G84,IF(OR(status1B5!S84=1,status1B5!S84=2,'BOULEVARD 5'!U82&gt;0),"Pagado","impago"),""))</f>
        <v/>
      </c>
      <c r="S84" s="666" t="str">
        <f>IF(OR($A84="F&amp;F",$G84=""),"",IF(S$8&gt;$G84,IF(OR(status1B5!T84=1,status1B5!T84=2,'BOULEVARD 5'!V82&gt;0),"Pagado","impago"),""))</f>
        <v/>
      </c>
      <c r="T84" s="666" t="str">
        <f>IF(OR($A84="F&amp;F",$G84=""),"",IF(T$8&gt;$G84,IF(OR(status1B5!U84=1,status1B5!U84=2,'BOULEVARD 5'!W82&gt;0),"Pagado","impago"),""))</f>
        <v/>
      </c>
      <c r="U84" s="666" t="str">
        <f>IF(OR($A84="F&amp;F",$G84=""),"",IF(U$8&gt;$G84,IF(OR(status1B5!V84=1,status1B5!V84=2,'BOULEVARD 5'!X82&gt;0),"Pagado","impago"),""))</f>
        <v/>
      </c>
      <c r="V84" s="666" t="str">
        <f>IF(OR($A84="F&amp;F",$G84=""),"",IF(V$8&gt;$G84,IF(OR(status1B5!W84=1,status1B5!W84=2,'BOULEVARD 5'!Y82&gt;0),"Pagado","impago"),""))</f>
        <v/>
      </c>
      <c r="W84" s="666" t="str">
        <f>IF(OR($A84="F&amp;F",$G84=""),"",IF(W$8&gt;$G84,IF(OR(status1B5!X84=1,status1B5!X84=2,'BOULEVARD 5'!Z82&gt;0),"Pagado","impago"),""))</f>
        <v/>
      </c>
      <c r="X84" s="666" t="str">
        <f>IF(OR($A84="F&amp;F",$G84=""),"",IF(X$8&gt;$G84,IF(OR(status1B5!Y84=1,status1B5!Y84=2,'BOULEVARD 5'!AA82&gt;0),"Pagado","impago"),""))</f>
        <v/>
      </c>
      <c r="Y84" s="666" t="str">
        <f>IF(OR($A84="F&amp;F",$G84=""),"",IF(Y$8&gt;$G84,IF(OR(status1B5!Z84=1,status1B5!Z84=2,'BOULEVARD 5'!AB82&gt;0),"Pagado","impago"),""))</f>
        <v/>
      </c>
      <c r="Z84" s="666" t="str">
        <f>IF(OR($A84="F&amp;F",$G84=""),"",IF(Z$8&gt;$G84,IF(OR(status1B5!AA84=1,status1B5!AA84=2,'BOULEVARD 5'!AC82&gt;0),"Pagado","impago"),""))</f>
        <v/>
      </c>
      <c r="AA84" s="666" t="str">
        <f>IF(OR($A84="F&amp;F",$G84=""),"",IF(AA$8&gt;$G84,IF(OR(status1B5!AB84=1,status1B5!AB84=2,'BOULEVARD 5'!AD82&gt;0),"Pagado","impago"),""))</f>
        <v>Pagado</v>
      </c>
      <c r="AB84" s="666" t="str">
        <f>IF(OR($A84="F&amp;F",$G84=""),"",IF(AB$8&gt;$G84,IF(OR(status1B5!AC84=1,status1B5!AC84=2,'BOULEVARD 5'!AE82&gt;0),"Pagado","impago"),""))</f>
        <v>Pagado</v>
      </c>
      <c r="AC84" s="666" t="str">
        <f>IF(OR($A84="F&amp;F",$G84=""),"",IF(AC$8&gt;$G84,IF(OR(status1B5!AD84=1,status1B5!AD84=2,'BOULEVARD 5'!AF82&gt;0),"Pagado","impago"),""))</f>
        <v>Pagado</v>
      </c>
      <c r="AD84" s="666" t="str">
        <f>IF(OR($A84="F&amp;F",$G84=""),"",IF(AD$8&gt;$G84,IF(OR(status1B5!AE84=1,status1B5!AE84=2,'BOULEVARD 5'!AG82&gt;0),"Pagado","impago"),""))</f>
        <v>Pagado</v>
      </c>
      <c r="AE84" s="666" t="str">
        <f>IF(OR($A84="F&amp;F",$G84=""),"",IF(AE$8&gt;$G84,IF(OR(status1B5!AF84=1,status1B5!AF84=2,'BOULEVARD 5'!AH82&gt;0),"Pagado","impago"),""))</f>
        <v>Pagado</v>
      </c>
      <c r="AF84" s="666" t="str">
        <f>IF(OR($A84="F&amp;F",$G84=""),"",IF(AF$8&gt;$G84,IF(OR(status1B5!AG84=1,status1B5!AG84=2,'BOULEVARD 5'!AI82&gt;0),"Pagado","impago"),""))</f>
        <v>Pagado</v>
      </c>
      <c r="AG84" s="666" t="str">
        <f>IF(OR($A84="F&amp;F",$G84=""),"",IF(AG$8&gt;$G84,IF(OR(status1B5!AH84=1,status1B5!AH84=2,'BOULEVARD 5'!AJ82&gt;0),"Pagado","impago"),""))</f>
        <v>Pagado</v>
      </c>
      <c r="AH84" s="666" t="str">
        <f>IF(OR($A84="F&amp;F",$G84=""),"",IF(AH$8&gt;$G84,IF(OR(status1B5!AI84=1,status1B5!AI84=2,'BOULEVARD 5'!AK82&gt;0),"Pagado","impago"),""))</f>
        <v>Pagado</v>
      </c>
      <c r="AI84" s="666" t="str">
        <f>IF(OR($A84="F&amp;F",$G84=""),"",IF(AI$8&gt;$G84,IF(OR(status1B5!AJ84=1,status1B5!AJ84=2,'BOULEVARD 5'!AL82&gt;0),"Pagado","impago"),""))</f>
        <v>Pagado</v>
      </c>
      <c r="AJ84" s="666" t="str">
        <f>IF(OR($A84="F&amp;F",$G84=""),"",IF(AJ$8&gt;$G84,IF(OR(status1B5!AK84=1,status1B5!AK84=2,'BOULEVARD 5'!AM82&gt;0),"Pagado","impago"),""))</f>
        <v>Pagado</v>
      </c>
      <c r="AK84" s="666" t="str">
        <f>IF(OR($A84="F&amp;F",$G84=""),"",IF(AK$8&gt;$G84,IF(OR(status1B5!AL84=1,status1B5!AL84=2,'BOULEVARD 5'!AN82&gt;0),"Pagado","impago"),""))</f>
        <v>Pagado</v>
      </c>
      <c r="AL84" s="666" t="str">
        <f>IF(OR($A84="F&amp;F",$G84=""),"",IF(AL$8&gt;$G84,IF(OR(status1B5!AM84=1,status1B5!AM84=2,'BOULEVARD 5'!AO82&gt;0),"Pagado","impago"),""))</f>
        <v>Pagado</v>
      </c>
      <c r="AM84" s="666" t="str">
        <f>IF(OR($A84="F&amp;F",$G84=""),"",IF(AM$8&gt;$G84,IF(OR(status1B5!AN84=1,status1B5!AN84=2,'BOULEVARD 5'!AP82&gt;0),"Pagado","impago"),""))</f>
        <v>Pagado</v>
      </c>
      <c r="AN84" s="666" t="str">
        <f>IF(OR($A84="F&amp;F",$G84=""),"",IF(AN$8&gt;$G84,IF(OR(status1B5!AO84=1,status1B5!AO84=2,'BOULEVARD 5'!AQ82&gt;0),"Pagado","impago"),""))</f>
        <v>Pagado</v>
      </c>
      <c r="AO84" s="666" t="str">
        <f>IF(OR($A84="F&amp;F",$G84=""),"",IF(AO$8&gt;$G84,IF(OR(status1B5!AP84=1,status1B5!AP84=2,'BOULEVARD 5'!AS82&gt;0),"Pagado","impago"),""))</f>
        <v>Pagado</v>
      </c>
      <c r="AP84" s="429" t="str">
        <f t="shared" si="6"/>
        <v>Vendido</v>
      </c>
    </row>
    <row r="85" spans="1:42" s="429" customFormat="1" ht="13.9" customHeight="1" x14ac:dyDescent="0.25">
      <c r="A85" s="472"/>
      <c r="B85" s="436">
        <f>'BOULEVARD 5'!B83</f>
        <v>507</v>
      </c>
      <c r="C85" s="436" t="s">
        <v>355</v>
      </c>
      <c r="D85" s="436"/>
      <c r="E85" s="436" t="str">
        <f>IF('BOULEVARD 5'!E83="","",'BOULEVARD 5'!E83)</f>
        <v>Antonio Rada</v>
      </c>
      <c r="F85" s="429" t="str">
        <f>IF('BOULEVARD 5'!F83="","",'BOULEVARD 5'!F83)</f>
        <v>Osmin Otoniel Oliva Córdova</v>
      </c>
      <c r="G85" s="473">
        <f>IF('BOULEVARD 5'!G83="","",'BOULEVARD 5'!G83)</f>
        <v>45155</v>
      </c>
      <c r="H85" s="666" t="str">
        <f>IF(OR($A85="F&amp;F",$G85=""),"",IF(H$8&gt;$G85,IF(OR(status1B5!I85=1,status1B5!I85=2,'BOULEVARD 5'!K83&gt;0),"Pagado","impago"),""))</f>
        <v/>
      </c>
      <c r="I85" s="666" t="str">
        <f>IF(OR($A85="F&amp;F",$G85=""),"",IF(I$8&gt;$G85,IF(OR(status1B5!J85=1,status1B5!J85=2,'BOULEVARD 5'!L83&gt;0),"Pagado","impago"),""))</f>
        <v/>
      </c>
      <c r="J85" s="666" t="str">
        <f>IF(OR($A85="F&amp;F",$G85=""),"",IF(J$8&gt;$G85,IF(OR(status1B5!K85=1,status1B5!K85=2,'BOULEVARD 5'!M83&gt;0),"Pagado","impago"),""))</f>
        <v/>
      </c>
      <c r="K85" s="666" t="str">
        <f>IF(OR($A85="F&amp;F",$G85=""),"",IF(K$8&gt;$G85,IF(OR(status1B5!L85=1,status1B5!L85=2,'BOULEVARD 5'!N83&gt;0),"Pagado","impago"),""))</f>
        <v/>
      </c>
      <c r="L85" s="666" t="str">
        <f>IF(OR($A85="F&amp;F",$G85=""),"",IF(L$8&gt;$G85,IF(OR(status1B5!M85=1,status1B5!M85=2,'BOULEVARD 5'!O83&gt;0),"Pagado","impago"),""))</f>
        <v/>
      </c>
      <c r="M85" s="666" t="str">
        <f>IF(OR($A85="F&amp;F",$G85=""),"",IF(M$8&gt;$G85,IF(OR(status1B5!N85=1,status1B5!N85=2,'BOULEVARD 5'!P83&gt;0),"Pagado","impago"),""))</f>
        <v>Pagado</v>
      </c>
      <c r="N85" s="666" t="str">
        <f>IF(OR($A85="F&amp;F",$G85=""),"",IF(N$8&gt;$G85,IF(OR(status1B5!O85=1,status1B5!O85=2,'BOULEVARD 5'!Q83&gt;0),"Pagado","impago"),""))</f>
        <v>Pagado</v>
      </c>
      <c r="O85" s="666" t="str">
        <f>IF(OR($A85="F&amp;F",$G85=""),"",IF(O$8&gt;$G85,IF(OR(status1B5!P85=1,status1B5!P85=2,'BOULEVARD 5'!R83&gt;0),"Pagado","impago"),""))</f>
        <v>Pagado</v>
      </c>
      <c r="P85" s="666" t="str">
        <f>IF(OR($A85="F&amp;F",$G85=""),"",IF(P$8&gt;$G85,IF(OR(status1B5!Q85=1,status1B5!Q85=2,'BOULEVARD 5'!S83&gt;0),"Pagado","impago"),""))</f>
        <v>Pagado</v>
      </c>
      <c r="Q85" s="666" t="str">
        <f>IF(OR($A85="F&amp;F",$G85=""),"",IF(Q$8&gt;$G85,IF(OR(status1B5!R85=1,status1B5!R85=2,'BOULEVARD 5'!T83&gt;0),"Pagado","impago"),""))</f>
        <v>Pagado</v>
      </c>
      <c r="R85" s="666" t="str">
        <f>IF(OR($A85="F&amp;F",$G85=""),"",IF(R$8&gt;$G85,IF(OR(status1B5!S85=1,status1B5!S85=2,'BOULEVARD 5'!U83&gt;0),"Pagado","impago"),""))</f>
        <v>Pagado</v>
      </c>
      <c r="S85" s="666" t="str">
        <f>IF(OR($A85="F&amp;F",$G85=""),"",IF(S$8&gt;$G85,IF(OR(status1B5!T85=1,status1B5!T85=2,'BOULEVARD 5'!V83&gt;0),"Pagado","impago"),""))</f>
        <v>Pagado</v>
      </c>
      <c r="T85" s="666" t="str">
        <f>IF(OR($A85="F&amp;F",$G85=""),"",IF(T$8&gt;$G85,IF(OR(status1B5!U85=1,status1B5!U85=2,'BOULEVARD 5'!W83&gt;0),"Pagado","impago"),""))</f>
        <v>Pagado</v>
      </c>
      <c r="U85" s="666" t="str">
        <f>IF(OR($A85="F&amp;F",$G85=""),"",IF(U$8&gt;$G85,IF(OR(status1B5!V85=1,status1B5!V85=2,'BOULEVARD 5'!X83&gt;0),"Pagado","impago"),""))</f>
        <v>Pagado</v>
      </c>
      <c r="V85" s="666" t="str">
        <f>IF(OR($A85="F&amp;F",$G85=""),"",IF(V$8&gt;$G85,IF(OR(status1B5!W85=1,status1B5!W85=2,'BOULEVARD 5'!Y83&gt;0),"Pagado","impago"),""))</f>
        <v>Pagado</v>
      </c>
      <c r="W85" s="666" t="str">
        <f>IF(OR($A85="F&amp;F",$G85=""),"",IF(W$8&gt;$G85,IF(OR(status1B5!X85=1,status1B5!X85=2,'BOULEVARD 5'!Z83&gt;0),"Pagado","impago"),""))</f>
        <v>Pagado</v>
      </c>
      <c r="X85" s="666" t="str">
        <f>IF(OR($A85="F&amp;F",$G85=""),"",IF(X$8&gt;$G85,IF(OR(status1B5!Y85=1,status1B5!Y85=2,'BOULEVARD 5'!AA83&gt;0),"Pagado","impago"),""))</f>
        <v>Pagado</v>
      </c>
      <c r="Y85" s="666" t="str">
        <f>IF(OR($A85="F&amp;F",$G85=""),"",IF(Y$8&gt;$G85,IF(OR(status1B5!Z85=1,status1B5!Z85=2,'BOULEVARD 5'!AB83&gt;0),"Pagado","impago"),""))</f>
        <v>Pagado</v>
      </c>
      <c r="Z85" s="666" t="str">
        <f>IF(OR($A85="F&amp;F",$G85=""),"",IF(Z$8&gt;$G85,IF(OR(status1B5!AA85=1,status1B5!AA85=2,'BOULEVARD 5'!AC83&gt;0),"Pagado","impago"),""))</f>
        <v>Pagado</v>
      </c>
      <c r="AA85" s="666" t="str">
        <f>IF(OR($A85="F&amp;F",$G85=""),"",IF(AA$8&gt;$G85,IF(OR(status1B5!AB85=1,status1B5!AB85=2,'BOULEVARD 5'!AD83&gt;0),"Pagado","impago"),""))</f>
        <v>Pagado</v>
      </c>
      <c r="AB85" s="666" t="str">
        <f>IF(OR($A85="F&amp;F",$G85=""),"",IF(AB$8&gt;$G85,IF(OR(status1B5!AC85=1,status1B5!AC85=2,'BOULEVARD 5'!AE83&gt;0),"Pagado","impago"),""))</f>
        <v>Pagado</v>
      </c>
      <c r="AC85" s="666" t="str">
        <f>IF(OR($A85="F&amp;F",$G85=""),"",IF(AC$8&gt;$G85,IF(OR(status1B5!AD85=1,status1B5!AD85=2,'BOULEVARD 5'!AF83&gt;0),"Pagado","impago"),""))</f>
        <v>Pagado</v>
      </c>
      <c r="AD85" s="666" t="str">
        <f>IF(OR($A85="F&amp;F",$G85=""),"",IF(AD$8&gt;$G85,IF(OR(status1B5!AE85=1,status1B5!AE85=2,'BOULEVARD 5'!AG83&gt;0),"Pagado","impago"),""))</f>
        <v>Pagado</v>
      </c>
      <c r="AE85" s="666" t="str">
        <f>IF(OR($A85="F&amp;F",$G85=""),"",IF(AE$8&gt;$G85,IF(OR(status1B5!AF85=1,status1B5!AF85=2,'BOULEVARD 5'!AH83&gt;0),"Pagado","impago"),""))</f>
        <v>Pagado</v>
      </c>
      <c r="AF85" s="666" t="str">
        <f>IF(OR($A85="F&amp;F",$G85=""),"",IF(AF$8&gt;$G85,IF(OR(status1B5!AG85=1,status1B5!AG85=2,'BOULEVARD 5'!AI83&gt;0),"Pagado","impago"),""))</f>
        <v>Pagado</v>
      </c>
      <c r="AG85" s="666" t="str">
        <f>IF(OR($A85="F&amp;F",$G85=""),"",IF(AG$8&gt;$G85,IF(OR(status1B5!AH85=1,status1B5!AH85=2,'BOULEVARD 5'!AJ83&gt;0),"Pagado","impago"),""))</f>
        <v>Pagado</v>
      </c>
      <c r="AH85" s="666" t="str">
        <f>IF(OR($A85="F&amp;F",$G85=""),"",IF(AH$8&gt;$G85,IF(OR(status1B5!AI85=1,status1B5!AI85=2,'BOULEVARD 5'!AK83&gt;0),"Pagado","impago"),""))</f>
        <v>Pagado</v>
      </c>
      <c r="AI85" s="666" t="str">
        <f>IF(OR($A85="F&amp;F",$G85=""),"",IF(AI$8&gt;$G85,IF(OR(status1B5!AJ85=1,status1B5!AJ85=2,'BOULEVARD 5'!AL83&gt;0),"Pagado","impago"),""))</f>
        <v>Pagado</v>
      </c>
      <c r="AJ85" s="666" t="str">
        <f>IF(OR($A85="F&amp;F",$G85=""),"",IF(AJ$8&gt;$G85,IF(OR(status1B5!AK85=1,status1B5!AK85=2,'BOULEVARD 5'!AM83&gt;0),"Pagado","impago"),""))</f>
        <v>Pagado</v>
      </c>
      <c r="AK85" s="666" t="str">
        <f>IF(OR($A85="F&amp;F",$G85=""),"",IF(AK$8&gt;$G85,IF(OR(status1B5!AL85=1,status1B5!AL85=2,'BOULEVARD 5'!AN83&gt;0),"Pagado","impago"),""))</f>
        <v>Pagado</v>
      </c>
      <c r="AL85" s="666" t="str">
        <f>IF(OR($A85="F&amp;F",$G85=""),"",IF(AL$8&gt;$G85,IF(OR(status1B5!AM85=1,status1B5!AM85=2,'BOULEVARD 5'!AO83&gt;0),"Pagado","impago"),""))</f>
        <v>Pagado</v>
      </c>
      <c r="AM85" s="666" t="str">
        <f>IF(OR($A85="F&amp;F",$G85=""),"",IF(AM$8&gt;$G85,IF(OR(status1B5!AN85=1,status1B5!AN85=2,'BOULEVARD 5'!AP83&gt;0),"Pagado","impago"),""))</f>
        <v>Pagado</v>
      </c>
      <c r="AN85" s="666" t="str">
        <f>IF(OR($A85="F&amp;F",$G85=""),"",IF(AN$8&gt;$G85,IF(OR(status1B5!AO85=1,status1B5!AO85=2,'BOULEVARD 5'!AQ83&gt;0),"Pagado","impago"),""))</f>
        <v>Pagado</v>
      </c>
      <c r="AO85" s="666" t="str">
        <f>IF(OR($A85="F&amp;F",$G85=""),"",IF(AO$8&gt;$G85,IF(OR(status1B5!AP85=1,status1B5!AP85=2,'BOULEVARD 5'!AS83&gt;0),"Pagado","impago"),""))</f>
        <v>Pagado</v>
      </c>
      <c r="AP85" s="429" t="str">
        <f t="shared" si="6"/>
        <v>Vendido</v>
      </c>
    </row>
    <row r="86" spans="1:42" s="429" customFormat="1" ht="13.9" customHeight="1" x14ac:dyDescent="0.25">
      <c r="A86" s="472"/>
      <c r="B86" s="436">
        <f>'BOULEVARD 5'!B84</f>
        <v>508</v>
      </c>
      <c r="C86" s="436" t="s">
        <v>355</v>
      </c>
      <c r="D86" s="436"/>
      <c r="E86" s="436" t="str">
        <f>IF('BOULEVARD 5'!E84="","",'BOULEVARD 5'!E84)</f>
        <v>Antonio Rada</v>
      </c>
      <c r="F86" s="429" t="str">
        <f>IF('BOULEVARD 5'!F84="","",'BOULEVARD 5'!F84)</f>
        <v>Evelyn Aida Samayoa San Jose</v>
      </c>
      <c r="G86" s="473">
        <f>IF('BOULEVARD 5'!G84="","",'BOULEVARD 5'!G84)</f>
        <v>45394</v>
      </c>
      <c r="H86" s="666" t="str">
        <f>IF(OR($A86="F&amp;F",$G86=""),"",IF(H$8&gt;$G86,IF(OR(status1B5!I86=1,status1B5!I86=2,'BOULEVARD 5'!K84&gt;0),"Pagado","impago"),""))</f>
        <v/>
      </c>
      <c r="I86" s="666" t="str">
        <f>IF(OR($A86="F&amp;F",$G86=""),"",IF(I$8&gt;$G86,IF(OR(status1B5!J86=1,status1B5!J86=2,'BOULEVARD 5'!L84&gt;0),"Pagado","impago"),""))</f>
        <v/>
      </c>
      <c r="J86" s="666" t="str">
        <f>IF(OR($A86="F&amp;F",$G86=""),"",IF(J$8&gt;$G86,IF(OR(status1B5!K86=1,status1B5!K86=2,'BOULEVARD 5'!M84&gt;0),"Pagado","impago"),""))</f>
        <v/>
      </c>
      <c r="K86" s="666" t="str">
        <f>IF(OR($A86="F&amp;F",$G86=""),"",IF(K$8&gt;$G86,IF(OR(status1B5!L86=1,status1B5!L86=2,'BOULEVARD 5'!N84&gt;0),"Pagado","impago"),""))</f>
        <v/>
      </c>
      <c r="L86" s="666" t="str">
        <f>IF(OR($A86="F&amp;F",$G86=""),"",IF(L$8&gt;$G86,IF(OR(status1B5!M86=1,status1B5!M86=2,'BOULEVARD 5'!O84&gt;0),"Pagado","impago"),""))</f>
        <v/>
      </c>
      <c r="M86" s="666" t="str">
        <f>IF(OR($A86="F&amp;F",$G86=""),"",IF(M$8&gt;$G86,IF(OR(status1B5!N86=1,status1B5!N86=2,'BOULEVARD 5'!P84&gt;0),"Pagado","impago"),""))</f>
        <v/>
      </c>
      <c r="N86" s="666" t="str">
        <f>IF(OR($A86="F&amp;F",$G86=""),"",IF(N$8&gt;$G86,IF(OR(status1B5!O86=1,status1B5!O86=2,'BOULEVARD 5'!Q84&gt;0),"Pagado","impago"),""))</f>
        <v/>
      </c>
      <c r="O86" s="666" t="str">
        <f>IF(OR($A86="F&amp;F",$G86=""),"",IF(O$8&gt;$G86,IF(OR(status1B5!P86=1,status1B5!P86=2,'BOULEVARD 5'!R84&gt;0),"Pagado","impago"),""))</f>
        <v/>
      </c>
      <c r="P86" s="666" t="str">
        <f>IF(OR($A86="F&amp;F",$G86=""),"",IF(P$8&gt;$G86,IF(OR(status1B5!Q86=1,status1B5!Q86=2,'BOULEVARD 5'!S84&gt;0),"Pagado","impago"),""))</f>
        <v/>
      </c>
      <c r="Q86" s="666" t="str">
        <f>IF(OR($A86="F&amp;F",$G86=""),"",IF(Q$8&gt;$G86,IF(OR(status1B5!R86=1,status1B5!R86=2,'BOULEVARD 5'!T84&gt;0),"Pagado","impago"),""))</f>
        <v/>
      </c>
      <c r="R86" s="666" t="str">
        <f>IF(OR($A86="F&amp;F",$G86=""),"",IF(R$8&gt;$G86,IF(OR(status1B5!S86=1,status1B5!S86=2,'BOULEVARD 5'!U84&gt;0),"Pagado","impago"),""))</f>
        <v/>
      </c>
      <c r="S86" s="666" t="str">
        <f>IF(OR($A86="F&amp;F",$G86=""),"",IF(S$8&gt;$G86,IF(OR(status1B5!T86=1,status1B5!T86=2,'BOULEVARD 5'!V84&gt;0),"Pagado","impago"),""))</f>
        <v/>
      </c>
      <c r="T86" s="666" t="str">
        <f>IF(OR($A86="F&amp;F",$G86=""),"",IF(T$8&gt;$G86,IF(OR(status1B5!U86=1,status1B5!U86=2,'BOULEVARD 5'!W84&gt;0),"Pagado","impago"),""))</f>
        <v/>
      </c>
      <c r="U86" s="666" t="str">
        <f>IF(OR($A86="F&amp;F",$G86=""),"",IF(U$8&gt;$G86,IF(OR(status1B5!V86=1,status1B5!V86=2,'BOULEVARD 5'!X84&gt;0),"Pagado","impago"),""))</f>
        <v>Pagado</v>
      </c>
      <c r="V86" s="666" t="str">
        <f>IF(OR($A86="F&amp;F",$G86=""),"",IF(V$8&gt;$G86,IF(OR(status1B5!W86=1,status1B5!W86=2,'BOULEVARD 5'!Y84&gt;0),"Pagado","impago"),""))</f>
        <v>Pagado</v>
      </c>
      <c r="W86" s="666" t="str">
        <f>IF(OR($A86="F&amp;F",$G86=""),"",IF(W$8&gt;$G86,IF(OR(status1B5!X86=1,status1B5!X86=2,'BOULEVARD 5'!Z84&gt;0),"Pagado","impago"),""))</f>
        <v>Pagado</v>
      </c>
      <c r="X86" s="666" t="str">
        <f>IF(OR($A86="F&amp;F",$G86=""),"",IF(X$8&gt;$G86,IF(OR(status1B5!Y86=1,status1B5!Y86=2,'BOULEVARD 5'!AA84&gt;0),"Pagado","impago"),""))</f>
        <v>Pagado</v>
      </c>
      <c r="Y86" s="666" t="str">
        <f>IF(OR($A86="F&amp;F",$G86=""),"",IF(Y$8&gt;$G86,IF(OR(status1B5!Z86=1,status1B5!Z86=2,'BOULEVARD 5'!AB84&gt;0),"Pagado","impago"),""))</f>
        <v>Pagado</v>
      </c>
      <c r="Z86" s="666" t="str">
        <f>IF(OR($A86="F&amp;F",$G86=""),"",IF(Z$8&gt;$G86,IF(OR(status1B5!AA86=1,status1B5!AA86=2,'BOULEVARD 5'!AC84&gt;0),"Pagado","impago"),""))</f>
        <v>Pagado</v>
      </c>
      <c r="AA86" s="666" t="str">
        <f>IF(OR($A86="F&amp;F",$G86=""),"",IF(AA$8&gt;$G86,IF(OR(status1B5!AB86=1,status1B5!AB86=2,'BOULEVARD 5'!AD84&gt;0),"Pagado","impago"),""))</f>
        <v>Pagado</v>
      </c>
      <c r="AB86" s="666" t="str">
        <f>IF(OR($A86="F&amp;F",$G86=""),"",IF(AB$8&gt;$G86,IF(OR(status1B5!AC86=1,status1B5!AC86=2,'BOULEVARD 5'!AE84&gt;0),"Pagado","impago"),""))</f>
        <v>Pagado</v>
      </c>
      <c r="AC86" s="666" t="str">
        <f>IF(OR($A86="F&amp;F",$G86=""),"",IF(AC$8&gt;$G86,IF(OR(status1B5!AD86=1,status1B5!AD86=2,'BOULEVARD 5'!AF84&gt;0),"Pagado","impago"),""))</f>
        <v>Pagado</v>
      </c>
      <c r="AD86" s="666" t="str">
        <f>IF(OR($A86="F&amp;F",$G86=""),"",IF(AD$8&gt;$G86,IF(OR(status1B5!AE86=1,status1B5!AE86=2,'BOULEVARD 5'!AG84&gt;0),"Pagado","impago"),""))</f>
        <v>Pagado</v>
      </c>
      <c r="AE86" s="666" t="str">
        <f>IF(OR($A86="F&amp;F",$G86=""),"",IF(AE$8&gt;$G86,IF(OR(status1B5!AF86=1,status1B5!AF86=2,'BOULEVARD 5'!AH84&gt;0),"Pagado","impago"),""))</f>
        <v>Pagado</v>
      </c>
      <c r="AF86" s="666" t="str">
        <f>IF(OR($A86="F&amp;F",$G86=""),"",IF(AF$8&gt;$G86,IF(OR(status1B5!AG86=1,status1B5!AG86=2,'BOULEVARD 5'!AI84&gt;0),"Pagado","impago"),""))</f>
        <v>Pagado</v>
      </c>
      <c r="AG86" s="666" t="str">
        <f>IF(OR($A86="F&amp;F",$G86=""),"",IF(AG$8&gt;$G86,IF(OR(status1B5!AH86=1,status1B5!AH86=2,'BOULEVARD 5'!AJ84&gt;0),"Pagado","impago"),""))</f>
        <v>Pagado</v>
      </c>
      <c r="AH86" s="666" t="str">
        <f>IF(OR($A86="F&amp;F",$G86=""),"",IF(AH$8&gt;$G86,IF(OR(status1B5!AI86=1,status1B5!AI86=2,'BOULEVARD 5'!AK84&gt;0),"Pagado","impago"),""))</f>
        <v>Pagado</v>
      </c>
      <c r="AI86" s="666" t="str">
        <f>IF(OR($A86="F&amp;F",$G86=""),"",IF(AI$8&gt;$G86,IF(OR(status1B5!AJ86=1,status1B5!AJ86=2,'BOULEVARD 5'!AL84&gt;0),"Pagado","impago"),""))</f>
        <v>Pagado</v>
      </c>
      <c r="AJ86" s="666" t="str">
        <f>IF(OR($A86="F&amp;F",$G86=""),"",IF(AJ$8&gt;$G86,IF(OR(status1B5!AK86=1,status1B5!AK86=2,'BOULEVARD 5'!AM84&gt;0),"Pagado","impago"),""))</f>
        <v>Pagado</v>
      </c>
      <c r="AK86" s="666" t="str">
        <f>IF(OR($A86="F&amp;F",$G86=""),"",IF(AK$8&gt;$G86,IF(OR(status1B5!AL86=1,status1B5!AL86=2,'BOULEVARD 5'!AN84&gt;0),"Pagado","impago"),""))</f>
        <v>Pagado</v>
      </c>
      <c r="AL86" s="666" t="str">
        <f>IF(OR($A86="F&amp;F",$G86=""),"",IF(AL$8&gt;$G86,IF(OR(status1B5!AM86=1,status1B5!AM86=2,'BOULEVARD 5'!AO84&gt;0),"Pagado","impago"),""))</f>
        <v>Pagado</v>
      </c>
      <c r="AM86" s="666" t="str">
        <f>IF(OR($A86="F&amp;F",$G86=""),"",IF(AM$8&gt;$G86,IF(OR(status1B5!AN86=1,status1B5!AN86=2,'BOULEVARD 5'!AP84&gt;0),"Pagado","impago"),""))</f>
        <v>Pagado</v>
      </c>
      <c r="AN86" s="666" t="str">
        <f>IF(OR($A86="F&amp;F",$G86=""),"",IF(AN$8&gt;$G86,IF(OR(status1B5!AO86=1,status1B5!AO86=2,'BOULEVARD 5'!AQ84&gt;0),"Pagado","impago"),""))</f>
        <v>Pagado</v>
      </c>
      <c r="AO86" s="666" t="str">
        <f>IF(OR($A86="F&amp;F",$G86=""),"",IF(AO$8&gt;$G86,IF(OR(status1B5!AP86=1,status1B5!AP86=2,'BOULEVARD 5'!AS84&gt;0),"Pagado","impago"),""))</f>
        <v>Pagado</v>
      </c>
      <c r="AP86" s="429" t="str">
        <f t="shared" si="6"/>
        <v>Vendido</v>
      </c>
    </row>
    <row r="87" spans="1:42" s="429" customFormat="1" ht="13.9" customHeight="1" x14ac:dyDescent="0.25">
      <c r="A87" s="472"/>
      <c r="B87" s="436">
        <f>'BOULEVARD 5'!B85</f>
        <v>509</v>
      </c>
      <c r="C87" s="436" t="s">
        <v>355</v>
      </c>
      <c r="D87" s="436"/>
      <c r="E87" s="436" t="str">
        <f>IF('BOULEVARD 5'!E85="","",'BOULEVARD 5'!E85)</f>
        <v>Antonio Rada</v>
      </c>
      <c r="F87" s="429" t="str">
        <f>IF('BOULEVARD 5'!F85="","",'BOULEVARD 5'!F85)</f>
        <v>Anabella Alburez Aja</v>
      </c>
      <c r="G87" s="473">
        <f>IF('BOULEVARD 5'!G85="","",'BOULEVARD 5'!G85)</f>
        <v>45473</v>
      </c>
      <c r="H87" s="666" t="str">
        <f>IF(OR($A87="F&amp;F",$G87=""),"",IF(H$8&gt;$G87,IF(OR(status1B5!I87=1,status1B5!I87=2,'BOULEVARD 5'!K85&gt;0),"Pagado","impago"),""))</f>
        <v/>
      </c>
      <c r="I87" s="666" t="str">
        <f>IF(OR($A87="F&amp;F",$G87=""),"",IF(I$8&gt;$G87,IF(OR(status1B5!J87=1,status1B5!J87=2,'BOULEVARD 5'!L85&gt;0),"Pagado","impago"),""))</f>
        <v/>
      </c>
      <c r="J87" s="666" t="str">
        <f>IF(OR($A87="F&amp;F",$G87=""),"",IF(J$8&gt;$G87,IF(OR(status1B5!K87=1,status1B5!K87=2,'BOULEVARD 5'!M85&gt;0),"Pagado","impago"),""))</f>
        <v/>
      </c>
      <c r="K87" s="666" t="str">
        <f>IF(OR($A87="F&amp;F",$G87=""),"",IF(K$8&gt;$G87,IF(OR(status1B5!L87=1,status1B5!L87=2,'BOULEVARD 5'!N85&gt;0),"Pagado","impago"),""))</f>
        <v/>
      </c>
      <c r="L87" s="666" t="str">
        <f>IF(OR($A87="F&amp;F",$G87=""),"",IF(L$8&gt;$G87,IF(OR(status1B5!M87=1,status1B5!M87=2,'BOULEVARD 5'!O85&gt;0),"Pagado","impago"),""))</f>
        <v/>
      </c>
      <c r="M87" s="666" t="str">
        <f>IF(OR($A87="F&amp;F",$G87=""),"",IF(M$8&gt;$G87,IF(OR(status1B5!N87=1,status1B5!N87=2,'BOULEVARD 5'!P85&gt;0),"Pagado","impago"),""))</f>
        <v/>
      </c>
      <c r="N87" s="666" t="str">
        <f>IF(OR($A87="F&amp;F",$G87=""),"",IF(N$8&gt;$G87,IF(OR(status1B5!O87=1,status1B5!O87=2,'BOULEVARD 5'!Q85&gt;0),"Pagado","impago"),""))</f>
        <v/>
      </c>
      <c r="O87" s="666" t="str">
        <f>IF(OR($A87="F&amp;F",$G87=""),"",IF(O$8&gt;$G87,IF(OR(status1B5!P87=1,status1B5!P87=2,'BOULEVARD 5'!R85&gt;0),"Pagado","impago"),""))</f>
        <v/>
      </c>
      <c r="P87" s="666" t="str">
        <f>IF(OR($A87="F&amp;F",$G87=""),"",IF(P$8&gt;$G87,IF(OR(status1B5!Q87=1,status1B5!Q87=2,'BOULEVARD 5'!S85&gt;0),"Pagado","impago"),""))</f>
        <v/>
      </c>
      <c r="Q87" s="666" t="str">
        <f>IF(OR($A87="F&amp;F",$G87=""),"",IF(Q$8&gt;$G87,IF(OR(status1B5!R87=1,status1B5!R87=2,'BOULEVARD 5'!T85&gt;0),"Pagado","impago"),""))</f>
        <v/>
      </c>
      <c r="R87" s="666" t="str">
        <f>IF(OR($A87="F&amp;F",$G87=""),"",IF(R$8&gt;$G87,IF(OR(status1B5!S87=1,status1B5!S87=2,'BOULEVARD 5'!U85&gt;0),"Pagado","impago"),""))</f>
        <v/>
      </c>
      <c r="S87" s="666" t="str">
        <f>IF(OR($A87="F&amp;F",$G87=""),"",IF(S$8&gt;$G87,IF(OR(status1B5!T87=1,status1B5!T87=2,'BOULEVARD 5'!V85&gt;0),"Pagado","impago"),""))</f>
        <v/>
      </c>
      <c r="T87" s="666" t="str">
        <f>IF(OR($A87="F&amp;F",$G87=""),"",IF(T$8&gt;$G87,IF(OR(status1B5!U87=1,status1B5!U87=2,'BOULEVARD 5'!W85&gt;0),"Pagado","impago"),""))</f>
        <v/>
      </c>
      <c r="U87" s="666" t="str">
        <f>IF(OR($A87="F&amp;F",$G87=""),"",IF(U$8&gt;$G87,IF(OR(status1B5!V87=1,status1B5!V87=2,'BOULEVARD 5'!X85&gt;0),"Pagado","impago"),""))</f>
        <v/>
      </c>
      <c r="V87" s="666" t="str">
        <f>IF(OR($A87="F&amp;F",$G87=""),"",IF(V$8&gt;$G87,IF(OR(status1B5!W87=1,status1B5!W87=2,'BOULEVARD 5'!Y85&gt;0),"Pagado","impago"),""))</f>
        <v/>
      </c>
      <c r="W87" s="666" t="str">
        <f>IF(OR($A87="F&amp;F",$G87=""),"",IF(W$8&gt;$G87,IF(OR(status1B5!X87=1,status1B5!X87=2,'BOULEVARD 5'!Z85&gt;0),"Pagado","impago"),""))</f>
        <v/>
      </c>
      <c r="X87" s="666" t="str">
        <f>IF(OR($A87="F&amp;F",$G87=""),"",IF(X$8&gt;$G87,IF(OR(status1B5!Y87=1,status1B5!Y87=2,'BOULEVARD 5'!AA85&gt;0),"Pagado","impago"),""))</f>
        <v>Pagado</v>
      </c>
      <c r="Y87" s="666" t="str">
        <f>IF(OR($A87="F&amp;F",$G87=""),"",IF(Y$8&gt;$G87,IF(OR(status1B5!Z87=1,status1B5!Z87=2,'BOULEVARD 5'!AB85&gt;0),"Pagado","impago"),""))</f>
        <v>Pagado</v>
      </c>
      <c r="Z87" s="666" t="str">
        <f>IF(OR($A87="F&amp;F",$G87=""),"",IF(Z$8&gt;$G87,IF(OR(status1B5!AA87=1,status1B5!AA87=2,'BOULEVARD 5'!AC85&gt;0),"Pagado","impago"),""))</f>
        <v>Pagado</v>
      </c>
      <c r="AA87" s="666" t="str">
        <f>IF(OR($A87="F&amp;F",$G87=""),"",IF(AA$8&gt;$G87,IF(OR(status1B5!AB87=1,status1B5!AB87=2,'BOULEVARD 5'!AD85&gt;0),"Pagado","impago"),""))</f>
        <v>Pagado</v>
      </c>
      <c r="AB87" s="666" t="str">
        <f>IF(OR($A87="F&amp;F",$G87=""),"",IF(AB$8&gt;$G87,IF(OR(status1B5!AC87=1,status1B5!AC87=2,'BOULEVARD 5'!AE85&gt;0),"Pagado","impago"),""))</f>
        <v>Pagado</v>
      </c>
      <c r="AC87" s="666" t="str">
        <f>IF(OR($A87="F&amp;F",$G87=""),"",IF(AC$8&gt;$G87,IF(OR(status1B5!AD87=1,status1B5!AD87=2,'BOULEVARD 5'!AF85&gt;0),"Pagado","impago"),""))</f>
        <v>Pagado</v>
      </c>
      <c r="AD87" s="666" t="str">
        <f>IF(OR($A87="F&amp;F",$G87=""),"",IF(AD$8&gt;$G87,IF(OR(status1B5!AE87=1,status1B5!AE87=2,'BOULEVARD 5'!AG85&gt;0),"Pagado","impago"),""))</f>
        <v>Pagado</v>
      </c>
      <c r="AE87" s="666" t="str">
        <f>IF(OR($A87="F&amp;F",$G87=""),"",IF(AE$8&gt;$G87,IF(OR(status1B5!AF87=1,status1B5!AF87=2,'BOULEVARD 5'!AH85&gt;0),"Pagado","impago"),""))</f>
        <v>Pagado</v>
      </c>
      <c r="AF87" s="666" t="str">
        <f>IF(OR($A87="F&amp;F",$G87=""),"",IF(AF$8&gt;$G87,IF(OR(status1B5!AG87=1,status1B5!AG87=2,'BOULEVARD 5'!AI85&gt;0),"Pagado","impago"),""))</f>
        <v>Pagado</v>
      </c>
      <c r="AG87" s="666" t="str">
        <f>IF(OR($A87="F&amp;F",$G87=""),"",IF(AG$8&gt;$G87,IF(OR(status1B5!AH87=1,status1B5!AH87=2,'BOULEVARD 5'!AJ85&gt;0),"Pagado","impago"),""))</f>
        <v>Pagado</v>
      </c>
      <c r="AH87" s="666" t="str">
        <f>IF(OR($A87="F&amp;F",$G87=""),"",IF(AH$8&gt;$G87,IF(OR(status1B5!AI87=1,status1B5!AI87=2,'BOULEVARD 5'!AK85&gt;0),"Pagado","impago"),""))</f>
        <v>Pagado</v>
      </c>
      <c r="AI87" s="666" t="str">
        <f>IF(OR($A87="F&amp;F",$G87=""),"",IF(AI$8&gt;$G87,IF(OR(status1B5!AJ87=1,status1B5!AJ87=2,'BOULEVARD 5'!AL85&gt;0),"Pagado","impago"),""))</f>
        <v>Pagado</v>
      </c>
      <c r="AJ87" s="666" t="str">
        <f>IF(OR($A87="F&amp;F",$G87=""),"",IF(AJ$8&gt;$G87,IF(OR(status1B5!AK87=1,status1B5!AK87=2,'BOULEVARD 5'!AM85&gt;0),"Pagado","impago"),""))</f>
        <v>Pagado</v>
      </c>
      <c r="AK87" s="666" t="str">
        <f>IF(OR($A87="F&amp;F",$G87=""),"",IF(AK$8&gt;$G87,IF(OR(status1B5!AL87=1,status1B5!AL87=2,'BOULEVARD 5'!AN85&gt;0),"Pagado","impago"),""))</f>
        <v>Pagado</v>
      </c>
      <c r="AL87" s="666" t="str">
        <f>IF(OR($A87="F&amp;F",$G87=""),"",IF(AL$8&gt;$G87,IF(OR(status1B5!AM87=1,status1B5!AM87=2,'BOULEVARD 5'!AO85&gt;0),"Pagado","impago"),""))</f>
        <v>Pagado</v>
      </c>
      <c r="AM87" s="666" t="str">
        <f>IF(OR($A87="F&amp;F",$G87=""),"",IF(AM$8&gt;$G87,IF(OR(status1B5!AN87=1,status1B5!AN87=2,'BOULEVARD 5'!AP85&gt;0),"Pagado","impago"),""))</f>
        <v>Pagado</v>
      </c>
      <c r="AN87" s="666" t="str">
        <f>IF(OR($A87="F&amp;F",$G87=""),"",IF(AN$8&gt;$G87,IF(OR(status1B5!AO87=1,status1B5!AO87=2,'BOULEVARD 5'!AQ85&gt;0),"Pagado","impago"),""))</f>
        <v>Pagado</v>
      </c>
      <c r="AO87" s="666" t="str">
        <f>IF(OR($A87="F&amp;F",$G87=""),"",IF(AO$8&gt;$G87,IF(OR(status1B5!AP87=1,status1B5!AP87=2,'BOULEVARD 5'!AS85&gt;0),"Pagado","impago"),""))</f>
        <v>Pagado</v>
      </c>
      <c r="AP87" s="429" t="str">
        <f t="shared" si="6"/>
        <v>Vendido</v>
      </c>
    </row>
    <row r="88" spans="1:42" s="429" customFormat="1" ht="13.9" customHeight="1" x14ac:dyDescent="0.25">
      <c r="A88" s="472"/>
      <c r="B88" s="436">
        <f>'BOULEVARD 5'!B86</f>
        <v>510</v>
      </c>
      <c r="C88" s="436" t="s">
        <v>355</v>
      </c>
      <c r="D88" s="436"/>
      <c r="E88" s="436" t="str">
        <f>IF('BOULEVARD 5'!E86="","",'BOULEVARD 5'!E86)</f>
        <v>Antonio Rada</v>
      </c>
      <c r="F88" s="429" t="str">
        <f>IF('BOULEVARD 5'!F86="","",'BOULEVARD 5'!F86)</f>
        <v>Francis Ayleen Funes Castellanos</v>
      </c>
      <c r="G88" s="473">
        <f>IF('BOULEVARD 5'!G86="","",'BOULEVARD 5'!G86)</f>
        <v>45352</v>
      </c>
      <c r="H88" s="666" t="str">
        <f>IF(OR($A88="F&amp;F",$G88=""),"",IF(H$8&gt;$G88,IF(OR(status1B5!I88=1,status1B5!I88=2,'BOULEVARD 5'!K86&gt;0),"Pagado","impago"),""))</f>
        <v/>
      </c>
      <c r="I88" s="666" t="str">
        <f>IF(OR($A88="F&amp;F",$G88=""),"",IF(I$8&gt;$G88,IF(OR(status1B5!J88=1,status1B5!J88=2,'BOULEVARD 5'!L86&gt;0),"Pagado","impago"),""))</f>
        <v/>
      </c>
      <c r="J88" s="666" t="str">
        <f>IF(OR($A88="F&amp;F",$G88=""),"",IF(J$8&gt;$G88,IF(OR(status1B5!K88=1,status1B5!K88=2,'BOULEVARD 5'!M86&gt;0),"Pagado","impago"),""))</f>
        <v/>
      </c>
      <c r="K88" s="666" t="str">
        <f>IF(OR($A88="F&amp;F",$G88=""),"",IF(K$8&gt;$G88,IF(OR(status1B5!L88=1,status1B5!L88=2,'BOULEVARD 5'!N86&gt;0),"Pagado","impago"),""))</f>
        <v/>
      </c>
      <c r="L88" s="666" t="str">
        <f>IF(OR($A88="F&amp;F",$G88=""),"",IF(L$8&gt;$G88,IF(OR(status1B5!M88=1,status1B5!M88=2,'BOULEVARD 5'!O86&gt;0),"Pagado","impago"),""))</f>
        <v/>
      </c>
      <c r="M88" s="666" t="str">
        <f>IF(OR($A88="F&amp;F",$G88=""),"",IF(M$8&gt;$G88,IF(OR(status1B5!N88=1,status1B5!N88=2,'BOULEVARD 5'!P86&gt;0),"Pagado","impago"),""))</f>
        <v/>
      </c>
      <c r="N88" s="666" t="str">
        <f>IF(OR($A88="F&amp;F",$G88=""),"",IF(N$8&gt;$G88,IF(OR(status1B5!O88=1,status1B5!O88=2,'BOULEVARD 5'!Q86&gt;0),"Pagado","impago"),""))</f>
        <v/>
      </c>
      <c r="O88" s="666" t="str">
        <f>IF(OR($A88="F&amp;F",$G88=""),"",IF(O$8&gt;$G88,IF(OR(status1B5!P88=1,status1B5!P88=2,'BOULEVARD 5'!R86&gt;0),"Pagado","impago"),""))</f>
        <v/>
      </c>
      <c r="P88" s="666" t="str">
        <f>IF(OR($A88="F&amp;F",$G88=""),"",IF(P$8&gt;$G88,IF(OR(status1B5!Q88=1,status1B5!Q88=2,'BOULEVARD 5'!S86&gt;0),"Pagado","impago"),""))</f>
        <v/>
      </c>
      <c r="Q88" s="666" t="str">
        <f>IF(OR($A88="F&amp;F",$G88=""),"",IF(Q$8&gt;$G88,IF(OR(status1B5!R88=1,status1B5!R88=2,'BOULEVARD 5'!T86&gt;0),"Pagado","impago"),""))</f>
        <v/>
      </c>
      <c r="R88" s="666" t="str">
        <f>IF(OR($A88="F&amp;F",$G88=""),"",IF(R$8&gt;$G88,IF(OR(status1B5!S88=1,status1B5!S88=2,'BOULEVARD 5'!U86&gt;0),"Pagado","impago"),""))</f>
        <v/>
      </c>
      <c r="S88" s="666" t="str">
        <f>IF(OR($A88="F&amp;F",$G88=""),"",IF(S$8&gt;$G88,IF(OR(status1B5!T88=1,status1B5!T88=2,'BOULEVARD 5'!V86&gt;0),"Pagado","impago"),""))</f>
        <v/>
      </c>
      <c r="T88" s="666" t="str">
        <f>IF(OR($A88="F&amp;F",$G88=""),"",IF(T$8&gt;$G88,IF(OR(status1B5!U88=1,status1B5!U88=2,'BOULEVARD 5'!W86&gt;0),"Pagado","impago"),""))</f>
        <v>Pagado</v>
      </c>
      <c r="U88" s="666" t="str">
        <f>IF(OR($A88="F&amp;F",$G88=""),"",IF(U$8&gt;$G88,IF(OR(status1B5!V88=1,status1B5!V88=2,'BOULEVARD 5'!X86&gt;0),"Pagado","impago"),""))</f>
        <v>Pagado</v>
      </c>
      <c r="V88" s="666" t="str">
        <f>IF(OR($A88="F&amp;F",$G88=""),"",IF(V$8&gt;$G88,IF(OR(status1B5!W88=1,status1B5!W88=2,'BOULEVARD 5'!Y86&gt;0),"Pagado","impago"),""))</f>
        <v>Pagado</v>
      </c>
      <c r="W88" s="666" t="str">
        <f>IF(OR($A88="F&amp;F",$G88=""),"",IF(W$8&gt;$G88,IF(OR(status1B5!X88=1,status1B5!X88=2,'BOULEVARD 5'!Z86&gt;0),"Pagado","impago"),""))</f>
        <v>Pagado</v>
      </c>
      <c r="X88" s="666" t="str">
        <f>IF(OR($A88="F&amp;F",$G88=""),"",IF(X$8&gt;$G88,IF(OR(status1B5!Y88=1,status1B5!Y88=2,'BOULEVARD 5'!AA86&gt;0),"Pagado","impago"),""))</f>
        <v>Pagado</v>
      </c>
      <c r="Y88" s="666" t="str">
        <f>IF(OR($A88="F&amp;F",$G88=""),"",IF(Y$8&gt;$G88,IF(OR(status1B5!Z88=1,status1B5!Z88=2,'BOULEVARD 5'!AB86&gt;0),"Pagado","impago"),""))</f>
        <v>Pagado</v>
      </c>
      <c r="Z88" s="666" t="str">
        <f>IF(OR($A88="F&amp;F",$G88=""),"",IF(Z$8&gt;$G88,IF(OR(status1B5!AA88=1,status1B5!AA88=2,'BOULEVARD 5'!AC86&gt;0),"Pagado","impago"),""))</f>
        <v>Pagado</v>
      </c>
      <c r="AA88" s="666" t="str">
        <f>IF(OR($A88="F&amp;F",$G88=""),"",IF(AA$8&gt;$G88,IF(OR(status1B5!AB88=1,status1B5!AB88=2,'BOULEVARD 5'!AD86&gt;0),"Pagado","impago"),""))</f>
        <v>Pagado</v>
      </c>
      <c r="AB88" s="666" t="str">
        <f>IF(OR($A88="F&amp;F",$G88=""),"",IF(AB$8&gt;$G88,IF(OR(status1B5!AC88=1,status1B5!AC88=2,'BOULEVARD 5'!AE86&gt;0),"Pagado","impago"),""))</f>
        <v>Pagado</v>
      </c>
      <c r="AC88" s="666" t="str">
        <f>IF(OR($A88="F&amp;F",$G88=""),"",IF(AC$8&gt;$G88,IF(OR(status1B5!AD88=1,status1B5!AD88=2,'BOULEVARD 5'!AF86&gt;0),"Pagado","impago"),""))</f>
        <v>Pagado</v>
      </c>
      <c r="AD88" s="666" t="str">
        <f>IF(OR($A88="F&amp;F",$G88=""),"",IF(AD$8&gt;$G88,IF(OR(status1B5!AE88=1,status1B5!AE88=2,'BOULEVARD 5'!AG86&gt;0),"Pagado","impago"),""))</f>
        <v>Pagado</v>
      </c>
      <c r="AE88" s="666" t="str">
        <f>IF(OR($A88="F&amp;F",$G88=""),"",IF(AE$8&gt;$G88,IF(OR(status1B5!AF88=1,status1B5!AF88=2,'BOULEVARD 5'!AH86&gt;0),"Pagado","impago"),""))</f>
        <v>Pagado</v>
      </c>
      <c r="AF88" s="666" t="str">
        <f>IF(OR($A88="F&amp;F",$G88=""),"",IF(AF$8&gt;$G88,IF(OR(status1B5!AG88=1,status1B5!AG88=2,'BOULEVARD 5'!AI86&gt;0),"Pagado","impago"),""))</f>
        <v>Pagado</v>
      </c>
      <c r="AG88" s="666" t="str">
        <f>IF(OR($A88="F&amp;F",$G88=""),"",IF(AG$8&gt;$G88,IF(OR(status1B5!AH88=1,status1B5!AH88=2,'BOULEVARD 5'!AJ86&gt;0),"Pagado","impago"),""))</f>
        <v>Pagado</v>
      </c>
      <c r="AH88" s="666" t="str">
        <f>IF(OR($A88="F&amp;F",$G88=""),"",IF(AH$8&gt;$G88,IF(OR(status1B5!AI88=1,status1B5!AI88=2,'BOULEVARD 5'!AK86&gt;0),"Pagado","impago"),""))</f>
        <v>Pagado</v>
      </c>
      <c r="AI88" s="666" t="str">
        <f>IF(OR($A88="F&amp;F",$G88=""),"",IF(AI$8&gt;$G88,IF(OR(status1B5!AJ88=1,status1B5!AJ88=2,'BOULEVARD 5'!AL86&gt;0),"Pagado","impago"),""))</f>
        <v>Pagado</v>
      </c>
      <c r="AJ88" s="666" t="str">
        <f>IF(OR($A88="F&amp;F",$G88=""),"",IF(AJ$8&gt;$G88,IF(OR(status1B5!AK88=1,status1B5!AK88=2,'BOULEVARD 5'!AM86&gt;0),"Pagado","impago"),""))</f>
        <v>Pagado</v>
      </c>
      <c r="AK88" s="666" t="str">
        <f>IF(OR($A88="F&amp;F",$G88=""),"",IF(AK$8&gt;$G88,IF(OR(status1B5!AL88=1,status1B5!AL88=2,'BOULEVARD 5'!AN86&gt;0),"Pagado","impago"),""))</f>
        <v>Pagado</v>
      </c>
      <c r="AL88" s="666" t="str">
        <f>IF(OR($A88="F&amp;F",$G88=""),"",IF(AL$8&gt;$G88,IF(OR(status1B5!AM88=1,status1B5!AM88=2,'BOULEVARD 5'!AO86&gt;0),"Pagado","impago"),""))</f>
        <v>Pagado</v>
      </c>
      <c r="AM88" s="666" t="str">
        <f>IF(OR($A88="F&amp;F",$G88=""),"",IF(AM$8&gt;$G88,IF(OR(status1B5!AN88=1,status1B5!AN88=2,'BOULEVARD 5'!AP86&gt;0),"Pagado","impago"),""))</f>
        <v>Pagado</v>
      </c>
      <c r="AN88" s="666" t="str">
        <f>IF(OR($A88="F&amp;F",$G88=""),"",IF(AN$8&gt;$G88,IF(OR(status1B5!AO88=1,status1B5!AO88=2,'BOULEVARD 5'!AQ86&gt;0),"Pagado","impago"),""))</f>
        <v>Pagado</v>
      </c>
      <c r="AO88" s="666" t="str">
        <f>IF(OR($A88="F&amp;F",$G88=""),"",IF(AO$8&gt;$G88,IF(OR(status1B5!AP88=1,status1B5!AP88=2,'BOULEVARD 5'!AS86&gt;0),"Pagado","impago"),""))</f>
        <v>Pagado</v>
      </c>
      <c r="AP88" s="429" t="str">
        <f t="shared" si="6"/>
        <v>Vendido</v>
      </c>
    </row>
    <row r="89" spans="1:42" s="429" customFormat="1" ht="13.9" customHeight="1" x14ac:dyDescent="0.25">
      <c r="A89" s="472"/>
      <c r="B89" s="436">
        <f>'BOULEVARD 5'!B87</f>
        <v>511</v>
      </c>
      <c r="C89" s="436" t="s">
        <v>355</v>
      </c>
      <c r="D89" s="436"/>
      <c r="E89" s="436" t="str">
        <f>IF('BOULEVARD 5'!E87="","",'BOULEVARD 5'!E87)</f>
        <v>Antonio Rada</v>
      </c>
      <c r="F89" s="429" t="str">
        <f>IF('BOULEVARD 5'!F87="","",'BOULEVARD 5'!F87)</f>
        <v>Hugo Leonel Roca Morales</v>
      </c>
      <c r="G89" s="473">
        <f>IF('BOULEVARD 5'!G87="","",'BOULEVARD 5'!G87)</f>
        <v>45470</v>
      </c>
      <c r="H89" s="666" t="str">
        <f>IF(OR($A89="F&amp;F",$G89=""),"",IF(H$8&gt;$G89,IF(OR(status1B5!I89=1,status1B5!I89=2,'BOULEVARD 5'!K87&gt;0),"Pagado","impago"),""))</f>
        <v/>
      </c>
      <c r="I89" s="666" t="str">
        <f>IF(OR($A89="F&amp;F",$G89=""),"",IF(I$8&gt;$G89,IF(OR(status1B5!J89=1,status1B5!J89=2,'BOULEVARD 5'!L87&gt;0),"Pagado","impago"),""))</f>
        <v/>
      </c>
      <c r="J89" s="666" t="str">
        <f>IF(OR($A89="F&amp;F",$G89=""),"",IF(J$8&gt;$G89,IF(OR(status1B5!K89=1,status1B5!K89=2,'BOULEVARD 5'!M87&gt;0),"Pagado","impago"),""))</f>
        <v/>
      </c>
      <c r="K89" s="666" t="str">
        <f>IF(OR($A89="F&amp;F",$G89=""),"",IF(K$8&gt;$G89,IF(OR(status1B5!L89=1,status1B5!L89=2,'BOULEVARD 5'!N87&gt;0),"Pagado","impago"),""))</f>
        <v/>
      </c>
      <c r="L89" s="666" t="str">
        <f>IF(OR($A89="F&amp;F",$G89=""),"",IF(L$8&gt;$G89,IF(OR(status1B5!M89=1,status1B5!M89=2,'BOULEVARD 5'!O87&gt;0),"Pagado","impago"),""))</f>
        <v/>
      </c>
      <c r="M89" s="666" t="str">
        <f>IF(OR($A89="F&amp;F",$G89=""),"",IF(M$8&gt;$G89,IF(OR(status1B5!N89=1,status1B5!N89=2,'BOULEVARD 5'!P87&gt;0),"Pagado","impago"),""))</f>
        <v/>
      </c>
      <c r="N89" s="666" t="str">
        <f>IF(OR($A89="F&amp;F",$G89=""),"",IF(N$8&gt;$G89,IF(OR(status1B5!O89=1,status1B5!O89=2,'BOULEVARD 5'!Q87&gt;0),"Pagado","impago"),""))</f>
        <v/>
      </c>
      <c r="O89" s="666" t="str">
        <f>IF(OR($A89="F&amp;F",$G89=""),"",IF(O$8&gt;$G89,IF(OR(status1B5!P89=1,status1B5!P89=2,'BOULEVARD 5'!R87&gt;0),"Pagado","impago"),""))</f>
        <v/>
      </c>
      <c r="P89" s="666" t="str">
        <f>IF(OR($A89="F&amp;F",$G89=""),"",IF(P$8&gt;$G89,IF(OR(status1B5!Q89=1,status1B5!Q89=2,'BOULEVARD 5'!S87&gt;0),"Pagado","impago"),""))</f>
        <v/>
      </c>
      <c r="Q89" s="666" t="str">
        <f>IF(OR($A89="F&amp;F",$G89=""),"",IF(Q$8&gt;$G89,IF(OR(status1B5!R89=1,status1B5!R89=2,'BOULEVARD 5'!T87&gt;0),"Pagado","impago"),""))</f>
        <v/>
      </c>
      <c r="R89" s="666" t="str">
        <f>IF(OR($A89="F&amp;F",$G89=""),"",IF(R$8&gt;$G89,IF(OR(status1B5!S89=1,status1B5!S89=2,'BOULEVARD 5'!U87&gt;0),"Pagado","impago"),""))</f>
        <v/>
      </c>
      <c r="S89" s="666" t="str">
        <f>IF(OR($A89="F&amp;F",$G89=""),"",IF(S$8&gt;$G89,IF(OR(status1B5!T89=1,status1B5!T89=2,'BOULEVARD 5'!V87&gt;0),"Pagado","impago"),""))</f>
        <v/>
      </c>
      <c r="T89" s="666" t="str">
        <f>IF(OR($A89="F&amp;F",$G89=""),"",IF(T$8&gt;$G89,IF(OR(status1B5!U89=1,status1B5!U89=2,'BOULEVARD 5'!W87&gt;0),"Pagado","impago"),""))</f>
        <v/>
      </c>
      <c r="U89" s="666" t="str">
        <f>IF(OR($A89="F&amp;F",$G89=""),"",IF(U$8&gt;$G89,IF(OR(status1B5!V89=1,status1B5!V89=2,'BOULEVARD 5'!X87&gt;0),"Pagado","impago"),""))</f>
        <v/>
      </c>
      <c r="V89" s="666" t="str">
        <f>IF(OR($A89="F&amp;F",$G89=""),"",IF(V$8&gt;$G89,IF(OR(status1B5!W89=1,status1B5!W89=2,'BOULEVARD 5'!Y87&gt;0),"Pagado","impago"),""))</f>
        <v/>
      </c>
      <c r="W89" s="666" t="str">
        <f>IF(OR($A89="F&amp;F",$G89=""),"",IF(W$8&gt;$G89,IF(OR(status1B5!X89=1,status1B5!X89=2,'BOULEVARD 5'!Z87&gt;0),"Pagado","impago"),""))</f>
        <v>Pagado</v>
      </c>
      <c r="X89" s="666" t="str">
        <f>IF(OR($A89="F&amp;F",$G89=""),"",IF(X$8&gt;$G89,IF(OR(status1B5!Y89=1,status1B5!Y89=2,'BOULEVARD 5'!AA87&gt;0),"Pagado","impago"),""))</f>
        <v>Pagado</v>
      </c>
      <c r="Y89" s="666" t="str">
        <f>IF(OR($A89="F&amp;F",$G89=""),"",IF(Y$8&gt;$G89,IF(OR(status1B5!Z89=1,status1B5!Z89=2,'BOULEVARD 5'!AB87&gt;0),"Pagado","impago"),""))</f>
        <v>Pagado</v>
      </c>
      <c r="Z89" s="666" t="str">
        <f>IF(OR($A89="F&amp;F",$G89=""),"",IF(Z$8&gt;$G89,IF(OR(status1B5!AA89=1,status1B5!AA89=2,'BOULEVARD 5'!AC87&gt;0),"Pagado","impago"),""))</f>
        <v>Pagado</v>
      </c>
      <c r="AA89" s="666" t="str">
        <f>IF(OR($A89="F&amp;F",$G89=""),"",IF(AA$8&gt;$G89,IF(OR(status1B5!AB89=1,status1B5!AB89=2,'BOULEVARD 5'!AD87&gt;0),"Pagado","impago"),""))</f>
        <v>Pagado</v>
      </c>
      <c r="AB89" s="666" t="str">
        <f>IF(OR($A89="F&amp;F",$G89=""),"",IF(AB$8&gt;$G89,IF(OR(status1B5!AC89=1,status1B5!AC89=2,'BOULEVARD 5'!AE87&gt;0),"Pagado","impago"),""))</f>
        <v>Pagado</v>
      </c>
      <c r="AC89" s="666" t="str">
        <f>IF(OR($A89="F&amp;F",$G89=""),"",IF(AC$8&gt;$G89,IF(OR(status1B5!AD89=1,status1B5!AD89=2,'BOULEVARD 5'!AF87&gt;0),"Pagado","impago"),""))</f>
        <v>Pagado</v>
      </c>
      <c r="AD89" s="666" t="str">
        <f>IF(OR($A89="F&amp;F",$G89=""),"",IF(AD$8&gt;$G89,IF(OR(status1B5!AE89=1,status1B5!AE89=2,'BOULEVARD 5'!AG87&gt;0),"Pagado","impago"),""))</f>
        <v>Pagado</v>
      </c>
      <c r="AE89" s="666" t="str">
        <f>IF(OR($A89="F&amp;F",$G89=""),"",IF(AE$8&gt;$G89,IF(OR(status1B5!AF89=1,status1B5!AF89=2,'BOULEVARD 5'!AH87&gt;0),"Pagado","impago"),""))</f>
        <v>Pagado</v>
      </c>
      <c r="AF89" s="666" t="str">
        <f>IF(OR($A89="F&amp;F",$G89=""),"",IF(AF$8&gt;$G89,IF(OR(status1B5!AG89=1,status1B5!AG89=2,'BOULEVARD 5'!AI87&gt;0),"Pagado","impago"),""))</f>
        <v>Pagado</v>
      </c>
      <c r="AG89" s="666" t="str">
        <f>IF(OR($A89="F&amp;F",$G89=""),"",IF(AG$8&gt;$G89,IF(OR(status1B5!AH89=1,status1B5!AH89=2,'BOULEVARD 5'!AJ87&gt;0),"Pagado","impago"),""))</f>
        <v>Pagado</v>
      </c>
      <c r="AH89" s="666" t="str">
        <f>IF(OR($A89="F&amp;F",$G89=""),"",IF(AH$8&gt;$G89,IF(OR(status1B5!AI89=1,status1B5!AI89=2,'BOULEVARD 5'!AK87&gt;0),"Pagado","impago"),""))</f>
        <v>Pagado</v>
      </c>
      <c r="AI89" s="666" t="str">
        <f>IF(OR($A89="F&amp;F",$G89=""),"",IF(AI$8&gt;$G89,IF(OR(status1B5!AJ89=1,status1B5!AJ89=2,'BOULEVARD 5'!AL87&gt;0),"Pagado","impago"),""))</f>
        <v>Pagado</v>
      </c>
      <c r="AJ89" s="666" t="str">
        <f>IF(OR($A89="F&amp;F",$G89=""),"",IF(AJ$8&gt;$G89,IF(OR(status1B5!AK89=1,status1B5!AK89=2,'BOULEVARD 5'!AM87&gt;0),"Pagado","impago"),""))</f>
        <v>Pagado</v>
      </c>
      <c r="AK89" s="666" t="str">
        <f>IF(OR($A89="F&amp;F",$G89=""),"",IF(AK$8&gt;$G89,IF(OR(status1B5!AL89=1,status1B5!AL89=2,'BOULEVARD 5'!AN87&gt;0),"Pagado","impago"),""))</f>
        <v>Pagado</v>
      </c>
      <c r="AL89" s="666" t="str">
        <f>IF(OR($A89="F&amp;F",$G89=""),"",IF(AL$8&gt;$G89,IF(OR(status1B5!AM89=1,status1B5!AM89=2,'BOULEVARD 5'!AO87&gt;0),"Pagado","impago"),""))</f>
        <v>Pagado</v>
      </c>
      <c r="AM89" s="666" t="str">
        <f>IF(OR($A89="F&amp;F",$G89=""),"",IF(AM$8&gt;$G89,IF(OR(status1B5!AN89=1,status1B5!AN89=2,'BOULEVARD 5'!AP87&gt;0),"Pagado","impago"),""))</f>
        <v>Pagado</v>
      </c>
      <c r="AN89" s="666" t="str">
        <f>IF(OR($A89="F&amp;F",$G89=""),"",IF(AN$8&gt;$G89,IF(OR(status1B5!AO89=1,status1B5!AO89=2,'BOULEVARD 5'!AQ87&gt;0),"Pagado","impago"),""))</f>
        <v>Pagado</v>
      </c>
      <c r="AO89" s="666" t="str">
        <f>IF(OR($A89="F&amp;F",$G89=""),"",IF(AO$8&gt;$G89,IF(OR(status1B5!AP89=1,status1B5!AP89=2,'BOULEVARD 5'!AS87&gt;0),"Pagado","impago"),""))</f>
        <v>Pagado</v>
      </c>
      <c r="AP89" s="429" t="str">
        <f t="shared" si="6"/>
        <v>Vendido</v>
      </c>
    </row>
    <row r="90" spans="1:42" s="429" customFormat="1" ht="13.9" customHeight="1" x14ac:dyDescent="0.25">
      <c r="A90" s="472"/>
      <c r="B90" s="436">
        <f>'BOULEVARD 5'!B88</f>
        <v>512</v>
      </c>
      <c r="C90" s="436" t="s">
        <v>355</v>
      </c>
      <c r="D90" s="436"/>
      <c r="E90" s="436" t="str">
        <f>IF('BOULEVARD 5'!E88="","",'BOULEVARD 5'!E88)</f>
        <v>Antonio Rada</v>
      </c>
      <c r="F90" s="429" t="str">
        <f>IF('BOULEVARD 5'!F88="","",'BOULEVARD 5'!F88)</f>
        <v>Oscar Antonio Gonzalez Hurtarte</v>
      </c>
      <c r="G90" s="473">
        <f>IF('BOULEVARD 5'!G88="","",'BOULEVARD 5'!G88)</f>
        <v>45125</v>
      </c>
      <c r="H90" s="666" t="str">
        <f>IF(OR($A90="F&amp;F",$G90=""),"",IF(H$8&gt;$G90,IF(OR(status1B5!I90=1,status1B5!I90=2,'BOULEVARD 5'!K88&gt;0),"Pagado","impago"),""))</f>
        <v/>
      </c>
      <c r="I90" s="666" t="str">
        <f>IF(OR($A90="F&amp;F",$G90=""),"",IF(I$8&gt;$G90,IF(OR(status1B5!J90=1,status1B5!J90=2,'BOULEVARD 5'!L88&gt;0),"Pagado","impago"),""))</f>
        <v/>
      </c>
      <c r="J90" s="666" t="str">
        <f>IF(OR($A90="F&amp;F",$G90=""),"",IF(J$8&gt;$G90,IF(OR(status1B5!K90=1,status1B5!K90=2,'BOULEVARD 5'!M88&gt;0),"Pagado","impago"),""))</f>
        <v/>
      </c>
      <c r="K90" s="666" t="str">
        <f>IF(OR($A90="F&amp;F",$G90=""),"",IF(K$8&gt;$G90,IF(OR(status1B5!L90=1,status1B5!L90=2,'BOULEVARD 5'!N88&gt;0),"Pagado","impago"),""))</f>
        <v/>
      </c>
      <c r="L90" s="666" t="str">
        <f>IF(OR($A90="F&amp;F",$G90=""),"",IF(L$8&gt;$G90,IF(OR(status1B5!M90=1,status1B5!M90=2,'BOULEVARD 5'!O88&gt;0),"Pagado","impago"),""))</f>
        <v>Pagado</v>
      </c>
      <c r="M90" s="666" t="str">
        <f>IF(OR($A90="F&amp;F",$G90=""),"",IF(M$8&gt;$G90,IF(OR(status1B5!N90=1,status1B5!N90=2,'BOULEVARD 5'!P88&gt;0),"Pagado","impago"),""))</f>
        <v>Pagado</v>
      </c>
      <c r="N90" s="666" t="str">
        <f>IF(OR($A90="F&amp;F",$G90=""),"",IF(N$8&gt;$G90,IF(OR(status1B5!O90=1,status1B5!O90=2,'BOULEVARD 5'!Q88&gt;0),"Pagado","impago"),""))</f>
        <v>Pagado</v>
      </c>
      <c r="O90" s="666" t="str">
        <f>IF(OR($A90="F&amp;F",$G90=""),"",IF(O$8&gt;$G90,IF(OR(status1B5!P90=1,status1B5!P90=2,'BOULEVARD 5'!R88&gt;0),"Pagado","impago"),""))</f>
        <v>Pagado</v>
      </c>
      <c r="P90" s="666" t="str">
        <f>IF(OR($A90="F&amp;F",$G90=""),"",IF(P$8&gt;$G90,IF(OR(status1B5!Q90=1,status1B5!Q90=2,'BOULEVARD 5'!S88&gt;0),"Pagado","impago"),""))</f>
        <v>Pagado</v>
      </c>
      <c r="Q90" s="666" t="str">
        <f>IF(OR($A90="F&amp;F",$G90=""),"",IF(Q$8&gt;$G90,IF(OR(status1B5!R90=1,status1B5!R90=2,'BOULEVARD 5'!T88&gt;0),"Pagado","impago"),""))</f>
        <v>Pagado</v>
      </c>
      <c r="R90" s="666" t="str">
        <f>IF(OR($A90="F&amp;F",$G90=""),"",IF(R$8&gt;$G90,IF(OR(status1B5!S90=1,status1B5!S90=2,'BOULEVARD 5'!U88&gt;0),"Pagado","impago"),""))</f>
        <v>Pagado</v>
      </c>
      <c r="S90" s="666" t="str">
        <f>IF(OR($A90="F&amp;F",$G90=""),"",IF(S$8&gt;$G90,IF(OR(status1B5!T90=1,status1B5!T90=2,'BOULEVARD 5'!V88&gt;0),"Pagado","impago"),""))</f>
        <v>Pagado</v>
      </c>
      <c r="T90" s="666" t="str">
        <f>IF(OR($A90="F&amp;F",$G90=""),"",IF(T$8&gt;$G90,IF(OR(status1B5!U90=1,status1B5!U90=2,'BOULEVARD 5'!W88&gt;0),"Pagado","impago"),""))</f>
        <v>Pagado</v>
      </c>
      <c r="U90" s="666" t="str">
        <f>IF(OR($A90="F&amp;F",$G90=""),"",IF(U$8&gt;$G90,IF(OR(status1B5!V90=1,status1B5!V90=2,'BOULEVARD 5'!X88&gt;0),"Pagado","impago"),""))</f>
        <v>Pagado</v>
      </c>
      <c r="V90" s="666" t="str">
        <f>IF(OR($A90="F&amp;F",$G90=""),"",IF(V$8&gt;$G90,IF(OR(status1B5!W90=1,status1B5!W90=2,'BOULEVARD 5'!Y88&gt;0),"Pagado","impago"),""))</f>
        <v>Pagado</v>
      </c>
      <c r="W90" s="666" t="str">
        <f>IF(OR($A90="F&amp;F",$G90=""),"",IF(W$8&gt;$G90,IF(OR(status1B5!X90=1,status1B5!X90=2,'BOULEVARD 5'!Z88&gt;0),"Pagado","impago"),""))</f>
        <v>Pagado</v>
      </c>
      <c r="X90" s="666" t="str">
        <f>IF(OR($A90="F&amp;F",$G90=""),"",IF(X$8&gt;$G90,IF(OR(status1B5!Y90=1,status1B5!Y90=2,'BOULEVARD 5'!AA88&gt;0),"Pagado","impago"),""))</f>
        <v>Pagado</v>
      </c>
      <c r="Y90" s="666" t="str">
        <f>IF(OR($A90="F&amp;F",$G90=""),"",IF(Y$8&gt;$G90,IF(OR(status1B5!Z90=1,status1B5!Z90=2,'BOULEVARD 5'!AB88&gt;0),"Pagado","impago"),""))</f>
        <v>Pagado</v>
      </c>
      <c r="Z90" s="666" t="str">
        <f>IF(OR($A90="F&amp;F",$G90=""),"",IF(Z$8&gt;$G90,IF(OR(status1B5!AA90=1,status1B5!AA90=2,'BOULEVARD 5'!AC88&gt;0),"Pagado","impago"),""))</f>
        <v>Pagado</v>
      </c>
      <c r="AA90" s="666" t="str">
        <f>IF(OR($A90="F&amp;F",$G90=""),"",IF(AA$8&gt;$G90,IF(OR(status1B5!AB90=1,status1B5!AB90=2,'BOULEVARD 5'!AD88&gt;0),"Pagado","impago"),""))</f>
        <v>Pagado</v>
      </c>
      <c r="AB90" s="666" t="str">
        <f>IF(OR($A90="F&amp;F",$G90=""),"",IF(AB$8&gt;$G90,IF(OR(status1B5!AC90=1,status1B5!AC90=2,'BOULEVARD 5'!AE88&gt;0),"Pagado","impago"),""))</f>
        <v>Pagado</v>
      </c>
      <c r="AC90" s="666" t="str">
        <f>IF(OR($A90="F&amp;F",$G90=""),"",IF(AC$8&gt;$G90,IF(OR(status1B5!AD90=1,status1B5!AD90=2,'BOULEVARD 5'!AF88&gt;0),"Pagado","impago"),""))</f>
        <v>Pagado</v>
      </c>
      <c r="AD90" s="666" t="str">
        <f>IF(OR($A90="F&amp;F",$G90=""),"",IF(AD$8&gt;$G90,IF(OR(status1B5!AE90=1,status1B5!AE90=2,'BOULEVARD 5'!AG88&gt;0),"Pagado","impago"),""))</f>
        <v>Pagado</v>
      </c>
      <c r="AE90" s="666" t="str">
        <f>IF(OR($A90="F&amp;F",$G90=""),"",IF(AE$8&gt;$G90,IF(OR(status1B5!AF90=1,status1B5!AF90=2,'BOULEVARD 5'!AH88&gt;0),"Pagado","impago"),""))</f>
        <v>Pagado</v>
      </c>
      <c r="AF90" s="666" t="str">
        <f>IF(OR($A90="F&amp;F",$G90=""),"",IF(AF$8&gt;$G90,IF(OR(status1B5!AG90=1,status1B5!AG90=2,'BOULEVARD 5'!AI88&gt;0),"Pagado","impago"),""))</f>
        <v>Pagado</v>
      </c>
      <c r="AG90" s="666" t="str">
        <f>IF(OR($A90="F&amp;F",$G90=""),"",IF(AG$8&gt;$G90,IF(OR(status1B5!AH90=1,status1B5!AH90=2,'BOULEVARD 5'!AJ88&gt;0),"Pagado","impago"),""))</f>
        <v>Pagado</v>
      </c>
      <c r="AH90" s="666" t="str">
        <f>IF(OR($A90="F&amp;F",$G90=""),"",IF(AH$8&gt;$G90,IF(OR(status1B5!AI90=1,status1B5!AI90=2,'BOULEVARD 5'!AK88&gt;0),"Pagado","impago"),""))</f>
        <v>Pagado</v>
      </c>
      <c r="AI90" s="666" t="str">
        <f>IF(OR($A90="F&amp;F",$G90=""),"",IF(AI$8&gt;$G90,IF(OR(status1B5!AJ90=1,status1B5!AJ90=2,'BOULEVARD 5'!AL88&gt;0),"Pagado","impago"),""))</f>
        <v>Pagado</v>
      </c>
      <c r="AJ90" s="666" t="str">
        <f>IF(OR($A90="F&amp;F",$G90=""),"",IF(AJ$8&gt;$G90,IF(OR(status1B5!AK90=1,status1B5!AK90=2,'BOULEVARD 5'!AM88&gt;0),"Pagado","impago"),""))</f>
        <v>Pagado</v>
      </c>
      <c r="AK90" s="666" t="str">
        <f>IF(OR($A90="F&amp;F",$G90=""),"",IF(AK$8&gt;$G90,IF(OR(status1B5!AL90=1,status1B5!AL90=2,'BOULEVARD 5'!AN88&gt;0),"Pagado","impago"),""))</f>
        <v>Pagado</v>
      </c>
      <c r="AL90" s="666" t="str">
        <f>IF(OR($A90="F&amp;F",$G90=""),"",IF(AL$8&gt;$G90,IF(OR(status1B5!AM90=1,status1B5!AM90=2,'BOULEVARD 5'!AO88&gt;0),"Pagado","impago"),""))</f>
        <v>Pagado</v>
      </c>
      <c r="AM90" s="666" t="str">
        <f>IF(OR($A90="F&amp;F",$G90=""),"",IF(AM$8&gt;$G90,IF(OR(status1B5!AN90=1,status1B5!AN90=2,'BOULEVARD 5'!AP88&gt;0),"Pagado","impago"),""))</f>
        <v>Pagado</v>
      </c>
      <c r="AN90" s="666" t="str">
        <f>IF(OR($A90="F&amp;F",$G90=""),"",IF(AN$8&gt;$G90,IF(OR(status1B5!AO90=1,status1B5!AO90=2,'BOULEVARD 5'!AQ88&gt;0),"Pagado","impago"),""))</f>
        <v>Pagado</v>
      </c>
      <c r="AO90" s="666" t="str">
        <f>IF(OR($A90="F&amp;F",$G90=""),"",IF(AO$8&gt;$G90,IF(OR(status1B5!AP90=1,status1B5!AP90=2,'BOULEVARD 5'!AS88&gt;0),"Pagado","impago"),""))</f>
        <v>Pagado</v>
      </c>
      <c r="AP90" s="429" t="str">
        <f t="shared" si="6"/>
        <v>Vendido</v>
      </c>
    </row>
    <row r="91" spans="1:42" s="429" customFormat="1" ht="13.9" customHeight="1" x14ac:dyDescent="0.25">
      <c r="A91" s="472"/>
      <c r="B91" s="436">
        <f>'BOULEVARD 5'!B89</f>
        <v>513</v>
      </c>
      <c r="C91" s="436" t="s">
        <v>355</v>
      </c>
      <c r="D91" s="436"/>
      <c r="E91" s="436" t="str">
        <f>IF('BOULEVARD 5'!E89="","",'BOULEVARD 5'!E89)</f>
        <v>Antonio Rada</v>
      </c>
      <c r="F91" s="429" t="str">
        <f>IF('BOULEVARD 5'!F89="","",'BOULEVARD 5'!F89)</f>
        <v>Maria Fernanda Cabrera Valdez</v>
      </c>
      <c r="G91" s="473">
        <f>IF('BOULEVARD 5'!G89="","",'BOULEVARD 5'!G89)</f>
        <v>45123</v>
      </c>
      <c r="H91" s="666" t="str">
        <f>IF(OR($A91="F&amp;F",$G91=""),"",IF(H$8&gt;$G91,IF(OR(status1B5!I91=1,status1B5!I91=2,'BOULEVARD 5'!K89&gt;0),"Pagado","impago"),""))</f>
        <v/>
      </c>
      <c r="I91" s="666" t="str">
        <f>IF(OR($A91="F&amp;F",$G91=""),"",IF(I$8&gt;$G91,IF(OR(status1B5!J91=1,status1B5!J91=2,'BOULEVARD 5'!L89&gt;0),"Pagado","impago"),""))</f>
        <v/>
      </c>
      <c r="J91" s="666" t="str">
        <f>IF(OR($A91="F&amp;F",$G91=""),"",IF(J$8&gt;$G91,IF(OR(status1B5!K91=1,status1B5!K91=2,'BOULEVARD 5'!M89&gt;0),"Pagado","impago"),""))</f>
        <v/>
      </c>
      <c r="K91" s="666" t="str">
        <f>IF(OR($A91="F&amp;F",$G91=""),"",IF(K$8&gt;$G91,IF(OR(status1B5!L91=1,status1B5!L91=2,'BOULEVARD 5'!N89&gt;0),"Pagado","impago"),""))</f>
        <v/>
      </c>
      <c r="L91" s="666" t="str">
        <f>IF(OR($A91="F&amp;F",$G91=""),"",IF(L$8&gt;$G91,IF(OR(status1B5!M91=1,status1B5!M91=2,'BOULEVARD 5'!O89&gt;0),"Pagado","impago"),""))</f>
        <v>Pagado</v>
      </c>
      <c r="M91" s="666" t="str">
        <f>IF(OR($A91="F&amp;F",$G91=""),"",IF(M$8&gt;$G91,IF(OR(status1B5!N91=1,status1B5!N91=2,'BOULEVARD 5'!P89&gt;0),"Pagado","impago"),""))</f>
        <v>Pagado</v>
      </c>
      <c r="N91" s="666" t="str">
        <f>IF(OR($A91="F&amp;F",$G91=""),"",IF(N$8&gt;$G91,IF(OR(status1B5!O91=1,status1B5!O91=2,'BOULEVARD 5'!Q89&gt;0),"Pagado","impago"),""))</f>
        <v>Pagado</v>
      </c>
      <c r="O91" s="666" t="str">
        <f>IF(OR($A91="F&amp;F",$G91=""),"",IF(O$8&gt;$G91,IF(OR(status1B5!P91=1,status1B5!P91=2,'BOULEVARD 5'!R89&gt;0),"Pagado","impago"),""))</f>
        <v>Pagado</v>
      </c>
      <c r="P91" s="666" t="str">
        <f>IF(OR($A91="F&amp;F",$G91=""),"",IF(P$8&gt;$G91,IF(OR(status1B5!Q91=1,status1B5!Q91=2,'BOULEVARD 5'!S89&gt;0),"Pagado","impago"),""))</f>
        <v>Pagado</v>
      </c>
      <c r="Q91" s="666" t="str">
        <f>IF(OR($A91="F&amp;F",$G91=""),"",IF(Q$8&gt;$G91,IF(OR(status1B5!R91=1,status1B5!R91=2,'BOULEVARD 5'!T89&gt;0),"Pagado","impago"),""))</f>
        <v>Pagado</v>
      </c>
      <c r="R91" s="666" t="str">
        <f>IF(OR($A91="F&amp;F",$G91=""),"",IF(R$8&gt;$G91,IF(OR(status1B5!S91=1,status1B5!S91=2,'BOULEVARD 5'!U89&gt;0),"Pagado","impago"),""))</f>
        <v>Pagado</v>
      </c>
      <c r="S91" s="666" t="str">
        <f>IF(OR($A91="F&amp;F",$G91=""),"",IF(S$8&gt;$G91,IF(OR(status1B5!T91=1,status1B5!T91=2,'BOULEVARD 5'!V89&gt;0),"Pagado","impago"),""))</f>
        <v>Pagado</v>
      </c>
      <c r="T91" s="666" t="str">
        <f>IF(OR($A91="F&amp;F",$G91=""),"",IF(T$8&gt;$G91,IF(OR(status1B5!U91=1,status1B5!U91=2,'BOULEVARD 5'!W89&gt;0),"Pagado","impago"),""))</f>
        <v>Pagado</v>
      </c>
      <c r="U91" s="666" t="str">
        <f>IF(OR($A91="F&amp;F",$G91=""),"",IF(U$8&gt;$G91,IF(OR(status1B5!V91=1,status1B5!V91=2,'BOULEVARD 5'!X89&gt;0),"Pagado","impago"),""))</f>
        <v>Pagado</v>
      </c>
      <c r="V91" s="666" t="str">
        <f>IF(OR($A91="F&amp;F",$G91=""),"",IF(V$8&gt;$G91,IF(OR(status1B5!W91=1,status1B5!W91=2,'BOULEVARD 5'!Y89&gt;0),"Pagado","impago"),""))</f>
        <v>Pagado</v>
      </c>
      <c r="W91" s="666" t="str">
        <f>IF(OR($A91="F&amp;F",$G91=""),"",IF(W$8&gt;$G91,IF(OR(status1B5!X91=1,status1B5!X91=2,'BOULEVARD 5'!Z89&gt;0),"Pagado","impago"),""))</f>
        <v>Pagado</v>
      </c>
      <c r="X91" s="666" t="str">
        <f>IF(OR($A91="F&amp;F",$G91=""),"",IF(X$8&gt;$G91,IF(OR(status1B5!Y91=1,status1B5!Y91=2,'BOULEVARD 5'!AA89&gt;0),"Pagado","impago"),""))</f>
        <v>Pagado</v>
      </c>
      <c r="Y91" s="666" t="str">
        <f>IF(OR($A91="F&amp;F",$G91=""),"",IF(Y$8&gt;$G91,IF(OR(status1B5!Z91=1,status1B5!Z91=2,'BOULEVARD 5'!AB89&gt;0),"Pagado","impago"),""))</f>
        <v>Pagado</v>
      </c>
      <c r="Z91" s="666" t="str">
        <f>IF(OR($A91="F&amp;F",$G91=""),"",IF(Z$8&gt;$G91,IF(OR(status1B5!AA91=1,status1B5!AA91=2,'BOULEVARD 5'!AC89&gt;0),"Pagado","impago"),""))</f>
        <v>Pagado</v>
      </c>
      <c r="AA91" s="666" t="str">
        <f>IF(OR($A91="F&amp;F",$G91=""),"",IF(AA$8&gt;$G91,IF(OR(status1B5!AB91=1,status1B5!AB91=2,'BOULEVARD 5'!AD89&gt;0),"Pagado","impago"),""))</f>
        <v>Pagado</v>
      </c>
      <c r="AB91" s="666" t="str">
        <f>IF(OR($A91="F&amp;F",$G91=""),"",IF(AB$8&gt;$G91,IF(OR(status1B5!AC91=1,status1B5!AC91=2,'BOULEVARD 5'!AE89&gt;0),"Pagado","impago"),""))</f>
        <v>Pagado</v>
      </c>
      <c r="AC91" s="666" t="str">
        <f>IF(OR($A91="F&amp;F",$G91=""),"",IF(AC$8&gt;$G91,IF(OR(status1B5!AD91=1,status1B5!AD91=2,'BOULEVARD 5'!AF89&gt;0),"Pagado","impago"),""))</f>
        <v>Pagado</v>
      </c>
      <c r="AD91" s="666" t="str">
        <f>IF(OR($A91="F&amp;F",$G91=""),"",IF(AD$8&gt;$G91,IF(OR(status1B5!AE91=1,status1B5!AE91=2,'BOULEVARD 5'!AG89&gt;0),"Pagado","impago"),""))</f>
        <v>Pagado</v>
      </c>
      <c r="AE91" s="666" t="str">
        <f>IF(OR($A91="F&amp;F",$G91=""),"",IF(AE$8&gt;$G91,IF(OR(status1B5!AF91=1,status1B5!AF91=2,'BOULEVARD 5'!AH89&gt;0),"Pagado","impago"),""))</f>
        <v>Pagado</v>
      </c>
      <c r="AF91" s="666" t="str">
        <f>IF(OR($A91="F&amp;F",$G91=""),"",IF(AF$8&gt;$G91,IF(OR(status1B5!AG91=1,status1B5!AG91=2,'BOULEVARD 5'!AI89&gt;0),"Pagado","impago"),""))</f>
        <v>Pagado</v>
      </c>
      <c r="AG91" s="666" t="str">
        <f>IF(OR($A91="F&amp;F",$G91=""),"",IF(AG$8&gt;$G91,IF(OR(status1B5!AH91=1,status1B5!AH91=2,'BOULEVARD 5'!AJ89&gt;0),"Pagado","impago"),""))</f>
        <v>Pagado</v>
      </c>
      <c r="AH91" s="666" t="str">
        <f>IF(OR($A91="F&amp;F",$G91=""),"",IF(AH$8&gt;$G91,IF(OR(status1B5!AI91=1,status1B5!AI91=2,'BOULEVARD 5'!AK89&gt;0),"Pagado","impago"),""))</f>
        <v>Pagado</v>
      </c>
      <c r="AI91" s="666" t="str">
        <f>IF(OR($A91="F&amp;F",$G91=""),"",IF(AI$8&gt;$G91,IF(OR(status1B5!AJ91=1,status1B5!AJ91=2,'BOULEVARD 5'!AL89&gt;0),"Pagado","impago"),""))</f>
        <v>Pagado</v>
      </c>
      <c r="AJ91" s="666" t="str">
        <f>IF(OR($A91="F&amp;F",$G91=""),"",IF(AJ$8&gt;$G91,IF(OR(status1B5!AK91=1,status1B5!AK91=2,'BOULEVARD 5'!AM89&gt;0),"Pagado","impago"),""))</f>
        <v>Pagado</v>
      </c>
      <c r="AK91" s="666" t="str">
        <f>IF(OR($A91="F&amp;F",$G91=""),"",IF(AK$8&gt;$G91,IF(OR(status1B5!AL91=1,status1B5!AL91=2,'BOULEVARD 5'!AN89&gt;0),"Pagado","impago"),""))</f>
        <v>Pagado</v>
      </c>
      <c r="AL91" s="666" t="str">
        <f>IF(OR($A91="F&amp;F",$G91=""),"",IF(AL$8&gt;$G91,IF(OR(status1B5!AM91=1,status1B5!AM91=2,'BOULEVARD 5'!AO89&gt;0),"Pagado","impago"),""))</f>
        <v>Pagado</v>
      </c>
      <c r="AM91" s="666" t="str">
        <f>IF(OR($A91="F&amp;F",$G91=""),"",IF(AM$8&gt;$G91,IF(OR(status1B5!AN91=1,status1B5!AN91=2,'BOULEVARD 5'!AP89&gt;0),"Pagado","impago"),""))</f>
        <v>Pagado</v>
      </c>
      <c r="AN91" s="666" t="str">
        <f>IF(OR($A91="F&amp;F",$G91=""),"",IF(AN$8&gt;$G91,IF(OR(status1B5!AO91=1,status1B5!AO91=2,'BOULEVARD 5'!AQ89&gt;0),"Pagado","impago"),""))</f>
        <v>Pagado</v>
      </c>
      <c r="AO91" s="666" t="str">
        <f>IF(OR($A91="F&amp;F",$G91=""),"",IF(AO$8&gt;$G91,IF(OR(status1B5!AP91=1,status1B5!AP91=2,'BOULEVARD 5'!AS89&gt;0),"Pagado","impago"),""))</f>
        <v>Pagado</v>
      </c>
      <c r="AP91" s="429" t="str">
        <f t="shared" si="6"/>
        <v>Vendido</v>
      </c>
    </row>
    <row r="92" spans="1:42" s="429" customFormat="1" ht="13.9" customHeight="1" x14ac:dyDescent="0.25">
      <c r="A92" s="472"/>
      <c r="B92" s="436">
        <f>'BOULEVARD 5'!B90</f>
        <v>514</v>
      </c>
      <c r="C92" s="436" t="s">
        <v>355</v>
      </c>
      <c r="D92" s="436"/>
      <c r="E92" s="436" t="str">
        <f>IF('BOULEVARD 5'!E90="","",'BOULEVARD 5'!E90)</f>
        <v>Antonio Rada</v>
      </c>
      <c r="F92" s="429" t="str">
        <f>IF('BOULEVARD 5'!F90="","",'BOULEVARD 5'!F90)</f>
        <v>Danya Maribel Callejas Hernandez De Herrera</v>
      </c>
      <c r="G92" s="473">
        <f>IF('BOULEVARD 5'!G90="","",'BOULEVARD 5'!G90)</f>
        <v>45741</v>
      </c>
      <c r="H92" s="666" t="str">
        <f>IF(OR($A92="F&amp;F",$G92=""),"",IF(H$8&gt;$G92,IF(OR(status1B5!I92=1,status1B5!I92=2,'BOULEVARD 5'!K90&gt;0),"Pagado","impago"),""))</f>
        <v/>
      </c>
      <c r="I92" s="666" t="str">
        <f>IF(OR($A92="F&amp;F",$G92=""),"",IF(I$8&gt;$G92,IF(OR(status1B5!J92=1,status1B5!J92=2,'BOULEVARD 5'!L90&gt;0),"Pagado","impago"),""))</f>
        <v/>
      </c>
      <c r="J92" s="666" t="str">
        <f>IF(OR($A92="F&amp;F",$G92=""),"",IF(J$8&gt;$G92,IF(OR(status1B5!K92=1,status1B5!K92=2,'BOULEVARD 5'!M90&gt;0),"Pagado","impago"),""))</f>
        <v/>
      </c>
      <c r="K92" s="666" t="str">
        <f>IF(OR($A92="F&amp;F",$G92=""),"",IF(K$8&gt;$G92,IF(OR(status1B5!L92=1,status1B5!L92=2,'BOULEVARD 5'!N90&gt;0),"Pagado","impago"),""))</f>
        <v/>
      </c>
      <c r="L92" s="666" t="str">
        <f>IF(OR($A92="F&amp;F",$G92=""),"",IF(L$8&gt;$G92,IF(OR(status1B5!M92=1,status1B5!M92=2,'BOULEVARD 5'!O90&gt;0),"Pagado","impago"),""))</f>
        <v/>
      </c>
      <c r="M92" s="666" t="str">
        <f>IF(OR($A92="F&amp;F",$G92=""),"",IF(M$8&gt;$G92,IF(OR(status1B5!N92=1,status1B5!N92=2,'BOULEVARD 5'!P90&gt;0),"Pagado","impago"),""))</f>
        <v/>
      </c>
      <c r="N92" s="666" t="str">
        <f>IF(OR($A92="F&amp;F",$G92=""),"",IF(N$8&gt;$G92,IF(OR(status1B5!O92=1,status1B5!O92=2,'BOULEVARD 5'!Q90&gt;0),"Pagado","impago"),""))</f>
        <v/>
      </c>
      <c r="O92" s="666" t="str">
        <f>IF(OR($A92="F&amp;F",$G92=""),"",IF(O$8&gt;$G92,IF(OR(status1B5!P92=1,status1B5!P92=2,'BOULEVARD 5'!R90&gt;0),"Pagado","impago"),""))</f>
        <v/>
      </c>
      <c r="P92" s="666" t="str">
        <f>IF(OR($A92="F&amp;F",$G92=""),"",IF(P$8&gt;$G92,IF(OR(status1B5!Q92=1,status1B5!Q92=2,'BOULEVARD 5'!S90&gt;0),"Pagado","impago"),""))</f>
        <v/>
      </c>
      <c r="Q92" s="666" t="str">
        <f>IF(OR($A92="F&amp;F",$G92=""),"",IF(Q$8&gt;$G92,IF(OR(status1B5!R92=1,status1B5!R92=2,'BOULEVARD 5'!T90&gt;0),"Pagado","impago"),""))</f>
        <v/>
      </c>
      <c r="R92" s="666" t="str">
        <f>IF(OR($A92="F&amp;F",$G92=""),"",IF(R$8&gt;$G92,IF(OR(status1B5!S92=1,status1B5!S92=2,'BOULEVARD 5'!U90&gt;0),"Pagado","impago"),""))</f>
        <v/>
      </c>
      <c r="S92" s="666" t="str">
        <f>IF(OR($A92="F&amp;F",$G92=""),"",IF(S$8&gt;$G92,IF(OR(status1B5!T92=1,status1B5!T92=2,'BOULEVARD 5'!V90&gt;0),"Pagado","impago"),""))</f>
        <v/>
      </c>
      <c r="T92" s="666" t="str">
        <f>IF(OR($A92="F&amp;F",$G92=""),"",IF(T$8&gt;$G92,IF(OR(status1B5!U92=1,status1B5!U92=2,'BOULEVARD 5'!W90&gt;0),"Pagado","impago"),""))</f>
        <v/>
      </c>
      <c r="U92" s="666" t="str">
        <f>IF(OR($A92="F&amp;F",$G92=""),"",IF(U$8&gt;$G92,IF(OR(status1B5!V92=1,status1B5!V92=2,'BOULEVARD 5'!X90&gt;0),"Pagado","impago"),""))</f>
        <v/>
      </c>
      <c r="V92" s="666" t="str">
        <f>IF(OR($A92="F&amp;F",$G92=""),"",IF(V$8&gt;$G92,IF(OR(status1B5!W92=1,status1B5!W92=2,'BOULEVARD 5'!Y90&gt;0),"Pagado","impago"),""))</f>
        <v/>
      </c>
      <c r="W92" s="666" t="str">
        <f>IF(OR($A92="F&amp;F",$G92=""),"",IF(W$8&gt;$G92,IF(OR(status1B5!X92=1,status1B5!X92=2,'BOULEVARD 5'!Z90&gt;0),"Pagado","impago"),""))</f>
        <v/>
      </c>
      <c r="X92" s="666" t="str">
        <f>IF(OR($A92="F&amp;F",$G92=""),"",IF(X$8&gt;$G92,IF(OR(status1B5!Y92=1,status1B5!Y92=2,'BOULEVARD 5'!AA90&gt;0),"Pagado","impago"),""))</f>
        <v/>
      </c>
      <c r="Y92" s="666" t="str">
        <f>IF(OR($A92="F&amp;F",$G92=""),"",IF(Y$8&gt;$G92,IF(OR(status1B5!Z92=1,status1B5!Z92=2,'BOULEVARD 5'!AB90&gt;0),"Pagado","impago"),""))</f>
        <v/>
      </c>
      <c r="Z92" s="666" t="str">
        <f>IF(OR($A92="F&amp;F",$G92=""),"",IF(Z$8&gt;$G92,IF(OR(status1B5!AA92=1,status1B5!AA92=2,'BOULEVARD 5'!AC90&gt;0),"Pagado","impago"),""))</f>
        <v/>
      </c>
      <c r="AA92" s="666" t="str">
        <f>IF(OR($A92="F&amp;F",$G92=""),"",IF(AA$8&gt;$G92,IF(OR(status1B5!AB92=1,status1B5!AB92=2,'BOULEVARD 5'!AD90&gt;0),"Pagado","impago"),""))</f>
        <v/>
      </c>
      <c r="AB92" s="666" t="str">
        <f>IF(OR($A92="F&amp;F",$G92=""),"",IF(AB$8&gt;$G92,IF(OR(status1B5!AC92=1,status1B5!AC92=2,'BOULEVARD 5'!AE90&gt;0),"Pagado","impago"),""))</f>
        <v/>
      </c>
      <c r="AC92" s="666" t="str">
        <f>IF(OR($A92="F&amp;F",$G92=""),"",IF(AC$8&gt;$G92,IF(OR(status1B5!AD92=1,status1B5!AD92=2,'BOULEVARD 5'!AF90&gt;0),"Pagado","impago"),""))</f>
        <v/>
      </c>
      <c r="AD92" s="666" t="str">
        <f>IF(OR($A92="F&amp;F",$G92=""),"",IF(AD$8&gt;$G92,IF(OR(status1B5!AE92=1,status1B5!AE92=2,'BOULEVARD 5'!AG90&gt;0),"Pagado","impago"),""))</f>
        <v/>
      </c>
      <c r="AE92" s="666" t="str">
        <f>IF(OR($A92="F&amp;F",$G92=""),"",IF(AE$8&gt;$G92,IF(OR(status1B5!AF92=1,status1B5!AF92=2,'BOULEVARD 5'!AH90&gt;0),"Pagado","impago"),""))</f>
        <v/>
      </c>
      <c r="AF92" s="666" t="str">
        <f>IF(OR($A92="F&amp;F",$G92=""),"",IF(AF$8&gt;$G92,IF(OR(status1B5!AG92=1,status1B5!AG92=2,'BOULEVARD 5'!AI90&gt;0),"Pagado","impago"),""))</f>
        <v>Pagado</v>
      </c>
      <c r="AG92" s="666" t="str">
        <f>IF(OR($A92="F&amp;F",$G92=""),"",IF(AG$8&gt;$G92,IF(OR(status1B5!AH92=1,status1B5!AH92=2,'BOULEVARD 5'!AJ90&gt;0),"Pagado","impago"),""))</f>
        <v>Pagado</v>
      </c>
      <c r="AH92" s="666" t="str">
        <f>IF(OR($A92="F&amp;F",$G92=""),"",IF(AH$8&gt;$G92,IF(OR(status1B5!AI92=1,status1B5!AI92=2,'BOULEVARD 5'!AK90&gt;0),"Pagado","impago"),""))</f>
        <v>Pagado</v>
      </c>
      <c r="AI92" s="666" t="str">
        <f>IF(OR($A92="F&amp;F",$G92=""),"",IF(AI$8&gt;$G92,IF(OR(status1B5!AJ92=1,status1B5!AJ92=2,'BOULEVARD 5'!AL90&gt;0),"Pagado","impago"),""))</f>
        <v>Pagado</v>
      </c>
      <c r="AJ92" s="666" t="str">
        <f>IF(OR($A92="F&amp;F",$G92=""),"",IF(AJ$8&gt;$G92,IF(OR(status1B5!AK92=1,status1B5!AK92=2,'BOULEVARD 5'!AM90&gt;0),"Pagado","impago"),""))</f>
        <v>Pagado</v>
      </c>
      <c r="AK92" s="666" t="str">
        <f>IF(OR($A92="F&amp;F",$G92=""),"",IF(AK$8&gt;$G92,IF(OR(status1B5!AL92=1,status1B5!AL92=2,'BOULEVARD 5'!AN90&gt;0),"Pagado","impago"),""))</f>
        <v>Pagado</v>
      </c>
      <c r="AL92" s="666" t="str">
        <f>IF(OR($A92="F&amp;F",$G92=""),"",IF(AL$8&gt;$G92,IF(OR(status1B5!AM92=1,status1B5!AM92=2,'BOULEVARD 5'!AO90&gt;0),"Pagado","impago"),""))</f>
        <v>Pagado</v>
      </c>
      <c r="AM92" s="666" t="str">
        <f>IF(OR($A92="F&amp;F",$G92=""),"",IF(AM$8&gt;$G92,IF(OR(status1B5!AN92=1,status1B5!AN92=2,'BOULEVARD 5'!AP90&gt;0),"Pagado","impago"),""))</f>
        <v>Pagado</v>
      </c>
      <c r="AN92" s="666" t="str">
        <f>IF(OR($A92="F&amp;F",$G92=""),"",IF(AN$8&gt;$G92,IF(OR(status1B5!AO92=1,status1B5!AO92=2,'BOULEVARD 5'!AQ90&gt;0),"Pagado","impago"),""))</f>
        <v>Pagado</v>
      </c>
      <c r="AO92" s="666" t="str">
        <f>IF(OR($A92="F&amp;F",$G92=""),"",IF(AO$8&gt;$G92,IF(OR(status1B5!AP92=1,status1B5!AP92=2,'BOULEVARD 5'!AS90&gt;0),"Pagado","impago"),""))</f>
        <v>Pagado</v>
      </c>
      <c r="AP92" s="429" t="str">
        <f t="shared" si="6"/>
        <v>Vendido</v>
      </c>
    </row>
    <row r="93" spans="1:42" s="429" customFormat="1" ht="13.9" customHeight="1" x14ac:dyDescent="0.25">
      <c r="A93" s="472"/>
      <c r="B93" s="436">
        <f>'BOULEVARD 5'!B91</f>
        <v>515</v>
      </c>
      <c r="C93" s="436" t="s">
        <v>355</v>
      </c>
      <c r="D93" s="436"/>
      <c r="E93" s="436" t="str">
        <f>IF('BOULEVARD 5'!E91="","",'BOULEVARD 5'!E91)</f>
        <v>Jose Franco</v>
      </c>
      <c r="F93" s="429" t="str">
        <f>IF('BOULEVARD 5'!F91="","",'BOULEVARD 5'!F91)</f>
        <v>Ingrid Vanessa Granados Barneond</v>
      </c>
      <c r="G93" s="473">
        <f>IF('BOULEVARD 5'!G91="","",'BOULEVARD 5'!G91)</f>
        <v>45012</v>
      </c>
      <c r="H93" s="666" t="str">
        <f>IF(OR($A93="F&amp;F",$G93=""),"",IF(H$8&gt;$G93,IF(OR(status1B5!I93=1,status1B5!I93=2,'BOULEVARD 5'!K91&gt;0),"Pagado","impago"),""))</f>
        <v>Pagado</v>
      </c>
      <c r="I93" s="666" t="str">
        <f>IF(OR($A93="F&amp;F",$G93=""),"",IF(I$8&gt;$G93,IF(OR(status1B5!J93=1,status1B5!J93=2,'BOULEVARD 5'!L91&gt;0),"Pagado","impago"),""))</f>
        <v>Pagado</v>
      </c>
      <c r="J93" s="666" t="str">
        <f>IF(OR($A93="F&amp;F",$G93=""),"",IF(J$8&gt;$G93,IF(OR(status1B5!K93=1,status1B5!K93=2,'BOULEVARD 5'!M91&gt;0),"Pagado","impago"),""))</f>
        <v>Pagado</v>
      </c>
      <c r="K93" s="666" t="str">
        <f>IF(OR($A93="F&amp;F",$G93=""),"",IF(K$8&gt;$G93,IF(OR(status1B5!L93=1,status1B5!L93=2,'BOULEVARD 5'!N91&gt;0),"Pagado","impago"),""))</f>
        <v>Pagado</v>
      </c>
      <c r="L93" s="666" t="str">
        <f>IF(OR($A93="F&amp;F",$G93=""),"",IF(L$8&gt;$G93,IF(OR(status1B5!M93=1,status1B5!M93=2,'BOULEVARD 5'!O91&gt;0),"Pagado","impago"),""))</f>
        <v>Pagado</v>
      </c>
      <c r="M93" s="666" t="str">
        <f>IF(OR($A93="F&amp;F",$G93=""),"",IF(M$8&gt;$G93,IF(OR(status1B5!N93=1,status1B5!N93=2,'BOULEVARD 5'!P91&gt;0),"Pagado","impago"),""))</f>
        <v>Pagado</v>
      </c>
      <c r="N93" s="666" t="str">
        <f>IF(OR($A93="F&amp;F",$G93=""),"",IF(N$8&gt;$G93,IF(OR(status1B5!O93=1,status1B5!O93=2,'BOULEVARD 5'!Q91&gt;0),"Pagado","impago"),""))</f>
        <v>Pagado</v>
      </c>
      <c r="O93" s="666" t="str">
        <f>IF(OR($A93="F&amp;F",$G93=""),"",IF(O$8&gt;$G93,IF(OR(status1B5!P93=1,status1B5!P93=2,'BOULEVARD 5'!R91&gt;0),"Pagado","impago"),""))</f>
        <v>Pagado</v>
      </c>
      <c r="P93" s="666" t="str">
        <f>IF(OR($A93="F&amp;F",$G93=""),"",IF(P$8&gt;$G93,IF(OR(status1B5!Q93=1,status1B5!Q93=2,'BOULEVARD 5'!S91&gt;0),"Pagado","impago"),""))</f>
        <v>Pagado</v>
      </c>
      <c r="Q93" s="666" t="str">
        <f>IF(OR($A93="F&amp;F",$G93=""),"",IF(Q$8&gt;$G93,IF(OR(status1B5!R93=1,status1B5!R93=2,'BOULEVARD 5'!T91&gt;0),"Pagado","impago"),""))</f>
        <v>Pagado</v>
      </c>
      <c r="R93" s="666" t="str">
        <f>IF(OR($A93="F&amp;F",$G93=""),"",IF(R$8&gt;$G93,IF(OR(status1B5!S93=1,status1B5!S93=2,'BOULEVARD 5'!U91&gt;0),"Pagado","impago"),""))</f>
        <v>Pagado</v>
      </c>
      <c r="S93" s="666" t="str">
        <f>IF(OR($A93="F&amp;F",$G93=""),"",IF(S$8&gt;$G93,IF(OR(status1B5!T93=1,status1B5!T93=2,'BOULEVARD 5'!V91&gt;0),"Pagado","impago"),""))</f>
        <v>Pagado</v>
      </c>
      <c r="T93" s="666" t="str">
        <f>IF(OR($A93="F&amp;F",$G93=""),"",IF(T$8&gt;$G93,IF(OR(status1B5!U93=1,status1B5!U93=2,'BOULEVARD 5'!W91&gt;0),"Pagado","impago"),""))</f>
        <v>Pagado</v>
      </c>
      <c r="U93" s="666" t="str">
        <f>IF(OR($A93="F&amp;F",$G93=""),"",IF(U$8&gt;$G93,IF(OR(status1B5!V93=1,status1B5!V93=2,'BOULEVARD 5'!X91&gt;0),"Pagado","impago"),""))</f>
        <v>Pagado</v>
      </c>
      <c r="V93" s="666" t="str">
        <f>IF(OR($A93="F&amp;F",$G93=""),"",IF(V$8&gt;$G93,IF(OR(status1B5!W93=1,status1B5!W93=2,'BOULEVARD 5'!Y91&gt;0),"Pagado","impago"),""))</f>
        <v>Pagado</v>
      </c>
      <c r="W93" s="666" t="str">
        <f>IF(OR($A93="F&amp;F",$G93=""),"",IF(W$8&gt;$G93,IF(OR(status1B5!X93=1,status1B5!X93=2,'BOULEVARD 5'!Z91&gt;0),"Pagado","impago"),""))</f>
        <v>Pagado</v>
      </c>
      <c r="X93" s="666" t="str">
        <f>IF(OR($A93="F&amp;F",$G93=""),"",IF(X$8&gt;$G93,IF(OR(status1B5!Y93=1,status1B5!Y93=2,'BOULEVARD 5'!AA91&gt;0),"Pagado","impago"),""))</f>
        <v>Pagado</v>
      </c>
      <c r="Y93" s="666" t="str">
        <f>IF(OR($A93="F&amp;F",$G93=""),"",IF(Y$8&gt;$G93,IF(OR(status1B5!Z93=1,status1B5!Z93=2,'BOULEVARD 5'!AB91&gt;0),"Pagado","impago"),""))</f>
        <v>Pagado</v>
      </c>
      <c r="Z93" s="666" t="str">
        <f>IF(OR($A93="F&amp;F",$G93=""),"",IF(Z$8&gt;$G93,IF(OR(status1B5!AA93=1,status1B5!AA93=2,'BOULEVARD 5'!AC91&gt;0),"Pagado","impago"),""))</f>
        <v>Pagado</v>
      </c>
      <c r="AA93" s="666" t="str">
        <f>IF(OR($A93="F&amp;F",$G93=""),"",IF(AA$8&gt;$G93,IF(OR(status1B5!AB93=1,status1B5!AB93=2,'BOULEVARD 5'!AD91&gt;0),"Pagado","impago"),""))</f>
        <v>Pagado</v>
      </c>
      <c r="AB93" s="666" t="str">
        <f>IF(OR($A93="F&amp;F",$G93=""),"",IF(AB$8&gt;$G93,IF(OR(status1B5!AC93=1,status1B5!AC93=2,'BOULEVARD 5'!AE91&gt;0),"Pagado","impago"),""))</f>
        <v>Pagado</v>
      </c>
      <c r="AC93" s="666" t="str">
        <f>IF(OR($A93="F&amp;F",$G93=""),"",IF(AC$8&gt;$G93,IF(OR(status1B5!AD93=1,status1B5!AD93=2,'BOULEVARD 5'!AF91&gt;0),"Pagado","impago"),""))</f>
        <v>Pagado</v>
      </c>
      <c r="AD93" s="666" t="str">
        <f>IF(OR($A93="F&amp;F",$G93=""),"",IF(AD$8&gt;$G93,IF(OR(status1B5!AE93=1,status1B5!AE93=2,'BOULEVARD 5'!AG91&gt;0),"Pagado","impago"),""))</f>
        <v>Pagado</v>
      </c>
      <c r="AE93" s="666" t="str">
        <f>IF(OR($A93="F&amp;F",$G93=""),"",IF(AE$8&gt;$G93,IF(OR(status1B5!AF93=1,status1B5!AF93=2,'BOULEVARD 5'!AH91&gt;0),"Pagado","impago"),""))</f>
        <v>Pagado</v>
      </c>
      <c r="AF93" s="666" t="str">
        <f>IF(OR($A93="F&amp;F",$G93=""),"",IF(AF$8&gt;$G93,IF(OR(status1B5!AG93=1,status1B5!AG93=2,'BOULEVARD 5'!AI91&gt;0),"Pagado","impago"),""))</f>
        <v>Pagado</v>
      </c>
      <c r="AG93" s="666" t="str">
        <f>IF(OR($A93="F&amp;F",$G93=""),"",IF(AG$8&gt;$G93,IF(OR(status1B5!AH93=1,status1B5!AH93=2,'BOULEVARD 5'!AJ91&gt;0),"Pagado","impago"),""))</f>
        <v>Pagado</v>
      </c>
      <c r="AH93" s="666" t="str">
        <f>IF(OR($A93="F&amp;F",$G93=""),"",IF(AH$8&gt;$G93,IF(OR(status1B5!AI93=1,status1B5!AI93=2,'BOULEVARD 5'!AK91&gt;0),"Pagado","impago"),""))</f>
        <v>Pagado</v>
      </c>
      <c r="AI93" s="666" t="str">
        <f>IF(OR($A93="F&amp;F",$G93=""),"",IF(AI$8&gt;$G93,IF(OR(status1B5!AJ93=1,status1B5!AJ93=2,'BOULEVARD 5'!AL91&gt;0),"Pagado","impago"),""))</f>
        <v>Pagado</v>
      </c>
      <c r="AJ93" s="666" t="str">
        <f>IF(OR($A93="F&amp;F",$G93=""),"",IF(AJ$8&gt;$G93,IF(OR(status1B5!AK93=1,status1B5!AK93=2,'BOULEVARD 5'!AM91&gt;0),"Pagado","impago"),""))</f>
        <v>Pagado</v>
      </c>
      <c r="AK93" s="666" t="str">
        <f>IF(OR($A93="F&amp;F",$G93=""),"",IF(AK$8&gt;$G93,IF(OR(status1B5!AL93=1,status1B5!AL93=2,'BOULEVARD 5'!AN91&gt;0),"Pagado","impago"),""))</f>
        <v>Pagado</v>
      </c>
      <c r="AL93" s="666" t="str">
        <f>IF(OR($A93="F&amp;F",$G93=""),"",IF(AL$8&gt;$G93,IF(OR(status1B5!AM93=1,status1B5!AM93=2,'BOULEVARD 5'!AO91&gt;0),"Pagado","impago"),""))</f>
        <v>Pagado</v>
      </c>
      <c r="AM93" s="666" t="str">
        <f>IF(OR($A93="F&amp;F",$G93=""),"",IF(AM$8&gt;$G93,IF(OR(status1B5!AN93=1,status1B5!AN93=2,'BOULEVARD 5'!AP91&gt;0),"Pagado","impago"),""))</f>
        <v>Pagado</v>
      </c>
      <c r="AN93" s="666" t="str">
        <f>IF(OR($A93="F&amp;F",$G93=""),"",IF(AN$8&gt;$G93,IF(OR(status1B5!AO93=1,status1B5!AO93=2,'BOULEVARD 5'!AQ91&gt;0),"Pagado","impago"),""))</f>
        <v>Pagado</v>
      </c>
      <c r="AO93" s="666" t="str">
        <f>IF(OR($A93="F&amp;F",$G93=""),"",IF(AO$8&gt;$G93,IF(OR(status1B5!AP93=1,status1B5!AP93=2,'BOULEVARD 5'!AS91&gt;0),"Pagado","impago"),""))</f>
        <v>Pagado</v>
      </c>
      <c r="AP93" s="429" t="str">
        <f t="shared" si="6"/>
        <v>Vendido</v>
      </c>
    </row>
    <row r="94" spans="1:42" s="429" customFormat="1" ht="13.9" customHeight="1" x14ac:dyDescent="0.25">
      <c r="A94" s="472"/>
      <c r="B94" s="436">
        <f>'BOULEVARD 5'!B92</f>
        <v>516</v>
      </c>
      <c r="C94" s="436" t="s">
        <v>355</v>
      </c>
      <c r="D94" s="436"/>
      <c r="E94" s="436" t="str">
        <f>IF('BOULEVARD 5'!E92="","",'BOULEVARD 5'!E92)</f>
        <v>Diana Alvarez</v>
      </c>
      <c r="F94" s="429" t="str">
        <f>IF('BOULEVARD 5'!F92="","",'BOULEVARD 5'!F92)</f>
        <v>José Javier Sarceño Alfaro Y María Rosana Rivera Gallardo</v>
      </c>
      <c r="G94" s="473">
        <f>IF('BOULEVARD 5'!G92="","",'BOULEVARD 5'!G92)</f>
        <v>45557</v>
      </c>
      <c r="H94" s="666" t="str">
        <f>IF(OR($A94="F&amp;F",$G94=""),"",IF(H$8&gt;$G94,IF(OR(status1B5!I94=1,status1B5!I94=2,'BOULEVARD 5'!K92&gt;0),"Pagado","impago"),""))</f>
        <v/>
      </c>
      <c r="I94" s="666" t="str">
        <f>IF(OR($A94="F&amp;F",$G94=""),"",IF(I$8&gt;$G94,IF(OR(status1B5!J94=1,status1B5!J94=2,'BOULEVARD 5'!L92&gt;0),"Pagado","impago"),""))</f>
        <v/>
      </c>
      <c r="J94" s="666" t="str">
        <f>IF(OR($A94="F&amp;F",$G94=""),"",IF(J$8&gt;$G94,IF(OR(status1B5!K94=1,status1B5!K94=2,'BOULEVARD 5'!M92&gt;0),"Pagado","impago"),""))</f>
        <v/>
      </c>
      <c r="K94" s="666" t="str">
        <f>IF(OR($A94="F&amp;F",$G94=""),"",IF(K$8&gt;$G94,IF(OR(status1B5!L94=1,status1B5!L94=2,'BOULEVARD 5'!N92&gt;0),"Pagado","impago"),""))</f>
        <v/>
      </c>
      <c r="L94" s="666" t="str">
        <f>IF(OR($A94="F&amp;F",$G94=""),"",IF(L$8&gt;$G94,IF(OR(status1B5!M94=1,status1B5!M94=2,'BOULEVARD 5'!O92&gt;0),"Pagado","impago"),""))</f>
        <v/>
      </c>
      <c r="M94" s="666" t="str">
        <f>IF(OR($A94="F&amp;F",$G94=""),"",IF(M$8&gt;$G94,IF(OR(status1B5!N94=1,status1B5!N94=2,'BOULEVARD 5'!P92&gt;0),"Pagado","impago"),""))</f>
        <v/>
      </c>
      <c r="N94" s="666" t="str">
        <f>IF(OR($A94="F&amp;F",$G94=""),"",IF(N$8&gt;$G94,IF(OR(status1B5!O94=1,status1B5!O94=2,'BOULEVARD 5'!Q92&gt;0),"Pagado","impago"),""))</f>
        <v/>
      </c>
      <c r="O94" s="666" t="str">
        <f>IF(OR($A94="F&amp;F",$G94=""),"",IF(O$8&gt;$G94,IF(OR(status1B5!P94=1,status1B5!P94=2,'BOULEVARD 5'!R92&gt;0),"Pagado","impago"),""))</f>
        <v/>
      </c>
      <c r="P94" s="666" t="str">
        <f>IF(OR($A94="F&amp;F",$G94=""),"",IF(P$8&gt;$G94,IF(OR(status1B5!Q94=1,status1B5!Q94=2,'BOULEVARD 5'!S92&gt;0),"Pagado","impago"),""))</f>
        <v/>
      </c>
      <c r="Q94" s="666" t="str">
        <f>IF(OR($A94="F&amp;F",$G94=""),"",IF(Q$8&gt;$G94,IF(OR(status1B5!R94=1,status1B5!R94=2,'BOULEVARD 5'!T92&gt;0),"Pagado","impago"),""))</f>
        <v/>
      </c>
      <c r="R94" s="666" t="str">
        <f>IF(OR($A94="F&amp;F",$G94=""),"",IF(R$8&gt;$G94,IF(OR(status1B5!S94=1,status1B5!S94=2,'BOULEVARD 5'!U92&gt;0),"Pagado","impago"),""))</f>
        <v/>
      </c>
      <c r="S94" s="666" t="str">
        <f>IF(OR($A94="F&amp;F",$G94=""),"",IF(S$8&gt;$G94,IF(OR(status1B5!T94=1,status1B5!T94=2,'BOULEVARD 5'!V92&gt;0),"Pagado","impago"),""))</f>
        <v/>
      </c>
      <c r="T94" s="666" t="str">
        <f>IF(OR($A94="F&amp;F",$G94=""),"",IF(T$8&gt;$G94,IF(OR(status1B5!U94=1,status1B5!U94=2,'BOULEVARD 5'!W92&gt;0),"Pagado","impago"),""))</f>
        <v/>
      </c>
      <c r="U94" s="666" t="str">
        <f>IF(OR($A94="F&amp;F",$G94=""),"",IF(U$8&gt;$G94,IF(OR(status1B5!V94=1,status1B5!V94=2,'BOULEVARD 5'!X92&gt;0),"Pagado","impago"),""))</f>
        <v/>
      </c>
      <c r="V94" s="666" t="str">
        <f>IF(OR($A94="F&amp;F",$G94=""),"",IF(V$8&gt;$G94,IF(OR(status1B5!W94=1,status1B5!W94=2,'BOULEVARD 5'!Y92&gt;0),"Pagado","impago"),""))</f>
        <v/>
      </c>
      <c r="W94" s="666" t="str">
        <f>IF(OR($A94="F&amp;F",$G94=""),"",IF(W$8&gt;$G94,IF(OR(status1B5!X94=1,status1B5!X94=2,'BOULEVARD 5'!Z92&gt;0),"Pagado","impago"),""))</f>
        <v/>
      </c>
      <c r="X94" s="666" t="str">
        <f>IF(OR($A94="F&amp;F",$G94=""),"",IF(X$8&gt;$G94,IF(OR(status1B5!Y94=1,status1B5!Y94=2,'BOULEVARD 5'!AA92&gt;0),"Pagado","impago"),""))</f>
        <v/>
      </c>
      <c r="Y94" s="666" t="str">
        <f>IF(OR($A94="F&amp;F",$G94=""),"",IF(Y$8&gt;$G94,IF(OR(status1B5!Z94=1,status1B5!Z94=2,'BOULEVARD 5'!AB92&gt;0),"Pagado","impago"),""))</f>
        <v/>
      </c>
      <c r="Z94" s="666" t="str">
        <f>IF(OR($A94="F&amp;F",$G94=""),"",IF(Z$8&gt;$G94,IF(OR(status1B5!AA94=1,status1B5!AA94=2,'BOULEVARD 5'!AC92&gt;0),"Pagado","impago"),""))</f>
        <v>Pagado</v>
      </c>
      <c r="AA94" s="666" t="str">
        <f>IF(OR($A94="F&amp;F",$G94=""),"",IF(AA$8&gt;$G94,IF(OR(status1B5!AB94=1,status1B5!AB94=2,'BOULEVARD 5'!AD92&gt;0),"Pagado","impago"),""))</f>
        <v>Pagado</v>
      </c>
      <c r="AB94" s="666" t="str">
        <f>IF(OR($A94="F&amp;F",$G94=""),"",IF(AB$8&gt;$G94,IF(OR(status1B5!AC94=1,status1B5!AC94=2,'BOULEVARD 5'!AE92&gt;0),"Pagado","impago"),""))</f>
        <v>Pagado</v>
      </c>
      <c r="AC94" s="666" t="str">
        <f>IF(OR($A94="F&amp;F",$G94=""),"",IF(AC$8&gt;$G94,IF(OR(status1B5!AD94=1,status1B5!AD94=2,'BOULEVARD 5'!AF92&gt;0),"Pagado","impago"),""))</f>
        <v>Pagado</v>
      </c>
      <c r="AD94" s="666" t="str">
        <f>IF(OR($A94="F&amp;F",$G94=""),"",IF(AD$8&gt;$G94,IF(OR(status1B5!AE94=1,status1B5!AE94=2,'BOULEVARD 5'!AG92&gt;0),"Pagado","impago"),""))</f>
        <v>Pagado</v>
      </c>
      <c r="AE94" s="666" t="str">
        <f>IF(OR($A94="F&amp;F",$G94=""),"",IF(AE$8&gt;$G94,IF(OR(status1B5!AF94=1,status1B5!AF94=2,'BOULEVARD 5'!AH92&gt;0),"Pagado","impago"),""))</f>
        <v>Pagado</v>
      </c>
      <c r="AF94" s="666" t="str">
        <f>IF(OR($A94="F&amp;F",$G94=""),"",IF(AF$8&gt;$G94,IF(OR(status1B5!AG94=1,status1B5!AG94=2,'BOULEVARD 5'!AI92&gt;0),"Pagado","impago"),""))</f>
        <v>Pagado</v>
      </c>
      <c r="AG94" s="666" t="str">
        <f>IF(OR($A94="F&amp;F",$G94=""),"",IF(AG$8&gt;$G94,IF(OR(status1B5!AH94=1,status1B5!AH94=2,'BOULEVARD 5'!AJ92&gt;0),"Pagado","impago"),""))</f>
        <v>Pagado</v>
      </c>
      <c r="AH94" s="666" t="str">
        <f>IF(OR($A94="F&amp;F",$G94=""),"",IF(AH$8&gt;$G94,IF(OR(status1B5!AI94=1,status1B5!AI94=2,'BOULEVARD 5'!AK92&gt;0),"Pagado","impago"),""))</f>
        <v>Pagado</v>
      </c>
      <c r="AI94" s="666" t="str">
        <f>IF(OR($A94="F&amp;F",$G94=""),"",IF(AI$8&gt;$G94,IF(OR(status1B5!AJ94=1,status1B5!AJ94=2,'BOULEVARD 5'!AL92&gt;0),"Pagado","impago"),""))</f>
        <v>Pagado</v>
      </c>
      <c r="AJ94" s="666" t="str">
        <f>IF(OR($A94="F&amp;F",$G94=""),"",IF(AJ$8&gt;$G94,IF(OR(status1B5!AK94=1,status1B5!AK94=2,'BOULEVARD 5'!AM92&gt;0),"Pagado","impago"),""))</f>
        <v>Pagado</v>
      </c>
      <c r="AK94" s="666" t="str">
        <f>IF(OR($A94="F&amp;F",$G94=""),"",IF(AK$8&gt;$G94,IF(OR(status1B5!AL94=1,status1B5!AL94=2,'BOULEVARD 5'!AN92&gt;0),"Pagado","impago"),""))</f>
        <v>Pagado</v>
      </c>
      <c r="AL94" s="666" t="str">
        <f>IF(OR($A94="F&amp;F",$G94=""),"",IF(AL$8&gt;$G94,IF(OR(status1B5!AM94=1,status1B5!AM94=2,'BOULEVARD 5'!AO92&gt;0),"Pagado","impago"),""))</f>
        <v>Pagado</v>
      </c>
      <c r="AM94" s="666" t="str">
        <f>IF(OR($A94="F&amp;F",$G94=""),"",IF(AM$8&gt;$G94,IF(OR(status1B5!AN94=1,status1B5!AN94=2,'BOULEVARD 5'!AP92&gt;0),"Pagado","impago"),""))</f>
        <v>Pagado</v>
      </c>
      <c r="AN94" s="666" t="str">
        <f>IF(OR($A94="F&amp;F",$G94=""),"",IF(AN$8&gt;$G94,IF(OR(status1B5!AO94=1,status1B5!AO94=2,'BOULEVARD 5'!AQ92&gt;0),"Pagado","impago"),""))</f>
        <v>Pagado</v>
      </c>
      <c r="AO94" s="666" t="str">
        <f>IF(OR($A94="F&amp;F",$G94=""),"",IF(AO$8&gt;$G94,IF(OR(status1B5!AP94=1,status1B5!AP94=2,'BOULEVARD 5'!AS92&gt;0),"Pagado","impago"),""))</f>
        <v>Pagado</v>
      </c>
      <c r="AP94" s="429" t="str">
        <f t="shared" si="6"/>
        <v>Vendido</v>
      </c>
    </row>
    <row r="95" spans="1:42" s="429" customFormat="1" ht="13.9" customHeight="1" x14ac:dyDescent="0.25">
      <c r="A95" s="472"/>
      <c r="B95" s="436">
        <f>'BOULEVARD 5'!B93</f>
        <v>517</v>
      </c>
      <c r="C95" s="436" t="s">
        <v>355</v>
      </c>
      <c r="D95" s="436"/>
      <c r="E95" s="436" t="str">
        <f>IF('BOULEVARD 5'!E93="","",'BOULEVARD 5'!E93)</f>
        <v>Antonio Rada</v>
      </c>
      <c r="F95" s="429" t="str">
        <f>IF('BOULEVARD 5'!F93="","",'BOULEVARD 5'!F93)</f>
        <v>Jorge Estuardo Díaz Durán Baldetti</v>
      </c>
      <c r="G95" s="473">
        <f>IF('BOULEVARD 5'!G93="","",'BOULEVARD 5'!G93)</f>
        <v>45425</v>
      </c>
      <c r="H95" s="666" t="str">
        <f>IF(OR($A95="F&amp;F",$G95=""),"",IF(H$8&gt;$G95,IF(OR(status1B5!I95=1,status1B5!I95=2,'BOULEVARD 5'!K93&gt;0),"Pagado","impago"),""))</f>
        <v/>
      </c>
      <c r="I95" s="666" t="str">
        <f>IF(OR($A95="F&amp;F",$G95=""),"",IF(I$8&gt;$G95,IF(OR(status1B5!J95=1,status1B5!J95=2,'BOULEVARD 5'!L93&gt;0),"Pagado","impago"),""))</f>
        <v/>
      </c>
      <c r="J95" s="666" t="str">
        <f>IF(OR($A95="F&amp;F",$G95=""),"",IF(J$8&gt;$G95,IF(OR(status1B5!K95=1,status1B5!K95=2,'BOULEVARD 5'!M93&gt;0),"Pagado","impago"),""))</f>
        <v/>
      </c>
      <c r="K95" s="666" t="str">
        <f>IF(OR($A95="F&amp;F",$G95=""),"",IF(K$8&gt;$G95,IF(OR(status1B5!L95=1,status1B5!L95=2,'BOULEVARD 5'!N93&gt;0),"Pagado","impago"),""))</f>
        <v/>
      </c>
      <c r="L95" s="666" t="str">
        <f>IF(OR($A95="F&amp;F",$G95=""),"",IF(L$8&gt;$G95,IF(OR(status1B5!M95=1,status1B5!M95=2,'BOULEVARD 5'!O93&gt;0),"Pagado","impago"),""))</f>
        <v/>
      </c>
      <c r="M95" s="666" t="str">
        <f>IF(OR($A95="F&amp;F",$G95=""),"",IF(M$8&gt;$G95,IF(OR(status1B5!N95=1,status1B5!N95=2,'BOULEVARD 5'!P93&gt;0),"Pagado","impago"),""))</f>
        <v/>
      </c>
      <c r="N95" s="666" t="str">
        <f>IF(OR($A95="F&amp;F",$G95=""),"",IF(N$8&gt;$G95,IF(OR(status1B5!O95=1,status1B5!O95=2,'BOULEVARD 5'!Q93&gt;0),"Pagado","impago"),""))</f>
        <v/>
      </c>
      <c r="O95" s="666" t="str">
        <f>IF(OR($A95="F&amp;F",$G95=""),"",IF(O$8&gt;$G95,IF(OR(status1B5!P95=1,status1B5!P95=2,'BOULEVARD 5'!R93&gt;0),"Pagado","impago"),""))</f>
        <v/>
      </c>
      <c r="P95" s="666" t="str">
        <f>IF(OR($A95="F&amp;F",$G95=""),"",IF(P$8&gt;$G95,IF(OR(status1B5!Q95=1,status1B5!Q95=2,'BOULEVARD 5'!S93&gt;0),"Pagado","impago"),""))</f>
        <v/>
      </c>
      <c r="Q95" s="666" t="str">
        <f>IF(OR($A95="F&amp;F",$G95=""),"",IF(Q$8&gt;$G95,IF(OR(status1B5!R95=1,status1B5!R95=2,'BOULEVARD 5'!T93&gt;0),"Pagado","impago"),""))</f>
        <v/>
      </c>
      <c r="R95" s="666" t="str">
        <f>IF(OR($A95="F&amp;F",$G95=""),"",IF(R$8&gt;$G95,IF(OR(status1B5!S95=1,status1B5!S95=2,'BOULEVARD 5'!U93&gt;0),"Pagado","impago"),""))</f>
        <v/>
      </c>
      <c r="S95" s="666" t="str">
        <f>IF(OR($A95="F&amp;F",$G95=""),"",IF(S$8&gt;$G95,IF(OR(status1B5!T95=1,status1B5!T95=2,'BOULEVARD 5'!V93&gt;0),"Pagado","impago"),""))</f>
        <v/>
      </c>
      <c r="T95" s="666" t="str">
        <f>IF(OR($A95="F&amp;F",$G95=""),"",IF(T$8&gt;$G95,IF(OR(status1B5!U95=1,status1B5!U95=2,'BOULEVARD 5'!W93&gt;0),"Pagado","impago"),""))</f>
        <v/>
      </c>
      <c r="U95" s="666" t="str">
        <f>IF(OR($A95="F&amp;F",$G95=""),"",IF(U$8&gt;$G95,IF(OR(status1B5!V95=1,status1B5!V95=2,'BOULEVARD 5'!X93&gt;0),"Pagado","impago"),""))</f>
        <v/>
      </c>
      <c r="V95" s="666" t="str">
        <f>IF(OR($A95="F&amp;F",$G95=""),"",IF(V$8&gt;$G95,IF(OR(status1B5!W95=1,status1B5!W95=2,'BOULEVARD 5'!Y93&gt;0),"Pagado","impago"),""))</f>
        <v>Pagado</v>
      </c>
      <c r="W95" s="666" t="str">
        <f>IF(OR($A95="F&amp;F",$G95=""),"",IF(W$8&gt;$G95,IF(OR(status1B5!X95=1,status1B5!X95=2,'BOULEVARD 5'!Z93&gt;0),"Pagado","impago"),""))</f>
        <v>Pagado</v>
      </c>
      <c r="X95" s="666" t="str">
        <f>IF(OR($A95="F&amp;F",$G95=""),"",IF(X$8&gt;$G95,IF(OR(status1B5!Y95=1,status1B5!Y95=2,'BOULEVARD 5'!AA93&gt;0),"Pagado","impago"),""))</f>
        <v>Pagado</v>
      </c>
      <c r="Y95" s="666" t="str">
        <f>IF(OR($A95="F&amp;F",$G95=""),"",IF(Y$8&gt;$G95,IF(OR(status1B5!Z95=1,status1B5!Z95=2,'BOULEVARD 5'!AB93&gt;0),"Pagado","impago"),""))</f>
        <v>Pagado</v>
      </c>
      <c r="Z95" s="666" t="str">
        <f>IF(OR($A95="F&amp;F",$G95=""),"",IF(Z$8&gt;$G95,IF(OR(status1B5!AA95=1,status1B5!AA95=2,'BOULEVARD 5'!AC93&gt;0),"Pagado","impago"),""))</f>
        <v>Pagado</v>
      </c>
      <c r="AA95" s="666" t="str">
        <f>IF(OR($A95="F&amp;F",$G95=""),"",IF(AA$8&gt;$G95,IF(OR(status1B5!AB95=1,status1B5!AB95=2,'BOULEVARD 5'!AD93&gt;0),"Pagado","impago"),""))</f>
        <v>Pagado</v>
      </c>
      <c r="AB95" s="666" t="str">
        <f>IF(OR($A95="F&amp;F",$G95=""),"",IF(AB$8&gt;$G95,IF(OR(status1B5!AC95=1,status1B5!AC95=2,'BOULEVARD 5'!AE93&gt;0),"Pagado","impago"),""))</f>
        <v>Pagado</v>
      </c>
      <c r="AC95" s="666" t="str">
        <f>IF(OR($A95="F&amp;F",$G95=""),"",IF(AC$8&gt;$G95,IF(OR(status1B5!AD95=1,status1B5!AD95=2,'BOULEVARD 5'!AF93&gt;0),"Pagado","impago"),""))</f>
        <v>Pagado</v>
      </c>
      <c r="AD95" s="666" t="str">
        <f>IF(OR($A95="F&amp;F",$G95=""),"",IF(AD$8&gt;$G95,IF(OR(status1B5!AE95=1,status1B5!AE95=2,'BOULEVARD 5'!AG93&gt;0),"Pagado","impago"),""))</f>
        <v>Pagado</v>
      </c>
      <c r="AE95" s="666" t="str">
        <f>IF(OR($A95="F&amp;F",$G95=""),"",IF(AE$8&gt;$G95,IF(OR(status1B5!AF95=1,status1B5!AF95=2,'BOULEVARD 5'!AH93&gt;0),"Pagado","impago"),""))</f>
        <v>Pagado</v>
      </c>
      <c r="AF95" s="666" t="str">
        <f>IF(OR($A95="F&amp;F",$G95=""),"",IF(AF$8&gt;$G95,IF(OR(status1B5!AG95=1,status1B5!AG95=2,'BOULEVARD 5'!AI93&gt;0),"Pagado","impago"),""))</f>
        <v>Pagado</v>
      </c>
      <c r="AG95" s="666" t="str">
        <f>IF(OR($A95="F&amp;F",$G95=""),"",IF(AG$8&gt;$G95,IF(OR(status1B5!AH95=1,status1B5!AH95=2,'BOULEVARD 5'!AJ93&gt;0),"Pagado","impago"),""))</f>
        <v>Pagado</v>
      </c>
      <c r="AH95" s="666" t="str">
        <f>IF(OR($A95="F&amp;F",$G95=""),"",IF(AH$8&gt;$G95,IF(OR(status1B5!AI95=1,status1B5!AI95=2,'BOULEVARD 5'!AK93&gt;0),"Pagado","impago"),""))</f>
        <v>Pagado</v>
      </c>
      <c r="AI95" s="666" t="str">
        <f>IF(OR($A95="F&amp;F",$G95=""),"",IF(AI$8&gt;$G95,IF(OR(status1B5!AJ95=1,status1B5!AJ95=2,'BOULEVARD 5'!AL93&gt;0),"Pagado","impago"),""))</f>
        <v>Pagado</v>
      </c>
      <c r="AJ95" s="666" t="str">
        <f>IF(OR($A95="F&amp;F",$G95=""),"",IF(AJ$8&gt;$G95,IF(OR(status1B5!AK95=1,status1B5!AK95=2,'BOULEVARD 5'!AM93&gt;0),"Pagado","impago"),""))</f>
        <v>Pagado</v>
      </c>
      <c r="AK95" s="666" t="str">
        <f>IF(OR($A95="F&amp;F",$G95=""),"",IF(AK$8&gt;$G95,IF(OR(status1B5!AL95=1,status1B5!AL95=2,'BOULEVARD 5'!AN93&gt;0),"Pagado","impago"),""))</f>
        <v>Pagado</v>
      </c>
      <c r="AL95" s="666" t="str">
        <f>IF(OR($A95="F&amp;F",$G95=""),"",IF(AL$8&gt;$G95,IF(OR(status1B5!AM95=1,status1B5!AM95=2,'BOULEVARD 5'!AO93&gt;0),"Pagado","impago"),""))</f>
        <v>Pagado</v>
      </c>
      <c r="AM95" s="666" t="str">
        <f>IF(OR($A95="F&amp;F",$G95=""),"",IF(AM$8&gt;$G95,IF(OR(status1B5!AN95=1,status1B5!AN95=2,'BOULEVARD 5'!AP93&gt;0),"Pagado","impago"),""))</f>
        <v>Pagado</v>
      </c>
      <c r="AN95" s="666" t="str">
        <f>IF(OR($A95="F&amp;F",$G95=""),"",IF(AN$8&gt;$G95,IF(OR(status1B5!AO95=1,status1B5!AO95=2,'BOULEVARD 5'!AQ93&gt;0),"Pagado","impago"),""))</f>
        <v>Pagado</v>
      </c>
      <c r="AO95" s="666" t="str">
        <f>IF(OR($A95="F&amp;F",$G95=""),"",IF(AO$8&gt;$G95,IF(OR(status1B5!AP95=1,status1B5!AP95=2,'BOULEVARD 5'!AS93&gt;0),"Pagado","impago"),""))</f>
        <v>Pagado</v>
      </c>
      <c r="AP95" s="429" t="str">
        <f t="shared" si="6"/>
        <v>Vendido</v>
      </c>
    </row>
    <row r="96" spans="1:42" s="429" customFormat="1" ht="13.9" customHeight="1" x14ac:dyDescent="0.25">
      <c r="A96" s="472"/>
      <c r="B96" s="436">
        <f>'BOULEVARD 5'!B94</f>
        <v>518</v>
      </c>
      <c r="C96" s="436" t="s">
        <v>355</v>
      </c>
      <c r="D96" s="436"/>
      <c r="E96" s="436" t="str">
        <f>IF('BOULEVARD 5'!E94="","",'BOULEVARD 5'!E94)</f>
        <v>Diana Alvarez</v>
      </c>
      <c r="F96" s="429" t="str">
        <f>IF('BOULEVARD 5'!F94="","",'BOULEVARD 5'!F94)</f>
        <v>Karla Denisse Ariana Méndez Contreras</v>
      </c>
      <c r="G96" s="473">
        <f>IF('BOULEVARD 5'!G94="","",'BOULEVARD 5'!G94)</f>
        <v>45594</v>
      </c>
      <c r="H96" s="666" t="str">
        <f>IF(OR($A96="F&amp;F",$G96=""),"",IF(H$8&gt;$G96,IF(OR(status1B5!I96=1,status1B5!I96=2,'BOULEVARD 5'!K94&gt;0),"Pagado","impago"),""))</f>
        <v/>
      </c>
      <c r="I96" s="666" t="str">
        <f>IF(OR($A96="F&amp;F",$G96=""),"",IF(I$8&gt;$G96,IF(OR(status1B5!J96=1,status1B5!J96=2,'BOULEVARD 5'!L94&gt;0),"Pagado","impago"),""))</f>
        <v/>
      </c>
      <c r="J96" s="666" t="str">
        <f>IF(OR($A96="F&amp;F",$G96=""),"",IF(J$8&gt;$G96,IF(OR(status1B5!K96=1,status1B5!K96=2,'BOULEVARD 5'!M94&gt;0),"Pagado","impago"),""))</f>
        <v/>
      </c>
      <c r="K96" s="666" t="str">
        <f>IF(OR($A96="F&amp;F",$G96=""),"",IF(K$8&gt;$G96,IF(OR(status1B5!L96=1,status1B5!L96=2,'BOULEVARD 5'!N94&gt;0),"Pagado","impago"),""))</f>
        <v/>
      </c>
      <c r="L96" s="666" t="str">
        <f>IF(OR($A96="F&amp;F",$G96=""),"",IF(L$8&gt;$G96,IF(OR(status1B5!M96=1,status1B5!M96=2,'BOULEVARD 5'!O94&gt;0),"Pagado","impago"),""))</f>
        <v/>
      </c>
      <c r="M96" s="666" t="str">
        <f>IF(OR($A96="F&amp;F",$G96=""),"",IF(M$8&gt;$G96,IF(OR(status1B5!N96=1,status1B5!N96=2,'BOULEVARD 5'!P94&gt;0),"Pagado","impago"),""))</f>
        <v/>
      </c>
      <c r="N96" s="666" t="str">
        <f>IF(OR($A96="F&amp;F",$G96=""),"",IF(N$8&gt;$G96,IF(OR(status1B5!O96=1,status1B5!O96=2,'BOULEVARD 5'!Q94&gt;0),"Pagado","impago"),""))</f>
        <v/>
      </c>
      <c r="O96" s="666" t="str">
        <f>IF(OR($A96="F&amp;F",$G96=""),"",IF(O$8&gt;$G96,IF(OR(status1B5!P96=1,status1B5!P96=2,'BOULEVARD 5'!R94&gt;0),"Pagado","impago"),""))</f>
        <v/>
      </c>
      <c r="P96" s="666" t="str">
        <f>IF(OR($A96="F&amp;F",$G96=""),"",IF(P$8&gt;$G96,IF(OR(status1B5!Q96=1,status1B5!Q96=2,'BOULEVARD 5'!S94&gt;0),"Pagado","impago"),""))</f>
        <v/>
      </c>
      <c r="Q96" s="666" t="str">
        <f>IF(OR($A96="F&amp;F",$G96=""),"",IF(Q$8&gt;$G96,IF(OR(status1B5!R96=1,status1B5!R96=2,'BOULEVARD 5'!T94&gt;0),"Pagado","impago"),""))</f>
        <v/>
      </c>
      <c r="R96" s="666" t="str">
        <f>IF(OR($A96="F&amp;F",$G96=""),"",IF(R$8&gt;$G96,IF(OR(status1B5!S96=1,status1B5!S96=2,'BOULEVARD 5'!U94&gt;0),"Pagado","impago"),""))</f>
        <v/>
      </c>
      <c r="S96" s="666" t="str">
        <f>IF(OR($A96="F&amp;F",$G96=""),"",IF(S$8&gt;$G96,IF(OR(status1B5!T96=1,status1B5!T96=2,'BOULEVARD 5'!V94&gt;0),"Pagado","impago"),""))</f>
        <v/>
      </c>
      <c r="T96" s="666" t="str">
        <f>IF(OR($A96="F&amp;F",$G96=""),"",IF(T$8&gt;$G96,IF(OR(status1B5!U96=1,status1B5!U96=2,'BOULEVARD 5'!W94&gt;0),"Pagado","impago"),""))</f>
        <v/>
      </c>
      <c r="U96" s="666" t="str">
        <f>IF(OR($A96="F&amp;F",$G96=""),"",IF(U$8&gt;$G96,IF(OR(status1B5!V96=1,status1B5!V96=2,'BOULEVARD 5'!X94&gt;0),"Pagado","impago"),""))</f>
        <v/>
      </c>
      <c r="V96" s="666" t="str">
        <f>IF(OR($A96="F&amp;F",$G96=""),"",IF(V$8&gt;$G96,IF(OR(status1B5!W96=1,status1B5!W96=2,'BOULEVARD 5'!Y94&gt;0),"Pagado","impago"),""))</f>
        <v/>
      </c>
      <c r="W96" s="666" t="str">
        <f>IF(OR($A96="F&amp;F",$G96=""),"",IF(W$8&gt;$G96,IF(OR(status1B5!X96=1,status1B5!X96=2,'BOULEVARD 5'!Z94&gt;0),"Pagado","impago"),""))</f>
        <v/>
      </c>
      <c r="X96" s="666" t="str">
        <f>IF(OR($A96="F&amp;F",$G96=""),"",IF(X$8&gt;$G96,IF(OR(status1B5!Y96=1,status1B5!Y96=2,'BOULEVARD 5'!AA94&gt;0),"Pagado","impago"),""))</f>
        <v/>
      </c>
      <c r="Y96" s="666" t="str">
        <f>IF(OR($A96="F&amp;F",$G96=""),"",IF(Y$8&gt;$G96,IF(OR(status1B5!Z96=1,status1B5!Z96=2,'BOULEVARD 5'!AB94&gt;0),"Pagado","impago"),""))</f>
        <v/>
      </c>
      <c r="Z96" s="666" t="str">
        <f>IF(OR($A96="F&amp;F",$G96=""),"",IF(Z$8&gt;$G96,IF(OR(status1B5!AA96=1,status1B5!AA96=2,'BOULEVARD 5'!AC94&gt;0),"Pagado","impago"),""))</f>
        <v/>
      </c>
      <c r="AA96" s="666" t="str">
        <f>IF(OR($A96="F&amp;F",$G96=""),"",IF(AA$8&gt;$G96,IF(OR(status1B5!AB96=1,status1B5!AB96=2,'BOULEVARD 5'!AD94&gt;0),"Pagado","impago"),""))</f>
        <v>Pagado</v>
      </c>
      <c r="AB96" s="666" t="str">
        <f>IF(OR($A96="F&amp;F",$G96=""),"",IF(AB$8&gt;$G96,IF(OR(status1B5!AC96=1,status1B5!AC96=2,'BOULEVARD 5'!AE94&gt;0),"Pagado","impago"),""))</f>
        <v>Pagado</v>
      </c>
      <c r="AC96" s="666" t="str">
        <f>IF(OR($A96="F&amp;F",$G96=""),"",IF(AC$8&gt;$G96,IF(OR(status1B5!AD96=1,status1B5!AD96=2,'BOULEVARD 5'!AF94&gt;0),"Pagado","impago"),""))</f>
        <v>Pagado</v>
      </c>
      <c r="AD96" s="666" t="str">
        <f>IF(OR($A96="F&amp;F",$G96=""),"",IF(AD$8&gt;$G96,IF(OR(status1B5!AE96=1,status1B5!AE96=2,'BOULEVARD 5'!AG94&gt;0),"Pagado","impago"),""))</f>
        <v>Pagado</v>
      </c>
      <c r="AE96" s="666" t="str">
        <f>IF(OR($A96="F&amp;F",$G96=""),"",IF(AE$8&gt;$G96,IF(OR(status1B5!AF96=1,status1B5!AF96=2,'BOULEVARD 5'!AH94&gt;0),"Pagado","impago"),""))</f>
        <v>Pagado</v>
      </c>
      <c r="AF96" s="666" t="str">
        <f>IF(OR($A96="F&amp;F",$G96=""),"",IF(AF$8&gt;$G96,IF(OR(status1B5!AG96=1,status1B5!AG96=2,'BOULEVARD 5'!AI94&gt;0),"Pagado","impago"),""))</f>
        <v>Pagado</v>
      </c>
      <c r="AG96" s="666" t="str">
        <f>IF(OR($A96="F&amp;F",$G96=""),"",IF(AG$8&gt;$G96,IF(OR(status1B5!AH96=1,status1B5!AH96=2,'BOULEVARD 5'!AJ94&gt;0),"Pagado","impago"),""))</f>
        <v>Pagado</v>
      </c>
      <c r="AH96" s="666" t="str">
        <f>IF(OR($A96="F&amp;F",$G96=""),"",IF(AH$8&gt;$G96,IF(OR(status1B5!AI96=1,status1B5!AI96=2,'BOULEVARD 5'!AK94&gt;0),"Pagado","impago"),""))</f>
        <v>Pagado</v>
      </c>
      <c r="AI96" s="666" t="str">
        <f>IF(OR($A96="F&amp;F",$G96=""),"",IF(AI$8&gt;$G96,IF(OR(status1B5!AJ96=1,status1B5!AJ96=2,'BOULEVARD 5'!AL94&gt;0),"Pagado","impago"),""))</f>
        <v>Pagado</v>
      </c>
      <c r="AJ96" s="666" t="str">
        <f>IF(OR($A96="F&amp;F",$G96=""),"",IF(AJ$8&gt;$G96,IF(OR(status1B5!AK96=1,status1B5!AK96=2,'BOULEVARD 5'!AM94&gt;0),"Pagado","impago"),""))</f>
        <v>Pagado</v>
      </c>
      <c r="AK96" s="666" t="str">
        <f>IF(OR($A96="F&amp;F",$G96=""),"",IF(AK$8&gt;$G96,IF(OR(status1B5!AL96=1,status1B5!AL96=2,'BOULEVARD 5'!AN94&gt;0),"Pagado","impago"),""))</f>
        <v>Pagado</v>
      </c>
      <c r="AL96" s="666" t="str">
        <f>IF(OR($A96="F&amp;F",$G96=""),"",IF(AL$8&gt;$G96,IF(OR(status1B5!AM96=1,status1B5!AM96=2,'BOULEVARD 5'!AO94&gt;0),"Pagado","impago"),""))</f>
        <v>Pagado</v>
      </c>
      <c r="AM96" s="666" t="str">
        <f>IF(OR($A96="F&amp;F",$G96=""),"",IF(AM$8&gt;$G96,IF(OR(status1B5!AN96=1,status1B5!AN96=2,'BOULEVARD 5'!AP94&gt;0),"Pagado","impago"),""))</f>
        <v>Pagado</v>
      </c>
      <c r="AN96" s="666" t="str">
        <f>IF(OR($A96="F&amp;F",$G96=""),"",IF(AN$8&gt;$G96,IF(OR(status1B5!AO96=1,status1B5!AO96=2,'BOULEVARD 5'!AQ94&gt;0),"Pagado","impago"),""))</f>
        <v>Pagado</v>
      </c>
      <c r="AO96" s="666" t="str">
        <f>IF(OR($A96="F&amp;F",$G96=""),"",IF(AO$8&gt;$G96,IF(OR(status1B5!AP96=1,status1B5!AP96=2,'BOULEVARD 5'!AS94&gt;0),"Pagado","impago"),""))</f>
        <v>Pagado</v>
      </c>
      <c r="AP96" s="429" t="str">
        <f t="shared" si="6"/>
        <v>Vendido</v>
      </c>
    </row>
    <row r="97" spans="1:42" s="429" customFormat="1" ht="13.9" customHeight="1" x14ac:dyDescent="0.25">
      <c r="A97" s="472"/>
      <c r="B97" s="436">
        <f>'BOULEVARD 5'!B95</f>
        <v>519</v>
      </c>
      <c r="C97" s="436" t="s">
        <v>355</v>
      </c>
      <c r="D97" s="436"/>
      <c r="E97" s="436" t="str">
        <f>IF('BOULEVARD 5'!E95="","",'BOULEVARD 5'!E95)</f>
        <v>Anahí Cisneros</v>
      </c>
      <c r="F97" s="429" t="str">
        <f>IF('BOULEVARD 5'!F95="","",'BOULEVARD 5'!F95)</f>
        <v>Neftali Hemanuel de Leon Recinos</v>
      </c>
      <c r="G97" s="473">
        <f>IF('BOULEVARD 5'!G95="","",'BOULEVARD 5'!G95)</f>
        <v>45898</v>
      </c>
      <c r="H97" s="666" t="str">
        <f>IF(OR($A97="F&amp;F",$G97=""),"",IF(H$8&gt;$G97,IF(OR(status1B5!I97=1,status1B5!I97=2,'BOULEVARD 5'!K95&gt;0),"Pagado","impago"),""))</f>
        <v/>
      </c>
      <c r="I97" s="666" t="str">
        <f>IF(OR($A97="F&amp;F",$G97=""),"",IF(I$8&gt;$G97,IF(OR(status1B5!J97=1,status1B5!J97=2,'BOULEVARD 5'!L95&gt;0),"Pagado","impago"),""))</f>
        <v/>
      </c>
      <c r="J97" s="666" t="str">
        <f>IF(OR($A97="F&amp;F",$G97=""),"",IF(J$8&gt;$G97,IF(OR(status1B5!K97=1,status1B5!K97=2,'BOULEVARD 5'!M95&gt;0),"Pagado","impago"),""))</f>
        <v/>
      </c>
      <c r="K97" s="666" t="str">
        <f>IF(OR($A97="F&amp;F",$G97=""),"",IF(K$8&gt;$G97,IF(OR(status1B5!L97=1,status1B5!L97=2,'BOULEVARD 5'!N95&gt;0),"Pagado","impago"),""))</f>
        <v/>
      </c>
      <c r="L97" s="666" t="str">
        <f>IF(OR($A97="F&amp;F",$G97=""),"",IF(L$8&gt;$G97,IF(OR(status1B5!M97=1,status1B5!M97=2,'BOULEVARD 5'!O95&gt;0),"Pagado","impago"),""))</f>
        <v/>
      </c>
      <c r="M97" s="666" t="str">
        <f>IF(OR($A97="F&amp;F",$G97=""),"",IF(M$8&gt;$G97,IF(OR(status1B5!N97=1,status1B5!N97=2,'BOULEVARD 5'!P95&gt;0),"Pagado","impago"),""))</f>
        <v/>
      </c>
      <c r="N97" s="666" t="str">
        <f>IF(OR($A97="F&amp;F",$G97=""),"",IF(N$8&gt;$G97,IF(OR(status1B5!O97=1,status1B5!O97=2,'BOULEVARD 5'!Q95&gt;0),"Pagado","impago"),""))</f>
        <v/>
      </c>
      <c r="O97" s="666" t="str">
        <f>IF(OR($A97="F&amp;F",$G97=""),"",IF(O$8&gt;$G97,IF(OR(status1B5!P97=1,status1B5!P97=2,'BOULEVARD 5'!R95&gt;0),"Pagado","impago"),""))</f>
        <v/>
      </c>
      <c r="P97" s="666" t="str">
        <f>IF(OR($A97="F&amp;F",$G97=""),"",IF(P$8&gt;$G97,IF(OR(status1B5!Q97=1,status1B5!Q97=2,'BOULEVARD 5'!S95&gt;0),"Pagado","impago"),""))</f>
        <v/>
      </c>
      <c r="Q97" s="666" t="str">
        <f>IF(OR($A97="F&amp;F",$G97=""),"",IF(Q$8&gt;$G97,IF(OR(status1B5!R97=1,status1B5!R97=2,'BOULEVARD 5'!T95&gt;0),"Pagado","impago"),""))</f>
        <v/>
      </c>
      <c r="R97" s="666" t="str">
        <f>IF(OR($A97="F&amp;F",$G97=""),"",IF(R$8&gt;$G97,IF(OR(status1B5!S97=1,status1B5!S97=2,'BOULEVARD 5'!U95&gt;0),"Pagado","impago"),""))</f>
        <v/>
      </c>
      <c r="S97" s="666" t="str">
        <f>IF(OR($A97="F&amp;F",$G97=""),"",IF(S$8&gt;$G97,IF(OR(status1B5!T97=1,status1B5!T97=2,'BOULEVARD 5'!V95&gt;0),"Pagado","impago"),""))</f>
        <v/>
      </c>
      <c r="T97" s="666" t="str">
        <f>IF(OR($A97="F&amp;F",$G97=""),"",IF(T$8&gt;$G97,IF(OR(status1B5!U97=1,status1B5!U97=2,'BOULEVARD 5'!W95&gt;0),"Pagado","impago"),""))</f>
        <v/>
      </c>
      <c r="U97" s="666" t="str">
        <f>IF(OR($A97="F&amp;F",$G97=""),"",IF(U$8&gt;$G97,IF(OR(status1B5!V97=1,status1B5!V97=2,'BOULEVARD 5'!X95&gt;0),"Pagado","impago"),""))</f>
        <v/>
      </c>
      <c r="V97" s="666" t="str">
        <f>IF(OR($A97="F&amp;F",$G97=""),"",IF(V$8&gt;$G97,IF(OR(status1B5!W97=1,status1B5!W97=2,'BOULEVARD 5'!Y95&gt;0),"Pagado","impago"),""))</f>
        <v/>
      </c>
      <c r="W97" s="666" t="str">
        <f>IF(OR($A97="F&amp;F",$G97=""),"",IF(W$8&gt;$G97,IF(OR(status1B5!X97=1,status1B5!X97=2,'BOULEVARD 5'!Z95&gt;0),"Pagado","impago"),""))</f>
        <v/>
      </c>
      <c r="X97" s="666" t="str">
        <f>IF(OR($A97="F&amp;F",$G97=""),"",IF(X$8&gt;$G97,IF(OR(status1B5!Y97=1,status1B5!Y97=2,'BOULEVARD 5'!AA95&gt;0),"Pagado","impago"),""))</f>
        <v/>
      </c>
      <c r="Y97" s="666" t="str">
        <f>IF(OR($A97="F&amp;F",$G97=""),"",IF(Y$8&gt;$G97,IF(OR(status1B5!Z97=1,status1B5!Z97=2,'BOULEVARD 5'!AB95&gt;0),"Pagado","impago"),""))</f>
        <v/>
      </c>
      <c r="Z97" s="666" t="str">
        <f>IF(OR($A97="F&amp;F",$G97=""),"",IF(Z$8&gt;$G97,IF(OR(status1B5!AA97=1,status1B5!AA97=2,'BOULEVARD 5'!AC95&gt;0),"Pagado","impago"),""))</f>
        <v/>
      </c>
      <c r="AA97" s="666" t="str">
        <f>IF(OR($A97="F&amp;F",$G97=""),"",IF(AA$8&gt;$G97,IF(OR(status1B5!AB97=1,status1B5!AB97=2,'BOULEVARD 5'!AD95&gt;0),"Pagado","impago"),""))</f>
        <v/>
      </c>
      <c r="AB97" s="666" t="str">
        <f>IF(OR($A97="F&amp;F",$G97=""),"",IF(AB$8&gt;$G97,IF(OR(status1B5!AC97=1,status1B5!AC97=2,'BOULEVARD 5'!AE95&gt;0),"Pagado","impago"),""))</f>
        <v/>
      </c>
      <c r="AC97" s="666" t="str">
        <f>IF(OR($A97="F&amp;F",$G97=""),"",IF(AC$8&gt;$G97,IF(OR(status1B5!AD97=1,status1B5!AD97=2,'BOULEVARD 5'!AF95&gt;0),"Pagado","impago"),""))</f>
        <v/>
      </c>
      <c r="AD97" s="666" t="str">
        <f>IF(OR($A97="F&amp;F",$G97=""),"",IF(AD$8&gt;$G97,IF(OR(status1B5!AE97=1,status1B5!AE97=2,'BOULEVARD 5'!AG95&gt;0),"Pagado","impago"),""))</f>
        <v/>
      </c>
      <c r="AE97" s="666" t="str">
        <f>IF(OR($A97="F&amp;F",$G97=""),"",IF(AE$8&gt;$G97,IF(OR(status1B5!AF97=1,status1B5!AF97=2,'BOULEVARD 5'!AH95&gt;0),"Pagado","impago"),""))</f>
        <v/>
      </c>
      <c r="AF97" s="666" t="str">
        <f>IF(OR($A97="F&amp;F",$G97=""),"",IF(AF$8&gt;$G97,IF(OR(status1B5!AG97=1,status1B5!AG97=2,'BOULEVARD 5'!AI95&gt;0),"Pagado","impago"),""))</f>
        <v/>
      </c>
      <c r="AG97" s="666" t="str">
        <f>IF(OR($A97="F&amp;F",$G97=""),"",IF(AG$8&gt;$G97,IF(OR(status1B5!AH97=1,status1B5!AH97=2,'BOULEVARD 5'!AJ95&gt;0),"Pagado","impago"),""))</f>
        <v/>
      </c>
      <c r="AH97" s="666" t="str">
        <f>IF(OR($A97="F&amp;F",$G97=""),"",IF(AH$8&gt;$G97,IF(OR(status1B5!AI97=1,status1B5!AI97=2,'BOULEVARD 5'!AK95&gt;0),"Pagado","impago"),""))</f>
        <v/>
      </c>
      <c r="AI97" s="666" t="str">
        <f>IF(OR($A97="F&amp;F",$G97=""),"",IF(AI$8&gt;$G97,IF(OR(status1B5!AJ97=1,status1B5!AJ97=2,'BOULEVARD 5'!AL95&gt;0),"Pagado","impago"),""))</f>
        <v/>
      </c>
      <c r="AJ97" s="666" t="str">
        <f>IF(OR($A97="F&amp;F",$G97=""),"",IF(AJ$8&gt;$G97,IF(OR(status1B5!AK97=1,status1B5!AK97=2,'BOULEVARD 5'!AM95&gt;0),"Pagado","impago"),""))</f>
        <v/>
      </c>
      <c r="AK97" s="666" t="str">
        <f>IF(OR($A97="F&amp;F",$G97=""),"",IF(AK$8&gt;$G97,IF(OR(status1B5!AL97=1,status1B5!AL97=2,'BOULEVARD 5'!AN95&gt;0),"Pagado","impago"),""))</f>
        <v>Pagado</v>
      </c>
      <c r="AL97" s="666" t="str">
        <f>IF(OR($A97="F&amp;F",$G97=""),"",IF(AL$8&gt;$G97,IF(OR(status1B5!AM97=1,status1B5!AM97=2,'BOULEVARD 5'!AO95&gt;0),"Pagado","impago"),""))</f>
        <v>Pagado</v>
      </c>
      <c r="AM97" s="666" t="str">
        <f>IF(OR($A97="F&amp;F",$G97=""),"",IF(AM$8&gt;$G97,IF(OR(status1B5!AN97=1,status1B5!AN97=2,'BOULEVARD 5'!AP95&gt;0),"Pagado","impago"),""))</f>
        <v>Pagado</v>
      </c>
      <c r="AN97" s="666" t="str">
        <f>IF(OR($A97="F&amp;F",$G97=""),"",IF(AN$8&gt;$G97,IF(OR(status1B5!AO97=1,status1B5!AO97=2,'BOULEVARD 5'!AQ95&gt;0),"Pagado","impago"),""))</f>
        <v>Pagado</v>
      </c>
      <c r="AO97" s="666" t="str">
        <f>IF(OR($A97="F&amp;F",$G97=""),"",IF(AO$8&gt;$G97,IF(OR(status1B5!AP97=1,status1B5!AP97=2,'BOULEVARD 5'!AS95&gt;0),"Pagado","impago"),""))</f>
        <v>Pagado</v>
      </c>
      <c r="AP97" s="429" t="str">
        <f t="shared" si="6"/>
        <v>Vendido</v>
      </c>
    </row>
    <row r="98" spans="1:42" s="429" customFormat="1" ht="13.9" customHeight="1" x14ac:dyDescent="0.25">
      <c r="A98" s="472"/>
      <c r="B98" s="436">
        <f>'BOULEVARD 5'!B96</f>
        <v>601</v>
      </c>
      <c r="C98" s="436" t="s">
        <v>355</v>
      </c>
      <c r="D98" s="436"/>
      <c r="E98" s="436" t="str">
        <f>IF('BOULEVARD 5'!E96="","",'BOULEVARD 5'!E96)</f>
        <v>Diana Alvarez</v>
      </c>
      <c r="F98" s="429" t="str">
        <f>IF('BOULEVARD 5'!F96="","",'BOULEVARD 5'!F96)</f>
        <v>Cedric Amilcar Rivera Fajardo</v>
      </c>
      <c r="G98" s="473">
        <f>IF('BOULEVARD 5'!G96="","",'BOULEVARD 5'!G96)</f>
        <v>45580</v>
      </c>
      <c r="H98" s="666" t="str">
        <f>IF(OR($A98="F&amp;F",$G98=""),"",IF(H$8&gt;$G98,IF(OR(status1B5!I98=1,status1B5!I98=2,'BOULEVARD 5'!K96&gt;0),"Pagado","impago"),""))</f>
        <v/>
      </c>
      <c r="I98" s="666" t="str">
        <f>IF(OR($A98="F&amp;F",$G98=""),"",IF(I$8&gt;$G98,IF(OR(status1B5!J98=1,status1B5!J98=2,'BOULEVARD 5'!L96&gt;0),"Pagado","impago"),""))</f>
        <v/>
      </c>
      <c r="J98" s="666" t="str">
        <f>IF(OR($A98="F&amp;F",$G98=""),"",IF(J$8&gt;$G98,IF(OR(status1B5!K98=1,status1B5!K98=2,'BOULEVARD 5'!M96&gt;0),"Pagado","impago"),""))</f>
        <v/>
      </c>
      <c r="K98" s="666" t="str">
        <f>IF(OR($A98="F&amp;F",$G98=""),"",IF(K$8&gt;$G98,IF(OR(status1B5!L98=1,status1B5!L98=2,'BOULEVARD 5'!N96&gt;0),"Pagado","impago"),""))</f>
        <v/>
      </c>
      <c r="L98" s="666" t="str">
        <f>IF(OR($A98="F&amp;F",$G98=""),"",IF(L$8&gt;$G98,IF(OR(status1B5!M98=1,status1B5!M98=2,'BOULEVARD 5'!O96&gt;0),"Pagado","impago"),""))</f>
        <v/>
      </c>
      <c r="M98" s="666" t="str">
        <f>IF(OR($A98="F&amp;F",$G98=""),"",IF(M$8&gt;$G98,IF(OR(status1B5!N98=1,status1B5!N98=2,'BOULEVARD 5'!P96&gt;0),"Pagado","impago"),""))</f>
        <v/>
      </c>
      <c r="N98" s="666" t="str">
        <f>IF(OR($A98="F&amp;F",$G98=""),"",IF(N$8&gt;$G98,IF(OR(status1B5!O98=1,status1B5!O98=2,'BOULEVARD 5'!Q96&gt;0),"Pagado","impago"),""))</f>
        <v/>
      </c>
      <c r="O98" s="666" t="str">
        <f>IF(OR($A98="F&amp;F",$G98=""),"",IF(O$8&gt;$G98,IF(OR(status1B5!P98=1,status1B5!P98=2,'BOULEVARD 5'!R96&gt;0),"Pagado","impago"),""))</f>
        <v/>
      </c>
      <c r="P98" s="666" t="str">
        <f>IF(OR($A98="F&amp;F",$G98=""),"",IF(P$8&gt;$G98,IF(OR(status1B5!Q98=1,status1B5!Q98=2,'BOULEVARD 5'!S96&gt;0),"Pagado","impago"),""))</f>
        <v/>
      </c>
      <c r="Q98" s="666" t="str">
        <f>IF(OR($A98="F&amp;F",$G98=""),"",IF(Q$8&gt;$G98,IF(OR(status1B5!R98=1,status1B5!R98=2,'BOULEVARD 5'!T96&gt;0),"Pagado","impago"),""))</f>
        <v/>
      </c>
      <c r="R98" s="666" t="str">
        <f>IF(OR($A98="F&amp;F",$G98=""),"",IF(R$8&gt;$G98,IF(OR(status1B5!S98=1,status1B5!S98=2,'BOULEVARD 5'!U96&gt;0),"Pagado","impago"),""))</f>
        <v/>
      </c>
      <c r="S98" s="666" t="str">
        <f>IF(OR($A98="F&amp;F",$G98=""),"",IF(S$8&gt;$G98,IF(OR(status1B5!T98=1,status1B5!T98=2,'BOULEVARD 5'!V96&gt;0),"Pagado","impago"),""))</f>
        <v/>
      </c>
      <c r="T98" s="666" t="str">
        <f>IF(OR($A98="F&amp;F",$G98=""),"",IF(T$8&gt;$G98,IF(OR(status1B5!U98=1,status1B5!U98=2,'BOULEVARD 5'!W96&gt;0),"Pagado","impago"),""))</f>
        <v/>
      </c>
      <c r="U98" s="666" t="str">
        <f>IF(OR($A98="F&amp;F",$G98=""),"",IF(U$8&gt;$G98,IF(OR(status1B5!V98=1,status1B5!V98=2,'BOULEVARD 5'!X96&gt;0),"Pagado","impago"),""))</f>
        <v/>
      </c>
      <c r="V98" s="666" t="str">
        <f>IF(OR($A98="F&amp;F",$G98=""),"",IF(V$8&gt;$G98,IF(OR(status1B5!W98=1,status1B5!W98=2,'BOULEVARD 5'!Y96&gt;0),"Pagado","impago"),""))</f>
        <v/>
      </c>
      <c r="W98" s="666" t="str">
        <f>IF(OR($A98="F&amp;F",$G98=""),"",IF(W$8&gt;$G98,IF(OR(status1B5!X98=1,status1B5!X98=2,'BOULEVARD 5'!Z96&gt;0),"Pagado","impago"),""))</f>
        <v/>
      </c>
      <c r="X98" s="666" t="str">
        <f>IF(OR($A98="F&amp;F",$G98=""),"",IF(X$8&gt;$G98,IF(OR(status1B5!Y98=1,status1B5!Y98=2,'BOULEVARD 5'!AA96&gt;0),"Pagado","impago"),""))</f>
        <v/>
      </c>
      <c r="Y98" s="666" t="str">
        <f>IF(OR($A98="F&amp;F",$G98=""),"",IF(Y$8&gt;$G98,IF(OR(status1B5!Z98=1,status1B5!Z98=2,'BOULEVARD 5'!AB96&gt;0),"Pagado","impago"),""))</f>
        <v/>
      </c>
      <c r="Z98" s="666" t="str">
        <f>IF(OR($A98="F&amp;F",$G98=""),"",IF(Z$8&gt;$G98,IF(OR(status1B5!AA98=1,status1B5!AA98=2,'BOULEVARD 5'!AC96&gt;0),"Pagado","impago"),""))</f>
        <v/>
      </c>
      <c r="AA98" s="666" t="str">
        <f>IF(OR($A98="F&amp;F",$G98=""),"",IF(AA$8&gt;$G98,IF(OR(status1B5!AB98=1,status1B5!AB98=2,'BOULEVARD 5'!AD96&gt;0),"Pagado","impago"),""))</f>
        <v>Pagado</v>
      </c>
      <c r="AB98" s="666" t="str">
        <f>IF(OR($A98="F&amp;F",$G98=""),"",IF(AB$8&gt;$G98,IF(OR(status1B5!AC98=1,status1B5!AC98=2,'BOULEVARD 5'!AE96&gt;0),"Pagado","impago"),""))</f>
        <v>Pagado</v>
      </c>
      <c r="AC98" s="666" t="str">
        <f>IF(OR($A98="F&amp;F",$G98=""),"",IF(AC$8&gt;$G98,IF(OR(status1B5!AD98=1,status1B5!AD98=2,'BOULEVARD 5'!AF96&gt;0),"Pagado","impago"),""))</f>
        <v>Pagado</v>
      </c>
      <c r="AD98" s="666" t="str">
        <f>IF(OR($A98="F&amp;F",$G98=""),"",IF(AD$8&gt;$G98,IF(OR(status1B5!AE98=1,status1B5!AE98=2,'BOULEVARD 5'!AG96&gt;0),"Pagado","impago"),""))</f>
        <v>Pagado</v>
      </c>
      <c r="AE98" s="666" t="str">
        <f>IF(OR($A98="F&amp;F",$G98=""),"",IF(AE$8&gt;$G98,IF(OR(status1B5!AF98=1,status1B5!AF98=2,'BOULEVARD 5'!AH96&gt;0),"Pagado","impago"),""))</f>
        <v>Pagado</v>
      </c>
      <c r="AF98" s="666" t="str">
        <f>IF(OR($A98="F&amp;F",$G98=""),"",IF(AF$8&gt;$G98,IF(OR(status1B5!AG98=1,status1B5!AG98=2,'BOULEVARD 5'!AI96&gt;0),"Pagado","impago"),""))</f>
        <v>Pagado</v>
      </c>
      <c r="AG98" s="666" t="str">
        <f>IF(OR($A98="F&amp;F",$G98=""),"",IF(AG$8&gt;$G98,IF(OR(status1B5!AH98=1,status1B5!AH98=2,'BOULEVARD 5'!AJ96&gt;0),"Pagado","impago"),""))</f>
        <v>Pagado</v>
      </c>
      <c r="AH98" s="666" t="str">
        <f>IF(OR($A98="F&amp;F",$G98=""),"",IF(AH$8&gt;$G98,IF(OR(status1B5!AI98=1,status1B5!AI98=2,'BOULEVARD 5'!AK96&gt;0),"Pagado","impago"),""))</f>
        <v>Pagado</v>
      </c>
      <c r="AI98" s="666" t="str">
        <f>IF(OR($A98="F&amp;F",$G98=""),"",IF(AI$8&gt;$G98,IF(OR(status1B5!AJ98=1,status1B5!AJ98=2,'BOULEVARD 5'!AL96&gt;0),"Pagado","impago"),""))</f>
        <v>Pagado</v>
      </c>
      <c r="AJ98" s="666" t="str">
        <f>IF(OR($A98="F&amp;F",$G98=""),"",IF(AJ$8&gt;$G98,IF(OR(status1B5!AK98=1,status1B5!AK98=2,'BOULEVARD 5'!AM96&gt;0),"Pagado","impago"),""))</f>
        <v>Pagado</v>
      </c>
      <c r="AK98" s="666" t="str">
        <f>IF(OR($A98="F&amp;F",$G98=""),"",IF(AK$8&gt;$G98,IF(OR(status1B5!AL98=1,status1B5!AL98=2,'BOULEVARD 5'!AN96&gt;0),"Pagado","impago"),""))</f>
        <v>Pagado</v>
      </c>
      <c r="AL98" s="666" t="str">
        <f>IF(OR($A98="F&amp;F",$G98=""),"",IF(AL$8&gt;$G98,IF(OR(status1B5!AM98=1,status1B5!AM98=2,'BOULEVARD 5'!AO96&gt;0),"Pagado","impago"),""))</f>
        <v>Pagado</v>
      </c>
      <c r="AM98" s="666" t="str">
        <f>IF(OR($A98="F&amp;F",$G98=""),"",IF(AM$8&gt;$G98,IF(OR(status1B5!AN98=1,status1B5!AN98=2,'BOULEVARD 5'!AP96&gt;0),"Pagado","impago"),""))</f>
        <v>Pagado</v>
      </c>
      <c r="AN98" s="666" t="str">
        <f>IF(OR($A98="F&amp;F",$G98=""),"",IF(AN$8&gt;$G98,IF(OR(status1B5!AO98=1,status1B5!AO98=2,'BOULEVARD 5'!AQ96&gt;0),"Pagado","impago"),""))</f>
        <v>Pagado</v>
      </c>
      <c r="AO98" s="666" t="str">
        <f>IF(OR($A98="F&amp;F",$G98=""),"",IF(AO$8&gt;$G98,IF(OR(status1B5!AP98=1,status1B5!AP98=2,'BOULEVARD 5'!AS96&gt;0),"Pagado","impago"),""))</f>
        <v>Pagado</v>
      </c>
      <c r="AP98" s="429" t="str">
        <f t="shared" si="6"/>
        <v>Vendido</v>
      </c>
    </row>
    <row r="99" spans="1:42" s="429" customFormat="1" ht="13.9" customHeight="1" x14ac:dyDescent="0.25">
      <c r="A99" s="472"/>
      <c r="B99" s="436">
        <f>'BOULEVARD 5'!B97</f>
        <v>602</v>
      </c>
      <c r="C99" s="436" t="s">
        <v>355</v>
      </c>
      <c r="D99" s="436"/>
      <c r="E99" s="436" t="str">
        <f>IF('BOULEVARD 5'!E97="","",'BOULEVARD 5'!E97)</f>
        <v>**</v>
      </c>
      <c r="F99" s="429" t="str">
        <f>IF('BOULEVARD 5'!F97="","",'BOULEVARD 5'!F97)</f>
        <v>Wendy Lorena Caal Garcia</v>
      </c>
      <c r="G99" s="473">
        <f>IF('BOULEVARD 5'!G97="","",'BOULEVARD 5'!G97)</f>
        <v>45896</v>
      </c>
      <c r="H99" s="666" t="str">
        <f>IF(OR($A99="F&amp;F",$G99=""),"",IF(H$8&gt;$G99,IF(OR(status1B5!I99=1,status1B5!I99=2,'BOULEVARD 5'!K97&gt;0),"Pagado","impago"),""))</f>
        <v/>
      </c>
      <c r="I99" s="666" t="str">
        <f>IF(OR($A99="F&amp;F",$G99=""),"",IF(I$8&gt;$G99,IF(OR(status1B5!J99=1,status1B5!J99=2,'BOULEVARD 5'!L97&gt;0),"Pagado","impago"),""))</f>
        <v/>
      </c>
      <c r="J99" s="666" t="str">
        <f>IF(OR($A99="F&amp;F",$G99=""),"",IF(J$8&gt;$G99,IF(OR(status1B5!K99=1,status1B5!K99=2,'BOULEVARD 5'!M97&gt;0),"Pagado","impago"),""))</f>
        <v/>
      </c>
      <c r="K99" s="666" t="str">
        <f>IF(OR($A99="F&amp;F",$G99=""),"",IF(K$8&gt;$G99,IF(OR(status1B5!L99=1,status1B5!L99=2,'BOULEVARD 5'!N97&gt;0),"Pagado","impago"),""))</f>
        <v/>
      </c>
      <c r="L99" s="666" t="str">
        <f>IF(OR($A99="F&amp;F",$G99=""),"",IF(L$8&gt;$G99,IF(OR(status1B5!M99=1,status1B5!M99=2,'BOULEVARD 5'!O97&gt;0),"Pagado","impago"),""))</f>
        <v/>
      </c>
      <c r="M99" s="666" t="str">
        <f>IF(OR($A99="F&amp;F",$G99=""),"",IF(M$8&gt;$G99,IF(OR(status1B5!N99=1,status1B5!N99=2,'BOULEVARD 5'!P97&gt;0),"Pagado","impago"),""))</f>
        <v/>
      </c>
      <c r="N99" s="666" t="str">
        <f>IF(OR($A99="F&amp;F",$G99=""),"",IF(N$8&gt;$G99,IF(OR(status1B5!O99=1,status1B5!O99=2,'BOULEVARD 5'!Q97&gt;0),"Pagado","impago"),""))</f>
        <v/>
      </c>
      <c r="O99" s="666" t="str">
        <f>IF(OR($A99="F&amp;F",$G99=""),"",IF(O$8&gt;$G99,IF(OR(status1B5!P99=1,status1B5!P99=2,'BOULEVARD 5'!R97&gt;0),"Pagado","impago"),""))</f>
        <v/>
      </c>
      <c r="P99" s="666" t="str">
        <f>IF(OR($A99="F&amp;F",$G99=""),"",IF(P$8&gt;$G99,IF(OR(status1B5!Q99=1,status1B5!Q99=2,'BOULEVARD 5'!S97&gt;0),"Pagado","impago"),""))</f>
        <v/>
      </c>
      <c r="Q99" s="666" t="str">
        <f>IF(OR($A99="F&amp;F",$G99=""),"",IF(Q$8&gt;$G99,IF(OR(status1B5!R99=1,status1B5!R99=2,'BOULEVARD 5'!T97&gt;0),"Pagado","impago"),""))</f>
        <v/>
      </c>
      <c r="R99" s="666" t="str">
        <f>IF(OR($A99="F&amp;F",$G99=""),"",IF(R$8&gt;$G99,IF(OR(status1B5!S99=1,status1B5!S99=2,'BOULEVARD 5'!U97&gt;0),"Pagado","impago"),""))</f>
        <v/>
      </c>
      <c r="S99" s="666" t="str">
        <f>IF(OR($A99="F&amp;F",$G99=""),"",IF(S$8&gt;$G99,IF(OR(status1B5!T99=1,status1B5!T99=2,'BOULEVARD 5'!V97&gt;0),"Pagado","impago"),""))</f>
        <v/>
      </c>
      <c r="T99" s="666" t="str">
        <f>IF(OR($A99="F&amp;F",$G99=""),"",IF(T$8&gt;$G99,IF(OR(status1B5!U99=1,status1B5!U99=2,'BOULEVARD 5'!W97&gt;0),"Pagado","impago"),""))</f>
        <v/>
      </c>
      <c r="U99" s="666" t="str">
        <f>IF(OR($A99="F&amp;F",$G99=""),"",IF(U$8&gt;$G99,IF(OR(status1B5!V99=1,status1B5!V99=2,'BOULEVARD 5'!X97&gt;0),"Pagado","impago"),""))</f>
        <v/>
      </c>
      <c r="V99" s="666" t="str">
        <f>IF(OR($A99="F&amp;F",$G99=""),"",IF(V$8&gt;$G99,IF(OR(status1B5!W99=1,status1B5!W99=2,'BOULEVARD 5'!Y97&gt;0),"Pagado","impago"),""))</f>
        <v/>
      </c>
      <c r="W99" s="666" t="str">
        <f>IF(OR($A99="F&amp;F",$G99=""),"",IF(W$8&gt;$G99,IF(OR(status1B5!X99=1,status1B5!X99=2,'BOULEVARD 5'!Z97&gt;0),"Pagado","impago"),""))</f>
        <v/>
      </c>
      <c r="X99" s="666" t="str">
        <f>IF(OR($A99="F&amp;F",$G99=""),"",IF(X$8&gt;$G99,IF(OR(status1B5!Y99=1,status1B5!Y99=2,'BOULEVARD 5'!AA97&gt;0),"Pagado","impago"),""))</f>
        <v/>
      </c>
      <c r="Y99" s="666" t="str">
        <f>IF(OR($A99="F&amp;F",$G99=""),"",IF(Y$8&gt;$G99,IF(OR(status1B5!Z99=1,status1B5!Z99=2,'BOULEVARD 5'!AB97&gt;0),"Pagado","impago"),""))</f>
        <v/>
      </c>
      <c r="Z99" s="666" t="str">
        <f>IF(OR($A99="F&amp;F",$G99=""),"",IF(Z$8&gt;$G99,IF(OR(status1B5!AA99=1,status1B5!AA99=2,'BOULEVARD 5'!AC97&gt;0),"Pagado","impago"),""))</f>
        <v/>
      </c>
      <c r="AA99" s="666" t="str">
        <f>IF(OR($A99="F&amp;F",$G99=""),"",IF(AA$8&gt;$G99,IF(OR(status1B5!AB99=1,status1B5!AB99=2,'BOULEVARD 5'!AD97&gt;0),"Pagado","impago"),""))</f>
        <v/>
      </c>
      <c r="AB99" s="666" t="str">
        <f>IF(OR($A99="F&amp;F",$G99=""),"",IF(AB$8&gt;$G99,IF(OR(status1B5!AC99=1,status1B5!AC99=2,'BOULEVARD 5'!AE97&gt;0),"Pagado","impago"),""))</f>
        <v/>
      </c>
      <c r="AC99" s="666" t="str">
        <f>IF(OR($A99="F&amp;F",$G99=""),"",IF(AC$8&gt;$G99,IF(OR(status1B5!AD99=1,status1B5!AD99=2,'BOULEVARD 5'!AF97&gt;0),"Pagado","impago"),""))</f>
        <v/>
      </c>
      <c r="AD99" s="666" t="str">
        <f>IF(OR($A99="F&amp;F",$G99=""),"",IF(AD$8&gt;$G99,IF(OR(status1B5!AE99=1,status1B5!AE99=2,'BOULEVARD 5'!AG97&gt;0),"Pagado","impago"),""))</f>
        <v/>
      </c>
      <c r="AE99" s="666" t="str">
        <f>IF(OR($A99="F&amp;F",$G99=""),"",IF(AE$8&gt;$G99,IF(OR(status1B5!AF99=1,status1B5!AF99=2,'BOULEVARD 5'!AH97&gt;0),"Pagado","impago"),""))</f>
        <v/>
      </c>
      <c r="AF99" s="666" t="str">
        <f>IF(OR($A99="F&amp;F",$G99=""),"",IF(AF$8&gt;$G99,IF(OR(status1B5!AG99=1,status1B5!AG99=2,'BOULEVARD 5'!AI97&gt;0),"Pagado","impago"),""))</f>
        <v/>
      </c>
      <c r="AG99" s="666" t="str">
        <f>IF(OR($A99="F&amp;F",$G99=""),"",IF(AG$8&gt;$G99,IF(OR(status1B5!AH99=1,status1B5!AH99=2,'BOULEVARD 5'!AJ97&gt;0),"Pagado","impago"),""))</f>
        <v/>
      </c>
      <c r="AH99" s="666" t="str">
        <f>IF(OR($A99="F&amp;F",$G99=""),"",IF(AH$8&gt;$G99,IF(OR(status1B5!AI99=1,status1B5!AI99=2,'BOULEVARD 5'!AK97&gt;0),"Pagado","impago"),""))</f>
        <v/>
      </c>
      <c r="AI99" s="666" t="str">
        <f>IF(OR($A99="F&amp;F",$G99=""),"",IF(AI$8&gt;$G99,IF(OR(status1B5!AJ99=1,status1B5!AJ99=2,'BOULEVARD 5'!AL97&gt;0),"Pagado","impago"),""))</f>
        <v/>
      </c>
      <c r="AJ99" s="666" t="str">
        <f>IF(OR($A99="F&amp;F",$G99=""),"",IF(AJ$8&gt;$G99,IF(OR(status1B5!AK99=1,status1B5!AK99=2,'BOULEVARD 5'!AM97&gt;0),"Pagado","impago"),""))</f>
        <v/>
      </c>
      <c r="AK99" s="666" t="str">
        <f>IF(OR($A99="F&amp;F",$G99=""),"",IF(AK$8&gt;$G99,IF(OR(status1B5!AL99=1,status1B5!AL99=2,'BOULEVARD 5'!AN97&gt;0),"Pagado","impago"),""))</f>
        <v>Pagado</v>
      </c>
      <c r="AL99" s="666" t="str">
        <f>IF(OR($A99="F&amp;F",$G99=""),"",IF(AL$8&gt;$G99,IF(OR(status1B5!AM99=1,status1B5!AM99=2,'BOULEVARD 5'!AO97&gt;0),"Pagado","impago"),""))</f>
        <v>Pagado</v>
      </c>
      <c r="AM99" s="666" t="str">
        <f>IF(OR($A99="F&amp;F",$G99=""),"",IF(AM$8&gt;$G99,IF(OR(status1B5!AN99=1,status1B5!AN99=2,'BOULEVARD 5'!AP97&gt;0),"Pagado","impago"),""))</f>
        <v>Pagado</v>
      </c>
      <c r="AN99" s="666" t="str">
        <f>IF(OR($A99="F&amp;F",$G99=""),"",IF(AN$8&gt;$G99,IF(OR(status1B5!AO99=1,status1B5!AO99=2,'BOULEVARD 5'!AQ97&gt;0),"Pagado","impago"),""))</f>
        <v>Pagado</v>
      </c>
      <c r="AO99" s="666" t="str">
        <f>IF(OR($A99="F&amp;F",$G99=""),"",IF(AO$8&gt;$G99,IF(OR(status1B5!AP99=1,status1B5!AP99=2,'BOULEVARD 5'!AS97&gt;0),"Pagado","impago"),""))</f>
        <v>Pagado</v>
      </c>
      <c r="AP99" s="429" t="str">
        <f t="shared" si="6"/>
        <v>Vendido</v>
      </c>
    </row>
    <row r="100" spans="1:42" s="429" customFormat="1" ht="13.9" customHeight="1" x14ac:dyDescent="0.25">
      <c r="A100" s="472"/>
      <c r="B100" s="436">
        <f>'BOULEVARD 5'!B98</f>
        <v>603</v>
      </c>
      <c r="C100" s="436" t="s">
        <v>355</v>
      </c>
      <c r="D100" s="436"/>
      <c r="E100" s="436" t="str">
        <f>IF('BOULEVARD 5'!E98="","",'BOULEVARD 5'!E98)</f>
        <v>Antonio Rada</v>
      </c>
      <c r="F100" s="429" t="str">
        <f>IF('BOULEVARD 5'!F98="","",'BOULEVARD 5'!F98)</f>
        <v>Mario José Márquez Rivera / Belteton Castellanos Iveth</v>
      </c>
      <c r="G100" s="473">
        <f>IF('BOULEVARD 5'!G98="","",'BOULEVARD 5'!G98)</f>
        <v>45384</v>
      </c>
      <c r="H100" s="666" t="str">
        <f>IF(OR($A100="F&amp;F",$G100=""),"",IF(H$8&gt;$G100,IF(OR(status1B5!I100=1,status1B5!I100=2,'BOULEVARD 5'!K98&gt;0),"Pagado","impago"),""))</f>
        <v/>
      </c>
      <c r="I100" s="666" t="str">
        <f>IF(OR($A100="F&amp;F",$G100=""),"",IF(I$8&gt;$G100,IF(OR(status1B5!J100=1,status1B5!J100=2,'BOULEVARD 5'!L98&gt;0),"Pagado","impago"),""))</f>
        <v/>
      </c>
      <c r="J100" s="666" t="str">
        <f>IF(OR($A100="F&amp;F",$G100=""),"",IF(J$8&gt;$G100,IF(OR(status1B5!K100=1,status1B5!K100=2,'BOULEVARD 5'!M98&gt;0),"Pagado","impago"),""))</f>
        <v/>
      </c>
      <c r="K100" s="666" t="str">
        <f>IF(OR($A100="F&amp;F",$G100=""),"",IF(K$8&gt;$G100,IF(OR(status1B5!L100=1,status1B5!L100=2,'BOULEVARD 5'!N98&gt;0),"Pagado","impago"),""))</f>
        <v/>
      </c>
      <c r="L100" s="666" t="str">
        <f>IF(OR($A100="F&amp;F",$G100=""),"",IF(L$8&gt;$G100,IF(OR(status1B5!M100=1,status1B5!M100=2,'BOULEVARD 5'!O98&gt;0),"Pagado","impago"),""))</f>
        <v/>
      </c>
      <c r="M100" s="666" t="str">
        <f>IF(OR($A100="F&amp;F",$G100=""),"",IF(M$8&gt;$G100,IF(OR(status1B5!N100=1,status1B5!N100=2,'BOULEVARD 5'!P98&gt;0),"Pagado","impago"),""))</f>
        <v/>
      </c>
      <c r="N100" s="666" t="str">
        <f>IF(OR($A100="F&amp;F",$G100=""),"",IF(N$8&gt;$G100,IF(OR(status1B5!O100=1,status1B5!O100=2,'BOULEVARD 5'!Q98&gt;0),"Pagado","impago"),""))</f>
        <v/>
      </c>
      <c r="O100" s="666" t="str">
        <f>IF(OR($A100="F&amp;F",$G100=""),"",IF(O$8&gt;$G100,IF(OR(status1B5!P100=1,status1B5!P100=2,'BOULEVARD 5'!R98&gt;0),"Pagado","impago"),""))</f>
        <v/>
      </c>
      <c r="P100" s="666" t="str">
        <f>IF(OR($A100="F&amp;F",$G100=""),"",IF(P$8&gt;$G100,IF(OR(status1B5!Q100=1,status1B5!Q100=2,'BOULEVARD 5'!S98&gt;0),"Pagado","impago"),""))</f>
        <v/>
      </c>
      <c r="Q100" s="666" t="str">
        <f>IF(OR($A100="F&amp;F",$G100=""),"",IF(Q$8&gt;$G100,IF(OR(status1B5!R100=1,status1B5!R100=2,'BOULEVARD 5'!T98&gt;0),"Pagado","impago"),""))</f>
        <v/>
      </c>
      <c r="R100" s="666" t="str">
        <f>IF(OR($A100="F&amp;F",$G100=""),"",IF(R$8&gt;$G100,IF(OR(status1B5!S100=1,status1B5!S100=2,'BOULEVARD 5'!U98&gt;0),"Pagado","impago"),""))</f>
        <v/>
      </c>
      <c r="S100" s="666" t="str">
        <f>IF(OR($A100="F&amp;F",$G100=""),"",IF(S$8&gt;$G100,IF(OR(status1B5!T100=1,status1B5!T100=2,'BOULEVARD 5'!V98&gt;0),"Pagado","impago"),""))</f>
        <v/>
      </c>
      <c r="T100" s="666" t="str">
        <f>IF(OR($A100="F&amp;F",$G100=""),"",IF(T$8&gt;$G100,IF(OR(status1B5!U100=1,status1B5!U100=2,'BOULEVARD 5'!W98&gt;0),"Pagado","impago"),""))</f>
        <v/>
      </c>
      <c r="U100" s="666" t="str">
        <f>IF(OR($A100="F&amp;F",$G100=""),"",IF(U$8&gt;$G100,IF(OR(status1B5!V100=1,status1B5!V100=2,'BOULEVARD 5'!X98&gt;0),"Pagado","impago"),""))</f>
        <v>Pagado</v>
      </c>
      <c r="V100" s="666" t="str">
        <f>IF(OR($A100="F&amp;F",$G100=""),"",IF(V$8&gt;$G100,IF(OR(status1B5!W100=1,status1B5!W100=2,'BOULEVARD 5'!Y98&gt;0),"Pagado","impago"),""))</f>
        <v>Pagado</v>
      </c>
      <c r="W100" s="666" t="str">
        <f>IF(OR($A100="F&amp;F",$G100=""),"",IF(W$8&gt;$G100,IF(OR(status1B5!X100=1,status1B5!X100=2,'BOULEVARD 5'!Z98&gt;0),"Pagado","impago"),""))</f>
        <v>Pagado</v>
      </c>
      <c r="X100" s="666" t="str">
        <f>IF(OR($A100="F&amp;F",$G100=""),"",IF(X$8&gt;$G100,IF(OR(status1B5!Y100=1,status1B5!Y100=2,'BOULEVARD 5'!AA98&gt;0),"Pagado","impago"),""))</f>
        <v>Pagado</v>
      </c>
      <c r="Y100" s="666" t="str">
        <f>IF(OR($A100="F&amp;F",$G100=""),"",IF(Y$8&gt;$G100,IF(OR(status1B5!Z100=1,status1B5!Z100=2,'BOULEVARD 5'!AB98&gt;0),"Pagado","impago"),""))</f>
        <v>Pagado</v>
      </c>
      <c r="Z100" s="666" t="str">
        <f>IF(OR($A100="F&amp;F",$G100=""),"",IF(Z$8&gt;$G100,IF(OR(status1B5!AA100=1,status1B5!AA100=2,'BOULEVARD 5'!AC98&gt;0),"Pagado","impago"),""))</f>
        <v>Pagado</v>
      </c>
      <c r="AA100" s="666" t="str">
        <f>IF(OR($A100="F&amp;F",$G100=""),"",IF(AA$8&gt;$G100,IF(OR(status1B5!AB100=1,status1B5!AB100=2,'BOULEVARD 5'!AD98&gt;0),"Pagado","impago"),""))</f>
        <v>Pagado</v>
      </c>
      <c r="AB100" s="666" t="str">
        <f>IF(OR($A100="F&amp;F",$G100=""),"",IF(AB$8&gt;$G100,IF(OR(status1B5!AC100=1,status1B5!AC100=2,'BOULEVARD 5'!AE98&gt;0),"Pagado","impago"),""))</f>
        <v>Pagado</v>
      </c>
      <c r="AC100" s="666" t="str">
        <f>IF(OR($A100="F&amp;F",$G100=""),"",IF(AC$8&gt;$G100,IF(OR(status1B5!AD100=1,status1B5!AD100=2,'BOULEVARD 5'!AF98&gt;0),"Pagado","impago"),""))</f>
        <v>Pagado</v>
      </c>
      <c r="AD100" s="666" t="str">
        <f>IF(OR($A100="F&amp;F",$G100=""),"",IF(AD$8&gt;$G100,IF(OR(status1B5!AE100=1,status1B5!AE100=2,'BOULEVARD 5'!AG98&gt;0),"Pagado","impago"),""))</f>
        <v>Pagado</v>
      </c>
      <c r="AE100" s="666" t="str">
        <f>IF(OR($A100="F&amp;F",$G100=""),"",IF(AE$8&gt;$G100,IF(OR(status1B5!AF100=1,status1B5!AF100=2,'BOULEVARD 5'!AH98&gt;0),"Pagado","impago"),""))</f>
        <v>Pagado</v>
      </c>
      <c r="AF100" s="666" t="str">
        <f>IF(OR($A100="F&amp;F",$G100=""),"",IF(AF$8&gt;$G100,IF(OR(status1B5!AG100=1,status1B5!AG100=2,'BOULEVARD 5'!AI98&gt;0),"Pagado","impago"),""))</f>
        <v>Pagado</v>
      </c>
      <c r="AG100" s="666" t="str">
        <f>IF(OR($A100="F&amp;F",$G100=""),"",IF(AG$8&gt;$G100,IF(OR(status1B5!AH100=1,status1B5!AH100=2,'BOULEVARD 5'!AJ98&gt;0),"Pagado","impago"),""))</f>
        <v>Pagado</v>
      </c>
      <c r="AH100" s="666" t="str">
        <f>IF(OR($A100="F&amp;F",$G100=""),"",IF(AH$8&gt;$G100,IF(OR(status1B5!AI100=1,status1B5!AI100=2,'BOULEVARD 5'!AK98&gt;0),"Pagado","impago"),""))</f>
        <v>Pagado</v>
      </c>
      <c r="AI100" s="666" t="str">
        <f>IF(OR($A100="F&amp;F",$G100=""),"",IF(AI$8&gt;$G100,IF(OR(status1B5!AJ100=1,status1B5!AJ100=2,'BOULEVARD 5'!AL98&gt;0),"Pagado","impago"),""))</f>
        <v>Pagado</v>
      </c>
      <c r="AJ100" s="666" t="str">
        <f>IF(OR($A100="F&amp;F",$G100=""),"",IF(AJ$8&gt;$G100,IF(OR(status1B5!AK100=1,status1B5!AK100=2,'BOULEVARD 5'!AM98&gt;0),"Pagado","impago"),""))</f>
        <v>Pagado</v>
      </c>
      <c r="AK100" s="666" t="str">
        <f>IF(OR($A100="F&amp;F",$G100=""),"",IF(AK$8&gt;$G100,IF(OR(status1B5!AL100=1,status1B5!AL100=2,'BOULEVARD 5'!AN98&gt;0),"Pagado","impago"),""))</f>
        <v>Pagado</v>
      </c>
      <c r="AL100" s="666" t="str">
        <f>IF(OR($A100="F&amp;F",$G100=""),"",IF(AL$8&gt;$G100,IF(OR(status1B5!AM100=1,status1B5!AM100=2,'BOULEVARD 5'!AO98&gt;0),"Pagado","impago"),""))</f>
        <v>Pagado</v>
      </c>
      <c r="AM100" s="666" t="str">
        <f>IF(OR($A100="F&amp;F",$G100=""),"",IF(AM$8&gt;$G100,IF(OR(status1B5!AN100=1,status1B5!AN100=2,'BOULEVARD 5'!AP98&gt;0),"Pagado","impago"),""))</f>
        <v>Pagado</v>
      </c>
      <c r="AN100" s="666" t="str">
        <f>IF(OR($A100="F&amp;F",$G100=""),"",IF(AN$8&gt;$G100,IF(OR(status1B5!AO100=1,status1B5!AO100=2,'BOULEVARD 5'!AQ98&gt;0),"Pagado","impago"),""))</f>
        <v>Pagado</v>
      </c>
      <c r="AO100" s="666" t="str">
        <f>IF(OR($A100="F&amp;F",$G100=""),"",IF(AO$8&gt;$G100,IF(OR(status1B5!AP100=1,status1B5!AP100=2,'BOULEVARD 5'!AS98&gt;0),"Pagado","impago"),""))</f>
        <v>Pagado</v>
      </c>
      <c r="AP100" s="429" t="str">
        <f t="shared" si="6"/>
        <v>Vendido</v>
      </c>
    </row>
    <row r="101" spans="1:42" s="429" customFormat="1" ht="13.9" customHeight="1" x14ac:dyDescent="0.25">
      <c r="A101" s="472"/>
      <c r="B101" s="436">
        <f>'BOULEVARD 5'!B99</f>
        <v>604</v>
      </c>
      <c r="C101" s="436" t="s">
        <v>355</v>
      </c>
      <c r="D101" s="436"/>
      <c r="E101" s="436" t="str">
        <f>IF('BOULEVARD 5'!E99="","",'BOULEVARD 5'!E99)</f>
        <v>Antonio Rada</v>
      </c>
      <c r="F101" s="429" t="str">
        <f>IF('BOULEVARD 5'!F99="","",'BOULEVARD 5'!F99)</f>
        <v>Juan Sebastian Gaitán Serrano</v>
      </c>
      <c r="G101" s="473">
        <f>IF('BOULEVARD 5'!G99="","",'BOULEVARD 5'!G99)</f>
        <v>45411</v>
      </c>
      <c r="H101" s="666" t="str">
        <f>IF(OR($A101="F&amp;F",$G101=""),"",IF(H$8&gt;$G101,IF(OR(status1B5!I101=1,status1B5!I101=2,'BOULEVARD 5'!K99&gt;0),"Pagado","impago"),""))</f>
        <v/>
      </c>
      <c r="I101" s="666" t="str">
        <f>IF(OR($A101="F&amp;F",$G101=""),"",IF(I$8&gt;$G101,IF(OR(status1B5!J101=1,status1B5!J101=2,'BOULEVARD 5'!L99&gt;0),"Pagado","impago"),""))</f>
        <v/>
      </c>
      <c r="J101" s="666" t="str">
        <f>IF(OR($A101="F&amp;F",$G101=""),"",IF(J$8&gt;$G101,IF(OR(status1B5!K101=1,status1B5!K101=2,'BOULEVARD 5'!M99&gt;0),"Pagado","impago"),""))</f>
        <v/>
      </c>
      <c r="K101" s="666" t="str">
        <f>IF(OR($A101="F&amp;F",$G101=""),"",IF(K$8&gt;$G101,IF(OR(status1B5!L101=1,status1B5!L101=2,'BOULEVARD 5'!N99&gt;0),"Pagado","impago"),""))</f>
        <v/>
      </c>
      <c r="L101" s="666" t="str">
        <f>IF(OR($A101="F&amp;F",$G101=""),"",IF(L$8&gt;$G101,IF(OR(status1B5!M101=1,status1B5!M101=2,'BOULEVARD 5'!O99&gt;0),"Pagado","impago"),""))</f>
        <v/>
      </c>
      <c r="M101" s="666" t="str">
        <f>IF(OR($A101="F&amp;F",$G101=""),"",IF(M$8&gt;$G101,IF(OR(status1B5!N101=1,status1B5!N101=2,'BOULEVARD 5'!P99&gt;0),"Pagado","impago"),""))</f>
        <v/>
      </c>
      <c r="N101" s="666" t="str">
        <f>IF(OR($A101="F&amp;F",$G101=""),"",IF(N$8&gt;$G101,IF(OR(status1B5!O101=1,status1B5!O101=2,'BOULEVARD 5'!Q99&gt;0),"Pagado","impago"),""))</f>
        <v/>
      </c>
      <c r="O101" s="666" t="str">
        <f>IF(OR($A101="F&amp;F",$G101=""),"",IF(O$8&gt;$G101,IF(OR(status1B5!P101=1,status1B5!P101=2,'BOULEVARD 5'!R99&gt;0),"Pagado","impago"),""))</f>
        <v/>
      </c>
      <c r="P101" s="666" t="str">
        <f>IF(OR($A101="F&amp;F",$G101=""),"",IF(P$8&gt;$G101,IF(OR(status1B5!Q101=1,status1B5!Q101=2,'BOULEVARD 5'!S99&gt;0),"Pagado","impago"),""))</f>
        <v/>
      </c>
      <c r="Q101" s="666" t="str">
        <f>IF(OR($A101="F&amp;F",$G101=""),"",IF(Q$8&gt;$G101,IF(OR(status1B5!R101=1,status1B5!R101=2,'BOULEVARD 5'!T99&gt;0),"Pagado","impago"),""))</f>
        <v/>
      </c>
      <c r="R101" s="666" t="str">
        <f>IF(OR($A101="F&amp;F",$G101=""),"",IF(R$8&gt;$G101,IF(OR(status1B5!S101=1,status1B5!S101=2,'BOULEVARD 5'!U99&gt;0),"Pagado","impago"),""))</f>
        <v/>
      </c>
      <c r="S101" s="666" t="str">
        <f>IF(OR($A101="F&amp;F",$G101=""),"",IF(S$8&gt;$G101,IF(OR(status1B5!T101=1,status1B5!T101=2,'BOULEVARD 5'!V99&gt;0),"Pagado","impago"),""))</f>
        <v/>
      </c>
      <c r="T101" s="666" t="str">
        <f>IF(OR($A101="F&amp;F",$G101=""),"",IF(T$8&gt;$G101,IF(OR(status1B5!U101=1,status1B5!U101=2,'BOULEVARD 5'!W99&gt;0),"Pagado","impago"),""))</f>
        <v/>
      </c>
      <c r="U101" s="666" t="str">
        <f>IF(OR($A101="F&amp;F",$G101=""),"",IF(U$8&gt;$G101,IF(OR(status1B5!V101=1,status1B5!V101=2,'BOULEVARD 5'!X99&gt;0),"Pagado","impago"),""))</f>
        <v>Pagado</v>
      </c>
      <c r="V101" s="666" t="str">
        <f>IF(OR($A101="F&amp;F",$G101=""),"",IF(V$8&gt;$G101,IF(OR(status1B5!W101=1,status1B5!W101=2,'BOULEVARD 5'!Y99&gt;0),"Pagado","impago"),""))</f>
        <v>Pagado</v>
      </c>
      <c r="W101" s="666" t="str">
        <f>IF(OR($A101="F&amp;F",$G101=""),"",IF(W$8&gt;$G101,IF(OR(status1B5!X101=1,status1B5!X101=2,'BOULEVARD 5'!Z99&gt;0),"Pagado","impago"),""))</f>
        <v>Pagado</v>
      </c>
      <c r="X101" s="666" t="str">
        <f>IF(OR($A101="F&amp;F",$G101=""),"",IF(X$8&gt;$G101,IF(OR(status1B5!Y101=1,status1B5!Y101=2,'BOULEVARD 5'!AA99&gt;0),"Pagado","impago"),""))</f>
        <v>Pagado</v>
      </c>
      <c r="Y101" s="666" t="str">
        <f>IF(OR($A101="F&amp;F",$G101=""),"",IF(Y$8&gt;$G101,IF(OR(status1B5!Z101=1,status1B5!Z101=2,'BOULEVARD 5'!AB99&gt;0),"Pagado","impago"),""))</f>
        <v>Pagado</v>
      </c>
      <c r="Z101" s="666" t="str">
        <f>IF(OR($A101="F&amp;F",$G101=""),"",IF(Z$8&gt;$G101,IF(OR(status1B5!AA101=1,status1B5!AA101=2,'BOULEVARD 5'!AC99&gt;0),"Pagado","impago"),""))</f>
        <v>Pagado</v>
      </c>
      <c r="AA101" s="666" t="str">
        <f>IF(OR($A101="F&amp;F",$G101=""),"",IF(AA$8&gt;$G101,IF(OR(status1B5!AB101=1,status1B5!AB101=2,'BOULEVARD 5'!AD99&gt;0),"Pagado","impago"),""))</f>
        <v>Pagado</v>
      </c>
      <c r="AB101" s="666" t="str">
        <f>IF(OR($A101="F&amp;F",$G101=""),"",IF(AB$8&gt;$G101,IF(OR(status1B5!AC101=1,status1B5!AC101=2,'BOULEVARD 5'!AE99&gt;0),"Pagado","impago"),""))</f>
        <v>Pagado</v>
      </c>
      <c r="AC101" s="666" t="str">
        <f>IF(OR($A101="F&amp;F",$G101=""),"",IF(AC$8&gt;$G101,IF(OR(status1B5!AD101=1,status1B5!AD101=2,'BOULEVARD 5'!AF99&gt;0),"Pagado","impago"),""))</f>
        <v>Pagado</v>
      </c>
      <c r="AD101" s="666" t="str">
        <f>IF(OR($A101="F&amp;F",$G101=""),"",IF(AD$8&gt;$G101,IF(OR(status1B5!AE101=1,status1B5!AE101=2,'BOULEVARD 5'!AG99&gt;0),"Pagado","impago"),""))</f>
        <v>Pagado</v>
      </c>
      <c r="AE101" s="666" t="str">
        <f>IF(OR($A101="F&amp;F",$G101=""),"",IF(AE$8&gt;$G101,IF(OR(status1B5!AF101=1,status1B5!AF101=2,'BOULEVARD 5'!AH99&gt;0),"Pagado","impago"),""))</f>
        <v>Pagado</v>
      </c>
      <c r="AF101" s="666" t="str">
        <f>IF(OR($A101="F&amp;F",$G101=""),"",IF(AF$8&gt;$G101,IF(OR(status1B5!AG101=1,status1B5!AG101=2,'BOULEVARD 5'!AI99&gt;0),"Pagado","impago"),""))</f>
        <v>Pagado</v>
      </c>
      <c r="AG101" s="666" t="str">
        <f>IF(OR($A101="F&amp;F",$G101=""),"",IF(AG$8&gt;$G101,IF(OR(status1B5!AH101=1,status1B5!AH101=2,'BOULEVARD 5'!AJ99&gt;0),"Pagado","impago"),""))</f>
        <v>Pagado</v>
      </c>
      <c r="AH101" s="666" t="str">
        <f>IF(OR($A101="F&amp;F",$G101=""),"",IF(AH$8&gt;$G101,IF(OR(status1B5!AI101=1,status1B5!AI101=2,'BOULEVARD 5'!AK99&gt;0),"Pagado","impago"),""))</f>
        <v>Pagado</v>
      </c>
      <c r="AI101" s="666" t="str">
        <f>IF(OR($A101="F&amp;F",$G101=""),"",IF(AI$8&gt;$G101,IF(OR(status1B5!AJ101=1,status1B5!AJ101=2,'BOULEVARD 5'!AL99&gt;0),"Pagado","impago"),""))</f>
        <v>Pagado</v>
      </c>
      <c r="AJ101" s="666" t="str">
        <f>IF(OR($A101="F&amp;F",$G101=""),"",IF(AJ$8&gt;$G101,IF(OR(status1B5!AK101=1,status1B5!AK101=2,'BOULEVARD 5'!AM99&gt;0),"Pagado","impago"),""))</f>
        <v>Pagado</v>
      </c>
      <c r="AK101" s="666" t="str">
        <f>IF(OR($A101="F&amp;F",$G101=""),"",IF(AK$8&gt;$G101,IF(OR(status1B5!AL101=1,status1B5!AL101=2,'BOULEVARD 5'!AN99&gt;0),"Pagado","impago"),""))</f>
        <v>Pagado</v>
      </c>
      <c r="AL101" s="666" t="str">
        <f>IF(OR($A101="F&amp;F",$G101=""),"",IF(AL$8&gt;$G101,IF(OR(status1B5!AM101=1,status1B5!AM101=2,'BOULEVARD 5'!AO99&gt;0),"Pagado","impago"),""))</f>
        <v>Pagado</v>
      </c>
      <c r="AM101" s="666" t="str">
        <f>IF(OR($A101="F&amp;F",$G101=""),"",IF(AM$8&gt;$G101,IF(OR(status1B5!AN101=1,status1B5!AN101=2,'BOULEVARD 5'!AP99&gt;0),"Pagado","impago"),""))</f>
        <v>Pagado</v>
      </c>
      <c r="AN101" s="666" t="str">
        <f>IF(OR($A101="F&amp;F",$G101=""),"",IF(AN$8&gt;$G101,IF(OR(status1B5!AO101=1,status1B5!AO101=2,'BOULEVARD 5'!AQ99&gt;0),"Pagado","impago"),""))</f>
        <v>Pagado</v>
      </c>
      <c r="AO101" s="666" t="str">
        <f>IF(OR($A101="F&amp;F",$G101=""),"",IF(AO$8&gt;$G101,IF(OR(status1B5!AP101=1,status1B5!AP101=2,'BOULEVARD 5'!AS99&gt;0),"Pagado","impago"),""))</f>
        <v>Pagado</v>
      </c>
      <c r="AP101" s="429" t="str">
        <f t="shared" si="6"/>
        <v>Vendido</v>
      </c>
    </row>
    <row r="102" spans="1:42" s="429" customFormat="1" ht="13.9" customHeight="1" x14ac:dyDescent="0.25">
      <c r="A102" s="472"/>
      <c r="B102" s="436">
        <f>'BOULEVARD 5'!B100</f>
        <v>605</v>
      </c>
      <c r="C102" s="436" t="s">
        <v>355</v>
      </c>
      <c r="D102" s="436"/>
      <c r="E102" s="436" t="str">
        <f>IF('BOULEVARD 5'!E100="","",'BOULEVARD 5'!E100)</f>
        <v>Antonio Rada</v>
      </c>
      <c r="F102" s="429" t="str">
        <f>IF('BOULEVARD 5'!F100="","",'BOULEVARD 5'!F100)</f>
        <v>Mirna Maria Rosas Guerra</v>
      </c>
      <c r="G102" s="473">
        <f>IF('BOULEVARD 5'!G100="","",'BOULEVARD 5'!G100)</f>
        <v>45553</v>
      </c>
      <c r="H102" s="666" t="str">
        <f>IF(OR($A102="F&amp;F",$G102=""),"",IF(H$8&gt;$G102,IF(OR(status1B5!I102=1,status1B5!I102=2,'BOULEVARD 5'!K100&gt;0),"Pagado","impago"),""))</f>
        <v/>
      </c>
      <c r="I102" s="666" t="str">
        <f>IF(OR($A102="F&amp;F",$G102=""),"",IF(I$8&gt;$G102,IF(OR(status1B5!J102=1,status1B5!J102=2,'BOULEVARD 5'!L100&gt;0),"Pagado","impago"),""))</f>
        <v/>
      </c>
      <c r="J102" s="666" t="str">
        <f>IF(OR($A102="F&amp;F",$G102=""),"",IF(J$8&gt;$G102,IF(OR(status1B5!K102=1,status1B5!K102=2,'BOULEVARD 5'!M100&gt;0),"Pagado","impago"),""))</f>
        <v/>
      </c>
      <c r="K102" s="666" t="str">
        <f>IF(OR($A102="F&amp;F",$G102=""),"",IF(K$8&gt;$G102,IF(OR(status1B5!L102=1,status1B5!L102=2,'BOULEVARD 5'!N100&gt;0),"Pagado","impago"),""))</f>
        <v/>
      </c>
      <c r="L102" s="666" t="str">
        <f>IF(OR($A102="F&amp;F",$G102=""),"",IF(L$8&gt;$G102,IF(OR(status1B5!M102=1,status1B5!M102=2,'BOULEVARD 5'!O100&gt;0),"Pagado","impago"),""))</f>
        <v/>
      </c>
      <c r="M102" s="666" t="str">
        <f>IF(OR($A102="F&amp;F",$G102=""),"",IF(M$8&gt;$G102,IF(OR(status1B5!N102=1,status1B5!N102=2,'BOULEVARD 5'!P100&gt;0),"Pagado","impago"),""))</f>
        <v/>
      </c>
      <c r="N102" s="666" t="str">
        <f>IF(OR($A102="F&amp;F",$G102=""),"",IF(N$8&gt;$G102,IF(OR(status1B5!O102=1,status1B5!O102=2,'BOULEVARD 5'!Q100&gt;0),"Pagado","impago"),""))</f>
        <v/>
      </c>
      <c r="O102" s="666" t="str">
        <f>IF(OR($A102="F&amp;F",$G102=""),"",IF(O$8&gt;$G102,IF(OR(status1B5!P102=1,status1B5!P102=2,'BOULEVARD 5'!R100&gt;0),"Pagado","impago"),""))</f>
        <v/>
      </c>
      <c r="P102" s="666" t="str">
        <f>IF(OR($A102="F&amp;F",$G102=""),"",IF(P$8&gt;$G102,IF(OR(status1B5!Q102=1,status1B5!Q102=2,'BOULEVARD 5'!S100&gt;0),"Pagado","impago"),""))</f>
        <v/>
      </c>
      <c r="Q102" s="666" t="str">
        <f>IF(OR($A102="F&amp;F",$G102=""),"",IF(Q$8&gt;$G102,IF(OR(status1B5!R102=1,status1B5!R102=2,'BOULEVARD 5'!T100&gt;0),"Pagado","impago"),""))</f>
        <v/>
      </c>
      <c r="R102" s="666" t="str">
        <f>IF(OR($A102="F&amp;F",$G102=""),"",IF(R$8&gt;$G102,IF(OR(status1B5!S102=1,status1B5!S102=2,'BOULEVARD 5'!U100&gt;0),"Pagado","impago"),""))</f>
        <v/>
      </c>
      <c r="S102" s="666" t="str">
        <f>IF(OR($A102="F&amp;F",$G102=""),"",IF(S$8&gt;$G102,IF(OR(status1B5!T102=1,status1B5!T102=2,'BOULEVARD 5'!V100&gt;0),"Pagado","impago"),""))</f>
        <v/>
      </c>
      <c r="T102" s="666" t="str">
        <f>IF(OR($A102="F&amp;F",$G102=""),"",IF(T$8&gt;$G102,IF(OR(status1B5!U102=1,status1B5!U102=2,'BOULEVARD 5'!W100&gt;0),"Pagado","impago"),""))</f>
        <v/>
      </c>
      <c r="U102" s="666" t="str">
        <f>IF(OR($A102="F&amp;F",$G102=""),"",IF(U$8&gt;$G102,IF(OR(status1B5!V102=1,status1B5!V102=2,'BOULEVARD 5'!X100&gt;0),"Pagado","impago"),""))</f>
        <v/>
      </c>
      <c r="V102" s="666" t="str">
        <f>IF(OR($A102="F&amp;F",$G102=""),"",IF(V$8&gt;$G102,IF(OR(status1B5!W102=1,status1B5!W102=2,'BOULEVARD 5'!Y100&gt;0),"Pagado","impago"),""))</f>
        <v/>
      </c>
      <c r="W102" s="666" t="str">
        <f>IF(OR($A102="F&amp;F",$G102=""),"",IF(W$8&gt;$G102,IF(OR(status1B5!X102=1,status1B5!X102=2,'BOULEVARD 5'!Z100&gt;0),"Pagado","impago"),""))</f>
        <v/>
      </c>
      <c r="X102" s="666" t="str">
        <f>IF(OR($A102="F&amp;F",$G102=""),"",IF(X$8&gt;$G102,IF(OR(status1B5!Y102=1,status1B5!Y102=2,'BOULEVARD 5'!AA100&gt;0),"Pagado","impago"),""))</f>
        <v/>
      </c>
      <c r="Y102" s="666" t="str">
        <f>IF(OR($A102="F&amp;F",$G102=""),"",IF(Y$8&gt;$G102,IF(OR(status1B5!Z102=1,status1B5!Z102=2,'BOULEVARD 5'!AB100&gt;0),"Pagado","impago"),""))</f>
        <v/>
      </c>
      <c r="Z102" s="666" t="str">
        <f>IF(OR($A102="F&amp;F",$G102=""),"",IF(Z$8&gt;$G102,IF(OR(status1B5!AA102=1,status1B5!AA102=2,'BOULEVARD 5'!AC100&gt;0),"Pagado","impago"),""))</f>
        <v>Pagado</v>
      </c>
      <c r="AA102" s="666" t="str">
        <f>IF(OR($A102="F&amp;F",$G102=""),"",IF(AA$8&gt;$G102,IF(OR(status1B5!AB102=1,status1B5!AB102=2,'BOULEVARD 5'!AD100&gt;0),"Pagado","impago"),""))</f>
        <v>Pagado</v>
      </c>
      <c r="AB102" s="666" t="str">
        <f>IF(OR($A102="F&amp;F",$G102=""),"",IF(AB$8&gt;$G102,IF(OR(status1B5!AC102=1,status1B5!AC102=2,'BOULEVARD 5'!AE100&gt;0),"Pagado","impago"),""))</f>
        <v>Pagado</v>
      </c>
      <c r="AC102" s="666" t="str">
        <f>IF(OR($A102="F&amp;F",$G102=""),"",IF(AC$8&gt;$G102,IF(OR(status1B5!AD102=1,status1B5!AD102=2,'BOULEVARD 5'!AF100&gt;0),"Pagado","impago"),""))</f>
        <v>Pagado</v>
      </c>
      <c r="AD102" s="666" t="str">
        <f>IF(OR($A102="F&amp;F",$G102=""),"",IF(AD$8&gt;$G102,IF(OR(status1B5!AE102=1,status1B5!AE102=2,'BOULEVARD 5'!AG100&gt;0),"Pagado","impago"),""))</f>
        <v>Pagado</v>
      </c>
      <c r="AE102" s="666" t="str">
        <f>IF(OR($A102="F&amp;F",$G102=""),"",IF(AE$8&gt;$G102,IF(OR(status1B5!AF102=1,status1B5!AF102=2,'BOULEVARD 5'!AH100&gt;0),"Pagado","impago"),""))</f>
        <v>Pagado</v>
      </c>
      <c r="AF102" s="666" t="str">
        <f>IF(OR($A102="F&amp;F",$G102=""),"",IF(AF$8&gt;$G102,IF(OR(status1B5!AG102=1,status1B5!AG102=2,'BOULEVARD 5'!AI100&gt;0),"Pagado","impago"),""))</f>
        <v>Pagado</v>
      </c>
      <c r="AG102" s="666" t="str">
        <f>IF(OR($A102="F&amp;F",$G102=""),"",IF(AG$8&gt;$G102,IF(OR(status1B5!AH102=1,status1B5!AH102=2,'BOULEVARD 5'!AJ100&gt;0),"Pagado","impago"),""))</f>
        <v>Pagado</v>
      </c>
      <c r="AH102" s="666" t="str">
        <f>IF(OR($A102="F&amp;F",$G102=""),"",IF(AH$8&gt;$G102,IF(OR(status1B5!AI102=1,status1B5!AI102=2,'BOULEVARD 5'!AK100&gt;0),"Pagado","impago"),""))</f>
        <v>Pagado</v>
      </c>
      <c r="AI102" s="666" t="str">
        <f>IF(OR($A102="F&amp;F",$G102=""),"",IF(AI$8&gt;$G102,IF(OR(status1B5!AJ102=1,status1B5!AJ102=2,'BOULEVARD 5'!AL100&gt;0),"Pagado","impago"),""))</f>
        <v>Pagado</v>
      </c>
      <c r="AJ102" s="666" t="str">
        <f>IF(OR($A102="F&amp;F",$G102=""),"",IF(AJ$8&gt;$G102,IF(OR(status1B5!AK102=1,status1B5!AK102=2,'BOULEVARD 5'!AM100&gt;0),"Pagado","impago"),""))</f>
        <v>Pagado</v>
      </c>
      <c r="AK102" s="666" t="str">
        <f>IF(OR($A102="F&amp;F",$G102=""),"",IF(AK$8&gt;$G102,IF(OR(status1B5!AL102=1,status1B5!AL102=2,'BOULEVARD 5'!AN100&gt;0),"Pagado","impago"),""))</f>
        <v>Pagado</v>
      </c>
      <c r="AL102" s="666" t="str">
        <f>IF(OR($A102="F&amp;F",$G102=""),"",IF(AL$8&gt;$G102,IF(OR(status1B5!AM102=1,status1B5!AM102=2,'BOULEVARD 5'!AO100&gt;0),"Pagado","impago"),""))</f>
        <v>Pagado</v>
      </c>
      <c r="AM102" s="666" t="str">
        <f>IF(OR($A102="F&amp;F",$G102=""),"",IF(AM$8&gt;$G102,IF(OR(status1B5!AN102=1,status1B5!AN102=2,'BOULEVARD 5'!AP100&gt;0),"Pagado","impago"),""))</f>
        <v>Pagado</v>
      </c>
      <c r="AN102" s="666" t="str">
        <f>IF(OR($A102="F&amp;F",$G102=""),"",IF(AN$8&gt;$G102,IF(OR(status1B5!AO102=1,status1B5!AO102=2,'BOULEVARD 5'!AQ100&gt;0),"Pagado","impago"),""))</f>
        <v>Pagado</v>
      </c>
      <c r="AO102" s="666" t="str">
        <f>IF(OR($A102="F&amp;F",$G102=""),"",IF(AO$8&gt;$G102,IF(OR(status1B5!AP102=1,status1B5!AP102=2,'BOULEVARD 5'!AS100&gt;0),"Pagado","impago"),""))</f>
        <v>Pagado</v>
      </c>
      <c r="AP102" s="429" t="str">
        <f t="shared" si="6"/>
        <v>Vendido</v>
      </c>
    </row>
    <row r="103" spans="1:42" s="429" customFormat="1" ht="13.9" customHeight="1" x14ac:dyDescent="0.25">
      <c r="A103" s="472"/>
      <c r="B103" s="436">
        <f>'BOULEVARD 5'!B101</f>
        <v>606</v>
      </c>
      <c r="C103" s="436" t="s">
        <v>355</v>
      </c>
      <c r="D103" s="436"/>
      <c r="E103" s="436" t="str">
        <f>IF('BOULEVARD 5'!E101="","",'BOULEVARD 5'!E101)</f>
        <v>Antonio Rada</v>
      </c>
      <c r="F103" s="429" t="str">
        <f>IF('BOULEVARD 5'!F101="","",'BOULEVARD 5'!F101)</f>
        <v>Mar Frandi Solly Gramajo Hernandez De Calderon</v>
      </c>
      <c r="G103" s="473">
        <f>IF('BOULEVARD 5'!G101="","",'BOULEVARD 5'!G101)</f>
        <v>45533</v>
      </c>
      <c r="H103" s="666" t="str">
        <f>IF(OR($A103="F&amp;F",$G103=""),"",IF(H$8&gt;$G103,IF(OR(status1B5!I103=1,status1B5!I103=2,'BOULEVARD 5'!K101&gt;0),"Pagado","impago"),""))</f>
        <v/>
      </c>
      <c r="I103" s="666" t="str">
        <f>IF(OR($A103="F&amp;F",$G103=""),"",IF(I$8&gt;$G103,IF(OR(status1B5!J103=1,status1B5!J103=2,'BOULEVARD 5'!L101&gt;0),"Pagado","impago"),""))</f>
        <v/>
      </c>
      <c r="J103" s="666" t="str">
        <f>IF(OR($A103="F&amp;F",$G103=""),"",IF(J$8&gt;$G103,IF(OR(status1B5!K103=1,status1B5!K103=2,'BOULEVARD 5'!M101&gt;0),"Pagado","impago"),""))</f>
        <v/>
      </c>
      <c r="K103" s="666" t="str">
        <f>IF(OR($A103="F&amp;F",$G103=""),"",IF(K$8&gt;$G103,IF(OR(status1B5!L103=1,status1B5!L103=2,'BOULEVARD 5'!N101&gt;0),"Pagado","impago"),""))</f>
        <v/>
      </c>
      <c r="L103" s="666" t="str">
        <f>IF(OR($A103="F&amp;F",$G103=""),"",IF(L$8&gt;$G103,IF(OR(status1B5!M103=1,status1B5!M103=2,'BOULEVARD 5'!O101&gt;0),"Pagado","impago"),""))</f>
        <v/>
      </c>
      <c r="M103" s="666" t="str">
        <f>IF(OR($A103="F&amp;F",$G103=""),"",IF(M$8&gt;$G103,IF(OR(status1B5!N103=1,status1B5!N103=2,'BOULEVARD 5'!P101&gt;0),"Pagado","impago"),""))</f>
        <v/>
      </c>
      <c r="N103" s="666" t="str">
        <f>IF(OR($A103="F&amp;F",$G103=""),"",IF(N$8&gt;$G103,IF(OR(status1B5!O103=1,status1B5!O103=2,'BOULEVARD 5'!Q101&gt;0),"Pagado","impago"),""))</f>
        <v/>
      </c>
      <c r="O103" s="666" t="str">
        <f>IF(OR($A103="F&amp;F",$G103=""),"",IF(O$8&gt;$G103,IF(OR(status1B5!P103=1,status1B5!P103=2,'BOULEVARD 5'!R101&gt;0),"Pagado","impago"),""))</f>
        <v/>
      </c>
      <c r="P103" s="666" t="str">
        <f>IF(OR($A103="F&amp;F",$G103=""),"",IF(P$8&gt;$G103,IF(OR(status1B5!Q103=1,status1B5!Q103=2,'BOULEVARD 5'!S101&gt;0),"Pagado","impago"),""))</f>
        <v/>
      </c>
      <c r="Q103" s="666" t="str">
        <f>IF(OR($A103="F&amp;F",$G103=""),"",IF(Q$8&gt;$G103,IF(OR(status1B5!R103=1,status1B5!R103=2,'BOULEVARD 5'!T101&gt;0),"Pagado","impago"),""))</f>
        <v/>
      </c>
      <c r="R103" s="666" t="str">
        <f>IF(OR($A103="F&amp;F",$G103=""),"",IF(R$8&gt;$G103,IF(OR(status1B5!S103=1,status1B5!S103=2,'BOULEVARD 5'!U101&gt;0),"Pagado","impago"),""))</f>
        <v/>
      </c>
      <c r="S103" s="666" t="str">
        <f>IF(OR($A103="F&amp;F",$G103=""),"",IF(S$8&gt;$G103,IF(OR(status1B5!T103=1,status1B5!T103=2,'BOULEVARD 5'!V101&gt;0),"Pagado","impago"),""))</f>
        <v/>
      </c>
      <c r="T103" s="666" t="str">
        <f>IF(OR($A103="F&amp;F",$G103=""),"",IF(T$8&gt;$G103,IF(OR(status1B5!U103=1,status1B5!U103=2,'BOULEVARD 5'!W101&gt;0),"Pagado","impago"),""))</f>
        <v/>
      </c>
      <c r="U103" s="666" t="str">
        <f>IF(OR($A103="F&amp;F",$G103=""),"",IF(U$8&gt;$G103,IF(OR(status1B5!V103=1,status1B5!V103=2,'BOULEVARD 5'!X101&gt;0),"Pagado","impago"),""))</f>
        <v/>
      </c>
      <c r="V103" s="666" t="str">
        <f>IF(OR($A103="F&amp;F",$G103=""),"",IF(V$8&gt;$G103,IF(OR(status1B5!W103=1,status1B5!W103=2,'BOULEVARD 5'!Y101&gt;0),"Pagado","impago"),""))</f>
        <v/>
      </c>
      <c r="W103" s="666" t="str">
        <f>IF(OR($A103="F&amp;F",$G103=""),"",IF(W$8&gt;$G103,IF(OR(status1B5!X103=1,status1B5!X103=2,'BOULEVARD 5'!Z101&gt;0),"Pagado","impago"),""))</f>
        <v/>
      </c>
      <c r="X103" s="666" t="str">
        <f>IF(OR($A103="F&amp;F",$G103=""),"",IF(X$8&gt;$G103,IF(OR(status1B5!Y103=1,status1B5!Y103=2,'BOULEVARD 5'!AA101&gt;0),"Pagado","impago"),""))</f>
        <v/>
      </c>
      <c r="Y103" s="666" t="str">
        <f>IF(OR($A103="F&amp;F",$G103=""),"",IF(Y$8&gt;$G103,IF(OR(status1B5!Z103=1,status1B5!Z103=2,'BOULEVARD 5'!AB101&gt;0),"Pagado","impago"),""))</f>
        <v>Pagado</v>
      </c>
      <c r="Z103" s="666" t="str">
        <f>IF(OR($A103="F&amp;F",$G103=""),"",IF(Z$8&gt;$G103,IF(OR(status1B5!AA103=1,status1B5!AA103=2,'BOULEVARD 5'!AC101&gt;0),"Pagado","impago"),""))</f>
        <v>Pagado</v>
      </c>
      <c r="AA103" s="666" t="str">
        <f>IF(OR($A103="F&amp;F",$G103=""),"",IF(AA$8&gt;$G103,IF(OR(status1B5!AB103=1,status1B5!AB103=2,'BOULEVARD 5'!AD101&gt;0),"Pagado","impago"),""))</f>
        <v>Pagado</v>
      </c>
      <c r="AB103" s="666" t="str">
        <f>IF(OR($A103="F&amp;F",$G103=""),"",IF(AB$8&gt;$G103,IF(OR(status1B5!AC103=1,status1B5!AC103=2,'BOULEVARD 5'!AE101&gt;0),"Pagado","impago"),""))</f>
        <v>Pagado</v>
      </c>
      <c r="AC103" s="666" t="str">
        <f>IF(OR($A103="F&amp;F",$G103=""),"",IF(AC$8&gt;$G103,IF(OR(status1B5!AD103=1,status1B5!AD103=2,'BOULEVARD 5'!AF101&gt;0),"Pagado","impago"),""))</f>
        <v>Pagado</v>
      </c>
      <c r="AD103" s="666" t="str">
        <f>IF(OR($A103="F&amp;F",$G103=""),"",IF(AD$8&gt;$G103,IF(OR(status1B5!AE103=1,status1B5!AE103=2,'BOULEVARD 5'!AG101&gt;0),"Pagado","impago"),""))</f>
        <v>Pagado</v>
      </c>
      <c r="AE103" s="666" t="str">
        <f>IF(OR($A103="F&amp;F",$G103=""),"",IF(AE$8&gt;$G103,IF(OR(status1B5!AF103=1,status1B5!AF103=2,'BOULEVARD 5'!AH101&gt;0),"Pagado","impago"),""))</f>
        <v>Pagado</v>
      </c>
      <c r="AF103" s="666" t="str">
        <f>IF(OR($A103="F&amp;F",$G103=""),"",IF(AF$8&gt;$G103,IF(OR(status1B5!AG103=1,status1B5!AG103=2,'BOULEVARD 5'!AI101&gt;0),"Pagado","impago"),""))</f>
        <v>Pagado</v>
      </c>
      <c r="AG103" s="666" t="str">
        <f>IF(OR($A103="F&amp;F",$G103=""),"",IF(AG$8&gt;$G103,IF(OR(status1B5!AH103=1,status1B5!AH103=2,'BOULEVARD 5'!AJ101&gt;0),"Pagado","impago"),""))</f>
        <v>Pagado</v>
      </c>
      <c r="AH103" s="666" t="str">
        <f>IF(OR($A103="F&amp;F",$G103=""),"",IF(AH$8&gt;$G103,IF(OR(status1B5!AI103=1,status1B5!AI103=2,'BOULEVARD 5'!AK101&gt;0),"Pagado","impago"),""))</f>
        <v>Pagado</v>
      </c>
      <c r="AI103" s="666" t="str">
        <f>IF(OR($A103="F&amp;F",$G103=""),"",IF(AI$8&gt;$G103,IF(OR(status1B5!AJ103=1,status1B5!AJ103=2,'BOULEVARD 5'!AL101&gt;0),"Pagado","impago"),""))</f>
        <v>Pagado</v>
      </c>
      <c r="AJ103" s="666" t="str">
        <f>IF(OR($A103="F&amp;F",$G103=""),"",IF(AJ$8&gt;$G103,IF(OR(status1B5!AK103=1,status1B5!AK103=2,'BOULEVARD 5'!AM101&gt;0),"Pagado","impago"),""))</f>
        <v>Pagado</v>
      </c>
      <c r="AK103" s="666" t="str">
        <f>IF(OR($A103="F&amp;F",$G103=""),"",IF(AK$8&gt;$G103,IF(OR(status1B5!AL103=1,status1B5!AL103=2,'BOULEVARD 5'!AN101&gt;0),"Pagado","impago"),""))</f>
        <v>Pagado</v>
      </c>
      <c r="AL103" s="666" t="str">
        <f>IF(OR($A103="F&amp;F",$G103=""),"",IF(AL$8&gt;$G103,IF(OR(status1B5!AM103=1,status1B5!AM103=2,'BOULEVARD 5'!AO101&gt;0),"Pagado","impago"),""))</f>
        <v>Pagado</v>
      </c>
      <c r="AM103" s="666" t="str">
        <f>IF(OR($A103="F&amp;F",$G103=""),"",IF(AM$8&gt;$G103,IF(OR(status1B5!AN103=1,status1B5!AN103=2,'BOULEVARD 5'!AP101&gt;0),"Pagado","impago"),""))</f>
        <v>Pagado</v>
      </c>
      <c r="AN103" s="666" t="str">
        <f>IF(OR($A103="F&amp;F",$G103=""),"",IF(AN$8&gt;$G103,IF(OR(status1B5!AO103=1,status1B5!AO103=2,'BOULEVARD 5'!AQ101&gt;0),"Pagado","impago"),""))</f>
        <v>Pagado</v>
      </c>
      <c r="AO103" s="666" t="str">
        <f>IF(OR($A103="F&amp;F",$G103=""),"",IF(AO$8&gt;$G103,IF(OR(status1B5!AP103=1,status1B5!AP103=2,'BOULEVARD 5'!AS101&gt;0),"Pagado","impago"),""))</f>
        <v>Pagado</v>
      </c>
      <c r="AP103" s="429" t="str">
        <f t="shared" si="6"/>
        <v>Vendido</v>
      </c>
    </row>
    <row r="104" spans="1:42" s="429" customFormat="1" ht="13.9" customHeight="1" x14ac:dyDescent="0.25">
      <c r="A104" s="472"/>
      <c r="B104" s="436">
        <f>'BOULEVARD 5'!B102</f>
        <v>607</v>
      </c>
      <c r="C104" s="436" t="s">
        <v>355</v>
      </c>
      <c r="D104" s="436"/>
      <c r="E104" s="436" t="str">
        <f>IF('BOULEVARD 5'!E102="","",'BOULEVARD 5'!E102)</f>
        <v>Antonio Rada</v>
      </c>
      <c r="F104" s="429" t="str">
        <f>IF('BOULEVARD 5'!F102="","",'BOULEVARD 5'!F102)</f>
        <v>Antony Williams Sajche Torres / Madelyn Kristina Sajche Torres</v>
      </c>
      <c r="G104" s="473">
        <f>IF('BOULEVARD 5'!G102="","",'BOULEVARD 5'!G102)</f>
        <v>45769</v>
      </c>
      <c r="H104" s="666" t="str">
        <f>IF(OR($A104="F&amp;F",$G104=""),"",IF(H$8&gt;$G104,IF(OR(status1B5!I104=1,status1B5!I104=2,'BOULEVARD 5'!K102&gt;0),"Pagado","impago"),""))</f>
        <v/>
      </c>
      <c r="I104" s="666" t="str">
        <f>IF(OR($A104="F&amp;F",$G104=""),"",IF(I$8&gt;$G104,IF(OR(status1B5!J104=1,status1B5!J104=2,'BOULEVARD 5'!L102&gt;0),"Pagado","impago"),""))</f>
        <v/>
      </c>
      <c r="J104" s="666" t="str">
        <f>IF(OR($A104="F&amp;F",$G104=""),"",IF(J$8&gt;$G104,IF(OR(status1B5!K104=1,status1B5!K104=2,'BOULEVARD 5'!M102&gt;0),"Pagado","impago"),""))</f>
        <v/>
      </c>
      <c r="K104" s="666" t="str">
        <f>IF(OR($A104="F&amp;F",$G104=""),"",IF(K$8&gt;$G104,IF(OR(status1B5!L104=1,status1B5!L104=2,'BOULEVARD 5'!N102&gt;0),"Pagado","impago"),""))</f>
        <v/>
      </c>
      <c r="L104" s="666" t="str">
        <f>IF(OR($A104="F&amp;F",$G104=""),"",IF(L$8&gt;$G104,IF(OR(status1B5!M104=1,status1B5!M104=2,'BOULEVARD 5'!O102&gt;0),"Pagado","impago"),""))</f>
        <v/>
      </c>
      <c r="M104" s="666" t="str">
        <f>IF(OR($A104="F&amp;F",$G104=""),"",IF(M$8&gt;$G104,IF(OR(status1B5!N104=1,status1B5!N104=2,'BOULEVARD 5'!P102&gt;0),"Pagado","impago"),""))</f>
        <v/>
      </c>
      <c r="N104" s="666" t="str">
        <f>IF(OR($A104="F&amp;F",$G104=""),"",IF(N$8&gt;$G104,IF(OR(status1B5!O104=1,status1B5!O104=2,'BOULEVARD 5'!Q102&gt;0),"Pagado","impago"),""))</f>
        <v/>
      </c>
      <c r="O104" s="666" t="str">
        <f>IF(OR($A104="F&amp;F",$G104=""),"",IF(O$8&gt;$G104,IF(OR(status1B5!P104=1,status1B5!P104=2,'BOULEVARD 5'!R102&gt;0),"Pagado","impago"),""))</f>
        <v/>
      </c>
      <c r="P104" s="666" t="str">
        <f>IF(OR($A104="F&amp;F",$G104=""),"",IF(P$8&gt;$G104,IF(OR(status1B5!Q104=1,status1B5!Q104=2,'BOULEVARD 5'!S102&gt;0),"Pagado","impago"),""))</f>
        <v/>
      </c>
      <c r="Q104" s="666" t="str">
        <f>IF(OR($A104="F&amp;F",$G104=""),"",IF(Q$8&gt;$G104,IF(OR(status1B5!R104=1,status1B5!R104=2,'BOULEVARD 5'!T102&gt;0),"Pagado","impago"),""))</f>
        <v/>
      </c>
      <c r="R104" s="666" t="str">
        <f>IF(OR($A104="F&amp;F",$G104=""),"",IF(R$8&gt;$G104,IF(OR(status1B5!S104=1,status1B5!S104=2,'BOULEVARD 5'!U102&gt;0),"Pagado","impago"),""))</f>
        <v/>
      </c>
      <c r="S104" s="666" t="str">
        <f>IF(OR($A104="F&amp;F",$G104=""),"",IF(S$8&gt;$G104,IF(OR(status1B5!T104=1,status1B5!T104=2,'BOULEVARD 5'!V102&gt;0),"Pagado","impago"),""))</f>
        <v/>
      </c>
      <c r="T104" s="666" t="str">
        <f>IF(OR($A104="F&amp;F",$G104=""),"",IF(T$8&gt;$G104,IF(OR(status1B5!U104=1,status1B5!U104=2,'BOULEVARD 5'!W102&gt;0),"Pagado","impago"),""))</f>
        <v/>
      </c>
      <c r="U104" s="666" t="str">
        <f>IF(OR($A104="F&amp;F",$G104=""),"",IF(U$8&gt;$G104,IF(OR(status1B5!V104=1,status1B5!V104=2,'BOULEVARD 5'!X102&gt;0),"Pagado","impago"),""))</f>
        <v/>
      </c>
      <c r="V104" s="666" t="str">
        <f>IF(OR($A104="F&amp;F",$G104=""),"",IF(V$8&gt;$G104,IF(OR(status1B5!W104=1,status1B5!W104=2,'BOULEVARD 5'!Y102&gt;0),"Pagado","impago"),""))</f>
        <v/>
      </c>
      <c r="W104" s="666" t="str">
        <f>IF(OR($A104="F&amp;F",$G104=""),"",IF(W$8&gt;$G104,IF(OR(status1B5!X104=1,status1B5!X104=2,'BOULEVARD 5'!Z102&gt;0),"Pagado","impago"),""))</f>
        <v/>
      </c>
      <c r="X104" s="666" t="str">
        <f>IF(OR($A104="F&amp;F",$G104=""),"",IF(X$8&gt;$G104,IF(OR(status1B5!Y104=1,status1B5!Y104=2,'BOULEVARD 5'!AA102&gt;0),"Pagado","impago"),""))</f>
        <v/>
      </c>
      <c r="Y104" s="666" t="str">
        <f>IF(OR($A104="F&amp;F",$G104=""),"",IF(Y$8&gt;$G104,IF(OR(status1B5!Z104=1,status1B5!Z104=2,'BOULEVARD 5'!AB102&gt;0),"Pagado","impago"),""))</f>
        <v/>
      </c>
      <c r="Z104" s="666" t="str">
        <f>IF(OR($A104="F&amp;F",$G104=""),"",IF(Z$8&gt;$G104,IF(OR(status1B5!AA104=1,status1B5!AA104=2,'BOULEVARD 5'!AC102&gt;0),"Pagado","impago"),""))</f>
        <v/>
      </c>
      <c r="AA104" s="666" t="str">
        <f>IF(OR($A104="F&amp;F",$G104=""),"",IF(AA$8&gt;$G104,IF(OR(status1B5!AB104=1,status1B5!AB104=2,'BOULEVARD 5'!AD102&gt;0),"Pagado","impago"),""))</f>
        <v/>
      </c>
      <c r="AB104" s="666" t="str">
        <f>IF(OR($A104="F&amp;F",$G104=""),"",IF(AB$8&gt;$G104,IF(OR(status1B5!AC104=1,status1B5!AC104=2,'BOULEVARD 5'!AE102&gt;0),"Pagado","impago"),""))</f>
        <v/>
      </c>
      <c r="AC104" s="666" t="str">
        <f>IF(OR($A104="F&amp;F",$G104=""),"",IF(AC$8&gt;$G104,IF(OR(status1B5!AD104=1,status1B5!AD104=2,'BOULEVARD 5'!AF102&gt;0),"Pagado","impago"),""))</f>
        <v/>
      </c>
      <c r="AD104" s="666" t="str">
        <f>IF(OR($A104="F&amp;F",$G104=""),"",IF(AD$8&gt;$G104,IF(OR(status1B5!AE104=1,status1B5!AE104=2,'BOULEVARD 5'!AG102&gt;0),"Pagado","impago"),""))</f>
        <v/>
      </c>
      <c r="AE104" s="666" t="str">
        <f>IF(OR($A104="F&amp;F",$G104=""),"",IF(AE$8&gt;$G104,IF(OR(status1B5!AF104=1,status1B5!AF104=2,'BOULEVARD 5'!AH102&gt;0),"Pagado","impago"),""))</f>
        <v/>
      </c>
      <c r="AF104" s="666" t="str">
        <f>IF(OR($A104="F&amp;F",$G104=""),"",IF(AF$8&gt;$G104,IF(OR(status1B5!AG104=1,status1B5!AG104=2,'BOULEVARD 5'!AI102&gt;0),"Pagado","impago"),""))</f>
        <v/>
      </c>
      <c r="AG104" s="666" t="str">
        <f>IF(OR($A104="F&amp;F",$G104=""),"",IF(AG$8&gt;$G104,IF(OR(status1B5!AH104=1,status1B5!AH104=2,'BOULEVARD 5'!AJ102&gt;0),"Pagado","impago"),""))</f>
        <v>Pagado</v>
      </c>
      <c r="AH104" s="666" t="str">
        <f>IF(OR($A104="F&amp;F",$G104=""),"",IF(AH$8&gt;$G104,IF(OR(status1B5!AI104=1,status1B5!AI104=2,'BOULEVARD 5'!AK102&gt;0),"Pagado","impago"),""))</f>
        <v>Pagado</v>
      </c>
      <c r="AI104" s="666" t="str">
        <f>IF(OR($A104="F&amp;F",$G104=""),"",IF(AI$8&gt;$G104,IF(OR(status1B5!AJ104=1,status1B5!AJ104=2,'BOULEVARD 5'!AL102&gt;0),"Pagado","impago"),""))</f>
        <v>Pagado</v>
      </c>
      <c r="AJ104" s="666" t="str">
        <f>IF(OR($A104="F&amp;F",$G104=""),"",IF(AJ$8&gt;$G104,IF(OR(status1B5!AK104=1,status1B5!AK104=2,'BOULEVARD 5'!AM102&gt;0),"Pagado","impago"),""))</f>
        <v>Pagado</v>
      </c>
      <c r="AK104" s="666" t="str">
        <f>IF(OR($A104="F&amp;F",$G104=""),"",IF(AK$8&gt;$G104,IF(OR(status1B5!AL104=1,status1B5!AL104=2,'BOULEVARD 5'!AN102&gt;0),"Pagado","impago"),""))</f>
        <v>Pagado</v>
      </c>
      <c r="AL104" s="666" t="str">
        <f>IF(OR($A104="F&amp;F",$G104=""),"",IF(AL$8&gt;$G104,IF(OR(status1B5!AM104=1,status1B5!AM104=2,'BOULEVARD 5'!AO102&gt;0),"Pagado","impago"),""))</f>
        <v>Pagado</v>
      </c>
      <c r="AM104" s="666" t="str">
        <f>IF(OR($A104="F&amp;F",$G104=""),"",IF(AM$8&gt;$G104,IF(OR(status1B5!AN104=1,status1B5!AN104=2,'BOULEVARD 5'!AP102&gt;0),"Pagado","impago"),""))</f>
        <v>Pagado</v>
      </c>
      <c r="AN104" s="666" t="str">
        <f>IF(OR($A104="F&amp;F",$G104=""),"",IF(AN$8&gt;$G104,IF(OR(status1B5!AO104=1,status1B5!AO104=2,'BOULEVARD 5'!AQ102&gt;0),"Pagado","impago"),""))</f>
        <v>Pagado</v>
      </c>
      <c r="AO104" s="666" t="str">
        <f>IF(OR($A104="F&amp;F",$G104=""),"",IF(AO$8&gt;$G104,IF(OR(status1B5!AP104=1,status1B5!AP104=2,'BOULEVARD 5'!AS102&gt;0),"Pagado","impago"),""))</f>
        <v>Pagado</v>
      </c>
      <c r="AP104" s="429" t="str">
        <f t="shared" si="6"/>
        <v>Vendido</v>
      </c>
    </row>
    <row r="105" spans="1:42" s="429" customFormat="1" ht="13.9" customHeight="1" x14ac:dyDescent="0.25">
      <c r="A105" s="472"/>
      <c r="B105" s="436">
        <f>'BOULEVARD 5'!B103</f>
        <v>608</v>
      </c>
      <c r="C105" s="436" t="s">
        <v>355</v>
      </c>
      <c r="D105" s="642"/>
      <c r="E105" s="436" t="str">
        <f>IF('BOULEVARD 5'!E103="","",'BOULEVARD 5'!E103)</f>
        <v>Antonio Rada</v>
      </c>
      <c r="F105" s="429" t="str">
        <f>IF('BOULEVARD 5'!F103="","",'BOULEVARD 5'!F103)</f>
        <v>Alfonso Videche Rodriguez</v>
      </c>
      <c r="G105" s="473">
        <f>IF('BOULEVARD 5'!G103="","",'BOULEVARD 5'!G103)</f>
        <v>45324</v>
      </c>
      <c r="H105" s="666" t="str">
        <f>IF(OR($A105="F&amp;F",$G105=""),"",IF(H$8&gt;$G105,IF(OR(status1B5!I105=1,status1B5!I105=2,'BOULEVARD 5'!K103&gt;0),"Pagado","impago"),""))</f>
        <v/>
      </c>
      <c r="I105" s="666" t="str">
        <f>IF(OR($A105="F&amp;F",$G105=""),"",IF(I$8&gt;$G105,IF(OR(status1B5!J105=1,status1B5!J105=2,'BOULEVARD 5'!L103&gt;0),"Pagado","impago"),""))</f>
        <v/>
      </c>
      <c r="J105" s="666" t="str">
        <f>IF(OR($A105="F&amp;F",$G105=""),"",IF(J$8&gt;$G105,IF(OR(status1B5!K105=1,status1B5!K105=2,'BOULEVARD 5'!M103&gt;0),"Pagado","impago"),""))</f>
        <v/>
      </c>
      <c r="K105" s="666" t="str">
        <f>IF(OR($A105="F&amp;F",$G105=""),"",IF(K$8&gt;$G105,IF(OR(status1B5!L105=1,status1B5!L105=2,'BOULEVARD 5'!N103&gt;0),"Pagado","impago"),""))</f>
        <v/>
      </c>
      <c r="L105" s="666" t="str">
        <f>IF(OR($A105="F&amp;F",$G105=""),"",IF(L$8&gt;$G105,IF(OR(status1B5!M105=1,status1B5!M105=2,'BOULEVARD 5'!O103&gt;0),"Pagado","impago"),""))</f>
        <v/>
      </c>
      <c r="M105" s="666" t="str">
        <f>IF(OR($A105="F&amp;F",$G105=""),"",IF(M$8&gt;$G105,IF(OR(status1B5!N105=1,status1B5!N105=2,'BOULEVARD 5'!P103&gt;0),"Pagado","impago"),""))</f>
        <v/>
      </c>
      <c r="N105" s="666" t="str">
        <f>IF(OR($A105="F&amp;F",$G105=""),"",IF(N$8&gt;$G105,IF(OR(status1B5!O105=1,status1B5!O105=2,'BOULEVARD 5'!Q103&gt;0),"Pagado","impago"),""))</f>
        <v/>
      </c>
      <c r="O105" s="666" t="str">
        <f>IF(OR($A105="F&amp;F",$G105=""),"",IF(O$8&gt;$G105,IF(OR(status1B5!P105=1,status1B5!P105=2,'BOULEVARD 5'!R103&gt;0),"Pagado","impago"),""))</f>
        <v/>
      </c>
      <c r="P105" s="666" t="str">
        <f>IF(OR($A105="F&amp;F",$G105=""),"",IF(P$8&gt;$G105,IF(OR(status1B5!Q105=1,status1B5!Q105=2,'BOULEVARD 5'!S103&gt;0),"Pagado","impago"),""))</f>
        <v/>
      </c>
      <c r="Q105" s="666" t="str">
        <f>IF(OR($A105="F&amp;F",$G105=""),"",IF(Q$8&gt;$G105,IF(OR(status1B5!R105=1,status1B5!R105=2,'BOULEVARD 5'!T103&gt;0),"Pagado","impago"),""))</f>
        <v/>
      </c>
      <c r="R105" s="666" t="str">
        <f>IF(OR($A105="F&amp;F",$G105=""),"",IF(R$8&gt;$G105,IF(OR(status1B5!S105=1,status1B5!S105=2,'BOULEVARD 5'!U103&gt;0),"Pagado","impago"),""))</f>
        <v/>
      </c>
      <c r="S105" s="666" t="str">
        <f>IF(OR($A105="F&amp;F",$G105=""),"",IF(S$8&gt;$G105,IF(OR(status1B5!T105=1,status1B5!T105=2,'BOULEVARD 5'!V103&gt;0),"Pagado","impago"),""))</f>
        <v>Pagado</v>
      </c>
      <c r="T105" s="666" t="str">
        <f>IF(OR($A105="F&amp;F",$G105=""),"",IF(T$8&gt;$G105,IF(OR(status1B5!U105=1,status1B5!U105=2,'BOULEVARD 5'!W103&gt;0),"Pagado","impago"),""))</f>
        <v>Pagado</v>
      </c>
      <c r="U105" s="666" t="str">
        <f>IF(OR($A105="F&amp;F",$G105=""),"",IF(U$8&gt;$G105,IF(OR(status1B5!V105=1,status1B5!V105=2,'BOULEVARD 5'!X103&gt;0),"Pagado","impago"),""))</f>
        <v>Pagado</v>
      </c>
      <c r="V105" s="666" t="str">
        <f>IF(OR($A105="F&amp;F",$G105=""),"",IF(V$8&gt;$G105,IF(OR(status1B5!W105=1,status1B5!W105=2,'BOULEVARD 5'!Y103&gt;0),"Pagado","impago"),""))</f>
        <v>Pagado</v>
      </c>
      <c r="W105" s="666" t="str">
        <f>IF(OR($A105="F&amp;F",$G105=""),"",IF(W$8&gt;$G105,IF(OR(status1B5!X105=1,status1B5!X105=2,'BOULEVARD 5'!Z103&gt;0),"Pagado","impago"),""))</f>
        <v>Pagado</v>
      </c>
      <c r="X105" s="666" t="str">
        <f>IF(OR($A105="F&amp;F",$G105=""),"",IF(X$8&gt;$G105,IF(OR(status1B5!Y105=1,status1B5!Y105=2,'BOULEVARD 5'!AA103&gt;0),"Pagado","impago"),""))</f>
        <v>Pagado</v>
      </c>
      <c r="Y105" s="666" t="str">
        <f>IF(OR($A105="F&amp;F",$G105=""),"",IF(Y$8&gt;$G105,IF(OR(status1B5!Z105=1,status1B5!Z105=2,'BOULEVARD 5'!AB103&gt;0),"Pagado","impago"),""))</f>
        <v>Pagado</v>
      </c>
      <c r="Z105" s="666" t="str">
        <f>IF(OR($A105="F&amp;F",$G105=""),"",IF(Z$8&gt;$G105,IF(OR(status1B5!AA105=1,status1B5!AA105=2,'BOULEVARD 5'!AC103&gt;0),"Pagado","impago"),""))</f>
        <v>Pagado</v>
      </c>
      <c r="AA105" s="666" t="str">
        <f>IF(OR($A105="F&amp;F",$G105=""),"",IF(AA$8&gt;$G105,IF(OR(status1B5!AB105=1,status1B5!AB105=2,'BOULEVARD 5'!AD103&gt;0),"Pagado","impago"),""))</f>
        <v>Pagado</v>
      </c>
      <c r="AB105" s="666" t="str">
        <f>IF(OR($A105="F&amp;F",$G105=""),"",IF(AB$8&gt;$G105,IF(OR(status1B5!AC105=1,status1B5!AC105=2,'BOULEVARD 5'!AE103&gt;0),"Pagado","impago"),""))</f>
        <v>Pagado</v>
      </c>
      <c r="AC105" s="666" t="str">
        <f>IF(OR($A105="F&amp;F",$G105=""),"",IF(AC$8&gt;$G105,IF(OR(status1B5!AD105=1,status1B5!AD105=2,'BOULEVARD 5'!AF103&gt;0),"Pagado","impago"),""))</f>
        <v>Pagado</v>
      </c>
      <c r="AD105" s="666" t="str">
        <f>IF(OR($A105="F&amp;F",$G105=""),"",IF(AD$8&gt;$G105,IF(OR(status1B5!AE105=1,status1B5!AE105=2,'BOULEVARD 5'!AG103&gt;0),"Pagado","impago"),""))</f>
        <v>Pagado</v>
      </c>
      <c r="AE105" s="666" t="str">
        <f>IF(OR($A105="F&amp;F",$G105=""),"",IF(AE$8&gt;$G105,IF(OR(status1B5!AF105=1,status1B5!AF105=2,'BOULEVARD 5'!AH103&gt;0),"Pagado","impago"),""))</f>
        <v>Pagado</v>
      </c>
      <c r="AF105" s="666" t="str">
        <f>IF(OR($A105="F&amp;F",$G105=""),"",IF(AF$8&gt;$G105,IF(OR(status1B5!AG105=1,status1B5!AG105=2,'BOULEVARD 5'!AI103&gt;0),"Pagado","impago"),""))</f>
        <v>Pagado</v>
      </c>
      <c r="AG105" s="666" t="str">
        <f>IF(OR($A105="F&amp;F",$G105=""),"",IF(AG$8&gt;$G105,IF(OR(status1B5!AH105=1,status1B5!AH105=2,'BOULEVARD 5'!AJ103&gt;0),"Pagado","impago"),""))</f>
        <v>Pagado</v>
      </c>
      <c r="AH105" s="666" t="str">
        <f>IF(OR($A105="F&amp;F",$G105=""),"",IF(AH$8&gt;$G105,IF(OR(status1B5!AI105=1,status1B5!AI105=2,'BOULEVARD 5'!AK103&gt;0),"Pagado","impago"),""))</f>
        <v>Pagado</v>
      </c>
      <c r="AI105" s="666" t="str">
        <f>IF(OR($A105="F&amp;F",$G105=""),"",IF(AI$8&gt;$G105,IF(OR(status1B5!AJ105=1,status1B5!AJ105=2,'BOULEVARD 5'!AL103&gt;0),"Pagado","impago"),""))</f>
        <v>Pagado</v>
      </c>
      <c r="AJ105" s="666" t="str">
        <f>IF(OR($A105="F&amp;F",$G105=""),"",IF(AJ$8&gt;$G105,IF(OR(status1B5!AK105=1,status1B5!AK105=2,'BOULEVARD 5'!AM103&gt;0),"Pagado","impago"),""))</f>
        <v>Pagado</v>
      </c>
      <c r="AK105" s="666" t="str">
        <f>IF(OR($A105="F&amp;F",$G105=""),"",IF(AK$8&gt;$G105,IF(OR(status1B5!AL105=1,status1B5!AL105=2,'BOULEVARD 5'!AN103&gt;0),"Pagado","impago"),""))</f>
        <v>Pagado</v>
      </c>
      <c r="AL105" s="666" t="str">
        <f>IF(OR($A105="F&amp;F",$G105=""),"",IF(AL$8&gt;$G105,IF(OR(status1B5!AM105=1,status1B5!AM105=2,'BOULEVARD 5'!AO103&gt;0),"Pagado","impago"),""))</f>
        <v>Pagado</v>
      </c>
      <c r="AM105" s="666" t="str">
        <f>IF(OR($A105="F&amp;F",$G105=""),"",IF(AM$8&gt;$G105,IF(OR(status1B5!AN105=1,status1B5!AN105=2,'BOULEVARD 5'!AP103&gt;0),"Pagado","impago"),""))</f>
        <v>Pagado</v>
      </c>
      <c r="AN105" s="666" t="str">
        <f>IF(OR($A105="F&amp;F",$G105=""),"",IF(AN$8&gt;$G105,IF(OR(status1B5!AO105=1,status1B5!AO105=2,'BOULEVARD 5'!AQ103&gt;0),"Pagado","impago"),""))</f>
        <v>Pagado</v>
      </c>
      <c r="AO105" s="666" t="str">
        <f>IF(OR($A105="F&amp;F",$G105=""),"",IF(AO$8&gt;$G105,IF(OR(status1B5!AP105=1,status1B5!AP105=2,'BOULEVARD 5'!AS103&gt;0),"Pagado","impago"),""))</f>
        <v>Pagado</v>
      </c>
      <c r="AP105" s="429" t="str">
        <f t="shared" si="6"/>
        <v>Vendido</v>
      </c>
    </row>
    <row r="106" spans="1:42" s="429" customFormat="1" ht="13.9" customHeight="1" x14ac:dyDescent="0.25">
      <c r="A106" s="472"/>
      <c r="B106" s="436">
        <f>'BOULEVARD 5'!B104</f>
        <v>609</v>
      </c>
      <c r="C106" s="436" t="s">
        <v>355</v>
      </c>
      <c r="D106" s="436"/>
      <c r="E106" s="436" t="str">
        <f>IF('BOULEVARD 5'!E104="","",'BOULEVARD 5'!E104)</f>
        <v>Antonio Rada</v>
      </c>
      <c r="F106" s="429" t="str">
        <f>IF('BOULEVARD 5'!F104="","",'BOULEVARD 5'!F104)</f>
        <v>Luis Augusto Franco Lopez</v>
      </c>
      <c r="G106" s="473">
        <f>IF('BOULEVARD 5'!G104="","",'BOULEVARD 5'!G104)</f>
        <v>45434</v>
      </c>
      <c r="H106" s="666" t="str">
        <f>IF(OR($A106="F&amp;F",$G106=""),"",IF(H$8&gt;$G106,IF(OR(status1B5!I106=1,status1B5!I106=2,'BOULEVARD 5'!K104&gt;0),"Pagado","impago"),""))</f>
        <v/>
      </c>
      <c r="I106" s="666" t="str">
        <f>IF(OR($A106="F&amp;F",$G106=""),"",IF(I$8&gt;$G106,IF(OR(status1B5!J106=1,status1B5!J106=2,'BOULEVARD 5'!L104&gt;0),"Pagado","impago"),""))</f>
        <v/>
      </c>
      <c r="J106" s="666" t="str">
        <f>IF(OR($A106="F&amp;F",$G106=""),"",IF(J$8&gt;$G106,IF(OR(status1B5!K106=1,status1B5!K106=2,'BOULEVARD 5'!M104&gt;0),"Pagado","impago"),""))</f>
        <v/>
      </c>
      <c r="K106" s="666" t="str">
        <f>IF(OR($A106="F&amp;F",$G106=""),"",IF(K$8&gt;$G106,IF(OR(status1B5!L106=1,status1B5!L106=2,'BOULEVARD 5'!N104&gt;0),"Pagado","impago"),""))</f>
        <v/>
      </c>
      <c r="L106" s="666" t="str">
        <f>IF(OR($A106="F&amp;F",$G106=""),"",IF(L$8&gt;$G106,IF(OR(status1B5!M106=1,status1B5!M106=2,'BOULEVARD 5'!O104&gt;0),"Pagado","impago"),""))</f>
        <v/>
      </c>
      <c r="M106" s="666" t="str">
        <f>IF(OR($A106="F&amp;F",$G106=""),"",IF(M$8&gt;$G106,IF(OR(status1B5!N106=1,status1B5!N106=2,'BOULEVARD 5'!P104&gt;0),"Pagado","impago"),""))</f>
        <v/>
      </c>
      <c r="N106" s="666" t="str">
        <f>IF(OR($A106="F&amp;F",$G106=""),"",IF(N$8&gt;$G106,IF(OR(status1B5!O106=1,status1B5!O106=2,'BOULEVARD 5'!Q104&gt;0),"Pagado","impago"),""))</f>
        <v/>
      </c>
      <c r="O106" s="666" t="str">
        <f>IF(OR($A106="F&amp;F",$G106=""),"",IF(O$8&gt;$G106,IF(OR(status1B5!P106=1,status1B5!P106=2,'BOULEVARD 5'!R104&gt;0),"Pagado","impago"),""))</f>
        <v/>
      </c>
      <c r="P106" s="666" t="str">
        <f>IF(OR($A106="F&amp;F",$G106=""),"",IF(P$8&gt;$G106,IF(OR(status1B5!Q106=1,status1B5!Q106=2,'BOULEVARD 5'!S104&gt;0),"Pagado","impago"),""))</f>
        <v/>
      </c>
      <c r="Q106" s="666" t="str">
        <f>IF(OR($A106="F&amp;F",$G106=""),"",IF(Q$8&gt;$G106,IF(OR(status1B5!R106=1,status1B5!R106=2,'BOULEVARD 5'!T104&gt;0),"Pagado","impago"),""))</f>
        <v/>
      </c>
      <c r="R106" s="666" t="str">
        <f>IF(OR($A106="F&amp;F",$G106=""),"",IF(R$8&gt;$G106,IF(OR(status1B5!S106=1,status1B5!S106=2,'BOULEVARD 5'!U104&gt;0),"Pagado","impago"),""))</f>
        <v/>
      </c>
      <c r="S106" s="666" t="str">
        <f>IF(OR($A106="F&amp;F",$G106=""),"",IF(S$8&gt;$G106,IF(OR(status1B5!T106=1,status1B5!T106=2,'BOULEVARD 5'!V104&gt;0),"Pagado","impago"),""))</f>
        <v/>
      </c>
      <c r="T106" s="666" t="str">
        <f>IF(OR($A106="F&amp;F",$G106=""),"",IF(T$8&gt;$G106,IF(OR(status1B5!U106=1,status1B5!U106=2,'BOULEVARD 5'!W104&gt;0),"Pagado","impago"),""))</f>
        <v/>
      </c>
      <c r="U106" s="666" t="str">
        <f>IF(OR($A106="F&amp;F",$G106=""),"",IF(U$8&gt;$G106,IF(OR(status1B5!V106=1,status1B5!V106=2,'BOULEVARD 5'!X104&gt;0),"Pagado","impago"),""))</f>
        <v/>
      </c>
      <c r="V106" s="666" t="str">
        <f>IF(OR($A106="F&amp;F",$G106=""),"",IF(V$8&gt;$G106,IF(OR(status1B5!W106=1,status1B5!W106=2,'BOULEVARD 5'!Y104&gt;0),"Pagado","impago"),""))</f>
        <v>Pagado</v>
      </c>
      <c r="W106" s="666" t="str">
        <f>IF(OR($A106="F&amp;F",$G106=""),"",IF(W$8&gt;$G106,IF(OR(status1B5!X106=1,status1B5!X106=2,'BOULEVARD 5'!Z104&gt;0),"Pagado","impago"),""))</f>
        <v>Pagado</v>
      </c>
      <c r="X106" s="666" t="str">
        <f>IF(OR($A106="F&amp;F",$G106=""),"",IF(X$8&gt;$G106,IF(OR(status1B5!Y106=1,status1B5!Y106=2,'BOULEVARD 5'!AA104&gt;0),"Pagado","impago"),""))</f>
        <v>Pagado</v>
      </c>
      <c r="Y106" s="666" t="str">
        <f>IF(OR($A106="F&amp;F",$G106=""),"",IF(Y$8&gt;$G106,IF(OR(status1B5!Z106=1,status1B5!Z106=2,'BOULEVARD 5'!AB104&gt;0),"Pagado","impago"),""))</f>
        <v>Pagado</v>
      </c>
      <c r="Z106" s="666" t="str">
        <f>IF(OR($A106="F&amp;F",$G106=""),"",IF(Z$8&gt;$G106,IF(OR(status1B5!AA106=1,status1B5!AA106=2,'BOULEVARD 5'!AC104&gt;0),"Pagado","impago"),""))</f>
        <v>Pagado</v>
      </c>
      <c r="AA106" s="666" t="str">
        <f>IF(OR($A106="F&amp;F",$G106=""),"",IF(AA$8&gt;$G106,IF(OR(status1B5!AB106=1,status1B5!AB106=2,'BOULEVARD 5'!AD104&gt;0),"Pagado","impago"),""))</f>
        <v>Pagado</v>
      </c>
      <c r="AB106" s="666" t="str">
        <f>IF(OR($A106="F&amp;F",$G106=""),"",IF(AB$8&gt;$G106,IF(OR(status1B5!AC106=1,status1B5!AC106=2,'BOULEVARD 5'!AE104&gt;0),"Pagado","impago"),""))</f>
        <v>Pagado</v>
      </c>
      <c r="AC106" s="666" t="str">
        <f>IF(OR($A106="F&amp;F",$G106=""),"",IF(AC$8&gt;$G106,IF(OR(status1B5!AD106=1,status1B5!AD106=2,'BOULEVARD 5'!AF104&gt;0),"Pagado","impago"),""))</f>
        <v>Pagado</v>
      </c>
      <c r="AD106" s="666" t="str">
        <f>IF(OR($A106="F&amp;F",$G106=""),"",IF(AD$8&gt;$G106,IF(OR(status1B5!AE106=1,status1B5!AE106=2,'BOULEVARD 5'!AG104&gt;0),"Pagado","impago"),""))</f>
        <v>Pagado</v>
      </c>
      <c r="AE106" s="666" t="str">
        <f>IF(OR($A106="F&amp;F",$G106=""),"",IF(AE$8&gt;$G106,IF(OR(status1B5!AF106=1,status1B5!AF106=2,'BOULEVARD 5'!AH104&gt;0),"Pagado","impago"),""))</f>
        <v>Pagado</v>
      </c>
      <c r="AF106" s="666" t="str">
        <f>IF(OR($A106="F&amp;F",$G106=""),"",IF(AF$8&gt;$G106,IF(OR(status1B5!AG106=1,status1B5!AG106=2,'BOULEVARD 5'!AI104&gt;0),"Pagado","impago"),""))</f>
        <v>Pagado</v>
      </c>
      <c r="AG106" s="666" t="str">
        <f>IF(OR($A106="F&amp;F",$G106=""),"",IF(AG$8&gt;$G106,IF(OR(status1B5!AH106=1,status1B5!AH106=2,'BOULEVARD 5'!AJ104&gt;0),"Pagado","impago"),""))</f>
        <v>Pagado</v>
      </c>
      <c r="AH106" s="666" t="str">
        <f>IF(OR($A106="F&amp;F",$G106=""),"",IF(AH$8&gt;$G106,IF(OR(status1B5!AI106=1,status1B5!AI106=2,'BOULEVARD 5'!AK104&gt;0),"Pagado","impago"),""))</f>
        <v>Pagado</v>
      </c>
      <c r="AI106" s="666" t="str">
        <f>IF(OR($A106="F&amp;F",$G106=""),"",IF(AI$8&gt;$G106,IF(OR(status1B5!AJ106=1,status1B5!AJ106=2,'BOULEVARD 5'!AL104&gt;0),"Pagado","impago"),""))</f>
        <v>Pagado</v>
      </c>
      <c r="AJ106" s="666" t="str">
        <f>IF(OR($A106="F&amp;F",$G106=""),"",IF(AJ$8&gt;$G106,IF(OR(status1B5!AK106=1,status1B5!AK106=2,'BOULEVARD 5'!AM104&gt;0),"Pagado","impago"),""))</f>
        <v>Pagado</v>
      </c>
      <c r="AK106" s="666" t="str">
        <f>IF(OR($A106="F&amp;F",$G106=""),"",IF(AK$8&gt;$G106,IF(OR(status1B5!AL106=1,status1B5!AL106=2,'BOULEVARD 5'!AN104&gt;0),"Pagado","impago"),""))</f>
        <v>Pagado</v>
      </c>
      <c r="AL106" s="666" t="str">
        <f>IF(OR($A106="F&amp;F",$G106=""),"",IF(AL$8&gt;$G106,IF(OR(status1B5!AM106=1,status1B5!AM106=2,'BOULEVARD 5'!AO104&gt;0),"Pagado","impago"),""))</f>
        <v>Pagado</v>
      </c>
      <c r="AM106" s="666" t="str">
        <f>IF(OR($A106="F&amp;F",$G106=""),"",IF(AM$8&gt;$G106,IF(OR(status1B5!AN106=1,status1B5!AN106=2,'BOULEVARD 5'!AP104&gt;0),"Pagado","impago"),""))</f>
        <v>Pagado</v>
      </c>
      <c r="AN106" s="666" t="str">
        <f>IF(OR($A106="F&amp;F",$G106=""),"",IF(AN$8&gt;$G106,IF(OR(status1B5!AO106=1,status1B5!AO106=2,'BOULEVARD 5'!AQ104&gt;0),"Pagado","impago"),""))</f>
        <v>Pagado</v>
      </c>
      <c r="AO106" s="666" t="str">
        <f>IF(OR($A106="F&amp;F",$G106=""),"",IF(AO$8&gt;$G106,IF(OR(status1B5!AP106=1,status1B5!AP106=2,'BOULEVARD 5'!AS104&gt;0),"Pagado","impago"),""))</f>
        <v>Pagado</v>
      </c>
      <c r="AP106" s="429" t="str">
        <f t="shared" si="6"/>
        <v>Vendido</v>
      </c>
    </row>
    <row r="107" spans="1:42" s="429" customFormat="1" ht="13.9" customHeight="1" x14ac:dyDescent="0.25">
      <c r="A107" s="472"/>
      <c r="B107" s="436">
        <f>'BOULEVARD 5'!B105</f>
        <v>610</v>
      </c>
      <c r="C107" s="436" t="s">
        <v>355</v>
      </c>
      <c r="D107" s="436"/>
      <c r="E107" s="436" t="str">
        <f>IF('BOULEVARD 5'!E105="","",'BOULEVARD 5'!E105)</f>
        <v>Antonio Rada</v>
      </c>
      <c r="F107" s="429" t="str">
        <f>IF('BOULEVARD 5'!F105="","",'BOULEVARD 5'!F105)</f>
        <v>Andrea Nathalia Molina Mendez De Velasqeuz</v>
      </c>
      <c r="G107" s="473">
        <f>IF('BOULEVARD 5'!G105="","",'BOULEVARD 5'!G105)</f>
        <v>45351</v>
      </c>
      <c r="H107" s="666" t="str">
        <f>IF(OR($A107="F&amp;F",$G107=""),"",IF(H$8&gt;$G107,IF(OR(status1B5!I107=1,status1B5!I107=2,'BOULEVARD 5'!K105&gt;0),"Pagado","impago"),""))</f>
        <v/>
      </c>
      <c r="I107" s="666" t="str">
        <f>IF(OR($A107="F&amp;F",$G107=""),"",IF(I$8&gt;$G107,IF(OR(status1B5!J107=1,status1B5!J107=2,'BOULEVARD 5'!L105&gt;0),"Pagado","impago"),""))</f>
        <v/>
      </c>
      <c r="J107" s="666" t="str">
        <f>IF(OR($A107="F&amp;F",$G107=""),"",IF(J$8&gt;$G107,IF(OR(status1B5!K107=1,status1B5!K107=2,'BOULEVARD 5'!M105&gt;0),"Pagado","impago"),""))</f>
        <v/>
      </c>
      <c r="K107" s="666" t="str">
        <f>IF(OR($A107="F&amp;F",$G107=""),"",IF(K$8&gt;$G107,IF(OR(status1B5!L107=1,status1B5!L107=2,'BOULEVARD 5'!N105&gt;0),"Pagado","impago"),""))</f>
        <v/>
      </c>
      <c r="L107" s="666" t="str">
        <f>IF(OR($A107="F&amp;F",$G107=""),"",IF(L$8&gt;$G107,IF(OR(status1B5!M107=1,status1B5!M107=2,'BOULEVARD 5'!O105&gt;0),"Pagado","impago"),""))</f>
        <v/>
      </c>
      <c r="M107" s="666" t="str">
        <f>IF(OR($A107="F&amp;F",$G107=""),"",IF(M$8&gt;$G107,IF(OR(status1B5!N107=1,status1B5!N107=2,'BOULEVARD 5'!P105&gt;0),"Pagado","impago"),""))</f>
        <v/>
      </c>
      <c r="N107" s="666" t="str">
        <f>IF(OR($A107="F&amp;F",$G107=""),"",IF(N$8&gt;$G107,IF(OR(status1B5!O107=1,status1B5!O107=2,'BOULEVARD 5'!Q105&gt;0),"Pagado","impago"),""))</f>
        <v/>
      </c>
      <c r="O107" s="666" t="str">
        <f>IF(OR($A107="F&amp;F",$G107=""),"",IF(O$8&gt;$G107,IF(OR(status1B5!P107=1,status1B5!P107=2,'BOULEVARD 5'!R105&gt;0),"Pagado","impago"),""))</f>
        <v/>
      </c>
      <c r="P107" s="666" t="str">
        <f>IF(OR($A107="F&amp;F",$G107=""),"",IF(P$8&gt;$G107,IF(OR(status1B5!Q107=1,status1B5!Q107=2,'BOULEVARD 5'!S105&gt;0),"Pagado","impago"),""))</f>
        <v/>
      </c>
      <c r="Q107" s="666" t="str">
        <f>IF(OR($A107="F&amp;F",$G107=""),"",IF(Q$8&gt;$G107,IF(OR(status1B5!R107=1,status1B5!R107=2,'BOULEVARD 5'!T105&gt;0),"Pagado","impago"),""))</f>
        <v/>
      </c>
      <c r="R107" s="666" t="str">
        <f>IF(OR($A107="F&amp;F",$G107=""),"",IF(R$8&gt;$G107,IF(OR(status1B5!S107=1,status1B5!S107=2,'BOULEVARD 5'!U105&gt;0),"Pagado","impago"),""))</f>
        <v/>
      </c>
      <c r="S107" s="666" t="str">
        <f>IF(OR($A107="F&amp;F",$G107=""),"",IF(S$8&gt;$G107,IF(OR(status1B5!T107=1,status1B5!T107=2,'BOULEVARD 5'!V105&gt;0),"Pagado","impago"),""))</f>
        <v/>
      </c>
      <c r="T107" s="666" t="str">
        <f>IF(OR($A107="F&amp;F",$G107=""),"",IF(T$8&gt;$G107,IF(OR(status1B5!U107=1,status1B5!U107=2,'BOULEVARD 5'!W105&gt;0),"Pagado","impago"),""))</f>
        <v>Pagado</v>
      </c>
      <c r="U107" s="666" t="str">
        <f>IF(OR($A107="F&amp;F",$G107=""),"",IF(U$8&gt;$G107,IF(OR(status1B5!V107=1,status1B5!V107=2,'BOULEVARD 5'!X105&gt;0),"Pagado","impago"),""))</f>
        <v>Pagado</v>
      </c>
      <c r="V107" s="666" t="str">
        <f>IF(OR($A107="F&amp;F",$G107=""),"",IF(V$8&gt;$G107,IF(OR(status1B5!W107=1,status1B5!W107=2,'BOULEVARD 5'!Y105&gt;0),"Pagado","impago"),""))</f>
        <v>Pagado</v>
      </c>
      <c r="W107" s="666" t="str">
        <f>IF(OR($A107="F&amp;F",$G107=""),"",IF(W$8&gt;$G107,IF(OR(status1B5!X107=1,status1B5!X107=2,'BOULEVARD 5'!Z105&gt;0),"Pagado","impago"),""))</f>
        <v>Pagado</v>
      </c>
      <c r="X107" s="666" t="str">
        <f>IF(OR($A107="F&amp;F",$G107=""),"",IF(X$8&gt;$G107,IF(OR(status1B5!Y107=1,status1B5!Y107=2,'BOULEVARD 5'!AA105&gt;0),"Pagado","impago"),""))</f>
        <v>Pagado</v>
      </c>
      <c r="Y107" s="666" t="str">
        <f>IF(OR($A107="F&amp;F",$G107=""),"",IF(Y$8&gt;$G107,IF(OR(status1B5!Z107=1,status1B5!Z107=2,'BOULEVARD 5'!AB105&gt;0),"Pagado","impago"),""))</f>
        <v>Pagado</v>
      </c>
      <c r="Z107" s="666" t="str">
        <f>IF(OR($A107="F&amp;F",$G107=""),"",IF(Z$8&gt;$G107,IF(OR(status1B5!AA107=1,status1B5!AA107=2,'BOULEVARD 5'!AC105&gt;0),"Pagado","impago"),""))</f>
        <v>Pagado</v>
      </c>
      <c r="AA107" s="666" t="str">
        <f>IF(OR($A107="F&amp;F",$G107=""),"",IF(AA$8&gt;$G107,IF(OR(status1B5!AB107=1,status1B5!AB107=2,'BOULEVARD 5'!AD105&gt;0),"Pagado","impago"),""))</f>
        <v>Pagado</v>
      </c>
      <c r="AB107" s="666" t="str">
        <f>IF(OR($A107="F&amp;F",$G107=""),"",IF(AB$8&gt;$G107,IF(OR(status1B5!AC107=1,status1B5!AC107=2,'BOULEVARD 5'!AE105&gt;0),"Pagado","impago"),""))</f>
        <v>Pagado</v>
      </c>
      <c r="AC107" s="666" t="str">
        <f>IF(OR($A107="F&amp;F",$G107=""),"",IF(AC$8&gt;$G107,IF(OR(status1B5!AD107=1,status1B5!AD107=2,'BOULEVARD 5'!AF105&gt;0),"Pagado","impago"),""))</f>
        <v>Pagado</v>
      </c>
      <c r="AD107" s="666" t="str">
        <f>IF(OR($A107="F&amp;F",$G107=""),"",IF(AD$8&gt;$G107,IF(OR(status1B5!AE107=1,status1B5!AE107=2,'BOULEVARD 5'!AG105&gt;0),"Pagado","impago"),""))</f>
        <v>Pagado</v>
      </c>
      <c r="AE107" s="666" t="str">
        <f>IF(OR($A107="F&amp;F",$G107=""),"",IF(AE$8&gt;$G107,IF(OR(status1B5!AF107=1,status1B5!AF107=2,'BOULEVARD 5'!AH105&gt;0),"Pagado","impago"),""))</f>
        <v>Pagado</v>
      </c>
      <c r="AF107" s="666" t="str">
        <f>IF(OR($A107="F&amp;F",$G107=""),"",IF(AF$8&gt;$G107,IF(OR(status1B5!AG107=1,status1B5!AG107=2,'BOULEVARD 5'!AI105&gt;0),"Pagado","impago"),""))</f>
        <v>Pagado</v>
      </c>
      <c r="AG107" s="666" t="str">
        <f>IF(OR($A107="F&amp;F",$G107=""),"",IF(AG$8&gt;$G107,IF(OR(status1B5!AH107=1,status1B5!AH107=2,'BOULEVARD 5'!AJ105&gt;0),"Pagado","impago"),""))</f>
        <v>Pagado</v>
      </c>
      <c r="AH107" s="666" t="str">
        <f>IF(OR($A107="F&amp;F",$G107=""),"",IF(AH$8&gt;$G107,IF(OR(status1B5!AI107=1,status1B5!AI107=2,'BOULEVARD 5'!AK105&gt;0),"Pagado","impago"),""))</f>
        <v>Pagado</v>
      </c>
      <c r="AI107" s="666" t="str">
        <f>IF(OR($A107="F&amp;F",$G107=""),"",IF(AI$8&gt;$G107,IF(OR(status1B5!AJ107=1,status1B5!AJ107=2,'BOULEVARD 5'!AL105&gt;0),"Pagado","impago"),""))</f>
        <v>Pagado</v>
      </c>
      <c r="AJ107" s="666" t="str">
        <f>IF(OR($A107="F&amp;F",$G107=""),"",IF(AJ$8&gt;$G107,IF(OR(status1B5!AK107=1,status1B5!AK107=2,'BOULEVARD 5'!AM105&gt;0),"Pagado","impago"),""))</f>
        <v>Pagado</v>
      </c>
      <c r="AK107" s="666" t="str">
        <f>IF(OR($A107="F&amp;F",$G107=""),"",IF(AK$8&gt;$G107,IF(OR(status1B5!AL107=1,status1B5!AL107=2,'BOULEVARD 5'!AN105&gt;0),"Pagado","impago"),""))</f>
        <v>Pagado</v>
      </c>
      <c r="AL107" s="666" t="str">
        <f>IF(OR($A107="F&amp;F",$G107=""),"",IF(AL$8&gt;$G107,IF(OR(status1B5!AM107=1,status1B5!AM107=2,'BOULEVARD 5'!AO105&gt;0),"Pagado","impago"),""))</f>
        <v>Pagado</v>
      </c>
      <c r="AM107" s="666" t="str">
        <f>IF(OR($A107="F&amp;F",$G107=""),"",IF(AM$8&gt;$G107,IF(OR(status1B5!AN107=1,status1B5!AN107=2,'BOULEVARD 5'!AP105&gt;0),"Pagado","impago"),""))</f>
        <v>Pagado</v>
      </c>
      <c r="AN107" s="666" t="str">
        <f>IF(OR($A107="F&amp;F",$G107=""),"",IF(AN$8&gt;$G107,IF(OR(status1B5!AO107=1,status1B5!AO107=2,'BOULEVARD 5'!AQ105&gt;0),"Pagado","impago"),""))</f>
        <v>Pagado</v>
      </c>
      <c r="AO107" s="666" t="str">
        <f>IF(OR($A107="F&amp;F",$G107=""),"",IF(AO$8&gt;$G107,IF(OR(status1B5!AP107=1,status1B5!AP107=2,'BOULEVARD 5'!AS105&gt;0),"Pagado","impago"),""))</f>
        <v>Pagado</v>
      </c>
      <c r="AP107" s="429" t="str">
        <f t="shared" si="6"/>
        <v>Vendido</v>
      </c>
    </row>
    <row r="108" spans="1:42" s="429" customFormat="1" ht="13.9" customHeight="1" x14ac:dyDescent="0.25">
      <c r="B108" s="436">
        <f>'BOULEVARD 5'!B106</f>
        <v>611</v>
      </c>
      <c r="C108" s="436" t="s">
        <v>355</v>
      </c>
      <c r="D108" s="436"/>
      <c r="E108" s="436" t="str">
        <f>IF('BOULEVARD 5'!E106="","",'BOULEVARD 5'!E106)</f>
        <v>Antonio Rada</v>
      </c>
      <c r="F108" s="429" t="str">
        <f>IF('BOULEVARD 5'!F106="","",'BOULEVARD 5'!F106)</f>
        <v>Kenny Estuardo Garay Carias</v>
      </c>
      <c r="G108" s="473">
        <f>IF('BOULEVARD 5'!G106="","",'BOULEVARD 5'!G106)</f>
        <v>45835</v>
      </c>
      <c r="H108" s="666" t="str">
        <f>IF(OR($A108="F&amp;F",$G108=""),"",IF(H$8&gt;$G108,IF(OR(status1B5!I108=1,status1B5!I108=2,'BOULEVARD 5'!K106&gt;0),"Pagado","impago"),""))</f>
        <v/>
      </c>
      <c r="I108" s="666" t="str">
        <f>IF(OR($A108="F&amp;F",$G108=""),"",IF(I$8&gt;$G108,IF(OR(status1B5!J108=1,status1B5!J108=2,'BOULEVARD 5'!L106&gt;0),"Pagado","impago"),""))</f>
        <v/>
      </c>
      <c r="J108" s="666" t="str">
        <f>IF(OR($A108="F&amp;F",$G108=""),"",IF(J$8&gt;$G108,IF(OR(status1B5!K108=1,status1B5!K108=2,'BOULEVARD 5'!M106&gt;0),"Pagado","impago"),""))</f>
        <v/>
      </c>
      <c r="K108" s="666" t="str">
        <f>IF(OR($A108="F&amp;F",$G108=""),"",IF(K$8&gt;$G108,IF(OR(status1B5!L108=1,status1B5!L108=2,'BOULEVARD 5'!N106&gt;0),"Pagado","impago"),""))</f>
        <v/>
      </c>
      <c r="L108" s="666" t="str">
        <f>IF(OR($A108="F&amp;F",$G108=""),"",IF(L$8&gt;$G108,IF(OR(status1B5!M108=1,status1B5!M108=2,'BOULEVARD 5'!O106&gt;0),"Pagado","impago"),""))</f>
        <v/>
      </c>
      <c r="M108" s="666" t="str">
        <f>IF(OR($A108="F&amp;F",$G108=""),"",IF(M$8&gt;$G108,IF(OR(status1B5!N108=1,status1B5!N108=2,'BOULEVARD 5'!P106&gt;0),"Pagado","impago"),""))</f>
        <v/>
      </c>
      <c r="N108" s="666" t="str">
        <f>IF(OR($A108="F&amp;F",$G108=""),"",IF(N$8&gt;$G108,IF(OR(status1B5!O108=1,status1B5!O108=2,'BOULEVARD 5'!Q106&gt;0),"Pagado","impago"),""))</f>
        <v/>
      </c>
      <c r="O108" s="666" t="str">
        <f>IF(OR($A108="F&amp;F",$G108=""),"",IF(O$8&gt;$G108,IF(OR(status1B5!P108=1,status1B5!P108=2,'BOULEVARD 5'!R106&gt;0),"Pagado","impago"),""))</f>
        <v/>
      </c>
      <c r="P108" s="666" t="str">
        <f>IF(OR($A108="F&amp;F",$G108=""),"",IF(P$8&gt;$G108,IF(OR(status1B5!Q108=1,status1B5!Q108=2,'BOULEVARD 5'!S106&gt;0),"Pagado","impago"),""))</f>
        <v/>
      </c>
      <c r="Q108" s="666" t="str">
        <f>IF(OR($A108="F&amp;F",$G108=""),"",IF(Q$8&gt;$G108,IF(OR(status1B5!R108=1,status1B5!R108=2,'BOULEVARD 5'!T106&gt;0),"Pagado","impago"),""))</f>
        <v/>
      </c>
      <c r="R108" s="666" t="str">
        <f>IF(OR($A108="F&amp;F",$G108=""),"",IF(R$8&gt;$G108,IF(OR(status1B5!S108=1,status1B5!S108=2,'BOULEVARD 5'!U106&gt;0),"Pagado","impago"),""))</f>
        <v/>
      </c>
      <c r="S108" s="666" t="str">
        <f>IF(OR($A108="F&amp;F",$G108=""),"",IF(S$8&gt;$G108,IF(OR(status1B5!T108=1,status1B5!T108=2,'BOULEVARD 5'!V106&gt;0),"Pagado","impago"),""))</f>
        <v/>
      </c>
      <c r="T108" s="666" t="str">
        <f>IF(OR($A108="F&amp;F",$G108=""),"",IF(T$8&gt;$G108,IF(OR(status1B5!U108=1,status1B5!U108=2,'BOULEVARD 5'!W106&gt;0),"Pagado","impago"),""))</f>
        <v/>
      </c>
      <c r="U108" s="666" t="str">
        <f>IF(OR($A108="F&amp;F",$G108=""),"",IF(U$8&gt;$G108,IF(OR(status1B5!V108=1,status1B5!V108=2,'BOULEVARD 5'!X106&gt;0),"Pagado","impago"),""))</f>
        <v/>
      </c>
      <c r="V108" s="666" t="str">
        <f>IF(OR($A108="F&amp;F",$G108=""),"",IF(V$8&gt;$G108,IF(OR(status1B5!W108=1,status1B5!W108=2,'BOULEVARD 5'!Y106&gt;0),"Pagado","impago"),""))</f>
        <v/>
      </c>
      <c r="W108" s="666" t="str">
        <f>IF(OR($A108="F&amp;F",$G108=""),"",IF(W$8&gt;$G108,IF(OR(status1B5!X108=1,status1B5!X108=2,'BOULEVARD 5'!Z106&gt;0),"Pagado","impago"),""))</f>
        <v/>
      </c>
      <c r="X108" s="666" t="str">
        <f>IF(OR($A108="F&amp;F",$G108=""),"",IF(X$8&gt;$G108,IF(OR(status1B5!Y108=1,status1B5!Y108=2,'BOULEVARD 5'!AA106&gt;0),"Pagado","impago"),""))</f>
        <v/>
      </c>
      <c r="Y108" s="666" t="str">
        <f>IF(OR($A108="F&amp;F",$G108=""),"",IF(Y$8&gt;$G108,IF(OR(status1B5!Z108=1,status1B5!Z108=2,'BOULEVARD 5'!AB106&gt;0),"Pagado","impago"),""))</f>
        <v/>
      </c>
      <c r="Z108" s="666" t="str">
        <f>IF(OR($A108="F&amp;F",$G108=""),"",IF(Z$8&gt;$G108,IF(OR(status1B5!AA108=1,status1B5!AA108=2,'BOULEVARD 5'!AC106&gt;0),"Pagado","impago"),""))</f>
        <v/>
      </c>
      <c r="AA108" s="666" t="str">
        <f>IF(OR($A108="F&amp;F",$G108=""),"",IF(AA$8&gt;$G108,IF(OR(status1B5!AB108=1,status1B5!AB108=2,'BOULEVARD 5'!AD106&gt;0),"Pagado","impago"),""))</f>
        <v/>
      </c>
      <c r="AB108" s="666" t="str">
        <f>IF(OR($A108="F&amp;F",$G108=""),"",IF(AB$8&gt;$G108,IF(OR(status1B5!AC108=1,status1B5!AC108=2,'BOULEVARD 5'!AE106&gt;0),"Pagado","impago"),""))</f>
        <v/>
      </c>
      <c r="AC108" s="666" t="str">
        <f>IF(OR($A108="F&amp;F",$G108=""),"",IF(AC$8&gt;$G108,IF(OR(status1B5!AD108=1,status1B5!AD108=2,'BOULEVARD 5'!AF106&gt;0),"Pagado","impago"),""))</f>
        <v/>
      </c>
      <c r="AD108" s="666" t="str">
        <f>IF(OR($A108="F&amp;F",$G108=""),"",IF(AD$8&gt;$G108,IF(OR(status1B5!AE108=1,status1B5!AE108=2,'BOULEVARD 5'!AG106&gt;0),"Pagado","impago"),""))</f>
        <v/>
      </c>
      <c r="AE108" s="666" t="str">
        <f>IF(OR($A108="F&amp;F",$G108=""),"",IF(AE$8&gt;$G108,IF(OR(status1B5!AF108=1,status1B5!AF108=2,'BOULEVARD 5'!AH106&gt;0),"Pagado","impago"),""))</f>
        <v/>
      </c>
      <c r="AF108" s="666" t="str">
        <f>IF(OR($A108="F&amp;F",$G108=""),"",IF(AF$8&gt;$G108,IF(OR(status1B5!AG108=1,status1B5!AG108=2,'BOULEVARD 5'!AI106&gt;0),"Pagado","impago"),""))</f>
        <v/>
      </c>
      <c r="AG108" s="666" t="str">
        <f>IF(OR($A108="F&amp;F",$G108=""),"",IF(AG$8&gt;$G108,IF(OR(status1B5!AH108=1,status1B5!AH108=2,'BOULEVARD 5'!AJ106&gt;0),"Pagado","impago"),""))</f>
        <v/>
      </c>
      <c r="AH108" s="666" t="str">
        <f>IF(OR($A108="F&amp;F",$G108=""),"",IF(AH$8&gt;$G108,IF(OR(status1B5!AI108=1,status1B5!AI108=2,'BOULEVARD 5'!AK106&gt;0),"Pagado","impago"),""))</f>
        <v/>
      </c>
      <c r="AI108" s="666" t="str">
        <f>IF(OR($A108="F&amp;F",$G108=""),"",IF(AI$8&gt;$G108,IF(OR(status1B5!AJ108=1,status1B5!AJ108=2,'BOULEVARD 5'!AL106&gt;0),"Pagado","impago"),""))</f>
        <v>Pagado</v>
      </c>
      <c r="AJ108" s="666" t="str">
        <f>IF(OR($A108="F&amp;F",$G108=""),"",IF(AJ$8&gt;$G108,IF(OR(status1B5!AK108=1,status1B5!AK108=2,'BOULEVARD 5'!AM106&gt;0),"Pagado","impago"),""))</f>
        <v>Pagado</v>
      </c>
      <c r="AK108" s="666" t="str">
        <f>IF(OR($A108="F&amp;F",$G108=""),"",IF(AK$8&gt;$G108,IF(OR(status1B5!AL108=1,status1B5!AL108=2,'BOULEVARD 5'!AN106&gt;0),"Pagado","impago"),""))</f>
        <v>Pagado</v>
      </c>
      <c r="AL108" s="666" t="str">
        <f>IF(OR($A108="F&amp;F",$G108=""),"",IF(AL$8&gt;$G108,IF(OR(status1B5!AM108=1,status1B5!AM108=2,'BOULEVARD 5'!AO106&gt;0),"Pagado","impago"),""))</f>
        <v>Pagado</v>
      </c>
      <c r="AM108" s="666" t="str">
        <f>IF(OR($A108="F&amp;F",$G108=""),"",IF(AM$8&gt;$G108,IF(OR(status1B5!AN108=1,status1B5!AN108=2,'BOULEVARD 5'!AP106&gt;0),"Pagado","impago"),""))</f>
        <v>Pagado</v>
      </c>
      <c r="AN108" s="666" t="str">
        <f>IF(OR($A108="F&amp;F",$G108=""),"",IF(AN$8&gt;$G108,IF(OR(status1B5!AO108=1,status1B5!AO108=2,'BOULEVARD 5'!AQ106&gt;0),"Pagado","impago"),""))</f>
        <v>Pagado</v>
      </c>
      <c r="AO108" s="666" t="str">
        <f>IF(OR($A108="F&amp;F",$G108=""),"",IF(AO$8&gt;$G108,IF(OR(status1B5!AP108=1,status1B5!AP108=2,'BOULEVARD 5'!AS106&gt;0),"Pagado","impago"),""))</f>
        <v>Pagado</v>
      </c>
      <c r="AP108" s="429" t="str">
        <f t="shared" si="6"/>
        <v>Vendido</v>
      </c>
    </row>
    <row r="109" spans="1:42" s="429" customFormat="1" ht="13.9" customHeight="1" x14ac:dyDescent="0.25">
      <c r="A109" s="472"/>
      <c r="B109" s="436">
        <f>'BOULEVARD 5'!B107</f>
        <v>612</v>
      </c>
      <c r="C109" s="436" t="s">
        <v>355</v>
      </c>
      <c r="D109" s="642"/>
      <c r="E109" s="436" t="str">
        <f>IF('BOULEVARD 5'!E107="","",'BOULEVARD 5'!E107)</f>
        <v>Antonio Rada</v>
      </c>
      <c r="F109" s="429" t="str">
        <f>IF('BOULEVARD 5'!F107="","",'BOULEVARD 5'!F107)</f>
        <v>Yonatan Morgan Acajabon</v>
      </c>
      <c r="G109" s="473">
        <f>IF('BOULEVARD 5'!G107="","",'BOULEVARD 5'!G107)</f>
        <v>45906</v>
      </c>
      <c r="H109" s="666" t="str">
        <f>IF(OR($A109="F&amp;F",$G109=""),"",IF(H$8&gt;$G109,IF(OR(status1B5!I109=1,status1B5!I109=2,'BOULEVARD 5'!K107&gt;0),"Pagado","impago"),""))</f>
        <v/>
      </c>
      <c r="I109" s="666" t="str">
        <f>IF(OR($A109="F&amp;F",$G109=""),"",IF(I$8&gt;$G109,IF(OR(status1B5!J109=1,status1B5!J109=2,'BOULEVARD 5'!L107&gt;0),"Pagado","impago"),""))</f>
        <v/>
      </c>
      <c r="J109" s="666" t="str">
        <f>IF(OR($A109="F&amp;F",$G109=""),"",IF(J$8&gt;$G109,IF(OR(status1B5!K109=1,status1B5!K109=2,'BOULEVARD 5'!M107&gt;0),"Pagado","impago"),""))</f>
        <v/>
      </c>
      <c r="K109" s="666" t="str">
        <f>IF(OR($A109="F&amp;F",$G109=""),"",IF(K$8&gt;$G109,IF(OR(status1B5!L109=1,status1B5!L109=2,'BOULEVARD 5'!N107&gt;0),"Pagado","impago"),""))</f>
        <v/>
      </c>
      <c r="L109" s="666" t="str">
        <f>IF(OR($A109="F&amp;F",$G109=""),"",IF(L$8&gt;$G109,IF(OR(status1B5!M109=1,status1B5!M109=2,'BOULEVARD 5'!O107&gt;0),"Pagado","impago"),""))</f>
        <v/>
      </c>
      <c r="M109" s="666" t="str">
        <f>IF(OR($A109="F&amp;F",$G109=""),"",IF(M$8&gt;$G109,IF(OR(status1B5!N109=1,status1B5!N109=2,'BOULEVARD 5'!P107&gt;0),"Pagado","impago"),""))</f>
        <v/>
      </c>
      <c r="N109" s="666" t="str">
        <f>IF(OR($A109="F&amp;F",$G109=""),"",IF(N$8&gt;$G109,IF(OR(status1B5!O109=1,status1B5!O109=2,'BOULEVARD 5'!Q107&gt;0),"Pagado","impago"),""))</f>
        <v/>
      </c>
      <c r="O109" s="666" t="str">
        <f>IF(OR($A109="F&amp;F",$G109=""),"",IF(O$8&gt;$G109,IF(OR(status1B5!P109=1,status1B5!P109=2,'BOULEVARD 5'!R107&gt;0),"Pagado","impago"),""))</f>
        <v/>
      </c>
      <c r="P109" s="666" t="str">
        <f>IF(OR($A109="F&amp;F",$G109=""),"",IF(P$8&gt;$G109,IF(OR(status1B5!Q109=1,status1B5!Q109=2,'BOULEVARD 5'!S107&gt;0),"Pagado","impago"),""))</f>
        <v/>
      </c>
      <c r="Q109" s="666" t="str">
        <f>IF(OR($A109="F&amp;F",$G109=""),"",IF(Q$8&gt;$G109,IF(OR(status1B5!R109=1,status1B5!R109=2,'BOULEVARD 5'!T107&gt;0),"Pagado","impago"),""))</f>
        <v/>
      </c>
      <c r="R109" s="666" t="str">
        <f>IF(OR($A109="F&amp;F",$G109=""),"",IF(R$8&gt;$G109,IF(OR(status1B5!S109=1,status1B5!S109=2,'BOULEVARD 5'!U107&gt;0),"Pagado","impago"),""))</f>
        <v/>
      </c>
      <c r="S109" s="666" t="str">
        <f>IF(OR($A109="F&amp;F",$G109=""),"",IF(S$8&gt;$G109,IF(OR(status1B5!T109=1,status1B5!T109=2,'BOULEVARD 5'!V107&gt;0),"Pagado","impago"),""))</f>
        <v/>
      </c>
      <c r="T109" s="666" t="str">
        <f>IF(OR($A109="F&amp;F",$G109=""),"",IF(T$8&gt;$G109,IF(OR(status1B5!U109=1,status1B5!U109=2,'BOULEVARD 5'!W107&gt;0),"Pagado","impago"),""))</f>
        <v/>
      </c>
      <c r="U109" s="666" t="str">
        <f>IF(OR($A109="F&amp;F",$G109=""),"",IF(U$8&gt;$G109,IF(OR(status1B5!V109=1,status1B5!V109=2,'BOULEVARD 5'!X107&gt;0),"Pagado","impago"),""))</f>
        <v/>
      </c>
      <c r="V109" s="666" t="str">
        <f>IF(OR($A109="F&amp;F",$G109=""),"",IF(V$8&gt;$G109,IF(OR(status1B5!W109=1,status1B5!W109=2,'BOULEVARD 5'!Y107&gt;0),"Pagado","impago"),""))</f>
        <v/>
      </c>
      <c r="W109" s="666" t="str">
        <f>IF(OR($A109="F&amp;F",$G109=""),"",IF(W$8&gt;$G109,IF(OR(status1B5!X109=1,status1B5!X109=2,'BOULEVARD 5'!Z107&gt;0),"Pagado","impago"),""))</f>
        <v/>
      </c>
      <c r="X109" s="666" t="str">
        <f>IF(OR($A109="F&amp;F",$G109=""),"",IF(X$8&gt;$G109,IF(OR(status1B5!Y109=1,status1B5!Y109=2,'BOULEVARD 5'!AA107&gt;0),"Pagado","impago"),""))</f>
        <v/>
      </c>
      <c r="Y109" s="666" t="str">
        <f>IF(OR($A109="F&amp;F",$G109=""),"",IF(Y$8&gt;$G109,IF(OR(status1B5!Z109=1,status1B5!Z109=2,'BOULEVARD 5'!AB107&gt;0),"Pagado","impago"),""))</f>
        <v/>
      </c>
      <c r="Z109" s="666" t="str">
        <f>IF(OR($A109="F&amp;F",$G109=""),"",IF(Z$8&gt;$G109,IF(OR(status1B5!AA109=1,status1B5!AA109=2,'BOULEVARD 5'!AC107&gt;0),"Pagado","impago"),""))</f>
        <v/>
      </c>
      <c r="AA109" s="666" t="str">
        <f>IF(OR($A109="F&amp;F",$G109=""),"",IF(AA$8&gt;$G109,IF(OR(status1B5!AB109=1,status1B5!AB109=2,'BOULEVARD 5'!AD107&gt;0),"Pagado","impago"),""))</f>
        <v/>
      </c>
      <c r="AB109" s="666" t="str">
        <f>IF(OR($A109="F&amp;F",$G109=""),"",IF(AB$8&gt;$G109,IF(OR(status1B5!AC109=1,status1B5!AC109=2,'BOULEVARD 5'!AE107&gt;0),"Pagado","impago"),""))</f>
        <v/>
      </c>
      <c r="AC109" s="666" t="str">
        <f>IF(OR($A109="F&amp;F",$G109=""),"",IF(AC$8&gt;$G109,IF(OR(status1B5!AD109=1,status1B5!AD109=2,'BOULEVARD 5'!AF107&gt;0),"Pagado","impago"),""))</f>
        <v/>
      </c>
      <c r="AD109" s="666" t="str">
        <f>IF(OR($A109="F&amp;F",$G109=""),"",IF(AD$8&gt;$G109,IF(OR(status1B5!AE109=1,status1B5!AE109=2,'BOULEVARD 5'!AG107&gt;0),"Pagado","impago"),""))</f>
        <v/>
      </c>
      <c r="AE109" s="666" t="str">
        <f>IF(OR($A109="F&amp;F",$G109=""),"",IF(AE$8&gt;$G109,IF(OR(status1B5!AF109=1,status1B5!AF109=2,'BOULEVARD 5'!AH107&gt;0),"Pagado","impago"),""))</f>
        <v/>
      </c>
      <c r="AF109" s="666" t="str">
        <f>IF(OR($A109="F&amp;F",$G109=""),"",IF(AF$8&gt;$G109,IF(OR(status1B5!AG109=1,status1B5!AG109=2,'BOULEVARD 5'!AI107&gt;0),"Pagado","impago"),""))</f>
        <v/>
      </c>
      <c r="AG109" s="666" t="str">
        <f>IF(OR($A109="F&amp;F",$G109=""),"",IF(AG$8&gt;$G109,IF(OR(status1B5!AH109=1,status1B5!AH109=2,'BOULEVARD 5'!AJ107&gt;0),"Pagado","impago"),""))</f>
        <v/>
      </c>
      <c r="AH109" s="666" t="str">
        <f>IF(OR($A109="F&amp;F",$G109=""),"",IF(AH$8&gt;$G109,IF(OR(status1B5!AI109=1,status1B5!AI109=2,'BOULEVARD 5'!AK107&gt;0),"Pagado","impago"),""))</f>
        <v/>
      </c>
      <c r="AI109" s="666" t="str">
        <f>IF(OR($A109="F&amp;F",$G109=""),"",IF(AI$8&gt;$G109,IF(OR(status1B5!AJ109=1,status1B5!AJ109=2,'BOULEVARD 5'!AL107&gt;0),"Pagado","impago"),""))</f>
        <v/>
      </c>
      <c r="AJ109" s="666" t="str">
        <f>IF(OR($A109="F&amp;F",$G109=""),"",IF(AJ$8&gt;$G109,IF(OR(status1B5!AK109=1,status1B5!AK109=2,'BOULEVARD 5'!AM107&gt;0),"Pagado","impago"),""))</f>
        <v/>
      </c>
      <c r="AK109" s="666" t="str">
        <f>IF(OR($A109="F&amp;F",$G109=""),"",IF(AK$8&gt;$G109,IF(OR(status1B5!AL109=1,status1B5!AL109=2,'BOULEVARD 5'!AN107&gt;0),"Pagado","impago"),""))</f>
        <v/>
      </c>
      <c r="AL109" s="666" t="str">
        <f>IF(OR($A109="F&amp;F",$G109=""),"",IF(AL$8&gt;$G109,IF(OR(status1B5!AM109=1,status1B5!AM109=2,'BOULEVARD 5'!AO107&gt;0),"Pagado","impago"),""))</f>
        <v>Pagado</v>
      </c>
      <c r="AM109" s="666" t="str">
        <f>IF(OR($A109="F&amp;F",$G109=""),"",IF(AM$8&gt;$G109,IF(OR(status1B5!AN109=1,status1B5!AN109=2,'BOULEVARD 5'!AP107&gt;0),"Pagado","impago"),""))</f>
        <v>Pagado</v>
      </c>
      <c r="AN109" s="666" t="str">
        <f>IF(OR($A109="F&amp;F",$G109=""),"",IF(AN$8&gt;$G109,IF(OR(status1B5!AO109=1,status1B5!AO109=2,'BOULEVARD 5'!AQ107&gt;0),"Pagado","impago"),""))</f>
        <v>Pagado</v>
      </c>
      <c r="AO109" s="666" t="str">
        <f>IF(OR($A109="F&amp;F",$G109=""),"",IF(AO$8&gt;$G109,IF(OR(status1B5!AP109=1,status1B5!AP109=2,'BOULEVARD 5'!AS107&gt;0),"Pagado","impago"),""))</f>
        <v>Pagado</v>
      </c>
      <c r="AP109" s="429" t="str">
        <f t="shared" si="6"/>
        <v>Vendido</v>
      </c>
    </row>
    <row r="110" spans="1:42" s="429" customFormat="1" ht="13.9" customHeight="1" x14ac:dyDescent="0.25">
      <c r="A110" s="472"/>
      <c r="B110" s="436">
        <f>'BOULEVARD 5'!B108</f>
        <v>613</v>
      </c>
      <c r="C110" s="436" t="s">
        <v>355</v>
      </c>
      <c r="D110" s="436"/>
      <c r="E110" s="436" t="str">
        <f>IF('BOULEVARD 5'!E108="","",'BOULEVARD 5'!E108)</f>
        <v>Antonio Rada</v>
      </c>
      <c r="F110" s="429" t="str">
        <f>IF('BOULEVARD 5'!F108="","",'BOULEVARD 5'!F108)</f>
        <v>Sergio Oswaldo Velasquez Moreno</v>
      </c>
      <c r="G110" s="473">
        <f>IF('BOULEVARD 5'!G108="","",'BOULEVARD 5'!G108)</f>
        <v>45126</v>
      </c>
      <c r="H110" s="666" t="str">
        <f>IF(OR($A110="F&amp;F",$G110=""),"",IF(H$8&gt;$G110,IF(OR(status1B5!I110=1,status1B5!I110=2,'BOULEVARD 5'!K108&gt;0),"Pagado","impago"),""))</f>
        <v/>
      </c>
      <c r="I110" s="666" t="str">
        <f>IF(OR($A110="F&amp;F",$G110=""),"",IF(I$8&gt;$G110,IF(OR(status1B5!J110=1,status1B5!J110=2,'BOULEVARD 5'!L108&gt;0),"Pagado","impago"),""))</f>
        <v/>
      </c>
      <c r="J110" s="666" t="str">
        <f>IF(OR($A110="F&amp;F",$G110=""),"",IF(J$8&gt;$G110,IF(OR(status1B5!K110=1,status1B5!K110=2,'BOULEVARD 5'!M108&gt;0),"Pagado","impago"),""))</f>
        <v/>
      </c>
      <c r="K110" s="666" t="str">
        <f>IF(OR($A110="F&amp;F",$G110=""),"",IF(K$8&gt;$G110,IF(OR(status1B5!L110=1,status1B5!L110=2,'BOULEVARD 5'!N108&gt;0),"Pagado","impago"),""))</f>
        <v/>
      </c>
      <c r="L110" s="666" t="str">
        <f>IF(OR($A110="F&amp;F",$G110=""),"",IF(L$8&gt;$G110,IF(OR(status1B5!M110=1,status1B5!M110=2,'BOULEVARD 5'!O108&gt;0),"Pagado","impago"),""))</f>
        <v>Pagado</v>
      </c>
      <c r="M110" s="666" t="str">
        <f>IF(OR($A110="F&amp;F",$G110=""),"",IF(M$8&gt;$G110,IF(OR(status1B5!N110=1,status1B5!N110=2,'BOULEVARD 5'!P108&gt;0),"Pagado","impago"),""))</f>
        <v>Pagado</v>
      </c>
      <c r="N110" s="666" t="str">
        <f>IF(OR($A110="F&amp;F",$G110=""),"",IF(N$8&gt;$G110,IF(OR(status1B5!O110=1,status1B5!O110=2,'BOULEVARD 5'!Q108&gt;0),"Pagado","impago"),""))</f>
        <v>Pagado</v>
      </c>
      <c r="O110" s="666" t="str">
        <f>IF(OR($A110="F&amp;F",$G110=""),"",IF(O$8&gt;$G110,IF(OR(status1B5!P110=1,status1B5!P110=2,'BOULEVARD 5'!R108&gt;0),"Pagado","impago"),""))</f>
        <v>Pagado</v>
      </c>
      <c r="P110" s="666" t="str">
        <f>IF(OR($A110="F&amp;F",$G110=""),"",IF(P$8&gt;$G110,IF(OR(status1B5!Q110=1,status1B5!Q110=2,'BOULEVARD 5'!S108&gt;0),"Pagado","impago"),""))</f>
        <v>Pagado</v>
      </c>
      <c r="Q110" s="666" t="str">
        <f>IF(OR($A110="F&amp;F",$G110=""),"",IF(Q$8&gt;$G110,IF(OR(status1B5!R110=1,status1B5!R110=2,'BOULEVARD 5'!T108&gt;0),"Pagado","impago"),""))</f>
        <v>Pagado</v>
      </c>
      <c r="R110" s="666" t="str">
        <f>IF(OR($A110="F&amp;F",$G110=""),"",IF(R$8&gt;$G110,IF(OR(status1B5!S110=1,status1B5!S110=2,'BOULEVARD 5'!U108&gt;0),"Pagado","impago"),""))</f>
        <v>Pagado</v>
      </c>
      <c r="S110" s="666" t="str">
        <f>IF(OR($A110="F&amp;F",$G110=""),"",IF(S$8&gt;$G110,IF(OR(status1B5!T110=1,status1B5!T110=2,'BOULEVARD 5'!V108&gt;0),"Pagado","impago"),""))</f>
        <v>Pagado</v>
      </c>
      <c r="T110" s="666" t="str">
        <f>IF(OR($A110="F&amp;F",$G110=""),"",IF(T$8&gt;$G110,IF(OR(status1B5!U110=1,status1B5!U110=2,'BOULEVARD 5'!W108&gt;0),"Pagado","impago"),""))</f>
        <v>Pagado</v>
      </c>
      <c r="U110" s="666" t="str">
        <f>IF(OR($A110="F&amp;F",$G110=""),"",IF(U$8&gt;$G110,IF(OR(status1B5!V110=1,status1B5!V110=2,'BOULEVARD 5'!X108&gt;0),"Pagado","impago"),""))</f>
        <v>Pagado</v>
      </c>
      <c r="V110" s="666" t="str">
        <f>IF(OR($A110="F&amp;F",$G110=""),"",IF(V$8&gt;$G110,IF(OR(status1B5!W110=1,status1B5!W110=2,'BOULEVARD 5'!Y108&gt;0),"Pagado","impago"),""))</f>
        <v>Pagado</v>
      </c>
      <c r="W110" s="666" t="str">
        <f>IF(OR($A110="F&amp;F",$G110=""),"",IF(W$8&gt;$G110,IF(OR(status1B5!X110=1,status1B5!X110=2,'BOULEVARD 5'!Z108&gt;0),"Pagado","impago"),""))</f>
        <v>Pagado</v>
      </c>
      <c r="X110" s="666" t="str">
        <f>IF(OR($A110="F&amp;F",$G110=""),"",IF(X$8&gt;$G110,IF(OR(status1B5!Y110=1,status1B5!Y110=2,'BOULEVARD 5'!AA108&gt;0),"Pagado","impago"),""))</f>
        <v>Pagado</v>
      </c>
      <c r="Y110" s="666" t="str">
        <f>IF(OR($A110="F&amp;F",$G110=""),"",IF(Y$8&gt;$G110,IF(OR(status1B5!Z110=1,status1B5!Z110=2,'BOULEVARD 5'!AB108&gt;0),"Pagado","impago"),""))</f>
        <v>Pagado</v>
      </c>
      <c r="Z110" s="666" t="str">
        <f>IF(OR($A110="F&amp;F",$G110=""),"",IF(Z$8&gt;$G110,IF(OR(status1B5!AA110=1,status1B5!AA110=2,'BOULEVARD 5'!AC108&gt;0),"Pagado","impago"),""))</f>
        <v>Pagado</v>
      </c>
      <c r="AA110" s="666" t="str">
        <f>IF(OR($A110="F&amp;F",$G110=""),"",IF(AA$8&gt;$G110,IF(OR(status1B5!AB110=1,status1B5!AB110=2,'BOULEVARD 5'!AD108&gt;0),"Pagado","impago"),""))</f>
        <v>Pagado</v>
      </c>
      <c r="AB110" s="666" t="str">
        <f>IF(OR($A110="F&amp;F",$G110=""),"",IF(AB$8&gt;$G110,IF(OR(status1B5!AC110=1,status1B5!AC110=2,'BOULEVARD 5'!AE108&gt;0),"Pagado","impago"),""))</f>
        <v>Pagado</v>
      </c>
      <c r="AC110" s="666" t="str">
        <f>IF(OR($A110="F&amp;F",$G110=""),"",IF(AC$8&gt;$G110,IF(OR(status1B5!AD110=1,status1B5!AD110=2,'BOULEVARD 5'!AF108&gt;0),"Pagado","impago"),""))</f>
        <v>Pagado</v>
      </c>
      <c r="AD110" s="666" t="str">
        <f>IF(OR($A110="F&amp;F",$G110=""),"",IF(AD$8&gt;$G110,IF(OR(status1B5!AE110=1,status1B5!AE110=2,'BOULEVARD 5'!AG108&gt;0),"Pagado","impago"),""))</f>
        <v>Pagado</v>
      </c>
      <c r="AE110" s="666" t="str">
        <f>IF(OR($A110="F&amp;F",$G110=""),"",IF(AE$8&gt;$G110,IF(OR(status1B5!AF110=1,status1B5!AF110=2,'BOULEVARD 5'!AH108&gt;0),"Pagado","impago"),""))</f>
        <v>Pagado</v>
      </c>
      <c r="AF110" s="666" t="str">
        <f>IF(OR($A110="F&amp;F",$G110=""),"",IF(AF$8&gt;$G110,IF(OR(status1B5!AG110=1,status1B5!AG110=2,'BOULEVARD 5'!AI108&gt;0),"Pagado","impago"),""))</f>
        <v>Pagado</v>
      </c>
      <c r="AG110" s="666" t="str">
        <f>IF(OR($A110="F&amp;F",$G110=""),"",IF(AG$8&gt;$G110,IF(OR(status1B5!AH110=1,status1B5!AH110=2,'BOULEVARD 5'!AJ108&gt;0),"Pagado","impago"),""))</f>
        <v>Pagado</v>
      </c>
      <c r="AH110" s="666" t="str">
        <f>IF(OR($A110="F&amp;F",$G110=""),"",IF(AH$8&gt;$G110,IF(OR(status1B5!AI110=1,status1B5!AI110=2,'BOULEVARD 5'!AK108&gt;0),"Pagado","impago"),""))</f>
        <v>Pagado</v>
      </c>
      <c r="AI110" s="666" t="str">
        <f>IF(OR($A110="F&amp;F",$G110=""),"",IF(AI$8&gt;$G110,IF(OR(status1B5!AJ110=1,status1B5!AJ110=2,'BOULEVARD 5'!AL108&gt;0),"Pagado","impago"),""))</f>
        <v>Pagado</v>
      </c>
      <c r="AJ110" s="666" t="str">
        <f>IF(OR($A110="F&amp;F",$G110=""),"",IF(AJ$8&gt;$G110,IF(OR(status1B5!AK110=1,status1B5!AK110=2,'BOULEVARD 5'!AM108&gt;0),"Pagado","impago"),""))</f>
        <v>Pagado</v>
      </c>
      <c r="AK110" s="666" t="str">
        <f>IF(OR($A110="F&amp;F",$G110=""),"",IF(AK$8&gt;$G110,IF(OR(status1B5!AL110=1,status1B5!AL110=2,'BOULEVARD 5'!AN108&gt;0),"Pagado","impago"),""))</f>
        <v>Pagado</v>
      </c>
      <c r="AL110" s="666" t="str">
        <f>IF(OR($A110="F&amp;F",$G110=""),"",IF(AL$8&gt;$G110,IF(OR(status1B5!AM110=1,status1B5!AM110=2,'BOULEVARD 5'!AO108&gt;0),"Pagado","impago"),""))</f>
        <v>Pagado</v>
      </c>
      <c r="AM110" s="666" t="str">
        <f>IF(OR($A110="F&amp;F",$G110=""),"",IF(AM$8&gt;$G110,IF(OR(status1B5!AN110=1,status1B5!AN110=2,'BOULEVARD 5'!AP108&gt;0),"Pagado","impago"),""))</f>
        <v>Pagado</v>
      </c>
      <c r="AN110" s="666" t="str">
        <f>IF(OR($A110="F&amp;F",$G110=""),"",IF(AN$8&gt;$G110,IF(OR(status1B5!AO110=1,status1B5!AO110=2,'BOULEVARD 5'!AQ108&gt;0),"Pagado","impago"),""))</f>
        <v>Pagado</v>
      </c>
      <c r="AO110" s="666" t="str">
        <f>IF(OR($A110="F&amp;F",$G110=""),"",IF(AO$8&gt;$G110,IF(OR(status1B5!AP110=1,status1B5!AP110=2,'BOULEVARD 5'!AS108&gt;0),"Pagado","impago"),""))</f>
        <v>Pagado</v>
      </c>
      <c r="AP110" s="429" t="str">
        <f t="shared" si="6"/>
        <v>Vendido</v>
      </c>
    </row>
    <row r="111" spans="1:42" s="429" customFormat="1" ht="13.9" customHeight="1" x14ac:dyDescent="0.25">
      <c r="A111" s="472"/>
      <c r="B111" s="436">
        <f>'BOULEVARD 5'!B109</f>
        <v>614</v>
      </c>
      <c r="C111" s="436" t="s">
        <v>355</v>
      </c>
      <c r="D111" s="436"/>
      <c r="E111" s="436" t="str">
        <f>IF('BOULEVARD 5'!E109="","",'BOULEVARD 5'!E109)</f>
        <v>**</v>
      </c>
      <c r="F111" s="429" t="str">
        <f>IF('BOULEVARD 5'!F109="","",'BOULEVARD 5'!F109)</f>
        <v>Thalia  Raquel Carredano</v>
      </c>
      <c r="G111" s="473">
        <f>IF('BOULEVARD 5'!G109="","",'BOULEVARD 5'!G109)</f>
        <v>45877</v>
      </c>
      <c r="H111" s="666" t="str">
        <f>IF(OR($A111="F&amp;F",$G111=""),"",IF(H$8&gt;$G111,IF(OR(status1B5!I111=1,status1B5!I111=2,'BOULEVARD 5'!K109&gt;0),"Pagado","impago"),""))</f>
        <v/>
      </c>
      <c r="I111" s="666" t="str">
        <f>IF(OR($A111="F&amp;F",$G111=""),"",IF(I$8&gt;$G111,IF(OR(status1B5!J111=1,status1B5!J111=2,'BOULEVARD 5'!L109&gt;0),"Pagado","impago"),""))</f>
        <v/>
      </c>
      <c r="J111" s="666" t="str">
        <f>IF(OR($A111="F&amp;F",$G111=""),"",IF(J$8&gt;$G111,IF(OR(status1B5!K111=1,status1B5!K111=2,'BOULEVARD 5'!M109&gt;0),"Pagado","impago"),""))</f>
        <v/>
      </c>
      <c r="K111" s="666" t="str">
        <f>IF(OR($A111="F&amp;F",$G111=""),"",IF(K$8&gt;$G111,IF(OR(status1B5!L111=1,status1B5!L111=2,'BOULEVARD 5'!N109&gt;0),"Pagado","impago"),""))</f>
        <v/>
      </c>
      <c r="L111" s="666" t="str">
        <f>IF(OR($A111="F&amp;F",$G111=""),"",IF(L$8&gt;$G111,IF(OR(status1B5!M111=1,status1B5!M111=2,'BOULEVARD 5'!O109&gt;0),"Pagado","impago"),""))</f>
        <v/>
      </c>
      <c r="M111" s="666" t="str">
        <f>IF(OR($A111="F&amp;F",$G111=""),"",IF(M$8&gt;$G111,IF(OR(status1B5!N111=1,status1B5!N111=2,'BOULEVARD 5'!P109&gt;0),"Pagado","impago"),""))</f>
        <v/>
      </c>
      <c r="N111" s="666" t="str">
        <f>IF(OR($A111="F&amp;F",$G111=""),"",IF(N$8&gt;$G111,IF(OR(status1B5!O111=1,status1B5!O111=2,'BOULEVARD 5'!Q109&gt;0),"Pagado","impago"),""))</f>
        <v/>
      </c>
      <c r="O111" s="666" t="str">
        <f>IF(OR($A111="F&amp;F",$G111=""),"",IF(O$8&gt;$G111,IF(OR(status1B5!P111=1,status1B5!P111=2,'BOULEVARD 5'!R109&gt;0),"Pagado","impago"),""))</f>
        <v/>
      </c>
      <c r="P111" s="666" t="str">
        <f>IF(OR($A111="F&amp;F",$G111=""),"",IF(P$8&gt;$G111,IF(OR(status1B5!Q111=1,status1B5!Q111=2,'BOULEVARD 5'!S109&gt;0),"Pagado","impago"),""))</f>
        <v/>
      </c>
      <c r="Q111" s="666" t="str">
        <f>IF(OR($A111="F&amp;F",$G111=""),"",IF(Q$8&gt;$G111,IF(OR(status1B5!R111=1,status1B5!R111=2,'BOULEVARD 5'!T109&gt;0),"Pagado","impago"),""))</f>
        <v/>
      </c>
      <c r="R111" s="666" t="str">
        <f>IF(OR($A111="F&amp;F",$G111=""),"",IF(R$8&gt;$G111,IF(OR(status1B5!S111=1,status1B5!S111=2,'BOULEVARD 5'!U109&gt;0),"Pagado","impago"),""))</f>
        <v/>
      </c>
      <c r="S111" s="666" t="str">
        <f>IF(OR($A111="F&amp;F",$G111=""),"",IF(S$8&gt;$G111,IF(OR(status1B5!T111=1,status1B5!T111=2,'BOULEVARD 5'!V109&gt;0),"Pagado","impago"),""))</f>
        <v/>
      </c>
      <c r="T111" s="666" t="str">
        <f>IF(OR($A111="F&amp;F",$G111=""),"",IF(T$8&gt;$G111,IF(OR(status1B5!U111=1,status1B5!U111=2,'BOULEVARD 5'!W109&gt;0),"Pagado","impago"),""))</f>
        <v/>
      </c>
      <c r="U111" s="666" t="str">
        <f>IF(OR($A111="F&amp;F",$G111=""),"",IF(U$8&gt;$G111,IF(OR(status1B5!V111=1,status1B5!V111=2,'BOULEVARD 5'!X109&gt;0),"Pagado","impago"),""))</f>
        <v/>
      </c>
      <c r="V111" s="666" t="str">
        <f>IF(OR($A111="F&amp;F",$G111=""),"",IF(V$8&gt;$G111,IF(OR(status1B5!W111=1,status1B5!W111=2,'BOULEVARD 5'!Y109&gt;0),"Pagado","impago"),""))</f>
        <v/>
      </c>
      <c r="W111" s="666" t="str">
        <f>IF(OR($A111="F&amp;F",$G111=""),"",IF(W$8&gt;$G111,IF(OR(status1B5!X111=1,status1B5!X111=2,'BOULEVARD 5'!Z109&gt;0),"Pagado","impago"),""))</f>
        <v/>
      </c>
      <c r="X111" s="666" t="str">
        <f>IF(OR($A111="F&amp;F",$G111=""),"",IF(X$8&gt;$G111,IF(OR(status1B5!Y111=1,status1B5!Y111=2,'BOULEVARD 5'!AA109&gt;0),"Pagado","impago"),""))</f>
        <v/>
      </c>
      <c r="Y111" s="666" t="str">
        <f>IF(OR($A111="F&amp;F",$G111=""),"",IF(Y$8&gt;$G111,IF(OR(status1B5!Z111=1,status1B5!Z111=2,'BOULEVARD 5'!AB109&gt;0),"Pagado","impago"),""))</f>
        <v/>
      </c>
      <c r="Z111" s="666" t="str">
        <f>IF(OR($A111="F&amp;F",$G111=""),"",IF(Z$8&gt;$G111,IF(OR(status1B5!AA111=1,status1B5!AA111=2,'BOULEVARD 5'!AC109&gt;0),"Pagado","impago"),""))</f>
        <v/>
      </c>
      <c r="AA111" s="666" t="str">
        <f>IF(OR($A111="F&amp;F",$G111=""),"",IF(AA$8&gt;$G111,IF(OR(status1B5!AB111=1,status1B5!AB111=2,'BOULEVARD 5'!AD109&gt;0),"Pagado","impago"),""))</f>
        <v/>
      </c>
      <c r="AB111" s="666" t="str">
        <f>IF(OR($A111="F&amp;F",$G111=""),"",IF(AB$8&gt;$G111,IF(OR(status1B5!AC111=1,status1B5!AC111=2,'BOULEVARD 5'!AE109&gt;0),"Pagado","impago"),""))</f>
        <v/>
      </c>
      <c r="AC111" s="666" t="str">
        <f>IF(OR($A111="F&amp;F",$G111=""),"",IF(AC$8&gt;$G111,IF(OR(status1B5!AD111=1,status1B5!AD111=2,'BOULEVARD 5'!AF109&gt;0),"Pagado","impago"),""))</f>
        <v/>
      </c>
      <c r="AD111" s="666" t="str">
        <f>IF(OR($A111="F&amp;F",$G111=""),"",IF(AD$8&gt;$G111,IF(OR(status1B5!AE111=1,status1B5!AE111=2,'BOULEVARD 5'!AG109&gt;0),"Pagado","impago"),""))</f>
        <v/>
      </c>
      <c r="AE111" s="666" t="str">
        <f>IF(OR($A111="F&amp;F",$G111=""),"",IF(AE$8&gt;$G111,IF(OR(status1B5!AF111=1,status1B5!AF111=2,'BOULEVARD 5'!AH109&gt;0),"Pagado","impago"),""))</f>
        <v/>
      </c>
      <c r="AF111" s="666" t="str">
        <f>IF(OR($A111="F&amp;F",$G111=""),"",IF(AF$8&gt;$G111,IF(OR(status1B5!AG111=1,status1B5!AG111=2,'BOULEVARD 5'!AI109&gt;0),"Pagado","impago"),""))</f>
        <v/>
      </c>
      <c r="AG111" s="666" t="str">
        <f>IF(OR($A111="F&amp;F",$G111=""),"",IF(AG$8&gt;$G111,IF(OR(status1B5!AH111=1,status1B5!AH111=2,'BOULEVARD 5'!AJ109&gt;0),"Pagado","impago"),""))</f>
        <v/>
      </c>
      <c r="AH111" s="666" t="str">
        <f>IF(OR($A111="F&amp;F",$G111=""),"",IF(AH$8&gt;$G111,IF(OR(status1B5!AI111=1,status1B5!AI111=2,'BOULEVARD 5'!AK109&gt;0),"Pagado","impago"),""))</f>
        <v/>
      </c>
      <c r="AI111" s="666" t="str">
        <f>IF(OR($A111="F&amp;F",$G111=""),"",IF(AI$8&gt;$G111,IF(OR(status1B5!AJ111=1,status1B5!AJ111=2,'BOULEVARD 5'!AL109&gt;0),"Pagado","impago"),""))</f>
        <v/>
      </c>
      <c r="AJ111" s="666" t="str">
        <f>IF(OR($A111="F&amp;F",$G111=""),"",IF(AJ$8&gt;$G111,IF(OR(status1B5!AK111=1,status1B5!AK111=2,'BOULEVARD 5'!AM109&gt;0),"Pagado","impago"),""))</f>
        <v/>
      </c>
      <c r="AK111" s="666" t="str">
        <f>IF(OR($A111="F&amp;F",$G111=""),"",IF(AK$8&gt;$G111,IF(OR(status1B5!AL111=1,status1B5!AL111=2,'BOULEVARD 5'!AN109&gt;0),"Pagado","impago"),""))</f>
        <v>Pagado</v>
      </c>
      <c r="AL111" s="666" t="str">
        <f>IF(OR($A111="F&amp;F",$G111=""),"",IF(AL$8&gt;$G111,IF(OR(status1B5!AM111=1,status1B5!AM111=2,'BOULEVARD 5'!AO109&gt;0),"Pagado","impago"),""))</f>
        <v>Pagado</v>
      </c>
      <c r="AM111" s="666" t="str">
        <f>IF(OR($A111="F&amp;F",$G111=""),"",IF(AM$8&gt;$G111,IF(OR(status1B5!AN111=1,status1B5!AN111=2,'BOULEVARD 5'!AP109&gt;0),"Pagado","impago"),""))</f>
        <v>Pagado</v>
      </c>
      <c r="AN111" s="666" t="str">
        <f>IF(OR($A111="F&amp;F",$G111=""),"",IF(AN$8&gt;$G111,IF(OR(status1B5!AO111=1,status1B5!AO111=2,'BOULEVARD 5'!AQ109&gt;0),"Pagado","impago"),""))</f>
        <v>Pagado</v>
      </c>
      <c r="AO111" s="666" t="str">
        <f>IF(OR($A111="F&amp;F",$G111=""),"",IF(AO$8&gt;$G111,IF(OR(status1B5!AP111=1,status1B5!AP111=2,'BOULEVARD 5'!AS109&gt;0),"Pagado","impago"),""))</f>
        <v>Pagado</v>
      </c>
      <c r="AP111" s="429" t="str">
        <f t="shared" si="6"/>
        <v>Vendido</v>
      </c>
    </row>
    <row r="112" spans="1:42" s="429" customFormat="1" ht="13.9" customHeight="1" x14ac:dyDescent="0.25">
      <c r="A112" s="472" t="s">
        <v>58</v>
      </c>
      <c r="B112" s="475">
        <f>'BOULEVARD 5'!B110</f>
        <v>615</v>
      </c>
      <c r="C112" s="475" t="s">
        <v>355</v>
      </c>
      <c r="D112" s="475"/>
      <c r="E112" s="475" t="str">
        <f>IF('BOULEVARD 5'!E110="","",'BOULEVARD 5'!E110)</f>
        <v>Antonio Rada</v>
      </c>
      <c r="F112" s="476" t="str">
        <f>IF('BOULEVARD 5'!F110="","",'BOULEVARD 5'!F110)</f>
        <v>Maria De Los Angeles España Cordon</v>
      </c>
      <c r="G112" s="473">
        <f>IF('BOULEVARD 5'!G110="","",'BOULEVARD 5'!G110)</f>
        <v>45040</v>
      </c>
      <c r="H112" s="666" t="str">
        <f>IF(OR($A112="F&amp;F",$G112=""),"",IF(H$8&gt;$G112,IF(OR(status1B5!I112=1,status1B5!I112=2,'BOULEVARD 5'!K110&gt;0),"Pagado","impago"),""))</f>
        <v/>
      </c>
      <c r="I112" s="666" t="str">
        <f>IF(OR($A112="F&amp;F",$G112=""),"",IF(I$8&gt;$G112,IF(OR(status1B5!J112=1,status1B5!J112=2,'BOULEVARD 5'!L110&gt;0),"Pagado","impago"),""))</f>
        <v/>
      </c>
      <c r="J112" s="666" t="str">
        <f>IF(OR($A112="F&amp;F",$G112=""),"",IF(J$8&gt;$G112,IF(OR(status1B5!K112=1,status1B5!K112=2,'BOULEVARD 5'!M110&gt;0),"Pagado","impago"),""))</f>
        <v/>
      </c>
      <c r="K112" s="666" t="str">
        <f>IF(OR($A112="F&amp;F",$G112=""),"",IF(K$8&gt;$G112,IF(OR(status1B5!L112=1,status1B5!L112=2,'BOULEVARD 5'!N110&gt;0),"Pagado","impago"),""))</f>
        <v/>
      </c>
      <c r="L112" s="666" t="str">
        <f>IF(OR($A112="F&amp;F",$G112=""),"",IF(L$8&gt;$G112,IF(OR(status1B5!M112=1,status1B5!M112=2,'BOULEVARD 5'!O110&gt;0),"Pagado","impago"),""))</f>
        <v/>
      </c>
      <c r="M112" s="666" t="str">
        <f>IF(OR($A112="F&amp;F",$G112=""),"",IF(M$8&gt;$G112,IF(OR(status1B5!N112=1,status1B5!N112=2,'BOULEVARD 5'!P110&gt;0),"Pagado","impago"),""))</f>
        <v/>
      </c>
      <c r="N112" s="666" t="str">
        <f>IF(OR($A112="F&amp;F",$G112=""),"",IF(N$8&gt;$G112,IF(OR(status1B5!O112=1,status1B5!O112=2,'BOULEVARD 5'!Q110&gt;0),"Pagado","impago"),""))</f>
        <v/>
      </c>
      <c r="O112" s="666" t="str">
        <f>IF(OR($A112="F&amp;F",$G112=""),"",IF(O$8&gt;$G112,IF(OR(status1B5!P112=1,status1B5!P112=2,'BOULEVARD 5'!R110&gt;0),"Pagado","impago"),""))</f>
        <v/>
      </c>
      <c r="P112" s="666" t="str">
        <f>IF(OR($A112="F&amp;F",$G112=""),"",IF(P$8&gt;$G112,IF(OR(status1B5!Q112=1,status1B5!Q112=2,'BOULEVARD 5'!S110&gt;0),"Pagado","impago"),""))</f>
        <v/>
      </c>
      <c r="Q112" s="666" t="str">
        <f>IF(OR($A112="F&amp;F",$G112=""),"",IF(Q$8&gt;$G112,IF(OR(status1B5!R112=1,status1B5!R112=2,'BOULEVARD 5'!T110&gt;0),"Pagado","impago"),""))</f>
        <v/>
      </c>
      <c r="R112" s="666" t="str">
        <f>IF(OR($A112="F&amp;F",$G112=""),"",IF(R$8&gt;$G112,IF(OR(status1B5!S112=1,status1B5!S112=2,'BOULEVARD 5'!U110&gt;0),"Pagado","impago"),""))</f>
        <v/>
      </c>
      <c r="S112" s="666" t="str">
        <f>IF(OR($A112="F&amp;F",$G112=""),"",IF(S$8&gt;$G112,IF(OR(status1B5!T112=1,status1B5!T112=2,'BOULEVARD 5'!V110&gt;0),"Pagado","impago"),""))</f>
        <v/>
      </c>
      <c r="T112" s="666" t="str">
        <f>IF(OR($A112="F&amp;F",$G112=""),"",IF(T$8&gt;$G112,IF(OR(status1B5!U112=1,status1B5!U112=2,'BOULEVARD 5'!W110&gt;0),"Pagado","impago"),""))</f>
        <v/>
      </c>
      <c r="U112" s="666" t="str">
        <f>IF(OR($A112="F&amp;F",$G112=""),"",IF(U$8&gt;$G112,IF(OR(status1B5!V112=1,status1B5!V112=2,'BOULEVARD 5'!X110&gt;0),"Pagado","impago"),""))</f>
        <v/>
      </c>
      <c r="V112" s="666" t="str">
        <f>IF(OR($A112="F&amp;F",$G112=""),"",IF(V$8&gt;$G112,IF(OR(status1B5!W112=1,status1B5!W112=2,'BOULEVARD 5'!Y110&gt;0),"Pagado","impago"),""))</f>
        <v/>
      </c>
      <c r="W112" s="666" t="str">
        <f>IF(OR($A112="F&amp;F",$G112=""),"",IF(W$8&gt;$G112,IF(OR(status1B5!X112=1,status1B5!X112=2,'BOULEVARD 5'!Z110&gt;0),"Pagado","impago"),""))</f>
        <v/>
      </c>
      <c r="X112" s="666" t="str">
        <f>IF(OR($A112="F&amp;F",$G112=""),"",IF(X$8&gt;$G112,IF(OR(status1B5!Y112=1,status1B5!Y112=2,'BOULEVARD 5'!AA110&gt;0),"Pagado","impago"),""))</f>
        <v/>
      </c>
      <c r="Y112" s="666" t="str">
        <f>IF(OR($A112="F&amp;F",$G112=""),"",IF(Y$8&gt;$G112,IF(OR(status1B5!Z112=1,status1B5!Z112=2,'BOULEVARD 5'!AB110&gt;0),"Pagado","impago"),""))</f>
        <v/>
      </c>
      <c r="Z112" s="666" t="str">
        <f>IF(OR($A112="F&amp;F",$G112=""),"",IF(Z$8&gt;$G112,IF(OR(status1B5!AA112=1,status1B5!AA112=2,'BOULEVARD 5'!AC110&gt;0),"Pagado","impago"),""))</f>
        <v/>
      </c>
      <c r="AA112" s="666" t="str">
        <f>IF(OR($A112="F&amp;F",$G112=""),"",IF(AA$8&gt;$G112,IF(OR(status1B5!AB112=1,status1B5!AB112=2,'BOULEVARD 5'!AD110&gt;0),"Pagado","impago"),""))</f>
        <v/>
      </c>
      <c r="AB112" s="666" t="str">
        <f>IF(OR($A112="F&amp;F",$G112=""),"",IF(AB$8&gt;$G112,IF(OR(status1B5!AC112=1,status1B5!AC112=2,'BOULEVARD 5'!AE110&gt;0),"Pagado","impago"),""))</f>
        <v/>
      </c>
      <c r="AC112" s="666" t="str">
        <f>IF(OR($A112="F&amp;F",$G112=""),"",IF(AC$8&gt;$G112,IF(OR(status1B5!AD112=1,status1B5!AD112=2,'BOULEVARD 5'!AF110&gt;0),"Pagado","impago"),""))</f>
        <v/>
      </c>
      <c r="AD112" s="666" t="str">
        <f>IF(OR($A112="F&amp;F",$G112=""),"",IF(AD$8&gt;$G112,IF(OR(status1B5!AE112=1,status1B5!AE112=2,'BOULEVARD 5'!AG110&gt;0),"Pagado","impago"),""))</f>
        <v/>
      </c>
      <c r="AE112" s="666" t="str">
        <f>IF(OR($A112="F&amp;F",$G112=""),"",IF(AE$8&gt;$G112,IF(OR(status1B5!AF112=1,status1B5!AF112=2,'BOULEVARD 5'!AH110&gt;0),"Pagado","impago"),""))</f>
        <v/>
      </c>
      <c r="AF112" s="666" t="str">
        <f>IF(OR($A112="F&amp;F",$G112=""),"",IF(AF$8&gt;$G112,IF(OR(status1B5!AG112=1,status1B5!AG112=2,'BOULEVARD 5'!AI110&gt;0),"Pagado","impago"),""))</f>
        <v/>
      </c>
      <c r="AG112" s="666" t="str">
        <f>IF(OR($A112="F&amp;F",$G112=""),"",IF(AG$8&gt;$G112,IF(OR(status1B5!AH112=1,status1B5!AH112=2,'BOULEVARD 5'!AJ110&gt;0),"Pagado","impago"),""))</f>
        <v/>
      </c>
      <c r="AH112" s="666" t="str">
        <f>IF(OR($A112="F&amp;F",$G112=""),"",IF(AH$8&gt;$G112,IF(OR(status1B5!AI112=1,status1B5!AI112=2,'BOULEVARD 5'!AK110&gt;0),"Pagado","impago"),""))</f>
        <v/>
      </c>
      <c r="AI112" s="666" t="str">
        <f>IF(OR($A112="F&amp;F",$G112=""),"",IF(AI$8&gt;$G112,IF(OR(status1B5!AJ112=1,status1B5!AJ112=2,'BOULEVARD 5'!AL110&gt;0),"Pagado","impago"),""))</f>
        <v/>
      </c>
      <c r="AJ112" s="666" t="str">
        <f>IF(OR($A112="F&amp;F",$G112=""),"",IF(AJ$8&gt;$G112,IF(OR(status1B5!AK112=1,status1B5!AK112=2,'BOULEVARD 5'!AM110&gt;0),"Pagado","impago"),""))</f>
        <v/>
      </c>
      <c r="AK112" s="666" t="str">
        <f>IF(OR($A112="F&amp;F",$G112=""),"",IF(AK$8&gt;$G112,IF(OR(status1B5!AL112=1,status1B5!AL112=2,'BOULEVARD 5'!AN110&gt;0),"Pagado","impago"),""))</f>
        <v/>
      </c>
      <c r="AL112" s="666" t="str">
        <f>IF(OR($A112="F&amp;F",$G112=""),"",IF(AL$8&gt;$G112,IF(OR(status1B5!AM112=1,status1B5!AM112=2,'BOULEVARD 5'!AO110&gt;0),"Pagado","impago"),""))</f>
        <v/>
      </c>
      <c r="AM112" s="666" t="str">
        <f>IF(OR($A112="F&amp;F",$G112=""),"",IF(AM$8&gt;$G112,IF(OR(status1B5!AN112=1,status1B5!AN112=2,'BOULEVARD 5'!AP110&gt;0),"Pagado","impago"),""))</f>
        <v/>
      </c>
      <c r="AN112" s="666" t="str">
        <f>IF(OR($A112="F&amp;F",$G112=""),"",IF(AN$8&gt;$G112,IF(OR(status1B5!AO112=1,status1B5!AO112=2,'BOULEVARD 5'!AQ110&gt;0),"Pagado","impago"),""))</f>
        <v/>
      </c>
      <c r="AO112" s="666" t="str">
        <f>IF(OR($A112="F&amp;F",$G112=""),"",IF(AO$8&gt;$G112,IF(OR(status1B5!AP112=1,status1B5!AP112=2,'BOULEVARD 5'!AS110&gt;0),"Pagado","impago"),""))</f>
        <v/>
      </c>
      <c r="AP112" s="429" t="str">
        <f t="shared" si="6"/>
        <v>Vendido</v>
      </c>
    </row>
    <row r="113" spans="1:42" s="429" customFormat="1" ht="13.9" customHeight="1" x14ac:dyDescent="0.25">
      <c r="A113" s="472"/>
      <c r="B113" s="436">
        <f>'BOULEVARD 5'!B111</f>
        <v>616</v>
      </c>
      <c r="C113" s="436" t="s">
        <v>355</v>
      </c>
      <c r="D113" s="436"/>
      <c r="E113" s="436" t="str">
        <f>IF('BOULEVARD 5'!E111="","",'BOULEVARD 5'!E111)</f>
        <v>Antonio Rada</v>
      </c>
      <c r="F113" s="429" t="str">
        <f>IF('BOULEVARD 5'!F111="","",'BOULEVARD 5'!F111)</f>
        <v>Edwin Estuardo Acevedo Salguero</v>
      </c>
      <c r="G113" s="473">
        <f>IF('BOULEVARD 5'!G111="","",'BOULEVARD 5'!G111)</f>
        <v>45359</v>
      </c>
      <c r="H113" s="666" t="str">
        <f>IF(OR($A113="F&amp;F",$G113=""),"",IF(H$8&gt;$G113,IF(OR(status1B5!I113=1,status1B5!I113=2,'BOULEVARD 5'!K111&gt;0),"Pagado","impago"),""))</f>
        <v/>
      </c>
      <c r="I113" s="666" t="str">
        <f>IF(OR($A113="F&amp;F",$G113=""),"",IF(I$8&gt;$G113,IF(OR(status1B5!J113=1,status1B5!J113=2,'BOULEVARD 5'!L111&gt;0),"Pagado","impago"),""))</f>
        <v/>
      </c>
      <c r="J113" s="666" t="str">
        <f>IF(OR($A113="F&amp;F",$G113=""),"",IF(J$8&gt;$G113,IF(OR(status1B5!K113=1,status1B5!K113=2,'BOULEVARD 5'!M111&gt;0),"Pagado","impago"),""))</f>
        <v/>
      </c>
      <c r="K113" s="666" t="str">
        <f>IF(OR($A113="F&amp;F",$G113=""),"",IF(K$8&gt;$G113,IF(OR(status1B5!L113=1,status1B5!L113=2,'BOULEVARD 5'!N111&gt;0),"Pagado","impago"),""))</f>
        <v/>
      </c>
      <c r="L113" s="666" t="str">
        <f>IF(OR($A113="F&amp;F",$G113=""),"",IF(L$8&gt;$G113,IF(OR(status1B5!M113=1,status1B5!M113=2,'BOULEVARD 5'!O111&gt;0),"Pagado","impago"),""))</f>
        <v/>
      </c>
      <c r="M113" s="666" t="str">
        <f>IF(OR($A113="F&amp;F",$G113=""),"",IF(M$8&gt;$G113,IF(OR(status1B5!N113=1,status1B5!N113=2,'BOULEVARD 5'!P111&gt;0),"Pagado","impago"),""))</f>
        <v/>
      </c>
      <c r="N113" s="666" t="str">
        <f>IF(OR($A113="F&amp;F",$G113=""),"",IF(N$8&gt;$G113,IF(OR(status1B5!O113=1,status1B5!O113=2,'BOULEVARD 5'!Q111&gt;0),"Pagado","impago"),""))</f>
        <v/>
      </c>
      <c r="O113" s="666" t="str">
        <f>IF(OR($A113="F&amp;F",$G113=""),"",IF(O$8&gt;$G113,IF(OR(status1B5!P113=1,status1B5!P113=2,'BOULEVARD 5'!R111&gt;0),"Pagado","impago"),""))</f>
        <v/>
      </c>
      <c r="P113" s="666" t="str">
        <f>IF(OR($A113="F&amp;F",$G113=""),"",IF(P$8&gt;$G113,IF(OR(status1B5!Q113=1,status1B5!Q113=2,'BOULEVARD 5'!S111&gt;0),"Pagado","impago"),""))</f>
        <v/>
      </c>
      <c r="Q113" s="666" t="str">
        <f>IF(OR($A113="F&amp;F",$G113=""),"",IF(Q$8&gt;$G113,IF(OR(status1B5!R113=1,status1B5!R113=2,'BOULEVARD 5'!T111&gt;0),"Pagado","impago"),""))</f>
        <v/>
      </c>
      <c r="R113" s="666" t="str">
        <f>IF(OR($A113="F&amp;F",$G113=""),"",IF(R$8&gt;$G113,IF(OR(status1B5!S113=1,status1B5!S113=2,'BOULEVARD 5'!U111&gt;0),"Pagado","impago"),""))</f>
        <v/>
      </c>
      <c r="S113" s="666" t="str">
        <f>IF(OR($A113="F&amp;F",$G113=""),"",IF(S$8&gt;$G113,IF(OR(status1B5!T113=1,status1B5!T113=2,'BOULEVARD 5'!V111&gt;0),"Pagado","impago"),""))</f>
        <v/>
      </c>
      <c r="T113" s="666" t="str">
        <f>IF(OR($A113="F&amp;F",$G113=""),"",IF(T$8&gt;$G113,IF(OR(status1B5!U113=1,status1B5!U113=2,'BOULEVARD 5'!W111&gt;0),"Pagado","impago"),""))</f>
        <v>Pagado</v>
      </c>
      <c r="U113" s="666" t="str">
        <f>IF(OR($A113="F&amp;F",$G113=""),"",IF(U$8&gt;$G113,IF(OR(status1B5!V113=1,status1B5!V113=2,'BOULEVARD 5'!X111&gt;0),"Pagado","impago"),""))</f>
        <v>Pagado</v>
      </c>
      <c r="V113" s="666" t="str">
        <f>IF(OR($A113="F&amp;F",$G113=""),"",IF(V$8&gt;$G113,IF(OR(status1B5!W113=1,status1B5!W113=2,'BOULEVARD 5'!Y111&gt;0),"Pagado","impago"),""))</f>
        <v>Pagado</v>
      </c>
      <c r="W113" s="666" t="str">
        <f>IF(OR($A113="F&amp;F",$G113=""),"",IF(W$8&gt;$G113,IF(OR(status1B5!X113=1,status1B5!X113=2,'BOULEVARD 5'!Z111&gt;0),"Pagado","impago"),""))</f>
        <v>Pagado</v>
      </c>
      <c r="X113" s="666" t="str">
        <f>IF(OR($A113="F&amp;F",$G113=""),"",IF(X$8&gt;$G113,IF(OR(status1B5!Y113=1,status1B5!Y113=2,'BOULEVARD 5'!AA111&gt;0),"Pagado","impago"),""))</f>
        <v>Pagado</v>
      </c>
      <c r="Y113" s="666" t="str">
        <f>IF(OR($A113="F&amp;F",$G113=""),"",IF(Y$8&gt;$G113,IF(OR(status1B5!Z113=1,status1B5!Z113=2,'BOULEVARD 5'!AB111&gt;0),"Pagado","impago"),""))</f>
        <v>Pagado</v>
      </c>
      <c r="Z113" s="666" t="str">
        <f>IF(OR($A113="F&amp;F",$G113=""),"",IF(Z$8&gt;$G113,IF(OR(status1B5!AA113=1,status1B5!AA113=2,'BOULEVARD 5'!AC111&gt;0),"Pagado","impago"),""))</f>
        <v>Pagado</v>
      </c>
      <c r="AA113" s="666" t="str">
        <f>IF(OR($A113="F&amp;F",$G113=""),"",IF(AA$8&gt;$G113,IF(OR(status1B5!AB113=1,status1B5!AB113=2,'BOULEVARD 5'!AD111&gt;0),"Pagado","impago"),""))</f>
        <v>Pagado</v>
      </c>
      <c r="AB113" s="666" t="str">
        <f>IF(OR($A113="F&amp;F",$G113=""),"",IF(AB$8&gt;$G113,IF(OR(status1B5!AC113=1,status1B5!AC113=2,'BOULEVARD 5'!AE111&gt;0),"Pagado","impago"),""))</f>
        <v>Pagado</v>
      </c>
      <c r="AC113" s="666" t="str">
        <f>IF(OR($A113="F&amp;F",$G113=""),"",IF(AC$8&gt;$G113,IF(OR(status1B5!AD113=1,status1B5!AD113=2,'BOULEVARD 5'!AF111&gt;0),"Pagado","impago"),""))</f>
        <v>Pagado</v>
      </c>
      <c r="AD113" s="666" t="str">
        <f>IF(OR($A113="F&amp;F",$G113=""),"",IF(AD$8&gt;$G113,IF(OR(status1B5!AE113=1,status1B5!AE113=2,'BOULEVARD 5'!AG111&gt;0),"Pagado","impago"),""))</f>
        <v>Pagado</v>
      </c>
      <c r="AE113" s="666" t="str">
        <f>IF(OR($A113="F&amp;F",$G113=""),"",IF(AE$8&gt;$G113,IF(OR(status1B5!AF113=1,status1B5!AF113=2,'BOULEVARD 5'!AH111&gt;0),"Pagado","impago"),""))</f>
        <v>Pagado</v>
      </c>
      <c r="AF113" s="666" t="str">
        <f>IF(OR($A113="F&amp;F",$G113=""),"",IF(AF$8&gt;$G113,IF(OR(status1B5!AG113=1,status1B5!AG113=2,'BOULEVARD 5'!AI111&gt;0),"Pagado","impago"),""))</f>
        <v>Pagado</v>
      </c>
      <c r="AG113" s="666" t="str">
        <f>IF(OR($A113="F&amp;F",$G113=""),"",IF(AG$8&gt;$G113,IF(OR(status1B5!AH113=1,status1B5!AH113=2,'BOULEVARD 5'!AJ111&gt;0),"Pagado","impago"),""))</f>
        <v>Pagado</v>
      </c>
      <c r="AH113" s="666" t="str">
        <f>IF(OR($A113="F&amp;F",$G113=""),"",IF(AH$8&gt;$G113,IF(OR(status1B5!AI113=1,status1B5!AI113=2,'BOULEVARD 5'!AK111&gt;0),"Pagado","impago"),""))</f>
        <v>Pagado</v>
      </c>
      <c r="AI113" s="666" t="str">
        <f>IF(OR($A113="F&amp;F",$G113=""),"",IF(AI$8&gt;$G113,IF(OR(status1B5!AJ113=1,status1B5!AJ113=2,'BOULEVARD 5'!AL111&gt;0),"Pagado","impago"),""))</f>
        <v>Pagado</v>
      </c>
      <c r="AJ113" s="666" t="str">
        <f>IF(OR($A113="F&amp;F",$G113=""),"",IF(AJ$8&gt;$G113,IF(OR(status1B5!AK113=1,status1B5!AK113=2,'BOULEVARD 5'!AM111&gt;0),"Pagado","impago"),""))</f>
        <v>Pagado</v>
      </c>
      <c r="AK113" s="666" t="str">
        <f>IF(OR($A113="F&amp;F",$G113=""),"",IF(AK$8&gt;$G113,IF(OR(status1B5!AL113=1,status1B5!AL113=2,'BOULEVARD 5'!AN111&gt;0),"Pagado","impago"),""))</f>
        <v>Pagado</v>
      </c>
      <c r="AL113" s="666" t="str">
        <f>IF(OR($A113="F&amp;F",$G113=""),"",IF(AL$8&gt;$G113,IF(OR(status1B5!AM113=1,status1B5!AM113=2,'BOULEVARD 5'!AO111&gt;0),"Pagado","impago"),""))</f>
        <v>Pagado</v>
      </c>
      <c r="AM113" s="666" t="str">
        <f>IF(OR($A113="F&amp;F",$G113=""),"",IF(AM$8&gt;$G113,IF(OR(status1B5!AN113=1,status1B5!AN113=2,'BOULEVARD 5'!AP111&gt;0),"Pagado","impago"),""))</f>
        <v>Pagado</v>
      </c>
      <c r="AN113" s="666" t="str">
        <f>IF(OR($A113="F&amp;F",$G113=""),"",IF(AN$8&gt;$G113,IF(OR(status1B5!AO113=1,status1B5!AO113=2,'BOULEVARD 5'!AQ111&gt;0),"Pagado","impago"),""))</f>
        <v>Pagado</v>
      </c>
      <c r="AO113" s="666" t="str">
        <f>IF(OR($A113="F&amp;F",$G113=""),"",IF(AO$8&gt;$G113,IF(OR(status1B5!AP113=1,status1B5!AP113=2,'BOULEVARD 5'!AS111&gt;0),"Pagado","impago"),""))</f>
        <v>Pagado</v>
      </c>
      <c r="AP113" s="429" t="str">
        <f t="shared" si="6"/>
        <v>Vendido</v>
      </c>
    </row>
    <row r="114" spans="1:42" s="429" customFormat="1" ht="13.9" customHeight="1" x14ac:dyDescent="0.25">
      <c r="A114" s="472"/>
      <c r="B114" s="436">
        <f>'BOULEVARD 5'!B112</f>
        <v>617</v>
      </c>
      <c r="C114" s="436" t="s">
        <v>355</v>
      </c>
      <c r="D114" s="641"/>
      <c r="E114" s="436" t="str">
        <f>IF('BOULEVARD 5'!E112="","",'BOULEVARD 5'!E112)</f>
        <v>Antonio Rada</v>
      </c>
      <c r="F114" s="429" t="str">
        <f>IF('BOULEVARD 5'!F112="","",'BOULEVARD 5'!F112)</f>
        <v>Hans Christian Beeck Cazali</v>
      </c>
      <c r="G114" s="473">
        <f>IF('BOULEVARD 5'!G112="","",'BOULEVARD 5'!G112)</f>
        <v>45419</v>
      </c>
      <c r="H114" s="666" t="str">
        <f>IF(OR($A114="F&amp;F",$G114=""),"",IF(H$8&gt;$G114,IF(OR(status1B5!I114=1,status1B5!I114=2,'BOULEVARD 5'!K112&gt;0),"Pagado","impago"),""))</f>
        <v/>
      </c>
      <c r="I114" s="666" t="str">
        <f>IF(OR($A114="F&amp;F",$G114=""),"",IF(I$8&gt;$G114,IF(OR(status1B5!J114=1,status1B5!J114=2,'BOULEVARD 5'!L112&gt;0),"Pagado","impago"),""))</f>
        <v/>
      </c>
      <c r="J114" s="666" t="str">
        <f>IF(OR($A114="F&amp;F",$G114=""),"",IF(J$8&gt;$G114,IF(OR(status1B5!K114=1,status1B5!K114=2,'BOULEVARD 5'!M112&gt;0),"Pagado","impago"),""))</f>
        <v/>
      </c>
      <c r="K114" s="666" t="str">
        <f>IF(OR($A114="F&amp;F",$G114=""),"",IF(K$8&gt;$G114,IF(OR(status1B5!L114=1,status1B5!L114=2,'BOULEVARD 5'!N112&gt;0),"Pagado","impago"),""))</f>
        <v/>
      </c>
      <c r="L114" s="666" t="str">
        <f>IF(OR($A114="F&amp;F",$G114=""),"",IF(L$8&gt;$G114,IF(OR(status1B5!M114=1,status1B5!M114=2,'BOULEVARD 5'!O112&gt;0),"Pagado","impago"),""))</f>
        <v/>
      </c>
      <c r="M114" s="666" t="str">
        <f>IF(OR($A114="F&amp;F",$G114=""),"",IF(M$8&gt;$G114,IF(OR(status1B5!N114=1,status1B5!N114=2,'BOULEVARD 5'!P112&gt;0),"Pagado","impago"),""))</f>
        <v/>
      </c>
      <c r="N114" s="666" t="str">
        <f>IF(OR($A114="F&amp;F",$G114=""),"",IF(N$8&gt;$G114,IF(OR(status1B5!O114=1,status1B5!O114=2,'BOULEVARD 5'!Q112&gt;0),"Pagado","impago"),""))</f>
        <v/>
      </c>
      <c r="O114" s="666" t="str">
        <f>IF(OR($A114="F&amp;F",$G114=""),"",IF(O$8&gt;$G114,IF(OR(status1B5!P114=1,status1B5!P114=2,'BOULEVARD 5'!R112&gt;0),"Pagado","impago"),""))</f>
        <v/>
      </c>
      <c r="P114" s="666" t="str">
        <f>IF(OR($A114="F&amp;F",$G114=""),"",IF(P$8&gt;$G114,IF(OR(status1B5!Q114=1,status1B5!Q114=2,'BOULEVARD 5'!S112&gt;0),"Pagado","impago"),""))</f>
        <v/>
      </c>
      <c r="Q114" s="666" t="str">
        <f>IF(OR($A114="F&amp;F",$G114=""),"",IF(Q$8&gt;$G114,IF(OR(status1B5!R114=1,status1B5!R114=2,'BOULEVARD 5'!T112&gt;0),"Pagado","impago"),""))</f>
        <v/>
      </c>
      <c r="R114" s="666" t="str">
        <f>IF(OR($A114="F&amp;F",$G114=""),"",IF(R$8&gt;$G114,IF(OR(status1B5!S114=1,status1B5!S114=2,'BOULEVARD 5'!U112&gt;0),"Pagado","impago"),""))</f>
        <v/>
      </c>
      <c r="S114" s="666" t="str">
        <f>IF(OR($A114="F&amp;F",$G114=""),"",IF(S$8&gt;$G114,IF(OR(status1B5!T114=1,status1B5!T114=2,'BOULEVARD 5'!V112&gt;0),"Pagado","impago"),""))</f>
        <v/>
      </c>
      <c r="T114" s="666" t="str">
        <f>IF(OR($A114="F&amp;F",$G114=""),"",IF(T$8&gt;$G114,IF(OR(status1B5!U114=1,status1B5!U114=2,'BOULEVARD 5'!W112&gt;0),"Pagado","impago"),""))</f>
        <v/>
      </c>
      <c r="U114" s="666" t="str">
        <f>IF(OR($A114="F&amp;F",$G114=""),"",IF(U$8&gt;$G114,IF(OR(status1B5!V114=1,status1B5!V114=2,'BOULEVARD 5'!X112&gt;0),"Pagado","impago"),""))</f>
        <v/>
      </c>
      <c r="V114" s="666" t="str">
        <f>IF(OR($A114="F&amp;F",$G114=""),"",IF(V$8&gt;$G114,IF(OR(status1B5!W114=1,status1B5!W114=2,'BOULEVARD 5'!Y112&gt;0),"Pagado","impago"),""))</f>
        <v>Pagado</v>
      </c>
      <c r="W114" s="666" t="str">
        <f>IF(OR($A114="F&amp;F",$G114=""),"",IF(W$8&gt;$G114,IF(OR(status1B5!X114=1,status1B5!X114=2,'BOULEVARD 5'!Z112&gt;0),"Pagado","impago"),""))</f>
        <v>Pagado</v>
      </c>
      <c r="X114" s="666" t="str">
        <f>IF(OR($A114="F&amp;F",$G114=""),"",IF(X$8&gt;$G114,IF(OR(status1B5!Y114=1,status1B5!Y114=2,'BOULEVARD 5'!AA112&gt;0),"Pagado","impago"),""))</f>
        <v>Pagado</v>
      </c>
      <c r="Y114" s="666" t="str">
        <f>IF(OR($A114="F&amp;F",$G114=""),"",IF(Y$8&gt;$G114,IF(OR(status1B5!Z114=1,status1B5!Z114=2,'BOULEVARD 5'!AB112&gt;0),"Pagado","impago"),""))</f>
        <v>Pagado</v>
      </c>
      <c r="Z114" s="666" t="str">
        <f>IF(OR($A114="F&amp;F",$G114=""),"",IF(Z$8&gt;$G114,IF(OR(status1B5!AA114=1,status1B5!AA114=2,'BOULEVARD 5'!AC112&gt;0),"Pagado","impago"),""))</f>
        <v>Pagado</v>
      </c>
      <c r="AA114" s="666" t="str">
        <f>IF(OR($A114="F&amp;F",$G114=""),"",IF(AA$8&gt;$G114,IF(OR(status1B5!AB114=1,status1B5!AB114=2,'BOULEVARD 5'!AD112&gt;0),"Pagado","impago"),""))</f>
        <v>Pagado</v>
      </c>
      <c r="AB114" s="666" t="str">
        <f>IF(OR($A114="F&amp;F",$G114=""),"",IF(AB$8&gt;$G114,IF(OR(status1B5!AC114=1,status1B5!AC114=2,'BOULEVARD 5'!AE112&gt;0),"Pagado","impago"),""))</f>
        <v>Pagado</v>
      </c>
      <c r="AC114" s="666" t="str">
        <f>IF(OR($A114="F&amp;F",$G114=""),"",IF(AC$8&gt;$G114,IF(OR(status1B5!AD114=1,status1B5!AD114=2,'BOULEVARD 5'!AF112&gt;0),"Pagado","impago"),""))</f>
        <v>Pagado</v>
      </c>
      <c r="AD114" s="666" t="str">
        <f>IF(OR($A114="F&amp;F",$G114=""),"",IF(AD$8&gt;$G114,IF(OR(status1B5!AE114=1,status1B5!AE114=2,'BOULEVARD 5'!AG112&gt;0),"Pagado","impago"),""))</f>
        <v>Pagado</v>
      </c>
      <c r="AE114" s="666" t="str">
        <f>IF(OR($A114="F&amp;F",$G114=""),"",IF(AE$8&gt;$G114,IF(OR(status1B5!AF114=1,status1B5!AF114=2,'BOULEVARD 5'!AH112&gt;0),"Pagado","impago"),""))</f>
        <v>Pagado</v>
      </c>
      <c r="AF114" s="666" t="str">
        <f>IF(OR($A114="F&amp;F",$G114=""),"",IF(AF$8&gt;$G114,IF(OR(status1B5!AG114=1,status1B5!AG114=2,'BOULEVARD 5'!AI112&gt;0),"Pagado","impago"),""))</f>
        <v>Pagado</v>
      </c>
      <c r="AG114" s="666" t="str">
        <f>IF(OR($A114="F&amp;F",$G114=""),"",IF(AG$8&gt;$G114,IF(OR(status1B5!AH114=1,status1B5!AH114=2,'BOULEVARD 5'!AJ112&gt;0),"Pagado","impago"),""))</f>
        <v>Pagado</v>
      </c>
      <c r="AH114" s="666" t="str">
        <f>IF(OR($A114="F&amp;F",$G114=""),"",IF(AH$8&gt;$G114,IF(OR(status1B5!AI114=1,status1B5!AI114=2,'BOULEVARD 5'!AK112&gt;0),"Pagado","impago"),""))</f>
        <v>Pagado</v>
      </c>
      <c r="AI114" s="666" t="str">
        <f>IF(OR($A114="F&amp;F",$G114=""),"",IF(AI$8&gt;$G114,IF(OR(status1B5!AJ114=1,status1B5!AJ114=2,'BOULEVARD 5'!AL112&gt;0),"Pagado","impago"),""))</f>
        <v>Pagado</v>
      </c>
      <c r="AJ114" s="666" t="str">
        <f>IF(OR($A114="F&amp;F",$G114=""),"",IF(AJ$8&gt;$G114,IF(OR(status1B5!AK114=1,status1B5!AK114=2,'BOULEVARD 5'!AM112&gt;0),"Pagado","impago"),""))</f>
        <v>Pagado</v>
      </c>
      <c r="AK114" s="666" t="str">
        <f>IF(OR($A114="F&amp;F",$G114=""),"",IF(AK$8&gt;$G114,IF(OR(status1B5!AL114=1,status1B5!AL114=2,'BOULEVARD 5'!AN112&gt;0),"Pagado","impago"),""))</f>
        <v>Pagado</v>
      </c>
      <c r="AL114" s="666" t="str">
        <f>IF(OR($A114="F&amp;F",$G114=""),"",IF(AL$8&gt;$G114,IF(OR(status1B5!AM114=1,status1B5!AM114=2,'BOULEVARD 5'!AO112&gt;0),"Pagado","impago"),""))</f>
        <v>Pagado</v>
      </c>
      <c r="AM114" s="666" t="str">
        <f>IF(OR($A114="F&amp;F",$G114=""),"",IF(AM$8&gt;$G114,IF(OR(status1B5!AN114=1,status1B5!AN114=2,'BOULEVARD 5'!AP112&gt;0),"Pagado","impago"),""))</f>
        <v>Pagado</v>
      </c>
      <c r="AN114" s="666" t="str">
        <f>IF(OR($A114="F&amp;F",$G114=""),"",IF(AN$8&gt;$G114,IF(OR(status1B5!AO114=1,status1B5!AO114=2,'BOULEVARD 5'!AQ112&gt;0),"Pagado","impago"),""))</f>
        <v>Pagado</v>
      </c>
      <c r="AO114" s="666" t="str">
        <f>IF(OR($A114="F&amp;F",$G114=""),"",IF(AO$8&gt;$G114,IF(OR(status1B5!AP114=1,status1B5!AP114=2,'BOULEVARD 5'!AS112&gt;0),"Pagado","impago"),""))</f>
        <v>Pagado</v>
      </c>
      <c r="AP114" s="429" t="str">
        <f t="shared" si="6"/>
        <v>Vendido</v>
      </c>
    </row>
    <row r="115" spans="1:42" s="429" customFormat="1" ht="13.9" customHeight="1" x14ac:dyDescent="0.25">
      <c r="A115" s="472"/>
      <c r="B115" s="436">
        <f>'BOULEVARD 5'!B113</f>
        <v>618</v>
      </c>
      <c r="C115" s="436" t="s">
        <v>355</v>
      </c>
      <c r="D115" s="436"/>
      <c r="E115" s="436" t="str">
        <f>IF('BOULEVARD 5'!E113="","",'BOULEVARD 5'!E113)</f>
        <v>Antonio Rada</v>
      </c>
      <c r="F115" s="429" t="str">
        <f>IF('BOULEVARD 5'!F113="","",'BOULEVARD 5'!F113)</f>
        <v>Sergio Adolfo García Velásquez</v>
      </c>
      <c r="G115" s="473">
        <f>IF('BOULEVARD 5'!G113="","",'BOULEVARD 5'!G113)</f>
        <v>45772</v>
      </c>
      <c r="H115" s="666" t="str">
        <f>IF(OR($A115="F&amp;F",$G115=""),"",IF(H$8&gt;$G115,IF(OR(status1B5!I115=1,status1B5!I115=2,'BOULEVARD 5'!K113&gt;0),"Pagado","impago"),""))</f>
        <v/>
      </c>
      <c r="I115" s="666" t="str">
        <f>IF(OR($A115="F&amp;F",$G115=""),"",IF(I$8&gt;$G115,IF(OR(status1B5!J115=1,status1B5!J115=2,'BOULEVARD 5'!L113&gt;0),"Pagado","impago"),""))</f>
        <v/>
      </c>
      <c r="J115" s="666" t="str">
        <f>IF(OR($A115="F&amp;F",$G115=""),"",IF(J$8&gt;$G115,IF(OR(status1B5!K115=1,status1B5!K115=2,'BOULEVARD 5'!M113&gt;0),"Pagado","impago"),""))</f>
        <v/>
      </c>
      <c r="K115" s="666" t="str">
        <f>IF(OR($A115="F&amp;F",$G115=""),"",IF(K$8&gt;$G115,IF(OR(status1B5!L115=1,status1B5!L115=2,'BOULEVARD 5'!N113&gt;0),"Pagado","impago"),""))</f>
        <v/>
      </c>
      <c r="L115" s="666" t="str">
        <f>IF(OR($A115="F&amp;F",$G115=""),"",IF(L$8&gt;$G115,IF(OR(status1B5!M115=1,status1B5!M115=2,'BOULEVARD 5'!O113&gt;0),"Pagado","impago"),""))</f>
        <v/>
      </c>
      <c r="M115" s="666" t="str">
        <f>IF(OR($A115="F&amp;F",$G115=""),"",IF(M$8&gt;$G115,IF(OR(status1B5!N115=1,status1B5!N115=2,'BOULEVARD 5'!P113&gt;0),"Pagado","impago"),""))</f>
        <v/>
      </c>
      <c r="N115" s="666" t="str">
        <f>IF(OR($A115="F&amp;F",$G115=""),"",IF(N$8&gt;$G115,IF(OR(status1B5!O115=1,status1B5!O115=2,'BOULEVARD 5'!Q113&gt;0),"Pagado","impago"),""))</f>
        <v/>
      </c>
      <c r="O115" s="666" t="str">
        <f>IF(OR($A115="F&amp;F",$G115=""),"",IF(O$8&gt;$G115,IF(OR(status1B5!P115=1,status1B5!P115=2,'BOULEVARD 5'!R113&gt;0),"Pagado","impago"),""))</f>
        <v/>
      </c>
      <c r="P115" s="666" t="str">
        <f>IF(OR($A115="F&amp;F",$G115=""),"",IF(P$8&gt;$G115,IF(OR(status1B5!Q115=1,status1B5!Q115=2,'BOULEVARD 5'!S113&gt;0),"Pagado","impago"),""))</f>
        <v/>
      </c>
      <c r="Q115" s="666" t="str">
        <f>IF(OR($A115="F&amp;F",$G115=""),"",IF(Q$8&gt;$G115,IF(OR(status1B5!R115=1,status1B5!R115=2,'BOULEVARD 5'!T113&gt;0),"Pagado","impago"),""))</f>
        <v/>
      </c>
      <c r="R115" s="666" t="str">
        <f>IF(OR($A115="F&amp;F",$G115=""),"",IF(R$8&gt;$G115,IF(OR(status1B5!S115=1,status1B5!S115=2,'BOULEVARD 5'!U113&gt;0),"Pagado","impago"),""))</f>
        <v/>
      </c>
      <c r="S115" s="666" t="str">
        <f>IF(OR($A115="F&amp;F",$G115=""),"",IF(S$8&gt;$G115,IF(OR(status1B5!T115=1,status1B5!T115=2,'BOULEVARD 5'!V113&gt;0),"Pagado","impago"),""))</f>
        <v/>
      </c>
      <c r="T115" s="666" t="str">
        <f>IF(OR($A115="F&amp;F",$G115=""),"",IF(T$8&gt;$G115,IF(OR(status1B5!U115=1,status1B5!U115=2,'BOULEVARD 5'!W113&gt;0),"Pagado","impago"),""))</f>
        <v/>
      </c>
      <c r="U115" s="666" t="str">
        <f>IF(OR($A115="F&amp;F",$G115=""),"",IF(U$8&gt;$G115,IF(OR(status1B5!V115=1,status1B5!V115=2,'BOULEVARD 5'!X113&gt;0),"Pagado","impago"),""))</f>
        <v/>
      </c>
      <c r="V115" s="666" t="str">
        <f>IF(OR($A115="F&amp;F",$G115=""),"",IF(V$8&gt;$G115,IF(OR(status1B5!W115=1,status1B5!W115=2,'BOULEVARD 5'!Y113&gt;0),"Pagado","impago"),""))</f>
        <v/>
      </c>
      <c r="W115" s="666" t="str">
        <f>IF(OR($A115="F&amp;F",$G115=""),"",IF(W$8&gt;$G115,IF(OR(status1B5!X115=1,status1B5!X115=2,'BOULEVARD 5'!Z113&gt;0),"Pagado","impago"),""))</f>
        <v/>
      </c>
      <c r="X115" s="666" t="str">
        <f>IF(OR($A115="F&amp;F",$G115=""),"",IF(X$8&gt;$G115,IF(OR(status1B5!Y115=1,status1B5!Y115=2,'BOULEVARD 5'!AA113&gt;0),"Pagado","impago"),""))</f>
        <v/>
      </c>
      <c r="Y115" s="666" t="str">
        <f>IF(OR($A115="F&amp;F",$G115=""),"",IF(Y$8&gt;$G115,IF(OR(status1B5!Z115=1,status1B5!Z115=2,'BOULEVARD 5'!AB113&gt;0),"Pagado","impago"),""))</f>
        <v/>
      </c>
      <c r="Z115" s="666" t="str">
        <f>IF(OR($A115="F&amp;F",$G115=""),"",IF(Z$8&gt;$G115,IF(OR(status1B5!AA115=1,status1B5!AA115=2,'BOULEVARD 5'!AC113&gt;0),"Pagado","impago"),""))</f>
        <v/>
      </c>
      <c r="AA115" s="666" t="str">
        <f>IF(OR($A115="F&amp;F",$G115=""),"",IF(AA$8&gt;$G115,IF(OR(status1B5!AB115=1,status1B5!AB115=2,'BOULEVARD 5'!AD113&gt;0),"Pagado","impago"),""))</f>
        <v/>
      </c>
      <c r="AB115" s="666" t="str">
        <f>IF(OR($A115="F&amp;F",$G115=""),"",IF(AB$8&gt;$G115,IF(OR(status1B5!AC115=1,status1B5!AC115=2,'BOULEVARD 5'!AE113&gt;0),"Pagado","impago"),""))</f>
        <v/>
      </c>
      <c r="AC115" s="666" t="str">
        <f>IF(OR($A115="F&amp;F",$G115=""),"",IF(AC$8&gt;$G115,IF(OR(status1B5!AD115=1,status1B5!AD115=2,'BOULEVARD 5'!AF113&gt;0),"Pagado","impago"),""))</f>
        <v/>
      </c>
      <c r="AD115" s="666" t="str">
        <f>IF(OR($A115="F&amp;F",$G115=""),"",IF(AD$8&gt;$G115,IF(OR(status1B5!AE115=1,status1B5!AE115=2,'BOULEVARD 5'!AG113&gt;0),"Pagado","impago"),""))</f>
        <v/>
      </c>
      <c r="AE115" s="666" t="str">
        <f>IF(OR($A115="F&amp;F",$G115=""),"",IF(AE$8&gt;$G115,IF(OR(status1B5!AF115=1,status1B5!AF115=2,'BOULEVARD 5'!AH113&gt;0),"Pagado","impago"),""))</f>
        <v/>
      </c>
      <c r="AF115" s="666" t="str">
        <f>IF(OR($A115="F&amp;F",$G115=""),"",IF(AF$8&gt;$G115,IF(OR(status1B5!AG115=1,status1B5!AG115=2,'BOULEVARD 5'!AI113&gt;0),"Pagado","impago"),""))</f>
        <v/>
      </c>
      <c r="AG115" s="666" t="str">
        <f>IF(OR($A115="F&amp;F",$G115=""),"",IF(AG$8&gt;$G115,IF(OR(status1B5!AH115=1,status1B5!AH115=2,'BOULEVARD 5'!AJ113&gt;0),"Pagado","impago"),""))</f>
        <v>Pagado</v>
      </c>
      <c r="AH115" s="666" t="str">
        <f>IF(OR($A115="F&amp;F",$G115=""),"",IF(AH$8&gt;$G115,IF(OR(status1B5!AI115=1,status1B5!AI115=2,'BOULEVARD 5'!AK113&gt;0),"Pagado","impago"),""))</f>
        <v>Pagado</v>
      </c>
      <c r="AI115" s="666" t="str">
        <f>IF(OR($A115="F&amp;F",$G115=""),"",IF(AI$8&gt;$G115,IF(OR(status1B5!AJ115=1,status1B5!AJ115=2,'BOULEVARD 5'!AL113&gt;0),"Pagado","impago"),""))</f>
        <v>Pagado</v>
      </c>
      <c r="AJ115" s="666" t="str">
        <f>IF(OR($A115="F&amp;F",$G115=""),"",IF(AJ$8&gt;$G115,IF(OR(status1B5!AK115=1,status1B5!AK115=2,'BOULEVARD 5'!AM113&gt;0),"Pagado","impago"),""))</f>
        <v>Pagado</v>
      </c>
      <c r="AK115" s="666" t="str">
        <f>IF(OR($A115="F&amp;F",$G115=""),"",IF(AK$8&gt;$G115,IF(OR(status1B5!AL115=1,status1B5!AL115=2,'BOULEVARD 5'!AN113&gt;0),"Pagado","impago"),""))</f>
        <v>Pagado</v>
      </c>
      <c r="AL115" s="666" t="str">
        <f>IF(OR($A115="F&amp;F",$G115=""),"",IF(AL$8&gt;$G115,IF(OR(status1B5!AM115=1,status1B5!AM115=2,'BOULEVARD 5'!AO113&gt;0),"Pagado","impago"),""))</f>
        <v>Pagado</v>
      </c>
      <c r="AM115" s="666" t="str">
        <f>IF(OR($A115="F&amp;F",$G115=""),"",IF(AM$8&gt;$G115,IF(OR(status1B5!AN115=1,status1B5!AN115=2,'BOULEVARD 5'!AP113&gt;0),"Pagado","impago"),""))</f>
        <v>Pagado</v>
      </c>
      <c r="AN115" s="666" t="str">
        <f>IF(OR($A115="F&amp;F",$G115=""),"",IF(AN$8&gt;$G115,IF(OR(status1B5!AO115=1,status1B5!AO115=2,'BOULEVARD 5'!AQ113&gt;0),"Pagado","impago"),""))</f>
        <v>Pagado</v>
      </c>
      <c r="AO115" s="666" t="str">
        <f>IF(OR($A115="F&amp;F",$G115=""),"",IF(AO$8&gt;$G115,IF(OR(status1B5!AP115=1,status1B5!AP115=2,'BOULEVARD 5'!AS113&gt;0),"Pagado","impago"),""))</f>
        <v>Pagado</v>
      </c>
      <c r="AP115" s="429" t="str">
        <f t="shared" si="6"/>
        <v>Vendido</v>
      </c>
    </row>
    <row r="116" spans="1:42" s="429" customFormat="1" ht="13.9" customHeight="1" x14ac:dyDescent="0.25">
      <c r="A116" s="472"/>
      <c r="B116" s="436">
        <f>'BOULEVARD 5'!B114</f>
        <v>619</v>
      </c>
      <c r="C116" s="436" t="s">
        <v>355</v>
      </c>
      <c r="D116" s="436"/>
      <c r="E116" s="436" t="str">
        <f>IF('BOULEVARD 5'!E114="","",'BOULEVARD 5'!E114)</f>
        <v>Sofia Paredes</v>
      </c>
      <c r="F116" s="429" t="str">
        <f>IF('BOULEVARD 5'!F114="","",'BOULEVARD 5'!F114)</f>
        <v>José Estuardo Ordoñez Cancinos</v>
      </c>
      <c r="G116" s="473">
        <f>IF('BOULEVARD 5'!G114="","",'BOULEVARD 5'!G114)</f>
        <v>45724</v>
      </c>
      <c r="H116" s="666" t="str">
        <f>IF(OR($A116="F&amp;F",$G116=""),"",IF(H$8&gt;$G116,IF(OR(status1B5!I116=1,status1B5!I116=2,'BOULEVARD 5'!K114&gt;0),"Pagado","impago"),""))</f>
        <v/>
      </c>
      <c r="I116" s="666" t="str">
        <f>IF(OR($A116="F&amp;F",$G116=""),"",IF(I$8&gt;$G116,IF(OR(status1B5!J116=1,status1B5!J116=2,'BOULEVARD 5'!L114&gt;0),"Pagado","impago"),""))</f>
        <v/>
      </c>
      <c r="J116" s="666" t="str">
        <f>IF(OR($A116="F&amp;F",$G116=""),"",IF(J$8&gt;$G116,IF(OR(status1B5!K116=1,status1B5!K116=2,'BOULEVARD 5'!M114&gt;0),"Pagado","impago"),""))</f>
        <v/>
      </c>
      <c r="K116" s="666" t="str">
        <f>IF(OR($A116="F&amp;F",$G116=""),"",IF(K$8&gt;$G116,IF(OR(status1B5!L116=1,status1B5!L116=2,'BOULEVARD 5'!N114&gt;0),"Pagado","impago"),""))</f>
        <v/>
      </c>
      <c r="L116" s="666" t="str">
        <f>IF(OR($A116="F&amp;F",$G116=""),"",IF(L$8&gt;$G116,IF(OR(status1B5!M116=1,status1B5!M116=2,'BOULEVARD 5'!O114&gt;0),"Pagado","impago"),""))</f>
        <v/>
      </c>
      <c r="M116" s="666" t="str">
        <f>IF(OR($A116="F&amp;F",$G116=""),"",IF(M$8&gt;$G116,IF(OR(status1B5!N116=1,status1B5!N116=2,'BOULEVARD 5'!P114&gt;0),"Pagado","impago"),""))</f>
        <v/>
      </c>
      <c r="N116" s="666" t="str">
        <f>IF(OR($A116="F&amp;F",$G116=""),"",IF(N$8&gt;$G116,IF(OR(status1B5!O116=1,status1B5!O116=2,'BOULEVARD 5'!Q114&gt;0),"Pagado","impago"),""))</f>
        <v/>
      </c>
      <c r="O116" s="666" t="str">
        <f>IF(OR($A116="F&amp;F",$G116=""),"",IF(O$8&gt;$G116,IF(OR(status1B5!P116=1,status1B5!P116=2,'BOULEVARD 5'!R114&gt;0),"Pagado","impago"),""))</f>
        <v/>
      </c>
      <c r="P116" s="666" t="str">
        <f>IF(OR($A116="F&amp;F",$G116=""),"",IF(P$8&gt;$G116,IF(OR(status1B5!Q116=1,status1B5!Q116=2,'BOULEVARD 5'!S114&gt;0),"Pagado","impago"),""))</f>
        <v/>
      </c>
      <c r="Q116" s="666" t="str">
        <f>IF(OR($A116="F&amp;F",$G116=""),"",IF(Q$8&gt;$G116,IF(OR(status1B5!R116=1,status1B5!R116=2,'BOULEVARD 5'!T114&gt;0),"Pagado","impago"),""))</f>
        <v/>
      </c>
      <c r="R116" s="666" t="str">
        <f>IF(OR($A116="F&amp;F",$G116=""),"",IF(R$8&gt;$G116,IF(OR(status1B5!S116=1,status1B5!S116=2,'BOULEVARD 5'!U114&gt;0),"Pagado","impago"),""))</f>
        <v/>
      </c>
      <c r="S116" s="666" t="str">
        <f>IF(OR($A116="F&amp;F",$G116=""),"",IF(S$8&gt;$G116,IF(OR(status1B5!T116=1,status1B5!T116=2,'BOULEVARD 5'!V114&gt;0),"Pagado","impago"),""))</f>
        <v/>
      </c>
      <c r="T116" s="666" t="str">
        <f>IF(OR($A116="F&amp;F",$G116=""),"",IF(T$8&gt;$G116,IF(OR(status1B5!U116=1,status1B5!U116=2,'BOULEVARD 5'!W114&gt;0),"Pagado","impago"),""))</f>
        <v/>
      </c>
      <c r="U116" s="666" t="str">
        <f>IF(OR($A116="F&amp;F",$G116=""),"",IF(U$8&gt;$G116,IF(OR(status1B5!V116=1,status1B5!V116=2,'BOULEVARD 5'!X114&gt;0),"Pagado","impago"),""))</f>
        <v/>
      </c>
      <c r="V116" s="666" t="str">
        <f>IF(OR($A116="F&amp;F",$G116=""),"",IF(V$8&gt;$G116,IF(OR(status1B5!W116=1,status1B5!W116=2,'BOULEVARD 5'!Y114&gt;0),"Pagado","impago"),""))</f>
        <v/>
      </c>
      <c r="W116" s="666" t="str">
        <f>IF(OR($A116="F&amp;F",$G116=""),"",IF(W$8&gt;$G116,IF(OR(status1B5!X116=1,status1B5!X116=2,'BOULEVARD 5'!Z114&gt;0),"Pagado","impago"),""))</f>
        <v/>
      </c>
      <c r="X116" s="666" t="str">
        <f>IF(OR($A116="F&amp;F",$G116=""),"",IF(X$8&gt;$G116,IF(OR(status1B5!Y116=1,status1B5!Y116=2,'BOULEVARD 5'!AA114&gt;0),"Pagado","impago"),""))</f>
        <v/>
      </c>
      <c r="Y116" s="666" t="str">
        <f>IF(OR($A116="F&amp;F",$G116=""),"",IF(Y$8&gt;$G116,IF(OR(status1B5!Z116=1,status1B5!Z116=2,'BOULEVARD 5'!AB114&gt;0),"Pagado","impago"),""))</f>
        <v/>
      </c>
      <c r="Z116" s="666" t="str">
        <f>IF(OR($A116="F&amp;F",$G116=""),"",IF(Z$8&gt;$G116,IF(OR(status1B5!AA116=1,status1B5!AA116=2,'BOULEVARD 5'!AC114&gt;0),"Pagado","impago"),""))</f>
        <v/>
      </c>
      <c r="AA116" s="666" t="str">
        <f>IF(OR($A116="F&amp;F",$G116=""),"",IF(AA$8&gt;$G116,IF(OR(status1B5!AB116=1,status1B5!AB116=2,'BOULEVARD 5'!AD114&gt;0),"Pagado","impago"),""))</f>
        <v/>
      </c>
      <c r="AB116" s="666" t="str">
        <f>IF(OR($A116="F&amp;F",$G116=""),"",IF(AB$8&gt;$G116,IF(OR(status1B5!AC116=1,status1B5!AC116=2,'BOULEVARD 5'!AE114&gt;0),"Pagado","impago"),""))</f>
        <v/>
      </c>
      <c r="AC116" s="666" t="str">
        <f>IF(OR($A116="F&amp;F",$G116=""),"",IF(AC$8&gt;$G116,IF(OR(status1B5!AD116=1,status1B5!AD116=2,'BOULEVARD 5'!AF114&gt;0),"Pagado","impago"),""))</f>
        <v/>
      </c>
      <c r="AD116" s="666" t="str">
        <f>IF(OR($A116="F&amp;F",$G116=""),"",IF(AD$8&gt;$G116,IF(OR(status1B5!AE116=1,status1B5!AE116=2,'BOULEVARD 5'!AG114&gt;0),"Pagado","impago"),""))</f>
        <v/>
      </c>
      <c r="AE116" s="666" t="str">
        <f>IF(OR($A116="F&amp;F",$G116=""),"",IF(AE$8&gt;$G116,IF(OR(status1B5!AF116=1,status1B5!AF116=2,'BOULEVARD 5'!AH114&gt;0),"Pagado","impago"),""))</f>
        <v/>
      </c>
      <c r="AF116" s="666" t="str">
        <f>IF(OR($A116="F&amp;F",$G116=""),"",IF(AF$8&gt;$G116,IF(OR(status1B5!AG116=1,status1B5!AG116=2,'BOULEVARD 5'!AI114&gt;0),"Pagado","impago"),""))</f>
        <v>Pagado</v>
      </c>
      <c r="AG116" s="666" t="str">
        <f>IF(OR($A116="F&amp;F",$G116=""),"",IF(AG$8&gt;$G116,IF(OR(status1B5!AH116=1,status1B5!AH116=2,'BOULEVARD 5'!AJ114&gt;0),"Pagado","impago"),""))</f>
        <v>Pagado</v>
      </c>
      <c r="AH116" s="666" t="str">
        <f>IF(OR($A116="F&amp;F",$G116=""),"",IF(AH$8&gt;$G116,IF(OR(status1B5!AI116=1,status1B5!AI116=2,'BOULEVARD 5'!AK114&gt;0),"Pagado","impago"),""))</f>
        <v>Pagado</v>
      </c>
      <c r="AI116" s="666" t="str">
        <f>IF(OR($A116="F&amp;F",$G116=""),"",IF(AI$8&gt;$G116,IF(OR(status1B5!AJ116=1,status1B5!AJ116=2,'BOULEVARD 5'!AL114&gt;0),"Pagado","impago"),""))</f>
        <v>Pagado</v>
      </c>
      <c r="AJ116" s="666" t="str">
        <f>IF(OR($A116="F&amp;F",$G116=""),"",IF(AJ$8&gt;$G116,IF(OR(status1B5!AK116=1,status1B5!AK116=2,'BOULEVARD 5'!AM114&gt;0),"Pagado","impago"),""))</f>
        <v>Pagado</v>
      </c>
      <c r="AK116" s="666" t="str">
        <f>IF(OR($A116="F&amp;F",$G116=""),"",IF(AK$8&gt;$G116,IF(OR(status1B5!AL116=1,status1B5!AL116=2,'BOULEVARD 5'!AN114&gt;0),"Pagado","impago"),""))</f>
        <v>Pagado</v>
      </c>
      <c r="AL116" s="666" t="str">
        <f>IF(OR($A116="F&amp;F",$G116=""),"",IF(AL$8&gt;$G116,IF(OR(status1B5!AM116=1,status1B5!AM116=2,'BOULEVARD 5'!AO114&gt;0),"Pagado","impago"),""))</f>
        <v>Pagado</v>
      </c>
      <c r="AM116" s="666" t="str">
        <f>IF(OR($A116="F&amp;F",$G116=""),"",IF(AM$8&gt;$G116,IF(OR(status1B5!AN116=1,status1B5!AN116=2,'BOULEVARD 5'!AP114&gt;0),"Pagado","impago"),""))</f>
        <v>Pagado</v>
      </c>
      <c r="AN116" s="666" t="str">
        <f>IF(OR($A116="F&amp;F",$G116=""),"",IF(AN$8&gt;$G116,IF(OR(status1B5!AO116=1,status1B5!AO116=2,'BOULEVARD 5'!AQ114&gt;0),"Pagado","impago"),""))</f>
        <v>Pagado</v>
      </c>
      <c r="AO116" s="666" t="str">
        <f>IF(OR($A116="F&amp;F",$G116=""),"",IF(AO$8&gt;$G116,IF(OR(status1B5!AP116=1,status1B5!AP116=2,'BOULEVARD 5'!AS114&gt;0),"Pagado","impago"),""))</f>
        <v>Pagado</v>
      </c>
      <c r="AP116" s="429" t="str">
        <f t="shared" si="6"/>
        <v>Vendido</v>
      </c>
    </row>
    <row r="117" spans="1:42" s="429" customFormat="1" ht="13.9" customHeight="1" x14ac:dyDescent="0.25">
      <c r="A117" s="472"/>
      <c r="B117" s="436">
        <f>'BOULEVARD 5'!B115</f>
        <v>701</v>
      </c>
      <c r="C117" s="436" t="s">
        <v>355</v>
      </c>
      <c r="D117" s="436"/>
      <c r="E117" s="436" t="str">
        <f>IF('BOULEVARD 5'!E115="","",'BOULEVARD 5'!E115)</f>
        <v>Antonio Rada</v>
      </c>
      <c r="F117" s="429" t="str">
        <f>IF('BOULEVARD 5'!F115="","",'BOULEVARD 5'!F115)</f>
        <v>Luis Francisco Villatoro Quiroa</v>
      </c>
      <c r="G117" s="473">
        <f>IF('BOULEVARD 5'!G115="","",'BOULEVARD 5'!G115)</f>
        <v>45006</v>
      </c>
      <c r="H117" s="666" t="str">
        <f>IF(OR($A117="F&amp;F",$G117=""),"",IF(H$8&gt;$G117,IF(OR(status1B5!I117=1,status1B5!I117=2,'BOULEVARD 5'!K115&gt;0),"Pagado","impago"),""))</f>
        <v>Pagado</v>
      </c>
      <c r="I117" s="666" t="str">
        <f>IF(OR($A117="F&amp;F",$G117=""),"",IF(I$8&gt;$G117,IF(OR(status1B5!J117=1,status1B5!J117=2,'BOULEVARD 5'!L115&gt;0),"Pagado","impago"),""))</f>
        <v>Pagado</v>
      </c>
      <c r="J117" s="666" t="str">
        <f>IF(OR($A117="F&amp;F",$G117=""),"",IF(J$8&gt;$G117,IF(OR(status1B5!K117=1,status1B5!K117=2,'BOULEVARD 5'!M115&gt;0),"Pagado","impago"),""))</f>
        <v>Pagado</v>
      </c>
      <c r="K117" s="666" t="str">
        <f>IF(OR($A117="F&amp;F",$G117=""),"",IF(K$8&gt;$G117,IF(OR(status1B5!L117=1,status1B5!L117=2,'BOULEVARD 5'!N115&gt;0),"Pagado","impago"),""))</f>
        <v>Pagado</v>
      </c>
      <c r="L117" s="666" t="str">
        <f>IF(OR($A117="F&amp;F",$G117=""),"",IF(L$8&gt;$G117,IF(OR(status1B5!M117=1,status1B5!M117=2,'BOULEVARD 5'!O115&gt;0),"Pagado","impago"),""))</f>
        <v>Pagado</v>
      </c>
      <c r="M117" s="666" t="str">
        <f>IF(OR($A117="F&amp;F",$G117=""),"",IF(M$8&gt;$G117,IF(OR(status1B5!N117=1,status1B5!N117=2,'BOULEVARD 5'!P115&gt;0),"Pagado","impago"),""))</f>
        <v>Pagado</v>
      </c>
      <c r="N117" s="666" t="str">
        <f>IF(OR($A117="F&amp;F",$G117=""),"",IF(N$8&gt;$G117,IF(OR(status1B5!O117=1,status1B5!O117=2,'BOULEVARD 5'!Q115&gt;0),"Pagado","impago"),""))</f>
        <v>Pagado</v>
      </c>
      <c r="O117" s="666" t="str">
        <f>IF(OR($A117="F&amp;F",$G117=""),"",IF(O$8&gt;$G117,IF(OR(status1B5!P117=1,status1B5!P117=2,'BOULEVARD 5'!R115&gt;0),"Pagado","impago"),""))</f>
        <v>Pagado</v>
      </c>
      <c r="P117" s="666" t="str">
        <f>IF(OR($A117="F&amp;F",$G117=""),"",IF(P$8&gt;$G117,IF(OR(status1B5!Q117=1,status1B5!Q117=2,'BOULEVARD 5'!S115&gt;0),"Pagado","impago"),""))</f>
        <v>Pagado</v>
      </c>
      <c r="Q117" s="666" t="str">
        <f>IF(OR($A117="F&amp;F",$G117=""),"",IF(Q$8&gt;$G117,IF(OR(status1B5!R117=1,status1B5!R117=2,'BOULEVARD 5'!T115&gt;0),"Pagado","impago"),""))</f>
        <v>Pagado</v>
      </c>
      <c r="R117" s="666" t="str">
        <f>IF(OR($A117="F&amp;F",$G117=""),"",IF(R$8&gt;$G117,IF(OR(status1B5!S117=1,status1B5!S117=2,'BOULEVARD 5'!U115&gt;0),"Pagado","impago"),""))</f>
        <v>Pagado</v>
      </c>
      <c r="S117" s="666" t="str">
        <f>IF(OR($A117="F&amp;F",$G117=""),"",IF(S$8&gt;$G117,IF(OR(status1B5!T117=1,status1B5!T117=2,'BOULEVARD 5'!V115&gt;0),"Pagado","impago"),""))</f>
        <v>Pagado</v>
      </c>
      <c r="T117" s="666" t="str">
        <f>IF(OR($A117="F&amp;F",$G117=""),"",IF(T$8&gt;$G117,IF(OR(status1B5!U117=1,status1B5!U117=2,'BOULEVARD 5'!W115&gt;0),"Pagado","impago"),""))</f>
        <v>Pagado</v>
      </c>
      <c r="U117" s="666" t="str">
        <f>IF(OR($A117="F&amp;F",$G117=""),"",IF(U$8&gt;$G117,IF(OR(status1B5!V117=1,status1B5!V117=2,'BOULEVARD 5'!X115&gt;0),"Pagado","impago"),""))</f>
        <v>Pagado</v>
      </c>
      <c r="V117" s="666" t="str">
        <f>IF(OR($A117="F&amp;F",$G117=""),"",IF(V$8&gt;$G117,IF(OR(status1B5!W117=1,status1B5!W117=2,'BOULEVARD 5'!Y115&gt;0),"Pagado","impago"),""))</f>
        <v>Pagado</v>
      </c>
      <c r="W117" s="666" t="str">
        <f>IF(OR($A117="F&amp;F",$G117=""),"",IF(W$8&gt;$G117,IF(OR(status1B5!X117=1,status1B5!X117=2,'BOULEVARD 5'!Z115&gt;0),"Pagado","impago"),""))</f>
        <v>Pagado</v>
      </c>
      <c r="X117" s="666" t="str">
        <f>IF(OR($A117="F&amp;F",$G117=""),"",IF(X$8&gt;$G117,IF(OR(status1B5!Y117=1,status1B5!Y117=2,'BOULEVARD 5'!AA115&gt;0),"Pagado","impago"),""))</f>
        <v>Pagado</v>
      </c>
      <c r="Y117" s="666" t="str">
        <f>IF(OR($A117="F&amp;F",$G117=""),"",IF(Y$8&gt;$G117,IF(OR(status1B5!Z117=1,status1B5!Z117=2,'BOULEVARD 5'!AB115&gt;0),"Pagado","impago"),""))</f>
        <v>Pagado</v>
      </c>
      <c r="Z117" s="666" t="str">
        <f>IF(OR($A117="F&amp;F",$G117=""),"",IF(Z$8&gt;$G117,IF(OR(status1B5!AA117=1,status1B5!AA117=2,'BOULEVARD 5'!AC115&gt;0),"Pagado","impago"),""))</f>
        <v>Pagado</v>
      </c>
      <c r="AA117" s="666" t="str">
        <f>IF(OR($A117="F&amp;F",$G117=""),"",IF(AA$8&gt;$G117,IF(OR(status1B5!AB117=1,status1B5!AB117=2,'BOULEVARD 5'!AD115&gt;0),"Pagado","impago"),""))</f>
        <v>Pagado</v>
      </c>
      <c r="AB117" s="666" t="str">
        <f>IF(OR($A117="F&amp;F",$G117=""),"",IF(AB$8&gt;$G117,IF(OR(status1B5!AC117=1,status1B5!AC117=2,'BOULEVARD 5'!AE115&gt;0),"Pagado","impago"),""))</f>
        <v>Pagado</v>
      </c>
      <c r="AC117" s="666" t="str">
        <f>IF(OR($A117="F&amp;F",$G117=""),"",IF(AC$8&gt;$G117,IF(OR(status1B5!AD117=1,status1B5!AD117=2,'BOULEVARD 5'!AF115&gt;0),"Pagado","impago"),""))</f>
        <v>Pagado</v>
      </c>
      <c r="AD117" s="666" t="str">
        <f>IF(OR($A117="F&amp;F",$G117=""),"",IF(AD$8&gt;$G117,IF(OR(status1B5!AE117=1,status1B5!AE117=2,'BOULEVARD 5'!AG115&gt;0),"Pagado","impago"),""))</f>
        <v>Pagado</v>
      </c>
      <c r="AE117" s="666" t="str">
        <f>IF(OR($A117="F&amp;F",$G117=""),"",IF(AE$8&gt;$G117,IF(OR(status1B5!AF117=1,status1B5!AF117=2,'BOULEVARD 5'!AH115&gt;0),"Pagado","impago"),""))</f>
        <v>Pagado</v>
      </c>
      <c r="AF117" s="666" t="str">
        <f>IF(OR($A117="F&amp;F",$G117=""),"",IF(AF$8&gt;$G117,IF(OR(status1B5!AG117=1,status1B5!AG117=2,'BOULEVARD 5'!AI115&gt;0),"Pagado","impago"),""))</f>
        <v>Pagado</v>
      </c>
      <c r="AG117" s="666" t="str">
        <f>IF(OR($A117="F&amp;F",$G117=""),"",IF(AG$8&gt;$G117,IF(OR(status1B5!AH117=1,status1B5!AH117=2,'BOULEVARD 5'!AJ115&gt;0),"Pagado","impago"),""))</f>
        <v>Pagado</v>
      </c>
      <c r="AH117" s="666" t="str">
        <f>IF(OR($A117="F&amp;F",$G117=""),"",IF(AH$8&gt;$G117,IF(OR(status1B5!AI117=1,status1B5!AI117=2,'BOULEVARD 5'!AK115&gt;0),"Pagado","impago"),""))</f>
        <v>Pagado</v>
      </c>
      <c r="AI117" s="666" t="str">
        <f>IF(OR($A117="F&amp;F",$G117=""),"",IF(AI$8&gt;$G117,IF(OR(status1B5!AJ117=1,status1B5!AJ117=2,'BOULEVARD 5'!AL115&gt;0),"Pagado","impago"),""))</f>
        <v>Pagado</v>
      </c>
      <c r="AJ117" s="666" t="str">
        <f>IF(OR($A117="F&amp;F",$G117=""),"",IF(AJ$8&gt;$G117,IF(OR(status1B5!AK117=1,status1B5!AK117=2,'BOULEVARD 5'!AM115&gt;0),"Pagado","impago"),""))</f>
        <v>Pagado</v>
      </c>
      <c r="AK117" s="666" t="str">
        <f>IF(OR($A117="F&amp;F",$G117=""),"",IF(AK$8&gt;$G117,IF(OR(status1B5!AL117=1,status1B5!AL117=2,'BOULEVARD 5'!AN115&gt;0),"Pagado","impago"),""))</f>
        <v>Pagado</v>
      </c>
      <c r="AL117" s="666" t="str">
        <f>IF(OR($A117="F&amp;F",$G117=""),"",IF(AL$8&gt;$G117,IF(OR(status1B5!AM117=1,status1B5!AM117=2,'BOULEVARD 5'!AO115&gt;0),"Pagado","impago"),""))</f>
        <v>Pagado</v>
      </c>
      <c r="AM117" s="666" t="str">
        <f>IF(OR($A117="F&amp;F",$G117=""),"",IF(AM$8&gt;$G117,IF(OR(status1B5!AN117=1,status1B5!AN117=2,'BOULEVARD 5'!AP115&gt;0),"Pagado","impago"),""))</f>
        <v>Pagado</v>
      </c>
      <c r="AN117" s="666" t="str">
        <f>IF(OR($A117="F&amp;F",$G117=""),"",IF(AN$8&gt;$G117,IF(OR(status1B5!AO117=1,status1B5!AO117=2,'BOULEVARD 5'!AQ115&gt;0),"Pagado","impago"),""))</f>
        <v>Pagado</v>
      </c>
      <c r="AO117" s="666" t="str">
        <f>IF(OR($A117="F&amp;F",$G117=""),"",IF(AO$8&gt;$G117,IF(OR(status1B5!AP117=1,status1B5!AP117=2,'BOULEVARD 5'!AS115&gt;0),"Pagado","impago"),""))</f>
        <v>Pagado</v>
      </c>
      <c r="AP117" s="429" t="str">
        <f t="shared" si="6"/>
        <v>Vendido</v>
      </c>
    </row>
    <row r="118" spans="1:42" s="429" customFormat="1" ht="13.9" customHeight="1" x14ac:dyDescent="0.25">
      <c r="A118" s="472"/>
      <c r="B118" s="436">
        <f>'BOULEVARD 5'!B116</f>
        <v>702</v>
      </c>
      <c r="C118" s="436" t="s">
        <v>355</v>
      </c>
      <c r="D118" s="436"/>
      <c r="E118" s="436" t="str">
        <f>IF('BOULEVARD 5'!E116="","",'BOULEVARD 5'!E116)</f>
        <v>Antonio Rada</v>
      </c>
      <c r="F118" s="429" t="str">
        <f>IF('BOULEVARD 5'!F116="","",'BOULEVARD 5'!F116)</f>
        <v>Wilson Humberto Félix Reyna</v>
      </c>
      <c r="G118" s="473">
        <f>IF('BOULEVARD 5'!G116="","",'BOULEVARD 5'!G116)</f>
        <v>45030</v>
      </c>
      <c r="H118" s="666" t="str">
        <f>IF(OR($A118="F&amp;F",$G118=""),"",IF(H$8&gt;$G118,IF(OR(status1B5!I118=1,status1B5!I118=2,'BOULEVARD 5'!K116&gt;0),"Pagado","impago"),""))</f>
        <v/>
      </c>
      <c r="I118" s="666" t="str">
        <f>IF(OR($A118="F&amp;F",$G118=""),"",IF(I$8&gt;$G118,IF(OR(status1B5!J118=1,status1B5!J118=2,'BOULEVARD 5'!L116&gt;0),"Pagado","impago"),""))</f>
        <v>Pagado</v>
      </c>
      <c r="J118" s="666" t="str">
        <f>IF(OR($A118="F&amp;F",$G118=""),"",IF(J$8&gt;$G118,IF(OR(status1B5!K118=1,status1B5!K118=2,'BOULEVARD 5'!M116&gt;0),"Pagado","impago"),""))</f>
        <v>Pagado</v>
      </c>
      <c r="K118" s="666" t="str">
        <f>IF(OR($A118="F&amp;F",$G118=""),"",IF(K$8&gt;$G118,IF(OR(status1B5!L118=1,status1B5!L118=2,'BOULEVARD 5'!N116&gt;0),"Pagado","impago"),""))</f>
        <v>Pagado</v>
      </c>
      <c r="L118" s="666" t="str">
        <f>IF(OR($A118="F&amp;F",$G118=""),"",IF(L$8&gt;$G118,IF(OR(status1B5!M118=1,status1B5!M118=2,'BOULEVARD 5'!O116&gt;0),"Pagado","impago"),""))</f>
        <v>Pagado</v>
      </c>
      <c r="M118" s="666" t="str">
        <f>IF(OR($A118="F&amp;F",$G118=""),"",IF(M$8&gt;$G118,IF(OR(status1B5!N118=1,status1B5!N118=2,'BOULEVARD 5'!P116&gt;0),"Pagado","impago"),""))</f>
        <v>Pagado</v>
      </c>
      <c r="N118" s="666" t="str">
        <f>IF(OR($A118="F&amp;F",$G118=""),"",IF(N$8&gt;$G118,IF(OR(status1B5!O118=1,status1B5!O118=2,'BOULEVARD 5'!Q116&gt;0),"Pagado","impago"),""))</f>
        <v>Pagado</v>
      </c>
      <c r="O118" s="666" t="str">
        <f>IF(OR($A118="F&amp;F",$G118=""),"",IF(O$8&gt;$G118,IF(OR(status1B5!P118=1,status1B5!P118=2,'BOULEVARD 5'!R116&gt;0),"Pagado","impago"),""))</f>
        <v>Pagado</v>
      </c>
      <c r="P118" s="666" t="str">
        <f>IF(OR($A118="F&amp;F",$G118=""),"",IF(P$8&gt;$G118,IF(OR(status1B5!Q118=1,status1B5!Q118=2,'BOULEVARD 5'!S116&gt;0),"Pagado","impago"),""))</f>
        <v>Pagado</v>
      </c>
      <c r="Q118" s="666" t="str">
        <f>IF(OR($A118="F&amp;F",$G118=""),"",IF(Q$8&gt;$G118,IF(OR(status1B5!R118=1,status1B5!R118=2,'BOULEVARD 5'!T116&gt;0),"Pagado","impago"),""))</f>
        <v>Pagado</v>
      </c>
      <c r="R118" s="666" t="str">
        <f>IF(OR($A118="F&amp;F",$G118=""),"",IF(R$8&gt;$G118,IF(OR(status1B5!S118=1,status1B5!S118=2,'BOULEVARD 5'!U116&gt;0),"Pagado","impago"),""))</f>
        <v>Pagado</v>
      </c>
      <c r="S118" s="666" t="str">
        <f>IF(OR($A118="F&amp;F",$G118=""),"",IF(S$8&gt;$G118,IF(OR(status1B5!T118=1,status1B5!T118=2,'BOULEVARD 5'!V116&gt;0),"Pagado","impago"),""))</f>
        <v>Pagado</v>
      </c>
      <c r="T118" s="666" t="str">
        <f>IF(OR($A118="F&amp;F",$G118=""),"",IF(T$8&gt;$G118,IF(OR(status1B5!U118=1,status1B5!U118=2,'BOULEVARD 5'!W116&gt;0),"Pagado","impago"),""))</f>
        <v>Pagado</v>
      </c>
      <c r="U118" s="666" t="str">
        <f>IF(OR($A118="F&amp;F",$G118=""),"",IF(U$8&gt;$G118,IF(OR(status1B5!V118=1,status1B5!V118=2,'BOULEVARD 5'!X116&gt;0),"Pagado","impago"),""))</f>
        <v>Pagado</v>
      </c>
      <c r="V118" s="666" t="str">
        <f>IF(OR($A118="F&amp;F",$G118=""),"",IF(V$8&gt;$G118,IF(OR(status1B5!W118=1,status1B5!W118=2,'BOULEVARD 5'!Y116&gt;0),"Pagado","impago"),""))</f>
        <v>Pagado</v>
      </c>
      <c r="W118" s="666" t="str">
        <f>IF(OR($A118="F&amp;F",$G118=""),"",IF(W$8&gt;$G118,IF(OR(status1B5!X118=1,status1B5!X118=2,'BOULEVARD 5'!Z116&gt;0),"Pagado","impago"),""))</f>
        <v>Pagado</v>
      </c>
      <c r="X118" s="666" t="str">
        <f>IF(OR($A118="F&amp;F",$G118=""),"",IF(X$8&gt;$G118,IF(OR(status1B5!Y118=1,status1B5!Y118=2,'BOULEVARD 5'!AA116&gt;0),"Pagado","impago"),""))</f>
        <v>Pagado</v>
      </c>
      <c r="Y118" s="666" t="str">
        <f>IF(OR($A118="F&amp;F",$G118=""),"",IF(Y$8&gt;$G118,IF(OR(status1B5!Z118=1,status1B5!Z118=2,'BOULEVARD 5'!AB116&gt;0),"Pagado","impago"),""))</f>
        <v>Pagado</v>
      </c>
      <c r="Z118" s="666" t="str">
        <f>IF(OR($A118="F&amp;F",$G118=""),"",IF(Z$8&gt;$G118,IF(OR(status1B5!AA118=1,status1B5!AA118=2,'BOULEVARD 5'!AC116&gt;0),"Pagado","impago"),""))</f>
        <v>Pagado</v>
      </c>
      <c r="AA118" s="666" t="str">
        <f>IF(OR($A118="F&amp;F",$G118=""),"",IF(AA$8&gt;$G118,IF(OR(status1B5!AB118=1,status1B5!AB118=2,'BOULEVARD 5'!AD116&gt;0),"Pagado","impago"),""))</f>
        <v>Pagado</v>
      </c>
      <c r="AB118" s="666" t="str">
        <f>IF(OR($A118="F&amp;F",$G118=""),"",IF(AB$8&gt;$G118,IF(OR(status1B5!AC118=1,status1B5!AC118=2,'BOULEVARD 5'!AE116&gt;0),"Pagado","impago"),""))</f>
        <v>Pagado</v>
      </c>
      <c r="AC118" s="666" t="str">
        <f>IF(OR($A118="F&amp;F",$G118=""),"",IF(AC$8&gt;$G118,IF(OR(status1B5!AD118=1,status1B5!AD118=2,'BOULEVARD 5'!AF116&gt;0),"Pagado","impago"),""))</f>
        <v>Pagado</v>
      </c>
      <c r="AD118" s="666" t="str">
        <f>IF(OR($A118="F&amp;F",$G118=""),"",IF(AD$8&gt;$G118,IF(OR(status1B5!AE118=1,status1B5!AE118=2,'BOULEVARD 5'!AG116&gt;0),"Pagado","impago"),""))</f>
        <v>Pagado</v>
      </c>
      <c r="AE118" s="666" t="str">
        <f>IF(OR($A118="F&amp;F",$G118=""),"",IF(AE$8&gt;$G118,IF(OR(status1B5!AF118=1,status1B5!AF118=2,'BOULEVARD 5'!AH116&gt;0),"Pagado","impago"),""))</f>
        <v>Pagado</v>
      </c>
      <c r="AF118" s="666" t="str">
        <f>IF(OR($A118="F&amp;F",$G118=""),"",IF(AF$8&gt;$G118,IF(OR(status1B5!AG118=1,status1B5!AG118=2,'BOULEVARD 5'!AI116&gt;0),"Pagado","impago"),""))</f>
        <v>Pagado</v>
      </c>
      <c r="AG118" s="666" t="str">
        <f>IF(OR($A118="F&amp;F",$G118=""),"",IF(AG$8&gt;$G118,IF(OR(status1B5!AH118=1,status1B5!AH118=2,'BOULEVARD 5'!AJ116&gt;0),"Pagado","impago"),""))</f>
        <v>Pagado</v>
      </c>
      <c r="AH118" s="666" t="str">
        <f>IF(OR($A118="F&amp;F",$G118=""),"",IF(AH$8&gt;$G118,IF(OR(status1B5!AI118=1,status1B5!AI118=2,'BOULEVARD 5'!AK116&gt;0),"Pagado","impago"),""))</f>
        <v>Pagado</v>
      </c>
      <c r="AI118" s="666" t="str">
        <f>IF(OR($A118="F&amp;F",$G118=""),"",IF(AI$8&gt;$G118,IF(OR(status1B5!AJ118=1,status1B5!AJ118=2,'BOULEVARD 5'!AL116&gt;0),"Pagado","impago"),""))</f>
        <v>Pagado</v>
      </c>
      <c r="AJ118" s="666" t="str">
        <f>IF(OR($A118="F&amp;F",$G118=""),"",IF(AJ$8&gt;$G118,IF(OR(status1B5!AK118=1,status1B5!AK118=2,'BOULEVARD 5'!AM116&gt;0),"Pagado","impago"),""))</f>
        <v>Pagado</v>
      </c>
      <c r="AK118" s="666" t="str">
        <f>IF(OR($A118="F&amp;F",$G118=""),"",IF(AK$8&gt;$G118,IF(OR(status1B5!AL118=1,status1B5!AL118=2,'BOULEVARD 5'!AN116&gt;0),"Pagado","impago"),""))</f>
        <v>Pagado</v>
      </c>
      <c r="AL118" s="666" t="str">
        <f>IF(OR($A118="F&amp;F",$G118=""),"",IF(AL$8&gt;$G118,IF(OR(status1B5!AM118=1,status1B5!AM118=2,'BOULEVARD 5'!AO116&gt;0),"Pagado","impago"),""))</f>
        <v>Pagado</v>
      </c>
      <c r="AM118" s="666" t="str">
        <f>IF(OR($A118="F&amp;F",$G118=""),"",IF(AM$8&gt;$G118,IF(OR(status1B5!AN118=1,status1B5!AN118=2,'BOULEVARD 5'!AP116&gt;0),"Pagado","impago"),""))</f>
        <v>Pagado</v>
      </c>
      <c r="AN118" s="666" t="str">
        <f>IF(OR($A118="F&amp;F",$G118=""),"",IF(AN$8&gt;$G118,IF(OR(status1B5!AO118=1,status1B5!AO118=2,'BOULEVARD 5'!AQ116&gt;0),"Pagado","impago"),""))</f>
        <v>Pagado</v>
      </c>
      <c r="AO118" s="666" t="str">
        <f>IF(OR($A118="F&amp;F",$G118=""),"",IF(AO$8&gt;$G118,IF(OR(status1B5!AP118=1,status1B5!AP118=2,'BOULEVARD 5'!AS116&gt;0),"Pagado","impago"),""))</f>
        <v>Pagado</v>
      </c>
      <c r="AP118" s="429" t="str">
        <f t="shared" si="6"/>
        <v>Vendido</v>
      </c>
    </row>
    <row r="119" spans="1:42" s="429" customFormat="1" ht="13.9" customHeight="1" x14ac:dyDescent="0.25">
      <c r="A119" s="472"/>
      <c r="B119" s="436">
        <f>'BOULEVARD 5'!B117</f>
        <v>703</v>
      </c>
      <c r="C119" s="436" t="s">
        <v>355</v>
      </c>
      <c r="D119" s="642"/>
      <c r="E119" s="436" t="str">
        <f>IF('BOULEVARD 5'!E117="","",'BOULEVARD 5'!E117)</f>
        <v>Antonio Rada</v>
      </c>
      <c r="F119" s="429" t="str">
        <f>IF('BOULEVARD 5'!F117="","",'BOULEVARD 5'!F117)</f>
        <v>Daniel Augusto Santos Aragon</v>
      </c>
      <c r="G119" s="473">
        <f>IF('BOULEVARD 5'!G117="","",'BOULEVARD 5'!G117)</f>
        <v>45358</v>
      </c>
      <c r="H119" s="666" t="str">
        <f>IF(OR($A119="F&amp;F",$G119=""),"",IF(H$8&gt;$G119,IF(OR(status1B5!I119=1,status1B5!I119=2,'BOULEVARD 5'!K117&gt;0),"Pagado","impago"),""))</f>
        <v/>
      </c>
      <c r="I119" s="666" t="str">
        <f>IF(OR($A119="F&amp;F",$G119=""),"",IF(I$8&gt;$G119,IF(OR(status1B5!J119=1,status1B5!J119=2,'BOULEVARD 5'!L117&gt;0),"Pagado","impago"),""))</f>
        <v/>
      </c>
      <c r="J119" s="666" t="str">
        <f>IF(OR($A119="F&amp;F",$G119=""),"",IF(J$8&gt;$G119,IF(OR(status1B5!K119=1,status1B5!K119=2,'BOULEVARD 5'!M117&gt;0),"Pagado","impago"),""))</f>
        <v/>
      </c>
      <c r="K119" s="666" t="str">
        <f>IF(OR($A119="F&amp;F",$G119=""),"",IF(K$8&gt;$G119,IF(OR(status1B5!L119=1,status1B5!L119=2,'BOULEVARD 5'!N117&gt;0),"Pagado","impago"),""))</f>
        <v/>
      </c>
      <c r="L119" s="666" t="str">
        <f>IF(OR($A119="F&amp;F",$G119=""),"",IF(L$8&gt;$G119,IF(OR(status1B5!M119=1,status1B5!M119=2,'BOULEVARD 5'!O117&gt;0),"Pagado","impago"),""))</f>
        <v/>
      </c>
      <c r="M119" s="666" t="str">
        <f>IF(OR($A119="F&amp;F",$G119=""),"",IF(M$8&gt;$G119,IF(OR(status1B5!N119=1,status1B5!N119=2,'BOULEVARD 5'!P117&gt;0),"Pagado","impago"),""))</f>
        <v/>
      </c>
      <c r="N119" s="666" t="str">
        <f>IF(OR($A119="F&amp;F",$G119=""),"",IF(N$8&gt;$G119,IF(OR(status1B5!O119=1,status1B5!O119=2,'BOULEVARD 5'!Q117&gt;0),"Pagado","impago"),""))</f>
        <v/>
      </c>
      <c r="O119" s="666" t="str">
        <f>IF(OR($A119="F&amp;F",$G119=""),"",IF(O$8&gt;$G119,IF(OR(status1B5!P119=1,status1B5!P119=2,'BOULEVARD 5'!R117&gt;0),"Pagado","impago"),""))</f>
        <v/>
      </c>
      <c r="P119" s="666" t="str">
        <f>IF(OR($A119="F&amp;F",$G119=""),"",IF(P$8&gt;$G119,IF(OR(status1B5!Q119=1,status1B5!Q119=2,'BOULEVARD 5'!S117&gt;0),"Pagado","impago"),""))</f>
        <v/>
      </c>
      <c r="Q119" s="666" t="str">
        <f>IF(OR($A119="F&amp;F",$G119=""),"",IF(Q$8&gt;$G119,IF(OR(status1B5!R119=1,status1B5!R119=2,'BOULEVARD 5'!T117&gt;0),"Pagado","impago"),""))</f>
        <v/>
      </c>
      <c r="R119" s="666" t="str">
        <f>IF(OR($A119="F&amp;F",$G119=""),"",IF(R$8&gt;$G119,IF(OR(status1B5!S119=1,status1B5!S119=2,'BOULEVARD 5'!U117&gt;0),"Pagado","impago"),""))</f>
        <v/>
      </c>
      <c r="S119" s="666" t="str">
        <f>IF(OR($A119="F&amp;F",$G119=""),"",IF(S$8&gt;$G119,IF(OR(status1B5!T119=1,status1B5!T119=2,'BOULEVARD 5'!V117&gt;0),"Pagado","impago"),""))</f>
        <v/>
      </c>
      <c r="T119" s="666" t="str">
        <f>IF(OR($A119="F&amp;F",$G119=""),"",IF(T$8&gt;$G119,IF(OR(status1B5!U119=1,status1B5!U119=2,'BOULEVARD 5'!W117&gt;0),"Pagado","impago"),""))</f>
        <v>Pagado</v>
      </c>
      <c r="U119" s="666" t="str">
        <f>IF(OR($A119="F&amp;F",$G119=""),"",IF(U$8&gt;$G119,IF(OR(status1B5!V119=1,status1B5!V119=2,'BOULEVARD 5'!X117&gt;0),"Pagado","impago"),""))</f>
        <v>Pagado</v>
      </c>
      <c r="V119" s="666" t="str">
        <f>IF(OR($A119="F&amp;F",$G119=""),"",IF(V$8&gt;$G119,IF(OR(status1B5!W119=1,status1B5!W119=2,'BOULEVARD 5'!Y117&gt;0),"Pagado","impago"),""))</f>
        <v>Pagado</v>
      </c>
      <c r="W119" s="666" t="str">
        <f>IF(OR($A119="F&amp;F",$G119=""),"",IF(W$8&gt;$G119,IF(OR(status1B5!X119=1,status1B5!X119=2,'BOULEVARD 5'!Z117&gt;0),"Pagado","impago"),""))</f>
        <v>Pagado</v>
      </c>
      <c r="X119" s="666" t="str">
        <f>IF(OR($A119="F&amp;F",$G119=""),"",IF(X$8&gt;$G119,IF(OR(status1B5!Y119=1,status1B5!Y119=2,'BOULEVARD 5'!AA117&gt;0),"Pagado","impago"),""))</f>
        <v>Pagado</v>
      </c>
      <c r="Y119" s="666" t="str">
        <f>IF(OR($A119="F&amp;F",$G119=""),"",IF(Y$8&gt;$G119,IF(OR(status1B5!Z119=1,status1B5!Z119=2,'BOULEVARD 5'!AB117&gt;0),"Pagado","impago"),""))</f>
        <v>Pagado</v>
      </c>
      <c r="Z119" s="666" t="str">
        <f>IF(OR($A119="F&amp;F",$G119=""),"",IF(Z$8&gt;$G119,IF(OR(status1B5!AA119=1,status1B5!AA119=2,'BOULEVARD 5'!AC117&gt;0),"Pagado","impago"),""))</f>
        <v>Pagado</v>
      </c>
      <c r="AA119" s="666" t="str">
        <f>IF(OR($A119="F&amp;F",$G119=""),"",IF(AA$8&gt;$G119,IF(OR(status1B5!AB119=1,status1B5!AB119=2,'BOULEVARD 5'!AD117&gt;0),"Pagado","impago"),""))</f>
        <v>Pagado</v>
      </c>
      <c r="AB119" s="666" t="str">
        <f>IF(OR($A119="F&amp;F",$G119=""),"",IF(AB$8&gt;$G119,IF(OR(status1B5!AC119=1,status1B5!AC119=2,'BOULEVARD 5'!AE117&gt;0),"Pagado","impago"),""))</f>
        <v>Pagado</v>
      </c>
      <c r="AC119" s="666" t="str">
        <f>IF(OR($A119="F&amp;F",$G119=""),"",IF(AC$8&gt;$G119,IF(OR(status1B5!AD119=1,status1B5!AD119=2,'BOULEVARD 5'!AF117&gt;0),"Pagado","impago"),""))</f>
        <v>Pagado</v>
      </c>
      <c r="AD119" s="666" t="str">
        <f>IF(OR($A119="F&amp;F",$G119=""),"",IF(AD$8&gt;$G119,IF(OR(status1B5!AE119=1,status1B5!AE119=2,'BOULEVARD 5'!AG117&gt;0),"Pagado","impago"),""))</f>
        <v>Pagado</v>
      </c>
      <c r="AE119" s="666" t="str">
        <f>IF(OR($A119="F&amp;F",$G119=""),"",IF(AE$8&gt;$G119,IF(OR(status1B5!AF119=1,status1B5!AF119=2,'BOULEVARD 5'!AH117&gt;0),"Pagado","impago"),""))</f>
        <v>Pagado</v>
      </c>
      <c r="AF119" s="666" t="str">
        <f>IF(OR($A119="F&amp;F",$G119=""),"",IF(AF$8&gt;$G119,IF(OR(status1B5!AG119=1,status1B5!AG119=2,'BOULEVARD 5'!AI117&gt;0),"Pagado","impago"),""))</f>
        <v>Pagado</v>
      </c>
      <c r="AG119" s="666" t="str">
        <f>IF(OR($A119="F&amp;F",$G119=""),"",IF(AG$8&gt;$G119,IF(OR(status1B5!AH119=1,status1B5!AH119=2,'BOULEVARD 5'!AJ117&gt;0),"Pagado","impago"),""))</f>
        <v>Pagado</v>
      </c>
      <c r="AH119" s="666" t="str">
        <f>IF(OR($A119="F&amp;F",$G119=""),"",IF(AH$8&gt;$G119,IF(OR(status1B5!AI119=1,status1B5!AI119=2,'BOULEVARD 5'!AK117&gt;0),"Pagado","impago"),""))</f>
        <v>Pagado</v>
      </c>
      <c r="AI119" s="666" t="str">
        <f>IF(OR($A119="F&amp;F",$G119=""),"",IF(AI$8&gt;$G119,IF(OR(status1B5!AJ119=1,status1B5!AJ119=2,'BOULEVARD 5'!AL117&gt;0),"Pagado","impago"),""))</f>
        <v>Pagado</v>
      </c>
      <c r="AJ119" s="666" t="str">
        <f>IF(OR($A119="F&amp;F",$G119=""),"",IF(AJ$8&gt;$G119,IF(OR(status1B5!AK119=1,status1B5!AK119=2,'BOULEVARD 5'!AM117&gt;0),"Pagado","impago"),""))</f>
        <v>Pagado</v>
      </c>
      <c r="AK119" s="666" t="str">
        <f>IF(OR($A119="F&amp;F",$G119=""),"",IF(AK$8&gt;$G119,IF(OR(status1B5!AL119=1,status1B5!AL119=2,'BOULEVARD 5'!AN117&gt;0),"Pagado","impago"),""))</f>
        <v>Pagado</v>
      </c>
      <c r="AL119" s="666" t="str">
        <f>IF(OR($A119="F&amp;F",$G119=""),"",IF(AL$8&gt;$G119,IF(OR(status1B5!AM119=1,status1B5!AM119=2,'BOULEVARD 5'!AO117&gt;0),"Pagado","impago"),""))</f>
        <v>Pagado</v>
      </c>
      <c r="AM119" s="666" t="str">
        <f>IF(OR($A119="F&amp;F",$G119=""),"",IF(AM$8&gt;$G119,IF(OR(status1B5!AN119=1,status1B5!AN119=2,'BOULEVARD 5'!AP117&gt;0),"Pagado","impago"),""))</f>
        <v>Pagado</v>
      </c>
      <c r="AN119" s="666" t="str">
        <f>IF(OR($A119="F&amp;F",$G119=""),"",IF(AN$8&gt;$G119,IF(OR(status1B5!AO119=1,status1B5!AO119=2,'BOULEVARD 5'!AQ117&gt;0),"Pagado","impago"),""))</f>
        <v>Pagado</v>
      </c>
      <c r="AO119" s="666" t="str">
        <f>IF(OR($A119="F&amp;F",$G119=""),"",IF(AO$8&gt;$G119,IF(OR(status1B5!AP119=1,status1B5!AP119=2,'BOULEVARD 5'!AS117&gt;0),"Pagado","impago"),""))</f>
        <v>Pagado</v>
      </c>
      <c r="AP119" s="429" t="str">
        <f t="shared" si="6"/>
        <v>Vendido</v>
      </c>
    </row>
    <row r="120" spans="1:42" s="429" customFormat="1" ht="13.9" customHeight="1" x14ac:dyDescent="0.25">
      <c r="A120" s="472"/>
      <c r="B120" s="436">
        <f>'BOULEVARD 5'!B118</f>
        <v>704</v>
      </c>
      <c r="C120" s="436" t="s">
        <v>355</v>
      </c>
      <c r="D120" s="436"/>
      <c r="E120" s="436" t="str">
        <f>IF('BOULEVARD 5'!E118="","",'BOULEVARD 5'!E118)</f>
        <v>Antonio Rada</v>
      </c>
      <c r="F120" s="429" t="str">
        <f>IF('BOULEVARD 5'!F118="","",'BOULEVARD 5'!F118)</f>
        <v>Dania Dulcidia Gutierrez Villeda</v>
      </c>
      <c r="G120" s="473">
        <f>IF('BOULEVARD 5'!G118="","",'BOULEVARD 5'!G118)</f>
        <v>45397</v>
      </c>
      <c r="H120" s="666" t="str">
        <f>IF(OR($A120="F&amp;F",$G120=""),"",IF(H$8&gt;$G120,IF(OR(status1B5!I120=1,status1B5!I120=2,'BOULEVARD 5'!K118&gt;0),"Pagado","impago"),""))</f>
        <v/>
      </c>
      <c r="I120" s="666" t="str">
        <f>IF(OR($A120="F&amp;F",$G120=""),"",IF(I$8&gt;$G120,IF(OR(status1B5!J120=1,status1B5!J120=2,'BOULEVARD 5'!L118&gt;0),"Pagado","impago"),""))</f>
        <v/>
      </c>
      <c r="J120" s="666" t="str">
        <f>IF(OR($A120="F&amp;F",$G120=""),"",IF(J$8&gt;$G120,IF(OR(status1B5!K120=1,status1B5!K120=2,'BOULEVARD 5'!M118&gt;0),"Pagado","impago"),""))</f>
        <v/>
      </c>
      <c r="K120" s="666" t="str">
        <f>IF(OR($A120="F&amp;F",$G120=""),"",IF(K$8&gt;$G120,IF(OR(status1B5!L120=1,status1B5!L120=2,'BOULEVARD 5'!N118&gt;0),"Pagado","impago"),""))</f>
        <v/>
      </c>
      <c r="L120" s="666" t="str">
        <f>IF(OR($A120="F&amp;F",$G120=""),"",IF(L$8&gt;$G120,IF(OR(status1B5!M120=1,status1B5!M120=2,'BOULEVARD 5'!O118&gt;0),"Pagado","impago"),""))</f>
        <v/>
      </c>
      <c r="M120" s="666" t="str">
        <f>IF(OR($A120="F&amp;F",$G120=""),"",IF(M$8&gt;$G120,IF(OR(status1B5!N120=1,status1B5!N120=2,'BOULEVARD 5'!P118&gt;0),"Pagado","impago"),""))</f>
        <v/>
      </c>
      <c r="N120" s="666" t="str">
        <f>IF(OR($A120="F&amp;F",$G120=""),"",IF(N$8&gt;$G120,IF(OR(status1B5!O120=1,status1B5!O120=2,'BOULEVARD 5'!Q118&gt;0),"Pagado","impago"),""))</f>
        <v/>
      </c>
      <c r="O120" s="666" t="str">
        <f>IF(OR($A120="F&amp;F",$G120=""),"",IF(O$8&gt;$G120,IF(OR(status1B5!P120=1,status1B5!P120=2,'BOULEVARD 5'!R118&gt;0),"Pagado","impago"),""))</f>
        <v/>
      </c>
      <c r="P120" s="666" t="str">
        <f>IF(OR($A120="F&amp;F",$G120=""),"",IF(P$8&gt;$G120,IF(OR(status1B5!Q120=1,status1B5!Q120=2,'BOULEVARD 5'!S118&gt;0),"Pagado","impago"),""))</f>
        <v/>
      </c>
      <c r="Q120" s="666" t="str">
        <f>IF(OR($A120="F&amp;F",$G120=""),"",IF(Q$8&gt;$G120,IF(OR(status1B5!R120=1,status1B5!R120=2,'BOULEVARD 5'!T118&gt;0),"Pagado","impago"),""))</f>
        <v/>
      </c>
      <c r="R120" s="666" t="str">
        <f>IF(OR($A120="F&amp;F",$G120=""),"",IF(R$8&gt;$G120,IF(OR(status1B5!S120=1,status1B5!S120=2,'BOULEVARD 5'!U118&gt;0),"Pagado","impago"),""))</f>
        <v/>
      </c>
      <c r="S120" s="666" t="str">
        <f>IF(OR($A120="F&amp;F",$G120=""),"",IF(S$8&gt;$G120,IF(OR(status1B5!T120=1,status1B5!T120=2,'BOULEVARD 5'!V118&gt;0),"Pagado","impago"),""))</f>
        <v/>
      </c>
      <c r="T120" s="666" t="str">
        <f>IF(OR($A120="F&amp;F",$G120=""),"",IF(T$8&gt;$G120,IF(OR(status1B5!U120=1,status1B5!U120=2,'BOULEVARD 5'!W118&gt;0),"Pagado","impago"),""))</f>
        <v/>
      </c>
      <c r="U120" s="666" t="str">
        <f>IF(OR($A120="F&amp;F",$G120=""),"",IF(U$8&gt;$G120,IF(OR(status1B5!V120=1,status1B5!V120=2,'BOULEVARD 5'!X118&gt;0),"Pagado","impago"),""))</f>
        <v>Pagado</v>
      </c>
      <c r="V120" s="666" t="str">
        <f>IF(OR($A120="F&amp;F",$G120=""),"",IF(V$8&gt;$G120,IF(OR(status1B5!W120=1,status1B5!W120=2,'BOULEVARD 5'!Y118&gt;0),"Pagado","impago"),""))</f>
        <v>Pagado</v>
      </c>
      <c r="W120" s="666" t="str">
        <f>IF(OR($A120="F&amp;F",$G120=""),"",IF(W$8&gt;$G120,IF(OR(status1B5!X120=1,status1B5!X120=2,'BOULEVARD 5'!Z118&gt;0),"Pagado","impago"),""))</f>
        <v>Pagado</v>
      </c>
      <c r="X120" s="666" t="str">
        <f>IF(OR($A120="F&amp;F",$G120=""),"",IF(X$8&gt;$G120,IF(OR(status1B5!Y120=1,status1B5!Y120=2,'BOULEVARD 5'!AA118&gt;0),"Pagado","impago"),""))</f>
        <v>Pagado</v>
      </c>
      <c r="Y120" s="666" t="str">
        <f>IF(OR($A120="F&amp;F",$G120=""),"",IF(Y$8&gt;$G120,IF(OR(status1B5!Z120=1,status1B5!Z120=2,'BOULEVARD 5'!AB118&gt;0),"Pagado","impago"),""))</f>
        <v>Pagado</v>
      </c>
      <c r="Z120" s="666" t="str">
        <f>IF(OR($A120="F&amp;F",$G120=""),"",IF(Z$8&gt;$G120,IF(OR(status1B5!AA120=1,status1B5!AA120=2,'BOULEVARD 5'!AC118&gt;0),"Pagado","impago"),""))</f>
        <v>Pagado</v>
      </c>
      <c r="AA120" s="666" t="str">
        <f>IF(OR($A120="F&amp;F",$G120=""),"",IF(AA$8&gt;$G120,IF(OR(status1B5!AB120=1,status1B5!AB120=2,'BOULEVARD 5'!AD118&gt;0),"Pagado","impago"),""))</f>
        <v>Pagado</v>
      </c>
      <c r="AB120" s="666" t="str">
        <f>IF(OR($A120="F&amp;F",$G120=""),"",IF(AB$8&gt;$G120,IF(OR(status1B5!AC120=1,status1B5!AC120=2,'BOULEVARD 5'!AE118&gt;0),"Pagado","impago"),""))</f>
        <v>Pagado</v>
      </c>
      <c r="AC120" s="666" t="str">
        <f>IF(OR($A120="F&amp;F",$G120=""),"",IF(AC$8&gt;$G120,IF(OR(status1B5!AD120=1,status1B5!AD120=2,'BOULEVARD 5'!AF118&gt;0),"Pagado","impago"),""))</f>
        <v>Pagado</v>
      </c>
      <c r="AD120" s="666" t="str">
        <f>IF(OR($A120="F&amp;F",$G120=""),"",IF(AD$8&gt;$G120,IF(OR(status1B5!AE120=1,status1B5!AE120=2,'BOULEVARD 5'!AG118&gt;0),"Pagado","impago"),""))</f>
        <v>Pagado</v>
      </c>
      <c r="AE120" s="666" t="str">
        <f>IF(OR($A120="F&amp;F",$G120=""),"",IF(AE$8&gt;$G120,IF(OR(status1B5!AF120=1,status1B5!AF120=2,'BOULEVARD 5'!AH118&gt;0),"Pagado","impago"),""))</f>
        <v>Pagado</v>
      </c>
      <c r="AF120" s="666" t="str">
        <f>IF(OR($A120="F&amp;F",$G120=""),"",IF(AF$8&gt;$G120,IF(OR(status1B5!AG120=1,status1B5!AG120=2,'BOULEVARD 5'!AI118&gt;0),"Pagado","impago"),""))</f>
        <v>Pagado</v>
      </c>
      <c r="AG120" s="666" t="str">
        <f>IF(OR($A120="F&amp;F",$G120=""),"",IF(AG$8&gt;$G120,IF(OR(status1B5!AH120=1,status1B5!AH120=2,'BOULEVARD 5'!AJ118&gt;0),"Pagado","impago"),""))</f>
        <v>Pagado</v>
      </c>
      <c r="AH120" s="666" t="str">
        <f>IF(OR($A120="F&amp;F",$G120=""),"",IF(AH$8&gt;$G120,IF(OR(status1B5!AI120=1,status1B5!AI120=2,'BOULEVARD 5'!AK118&gt;0),"Pagado","impago"),""))</f>
        <v>Pagado</v>
      </c>
      <c r="AI120" s="666" t="str">
        <f>IF(OR($A120="F&amp;F",$G120=""),"",IF(AI$8&gt;$G120,IF(OR(status1B5!AJ120=1,status1B5!AJ120=2,'BOULEVARD 5'!AL118&gt;0),"Pagado","impago"),""))</f>
        <v>Pagado</v>
      </c>
      <c r="AJ120" s="666" t="str">
        <f>IF(OR($A120="F&amp;F",$G120=""),"",IF(AJ$8&gt;$G120,IF(OR(status1B5!AK120=1,status1B5!AK120=2,'BOULEVARD 5'!AM118&gt;0),"Pagado","impago"),""))</f>
        <v>Pagado</v>
      </c>
      <c r="AK120" s="666" t="str">
        <f>IF(OR($A120="F&amp;F",$G120=""),"",IF(AK$8&gt;$G120,IF(OR(status1B5!AL120=1,status1B5!AL120=2,'BOULEVARD 5'!AN118&gt;0),"Pagado","impago"),""))</f>
        <v>Pagado</v>
      </c>
      <c r="AL120" s="666" t="str">
        <f>IF(OR($A120="F&amp;F",$G120=""),"",IF(AL$8&gt;$G120,IF(OR(status1B5!AM120=1,status1B5!AM120=2,'BOULEVARD 5'!AO118&gt;0),"Pagado","impago"),""))</f>
        <v>Pagado</v>
      </c>
      <c r="AM120" s="666" t="str">
        <f>IF(OR($A120="F&amp;F",$G120=""),"",IF(AM$8&gt;$G120,IF(OR(status1B5!AN120=1,status1B5!AN120=2,'BOULEVARD 5'!AP118&gt;0),"Pagado","impago"),""))</f>
        <v>Pagado</v>
      </c>
      <c r="AN120" s="666" t="str">
        <f>IF(OR($A120="F&amp;F",$G120=""),"",IF(AN$8&gt;$G120,IF(OR(status1B5!AO120=1,status1B5!AO120=2,'BOULEVARD 5'!AQ118&gt;0),"Pagado","impago"),""))</f>
        <v>Pagado</v>
      </c>
      <c r="AO120" s="666" t="str">
        <f>IF(OR($A120="F&amp;F",$G120=""),"",IF(AO$8&gt;$G120,IF(OR(status1B5!AP120=1,status1B5!AP120=2,'BOULEVARD 5'!AS118&gt;0),"Pagado","impago"),""))</f>
        <v>Pagado</v>
      </c>
      <c r="AP120" s="429" t="str">
        <f t="shared" si="6"/>
        <v>Vendido</v>
      </c>
    </row>
    <row r="121" spans="1:42" s="429" customFormat="1" ht="13.9" customHeight="1" x14ac:dyDescent="0.25">
      <c r="A121" s="472"/>
      <c r="B121" s="436">
        <f>'BOULEVARD 5'!B119</f>
        <v>705</v>
      </c>
      <c r="C121" s="436" t="s">
        <v>355</v>
      </c>
      <c r="D121" s="436"/>
      <c r="E121" s="436" t="str">
        <f>IF('BOULEVARD 5'!E119="","",'BOULEVARD 5'!E119)</f>
        <v>Antonio Rada</v>
      </c>
      <c r="F121" s="429" t="str">
        <f>IF('BOULEVARD 5'!F119="","",'BOULEVARD 5'!F119)</f>
        <v>Ingrid Lisbeth Dubón García De Diaz</v>
      </c>
      <c r="G121" s="473">
        <f>IF('BOULEVARD 5'!G119="","",'BOULEVARD 5'!G119)</f>
        <v>45699</v>
      </c>
      <c r="H121" s="666" t="str">
        <f>IF(OR($A121="F&amp;F",$G121=""),"",IF(H$8&gt;$G121,IF(OR(status1B5!I121=1,status1B5!I121=2,'BOULEVARD 5'!K119&gt;0),"Pagado","impago"),""))</f>
        <v/>
      </c>
      <c r="I121" s="666" t="str">
        <f>IF(OR($A121="F&amp;F",$G121=""),"",IF(I$8&gt;$G121,IF(OR(status1B5!J121=1,status1B5!J121=2,'BOULEVARD 5'!L119&gt;0),"Pagado","impago"),""))</f>
        <v/>
      </c>
      <c r="J121" s="666" t="str">
        <f>IF(OR($A121="F&amp;F",$G121=""),"",IF(J$8&gt;$G121,IF(OR(status1B5!K121=1,status1B5!K121=2,'BOULEVARD 5'!M119&gt;0),"Pagado","impago"),""))</f>
        <v/>
      </c>
      <c r="K121" s="666" t="str">
        <f>IF(OR($A121="F&amp;F",$G121=""),"",IF(K$8&gt;$G121,IF(OR(status1B5!L121=1,status1B5!L121=2,'BOULEVARD 5'!N119&gt;0),"Pagado","impago"),""))</f>
        <v/>
      </c>
      <c r="L121" s="666" t="str">
        <f>IF(OR($A121="F&amp;F",$G121=""),"",IF(L$8&gt;$G121,IF(OR(status1B5!M121=1,status1B5!M121=2,'BOULEVARD 5'!O119&gt;0),"Pagado","impago"),""))</f>
        <v/>
      </c>
      <c r="M121" s="666" t="str">
        <f>IF(OR($A121="F&amp;F",$G121=""),"",IF(M$8&gt;$G121,IF(OR(status1B5!N121=1,status1B5!N121=2,'BOULEVARD 5'!P119&gt;0),"Pagado","impago"),""))</f>
        <v/>
      </c>
      <c r="N121" s="666" t="str">
        <f>IF(OR($A121="F&amp;F",$G121=""),"",IF(N$8&gt;$G121,IF(OR(status1B5!O121=1,status1B5!O121=2,'BOULEVARD 5'!Q119&gt;0),"Pagado","impago"),""))</f>
        <v/>
      </c>
      <c r="O121" s="666" t="str">
        <f>IF(OR($A121="F&amp;F",$G121=""),"",IF(O$8&gt;$G121,IF(OR(status1B5!P121=1,status1B5!P121=2,'BOULEVARD 5'!R119&gt;0),"Pagado","impago"),""))</f>
        <v/>
      </c>
      <c r="P121" s="666" t="str">
        <f>IF(OR($A121="F&amp;F",$G121=""),"",IF(P$8&gt;$G121,IF(OR(status1B5!Q121=1,status1B5!Q121=2,'BOULEVARD 5'!S119&gt;0),"Pagado","impago"),""))</f>
        <v/>
      </c>
      <c r="Q121" s="666" t="str">
        <f>IF(OR($A121="F&amp;F",$G121=""),"",IF(Q$8&gt;$G121,IF(OR(status1B5!R121=1,status1B5!R121=2,'BOULEVARD 5'!T119&gt;0),"Pagado","impago"),""))</f>
        <v/>
      </c>
      <c r="R121" s="666" t="str">
        <f>IF(OR($A121="F&amp;F",$G121=""),"",IF(R$8&gt;$G121,IF(OR(status1B5!S121=1,status1B5!S121=2,'BOULEVARD 5'!U119&gt;0),"Pagado","impago"),""))</f>
        <v/>
      </c>
      <c r="S121" s="666" t="str">
        <f>IF(OR($A121="F&amp;F",$G121=""),"",IF(S$8&gt;$G121,IF(OR(status1B5!T121=1,status1B5!T121=2,'BOULEVARD 5'!V119&gt;0),"Pagado","impago"),""))</f>
        <v/>
      </c>
      <c r="T121" s="666" t="str">
        <f>IF(OR($A121="F&amp;F",$G121=""),"",IF(T$8&gt;$G121,IF(OR(status1B5!U121=1,status1B5!U121=2,'BOULEVARD 5'!W119&gt;0),"Pagado","impago"),""))</f>
        <v/>
      </c>
      <c r="U121" s="666" t="str">
        <f>IF(OR($A121="F&amp;F",$G121=""),"",IF(U$8&gt;$G121,IF(OR(status1B5!V121=1,status1B5!V121=2,'BOULEVARD 5'!X119&gt;0),"Pagado","impago"),""))</f>
        <v/>
      </c>
      <c r="V121" s="666" t="str">
        <f>IF(OR($A121="F&amp;F",$G121=""),"",IF(V$8&gt;$G121,IF(OR(status1B5!W121=1,status1B5!W121=2,'BOULEVARD 5'!Y119&gt;0),"Pagado","impago"),""))</f>
        <v/>
      </c>
      <c r="W121" s="666" t="str">
        <f>IF(OR($A121="F&amp;F",$G121=""),"",IF(W$8&gt;$G121,IF(OR(status1B5!X121=1,status1B5!X121=2,'BOULEVARD 5'!Z119&gt;0),"Pagado","impago"),""))</f>
        <v/>
      </c>
      <c r="X121" s="666" t="str">
        <f>IF(OR($A121="F&amp;F",$G121=""),"",IF(X$8&gt;$G121,IF(OR(status1B5!Y121=1,status1B5!Y121=2,'BOULEVARD 5'!AA119&gt;0),"Pagado","impago"),""))</f>
        <v/>
      </c>
      <c r="Y121" s="666" t="str">
        <f>IF(OR($A121="F&amp;F",$G121=""),"",IF(Y$8&gt;$G121,IF(OR(status1B5!Z121=1,status1B5!Z121=2,'BOULEVARD 5'!AB119&gt;0),"Pagado","impago"),""))</f>
        <v/>
      </c>
      <c r="Z121" s="666" t="str">
        <f>IF(OR($A121="F&amp;F",$G121=""),"",IF(Z$8&gt;$G121,IF(OR(status1B5!AA121=1,status1B5!AA121=2,'BOULEVARD 5'!AC119&gt;0),"Pagado","impago"),""))</f>
        <v/>
      </c>
      <c r="AA121" s="666" t="str">
        <f>IF(OR($A121="F&amp;F",$G121=""),"",IF(AA$8&gt;$G121,IF(OR(status1B5!AB121=1,status1B5!AB121=2,'BOULEVARD 5'!AD119&gt;0),"Pagado","impago"),""))</f>
        <v/>
      </c>
      <c r="AB121" s="666" t="str">
        <f>IF(OR($A121="F&amp;F",$G121=""),"",IF(AB$8&gt;$G121,IF(OR(status1B5!AC121=1,status1B5!AC121=2,'BOULEVARD 5'!AE119&gt;0),"Pagado","impago"),""))</f>
        <v/>
      </c>
      <c r="AC121" s="666" t="str">
        <f>IF(OR($A121="F&amp;F",$G121=""),"",IF(AC$8&gt;$G121,IF(OR(status1B5!AD121=1,status1B5!AD121=2,'BOULEVARD 5'!AF119&gt;0),"Pagado","impago"),""))</f>
        <v/>
      </c>
      <c r="AD121" s="666" t="str">
        <f>IF(OR($A121="F&amp;F",$G121=""),"",IF(AD$8&gt;$G121,IF(OR(status1B5!AE121=1,status1B5!AE121=2,'BOULEVARD 5'!AG119&gt;0),"Pagado","impago"),""))</f>
        <v/>
      </c>
      <c r="AE121" s="666" t="str">
        <f>IF(OR($A121="F&amp;F",$G121=""),"",IF(AE$8&gt;$G121,IF(OR(status1B5!AF121=1,status1B5!AF121=2,'BOULEVARD 5'!AH119&gt;0),"Pagado","impago"),""))</f>
        <v>Pagado</v>
      </c>
      <c r="AF121" s="666" t="str">
        <f>IF(OR($A121="F&amp;F",$G121=""),"",IF(AF$8&gt;$G121,IF(OR(status1B5!AG121=1,status1B5!AG121=2,'BOULEVARD 5'!AI119&gt;0),"Pagado","impago"),""))</f>
        <v>Pagado</v>
      </c>
      <c r="AG121" s="666" t="str">
        <f>IF(OR($A121="F&amp;F",$G121=""),"",IF(AG$8&gt;$G121,IF(OR(status1B5!AH121=1,status1B5!AH121=2,'BOULEVARD 5'!AJ119&gt;0),"Pagado","impago"),""))</f>
        <v>Pagado</v>
      </c>
      <c r="AH121" s="666" t="str">
        <f>IF(OR($A121="F&amp;F",$G121=""),"",IF(AH$8&gt;$G121,IF(OR(status1B5!AI121=1,status1B5!AI121=2,'BOULEVARD 5'!AK119&gt;0),"Pagado","impago"),""))</f>
        <v>Pagado</v>
      </c>
      <c r="AI121" s="666" t="str">
        <f>IF(OR($A121="F&amp;F",$G121=""),"",IF(AI$8&gt;$G121,IF(OR(status1B5!AJ121=1,status1B5!AJ121=2,'BOULEVARD 5'!AL119&gt;0),"Pagado","impago"),""))</f>
        <v>Pagado</v>
      </c>
      <c r="AJ121" s="666" t="str">
        <f>IF(OR($A121="F&amp;F",$G121=""),"",IF(AJ$8&gt;$G121,IF(OR(status1B5!AK121=1,status1B5!AK121=2,'BOULEVARD 5'!AM119&gt;0),"Pagado","impago"),""))</f>
        <v>Pagado</v>
      </c>
      <c r="AK121" s="666" t="str">
        <f>IF(OR($A121="F&amp;F",$G121=""),"",IF(AK$8&gt;$G121,IF(OR(status1B5!AL121=1,status1B5!AL121=2,'BOULEVARD 5'!AN119&gt;0),"Pagado","impago"),""))</f>
        <v>Pagado</v>
      </c>
      <c r="AL121" s="666" t="str">
        <f>IF(OR($A121="F&amp;F",$G121=""),"",IF(AL$8&gt;$G121,IF(OR(status1B5!AM121=1,status1B5!AM121=2,'BOULEVARD 5'!AO119&gt;0),"Pagado","impago"),""))</f>
        <v>Pagado</v>
      </c>
      <c r="AM121" s="666" t="str">
        <f>IF(OR($A121="F&amp;F",$G121=""),"",IF(AM$8&gt;$G121,IF(OR(status1B5!AN121=1,status1B5!AN121=2,'BOULEVARD 5'!AP119&gt;0),"Pagado","impago"),""))</f>
        <v>Pagado</v>
      </c>
      <c r="AN121" s="666" t="str">
        <f>IF(OR($A121="F&amp;F",$G121=""),"",IF(AN$8&gt;$G121,IF(OR(status1B5!AO121=1,status1B5!AO121=2,'BOULEVARD 5'!AQ119&gt;0),"Pagado","impago"),""))</f>
        <v>Pagado</v>
      </c>
      <c r="AO121" s="666" t="str">
        <f>IF(OR($A121="F&amp;F",$G121=""),"",IF(AO$8&gt;$G121,IF(OR(status1B5!AP121=1,status1B5!AP121=2,'BOULEVARD 5'!AS119&gt;0),"Pagado","impago"),""))</f>
        <v>Pagado</v>
      </c>
      <c r="AP121" s="429" t="str">
        <f t="shared" si="6"/>
        <v>Vendido</v>
      </c>
    </row>
    <row r="122" spans="1:42" s="429" customFormat="1" ht="13.9" customHeight="1" x14ac:dyDescent="0.25">
      <c r="A122" s="472"/>
      <c r="B122" s="436">
        <f>'BOULEVARD 5'!B120</f>
        <v>706</v>
      </c>
      <c r="C122" s="436" t="s">
        <v>355</v>
      </c>
      <c r="D122" s="436"/>
      <c r="E122" s="436" t="str">
        <f>IF('BOULEVARD 5'!E120="","",'BOULEVARD 5'!E120)</f>
        <v>Antonio Rada</v>
      </c>
      <c r="F122" s="429" t="str">
        <f>IF('BOULEVARD 5'!F120="","",'BOULEVARD 5'!F120)</f>
        <v>Edison Gabriel Ramirez Lopez</v>
      </c>
      <c r="G122" s="473">
        <f>IF('BOULEVARD 5'!G120="","",'BOULEVARD 5'!G120)</f>
        <v>45728</v>
      </c>
      <c r="H122" s="666" t="str">
        <f>IF(OR($A122="F&amp;F",$G122=""),"",IF(H$8&gt;$G122,IF(OR(status1B5!I122=1,status1B5!I122=2,'BOULEVARD 5'!K120&gt;0),"Pagado","impago"),""))</f>
        <v/>
      </c>
      <c r="I122" s="666" t="str">
        <f>IF(OR($A122="F&amp;F",$G122=""),"",IF(I$8&gt;$G122,IF(OR(status1B5!J122=1,status1B5!J122=2,'BOULEVARD 5'!L120&gt;0),"Pagado","impago"),""))</f>
        <v/>
      </c>
      <c r="J122" s="666" t="str">
        <f>IF(OR($A122="F&amp;F",$G122=""),"",IF(J$8&gt;$G122,IF(OR(status1B5!K122=1,status1B5!K122=2,'BOULEVARD 5'!M120&gt;0),"Pagado","impago"),""))</f>
        <v/>
      </c>
      <c r="K122" s="666" t="str">
        <f>IF(OR($A122="F&amp;F",$G122=""),"",IF(K$8&gt;$G122,IF(OR(status1B5!L122=1,status1B5!L122=2,'BOULEVARD 5'!N120&gt;0),"Pagado","impago"),""))</f>
        <v/>
      </c>
      <c r="L122" s="666" t="str">
        <f>IF(OR($A122="F&amp;F",$G122=""),"",IF(L$8&gt;$G122,IF(OR(status1B5!M122=1,status1B5!M122=2,'BOULEVARD 5'!O120&gt;0),"Pagado","impago"),""))</f>
        <v/>
      </c>
      <c r="M122" s="666" t="str">
        <f>IF(OR($A122="F&amp;F",$G122=""),"",IF(M$8&gt;$G122,IF(OR(status1B5!N122=1,status1B5!N122=2,'BOULEVARD 5'!P120&gt;0),"Pagado","impago"),""))</f>
        <v/>
      </c>
      <c r="N122" s="666" t="str">
        <f>IF(OR($A122="F&amp;F",$G122=""),"",IF(N$8&gt;$G122,IF(OR(status1B5!O122=1,status1B5!O122=2,'BOULEVARD 5'!Q120&gt;0),"Pagado","impago"),""))</f>
        <v/>
      </c>
      <c r="O122" s="666" t="str">
        <f>IF(OR($A122="F&amp;F",$G122=""),"",IF(O$8&gt;$G122,IF(OR(status1B5!P122=1,status1B5!P122=2,'BOULEVARD 5'!R120&gt;0),"Pagado","impago"),""))</f>
        <v/>
      </c>
      <c r="P122" s="666" t="str">
        <f>IF(OR($A122="F&amp;F",$G122=""),"",IF(P$8&gt;$G122,IF(OR(status1B5!Q122=1,status1B5!Q122=2,'BOULEVARD 5'!S120&gt;0),"Pagado","impago"),""))</f>
        <v/>
      </c>
      <c r="Q122" s="666" t="str">
        <f>IF(OR($A122="F&amp;F",$G122=""),"",IF(Q$8&gt;$G122,IF(OR(status1B5!R122=1,status1B5!R122=2,'BOULEVARD 5'!T120&gt;0),"Pagado","impago"),""))</f>
        <v/>
      </c>
      <c r="R122" s="666" t="str">
        <f>IF(OR($A122="F&amp;F",$G122=""),"",IF(R$8&gt;$G122,IF(OR(status1B5!S122=1,status1B5!S122=2,'BOULEVARD 5'!U120&gt;0),"Pagado","impago"),""))</f>
        <v/>
      </c>
      <c r="S122" s="666" t="str">
        <f>IF(OR($A122="F&amp;F",$G122=""),"",IF(S$8&gt;$G122,IF(OR(status1B5!T122=1,status1B5!T122=2,'BOULEVARD 5'!V120&gt;0),"Pagado","impago"),""))</f>
        <v/>
      </c>
      <c r="T122" s="666" t="str">
        <f>IF(OR($A122="F&amp;F",$G122=""),"",IF(T$8&gt;$G122,IF(OR(status1B5!U122=1,status1B5!U122=2,'BOULEVARD 5'!W120&gt;0),"Pagado","impago"),""))</f>
        <v/>
      </c>
      <c r="U122" s="666" t="str">
        <f>IF(OR($A122="F&amp;F",$G122=""),"",IF(U$8&gt;$G122,IF(OR(status1B5!V122=1,status1B5!V122=2,'BOULEVARD 5'!X120&gt;0),"Pagado","impago"),""))</f>
        <v/>
      </c>
      <c r="V122" s="666" t="str">
        <f>IF(OR($A122="F&amp;F",$G122=""),"",IF(V$8&gt;$G122,IF(OR(status1B5!W122=1,status1B5!W122=2,'BOULEVARD 5'!Y120&gt;0),"Pagado","impago"),""))</f>
        <v/>
      </c>
      <c r="W122" s="666" t="str">
        <f>IF(OR($A122="F&amp;F",$G122=""),"",IF(W$8&gt;$G122,IF(OR(status1B5!X122=1,status1B5!X122=2,'BOULEVARD 5'!Z120&gt;0),"Pagado","impago"),""))</f>
        <v/>
      </c>
      <c r="X122" s="666" t="str">
        <f>IF(OR($A122="F&amp;F",$G122=""),"",IF(X$8&gt;$G122,IF(OR(status1B5!Y122=1,status1B5!Y122=2,'BOULEVARD 5'!AA120&gt;0),"Pagado","impago"),""))</f>
        <v/>
      </c>
      <c r="Y122" s="666" t="str">
        <f>IF(OR($A122="F&amp;F",$G122=""),"",IF(Y$8&gt;$G122,IF(OR(status1B5!Z122=1,status1B5!Z122=2,'BOULEVARD 5'!AB120&gt;0),"Pagado","impago"),""))</f>
        <v/>
      </c>
      <c r="Z122" s="666" t="str">
        <f>IF(OR($A122="F&amp;F",$G122=""),"",IF(Z$8&gt;$G122,IF(OR(status1B5!AA122=1,status1B5!AA122=2,'BOULEVARD 5'!AC120&gt;0),"Pagado","impago"),""))</f>
        <v/>
      </c>
      <c r="AA122" s="666" t="str">
        <f>IF(OR($A122="F&amp;F",$G122=""),"",IF(AA$8&gt;$G122,IF(OR(status1B5!AB122=1,status1B5!AB122=2,'BOULEVARD 5'!AD120&gt;0),"Pagado","impago"),""))</f>
        <v/>
      </c>
      <c r="AB122" s="666" t="str">
        <f>IF(OR($A122="F&amp;F",$G122=""),"",IF(AB$8&gt;$G122,IF(OR(status1B5!AC122=1,status1B5!AC122=2,'BOULEVARD 5'!AE120&gt;0),"Pagado","impago"),""))</f>
        <v/>
      </c>
      <c r="AC122" s="666" t="str">
        <f>IF(OR($A122="F&amp;F",$G122=""),"",IF(AC$8&gt;$G122,IF(OR(status1B5!AD122=1,status1B5!AD122=2,'BOULEVARD 5'!AF120&gt;0),"Pagado","impago"),""))</f>
        <v/>
      </c>
      <c r="AD122" s="666" t="str">
        <f>IF(OR($A122="F&amp;F",$G122=""),"",IF(AD$8&gt;$G122,IF(OR(status1B5!AE122=1,status1B5!AE122=2,'BOULEVARD 5'!AG120&gt;0),"Pagado","impago"),""))</f>
        <v/>
      </c>
      <c r="AE122" s="666" t="str">
        <f>IF(OR($A122="F&amp;F",$G122=""),"",IF(AE$8&gt;$G122,IF(OR(status1B5!AF122=1,status1B5!AF122=2,'BOULEVARD 5'!AH120&gt;0),"Pagado","impago"),""))</f>
        <v/>
      </c>
      <c r="AF122" s="666" t="str">
        <f>IF(OR($A122="F&amp;F",$G122=""),"",IF(AF$8&gt;$G122,IF(OR(status1B5!AG122=1,status1B5!AG122=2,'BOULEVARD 5'!AI120&gt;0),"Pagado","impago"),""))</f>
        <v>Pagado</v>
      </c>
      <c r="AG122" s="666" t="str">
        <f>IF(OR($A122="F&amp;F",$G122=""),"",IF(AG$8&gt;$G122,IF(OR(status1B5!AH122=1,status1B5!AH122=2,'BOULEVARD 5'!AJ120&gt;0),"Pagado","impago"),""))</f>
        <v>Pagado</v>
      </c>
      <c r="AH122" s="666" t="str">
        <f>IF(OR($A122="F&amp;F",$G122=""),"",IF(AH$8&gt;$G122,IF(OR(status1B5!AI122=1,status1B5!AI122=2,'BOULEVARD 5'!AK120&gt;0),"Pagado","impago"),""))</f>
        <v>Pagado</v>
      </c>
      <c r="AI122" s="666" t="str">
        <f>IF(OR($A122="F&amp;F",$G122=""),"",IF(AI$8&gt;$G122,IF(OR(status1B5!AJ122=1,status1B5!AJ122=2,'BOULEVARD 5'!AL120&gt;0),"Pagado","impago"),""))</f>
        <v>Pagado</v>
      </c>
      <c r="AJ122" s="666" t="str">
        <f>IF(OR($A122="F&amp;F",$G122=""),"",IF(AJ$8&gt;$G122,IF(OR(status1B5!AK122=1,status1B5!AK122=2,'BOULEVARD 5'!AM120&gt;0),"Pagado","impago"),""))</f>
        <v>Pagado</v>
      </c>
      <c r="AK122" s="666" t="str">
        <f>IF(OR($A122="F&amp;F",$G122=""),"",IF(AK$8&gt;$G122,IF(OR(status1B5!AL122=1,status1B5!AL122=2,'BOULEVARD 5'!AN120&gt;0),"Pagado","impago"),""))</f>
        <v>Pagado</v>
      </c>
      <c r="AL122" s="666" t="str">
        <f>IF(OR($A122="F&amp;F",$G122=""),"",IF(AL$8&gt;$G122,IF(OR(status1B5!AM122=1,status1B5!AM122=2,'BOULEVARD 5'!AO120&gt;0),"Pagado","impago"),""))</f>
        <v>Pagado</v>
      </c>
      <c r="AM122" s="666" t="str">
        <f>IF(OR($A122="F&amp;F",$G122=""),"",IF(AM$8&gt;$G122,IF(OR(status1B5!AN122=1,status1B5!AN122=2,'BOULEVARD 5'!AP120&gt;0),"Pagado","impago"),""))</f>
        <v>Pagado</v>
      </c>
      <c r="AN122" s="666" t="str">
        <f>IF(OR($A122="F&amp;F",$G122=""),"",IF(AN$8&gt;$G122,IF(OR(status1B5!AO122=1,status1B5!AO122=2,'BOULEVARD 5'!AQ120&gt;0),"Pagado","impago"),""))</f>
        <v>Pagado</v>
      </c>
      <c r="AO122" s="666" t="str">
        <f>IF(OR($A122="F&amp;F",$G122=""),"",IF(AO$8&gt;$G122,IF(OR(status1B5!AP122=1,status1B5!AP122=2,'BOULEVARD 5'!AS120&gt;0),"Pagado","impago"),""))</f>
        <v>Pagado</v>
      </c>
      <c r="AP122" s="429" t="str">
        <f t="shared" si="6"/>
        <v>Vendido</v>
      </c>
    </row>
    <row r="123" spans="1:42" s="429" customFormat="1" ht="13.9" customHeight="1" x14ac:dyDescent="0.25">
      <c r="A123" s="472"/>
      <c r="B123" s="436">
        <f>'BOULEVARD 5'!B121</f>
        <v>707</v>
      </c>
      <c r="C123" s="436" t="s">
        <v>355</v>
      </c>
      <c r="D123" s="436"/>
      <c r="E123" s="436" t="str">
        <f>IF('BOULEVARD 5'!E121="","",'BOULEVARD 5'!E121)</f>
        <v>Sofia Paredes</v>
      </c>
      <c r="F123" s="429" t="str">
        <f>IF('BOULEVARD 5'!F121="","",'BOULEVARD 5'!F121)</f>
        <v xml:space="preserve">Cristhian Paul Escobar Maldonado </v>
      </c>
      <c r="G123" s="473">
        <f>IF('BOULEVARD 5'!G121="","",'BOULEVARD 5'!G121)</f>
        <v>45751</v>
      </c>
      <c r="H123" s="666" t="str">
        <f>IF(OR($A123="F&amp;F",$G123=""),"",IF(H$8&gt;$G123,IF(OR(status1B5!I123=1,status1B5!I123=2,'BOULEVARD 5'!K121&gt;0),"Pagado","impago"),""))</f>
        <v/>
      </c>
      <c r="I123" s="666" t="str">
        <f>IF(OR($A123="F&amp;F",$G123=""),"",IF(I$8&gt;$G123,IF(OR(status1B5!J123=1,status1B5!J123=2,'BOULEVARD 5'!L121&gt;0),"Pagado","impago"),""))</f>
        <v/>
      </c>
      <c r="J123" s="666" t="str">
        <f>IF(OR($A123="F&amp;F",$G123=""),"",IF(J$8&gt;$G123,IF(OR(status1B5!K123=1,status1B5!K123=2,'BOULEVARD 5'!M121&gt;0),"Pagado","impago"),""))</f>
        <v/>
      </c>
      <c r="K123" s="666" t="str">
        <f>IF(OR($A123="F&amp;F",$G123=""),"",IF(K$8&gt;$G123,IF(OR(status1B5!L123=1,status1B5!L123=2,'BOULEVARD 5'!N121&gt;0),"Pagado","impago"),""))</f>
        <v/>
      </c>
      <c r="L123" s="666" t="str">
        <f>IF(OR($A123="F&amp;F",$G123=""),"",IF(L$8&gt;$G123,IF(OR(status1B5!M123=1,status1B5!M123=2,'BOULEVARD 5'!O121&gt;0),"Pagado","impago"),""))</f>
        <v/>
      </c>
      <c r="M123" s="666" t="str">
        <f>IF(OR($A123="F&amp;F",$G123=""),"",IF(M$8&gt;$G123,IF(OR(status1B5!N123=1,status1B5!N123=2,'BOULEVARD 5'!P121&gt;0),"Pagado","impago"),""))</f>
        <v/>
      </c>
      <c r="N123" s="666" t="str">
        <f>IF(OR($A123="F&amp;F",$G123=""),"",IF(N$8&gt;$G123,IF(OR(status1B5!O123=1,status1B5!O123=2,'BOULEVARD 5'!Q121&gt;0),"Pagado","impago"),""))</f>
        <v/>
      </c>
      <c r="O123" s="666" t="str">
        <f>IF(OR($A123="F&amp;F",$G123=""),"",IF(O$8&gt;$G123,IF(OR(status1B5!P123=1,status1B5!P123=2,'BOULEVARD 5'!R121&gt;0),"Pagado","impago"),""))</f>
        <v/>
      </c>
      <c r="P123" s="666" t="str">
        <f>IF(OR($A123="F&amp;F",$G123=""),"",IF(P$8&gt;$G123,IF(OR(status1B5!Q123=1,status1B5!Q123=2,'BOULEVARD 5'!S121&gt;0),"Pagado","impago"),""))</f>
        <v/>
      </c>
      <c r="Q123" s="666" t="str">
        <f>IF(OR($A123="F&amp;F",$G123=""),"",IF(Q$8&gt;$G123,IF(OR(status1B5!R123=1,status1B5!R123=2,'BOULEVARD 5'!T121&gt;0),"Pagado","impago"),""))</f>
        <v/>
      </c>
      <c r="R123" s="666" t="str">
        <f>IF(OR($A123="F&amp;F",$G123=""),"",IF(R$8&gt;$G123,IF(OR(status1B5!S123=1,status1B5!S123=2,'BOULEVARD 5'!U121&gt;0),"Pagado","impago"),""))</f>
        <v/>
      </c>
      <c r="S123" s="666" t="str">
        <f>IF(OR($A123="F&amp;F",$G123=""),"",IF(S$8&gt;$G123,IF(OR(status1B5!T123=1,status1B5!T123=2,'BOULEVARD 5'!V121&gt;0),"Pagado","impago"),""))</f>
        <v/>
      </c>
      <c r="T123" s="666" t="str">
        <f>IF(OR($A123="F&amp;F",$G123=""),"",IF(T$8&gt;$G123,IF(OR(status1B5!U123=1,status1B5!U123=2,'BOULEVARD 5'!W121&gt;0),"Pagado","impago"),""))</f>
        <v/>
      </c>
      <c r="U123" s="666" t="str">
        <f>IF(OR($A123="F&amp;F",$G123=""),"",IF(U$8&gt;$G123,IF(OR(status1B5!V123=1,status1B5!V123=2,'BOULEVARD 5'!X121&gt;0),"Pagado","impago"),""))</f>
        <v/>
      </c>
      <c r="V123" s="666" t="str">
        <f>IF(OR($A123="F&amp;F",$G123=""),"",IF(V$8&gt;$G123,IF(OR(status1B5!W123=1,status1B5!W123=2,'BOULEVARD 5'!Y121&gt;0),"Pagado","impago"),""))</f>
        <v/>
      </c>
      <c r="W123" s="666" t="str">
        <f>IF(OR($A123="F&amp;F",$G123=""),"",IF(W$8&gt;$G123,IF(OR(status1B5!X123=1,status1B5!X123=2,'BOULEVARD 5'!Z121&gt;0),"Pagado","impago"),""))</f>
        <v/>
      </c>
      <c r="X123" s="666" t="str">
        <f>IF(OR($A123="F&amp;F",$G123=""),"",IF(X$8&gt;$G123,IF(OR(status1B5!Y123=1,status1B5!Y123=2,'BOULEVARD 5'!AA121&gt;0),"Pagado","impago"),""))</f>
        <v/>
      </c>
      <c r="Y123" s="666" t="str">
        <f>IF(OR($A123="F&amp;F",$G123=""),"",IF(Y$8&gt;$G123,IF(OR(status1B5!Z123=1,status1B5!Z123=2,'BOULEVARD 5'!AB121&gt;0),"Pagado","impago"),""))</f>
        <v/>
      </c>
      <c r="Z123" s="666" t="str">
        <f>IF(OR($A123="F&amp;F",$G123=""),"",IF(Z$8&gt;$G123,IF(OR(status1B5!AA123=1,status1B5!AA123=2,'BOULEVARD 5'!AC121&gt;0),"Pagado","impago"),""))</f>
        <v/>
      </c>
      <c r="AA123" s="666" t="str">
        <f>IF(OR($A123="F&amp;F",$G123=""),"",IF(AA$8&gt;$G123,IF(OR(status1B5!AB123=1,status1B5!AB123=2,'BOULEVARD 5'!AD121&gt;0),"Pagado","impago"),""))</f>
        <v/>
      </c>
      <c r="AB123" s="666" t="str">
        <f>IF(OR($A123="F&amp;F",$G123=""),"",IF(AB$8&gt;$G123,IF(OR(status1B5!AC123=1,status1B5!AC123=2,'BOULEVARD 5'!AE121&gt;0),"Pagado","impago"),""))</f>
        <v/>
      </c>
      <c r="AC123" s="666" t="str">
        <f>IF(OR($A123="F&amp;F",$G123=""),"",IF(AC$8&gt;$G123,IF(OR(status1B5!AD123=1,status1B5!AD123=2,'BOULEVARD 5'!AF121&gt;0),"Pagado","impago"),""))</f>
        <v/>
      </c>
      <c r="AD123" s="666" t="str">
        <f>IF(OR($A123="F&amp;F",$G123=""),"",IF(AD$8&gt;$G123,IF(OR(status1B5!AE123=1,status1B5!AE123=2,'BOULEVARD 5'!AG121&gt;0),"Pagado","impago"),""))</f>
        <v/>
      </c>
      <c r="AE123" s="666" t="str">
        <f>IF(OR($A123="F&amp;F",$G123=""),"",IF(AE$8&gt;$G123,IF(OR(status1B5!AF123=1,status1B5!AF123=2,'BOULEVARD 5'!AH121&gt;0),"Pagado","impago"),""))</f>
        <v/>
      </c>
      <c r="AF123" s="666" t="str">
        <f>IF(OR($A123="F&amp;F",$G123=""),"",IF(AF$8&gt;$G123,IF(OR(status1B5!AG123=1,status1B5!AG123=2,'BOULEVARD 5'!AI121&gt;0),"Pagado","impago"),""))</f>
        <v/>
      </c>
      <c r="AG123" s="666" t="str">
        <f>IF(OR($A123="F&amp;F",$G123=""),"",IF(AG$8&gt;$G123,IF(OR(status1B5!AH123=1,status1B5!AH123=2,'BOULEVARD 5'!AJ121&gt;0),"Pagado","impago"),""))</f>
        <v>Pagado</v>
      </c>
      <c r="AH123" s="666" t="str">
        <f>IF(OR($A123="F&amp;F",$G123=""),"",IF(AH$8&gt;$G123,IF(OR(status1B5!AI123=1,status1B5!AI123=2,'BOULEVARD 5'!AK121&gt;0),"Pagado","impago"),""))</f>
        <v>Pagado</v>
      </c>
      <c r="AI123" s="666" t="str">
        <f>IF(OR($A123="F&amp;F",$G123=""),"",IF(AI$8&gt;$G123,IF(OR(status1B5!AJ123=1,status1B5!AJ123=2,'BOULEVARD 5'!AL121&gt;0),"Pagado","impago"),""))</f>
        <v>Pagado</v>
      </c>
      <c r="AJ123" s="666" t="str">
        <f>IF(OR($A123="F&amp;F",$G123=""),"",IF(AJ$8&gt;$G123,IF(OR(status1B5!AK123=1,status1B5!AK123=2,'BOULEVARD 5'!AM121&gt;0),"Pagado","impago"),""))</f>
        <v>Pagado</v>
      </c>
      <c r="AK123" s="666" t="str">
        <f>IF(OR($A123="F&amp;F",$G123=""),"",IF(AK$8&gt;$G123,IF(OR(status1B5!AL123=1,status1B5!AL123=2,'BOULEVARD 5'!AN121&gt;0),"Pagado","impago"),""))</f>
        <v>Pagado</v>
      </c>
      <c r="AL123" s="666" t="str">
        <f>IF(OR($A123="F&amp;F",$G123=""),"",IF(AL$8&gt;$G123,IF(OR(status1B5!AM123=1,status1B5!AM123=2,'BOULEVARD 5'!AO121&gt;0),"Pagado","impago"),""))</f>
        <v>Pagado</v>
      </c>
      <c r="AM123" s="666" t="str">
        <f>IF(OR($A123="F&amp;F",$G123=""),"",IF(AM$8&gt;$G123,IF(OR(status1B5!AN123=1,status1B5!AN123=2,'BOULEVARD 5'!AP121&gt;0),"Pagado","impago"),""))</f>
        <v>Pagado</v>
      </c>
      <c r="AN123" s="666" t="str">
        <f>IF(OR($A123="F&amp;F",$G123=""),"",IF(AN$8&gt;$G123,IF(OR(status1B5!AO123=1,status1B5!AO123=2,'BOULEVARD 5'!AQ121&gt;0),"Pagado","impago"),""))</f>
        <v>Pagado</v>
      </c>
      <c r="AO123" s="666" t="str">
        <f>IF(OR($A123="F&amp;F",$G123=""),"",IF(AO$8&gt;$G123,IF(OR(status1B5!AP123=1,status1B5!AP123=2,'BOULEVARD 5'!AS121&gt;0),"Pagado","impago"),""))</f>
        <v>Pagado</v>
      </c>
      <c r="AP123" s="429" t="str">
        <f t="shared" si="6"/>
        <v>Vendido</v>
      </c>
    </row>
    <row r="124" spans="1:42" s="429" customFormat="1" ht="13.9" customHeight="1" x14ac:dyDescent="0.25">
      <c r="A124" s="472"/>
      <c r="B124" s="436">
        <f>'BOULEVARD 5'!B122</f>
        <v>708</v>
      </c>
      <c r="C124" s="436" t="s">
        <v>355</v>
      </c>
      <c r="D124" s="642"/>
      <c r="E124" s="436" t="str">
        <f>IF('BOULEVARD 5'!E122="","",'BOULEVARD 5'!E122)</f>
        <v>Antonio Rada</v>
      </c>
      <c r="F124" s="429" t="str">
        <f>IF('BOULEVARD 5'!F122="","",'BOULEVARD 5'!F122)</f>
        <v>Alfonso Videche Rodriguez</v>
      </c>
      <c r="G124" s="473">
        <f>IF('BOULEVARD 5'!G122="","",'BOULEVARD 5'!G122)</f>
        <v>45321</v>
      </c>
      <c r="H124" s="666" t="str">
        <f>IF(OR($A124="F&amp;F",$G124=""),"",IF(H$8&gt;$G124,IF(OR(status1B5!I124=1,status1B5!I124=2,'BOULEVARD 5'!K122&gt;0),"Pagado","impago"),""))</f>
        <v/>
      </c>
      <c r="I124" s="666" t="str">
        <f>IF(OR($A124="F&amp;F",$G124=""),"",IF(I$8&gt;$G124,IF(OR(status1B5!J124=1,status1B5!J124=2,'BOULEVARD 5'!L122&gt;0),"Pagado","impago"),""))</f>
        <v/>
      </c>
      <c r="J124" s="666" t="str">
        <f>IF(OR($A124="F&amp;F",$G124=""),"",IF(J$8&gt;$G124,IF(OR(status1B5!K124=1,status1B5!K124=2,'BOULEVARD 5'!M122&gt;0),"Pagado","impago"),""))</f>
        <v/>
      </c>
      <c r="K124" s="666" t="str">
        <f>IF(OR($A124="F&amp;F",$G124=""),"",IF(K$8&gt;$G124,IF(OR(status1B5!L124=1,status1B5!L124=2,'BOULEVARD 5'!N122&gt;0),"Pagado","impago"),""))</f>
        <v/>
      </c>
      <c r="L124" s="666" t="str">
        <f>IF(OR($A124="F&amp;F",$G124=""),"",IF(L$8&gt;$G124,IF(OR(status1B5!M124=1,status1B5!M124=2,'BOULEVARD 5'!O122&gt;0),"Pagado","impago"),""))</f>
        <v/>
      </c>
      <c r="M124" s="666" t="str">
        <f>IF(OR($A124="F&amp;F",$G124=""),"",IF(M$8&gt;$G124,IF(OR(status1B5!N124=1,status1B5!N124=2,'BOULEVARD 5'!P122&gt;0),"Pagado","impago"),""))</f>
        <v/>
      </c>
      <c r="N124" s="666" t="str">
        <f>IF(OR($A124="F&amp;F",$G124=""),"",IF(N$8&gt;$G124,IF(OR(status1B5!O124=1,status1B5!O124=2,'BOULEVARD 5'!Q122&gt;0),"Pagado","impago"),""))</f>
        <v/>
      </c>
      <c r="O124" s="666" t="str">
        <f>IF(OR($A124="F&amp;F",$G124=""),"",IF(O$8&gt;$G124,IF(OR(status1B5!P124=1,status1B5!P124=2,'BOULEVARD 5'!R122&gt;0),"Pagado","impago"),""))</f>
        <v/>
      </c>
      <c r="P124" s="666" t="str">
        <f>IF(OR($A124="F&amp;F",$G124=""),"",IF(P$8&gt;$G124,IF(OR(status1B5!Q124=1,status1B5!Q124=2,'BOULEVARD 5'!S122&gt;0),"Pagado","impago"),""))</f>
        <v/>
      </c>
      <c r="Q124" s="666" t="str">
        <f>IF(OR($A124="F&amp;F",$G124=""),"",IF(Q$8&gt;$G124,IF(OR(status1B5!R124=1,status1B5!R124=2,'BOULEVARD 5'!T122&gt;0),"Pagado","impago"),""))</f>
        <v/>
      </c>
      <c r="R124" s="666" t="str">
        <f>IF(OR($A124="F&amp;F",$G124=""),"",IF(R$8&gt;$G124,IF(OR(status1B5!S124=1,status1B5!S124=2,'BOULEVARD 5'!U122&gt;0),"Pagado","impago"),""))</f>
        <v>Pagado</v>
      </c>
      <c r="S124" s="666" t="str">
        <f>IF(OR($A124="F&amp;F",$G124=""),"",IF(S$8&gt;$G124,IF(OR(status1B5!T124=1,status1B5!T124=2,'BOULEVARD 5'!V122&gt;0),"Pagado","impago"),""))</f>
        <v>Pagado</v>
      </c>
      <c r="T124" s="666" t="str">
        <f>IF(OR($A124="F&amp;F",$G124=""),"",IF(T$8&gt;$G124,IF(OR(status1B5!U124=1,status1B5!U124=2,'BOULEVARD 5'!W122&gt;0),"Pagado","impago"),""))</f>
        <v>Pagado</v>
      </c>
      <c r="U124" s="666" t="str">
        <f>IF(OR($A124="F&amp;F",$G124=""),"",IF(U$8&gt;$G124,IF(OR(status1B5!V124=1,status1B5!V124=2,'BOULEVARD 5'!X122&gt;0),"Pagado","impago"),""))</f>
        <v>Pagado</v>
      </c>
      <c r="V124" s="666" t="str">
        <f>IF(OR($A124="F&amp;F",$G124=""),"",IF(V$8&gt;$G124,IF(OR(status1B5!W124=1,status1B5!W124=2,'BOULEVARD 5'!Y122&gt;0),"Pagado","impago"),""))</f>
        <v>Pagado</v>
      </c>
      <c r="W124" s="666" t="str">
        <f>IF(OR($A124="F&amp;F",$G124=""),"",IF(W$8&gt;$G124,IF(OR(status1B5!X124=1,status1B5!X124=2,'BOULEVARD 5'!Z122&gt;0),"Pagado","impago"),""))</f>
        <v>Pagado</v>
      </c>
      <c r="X124" s="666" t="str">
        <f>IF(OR($A124="F&amp;F",$G124=""),"",IF(X$8&gt;$G124,IF(OR(status1B5!Y124=1,status1B5!Y124=2,'BOULEVARD 5'!AA122&gt;0),"Pagado","impago"),""))</f>
        <v>Pagado</v>
      </c>
      <c r="Y124" s="666" t="str">
        <f>IF(OR($A124="F&amp;F",$G124=""),"",IF(Y$8&gt;$G124,IF(OR(status1B5!Z124=1,status1B5!Z124=2,'BOULEVARD 5'!AB122&gt;0),"Pagado","impago"),""))</f>
        <v>Pagado</v>
      </c>
      <c r="Z124" s="666" t="str">
        <f>IF(OR($A124="F&amp;F",$G124=""),"",IF(Z$8&gt;$G124,IF(OR(status1B5!AA124=1,status1B5!AA124=2,'BOULEVARD 5'!AC122&gt;0),"Pagado","impago"),""))</f>
        <v>Pagado</v>
      </c>
      <c r="AA124" s="666" t="str">
        <f>IF(OR($A124="F&amp;F",$G124=""),"",IF(AA$8&gt;$G124,IF(OR(status1B5!AB124=1,status1B5!AB124=2,'BOULEVARD 5'!AD122&gt;0),"Pagado","impago"),""))</f>
        <v>Pagado</v>
      </c>
      <c r="AB124" s="666" t="str">
        <f>IF(OR($A124="F&amp;F",$G124=""),"",IF(AB$8&gt;$G124,IF(OR(status1B5!AC124=1,status1B5!AC124=2,'BOULEVARD 5'!AE122&gt;0),"Pagado","impago"),""))</f>
        <v>Pagado</v>
      </c>
      <c r="AC124" s="666" t="str">
        <f>IF(OR($A124="F&amp;F",$G124=""),"",IF(AC$8&gt;$G124,IF(OR(status1B5!AD124=1,status1B5!AD124=2,'BOULEVARD 5'!AF122&gt;0),"Pagado","impago"),""))</f>
        <v>Pagado</v>
      </c>
      <c r="AD124" s="666" t="str">
        <f>IF(OR($A124="F&amp;F",$G124=""),"",IF(AD$8&gt;$G124,IF(OR(status1B5!AE124=1,status1B5!AE124=2,'BOULEVARD 5'!AG122&gt;0),"Pagado","impago"),""))</f>
        <v>Pagado</v>
      </c>
      <c r="AE124" s="666" t="str">
        <f>IF(OR($A124="F&amp;F",$G124=""),"",IF(AE$8&gt;$G124,IF(OR(status1B5!AF124=1,status1B5!AF124=2,'BOULEVARD 5'!AH122&gt;0),"Pagado","impago"),""))</f>
        <v>Pagado</v>
      </c>
      <c r="AF124" s="666" t="str">
        <f>IF(OR($A124="F&amp;F",$G124=""),"",IF(AF$8&gt;$G124,IF(OR(status1B5!AG124=1,status1B5!AG124=2,'BOULEVARD 5'!AI122&gt;0),"Pagado","impago"),""))</f>
        <v>Pagado</v>
      </c>
      <c r="AG124" s="666" t="str">
        <f>IF(OR($A124="F&amp;F",$G124=""),"",IF(AG$8&gt;$G124,IF(OR(status1B5!AH124=1,status1B5!AH124=2,'BOULEVARD 5'!AJ122&gt;0),"Pagado","impago"),""))</f>
        <v>Pagado</v>
      </c>
      <c r="AH124" s="666" t="str">
        <f>IF(OR($A124="F&amp;F",$G124=""),"",IF(AH$8&gt;$G124,IF(OR(status1B5!AI124=1,status1B5!AI124=2,'BOULEVARD 5'!AK122&gt;0),"Pagado","impago"),""))</f>
        <v>Pagado</v>
      </c>
      <c r="AI124" s="666" t="str">
        <f>IF(OR($A124="F&amp;F",$G124=""),"",IF(AI$8&gt;$G124,IF(OR(status1B5!AJ124=1,status1B5!AJ124=2,'BOULEVARD 5'!AL122&gt;0),"Pagado","impago"),""))</f>
        <v>Pagado</v>
      </c>
      <c r="AJ124" s="666" t="str">
        <f>IF(OR($A124="F&amp;F",$G124=""),"",IF(AJ$8&gt;$G124,IF(OR(status1B5!AK124=1,status1B5!AK124=2,'BOULEVARD 5'!AM122&gt;0),"Pagado","impago"),""))</f>
        <v>Pagado</v>
      </c>
      <c r="AK124" s="666" t="str">
        <f>IF(OR($A124="F&amp;F",$G124=""),"",IF(AK$8&gt;$G124,IF(OR(status1B5!AL124=1,status1B5!AL124=2,'BOULEVARD 5'!AN122&gt;0),"Pagado","impago"),""))</f>
        <v>Pagado</v>
      </c>
      <c r="AL124" s="666" t="str">
        <f>IF(OR($A124="F&amp;F",$G124=""),"",IF(AL$8&gt;$G124,IF(OR(status1B5!AM124=1,status1B5!AM124=2,'BOULEVARD 5'!AO122&gt;0),"Pagado","impago"),""))</f>
        <v>Pagado</v>
      </c>
      <c r="AM124" s="666" t="str">
        <f>IF(OR($A124="F&amp;F",$G124=""),"",IF(AM$8&gt;$G124,IF(OR(status1B5!AN124=1,status1B5!AN124=2,'BOULEVARD 5'!AP122&gt;0),"Pagado","impago"),""))</f>
        <v>Pagado</v>
      </c>
      <c r="AN124" s="666" t="str">
        <f>IF(OR($A124="F&amp;F",$G124=""),"",IF(AN$8&gt;$G124,IF(OR(status1B5!AO124=1,status1B5!AO124=2,'BOULEVARD 5'!AQ122&gt;0),"Pagado","impago"),""))</f>
        <v>Pagado</v>
      </c>
      <c r="AO124" s="666" t="str">
        <f>IF(OR($A124="F&amp;F",$G124=""),"",IF(AO$8&gt;$G124,IF(OR(status1B5!AP124=1,status1B5!AP124=2,'BOULEVARD 5'!AS122&gt;0),"Pagado","impago"),""))</f>
        <v>Pagado</v>
      </c>
      <c r="AP124" s="429" t="str">
        <f t="shared" si="6"/>
        <v>Vendido</v>
      </c>
    </row>
    <row r="125" spans="1:42" s="429" customFormat="1" ht="13.9" customHeight="1" x14ac:dyDescent="0.25">
      <c r="A125" s="472"/>
      <c r="B125" s="436">
        <f>'BOULEVARD 5'!B123</f>
        <v>709</v>
      </c>
      <c r="C125" s="436" t="s">
        <v>355</v>
      </c>
      <c r="D125" s="436"/>
      <c r="E125" s="436" t="str">
        <f>IF('BOULEVARD 5'!E123="","",'BOULEVARD 5'!E123)</f>
        <v>Anahí Cisneros</v>
      </c>
      <c r="F125" s="429" t="str">
        <f>IF('BOULEVARD 5'!F123="","",'BOULEVARD 5'!F123)</f>
        <v>Manuel Lizandro Ramírez Barrios</v>
      </c>
      <c r="G125" s="473">
        <f>IF('BOULEVARD 5'!G123="","",'BOULEVARD 5'!G123)</f>
        <v>45202</v>
      </c>
      <c r="H125" s="666" t="str">
        <f>IF(OR($A125="F&amp;F",$G125=""),"",IF(H$8&gt;$G125,IF(OR(status1B5!I125=1,status1B5!I125=2,'BOULEVARD 5'!K123&gt;0),"Pagado","impago"),""))</f>
        <v/>
      </c>
      <c r="I125" s="666" t="str">
        <f>IF(OR($A125="F&amp;F",$G125=""),"",IF(I$8&gt;$G125,IF(OR(status1B5!J125=1,status1B5!J125=2,'BOULEVARD 5'!L123&gt;0),"Pagado","impago"),""))</f>
        <v/>
      </c>
      <c r="J125" s="666" t="str">
        <f>IF(OR($A125="F&amp;F",$G125=""),"",IF(J$8&gt;$G125,IF(OR(status1B5!K125=1,status1B5!K125=2,'BOULEVARD 5'!M123&gt;0),"Pagado","impago"),""))</f>
        <v/>
      </c>
      <c r="K125" s="666" t="str">
        <f>IF(OR($A125="F&amp;F",$G125=""),"",IF(K$8&gt;$G125,IF(OR(status1B5!L125=1,status1B5!L125=2,'BOULEVARD 5'!N123&gt;0),"Pagado","impago"),""))</f>
        <v/>
      </c>
      <c r="L125" s="666" t="str">
        <f>IF(OR($A125="F&amp;F",$G125=""),"",IF(L$8&gt;$G125,IF(OR(status1B5!M125=1,status1B5!M125=2,'BOULEVARD 5'!O123&gt;0),"Pagado","impago"),""))</f>
        <v/>
      </c>
      <c r="M125" s="666" t="str">
        <f>IF(OR($A125="F&amp;F",$G125=""),"",IF(M$8&gt;$G125,IF(OR(status1B5!N125=1,status1B5!N125=2,'BOULEVARD 5'!P123&gt;0),"Pagado","impago"),""))</f>
        <v/>
      </c>
      <c r="N125" s="666" t="str">
        <f>IF(OR($A125="F&amp;F",$G125=""),"",IF(N$8&gt;$G125,IF(OR(status1B5!O125=1,status1B5!O125=2,'BOULEVARD 5'!Q123&gt;0),"Pagado","impago"),""))</f>
        <v/>
      </c>
      <c r="O125" s="666" t="str">
        <f>IF(OR($A125="F&amp;F",$G125=""),"",IF(O$8&gt;$G125,IF(OR(status1B5!P125=1,status1B5!P125=2,'BOULEVARD 5'!R123&gt;0),"Pagado","impago"),""))</f>
        <v>impago</v>
      </c>
      <c r="P125" s="666" t="str">
        <f>IF(OR($A125="F&amp;F",$G125=""),"",IF(P$8&gt;$G125,IF(OR(status1B5!Q125=1,status1B5!Q125=2,'BOULEVARD 5'!S123&gt;0),"Pagado","impago"),""))</f>
        <v>impago</v>
      </c>
      <c r="Q125" s="666" t="str">
        <f>IF(OR($A125="F&amp;F",$G125=""),"",IF(Q$8&gt;$G125,IF(OR(status1B5!R125=1,status1B5!R125=2,'BOULEVARD 5'!T123&gt;0),"Pagado","impago"),""))</f>
        <v>impago</v>
      </c>
      <c r="R125" s="666" t="str">
        <f>IF(OR($A125="F&amp;F",$G125=""),"",IF(R$8&gt;$G125,IF(OR(status1B5!S125=1,status1B5!S125=2,'BOULEVARD 5'!U123&gt;0),"Pagado","impago"),""))</f>
        <v>impago</v>
      </c>
      <c r="S125" s="666" t="str">
        <f>IF(OR($A125="F&amp;F",$G125=""),"",IF(S$8&gt;$G125,IF(OR(status1B5!T125=1,status1B5!T125=2,'BOULEVARD 5'!V123&gt;0),"Pagado","impago"),""))</f>
        <v>impago</v>
      </c>
      <c r="T125" s="666" t="str">
        <f>IF(OR($A125="F&amp;F",$G125=""),"",IF(T$8&gt;$G125,IF(OR(status1B5!U125=1,status1B5!U125=2,'BOULEVARD 5'!W123&gt;0),"Pagado","impago"),""))</f>
        <v>impago</v>
      </c>
      <c r="U125" s="666" t="str">
        <f>IF(OR($A125="F&amp;F",$G125=""),"",IF(U$8&gt;$G125,IF(OR(status1B5!V125=1,status1B5!V125=2,'BOULEVARD 5'!X123&gt;0),"Pagado","impago"),""))</f>
        <v>impago</v>
      </c>
      <c r="V125" s="666" t="str">
        <f>IF(OR($A125="F&amp;F",$G125=""),"",IF(V$8&gt;$G125,IF(OR(status1B5!W125=1,status1B5!W125=2,'BOULEVARD 5'!Y123&gt;0),"Pagado","impago"),""))</f>
        <v>impago</v>
      </c>
      <c r="W125" s="666" t="str">
        <f>IF(OR($A125="F&amp;F",$G125=""),"",IF(W$8&gt;$G125,IF(OR(status1B5!X125=1,status1B5!X125=2,'BOULEVARD 5'!Z123&gt;0),"Pagado","impago"),""))</f>
        <v>impago</v>
      </c>
      <c r="X125" s="666" t="str">
        <f>IF(OR($A125="F&amp;F",$G125=""),"",IF(X$8&gt;$G125,IF(OR(status1B5!Y125=1,status1B5!Y125=2,'BOULEVARD 5'!AA123&gt;0),"Pagado","impago"),""))</f>
        <v>impago</v>
      </c>
      <c r="Y125" s="666" t="str">
        <f>IF(OR($A125="F&amp;F",$G125=""),"",IF(Y$8&gt;$G125,IF(OR(status1B5!Z125=1,status1B5!Z125=2,'BOULEVARD 5'!AB123&gt;0),"Pagado","impago"),""))</f>
        <v>impago</v>
      </c>
      <c r="Z125" s="666" t="str">
        <f>IF(OR($A125="F&amp;F",$G125=""),"",IF(Z$8&gt;$G125,IF(OR(status1B5!AA125=1,status1B5!AA125=2,'BOULEVARD 5'!AC123&gt;0),"Pagado","impago"),""))</f>
        <v>impago</v>
      </c>
      <c r="AA125" s="666" t="str">
        <f>IF(OR($A125="F&amp;F",$G125=""),"",IF(AA$8&gt;$G125,IF(OR(status1B5!AB125=1,status1B5!AB125=2,'BOULEVARD 5'!AD123&gt;0),"Pagado","impago"),""))</f>
        <v>impago</v>
      </c>
      <c r="AB125" s="666" t="str">
        <f>IF(OR($A125="F&amp;F",$G125=""),"",IF(AB$8&gt;$G125,IF(OR(status1B5!AC125=1,status1B5!AC125=2,'BOULEVARD 5'!AE123&gt;0),"Pagado","impago"),""))</f>
        <v>impago</v>
      </c>
      <c r="AC125" s="666" t="str">
        <f>IF(OR($A125="F&amp;F",$G125=""),"",IF(AC$8&gt;$G125,IF(OR(status1B5!AD125=1,status1B5!AD125=2,'BOULEVARD 5'!AF123&gt;0),"Pagado","impago"),""))</f>
        <v>impago</v>
      </c>
      <c r="AD125" s="666" t="str">
        <f>IF(OR($A125="F&amp;F",$G125=""),"",IF(AD$8&gt;$G125,IF(OR(status1B5!AE125=1,status1B5!AE125=2,'BOULEVARD 5'!AG123&gt;0),"Pagado","impago"),""))</f>
        <v>impago</v>
      </c>
      <c r="AE125" s="666" t="str">
        <f>IF(OR($A125="F&amp;F",$G125=""),"",IF(AE$8&gt;$G125,IF(OR(status1B5!AF125=1,status1B5!AF125=2,'BOULEVARD 5'!AH123&gt;0),"Pagado","impago"),""))</f>
        <v>impago</v>
      </c>
      <c r="AF125" s="666" t="str">
        <f>IF(OR($A125="F&amp;F",$G125=""),"",IF(AF$8&gt;$G125,IF(OR(status1B5!AG125=1,status1B5!AG125=2,'BOULEVARD 5'!AI123&gt;0),"Pagado","impago"),""))</f>
        <v>impago</v>
      </c>
      <c r="AG125" s="666" t="str">
        <f>IF(OR($A125="F&amp;F",$G125=""),"",IF(AG$8&gt;$G125,IF(OR(status1B5!AH125=1,status1B5!AH125=2,'BOULEVARD 5'!AJ123&gt;0),"Pagado","impago"),""))</f>
        <v>impago</v>
      </c>
      <c r="AH125" s="666" t="str">
        <f>IF(OR($A125="F&amp;F",$G125=""),"",IF(AH$8&gt;$G125,IF(OR(status1B5!AI125=1,status1B5!AI125=2,'BOULEVARD 5'!AK123&gt;0),"Pagado","impago"),""))</f>
        <v>impago</v>
      </c>
      <c r="AI125" s="666" t="str">
        <f>IF(OR($A125="F&amp;F",$G125=""),"",IF(AI$8&gt;$G125,IF(OR(status1B5!AJ125=1,status1B5!AJ125=2,'BOULEVARD 5'!AL123&gt;0),"Pagado","impago"),""))</f>
        <v>impago</v>
      </c>
      <c r="AJ125" s="666" t="str">
        <f>IF(OR($A125="F&amp;F",$G125=""),"",IF(AJ$8&gt;$G125,IF(OR(status1B5!AK125=1,status1B5!AK125=2,'BOULEVARD 5'!AM123&gt;0),"Pagado","impago"),""))</f>
        <v>impago</v>
      </c>
      <c r="AK125" s="666" t="str">
        <f>IF(OR($A125="F&amp;F",$G125=""),"",IF(AK$8&gt;$G125,IF(OR(status1B5!AL125=1,status1B5!AL125=2,'BOULEVARD 5'!AN123&gt;0),"Pagado","impago"),""))</f>
        <v>impago</v>
      </c>
      <c r="AL125" s="666" t="str">
        <f>IF(OR($A125="F&amp;F",$G125=""),"",IF(AL$8&gt;$G125,IF(OR(status1B5!AM125=1,status1B5!AM125=2,'BOULEVARD 5'!AO123&gt;0),"Pagado","impago"),""))</f>
        <v>impago</v>
      </c>
      <c r="AM125" s="666" t="str">
        <f>IF(OR($A125="F&amp;F",$G125=""),"",IF(AM$8&gt;$G125,IF(OR(status1B5!AN125=1,status1B5!AN125=2,'BOULEVARD 5'!AP123&gt;0),"Pagado","impago"),""))</f>
        <v>impago</v>
      </c>
      <c r="AN125" s="666" t="str">
        <f>IF(OR($A125="F&amp;F",$G125=""),"",IF(AN$8&gt;$G125,IF(OR(status1B5!AO125=1,status1B5!AO125=2,'BOULEVARD 5'!AQ123&gt;0),"Pagado","impago"),""))</f>
        <v>impago</v>
      </c>
      <c r="AO125" s="666" t="str">
        <f>IF(OR($A125="F&amp;F",$G125=""),"",IF(AO$8&gt;$G125,IF(OR(status1B5!AP125=1,status1B5!AP125=2,'BOULEVARD 5'!AS123&gt;0),"Pagado","impago"),""))</f>
        <v>Pagado</v>
      </c>
      <c r="AP125" s="429" t="str">
        <f t="shared" si="6"/>
        <v>Vendido</v>
      </c>
    </row>
    <row r="126" spans="1:42" s="429" customFormat="1" ht="13.9" customHeight="1" x14ac:dyDescent="0.25">
      <c r="A126" s="472" t="s">
        <v>58</v>
      </c>
      <c r="B126" s="475">
        <f>'BOULEVARD 5'!B124</f>
        <v>710</v>
      </c>
      <c r="C126" s="475" t="s">
        <v>355</v>
      </c>
      <c r="D126" s="475"/>
      <c r="E126" s="475" t="str">
        <f>IF('BOULEVARD 5'!E124="","",'BOULEVARD 5'!E124)</f>
        <v>Brenda Búcaro</v>
      </c>
      <c r="F126" s="476" t="str">
        <f>IF('BOULEVARD 5'!F124="","",'BOULEVARD 5'!F124)</f>
        <v>Carlos Yon (congelado estrategia comercial)</v>
      </c>
      <c r="G126" s="473">
        <f>IF('BOULEVARD 5'!G124="","",'BOULEVARD 5'!G124)</f>
        <v>45173</v>
      </c>
      <c r="H126" s="666" t="str">
        <f>IF(OR($A126="F&amp;F",$G126=""),"",IF(H$8&gt;$G126,IF(OR(status1B5!I126=1,status1B5!I126=2,'BOULEVARD 5'!K124&gt;0),"Pagado","impago"),""))</f>
        <v/>
      </c>
      <c r="I126" s="666" t="str">
        <f>IF(OR($A126="F&amp;F",$G126=""),"",IF(I$8&gt;$G126,IF(OR(status1B5!J126=1,status1B5!J126=2,'BOULEVARD 5'!L124&gt;0),"Pagado","impago"),""))</f>
        <v/>
      </c>
      <c r="J126" s="666" t="str">
        <f>IF(OR($A126="F&amp;F",$G126=""),"",IF(J$8&gt;$G126,IF(OR(status1B5!K126=1,status1B5!K126=2,'BOULEVARD 5'!M124&gt;0),"Pagado","impago"),""))</f>
        <v/>
      </c>
      <c r="K126" s="666" t="str">
        <f>IF(OR($A126="F&amp;F",$G126=""),"",IF(K$8&gt;$G126,IF(OR(status1B5!L126=1,status1B5!L126=2,'BOULEVARD 5'!N124&gt;0),"Pagado","impago"),""))</f>
        <v/>
      </c>
      <c r="L126" s="666" t="str">
        <f>IF(OR($A126="F&amp;F",$G126=""),"",IF(L$8&gt;$G126,IF(OR(status1B5!M126=1,status1B5!M126=2,'BOULEVARD 5'!O124&gt;0),"Pagado","impago"),""))</f>
        <v/>
      </c>
      <c r="M126" s="666" t="str">
        <f>IF(OR($A126="F&amp;F",$G126=""),"",IF(M$8&gt;$G126,IF(OR(status1B5!N126=1,status1B5!N126=2,'BOULEVARD 5'!P124&gt;0),"Pagado","impago"),""))</f>
        <v/>
      </c>
      <c r="N126" s="666" t="str">
        <f>IF(OR($A126="F&amp;F",$G126=""),"",IF(N$8&gt;$G126,IF(OR(status1B5!O126=1,status1B5!O126=2,'BOULEVARD 5'!Q124&gt;0),"Pagado","impago"),""))</f>
        <v/>
      </c>
      <c r="O126" s="666" t="str">
        <f>IF(OR($A126="F&amp;F",$G126=""),"",IF(O$8&gt;$G126,IF(OR(status1B5!P126=1,status1B5!P126=2,'BOULEVARD 5'!R124&gt;0),"Pagado","impago"),""))</f>
        <v/>
      </c>
      <c r="P126" s="666" t="str">
        <f>IF(OR($A126="F&amp;F",$G126=""),"",IF(P$8&gt;$G126,IF(OR(status1B5!Q126=1,status1B5!Q126=2,'BOULEVARD 5'!S124&gt;0),"Pagado","impago"),""))</f>
        <v/>
      </c>
      <c r="Q126" s="666" t="str">
        <f>IF(OR($A126="F&amp;F",$G126=""),"",IF(Q$8&gt;$G126,IF(OR(status1B5!R126=1,status1B5!R126=2,'BOULEVARD 5'!T124&gt;0),"Pagado","impago"),""))</f>
        <v/>
      </c>
      <c r="R126" s="666" t="str">
        <f>IF(OR($A126="F&amp;F",$G126=""),"",IF(R$8&gt;$G126,IF(OR(status1B5!S126=1,status1B5!S126=2,'BOULEVARD 5'!U124&gt;0),"Pagado","impago"),""))</f>
        <v/>
      </c>
      <c r="S126" s="666" t="str">
        <f>IF(OR($A126="F&amp;F",$G126=""),"",IF(S$8&gt;$G126,IF(OR(status1B5!T126=1,status1B5!T126=2,'BOULEVARD 5'!V124&gt;0),"Pagado","impago"),""))</f>
        <v/>
      </c>
      <c r="T126" s="666" t="str">
        <f>IF(OR($A126="F&amp;F",$G126=""),"",IF(T$8&gt;$G126,IF(OR(status1B5!U126=1,status1B5!U126=2,'BOULEVARD 5'!W124&gt;0),"Pagado","impago"),""))</f>
        <v/>
      </c>
      <c r="U126" s="666" t="str">
        <f>IF(OR($A126="F&amp;F",$G126=""),"",IF(U$8&gt;$G126,IF(OR(status1B5!V126=1,status1B5!V126=2,'BOULEVARD 5'!X124&gt;0),"Pagado","impago"),""))</f>
        <v/>
      </c>
      <c r="V126" s="666" t="str">
        <f>IF(OR($A126="F&amp;F",$G126=""),"",IF(V$8&gt;$G126,IF(OR(status1B5!W126=1,status1B5!W126=2,'BOULEVARD 5'!Y124&gt;0),"Pagado","impago"),""))</f>
        <v/>
      </c>
      <c r="W126" s="666" t="str">
        <f>IF(OR($A126="F&amp;F",$G126=""),"",IF(W$8&gt;$G126,IF(OR(status1B5!X126=1,status1B5!X126=2,'BOULEVARD 5'!Z124&gt;0),"Pagado","impago"),""))</f>
        <v/>
      </c>
      <c r="X126" s="666" t="str">
        <f>IF(OR($A126="F&amp;F",$G126=""),"",IF(X$8&gt;$G126,IF(OR(status1B5!Y126=1,status1B5!Y126=2,'BOULEVARD 5'!AA124&gt;0),"Pagado","impago"),""))</f>
        <v/>
      </c>
      <c r="Y126" s="666" t="str">
        <f>IF(OR($A126="F&amp;F",$G126=""),"",IF(Y$8&gt;$G126,IF(OR(status1B5!Z126=1,status1B5!Z126=2,'BOULEVARD 5'!AB124&gt;0),"Pagado","impago"),""))</f>
        <v/>
      </c>
      <c r="Z126" s="666" t="str">
        <f>IF(OR($A126="F&amp;F",$G126=""),"",IF(Z$8&gt;$G126,IF(OR(status1B5!AA126=1,status1B5!AA126=2,'BOULEVARD 5'!AC124&gt;0),"Pagado","impago"),""))</f>
        <v/>
      </c>
      <c r="AA126" s="666" t="str">
        <f>IF(OR($A126="F&amp;F",$G126=""),"",IF(AA$8&gt;$G126,IF(OR(status1B5!AB126=1,status1B5!AB126=2,'BOULEVARD 5'!AD124&gt;0),"Pagado","impago"),""))</f>
        <v/>
      </c>
      <c r="AB126" s="666" t="str">
        <f>IF(OR($A126="F&amp;F",$G126=""),"",IF(AB$8&gt;$G126,IF(OR(status1B5!AC126=1,status1B5!AC126=2,'BOULEVARD 5'!AE124&gt;0),"Pagado","impago"),""))</f>
        <v/>
      </c>
      <c r="AC126" s="666" t="str">
        <f>IF(OR($A126="F&amp;F",$G126=""),"",IF(AC$8&gt;$G126,IF(OR(status1B5!AD126=1,status1B5!AD126=2,'BOULEVARD 5'!AF124&gt;0),"Pagado","impago"),""))</f>
        <v/>
      </c>
      <c r="AD126" s="666" t="str">
        <f>IF(OR($A126="F&amp;F",$G126=""),"",IF(AD$8&gt;$G126,IF(OR(status1B5!AE126=1,status1B5!AE126=2,'BOULEVARD 5'!AG124&gt;0),"Pagado","impago"),""))</f>
        <v/>
      </c>
      <c r="AE126" s="666" t="str">
        <f>IF(OR($A126="F&amp;F",$G126=""),"",IF(AE$8&gt;$G126,IF(OR(status1B5!AF126=1,status1B5!AF126=2,'BOULEVARD 5'!AH124&gt;0),"Pagado","impago"),""))</f>
        <v/>
      </c>
      <c r="AF126" s="666" t="str">
        <f>IF(OR($A126="F&amp;F",$G126=""),"",IF(AF$8&gt;$G126,IF(OR(status1B5!AG126=1,status1B5!AG126=2,'BOULEVARD 5'!AI124&gt;0),"Pagado","impago"),""))</f>
        <v/>
      </c>
      <c r="AG126" s="666" t="str">
        <f>IF(OR($A126="F&amp;F",$G126=""),"",IF(AG$8&gt;$G126,IF(OR(status1B5!AH126=1,status1B5!AH126=2,'BOULEVARD 5'!AJ124&gt;0),"Pagado","impago"),""))</f>
        <v/>
      </c>
      <c r="AH126" s="666" t="str">
        <f>IF(OR($A126="F&amp;F",$G126=""),"",IF(AH$8&gt;$G126,IF(OR(status1B5!AI126=1,status1B5!AI126=2,'BOULEVARD 5'!AK124&gt;0),"Pagado","impago"),""))</f>
        <v/>
      </c>
      <c r="AI126" s="666" t="str">
        <f>IF(OR($A126="F&amp;F",$G126=""),"",IF(AI$8&gt;$G126,IF(OR(status1B5!AJ126=1,status1B5!AJ126=2,'BOULEVARD 5'!AL124&gt;0),"Pagado","impago"),""))</f>
        <v/>
      </c>
      <c r="AJ126" s="666" t="str">
        <f>IF(OR($A126="F&amp;F",$G126=""),"",IF(AJ$8&gt;$G126,IF(OR(status1B5!AK126=1,status1B5!AK126=2,'BOULEVARD 5'!AM124&gt;0),"Pagado","impago"),""))</f>
        <v/>
      </c>
      <c r="AK126" s="666" t="str">
        <f>IF(OR($A126="F&amp;F",$G126=""),"",IF(AK$8&gt;$G126,IF(OR(status1B5!AL126=1,status1B5!AL126=2,'BOULEVARD 5'!AN124&gt;0),"Pagado","impago"),""))</f>
        <v/>
      </c>
      <c r="AL126" s="666" t="str">
        <f>IF(OR($A126="F&amp;F",$G126=""),"",IF(AL$8&gt;$G126,IF(OR(status1B5!AM126=1,status1B5!AM126=2,'BOULEVARD 5'!AO124&gt;0),"Pagado","impago"),""))</f>
        <v/>
      </c>
      <c r="AM126" s="666" t="str">
        <f>IF(OR($A126="F&amp;F",$G126=""),"",IF(AM$8&gt;$G126,IF(OR(status1B5!AN126=1,status1B5!AN126=2,'BOULEVARD 5'!AP124&gt;0),"Pagado","impago"),""))</f>
        <v/>
      </c>
      <c r="AN126" s="666" t="str">
        <f>IF(OR($A126="F&amp;F",$G126=""),"",IF(AN$8&gt;$G126,IF(OR(status1B5!AO126=1,status1B5!AO126=2,'BOULEVARD 5'!AQ124&gt;0),"Pagado","impago"),""))</f>
        <v/>
      </c>
      <c r="AO126" s="666" t="str">
        <f>IF(OR($A126="F&amp;F",$G126=""),"",IF(AO$8&gt;$G126,IF(OR(status1B5!AP126=1,status1B5!AP126=2,'BOULEVARD 5'!AS124&gt;0),"Pagado","impago"),""))</f>
        <v/>
      </c>
      <c r="AP126" s="429" t="str">
        <f t="shared" si="6"/>
        <v>Vendido</v>
      </c>
    </row>
    <row r="127" spans="1:42" s="429" customFormat="1" ht="13.9" customHeight="1" x14ac:dyDescent="0.25">
      <c r="A127" s="472"/>
      <c r="B127" s="436">
        <f>'BOULEVARD 5'!B125</f>
        <v>711</v>
      </c>
      <c r="C127" s="436" t="s">
        <v>355</v>
      </c>
      <c r="D127" s="642"/>
      <c r="E127" s="436" t="str">
        <f>IF('BOULEVARD 5'!E125="","",'BOULEVARD 5'!E125)</f>
        <v>Diana Alvarez</v>
      </c>
      <c r="F127" s="429" t="str">
        <f>IF('BOULEVARD 5'!F125="","",'BOULEVARD 5'!F125)</f>
        <v>Samuel David Chavez</v>
      </c>
      <c r="G127" s="473">
        <f>IF('BOULEVARD 5'!G125="","",'BOULEVARD 5'!G125)</f>
        <v>45770</v>
      </c>
      <c r="H127" s="666" t="str">
        <f>IF(OR($A127="F&amp;F",$G127=""),"",IF(H$8&gt;$G127,IF(OR(status1B5!I127=1,status1B5!I127=2,'BOULEVARD 5'!K125&gt;0),"Pagado","impago"),""))</f>
        <v/>
      </c>
      <c r="I127" s="666" t="str">
        <f>IF(OR($A127="F&amp;F",$G127=""),"",IF(I$8&gt;$G127,IF(OR(status1B5!J127=1,status1B5!J127=2,'BOULEVARD 5'!L125&gt;0),"Pagado","impago"),""))</f>
        <v/>
      </c>
      <c r="J127" s="666" t="str">
        <f>IF(OR($A127="F&amp;F",$G127=""),"",IF(J$8&gt;$G127,IF(OR(status1B5!K127=1,status1B5!K127=2,'BOULEVARD 5'!M125&gt;0),"Pagado","impago"),""))</f>
        <v/>
      </c>
      <c r="K127" s="666" t="str">
        <f>IF(OR($A127="F&amp;F",$G127=""),"",IF(K$8&gt;$G127,IF(OR(status1B5!L127=1,status1B5!L127=2,'BOULEVARD 5'!N125&gt;0),"Pagado","impago"),""))</f>
        <v/>
      </c>
      <c r="L127" s="666" t="str">
        <f>IF(OR($A127="F&amp;F",$G127=""),"",IF(L$8&gt;$G127,IF(OR(status1B5!M127=1,status1B5!M127=2,'BOULEVARD 5'!O125&gt;0),"Pagado","impago"),""))</f>
        <v/>
      </c>
      <c r="M127" s="666" t="str">
        <f>IF(OR($A127="F&amp;F",$G127=""),"",IF(M$8&gt;$G127,IF(OR(status1B5!N127=1,status1B5!N127=2,'BOULEVARD 5'!P125&gt;0),"Pagado","impago"),""))</f>
        <v/>
      </c>
      <c r="N127" s="666" t="str">
        <f>IF(OR($A127="F&amp;F",$G127=""),"",IF(N$8&gt;$G127,IF(OR(status1B5!O127=1,status1B5!O127=2,'BOULEVARD 5'!Q125&gt;0),"Pagado","impago"),""))</f>
        <v/>
      </c>
      <c r="O127" s="666" t="str">
        <f>IF(OR($A127="F&amp;F",$G127=""),"",IF(O$8&gt;$G127,IF(OR(status1B5!P127=1,status1B5!P127=2,'BOULEVARD 5'!R125&gt;0),"Pagado","impago"),""))</f>
        <v/>
      </c>
      <c r="P127" s="666" t="str">
        <f>IF(OR($A127="F&amp;F",$G127=""),"",IF(P$8&gt;$G127,IF(OR(status1B5!Q127=1,status1B5!Q127=2,'BOULEVARD 5'!S125&gt;0),"Pagado","impago"),""))</f>
        <v/>
      </c>
      <c r="Q127" s="666" t="str">
        <f>IF(OR($A127="F&amp;F",$G127=""),"",IF(Q$8&gt;$G127,IF(OR(status1B5!R127=1,status1B5!R127=2,'BOULEVARD 5'!T125&gt;0),"Pagado","impago"),""))</f>
        <v/>
      </c>
      <c r="R127" s="666" t="str">
        <f>IF(OR($A127="F&amp;F",$G127=""),"",IF(R$8&gt;$G127,IF(OR(status1B5!S127=1,status1B5!S127=2,'BOULEVARD 5'!U125&gt;0),"Pagado","impago"),""))</f>
        <v/>
      </c>
      <c r="S127" s="666" t="str">
        <f>IF(OR($A127="F&amp;F",$G127=""),"",IF(S$8&gt;$G127,IF(OR(status1B5!T127=1,status1B5!T127=2,'BOULEVARD 5'!V125&gt;0),"Pagado","impago"),""))</f>
        <v/>
      </c>
      <c r="T127" s="666" t="str">
        <f>IF(OR($A127="F&amp;F",$G127=""),"",IF(T$8&gt;$G127,IF(OR(status1B5!U127=1,status1B5!U127=2,'BOULEVARD 5'!W125&gt;0),"Pagado","impago"),""))</f>
        <v/>
      </c>
      <c r="U127" s="666" t="str">
        <f>IF(OR($A127="F&amp;F",$G127=""),"",IF(U$8&gt;$G127,IF(OR(status1B5!V127=1,status1B5!V127=2,'BOULEVARD 5'!X125&gt;0),"Pagado","impago"),""))</f>
        <v/>
      </c>
      <c r="V127" s="666" t="str">
        <f>IF(OR($A127="F&amp;F",$G127=""),"",IF(V$8&gt;$G127,IF(OR(status1B5!W127=1,status1B5!W127=2,'BOULEVARD 5'!Y125&gt;0),"Pagado","impago"),""))</f>
        <v/>
      </c>
      <c r="W127" s="666" t="str">
        <f>IF(OR($A127="F&amp;F",$G127=""),"",IF(W$8&gt;$G127,IF(OR(status1B5!X127=1,status1B5!X127=2,'BOULEVARD 5'!Z125&gt;0),"Pagado","impago"),""))</f>
        <v/>
      </c>
      <c r="X127" s="666" t="str">
        <f>IF(OR($A127="F&amp;F",$G127=""),"",IF(X$8&gt;$G127,IF(OR(status1B5!Y127=1,status1B5!Y127=2,'BOULEVARD 5'!AA125&gt;0),"Pagado","impago"),""))</f>
        <v/>
      </c>
      <c r="Y127" s="666" t="str">
        <f>IF(OR($A127="F&amp;F",$G127=""),"",IF(Y$8&gt;$G127,IF(OR(status1B5!Z127=1,status1B5!Z127=2,'BOULEVARD 5'!AB125&gt;0),"Pagado","impago"),""))</f>
        <v/>
      </c>
      <c r="Z127" s="666" t="str">
        <f>IF(OR($A127="F&amp;F",$G127=""),"",IF(Z$8&gt;$G127,IF(OR(status1B5!AA127=1,status1B5!AA127=2,'BOULEVARD 5'!AC125&gt;0),"Pagado","impago"),""))</f>
        <v/>
      </c>
      <c r="AA127" s="666" t="str">
        <f>IF(OR($A127="F&amp;F",$G127=""),"",IF(AA$8&gt;$G127,IF(OR(status1B5!AB127=1,status1B5!AB127=2,'BOULEVARD 5'!AD125&gt;0),"Pagado","impago"),""))</f>
        <v/>
      </c>
      <c r="AB127" s="666" t="str">
        <f>IF(OR($A127="F&amp;F",$G127=""),"",IF(AB$8&gt;$G127,IF(OR(status1B5!AC127=1,status1B5!AC127=2,'BOULEVARD 5'!AE125&gt;0),"Pagado","impago"),""))</f>
        <v/>
      </c>
      <c r="AC127" s="666" t="str">
        <f>IF(OR($A127="F&amp;F",$G127=""),"",IF(AC$8&gt;$G127,IF(OR(status1B5!AD127=1,status1B5!AD127=2,'BOULEVARD 5'!AF125&gt;0),"Pagado","impago"),""))</f>
        <v/>
      </c>
      <c r="AD127" s="666" t="str">
        <f>IF(OR($A127="F&amp;F",$G127=""),"",IF(AD$8&gt;$G127,IF(OR(status1B5!AE127=1,status1B5!AE127=2,'BOULEVARD 5'!AG125&gt;0),"Pagado","impago"),""))</f>
        <v/>
      </c>
      <c r="AE127" s="666" t="str">
        <f>IF(OR($A127="F&amp;F",$G127=""),"",IF(AE$8&gt;$G127,IF(OR(status1B5!AF127=1,status1B5!AF127=2,'BOULEVARD 5'!AH125&gt;0),"Pagado","impago"),""))</f>
        <v/>
      </c>
      <c r="AF127" s="666" t="str">
        <f>IF(OR($A127="F&amp;F",$G127=""),"",IF(AF$8&gt;$G127,IF(OR(status1B5!AG127=1,status1B5!AG127=2,'BOULEVARD 5'!AI125&gt;0),"Pagado","impago"),""))</f>
        <v/>
      </c>
      <c r="AG127" s="666" t="str">
        <f>IF(OR($A127="F&amp;F",$G127=""),"",IF(AG$8&gt;$G127,IF(OR(status1B5!AH127=1,status1B5!AH127=2,'BOULEVARD 5'!AJ125&gt;0),"Pagado","impago"),""))</f>
        <v>Pagado</v>
      </c>
      <c r="AH127" s="666" t="str">
        <f>IF(OR($A127="F&amp;F",$G127=""),"",IF(AH$8&gt;$G127,IF(OR(status1B5!AI127=1,status1B5!AI127=2,'BOULEVARD 5'!AK125&gt;0),"Pagado","impago"),""))</f>
        <v>Pagado</v>
      </c>
      <c r="AI127" s="666" t="str">
        <f>IF(OR($A127="F&amp;F",$G127=""),"",IF(AI$8&gt;$G127,IF(OR(status1B5!AJ127=1,status1B5!AJ127=2,'BOULEVARD 5'!AL125&gt;0),"Pagado","impago"),""))</f>
        <v>Pagado</v>
      </c>
      <c r="AJ127" s="666" t="str">
        <f>IF(OR($A127="F&amp;F",$G127=""),"",IF(AJ$8&gt;$G127,IF(OR(status1B5!AK127=1,status1B5!AK127=2,'BOULEVARD 5'!AM125&gt;0),"Pagado","impago"),""))</f>
        <v>Pagado</v>
      </c>
      <c r="AK127" s="666" t="str">
        <f>IF(OR($A127="F&amp;F",$G127=""),"",IF(AK$8&gt;$G127,IF(OR(status1B5!AL127=1,status1B5!AL127=2,'BOULEVARD 5'!AN125&gt;0),"Pagado","impago"),""))</f>
        <v>Pagado</v>
      </c>
      <c r="AL127" s="666" t="str">
        <f>IF(OR($A127="F&amp;F",$G127=""),"",IF(AL$8&gt;$G127,IF(OR(status1B5!AM127=1,status1B5!AM127=2,'BOULEVARD 5'!AO125&gt;0),"Pagado","impago"),""))</f>
        <v>Pagado</v>
      </c>
      <c r="AM127" s="666" t="str">
        <f>IF(OR($A127="F&amp;F",$G127=""),"",IF(AM$8&gt;$G127,IF(OR(status1B5!AN127=1,status1B5!AN127=2,'BOULEVARD 5'!AP125&gt;0),"Pagado","impago"),""))</f>
        <v>Pagado</v>
      </c>
      <c r="AN127" s="666" t="str">
        <f>IF(OR($A127="F&amp;F",$G127=""),"",IF(AN$8&gt;$G127,IF(OR(status1B5!AO127=1,status1B5!AO127=2,'BOULEVARD 5'!AQ125&gt;0),"Pagado","impago"),""))</f>
        <v>Pagado</v>
      </c>
      <c r="AO127" s="666" t="str">
        <f>IF(OR($A127="F&amp;F",$G127=""),"",IF(AO$8&gt;$G127,IF(OR(status1B5!AP127=1,status1B5!AP127=2,'BOULEVARD 5'!AS125&gt;0),"Pagado","impago"),""))</f>
        <v>Pagado</v>
      </c>
      <c r="AP127" s="429" t="str">
        <f t="shared" si="6"/>
        <v>Vendido</v>
      </c>
    </row>
    <row r="128" spans="1:42" s="429" customFormat="1" ht="13.9" customHeight="1" x14ac:dyDescent="0.25">
      <c r="A128" s="472"/>
      <c r="B128" s="436">
        <f>'BOULEVARD 5'!B126</f>
        <v>712</v>
      </c>
      <c r="C128" s="436" t="s">
        <v>355</v>
      </c>
      <c r="D128" s="436"/>
      <c r="E128" s="436" t="str">
        <f>IF('BOULEVARD 5'!E126="","",'BOULEVARD 5'!E126)</f>
        <v>Antonio Rada</v>
      </c>
      <c r="F128" s="429" t="str">
        <f>IF('BOULEVARD 5'!F126="","",'BOULEVARD 5'!F126)</f>
        <v>Edgar Augusto Sepúlveda Barrera</v>
      </c>
      <c r="G128" s="473">
        <f>IF('BOULEVARD 5'!G126="","",'BOULEVARD 5'!G126)</f>
        <v>45085</v>
      </c>
      <c r="H128" s="666" t="str">
        <f>IF(OR($A128="F&amp;F",$G128=""),"",IF(H$8&gt;$G128,IF(OR(status1B5!I128=1,status1B5!I128=2,'BOULEVARD 5'!K126&gt;0),"Pagado","impago"),""))</f>
        <v/>
      </c>
      <c r="I128" s="666" t="str">
        <f>IF(OR($A128="F&amp;F",$G128=""),"",IF(I$8&gt;$G128,IF(OR(status1B5!J128=1,status1B5!J128=2,'BOULEVARD 5'!L126&gt;0),"Pagado","impago"),""))</f>
        <v/>
      </c>
      <c r="J128" s="666" t="str">
        <f>IF(OR($A128="F&amp;F",$G128=""),"",IF(J$8&gt;$G128,IF(OR(status1B5!K128=1,status1B5!K128=2,'BOULEVARD 5'!M126&gt;0),"Pagado","impago"),""))</f>
        <v/>
      </c>
      <c r="K128" s="666" t="str">
        <f>IF(OR($A128="F&amp;F",$G128=""),"",IF(K$8&gt;$G128,IF(OR(status1B5!L128=1,status1B5!L128=2,'BOULEVARD 5'!N126&gt;0),"Pagado","impago"),""))</f>
        <v>Pagado</v>
      </c>
      <c r="L128" s="666" t="str">
        <f>IF(OR($A128="F&amp;F",$G128=""),"",IF(L$8&gt;$G128,IF(OR(status1B5!M128=1,status1B5!M128=2,'BOULEVARD 5'!O126&gt;0),"Pagado","impago"),""))</f>
        <v>Pagado</v>
      </c>
      <c r="M128" s="666" t="str">
        <f>IF(OR($A128="F&amp;F",$G128=""),"",IF(M$8&gt;$G128,IF(OR(status1B5!N128=1,status1B5!N128=2,'BOULEVARD 5'!P126&gt;0),"Pagado","impago"),""))</f>
        <v>Pagado</v>
      </c>
      <c r="N128" s="666" t="str">
        <f>IF(OR($A128="F&amp;F",$G128=""),"",IF(N$8&gt;$G128,IF(OR(status1B5!O128=1,status1B5!O128=2,'BOULEVARD 5'!Q126&gt;0),"Pagado","impago"),""))</f>
        <v>Pagado</v>
      </c>
      <c r="O128" s="666" t="str">
        <f>IF(OR($A128="F&amp;F",$G128=""),"",IF(O$8&gt;$G128,IF(OR(status1B5!P128=1,status1B5!P128=2,'BOULEVARD 5'!R126&gt;0),"Pagado","impago"),""))</f>
        <v>Pagado</v>
      </c>
      <c r="P128" s="666" t="str">
        <f>IF(OR($A128="F&amp;F",$G128=""),"",IF(P$8&gt;$G128,IF(OR(status1B5!Q128=1,status1B5!Q128=2,'BOULEVARD 5'!S126&gt;0),"Pagado","impago"),""))</f>
        <v>Pagado</v>
      </c>
      <c r="Q128" s="666" t="str">
        <f>IF(OR($A128="F&amp;F",$G128=""),"",IF(Q$8&gt;$G128,IF(OR(status1B5!R128=1,status1B5!R128=2,'BOULEVARD 5'!T126&gt;0),"Pagado","impago"),""))</f>
        <v>Pagado</v>
      </c>
      <c r="R128" s="666" t="str">
        <f>IF(OR($A128="F&amp;F",$G128=""),"",IF(R$8&gt;$G128,IF(OR(status1B5!S128=1,status1B5!S128=2,'BOULEVARD 5'!U126&gt;0),"Pagado","impago"),""))</f>
        <v>Pagado</v>
      </c>
      <c r="S128" s="666" t="str">
        <f>IF(OR($A128="F&amp;F",$G128=""),"",IF(S$8&gt;$G128,IF(OR(status1B5!T128=1,status1B5!T128=2,'BOULEVARD 5'!V126&gt;0),"Pagado","impago"),""))</f>
        <v>Pagado</v>
      </c>
      <c r="T128" s="666" t="str">
        <f>IF(OR($A128="F&amp;F",$G128=""),"",IF(T$8&gt;$G128,IF(OR(status1B5!U128=1,status1B5!U128=2,'BOULEVARD 5'!W126&gt;0),"Pagado","impago"),""))</f>
        <v>Pagado</v>
      </c>
      <c r="U128" s="666" t="str">
        <f>IF(OR($A128="F&amp;F",$G128=""),"",IF(U$8&gt;$G128,IF(OR(status1B5!V128=1,status1B5!V128=2,'BOULEVARD 5'!X126&gt;0),"Pagado","impago"),""))</f>
        <v>Pagado</v>
      </c>
      <c r="V128" s="666" t="str">
        <f>IF(OR($A128="F&amp;F",$G128=""),"",IF(V$8&gt;$G128,IF(OR(status1B5!W128=1,status1B5!W128=2,'BOULEVARD 5'!Y126&gt;0),"Pagado","impago"),""))</f>
        <v>Pagado</v>
      </c>
      <c r="W128" s="666" t="str">
        <f>IF(OR($A128="F&amp;F",$G128=""),"",IF(W$8&gt;$G128,IF(OR(status1B5!X128=1,status1B5!X128=2,'BOULEVARD 5'!Z126&gt;0),"Pagado","impago"),""))</f>
        <v>Pagado</v>
      </c>
      <c r="X128" s="666" t="str">
        <f>IF(OR($A128="F&amp;F",$G128=""),"",IF(X$8&gt;$G128,IF(OR(status1B5!Y128=1,status1B5!Y128=2,'BOULEVARD 5'!AA126&gt;0),"Pagado","impago"),""))</f>
        <v>Pagado</v>
      </c>
      <c r="Y128" s="666" t="str">
        <f>IF(OR($A128="F&amp;F",$G128=""),"",IF(Y$8&gt;$G128,IF(OR(status1B5!Z128=1,status1B5!Z128=2,'BOULEVARD 5'!AB126&gt;0),"Pagado","impago"),""))</f>
        <v>Pagado</v>
      </c>
      <c r="Z128" s="666" t="str">
        <f>IF(OR($A128="F&amp;F",$G128=""),"",IF(Z$8&gt;$G128,IF(OR(status1B5!AA128=1,status1B5!AA128=2,'BOULEVARD 5'!AC126&gt;0),"Pagado","impago"),""))</f>
        <v>Pagado</v>
      </c>
      <c r="AA128" s="666" t="str">
        <f>IF(OR($A128="F&amp;F",$G128=""),"",IF(AA$8&gt;$G128,IF(OR(status1B5!AB128=1,status1B5!AB128=2,'BOULEVARD 5'!AD126&gt;0),"Pagado","impago"),""))</f>
        <v>Pagado</v>
      </c>
      <c r="AB128" s="666" t="str">
        <f>IF(OR($A128="F&amp;F",$G128=""),"",IF(AB$8&gt;$G128,IF(OR(status1B5!AC128=1,status1B5!AC128=2,'BOULEVARD 5'!AE126&gt;0),"Pagado","impago"),""))</f>
        <v>Pagado</v>
      </c>
      <c r="AC128" s="666" t="str">
        <f>IF(OR($A128="F&amp;F",$G128=""),"",IF(AC$8&gt;$G128,IF(OR(status1B5!AD128=1,status1B5!AD128=2,'BOULEVARD 5'!AF126&gt;0),"Pagado","impago"),""))</f>
        <v>Pagado</v>
      </c>
      <c r="AD128" s="666" t="str">
        <f>IF(OR($A128="F&amp;F",$G128=""),"",IF(AD$8&gt;$G128,IF(OR(status1B5!AE128=1,status1B5!AE128=2,'BOULEVARD 5'!AG126&gt;0),"Pagado","impago"),""))</f>
        <v>Pagado</v>
      </c>
      <c r="AE128" s="666" t="str">
        <f>IF(OR($A128="F&amp;F",$G128=""),"",IF(AE$8&gt;$G128,IF(OR(status1B5!AF128=1,status1B5!AF128=2,'BOULEVARD 5'!AH126&gt;0),"Pagado","impago"),""))</f>
        <v>Pagado</v>
      </c>
      <c r="AF128" s="666" t="str">
        <f>IF(OR($A128="F&amp;F",$G128=""),"",IF(AF$8&gt;$G128,IF(OR(status1B5!AG128=1,status1B5!AG128=2,'BOULEVARD 5'!AI126&gt;0),"Pagado","impago"),""))</f>
        <v>Pagado</v>
      </c>
      <c r="AG128" s="666" t="str">
        <f>IF(OR($A128="F&amp;F",$G128=""),"",IF(AG$8&gt;$G128,IF(OR(status1B5!AH128=1,status1B5!AH128=2,'BOULEVARD 5'!AJ126&gt;0),"Pagado","impago"),""))</f>
        <v>Pagado</v>
      </c>
      <c r="AH128" s="666" t="str">
        <f>IF(OR($A128="F&amp;F",$G128=""),"",IF(AH$8&gt;$G128,IF(OR(status1B5!AI128=1,status1B5!AI128=2,'BOULEVARD 5'!AK126&gt;0),"Pagado","impago"),""))</f>
        <v>Pagado</v>
      </c>
      <c r="AI128" s="666" t="str">
        <f>IF(OR($A128="F&amp;F",$G128=""),"",IF(AI$8&gt;$G128,IF(OR(status1B5!AJ128=1,status1B5!AJ128=2,'BOULEVARD 5'!AL126&gt;0),"Pagado","impago"),""))</f>
        <v>Pagado</v>
      </c>
      <c r="AJ128" s="666" t="str">
        <f>IF(OR($A128="F&amp;F",$G128=""),"",IF(AJ$8&gt;$G128,IF(OR(status1B5!AK128=1,status1B5!AK128=2,'BOULEVARD 5'!AM126&gt;0),"Pagado","impago"),""))</f>
        <v>Pagado</v>
      </c>
      <c r="AK128" s="666" t="str">
        <f>IF(OR($A128="F&amp;F",$G128=""),"",IF(AK$8&gt;$G128,IF(OR(status1B5!AL128=1,status1B5!AL128=2,'BOULEVARD 5'!AN126&gt;0),"Pagado","impago"),""))</f>
        <v>Pagado</v>
      </c>
      <c r="AL128" s="666" t="str">
        <f>IF(OR($A128="F&amp;F",$G128=""),"",IF(AL$8&gt;$G128,IF(OR(status1B5!AM128=1,status1B5!AM128=2,'BOULEVARD 5'!AO126&gt;0),"Pagado","impago"),""))</f>
        <v>Pagado</v>
      </c>
      <c r="AM128" s="666" t="str">
        <f>IF(OR($A128="F&amp;F",$G128=""),"",IF(AM$8&gt;$G128,IF(OR(status1B5!AN128=1,status1B5!AN128=2,'BOULEVARD 5'!AP126&gt;0),"Pagado","impago"),""))</f>
        <v>Pagado</v>
      </c>
      <c r="AN128" s="666" t="str">
        <f>IF(OR($A128="F&amp;F",$G128=""),"",IF(AN$8&gt;$G128,IF(OR(status1B5!AO128=1,status1B5!AO128=2,'BOULEVARD 5'!AQ126&gt;0),"Pagado","impago"),""))</f>
        <v>Pagado</v>
      </c>
      <c r="AO128" s="666" t="str">
        <f>IF(OR($A128="F&amp;F",$G128=""),"",IF(AO$8&gt;$G128,IF(OR(status1B5!AP128=1,status1B5!AP128=2,'BOULEVARD 5'!AS126&gt;0),"Pagado","impago"),""))</f>
        <v>Pagado</v>
      </c>
      <c r="AP128" s="429" t="str">
        <f t="shared" si="6"/>
        <v>Vendido</v>
      </c>
    </row>
    <row r="129" spans="1:42" s="429" customFormat="1" ht="13.9" customHeight="1" x14ac:dyDescent="0.25">
      <c r="A129" s="472"/>
      <c r="B129" s="436">
        <f>'BOULEVARD 5'!B127</f>
        <v>713</v>
      </c>
      <c r="C129" s="436" t="s">
        <v>355</v>
      </c>
      <c r="D129" s="642"/>
      <c r="E129" s="436" t="str">
        <f>IF('BOULEVARD 5'!E127="","",'BOULEVARD 5'!E127)</f>
        <v>Antonio Rada</v>
      </c>
      <c r="F129" s="429" t="str">
        <f>IF('BOULEVARD 5'!F127="","",'BOULEVARD 5'!F127)</f>
        <v xml:space="preserve"> Luis Alejandro Pérez Ibañez</v>
      </c>
      <c r="G129" s="473">
        <f>IF('BOULEVARD 5'!G127="","",'BOULEVARD 5'!G127)</f>
        <v>45087</v>
      </c>
      <c r="H129" s="666" t="str">
        <f>IF(OR($A129="F&amp;F",$G129=""),"",IF(H$8&gt;$G129,IF(OR(status1B5!I129=1,status1B5!I129=2,'BOULEVARD 5'!K127&gt;0),"Pagado","impago"),""))</f>
        <v/>
      </c>
      <c r="I129" s="666" t="str">
        <f>IF(OR($A129="F&amp;F",$G129=""),"",IF(I$8&gt;$G129,IF(OR(status1B5!J129=1,status1B5!J129=2,'BOULEVARD 5'!L127&gt;0),"Pagado","impago"),""))</f>
        <v/>
      </c>
      <c r="J129" s="666" t="str">
        <f>IF(OR($A129="F&amp;F",$G129=""),"",IF(J$8&gt;$G129,IF(OR(status1B5!K129=1,status1B5!K129=2,'BOULEVARD 5'!M127&gt;0),"Pagado","impago"),""))</f>
        <v/>
      </c>
      <c r="K129" s="666" t="str">
        <f>IF(OR($A129="F&amp;F",$G129=""),"",IF(K$8&gt;$G129,IF(OR(status1B5!L129=1,status1B5!L129=2,'BOULEVARD 5'!N127&gt;0),"Pagado","impago"),""))</f>
        <v>Pagado</v>
      </c>
      <c r="L129" s="666" t="str">
        <f>IF(OR($A129="F&amp;F",$G129=""),"",IF(L$8&gt;$G129,IF(OR(status1B5!M129=1,status1B5!M129=2,'BOULEVARD 5'!O127&gt;0),"Pagado","impago"),""))</f>
        <v>Pagado</v>
      </c>
      <c r="M129" s="666" t="str">
        <f>IF(OR($A129="F&amp;F",$G129=""),"",IF(M$8&gt;$G129,IF(OR(status1B5!N129=1,status1B5!N129=2,'BOULEVARD 5'!P127&gt;0),"Pagado","impago"),""))</f>
        <v>Pagado</v>
      </c>
      <c r="N129" s="666" t="str">
        <f>IF(OR($A129="F&amp;F",$G129=""),"",IF(N$8&gt;$G129,IF(OR(status1B5!O129=1,status1B5!O129=2,'BOULEVARD 5'!Q127&gt;0),"Pagado","impago"),""))</f>
        <v>Pagado</v>
      </c>
      <c r="O129" s="666" t="str">
        <f>IF(OR($A129="F&amp;F",$G129=""),"",IF(O$8&gt;$G129,IF(OR(status1B5!P129=1,status1B5!P129=2,'BOULEVARD 5'!R127&gt;0),"Pagado","impago"),""))</f>
        <v>Pagado</v>
      </c>
      <c r="P129" s="666" t="str">
        <f>IF(OR($A129="F&amp;F",$G129=""),"",IF(P$8&gt;$G129,IF(OR(status1B5!Q129=1,status1B5!Q129=2,'BOULEVARD 5'!S127&gt;0),"Pagado","impago"),""))</f>
        <v>Pagado</v>
      </c>
      <c r="Q129" s="666" t="str">
        <f>IF(OR($A129="F&amp;F",$G129=""),"",IF(Q$8&gt;$G129,IF(OR(status1B5!R129=1,status1B5!R129=2,'BOULEVARD 5'!T127&gt;0),"Pagado","impago"),""))</f>
        <v>Pagado</v>
      </c>
      <c r="R129" s="666" t="str">
        <f>IF(OR($A129="F&amp;F",$G129=""),"",IF(R$8&gt;$G129,IF(OR(status1B5!S129=1,status1B5!S129=2,'BOULEVARD 5'!U127&gt;0),"Pagado","impago"),""))</f>
        <v>Pagado</v>
      </c>
      <c r="S129" s="666" t="str">
        <f>IF(OR($A129="F&amp;F",$G129=""),"",IF(S$8&gt;$G129,IF(OR(status1B5!T129=1,status1B5!T129=2,'BOULEVARD 5'!V127&gt;0),"Pagado","impago"),""))</f>
        <v>Pagado</v>
      </c>
      <c r="T129" s="666" t="str">
        <f>IF(OR($A129="F&amp;F",$G129=""),"",IF(T$8&gt;$G129,IF(OR(status1B5!U129=1,status1B5!U129=2,'BOULEVARD 5'!W127&gt;0),"Pagado","impago"),""))</f>
        <v>Pagado</v>
      </c>
      <c r="U129" s="666" t="str">
        <f>IF(OR($A129="F&amp;F",$G129=""),"",IF(U$8&gt;$G129,IF(OR(status1B5!V129=1,status1B5!V129=2,'BOULEVARD 5'!X127&gt;0),"Pagado","impago"),""))</f>
        <v>Pagado</v>
      </c>
      <c r="V129" s="666" t="str">
        <f>IF(OR($A129="F&amp;F",$G129=""),"",IF(V$8&gt;$G129,IF(OR(status1B5!W129=1,status1B5!W129=2,'BOULEVARD 5'!Y127&gt;0),"Pagado","impago"),""))</f>
        <v>Pagado</v>
      </c>
      <c r="W129" s="666" t="str">
        <f>IF(OR($A129="F&amp;F",$G129=""),"",IF(W$8&gt;$G129,IF(OR(status1B5!X129=1,status1B5!X129=2,'BOULEVARD 5'!Z127&gt;0),"Pagado","impago"),""))</f>
        <v>Pagado</v>
      </c>
      <c r="X129" s="666" t="str">
        <f>IF(OR($A129="F&amp;F",$G129=""),"",IF(X$8&gt;$G129,IF(OR(status1B5!Y129=1,status1B5!Y129=2,'BOULEVARD 5'!AA127&gt;0),"Pagado","impago"),""))</f>
        <v>Pagado</v>
      </c>
      <c r="Y129" s="666" t="str">
        <f>IF(OR($A129="F&amp;F",$G129=""),"",IF(Y$8&gt;$G129,IF(OR(status1B5!Z129=1,status1B5!Z129=2,'BOULEVARD 5'!AB127&gt;0),"Pagado","impago"),""))</f>
        <v>Pagado</v>
      </c>
      <c r="Z129" s="666" t="str">
        <f>IF(OR($A129="F&amp;F",$G129=""),"",IF(Z$8&gt;$G129,IF(OR(status1B5!AA129=1,status1B5!AA129=2,'BOULEVARD 5'!AC127&gt;0),"Pagado","impago"),""))</f>
        <v>Pagado</v>
      </c>
      <c r="AA129" s="666" t="str">
        <f>IF(OR($A129="F&amp;F",$G129=""),"",IF(AA$8&gt;$G129,IF(OR(status1B5!AB129=1,status1B5!AB129=2,'BOULEVARD 5'!AD127&gt;0),"Pagado","impago"),""))</f>
        <v>Pagado</v>
      </c>
      <c r="AB129" s="666" t="str">
        <f>IF(OR($A129="F&amp;F",$G129=""),"",IF(AB$8&gt;$G129,IF(OR(status1B5!AC129=1,status1B5!AC129=2,'BOULEVARD 5'!AE127&gt;0),"Pagado","impago"),""))</f>
        <v>Pagado</v>
      </c>
      <c r="AC129" s="666" t="str">
        <f>IF(OR($A129="F&amp;F",$G129=""),"",IF(AC$8&gt;$G129,IF(OR(status1B5!AD129=1,status1B5!AD129=2,'BOULEVARD 5'!AF127&gt;0),"Pagado","impago"),""))</f>
        <v>Pagado</v>
      </c>
      <c r="AD129" s="666" t="str">
        <f>IF(OR($A129="F&amp;F",$G129=""),"",IF(AD$8&gt;$G129,IF(OR(status1B5!AE129=1,status1B5!AE129=2,'BOULEVARD 5'!AG127&gt;0),"Pagado","impago"),""))</f>
        <v>Pagado</v>
      </c>
      <c r="AE129" s="666" t="str">
        <f>IF(OR($A129="F&amp;F",$G129=""),"",IF(AE$8&gt;$G129,IF(OR(status1B5!AF129=1,status1B5!AF129=2,'BOULEVARD 5'!AH127&gt;0),"Pagado","impago"),""))</f>
        <v>Pagado</v>
      </c>
      <c r="AF129" s="666" t="str">
        <f>IF(OR($A129="F&amp;F",$G129=""),"",IF(AF$8&gt;$G129,IF(OR(status1B5!AG129=1,status1B5!AG129=2,'BOULEVARD 5'!AI127&gt;0),"Pagado","impago"),""))</f>
        <v>Pagado</v>
      </c>
      <c r="AG129" s="666" t="str">
        <f>IF(OR($A129="F&amp;F",$G129=""),"",IF(AG$8&gt;$G129,IF(OR(status1B5!AH129=1,status1B5!AH129=2,'BOULEVARD 5'!AJ127&gt;0),"Pagado","impago"),""))</f>
        <v>Pagado</v>
      </c>
      <c r="AH129" s="666" t="str">
        <f>IF(OR($A129="F&amp;F",$G129=""),"",IF(AH$8&gt;$G129,IF(OR(status1B5!AI129=1,status1B5!AI129=2,'BOULEVARD 5'!AK127&gt;0),"Pagado","impago"),""))</f>
        <v>Pagado</v>
      </c>
      <c r="AI129" s="666" t="str">
        <f>IF(OR($A129="F&amp;F",$G129=""),"",IF(AI$8&gt;$G129,IF(OR(status1B5!AJ129=1,status1B5!AJ129=2,'BOULEVARD 5'!AL127&gt;0),"Pagado","impago"),""))</f>
        <v>Pagado</v>
      </c>
      <c r="AJ129" s="666" t="str">
        <f>IF(OR($A129="F&amp;F",$G129=""),"",IF(AJ$8&gt;$G129,IF(OR(status1B5!AK129=1,status1B5!AK129=2,'BOULEVARD 5'!AM127&gt;0),"Pagado","impago"),""))</f>
        <v>Pagado</v>
      </c>
      <c r="AK129" s="666" t="str">
        <f>IF(OR($A129="F&amp;F",$G129=""),"",IF(AK$8&gt;$G129,IF(OR(status1B5!AL129=1,status1B5!AL129=2,'BOULEVARD 5'!AN127&gt;0),"Pagado","impago"),""))</f>
        <v>Pagado</v>
      </c>
      <c r="AL129" s="666" t="str">
        <f>IF(OR($A129="F&amp;F",$G129=""),"",IF(AL$8&gt;$G129,IF(OR(status1B5!AM129=1,status1B5!AM129=2,'BOULEVARD 5'!AO127&gt;0),"Pagado","impago"),""))</f>
        <v>Pagado</v>
      </c>
      <c r="AM129" s="666" t="str">
        <f>IF(OR($A129="F&amp;F",$G129=""),"",IF(AM$8&gt;$G129,IF(OR(status1B5!AN129=1,status1B5!AN129=2,'BOULEVARD 5'!AP127&gt;0),"Pagado","impago"),""))</f>
        <v>Pagado</v>
      </c>
      <c r="AN129" s="666" t="str">
        <f>IF(OR($A129="F&amp;F",$G129=""),"",IF(AN$8&gt;$G129,IF(OR(status1B5!AO129=1,status1B5!AO129=2,'BOULEVARD 5'!AQ127&gt;0),"Pagado","impago"),""))</f>
        <v>Pagado</v>
      </c>
      <c r="AO129" s="666" t="str">
        <f>IF(OR($A129="F&amp;F",$G129=""),"",IF(AO$8&gt;$G129,IF(OR(status1B5!AP129=1,status1B5!AP129=2,'BOULEVARD 5'!AS127&gt;0),"Pagado","impago"),""))</f>
        <v>Pagado</v>
      </c>
      <c r="AP129" s="429" t="str">
        <f t="shared" si="6"/>
        <v>Vendido</v>
      </c>
    </row>
    <row r="130" spans="1:42" s="429" customFormat="1" ht="13.9" customHeight="1" x14ac:dyDescent="0.25">
      <c r="A130" s="472"/>
      <c r="B130" s="436">
        <f>'BOULEVARD 5'!B128</f>
        <v>714</v>
      </c>
      <c r="C130" s="436" t="s">
        <v>355</v>
      </c>
      <c r="D130" s="436"/>
      <c r="E130" s="436" t="str">
        <f>IF('BOULEVARD 5'!E128="","",'BOULEVARD 5'!E128)</f>
        <v>Antonio Rada</v>
      </c>
      <c r="F130" s="429" t="str">
        <f>IF('BOULEVARD 5'!F128="","",'BOULEVARD 5'!F128)</f>
        <v>Jose Carlos Samayoa San Jose</v>
      </c>
      <c r="G130" s="473">
        <f>IF('BOULEVARD 5'!G128="","",'BOULEVARD 5'!G128)</f>
        <v>45393</v>
      </c>
      <c r="H130" s="666" t="str">
        <f>IF(OR($A130="F&amp;F",$G130=""),"",IF(H$8&gt;$G130,IF(OR(status1B5!I130=1,status1B5!I130=2,'BOULEVARD 5'!K128&gt;0),"Pagado","impago"),""))</f>
        <v/>
      </c>
      <c r="I130" s="666" t="str">
        <f>IF(OR($A130="F&amp;F",$G130=""),"",IF(I$8&gt;$G130,IF(OR(status1B5!J130=1,status1B5!J130=2,'BOULEVARD 5'!L128&gt;0),"Pagado","impago"),""))</f>
        <v/>
      </c>
      <c r="J130" s="666" t="str">
        <f>IF(OR($A130="F&amp;F",$G130=""),"",IF(J$8&gt;$G130,IF(OR(status1B5!K130=1,status1B5!K130=2,'BOULEVARD 5'!M128&gt;0),"Pagado","impago"),""))</f>
        <v/>
      </c>
      <c r="K130" s="666" t="str">
        <f>IF(OR($A130="F&amp;F",$G130=""),"",IF(K$8&gt;$G130,IF(OR(status1B5!L130=1,status1B5!L130=2,'BOULEVARD 5'!N128&gt;0),"Pagado","impago"),""))</f>
        <v/>
      </c>
      <c r="L130" s="666" t="str">
        <f>IF(OR($A130="F&amp;F",$G130=""),"",IF(L$8&gt;$G130,IF(OR(status1B5!M130=1,status1B5!M130=2,'BOULEVARD 5'!O128&gt;0),"Pagado","impago"),""))</f>
        <v/>
      </c>
      <c r="M130" s="666" t="str">
        <f>IF(OR($A130="F&amp;F",$G130=""),"",IF(M$8&gt;$G130,IF(OR(status1B5!N130=1,status1B5!N130=2,'BOULEVARD 5'!P128&gt;0),"Pagado","impago"),""))</f>
        <v/>
      </c>
      <c r="N130" s="666" t="str">
        <f>IF(OR($A130="F&amp;F",$G130=""),"",IF(N$8&gt;$G130,IF(OR(status1B5!O130=1,status1B5!O130=2,'BOULEVARD 5'!Q128&gt;0),"Pagado","impago"),""))</f>
        <v/>
      </c>
      <c r="O130" s="666" t="str">
        <f>IF(OR($A130="F&amp;F",$G130=""),"",IF(O$8&gt;$G130,IF(OR(status1B5!P130=1,status1B5!P130=2,'BOULEVARD 5'!R128&gt;0),"Pagado","impago"),""))</f>
        <v/>
      </c>
      <c r="P130" s="666" t="str">
        <f>IF(OR($A130="F&amp;F",$G130=""),"",IF(P$8&gt;$G130,IF(OR(status1B5!Q130=1,status1B5!Q130=2,'BOULEVARD 5'!S128&gt;0),"Pagado","impago"),""))</f>
        <v/>
      </c>
      <c r="Q130" s="666" t="str">
        <f>IF(OR($A130="F&amp;F",$G130=""),"",IF(Q$8&gt;$G130,IF(OR(status1B5!R130=1,status1B5!R130=2,'BOULEVARD 5'!T128&gt;0),"Pagado","impago"),""))</f>
        <v/>
      </c>
      <c r="R130" s="666" t="str">
        <f>IF(OR($A130="F&amp;F",$G130=""),"",IF(R$8&gt;$G130,IF(OR(status1B5!S130=1,status1B5!S130=2,'BOULEVARD 5'!U128&gt;0),"Pagado","impago"),""))</f>
        <v/>
      </c>
      <c r="S130" s="666" t="str">
        <f>IF(OR($A130="F&amp;F",$G130=""),"",IF(S$8&gt;$G130,IF(OR(status1B5!T130=1,status1B5!T130=2,'BOULEVARD 5'!V128&gt;0),"Pagado","impago"),""))</f>
        <v/>
      </c>
      <c r="T130" s="666" t="str">
        <f>IF(OR($A130="F&amp;F",$G130=""),"",IF(T$8&gt;$G130,IF(OR(status1B5!U130=1,status1B5!U130=2,'BOULEVARD 5'!W128&gt;0),"Pagado","impago"),""))</f>
        <v/>
      </c>
      <c r="U130" s="666" t="str">
        <f>IF(OR($A130="F&amp;F",$G130=""),"",IF(U$8&gt;$G130,IF(OR(status1B5!V130=1,status1B5!V130=2,'BOULEVARD 5'!X128&gt;0),"Pagado","impago"),""))</f>
        <v>Pagado</v>
      </c>
      <c r="V130" s="666" t="str">
        <f>IF(OR($A130="F&amp;F",$G130=""),"",IF(V$8&gt;$G130,IF(OR(status1B5!W130=1,status1B5!W130=2,'BOULEVARD 5'!Y128&gt;0),"Pagado","impago"),""))</f>
        <v>Pagado</v>
      </c>
      <c r="W130" s="666" t="str">
        <f>IF(OR($A130="F&amp;F",$G130=""),"",IF(W$8&gt;$G130,IF(OR(status1B5!X130=1,status1B5!X130=2,'BOULEVARD 5'!Z128&gt;0),"Pagado","impago"),""))</f>
        <v>Pagado</v>
      </c>
      <c r="X130" s="666" t="str">
        <f>IF(OR($A130="F&amp;F",$G130=""),"",IF(X$8&gt;$G130,IF(OR(status1B5!Y130=1,status1B5!Y130=2,'BOULEVARD 5'!AA128&gt;0),"Pagado","impago"),""))</f>
        <v>Pagado</v>
      </c>
      <c r="Y130" s="666" t="str">
        <f>IF(OR($A130="F&amp;F",$G130=""),"",IF(Y$8&gt;$G130,IF(OR(status1B5!Z130=1,status1B5!Z130=2,'BOULEVARD 5'!AB128&gt;0),"Pagado","impago"),""))</f>
        <v>Pagado</v>
      </c>
      <c r="Z130" s="666" t="str">
        <f>IF(OR($A130="F&amp;F",$G130=""),"",IF(Z$8&gt;$G130,IF(OR(status1B5!AA130=1,status1B5!AA130=2,'BOULEVARD 5'!AC128&gt;0),"Pagado","impago"),""))</f>
        <v>Pagado</v>
      </c>
      <c r="AA130" s="666" t="str">
        <f>IF(OR($A130="F&amp;F",$G130=""),"",IF(AA$8&gt;$G130,IF(OR(status1B5!AB130=1,status1B5!AB130=2,'BOULEVARD 5'!AD128&gt;0),"Pagado","impago"),""))</f>
        <v>Pagado</v>
      </c>
      <c r="AB130" s="666" t="str">
        <f>IF(OR($A130="F&amp;F",$G130=""),"",IF(AB$8&gt;$G130,IF(OR(status1B5!AC130=1,status1B5!AC130=2,'BOULEVARD 5'!AE128&gt;0),"Pagado","impago"),""))</f>
        <v>Pagado</v>
      </c>
      <c r="AC130" s="666" t="str">
        <f>IF(OR($A130="F&amp;F",$G130=""),"",IF(AC$8&gt;$G130,IF(OR(status1B5!AD130=1,status1B5!AD130=2,'BOULEVARD 5'!AF128&gt;0),"Pagado","impago"),""))</f>
        <v>Pagado</v>
      </c>
      <c r="AD130" s="666" t="str">
        <f>IF(OR($A130="F&amp;F",$G130=""),"",IF(AD$8&gt;$G130,IF(OR(status1B5!AE130=1,status1B5!AE130=2,'BOULEVARD 5'!AG128&gt;0),"Pagado","impago"),""))</f>
        <v>Pagado</v>
      </c>
      <c r="AE130" s="666" t="str">
        <f>IF(OR($A130="F&amp;F",$G130=""),"",IF(AE$8&gt;$G130,IF(OR(status1B5!AF130=1,status1B5!AF130=2,'BOULEVARD 5'!AH128&gt;0),"Pagado","impago"),""))</f>
        <v>Pagado</v>
      </c>
      <c r="AF130" s="666" t="str">
        <f>IF(OR($A130="F&amp;F",$G130=""),"",IF(AF$8&gt;$G130,IF(OR(status1B5!AG130=1,status1B5!AG130=2,'BOULEVARD 5'!AI128&gt;0),"Pagado","impago"),""))</f>
        <v>Pagado</v>
      </c>
      <c r="AG130" s="666" t="str">
        <f>IF(OR($A130="F&amp;F",$G130=""),"",IF(AG$8&gt;$G130,IF(OR(status1B5!AH130=1,status1B5!AH130=2,'BOULEVARD 5'!AJ128&gt;0),"Pagado","impago"),""))</f>
        <v>Pagado</v>
      </c>
      <c r="AH130" s="666" t="str">
        <f>IF(OR($A130="F&amp;F",$G130=""),"",IF(AH$8&gt;$G130,IF(OR(status1B5!AI130=1,status1B5!AI130=2,'BOULEVARD 5'!AK128&gt;0),"Pagado","impago"),""))</f>
        <v>Pagado</v>
      </c>
      <c r="AI130" s="666" t="str">
        <f>IF(OR($A130="F&amp;F",$G130=""),"",IF(AI$8&gt;$G130,IF(OR(status1B5!AJ130=1,status1B5!AJ130=2,'BOULEVARD 5'!AL128&gt;0),"Pagado","impago"),""))</f>
        <v>Pagado</v>
      </c>
      <c r="AJ130" s="666" t="str">
        <f>IF(OR($A130="F&amp;F",$G130=""),"",IF(AJ$8&gt;$G130,IF(OR(status1B5!AK130=1,status1B5!AK130=2,'BOULEVARD 5'!AM128&gt;0),"Pagado","impago"),""))</f>
        <v>Pagado</v>
      </c>
      <c r="AK130" s="666" t="str">
        <f>IF(OR($A130="F&amp;F",$G130=""),"",IF(AK$8&gt;$G130,IF(OR(status1B5!AL130=1,status1B5!AL130=2,'BOULEVARD 5'!AN128&gt;0),"Pagado","impago"),""))</f>
        <v>Pagado</v>
      </c>
      <c r="AL130" s="666" t="str">
        <f>IF(OR($A130="F&amp;F",$G130=""),"",IF(AL$8&gt;$G130,IF(OR(status1B5!AM130=1,status1B5!AM130=2,'BOULEVARD 5'!AO128&gt;0),"Pagado","impago"),""))</f>
        <v>Pagado</v>
      </c>
      <c r="AM130" s="666" t="str">
        <f>IF(OR($A130="F&amp;F",$G130=""),"",IF(AM$8&gt;$G130,IF(OR(status1B5!AN130=1,status1B5!AN130=2,'BOULEVARD 5'!AP128&gt;0),"Pagado","impago"),""))</f>
        <v>Pagado</v>
      </c>
      <c r="AN130" s="666" t="str">
        <f>IF(OR($A130="F&amp;F",$G130=""),"",IF(AN$8&gt;$G130,IF(OR(status1B5!AO130=1,status1B5!AO130=2,'BOULEVARD 5'!AQ128&gt;0),"Pagado","impago"),""))</f>
        <v>Pagado</v>
      </c>
      <c r="AO130" s="666" t="str">
        <f>IF(OR($A130="F&amp;F",$G130=""),"",IF(AO$8&gt;$G130,IF(OR(status1B5!AP130=1,status1B5!AP130=2,'BOULEVARD 5'!AS128&gt;0),"Pagado","impago"),""))</f>
        <v>Pagado</v>
      </c>
      <c r="AP130" s="429" t="str">
        <f t="shared" si="6"/>
        <v>Vendido</v>
      </c>
    </row>
    <row r="131" spans="1:42" s="429" customFormat="1" ht="13.9" customHeight="1" x14ac:dyDescent="0.25">
      <c r="A131" s="472"/>
      <c r="B131" s="436">
        <f>'BOULEVARD 5'!B129</f>
        <v>715</v>
      </c>
      <c r="C131" s="436" t="s">
        <v>355</v>
      </c>
      <c r="D131" s="436"/>
      <c r="E131" s="436" t="str">
        <f>IF('BOULEVARD 5'!E129="","",'BOULEVARD 5'!E129)</f>
        <v>Brenda Búcaro</v>
      </c>
      <c r="F131" s="429" t="str">
        <f>IF('BOULEVARD 5'!F129="","",'BOULEVARD 5'!F129)</f>
        <v>Cynthia Marisel Coronado Monterroso</v>
      </c>
      <c r="G131" s="473">
        <f>IF('BOULEVARD 5'!G129="","",'BOULEVARD 5'!G129)</f>
        <v>44995</v>
      </c>
      <c r="H131" s="666" t="str">
        <f>IF(OR($A131="F&amp;F",$G131=""),"",IF(H$8&gt;$G131,IF(OR(status1B5!I131=1,status1B5!I131=2,'BOULEVARD 5'!K129&gt;0),"Pagado","impago"),""))</f>
        <v>Pagado</v>
      </c>
      <c r="I131" s="666" t="str">
        <f>IF(OR($A131="F&amp;F",$G131=""),"",IF(I$8&gt;$G131,IF(OR(status1B5!J131=1,status1B5!J131=2,'BOULEVARD 5'!L129&gt;0),"Pagado","impago"),""))</f>
        <v>Pagado</v>
      </c>
      <c r="J131" s="666" t="str">
        <f>IF(OR($A131="F&amp;F",$G131=""),"",IF(J$8&gt;$G131,IF(OR(status1B5!K131=1,status1B5!K131=2,'BOULEVARD 5'!M129&gt;0),"Pagado","impago"),""))</f>
        <v>Pagado</v>
      </c>
      <c r="K131" s="666" t="str">
        <f>IF(OR($A131="F&amp;F",$G131=""),"",IF(K$8&gt;$G131,IF(OR(status1B5!L131=1,status1B5!L131=2,'BOULEVARD 5'!N129&gt;0),"Pagado","impago"),""))</f>
        <v>Pagado</v>
      </c>
      <c r="L131" s="666" t="str">
        <f>IF(OR($A131="F&amp;F",$G131=""),"",IF(L$8&gt;$G131,IF(OR(status1B5!M131=1,status1B5!M131=2,'BOULEVARD 5'!O129&gt;0),"Pagado","impago"),""))</f>
        <v>Pagado</v>
      </c>
      <c r="M131" s="666" t="str">
        <f>IF(OR($A131="F&amp;F",$G131=""),"",IF(M$8&gt;$G131,IF(OR(status1B5!N131=1,status1B5!N131=2,'BOULEVARD 5'!P129&gt;0),"Pagado","impago"),""))</f>
        <v>Pagado</v>
      </c>
      <c r="N131" s="666" t="str">
        <f>IF(OR($A131="F&amp;F",$G131=""),"",IF(N$8&gt;$G131,IF(OR(status1B5!O131=1,status1B5!O131=2,'BOULEVARD 5'!Q129&gt;0),"Pagado","impago"),""))</f>
        <v>Pagado</v>
      </c>
      <c r="O131" s="666" t="str">
        <f>IF(OR($A131="F&amp;F",$G131=""),"",IF(O$8&gt;$G131,IF(OR(status1B5!P131=1,status1B5!P131=2,'BOULEVARD 5'!R129&gt;0),"Pagado","impago"),""))</f>
        <v>Pagado</v>
      </c>
      <c r="P131" s="666" t="str">
        <f>IF(OR($A131="F&amp;F",$G131=""),"",IF(P$8&gt;$G131,IF(OR(status1B5!Q131=1,status1B5!Q131=2,'BOULEVARD 5'!S129&gt;0),"Pagado","impago"),""))</f>
        <v>Pagado</v>
      </c>
      <c r="Q131" s="666" t="str">
        <f>IF(OR($A131="F&amp;F",$G131=""),"",IF(Q$8&gt;$G131,IF(OR(status1B5!R131=1,status1B5!R131=2,'BOULEVARD 5'!T129&gt;0),"Pagado","impago"),""))</f>
        <v>Pagado</v>
      </c>
      <c r="R131" s="666" t="str">
        <f>IF(OR($A131="F&amp;F",$G131=""),"",IF(R$8&gt;$G131,IF(OR(status1B5!S131=1,status1B5!S131=2,'BOULEVARD 5'!U129&gt;0),"Pagado","impago"),""))</f>
        <v>Pagado</v>
      </c>
      <c r="S131" s="666" t="str">
        <f>IF(OR($A131="F&amp;F",$G131=""),"",IF(S$8&gt;$G131,IF(OR(status1B5!T131=1,status1B5!T131=2,'BOULEVARD 5'!V129&gt;0),"Pagado","impago"),""))</f>
        <v>Pagado</v>
      </c>
      <c r="T131" s="666" t="str">
        <f>IF(OR($A131="F&amp;F",$G131=""),"",IF(T$8&gt;$G131,IF(OR(status1B5!U131=1,status1B5!U131=2,'BOULEVARD 5'!W129&gt;0),"Pagado","impago"),""))</f>
        <v>Pagado</v>
      </c>
      <c r="U131" s="666" t="str">
        <f>IF(OR($A131="F&amp;F",$G131=""),"",IF(U$8&gt;$G131,IF(OR(status1B5!V131=1,status1B5!V131=2,'BOULEVARD 5'!X129&gt;0),"Pagado","impago"),""))</f>
        <v>Pagado</v>
      </c>
      <c r="V131" s="666" t="str">
        <f>IF(OR($A131="F&amp;F",$G131=""),"",IF(V$8&gt;$G131,IF(OR(status1B5!W131=1,status1B5!W131=2,'BOULEVARD 5'!Y129&gt;0),"Pagado","impago"),""))</f>
        <v>Pagado</v>
      </c>
      <c r="W131" s="666" t="str">
        <f>IF(OR($A131="F&amp;F",$G131=""),"",IF(W$8&gt;$G131,IF(OR(status1B5!X131=1,status1B5!X131=2,'BOULEVARD 5'!Z129&gt;0),"Pagado","impago"),""))</f>
        <v>Pagado</v>
      </c>
      <c r="X131" s="666" t="str">
        <f>IF(OR($A131="F&amp;F",$G131=""),"",IF(X$8&gt;$G131,IF(OR(status1B5!Y131=1,status1B5!Y131=2,'BOULEVARD 5'!AA129&gt;0),"Pagado","impago"),""))</f>
        <v>Pagado</v>
      </c>
      <c r="Y131" s="666" t="str">
        <f>IF(OR($A131="F&amp;F",$G131=""),"",IF(Y$8&gt;$G131,IF(OR(status1B5!Z131=1,status1B5!Z131=2,'BOULEVARD 5'!AB129&gt;0),"Pagado","impago"),""))</f>
        <v>Pagado</v>
      </c>
      <c r="Z131" s="666" t="str">
        <f>IF(OR($A131="F&amp;F",$G131=""),"",IF(Z$8&gt;$G131,IF(OR(status1B5!AA131=1,status1B5!AA131=2,'BOULEVARD 5'!AC129&gt;0),"Pagado","impago"),""))</f>
        <v>Pagado</v>
      </c>
      <c r="AA131" s="666" t="str">
        <f>IF(OR($A131="F&amp;F",$G131=""),"",IF(AA$8&gt;$G131,IF(OR(status1B5!AB131=1,status1B5!AB131=2,'BOULEVARD 5'!AD129&gt;0),"Pagado","impago"),""))</f>
        <v>Pagado</v>
      </c>
      <c r="AB131" s="666" t="str">
        <f>IF(OR($A131="F&amp;F",$G131=""),"",IF(AB$8&gt;$G131,IF(OR(status1B5!AC131=1,status1B5!AC131=2,'BOULEVARD 5'!AE129&gt;0),"Pagado","impago"),""))</f>
        <v>Pagado</v>
      </c>
      <c r="AC131" s="666" t="str">
        <f>IF(OR($A131="F&amp;F",$G131=""),"",IF(AC$8&gt;$G131,IF(OR(status1B5!AD131=1,status1B5!AD131=2,'BOULEVARD 5'!AF129&gt;0),"Pagado","impago"),""))</f>
        <v>Pagado</v>
      </c>
      <c r="AD131" s="666" t="str">
        <f>IF(OR($A131="F&amp;F",$G131=""),"",IF(AD$8&gt;$G131,IF(OR(status1B5!AE131=1,status1B5!AE131=2,'BOULEVARD 5'!AG129&gt;0),"Pagado","impago"),""))</f>
        <v>Pagado</v>
      </c>
      <c r="AE131" s="666" t="str">
        <f>IF(OR($A131="F&amp;F",$G131=""),"",IF(AE$8&gt;$G131,IF(OR(status1B5!AF131=1,status1B5!AF131=2,'BOULEVARD 5'!AH129&gt;0),"Pagado","impago"),""))</f>
        <v>Pagado</v>
      </c>
      <c r="AF131" s="666" t="str">
        <f>IF(OR($A131="F&amp;F",$G131=""),"",IF(AF$8&gt;$G131,IF(OR(status1B5!AG131=1,status1B5!AG131=2,'BOULEVARD 5'!AI129&gt;0),"Pagado","impago"),""))</f>
        <v>Pagado</v>
      </c>
      <c r="AG131" s="666" t="str">
        <f>IF(OR($A131="F&amp;F",$G131=""),"",IF(AG$8&gt;$G131,IF(OR(status1B5!AH131=1,status1B5!AH131=2,'BOULEVARD 5'!AJ129&gt;0),"Pagado","impago"),""))</f>
        <v>Pagado</v>
      </c>
      <c r="AH131" s="666" t="str">
        <f>IF(OR($A131="F&amp;F",$G131=""),"",IF(AH$8&gt;$G131,IF(OR(status1B5!AI131=1,status1B5!AI131=2,'BOULEVARD 5'!AK129&gt;0),"Pagado","impago"),""))</f>
        <v>Pagado</v>
      </c>
      <c r="AI131" s="666" t="str">
        <f>IF(OR($A131="F&amp;F",$G131=""),"",IF(AI$8&gt;$G131,IF(OR(status1B5!AJ131=1,status1B5!AJ131=2,'BOULEVARD 5'!AL129&gt;0),"Pagado","impago"),""))</f>
        <v>Pagado</v>
      </c>
      <c r="AJ131" s="666" t="str">
        <f>IF(OR($A131="F&amp;F",$G131=""),"",IF(AJ$8&gt;$G131,IF(OR(status1B5!AK131=1,status1B5!AK131=2,'BOULEVARD 5'!AM129&gt;0),"Pagado","impago"),""))</f>
        <v>Pagado</v>
      </c>
      <c r="AK131" s="666" t="str">
        <f>IF(OR($A131="F&amp;F",$G131=""),"",IF(AK$8&gt;$G131,IF(OR(status1B5!AL131=1,status1B5!AL131=2,'BOULEVARD 5'!AN129&gt;0),"Pagado","impago"),""))</f>
        <v>Pagado</v>
      </c>
      <c r="AL131" s="666" t="str">
        <f>IF(OR($A131="F&amp;F",$G131=""),"",IF(AL$8&gt;$G131,IF(OR(status1B5!AM131=1,status1B5!AM131=2,'BOULEVARD 5'!AO129&gt;0),"Pagado","impago"),""))</f>
        <v>Pagado</v>
      </c>
      <c r="AM131" s="666" t="str">
        <f>IF(OR($A131="F&amp;F",$G131=""),"",IF(AM$8&gt;$G131,IF(OR(status1B5!AN131=1,status1B5!AN131=2,'BOULEVARD 5'!AP129&gt;0),"Pagado","impago"),""))</f>
        <v>Pagado</v>
      </c>
      <c r="AN131" s="666" t="str">
        <f>IF(OR($A131="F&amp;F",$G131=""),"",IF(AN$8&gt;$G131,IF(OR(status1B5!AO131=1,status1B5!AO131=2,'BOULEVARD 5'!AQ129&gt;0),"Pagado","impago"),""))</f>
        <v>Pagado</v>
      </c>
      <c r="AO131" s="666" t="str">
        <f>IF(OR($A131="F&amp;F",$G131=""),"",IF(AO$8&gt;$G131,IF(OR(status1B5!AP131=1,status1B5!AP131=2,'BOULEVARD 5'!AS129&gt;0),"Pagado","impago"),""))</f>
        <v>Pagado</v>
      </c>
      <c r="AP131" s="429" t="str">
        <f t="shared" si="6"/>
        <v>Vendido</v>
      </c>
    </row>
    <row r="132" spans="1:42" s="429" customFormat="1" ht="13.9" customHeight="1" x14ac:dyDescent="0.25">
      <c r="A132" s="472"/>
      <c r="B132" s="436">
        <f>'BOULEVARD 5'!B130</f>
        <v>716</v>
      </c>
      <c r="C132" s="436" t="s">
        <v>355</v>
      </c>
      <c r="D132" s="436"/>
      <c r="E132" s="436" t="str">
        <f>IF('BOULEVARD 5'!E130="","",'BOULEVARD 5'!E130)</f>
        <v>Antonio Rada</v>
      </c>
      <c r="F132" s="429" t="str">
        <f>IF('BOULEVARD 5'!F130="","",'BOULEVARD 5'!F130)</f>
        <v>Lisvet  Maricelasance Alvarez De Giron</v>
      </c>
      <c r="G132" s="473">
        <f>IF('BOULEVARD 5'!G130="","",'BOULEVARD 5'!G130)</f>
        <v>45306</v>
      </c>
      <c r="H132" s="666" t="str">
        <f>IF(OR($A132="F&amp;F",$G132=""),"",IF(H$8&gt;$G132,IF(OR(status1B5!I132=1,status1B5!I132=2,'BOULEVARD 5'!K130&gt;0),"Pagado","impago"),""))</f>
        <v/>
      </c>
      <c r="I132" s="666" t="str">
        <f>IF(OR($A132="F&amp;F",$G132=""),"",IF(I$8&gt;$G132,IF(OR(status1B5!J132=1,status1B5!J132=2,'BOULEVARD 5'!L130&gt;0),"Pagado","impago"),""))</f>
        <v/>
      </c>
      <c r="J132" s="666" t="str">
        <f>IF(OR($A132="F&amp;F",$G132=""),"",IF(J$8&gt;$G132,IF(OR(status1B5!K132=1,status1B5!K132=2,'BOULEVARD 5'!M130&gt;0),"Pagado","impago"),""))</f>
        <v/>
      </c>
      <c r="K132" s="666" t="str">
        <f>IF(OR($A132="F&amp;F",$G132=""),"",IF(K$8&gt;$G132,IF(OR(status1B5!L132=1,status1B5!L132=2,'BOULEVARD 5'!N130&gt;0),"Pagado","impago"),""))</f>
        <v/>
      </c>
      <c r="L132" s="666" t="str">
        <f>IF(OR($A132="F&amp;F",$G132=""),"",IF(L$8&gt;$G132,IF(OR(status1B5!M132=1,status1B5!M132=2,'BOULEVARD 5'!O130&gt;0),"Pagado","impago"),""))</f>
        <v/>
      </c>
      <c r="M132" s="666" t="str">
        <f>IF(OR($A132="F&amp;F",$G132=""),"",IF(M$8&gt;$G132,IF(OR(status1B5!N132=1,status1B5!N132=2,'BOULEVARD 5'!P130&gt;0),"Pagado","impago"),""))</f>
        <v/>
      </c>
      <c r="N132" s="666" t="str">
        <f>IF(OR($A132="F&amp;F",$G132=""),"",IF(N$8&gt;$G132,IF(OR(status1B5!O132=1,status1B5!O132=2,'BOULEVARD 5'!Q130&gt;0),"Pagado","impago"),""))</f>
        <v/>
      </c>
      <c r="O132" s="666" t="str">
        <f>IF(OR($A132="F&amp;F",$G132=""),"",IF(O$8&gt;$G132,IF(OR(status1B5!P132=1,status1B5!P132=2,'BOULEVARD 5'!R130&gt;0),"Pagado","impago"),""))</f>
        <v/>
      </c>
      <c r="P132" s="666" t="str">
        <f>IF(OR($A132="F&amp;F",$G132=""),"",IF(P$8&gt;$G132,IF(OR(status1B5!Q132=1,status1B5!Q132=2,'BOULEVARD 5'!S130&gt;0),"Pagado","impago"),""))</f>
        <v/>
      </c>
      <c r="Q132" s="666" t="str">
        <f>IF(OR($A132="F&amp;F",$G132=""),"",IF(Q$8&gt;$G132,IF(OR(status1B5!R132=1,status1B5!R132=2,'BOULEVARD 5'!T130&gt;0),"Pagado","impago"),""))</f>
        <v/>
      </c>
      <c r="R132" s="666" t="str">
        <f>IF(OR($A132="F&amp;F",$G132=""),"",IF(R$8&gt;$G132,IF(OR(status1B5!S132=1,status1B5!S132=2,'BOULEVARD 5'!U130&gt;0),"Pagado","impago"),""))</f>
        <v>Pagado</v>
      </c>
      <c r="S132" s="666" t="str">
        <f>IF(OR($A132="F&amp;F",$G132=""),"",IF(S$8&gt;$G132,IF(OR(status1B5!T132=1,status1B5!T132=2,'BOULEVARD 5'!V130&gt;0),"Pagado","impago"),""))</f>
        <v>Pagado</v>
      </c>
      <c r="T132" s="666" t="str">
        <f>IF(OR($A132="F&amp;F",$G132=""),"",IF(T$8&gt;$G132,IF(OR(status1B5!U132=1,status1B5!U132=2,'BOULEVARD 5'!W130&gt;0),"Pagado","impago"),""))</f>
        <v>Pagado</v>
      </c>
      <c r="U132" s="666" t="str">
        <f>IF(OR($A132="F&amp;F",$G132=""),"",IF(U$8&gt;$G132,IF(OR(status1B5!V132=1,status1B5!V132=2,'BOULEVARD 5'!X130&gt;0),"Pagado","impago"),""))</f>
        <v>Pagado</v>
      </c>
      <c r="V132" s="666" t="str">
        <f>IF(OR($A132="F&amp;F",$G132=""),"",IF(V$8&gt;$G132,IF(OR(status1B5!W132=1,status1B5!W132=2,'BOULEVARD 5'!Y130&gt;0),"Pagado","impago"),""))</f>
        <v>Pagado</v>
      </c>
      <c r="W132" s="666" t="str">
        <f>IF(OR($A132="F&amp;F",$G132=""),"",IF(W$8&gt;$G132,IF(OR(status1B5!X132=1,status1B5!X132=2,'BOULEVARD 5'!Z130&gt;0),"Pagado","impago"),""))</f>
        <v>Pagado</v>
      </c>
      <c r="X132" s="666" t="str">
        <f>IF(OR($A132="F&amp;F",$G132=""),"",IF(X$8&gt;$G132,IF(OR(status1B5!Y132=1,status1B5!Y132=2,'BOULEVARD 5'!AA130&gt;0),"Pagado","impago"),""))</f>
        <v>Pagado</v>
      </c>
      <c r="Y132" s="666" t="str">
        <f>IF(OR($A132="F&amp;F",$G132=""),"",IF(Y$8&gt;$G132,IF(OR(status1B5!Z132=1,status1B5!Z132=2,'BOULEVARD 5'!AB130&gt;0),"Pagado","impago"),""))</f>
        <v>Pagado</v>
      </c>
      <c r="Z132" s="666" t="str">
        <f>IF(OR($A132="F&amp;F",$G132=""),"",IF(Z$8&gt;$G132,IF(OR(status1B5!AA132=1,status1B5!AA132=2,'BOULEVARD 5'!AC130&gt;0),"Pagado","impago"),""))</f>
        <v>Pagado</v>
      </c>
      <c r="AA132" s="666" t="str">
        <f>IF(OR($A132="F&amp;F",$G132=""),"",IF(AA$8&gt;$G132,IF(OR(status1B5!AB132=1,status1B5!AB132=2,'BOULEVARD 5'!AD130&gt;0),"Pagado","impago"),""))</f>
        <v>Pagado</v>
      </c>
      <c r="AB132" s="666" t="str">
        <f>IF(OR($A132="F&amp;F",$G132=""),"",IF(AB$8&gt;$G132,IF(OR(status1B5!AC132=1,status1B5!AC132=2,'BOULEVARD 5'!AE130&gt;0),"Pagado","impago"),""))</f>
        <v>Pagado</v>
      </c>
      <c r="AC132" s="666" t="str">
        <f>IF(OR($A132="F&amp;F",$G132=""),"",IF(AC$8&gt;$G132,IF(OR(status1B5!AD132=1,status1B5!AD132=2,'BOULEVARD 5'!AF130&gt;0),"Pagado","impago"),""))</f>
        <v>Pagado</v>
      </c>
      <c r="AD132" s="666" t="str">
        <f>IF(OR($A132="F&amp;F",$G132=""),"",IF(AD$8&gt;$G132,IF(OR(status1B5!AE132=1,status1B5!AE132=2,'BOULEVARD 5'!AG130&gt;0),"Pagado","impago"),""))</f>
        <v>Pagado</v>
      </c>
      <c r="AE132" s="666" t="str">
        <f>IF(OR($A132="F&amp;F",$G132=""),"",IF(AE$8&gt;$G132,IF(OR(status1B5!AF132=1,status1B5!AF132=2,'BOULEVARD 5'!AH130&gt;0),"Pagado","impago"),""))</f>
        <v>Pagado</v>
      </c>
      <c r="AF132" s="666" t="str">
        <f>IF(OR($A132="F&amp;F",$G132=""),"",IF(AF$8&gt;$G132,IF(OR(status1B5!AG132=1,status1B5!AG132=2,'BOULEVARD 5'!AI130&gt;0),"Pagado","impago"),""))</f>
        <v>Pagado</v>
      </c>
      <c r="AG132" s="666" t="str">
        <f>IF(OR($A132="F&amp;F",$G132=""),"",IF(AG$8&gt;$G132,IF(OR(status1B5!AH132=1,status1B5!AH132=2,'BOULEVARD 5'!AJ130&gt;0),"Pagado","impago"),""))</f>
        <v>Pagado</v>
      </c>
      <c r="AH132" s="666" t="str">
        <f>IF(OR($A132="F&amp;F",$G132=""),"",IF(AH$8&gt;$G132,IF(OR(status1B5!AI132=1,status1B5!AI132=2,'BOULEVARD 5'!AK130&gt;0),"Pagado","impago"),""))</f>
        <v>Pagado</v>
      </c>
      <c r="AI132" s="666" t="str">
        <f>IF(OR($A132="F&amp;F",$G132=""),"",IF(AI$8&gt;$G132,IF(OR(status1B5!AJ132=1,status1B5!AJ132=2,'BOULEVARD 5'!AL130&gt;0),"Pagado","impago"),""))</f>
        <v>Pagado</v>
      </c>
      <c r="AJ132" s="666" t="str">
        <f>IF(OR($A132="F&amp;F",$G132=""),"",IF(AJ$8&gt;$G132,IF(OR(status1B5!AK132=1,status1B5!AK132=2,'BOULEVARD 5'!AM130&gt;0),"Pagado","impago"),""))</f>
        <v>Pagado</v>
      </c>
      <c r="AK132" s="666" t="str">
        <f>IF(OR($A132="F&amp;F",$G132=""),"",IF(AK$8&gt;$G132,IF(OR(status1B5!AL132=1,status1B5!AL132=2,'BOULEVARD 5'!AN130&gt;0),"Pagado","impago"),""))</f>
        <v>Pagado</v>
      </c>
      <c r="AL132" s="666" t="str">
        <f>IF(OR($A132="F&amp;F",$G132=""),"",IF(AL$8&gt;$G132,IF(OR(status1B5!AM132=1,status1B5!AM132=2,'BOULEVARD 5'!AO130&gt;0),"Pagado","impago"),""))</f>
        <v>Pagado</v>
      </c>
      <c r="AM132" s="666" t="str">
        <f>IF(OR($A132="F&amp;F",$G132=""),"",IF(AM$8&gt;$G132,IF(OR(status1B5!AN132=1,status1B5!AN132=2,'BOULEVARD 5'!AP130&gt;0),"Pagado","impago"),""))</f>
        <v>Pagado</v>
      </c>
      <c r="AN132" s="666" t="str">
        <f>IF(OR($A132="F&amp;F",$G132=""),"",IF(AN$8&gt;$G132,IF(OR(status1B5!AO132=1,status1B5!AO132=2,'BOULEVARD 5'!AQ130&gt;0),"Pagado","impago"),""))</f>
        <v>Pagado</v>
      </c>
      <c r="AO132" s="666" t="str">
        <f>IF(OR($A132="F&amp;F",$G132=""),"",IF(AO$8&gt;$G132,IF(OR(status1B5!AP132=1,status1B5!AP132=2,'BOULEVARD 5'!AS130&gt;0),"Pagado","impago"),""))</f>
        <v>Pagado</v>
      </c>
      <c r="AP132" s="429" t="str">
        <f t="shared" si="6"/>
        <v>Vendido</v>
      </c>
    </row>
    <row r="133" spans="1:42" s="429" customFormat="1" ht="13.9" customHeight="1" x14ac:dyDescent="0.25">
      <c r="A133" s="472"/>
      <c r="B133" s="436">
        <f>'BOULEVARD 5'!B131</f>
        <v>717</v>
      </c>
      <c r="C133" s="436" t="s">
        <v>355</v>
      </c>
      <c r="D133" s="436"/>
      <c r="E133" s="436" t="str">
        <f>IF('BOULEVARD 5'!E131="","",'BOULEVARD 5'!E131)</f>
        <v>Antonio Rada</v>
      </c>
      <c r="F133" s="429" t="str">
        <f>IF('BOULEVARD 5'!F131="","",'BOULEVARD 5'!F131)</f>
        <v>Jorge Estuardo Díaz Durán Baldetti</v>
      </c>
      <c r="G133" s="473">
        <f>IF('BOULEVARD 5'!G131="","",'BOULEVARD 5'!G131)</f>
        <v>45412</v>
      </c>
      <c r="H133" s="666" t="str">
        <f>IF(OR($A133="F&amp;F",$G133=""),"",IF(H$8&gt;$G133,IF(OR(status1B5!I133=1,status1B5!I133=2,'BOULEVARD 5'!K131&gt;0),"Pagado","impago"),""))</f>
        <v/>
      </c>
      <c r="I133" s="666" t="str">
        <f>IF(OR($A133="F&amp;F",$G133=""),"",IF(I$8&gt;$G133,IF(OR(status1B5!J133=1,status1B5!J133=2,'BOULEVARD 5'!L131&gt;0),"Pagado","impago"),""))</f>
        <v/>
      </c>
      <c r="J133" s="666" t="str">
        <f>IF(OR($A133="F&amp;F",$G133=""),"",IF(J$8&gt;$G133,IF(OR(status1B5!K133=1,status1B5!K133=2,'BOULEVARD 5'!M131&gt;0),"Pagado","impago"),""))</f>
        <v/>
      </c>
      <c r="K133" s="666" t="str">
        <f>IF(OR($A133="F&amp;F",$G133=""),"",IF(K$8&gt;$G133,IF(OR(status1B5!L133=1,status1B5!L133=2,'BOULEVARD 5'!N131&gt;0),"Pagado","impago"),""))</f>
        <v/>
      </c>
      <c r="L133" s="666" t="str">
        <f>IF(OR($A133="F&amp;F",$G133=""),"",IF(L$8&gt;$G133,IF(OR(status1B5!M133=1,status1B5!M133=2,'BOULEVARD 5'!O131&gt;0),"Pagado","impago"),""))</f>
        <v/>
      </c>
      <c r="M133" s="666" t="str">
        <f>IF(OR($A133="F&amp;F",$G133=""),"",IF(M$8&gt;$G133,IF(OR(status1B5!N133=1,status1B5!N133=2,'BOULEVARD 5'!P131&gt;0),"Pagado","impago"),""))</f>
        <v/>
      </c>
      <c r="N133" s="666" t="str">
        <f>IF(OR($A133="F&amp;F",$G133=""),"",IF(N$8&gt;$G133,IF(OR(status1B5!O133=1,status1B5!O133=2,'BOULEVARD 5'!Q131&gt;0),"Pagado","impago"),""))</f>
        <v/>
      </c>
      <c r="O133" s="666" t="str">
        <f>IF(OR($A133="F&amp;F",$G133=""),"",IF(O$8&gt;$G133,IF(OR(status1B5!P133=1,status1B5!P133=2,'BOULEVARD 5'!R131&gt;0),"Pagado","impago"),""))</f>
        <v/>
      </c>
      <c r="P133" s="666" t="str">
        <f>IF(OR($A133="F&amp;F",$G133=""),"",IF(P$8&gt;$G133,IF(OR(status1B5!Q133=1,status1B5!Q133=2,'BOULEVARD 5'!S131&gt;0),"Pagado","impago"),""))</f>
        <v/>
      </c>
      <c r="Q133" s="666" t="str">
        <f>IF(OR($A133="F&amp;F",$G133=""),"",IF(Q$8&gt;$G133,IF(OR(status1B5!R133=1,status1B5!R133=2,'BOULEVARD 5'!T131&gt;0),"Pagado","impago"),""))</f>
        <v/>
      </c>
      <c r="R133" s="666" t="str">
        <f>IF(OR($A133="F&amp;F",$G133=""),"",IF(R$8&gt;$G133,IF(OR(status1B5!S133=1,status1B5!S133=2,'BOULEVARD 5'!U131&gt;0),"Pagado","impago"),""))</f>
        <v/>
      </c>
      <c r="S133" s="666" t="str">
        <f>IF(OR($A133="F&amp;F",$G133=""),"",IF(S$8&gt;$G133,IF(OR(status1B5!T133=1,status1B5!T133=2,'BOULEVARD 5'!V131&gt;0),"Pagado","impago"),""))</f>
        <v/>
      </c>
      <c r="T133" s="666" t="str">
        <f>IF(OR($A133="F&amp;F",$G133=""),"",IF(T$8&gt;$G133,IF(OR(status1B5!U133=1,status1B5!U133=2,'BOULEVARD 5'!W131&gt;0),"Pagado","impago"),""))</f>
        <v/>
      </c>
      <c r="U133" s="666" t="str">
        <f>IF(OR($A133="F&amp;F",$G133=""),"",IF(U$8&gt;$G133,IF(OR(status1B5!V133=1,status1B5!V133=2,'BOULEVARD 5'!X131&gt;0),"Pagado","impago"),""))</f>
        <v/>
      </c>
      <c r="V133" s="666" t="str">
        <f>IF(OR($A133="F&amp;F",$G133=""),"",IF(V$8&gt;$G133,IF(OR(status1B5!W133=1,status1B5!W133=2,'BOULEVARD 5'!Y131&gt;0),"Pagado","impago"),""))</f>
        <v>Pagado</v>
      </c>
      <c r="W133" s="666" t="str">
        <f>IF(OR($A133="F&amp;F",$G133=""),"",IF(W$8&gt;$G133,IF(OR(status1B5!X133=1,status1B5!X133=2,'BOULEVARD 5'!Z131&gt;0),"Pagado","impago"),""))</f>
        <v>Pagado</v>
      </c>
      <c r="X133" s="666" t="str">
        <f>IF(OR($A133="F&amp;F",$G133=""),"",IF(X$8&gt;$G133,IF(OR(status1B5!Y133=1,status1B5!Y133=2,'BOULEVARD 5'!AA131&gt;0),"Pagado","impago"),""))</f>
        <v>Pagado</v>
      </c>
      <c r="Y133" s="666" t="str">
        <f>IF(OR($A133="F&amp;F",$G133=""),"",IF(Y$8&gt;$G133,IF(OR(status1B5!Z133=1,status1B5!Z133=2,'BOULEVARD 5'!AB131&gt;0),"Pagado","impago"),""))</f>
        <v>Pagado</v>
      </c>
      <c r="Z133" s="666" t="str">
        <f>IF(OR($A133="F&amp;F",$G133=""),"",IF(Z$8&gt;$G133,IF(OR(status1B5!AA133=1,status1B5!AA133=2,'BOULEVARD 5'!AC131&gt;0),"Pagado","impago"),""))</f>
        <v>Pagado</v>
      </c>
      <c r="AA133" s="666" t="str">
        <f>IF(OR($A133="F&amp;F",$G133=""),"",IF(AA$8&gt;$G133,IF(OR(status1B5!AB133=1,status1B5!AB133=2,'BOULEVARD 5'!AD131&gt;0),"Pagado","impago"),""))</f>
        <v>Pagado</v>
      </c>
      <c r="AB133" s="666" t="str">
        <f>IF(OR($A133="F&amp;F",$G133=""),"",IF(AB$8&gt;$G133,IF(OR(status1B5!AC133=1,status1B5!AC133=2,'BOULEVARD 5'!AE131&gt;0),"Pagado","impago"),""))</f>
        <v>Pagado</v>
      </c>
      <c r="AC133" s="666" t="str">
        <f>IF(OR($A133="F&amp;F",$G133=""),"",IF(AC$8&gt;$G133,IF(OR(status1B5!AD133=1,status1B5!AD133=2,'BOULEVARD 5'!AF131&gt;0),"Pagado","impago"),""))</f>
        <v>Pagado</v>
      </c>
      <c r="AD133" s="666" t="str">
        <f>IF(OR($A133="F&amp;F",$G133=""),"",IF(AD$8&gt;$G133,IF(OR(status1B5!AE133=1,status1B5!AE133=2,'BOULEVARD 5'!AG131&gt;0),"Pagado","impago"),""))</f>
        <v>Pagado</v>
      </c>
      <c r="AE133" s="666" t="str">
        <f>IF(OR($A133="F&amp;F",$G133=""),"",IF(AE$8&gt;$G133,IF(OR(status1B5!AF133=1,status1B5!AF133=2,'BOULEVARD 5'!AH131&gt;0),"Pagado","impago"),""))</f>
        <v>Pagado</v>
      </c>
      <c r="AF133" s="666" t="str">
        <f>IF(OR($A133="F&amp;F",$G133=""),"",IF(AF$8&gt;$G133,IF(OR(status1B5!AG133=1,status1B5!AG133=2,'BOULEVARD 5'!AI131&gt;0),"Pagado","impago"),""))</f>
        <v>Pagado</v>
      </c>
      <c r="AG133" s="666" t="str">
        <f>IF(OR($A133="F&amp;F",$G133=""),"",IF(AG$8&gt;$G133,IF(OR(status1B5!AH133=1,status1B5!AH133=2,'BOULEVARD 5'!AJ131&gt;0),"Pagado","impago"),""))</f>
        <v>Pagado</v>
      </c>
      <c r="AH133" s="666" t="str">
        <f>IF(OR($A133="F&amp;F",$G133=""),"",IF(AH$8&gt;$G133,IF(OR(status1B5!AI133=1,status1B5!AI133=2,'BOULEVARD 5'!AK131&gt;0),"Pagado","impago"),""))</f>
        <v>Pagado</v>
      </c>
      <c r="AI133" s="666" t="str">
        <f>IF(OR($A133="F&amp;F",$G133=""),"",IF(AI$8&gt;$G133,IF(OR(status1B5!AJ133=1,status1B5!AJ133=2,'BOULEVARD 5'!AL131&gt;0),"Pagado","impago"),""))</f>
        <v>Pagado</v>
      </c>
      <c r="AJ133" s="666" t="str">
        <f>IF(OR($A133="F&amp;F",$G133=""),"",IF(AJ$8&gt;$G133,IF(OR(status1B5!AK133=1,status1B5!AK133=2,'BOULEVARD 5'!AM131&gt;0),"Pagado","impago"),""))</f>
        <v>Pagado</v>
      </c>
      <c r="AK133" s="666" t="str">
        <f>IF(OR($A133="F&amp;F",$G133=""),"",IF(AK$8&gt;$G133,IF(OR(status1B5!AL133=1,status1B5!AL133=2,'BOULEVARD 5'!AN131&gt;0),"Pagado","impago"),""))</f>
        <v>Pagado</v>
      </c>
      <c r="AL133" s="666" t="str">
        <f>IF(OR($A133="F&amp;F",$G133=""),"",IF(AL$8&gt;$G133,IF(OR(status1B5!AM133=1,status1B5!AM133=2,'BOULEVARD 5'!AO131&gt;0),"Pagado","impago"),""))</f>
        <v>Pagado</v>
      </c>
      <c r="AM133" s="666" t="str">
        <f>IF(OR($A133="F&amp;F",$G133=""),"",IF(AM$8&gt;$G133,IF(OR(status1B5!AN133=1,status1B5!AN133=2,'BOULEVARD 5'!AP131&gt;0),"Pagado","impago"),""))</f>
        <v>Pagado</v>
      </c>
      <c r="AN133" s="666" t="str">
        <f>IF(OR($A133="F&amp;F",$G133=""),"",IF(AN$8&gt;$G133,IF(OR(status1B5!AO133=1,status1B5!AO133=2,'BOULEVARD 5'!AQ131&gt;0),"Pagado","impago"),""))</f>
        <v>Pagado</v>
      </c>
      <c r="AO133" s="666" t="str">
        <f>IF(OR($A133="F&amp;F",$G133=""),"",IF(AO$8&gt;$G133,IF(OR(status1B5!AP133=1,status1B5!AP133=2,'BOULEVARD 5'!AS131&gt;0),"Pagado","impago"),""))</f>
        <v>Pagado</v>
      </c>
      <c r="AP133" s="429" t="str">
        <f t="shared" si="6"/>
        <v>Vendido</v>
      </c>
    </row>
    <row r="134" spans="1:42" s="429" customFormat="1" ht="13.9" customHeight="1" x14ac:dyDescent="0.25">
      <c r="A134" s="472"/>
      <c r="B134" s="436">
        <f>'BOULEVARD 5'!B132</f>
        <v>718</v>
      </c>
      <c r="C134" s="436" t="s">
        <v>355</v>
      </c>
      <c r="D134" s="436"/>
      <c r="E134" s="436" t="str">
        <f>IF('BOULEVARD 5'!E132="","",'BOULEVARD 5'!E132)</f>
        <v>Mario Rodriguez</v>
      </c>
      <c r="F134" s="429" t="str">
        <f>IF('BOULEVARD 5'!F132="","",'BOULEVARD 5'!F132)</f>
        <v>Julio Fernando Flores Interiano</v>
      </c>
      <c r="G134" s="473">
        <f>IF('BOULEVARD 5'!G132="","",'BOULEVARD 5'!G132)</f>
        <v>45902</v>
      </c>
      <c r="H134" s="666" t="str">
        <f>IF(OR($A134="F&amp;F",$G134=""),"",IF(H$8&gt;$G134,IF(OR(status1B5!I134=1,status1B5!I134=2,'BOULEVARD 5'!K132&gt;0),"Pagado","impago"),""))</f>
        <v/>
      </c>
      <c r="I134" s="666" t="str">
        <f>IF(OR($A134="F&amp;F",$G134=""),"",IF(I$8&gt;$G134,IF(OR(status1B5!J134=1,status1B5!J134=2,'BOULEVARD 5'!L132&gt;0),"Pagado","impago"),""))</f>
        <v/>
      </c>
      <c r="J134" s="666" t="str">
        <f>IF(OR($A134="F&amp;F",$G134=""),"",IF(J$8&gt;$G134,IF(OR(status1B5!K134=1,status1B5!K134=2,'BOULEVARD 5'!M132&gt;0),"Pagado","impago"),""))</f>
        <v/>
      </c>
      <c r="K134" s="666" t="str">
        <f>IF(OR($A134="F&amp;F",$G134=""),"",IF(K$8&gt;$G134,IF(OR(status1B5!L134=1,status1B5!L134=2,'BOULEVARD 5'!N132&gt;0),"Pagado","impago"),""))</f>
        <v/>
      </c>
      <c r="L134" s="666" t="str">
        <f>IF(OR($A134="F&amp;F",$G134=""),"",IF(L$8&gt;$G134,IF(OR(status1B5!M134=1,status1B5!M134=2,'BOULEVARD 5'!O132&gt;0),"Pagado","impago"),""))</f>
        <v/>
      </c>
      <c r="M134" s="666" t="str">
        <f>IF(OR($A134="F&amp;F",$G134=""),"",IF(M$8&gt;$G134,IF(OR(status1B5!N134=1,status1B5!N134=2,'BOULEVARD 5'!P132&gt;0),"Pagado","impago"),""))</f>
        <v/>
      </c>
      <c r="N134" s="666" t="str">
        <f>IF(OR($A134="F&amp;F",$G134=""),"",IF(N$8&gt;$G134,IF(OR(status1B5!O134=1,status1B5!O134=2,'BOULEVARD 5'!Q132&gt;0),"Pagado","impago"),""))</f>
        <v/>
      </c>
      <c r="O134" s="666" t="str">
        <f>IF(OR($A134="F&amp;F",$G134=""),"",IF(O$8&gt;$G134,IF(OR(status1B5!P134=1,status1B5!P134=2,'BOULEVARD 5'!R132&gt;0),"Pagado","impago"),""))</f>
        <v/>
      </c>
      <c r="P134" s="666" t="str">
        <f>IF(OR($A134="F&amp;F",$G134=""),"",IF(P$8&gt;$G134,IF(OR(status1B5!Q134=1,status1B5!Q134=2,'BOULEVARD 5'!S132&gt;0),"Pagado","impago"),""))</f>
        <v/>
      </c>
      <c r="Q134" s="666" t="str">
        <f>IF(OR($A134="F&amp;F",$G134=""),"",IF(Q$8&gt;$G134,IF(OR(status1B5!R134=1,status1B5!R134=2,'BOULEVARD 5'!T132&gt;0),"Pagado","impago"),""))</f>
        <v/>
      </c>
      <c r="R134" s="666" t="str">
        <f>IF(OR($A134="F&amp;F",$G134=""),"",IF(R$8&gt;$G134,IF(OR(status1B5!S134=1,status1B5!S134=2,'BOULEVARD 5'!U132&gt;0),"Pagado","impago"),""))</f>
        <v/>
      </c>
      <c r="S134" s="666" t="str">
        <f>IF(OR($A134="F&amp;F",$G134=""),"",IF(S$8&gt;$G134,IF(OR(status1B5!T134=1,status1B5!T134=2,'BOULEVARD 5'!V132&gt;0),"Pagado","impago"),""))</f>
        <v/>
      </c>
      <c r="T134" s="666" t="str">
        <f>IF(OR($A134="F&amp;F",$G134=""),"",IF(T$8&gt;$G134,IF(OR(status1B5!U134=1,status1B5!U134=2,'BOULEVARD 5'!W132&gt;0),"Pagado","impago"),""))</f>
        <v/>
      </c>
      <c r="U134" s="666" t="str">
        <f>IF(OR($A134="F&amp;F",$G134=""),"",IF(U$8&gt;$G134,IF(OR(status1B5!V134=1,status1B5!V134=2,'BOULEVARD 5'!X132&gt;0),"Pagado","impago"),""))</f>
        <v/>
      </c>
      <c r="V134" s="666" t="str">
        <f>IF(OR($A134="F&amp;F",$G134=""),"",IF(V$8&gt;$G134,IF(OR(status1B5!W134=1,status1B5!W134=2,'BOULEVARD 5'!Y132&gt;0),"Pagado","impago"),""))</f>
        <v/>
      </c>
      <c r="W134" s="666" t="str">
        <f>IF(OR($A134="F&amp;F",$G134=""),"",IF(W$8&gt;$G134,IF(OR(status1B5!X134=1,status1B5!X134=2,'BOULEVARD 5'!Z132&gt;0),"Pagado","impago"),""))</f>
        <v/>
      </c>
      <c r="X134" s="666" t="str">
        <f>IF(OR($A134="F&amp;F",$G134=""),"",IF(X$8&gt;$G134,IF(OR(status1B5!Y134=1,status1B5!Y134=2,'BOULEVARD 5'!AA132&gt;0),"Pagado","impago"),""))</f>
        <v/>
      </c>
      <c r="Y134" s="666" t="str">
        <f>IF(OR($A134="F&amp;F",$G134=""),"",IF(Y$8&gt;$G134,IF(OR(status1B5!Z134=1,status1B5!Z134=2,'BOULEVARD 5'!AB132&gt;0),"Pagado","impago"),""))</f>
        <v/>
      </c>
      <c r="Z134" s="666" t="str">
        <f>IF(OR($A134="F&amp;F",$G134=""),"",IF(Z$8&gt;$G134,IF(OR(status1B5!AA134=1,status1B5!AA134=2,'BOULEVARD 5'!AC132&gt;0),"Pagado","impago"),""))</f>
        <v/>
      </c>
      <c r="AA134" s="666" t="str">
        <f>IF(OR($A134="F&amp;F",$G134=""),"",IF(AA$8&gt;$G134,IF(OR(status1B5!AB134=1,status1B5!AB134=2,'BOULEVARD 5'!AD132&gt;0),"Pagado","impago"),""))</f>
        <v/>
      </c>
      <c r="AB134" s="666" t="str">
        <f>IF(OR($A134="F&amp;F",$G134=""),"",IF(AB$8&gt;$G134,IF(OR(status1B5!AC134=1,status1B5!AC134=2,'BOULEVARD 5'!AE132&gt;0),"Pagado","impago"),""))</f>
        <v/>
      </c>
      <c r="AC134" s="666" t="str">
        <f>IF(OR($A134="F&amp;F",$G134=""),"",IF(AC$8&gt;$G134,IF(OR(status1B5!AD134=1,status1B5!AD134=2,'BOULEVARD 5'!AF132&gt;0),"Pagado","impago"),""))</f>
        <v/>
      </c>
      <c r="AD134" s="666" t="str">
        <f>IF(OR($A134="F&amp;F",$G134=""),"",IF(AD$8&gt;$G134,IF(OR(status1B5!AE134=1,status1B5!AE134=2,'BOULEVARD 5'!AG132&gt;0),"Pagado","impago"),""))</f>
        <v/>
      </c>
      <c r="AE134" s="666" t="str">
        <f>IF(OR($A134="F&amp;F",$G134=""),"",IF(AE$8&gt;$G134,IF(OR(status1B5!AF134=1,status1B5!AF134=2,'BOULEVARD 5'!AH132&gt;0),"Pagado","impago"),""))</f>
        <v/>
      </c>
      <c r="AF134" s="666" t="str">
        <f>IF(OR($A134="F&amp;F",$G134=""),"",IF(AF$8&gt;$G134,IF(OR(status1B5!AG134=1,status1B5!AG134=2,'BOULEVARD 5'!AI132&gt;0),"Pagado","impago"),""))</f>
        <v/>
      </c>
      <c r="AG134" s="666" t="str">
        <f>IF(OR($A134="F&amp;F",$G134=""),"",IF(AG$8&gt;$G134,IF(OR(status1B5!AH134=1,status1B5!AH134=2,'BOULEVARD 5'!AJ132&gt;0),"Pagado","impago"),""))</f>
        <v/>
      </c>
      <c r="AH134" s="666" t="str">
        <f>IF(OR($A134="F&amp;F",$G134=""),"",IF(AH$8&gt;$G134,IF(OR(status1B5!AI134=1,status1B5!AI134=2,'BOULEVARD 5'!AK132&gt;0),"Pagado","impago"),""))</f>
        <v/>
      </c>
      <c r="AI134" s="666" t="str">
        <f>IF(OR($A134="F&amp;F",$G134=""),"",IF(AI$8&gt;$G134,IF(OR(status1B5!AJ134=1,status1B5!AJ134=2,'BOULEVARD 5'!AL132&gt;0),"Pagado","impago"),""))</f>
        <v/>
      </c>
      <c r="AJ134" s="666" t="str">
        <f>IF(OR($A134="F&amp;F",$G134=""),"",IF(AJ$8&gt;$G134,IF(OR(status1B5!AK134=1,status1B5!AK134=2,'BOULEVARD 5'!AM132&gt;0),"Pagado","impago"),""))</f>
        <v/>
      </c>
      <c r="AK134" s="666" t="str">
        <f>IF(OR($A134="F&amp;F",$G134=""),"",IF(AK$8&gt;$G134,IF(OR(status1B5!AL134=1,status1B5!AL134=2,'BOULEVARD 5'!AN132&gt;0),"Pagado","impago"),""))</f>
        <v/>
      </c>
      <c r="AL134" s="666" t="str">
        <f>IF(OR($A134="F&amp;F",$G134=""),"",IF(AL$8&gt;$G134,IF(OR(status1B5!AM134=1,status1B5!AM134=2,'BOULEVARD 5'!AO132&gt;0),"Pagado","impago"),""))</f>
        <v>Pagado</v>
      </c>
      <c r="AM134" s="666" t="str">
        <f>IF(OR($A134="F&amp;F",$G134=""),"",IF(AM$8&gt;$G134,IF(OR(status1B5!AN134=1,status1B5!AN134=2,'BOULEVARD 5'!AP132&gt;0),"Pagado","impago"),""))</f>
        <v>Pagado</v>
      </c>
      <c r="AN134" s="666" t="str">
        <f>IF(OR($A134="F&amp;F",$G134=""),"",IF(AN$8&gt;$G134,IF(OR(status1B5!AO134=1,status1B5!AO134=2,'BOULEVARD 5'!AQ132&gt;0),"Pagado","impago"),""))</f>
        <v>Pagado</v>
      </c>
      <c r="AO134" s="666" t="str">
        <f>IF(OR($A134="F&amp;F",$G134=""),"",IF(AO$8&gt;$G134,IF(OR(status1B5!AP134=1,status1B5!AP134=2,'BOULEVARD 5'!AS132&gt;0),"Pagado","impago"),""))</f>
        <v>Pagado</v>
      </c>
      <c r="AP134" s="429" t="str">
        <f t="shared" si="6"/>
        <v>Vendido</v>
      </c>
    </row>
    <row r="135" spans="1:42" s="429" customFormat="1" ht="13.9" customHeight="1" x14ac:dyDescent="0.25">
      <c r="A135" s="472"/>
      <c r="B135" s="436">
        <f>'BOULEVARD 5'!B133</f>
        <v>719</v>
      </c>
      <c r="C135" s="436" t="s">
        <v>355</v>
      </c>
      <c r="D135" s="436"/>
      <c r="E135" s="436" t="str">
        <f>IF('BOULEVARD 5'!E133="","",'BOULEVARD 5'!E133)</f>
        <v>Junta Directiva</v>
      </c>
      <c r="F135" s="429" t="str">
        <f>IF('BOULEVARD 5'!F133="","",'BOULEVARD 5'!F133)</f>
        <v>(congelado estrategia comercial) / Mario Flores</v>
      </c>
      <c r="G135" s="473">
        <f>IF('BOULEVARD 5'!G133="","",'BOULEVARD 5'!G133)</f>
        <v>45904</v>
      </c>
      <c r="H135" s="666" t="str">
        <f>IF(OR($A135="F&amp;F",$G135=""),"",IF(H$8&gt;$G135,IF(OR(status1B5!I135=1,status1B5!I135=2,'BOULEVARD 5'!K133&gt;0),"Pagado","impago"),""))</f>
        <v/>
      </c>
      <c r="I135" s="666" t="str">
        <f>IF(OR($A135="F&amp;F",$G135=""),"",IF(I$8&gt;$G135,IF(OR(status1B5!J135=1,status1B5!J135=2,'BOULEVARD 5'!L133&gt;0),"Pagado","impago"),""))</f>
        <v/>
      </c>
      <c r="J135" s="666" t="str">
        <f>IF(OR($A135="F&amp;F",$G135=""),"",IF(J$8&gt;$G135,IF(OR(status1B5!K135=1,status1B5!K135=2,'BOULEVARD 5'!M133&gt;0),"Pagado","impago"),""))</f>
        <v/>
      </c>
      <c r="K135" s="666" t="str">
        <f>IF(OR($A135="F&amp;F",$G135=""),"",IF(K$8&gt;$G135,IF(OR(status1B5!L135=1,status1B5!L135=2,'BOULEVARD 5'!N133&gt;0),"Pagado","impago"),""))</f>
        <v/>
      </c>
      <c r="L135" s="666" t="str">
        <f>IF(OR($A135="F&amp;F",$G135=""),"",IF(L$8&gt;$G135,IF(OR(status1B5!M135=1,status1B5!M135=2,'BOULEVARD 5'!O133&gt;0),"Pagado","impago"),""))</f>
        <v/>
      </c>
      <c r="M135" s="666" t="str">
        <f>IF(OR($A135="F&amp;F",$G135=""),"",IF(M$8&gt;$G135,IF(OR(status1B5!N135=1,status1B5!N135=2,'BOULEVARD 5'!P133&gt;0),"Pagado","impago"),""))</f>
        <v/>
      </c>
      <c r="N135" s="666" t="str">
        <f>IF(OR($A135="F&amp;F",$G135=""),"",IF(N$8&gt;$G135,IF(OR(status1B5!O135=1,status1B5!O135=2,'BOULEVARD 5'!Q133&gt;0),"Pagado","impago"),""))</f>
        <v/>
      </c>
      <c r="O135" s="666" t="str">
        <f>IF(OR($A135="F&amp;F",$G135=""),"",IF(O$8&gt;$G135,IF(OR(status1B5!P135=1,status1B5!P135=2,'BOULEVARD 5'!R133&gt;0),"Pagado","impago"),""))</f>
        <v/>
      </c>
      <c r="P135" s="666" t="str">
        <f>IF(OR($A135="F&amp;F",$G135=""),"",IF(P$8&gt;$G135,IF(OR(status1B5!Q135=1,status1B5!Q135=2,'BOULEVARD 5'!S133&gt;0),"Pagado","impago"),""))</f>
        <v/>
      </c>
      <c r="Q135" s="666" t="str">
        <f>IF(OR($A135="F&amp;F",$G135=""),"",IF(Q$8&gt;$G135,IF(OR(status1B5!R135=1,status1B5!R135=2,'BOULEVARD 5'!T133&gt;0),"Pagado","impago"),""))</f>
        <v/>
      </c>
      <c r="R135" s="666" t="str">
        <f>IF(OR($A135="F&amp;F",$G135=""),"",IF(R$8&gt;$G135,IF(OR(status1B5!S135=1,status1B5!S135=2,'BOULEVARD 5'!U133&gt;0),"Pagado","impago"),""))</f>
        <v/>
      </c>
      <c r="S135" s="666" t="str">
        <f>IF(OR($A135="F&amp;F",$G135=""),"",IF(S$8&gt;$G135,IF(OR(status1B5!T135=1,status1B5!T135=2,'BOULEVARD 5'!V133&gt;0),"Pagado","impago"),""))</f>
        <v/>
      </c>
      <c r="T135" s="666" t="str">
        <f>IF(OR($A135="F&amp;F",$G135=""),"",IF(T$8&gt;$G135,IF(OR(status1B5!U135=1,status1B5!U135=2,'BOULEVARD 5'!W133&gt;0),"Pagado","impago"),""))</f>
        <v/>
      </c>
      <c r="U135" s="666" t="str">
        <f>IF(OR($A135="F&amp;F",$G135=""),"",IF(U$8&gt;$G135,IF(OR(status1B5!V135=1,status1B5!V135=2,'BOULEVARD 5'!X133&gt;0),"Pagado","impago"),""))</f>
        <v/>
      </c>
      <c r="V135" s="666" t="str">
        <f>IF(OR($A135="F&amp;F",$G135=""),"",IF(V$8&gt;$G135,IF(OR(status1B5!W135=1,status1B5!W135=2,'BOULEVARD 5'!Y133&gt;0),"Pagado","impago"),""))</f>
        <v/>
      </c>
      <c r="W135" s="666" t="str">
        <f>IF(OR($A135="F&amp;F",$G135=""),"",IF(W$8&gt;$G135,IF(OR(status1B5!X135=1,status1B5!X135=2,'BOULEVARD 5'!Z133&gt;0),"Pagado","impago"),""))</f>
        <v/>
      </c>
      <c r="X135" s="666" t="str">
        <f>IF(OR($A135="F&amp;F",$G135=""),"",IF(X$8&gt;$G135,IF(OR(status1B5!Y135=1,status1B5!Y135=2,'BOULEVARD 5'!AA133&gt;0),"Pagado","impago"),""))</f>
        <v/>
      </c>
      <c r="Y135" s="666" t="str">
        <f>IF(OR($A135="F&amp;F",$G135=""),"",IF(Y$8&gt;$G135,IF(OR(status1B5!Z135=1,status1B5!Z135=2,'BOULEVARD 5'!AB133&gt;0),"Pagado","impago"),""))</f>
        <v/>
      </c>
      <c r="Z135" s="666" t="str">
        <f>IF(OR($A135="F&amp;F",$G135=""),"",IF(Z$8&gt;$G135,IF(OR(status1B5!AA135=1,status1B5!AA135=2,'BOULEVARD 5'!AC133&gt;0),"Pagado","impago"),""))</f>
        <v/>
      </c>
      <c r="AA135" s="666" t="str">
        <f>IF(OR($A135="F&amp;F",$G135=""),"",IF(AA$8&gt;$G135,IF(OR(status1B5!AB135=1,status1B5!AB135=2,'BOULEVARD 5'!AD133&gt;0),"Pagado","impago"),""))</f>
        <v/>
      </c>
      <c r="AB135" s="666" t="str">
        <f>IF(OR($A135="F&amp;F",$G135=""),"",IF(AB$8&gt;$G135,IF(OR(status1B5!AC135=1,status1B5!AC135=2,'BOULEVARD 5'!AE133&gt;0),"Pagado","impago"),""))</f>
        <v/>
      </c>
      <c r="AC135" s="666" t="str">
        <f>IF(OR($A135="F&amp;F",$G135=""),"",IF(AC$8&gt;$G135,IF(OR(status1B5!AD135=1,status1B5!AD135=2,'BOULEVARD 5'!AF133&gt;0),"Pagado","impago"),""))</f>
        <v/>
      </c>
      <c r="AD135" s="666" t="str">
        <f>IF(OR($A135="F&amp;F",$G135=""),"",IF(AD$8&gt;$G135,IF(OR(status1B5!AE135=1,status1B5!AE135=2,'BOULEVARD 5'!AG133&gt;0),"Pagado","impago"),""))</f>
        <v/>
      </c>
      <c r="AE135" s="666" t="str">
        <f>IF(OR($A135="F&amp;F",$G135=""),"",IF(AE$8&gt;$G135,IF(OR(status1B5!AF135=1,status1B5!AF135=2,'BOULEVARD 5'!AH133&gt;0),"Pagado","impago"),""))</f>
        <v/>
      </c>
      <c r="AF135" s="666" t="str">
        <f>IF(OR($A135="F&amp;F",$G135=""),"",IF(AF$8&gt;$G135,IF(OR(status1B5!AG135=1,status1B5!AG135=2,'BOULEVARD 5'!AI133&gt;0),"Pagado","impago"),""))</f>
        <v/>
      </c>
      <c r="AG135" s="666" t="str">
        <f>IF(OR($A135="F&amp;F",$G135=""),"",IF(AG$8&gt;$G135,IF(OR(status1B5!AH135=1,status1B5!AH135=2,'BOULEVARD 5'!AJ133&gt;0),"Pagado","impago"),""))</f>
        <v/>
      </c>
      <c r="AH135" s="666" t="str">
        <f>IF(OR($A135="F&amp;F",$G135=""),"",IF(AH$8&gt;$G135,IF(OR(status1B5!AI135=1,status1B5!AI135=2,'BOULEVARD 5'!AK133&gt;0),"Pagado","impago"),""))</f>
        <v/>
      </c>
      <c r="AI135" s="666" t="str">
        <f>IF(OR($A135="F&amp;F",$G135=""),"",IF(AI$8&gt;$G135,IF(OR(status1B5!AJ135=1,status1B5!AJ135=2,'BOULEVARD 5'!AL133&gt;0),"Pagado","impago"),""))</f>
        <v/>
      </c>
      <c r="AJ135" s="666" t="str">
        <f>IF(OR($A135="F&amp;F",$G135=""),"",IF(AJ$8&gt;$G135,IF(OR(status1B5!AK135=1,status1B5!AK135=2,'BOULEVARD 5'!AM133&gt;0),"Pagado","impago"),""))</f>
        <v/>
      </c>
      <c r="AK135" s="666" t="str">
        <f>IF(OR($A135="F&amp;F",$G135=""),"",IF(AK$8&gt;$G135,IF(OR(status1B5!AL135=1,status1B5!AL135=2,'BOULEVARD 5'!AN133&gt;0),"Pagado","impago"),""))</f>
        <v/>
      </c>
      <c r="AL135" s="666" t="str">
        <f>IF(OR($A135="F&amp;F",$G135=""),"",IF(AL$8&gt;$G135,IF(OR(status1B5!AM135=1,status1B5!AM135=2,'BOULEVARD 5'!AO133&gt;0),"Pagado","impago"),""))</f>
        <v>Pagado</v>
      </c>
      <c r="AM135" s="666" t="str">
        <f>IF(OR($A135="F&amp;F",$G135=""),"",IF(AM$8&gt;$G135,IF(OR(status1B5!AN135=1,status1B5!AN135=2,'BOULEVARD 5'!AP133&gt;0),"Pagado","impago"),""))</f>
        <v>Pagado</v>
      </c>
      <c r="AN135" s="666" t="str">
        <f>IF(OR($A135="F&amp;F",$G135=""),"",IF(AN$8&gt;$G135,IF(OR(status1B5!AO135=1,status1B5!AO135=2,'BOULEVARD 5'!AQ133&gt;0),"Pagado","impago"),""))</f>
        <v>Pagado</v>
      </c>
      <c r="AO135" s="666" t="str">
        <f>IF(OR($A135="F&amp;F",$G135=""),"",IF(AO$8&gt;$G135,IF(OR(status1B5!AP135=1,status1B5!AP135=2,'BOULEVARD 5'!AS133&gt;0),"Pagado","impago"),""))</f>
        <v>Pagado</v>
      </c>
      <c r="AP135" s="429" t="str">
        <f t="shared" si="6"/>
        <v>Vendido</v>
      </c>
    </row>
    <row r="136" spans="1:42" s="429" customFormat="1" ht="13.9" customHeight="1" x14ac:dyDescent="0.25">
      <c r="A136" s="472"/>
      <c r="B136" s="436">
        <f>'BOULEVARD 5'!B134</f>
        <v>801</v>
      </c>
      <c r="C136" s="436" t="s">
        <v>355</v>
      </c>
      <c r="D136" s="436"/>
      <c r="E136" s="436" t="str">
        <f>IF('BOULEVARD 5'!E134="","",'BOULEVARD 5'!E134)</f>
        <v>Antonio Rada</v>
      </c>
      <c r="F136" s="429" t="str">
        <f>IF('BOULEVARD 5'!F134="","",'BOULEVARD 5'!F134)</f>
        <v>Pablo Jose Juarez Pereira</v>
      </c>
      <c r="G136" s="473">
        <f>IF('BOULEVARD 5'!G134="","",'BOULEVARD 5'!G134)</f>
        <v>45132</v>
      </c>
      <c r="H136" s="666" t="str">
        <f>IF(OR($A136="F&amp;F",$G136=""),"",IF(H$8&gt;$G136,IF(OR(status1B5!I136=1,status1B5!I136=2,'BOULEVARD 5'!K134&gt;0),"Pagado","impago"),""))</f>
        <v/>
      </c>
      <c r="I136" s="666" t="str">
        <f>IF(OR($A136="F&amp;F",$G136=""),"",IF(I$8&gt;$G136,IF(OR(status1B5!J136=1,status1B5!J136=2,'BOULEVARD 5'!L134&gt;0),"Pagado","impago"),""))</f>
        <v/>
      </c>
      <c r="J136" s="666" t="str">
        <f>IF(OR($A136="F&amp;F",$G136=""),"",IF(J$8&gt;$G136,IF(OR(status1B5!K136=1,status1B5!K136=2,'BOULEVARD 5'!M134&gt;0),"Pagado","impago"),""))</f>
        <v/>
      </c>
      <c r="K136" s="666" t="str">
        <f>IF(OR($A136="F&amp;F",$G136=""),"",IF(K$8&gt;$G136,IF(OR(status1B5!L136=1,status1B5!L136=2,'BOULEVARD 5'!N134&gt;0),"Pagado","impago"),""))</f>
        <v/>
      </c>
      <c r="L136" s="666" t="str">
        <f>IF(OR($A136="F&amp;F",$G136=""),"",IF(L$8&gt;$G136,IF(OR(status1B5!M136=1,status1B5!M136=2,'BOULEVARD 5'!O134&gt;0),"Pagado","impago"),""))</f>
        <v>Pagado</v>
      </c>
      <c r="M136" s="666" t="str">
        <f>IF(OR($A136="F&amp;F",$G136=""),"",IF(M$8&gt;$G136,IF(OR(status1B5!N136=1,status1B5!N136=2,'BOULEVARD 5'!P134&gt;0),"Pagado","impago"),""))</f>
        <v>Pagado</v>
      </c>
      <c r="N136" s="666" t="str">
        <f>IF(OR($A136="F&amp;F",$G136=""),"",IF(N$8&gt;$G136,IF(OR(status1B5!O136=1,status1B5!O136=2,'BOULEVARD 5'!Q134&gt;0),"Pagado","impago"),""))</f>
        <v>Pagado</v>
      </c>
      <c r="O136" s="666" t="str">
        <f>IF(OR($A136="F&amp;F",$G136=""),"",IF(O$8&gt;$G136,IF(OR(status1B5!P136=1,status1B5!P136=2,'BOULEVARD 5'!R134&gt;0),"Pagado","impago"),""))</f>
        <v>Pagado</v>
      </c>
      <c r="P136" s="666" t="str">
        <f>IF(OR($A136="F&amp;F",$G136=""),"",IF(P$8&gt;$G136,IF(OR(status1B5!Q136=1,status1B5!Q136=2,'BOULEVARD 5'!S134&gt;0),"Pagado","impago"),""))</f>
        <v>Pagado</v>
      </c>
      <c r="Q136" s="666" t="str">
        <f>IF(OR($A136="F&amp;F",$G136=""),"",IF(Q$8&gt;$G136,IF(OR(status1B5!R136=1,status1B5!R136=2,'BOULEVARD 5'!T134&gt;0),"Pagado","impago"),""))</f>
        <v>Pagado</v>
      </c>
      <c r="R136" s="666" t="str">
        <f>IF(OR($A136="F&amp;F",$G136=""),"",IF(R$8&gt;$G136,IF(OR(status1B5!S136=1,status1B5!S136=2,'BOULEVARD 5'!U134&gt;0),"Pagado","impago"),""))</f>
        <v>Pagado</v>
      </c>
      <c r="S136" s="666" t="str">
        <f>IF(OR($A136="F&amp;F",$G136=""),"",IF(S$8&gt;$G136,IF(OR(status1B5!T136=1,status1B5!T136=2,'BOULEVARD 5'!V134&gt;0),"Pagado","impago"),""))</f>
        <v>Pagado</v>
      </c>
      <c r="T136" s="666" t="str">
        <f>IF(OR($A136="F&amp;F",$G136=""),"",IF(T$8&gt;$G136,IF(OR(status1B5!U136=1,status1B5!U136=2,'BOULEVARD 5'!W134&gt;0),"Pagado","impago"),""))</f>
        <v>Pagado</v>
      </c>
      <c r="U136" s="666" t="str">
        <f>IF(OR($A136="F&amp;F",$G136=""),"",IF(U$8&gt;$G136,IF(OR(status1B5!V136=1,status1B5!V136=2,'BOULEVARD 5'!X134&gt;0),"Pagado","impago"),""))</f>
        <v>Pagado</v>
      </c>
      <c r="V136" s="666" t="str">
        <f>IF(OR($A136="F&amp;F",$G136=""),"",IF(V$8&gt;$G136,IF(OR(status1B5!W136=1,status1B5!W136=2,'BOULEVARD 5'!Y134&gt;0),"Pagado","impago"),""))</f>
        <v>Pagado</v>
      </c>
      <c r="W136" s="666" t="str">
        <f>IF(OR($A136="F&amp;F",$G136=""),"",IF(W$8&gt;$G136,IF(OR(status1B5!X136=1,status1B5!X136=2,'BOULEVARD 5'!Z134&gt;0),"Pagado","impago"),""))</f>
        <v>Pagado</v>
      </c>
      <c r="X136" s="666" t="str">
        <f>IF(OR($A136="F&amp;F",$G136=""),"",IF(X$8&gt;$G136,IF(OR(status1B5!Y136=1,status1B5!Y136=2,'BOULEVARD 5'!AA134&gt;0),"Pagado","impago"),""))</f>
        <v>Pagado</v>
      </c>
      <c r="Y136" s="666" t="str">
        <f>IF(OR($A136="F&amp;F",$G136=""),"",IF(Y$8&gt;$G136,IF(OR(status1B5!Z136=1,status1B5!Z136=2,'BOULEVARD 5'!AB134&gt;0),"Pagado","impago"),""))</f>
        <v>Pagado</v>
      </c>
      <c r="Z136" s="666" t="str">
        <f>IF(OR($A136="F&amp;F",$G136=""),"",IF(Z$8&gt;$G136,IF(OR(status1B5!AA136=1,status1B5!AA136=2,'BOULEVARD 5'!AC134&gt;0),"Pagado","impago"),""))</f>
        <v>Pagado</v>
      </c>
      <c r="AA136" s="666" t="str">
        <f>IF(OR($A136="F&amp;F",$G136=""),"",IF(AA$8&gt;$G136,IF(OR(status1B5!AB136=1,status1B5!AB136=2,'BOULEVARD 5'!AD134&gt;0),"Pagado","impago"),""))</f>
        <v>Pagado</v>
      </c>
      <c r="AB136" s="666" t="str">
        <f>IF(OR($A136="F&amp;F",$G136=""),"",IF(AB$8&gt;$G136,IF(OR(status1B5!AC136=1,status1B5!AC136=2,'BOULEVARD 5'!AE134&gt;0),"Pagado","impago"),""))</f>
        <v>Pagado</v>
      </c>
      <c r="AC136" s="666" t="str">
        <f>IF(OR($A136="F&amp;F",$G136=""),"",IF(AC$8&gt;$G136,IF(OR(status1B5!AD136=1,status1B5!AD136=2,'BOULEVARD 5'!AF134&gt;0),"Pagado","impago"),""))</f>
        <v>Pagado</v>
      </c>
      <c r="AD136" s="666" t="str">
        <f>IF(OR($A136="F&amp;F",$G136=""),"",IF(AD$8&gt;$G136,IF(OR(status1B5!AE136=1,status1B5!AE136=2,'BOULEVARD 5'!AG134&gt;0),"Pagado","impago"),""))</f>
        <v>Pagado</v>
      </c>
      <c r="AE136" s="666" t="str">
        <f>IF(OR($A136="F&amp;F",$G136=""),"",IF(AE$8&gt;$G136,IF(OR(status1B5!AF136=1,status1B5!AF136=2,'BOULEVARD 5'!AH134&gt;0),"Pagado","impago"),""))</f>
        <v>Pagado</v>
      </c>
      <c r="AF136" s="666" t="str">
        <f>IF(OR($A136="F&amp;F",$G136=""),"",IF(AF$8&gt;$G136,IF(OR(status1B5!AG136=1,status1B5!AG136=2,'BOULEVARD 5'!AI134&gt;0),"Pagado","impago"),""))</f>
        <v>Pagado</v>
      </c>
      <c r="AG136" s="666" t="str">
        <f>IF(OR($A136="F&amp;F",$G136=""),"",IF(AG$8&gt;$G136,IF(OR(status1B5!AH136=1,status1B5!AH136=2,'BOULEVARD 5'!AJ134&gt;0),"Pagado","impago"),""))</f>
        <v>Pagado</v>
      </c>
      <c r="AH136" s="666" t="str">
        <f>IF(OR($A136="F&amp;F",$G136=""),"",IF(AH$8&gt;$G136,IF(OR(status1B5!AI136=1,status1B5!AI136=2,'BOULEVARD 5'!AK134&gt;0),"Pagado","impago"),""))</f>
        <v>Pagado</v>
      </c>
      <c r="AI136" s="666" t="str">
        <f>IF(OR($A136="F&amp;F",$G136=""),"",IF(AI$8&gt;$G136,IF(OR(status1B5!AJ136=1,status1B5!AJ136=2,'BOULEVARD 5'!AL134&gt;0),"Pagado","impago"),""))</f>
        <v>Pagado</v>
      </c>
      <c r="AJ136" s="666" t="str">
        <f>IF(OR($A136="F&amp;F",$G136=""),"",IF(AJ$8&gt;$G136,IF(OR(status1B5!AK136=1,status1B5!AK136=2,'BOULEVARD 5'!AM134&gt;0),"Pagado","impago"),""))</f>
        <v>Pagado</v>
      </c>
      <c r="AK136" s="666" t="str">
        <f>IF(OR($A136="F&amp;F",$G136=""),"",IF(AK$8&gt;$G136,IF(OR(status1B5!AL136=1,status1B5!AL136=2,'BOULEVARD 5'!AN134&gt;0),"Pagado","impago"),""))</f>
        <v>Pagado</v>
      </c>
      <c r="AL136" s="666" t="str">
        <f>IF(OR($A136="F&amp;F",$G136=""),"",IF(AL$8&gt;$G136,IF(OR(status1B5!AM136=1,status1B5!AM136=2,'BOULEVARD 5'!AO134&gt;0),"Pagado","impago"),""))</f>
        <v>Pagado</v>
      </c>
      <c r="AM136" s="666" t="str">
        <f>IF(OR($A136="F&amp;F",$G136=""),"",IF(AM$8&gt;$G136,IF(OR(status1B5!AN136=1,status1B5!AN136=2,'BOULEVARD 5'!AP134&gt;0),"Pagado","impago"),""))</f>
        <v>Pagado</v>
      </c>
      <c r="AN136" s="666" t="str">
        <f>IF(OR($A136="F&amp;F",$G136=""),"",IF(AN$8&gt;$G136,IF(OR(status1B5!AO136=1,status1B5!AO136=2,'BOULEVARD 5'!AQ134&gt;0),"Pagado","impago"),""))</f>
        <v>Pagado</v>
      </c>
      <c r="AO136" s="666" t="str">
        <f>IF(OR($A136="F&amp;F",$G136=""),"",IF(AO$8&gt;$G136,IF(OR(status1B5!AP136=1,status1B5!AP136=2,'BOULEVARD 5'!AS134&gt;0),"Pagado","impago"),""))</f>
        <v>Pagado</v>
      </c>
      <c r="AP136" s="429" t="str">
        <f t="shared" si="6"/>
        <v>Vendido</v>
      </c>
    </row>
    <row r="137" spans="1:42" s="429" customFormat="1" ht="13.9" customHeight="1" x14ac:dyDescent="0.25">
      <c r="A137" s="472"/>
      <c r="B137" s="436">
        <f>'BOULEVARD 5'!B135</f>
        <v>802</v>
      </c>
      <c r="C137" s="436" t="s">
        <v>355</v>
      </c>
      <c r="D137" s="436"/>
      <c r="E137" s="436" t="str">
        <f>IF('BOULEVARD 5'!E135="","",'BOULEVARD 5'!E135)</f>
        <v>Brenda Búcaro</v>
      </c>
      <c r="F137" s="429" t="str">
        <f>IF('BOULEVARD 5'!F135="","",'BOULEVARD 5'!F135)</f>
        <v>Carmen Julia Soto Baechli De Hicks</v>
      </c>
      <c r="G137" s="473">
        <f>IF('BOULEVARD 5'!G135="","",'BOULEVARD 5'!G135)</f>
        <v>45087</v>
      </c>
      <c r="H137" s="666" t="str">
        <f>IF(OR($A137="F&amp;F",$G137=""),"",IF(H$8&gt;$G137,IF(OR(status1B5!I137=1,status1B5!I137=2,'BOULEVARD 5'!K135&gt;0),"Pagado","impago"),""))</f>
        <v/>
      </c>
      <c r="I137" s="666" t="str">
        <f>IF(OR($A137="F&amp;F",$G137=""),"",IF(I$8&gt;$G137,IF(OR(status1B5!J137=1,status1B5!J137=2,'BOULEVARD 5'!L135&gt;0),"Pagado","impago"),""))</f>
        <v/>
      </c>
      <c r="J137" s="666" t="str">
        <f>IF(OR($A137="F&amp;F",$G137=""),"",IF(J$8&gt;$G137,IF(OR(status1B5!K137=1,status1B5!K137=2,'BOULEVARD 5'!M135&gt;0),"Pagado","impago"),""))</f>
        <v/>
      </c>
      <c r="K137" s="666" t="str">
        <f>IF(OR($A137="F&amp;F",$G137=""),"",IF(K$8&gt;$G137,IF(OR(status1B5!L137=1,status1B5!L137=2,'BOULEVARD 5'!N135&gt;0),"Pagado","impago"),""))</f>
        <v>Pagado</v>
      </c>
      <c r="L137" s="666" t="str">
        <f>IF(OR($A137="F&amp;F",$G137=""),"",IF(L$8&gt;$G137,IF(OR(status1B5!M137=1,status1B5!M137=2,'BOULEVARD 5'!O135&gt;0),"Pagado","impago"),""))</f>
        <v>Pagado</v>
      </c>
      <c r="M137" s="666" t="str">
        <f>IF(OR($A137="F&amp;F",$G137=""),"",IF(M$8&gt;$G137,IF(OR(status1B5!N137=1,status1B5!N137=2,'BOULEVARD 5'!P135&gt;0),"Pagado","impago"),""))</f>
        <v>Pagado</v>
      </c>
      <c r="N137" s="666" t="str">
        <f>IF(OR($A137="F&amp;F",$G137=""),"",IF(N$8&gt;$G137,IF(OR(status1B5!O137=1,status1B5!O137=2,'BOULEVARD 5'!Q135&gt;0),"Pagado","impago"),""))</f>
        <v>Pagado</v>
      </c>
      <c r="O137" s="666" t="str">
        <f>IF(OR($A137="F&amp;F",$G137=""),"",IF(O$8&gt;$G137,IF(OR(status1B5!P137=1,status1B5!P137=2,'BOULEVARD 5'!R135&gt;0),"Pagado","impago"),""))</f>
        <v>Pagado</v>
      </c>
      <c r="P137" s="666" t="str">
        <f>IF(OR($A137="F&amp;F",$G137=""),"",IF(P$8&gt;$G137,IF(OR(status1B5!Q137=1,status1B5!Q137=2,'BOULEVARD 5'!S135&gt;0),"Pagado","impago"),""))</f>
        <v>Pagado</v>
      </c>
      <c r="Q137" s="666" t="str">
        <f>IF(OR($A137="F&amp;F",$G137=""),"",IF(Q$8&gt;$G137,IF(OR(status1B5!R137=1,status1B5!R137=2,'BOULEVARD 5'!T135&gt;0),"Pagado","impago"),""))</f>
        <v>Pagado</v>
      </c>
      <c r="R137" s="666" t="str">
        <f>IF(OR($A137="F&amp;F",$G137=""),"",IF(R$8&gt;$G137,IF(OR(status1B5!S137=1,status1B5!S137=2,'BOULEVARD 5'!U135&gt;0),"Pagado","impago"),""))</f>
        <v>Pagado</v>
      </c>
      <c r="S137" s="666" t="str">
        <f>IF(OR($A137="F&amp;F",$G137=""),"",IF(S$8&gt;$G137,IF(OR(status1B5!T137=1,status1B5!T137=2,'BOULEVARD 5'!V135&gt;0),"Pagado","impago"),""))</f>
        <v>Pagado</v>
      </c>
      <c r="T137" s="666" t="str">
        <f>IF(OR($A137="F&amp;F",$G137=""),"",IF(T$8&gt;$G137,IF(OR(status1B5!U137=1,status1B5!U137=2,'BOULEVARD 5'!W135&gt;0),"Pagado","impago"),""))</f>
        <v>Pagado</v>
      </c>
      <c r="U137" s="666" t="str">
        <f>IF(OR($A137="F&amp;F",$G137=""),"",IF(U$8&gt;$G137,IF(OR(status1B5!V137=1,status1B5!V137=2,'BOULEVARD 5'!X135&gt;0),"Pagado","impago"),""))</f>
        <v>Pagado</v>
      </c>
      <c r="V137" s="666" t="str">
        <f>IF(OR($A137="F&amp;F",$G137=""),"",IF(V$8&gt;$G137,IF(OR(status1B5!W137=1,status1B5!W137=2,'BOULEVARD 5'!Y135&gt;0),"Pagado","impago"),""))</f>
        <v>Pagado</v>
      </c>
      <c r="W137" s="666" t="str">
        <f>IF(OR($A137="F&amp;F",$G137=""),"",IF(W$8&gt;$G137,IF(OR(status1B5!X137=1,status1B5!X137=2,'BOULEVARD 5'!Z135&gt;0),"Pagado","impago"),""))</f>
        <v>Pagado</v>
      </c>
      <c r="X137" s="666" t="str">
        <f>IF(OR($A137="F&amp;F",$G137=""),"",IF(X$8&gt;$G137,IF(OR(status1B5!Y137=1,status1B5!Y137=2,'BOULEVARD 5'!AA135&gt;0),"Pagado","impago"),""))</f>
        <v>Pagado</v>
      </c>
      <c r="Y137" s="666" t="str">
        <f>IF(OR($A137="F&amp;F",$G137=""),"",IF(Y$8&gt;$G137,IF(OR(status1B5!Z137=1,status1B5!Z137=2,'BOULEVARD 5'!AB135&gt;0),"Pagado","impago"),""))</f>
        <v>Pagado</v>
      </c>
      <c r="Z137" s="666" t="str">
        <f>IF(OR($A137="F&amp;F",$G137=""),"",IF(Z$8&gt;$G137,IF(OR(status1B5!AA137=1,status1B5!AA137=2,'BOULEVARD 5'!AC135&gt;0),"Pagado","impago"),""))</f>
        <v>Pagado</v>
      </c>
      <c r="AA137" s="666" t="str">
        <f>IF(OR($A137="F&amp;F",$G137=""),"",IF(AA$8&gt;$G137,IF(OR(status1B5!AB137=1,status1B5!AB137=2,'BOULEVARD 5'!AD135&gt;0),"Pagado","impago"),""))</f>
        <v>Pagado</v>
      </c>
      <c r="AB137" s="666" t="str">
        <f>IF(OR($A137="F&amp;F",$G137=""),"",IF(AB$8&gt;$G137,IF(OR(status1B5!AC137=1,status1B5!AC137=2,'BOULEVARD 5'!AE135&gt;0),"Pagado","impago"),""))</f>
        <v>Pagado</v>
      </c>
      <c r="AC137" s="666" t="str">
        <f>IF(OR($A137="F&amp;F",$G137=""),"",IF(AC$8&gt;$G137,IF(OR(status1B5!AD137=1,status1B5!AD137=2,'BOULEVARD 5'!AF135&gt;0),"Pagado","impago"),""))</f>
        <v>Pagado</v>
      </c>
      <c r="AD137" s="666" t="str">
        <f>IF(OR($A137="F&amp;F",$G137=""),"",IF(AD$8&gt;$G137,IF(OR(status1B5!AE137=1,status1B5!AE137=2,'BOULEVARD 5'!AG135&gt;0),"Pagado","impago"),""))</f>
        <v>Pagado</v>
      </c>
      <c r="AE137" s="666" t="str">
        <f>IF(OR($A137="F&amp;F",$G137=""),"",IF(AE$8&gt;$G137,IF(OR(status1B5!AF137=1,status1B5!AF137=2,'BOULEVARD 5'!AH135&gt;0),"Pagado","impago"),""))</f>
        <v>Pagado</v>
      </c>
      <c r="AF137" s="666" t="str">
        <f>IF(OR($A137="F&amp;F",$G137=""),"",IF(AF$8&gt;$G137,IF(OR(status1B5!AG137=1,status1B5!AG137=2,'BOULEVARD 5'!AI135&gt;0),"Pagado","impago"),""))</f>
        <v>Pagado</v>
      </c>
      <c r="AG137" s="666" t="str">
        <f>IF(OR($A137="F&amp;F",$G137=""),"",IF(AG$8&gt;$G137,IF(OR(status1B5!AH137=1,status1B5!AH137=2,'BOULEVARD 5'!AJ135&gt;0),"Pagado","impago"),""))</f>
        <v>Pagado</v>
      </c>
      <c r="AH137" s="666" t="str">
        <f>IF(OR($A137="F&amp;F",$G137=""),"",IF(AH$8&gt;$G137,IF(OR(status1B5!AI137=1,status1B5!AI137=2,'BOULEVARD 5'!AK135&gt;0),"Pagado","impago"),""))</f>
        <v>Pagado</v>
      </c>
      <c r="AI137" s="666" t="str">
        <f>IF(OR($A137="F&amp;F",$G137=""),"",IF(AI$8&gt;$G137,IF(OR(status1B5!AJ137=1,status1B5!AJ137=2,'BOULEVARD 5'!AL135&gt;0),"Pagado","impago"),""))</f>
        <v>Pagado</v>
      </c>
      <c r="AJ137" s="666" t="str">
        <f>IF(OR($A137="F&amp;F",$G137=""),"",IF(AJ$8&gt;$G137,IF(OR(status1B5!AK137=1,status1B5!AK137=2,'BOULEVARD 5'!AM135&gt;0),"Pagado","impago"),""))</f>
        <v>Pagado</v>
      </c>
      <c r="AK137" s="666" t="str">
        <f>IF(OR($A137="F&amp;F",$G137=""),"",IF(AK$8&gt;$G137,IF(OR(status1B5!AL137=1,status1B5!AL137=2,'BOULEVARD 5'!AN135&gt;0),"Pagado","impago"),""))</f>
        <v>Pagado</v>
      </c>
      <c r="AL137" s="666" t="str">
        <f>IF(OR($A137="F&amp;F",$G137=""),"",IF(AL$8&gt;$G137,IF(OR(status1B5!AM137=1,status1B5!AM137=2,'BOULEVARD 5'!AO135&gt;0),"Pagado","impago"),""))</f>
        <v>Pagado</v>
      </c>
      <c r="AM137" s="666" t="str">
        <f>IF(OR($A137="F&amp;F",$G137=""),"",IF(AM$8&gt;$G137,IF(OR(status1B5!AN137=1,status1B5!AN137=2,'BOULEVARD 5'!AP135&gt;0),"Pagado","impago"),""))</f>
        <v>Pagado</v>
      </c>
      <c r="AN137" s="666" t="str">
        <f>IF(OR($A137="F&amp;F",$G137=""),"",IF(AN$8&gt;$G137,IF(OR(status1B5!AO137=1,status1B5!AO137=2,'BOULEVARD 5'!AQ135&gt;0),"Pagado","impago"),""))</f>
        <v>Pagado</v>
      </c>
      <c r="AO137" s="666" t="str">
        <f>IF(OR($A137="F&amp;F",$G137=""),"",IF(AO$8&gt;$G137,IF(OR(status1B5!AP137=1,status1B5!AP137=2,'BOULEVARD 5'!AS135&gt;0),"Pagado","impago"),""))</f>
        <v>Pagado</v>
      </c>
      <c r="AP137" s="429" t="str">
        <f t="shared" ref="AP137:AP200" si="7">IF(G137="","No Vendido","Vendido")</f>
        <v>Vendido</v>
      </c>
    </row>
    <row r="138" spans="1:42" s="429" customFormat="1" ht="13.9" customHeight="1" x14ac:dyDescent="0.25">
      <c r="A138" s="472"/>
      <c r="B138" s="436">
        <f>'BOULEVARD 5'!B136</f>
        <v>803</v>
      </c>
      <c r="C138" s="436" t="s">
        <v>355</v>
      </c>
      <c r="D138" s="436"/>
      <c r="E138" s="436" t="str">
        <f>IF('BOULEVARD 5'!E136="","",'BOULEVARD 5'!E136)</f>
        <v>Brenda Búcaro</v>
      </c>
      <c r="F138" s="429" t="str">
        <f>IF('BOULEVARD 5'!F136="","",'BOULEVARD 5'!F136)</f>
        <v>Mauricio Antonio Leon Tres</v>
      </c>
      <c r="G138" s="473">
        <f>IF('BOULEVARD 5'!G136="","",'BOULEVARD 5'!G136)</f>
        <v>45007</v>
      </c>
      <c r="H138" s="666" t="str">
        <f>IF(OR($A138="F&amp;F",$G138=""),"",IF(H$8&gt;$G138,IF(OR(status1B5!I138=1,status1B5!I138=2,'BOULEVARD 5'!K136&gt;0),"Pagado","impago"),""))</f>
        <v>Pagado</v>
      </c>
      <c r="I138" s="666" t="str">
        <f>IF(OR($A138="F&amp;F",$G138=""),"",IF(I$8&gt;$G138,IF(OR(status1B5!J138=1,status1B5!J138=2,'BOULEVARD 5'!L136&gt;0),"Pagado","impago"),""))</f>
        <v>Pagado</v>
      </c>
      <c r="J138" s="666" t="str">
        <f>IF(OR($A138="F&amp;F",$G138=""),"",IF(J$8&gt;$G138,IF(OR(status1B5!K138=1,status1B5!K138=2,'BOULEVARD 5'!M136&gt;0),"Pagado","impago"),""))</f>
        <v>Pagado</v>
      </c>
      <c r="K138" s="666" t="str">
        <f>IF(OR($A138="F&amp;F",$G138=""),"",IF(K$8&gt;$G138,IF(OR(status1B5!L138=1,status1B5!L138=2,'BOULEVARD 5'!N136&gt;0),"Pagado","impago"),""))</f>
        <v>Pagado</v>
      </c>
      <c r="L138" s="666" t="str">
        <f>IF(OR($A138="F&amp;F",$G138=""),"",IF(L$8&gt;$G138,IF(OR(status1B5!M138=1,status1B5!M138=2,'BOULEVARD 5'!O136&gt;0),"Pagado","impago"),""))</f>
        <v>Pagado</v>
      </c>
      <c r="M138" s="666" t="str">
        <f>IF(OR($A138="F&amp;F",$G138=""),"",IF(M$8&gt;$G138,IF(OR(status1B5!N138=1,status1B5!N138=2,'BOULEVARD 5'!P136&gt;0),"Pagado","impago"),""))</f>
        <v>Pagado</v>
      </c>
      <c r="N138" s="666" t="str">
        <f>IF(OR($A138="F&amp;F",$G138=""),"",IF(N$8&gt;$G138,IF(OR(status1B5!O138=1,status1B5!O138=2,'BOULEVARD 5'!Q136&gt;0),"Pagado","impago"),""))</f>
        <v>Pagado</v>
      </c>
      <c r="O138" s="666" t="str">
        <f>IF(OR($A138="F&amp;F",$G138=""),"",IF(O$8&gt;$G138,IF(OR(status1B5!P138=1,status1B5!P138=2,'BOULEVARD 5'!R136&gt;0),"Pagado","impago"),""))</f>
        <v>Pagado</v>
      </c>
      <c r="P138" s="666" t="str">
        <f>IF(OR($A138="F&amp;F",$G138=""),"",IF(P$8&gt;$G138,IF(OR(status1B5!Q138=1,status1B5!Q138=2,'BOULEVARD 5'!S136&gt;0),"Pagado","impago"),""))</f>
        <v>Pagado</v>
      </c>
      <c r="Q138" s="666" t="str">
        <f>IF(OR($A138="F&amp;F",$G138=""),"",IF(Q$8&gt;$G138,IF(OR(status1B5!R138=1,status1B5!R138=2,'BOULEVARD 5'!T136&gt;0),"Pagado","impago"),""))</f>
        <v>Pagado</v>
      </c>
      <c r="R138" s="666" t="str">
        <f>IF(OR($A138="F&amp;F",$G138=""),"",IF(R$8&gt;$G138,IF(OR(status1B5!S138=1,status1B5!S138=2,'BOULEVARD 5'!U136&gt;0),"Pagado","impago"),""))</f>
        <v>Pagado</v>
      </c>
      <c r="S138" s="666" t="str">
        <f>IF(OR($A138="F&amp;F",$G138=""),"",IF(S$8&gt;$G138,IF(OR(status1B5!T138=1,status1B5!T138=2,'BOULEVARD 5'!V136&gt;0),"Pagado","impago"),""))</f>
        <v>Pagado</v>
      </c>
      <c r="T138" s="666" t="str">
        <f>IF(OR($A138="F&amp;F",$G138=""),"",IF(T$8&gt;$G138,IF(OR(status1B5!U138=1,status1B5!U138=2,'BOULEVARD 5'!W136&gt;0),"Pagado","impago"),""))</f>
        <v>Pagado</v>
      </c>
      <c r="U138" s="666" t="str">
        <f>IF(OR($A138="F&amp;F",$G138=""),"",IF(U$8&gt;$G138,IF(OR(status1B5!V138=1,status1B5!V138=2,'BOULEVARD 5'!X136&gt;0),"Pagado","impago"),""))</f>
        <v>Pagado</v>
      </c>
      <c r="V138" s="666" t="str">
        <f>IF(OR($A138="F&amp;F",$G138=""),"",IF(V$8&gt;$G138,IF(OR(status1B5!W138=1,status1B5!W138=2,'BOULEVARD 5'!Y136&gt;0),"Pagado","impago"),""))</f>
        <v>Pagado</v>
      </c>
      <c r="W138" s="666" t="str">
        <f>IF(OR($A138="F&amp;F",$G138=""),"",IF(W$8&gt;$G138,IF(OR(status1B5!X138=1,status1B5!X138=2,'BOULEVARD 5'!Z136&gt;0),"Pagado","impago"),""))</f>
        <v>Pagado</v>
      </c>
      <c r="X138" s="666" t="str">
        <f>IF(OR($A138="F&amp;F",$G138=""),"",IF(X$8&gt;$G138,IF(OR(status1B5!Y138=1,status1B5!Y138=2,'BOULEVARD 5'!AA136&gt;0),"Pagado","impago"),""))</f>
        <v>Pagado</v>
      </c>
      <c r="Y138" s="666" t="str">
        <f>IF(OR($A138="F&amp;F",$G138=""),"",IF(Y$8&gt;$G138,IF(OR(status1B5!Z138=1,status1B5!Z138=2,'BOULEVARD 5'!AB136&gt;0),"Pagado","impago"),""))</f>
        <v>Pagado</v>
      </c>
      <c r="Z138" s="666" t="str">
        <f>IF(OR($A138="F&amp;F",$G138=""),"",IF(Z$8&gt;$G138,IF(OR(status1B5!AA138=1,status1B5!AA138=2,'BOULEVARD 5'!AC136&gt;0),"Pagado","impago"),""))</f>
        <v>Pagado</v>
      </c>
      <c r="AA138" s="666" t="str">
        <f>IF(OR($A138="F&amp;F",$G138=""),"",IF(AA$8&gt;$G138,IF(OR(status1B5!AB138=1,status1B5!AB138=2,'BOULEVARD 5'!AD136&gt;0),"Pagado","impago"),""))</f>
        <v>Pagado</v>
      </c>
      <c r="AB138" s="666" t="str">
        <f>IF(OR($A138="F&amp;F",$G138=""),"",IF(AB$8&gt;$G138,IF(OR(status1B5!AC138=1,status1B5!AC138=2,'BOULEVARD 5'!AE136&gt;0),"Pagado","impago"),""))</f>
        <v>Pagado</v>
      </c>
      <c r="AC138" s="666" t="str">
        <f>IF(OR($A138="F&amp;F",$G138=""),"",IF(AC$8&gt;$G138,IF(OR(status1B5!AD138=1,status1B5!AD138=2,'BOULEVARD 5'!AF136&gt;0),"Pagado","impago"),""))</f>
        <v>Pagado</v>
      </c>
      <c r="AD138" s="666" t="str">
        <f>IF(OR($A138="F&amp;F",$G138=""),"",IF(AD$8&gt;$G138,IF(OR(status1B5!AE138=1,status1B5!AE138=2,'BOULEVARD 5'!AG136&gt;0),"Pagado","impago"),""))</f>
        <v>Pagado</v>
      </c>
      <c r="AE138" s="666" t="str">
        <f>IF(OR($A138="F&amp;F",$G138=""),"",IF(AE$8&gt;$G138,IF(OR(status1B5!AF138=1,status1B5!AF138=2,'BOULEVARD 5'!AH136&gt;0),"Pagado","impago"),""))</f>
        <v>Pagado</v>
      </c>
      <c r="AF138" s="666" t="str">
        <f>IF(OR($A138="F&amp;F",$G138=""),"",IF(AF$8&gt;$G138,IF(OR(status1B5!AG138=1,status1B5!AG138=2,'BOULEVARD 5'!AI136&gt;0),"Pagado","impago"),""))</f>
        <v>Pagado</v>
      </c>
      <c r="AG138" s="666" t="str">
        <f>IF(OR($A138="F&amp;F",$G138=""),"",IF(AG$8&gt;$G138,IF(OR(status1B5!AH138=1,status1B5!AH138=2,'BOULEVARD 5'!AJ136&gt;0),"Pagado","impago"),""))</f>
        <v>Pagado</v>
      </c>
      <c r="AH138" s="666" t="str">
        <f>IF(OR($A138="F&amp;F",$G138=""),"",IF(AH$8&gt;$G138,IF(OR(status1B5!AI138=1,status1B5!AI138=2,'BOULEVARD 5'!AK136&gt;0),"Pagado","impago"),""))</f>
        <v>Pagado</v>
      </c>
      <c r="AI138" s="666" t="str">
        <f>IF(OR($A138="F&amp;F",$G138=""),"",IF(AI$8&gt;$G138,IF(OR(status1B5!AJ138=1,status1B5!AJ138=2,'BOULEVARD 5'!AL136&gt;0),"Pagado","impago"),""))</f>
        <v>Pagado</v>
      </c>
      <c r="AJ138" s="666" t="str">
        <f>IF(OR($A138="F&amp;F",$G138=""),"",IF(AJ$8&gt;$G138,IF(OR(status1B5!AK138=1,status1B5!AK138=2,'BOULEVARD 5'!AM136&gt;0),"Pagado","impago"),""))</f>
        <v>Pagado</v>
      </c>
      <c r="AK138" s="666" t="str">
        <f>IF(OR($A138="F&amp;F",$G138=""),"",IF(AK$8&gt;$G138,IF(OR(status1B5!AL138=1,status1B5!AL138=2,'BOULEVARD 5'!AN136&gt;0),"Pagado","impago"),""))</f>
        <v>Pagado</v>
      </c>
      <c r="AL138" s="666" t="str">
        <f>IF(OR($A138="F&amp;F",$G138=""),"",IF(AL$8&gt;$G138,IF(OR(status1B5!AM138=1,status1B5!AM138=2,'BOULEVARD 5'!AO136&gt;0),"Pagado","impago"),""))</f>
        <v>Pagado</v>
      </c>
      <c r="AM138" s="666" t="str">
        <f>IF(OR($A138="F&amp;F",$G138=""),"",IF(AM$8&gt;$G138,IF(OR(status1B5!AN138=1,status1B5!AN138=2,'BOULEVARD 5'!AP136&gt;0),"Pagado","impago"),""))</f>
        <v>Pagado</v>
      </c>
      <c r="AN138" s="666" t="str">
        <f>IF(OR($A138="F&amp;F",$G138=""),"",IF(AN$8&gt;$G138,IF(OR(status1B5!AO138=1,status1B5!AO138=2,'BOULEVARD 5'!AQ136&gt;0),"Pagado","impago"),""))</f>
        <v>Pagado</v>
      </c>
      <c r="AO138" s="666" t="str">
        <f>IF(OR($A138="F&amp;F",$G138=""),"",IF(AO$8&gt;$G138,IF(OR(status1B5!AP138=1,status1B5!AP138=2,'BOULEVARD 5'!AS136&gt;0),"Pagado","impago"),""))</f>
        <v>Pagado</v>
      </c>
      <c r="AP138" s="429" t="str">
        <f t="shared" si="7"/>
        <v>Vendido</v>
      </c>
    </row>
    <row r="139" spans="1:42" s="429" customFormat="1" ht="13.9" customHeight="1" x14ac:dyDescent="0.25">
      <c r="A139" s="472"/>
      <c r="B139" s="436">
        <f>'BOULEVARD 5'!B137</f>
        <v>804</v>
      </c>
      <c r="C139" s="436" t="s">
        <v>355</v>
      </c>
      <c r="D139" s="436"/>
      <c r="E139" s="436" t="str">
        <f>IF('BOULEVARD 5'!E137="","",'BOULEVARD 5'!E137)</f>
        <v>Brenda Búcaro</v>
      </c>
      <c r="F139" s="429" t="str">
        <f>IF('BOULEVARD 5'!F137="","",'BOULEVARD 5'!F137)</f>
        <v>Victor Hugo Caceres Morales</v>
      </c>
      <c r="G139" s="473">
        <f>IF('BOULEVARD 5'!G137="","",'BOULEVARD 5'!G137)</f>
        <v>45090</v>
      </c>
      <c r="H139" s="666" t="str">
        <f>IF(OR($A139="F&amp;F",$G139=""),"",IF(H$8&gt;$G139,IF(OR(status1B5!I139=1,status1B5!I139=2,'BOULEVARD 5'!K137&gt;0),"Pagado","impago"),""))</f>
        <v/>
      </c>
      <c r="I139" s="666" t="str">
        <f>IF(OR($A139="F&amp;F",$G139=""),"",IF(I$8&gt;$G139,IF(OR(status1B5!J139=1,status1B5!J139=2,'BOULEVARD 5'!L137&gt;0),"Pagado","impago"),""))</f>
        <v/>
      </c>
      <c r="J139" s="666" t="str">
        <f>IF(OR($A139="F&amp;F",$G139=""),"",IF(J$8&gt;$G139,IF(OR(status1B5!K139=1,status1B5!K139=2,'BOULEVARD 5'!M137&gt;0),"Pagado","impago"),""))</f>
        <v/>
      </c>
      <c r="K139" s="666" t="str">
        <f>IF(OR($A139="F&amp;F",$G139=""),"",IF(K$8&gt;$G139,IF(OR(status1B5!L139=1,status1B5!L139=2,'BOULEVARD 5'!N137&gt;0),"Pagado","impago"),""))</f>
        <v>Pagado</v>
      </c>
      <c r="L139" s="666" t="str">
        <f>IF(OR($A139="F&amp;F",$G139=""),"",IF(L$8&gt;$G139,IF(OR(status1B5!M139=1,status1B5!M139=2,'BOULEVARD 5'!O137&gt;0),"Pagado","impago"),""))</f>
        <v>Pagado</v>
      </c>
      <c r="M139" s="666" t="str">
        <f>IF(OR($A139="F&amp;F",$G139=""),"",IF(M$8&gt;$G139,IF(OR(status1B5!N139=1,status1B5!N139=2,'BOULEVARD 5'!P137&gt;0),"Pagado","impago"),""))</f>
        <v>Pagado</v>
      </c>
      <c r="N139" s="666" t="str">
        <f>IF(OR($A139="F&amp;F",$G139=""),"",IF(N$8&gt;$G139,IF(OR(status1B5!O139=1,status1B5!O139=2,'BOULEVARD 5'!Q137&gt;0),"Pagado","impago"),""))</f>
        <v>Pagado</v>
      </c>
      <c r="O139" s="666" t="str">
        <f>IF(OR($A139="F&amp;F",$G139=""),"",IF(O$8&gt;$G139,IF(OR(status1B5!P139=1,status1B5!P139=2,'BOULEVARD 5'!R137&gt;0),"Pagado","impago"),""))</f>
        <v>Pagado</v>
      </c>
      <c r="P139" s="666" t="str">
        <f>IF(OR($A139="F&amp;F",$G139=""),"",IF(P$8&gt;$G139,IF(OR(status1B5!Q139=1,status1B5!Q139=2,'BOULEVARD 5'!S137&gt;0),"Pagado","impago"),""))</f>
        <v>Pagado</v>
      </c>
      <c r="Q139" s="666" t="str">
        <f>IF(OR($A139="F&amp;F",$G139=""),"",IF(Q$8&gt;$G139,IF(OR(status1B5!R139=1,status1B5!R139=2,'BOULEVARD 5'!T137&gt;0),"Pagado","impago"),""))</f>
        <v>Pagado</v>
      </c>
      <c r="R139" s="666" t="str">
        <f>IF(OR($A139="F&amp;F",$G139=""),"",IF(R$8&gt;$G139,IF(OR(status1B5!S139=1,status1B5!S139=2,'BOULEVARD 5'!U137&gt;0),"Pagado","impago"),""))</f>
        <v>Pagado</v>
      </c>
      <c r="S139" s="666" t="str">
        <f>IF(OR($A139="F&amp;F",$G139=""),"",IF(S$8&gt;$G139,IF(OR(status1B5!T139=1,status1B5!T139=2,'BOULEVARD 5'!V137&gt;0),"Pagado","impago"),""))</f>
        <v>Pagado</v>
      </c>
      <c r="T139" s="666" t="str">
        <f>IF(OR($A139="F&amp;F",$G139=""),"",IF(T$8&gt;$G139,IF(OR(status1B5!U139=1,status1B5!U139=2,'BOULEVARD 5'!W137&gt;0),"Pagado","impago"),""))</f>
        <v>Pagado</v>
      </c>
      <c r="U139" s="666" t="str">
        <f>IF(OR($A139="F&amp;F",$G139=""),"",IF(U$8&gt;$G139,IF(OR(status1B5!V139=1,status1B5!V139=2,'BOULEVARD 5'!X137&gt;0),"Pagado","impago"),""))</f>
        <v>Pagado</v>
      </c>
      <c r="V139" s="666" t="str">
        <f>IF(OR($A139="F&amp;F",$G139=""),"",IF(V$8&gt;$G139,IF(OR(status1B5!W139=1,status1B5!W139=2,'BOULEVARD 5'!Y137&gt;0),"Pagado","impago"),""))</f>
        <v>Pagado</v>
      </c>
      <c r="W139" s="666" t="str">
        <f>IF(OR($A139="F&amp;F",$G139=""),"",IF(W$8&gt;$G139,IF(OR(status1B5!X139=1,status1B5!X139=2,'BOULEVARD 5'!Z137&gt;0),"Pagado","impago"),""))</f>
        <v>Pagado</v>
      </c>
      <c r="X139" s="666" t="str">
        <f>IF(OR($A139="F&amp;F",$G139=""),"",IF(X$8&gt;$G139,IF(OR(status1B5!Y139=1,status1B5!Y139=2,'BOULEVARD 5'!AA137&gt;0),"Pagado","impago"),""))</f>
        <v>Pagado</v>
      </c>
      <c r="Y139" s="666" t="str">
        <f>IF(OR($A139="F&amp;F",$G139=""),"",IF(Y$8&gt;$G139,IF(OR(status1B5!Z139=1,status1B5!Z139=2,'BOULEVARD 5'!AB137&gt;0),"Pagado","impago"),""))</f>
        <v>Pagado</v>
      </c>
      <c r="Z139" s="666" t="str">
        <f>IF(OR($A139="F&amp;F",$G139=""),"",IF(Z$8&gt;$G139,IF(OR(status1B5!AA139=1,status1B5!AA139=2,'BOULEVARD 5'!AC137&gt;0),"Pagado","impago"),""))</f>
        <v>Pagado</v>
      </c>
      <c r="AA139" s="666" t="str">
        <f>IF(OR($A139="F&amp;F",$G139=""),"",IF(AA$8&gt;$G139,IF(OR(status1B5!AB139=1,status1B5!AB139=2,'BOULEVARD 5'!AD137&gt;0),"Pagado","impago"),""))</f>
        <v>Pagado</v>
      </c>
      <c r="AB139" s="666" t="str">
        <f>IF(OR($A139="F&amp;F",$G139=""),"",IF(AB$8&gt;$G139,IF(OR(status1B5!AC139=1,status1B5!AC139=2,'BOULEVARD 5'!AE137&gt;0),"Pagado","impago"),""))</f>
        <v>Pagado</v>
      </c>
      <c r="AC139" s="666" t="str">
        <f>IF(OR($A139="F&amp;F",$G139=""),"",IF(AC$8&gt;$G139,IF(OR(status1B5!AD139=1,status1B5!AD139=2,'BOULEVARD 5'!AF137&gt;0),"Pagado","impago"),""))</f>
        <v>Pagado</v>
      </c>
      <c r="AD139" s="666" t="str">
        <f>IF(OR($A139="F&amp;F",$G139=""),"",IF(AD$8&gt;$G139,IF(OR(status1B5!AE139=1,status1B5!AE139=2,'BOULEVARD 5'!AG137&gt;0),"Pagado","impago"),""))</f>
        <v>Pagado</v>
      </c>
      <c r="AE139" s="666" t="str">
        <f>IF(OR($A139="F&amp;F",$G139=""),"",IF(AE$8&gt;$G139,IF(OR(status1B5!AF139=1,status1B5!AF139=2,'BOULEVARD 5'!AH137&gt;0),"Pagado","impago"),""))</f>
        <v>Pagado</v>
      </c>
      <c r="AF139" s="666" t="str">
        <f>IF(OR($A139="F&amp;F",$G139=""),"",IF(AF$8&gt;$G139,IF(OR(status1B5!AG139=1,status1B5!AG139=2,'BOULEVARD 5'!AI137&gt;0),"Pagado","impago"),""))</f>
        <v>Pagado</v>
      </c>
      <c r="AG139" s="666" t="str">
        <f>IF(OR($A139="F&amp;F",$G139=""),"",IF(AG$8&gt;$G139,IF(OR(status1B5!AH139=1,status1B5!AH139=2,'BOULEVARD 5'!AJ137&gt;0),"Pagado","impago"),""))</f>
        <v>Pagado</v>
      </c>
      <c r="AH139" s="666" t="str">
        <f>IF(OR($A139="F&amp;F",$G139=""),"",IF(AH$8&gt;$G139,IF(OR(status1B5!AI139=1,status1B5!AI139=2,'BOULEVARD 5'!AK137&gt;0),"Pagado","impago"),""))</f>
        <v>Pagado</v>
      </c>
      <c r="AI139" s="666" t="str">
        <f>IF(OR($A139="F&amp;F",$G139=""),"",IF(AI$8&gt;$G139,IF(OR(status1B5!AJ139=1,status1B5!AJ139=2,'BOULEVARD 5'!AL137&gt;0),"Pagado","impago"),""))</f>
        <v>Pagado</v>
      </c>
      <c r="AJ139" s="666" t="str">
        <f>IF(OR($A139="F&amp;F",$G139=""),"",IF(AJ$8&gt;$G139,IF(OR(status1B5!AK139=1,status1B5!AK139=2,'BOULEVARD 5'!AM137&gt;0),"Pagado","impago"),""))</f>
        <v>Pagado</v>
      </c>
      <c r="AK139" s="666" t="str">
        <f>IF(OR($A139="F&amp;F",$G139=""),"",IF(AK$8&gt;$G139,IF(OR(status1B5!AL139=1,status1B5!AL139=2,'BOULEVARD 5'!AN137&gt;0),"Pagado","impago"),""))</f>
        <v>Pagado</v>
      </c>
      <c r="AL139" s="666" t="str">
        <f>IF(OR($A139="F&amp;F",$G139=""),"",IF(AL$8&gt;$G139,IF(OR(status1B5!AM139=1,status1B5!AM139=2,'BOULEVARD 5'!AO137&gt;0),"Pagado","impago"),""))</f>
        <v>Pagado</v>
      </c>
      <c r="AM139" s="666" t="str">
        <f>IF(OR($A139="F&amp;F",$G139=""),"",IF(AM$8&gt;$G139,IF(OR(status1B5!AN139=1,status1B5!AN139=2,'BOULEVARD 5'!AP137&gt;0),"Pagado","impago"),""))</f>
        <v>Pagado</v>
      </c>
      <c r="AN139" s="666" t="str">
        <f>IF(OR($A139="F&amp;F",$G139=""),"",IF(AN$8&gt;$G139,IF(OR(status1B5!AO139=1,status1B5!AO139=2,'BOULEVARD 5'!AQ137&gt;0),"Pagado","impago"),""))</f>
        <v>Pagado</v>
      </c>
      <c r="AO139" s="666" t="str">
        <f>IF(OR($A139="F&amp;F",$G139=""),"",IF(AO$8&gt;$G139,IF(OR(status1B5!AP139=1,status1B5!AP139=2,'BOULEVARD 5'!AS137&gt;0),"Pagado","impago"),""))</f>
        <v>Pagado</v>
      </c>
      <c r="AP139" s="429" t="str">
        <f t="shared" si="7"/>
        <v>Vendido</v>
      </c>
    </row>
    <row r="140" spans="1:42" s="429" customFormat="1" ht="13.9" customHeight="1" x14ac:dyDescent="0.25">
      <c r="A140" s="472"/>
      <c r="B140" s="436">
        <f>'BOULEVARD 5'!B138</f>
        <v>805</v>
      </c>
      <c r="C140" s="436" t="s">
        <v>355</v>
      </c>
      <c r="D140" s="641"/>
      <c r="E140" s="436" t="str">
        <f>IF('BOULEVARD 5'!E138="","",'BOULEVARD 5'!E138)</f>
        <v>Antonio Rada</v>
      </c>
      <c r="F140" s="429" t="str">
        <f>IF('BOULEVARD 5'!F138="","",'BOULEVARD 5'!F138)</f>
        <v>Celia Julissa Flores Dávila De Gonzalez</v>
      </c>
      <c r="G140" s="473">
        <f>IF('BOULEVARD 5'!G138="","",'BOULEVARD 5'!G138)</f>
        <v>45420</v>
      </c>
      <c r="H140" s="666" t="str">
        <f>IF(OR($A140="F&amp;F",$G140=""),"",IF(H$8&gt;$G140,IF(OR(status1B5!I140=1,status1B5!I140=2,'BOULEVARD 5'!K138&gt;0),"Pagado","impago"),""))</f>
        <v/>
      </c>
      <c r="I140" s="666" t="str">
        <f>IF(OR($A140="F&amp;F",$G140=""),"",IF(I$8&gt;$G140,IF(OR(status1B5!J140=1,status1B5!J140=2,'BOULEVARD 5'!L138&gt;0),"Pagado","impago"),""))</f>
        <v/>
      </c>
      <c r="J140" s="666" t="str">
        <f>IF(OR($A140="F&amp;F",$G140=""),"",IF(J$8&gt;$G140,IF(OR(status1B5!K140=1,status1B5!K140=2,'BOULEVARD 5'!M138&gt;0),"Pagado","impago"),""))</f>
        <v/>
      </c>
      <c r="K140" s="666" t="str">
        <f>IF(OR($A140="F&amp;F",$G140=""),"",IF(K$8&gt;$G140,IF(OR(status1B5!L140=1,status1B5!L140=2,'BOULEVARD 5'!N138&gt;0),"Pagado","impago"),""))</f>
        <v/>
      </c>
      <c r="L140" s="666" t="str">
        <f>IF(OR($A140="F&amp;F",$G140=""),"",IF(L$8&gt;$G140,IF(OR(status1B5!M140=1,status1B5!M140=2,'BOULEVARD 5'!O138&gt;0),"Pagado","impago"),""))</f>
        <v/>
      </c>
      <c r="M140" s="666" t="str">
        <f>IF(OR($A140="F&amp;F",$G140=""),"",IF(M$8&gt;$G140,IF(OR(status1B5!N140=1,status1B5!N140=2,'BOULEVARD 5'!P138&gt;0),"Pagado","impago"),""))</f>
        <v/>
      </c>
      <c r="N140" s="666" t="str">
        <f>IF(OR($A140="F&amp;F",$G140=""),"",IF(N$8&gt;$G140,IF(OR(status1B5!O140=1,status1B5!O140=2,'BOULEVARD 5'!Q138&gt;0),"Pagado","impago"),""))</f>
        <v/>
      </c>
      <c r="O140" s="666" t="str">
        <f>IF(OR($A140="F&amp;F",$G140=""),"",IF(O$8&gt;$G140,IF(OR(status1B5!P140=1,status1B5!P140=2,'BOULEVARD 5'!R138&gt;0),"Pagado","impago"),""))</f>
        <v/>
      </c>
      <c r="P140" s="666" t="str">
        <f>IF(OR($A140="F&amp;F",$G140=""),"",IF(P$8&gt;$G140,IF(OR(status1B5!Q140=1,status1B5!Q140=2,'BOULEVARD 5'!S138&gt;0),"Pagado","impago"),""))</f>
        <v/>
      </c>
      <c r="Q140" s="666" t="str">
        <f>IF(OR($A140="F&amp;F",$G140=""),"",IF(Q$8&gt;$G140,IF(OR(status1B5!R140=1,status1B5!R140=2,'BOULEVARD 5'!T138&gt;0),"Pagado","impago"),""))</f>
        <v/>
      </c>
      <c r="R140" s="666" t="str">
        <f>IF(OR($A140="F&amp;F",$G140=""),"",IF(R$8&gt;$G140,IF(OR(status1B5!S140=1,status1B5!S140=2,'BOULEVARD 5'!U138&gt;0),"Pagado","impago"),""))</f>
        <v/>
      </c>
      <c r="S140" s="666" t="str">
        <f>IF(OR($A140="F&amp;F",$G140=""),"",IF(S$8&gt;$G140,IF(OR(status1B5!T140=1,status1B5!T140=2,'BOULEVARD 5'!V138&gt;0),"Pagado","impago"),""))</f>
        <v/>
      </c>
      <c r="T140" s="666" t="str">
        <f>IF(OR($A140="F&amp;F",$G140=""),"",IF(T$8&gt;$G140,IF(OR(status1B5!U140=1,status1B5!U140=2,'BOULEVARD 5'!W138&gt;0),"Pagado","impago"),""))</f>
        <v/>
      </c>
      <c r="U140" s="666" t="str">
        <f>IF(OR($A140="F&amp;F",$G140=""),"",IF(U$8&gt;$G140,IF(OR(status1B5!V140=1,status1B5!V140=2,'BOULEVARD 5'!X138&gt;0),"Pagado","impago"),""))</f>
        <v/>
      </c>
      <c r="V140" s="666" t="str">
        <f>IF(OR($A140="F&amp;F",$G140=""),"",IF(V$8&gt;$G140,IF(OR(status1B5!W140=1,status1B5!W140=2,'BOULEVARD 5'!Y138&gt;0),"Pagado","impago"),""))</f>
        <v>Pagado</v>
      </c>
      <c r="W140" s="666" t="str">
        <f>IF(OR($A140="F&amp;F",$G140=""),"",IF(W$8&gt;$G140,IF(OR(status1B5!X140=1,status1B5!X140=2,'BOULEVARD 5'!Z138&gt;0),"Pagado","impago"),""))</f>
        <v>Pagado</v>
      </c>
      <c r="X140" s="666" t="str">
        <f>IF(OR($A140="F&amp;F",$G140=""),"",IF(X$8&gt;$G140,IF(OR(status1B5!Y140=1,status1B5!Y140=2,'BOULEVARD 5'!AA138&gt;0),"Pagado","impago"),""))</f>
        <v>Pagado</v>
      </c>
      <c r="Y140" s="666" t="str">
        <f>IF(OR($A140="F&amp;F",$G140=""),"",IF(Y$8&gt;$G140,IF(OR(status1B5!Z140=1,status1B5!Z140=2,'BOULEVARD 5'!AB138&gt;0),"Pagado","impago"),""))</f>
        <v>Pagado</v>
      </c>
      <c r="Z140" s="666" t="str">
        <f>IF(OR($A140="F&amp;F",$G140=""),"",IF(Z$8&gt;$G140,IF(OR(status1B5!AA140=1,status1B5!AA140=2,'BOULEVARD 5'!AC138&gt;0),"Pagado","impago"),""))</f>
        <v>Pagado</v>
      </c>
      <c r="AA140" s="666" t="str">
        <f>IF(OR($A140="F&amp;F",$G140=""),"",IF(AA$8&gt;$G140,IF(OR(status1B5!AB140=1,status1B5!AB140=2,'BOULEVARD 5'!AD138&gt;0),"Pagado","impago"),""))</f>
        <v>Pagado</v>
      </c>
      <c r="AB140" s="666" t="str">
        <f>IF(OR($A140="F&amp;F",$G140=""),"",IF(AB$8&gt;$G140,IF(OR(status1B5!AC140=1,status1B5!AC140=2,'BOULEVARD 5'!AE138&gt;0),"Pagado","impago"),""))</f>
        <v>Pagado</v>
      </c>
      <c r="AC140" s="666" t="str">
        <f>IF(OR($A140="F&amp;F",$G140=""),"",IF(AC$8&gt;$G140,IF(OR(status1B5!AD140=1,status1B5!AD140=2,'BOULEVARD 5'!AF138&gt;0),"Pagado","impago"),""))</f>
        <v>Pagado</v>
      </c>
      <c r="AD140" s="666" t="str">
        <f>IF(OR($A140="F&amp;F",$G140=""),"",IF(AD$8&gt;$G140,IF(OR(status1B5!AE140=1,status1B5!AE140=2,'BOULEVARD 5'!AG138&gt;0),"Pagado","impago"),""))</f>
        <v>Pagado</v>
      </c>
      <c r="AE140" s="666" t="str">
        <f>IF(OR($A140="F&amp;F",$G140=""),"",IF(AE$8&gt;$G140,IF(OR(status1B5!AF140=1,status1B5!AF140=2,'BOULEVARD 5'!AH138&gt;0),"Pagado","impago"),""))</f>
        <v>Pagado</v>
      </c>
      <c r="AF140" s="666" t="str">
        <f>IF(OR($A140="F&amp;F",$G140=""),"",IF(AF$8&gt;$G140,IF(OR(status1B5!AG140=1,status1B5!AG140=2,'BOULEVARD 5'!AI138&gt;0),"Pagado","impago"),""))</f>
        <v>Pagado</v>
      </c>
      <c r="AG140" s="666" t="str">
        <f>IF(OR($A140="F&amp;F",$G140=""),"",IF(AG$8&gt;$G140,IF(OR(status1B5!AH140=1,status1B5!AH140=2,'BOULEVARD 5'!AJ138&gt;0),"Pagado","impago"),""))</f>
        <v>Pagado</v>
      </c>
      <c r="AH140" s="666" t="str">
        <f>IF(OR($A140="F&amp;F",$G140=""),"",IF(AH$8&gt;$G140,IF(OR(status1B5!AI140=1,status1B5!AI140=2,'BOULEVARD 5'!AK138&gt;0),"Pagado","impago"),""))</f>
        <v>Pagado</v>
      </c>
      <c r="AI140" s="666" t="str">
        <f>IF(OR($A140="F&amp;F",$G140=""),"",IF(AI$8&gt;$G140,IF(OR(status1B5!AJ140=1,status1B5!AJ140=2,'BOULEVARD 5'!AL138&gt;0),"Pagado","impago"),""))</f>
        <v>Pagado</v>
      </c>
      <c r="AJ140" s="666" t="str">
        <f>IF(OR($A140="F&amp;F",$G140=""),"",IF(AJ$8&gt;$G140,IF(OR(status1B5!AK140=1,status1B5!AK140=2,'BOULEVARD 5'!AM138&gt;0),"Pagado","impago"),""))</f>
        <v>Pagado</v>
      </c>
      <c r="AK140" s="666" t="str">
        <f>IF(OR($A140="F&amp;F",$G140=""),"",IF(AK$8&gt;$G140,IF(OR(status1B5!AL140=1,status1B5!AL140=2,'BOULEVARD 5'!AN138&gt;0),"Pagado","impago"),""))</f>
        <v>Pagado</v>
      </c>
      <c r="AL140" s="666" t="str">
        <f>IF(OR($A140="F&amp;F",$G140=""),"",IF(AL$8&gt;$G140,IF(OR(status1B5!AM140=1,status1B5!AM140=2,'BOULEVARD 5'!AO138&gt;0),"Pagado","impago"),""))</f>
        <v>Pagado</v>
      </c>
      <c r="AM140" s="666" t="str">
        <f>IF(OR($A140="F&amp;F",$G140=""),"",IF(AM$8&gt;$G140,IF(OR(status1B5!AN140=1,status1B5!AN140=2,'BOULEVARD 5'!AP138&gt;0),"Pagado","impago"),""))</f>
        <v>Pagado</v>
      </c>
      <c r="AN140" s="666" t="str">
        <f>IF(OR($A140="F&amp;F",$G140=""),"",IF(AN$8&gt;$G140,IF(OR(status1B5!AO140=1,status1B5!AO140=2,'BOULEVARD 5'!AQ138&gt;0),"Pagado","impago"),""))</f>
        <v>Pagado</v>
      </c>
      <c r="AO140" s="666" t="str">
        <f>IF(OR($A140="F&amp;F",$G140=""),"",IF(AO$8&gt;$G140,IF(OR(status1B5!AP140=1,status1B5!AP140=2,'BOULEVARD 5'!AS138&gt;0),"Pagado","impago"),""))</f>
        <v>Pagado</v>
      </c>
      <c r="AP140" s="429" t="str">
        <f t="shared" si="7"/>
        <v>Vendido</v>
      </c>
    </row>
    <row r="141" spans="1:42" s="429" customFormat="1" ht="13.9" customHeight="1" x14ac:dyDescent="0.25">
      <c r="A141" s="472"/>
      <c r="B141" s="436">
        <f>'BOULEVARD 5'!B139</f>
        <v>806</v>
      </c>
      <c r="C141" s="436" t="s">
        <v>355</v>
      </c>
      <c r="D141" s="436"/>
      <c r="E141" s="436" t="str">
        <f>IF('BOULEVARD 5'!E139="","",'BOULEVARD 5'!E139)</f>
        <v>Antonio Rada</v>
      </c>
      <c r="F141" s="429" t="str">
        <f>IF('BOULEVARD 5'!F139="","",'BOULEVARD 5'!F139)</f>
        <v>Rodolfo Morales Muñoz</v>
      </c>
      <c r="G141" s="473">
        <f>IF('BOULEVARD 5'!G139="","",'BOULEVARD 5'!G139)</f>
        <v>45547</v>
      </c>
      <c r="H141" s="666" t="str">
        <f>IF(OR($A141="F&amp;F",$G141=""),"",IF(H$8&gt;$G141,IF(OR(status1B5!I141=1,status1B5!I141=2,'BOULEVARD 5'!K139&gt;0),"Pagado","impago"),""))</f>
        <v/>
      </c>
      <c r="I141" s="666" t="str">
        <f>IF(OR($A141="F&amp;F",$G141=""),"",IF(I$8&gt;$G141,IF(OR(status1B5!J141=1,status1B5!J141=2,'BOULEVARD 5'!L139&gt;0),"Pagado","impago"),""))</f>
        <v/>
      </c>
      <c r="J141" s="666" t="str">
        <f>IF(OR($A141="F&amp;F",$G141=""),"",IF(J$8&gt;$G141,IF(OR(status1B5!K141=1,status1B5!K141=2,'BOULEVARD 5'!M139&gt;0),"Pagado","impago"),""))</f>
        <v/>
      </c>
      <c r="K141" s="666" t="str">
        <f>IF(OR($A141="F&amp;F",$G141=""),"",IF(K$8&gt;$G141,IF(OR(status1B5!L141=1,status1B5!L141=2,'BOULEVARD 5'!N139&gt;0),"Pagado","impago"),""))</f>
        <v/>
      </c>
      <c r="L141" s="666" t="str">
        <f>IF(OR($A141="F&amp;F",$G141=""),"",IF(L$8&gt;$G141,IF(OR(status1B5!M141=1,status1B5!M141=2,'BOULEVARD 5'!O139&gt;0),"Pagado","impago"),""))</f>
        <v/>
      </c>
      <c r="M141" s="666" t="str">
        <f>IF(OR($A141="F&amp;F",$G141=""),"",IF(M$8&gt;$G141,IF(OR(status1B5!N141=1,status1B5!N141=2,'BOULEVARD 5'!P139&gt;0),"Pagado","impago"),""))</f>
        <v/>
      </c>
      <c r="N141" s="666" t="str">
        <f>IF(OR($A141="F&amp;F",$G141=""),"",IF(N$8&gt;$G141,IF(OR(status1B5!O141=1,status1B5!O141=2,'BOULEVARD 5'!Q139&gt;0),"Pagado","impago"),""))</f>
        <v/>
      </c>
      <c r="O141" s="666" t="str">
        <f>IF(OR($A141="F&amp;F",$G141=""),"",IF(O$8&gt;$G141,IF(OR(status1B5!P141=1,status1B5!P141=2,'BOULEVARD 5'!R139&gt;0),"Pagado","impago"),""))</f>
        <v/>
      </c>
      <c r="P141" s="666" t="str">
        <f>IF(OR($A141="F&amp;F",$G141=""),"",IF(P$8&gt;$G141,IF(OR(status1B5!Q141=1,status1B5!Q141=2,'BOULEVARD 5'!S139&gt;0),"Pagado","impago"),""))</f>
        <v/>
      </c>
      <c r="Q141" s="666" t="str">
        <f>IF(OR($A141="F&amp;F",$G141=""),"",IF(Q$8&gt;$G141,IF(OR(status1B5!R141=1,status1B5!R141=2,'BOULEVARD 5'!T139&gt;0),"Pagado","impago"),""))</f>
        <v/>
      </c>
      <c r="R141" s="666" t="str">
        <f>IF(OR($A141="F&amp;F",$G141=""),"",IF(R$8&gt;$G141,IF(OR(status1B5!S141=1,status1B5!S141=2,'BOULEVARD 5'!U139&gt;0),"Pagado","impago"),""))</f>
        <v/>
      </c>
      <c r="S141" s="666" t="str">
        <f>IF(OR($A141="F&amp;F",$G141=""),"",IF(S$8&gt;$G141,IF(OR(status1B5!T141=1,status1B5!T141=2,'BOULEVARD 5'!V139&gt;0),"Pagado","impago"),""))</f>
        <v/>
      </c>
      <c r="T141" s="666" t="str">
        <f>IF(OR($A141="F&amp;F",$G141=""),"",IF(T$8&gt;$G141,IF(OR(status1B5!U141=1,status1B5!U141=2,'BOULEVARD 5'!W139&gt;0),"Pagado","impago"),""))</f>
        <v/>
      </c>
      <c r="U141" s="666" t="str">
        <f>IF(OR($A141="F&amp;F",$G141=""),"",IF(U$8&gt;$G141,IF(OR(status1B5!V141=1,status1B5!V141=2,'BOULEVARD 5'!X139&gt;0),"Pagado","impago"),""))</f>
        <v/>
      </c>
      <c r="V141" s="666" t="str">
        <f>IF(OR($A141="F&amp;F",$G141=""),"",IF(V$8&gt;$G141,IF(OR(status1B5!W141=1,status1B5!W141=2,'BOULEVARD 5'!Y139&gt;0),"Pagado","impago"),""))</f>
        <v/>
      </c>
      <c r="W141" s="666" t="str">
        <f>IF(OR($A141="F&amp;F",$G141=""),"",IF(W$8&gt;$G141,IF(OR(status1B5!X141=1,status1B5!X141=2,'BOULEVARD 5'!Z139&gt;0),"Pagado","impago"),""))</f>
        <v/>
      </c>
      <c r="X141" s="666" t="str">
        <f>IF(OR($A141="F&amp;F",$G141=""),"",IF(X$8&gt;$G141,IF(OR(status1B5!Y141=1,status1B5!Y141=2,'BOULEVARD 5'!AA139&gt;0),"Pagado","impago"),""))</f>
        <v/>
      </c>
      <c r="Y141" s="666" t="str">
        <f>IF(OR($A141="F&amp;F",$G141=""),"",IF(Y$8&gt;$G141,IF(OR(status1B5!Z141=1,status1B5!Z141=2,'BOULEVARD 5'!AB139&gt;0),"Pagado","impago"),""))</f>
        <v/>
      </c>
      <c r="Z141" s="666" t="str">
        <f>IF(OR($A141="F&amp;F",$G141=""),"",IF(Z$8&gt;$G141,IF(OR(status1B5!AA141=1,status1B5!AA141=2,'BOULEVARD 5'!AC139&gt;0),"Pagado","impago"),""))</f>
        <v>Pagado</v>
      </c>
      <c r="AA141" s="666" t="str">
        <f>IF(OR($A141="F&amp;F",$G141=""),"",IF(AA$8&gt;$G141,IF(OR(status1B5!AB141=1,status1B5!AB141=2,'BOULEVARD 5'!AD139&gt;0),"Pagado","impago"),""))</f>
        <v>Pagado</v>
      </c>
      <c r="AB141" s="666" t="str">
        <f>IF(OR($A141="F&amp;F",$G141=""),"",IF(AB$8&gt;$G141,IF(OR(status1B5!AC141=1,status1B5!AC141=2,'BOULEVARD 5'!AE139&gt;0),"Pagado","impago"),""))</f>
        <v>Pagado</v>
      </c>
      <c r="AC141" s="666" t="str">
        <f>IF(OR($A141="F&amp;F",$G141=""),"",IF(AC$8&gt;$G141,IF(OR(status1B5!AD141=1,status1B5!AD141=2,'BOULEVARD 5'!AF139&gt;0),"Pagado","impago"),""))</f>
        <v>Pagado</v>
      </c>
      <c r="AD141" s="666" t="str">
        <f>IF(OR($A141="F&amp;F",$G141=""),"",IF(AD$8&gt;$G141,IF(OR(status1B5!AE141=1,status1B5!AE141=2,'BOULEVARD 5'!AG139&gt;0),"Pagado","impago"),""))</f>
        <v>Pagado</v>
      </c>
      <c r="AE141" s="666" t="str">
        <f>IF(OR($A141="F&amp;F",$G141=""),"",IF(AE$8&gt;$G141,IF(OR(status1B5!AF141=1,status1B5!AF141=2,'BOULEVARD 5'!AH139&gt;0),"Pagado","impago"),""))</f>
        <v>Pagado</v>
      </c>
      <c r="AF141" s="666" t="str">
        <f>IF(OR($A141="F&amp;F",$G141=""),"",IF(AF$8&gt;$G141,IF(OR(status1B5!AG141=1,status1B5!AG141=2,'BOULEVARD 5'!AI139&gt;0),"Pagado","impago"),""))</f>
        <v>Pagado</v>
      </c>
      <c r="AG141" s="666" t="str">
        <f>IF(OR($A141="F&amp;F",$G141=""),"",IF(AG$8&gt;$G141,IF(OR(status1B5!AH141=1,status1B5!AH141=2,'BOULEVARD 5'!AJ139&gt;0),"Pagado","impago"),""))</f>
        <v>Pagado</v>
      </c>
      <c r="AH141" s="666" t="str">
        <f>IF(OR($A141="F&amp;F",$G141=""),"",IF(AH$8&gt;$G141,IF(OR(status1B5!AI141=1,status1B5!AI141=2,'BOULEVARD 5'!AK139&gt;0),"Pagado","impago"),""))</f>
        <v>Pagado</v>
      </c>
      <c r="AI141" s="666" t="str">
        <f>IF(OR($A141="F&amp;F",$G141=""),"",IF(AI$8&gt;$G141,IF(OR(status1B5!AJ141=1,status1B5!AJ141=2,'BOULEVARD 5'!AL139&gt;0),"Pagado","impago"),""))</f>
        <v>Pagado</v>
      </c>
      <c r="AJ141" s="666" t="str">
        <f>IF(OR($A141="F&amp;F",$G141=""),"",IF(AJ$8&gt;$G141,IF(OR(status1B5!AK141=1,status1B5!AK141=2,'BOULEVARD 5'!AM139&gt;0),"Pagado","impago"),""))</f>
        <v>Pagado</v>
      </c>
      <c r="AK141" s="666" t="str">
        <f>IF(OR($A141="F&amp;F",$G141=""),"",IF(AK$8&gt;$G141,IF(OR(status1B5!AL141=1,status1B5!AL141=2,'BOULEVARD 5'!AN139&gt;0),"Pagado","impago"),""))</f>
        <v>Pagado</v>
      </c>
      <c r="AL141" s="666" t="str">
        <f>IF(OR($A141="F&amp;F",$G141=""),"",IF(AL$8&gt;$G141,IF(OR(status1B5!AM141=1,status1B5!AM141=2,'BOULEVARD 5'!AO139&gt;0),"Pagado","impago"),""))</f>
        <v>Pagado</v>
      </c>
      <c r="AM141" s="666" t="str">
        <f>IF(OR($A141="F&amp;F",$G141=""),"",IF(AM$8&gt;$G141,IF(OR(status1B5!AN141=1,status1B5!AN141=2,'BOULEVARD 5'!AP139&gt;0),"Pagado","impago"),""))</f>
        <v>Pagado</v>
      </c>
      <c r="AN141" s="666" t="str">
        <f>IF(OR($A141="F&amp;F",$G141=""),"",IF(AN$8&gt;$G141,IF(OR(status1B5!AO141=1,status1B5!AO141=2,'BOULEVARD 5'!AQ139&gt;0),"Pagado","impago"),""))</f>
        <v>Pagado</v>
      </c>
      <c r="AO141" s="666" t="str">
        <f>IF(OR($A141="F&amp;F",$G141=""),"",IF(AO$8&gt;$G141,IF(OR(status1B5!AP141=1,status1B5!AP141=2,'BOULEVARD 5'!AS139&gt;0),"Pagado","impago"),""))</f>
        <v>Pagado</v>
      </c>
      <c r="AP141" s="429" t="str">
        <f t="shared" si="7"/>
        <v>Vendido</v>
      </c>
    </row>
    <row r="142" spans="1:42" s="429" customFormat="1" ht="13.9" customHeight="1" x14ac:dyDescent="0.25">
      <c r="A142" s="472"/>
      <c r="B142" s="436">
        <f>'BOULEVARD 5'!B140</f>
        <v>807</v>
      </c>
      <c r="C142" s="436" t="s">
        <v>355</v>
      </c>
      <c r="D142" s="436"/>
      <c r="E142" s="436" t="str">
        <f>IF('BOULEVARD 5'!E140="","",'BOULEVARD 5'!E140)</f>
        <v>Antonio Rada</v>
      </c>
      <c r="F142" s="429" t="str">
        <f>IF('BOULEVARD 5'!F140="","",'BOULEVARD 5'!F140)</f>
        <v>Eswin Raul Morales Lopez</v>
      </c>
      <c r="G142" s="473">
        <f>IF('BOULEVARD 5'!G140="","",'BOULEVARD 5'!G140)</f>
        <v>45260</v>
      </c>
      <c r="H142" s="666" t="str">
        <f>IF(OR($A142="F&amp;F",$G142=""),"",IF(H$8&gt;$G142,IF(OR(status1B5!I142=1,status1B5!I142=2,'BOULEVARD 5'!K140&gt;0),"Pagado","impago"),""))</f>
        <v/>
      </c>
      <c r="I142" s="666" t="str">
        <f>IF(OR($A142="F&amp;F",$G142=""),"",IF(I$8&gt;$G142,IF(OR(status1B5!J142=1,status1B5!J142=2,'BOULEVARD 5'!L140&gt;0),"Pagado","impago"),""))</f>
        <v/>
      </c>
      <c r="J142" s="666" t="str">
        <f>IF(OR($A142="F&amp;F",$G142=""),"",IF(J$8&gt;$G142,IF(OR(status1B5!K142=1,status1B5!K142=2,'BOULEVARD 5'!M140&gt;0),"Pagado","impago"),""))</f>
        <v/>
      </c>
      <c r="K142" s="666" t="str">
        <f>IF(OR($A142="F&amp;F",$G142=""),"",IF(K$8&gt;$G142,IF(OR(status1B5!L142=1,status1B5!L142=2,'BOULEVARD 5'!N140&gt;0),"Pagado","impago"),""))</f>
        <v/>
      </c>
      <c r="L142" s="666" t="str">
        <f>IF(OR($A142="F&amp;F",$G142=""),"",IF(L$8&gt;$G142,IF(OR(status1B5!M142=1,status1B5!M142=2,'BOULEVARD 5'!O140&gt;0),"Pagado","impago"),""))</f>
        <v/>
      </c>
      <c r="M142" s="666" t="str">
        <f>IF(OR($A142="F&amp;F",$G142=""),"",IF(M$8&gt;$G142,IF(OR(status1B5!N142=1,status1B5!N142=2,'BOULEVARD 5'!P140&gt;0),"Pagado","impago"),""))</f>
        <v/>
      </c>
      <c r="N142" s="666" t="str">
        <f>IF(OR($A142="F&amp;F",$G142=""),"",IF(N$8&gt;$G142,IF(OR(status1B5!O142=1,status1B5!O142=2,'BOULEVARD 5'!Q140&gt;0),"Pagado","impago"),""))</f>
        <v/>
      </c>
      <c r="O142" s="666" t="str">
        <f>IF(OR($A142="F&amp;F",$G142=""),"",IF(O$8&gt;$G142,IF(OR(status1B5!P142=1,status1B5!P142=2,'BOULEVARD 5'!R140&gt;0),"Pagado","impago"),""))</f>
        <v/>
      </c>
      <c r="P142" s="666" t="str">
        <f>IF(OR($A142="F&amp;F",$G142=""),"",IF(P$8&gt;$G142,IF(OR(status1B5!Q142=1,status1B5!Q142=2,'BOULEVARD 5'!S140&gt;0),"Pagado","impago"),""))</f>
        <v/>
      </c>
      <c r="Q142" s="666" t="str">
        <f>IF(OR($A142="F&amp;F",$G142=""),"",IF(Q$8&gt;$G142,IF(OR(status1B5!R142=1,status1B5!R142=2,'BOULEVARD 5'!T140&gt;0),"Pagado","impago"),""))</f>
        <v>Pagado</v>
      </c>
      <c r="R142" s="666" t="str">
        <f>IF(OR($A142="F&amp;F",$G142=""),"",IF(R$8&gt;$G142,IF(OR(status1B5!S142=1,status1B5!S142=2,'BOULEVARD 5'!U140&gt;0),"Pagado","impago"),""))</f>
        <v>Pagado</v>
      </c>
      <c r="S142" s="666" t="str">
        <f>IF(OR($A142="F&amp;F",$G142=""),"",IF(S$8&gt;$G142,IF(OR(status1B5!T142=1,status1B5!T142=2,'BOULEVARD 5'!V140&gt;0),"Pagado","impago"),""))</f>
        <v>Pagado</v>
      </c>
      <c r="T142" s="666" t="str">
        <f>IF(OR($A142="F&amp;F",$G142=""),"",IF(T$8&gt;$G142,IF(OR(status1B5!U142=1,status1B5!U142=2,'BOULEVARD 5'!W140&gt;0),"Pagado","impago"),""))</f>
        <v>Pagado</v>
      </c>
      <c r="U142" s="666" t="str">
        <f>IF(OR($A142="F&amp;F",$G142=""),"",IF(U$8&gt;$G142,IF(OR(status1B5!V142=1,status1B5!V142=2,'BOULEVARD 5'!X140&gt;0),"Pagado","impago"),""))</f>
        <v>Pagado</v>
      </c>
      <c r="V142" s="666" t="str">
        <f>IF(OR($A142="F&amp;F",$G142=""),"",IF(V$8&gt;$G142,IF(OR(status1B5!W142=1,status1B5!W142=2,'BOULEVARD 5'!Y140&gt;0),"Pagado","impago"),""))</f>
        <v>Pagado</v>
      </c>
      <c r="W142" s="666" t="str">
        <f>IF(OR($A142="F&amp;F",$G142=""),"",IF(W$8&gt;$G142,IF(OR(status1B5!X142=1,status1B5!X142=2,'BOULEVARD 5'!Z140&gt;0),"Pagado","impago"),""))</f>
        <v>Pagado</v>
      </c>
      <c r="X142" s="666" t="str">
        <f>IF(OR($A142="F&amp;F",$G142=""),"",IF(X$8&gt;$G142,IF(OR(status1B5!Y142=1,status1B5!Y142=2,'BOULEVARD 5'!AA140&gt;0),"Pagado","impago"),""))</f>
        <v>Pagado</v>
      </c>
      <c r="Y142" s="666" t="str">
        <f>IF(OR($A142="F&amp;F",$G142=""),"",IF(Y$8&gt;$G142,IF(OR(status1B5!Z142=1,status1B5!Z142=2,'BOULEVARD 5'!AB140&gt;0),"Pagado","impago"),""))</f>
        <v>Pagado</v>
      </c>
      <c r="Z142" s="666" t="str">
        <f>IF(OR($A142="F&amp;F",$G142=""),"",IF(Z$8&gt;$G142,IF(OR(status1B5!AA142=1,status1B5!AA142=2,'BOULEVARD 5'!AC140&gt;0),"Pagado","impago"),""))</f>
        <v>Pagado</v>
      </c>
      <c r="AA142" s="666" t="str">
        <f>IF(OR($A142="F&amp;F",$G142=""),"",IF(AA$8&gt;$G142,IF(OR(status1B5!AB142=1,status1B5!AB142=2,'BOULEVARD 5'!AD140&gt;0),"Pagado","impago"),""))</f>
        <v>Pagado</v>
      </c>
      <c r="AB142" s="666" t="str">
        <f>IF(OR($A142="F&amp;F",$G142=""),"",IF(AB$8&gt;$G142,IF(OR(status1B5!AC142=1,status1B5!AC142=2,'BOULEVARD 5'!AE140&gt;0),"Pagado","impago"),""))</f>
        <v>Pagado</v>
      </c>
      <c r="AC142" s="666" t="str">
        <f>IF(OR($A142="F&amp;F",$G142=""),"",IF(AC$8&gt;$G142,IF(OR(status1B5!AD142=1,status1B5!AD142=2,'BOULEVARD 5'!AF140&gt;0),"Pagado","impago"),""))</f>
        <v>Pagado</v>
      </c>
      <c r="AD142" s="666" t="str">
        <f>IF(OR($A142="F&amp;F",$G142=""),"",IF(AD$8&gt;$G142,IF(OR(status1B5!AE142=1,status1B5!AE142=2,'BOULEVARD 5'!AG140&gt;0),"Pagado","impago"),""))</f>
        <v>Pagado</v>
      </c>
      <c r="AE142" s="666" t="str">
        <f>IF(OR($A142="F&amp;F",$G142=""),"",IF(AE$8&gt;$G142,IF(OR(status1B5!AF142=1,status1B5!AF142=2,'BOULEVARD 5'!AH140&gt;0),"Pagado","impago"),""))</f>
        <v>Pagado</v>
      </c>
      <c r="AF142" s="666" t="str">
        <f>IF(OR($A142="F&amp;F",$G142=""),"",IF(AF$8&gt;$G142,IF(OR(status1B5!AG142=1,status1B5!AG142=2,'BOULEVARD 5'!AI140&gt;0),"Pagado","impago"),""))</f>
        <v>Pagado</v>
      </c>
      <c r="AG142" s="666" t="str">
        <f>IF(OR($A142="F&amp;F",$G142=""),"",IF(AG$8&gt;$G142,IF(OR(status1B5!AH142=1,status1B5!AH142=2,'BOULEVARD 5'!AJ140&gt;0),"Pagado","impago"),""))</f>
        <v>Pagado</v>
      </c>
      <c r="AH142" s="666" t="str">
        <f>IF(OR($A142="F&amp;F",$G142=""),"",IF(AH$8&gt;$G142,IF(OR(status1B5!AI142=1,status1B5!AI142=2,'BOULEVARD 5'!AK140&gt;0),"Pagado","impago"),""))</f>
        <v>Pagado</v>
      </c>
      <c r="AI142" s="666" t="str">
        <f>IF(OR($A142="F&amp;F",$G142=""),"",IF(AI$8&gt;$G142,IF(OR(status1B5!AJ142=1,status1B5!AJ142=2,'BOULEVARD 5'!AL140&gt;0),"Pagado","impago"),""))</f>
        <v>Pagado</v>
      </c>
      <c r="AJ142" s="666" t="str">
        <f>IF(OR($A142="F&amp;F",$G142=""),"",IF(AJ$8&gt;$G142,IF(OR(status1B5!AK142=1,status1B5!AK142=2,'BOULEVARD 5'!AM140&gt;0),"Pagado","impago"),""))</f>
        <v>Pagado</v>
      </c>
      <c r="AK142" s="666" t="str">
        <f>IF(OR($A142="F&amp;F",$G142=""),"",IF(AK$8&gt;$G142,IF(OR(status1B5!AL142=1,status1B5!AL142=2,'BOULEVARD 5'!AN140&gt;0),"Pagado","impago"),""))</f>
        <v>Pagado</v>
      </c>
      <c r="AL142" s="666" t="str">
        <f>IF(OR($A142="F&amp;F",$G142=""),"",IF(AL$8&gt;$G142,IF(OR(status1B5!AM142=1,status1B5!AM142=2,'BOULEVARD 5'!AO140&gt;0),"Pagado","impago"),""))</f>
        <v>Pagado</v>
      </c>
      <c r="AM142" s="666" t="str">
        <f>IF(OR($A142="F&amp;F",$G142=""),"",IF(AM$8&gt;$G142,IF(OR(status1B5!AN142=1,status1B5!AN142=2,'BOULEVARD 5'!AP140&gt;0),"Pagado","impago"),""))</f>
        <v>Pagado</v>
      </c>
      <c r="AN142" s="666" t="str">
        <f>IF(OR($A142="F&amp;F",$G142=""),"",IF(AN$8&gt;$G142,IF(OR(status1B5!AO142=1,status1B5!AO142=2,'BOULEVARD 5'!AQ140&gt;0),"Pagado","impago"),""))</f>
        <v>Pagado</v>
      </c>
      <c r="AO142" s="666" t="str">
        <f>IF(OR($A142="F&amp;F",$G142=""),"",IF(AO$8&gt;$G142,IF(OR(status1B5!AP142=1,status1B5!AP142=2,'BOULEVARD 5'!AS140&gt;0),"Pagado","impago"),""))</f>
        <v>Pagado</v>
      </c>
      <c r="AP142" s="429" t="str">
        <f t="shared" si="7"/>
        <v>Vendido</v>
      </c>
    </row>
    <row r="143" spans="1:42" s="429" customFormat="1" ht="13.9" customHeight="1" x14ac:dyDescent="0.25">
      <c r="A143" s="472"/>
      <c r="B143" s="436">
        <f>'BOULEVARD 5'!B141</f>
        <v>808</v>
      </c>
      <c r="C143" s="436" t="s">
        <v>355</v>
      </c>
      <c r="D143" s="436"/>
      <c r="E143" s="436" t="str">
        <f>IF('BOULEVARD 5'!E141="","",'BOULEVARD 5'!E141)</f>
        <v>Antonio Rada</v>
      </c>
      <c r="F143" s="429" t="str">
        <f>IF('BOULEVARD 5'!F141="","",'BOULEVARD 5'!F141)</f>
        <v>Gualberto Alonso Salazar Trejo</v>
      </c>
      <c r="G143" s="473">
        <f>IF('BOULEVARD 5'!G141="","",'BOULEVARD 5'!G141)</f>
        <v>45356</v>
      </c>
      <c r="H143" s="666" t="str">
        <f>IF(OR($A143="F&amp;F",$G143=""),"",IF(H$8&gt;$G143,IF(OR(status1B5!I143=1,status1B5!I143=2,'BOULEVARD 5'!K141&gt;0),"Pagado","impago"),""))</f>
        <v/>
      </c>
      <c r="I143" s="666" t="str">
        <f>IF(OR($A143="F&amp;F",$G143=""),"",IF(I$8&gt;$G143,IF(OR(status1B5!J143=1,status1B5!J143=2,'BOULEVARD 5'!L141&gt;0),"Pagado","impago"),""))</f>
        <v/>
      </c>
      <c r="J143" s="666" t="str">
        <f>IF(OR($A143="F&amp;F",$G143=""),"",IF(J$8&gt;$G143,IF(OR(status1B5!K143=1,status1B5!K143=2,'BOULEVARD 5'!M141&gt;0),"Pagado","impago"),""))</f>
        <v/>
      </c>
      <c r="K143" s="666" t="str">
        <f>IF(OR($A143="F&amp;F",$G143=""),"",IF(K$8&gt;$G143,IF(OR(status1B5!L143=1,status1B5!L143=2,'BOULEVARD 5'!N141&gt;0),"Pagado","impago"),""))</f>
        <v/>
      </c>
      <c r="L143" s="666" t="str">
        <f>IF(OR($A143="F&amp;F",$G143=""),"",IF(L$8&gt;$G143,IF(OR(status1B5!M143=1,status1B5!M143=2,'BOULEVARD 5'!O141&gt;0),"Pagado","impago"),""))</f>
        <v/>
      </c>
      <c r="M143" s="666" t="str">
        <f>IF(OR($A143="F&amp;F",$G143=""),"",IF(M$8&gt;$G143,IF(OR(status1B5!N143=1,status1B5!N143=2,'BOULEVARD 5'!P141&gt;0),"Pagado","impago"),""))</f>
        <v/>
      </c>
      <c r="N143" s="666" t="str">
        <f>IF(OR($A143="F&amp;F",$G143=""),"",IF(N$8&gt;$G143,IF(OR(status1B5!O143=1,status1B5!O143=2,'BOULEVARD 5'!Q141&gt;0),"Pagado","impago"),""))</f>
        <v/>
      </c>
      <c r="O143" s="666" t="str">
        <f>IF(OR($A143="F&amp;F",$G143=""),"",IF(O$8&gt;$G143,IF(OR(status1B5!P143=1,status1B5!P143=2,'BOULEVARD 5'!R141&gt;0),"Pagado","impago"),""))</f>
        <v/>
      </c>
      <c r="P143" s="666" t="str">
        <f>IF(OR($A143="F&amp;F",$G143=""),"",IF(P$8&gt;$G143,IF(OR(status1B5!Q143=1,status1B5!Q143=2,'BOULEVARD 5'!S141&gt;0),"Pagado","impago"),""))</f>
        <v/>
      </c>
      <c r="Q143" s="666" t="str">
        <f>IF(OR($A143="F&amp;F",$G143=""),"",IF(Q$8&gt;$G143,IF(OR(status1B5!R143=1,status1B5!R143=2,'BOULEVARD 5'!T141&gt;0),"Pagado","impago"),""))</f>
        <v/>
      </c>
      <c r="R143" s="666" t="str">
        <f>IF(OR($A143="F&amp;F",$G143=""),"",IF(R$8&gt;$G143,IF(OR(status1B5!S143=1,status1B5!S143=2,'BOULEVARD 5'!U141&gt;0),"Pagado","impago"),""))</f>
        <v/>
      </c>
      <c r="S143" s="666" t="str">
        <f>IF(OR($A143="F&amp;F",$G143=""),"",IF(S$8&gt;$G143,IF(OR(status1B5!T143=1,status1B5!T143=2,'BOULEVARD 5'!V141&gt;0),"Pagado","impago"),""))</f>
        <v/>
      </c>
      <c r="T143" s="666" t="str">
        <f>IF(OR($A143="F&amp;F",$G143=""),"",IF(T$8&gt;$G143,IF(OR(status1B5!U143=1,status1B5!U143=2,'BOULEVARD 5'!W141&gt;0),"Pagado","impago"),""))</f>
        <v>Pagado</v>
      </c>
      <c r="U143" s="666" t="str">
        <f>IF(OR($A143="F&amp;F",$G143=""),"",IF(U$8&gt;$G143,IF(OR(status1B5!V143=1,status1B5!V143=2,'BOULEVARD 5'!X141&gt;0),"Pagado","impago"),""))</f>
        <v>Pagado</v>
      </c>
      <c r="V143" s="666" t="str">
        <f>IF(OR($A143="F&amp;F",$G143=""),"",IF(V$8&gt;$G143,IF(OR(status1B5!W143=1,status1B5!W143=2,'BOULEVARD 5'!Y141&gt;0),"Pagado","impago"),""))</f>
        <v>Pagado</v>
      </c>
      <c r="W143" s="666" t="str">
        <f>IF(OR($A143="F&amp;F",$G143=""),"",IF(W$8&gt;$G143,IF(OR(status1B5!X143=1,status1B5!X143=2,'BOULEVARD 5'!Z141&gt;0),"Pagado","impago"),""))</f>
        <v>Pagado</v>
      </c>
      <c r="X143" s="666" t="str">
        <f>IF(OR($A143="F&amp;F",$G143=""),"",IF(X$8&gt;$G143,IF(OR(status1B5!Y143=1,status1B5!Y143=2,'BOULEVARD 5'!AA141&gt;0),"Pagado","impago"),""))</f>
        <v>Pagado</v>
      </c>
      <c r="Y143" s="666" t="str">
        <f>IF(OR($A143="F&amp;F",$G143=""),"",IF(Y$8&gt;$G143,IF(OR(status1B5!Z143=1,status1B5!Z143=2,'BOULEVARD 5'!AB141&gt;0),"Pagado","impago"),""))</f>
        <v>Pagado</v>
      </c>
      <c r="Z143" s="666" t="str">
        <f>IF(OR($A143="F&amp;F",$G143=""),"",IF(Z$8&gt;$G143,IF(OR(status1B5!AA143=1,status1B5!AA143=2,'BOULEVARD 5'!AC141&gt;0),"Pagado","impago"),""))</f>
        <v>Pagado</v>
      </c>
      <c r="AA143" s="666" t="str">
        <f>IF(OR($A143="F&amp;F",$G143=""),"",IF(AA$8&gt;$G143,IF(OR(status1B5!AB143=1,status1B5!AB143=2,'BOULEVARD 5'!AD141&gt;0),"Pagado","impago"),""))</f>
        <v>Pagado</v>
      </c>
      <c r="AB143" s="666" t="str">
        <f>IF(OR($A143="F&amp;F",$G143=""),"",IF(AB$8&gt;$G143,IF(OR(status1B5!AC143=1,status1B5!AC143=2,'BOULEVARD 5'!AE141&gt;0),"Pagado","impago"),""))</f>
        <v>Pagado</v>
      </c>
      <c r="AC143" s="666" t="str">
        <f>IF(OR($A143="F&amp;F",$G143=""),"",IF(AC$8&gt;$G143,IF(OR(status1B5!AD143=1,status1B5!AD143=2,'BOULEVARD 5'!AF141&gt;0),"Pagado","impago"),""))</f>
        <v>Pagado</v>
      </c>
      <c r="AD143" s="666" t="str">
        <f>IF(OR($A143="F&amp;F",$G143=""),"",IF(AD$8&gt;$G143,IF(OR(status1B5!AE143=1,status1B5!AE143=2,'BOULEVARD 5'!AG141&gt;0),"Pagado","impago"),""))</f>
        <v>Pagado</v>
      </c>
      <c r="AE143" s="666" t="str">
        <f>IF(OR($A143="F&amp;F",$G143=""),"",IF(AE$8&gt;$G143,IF(OR(status1B5!AF143=1,status1B5!AF143=2,'BOULEVARD 5'!AH141&gt;0),"Pagado","impago"),""))</f>
        <v>Pagado</v>
      </c>
      <c r="AF143" s="666" t="str">
        <f>IF(OR($A143="F&amp;F",$G143=""),"",IF(AF$8&gt;$G143,IF(OR(status1B5!AG143=1,status1B5!AG143=2,'BOULEVARD 5'!AI141&gt;0),"Pagado","impago"),""))</f>
        <v>Pagado</v>
      </c>
      <c r="AG143" s="666" t="str">
        <f>IF(OR($A143="F&amp;F",$G143=""),"",IF(AG$8&gt;$G143,IF(OR(status1B5!AH143=1,status1B5!AH143=2,'BOULEVARD 5'!AJ141&gt;0),"Pagado","impago"),""))</f>
        <v>Pagado</v>
      </c>
      <c r="AH143" s="666" t="str">
        <f>IF(OR($A143="F&amp;F",$G143=""),"",IF(AH$8&gt;$G143,IF(OR(status1B5!AI143=1,status1B5!AI143=2,'BOULEVARD 5'!AK141&gt;0),"Pagado","impago"),""))</f>
        <v>Pagado</v>
      </c>
      <c r="AI143" s="666" t="str">
        <f>IF(OR($A143="F&amp;F",$G143=""),"",IF(AI$8&gt;$G143,IF(OR(status1B5!AJ143=1,status1B5!AJ143=2,'BOULEVARD 5'!AL141&gt;0),"Pagado","impago"),""))</f>
        <v>Pagado</v>
      </c>
      <c r="AJ143" s="666" t="str">
        <f>IF(OR($A143="F&amp;F",$G143=""),"",IF(AJ$8&gt;$G143,IF(OR(status1B5!AK143=1,status1B5!AK143=2,'BOULEVARD 5'!AM141&gt;0),"Pagado","impago"),""))</f>
        <v>Pagado</v>
      </c>
      <c r="AK143" s="666" t="str">
        <f>IF(OR($A143="F&amp;F",$G143=""),"",IF(AK$8&gt;$G143,IF(OR(status1B5!AL143=1,status1B5!AL143=2,'BOULEVARD 5'!AN141&gt;0),"Pagado","impago"),""))</f>
        <v>Pagado</v>
      </c>
      <c r="AL143" s="666" t="str">
        <f>IF(OR($A143="F&amp;F",$G143=""),"",IF(AL$8&gt;$G143,IF(OR(status1B5!AM143=1,status1B5!AM143=2,'BOULEVARD 5'!AO141&gt;0),"Pagado","impago"),""))</f>
        <v>Pagado</v>
      </c>
      <c r="AM143" s="666" t="str">
        <f>IF(OR($A143="F&amp;F",$G143=""),"",IF(AM$8&gt;$G143,IF(OR(status1B5!AN143=1,status1B5!AN143=2,'BOULEVARD 5'!AP141&gt;0),"Pagado","impago"),""))</f>
        <v>Pagado</v>
      </c>
      <c r="AN143" s="666" t="str">
        <f>IF(OR($A143="F&amp;F",$G143=""),"",IF(AN$8&gt;$G143,IF(OR(status1B5!AO143=1,status1B5!AO143=2,'BOULEVARD 5'!AQ141&gt;0),"Pagado","impago"),""))</f>
        <v>Pagado</v>
      </c>
      <c r="AO143" s="666" t="str">
        <f>IF(OR($A143="F&amp;F",$G143=""),"",IF(AO$8&gt;$G143,IF(OR(status1B5!AP143=1,status1B5!AP143=2,'BOULEVARD 5'!AS141&gt;0),"Pagado","impago"),""))</f>
        <v>Pagado</v>
      </c>
      <c r="AP143" s="429" t="str">
        <f t="shared" si="7"/>
        <v>Vendido</v>
      </c>
    </row>
    <row r="144" spans="1:42" s="429" customFormat="1" ht="13.9" customHeight="1" x14ac:dyDescent="0.25">
      <c r="A144" s="472"/>
      <c r="B144" s="436">
        <f>'BOULEVARD 5'!B142</f>
        <v>809</v>
      </c>
      <c r="C144" s="436" t="s">
        <v>355</v>
      </c>
      <c r="D144" s="436"/>
      <c r="E144" s="436" t="str">
        <f>IF('BOULEVARD 5'!E142="","",'BOULEVARD 5'!E142)</f>
        <v>Antonio Rada</v>
      </c>
      <c r="F144" s="429" t="str">
        <f>IF('BOULEVARD 5'!F142="","",'BOULEVARD 5'!F142)</f>
        <v>Mildred Maritza Monterroso Montenegro De Santizo</v>
      </c>
      <c r="G144" s="473">
        <f>IF('BOULEVARD 5'!G142="","",'BOULEVARD 5'!G142)</f>
        <v>45353</v>
      </c>
      <c r="H144" s="666" t="str">
        <f>IF(OR($A144="F&amp;F",$G144=""),"",IF(H$8&gt;$G144,IF(OR(status1B5!I144=1,status1B5!I144=2,'BOULEVARD 5'!K142&gt;0),"Pagado","impago"),""))</f>
        <v/>
      </c>
      <c r="I144" s="666" t="str">
        <f>IF(OR($A144="F&amp;F",$G144=""),"",IF(I$8&gt;$G144,IF(OR(status1B5!J144=1,status1B5!J144=2,'BOULEVARD 5'!L142&gt;0),"Pagado","impago"),""))</f>
        <v/>
      </c>
      <c r="J144" s="666" t="str">
        <f>IF(OR($A144="F&amp;F",$G144=""),"",IF(J$8&gt;$G144,IF(OR(status1B5!K144=1,status1B5!K144=2,'BOULEVARD 5'!M142&gt;0),"Pagado","impago"),""))</f>
        <v/>
      </c>
      <c r="K144" s="666" t="str">
        <f>IF(OR($A144="F&amp;F",$G144=""),"",IF(K$8&gt;$G144,IF(OR(status1B5!L144=1,status1B5!L144=2,'BOULEVARD 5'!N142&gt;0),"Pagado","impago"),""))</f>
        <v/>
      </c>
      <c r="L144" s="666" t="str">
        <f>IF(OR($A144="F&amp;F",$G144=""),"",IF(L$8&gt;$G144,IF(OR(status1B5!M144=1,status1B5!M144=2,'BOULEVARD 5'!O142&gt;0),"Pagado","impago"),""))</f>
        <v/>
      </c>
      <c r="M144" s="666" t="str">
        <f>IF(OR($A144="F&amp;F",$G144=""),"",IF(M$8&gt;$G144,IF(OR(status1B5!N144=1,status1B5!N144=2,'BOULEVARD 5'!P142&gt;0),"Pagado","impago"),""))</f>
        <v/>
      </c>
      <c r="N144" s="666" t="str">
        <f>IF(OR($A144="F&amp;F",$G144=""),"",IF(N$8&gt;$G144,IF(OR(status1B5!O144=1,status1B5!O144=2,'BOULEVARD 5'!Q142&gt;0),"Pagado","impago"),""))</f>
        <v/>
      </c>
      <c r="O144" s="666" t="str">
        <f>IF(OR($A144="F&amp;F",$G144=""),"",IF(O$8&gt;$G144,IF(OR(status1B5!P144=1,status1B5!P144=2,'BOULEVARD 5'!R142&gt;0),"Pagado","impago"),""))</f>
        <v/>
      </c>
      <c r="P144" s="666" t="str">
        <f>IF(OR($A144="F&amp;F",$G144=""),"",IF(P$8&gt;$G144,IF(OR(status1B5!Q144=1,status1B5!Q144=2,'BOULEVARD 5'!S142&gt;0),"Pagado","impago"),""))</f>
        <v/>
      </c>
      <c r="Q144" s="666" t="str">
        <f>IF(OR($A144="F&amp;F",$G144=""),"",IF(Q$8&gt;$G144,IF(OR(status1B5!R144=1,status1B5!R144=2,'BOULEVARD 5'!T142&gt;0),"Pagado","impago"),""))</f>
        <v/>
      </c>
      <c r="R144" s="666" t="str">
        <f>IF(OR($A144="F&amp;F",$G144=""),"",IF(R$8&gt;$G144,IF(OR(status1B5!S144=1,status1B5!S144=2,'BOULEVARD 5'!U142&gt;0),"Pagado","impago"),""))</f>
        <v/>
      </c>
      <c r="S144" s="666" t="str">
        <f>IF(OR($A144="F&amp;F",$G144=""),"",IF(S$8&gt;$G144,IF(OR(status1B5!T144=1,status1B5!T144=2,'BOULEVARD 5'!V142&gt;0),"Pagado","impago"),""))</f>
        <v/>
      </c>
      <c r="T144" s="666" t="str">
        <f>IF(OR($A144="F&amp;F",$G144=""),"",IF(T$8&gt;$G144,IF(OR(status1B5!U144=1,status1B5!U144=2,'BOULEVARD 5'!W142&gt;0),"Pagado","impago"),""))</f>
        <v>Pagado</v>
      </c>
      <c r="U144" s="666" t="str">
        <f>IF(OR($A144="F&amp;F",$G144=""),"",IF(U$8&gt;$G144,IF(OR(status1B5!V144=1,status1B5!V144=2,'BOULEVARD 5'!X142&gt;0),"Pagado","impago"),""))</f>
        <v>Pagado</v>
      </c>
      <c r="V144" s="666" t="str">
        <f>IF(OR($A144="F&amp;F",$G144=""),"",IF(V$8&gt;$G144,IF(OR(status1B5!W144=1,status1B5!W144=2,'BOULEVARD 5'!Y142&gt;0),"Pagado","impago"),""))</f>
        <v>Pagado</v>
      </c>
      <c r="W144" s="666" t="str">
        <f>IF(OR($A144="F&amp;F",$G144=""),"",IF(W$8&gt;$G144,IF(OR(status1B5!X144=1,status1B5!X144=2,'BOULEVARD 5'!Z142&gt;0),"Pagado","impago"),""))</f>
        <v>Pagado</v>
      </c>
      <c r="X144" s="666" t="str">
        <f>IF(OR($A144="F&amp;F",$G144=""),"",IF(X$8&gt;$G144,IF(OR(status1B5!Y144=1,status1B5!Y144=2,'BOULEVARD 5'!AA142&gt;0),"Pagado","impago"),""))</f>
        <v>Pagado</v>
      </c>
      <c r="Y144" s="666" t="str">
        <f>IF(OR($A144="F&amp;F",$G144=""),"",IF(Y$8&gt;$G144,IF(OR(status1B5!Z144=1,status1B5!Z144=2,'BOULEVARD 5'!AB142&gt;0),"Pagado","impago"),""))</f>
        <v>Pagado</v>
      </c>
      <c r="Z144" s="666" t="str">
        <f>IF(OR($A144="F&amp;F",$G144=""),"",IF(Z$8&gt;$G144,IF(OR(status1B5!AA144=1,status1B5!AA144=2,'BOULEVARD 5'!AC142&gt;0),"Pagado","impago"),""))</f>
        <v>Pagado</v>
      </c>
      <c r="AA144" s="666" t="str">
        <f>IF(OR($A144="F&amp;F",$G144=""),"",IF(AA$8&gt;$G144,IF(OR(status1B5!AB144=1,status1B5!AB144=2,'BOULEVARD 5'!AD142&gt;0),"Pagado","impago"),""))</f>
        <v>Pagado</v>
      </c>
      <c r="AB144" s="666" t="str">
        <f>IF(OR($A144="F&amp;F",$G144=""),"",IF(AB$8&gt;$G144,IF(OR(status1B5!AC144=1,status1B5!AC144=2,'BOULEVARD 5'!AE142&gt;0),"Pagado","impago"),""))</f>
        <v>Pagado</v>
      </c>
      <c r="AC144" s="666" t="str">
        <f>IF(OR($A144="F&amp;F",$G144=""),"",IF(AC$8&gt;$G144,IF(OR(status1B5!AD144=1,status1B5!AD144=2,'BOULEVARD 5'!AF142&gt;0),"Pagado","impago"),""))</f>
        <v>Pagado</v>
      </c>
      <c r="AD144" s="666" t="str">
        <f>IF(OR($A144="F&amp;F",$G144=""),"",IF(AD$8&gt;$G144,IF(OR(status1B5!AE144=1,status1B5!AE144=2,'BOULEVARD 5'!AG142&gt;0),"Pagado","impago"),""))</f>
        <v>Pagado</v>
      </c>
      <c r="AE144" s="666" t="str">
        <f>IF(OR($A144="F&amp;F",$G144=""),"",IF(AE$8&gt;$G144,IF(OR(status1B5!AF144=1,status1B5!AF144=2,'BOULEVARD 5'!AH142&gt;0),"Pagado","impago"),""))</f>
        <v>Pagado</v>
      </c>
      <c r="AF144" s="666" t="str">
        <f>IF(OR($A144="F&amp;F",$G144=""),"",IF(AF$8&gt;$G144,IF(OR(status1B5!AG144=1,status1B5!AG144=2,'BOULEVARD 5'!AI142&gt;0),"Pagado","impago"),""))</f>
        <v>Pagado</v>
      </c>
      <c r="AG144" s="666" t="str">
        <f>IF(OR($A144="F&amp;F",$G144=""),"",IF(AG$8&gt;$G144,IF(OR(status1B5!AH144=1,status1B5!AH144=2,'BOULEVARD 5'!AJ142&gt;0),"Pagado","impago"),""))</f>
        <v>Pagado</v>
      </c>
      <c r="AH144" s="666" t="str">
        <f>IF(OR($A144="F&amp;F",$G144=""),"",IF(AH$8&gt;$G144,IF(OR(status1B5!AI144=1,status1B5!AI144=2,'BOULEVARD 5'!AK142&gt;0),"Pagado","impago"),""))</f>
        <v>Pagado</v>
      </c>
      <c r="AI144" s="666" t="str">
        <f>IF(OR($A144="F&amp;F",$G144=""),"",IF(AI$8&gt;$G144,IF(OR(status1B5!AJ144=1,status1B5!AJ144=2,'BOULEVARD 5'!AL142&gt;0),"Pagado","impago"),""))</f>
        <v>Pagado</v>
      </c>
      <c r="AJ144" s="666" t="str">
        <f>IF(OR($A144="F&amp;F",$G144=""),"",IF(AJ$8&gt;$G144,IF(OR(status1B5!AK144=1,status1B5!AK144=2,'BOULEVARD 5'!AM142&gt;0),"Pagado","impago"),""))</f>
        <v>Pagado</v>
      </c>
      <c r="AK144" s="666" t="str">
        <f>IF(OR($A144="F&amp;F",$G144=""),"",IF(AK$8&gt;$G144,IF(OR(status1B5!AL144=1,status1B5!AL144=2,'BOULEVARD 5'!AN142&gt;0),"Pagado","impago"),""))</f>
        <v>Pagado</v>
      </c>
      <c r="AL144" s="666" t="str">
        <f>IF(OR($A144="F&amp;F",$G144=""),"",IF(AL$8&gt;$G144,IF(OR(status1B5!AM144=1,status1B5!AM144=2,'BOULEVARD 5'!AO142&gt;0),"Pagado","impago"),""))</f>
        <v>Pagado</v>
      </c>
      <c r="AM144" s="666" t="str">
        <f>IF(OR($A144="F&amp;F",$G144=""),"",IF(AM$8&gt;$G144,IF(OR(status1B5!AN144=1,status1B5!AN144=2,'BOULEVARD 5'!AP142&gt;0),"Pagado","impago"),""))</f>
        <v>Pagado</v>
      </c>
      <c r="AN144" s="666" t="str">
        <f>IF(OR($A144="F&amp;F",$G144=""),"",IF(AN$8&gt;$G144,IF(OR(status1B5!AO144=1,status1B5!AO144=2,'BOULEVARD 5'!AQ142&gt;0),"Pagado","impago"),""))</f>
        <v>Pagado</v>
      </c>
      <c r="AO144" s="666" t="str">
        <f>IF(OR($A144="F&amp;F",$G144=""),"",IF(AO$8&gt;$G144,IF(OR(status1B5!AP144=1,status1B5!AP144=2,'BOULEVARD 5'!AS142&gt;0),"Pagado","impago"),""))</f>
        <v>Pagado</v>
      </c>
      <c r="AP144" s="429" t="str">
        <f t="shared" si="7"/>
        <v>Vendido</v>
      </c>
    </row>
    <row r="145" spans="1:42" s="429" customFormat="1" ht="13.9" customHeight="1" x14ac:dyDescent="0.25">
      <c r="A145" s="472"/>
      <c r="B145" s="436">
        <f>'BOULEVARD 5'!B143</f>
        <v>810</v>
      </c>
      <c r="C145" s="436" t="s">
        <v>355</v>
      </c>
      <c r="D145" s="436"/>
      <c r="E145" s="436" t="str">
        <f>IF('BOULEVARD 5'!E143="","",'BOULEVARD 5'!E143)</f>
        <v>Brenda Búcaro</v>
      </c>
      <c r="F145" s="429" t="str">
        <f>IF('BOULEVARD 5'!F143="","",'BOULEVARD 5'!F143)</f>
        <v>Sebastián Aristondo Barillas</v>
      </c>
      <c r="G145" s="473">
        <f>IF('BOULEVARD 5'!G143="","",'BOULEVARD 5'!G143)</f>
        <v>45099</v>
      </c>
      <c r="H145" s="666" t="str">
        <f>IF(OR($A145="F&amp;F",$G145=""),"",IF(H$8&gt;$G145,IF(OR(status1B5!I145=1,status1B5!I145=2,'BOULEVARD 5'!K143&gt;0),"Pagado","impago"),""))</f>
        <v/>
      </c>
      <c r="I145" s="666" t="str">
        <f>IF(OR($A145="F&amp;F",$G145=""),"",IF(I$8&gt;$G145,IF(OR(status1B5!J145=1,status1B5!J145=2,'BOULEVARD 5'!L143&gt;0),"Pagado","impago"),""))</f>
        <v/>
      </c>
      <c r="J145" s="666" t="str">
        <f>IF(OR($A145="F&amp;F",$G145=""),"",IF(J$8&gt;$G145,IF(OR(status1B5!K145=1,status1B5!K145=2,'BOULEVARD 5'!M143&gt;0),"Pagado","impago"),""))</f>
        <v/>
      </c>
      <c r="K145" s="666" t="str">
        <f>IF(OR($A145="F&amp;F",$G145=""),"",IF(K$8&gt;$G145,IF(OR(status1B5!L145=1,status1B5!L145=2,'BOULEVARD 5'!N143&gt;0),"Pagado","impago"),""))</f>
        <v>Pagado</v>
      </c>
      <c r="L145" s="666" t="str">
        <f>IF(OR($A145="F&amp;F",$G145=""),"",IF(L$8&gt;$G145,IF(OR(status1B5!M145=1,status1B5!M145=2,'BOULEVARD 5'!O143&gt;0),"Pagado","impago"),""))</f>
        <v>Pagado</v>
      </c>
      <c r="M145" s="666" t="str">
        <f>IF(OR($A145="F&amp;F",$G145=""),"",IF(M$8&gt;$G145,IF(OR(status1B5!N145=1,status1B5!N145=2,'BOULEVARD 5'!P143&gt;0),"Pagado","impago"),""))</f>
        <v>Pagado</v>
      </c>
      <c r="N145" s="666" t="str">
        <f>IF(OR($A145="F&amp;F",$G145=""),"",IF(N$8&gt;$G145,IF(OR(status1B5!O145=1,status1B5!O145=2,'BOULEVARD 5'!Q143&gt;0),"Pagado","impago"),""))</f>
        <v>Pagado</v>
      </c>
      <c r="O145" s="666" t="str">
        <f>IF(OR($A145="F&amp;F",$G145=""),"",IF(O$8&gt;$G145,IF(OR(status1B5!P145=1,status1B5!P145=2,'BOULEVARD 5'!R143&gt;0),"Pagado","impago"),""))</f>
        <v>Pagado</v>
      </c>
      <c r="P145" s="666" t="str">
        <f>IF(OR($A145="F&amp;F",$G145=""),"",IF(P$8&gt;$G145,IF(OR(status1B5!Q145=1,status1B5!Q145=2,'BOULEVARD 5'!S143&gt;0),"Pagado","impago"),""))</f>
        <v>Pagado</v>
      </c>
      <c r="Q145" s="666" t="str">
        <f>IF(OR($A145="F&amp;F",$G145=""),"",IF(Q$8&gt;$G145,IF(OR(status1B5!R145=1,status1B5!R145=2,'BOULEVARD 5'!T143&gt;0),"Pagado","impago"),""))</f>
        <v>Pagado</v>
      </c>
      <c r="R145" s="666" t="str">
        <f>IF(OR($A145="F&amp;F",$G145=""),"",IF(R$8&gt;$G145,IF(OR(status1B5!S145=1,status1B5!S145=2,'BOULEVARD 5'!U143&gt;0),"Pagado","impago"),""))</f>
        <v>Pagado</v>
      </c>
      <c r="S145" s="666" t="str">
        <f>IF(OR($A145="F&amp;F",$G145=""),"",IF(S$8&gt;$G145,IF(OR(status1B5!T145=1,status1B5!T145=2,'BOULEVARD 5'!V143&gt;0),"Pagado","impago"),""))</f>
        <v>Pagado</v>
      </c>
      <c r="T145" s="666" t="str">
        <f>IF(OR($A145="F&amp;F",$G145=""),"",IF(T$8&gt;$G145,IF(OR(status1B5!U145=1,status1B5!U145=2,'BOULEVARD 5'!W143&gt;0),"Pagado","impago"),""))</f>
        <v>Pagado</v>
      </c>
      <c r="U145" s="666" t="str">
        <f>IF(OR($A145="F&amp;F",$G145=""),"",IF(U$8&gt;$G145,IF(OR(status1B5!V145=1,status1B5!V145=2,'BOULEVARD 5'!X143&gt;0),"Pagado","impago"),""))</f>
        <v>Pagado</v>
      </c>
      <c r="V145" s="666" t="str">
        <f>IF(OR($A145="F&amp;F",$G145=""),"",IF(V$8&gt;$G145,IF(OR(status1B5!W145=1,status1B5!W145=2,'BOULEVARD 5'!Y143&gt;0),"Pagado","impago"),""))</f>
        <v>Pagado</v>
      </c>
      <c r="W145" s="666" t="str">
        <f>IF(OR($A145="F&amp;F",$G145=""),"",IF(W$8&gt;$G145,IF(OR(status1B5!X145=1,status1B5!X145=2,'BOULEVARD 5'!Z143&gt;0),"Pagado","impago"),""))</f>
        <v>Pagado</v>
      </c>
      <c r="X145" s="666" t="str">
        <f>IF(OR($A145="F&amp;F",$G145=""),"",IF(X$8&gt;$G145,IF(OR(status1B5!Y145=1,status1B5!Y145=2,'BOULEVARD 5'!AA143&gt;0),"Pagado","impago"),""))</f>
        <v>Pagado</v>
      </c>
      <c r="Y145" s="666" t="str">
        <f>IF(OR($A145="F&amp;F",$G145=""),"",IF(Y$8&gt;$G145,IF(OR(status1B5!Z145=1,status1B5!Z145=2,'BOULEVARD 5'!AB143&gt;0),"Pagado","impago"),""))</f>
        <v>Pagado</v>
      </c>
      <c r="Z145" s="666" t="str">
        <f>IF(OR($A145="F&amp;F",$G145=""),"",IF(Z$8&gt;$G145,IF(OR(status1B5!AA145=1,status1B5!AA145=2,'BOULEVARD 5'!AC143&gt;0),"Pagado","impago"),""))</f>
        <v>Pagado</v>
      </c>
      <c r="AA145" s="666" t="str">
        <f>IF(OR($A145="F&amp;F",$G145=""),"",IF(AA$8&gt;$G145,IF(OR(status1B5!AB145=1,status1B5!AB145=2,'BOULEVARD 5'!AD143&gt;0),"Pagado","impago"),""))</f>
        <v>Pagado</v>
      </c>
      <c r="AB145" s="666" t="str">
        <f>IF(OR($A145="F&amp;F",$G145=""),"",IF(AB$8&gt;$G145,IF(OR(status1B5!AC145=1,status1B5!AC145=2,'BOULEVARD 5'!AE143&gt;0),"Pagado","impago"),""))</f>
        <v>Pagado</v>
      </c>
      <c r="AC145" s="666" t="str">
        <f>IF(OR($A145="F&amp;F",$G145=""),"",IF(AC$8&gt;$G145,IF(OR(status1B5!AD145=1,status1B5!AD145=2,'BOULEVARD 5'!AF143&gt;0),"Pagado","impago"),""))</f>
        <v>Pagado</v>
      </c>
      <c r="AD145" s="666" t="str">
        <f>IF(OR($A145="F&amp;F",$G145=""),"",IF(AD$8&gt;$G145,IF(OR(status1B5!AE145=1,status1B5!AE145=2,'BOULEVARD 5'!AG143&gt;0),"Pagado","impago"),""))</f>
        <v>Pagado</v>
      </c>
      <c r="AE145" s="666" t="str">
        <f>IF(OR($A145="F&amp;F",$G145=""),"",IF(AE$8&gt;$G145,IF(OR(status1B5!AF145=1,status1B5!AF145=2,'BOULEVARD 5'!AH143&gt;0),"Pagado","impago"),""))</f>
        <v>Pagado</v>
      </c>
      <c r="AF145" s="666" t="str">
        <f>IF(OR($A145="F&amp;F",$G145=""),"",IF(AF$8&gt;$G145,IF(OR(status1B5!AG145=1,status1B5!AG145=2,'BOULEVARD 5'!AI143&gt;0),"Pagado","impago"),""))</f>
        <v>Pagado</v>
      </c>
      <c r="AG145" s="666" t="str">
        <f>IF(OR($A145="F&amp;F",$G145=""),"",IF(AG$8&gt;$G145,IF(OR(status1B5!AH145=1,status1B5!AH145=2,'BOULEVARD 5'!AJ143&gt;0),"Pagado","impago"),""))</f>
        <v>Pagado</v>
      </c>
      <c r="AH145" s="666" t="str">
        <f>IF(OR($A145="F&amp;F",$G145=""),"",IF(AH$8&gt;$G145,IF(OR(status1B5!AI145=1,status1B5!AI145=2,'BOULEVARD 5'!AK143&gt;0),"Pagado","impago"),""))</f>
        <v>Pagado</v>
      </c>
      <c r="AI145" s="666" t="str">
        <f>IF(OR($A145="F&amp;F",$G145=""),"",IF(AI$8&gt;$G145,IF(OR(status1B5!AJ145=1,status1B5!AJ145=2,'BOULEVARD 5'!AL143&gt;0),"Pagado","impago"),""))</f>
        <v>Pagado</v>
      </c>
      <c r="AJ145" s="666" t="str">
        <f>IF(OR($A145="F&amp;F",$G145=""),"",IF(AJ$8&gt;$G145,IF(OR(status1B5!AK145=1,status1B5!AK145=2,'BOULEVARD 5'!AM143&gt;0),"Pagado","impago"),""))</f>
        <v>Pagado</v>
      </c>
      <c r="AK145" s="666" t="str">
        <f>IF(OR($A145="F&amp;F",$G145=""),"",IF(AK$8&gt;$G145,IF(OR(status1B5!AL145=1,status1B5!AL145=2,'BOULEVARD 5'!AN143&gt;0),"Pagado","impago"),""))</f>
        <v>Pagado</v>
      </c>
      <c r="AL145" s="666" t="str">
        <f>IF(OR($A145="F&amp;F",$G145=""),"",IF(AL$8&gt;$G145,IF(OR(status1B5!AM145=1,status1B5!AM145=2,'BOULEVARD 5'!AO143&gt;0),"Pagado","impago"),""))</f>
        <v>Pagado</v>
      </c>
      <c r="AM145" s="666" t="str">
        <f>IF(OR($A145="F&amp;F",$G145=""),"",IF(AM$8&gt;$G145,IF(OR(status1B5!AN145=1,status1B5!AN145=2,'BOULEVARD 5'!AP143&gt;0),"Pagado","impago"),""))</f>
        <v>Pagado</v>
      </c>
      <c r="AN145" s="666" t="str">
        <f>IF(OR($A145="F&amp;F",$G145=""),"",IF(AN$8&gt;$G145,IF(OR(status1B5!AO145=1,status1B5!AO145=2,'BOULEVARD 5'!AQ143&gt;0),"Pagado","impago"),""))</f>
        <v>Pagado</v>
      </c>
      <c r="AO145" s="666" t="str">
        <f>IF(OR($A145="F&amp;F",$G145=""),"",IF(AO$8&gt;$G145,IF(OR(status1B5!AP145=1,status1B5!AP145=2,'BOULEVARD 5'!AS143&gt;0),"Pagado","impago"),""))</f>
        <v>Pagado</v>
      </c>
      <c r="AP145" s="429" t="str">
        <f t="shared" si="7"/>
        <v>Vendido</v>
      </c>
    </row>
    <row r="146" spans="1:42" s="429" customFormat="1" ht="13.9" customHeight="1" x14ac:dyDescent="0.25">
      <c r="A146" s="472"/>
      <c r="B146" s="436">
        <f>'BOULEVARD 5'!B144</f>
        <v>811</v>
      </c>
      <c r="C146" s="436" t="s">
        <v>355</v>
      </c>
      <c r="D146" s="641"/>
      <c r="E146" s="436" t="str">
        <f>IF('BOULEVARD 5'!E144="","",'BOULEVARD 5'!E144)</f>
        <v>Antonio Rada</v>
      </c>
      <c r="F146" s="429" t="str">
        <f>IF('BOULEVARD 5'!F144="","",'BOULEVARD 5'!F144)</f>
        <v>Rosa Gilda Tuchan Valle De Gonzalez</v>
      </c>
      <c r="G146" s="473">
        <f>IF('BOULEVARD 5'!G144="","",'BOULEVARD 5'!G144)</f>
        <v>45485</v>
      </c>
      <c r="H146" s="666" t="str">
        <f>IF(OR($A146="F&amp;F",$G146=""),"",IF(H$8&gt;$G146,IF(OR(status1B5!I146=1,status1B5!I146=2,'BOULEVARD 5'!K144&gt;0),"Pagado","impago"),""))</f>
        <v/>
      </c>
      <c r="I146" s="666" t="str">
        <f>IF(OR($A146="F&amp;F",$G146=""),"",IF(I$8&gt;$G146,IF(OR(status1B5!J146=1,status1B5!J146=2,'BOULEVARD 5'!L144&gt;0),"Pagado","impago"),""))</f>
        <v/>
      </c>
      <c r="J146" s="666" t="str">
        <f>IF(OR($A146="F&amp;F",$G146=""),"",IF(J$8&gt;$G146,IF(OR(status1B5!K146=1,status1B5!K146=2,'BOULEVARD 5'!M144&gt;0),"Pagado","impago"),""))</f>
        <v/>
      </c>
      <c r="K146" s="666" t="str">
        <f>IF(OR($A146="F&amp;F",$G146=""),"",IF(K$8&gt;$G146,IF(OR(status1B5!L146=1,status1B5!L146=2,'BOULEVARD 5'!N144&gt;0),"Pagado","impago"),""))</f>
        <v/>
      </c>
      <c r="L146" s="666" t="str">
        <f>IF(OR($A146="F&amp;F",$G146=""),"",IF(L$8&gt;$G146,IF(OR(status1B5!M146=1,status1B5!M146=2,'BOULEVARD 5'!O144&gt;0),"Pagado","impago"),""))</f>
        <v/>
      </c>
      <c r="M146" s="666" t="str">
        <f>IF(OR($A146="F&amp;F",$G146=""),"",IF(M$8&gt;$G146,IF(OR(status1B5!N146=1,status1B5!N146=2,'BOULEVARD 5'!P144&gt;0),"Pagado","impago"),""))</f>
        <v/>
      </c>
      <c r="N146" s="666" t="str">
        <f>IF(OR($A146="F&amp;F",$G146=""),"",IF(N$8&gt;$G146,IF(OR(status1B5!O146=1,status1B5!O146=2,'BOULEVARD 5'!Q144&gt;0),"Pagado","impago"),""))</f>
        <v/>
      </c>
      <c r="O146" s="666" t="str">
        <f>IF(OR($A146="F&amp;F",$G146=""),"",IF(O$8&gt;$G146,IF(OR(status1B5!P146=1,status1B5!P146=2,'BOULEVARD 5'!R144&gt;0),"Pagado","impago"),""))</f>
        <v/>
      </c>
      <c r="P146" s="666" t="str">
        <f>IF(OR($A146="F&amp;F",$G146=""),"",IF(P$8&gt;$G146,IF(OR(status1B5!Q146=1,status1B5!Q146=2,'BOULEVARD 5'!S144&gt;0),"Pagado","impago"),""))</f>
        <v/>
      </c>
      <c r="Q146" s="666" t="str">
        <f>IF(OR($A146="F&amp;F",$G146=""),"",IF(Q$8&gt;$G146,IF(OR(status1B5!R146=1,status1B5!R146=2,'BOULEVARD 5'!T144&gt;0),"Pagado","impago"),""))</f>
        <v/>
      </c>
      <c r="R146" s="666" t="str">
        <f>IF(OR($A146="F&amp;F",$G146=""),"",IF(R$8&gt;$G146,IF(OR(status1B5!S146=1,status1B5!S146=2,'BOULEVARD 5'!U144&gt;0),"Pagado","impago"),""))</f>
        <v/>
      </c>
      <c r="S146" s="666" t="str">
        <f>IF(OR($A146="F&amp;F",$G146=""),"",IF(S$8&gt;$G146,IF(OR(status1B5!T146=1,status1B5!T146=2,'BOULEVARD 5'!V144&gt;0),"Pagado","impago"),""))</f>
        <v/>
      </c>
      <c r="T146" s="666" t="str">
        <f>IF(OR($A146="F&amp;F",$G146=""),"",IF(T$8&gt;$G146,IF(OR(status1B5!U146=1,status1B5!U146=2,'BOULEVARD 5'!W144&gt;0),"Pagado","impago"),""))</f>
        <v/>
      </c>
      <c r="U146" s="666" t="str">
        <f>IF(OR($A146="F&amp;F",$G146=""),"",IF(U$8&gt;$G146,IF(OR(status1B5!V146=1,status1B5!V146=2,'BOULEVARD 5'!X144&gt;0),"Pagado","impago"),""))</f>
        <v/>
      </c>
      <c r="V146" s="666" t="str">
        <f>IF(OR($A146="F&amp;F",$G146=""),"",IF(V$8&gt;$G146,IF(OR(status1B5!W146=1,status1B5!W146=2,'BOULEVARD 5'!Y144&gt;0),"Pagado","impago"),""))</f>
        <v/>
      </c>
      <c r="W146" s="666" t="str">
        <f>IF(OR($A146="F&amp;F",$G146=""),"",IF(W$8&gt;$G146,IF(OR(status1B5!X146=1,status1B5!X146=2,'BOULEVARD 5'!Z144&gt;0),"Pagado","impago"),""))</f>
        <v/>
      </c>
      <c r="X146" s="666" t="str">
        <f>IF(OR($A146="F&amp;F",$G146=""),"",IF(X$8&gt;$G146,IF(OR(status1B5!Y146=1,status1B5!Y146=2,'BOULEVARD 5'!AA144&gt;0),"Pagado","impago"),""))</f>
        <v>Pagado</v>
      </c>
      <c r="Y146" s="666" t="str">
        <f>IF(OR($A146="F&amp;F",$G146=""),"",IF(Y$8&gt;$G146,IF(OR(status1B5!Z146=1,status1B5!Z146=2,'BOULEVARD 5'!AB144&gt;0),"Pagado","impago"),""))</f>
        <v>Pagado</v>
      </c>
      <c r="Z146" s="666" t="str">
        <f>IF(OR($A146="F&amp;F",$G146=""),"",IF(Z$8&gt;$G146,IF(OR(status1B5!AA146=1,status1B5!AA146=2,'BOULEVARD 5'!AC144&gt;0),"Pagado","impago"),""))</f>
        <v>Pagado</v>
      </c>
      <c r="AA146" s="666" t="str">
        <f>IF(OR($A146="F&amp;F",$G146=""),"",IF(AA$8&gt;$G146,IF(OR(status1B5!AB146=1,status1B5!AB146=2,'BOULEVARD 5'!AD144&gt;0),"Pagado","impago"),""))</f>
        <v>Pagado</v>
      </c>
      <c r="AB146" s="666" t="str">
        <f>IF(OR($A146="F&amp;F",$G146=""),"",IF(AB$8&gt;$G146,IF(OR(status1B5!AC146=1,status1B5!AC146=2,'BOULEVARD 5'!AE144&gt;0),"Pagado","impago"),""))</f>
        <v>Pagado</v>
      </c>
      <c r="AC146" s="666" t="str">
        <f>IF(OR($A146="F&amp;F",$G146=""),"",IF(AC$8&gt;$G146,IF(OR(status1B5!AD146=1,status1B5!AD146=2,'BOULEVARD 5'!AF144&gt;0),"Pagado","impago"),""))</f>
        <v>Pagado</v>
      </c>
      <c r="AD146" s="666" t="str">
        <f>IF(OR($A146="F&amp;F",$G146=""),"",IF(AD$8&gt;$G146,IF(OR(status1B5!AE146=1,status1B5!AE146=2,'BOULEVARD 5'!AG144&gt;0),"Pagado","impago"),""))</f>
        <v>Pagado</v>
      </c>
      <c r="AE146" s="666" t="str">
        <f>IF(OR($A146="F&amp;F",$G146=""),"",IF(AE$8&gt;$G146,IF(OR(status1B5!AF146=1,status1B5!AF146=2,'BOULEVARD 5'!AH144&gt;0),"Pagado","impago"),""))</f>
        <v>Pagado</v>
      </c>
      <c r="AF146" s="666" t="str">
        <f>IF(OR($A146="F&amp;F",$G146=""),"",IF(AF$8&gt;$G146,IF(OR(status1B5!AG146=1,status1B5!AG146=2,'BOULEVARD 5'!AI144&gt;0),"Pagado","impago"),""))</f>
        <v>Pagado</v>
      </c>
      <c r="AG146" s="666" t="str">
        <f>IF(OR($A146="F&amp;F",$G146=""),"",IF(AG$8&gt;$G146,IF(OR(status1B5!AH146=1,status1B5!AH146=2,'BOULEVARD 5'!AJ144&gt;0),"Pagado","impago"),""))</f>
        <v>Pagado</v>
      </c>
      <c r="AH146" s="666" t="str">
        <f>IF(OR($A146="F&amp;F",$G146=""),"",IF(AH$8&gt;$G146,IF(OR(status1B5!AI146=1,status1B5!AI146=2,'BOULEVARD 5'!AK144&gt;0),"Pagado","impago"),""))</f>
        <v>Pagado</v>
      </c>
      <c r="AI146" s="666" t="str">
        <f>IF(OR($A146="F&amp;F",$G146=""),"",IF(AI$8&gt;$G146,IF(OR(status1B5!AJ146=1,status1B5!AJ146=2,'BOULEVARD 5'!AL144&gt;0),"Pagado","impago"),""))</f>
        <v>Pagado</v>
      </c>
      <c r="AJ146" s="666" t="str">
        <f>IF(OR($A146="F&amp;F",$G146=""),"",IF(AJ$8&gt;$G146,IF(OR(status1B5!AK146=1,status1B5!AK146=2,'BOULEVARD 5'!AM144&gt;0),"Pagado","impago"),""))</f>
        <v>Pagado</v>
      </c>
      <c r="AK146" s="666" t="str">
        <f>IF(OR($A146="F&amp;F",$G146=""),"",IF(AK$8&gt;$G146,IF(OR(status1B5!AL146=1,status1B5!AL146=2,'BOULEVARD 5'!AN144&gt;0),"Pagado","impago"),""))</f>
        <v>Pagado</v>
      </c>
      <c r="AL146" s="666" t="str">
        <f>IF(OR($A146="F&amp;F",$G146=""),"",IF(AL$8&gt;$G146,IF(OR(status1B5!AM146=1,status1B5!AM146=2,'BOULEVARD 5'!AO144&gt;0),"Pagado","impago"),""))</f>
        <v>Pagado</v>
      </c>
      <c r="AM146" s="666" t="str">
        <f>IF(OR($A146="F&amp;F",$G146=""),"",IF(AM$8&gt;$G146,IF(OR(status1B5!AN146=1,status1B5!AN146=2,'BOULEVARD 5'!AP144&gt;0),"Pagado","impago"),""))</f>
        <v>Pagado</v>
      </c>
      <c r="AN146" s="666" t="str">
        <f>IF(OR($A146="F&amp;F",$G146=""),"",IF(AN$8&gt;$G146,IF(OR(status1B5!AO146=1,status1B5!AO146=2,'BOULEVARD 5'!AQ144&gt;0),"Pagado","impago"),""))</f>
        <v>Pagado</v>
      </c>
      <c r="AO146" s="666" t="str">
        <f>IF(OR($A146="F&amp;F",$G146=""),"",IF(AO$8&gt;$G146,IF(OR(status1B5!AP146=1,status1B5!AP146=2,'BOULEVARD 5'!AS144&gt;0),"Pagado","impago"),""))</f>
        <v>Pagado</v>
      </c>
      <c r="AP146" s="429" t="str">
        <f t="shared" si="7"/>
        <v>Vendido</v>
      </c>
    </row>
    <row r="147" spans="1:42" s="429" customFormat="1" ht="13.9" customHeight="1" x14ac:dyDescent="0.25">
      <c r="A147" s="472"/>
      <c r="B147" s="436">
        <f>'BOULEVARD 5'!B145</f>
        <v>812</v>
      </c>
      <c r="C147" s="436" t="s">
        <v>355</v>
      </c>
      <c r="D147" s="641"/>
      <c r="E147" s="436" t="str">
        <f>IF('BOULEVARD 5'!E145="","",'BOULEVARD 5'!E145)</f>
        <v>Antonio Rada</v>
      </c>
      <c r="F147" s="429" t="str">
        <f>IF('BOULEVARD 5'!F145="","",'BOULEVARD 5'!F145)</f>
        <v>Juan Pablo Gonzalez Tuchan</v>
      </c>
      <c r="G147" s="473">
        <f>IF('BOULEVARD 5'!G145="","",'BOULEVARD 5'!G145)</f>
        <v>45503</v>
      </c>
      <c r="H147" s="666" t="str">
        <f>IF(OR($A147="F&amp;F",$G147=""),"",IF(H$8&gt;$G147,IF(OR(status1B5!I147=1,status1B5!I147=2,'BOULEVARD 5'!K145&gt;0),"Pagado","impago"),""))</f>
        <v/>
      </c>
      <c r="I147" s="666" t="str">
        <f>IF(OR($A147="F&amp;F",$G147=""),"",IF(I$8&gt;$G147,IF(OR(status1B5!J147=1,status1B5!J147=2,'BOULEVARD 5'!L145&gt;0),"Pagado","impago"),""))</f>
        <v/>
      </c>
      <c r="J147" s="666" t="str">
        <f>IF(OR($A147="F&amp;F",$G147=""),"",IF(J$8&gt;$G147,IF(OR(status1B5!K147=1,status1B5!K147=2,'BOULEVARD 5'!M145&gt;0),"Pagado","impago"),""))</f>
        <v/>
      </c>
      <c r="K147" s="666" t="str">
        <f>IF(OR($A147="F&amp;F",$G147=""),"",IF(K$8&gt;$G147,IF(OR(status1B5!L147=1,status1B5!L147=2,'BOULEVARD 5'!N145&gt;0),"Pagado","impago"),""))</f>
        <v/>
      </c>
      <c r="L147" s="666" t="str">
        <f>IF(OR($A147="F&amp;F",$G147=""),"",IF(L$8&gt;$G147,IF(OR(status1B5!M147=1,status1B5!M147=2,'BOULEVARD 5'!O145&gt;0),"Pagado","impago"),""))</f>
        <v/>
      </c>
      <c r="M147" s="666" t="str">
        <f>IF(OR($A147="F&amp;F",$G147=""),"",IF(M$8&gt;$G147,IF(OR(status1B5!N147=1,status1B5!N147=2,'BOULEVARD 5'!P145&gt;0),"Pagado","impago"),""))</f>
        <v/>
      </c>
      <c r="N147" s="666" t="str">
        <f>IF(OR($A147="F&amp;F",$G147=""),"",IF(N$8&gt;$G147,IF(OR(status1B5!O147=1,status1B5!O147=2,'BOULEVARD 5'!Q145&gt;0),"Pagado","impago"),""))</f>
        <v/>
      </c>
      <c r="O147" s="666" t="str">
        <f>IF(OR($A147="F&amp;F",$G147=""),"",IF(O$8&gt;$G147,IF(OR(status1B5!P147=1,status1B5!P147=2,'BOULEVARD 5'!R145&gt;0),"Pagado","impago"),""))</f>
        <v/>
      </c>
      <c r="P147" s="666" t="str">
        <f>IF(OR($A147="F&amp;F",$G147=""),"",IF(P$8&gt;$G147,IF(OR(status1B5!Q147=1,status1B5!Q147=2,'BOULEVARD 5'!S145&gt;0),"Pagado","impago"),""))</f>
        <v/>
      </c>
      <c r="Q147" s="666" t="str">
        <f>IF(OR($A147="F&amp;F",$G147=""),"",IF(Q$8&gt;$G147,IF(OR(status1B5!R147=1,status1B5!R147=2,'BOULEVARD 5'!T145&gt;0),"Pagado","impago"),""))</f>
        <v/>
      </c>
      <c r="R147" s="666" t="str">
        <f>IF(OR($A147="F&amp;F",$G147=""),"",IF(R$8&gt;$G147,IF(OR(status1B5!S147=1,status1B5!S147=2,'BOULEVARD 5'!U145&gt;0),"Pagado","impago"),""))</f>
        <v/>
      </c>
      <c r="S147" s="666" t="str">
        <f>IF(OR($A147="F&amp;F",$G147=""),"",IF(S$8&gt;$G147,IF(OR(status1B5!T147=1,status1B5!T147=2,'BOULEVARD 5'!V145&gt;0),"Pagado","impago"),""))</f>
        <v/>
      </c>
      <c r="T147" s="666" t="str">
        <f>IF(OR($A147="F&amp;F",$G147=""),"",IF(T$8&gt;$G147,IF(OR(status1B5!U147=1,status1B5!U147=2,'BOULEVARD 5'!W145&gt;0),"Pagado","impago"),""))</f>
        <v/>
      </c>
      <c r="U147" s="666" t="str">
        <f>IF(OR($A147="F&amp;F",$G147=""),"",IF(U$8&gt;$G147,IF(OR(status1B5!V147=1,status1B5!V147=2,'BOULEVARD 5'!X145&gt;0),"Pagado","impago"),""))</f>
        <v/>
      </c>
      <c r="V147" s="666" t="str">
        <f>IF(OR($A147="F&amp;F",$G147=""),"",IF(V$8&gt;$G147,IF(OR(status1B5!W147=1,status1B5!W147=2,'BOULEVARD 5'!Y145&gt;0),"Pagado","impago"),""))</f>
        <v/>
      </c>
      <c r="W147" s="666" t="str">
        <f>IF(OR($A147="F&amp;F",$G147=""),"",IF(W$8&gt;$G147,IF(OR(status1B5!X147=1,status1B5!X147=2,'BOULEVARD 5'!Z145&gt;0),"Pagado","impago"),""))</f>
        <v/>
      </c>
      <c r="X147" s="666" t="str">
        <f>IF(OR($A147="F&amp;F",$G147=""),"",IF(X$8&gt;$G147,IF(OR(status1B5!Y147=1,status1B5!Y147=2,'BOULEVARD 5'!AA145&gt;0),"Pagado","impago"),""))</f>
        <v>Pagado</v>
      </c>
      <c r="Y147" s="666" t="str">
        <f>IF(OR($A147="F&amp;F",$G147=""),"",IF(Y$8&gt;$G147,IF(OR(status1B5!Z147=1,status1B5!Z147=2,'BOULEVARD 5'!AB145&gt;0),"Pagado","impago"),""))</f>
        <v>Pagado</v>
      </c>
      <c r="Z147" s="666" t="str">
        <f>IF(OR($A147="F&amp;F",$G147=""),"",IF(Z$8&gt;$G147,IF(OR(status1B5!AA147=1,status1B5!AA147=2,'BOULEVARD 5'!AC145&gt;0),"Pagado","impago"),""))</f>
        <v>Pagado</v>
      </c>
      <c r="AA147" s="666" t="str">
        <f>IF(OR($A147="F&amp;F",$G147=""),"",IF(AA$8&gt;$G147,IF(OR(status1B5!AB147=1,status1B5!AB147=2,'BOULEVARD 5'!AD145&gt;0),"Pagado","impago"),""))</f>
        <v>Pagado</v>
      </c>
      <c r="AB147" s="666" t="str">
        <f>IF(OR($A147="F&amp;F",$G147=""),"",IF(AB$8&gt;$G147,IF(OR(status1B5!AC147=1,status1B5!AC147=2,'BOULEVARD 5'!AE145&gt;0),"Pagado","impago"),""))</f>
        <v>Pagado</v>
      </c>
      <c r="AC147" s="666" t="str">
        <f>IF(OR($A147="F&amp;F",$G147=""),"",IF(AC$8&gt;$G147,IF(OR(status1B5!AD147=1,status1B5!AD147=2,'BOULEVARD 5'!AF145&gt;0),"Pagado","impago"),""))</f>
        <v>Pagado</v>
      </c>
      <c r="AD147" s="666" t="str">
        <f>IF(OR($A147="F&amp;F",$G147=""),"",IF(AD$8&gt;$G147,IF(OR(status1B5!AE147=1,status1B5!AE147=2,'BOULEVARD 5'!AG145&gt;0),"Pagado","impago"),""))</f>
        <v>Pagado</v>
      </c>
      <c r="AE147" s="666" t="str">
        <f>IF(OR($A147="F&amp;F",$G147=""),"",IF(AE$8&gt;$G147,IF(OR(status1B5!AF147=1,status1B5!AF147=2,'BOULEVARD 5'!AH145&gt;0),"Pagado","impago"),""))</f>
        <v>Pagado</v>
      </c>
      <c r="AF147" s="666" t="str">
        <f>IF(OR($A147="F&amp;F",$G147=""),"",IF(AF$8&gt;$G147,IF(OR(status1B5!AG147=1,status1B5!AG147=2,'BOULEVARD 5'!AI145&gt;0),"Pagado","impago"),""))</f>
        <v>Pagado</v>
      </c>
      <c r="AG147" s="666" t="str">
        <f>IF(OR($A147="F&amp;F",$G147=""),"",IF(AG$8&gt;$G147,IF(OR(status1B5!AH147=1,status1B5!AH147=2,'BOULEVARD 5'!AJ145&gt;0),"Pagado","impago"),""))</f>
        <v>Pagado</v>
      </c>
      <c r="AH147" s="666" t="str">
        <f>IF(OR($A147="F&amp;F",$G147=""),"",IF(AH$8&gt;$G147,IF(OR(status1B5!AI147=1,status1B5!AI147=2,'BOULEVARD 5'!AK145&gt;0),"Pagado","impago"),""))</f>
        <v>Pagado</v>
      </c>
      <c r="AI147" s="666" t="str">
        <f>IF(OR($A147="F&amp;F",$G147=""),"",IF(AI$8&gt;$G147,IF(OR(status1B5!AJ147=1,status1B5!AJ147=2,'BOULEVARD 5'!AL145&gt;0),"Pagado","impago"),""))</f>
        <v>Pagado</v>
      </c>
      <c r="AJ147" s="666" t="str">
        <f>IF(OR($A147="F&amp;F",$G147=""),"",IF(AJ$8&gt;$G147,IF(OR(status1B5!AK147=1,status1B5!AK147=2,'BOULEVARD 5'!AM145&gt;0),"Pagado","impago"),""))</f>
        <v>Pagado</v>
      </c>
      <c r="AK147" s="666" t="str">
        <f>IF(OR($A147="F&amp;F",$G147=""),"",IF(AK$8&gt;$G147,IF(OR(status1B5!AL147=1,status1B5!AL147=2,'BOULEVARD 5'!AN145&gt;0),"Pagado","impago"),""))</f>
        <v>Pagado</v>
      </c>
      <c r="AL147" s="666" t="str">
        <f>IF(OR($A147="F&amp;F",$G147=""),"",IF(AL$8&gt;$G147,IF(OR(status1B5!AM147=1,status1B5!AM147=2,'BOULEVARD 5'!AO145&gt;0),"Pagado","impago"),""))</f>
        <v>Pagado</v>
      </c>
      <c r="AM147" s="666" t="str">
        <f>IF(OR($A147="F&amp;F",$G147=""),"",IF(AM$8&gt;$G147,IF(OR(status1B5!AN147=1,status1B5!AN147=2,'BOULEVARD 5'!AP145&gt;0),"Pagado","impago"),""))</f>
        <v>Pagado</v>
      </c>
      <c r="AN147" s="666" t="str">
        <f>IF(OR($A147="F&amp;F",$G147=""),"",IF(AN$8&gt;$G147,IF(OR(status1B5!AO147=1,status1B5!AO147=2,'BOULEVARD 5'!AQ145&gt;0),"Pagado","impago"),""))</f>
        <v>Pagado</v>
      </c>
      <c r="AO147" s="666" t="str">
        <f>IF(OR($A147="F&amp;F",$G147=""),"",IF(AO$8&gt;$G147,IF(OR(status1B5!AP147=1,status1B5!AP147=2,'BOULEVARD 5'!AS145&gt;0),"Pagado","impago"),""))</f>
        <v>Pagado</v>
      </c>
      <c r="AP147" s="429" t="str">
        <f t="shared" si="7"/>
        <v>Vendido</v>
      </c>
    </row>
    <row r="148" spans="1:42" s="429" customFormat="1" ht="13.9" customHeight="1" x14ac:dyDescent="0.25">
      <c r="A148" s="472"/>
      <c r="B148" s="436">
        <f>'BOULEVARD 5'!B146</f>
        <v>813</v>
      </c>
      <c r="C148" s="436" t="s">
        <v>355</v>
      </c>
      <c r="D148" s="436"/>
      <c r="E148" s="436" t="str">
        <f>IF('BOULEVARD 5'!E146="","",'BOULEVARD 5'!E146)</f>
        <v>Antonio Rada</v>
      </c>
      <c r="F148" s="429" t="str">
        <f>IF('BOULEVARD 5'!F146="","",'BOULEVARD 5'!F146)</f>
        <v>Industrias Danico, S.A. /  Pedro Cordón}</v>
      </c>
      <c r="G148" s="473">
        <f>IF('BOULEVARD 5'!G146="","",'BOULEVARD 5'!G146)</f>
        <v>45426</v>
      </c>
      <c r="H148" s="666" t="str">
        <f>IF(OR($A148="F&amp;F",$G148=""),"",IF(H$8&gt;$G148,IF(OR(status1B5!I148=1,status1B5!I148=2,'BOULEVARD 5'!K146&gt;0),"Pagado","impago"),""))</f>
        <v/>
      </c>
      <c r="I148" s="666" t="str">
        <f>IF(OR($A148="F&amp;F",$G148=""),"",IF(I$8&gt;$G148,IF(OR(status1B5!J148=1,status1B5!J148=2,'BOULEVARD 5'!L146&gt;0),"Pagado","impago"),""))</f>
        <v/>
      </c>
      <c r="J148" s="666" t="str">
        <f>IF(OR($A148="F&amp;F",$G148=""),"",IF(J$8&gt;$G148,IF(OR(status1B5!K148=1,status1B5!K148=2,'BOULEVARD 5'!M146&gt;0),"Pagado","impago"),""))</f>
        <v/>
      </c>
      <c r="K148" s="666" t="str">
        <f>IF(OR($A148="F&amp;F",$G148=""),"",IF(K$8&gt;$G148,IF(OR(status1B5!L148=1,status1B5!L148=2,'BOULEVARD 5'!N146&gt;0),"Pagado","impago"),""))</f>
        <v/>
      </c>
      <c r="L148" s="666" t="str">
        <f>IF(OR($A148="F&amp;F",$G148=""),"",IF(L$8&gt;$G148,IF(OR(status1B5!M148=1,status1B5!M148=2,'BOULEVARD 5'!O146&gt;0),"Pagado","impago"),""))</f>
        <v/>
      </c>
      <c r="M148" s="666" t="str">
        <f>IF(OR($A148="F&amp;F",$G148=""),"",IF(M$8&gt;$G148,IF(OR(status1B5!N148=1,status1B5!N148=2,'BOULEVARD 5'!P146&gt;0),"Pagado","impago"),""))</f>
        <v/>
      </c>
      <c r="N148" s="666" t="str">
        <f>IF(OR($A148="F&amp;F",$G148=""),"",IF(N$8&gt;$G148,IF(OR(status1B5!O148=1,status1B5!O148=2,'BOULEVARD 5'!Q146&gt;0),"Pagado","impago"),""))</f>
        <v/>
      </c>
      <c r="O148" s="666" t="str">
        <f>IF(OR($A148="F&amp;F",$G148=""),"",IF(O$8&gt;$G148,IF(OR(status1B5!P148=1,status1B5!P148=2,'BOULEVARD 5'!R146&gt;0),"Pagado","impago"),""))</f>
        <v/>
      </c>
      <c r="P148" s="666" t="str">
        <f>IF(OR($A148="F&amp;F",$G148=""),"",IF(P$8&gt;$G148,IF(OR(status1B5!Q148=1,status1B5!Q148=2,'BOULEVARD 5'!S146&gt;0),"Pagado","impago"),""))</f>
        <v/>
      </c>
      <c r="Q148" s="666" t="str">
        <f>IF(OR($A148="F&amp;F",$G148=""),"",IF(Q$8&gt;$G148,IF(OR(status1B5!R148=1,status1B5!R148=2,'BOULEVARD 5'!T146&gt;0),"Pagado","impago"),""))</f>
        <v/>
      </c>
      <c r="R148" s="666" t="str">
        <f>IF(OR($A148="F&amp;F",$G148=""),"",IF(R$8&gt;$G148,IF(OR(status1B5!S148=1,status1B5!S148=2,'BOULEVARD 5'!U146&gt;0),"Pagado","impago"),""))</f>
        <v/>
      </c>
      <c r="S148" s="666" t="str">
        <f>IF(OR($A148="F&amp;F",$G148=""),"",IF(S$8&gt;$G148,IF(OR(status1B5!T148=1,status1B5!T148=2,'BOULEVARD 5'!V146&gt;0),"Pagado","impago"),""))</f>
        <v/>
      </c>
      <c r="T148" s="666" t="str">
        <f>IF(OR($A148="F&amp;F",$G148=""),"",IF(T$8&gt;$G148,IF(OR(status1B5!U148=1,status1B5!U148=2,'BOULEVARD 5'!W146&gt;0),"Pagado","impago"),""))</f>
        <v/>
      </c>
      <c r="U148" s="666" t="str">
        <f>IF(OR($A148="F&amp;F",$G148=""),"",IF(U$8&gt;$G148,IF(OR(status1B5!V148=1,status1B5!V148=2,'BOULEVARD 5'!X146&gt;0),"Pagado","impago"),""))</f>
        <v/>
      </c>
      <c r="V148" s="666" t="str">
        <f>IF(OR($A148="F&amp;F",$G148=""),"",IF(V$8&gt;$G148,IF(OR(status1B5!W148=1,status1B5!W148=2,'BOULEVARD 5'!Y146&gt;0),"Pagado","impago"),""))</f>
        <v>Pagado</v>
      </c>
      <c r="W148" s="666" t="str">
        <f>IF(OR($A148="F&amp;F",$G148=""),"",IF(W$8&gt;$G148,IF(OR(status1B5!X148=1,status1B5!X148=2,'BOULEVARD 5'!Z146&gt;0),"Pagado","impago"),""))</f>
        <v>Pagado</v>
      </c>
      <c r="X148" s="666" t="str">
        <f>IF(OR($A148="F&amp;F",$G148=""),"",IF(X$8&gt;$G148,IF(OR(status1B5!Y148=1,status1B5!Y148=2,'BOULEVARD 5'!AA146&gt;0),"Pagado","impago"),""))</f>
        <v>Pagado</v>
      </c>
      <c r="Y148" s="666" t="str">
        <f>IF(OR($A148="F&amp;F",$G148=""),"",IF(Y$8&gt;$G148,IF(OR(status1B5!Z148=1,status1B5!Z148=2,'BOULEVARD 5'!AB146&gt;0),"Pagado","impago"),""))</f>
        <v>Pagado</v>
      </c>
      <c r="Z148" s="666" t="str">
        <f>IF(OR($A148="F&amp;F",$G148=""),"",IF(Z$8&gt;$G148,IF(OR(status1B5!AA148=1,status1B5!AA148=2,'BOULEVARD 5'!AC146&gt;0),"Pagado","impago"),""))</f>
        <v>Pagado</v>
      </c>
      <c r="AA148" s="666" t="str">
        <f>IF(OR($A148="F&amp;F",$G148=""),"",IF(AA$8&gt;$G148,IF(OR(status1B5!AB148=1,status1B5!AB148=2,'BOULEVARD 5'!AD146&gt;0),"Pagado","impago"),""))</f>
        <v>Pagado</v>
      </c>
      <c r="AB148" s="666" t="str">
        <f>IF(OR($A148="F&amp;F",$G148=""),"",IF(AB$8&gt;$G148,IF(OR(status1B5!AC148=1,status1B5!AC148=2,'BOULEVARD 5'!AE146&gt;0),"Pagado","impago"),""))</f>
        <v>Pagado</v>
      </c>
      <c r="AC148" s="666" t="str">
        <f>IF(OR($A148="F&amp;F",$G148=""),"",IF(AC$8&gt;$G148,IF(OR(status1B5!AD148=1,status1B5!AD148=2,'BOULEVARD 5'!AF146&gt;0),"Pagado","impago"),""))</f>
        <v>Pagado</v>
      </c>
      <c r="AD148" s="666" t="str">
        <f>IF(OR($A148="F&amp;F",$G148=""),"",IF(AD$8&gt;$G148,IF(OR(status1B5!AE148=1,status1B5!AE148=2,'BOULEVARD 5'!AG146&gt;0),"Pagado","impago"),""))</f>
        <v>Pagado</v>
      </c>
      <c r="AE148" s="666" t="str">
        <f>IF(OR($A148="F&amp;F",$G148=""),"",IF(AE$8&gt;$G148,IF(OR(status1B5!AF148=1,status1B5!AF148=2,'BOULEVARD 5'!AH146&gt;0),"Pagado","impago"),""))</f>
        <v>Pagado</v>
      </c>
      <c r="AF148" s="666" t="str">
        <f>IF(OR($A148="F&amp;F",$G148=""),"",IF(AF$8&gt;$G148,IF(OR(status1B5!AG148=1,status1B5!AG148=2,'BOULEVARD 5'!AI146&gt;0),"Pagado","impago"),""))</f>
        <v>Pagado</v>
      </c>
      <c r="AG148" s="666" t="str">
        <f>IF(OR($A148="F&amp;F",$G148=""),"",IF(AG$8&gt;$G148,IF(OR(status1B5!AH148=1,status1B5!AH148=2,'BOULEVARD 5'!AJ146&gt;0),"Pagado","impago"),""))</f>
        <v>Pagado</v>
      </c>
      <c r="AH148" s="666" t="str">
        <f>IF(OR($A148="F&amp;F",$G148=""),"",IF(AH$8&gt;$G148,IF(OR(status1B5!AI148=1,status1B5!AI148=2,'BOULEVARD 5'!AK146&gt;0),"Pagado","impago"),""))</f>
        <v>Pagado</v>
      </c>
      <c r="AI148" s="666" t="str">
        <f>IF(OR($A148="F&amp;F",$G148=""),"",IF(AI$8&gt;$G148,IF(OR(status1B5!AJ148=1,status1B5!AJ148=2,'BOULEVARD 5'!AL146&gt;0),"Pagado","impago"),""))</f>
        <v>Pagado</v>
      </c>
      <c r="AJ148" s="666" t="str">
        <f>IF(OR($A148="F&amp;F",$G148=""),"",IF(AJ$8&gt;$G148,IF(OR(status1B5!AK148=1,status1B5!AK148=2,'BOULEVARD 5'!AM146&gt;0),"Pagado","impago"),""))</f>
        <v>Pagado</v>
      </c>
      <c r="AK148" s="666" t="str">
        <f>IF(OR($A148="F&amp;F",$G148=""),"",IF(AK$8&gt;$G148,IF(OR(status1B5!AL148=1,status1B5!AL148=2,'BOULEVARD 5'!AN146&gt;0),"Pagado","impago"),""))</f>
        <v>Pagado</v>
      </c>
      <c r="AL148" s="666" t="str">
        <f>IF(OR($A148="F&amp;F",$G148=""),"",IF(AL$8&gt;$G148,IF(OR(status1B5!AM148=1,status1B5!AM148=2,'BOULEVARD 5'!AO146&gt;0),"Pagado","impago"),""))</f>
        <v>Pagado</v>
      </c>
      <c r="AM148" s="666" t="str">
        <f>IF(OR($A148="F&amp;F",$G148=""),"",IF(AM$8&gt;$G148,IF(OR(status1B5!AN148=1,status1B5!AN148=2,'BOULEVARD 5'!AP146&gt;0),"Pagado","impago"),""))</f>
        <v>Pagado</v>
      </c>
      <c r="AN148" s="666" t="str">
        <f>IF(OR($A148="F&amp;F",$G148=""),"",IF(AN$8&gt;$G148,IF(OR(status1B5!AO148=1,status1B5!AO148=2,'BOULEVARD 5'!AQ146&gt;0),"Pagado","impago"),""))</f>
        <v>Pagado</v>
      </c>
      <c r="AO148" s="666" t="str">
        <f>IF(OR($A148="F&amp;F",$G148=""),"",IF(AO$8&gt;$G148,IF(OR(status1B5!AP148=1,status1B5!AP148=2,'BOULEVARD 5'!AS146&gt;0),"Pagado","impago"),""))</f>
        <v>Pagado</v>
      </c>
      <c r="AP148" s="429" t="str">
        <f t="shared" si="7"/>
        <v>Vendido</v>
      </c>
    </row>
    <row r="149" spans="1:42" s="429" customFormat="1" ht="13.9" customHeight="1" x14ac:dyDescent="0.25">
      <c r="A149" s="472"/>
      <c r="B149" s="436">
        <f>'BOULEVARD 5'!B147</f>
        <v>814</v>
      </c>
      <c r="C149" s="436" t="s">
        <v>355</v>
      </c>
      <c r="D149" s="436"/>
      <c r="E149" s="436" t="str">
        <f>IF('BOULEVARD 5'!E147="","",'BOULEVARD 5'!E147)</f>
        <v>Antonio Rada</v>
      </c>
      <c r="F149" s="429" t="str">
        <f>IF('BOULEVARD 5'!F147="","",'BOULEVARD 5'!F147)</f>
        <v>Enma Suselly Lopez Muy</v>
      </c>
      <c r="G149" s="473">
        <f>IF('BOULEVARD 5'!G147="","",'BOULEVARD 5'!G147)</f>
        <v>45250</v>
      </c>
      <c r="H149" s="666" t="str">
        <f>IF(OR($A149="F&amp;F",$G149=""),"",IF(H$8&gt;$G149,IF(OR(status1B5!I149=1,status1B5!I149=2,'BOULEVARD 5'!K147&gt;0),"Pagado","impago"),""))</f>
        <v/>
      </c>
      <c r="I149" s="666" t="str">
        <f>IF(OR($A149="F&amp;F",$G149=""),"",IF(I$8&gt;$G149,IF(OR(status1B5!J149=1,status1B5!J149=2,'BOULEVARD 5'!L147&gt;0),"Pagado","impago"),""))</f>
        <v/>
      </c>
      <c r="J149" s="666" t="str">
        <f>IF(OR($A149="F&amp;F",$G149=""),"",IF(J$8&gt;$G149,IF(OR(status1B5!K149=1,status1B5!K149=2,'BOULEVARD 5'!M147&gt;0),"Pagado","impago"),""))</f>
        <v/>
      </c>
      <c r="K149" s="666" t="str">
        <f>IF(OR($A149="F&amp;F",$G149=""),"",IF(K$8&gt;$G149,IF(OR(status1B5!L149=1,status1B5!L149=2,'BOULEVARD 5'!N147&gt;0),"Pagado","impago"),""))</f>
        <v/>
      </c>
      <c r="L149" s="666" t="str">
        <f>IF(OR($A149="F&amp;F",$G149=""),"",IF(L$8&gt;$G149,IF(OR(status1B5!M149=1,status1B5!M149=2,'BOULEVARD 5'!O147&gt;0),"Pagado","impago"),""))</f>
        <v/>
      </c>
      <c r="M149" s="666" t="str">
        <f>IF(OR($A149="F&amp;F",$G149=""),"",IF(M$8&gt;$G149,IF(OR(status1B5!N149=1,status1B5!N149=2,'BOULEVARD 5'!P147&gt;0),"Pagado","impago"),""))</f>
        <v/>
      </c>
      <c r="N149" s="666" t="str">
        <f>IF(OR($A149="F&amp;F",$G149=""),"",IF(N$8&gt;$G149,IF(OR(status1B5!O149=1,status1B5!O149=2,'BOULEVARD 5'!Q147&gt;0),"Pagado","impago"),""))</f>
        <v/>
      </c>
      <c r="O149" s="666" t="str">
        <f>IF(OR($A149="F&amp;F",$G149=""),"",IF(O$8&gt;$G149,IF(OR(status1B5!P149=1,status1B5!P149=2,'BOULEVARD 5'!R147&gt;0),"Pagado","impago"),""))</f>
        <v/>
      </c>
      <c r="P149" s="666" t="str">
        <f>IF(OR($A149="F&amp;F",$G149=""),"",IF(P$8&gt;$G149,IF(OR(status1B5!Q149=1,status1B5!Q149=2,'BOULEVARD 5'!S147&gt;0),"Pagado","impago"),""))</f>
        <v>Pagado</v>
      </c>
      <c r="Q149" s="666" t="str">
        <f>IF(OR($A149="F&amp;F",$G149=""),"",IF(Q$8&gt;$G149,IF(OR(status1B5!R149=1,status1B5!R149=2,'BOULEVARD 5'!T147&gt;0),"Pagado","impago"),""))</f>
        <v>Pagado</v>
      </c>
      <c r="R149" s="666" t="str">
        <f>IF(OR($A149="F&amp;F",$G149=""),"",IF(R$8&gt;$G149,IF(OR(status1B5!S149=1,status1B5!S149=2,'BOULEVARD 5'!U147&gt;0),"Pagado","impago"),""))</f>
        <v>Pagado</v>
      </c>
      <c r="S149" s="666" t="str">
        <f>IF(OR($A149="F&amp;F",$G149=""),"",IF(S$8&gt;$G149,IF(OR(status1B5!T149=1,status1B5!T149=2,'BOULEVARD 5'!V147&gt;0),"Pagado","impago"),""))</f>
        <v>Pagado</v>
      </c>
      <c r="T149" s="666" t="str">
        <f>IF(OR($A149="F&amp;F",$G149=""),"",IF(T$8&gt;$G149,IF(OR(status1B5!U149=1,status1B5!U149=2,'BOULEVARD 5'!W147&gt;0),"Pagado","impago"),""))</f>
        <v>Pagado</v>
      </c>
      <c r="U149" s="666" t="str">
        <f>IF(OR($A149="F&amp;F",$G149=""),"",IF(U$8&gt;$G149,IF(OR(status1B5!V149=1,status1B5!V149=2,'BOULEVARD 5'!X147&gt;0),"Pagado","impago"),""))</f>
        <v>Pagado</v>
      </c>
      <c r="V149" s="666" t="str">
        <f>IF(OR($A149="F&amp;F",$G149=""),"",IF(V$8&gt;$G149,IF(OR(status1B5!W149=1,status1B5!W149=2,'BOULEVARD 5'!Y147&gt;0),"Pagado","impago"),""))</f>
        <v>Pagado</v>
      </c>
      <c r="W149" s="666" t="str">
        <f>IF(OR($A149="F&amp;F",$G149=""),"",IF(W$8&gt;$G149,IF(OR(status1B5!X149=1,status1B5!X149=2,'BOULEVARD 5'!Z147&gt;0),"Pagado","impago"),""))</f>
        <v>Pagado</v>
      </c>
      <c r="X149" s="666" t="str">
        <f>IF(OR($A149="F&amp;F",$G149=""),"",IF(X$8&gt;$G149,IF(OR(status1B5!Y149=1,status1B5!Y149=2,'BOULEVARD 5'!AA147&gt;0),"Pagado","impago"),""))</f>
        <v>Pagado</v>
      </c>
      <c r="Y149" s="666" t="str">
        <f>IF(OR($A149="F&amp;F",$G149=""),"",IF(Y$8&gt;$G149,IF(OR(status1B5!Z149=1,status1B5!Z149=2,'BOULEVARD 5'!AB147&gt;0),"Pagado","impago"),""))</f>
        <v>Pagado</v>
      </c>
      <c r="Z149" s="666" t="str">
        <f>IF(OR($A149="F&amp;F",$G149=""),"",IF(Z$8&gt;$G149,IF(OR(status1B5!AA149=1,status1B5!AA149=2,'BOULEVARD 5'!AC147&gt;0),"Pagado","impago"),""))</f>
        <v>Pagado</v>
      </c>
      <c r="AA149" s="666" t="str">
        <f>IF(OR($A149="F&amp;F",$G149=""),"",IF(AA$8&gt;$G149,IF(OR(status1B5!AB149=1,status1B5!AB149=2,'BOULEVARD 5'!AD147&gt;0),"Pagado","impago"),""))</f>
        <v>Pagado</v>
      </c>
      <c r="AB149" s="666" t="str">
        <f>IF(OR($A149="F&amp;F",$G149=""),"",IF(AB$8&gt;$G149,IF(OR(status1B5!AC149=1,status1B5!AC149=2,'BOULEVARD 5'!AE147&gt;0),"Pagado","impago"),""))</f>
        <v>Pagado</v>
      </c>
      <c r="AC149" s="666" t="str">
        <f>IF(OR($A149="F&amp;F",$G149=""),"",IF(AC$8&gt;$G149,IF(OR(status1B5!AD149=1,status1B5!AD149=2,'BOULEVARD 5'!AF147&gt;0),"Pagado","impago"),""))</f>
        <v>Pagado</v>
      </c>
      <c r="AD149" s="666" t="str">
        <f>IF(OR($A149="F&amp;F",$G149=""),"",IF(AD$8&gt;$G149,IF(OR(status1B5!AE149=1,status1B5!AE149=2,'BOULEVARD 5'!AG147&gt;0),"Pagado","impago"),""))</f>
        <v>Pagado</v>
      </c>
      <c r="AE149" s="666" t="str">
        <f>IF(OR($A149="F&amp;F",$G149=""),"",IF(AE$8&gt;$G149,IF(OR(status1B5!AF149=1,status1B5!AF149=2,'BOULEVARD 5'!AH147&gt;0),"Pagado","impago"),""))</f>
        <v>Pagado</v>
      </c>
      <c r="AF149" s="666" t="str">
        <f>IF(OR($A149="F&amp;F",$G149=""),"",IF(AF$8&gt;$G149,IF(OR(status1B5!AG149=1,status1B5!AG149=2,'BOULEVARD 5'!AI147&gt;0),"Pagado","impago"),""))</f>
        <v>Pagado</v>
      </c>
      <c r="AG149" s="666" t="str">
        <f>IF(OR($A149="F&amp;F",$G149=""),"",IF(AG$8&gt;$G149,IF(OR(status1B5!AH149=1,status1B5!AH149=2,'BOULEVARD 5'!AJ147&gt;0),"Pagado","impago"),""))</f>
        <v>Pagado</v>
      </c>
      <c r="AH149" s="666" t="str">
        <f>IF(OR($A149="F&amp;F",$G149=""),"",IF(AH$8&gt;$G149,IF(OR(status1B5!AI149=1,status1B5!AI149=2,'BOULEVARD 5'!AK147&gt;0),"Pagado","impago"),""))</f>
        <v>Pagado</v>
      </c>
      <c r="AI149" s="666" t="str">
        <f>IF(OR($A149="F&amp;F",$G149=""),"",IF(AI$8&gt;$G149,IF(OR(status1B5!AJ149=1,status1B5!AJ149=2,'BOULEVARD 5'!AL147&gt;0),"Pagado","impago"),""))</f>
        <v>Pagado</v>
      </c>
      <c r="AJ149" s="666" t="str">
        <f>IF(OR($A149="F&amp;F",$G149=""),"",IF(AJ$8&gt;$G149,IF(OR(status1B5!AK149=1,status1B5!AK149=2,'BOULEVARD 5'!AM147&gt;0),"Pagado","impago"),""))</f>
        <v>Pagado</v>
      </c>
      <c r="AK149" s="666" t="str">
        <f>IF(OR($A149="F&amp;F",$G149=""),"",IF(AK$8&gt;$G149,IF(OR(status1B5!AL149=1,status1B5!AL149=2,'BOULEVARD 5'!AN147&gt;0),"Pagado","impago"),""))</f>
        <v>Pagado</v>
      </c>
      <c r="AL149" s="666" t="str">
        <f>IF(OR($A149="F&amp;F",$G149=""),"",IF(AL$8&gt;$G149,IF(OR(status1B5!AM149=1,status1B5!AM149=2,'BOULEVARD 5'!AO147&gt;0),"Pagado","impago"),""))</f>
        <v>Pagado</v>
      </c>
      <c r="AM149" s="666" t="str">
        <f>IF(OR($A149="F&amp;F",$G149=""),"",IF(AM$8&gt;$G149,IF(OR(status1B5!AN149=1,status1B5!AN149=2,'BOULEVARD 5'!AP147&gt;0),"Pagado","impago"),""))</f>
        <v>Pagado</v>
      </c>
      <c r="AN149" s="666" t="str">
        <f>IF(OR($A149="F&amp;F",$G149=""),"",IF(AN$8&gt;$G149,IF(OR(status1B5!AO149=1,status1B5!AO149=2,'BOULEVARD 5'!AQ147&gt;0),"Pagado","impago"),""))</f>
        <v>Pagado</v>
      </c>
      <c r="AO149" s="666" t="str">
        <f>IF(OR($A149="F&amp;F",$G149=""),"",IF(AO$8&gt;$G149,IF(OR(status1B5!AP149=1,status1B5!AP149=2,'BOULEVARD 5'!AS147&gt;0),"Pagado","impago"),""))</f>
        <v>Pagado</v>
      </c>
      <c r="AP149" s="429" t="str">
        <f t="shared" si="7"/>
        <v>Vendido</v>
      </c>
    </row>
    <row r="150" spans="1:42" s="429" customFormat="1" ht="13.9" customHeight="1" x14ac:dyDescent="0.25">
      <c r="A150" s="472"/>
      <c r="B150" s="436">
        <f>'BOULEVARD 5'!B148</f>
        <v>815</v>
      </c>
      <c r="C150" s="436" t="s">
        <v>355</v>
      </c>
      <c r="D150" s="436"/>
      <c r="E150" s="436" t="str">
        <f>IF('BOULEVARD 5'!E148="","",'BOULEVARD 5'!E148)</f>
        <v>Antonio Rada</v>
      </c>
      <c r="F150" s="429" t="str">
        <f>IF('BOULEVARD 5'!F148="","",'BOULEVARD 5'!F148)</f>
        <v>Leonora Elizabeth Cordon Arrivillaga</v>
      </c>
      <c r="G150" s="473">
        <f>IF('BOULEVARD 5'!G148="","",'BOULEVARD 5'!G148)</f>
        <v>45342</v>
      </c>
      <c r="H150" s="666" t="str">
        <f>IF(OR($A150="F&amp;F",$G150=""),"",IF(H$8&gt;$G150,IF(OR(status1B5!I150=1,status1B5!I150=2,'BOULEVARD 5'!K148&gt;0),"Pagado","impago"),""))</f>
        <v/>
      </c>
      <c r="I150" s="666" t="str">
        <f>IF(OR($A150="F&amp;F",$G150=""),"",IF(I$8&gt;$G150,IF(OR(status1B5!J150=1,status1B5!J150=2,'BOULEVARD 5'!L148&gt;0),"Pagado","impago"),""))</f>
        <v/>
      </c>
      <c r="J150" s="666" t="str">
        <f>IF(OR($A150="F&amp;F",$G150=""),"",IF(J$8&gt;$G150,IF(OR(status1B5!K150=1,status1B5!K150=2,'BOULEVARD 5'!M148&gt;0),"Pagado","impago"),""))</f>
        <v/>
      </c>
      <c r="K150" s="666" t="str">
        <f>IF(OR($A150="F&amp;F",$G150=""),"",IF(K$8&gt;$G150,IF(OR(status1B5!L150=1,status1B5!L150=2,'BOULEVARD 5'!N148&gt;0),"Pagado","impago"),""))</f>
        <v/>
      </c>
      <c r="L150" s="666" t="str">
        <f>IF(OR($A150="F&amp;F",$G150=""),"",IF(L$8&gt;$G150,IF(OR(status1B5!M150=1,status1B5!M150=2,'BOULEVARD 5'!O148&gt;0),"Pagado","impago"),""))</f>
        <v/>
      </c>
      <c r="M150" s="666" t="str">
        <f>IF(OR($A150="F&amp;F",$G150=""),"",IF(M$8&gt;$G150,IF(OR(status1B5!N150=1,status1B5!N150=2,'BOULEVARD 5'!P148&gt;0),"Pagado","impago"),""))</f>
        <v/>
      </c>
      <c r="N150" s="666" t="str">
        <f>IF(OR($A150="F&amp;F",$G150=""),"",IF(N$8&gt;$G150,IF(OR(status1B5!O150=1,status1B5!O150=2,'BOULEVARD 5'!Q148&gt;0),"Pagado","impago"),""))</f>
        <v/>
      </c>
      <c r="O150" s="666" t="str">
        <f>IF(OR($A150="F&amp;F",$G150=""),"",IF(O$8&gt;$G150,IF(OR(status1B5!P150=1,status1B5!P150=2,'BOULEVARD 5'!R148&gt;0),"Pagado","impago"),""))</f>
        <v/>
      </c>
      <c r="P150" s="666" t="str">
        <f>IF(OR($A150="F&amp;F",$G150=""),"",IF(P$8&gt;$G150,IF(OR(status1B5!Q150=1,status1B5!Q150=2,'BOULEVARD 5'!S148&gt;0),"Pagado","impago"),""))</f>
        <v/>
      </c>
      <c r="Q150" s="666" t="str">
        <f>IF(OR($A150="F&amp;F",$G150=""),"",IF(Q$8&gt;$G150,IF(OR(status1B5!R150=1,status1B5!R150=2,'BOULEVARD 5'!T148&gt;0),"Pagado","impago"),""))</f>
        <v/>
      </c>
      <c r="R150" s="666" t="str">
        <f>IF(OR($A150="F&amp;F",$G150=""),"",IF(R$8&gt;$G150,IF(OR(status1B5!S150=1,status1B5!S150=2,'BOULEVARD 5'!U148&gt;0),"Pagado","impago"),""))</f>
        <v/>
      </c>
      <c r="S150" s="666" t="str">
        <f>IF(OR($A150="F&amp;F",$G150=""),"",IF(S$8&gt;$G150,IF(OR(status1B5!T150=1,status1B5!T150=2,'BOULEVARD 5'!V148&gt;0),"Pagado","impago"),""))</f>
        <v>Pagado</v>
      </c>
      <c r="T150" s="666" t="str">
        <f>IF(OR($A150="F&amp;F",$G150=""),"",IF(T$8&gt;$G150,IF(OR(status1B5!U150=1,status1B5!U150=2,'BOULEVARD 5'!W148&gt;0),"Pagado","impago"),""))</f>
        <v>Pagado</v>
      </c>
      <c r="U150" s="666" t="str">
        <f>IF(OR($A150="F&amp;F",$G150=""),"",IF(U$8&gt;$G150,IF(OR(status1B5!V150=1,status1B5!V150=2,'BOULEVARD 5'!X148&gt;0),"Pagado","impago"),""))</f>
        <v>Pagado</v>
      </c>
      <c r="V150" s="666" t="str">
        <f>IF(OR($A150="F&amp;F",$G150=""),"",IF(V$8&gt;$G150,IF(OR(status1B5!W150=1,status1B5!W150=2,'BOULEVARD 5'!Y148&gt;0),"Pagado","impago"),""))</f>
        <v>Pagado</v>
      </c>
      <c r="W150" s="666" t="str">
        <f>IF(OR($A150="F&amp;F",$G150=""),"",IF(W$8&gt;$G150,IF(OR(status1B5!X150=1,status1B5!X150=2,'BOULEVARD 5'!Z148&gt;0),"Pagado","impago"),""))</f>
        <v>Pagado</v>
      </c>
      <c r="X150" s="666" t="str">
        <f>IF(OR($A150="F&amp;F",$G150=""),"",IF(X$8&gt;$G150,IF(OR(status1B5!Y150=1,status1B5!Y150=2,'BOULEVARD 5'!AA148&gt;0),"Pagado","impago"),""))</f>
        <v>Pagado</v>
      </c>
      <c r="Y150" s="666" t="str">
        <f>IF(OR($A150="F&amp;F",$G150=""),"",IF(Y$8&gt;$G150,IF(OR(status1B5!Z150=1,status1B5!Z150=2,'BOULEVARD 5'!AB148&gt;0),"Pagado","impago"),""))</f>
        <v>Pagado</v>
      </c>
      <c r="Z150" s="666" t="str">
        <f>IF(OR($A150="F&amp;F",$G150=""),"",IF(Z$8&gt;$G150,IF(OR(status1B5!AA150=1,status1B5!AA150=2,'BOULEVARD 5'!AC148&gt;0),"Pagado","impago"),""))</f>
        <v>Pagado</v>
      </c>
      <c r="AA150" s="666" t="str">
        <f>IF(OR($A150="F&amp;F",$G150=""),"",IF(AA$8&gt;$G150,IF(OR(status1B5!AB150=1,status1B5!AB150=2,'BOULEVARD 5'!AD148&gt;0),"Pagado","impago"),""))</f>
        <v>Pagado</v>
      </c>
      <c r="AB150" s="666" t="str">
        <f>IF(OR($A150="F&amp;F",$G150=""),"",IF(AB$8&gt;$G150,IF(OR(status1B5!AC150=1,status1B5!AC150=2,'BOULEVARD 5'!AE148&gt;0),"Pagado","impago"),""))</f>
        <v>Pagado</v>
      </c>
      <c r="AC150" s="666" t="str">
        <f>IF(OR($A150="F&amp;F",$G150=""),"",IF(AC$8&gt;$G150,IF(OR(status1B5!AD150=1,status1B5!AD150=2,'BOULEVARD 5'!AF148&gt;0),"Pagado","impago"),""))</f>
        <v>Pagado</v>
      </c>
      <c r="AD150" s="666" t="str">
        <f>IF(OR($A150="F&amp;F",$G150=""),"",IF(AD$8&gt;$G150,IF(OR(status1B5!AE150=1,status1B5!AE150=2,'BOULEVARD 5'!AG148&gt;0),"Pagado","impago"),""))</f>
        <v>Pagado</v>
      </c>
      <c r="AE150" s="666" t="str">
        <f>IF(OR($A150="F&amp;F",$G150=""),"",IF(AE$8&gt;$G150,IF(OR(status1B5!AF150=1,status1B5!AF150=2,'BOULEVARD 5'!AH148&gt;0),"Pagado","impago"),""))</f>
        <v>Pagado</v>
      </c>
      <c r="AF150" s="666" t="str">
        <f>IF(OR($A150="F&amp;F",$G150=""),"",IF(AF$8&gt;$G150,IF(OR(status1B5!AG150=1,status1B5!AG150=2,'BOULEVARD 5'!AI148&gt;0),"Pagado","impago"),""))</f>
        <v>Pagado</v>
      </c>
      <c r="AG150" s="666" t="str">
        <f>IF(OR($A150="F&amp;F",$G150=""),"",IF(AG$8&gt;$G150,IF(OR(status1B5!AH150=1,status1B5!AH150=2,'BOULEVARD 5'!AJ148&gt;0),"Pagado","impago"),""))</f>
        <v>Pagado</v>
      </c>
      <c r="AH150" s="666" t="str">
        <f>IF(OR($A150="F&amp;F",$G150=""),"",IF(AH$8&gt;$G150,IF(OR(status1B5!AI150=1,status1B5!AI150=2,'BOULEVARD 5'!AK148&gt;0),"Pagado","impago"),""))</f>
        <v>Pagado</v>
      </c>
      <c r="AI150" s="666" t="str">
        <f>IF(OR($A150="F&amp;F",$G150=""),"",IF(AI$8&gt;$G150,IF(OR(status1B5!AJ150=1,status1B5!AJ150=2,'BOULEVARD 5'!AL148&gt;0),"Pagado","impago"),""))</f>
        <v>Pagado</v>
      </c>
      <c r="AJ150" s="666" t="str">
        <f>IF(OR($A150="F&amp;F",$G150=""),"",IF(AJ$8&gt;$G150,IF(OR(status1B5!AK150=1,status1B5!AK150=2,'BOULEVARD 5'!AM148&gt;0),"Pagado","impago"),""))</f>
        <v>Pagado</v>
      </c>
      <c r="AK150" s="666" t="str">
        <f>IF(OR($A150="F&amp;F",$G150=""),"",IF(AK$8&gt;$G150,IF(OR(status1B5!AL150=1,status1B5!AL150=2,'BOULEVARD 5'!AN148&gt;0),"Pagado","impago"),""))</f>
        <v>Pagado</v>
      </c>
      <c r="AL150" s="666" t="str">
        <f>IF(OR($A150="F&amp;F",$G150=""),"",IF(AL$8&gt;$G150,IF(OR(status1B5!AM150=1,status1B5!AM150=2,'BOULEVARD 5'!AO148&gt;0),"Pagado","impago"),""))</f>
        <v>Pagado</v>
      </c>
      <c r="AM150" s="666" t="str">
        <f>IF(OR($A150="F&amp;F",$G150=""),"",IF(AM$8&gt;$G150,IF(OR(status1B5!AN150=1,status1B5!AN150=2,'BOULEVARD 5'!AP148&gt;0),"Pagado","impago"),""))</f>
        <v>Pagado</v>
      </c>
      <c r="AN150" s="666" t="str">
        <f>IF(OR($A150="F&amp;F",$G150=""),"",IF(AN$8&gt;$G150,IF(OR(status1B5!AO150=1,status1B5!AO150=2,'BOULEVARD 5'!AQ148&gt;0),"Pagado","impago"),""))</f>
        <v>Pagado</v>
      </c>
      <c r="AO150" s="666" t="str">
        <f>IF(OR($A150="F&amp;F",$G150=""),"",IF(AO$8&gt;$G150,IF(OR(status1B5!AP150=1,status1B5!AP150=2,'BOULEVARD 5'!AS148&gt;0),"Pagado","impago"),""))</f>
        <v>Pagado</v>
      </c>
      <c r="AP150" s="429" t="str">
        <f t="shared" si="7"/>
        <v>Vendido</v>
      </c>
    </row>
    <row r="151" spans="1:42" s="429" customFormat="1" ht="13.9" customHeight="1" x14ac:dyDescent="0.25">
      <c r="A151" s="472"/>
      <c r="B151" s="436">
        <f>'BOULEVARD 5'!B149</f>
        <v>816</v>
      </c>
      <c r="C151" s="436" t="s">
        <v>355</v>
      </c>
      <c r="D151" s="436"/>
      <c r="E151" s="436" t="str">
        <f>IF('BOULEVARD 5'!E149="","",'BOULEVARD 5'!E149)</f>
        <v>Brenda Búcaro</v>
      </c>
      <c r="F151" s="429" t="str">
        <f>IF('BOULEVARD 5'!F149="","",'BOULEVARD 5'!F149)</f>
        <v>Coasa, S.A.</v>
      </c>
      <c r="G151" s="473">
        <f>IF('BOULEVARD 5'!G149="","",'BOULEVARD 5'!G149)</f>
        <v>45016</v>
      </c>
      <c r="H151" s="666" t="str">
        <f>IF(OR($A151="F&amp;F",$G151=""),"",IF(H$8&gt;$G151,IF(OR(status1B5!I151=1,status1B5!I151=2,'BOULEVARD 5'!K149&gt;0),"Pagado","impago"),""))</f>
        <v/>
      </c>
      <c r="I151" s="666" t="str">
        <f>IF(OR($A151="F&amp;F",$G151=""),"",IF(I$8&gt;$G151,IF(OR(status1B5!J151=1,status1B5!J151=2,'BOULEVARD 5'!L149&gt;0),"Pagado","impago"),""))</f>
        <v>Pagado</v>
      </c>
      <c r="J151" s="666" t="str">
        <f>IF(OR($A151="F&amp;F",$G151=""),"",IF(J$8&gt;$G151,IF(OR(status1B5!K151=1,status1B5!K151=2,'BOULEVARD 5'!M149&gt;0),"Pagado","impago"),""))</f>
        <v>Pagado</v>
      </c>
      <c r="K151" s="666" t="str">
        <f>IF(OR($A151="F&amp;F",$G151=""),"",IF(K$8&gt;$G151,IF(OR(status1B5!L151=1,status1B5!L151=2,'BOULEVARD 5'!N149&gt;0),"Pagado","impago"),""))</f>
        <v>Pagado</v>
      </c>
      <c r="L151" s="666" t="str">
        <f>IF(OR($A151="F&amp;F",$G151=""),"",IF(L$8&gt;$G151,IF(OR(status1B5!M151=1,status1B5!M151=2,'BOULEVARD 5'!O149&gt;0),"Pagado","impago"),""))</f>
        <v>Pagado</v>
      </c>
      <c r="M151" s="666" t="str">
        <f>IF(OR($A151="F&amp;F",$G151=""),"",IF(M$8&gt;$G151,IF(OR(status1B5!N151=1,status1B5!N151=2,'BOULEVARD 5'!P149&gt;0),"Pagado","impago"),""))</f>
        <v>Pagado</v>
      </c>
      <c r="N151" s="666" t="str">
        <f>IF(OR($A151="F&amp;F",$G151=""),"",IF(N$8&gt;$G151,IF(OR(status1B5!O151=1,status1B5!O151=2,'BOULEVARD 5'!Q149&gt;0),"Pagado","impago"),""))</f>
        <v>Pagado</v>
      </c>
      <c r="O151" s="666" t="str">
        <f>IF(OR($A151="F&amp;F",$G151=""),"",IF(O$8&gt;$G151,IF(OR(status1B5!P151=1,status1B5!P151=2,'BOULEVARD 5'!R149&gt;0),"Pagado","impago"),""))</f>
        <v>Pagado</v>
      </c>
      <c r="P151" s="666" t="str">
        <f>IF(OR($A151="F&amp;F",$G151=""),"",IF(P$8&gt;$G151,IF(OR(status1B5!Q151=1,status1B5!Q151=2,'BOULEVARD 5'!S149&gt;0),"Pagado","impago"),""))</f>
        <v>Pagado</v>
      </c>
      <c r="Q151" s="666" t="str">
        <f>IF(OR($A151="F&amp;F",$G151=""),"",IF(Q$8&gt;$G151,IF(OR(status1B5!R151=1,status1B5!R151=2,'BOULEVARD 5'!T149&gt;0),"Pagado","impago"),""))</f>
        <v>Pagado</v>
      </c>
      <c r="R151" s="666" t="str">
        <f>IF(OR($A151="F&amp;F",$G151=""),"",IF(R$8&gt;$G151,IF(OR(status1B5!S151=1,status1B5!S151=2,'BOULEVARD 5'!U149&gt;0),"Pagado","impago"),""))</f>
        <v>Pagado</v>
      </c>
      <c r="S151" s="666" t="str">
        <f>IF(OR($A151="F&amp;F",$G151=""),"",IF(S$8&gt;$G151,IF(OR(status1B5!T151=1,status1B5!T151=2,'BOULEVARD 5'!V149&gt;0),"Pagado","impago"),""))</f>
        <v>Pagado</v>
      </c>
      <c r="T151" s="666" t="str">
        <f>IF(OR($A151="F&amp;F",$G151=""),"",IF(T$8&gt;$G151,IF(OR(status1B5!U151=1,status1B5!U151=2,'BOULEVARD 5'!W149&gt;0),"Pagado","impago"),""))</f>
        <v>Pagado</v>
      </c>
      <c r="U151" s="666" t="str">
        <f>IF(OR($A151="F&amp;F",$G151=""),"",IF(U$8&gt;$G151,IF(OR(status1B5!V151=1,status1B5!V151=2,'BOULEVARD 5'!X149&gt;0),"Pagado","impago"),""))</f>
        <v>Pagado</v>
      </c>
      <c r="V151" s="666" t="str">
        <f>IF(OR($A151="F&amp;F",$G151=""),"",IF(V$8&gt;$G151,IF(OR(status1B5!W151=1,status1B5!W151=2,'BOULEVARD 5'!Y149&gt;0),"Pagado","impago"),""))</f>
        <v>Pagado</v>
      </c>
      <c r="W151" s="666" t="str">
        <f>IF(OR($A151="F&amp;F",$G151=""),"",IF(W$8&gt;$G151,IF(OR(status1B5!X151=1,status1B5!X151=2,'BOULEVARD 5'!Z149&gt;0),"Pagado","impago"),""))</f>
        <v>Pagado</v>
      </c>
      <c r="X151" s="666" t="str">
        <f>IF(OR($A151="F&amp;F",$G151=""),"",IF(X$8&gt;$G151,IF(OR(status1B5!Y151=1,status1B5!Y151=2,'BOULEVARD 5'!AA149&gt;0),"Pagado","impago"),""))</f>
        <v>Pagado</v>
      </c>
      <c r="Y151" s="666" t="str">
        <f>IF(OR($A151="F&amp;F",$G151=""),"",IF(Y$8&gt;$G151,IF(OR(status1B5!Z151=1,status1B5!Z151=2,'BOULEVARD 5'!AB149&gt;0),"Pagado","impago"),""))</f>
        <v>Pagado</v>
      </c>
      <c r="Z151" s="666" t="str">
        <f>IF(OR($A151="F&amp;F",$G151=""),"",IF(Z$8&gt;$G151,IF(OR(status1B5!AA151=1,status1B5!AA151=2,'BOULEVARD 5'!AC149&gt;0),"Pagado","impago"),""))</f>
        <v>Pagado</v>
      </c>
      <c r="AA151" s="666" t="str">
        <f>IF(OR($A151="F&amp;F",$G151=""),"",IF(AA$8&gt;$G151,IF(OR(status1B5!AB151=1,status1B5!AB151=2,'BOULEVARD 5'!AD149&gt;0),"Pagado","impago"),""))</f>
        <v>Pagado</v>
      </c>
      <c r="AB151" s="666" t="str">
        <f>IF(OR($A151="F&amp;F",$G151=""),"",IF(AB$8&gt;$G151,IF(OR(status1B5!AC151=1,status1B5!AC151=2,'BOULEVARD 5'!AE149&gt;0),"Pagado","impago"),""))</f>
        <v>Pagado</v>
      </c>
      <c r="AC151" s="666" t="str">
        <f>IF(OR($A151="F&amp;F",$G151=""),"",IF(AC$8&gt;$G151,IF(OR(status1B5!AD151=1,status1B5!AD151=2,'BOULEVARD 5'!AF149&gt;0),"Pagado","impago"),""))</f>
        <v>Pagado</v>
      </c>
      <c r="AD151" s="666" t="str">
        <f>IF(OR($A151="F&amp;F",$G151=""),"",IF(AD$8&gt;$G151,IF(OR(status1B5!AE151=1,status1B5!AE151=2,'BOULEVARD 5'!AG149&gt;0),"Pagado","impago"),""))</f>
        <v>Pagado</v>
      </c>
      <c r="AE151" s="666" t="str">
        <f>IF(OR($A151="F&amp;F",$G151=""),"",IF(AE$8&gt;$G151,IF(OR(status1B5!AF151=1,status1B5!AF151=2,'BOULEVARD 5'!AH149&gt;0),"Pagado","impago"),""))</f>
        <v>Pagado</v>
      </c>
      <c r="AF151" s="666" t="str">
        <f>IF(OR($A151="F&amp;F",$G151=""),"",IF(AF$8&gt;$G151,IF(OR(status1B5!AG151=1,status1B5!AG151=2,'BOULEVARD 5'!AI149&gt;0),"Pagado","impago"),""))</f>
        <v>Pagado</v>
      </c>
      <c r="AG151" s="666" t="str">
        <f>IF(OR($A151="F&amp;F",$G151=""),"",IF(AG$8&gt;$G151,IF(OR(status1B5!AH151=1,status1B5!AH151=2,'BOULEVARD 5'!AJ149&gt;0),"Pagado","impago"),""))</f>
        <v>Pagado</v>
      </c>
      <c r="AH151" s="666" t="str">
        <f>IF(OR($A151="F&amp;F",$G151=""),"",IF(AH$8&gt;$G151,IF(OR(status1B5!AI151=1,status1B5!AI151=2,'BOULEVARD 5'!AK149&gt;0),"Pagado","impago"),""))</f>
        <v>Pagado</v>
      </c>
      <c r="AI151" s="666" t="str">
        <f>IF(OR($A151="F&amp;F",$G151=""),"",IF(AI$8&gt;$G151,IF(OR(status1B5!AJ151=1,status1B5!AJ151=2,'BOULEVARD 5'!AL149&gt;0),"Pagado","impago"),""))</f>
        <v>Pagado</v>
      </c>
      <c r="AJ151" s="666" t="str">
        <f>IF(OR($A151="F&amp;F",$G151=""),"",IF(AJ$8&gt;$G151,IF(OR(status1B5!AK151=1,status1B5!AK151=2,'BOULEVARD 5'!AM149&gt;0),"Pagado","impago"),""))</f>
        <v>Pagado</v>
      </c>
      <c r="AK151" s="666" t="str">
        <f>IF(OR($A151="F&amp;F",$G151=""),"",IF(AK$8&gt;$G151,IF(OR(status1B5!AL151=1,status1B5!AL151=2,'BOULEVARD 5'!AN149&gt;0),"Pagado","impago"),""))</f>
        <v>Pagado</v>
      </c>
      <c r="AL151" s="666" t="str">
        <f>IF(OR($A151="F&amp;F",$G151=""),"",IF(AL$8&gt;$G151,IF(OR(status1B5!AM151=1,status1B5!AM151=2,'BOULEVARD 5'!AO149&gt;0),"Pagado","impago"),""))</f>
        <v>Pagado</v>
      </c>
      <c r="AM151" s="666" t="str">
        <f>IF(OR($A151="F&amp;F",$G151=""),"",IF(AM$8&gt;$G151,IF(OR(status1B5!AN151=1,status1B5!AN151=2,'BOULEVARD 5'!AP149&gt;0),"Pagado","impago"),""))</f>
        <v>Pagado</v>
      </c>
      <c r="AN151" s="666" t="str">
        <f>IF(OR($A151="F&amp;F",$G151=""),"",IF(AN$8&gt;$G151,IF(OR(status1B5!AO151=1,status1B5!AO151=2,'BOULEVARD 5'!AQ149&gt;0),"Pagado","impago"),""))</f>
        <v>Pagado</v>
      </c>
      <c r="AO151" s="666" t="str">
        <f>IF(OR($A151="F&amp;F",$G151=""),"",IF(AO$8&gt;$G151,IF(OR(status1B5!AP151=1,status1B5!AP151=2,'BOULEVARD 5'!AS149&gt;0),"Pagado","impago"),""))</f>
        <v>Pagado</v>
      </c>
      <c r="AP151" s="429" t="str">
        <f t="shared" si="7"/>
        <v>Vendido</v>
      </c>
    </row>
    <row r="152" spans="1:42" s="429" customFormat="1" ht="13.9" customHeight="1" x14ac:dyDescent="0.25">
      <c r="A152" s="472"/>
      <c r="B152" s="436">
        <f>'BOULEVARD 5'!B150</f>
        <v>817</v>
      </c>
      <c r="C152" s="436" t="s">
        <v>355</v>
      </c>
      <c r="D152" s="436"/>
      <c r="E152" s="436" t="str">
        <f>IF('BOULEVARD 5'!E150="","",'BOULEVARD 5'!E150)</f>
        <v>Brenda Búcaro</v>
      </c>
      <c r="F152" s="429" t="str">
        <f>IF('BOULEVARD 5'!F150="","",'BOULEVARD 5'!F150)</f>
        <v xml:space="preserve"> Juan Antonio Escobedo Del Cid</v>
      </c>
      <c r="G152" s="473">
        <f>IF('BOULEVARD 5'!G150="","",'BOULEVARD 5'!G150)</f>
        <v>45027</v>
      </c>
      <c r="H152" s="666" t="str">
        <f>IF(OR($A152="F&amp;F",$G152=""),"",IF(H$8&gt;$G152,IF(OR(status1B5!I152=1,status1B5!I152=2,'BOULEVARD 5'!K150&gt;0),"Pagado","impago"),""))</f>
        <v/>
      </c>
      <c r="I152" s="666" t="str">
        <f>IF(OR($A152="F&amp;F",$G152=""),"",IF(I$8&gt;$G152,IF(OR(status1B5!J152=1,status1B5!J152=2,'BOULEVARD 5'!L150&gt;0),"Pagado","impago"),""))</f>
        <v>Pagado</v>
      </c>
      <c r="J152" s="666" t="str">
        <f>IF(OR($A152="F&amp;F",$G152=""),"",IF(J$8&gt;$G152,IF(OR(status1B5!K152=1,status1B5!K152=2,'BOULEVARD 5'!M150&gt;0),"Pagado","impago"),""))</f>
        <v>Pagado</v>
      </c>
      <c r="K152" s="666" t="str">
        <f>IF(OR($A152="F&amp;F",$G152=""),"",IF(K$8&gt;$G152,IF(OR(status1B5!L152=1,status1B5!L152=2,'BOULEVARD 5'!N150&gt;0),"Pagado","impago"),""))</f>
        <v>Pagado</v>
      </c>
      <c r="L152" s="666" t="str">
        <f>IF(OR($A152="F&amp;F",$G152=""),"",IF(L$8&gt;$G152,IF(OR(status1B5!M152=1,status1B5!M152=2,'BOULEVARD 5'!O150&gt;0),"Pagado","impago"),""))</f>
        <v>Pagado</v>
      </c>
      <c r="M152" s="666" t="str">
        <f>IF(OR($A152="F&amp;F",$G152=""),"",IF(M$8&gt;$G152,IF(OR(status1B5!N152=1,status1B5!N152=2,'BOULEVARD 5'!P150&gt;0),"Pagado","impago"),""))</f>
        <v>Pagado</v>
      </c>
      <c r="N152" s="666" t="str">
        <f>IF(OR($A152="F&amp;F",$G152=""),"",IF(N$8&gt;$G152,IF(OR(status1B5!O152=1,status1B5!O152=2,'BOULEVARD 5'!Q150&gt;0),"Pagado","impago"),""))</f>
        <v>Pagado</v>
      </c>
      <c r="O152" s="666" t="str">
        <f>IF(OR($A152="F&amp;F",$G152=""),"",IF(O$8&gt;$G152,IF(OR(status1B5!P152=1,status1B5!P152=2,'BOULEVARD 5'!R150&gt;0),"Pagado","impago"),""))</f>
        <v>Pagado</v>
      </c>
      <c r="P152" s="666" t="str">
        <f>IF(OR($A152="F&amp;F",$G152=""),"",IF(P$8&gt;$G152,IF(OR(status1B5!Q152=1,status1B5!Q152=2,'BOULEVARD 5'!S150&gt;0),"Pagado","impago"),""))</f>
        <v>Pagado</v>
      </c>
      <c r="Q152" s="666" t="str">
        <f>IF(OR($A152="F&amp;F",$G152=""),"",IF(Q$8&gt;$G152,IF(OR(status1B5!R152=1,status1B5!R152=2,'BOULEVARD 5'!T150&gt;0),"Pagado","impago"),""))</f>
        <v>Pagado</v>
      </c>
      <c r="R152" s="666" t="str">
        <f>IF(OR($A152="F&amp;F",$G152=""),"",IF(R$8&gt;$G152,IF(OR(status1B5!S152=1,status1B5!S152=2,'BOULEVARD 5'!U150&gt;0),"Pagado","impago"),""))</f>
        <v>Pagado</v>
      </c>
      <c r="S152" s="666" t="str">
        <f>IF(OR($A152="F&amp;F",$G152=""),"",IF(S$8&gt;$G152,IF(OR(status1B5!T152=1,status1B5!T152=2,'BOULEVARD 5'!V150&gt;0),"Pagado","impago"),""))</f>
        <v>Pagado</v>
      </c>
      <c r="T152" s="666" t="str">
        <f>IF(OR($A152="F&amp;F",$G152=""),"",IF(T$8&gt;$G152,IF(OR(status1B5!U152=1,status1B5!U152=2,'BOULEVARD 5'!W150&gt;0),"Pagado","impago"),""))</f>
        <v>Pagado</v>
      </c>
      <c r="U152" s="666" t="str">
        <f>IF(OR($A152="F&amp;F",$G152=""),"",IF(U$8&gt;$G152,IF(OR(status1B5!V152=1,status1B5!V152=2,'BOULEVARD 5'!X150&gt;0),"Pagado","impago"),""))</f>
        <v>Pagado</v>
      </c>
      <c r="V152" s="666" t="str">
        <f>IF(OR($A152="F&amp;F",$G152=""),"",IF(V$8&gt;$G152,IF(OR(status1B5!W152=1,status1B5!W152=2,'BOULEVARD 5'!Y150&gt;0),"Pagado","impago"),""))</f>
        <v>Pagado</v>
      </c>
      <c r="W152" s="666" t="str">
        <f>IF(OR($A152="F&amp;F",$G152=""),"",IF(W$8&gt;$G152,IF(OR(status1B5!X152=1,status1B5!X152=2,'BOULEVARD 5'!Z150&gt;0),"Pagado","impago"),""))</f>
        <v>Pagado</v>
      </c>
      <c r="X152" s="666" t="str">
        <f>IF(OR($A152="F&amp;F",$G152=""),"",IF(X$8&gt;$G152,IF(OR(status1B5!Y152=1,status1B5!Y152=2,'BOULEVARD 5'!AA150&gt;0),"Pagado","impago"),""))</f>
        <v>Pagado</v>
      </c>
      <c r="Y152" s="666" t="str">
        <f>IF(OR($A152="F&amp;F",$G152=""),"",IF(Y$8&gt;$G152,IF(OR(status1B5!Z152=1,status1B5!Z152=2,'BOULEVARD 5'!AB150&gt;0),"Pagado","impago"),""))</f>
        <v>Pagado</v>
      </c>
      <c r="Z152" s="666" t="str">
        <f>IF(OR($A152="F&amp;F",$G152=""),"",IF(Z$8&gt;$G152,IF(OR(status1B5!AA152=1,status1B5!AA152=2,'BOULEVARD 5'!AC150&gt;0),"Pagado","impago"),""))</f>
        <v>Pagado</v>
      </c>
      <c r="AA152" s="666" t="str">
        <f>IF(OR($A152="F&amp;F",$G152=""),"",IF(AA$8&gt;$G152,IF(OR(status1B5!AB152=1,status1B5!AB152=2,'BOULEVARD 5'!AD150&gt;0),"Pagado","impago"),""))</f>
        <v>Pagado</v>
      </c>
      <c r="AB152" s="666" t="str">
        <f>IF(OR($A152="F&amp;F",$G152=""),"",IF(AB$8&gt;$G152,IF(OR(status1B5!AC152=1,status1B5!AC152=2,'BOULEVARD 5'!AE150&gt;0),"Pagado","impago"),""))</f>
        <v>Pagado</v>
      </c>
      <c r="AC152" s="666" t="str">
        <f>IF(OR($A152="F&amp;F",$G152=""),"",IF(AC$8&gt;$G152,IF(OR(status1B5!AD152=1,status1B5!AD152=2,'BOULEVARD 5'!AF150&gt;0),"Pagado","impago"),""))</f>
        <v>Pagado</v>
      </c>
      <c r="AD152" s="666" t="str">
        <f>IF(OR($A152="F&amp;F",$G152=""),"",IF(AD$8&gt;$G152,IF(OR(status1B5!AE152=1,status1B5!AE152=2,'BOULEVARD 5'!AG150&gt;0),"Pagado","impago"),""))</f>
        <v>Pagado</v>
      </c>
      <c r="AE152" s="666" t="str">
        <f>IF(OR($A152="F&amp;F",$G152=""),"",IF(AE$8&gt;$G152,IF(OR(status1B5!AF152=1,status1B5!AF152=2,'BOULEVARD 5'!AH150&gt;0),"Pagado","impago"),""))</f>
        <v>Pagado</v>
      </c>
      <c r="AF152" s="666" t="str">
        <f>IF(OR($A152="F&amp;F",$G152=""),"",IF(AF$8&gt;$G152,IF(OR(status1B5!AG152=1,status1B5!AG152=2,'BOULEVARD 5'!AI150&gt;0),"Pagado","impago"),""))</f>
        <v>Pagado</v>
      </c>
      <c r="AG152" s="666" t="str">
        <f>IF(OR($A152="F&amp;F",$G152=""),"",IF(AG$8&gt;$G152,IF(OR(status1B5!AH152=1,status1B5!AH152=2,'BOULEVARD 5'!AJ150&gt;0),"Pagado","impago"),""))</f>
        <v>Pagado</v>
      </c>
      <c r="AH152" s="666" t="str">
        <f>IF(OR($A152="F&amp;F",$G152=""),"",IF(AH$8&gt;$G152,IF(OR(status1B5!AI152=1,status1B5!AI152=2,'BOULEVARD 5'!AK150&gt;0),"Pagado","impago"),""))</f>
        <v>Pagado</v>
      </c>
      <c r="AI152" s="666" t="str">
        <f>IF(OR($A152="F&amp;F",$G152=""),"",IF(AI$8&gt;$G152,IF(OR(status1B5!AJ152=1,status1B5!AJ152=2,'BOULEVARD 5'!AL150&gt;0),"Pagado","impago"),""))</f>
        <v>Pagado</v>
      </c>
      <c r="AJ152" s="666" t="str">
        <f>IF(OR($A152="F&amp;F",$G152=""),"",IF(AJ$8&gt;$G152,IF(OR(status1B5!AK152=1,status1B5!AK152=2,'BOULEVARD 5'!AM150&gt;0),"Pagado","impago"),""))</f>
        <v>Pagado</v>
      </c>
      <c r="AK152" s="666" t="str">
        <f>IF(OR($A152="F&amp;F",$G152=""),"",IF(AK$8&gt;$G152,IF(OR(status1B5!AL152=1,status1B5!AL152=2,'BOULEVARD 5'!AN150&gt;0),"Pagado","impago"),""))</f>
        <v>Pagado</v>
      </c>
      <c r="AL152" s="666" t="str">
        <f>IF(OR($A152="F&amp;F",$G152=""),"",IF(AL$8&gt;$G152,IF(OR(status1B5!AM152=1,status1B5!AM152=2,'BOULEVARD 5'!AO150&gt;0),"Pagado","impago"),""))</f>
        <v>Pagado</v>
      </c>
      <c r="AM152" s="666" t="str">
        <f>IF(OR($A152="F&amp;F",$G152=""),"",IF(AM$8&gt;$G152,IF(OR(status1B5!AN152=1,status1B5!AN152=2,'BOULEVARD 5'!AP150&gt;0),"Pagado","impago"),""))</f>
        <v>Pagado</v>
      </c>
      <c r="AN152" s="666" t="str">
        <f>IF(OR($A152="F&amp;F",$G152=""),"",IF(AN$8&gt;$G152,IF(OR(status1B5!AO152=1,status1B5!AO152=2,'BOULEVARD 5'!AQ150&gt;0),"Pagado","impago"),""))</f>
        <v>Pagado</v>
      </c>
      <c r="AO152" s="666" t="str">
        <f>IF(OR($A152="F&amp;F",$G152=""),"",IF(AO$8&gt;$G152,IF(OR(status1B5!AP152=1,status1B5!AP152=2,'BOULEVARD 5'!AS150&gt;0),"Pagado","impago"),""))</f>
        <v>Pagado</v>
      </c>
      <c r="AP152" s="429" t="str">
        <f t="shared" si="7"/>
        <v>Vendido</v>
      </c>
    </row>
    <row r="153" spans="1:42" s="429" customFormat="1" ht="13.9" customHeight="1" x14ac:dyDescent="0.25">
      <c r="A153" s="472"/>
      <c r="B153" s="436">
        <f>'BOULEVARD 5'!B151</f>
        <v>818</v>
      </c>
      <c r="C153" s="436" t="s">
        <v>355</v>
      </c>
      <c r="D153" s="436"/>
      <c r="E153" s="436" t="str">
        <f>IF('BOULEVARD 5'!E151="","",'BOULEVARD 5'!E151)</f>
        <v>Brenda Búcaro</v>
      </c>
      <c r="F153" s="429" t="str">
        <f>IF('BOULEVARD 5'!F151="","",'BOULEVARD 5'!F151)</f>
        <v>Astrid Pamela Chew Chávez De Letona</v>
      </c>
      <c r="G153" s="473">
        <f>IF('BOULEVARD 5'!G151="","",'BOULEVARD 5'!G151)</f>
        <v>45125</v>
      </c>
      <c r="H153" s="666" t="str">
        <f>IF(OR($A153="F&amp;F",$G153=""),"",IF(H$8&gt;$G153,IF(OR(status1B5!I153=1,status1B5!I153=2,'BOULEVARD 5'!K151&gt;0),"Pagado","impago"),""))</f>
        <v/>
      </c>
      <c r="I153" s="666" t="str">
        <f>IF(OR($A153="F&amp;F",$G153=""),"",IF(I$8&gt;$G153,IF(OR(status1B5!J153=1,status1B5!J153=2,'BOULEVARD 5'!L151&gt;0),"Pagado","impago"),""))</f>
        <v/>
      </c>
      <c r="J153" s="666" t="str">
        <f>IF(OR($A153="F&amp;F",$G153=""),"",IF(J$8&gt;$G153,IF(OR(status1B5!K153=1,status1B5!K153=2,'BOULEVARD 5'!M151&gt;0),"Pagado","impago"),""))</f>
        <v/>
      </c>
      <c r="K153" s="666" t="str">
        <f>IF(OR($A153="F&amp;F",$G153=""),"",IF(K$8&gt;$G153,IF(OR(status1B5!L153=1,status1B5!L153=2,'BOULEVARD 5'!N151&gt;0),"Pagado","impago"),""))</f>
        <v/>
      </c>
      <c r="L153" s="666" t="str">
        <f>IF(OR($A153="F&amp;F",$G153=""),"",IF(L$8&gt;$G153,IF(OR(status1B5!M153=1,status1B5!M153=2,'BOULEVARD 5'!O151&gt;0),"Pagado","impago"),""))</f>
        <v>Pagado</v>
      </c>
      <c r="M153" s="666" t="str">
        <f>IF(OR($A153="F&amp;F",$G153=""),"",IF(M$8&gt;$G153,IF(OR(status1B5!N153=1,status1B5!N153=2,'BOULEVARD 5'!P151&gt;0),"Pagado","impago"),""))</f>
        <v>Pagado</v>
      </c>
      <c r="N153" s="666" t="str">
        <f>IF(OR($A153="F&amp;F",$G153=""),"",IF(N$8&gt;$G153,IF(OR(status1B5!O153=1,status1B5!O153=2,'BOULEVARD 5'!Q151&gt;0),"Pagado","impago"),""))</f>
        <v>Pagado</v>
      </c>
      <c r="O153" s="666" t="str">
        <f>IF(OR($A153="F&amp;F",$G153=""),"",IF(O$8&gt;$G153,IF(OR(status1B5!P153=1,status1B5!P153=2,'BOULEVARD 5'!R151&gt;0),"Pagado","impago"),""))</f>
        <v>Pagado</v>
      </c>
      <c r="P153" s="666" t="str">
        <f>IF(OR($A153="F&amp;F",$G153=""),"",IF(P$8&gt;$G153,IF(OR(status1B5!Q153=1,status1B5!Q153=2,'BOULEVARD 5'!S151&gt;0),"Pagado","impago"),""))</f>
        <v>Pagado</v>
      </c>
      <c r="Q153" s="666" t="str">
        <f>IF(OR($A153="F&amp;F",$G153=""),"",IF(Q$8&gt;$G153,IF(OR(status1B5!R153=1,status1B5!R153=2,'BOULEVARD 5'!T151&gt;0),"Pagado","impago"),""))</f>
        <v>Pagado</v>
      </c>
      <c r="R153" s="666" t="str">
        <f>IF(OR($A153="F&amp;F",$G153=""),"",IF(R$8&gt;$G153,IF(OR(status1B5!S153=1,status1B5!S153=2,'BOULEVARD 5'!U151&gt;0),"Pagado","impago"),""))</f>
        <v>Pagado</v>
      </c>
      <c r="S153" s="666" t="str">
        <f>IF(OR($A153="F&amp;F",$G153=""),"",IF(S$8&gt;$G153,IF(OR(status1B5!T153=1,status1B5!T153=2,'BOULEVARD 5'!V151&gt;0),"Pagado","impago"),""))</f>
        <v>Pagado</v>
      </c>
      <c r="T153" s="666" t="str">
        <f>IF(OR($A153="F&amp;F",$G153=""),"",IF(T$8&gt;$G153,IF(OR(status1B5!U153=1,status1B5!U153=2,'BOULEVARD 5'!W151&gt;0),"Pagado","impago"),""))</f>
        <v>Pagado</v>
      </c>
      <c r="U153" s="666" t="str">
        <f>IF(OR($A153="F&amp;F",$G153=""),"",IF(U$8&gt;$G153,IF(OR(status1B5!V153=1,status1B5!V153=2,'BOULEVARD 5'!X151&gt;0),"Pagado","impago"),""))</f>
        <v>Pagado</v>
      </c>
      <c r="V153" s="666" t="str">
        <f>IF(OR($A153="F&amp;F",$G153=""),"",IF(V$8&gt;$G153,IF(OR(status1B5!W153=1,status1B5!W153=2,'BOULEVARD 5'!Y151&gt;0),"Pagado","impago"),""))</f>
        <v>Pagado</v>
      </c>
      <c r="W153" s="666" t="str">
        <f>IF(OR($A153="F&amp;F",$G153=""),"",IF(W$8&gt;$G153,IF(OR(status1B5!X153=1,status1B5!X153=2,'BOULEVARD 5'!Z151&gt;0),"Pagado","impago"),""))</f>
        <v>Pagado</v>
      </c>
      <c r="X153" s="666" t="str">
        <f>IF(OR($A153="F&amp;F",$G153=""),"",IF(X$8&gt;$G153,IF(OR(status1B5!Y153=1,status1B5!Y153=2,'BOULEVARD 5'!AA151&gt;0),"Pagado","impago"),""))</f>
        <v>Pagado</v>
      </c>
      <c r="Y153" s="666" t="str">
        <f>IF(OR($A153="F&amp;F",$G153=""),"",IF(Y$8&gt;$G153,IF(OR(status1B5!Z153=1,status1B5!Z153=2,'BOULEVARD 5'!AB151&gt;0),"Pagado","impago"),""))</f>
        <v>Pagado</v>
      </c>
      <c r="Z153" s="666" t="str">
        <f>IF(OR($A153="F&amp;F",$G153=""),"",IF(Z$8&gt;$G153,IF(OR(status1B5!AA153=1,status1B5!AA153=2,'BOULEVARD 5'!AC151&gt;0),"Pagado","impago"),""))</f>
        <v>Pagado</v>
      </c>
      <c r="AA153" s="666" t="str">
        <f>IF(OR($A153="F&amp;F",$G153=""),"",IF(AA$8&gt;$G153,IF(OR(status1B5!AB153=1,status1B5!AB153=2,'BOULEVARD 5'!AD151&gt;0),"Pagado","impago"),""))</f>
        <v>Pagado</v>
      </c>
      <c r="AB153" s="666" t="str">
        <f>IF(OR($A153="F&amp;F",$G153=""),"",IF(AB$8&gt;$G153,IF(OR(status1B5!AC153=1,status1B5!AC153=2,'BOULEVARD 5'!AE151&gt;0),"Pagado","impago"),""))</f>
        <v>Pagado</v>
      </c>
      <c r="AC153" s="666" t="str">
        <f>IF(OR($A153="F&amp;F",$G153=""),"",IF(AC$8&gt;$G153,IF(OR(status1B5!AD153=1,status1B5!AD153=2,'BOULEVARD 5'!AF151&gt;0),"Pagado","impago"),""))</f>
        <v>Pagado</v>
      </c>
      <c r="AD153" s="666" t="str">
        <f>IF(OR($A153="F&amp;F",$G153=""),"",IF(AD$8&gt;$G153,IF(OR(status1B5!AE153=1,status1B5!AE153=2,'BOULEVARD 5'!AG151&gt;0),"Pagado","impago"),""))</f>
        <v>Pagado</v>
      </c>
      <c r="AE153" s="666" t="str">
        <f>IF(OR($A153="F&amp;F",$G153=""),"",IF(AE$8&gt;$G153,IF(OR(status1B5!AF153=1,status1B5!AF153=2,'BOULEVARD 5'!AH151&gt;0),"Pagado","impago"),""))</f>
        <v>Pagado</v>
      </c>
      <c r="AF153" s="666" t="str">
        <f>IF(OR($A153="F&amp;F",$G153=""),"",IF(AF$8&gt;$G153,IF(OR(status1B5!AG153=1,status1B5!AG153=2,'BOULEVARD 5'!AI151&gt;0),"Pagado","impago"),""))</f>
        <v>Pagado</v>
      </c>
      <c r="AG153" s="666" t="str">
        <f>IF(OR($A153="F&amp;F",$G153=""),"",IF(AG$8&gt;$G153,IF(OR(status1B5!AH153=1,status1B5!AH153=2,'BOULEVARD 5'!AJ151&gt;0),"Pagado","impago"),""))</f>
        <v>Pagado</v>
      </c>
      <c r="AH153" s="666" t="str">
        <f>IF(OR($A153="F&amp;F",$G153=""),"",IF(AH$8&gt;$G153,IF(OR(status1B5!AI153=1,status1B5!AI153=2,'BOULEVARD 5'!AK151&gt;0),"Pagado","impago"),""))</f>
        <v>Pagado</v>
      </c>
      <c r="AI153" s="666" t="str">
        <f>IF(OR($A153="F&amp;F",$G153=""),"",IF(AI$8&gt;$G153,IF(OR(status1B5!AJ153=1,status1B5!AJ153=2,'BOULEVARD 5'!AL151&gt;0),"Pagado","impago"),""))</f>
        <v>Pagado</v>
      </c>
      <c r="AJ153" s="666" t="str">
        <f>IF(OR($A153="F&amp;F",$G153=""),"",IF(AJ$8&gt;$G153,IF(OR(status1B5!AK153=1,status1B5!AK153=2,'BOULEVARD 5'!AM151&gt;0),"Pagado","impago"),""))</f>
        <v>Pagado</v>
      </c>
      <c r="AK153" s="666" t="str">
        <f>IF(OR($A153="F&amp;F",$G153=""),"",IF(AK$8&gt;$G153,IF(OR(status1B5!AL153=1,status1B5!AL153=2,'BOULEVARD 5'!AN151&gt;0),"Pagado","impago"),""))</f>
        <v>Pagado</v>
      </c>
      <c r="AL153" s="666" t="str">
        <f>IF(OR($A153="F&amp;F",$G153=""),"",IF(AL$8&gt;$G153,IF(OR(status1B5!AM153=1,status1B5!AM153=2,'BOULEVARD 5'!AO151&gt;0),"Pagado","impago"),""))</f>
        <v>Pagado</v>
      </c>
      <c r="AM153" s="666" t="str">
        <f>IF(OR($A153="F&amp;F",$G153=""),"",IF(AM$8&gt;$G153,IF(OR(status1B5!AN153=1,status1B5!AN153=2,'BOULEVARD 5'!AP151&gt;0),"Pagado","impago"),""))</f>
        <v>Pagado</v>
      </c>
      <c r="AN153" s="666" t="str">
        <f>IF(OR($A153="F&amp;F",$G153=""),"",IF(AN$8&gt;$G153,IF(OR(status1B5!AO153=1,status1B5!AO153=2,'BOULEVARD 5'!AQ151&gt;0),"Pagado","impago"),""))</f>
        <v>Pagado</v>
      </c>
      <c r="AO153" s="666" t="str">
        <f>IF(OR($A153="F&amp;F",$G153=""),"",IF(AO$8&gt;$G153,IF(OR(status1B5!AP153=1,status1B5!AP153=2,'BOULEVARD 5'!AS151&gt;0),"Pagado","impago"),""))</f>
        <v>Pagado</v>
      </c>
      <c r="AP153" s="429" t="str">
        <f t="shared" si="7"/>
        <v>Vendido</v>
      </c>
    </row>
    <row r="154" spans="1:42" s="429" customFormat="1" ht="13.9" customHeight="1" x14ac:dyDescent="0.25">
      <c r="A154" s="472"/>
      <c r="B154" s="436">
        <f>'BOULEVARD 5'!B152</f>
        <v>819</v>
      </c>
      <c r="C154" s="436" t="s">
        <v>355</v>
      </c>
      <c r="D154" s="436"/>
      <c r="E154" s="436" t="str">
        <f>IF('BOULEVARD 5'!E152="","",'BOULEVARD 5'!E152)</f>
        <v>Brenda Búcaro</v>
      </c>
      <c r="F154" s="429" t="str">
        <f>IF('BOULEVARD 5'!F152="","",'BOULEVARD 5'!F152)</f>
        <v>Edvin Eduardo Sajquim Sajquim</v>
      </c>
      <c r="G154" s="473">
        <f>IF('BOULEVARD 5'!G152="","",'BOULEVARD 5'!G152)</f>
        <v>45075</v>
      </c>
      <c r="H154" s="666" t="str">
        <f>IF(OR($A154="F&amp;F",$G154=""),"",IF(H$8&gt;$G154,IF(OR(status1B5!I154=1,status1B5!I154=2,'BOULEVARD 5'!K152&gt;0),"Pagado","impago"),""))</f>
        <v/>
      </c>
      <c r="I154" s="666" t="str">
        <f>IF(OR($A154="F&amp;F",$G154=""),"",IF(I$8&gt;$G154,IF(OR(status1B5!J154=1,status1B5!J154=2,'BOULEVARD 5'!L152&gt;0),"Pagado","impago"),""))</f>
        <v/>
      </c>
      <c r="J154" s="666" t="str">
        <f>IF(OR($A154="F&amp;F",$G154=""),"",IF(J$8&gt;$G154,IF(OR(status1B5!K154=1,status1B5!K154=2,'BOULEVARD 5'!M152&gt;0),"Pagado","impago"),""))</f>
        <v>Pagado</v>
      </c>
      <c r="K154" s="666" t="str">
        <f>IF(OR($A154="F&amp;F",$G154=""),"",IF(K$8&gt;$G154,IF(OR(status1B5!L154=1,status1B5!L154=2,'BOULEVARD 5'!N152&gt;0),"Pagado","impago"),""))</f>
        <v>Pagado</v>
      </c>
      <c r="L154" s="666" t="str">
        <f>IF(OR($A154="F&amp;F",$G154=""),"",IF(L$8&gt;$G154,IF(OR(status1B5!M154=1,status1B5!M154=2,'BOULEVARD 5'!O152&gt;0),"Pagado","impago"),""))</f>
        <v>Pagado</v>
      </c>
      <c r="M154" s="666" t="str">
        <f>IF(OR($A154="F&amp;F",$G154=""),"",IF(M$8&gt;$G154,IF(OR(status1B5!N154=1,status1B5!N154=2,'BOULEVARD 5'!P152&gt;0),"Pagado","impago"),""))</f>
        <v>Pagado</v>
      </c>
      <c r="N154" s="666" t="str">
        <f>IF(OR($A154="F&amp;F",$G154=""),"",IF(N$8&gt;$G154,IF(OR(status1B5!O154=1,status1B5!O154=2,'BOULEVARD 5'!Q152&gt;0),"Pagado","impago"),""))</f>
        <v>Pagado</v>
      </c>
      <c r="O154" s="666" t="str">
        <f>IF(OR($A154="F&amp;F",$G154=""),"",IF(O$8&gt;$G154,IF(OR(status1B5!P154=1,status1B5!P154=2,'BOULEVARD 5'!R152&gt;0),"Pagado","impago"),""))</f>
        <v>Pagado</v>
      </c>
      <c r="P154" s="666" t="str">
        <f>IF(OR($A154="F&amp;F",$G154=""),"",IF(P$8&gt;$G154,IF(OR(status1B5!Q154=1,status1B5!Q154=2,'BOULEVARD 5'!S152&gt;0),"Pagado","impago"),""))</f>
        <v>Pagado</v>
      </c>
      <c r="Q154" s="666" t="str">
        <f>IF(OR($A154="F&amp;F",$G154=""),"",IF(Q$8&gt;$G154,IF(OR(status1B5!R154=1,status1B5!R154=2,'BOULEVARD 5'!T152&gt;0),"Pagado","impago"),""))</f>
        <v>Pagado</v>
      </c>
      <c r="R154" s="666" t="str">
        <f>IF(OR($A154="F&amp;F",$G154=""),"",IF(R$8&gt;$G154,IF(OR(status1B5!S154=1,status1B5!S154=2,'BOULEVARD 5'!U152&gt;0),"Pagado","impago"),""))</f>
        <v>Pagado</v>
      </c>
      <c r="S154" s="666" t="str">
        <f>IF(OR($A154="F&amp;F",$G154=""),"",IF(S$8&gt;$G154,IF(OR(status1B5!T154=1,status1B5!T154=2,'BOULEVARD 5'!V152&gt;0),"Pagado","impago"),""))</f>
        <v>Pagado</v>
      </c>
      <c r="T154" s="666" t="str">
        <f>IF(OR($A154="F&amp;F",$G154=""),"",IF(T$8&gt;$G154,IF(OR(status1B5!U154=1,status1B5!U154=2,'BOULEVARD 5'!W152&gt;0),"Pagado","impago"),""))</f>
        <v>Pagado</v>
      </c>
      <c r="U154" s="666" t="str">
        <f>IF(OR($A154="F&amp;F",$G154=""),"",IF(U$8&gt;$G154,IF(OR(status1B5!V154=1,status1B5!V154=2,'BOULEVARD 5'!X152&gt;0),"Pagado","impago"),""))</f>
        <v>Pagado</v>
      </c>
      <c r="V154" s="666" t="str">
        <f>IF(OR($A154="F&amp;F",$G154=""),"",IF(V$8&gt;$G154,IF(OR(status1B5!W154=1,status1B5!W154=2,'BOULEVARD 5'!Y152&gt;0),"Pagado","impago"),""))</f>
        <v>Pagado</v>
      </c>
      <c r="W154" s="666" t="str">
        <f>IF(OR($A154="F&amp;F",$G154=""),"",IF(W$8&gt;$G154,IF(OR(status1B5!X154=1,status1B5!X154=2,'BOULEVARD 5'!Z152&gt;0),"Pagado","impago"),""))</f>
        <v>Pagado</v>
      </c>
      <c r="X154" s="666" t="str">
        <f>IF(OR($A154="F&amp;F",$G154=""),"",IF(X$8&gt;$G154,IF(OR(status1B5!Y154=1,status1B5!Y154=2,'BOULEVARD 5'!AA152&gt;0),"Pagado","impago"),""))</f>
        <v>Pagado</v>
      </c>
      <c r="Y154" s="666" t="str">
        <f>IF(OR($A154="F&amp;F",$G154=""),"",IF(Y$8&gt;$G154,IF(OR(status1B5!Z154=1,status1B5!Z154=2,'BOULEVARD 5'!AB152&gt;0),"Pagado","impago"),""))</f>
        <v>Pagado</v>
      </c>
      <c r="Z154" s="666" t="str">
        <f>IF(OR($A154="F&amp;F",$G154=""),"",IF(Z$8&gt;$G154,IF(OR(status1B5!AA154=1,status1B5!AA154=2,'BOULEVARD 5'!AC152&gt;0),"Pagado","impago"),""))</f>
        <v>Pagado</v>
      </c>
      <c r="AA154" s="666" t="str">
        <f>IF(OR($A154="F&amp;F",$G154=""),"",IF(AA$8&gt;$G154,IF(OR(status1B5!AB154=1,status1B5!AB154=2,'BOULEVARD 5'!AD152&gt;0),"Pagado","impago"),""))</f>
        <v>Pagado</v>
      </c>
      <c r="AB154" s="666" t="str">
        <f>IF(OR($A154="F&amp;F",$G154=""),"",IF(AB$8&gt;$G154,IF(OR(status1B5!AC154=1,status1B5!AC154=2,'BOULEVARD 5'!AE152&gt;0),"Pagado","impago"),""))</f>
        <v>Pagado</v>
      </c>
      <c r="AC154" s="666" t="str">
        <f>IF(OR($A154="F&amp;F",$G154=""),"",IF(AC$8&gt;$G154,IF(OR(status1B5!AD154=1,status1B5!AD154=2,'BOULEVARD 5'!AF152&gt;0),"Pagado","impago"),""))</f>
        <v>Pagado</v>
      </c>
      <c r="AD154" s="666" t="str">
        <f>IF(OR($A154="F&amp;F",$G154=""),"",IF(AD$8&gt;$G154,IF(OR(status1B5!AE154=1,status1B5!AE154=2,'BOULEVARD 5'!AG152&gt;0),"Pagado","impago"),""))</f>
        <v>Pagado</v>
      </c>
      <c r="AE154" s="666" t="str">
        <f>IF(OR($A154="F&amp;F",$G154=""),"",IF(AE$8&gt;$G154,IF(OR(status1B5!AF154=1,status1B5!AF154=2,'BOULEVARD 5'!AH152&gt;0),"Pagado","impago"),""))</f>
        <v>Pagado</v>
      </c>
      <c r="AF154" s="666" t="str">
        <f>IF(OR($A154="F&amp;F",$G154=""),"",IF(AF$8&gt;$G154,IF(OR(status1B5!AG154=1,status1B5!AG154=2,'BOULEVARD 5'!AI152&gt;0),"Pagado","impago"),""))</f>
        <v>Pagado</v>
      </c>
      <c r="AG154" s="666" t="str">
        <f>IF(OR($A154="F&amp;F",$G154=""),"",IF(AG$8&gt;$G154,IF(OR(status1B5!AH154=1,status1B5!AH154=2,'BOULEVARD 5'!AJ152&gt;0),"Pagado","impago"),""))</f>
        <v>Pagado</v>
      </c>
      <c r="AH154" s="666" t="str">
        <f>IF(OR($A154="F&amp;F",$G154=""),"",IF(AH$8&gt;$G154,IF(OR(status1B5!AI154=1,status1B5!AI154=2,'BOULEVARD 5'!AK152&gt;0),"Pagado","impago"),""))</f>
        <v>Pagado</v>
      </c>
      <c r="AI154" s="666" t="str">
        <f>IF(OR($A154="F&amp;F",$G154=""),"",IF(AI$8&gt;$G154,IF(OR(status1B5!AJ154=1,status1B5!AJ154=2,'BOULEVARD 5'!AL152&gt;0),"Pagado","impago"),""))</f>
        <v>Pagado</v>
      </c>
      <c r="AJ154" s="666" t="str">
        <f>IF(OR($A154="F&amp;F",$G154=""),"",IF(AJ$8&gt;$G154,IF(OR(status1B5!AK154=1,status1B5!AK154=2,'BOULEVARD 5'!AM152&gt;0),"Pagado","impago"),""))</f>
        <v>Pagado</v>
      </c>
      <c r="AK154" s="666" t="str">
        <f>IF(OR($A154="F&amp;F",$G154=""),"",IF(AK$8&gt;$G154,IF(OR(status1B5!AL154=1,status1B5!AL154=2,'BOULEVARD 5'!AN152&gt;0),"Pagado","impago"),""))</f>
        <v>Pagado</v>
      </c>
      <c r="AL154" s="666" t="str">
        <f>IF(OR($A154="F&amp;F",$G154=""),"",IF(AL$8&gt;$G154,IF(OR(status1B5!AM154=1,status1B5!AM154=2,'BOULEVARD 5'!AO152&gt;0),"Pagado","impago"),""))</f>
        <v>Pagado</v>
      </c>
      <c r="AM154" s="666" t="str">
        <f>IF(OR($A154="F&amp;F",$G154=""),"",IF(AM$8&gt;$G154,IF(OR(status1B5!AN154=1,status1B5!AN154=2,'BOULEVARD 5'!AP152&gt;0),"Pagado","impago"),""))</f>
        <v>Pagado</v>
      </c>
      <c r="AN154" s="666" t="str">
        <f>IF(OR($A154="F&amp;F",$G154=""),"",IF(AN$8&gt;$G154,IF(OR(status1B5!AO154=1,status1B5!AO154=2,'BOULEVARD 5'!AQ152&gt;0),"Pagado","impago"),""))</f>
        <v>Pagado</v>
      </c>
      <c r="AO154" s="666" t="str">
        <f>IF(OR($A154="F&amp;F",$G154=""),"",IF(AO$8&gt;$G154,IF(OR(status1B5!AP154=1,status1B5!AP154=2,'BOULEVARD 5'!AS152&gt;0),"Pagado","impago"),""))</f>
        <v>Pagado</v>
      </c>
      <c r="AP154" s="429" t="str">
        <f t="shared" si="7"/>
        <v>Vendido</v>
      </c>
    </row>
    <row r="155" spans="1:42" s="429" customFormat="1" ht="13.9" customHeight="1" x14ac:dyDescent="0.25">
      <c r="A155" s="472"/>
      <c r="B155" s="436">
        <f>'BOULEVARD 5'!B153</f>
        <v>820</v>
      </c>
      <c r="C155" s="436" t="s">
        <v>355</v>
      </c>
      <c r="D155" s="436"/>
      <c r="E155" s="436" t="str">
        <f>IF('BOULEVARD 5'!E153="","",'BOULEVARD 5'!E153)</f>
        <v>Antonio Rada</v>
      </c>
      <c r="F155" s="429" t="str">
        <f>IF('BOULEVARD 5'!F153="","",'BOULEVARD 5'!F153)</f>
        <v>Maria Eugenia Ortiz Uck</v>
      </c>
      <c r="G155" s="473">
        <f>IF('BOULEVARD 5'!G153="","",'BOULEVARD 5'!G153)</f>
        <v>45304</v>
      </c>
      <c r="H155" s="666" t="str">
        <f>IF(OR($A155="F&amp;F",$G155=""),"",IF(H$8&gt;$G155,IF(OR(status1B5!I155=1,status1B5!I155=2,'BOULEVARD 5'!K153&gt;0),"Pagado","impago"),""))</f>
        <v/>
      </c>
      <c r="I155" s="666" t="str">
        <f>IF(OR($A155="F&amp;F",$G155=""),"",IF(I$8&gt;$G155,IF(OR(status1B5!J155=1,status1B5!J155=2,'BOULEVARD 5'!L153&gt;0),"Pagado","impago"),""))</f>
        <v/>
      </c>
      <c r="J155" s="666" t="str">
        <f>IF(OR($A155="F&amp;F",$G155=""),"",IF(J$8&gt;$G155,IF(OR(status1B5!K155=1,status1B5!K155=2,'BOULEVARD 5'!M153&gt;0),"Pagado","impago"),""))</f>
        <v/>
      </c>
      <c r="K155" s="666" t="str">
        <f>IF(OR($A155="F&amp;F",$G155=""),"",IF(K$8&gt;$G155,IF(OR(status1B5!L155=1,status1B5!L155=2,'BOULEVARD 5'!N153&gt;0),"Pagado","impago"),""))</f>
        <v/>
      </c>
      <c r="L155" s="666" t="str">
        <f>IF(OR($A155="F&amp;F",$G155=""),"",IF(L$8&gt;$G155,IF(OR(status1B5!M155=1,status1B5!M155=2,'BOULEVARD 5'!O153&gt;0),"Pagado","impago"),""))</f>
        <v/>
      </c>
      <c r="M155" s="666" t="str">
        <f>IF(OR($A155="F&amp;F",$G155=""),"",IF(M$8&gt;$G155,IF(OR(status1B5!N155=1,status1B5!N155=2,'BOULEVARD 5'!P153&gt;0),"Pagado","impago"),""))</f>
        <v/>
      </c>
      <c r="N155" s="666" t="str">
        <f>IF(OR($A155="F&amp;F",$G155=""),"",IF(N$8&gt;$G155,IF(OR(status1B5!O155=1,status1B5!O155=2,'BOULEVARD 5'!Q153&gt;0),"Pagado","impago"),""))</f>
        <v/>
      </c>
      <c r="O155" s="666" t="str">
        <f>IF(OR($A155="F&amp;F",$G155=""),"",IF(O$8&gt;$G155,IF(OR(status1B5!P155=1,status1B5!P155=2,'BOULEVARD 5'!R153&gt;0),"Pagado","impago"),""))</f>
        <v/>
      </c>
      <c r="P155" s="666" t="str">
        <f>IF(OR($A155="F&amp;F",$G155=""),"",IF(P$8&gt;$G155,IF(OR(status1B5!Q155=1,status1B5!Q155=2,'BOULEVARD 5'!S153&gt;0),"Pagado","impago"),""))</f>
        <v/>
      </c>
      <c r="Q155" s="666" t="str">
        <f>IF(OR($A155="F&amp;F",$G155=""),"",IF(Q$8&gt;$G155,IF(OR(status1B5!R155=1,status1B5!R155=2,'BOULEVARD 5'!T153&gt;0),"Pagado","impago"),""))</f>
        <v/>
      </c>
      <c r="R155" s="666" t="str">
        <f>IF(OR($A155="F&amp;F",$G155=""),"",IF(R$8&gt;$G155,IF(OR(status1B5!S155=1,status1B5!S155=2,'BOULEVARD 5'!U153&gt;0),"Pagado","impago"),""))</f>
        <v>Pagado</v>
      </c>
      <c r="S155" s="666" t="str">
        <f>IF(OR($A155="F&amp;F",$G155=""),"",IF(S$8&gt;$G155,IF(OR(status1B5!T155=1,status1B5!T155=2,'BOULEVARD 5'!V153&gt;0),"Pagado","impago"),""))</f>
        <v>Pagado</v>
      </c>
      <c r="T155" s="666" t="str">
        <f>IF(OR($A155="F&amp;F",$G155=""),"",IF(T$8&gt;$G155,IF(OR(status1B5!U155=1,status1B5!U155=2,'BOULEVARD 5'!W153&gt;0),"Pagado","impago"),""))</f>
        <v>Pagado</v>
      </c>
      <c r="U155" s="666" t="str">
        <f>IF(OR($A155="F&amp;F",$G155=""),"",IF(U$8&gt;$G155,IF(OR(status1B5!V155=1,status1B5!V155=2,'BOULEVARD 5'!X153&gt;0),"Pagado","impago"),""))</f>
        <v>Pagado</v>
      </c>
      <c r="V155" s="666" t="str">
        <f>IF(OR($A155="F&amp;F",$G155=""),"",IF(V$8&gt;$G155,IF(OR(status1B5!W155=1,status1B5!W155=2,'BOULEVARD 5'!Y153&gt;0),"Pagado","impago"),""))</f>
        <v>Pagado</v>
      </c>
      <c r="W155" s="666" t="str">
        <f>IF(OR($A155="F&amp;F",$G155=""),"",IF(W$8&gt;$G155,IF(OR(status1B5!X155=1,status1B5!X155=2,'BOULEVARD 5'!Z153&gt;0),"Pagado","impago"),""))</f>
        <v>Pagado</v>
      </c>
      <c r="X155" s="666" t="str">
        <f>IF(OR($A155="F&amp;F",$G155=""),"",IF(X$8&gt;$G155,IF(OR(status1B5!Y155=1,status1B5!Y155=2,'BOULEVARD 5'!AA153&gt;0),"Pagado","impago"),""))</f>
        <v>Pagado</v>
      </c>
      <c r="Y155" s="666" t="str">
        <f>IF(OR($A155="F&amp;F",$G155=""),"",IF(Y$8&gt;$G155,IF(OR(status1B5!Z155=1,status1B5!Z155=2,'BOULEVARD 5'!AB153&gt;0),"Pagado","impago"),""))</f>
        <v>Pagado</v>
      </c>
      <c r="Z155" s="666" t="str">
        <f>IF(OR($A155="F&amp;F",$G155=""),"",IF(Z$8&gt;$G155,IF(OR(status1B5!AA155=1,status1B5!AA155=2,'BOULEVARD 5'!AC153&gt;0),"Pagado","impago"),""))</f>
        <v>Pagado</v>
      </c>
      <c r="AA155" s="666" t="str">
        <f>IF(OR($A155="F&amp;F",$G155=""),"",IF(AA$8&gt;$G155,IF(OR(status1B5!AB155=1,status1B5!AB155=2,'BOULEVARD 5'!AD153&gt;0),"Pagado","impago"),""))</f>
        <v>Pagado</v>
      </c>
      <c r="AB155" s="666" t="str">
        <f>IF(OR($A155="F&amp;F",$G155=""),"",IF(AB$8&gt;$G155,IF(OR(status1B5!AC155=1,status1B5!AC155=2,'BOULEVARD 5'!AE153&gt;0),"Pagado","impago"),""))</f>
        <v>Pagado</v>
      </c>
      <c r="AC155" s="666" t="str">
        <f>IF(OR($A155="F&amp;F",$G155=""),"",IF(AC$8&gt;$G155,IF(OR(status1B5!AD155=1,status1B5!AD155=2,'BOULEVARD 5'!AF153&gt;0),"Pagado","impago"),""))</f>
        <v>Pagado</v>
      </c>
      <c r="AD155" s="666" t="str">
        <f>IF(OR($A155="F&amp;F",$G155=""),"",IF(AD$8&gt;$G155,IF(OR(status1B5!AE155=1,status1B5!AE155=2,'BOULEVARD 5'!AG153&gt;0),"Pagado","impago"),""))</f>
        <v>Pagado</v>
      </c>
      <c r="AE155" s="666" t="str">
        <f>IF(OR($A155="F&amp;F",$G155=""),"",IF(AE$8&gt;$G155,IF(OR(status1B5!AF155=1,status1B5!AF155=2,'BOULEVARD 5'!AH153&gt;0),"Pagado","impago"),""))</f>
        <v>Pagado</v>
      </c>
      <c r="AF155" s="666" t="str">
        <f>IF(OR($A155="F&amp;F",$G155=""),"",IF(AF$8&gt;$G155,IF(OR(status1B5!AG155=1,status1B5!AG155=2,'BOULEVARD 5'!AI153&gt;0),"Pagado","impago"),""))</f>
        <v>Pagado</v>
      </c>
      <c r="AG155" s="666" t="str">
        <f>IF(OR($A155="F&amp;F",$G155=""),"",IF(AG$8&gt;$G155,IF(OR(status1B5!AH155=1,status1B5!AH155=2,'BOULEVARD 5'!AJ153&gt;0),"Pagado","impago"),""))</f>
        <v>Pagado</v>
      </c>
      <c r="AH155" s="666" t="str">
        <f>IF(OR($A155="F&amp;F",$G155=""),"",IF(AH$8&gt;$G155,IF(OR(status1B5!AI155=1,status1B5!AI155=2,'BOULEVARD 5'!AK153&gt;0),"Pagado","impago"),""))</f>
        <v>Pagado</v>
      </c>
      <c r="AI155" s="666" t="str">
        <f>IF(OR($A155="F&amp;F",$G155=""),"",IF(AI$8&gt;$G155,IF(OR(status1B5!AJ155=1,status1B5!AJ155=2,'BOULEVARD 5'!AL153&gt;0),"Pagado","impago"),""))</f>
        <v>Pagado</v>
      </c>
      <c r="AJ155" s="666" t="str">
        <f>IF(OR($A155="F&amp;F",$G155=""),"",IF(AJ$8&gt;$G155,IF(OR(status1B5!AK155=1,status1B5!AK155=2,'BOULEVARD 5'!AM153&gt;0),"Pagado","impago"),""))</f>
        <v>Pagado</v>
      </c>
      <c r="AK155" s="666" t="str">
        <f>IF(OR($A155="F&amp;F",$G155=""),"",IF(AK$8&gt;$G155,IF(OR(status1B5!AL155=1,status1B5!AL155=2,'BOULEVARD 5'!AN153&gt;0),"Pagado","impago"),""))</f>
        <v>Pagado</v>
      </c>
      <c r="AL155" s="666" t="str">
        <f>IF(OR($A155="F&amp;F",$G155=""),"",IF(AL$8&gt;$G155,IF(OR(status1B5!AM155=1,status1B5!AM155=2,'BOULEVARD 5'!AO153&gt;0),"Pagado","impago"),""))</f>
        <v>Pagado</v>
      </c>
      <c r="AM155" s="666" t="str">
        <f>IF(OR($A155="F&amp;F",$G155=""),"",IF(AM$8&gt;$G155,IF(OR(status1B5!AN155=1,status1B5!AN155=2,'BOULEVARD 5'!AP153&gt;0),"Pagado","impago"),""))</f>
        <v>Pagado</v>
      </c>
      <c r="AN155" s="666" t="str">
        <f>IF(OR($A155="F&amp;F",$G155=""),"",IF(AN$8&gt;$G155,IF(OR(status1B5!AO155=1,status1B5!AO155=2,'BOULEVARD 5'!AQ153&gt;0),"Pagado","impago"),""))</f>
        <v>Pagado</v>
      </c>
      <c r="AO155" s="666" t="str">
        <f>IF(OR($A155="F&amp;F",$G155=""),"",IF(AO$8&gt;$G155,IF(OR(status1B5!AP155=1,status1B5!AP155=2,'BOULEVARD 5'!AS153&gt;0),"Pagado","impago"),""))</f>
        <v>Pagado</v>
      </c>
      <c r="AP155" s="429" t="str">
        <f t="shared" si="7"/>
        <v>Vendido</v>
      </c>
    </row>
    <row r="156" spans="1:42" s="429" customFormat="1" ht="13.9" customHeight="1" x14ac:dyDescent="0.25">
      <c r="A156" s="472" t="s">
        <v>58</v>
      </c>
      <c r="B156" s="475">
        <f>'BOULEVARD 5'!B154</f>
        <v>901</v>
      </c>
      <c r="C156" s="475" t="s">
        <v>355</v>
      </c>
      <c r="D156" s="475"/>
      <c r="E156" s="475" t="str">
        <f>IF('BOULEVARD 5'!E154="","",'BOULEVARD 5'!E154)</f>
        <v>Antonio Rada</v>
      </c>
      <c r="F156" s="476" t="str">
        <f>IF('BOULEVARD 5'!F154="","",'BOULEVARD 5'!F154)</f>
        <v>Monica Arimany Monzon</v>
      </c>
      <c r="G156" s="473">
        <f>IF('BOULEVARD 5'!G154="","",'BOULEVARD 5'!G154)</f>
        <v>45012</v>
      </c>
      <c r="H156" s="666" t="str">
        <f>IF(OR($A156="F&amp;F",$G156=""),"",IF(H$8&gt;$G156,IF(OR(status1B5!I156=1,status1B5!I156=2,'BOULEVARD 5'!K154&gt;0),"Pagado","impago"),""))</f>
        <v/>
      </c>
      <c r="I156" s="666" t="str">
        <f>IF(OR($A156="F&amp;F",$G156=""),"",IF(I$8&gt;$G156,IF(OR(status1B5!J156=1,status1B5!J156=2,'BOULEVARD 5'!L154&gt;0),"Pagado","impago"),""))</f>
        <v/>
      </c>
      <c r="J156" s="666" t="str">
        <f>IF(OR($A156="F&amp;F",$G156=""),"",IF(J$8&gt;$G156,IF(OR(status1B5!K156=1,status1B5!K156=2,'BOULEVARD 5'!M154&gt;0),"Pagado","impago"),""))</f>
        <v/>
      </c>
      <c r="K156" s="666" t="str">
        <f>IF(OR($A156="F&amp;F",$G156=""),"",IF(K$8&gt;$G156,IF(OR(status1B5!L156=1,status1B5!L156=2,'BOULEVARD 5'!N154&gt;0),"Pagado","impago"),""))</f>
        <v/>
      </c>
      <c r="L156" s="666" t="str">
        <f>IF(OR($A156="F&amp;F",$G156=""),"",IF(L$8&gt;$G156,IF(OR(status1B5!M156=1,status1B5!M156=2,'BOULEVARD 5'!O154&gt;0),"Pagado","impago"),""))</f>
        <v/>
      </c>
      <c r="M156" s="666" t="str">
        <f>IF(OR($A156="F&amp;F",$G156=""),"",IF(M$8&gt;$G156,IF(OR(status1B5!N156=1,status1B5!N156=2,'BOULEVARD 5'!P154&gt;0),"Pagado","impago"),""))</f>
        <v/>
      </c>
      <c r="N156" s="666" t="str">
        <f>IF(OR($A156="F&amp;F",$G156=""),"",IF(N$8&gt;$G156,IF(OR(status1B5!O156=1,status1B5!O156=2,'BOULEVARD 5'!Q154&gt;0),"Pagado","impago"),""))</f>
        <v/>
      </c>
      <c r="O156" s="666" t="str">
        <f>IF(OR($A156="F&amp;F",$G156=""),"",IF(O$8&gt;$G156,IF(OR(status1B5!P156=1,status1B5!P156=2,'BOULEVARD 5'!R154&gt;0),"Pagado","impago"),""))</f>
        <v/>
      </c>
      <c r="P156" s="666" t="str">
        <f>IF(OR($A156="F&amp;F",$G156=""),"",IF(P$8&gt;$G156,IF(OR(status1B5!Q156=1,status1B5!Q156=2,'BOULEVARD 5'!S154&gt;0),"Pagado","impago"),""))</f>
        <v/>
      </c>
      <c r="Q156" s="666" t="str">
        <f>IF(OR($A156="F&amp;F",$G156=""),"",IF(Q$8&gt;$G156,IF(OR(status1B5!R156=1,status1B5!R156=2,'BOULEVARD 5'!T154&gt;0),"Pagado","impago"),""))</f>
        <v/>
      </c>
      <c r="R156" s="666" t="str">
        <f>IF(OR($A156="F&amp;F",$G156=""),"",IF(R$8&gt;$G156,IF(OR(status1B5!S156=1,status1B5!S156=2,'BOULEVARD 5'!U154&gt;0),"Pagado","impago"),""))</f>
        <v/>
      </c>
      <c r="S156" s="666" t="str">
        <f>IF(OR($A156="F&amp;F",$G156=""),"",IF(S$8&gt;$G156,IF(OR(status1B5!T156=1,status1B5!T156=2,'BOULEVARD 5'!V154&gt;0),"Pagado","impago"),""))</f>
        <v/>
      </c>
      <c r="T156" s="666" t="str">
        <f>IF(OR($A156="F&amp;F",$G156=""),"",IF(T$8&gt;$G156,IF(OR(status1B5!U156=1,status1B5!U156=2,'BOULEVARD 5'!W154&gt;0),"Pagado","impago"),""))</f>
        <v/>
      </c>
      <c r="U156" s="666" t="str">
        <f>IF(OR($A156="F&amp;F",$G156=""),"",IF(U$8&gt;$G156,IF(OR(status1B5!V156=1,status1B5!V156=2,'BOULEVARD 5'!X154&gt;0),"Pagado","impago"),""))</f>
        <v/>
      </c>
      <c r="V156" s="666" t="str">
        <f>IF(OR($A156="F&amp;F",$G156=""),"",IF(V$8&gt;$G156,IF(OR(status1B5!W156=1,status1B5!W156=2,'BOULEVARD 5'!Y154&gt;0),"Pagado","impago"),""))</f>
        <v/>
      </c>
      <c r="W156" s="666" t="str">
        <f>IF(OR($A156="F&amp;F",$G156=""),"",IF(W$8&gt;$G156,IF(OR(status1B5!X156=1,status1B5!X156=2,'BOULEVARD 5'!Z154&gt;0),"Pagado","impago"),""))</f>
        <v/>
      </c>
      <c r="X156" s="666" t="str">
        <f>IF(OR($A156="F&amp;F",$G156=""),"",IF(X$8&gt;$G156,IF(OR(status1B5!Y156=1,status1B5!Y156=2,'BOULEVARD 5'!AA154&gt;0),"Pagado","impago"),""))</f>
        <v/>
      </c>
      <c r="Y156" s="666" t="str">
        <f>IF(OR($A156="F&amp;F",$G156=""),"",IF(Y$8&gt;$G156,IF(OR(status1B5!Z156=1,status1B5!Z156=2,'BOULEVARD 5'!AB154&gt;0),"Pagado","impago"),""))</f>
        <v/>
      </c>
      <c r="Z156" s="666" t="str">
        <f>IF(OR($A156="F&amp;F",$G156=""),"",IF(Z$8&gt;$G156,IF(OR(status1B5!AA156=1,status1B5!AA156=2,'BOULEVARD 5'!AC154&gt;0),"Pagado","impago"),""))</f>
        <v/>
      </c>
      <c r="AA156" s="666" t="str">
        <f>IF(OR($A156="F&amp;F",$G156=""),"",IF(AA$8&gt;$G156,IF(OR(status1B5!AB156=1,status1B5!AB156=2,'BOULEVARD 5'!AD154&gt;0),"Pagado","impago"),""))</f>
        <v/>
      </c>
      <c r="AB156" s="666" t="str">
        <f>IF(OR($A156="F&amp;F",$G156=""),"",IF(AB$8&gt;$G156,IF(OR(status1B5!AC156=1,status1B5!AC156=2,'BOULEVARD 5'!AE154&gt;0),"Pagado","impago"),""))</f>
        <v/>
      </c>
      <c r="AC156" s="666" t="str">
        <f>IF(OR($A156="F&amp;F",$G156=""),"",IF(AC$8&gt;$G156,IF(OR(status1B5!AD156=1,status1B5!AD156=2,'BOULEVARD 5'!AF154&gt;0),"Pagado","impago"),""))</f>
        <v/>
      </c>
      <c r="AD156" s="666" t="str">
        <f>IF(OR($A156="F&amp;F",$G156=""),"",IF(AD$8&gt;$G156,IF(OR(status1B5!AE156=1,status1B5!AE156=2,'BOULEVARD 5'!AG154&gt;0),"Pagado","impago"),""))</f>
        <v/>
      </c>
      <c r="AE156" s="666" t="str">
        <f>IF(OR($A156="F&amp;F",$G156=""),"",IF(AE$8&gt;$G156,IF(OR(status1B5!AF156=1,status1B5!AF156=2,'BOULEVARD 5'!AH154&gt;0),"Pagado","impago"),""))</f>
        <v/>
      </c>
      <c r="AF156" s="666" t="str">
        <f>IF(OR($A156="F&amp;F",$G156=""),"",IF(AF$8&gt;$G156,IF(OR(status1B5!AG156=1,status1B5!AG156=2,'BOULEVARD 5'!AI154&gt;0),"Pagado","impago"),""))</f>
        <v/>
      </c>
      <c r="AG156" s="666" t="str">
        <f>IF(OR($A156="F&amp;F",$G156=""),"",IF(AG$8&gt;$G156,IF(OR(status1B5!AH156=1,status1B5!AH156=2,'BOULEVARD 5'!AJ154&gt;0),"Pagado","impago"),""))</f>
        <v/>
      </c>
      <c r="AH156" s="666" t="str">
        <f>IF(OR($A156="F&amp;F",$G156=""),"",IF(AH$8&gt;$G156,IF(OR(status1B5!AI156=1,status1B5!AI156=2,'BOULEVARD 5'!AK154&gt;0),"Pagado","impago"),""))</f>
        <v/>
      </c>
      <c r="AI156" s="666" t="str">
        <f>IF(OR($A156="F&amp;F",$G156=""),"",IF(AI$8&gt;$G156,IF(OR(status1B5!AJ156=1,status1B5!AJ156=2,'BOULEVARD 5'!AL154&gt;0),"Pagado","impago"),""))</f>
        <v/>
      </c>
      <c r="AJ156" s="666" t="str">
        <f>IF(OR($A156="F&amp;F",$G156=""),"",IF(AJ$8&gt;$G156,IF(OR(status1B5!AK156=1,status1B5!AK156=2,'BOULEVARD 5'!AM154&gt;0),"Pagado","impago"),""))</f>
        <v/>
      </c>
      <c r="AK156" s="666" t="str">
        <f>IF(OR($A156="F&amp;F",$G156=""),"",IF(AK$8&gt;$G156,IF(OR(status1B5!AL156=1,status1B5!AL156=2,'BOULEVARD 5'!AN154&gt;0),"Pagado","impago"),""))</f>
        <v/>
      </c>
      <c r="AL156" s="666" t="str">
        <f>IF(OR($A156="F&amp;F",$G156=""),"",IF(AL$8&gt;$G156,IF(OR(status1B5!AM156=1,status1B5!AM156=2,'BOULEVARD 5'!AO154&gt;0),"Pagado","impago"),""))</f>
        <v/>
      </c>
      <c r="AM156" s="666" t="str">
        <f>IF(OR($A156="F&amp;F",$G156=""),"",IF(AM$8&gt;$G156,IF(OR(status1B5!AN156=1,status1B5!AN156=2,'BOULEVARD 5'!AP154&gt;0),"Pagado","impago"),""))</f>
        <v/>
      </c>
      <c r="AN156" s="666" t="str">
        <f>IF(OR($A156="F&amp;F",$G156=""),"",IF(AN$8&gt;$G156,IF(OR(status1B5!AO156=1,status1B5!AO156=2,'BOULEVARD 5'!AQ154&gt;0),"Pagado","impago"),""))</f>
        <v/>
      </c>
      <c r="AO156" s="666" t="str">
        <f>IF(OR($A156="F&amp;F",$G156=""),"",IF(AO$8&gt;$G156,IF(OR(status1B5!AP156=1,status1B5!AP156=2,'BOULEVARD 5'!AS154&gt;0),"Pagado","impago"),""))</f>
        <v/>
      </c>
      <c r="AP156" s="429" t="str">
        <f t="shared" si="7"/>
        <v>Vendido</v>
      </c>
    </row>
    <row r="157" spans="1:42" s="429" customFormat="1" ht="13.9" customHeight="1" x14ac:dyDescent="0.25">
      <c r="A157" s="472"/>
      <c r="B157" s="436">
        <f>'BOULEVARD 5'!B155</f>
        <v>902</v>
      </c>
      <c r="C157" s="436" t="s">
        <v>355</v>
      </c>
      <c r="D157" s="641"/>
      <c r="E157" s="436" t="str">
        <f>IF('BOULEVARD 5'!E155="","",'BOULEVARD 5'!E155)</f>
        <v>Antonio Rada</v>
      </c>
      <c r="F157" s="429" t="str">
        <f>IF('BOULEVARD 5'!F155="","",'BOULEVARD 5'!F155)</f>
        <v>Waldir Edenilson Contreras Pedroza</v>
      </c>
      <c r="G157" s="473">
        <f>IF('BOULEVARD 5'!G155="","",'BOULEVARD 5'!G155)</f>
        <v>45306</v>
      </c>
      <c r="H157" s="666" t="str">
        <f>IF(OR($A157="F&amp;F",$G157=""),"",IF(H$8&gt;$G157,IF(OR(status1B5!I157=1,status1B5!I157=2,'BOULEVARD 5'!K155&gt;0),"Pagado","impago"),""))</f>
        <v/>
      </c>
      <c r="I157" s="666" t="str">
        <f>IF(OR($A157="F&amp;F",$G157=""),"",IF(I$8&gt;$G157,IF(OR(status1B5!J157=1,status1B5!J157=2,'BOULEVARD 5'!L155&gt;0),"Pagado","impago"),""))</f>
        <v/>
      </c>
      <c r="J157" s="666" t="str">
        <f>IF(OR($A157="F&amp;F",$G157=""),"",IF(J$8&gt;$G157,IF(OR(status1B5!K157=1,status1B5!K157=2,'BOULEVARD 5'!M155&gt;0),"Pagado","impago"),""))</f>
        <v/>
      </c>
      <c r="K157" s="666" t="str">
        <f>IF(OR($A157="F&amp;F",$G157=""),"",IF(K$8&gt;$G157,IF(OR(status1B5!L157=1,status1B5!L157=2,'BOULEVARD 5'!N155&gt;0),"Pagado","impago"),""))</f>
        <v/>
      </c>
      <c r="L157" s="666" t="str">
        <f>IF(OR($A157="F&amp;F",$G157=""),"",IF(L$8&gt;$G157,IF(OR(status1B5!M157=1,status1B5!M157=2,'BOULEVARD 5'!O155&gt;0),"Pagado","impago"),""))</f>
        <v/>
      </c>
      <c r="M157" s="666" t="str">
        <f>IF(OR($A157="F&amp;F",$G157=""),"",IF(M$8&gt;$G157,IF(OR(status1B5!N157=1,status1B5!N157=2,'BOULEVARD 5'!P155&gt;0),"Pagado","impago"),""))</f>
        <v/>
      </c>
      <c r="N157" s="666" t="str">
        <f>IF(OR($A157="F&amp;F",$G157=""),"",IF(N$8&gt;$G157,IF(OR(status1B5!O157=1,status1B5!O157=2,'BOULEVARD 5'!Q155&gt;0),"Pagado","impago"),""))</f>
        <v/>
      </c>
      <c r="O157" s="666" t="str">
        <f>IF(OR($A157="F&amp;F",$G157=""),"",IF(O$8&gt;$G157,IF(OR(status1B5!P157=1,status1B5!P157=2,'BOULEVARD 5'!R155&gt;0),"Pagado","impago"),""))</f>
        <v/>
      </c>
      <c r="P157" s="666" t="str">
        <f>IF(OR($A157="F&amp;F",$G157=""),"",IF(P$8&gt;$G157,IF(OR(status1B5!Q157=1,status1B5!Q157=2,'BOULEVARD 5'!S155&gt;0),"Pagado","impago"),""))</f>
        <v/>
      </c>
      <c r="Q157" s="666" t="str">
        <f>IF(OR($A157="F&amp;F",$G157=""),"",IF(Q$8&gt;$G157,IF(OR(status1B5!R157=1,status1B5!R157=2,'BOULEVARD 5'!T155&gt;0),"Pagado","impago"),""))</f>
        <v/>
      </c>
      <c r="R157" s="666" t="str">
        <f>IF(OR($A157="F&amp;F",$G157=""),"",IF(R$8&gt;$G157,IF(OR(status1B5!S157=1,status1B5!S157=2,'BOULEVARD 5'!U155&gt;0),"Pagado","impago"),""))</f>
        <v>Pagado</v>
      </c>
      <c r="S157" s="666" t="str">
        <f>IF(OR($A157="F&amp;F",$G157=""),"",IF(S$8&gt;$G157,IF(OR(status1B5!T157=1,status1B5!T157=2,'BOULEVARD 5'!V155&gt;0),"Pagado","impago"),""))</f>
        <v>Pagado</v>
      </c>
      <c r="T157" s="666" t="str">
        <f>IF(OR($A157="F&amp;F",$G157=""),"",IF(T$8&gt;$G157,IF(OR(status1B5!U157=1,status1B5!U157=2,'BOULEVARD 5'!W155&gt;0),"Pagado","impago"),""))</f>
        <v>Pagado</v>
      </c>
      <c r="U157" s="666" t="str">
        <f>IF(OR($A157="F&amp;F",$G157=""),"",IF(U$8&gt;$G157,IF(OR(status1B5!V157=1,status1B5!V157=2,'BOULEVARD 5'!X155&gt;0),"Pagado","impago"),""))</f>
        <v>Pagado</v>
      </c>
      <c r="V157" s="666" t="str">
        <f>IF(OR($A157="F&amp;F",$G157=""),"",IF(V$8&gt;$G157,IF(OR(status1B5!W157=1,status1B5!W157=2,'BOULEVARD 5'!Y155&gt;0),"Pagado","impago"),""))</f>
        <v>Pagado</v>
      </c>
      <c r="W157" s="666" t="str">
        <f>IF(OR($A157="F&amp;F",$G157=""),"",IF(W$8&gt;$G157,IF(OR(status1B5!X157=1,status1B5!X157=2,'BOULEVARD 5'!Z155&gt;0),"Pagado","impago"),""))</f>
        <v>Pagado</v>
      </c>
      <c r="X157" s="666" t="str">
        <f>IF(OR($A157="F&amp;F",$G157=""),"",IF(X$8&gt;$G157,IF(OR(status1B5!Y157=1,status1B5!Y157=2,'BOULEVARD 5'!AA155&gt;0),"Pagado","impago"),""))</f>
        <v>Pagado</v>
      </c>
      <c r="Y157" s="666" t="str">
        <f>IF(OR($A157="F&amp;F",$G157=""),"",IF(Y$8&gt;$G157,IF(OR(status1B5!Z157=1,status1B5!Z157=2,'BOULEVARD 5'!AB155&gt;0),"Pagado","impago"),""))</f>
        <v>Pagado</v>
      </c>
      <c r="Z157" s="666" t="str">
        <f>IF(OR($A157="F&amp;F",$G157=""),"",IF(Z$8&gt;$G157,IF(OR(status1B5!AA157=1,status1B5!AA157=2,'BOULEVARD 5'!AC155&gt;0),"Pagado","impago"),""))</f>
        <v>Pagado</v>
      </c>
      <c r="AA157" s="666" t="str">
        <f>IF(OR($A157="F&amp;F",$G157=""),"",IF(AA$8&gt;$G157,IF(OR(status1B5!AB157=1,status1B5!AB157=2,'BOULEVARD 5'!AD155&gt;0),"Pagado","impago"),""))</f>
        <v>Pagado</v>
      </c>
      <c r="AB157" s="666" t="str">
        <f>IF(OR($A157="F&amp;F",$G157=""),"",IF(AB$8&gt;$G157,IF(OR(status1B5!AC157=1,status1B5!AC157=2,'BOULEVARD 5'!AE155&gt;0),"Pagado","impago"),""))</f>
        <v>Pagado</v>
      </c>
      <c r="AC157" s="666" t="str">
        <f>IF(OR($A157="F&amp;F",$G157=""),"",IF(AC$8&gt;$G157,IF(OR(status1B5!AD157=1,status1B5!AD157=2,'BOULEVARD 5'!AF155&gt;0),"Pagado","impago"),""))</f>
        <v>Pagado</v>
      </c>
      <c r="AD157" s="666" t="str">
        <f>IF(OR($A157="F&amp;F",$G157=""),"",IF(AD$8&gt;$G157,IF(OR(status1B5!AE157=1,status1B5!AE157=2,'BOULEVARD 5'!AG155&gt;0),"Pagado","impago"),""))</f>
        <v>Pagado</v>
      </c>
      <c r="AE157" s="666" t="str">
        <f>IF(OR($A157="F&amp;F",$G157=""),"",IF(AE$8&gt;$G157,IF(OR(status1B5!AF157=1,status1B5!AF157=2,'BOULEVARD 5'!AH155&gt;0),"Pagado","impago"),""))</f>
        <v>Pagado</v>
      </c>
      <c r="AF157" s="666" t="str">
        <f>IF(OR($A157="F&amp;F",$G157=""),"",IF(AF$8&gt;$G157,IF(OR(status1B5!AG157=1,status1B5!AG157=2,'BOULEVARD 5'!AI155&gt;0),"Pagado","impago"),""))</f>
        <v>Pagado</v>
      </c>
      <c r="AG157" s="666" t="str">
        <f>IF(OR($A157="F&amp;F",$G157=""),"",IF(AG$8&gt;$G157,IF(OR(status1B5!AH157=1,status1B5!AH157=2,'BOULEVARD 5'!AJ155&gt;0),"Pagado","impago"),""))</f>
        <v>Pagado</v>
      </c>
      <c r="AH157" s="666" t="str">
        <f>IF(OR($A157="F&amp;F",$G157=""),"",IF(AH$8&gt;$G157,IF(OR(status1B5!AI157=1,status1B5!AI157=2,'BOULEVARD 5'!AK155&gt;0),"Pagado","impago"),""))</f>
        <v>Pagado</v>
      </c>
      <c r="AI157" s="666" t="str">
        <f>IF(OR($A157="F&amp;F",$G157=""),"",IF(AI$8&gt;$G157,IF(OR(status1B5!AJ157=1,status1B5!AJ157=2,'BOULEVARD 5'!AL155&gt;0),"Pagado","impago"),""))</f>
        <v>Pagado</v>
      </c>
      <c r="AJ157" s="666" t="str">
        <f>IF(OR($A157="F&amp;F",$G157=""),"",IF(AJ$8&gt;$G157,IF(OR(status1B5!AK157=1,status1B5!AK157=2,'BOULEVARD 5'!AM155&gt;0),"Pagado","impago"),""))</f>
        <v>Pagado</v>
      </c>
      <c r="AK157" s="666" t="str">
        <f>IF(OR($A157="F&amp;F",$G157=""),"",IF(AK$8&gt;$G157,IF(OR(status1B5!AL157=1,status1B5!AL157=2,'BOULEVARD 5'!AN155&gt;0),"Pagado","impago"),""))</f>
        <v>Pagado</v>
      </c>
      <c r="AL157" s="666" t="str">
        <f>IF(OR($A157="F&amp;F",$G157=""),"",IF(AL$8&gt;$G157,IF(OR(status1B5!AM157=1,status1B5!AM157=2,'BOULEVARD 5'!AO155&gt;0),"Pagado","impago"),""))</f>
        <v>Pagado</v>
      </c>
      <c r="AM157" s="666" t="str">
        <f>IF(OR($A157="F&amp;F",$G157=""),"",IF(AM$8&gt;$G157,IF(OR(status1B5!AN157=1,status1B5!AN157=2,'BOULEVARD 5'!AP155&gt;0),"Pagado","impago"),""))</f>
        <v>Pagado</v>
      </c>
      <c r="AN157" s="666" t="str">
        <f>IF(OR($A157="F&amp;F",$G157=""),"",IF(AN$8&gt;$G157,IF(OR(status1B5!AO157=1,status1B5!AO157=2,'BOULEVARD 5'!AQ155&gt;0),"Pagado","impago"),""))</f>
        <v>Pagado</v>
      </c>
      <c r="AO157" s="666" t="str">
        <f>IF(OR($A157="F&amp;F",$G157=""),"",IF(AO$8&gt;$G157,IF(OR(status1B5!AP157=1,status1B5!AP157=2,'BOULEVARD 5'!AS155&gt;0),"Pagado","impago"),""))</f>
        <v>Pagado</v>
      </c>
      <c r="AP157" s="429" t="str">
        <f t="shared" si="7"/>
        <v>Vendido</v>
      </c>
    </row>
    <row r="158" spans="1:42" s="429" customFormat="1" ht="13.9" customHeight="1" x14ac:dyDescent="0.25">
      <c r="A158" s="472"/>
      <c r="B158" s="436">
        <f>'BOULEVARD 5'!B156</f>
        <v>903</v>
      </c>
      <c r="C158" s="436" t="s">
        <v>355</v>
      </c>
      <c r="D158" s="436"/>
      <c r="E158" s="436" t="str">
        <f>IF('BOULEVARD 5'!E156="","",'BOULEVARD 5'!E156)</f>
        <v>Jose Franco</v>
      </c>
      <c r="F158" s="429" t="str">
        <f>IF('BOULEVARD 5'!F156="","",'BOULEVARD 5'!F156)</f>
        <v>Vivian Arely Carranza León De Acevedo</v>
      </c>
      <c r="G158" s="473">
        <f>IF('BOULEVARD 5'!G156="","",'BOULEVARD 5'!G156)</f>
        <v>45065</v>
      </c>
      <c r="H158" s="666" t="str">
        <f>IF(OR($A158="F&amp;F",$G158=""),"",IF(H$8&gt;$G158,IF(OR(status1B5!I158=1,status1B5!I158=2,'BOULEVARD 5'!K156&gt;0),"Pagado","impago"),""))</f>
        <v/>
      </c>
      <c r="I158" s="666" t="str">
        <f>IF(OR($A158="F&amp;F",$G158=""),"",IF(I$8&gt;$G158,IF(OR(status1B5!J158=1,status1B5!J158=2,'BOULEVARD 5'!L156&gt;0),"Pagado","impago"),""))</f>
        <v/>
      </c>
      <c r="J158" s="666" t="str">
        <f>IF(OR($A158="F&amp;F",$G158=""),"",IF(J$8&gt;$G158,IF(OR(status1B5!K158=1,status1B5!K158=2,'BOULEVARD 5'!M156&gt;0),"Pagado","impago"),""))</f>
        <v>Pagado</v>
      </c>
      <c r="K158" s="666" t="str">
        <f>IF(OR($A158="F&amp;F",$G158=""),"",IF(K$8&gt;$G158,IF(OR(status1B5!L158=1,status1B5!L158=2,'BOULEVARD 5'!N156&gt;0),"Pagado","impago"),""))</f>
        <v>Pagado</v>
      </c>
      <c r="L158" s="666" t="str">
        <f>IF(OR($A158="F&amp;F",$G158=""),"",IF(L$8&gt;$G158,IF(OR(status1B5!M158=1,status1B5!M158=2,'BOULEVARD 5'!O156&gt;0),"Pagado","impago"),""))</f>
        <v>Pagado</v>
      </c>
      <c r="M158" s="666" t="str">
        <f>IF(OR($A158="F&amp;F",$G158=""),"",IF(M$8&gt;$G158,IF(OR(status1B5!N158=1,status1B5!N158=2,'BOULEVARD 5'!P156&gt;0),"Pagado","impago"),""))</f>
        <v>Pagado</v>
      </c>
      <c r="N158" s="666" t="str">
        <f>IF(OR($A158="F&amp;F",$G158=""),"",IF(N$8&gt;$G158,IF(OR(status1B5!O158=1,status1B5!O158=2,'BOULEVARD 5'!Q156&gt;0),"Pagado","impago"),""))</f>
        <v>Pagado</v>
      </c>
      <c r="O158" s="666" t="str">
        <f>IF(OR($A158="F&amp;F",$G158=""),"",IF(O$8&gt;$G158,IF(OR(status1B5!P158=1,status1B5!P158=2,'BOULEVARD 5'!R156&gt;0),"Pagado","impago"),""))</f>
        <v>Pagado</v>
      </c>
      <c r="P158" s="666" t="str">
        <f>IF(OR($A158="F&amp;F",$G158=""),"",IF(P$8&gt;$G158,IF(OR(status1B5!Q158=1,status1B5!Q158=2,'BOULEVARD 5'!S156&gt;0),"Pagado","impago"),""))</f>
        <v>Pagado</v>
      </c>
      <c r="Q158" s="666" t="str">
        <f>IF(OR($A158="F&amp;F",$G158=""),"",IF(Q$8&gt;$G158,IF(OR(status1B5!R158=1,status1B5!R158=2,'BOULEVARD 5'!T156&gt;0),"Pagado","impago"),""))</f>
        <v>Pagado</v>
      </c>
      <c r="R158" s="666" t="str">
        <f>IF(OR($A158="F&amp;F",$G158=""),"",IF(R$8&gt;$G158,IF(OR(status1B5!S158=1,status1B5!S158=2,'BOULEVARD 5'!U156&gt;0),"Pagado","impago"),""))</f>
        <v>Pagado</v>
      </c>
      <c r="S158" s="666" t="str">
        <f>IF(OR($A158="F&amp;F",$G158=""),"",IF(S$8&gt;$G158,IF(OR(status1B5!T158=1,status1B5!T158=2,'BOULEVARD 5'!V156&gt;0),"Pagado","impago"),""))</f>
        <v>Pagado</v>
      </c>
      <c r="T158" s="666" t="str">
        <f>IF(OR($A158="F&amp;F",$G158=""),"",IF(T$8&gt;$G158,IF(OR(status1B5!U158=1,status1B5!U158=2,'BOULEVARD 5'!W156&gt;0),"Pagado","impago"),""))</f>
        <v>Pagado</v>
      </c>
      <c r="U158" s="666" t="str">
        <f>IF(OR($A158="F&amp;F",$G158=""),"",IF(U$8&gt;$G158,IF(OR(status1B5!V158=1,status1B5!V158=2,'BOULEVARD 5'!X156&gt;0),"Pagado","impago"),""))</f>
        <v>Pagado</v>
      </c>
      <c r="V158" s="666" t="str">
        <f>IF(OR($A158="F&amp;F",$G158=""),"",IF(V$8&gt;$G158,IF(OR(status1B5!W158=1,status1B5!W158=2,'BOULEVARD 5'!Y156&gt;0),"Pagado","impago"),""))</f>
        <v>Pagado</v>
      </c>
      <c r="W158" s="666" t="str">
        <f>IF(OR($A158="F&amp;F",$G158=""),"",IF(W$8&gt;$G158,IF(OR(status1B5!X158=1,status1B5!X158=2,'BOULEVARD 5'!Z156&gt;0),"Pagado","impago"),""))</f>
        <v>Pagado</v>
      </c>
      <c r="X158" s="666" t="str">
        <f>IF(OR($A158="F&amp;F",$G158=""),"",IF(X$8&gt;$G158,IF(OR(status1B5!Y158=1,status1B5!Y158=2,'BOULEVARD 5'!AA156&gt;0),"Pagado","impago"),""))</f>
        <v>Pagado</v>
      </c>
      <c r="Y158" s="666" t="str">
        <f>IF(OR($A158="F&amp;F",$G158=""),"",IF(Y$8&gt;$G158,IF(OR(status1B5!Z158=1,status1B5!Z158=2,'BOULEVARD 5'!AB156&gt;0),"Pagado","impago"),""))</f>
        <v>Pagado</v>
      </c>
      <c r="Z158" s="666" t="str">
        <f>IF(OR($A158="F&amp;F",$G158=""),"",IF(Z$8&gt;$G158,IF(OR(status1B5!AA158=1,status1B5!AA158=2,'BOULEVARD 5'!AC156&gt;0),"Pagado","impago"),""))</f>
        <v>Pagado</v>
      </c>
      <c r="AA158" s="666" t="str">
        <f>IF(OR($A158="F&amp;F",$G158=""),"",IF(AA$8&gt;$G158,IF(OR(status1B5!AB158=1,status1B5!AB158=2,'BOULEVARD 5'!AD156&gt;0),"Pagado","impago"),""))</f>
        <v>Pagado</v>
      </c>
      <c r="AB158" s="666" t="str">
        <f>IF(OR($A158="F&amp;F",$G158=""),"",IF(AB$8&gt;$G158,IF(OR(status1B5!AC158=1,status1B5!AC158=2,'BOULEVARD 5'!AE156&gt;0),"Pagado","impago"),""))</f>
        <v>Pagado</v>
      </c>
      <c r="AC158" s="666" t="str">
        <f>IF(OR($A158="F&amp;F",$G158=""),"",IF(AC$8&gt;$G158,IF(OR(status1B5!AD158=1,status1B5!AD158=2,'BOULEVARD 5'!AF156&gt;0),"Pagado","impago"),""))</f>
        <v>Pagado</v>
      </c>
      <c r="AD158" s="666" t="str">
        <f>IF(OR($A158="F&amp;F",$G158=""),"",IF(AD$8&gt;$G158,IF(OR(status1B5!AE158=1,status1B5!AE158=2,'BOULEVARD 5'!AG156&gt;0),"Pagado","impago"),""))</f>
        <v>Pagado</v>
      </c>
      <c r="AE158" s="666" t="str">
        <f>IF(OR($A158="F&amp;F",$G158=""),"",IF(AE$8&gt;$G158,IF(OR(status1B5!AF158=1,status1B5!AF158=2,'BOULEVARD 5'!AH156&gt;0),"Pagado","impago"),""))</f>
        <v>Pagado</v>
      </c>
      <c r="AF158" s="666" t="str">
        <f>IF(OR($A158="F&amp;F",$G158=""),"",IF(AF$8&gt;$G158,IF(OR(status1B5!AG158=1,status1B5!AG158=2,'BOULEVARD 5'!AI156&gt;0),"Pagado","impago"),""))</f>
        <v>Pagado</v>
      </c>
      <c r="AG158" s="666" t="str">
        <f>IF(OR($A158="F&amp;F",$G158=""),"",IF(AG$8&gt;$G158,IF(OR(status1B5!AH158=1,status1B5!AH158=2,'BOULEVARD 5'!AJ156&gt;0),"Pagado","impago"),""))</f>
        <v>Pagado</v>
      </c>
      <c r="AH158" s="666" t="str">
        <f>IF(OR($A158="F&amp;F",$G158=""),"",IF(AH$8&gt;$G158,IF(OR(status1B5!AI158=1,status1B5!AI158=2,'BOULEVARD 5'!AK156&gt;0),"Pagado","impago"),""))</f>
        <v>Pagado</v>
      </c>
      <c r="AI158" s="666" t="str">
        <f>IF(OR($A158="F&amp;F",$G158=""),"",IF(AI$8&gt;$G158,IF(OR(status1B5!AJ158=1,status1B5!AJ158=2,'BOULEVARD 5'!AL156&gt;0),"Pagado","impago"),""))</f>
        <v>Pagado</v>
      </c>
      <c r="AJ158" s="666" t="str">
        <f>IF(OR($A158="F&amp;F",$G158=""),"",IF(AJ$8&gt;$G158,IF(OR(status1B5!AK158=1,status1B5!AK158=2,'BOULEVARD 5'!AM156&gt;0),"Pagado","impago"),""))</f>
        <v>Pagado</v>
      </c>
      <c r="AK158" s="666" t="str">
        <f>IF(OR($A158="F&amp;F",$G158=""),"",IF(AK$8&gt;$G158,IF(OR(status1B5!AL158=1,status1B5!AL158=2,'BOULEVARD 5'!AN156&gt;0),"Pagado","impago"),""))</f>
        <v>Pagado</v>
      </c>
      <c r="AL158" s="666" t="str">
        <f>IF(OR($A158="F&amp;F",$G158=""),"",IF(AL$8&gt;$G158,IF(OR(status1B5!AM158=1,status1B5!AM158=2,'BOULEVARD 5'!AO156&gt;0),"Pagado","impago"),""))</f>
        <v>Pagado</v>
      </c>
      <c r="AM158" s="666" t="str">
        <f>IF(OR($A158="F&amp;F",$G158=""),"",IF(AM$8&gt;$G158,IF(OR(status1B5!AN158=1,status1B5!AN158=2,'BOULEVARD 5'!AP156&gt;0),"Pagado","impago"),""))</f>
        <v>Pagado</v>
      </c>
      <c r="AN158" s="666" t="str">
        <f>IF(OR($A158="F&amp;F",$G158=""),"",IF(AN$8&gt;$G158,IF(OR(status1B5!AO158=1,status1B5!AO158=2,'BOULEVARD 5'!AQ156&gt;0),"Pagado","impago"),""))</f>
        <v>Pagado</v>
      </c>
      <c r="AO158" s="666" t="str">
        <f>IF(OR($A158="F&amp;F",$G158=""),"",IF(AO$8&gt;$G158,IF(OR(status1B5!AP158=1,status1B5!AP158=2,'BOULEVARD 5'!AS156&gt;0),"Pagado","impago"),""))</f>
        <v>Pagado</v>
      </c>
      <c r="AP158" s="429" t="str">
        <f t="shared" si="7"/>
        <v>Vendido</v>
      </c>
    </row>
    <row r="159" spans="1:42" s="429" customFormat="1" ht="13.9" customHeight="1" x14ac:dyDescent="0.25">
      <c r="A159" s="472"/>
      <c r="B159" s="436">
        <f>'BOULEVARD 5'!B157</f>
        <v>904</v>
      </c>
      <c r="C159" s="436" t="s">
        <v>355</v>
      </c>
      <c r="D159" s="436"/>
      <c r="E159" s="436" t="str">
        <f>IF('BOULEVARD 5'!E157="","",'BOULEVARD 5'!E157)</f>
        <v>Jose Franco</v>
      </c>
      <c r="F159" s="429" t="str">
        <f>IF('BOULEVARD 5'!F157="","",'BOULEVARD 5'!F157)</f>
        <v>Juan José Silva Pacheco</v>
      </c>
      <c r="G159" s="473">
        <f>IF('BOULEVARD 5'!G157="","",'BOULEVARD 5'!G157)</f>
        <v>45062</v>
      </c>
      <c r="H159" s="666" t="str">
        <f>IF(OR($A159="F&amp;F",$G159=""),"",IF(H$8&gt;$G159,IF(OR(status1B5!I159=1,status1B5!I159=2,'BOULEVARD 5'!K157&gt;0),"Pagado","impago"),""))</f>
        <v/>
      </c>
      <c r="I159" s="666" t="str">
        <f>IF(OR($A159="F&amp;F",$G159=""),"",IF(I$8&gt;$G159,IF(OR(status1B5!J159=1,status1B5!J159=2,'BOULEVARD 5'!L157&gt;0),"Pagado","impago"),""))</f>
        <v/>
      </c>
      <c r="J159" s="666" t="str">
        <f>IF(OR($A159="F&amp;F",$G159=""),"",IF(J$8&gt;$G159,IF(OR(status1B5!K159=1,status1B5!K159=2,'BOULEVARD 5'!M157&gt;0),"Pagado","impago"),""))</f>
        <v>Pagado</v>
      </c>
      <c r="K159" s="666" t="str">
        <f>IF(OR($A159="F&amp;F",$G159=""),"",IF(K$8&gt;$G159,IF(OR(status1B5!L159=1,status1B5!L159=2,'BOULEVARD 5'!N157&gt;0),"Pagado","impago"),""))</f>
        <v>Pagado</v>
      </c>
      <c r="L159" s="666" t="str">
        <f>IF(OR($A159="F&amp;F",$G159=""),"",IF(L$8&gt;$G159,IF(OR(status1B5!M159=1,status1B5!M159=2,'BOULEVARD 5'!O157&gt;0),"Pagado","impago"),""))</f>
        <v>Pagado</v>
      </c>
      <c r="M159" s="666" t="str">
        <f>IF(OR($A159="F&amp;F",$G159=""),"",IF(M$8&gt;$G159,IF(OR(status1B5!N159=1,status1B5!N159=2,'BOULEVARD 5'!P157&gt;0),"Pagado","impago"),""))</f>
        <v>Pagado</v>
      </c>
      <c r="N159" s="666" t="str">
        <f>IF(OR($A159="F&amp;F",$G159=""),"",IF(N$8&gt;$G159,IF(OR(status1B5!O159=1,status1B5!O159=2,'BOULEVARD 5'!Q157&gt;0),"Pagado","impago"),""))</f>
        <v>Pagado</v>
      </c>
      <c r="O159" s="666" t="str">
        <f>IF(OR($A159="F&amp;F",$G159=""),"",IF(O$8&gt;$G159,IF(OR(status1B5!P159=1,status1B5!P159=2,'BOULEVARD 5'!R157&gt;0),"Pagado","impago"),""))</f>
        <v>Pagado</v>
      </c>
      <c r="P159" s="666" t="str">
        <f>IF(OR($A159="F&amp;F",$G159=""),"",IF(P$8&gt;$G159,IF(OR(status1B5!Q159=1,status1B5!Q159=2,'BOULEVARD 5'!S157&gt;0),"Pagado","impago"),""))</f>
        <v>Pagado</v>
      </c>
      <c r="Q159" s="666" t="str">
        <f>IF(OR($A159="F&amp;F",$G159=""),"",IF(Q$8&gt;$G159,IF(OR(status1B5!R159=1,status1B5!R159=2,'BOULEVARD 5'!T157&gt;0),"Pagado","impago"),""))</f>
        <v>Pagado</v>
      </c>
      <c r="R159" s="666" t="str">
        <f>IF(OR($A159="F&amp;F",$G159=""),"",IF(R$8&gt;$G159,IF(OR(status1B5!S159=1,status1B5!S159=2,'BOULEVARD 5'!U157&gt;0),"Pagado","impago"),""))</f>
        <v>Pagado</v>
      </c>
      <c r="S159" s="666" t="str">
        <f>IF(OR($A159="F&amp;F",$G159=""),"",IF(S$8&gt;$G159,IF(OR(status1B5!T159=1,status1B5!T159=2,'BOULEVARD 5'!V157&gt;0),"Pagado","impago"),""))</f>
        <v>Pagado</v>
      </c>
      <c r="T159" s="666" t="str">
        <f>IF(OR($A159="F&amp;F",$G159=""),"",IF(T$8&gt;$G159,IF(OR(status1B5!U159=1,status1B5!U159=2,'BOULEVARD 5'!W157&gt;0),"Pagado","impago"),""))</f>
        <v>Pagado</v>
      </c>
      <c r="U159" s="666" t="str">
        <f>IF(OR($A159="F&amp;F",$G159=""),"",IF(U$8&gt;$G159,IF(OR(status1B5!V159=1,status1B5!V159=2,'BOULEVARD 5'!X157&gt;0),"Pagado","impago"),""))</f>
        <v>Pagado</v>
      </c>
      <c r="V159" s="666" t="str">
        <f>IF(OR($A159="F&amp;F",$G159=""),"",IF(V$8&gt;$G159,IF(OR(status1B5!W159=1,status1B5!W159=2,'BOULEVARD 5'!Y157&gt;0),"Pagado","impago"),""))</f>
        <v>Pagado</v>
      </c>
      <c r="W159" s="666" t="str">
        <f>IF(OR($A159="F&amp;F",$G159=""),"",IF(W$8&gt;$G159,IF(OR(status1B5!X159=1,status1B5!X159=2,'BOULEVARD 5'!Z157&gt;0),"Pagado","impago"),""))</f>
        <v>Pagado</v>
      </c>
      <c r="X159" s="666" t="str">
        <f>IF(OR($A159="F&amp;F",$G159=""),"",IF(X$8&gt;$G159,IF(OR(status1B5!Y159=1,status1B5!Y159=2,'BOULEVARD 5'!AA157&gt;0),"Pagado","impago"),""))</f>
        <v>Pagado</v>
      </c>
      <c r="Y159" s="666" t="str">
        <f>IF(OR($A159="F&amp;F",$G159=""),"",IF(Y$8&gt;$G159,IF(OR(status1B5!Z159=1,status1B5!Z159=2,'BOULEVARD 5'!AB157&gt;0),"Pagado","impago"),""))</f>
        <v>Pagado</v>
      </c>
      <c r="Z159" s="666" t="str">
        <f>IF(OR($A159="F&amp;F",$G159=""),"",IF(Z$8&gt;$G159,IF(OR(status1B5!AA159=1,status1B5!AA159=2,'BOULEVARD 5'!AC157&gt;0),"Pagado","impago"),""))</f>
        <v>Pagado</v>
      </c>
      <c r="AA159" s="666" t="str">
        <f>IF(OR($A159="F&amp;F",$G159=""),"",IF(AA$8&gt;$G159,IF(OR(status1B5!AB159=1,status1B5!AB159=2,'BOULEVARD 5'!AD157&gt;0),"Pagado","impago"),""))</f>
        <v>Pagado</v>
      </c>
      <c r="AB159" s="666" t="str">
        <f>IF(OR($A159="F&amp;F",$G159=""),"",IF(AB$8&gt;$G159,IF(OR(status1B5!AC159=1,status1B5!AC159=2,'BOULEVARD 5'!AE157&gt;0),"Pagado","impago"),""))</f>
        <v>Pagado</v>
      </c>
      <c r="AC159" s="666" t="str">
        <f>IF(OR($A159="F&amp;F",$G159=""),"",IF(AC$8&gt;$G159,IF(OR(status1B5!AD159=1,status1B5!AD159=2,'BOULEVARD 5'!AF157&gt;0),"Pagado","impago"),""))</f>
        <v>Pagado</v>
      </c>
      <c r="AD159" s="666" t="str">
        <f>IF(OR($A159="F&amp;F",$G159=""),"",IF(AD$8&gt;$G159,IF(OR(status1B5!AE159=1,status1B5!AE159=2,'BOULEVARD 5'!AG157&gt;0),"Pagado","impago"),""))</f>
        <v>Pagado</v>
      </c>
      <c r="AE159" s="666" t="str">
        <f>IF(OR($A159="F&amp;F",$G159=""),"",IF(AE$8&gt;$G159,IF(OR(status1B5!AF159=1,status1B5!AF159=2,'BOULEVARD 5'!AH157&gt;0),"Pagado","impago"),""))</f>
        <v>Pagado</v>
      </c>
      <c r="AF159" s="666" t="str">
        <f>IF(OR($A159="F&amp;F",$G159=""),"",IF(AF$8&gt;$G159,IF(OR(status1B5!AG159=1,status1B5!AG159=2,'BOULEVARD 5'!AI157&gt;0),"Pagado","impago"),""))</f>
        <v>Pagado</v>
      </c>
      <c r="AG159" s="666" t="str">
        <f>IF(OR($A159="F&amp;F",$G159=""),"",IF(AG$8&gt;$G159,IF(OR(status1B5!AH159=1,status1B5!AH159=2,'BOULEVARD 5'!AJ157&gt;0),"Pagado","impago"),""))</f>
        <v>Pagado</v>
      </c>
      <c r="AH159" s="666" t="str">
        <f>IF(OR($A159="F&amp;F",$G159=""),"",IF(AH$8&gt;$G159,IF(OR(status1B5!AI159=1,status1B5!AI159=2,'BOULEVARD 5'!AK157&gt;0),"Pagado","impago"),""))</f>
        <v>Pagado</v>
      </c>
      <c r="AI159" s="666" t="str">
        <f>IF(OR($A159="F&amp;F",$G159=""),"",IF(AI$8&gt;$G159,IF(OR(status1B5!AJ159=1,status1B5!AJ159=2,'BOULEVARD 5'!AL157&gt;0),"Pagado","impago"),""))</f>
        <v>Pagado</v>
      </c>
      <c r="AJ159" s="666" t="str">
        <f>IF(OR($A159="F&amp;F",$G159=""),"",IF(AJ$8&gt;$G159,IF(OR(status1B5!AK159=1,status1B5!AK159=2,'BOULEVARD 5'!AM157&gt;0),"Pagado","impago"),""))</f>
        <v>Pagado</v>
      </c>
      <c r="AK159" s="666" t="str">
        <f>IF(OR($A159="F&amp;F",$G159=""),"",IF(AK$8&gt;$G159,IF(OR(status1B5!AL159=1,status1B5!AL159=2,'BOULEVARD 5'!AN157&gt;0),"Pagado","impago"),""))</f>
        <v>Pagado</v>
      </c>
      <c r="AL159" s="666" t="str">
        <f>IF(OR($A159="F&amp;F",$G159=""),"",IF(AL$8&gt;$G159,IF(OR(status1B5!AM159=1,status1B5!AM159=2,'BOULEVARD 5'!AO157&gt;0),"Pagado","impago"),""))</f>
        <v>Pagado</v>
      </c>
      <c r="AM159" s="666" t="str">
        <f>IF(OR($A159="F&amp;F",$G159=""),"",IF(AM$8&gt;$G159,IF(OR(status1B5!AN159=1,status1B5!AN159=2,'BOULEVARD 5'!AP157&gt;0),"Pagado","impago"),""))</f>
        <v>Pagado</v>
      </c>
      <c r="AN159" s="666" t="str">
        <f>IF(OR($A159="F&amp;F",$G159=""),"",IF(AN$8&gt;$G159,IF(OR(status1B5!AO159=1,status1B5!AO159=2,'BOULEVARD 5'!AQ157&gt;0),"Pagado","impago"),""))</f>
        <v>Pagado</v>
      </c>
      <c r="AO159" s="666" t="str">
        <f>IF(OR($A159="F&amp;F",$G159=""),"",IF(AO$8&gt;$G159,IF(OR(status1B5!AP159=1,status1B5!AP159=2,'BOULEVARD 5'!AS157&gt;0),"Pagado","impago"),""))</f>
        <v>Pagado</v>
      </c>
      <c r="AP159" s="429" t="str">
        <f t="shared" si="7"/>
        <v>Vendido</v>
      </c>
    </row>
    <row r="160" spans="1:42" s="429" customFormat="1" ht="13.9" customHeight="1" x14ac:dyDescent="0.25">
      <c r="A160" s="472"/>
      <c r="B160" s="436">
        <f>'BOULEVARD 5'!B158</f>
        <v>905</v>
      </c>
      <c r="C160" s="436" t="s">
        <v>355</v>
      </c>
      <c r="D160" s="436"/>
      <c r="E160" s="436" t="str">
        <f>IF('BOULEVARD 5'!E158="","",'BOULEVARD 5'!E158)</f>
        <v>Antonio Rada</v>
      </c>
      <c r="F160" s="429" t="str">
        <f>IF('BOULEVARD 5'!F158="","",'BOULEVARD 5'!F158)</f>
        <v>Roberto Andres Hernandez Benavides</v>
      </c>
      <c r="G160" s="473">
        <f>IF('BOULEVARD 5'!G158="","",'BOULEVARD 5'!G158)</f>
        <v>45473</v>
      </c>
      <c r="H160" s="666" t="str">
        <f>IF(OR($A160="F&amp;F",$G160=""),"",IF(H$8&gt;$G160,IF(OR(status1B5!I160=1,status1B5!I160=2,'BOULEVARD 5'!K158&gt;0),"Pagado","impago"),""))</f>
        <v/>
      </c>
      <c r="I160" s="666" t="str">
        <f>IF(OR($A160="F&amp;F",$G160=""),"",IF(I$8&gt;$G160,IF(OR(status1B5!J160=1,status1B5!J160=2,'BOULEVARD 5'!L158&gt;0),"Pagado","impago"),""))</f>
        <v/>
      </c>
      <c r="J160" s="666" t="str">
        <f>IF(OR($A160="F&amp;F",$G160=""),"",IF(J$8&gt;$G160,IF(OR(status1B5!K160=1,status1B5!K160=2,'BOULEVARD 5'!M158&gt;0),"Pagado","impago"),""))</f>
        <v/>
      </c>
      <c r="K160" s="666" t="str">
        <f>IF(OR($A160="F&amp;F",$G160=""),"",IF(K$8&gt;$G160,IF(OR(status1B5!L160=1,status1B5!L160=2,'BOULEVARD 5'!N158&gt;0),"Pagado","impago"),""))</f>
        <v/>
      </c>
      <c r="L160" s="666" t="str">
        <f>IF(OR($A160="F&amp;F",$G160=""),"",IF(L$8&gt;$G160,IF(OR(status1B5!M160=1,status1B5!M160=2,'BOULEVARD 5'!O158&gt;0),"Pagado","impago"),""))</f>
        <v/>
      </c>
      <c r="M160" s="666" t="str">
        <f>IF(OR($A160="F&amp;F",$G160=""),"",IF(M$8&gt;$G160,IF(OR(status1B5!N160=1,status1B5!N160=2,'BOULEVARD 5'!P158&gt;0),"Pagado","impago"),""))</f>
        <v/>
      </c>
      <c r="N160" s="666" t="str">
        <f>IF(OR($A160="F&amp;F",$G160=""),"",IF(N$8&gt;$G160,IF(OR(status1B5!O160=1,status1B5!O160=2,'BOULEVARD 5'!Q158&gt;0),"Pagado","impago"),""))</f>
        <v/>
      </c>
      <c r="O160" s="666" t="str">
        <f>IF(OR($A160="F&amp;F",$G160=""),"",IF(O$8&gt;$G160,IF(OR(status1B5!P160=1,status1B5!P160=2,'BOULEVARD 5'!R158&gt;0),"Pagado","impago"),""))</f>
        <v/>
      </c>
      <c r="P160" s="666" t="str">
        <f>IF(OR($A160="F&amp;F",$G160=""),"",IF(P$8&gt;$G160,IF(OR(status1B5!Q160=1,status1B5!Q160=2,'BOULEVARD 5'!S158&gt;0),"Pagado","impago"),""))</f>
        <v/>
      </c>
      <c r="Q160" s="666" t="str">
        <f>IF(OR($A160="F&amp;F",$G160=""),"",IF(Q$8&gt;$G160,IF(OR(status1B5!R160=1,status1B5!R160=2,'BOULEVARD 5'!T158&gt;0),"Pagado","impago"),""))</f>
        <v/>
      </c>
      <c r="R160" s="666" t="str">
        <f>IF(OR($A160="F&amp;F",$G160=""),"",IF(R$8&gt;$G160,IF(OR(status1B5!S160=1,status1B5!S160=2,'BOULEVARD 5'!U158&gt;0),"Pagado","impago"),""))</f>
        <v/>
      </c>
      <c r="S160" s="666" t="str">
        <f>IF(OR($A160="F&amp;F",$G160=""),"",IF(S$8&gt;$G160,IF(OR(status1B5!T160=1,status1B5!T160=2,'BOULEVARD 5'!V158&gt;0),"Pagado","impago"),""))</f>
        <v/>
      </c>
      <c r="T160" s="666" t="str">
        <f>IF(OR($A160="F&amp;F",$G160=""),"",IF(T$8&gt;$G160,IF(OR(status1B5!U160=1,status1B5!U160=2,'BOULEVARD 5'!W158&gt;0),"Pagado","impago"),""))</f>
        <v/>
      </c>
      <c r="U160" s="666" t="str">
        <f>IF(OR($A160="F&amp;F",$G160=""),"",IF(U$8&gt;$G160,IF(OR(status1B5!V160=1,status1B5!V160=2,'BOULEVARD 5'!X158&gt;0),"Pagado","impago"),""))</f>
        <v/>
      </c>
      <c r="V160" s="666" t="str">
        <f>IF(OR($A160="F&amp;F",$G160=""),"",IF(V$8&gt;$G160,IF(OR(status1B5!W160=1,status1B5!W160=2,'BOULEVARD 5'!Y158&gt;0),"Pagado","impago"),""))</f>
        <v/>
      </c>
      <c r="W160" s="666" t="str">
        <f>IF(OR($A160="F&amp;F",$G160=""),"",IF(W$8&gt;$G160,IF(OR(status1B5!X160=1,status1B5!X160=2,'BOULEVARD 5'!Z158&gt;0),"Pagado","impago"),""))</f>
        <v/>
      </c>
      <c r="X160" s="666" t="str">
        <f>IF(OR($A160="F&amp;F",$G160=""),"",IF(X$8&gt;$G160,IF(OR(status1B5!Y160=1,status1B5!Y160=2,'BOULEVARD 5'!AA158&gt;0),"Pagado","impago"),""))</f>
        <v>Pagado</v>
      </c>
      <c r="Y160" s="666" t="str">
        <f>IF(OR($A160="F&amp;F",$G160=""),"",IF(Y$8&gt;$G160,IF(OR(status1B5!Z160=1,status1B5!Z160=2,'BOULEVARD 5'!AB158&gt;0),"Pagado","impago"),""))</f>
        <v>Pagado</v>
      </c>
      <c r="Z160" s="666" t="str">
        <f>IF(OR($A160="F&amp;F",$G160=""),"",IF(Z$8&gt;$G160,IF(OR(status1B5!AA160=1,status1B5!AA160=2,'BOULEVARD 5'!AC158&gt;0),"Pagado","impago"),""))</f>
        <v>Pagado</v>
      </c>
      <c r="AA160" s="666" t="str">
        <f>IF(OR($A160="F&amp;F",$G160=""),"",IF(AA$8&gt;$G160,IF(OR(status1B5!AB160=1,status1B5!AB160=2,'BOULEVARD 5'!AD158&gt;0),"Pagado","impago"),""))</f>
        <v>Pagado</v>
      </c>
      <c r="AB160" s="666" t="str">
        <f>IF(OR($A160="F&amp;F",$G160=""),"",IF(AB$8&gt;$G160,IF(OR(status1B5!AC160=1,status1B5!AC160=2,'BOULEVARD 5'!AE158&gt;0),"Pagado","impago"),""))</f>
        <v>Pagado</v>
      </c>
      <c r="AC160" s="666" t="str">
        <f>IF(OR($A160="F&amp;F",$G160=""),"",IF(AC$8&gt;$G160,IF(OR(status1B5!AD160=1,status1B5!AD160=2,'BOULEVARD 5'!AF158&gt;0),"Pagado","impago"),""))</f>
        <v>Pagado</v>
      </c>
      <c r="AD160" s="666" t="str">
        <f>IF(OR($A160="F&amp;F",$G160=""),"",IF(AD$8&gt;$G160,IF(OR(status1B5!AE160=1,status1B5!AE160=2,'BOULEVARD 5'!AG158&gt;0),"Pagado","impago"),""))</f>
        <v>Pagado</v>
      </c>
      <c r="AE160" s="666" t="str">
        <f>IF(OR($A160="F&amp;F",$G160=""),"",IF(AE$8&gt;$G160,IF(OR(status1B5!AF160=1,status1B5!AF160=2,'BOULEVARD 5'!AH158&gt;0),"Pagado","impago"),""))</f>
        <v>Pagado</v>
      </c>
      <c r="AF160" s="666" t="str">
        <f>IF(OR($A160="F&amp;F",$G160=""),"",IF(AF$8&gt;$G160,IF(OR(status1B5!AG160=1,status1B5!AG160=2,'BOULEVARD 5'!AI158&gt;0),"Pagado","impago"),""))</f>
        <v>Pagado</v>
      </c>
      <c r="AG160" s="666" t="str">
        <f>IF(OR($A160="F&amp;F",$G160=""),"",IF(AG$8&gt;$G160,IF(OR(status1B5!AH160=1,status1B5!AH160=2,'BOULEVARD 5'!AJ158&gt;0),"Pagado","impago"),""))</f>
        <v>Pagado</v>
      </c>
      <c r="AH160" s="666" t="str">
        <f>IF(OR($A160="F&amp;F",$G160=""),"",IF(AH$8&gt;$G160,IF(OR(status1B5!AI160=1,status1B5!AI160=2,'BOULEVARD 5'!AK158&gt;0),"Pagado","impago"),""))</f>
        <v>Pagado</v>
      </c>
      <c r="AI160" s="666" t="str">
        <f>IF(OR($A160="F&amp;F",$G160=""),"",IF(AI$8&gt;$G160,IF(OR(status1B5!AJ160=1,status1B5!AJ160=2,'BOULEVARD 5'!AL158&gt;0),"Pagado","impago"),""))</f>
        <v>Pagado</v>
      </c>
      <c r="AJ160" s="666" t="str">
        <f>IF(OR($A160="F&amp;F",$G160=""),"",IF(AJ$8&gt;$G160,IF(OR(status1B5!AK160=1,status1B5!AK160=2,'BOULEVARD 5'!AM158&gt;0),"Pagado","impago"),""))</f>
        <v>Pagado</v>
      </c>
      <c r="AK160" s="666" t="str">
        <f>IF(OR($A160="F&amp;F",$G160=""),"",IF(AK$8&gt;$G160,IF(OR(status1B5!AL160=1,status1B5!AL160=2,'BOULEVARD 5'!AN158&gt;0),"Pagado","impago"),""))</f>
        <v>Pagado</v>
      </c>
      <c r="AL160" s="666" t="str">
        <f>IF(OR($A160="F&amp;F",$G160=""),"",IF(AL$8&gt;$G160,IF(OR(status1B5!AM160=1,status1B5!AM160=2,'BOULEVARD 5'!AO158&gt;0),"Pagado","impago"),""))</f>
        <v>Pagado</v>
      </c>
      <c r="AM160" s="666" t="str">
        <f>IF(OR($A160="F&amp;F",$G160=""),"",IF(AM$8&gt;$G160,IF(OR(status1B5!AN160=1,status1B5!AN160=2,'BOULEVARD 5'!AP158&gt;0),"Pagado","impago"),""))</f>
        <v>Pagado</v>
      </c>
      <c r="AN160" s="666" t="str">
        <f>IF(OR($A160="F&amp;F",$G160=""),"",IF(AN$8&gt;$G160,IF(OR(status1B5!AO160=1,status1B5!AO160=2,'BOULEVARD 5'!AQ158&gt;0),"Pagado","impago"),""))</f>
        <v>Pagado</v>
      </c>
      <c r="AO160" s="666" t="str">
        <f>IF(OR($A160="F&amp;F",$G160=""),"",IF(AO$8&gt;$G160,IF(OR(status1B5!AP160=1,status1B5!AP160=2,'BOULEVARD 5'!AS158&gt;0),"Pagado","impago"),""))</f>
        <v>Pagado</v>
      </c>
      <c r="AP160" s="429" t="str">
        <f t="shared" si="7"/>
        <v>Vendido</v>
      </c>
    </row>
    <row r="161" spans="1:42" s="429" customFormat="1" ht="13.9" customHeight="1" x14ac:dyDescent="0.25">
      <c r="A161" s="472"/>
      <c r="B161" s="436">
        <f>'BOULEVARD 5'!B159</f>
        <v>906</v>
      </c>
      <c r="C161" s="436" t="s">
        <v>355</v>
      </c>
      <c r="D161" s="436"/>
      <c r="E161" s="436" t="str">
        <f>IF('BOULEVARD 5'!E159="","",'BOULEVARD 5'!E159)</f>
        <v>Erwin Cardona</v>
      </c>
      <c r="F161" s="429" t="str">
        <f>IF('BOULEVARD 5'!F159="","",'BOULEVARD 5'!F159)</f>
        <v>Nery Adolfo Ortíz Alvarez</v>
      </c>
      <c r="G161" s="473">
        <f>IF('BOULEVARD 5'!G159="","",'BOULEVARD 5'!G159)</f>
        <v>46000</v>
      </c>
      <c r="H161" s="666" t="str">
        <f>IF(OR($A161="F&amp;F",$G161=""),"",IF(H$8&gt;$G161,IF(OR(status1B5!I161=1,status1B5!I161=2,'BOULEVARD 5'!K159&gt;0),"Pagado","impago"),""))</f>
        <v/>
      </c>
      <c r="I161" s="666" t="str">
        <f>IF(OR($A161="F&amp;F",$G161=""),"",IF(I$8&gt;$G161,IF(OR(status1B5!J161=1,status1B5!J161=2,'BOULEVARD 5'!L159&gt;0),"Pagado","impago"),""))</f>
        <v/>
      </c>
      <c r="J161" s="666" t="str">
        <f>IF(OR($A161="F&amp;F",$G161=""),"",IF(J$8&gt;$G161,IF(OR(status1B5!K161=1,status1B5!K161=2,'BOULEVARD 5'!M159&gt;0),"Pagado","impago"),""))</f>
        <v/>
      </c>
      <c r="K161" s="666" t="str">
        <f>IF(OR($A161="F&amp;F",$G161=""),"",IF(K$8&gt;$G161,IF(OR(status1B5!L161=1,status1B5!L161=2,'BOULEVARD 5'!N159&gt;0),"Pagado","impago"),""))</f>
        <v/>
      </c>
      <c r="L161" s="666" t="str">
        <f>IF(OR($A161="F&amp;F",$G161=""),"",IF(L$8&gt;$G161,IF(OR(status1B5!M161=1,status1B5!M161=2,'BOULEVARD 5'!O159&gt;0),"Pagado","impago"),""))</f>
        <v/>
      </c>
      <c r="M161" s="666" t="str">
        <f>IF(OR($A161="F&amp;F",$G161=""),"",IF(M$8&gt;$G161,IF(OR(status1B5!N161=1,status1B5!N161=2,'BOULEVARD 5'!P159&gt;0),"Pagado","impago"),""))</f>
        <v/>
      </c>
      <c r="N161" s="666" t="str">
        <f>IF(OR($A161="F&amp;F",$G161=""),"",IF(N$8&gt;$G161,IF(OR(status1B5!O161=1,status1B5!O161=2,'BOULEVARD 5'!Q159&gt;0),"Pagado","impago"),""))</f>
        <v/>
      </c>
      <c r="O161" s="666" t="str">
        <f>IF(OR($A161="F&amp;F",$G161=""),"",IF(O$8&gt;$G161,IF(OR(status1B5!P161=1,status1B5!P161=2,'BOULEVARD 5'!R159&gt;0),"Pagado","impago"),""))</f>
        <v/>
      </c>
      <c r="P161" s="666" t="str">
        <f>IF(OR($A161="F&amp;F",$G161=""),"",IF(P$8&gt;$G161,IF(OR(status1B5!Q161=1,status1B5!Q161=2,'BOULEVARD 5'!S159&gt;0),"Pagado","impago"),""))</f>
        <v/>
      </c>
      <c r="Q161" s="666" t="str">
        <f>IF(OR($A161="F&amp;F",$G161=""),"",IF(Q$8&gt;$G161,IF(OR(status1B5!R161=1,status1B5!R161=2,'BOULEVARD 5'!T159&gt;0),"Pagado","impago"),""))</f>
        <v/>
      </c>
      <c r="R161" s="666" t="str">
        <f>IF(OR($A161="F&amp;F",$G161=""),"",IF(R$8&gt;$G161,IF(OR(status1B5!S161=1,status1B5!S161=2,'BOULEVARD 5'!U159&gt;0),"Pagado","impago"),""))</f>
        <v/>
      </c>
      <c r="S161" s="666" t="str">
        <f>IF(OR($A161="F&amp;F",$G161=""),"",IF(S$8&gt;$G161,IF(OR(status1B5!T161=1,status1B5!T161=2,'BOULEVARD 5'!V159&gt;0),"Pagado","impago"),""))</f>
        <v/>
      </c>
      <c r="T161" s="666" t="str">
        <f>IF(OR($A161="F&amp;F",$G161=""),"",IF(T$8&gt;$G161,IF(OR(status1B5!U161=1,status1B5!U161=2,'BOULEVARD 5'!W159&gt;0),"Pagado","impago"),""))</f>
        <v/>
      </c>
      <c r="U161" s="666" t="str">
        <f>IF(OR($A161="F&amp;F",$G161=""),"",IF(U$8&gt;$G161,IF(OR(status1B5!V161=1,status1B5!V161=2,'BOULEVARD 5'!X159&gt;0),"Pagado","impago"),""))</f>
        <v/>
      </c>
      <c r="V161" s="666" t="str">
        <f>IF(OR($A161="F&amp;F",$G161=""),"",IF(V$8&gt;$G161,IF(OR(status1B5!W161=1,status1B5!W161=2,'BOULEVARD 5'!Y159&gt;0),"Pagado","impago"),""))</f>
        <v/>
      </c>
      <c r="W161" s="666" t="str">
        <f>IF(OR($A161="F&amp;F",$G161=""),"",IF(W$8&gt;$G161,IF(OR(status1B5!X161=1,status1B5!X161=2,'BOULEVARD 5'!Z159&gt;0),"Pagado","impago"),""))</f>
        <v/>
      </c>
      <c r="X161" s="666" t="str">
        <f>IF(OR($A161="F&amp;F",$G161=""),"",IF(X$8&gt;$G161,IF(OR(status1B5!Y161=1,status1B5!Y161=2,'BOULEVARD 5'!AA159&gt;0),"Pagado","impago"),""))</f>
        <v/>
      </c>
      <c r="Y161" s="666" t="str">
        <f>IF(OR($A161="F&amp;F",$G161=""),"",IF(Y$8&gt;$G161,IF(OR(status1B5!Z161=1,status1B5!Z161=2,'BOULEVARD 5'!AB159&gt;0),"Pagado","impago"),""))</f>
        <v/>
      </c>
      <c r="Z161" s="666" t="str">
        <f>IF(OR($A161="F&amp;F",$G161=""),"",IF(Z$8&gt;$G161,IF(OR(status1B5!AA161=1,status1B5!AA161=2,'BOULEVARD 5'!AC159&gt;0),"Pagado","impago"),""))</f>
        <v/>
      </c>
      <c r="AA161" s="666" t="str">
        <f>IF(OR($A161="F&amp;F",$G161=""),"",IF(AA$8&gt;$G161,IF(OR(status1B5!AB161=1,status1B5!AB161=2,'BOULEVARD 5'!AD159&gt;0),"Pagado","impago"),""))</f>
        <v/>
      </c>
      <c r="AB161" s="666" t="str">
        <f>IF(OR($A161="F&amp;F",$G161=""),"",IF(AB$8&gt;$G161,IF(OR(status1B5!AC161=1,status1B5!AC161=2,'BOULEVARD 5'!AE159&gt;0),"Pagado","impago"),""))</f>
        <v/>
      </c>
      <c r="AC161" s="666" t="str">
        <f>IF(OR($A161="F&amp;F",$G161=""),"",IF(AC$8&gt;$G161,IF(OR(status1B5!AD161=1,status1B5!AD161=2,'BOULEVARD 5'!AF159&gt;0),"Pagado","impago"),""))</f>
        <v/>
      </c>
      <c r="AD161" s="666" t="str">
        <f>IF(OR($A161="F&amp;F",$G161=""),"",IF(AD$8&gt;$G161,IF(OR(status1B5!AE161=1,status1B5!AE161=2,'BOULEVARD 5'!AG159&gt;0),"Pagado","impago"),""))</f>
        <v/>
      </c>
      <c r="AE161" s="666" t="str">
        <f>IF(OR($A161="F&amp;F",$G161=""),"",IF(AE$8&gt;$G161,IF(OR(status1B5!AF161=1,status1B5!AF161=2,'BOULEVARD 5'!AH159&gt;0),"Pagado","impago"),""))</f>
        <v/>
      </c>
      <c r="AF161" s="666" t="str">
        <f>IF(OR($A161="F&amp;F",$G161=""),"",IF(AF$8&gt;$G161,IF(OR(status1B5!AG161=1,status1B5!AG161=2,'BOULEVARD 5'!AI159&gt;0),"Pagado","impago"),""))</f>
        <v/>
      </c>
      <c r="AG161" s="666" t="str">
        <f>IF(OR($A161="F&amp;F",$G161=""),"",IF(AG$8&gt;$G161,IF(OR(status1B5!AH161=1,status1B5!AH161=2,'BOULEVARD 5'!AJ159&gt;0),"Pagado","impago"),""))</f>
        <v/>
      </c>
      <c r="AH161" s="666" t="str">
        <f>IF(OR($A161="F&amp;F",$G161=""),"",IF(AH$8&gt;$G161,IF(OR(status1B5!AI161=1,status1B5!AI161=2,'BOULEVARD 5'!AK159&gt;0),"Pagado","impago"),""))</f>
        <v/>
      </c>
      <c r="AI161" s="666" t="str">
        <f>IF(OR($A161="F&amp;F",$G161=""),"",IF(AI$8&gt;$G161,IF(OR(status1B5!AJ161=1,status1B5!AJ161=2,'BOULEVARD 5'!AL159&gt;0),"Pagado","impago"),""))</f>
        <v/>
      </c>
      <c r="AJ161" s="666" t="str">
        <f>IF(OR($A161="F&amp;F",$G161=""),"",IF(AJ$8&gt;$G161,IF(OR(status1B5!AK161=1,status1B5!AK161=2,'BOULEVARD 5'!AM159&gt;0),"Pagado","impago"),""))</f>
        <v/>
      </c>
      <c r="AK161" s="666" t="str">
        <f>IF(OR($A161="F&amp;F",$G161=""),"",IF(AK$8&gt;$G161,IF(OR(status1B5!AL161=1,status1B5!AL161=2,'BOULEVARD 5'!AN159&gt;0),"Pagado","impago"),""))</f>
        <v/>
      </c>
      <c r="AL161" s="666" t="str">
        <f>IF(OR($A161="F&amp;F",$G161=""),"",IF(AL$8&gt;$G161,IF(OR(status1B5!AM161=1,status1B5!AM161=2,'BOULEVARD 5'!AO159&gt;0),"Pagado","impago"),""))</f>
        <v/>
      </c>
      <c r="AM161" s="666" t="str">
        <f>IF(OR($A161="F&amp;F",$G161=""),"",IF(AM$8&gt;$G161,IF(OR(status1B5!AN161=1,status1B5!AN161=2,'BOULEVARD 5'!AP159&gt;0),"Pagado","impago"),""))</f>
        <v/>
      </c>
      <c r="AN161" s="666" t="str">
        <f>IF(OR($A161="F&amp;F",$G161=""),"",IF(AN$8&gt;$G161,IF(OR(status1B5!AO161=1,status1B5!AO161=2,'BOULEVARD 5'!AQ159&gt;0),"Pagado","impago"),""))</f>
        <v/>
      </c>
      <c r="AO161" s="666" t="str">
        <f>IF(OR($A161="F&amp;F",$G161=""),"",IF(AO$8&gt;$G161,IF(OR(status1B5!AP161=1,status1B5!AP161=2,'BOULEVARD 5'!AS159&gt;0),"Pagado","impago"),""))</f>
        <v>Pagado</v>
      </c>
      <c r="AP161" s="429" t="str">
        <f t="shared" si="7"/>
        <v>Vendido</v>
      </c>
    </row>
    <row r="162" spans="1:42" s="429" customFormat="1" ht="13.9" customHeight="1" x14ac:dyDescent="0.25">
      <c r="A162" s="472"/>
      <c r="B162" s="436">
        <f>'BOULEVARD 5'!B160</f>
        <v>907</v>
      </c>
      <c r="C162" s="436" t="s">
        <v>355</v>
      </c>
      <c r="D162" s="642"/>
      <c r="E162" s="436" t="str">
        <f>IF('BOULEVARD 5'!E160="","",'BOULEVARD 5'!E160)</f>
        <v>Brenda Búcaro</v>
      </c>
      <c r="F162" s="429" t="str">
        <f>IF('BOULEVARD 5'!F160="","",'BOULEVARD 5'!F160)</f>
        <v>Stephanie Herrera</v>
      </c>
      <c r="G162" s="473">
        <f>IF('BOULEVARD 5'!G160="","",'BOULEVARD 5'!G160)</f>
        <v>45169</v>
      </c>
      <c r="H162" s="666" t="str">
        <f>IF(OR($A162="F&amp;F",$G162=""),"",IF(H$8&gt;$G162,IF(OR(status1B5!I162=1,status1B5!I162=2,'BOULEVARD 5'!K160&gt;0),"Pagado","impago"),""))</f>
        <v/>
      </c>
      <c r="I162" s="666" t="str">
        <f>IF(OR($A162="F&amp;F",$G162=""),"",IF(I$8&gt;$G162,IF(OR(status1B5!J162=1,status1B5!J162=2,'BOULEVARD 5'!L160&gt;0),"Pagado","impago"),""))</f>
        <v/>
      </c>
      <c r="J162" s="666" t="str">
        <f>IF(OR($A162="F&amp;F",$G162=""),"",IF(J$8&gt;$G162,IF(OR(status1B5!K162=1,status1B5!K162=2,'BOULEVARD 5'!M160&gt;0),"Pagado","impago"),""))</f>
        <v/>
      </c>
      <c r="K162" s="666" t="str">
        <f>IF(OR($A162="F&amp;F",$G162=""),"",IF(K$8&gt;$G162,IF(OR(status1B5!L162=1,status1B5!L162=2,'BOULEVARD 5'!N160&gt;0),"Pagado","impago"),""))</f>
        <v/>
      </c>
      <c r="L162" s="666" t="str">
        <f>IF(OR($A162="F&amp;F",$G162=""),"",IF(L$8&gt;$G162,IF(OR(status1B5!M162=1,status1B5!M162=2,'BOULEVARD 5'!O160&gt;0),"Pagado","impago"),""))</f>
        <v/>
      </c>
      <c r="M162" s="666" t="str">
        <f>IF(OR($A162="F&amp;F",$G162=""),"",IF(M$8&gt;$G162,IF(OR(status1B5!N162=1,status1B5!N162=2,'BOULEVARD 5'!P160&gt;0),"Pagado","impago"),""))</f>
        <v/>
      </c>
      <c r="N162" s="666" t="str">
        <f>IF(OR($A162="F&amp;F",$G162=""),"",IF(N$8&gt;$G162,IF(OR(status1B5!O162=1,status1B5!O162=2,'BOULEVARD 5'!Q160&gt;0),"Pagado","impago"),""))</f>
        <v>Pagado</v>
      </c>
      <c r="O162" s="666" t="str">
        <f>IF(OR($A162="F&amp;F",$G162=""),"",IF(O$8&gt;$G162,IF(OR(status1B5!P162=1,status1B5!P162=2,'BOULEVARD 5'!R160&gt;0),"Pagado","impago"),""))</f>
        <v>Pagado</v>
      </c>
      <c r="P162" s="666" t="str">
        <f>IF(OR($A162="F&amp;F",$G162=""),"",IF(P$8&gt;$G162,IF(OR(status1B5!Q162=1,status1B5!Q162=2,'BOULEVARD 5'!S160&gt;0),"Pagado","impago"),""))</f>
        <v>Pagado</v>
      </c>
      <c r="Q162" s="666" t="str">
        <f>IF(OR($A162="F&amp;F",$G162=""),"",IF(Q$8&gt;$G162,IF(OR(status1B5!R162=1,status1B5!R162=2,'BOULEVARD 5'!T160&gt;0),"Pagado","impago"),""))</f>
        <v>Pagado</v>
      </c>
      <c r="R162" s="666" t="str">
        <f>IF(OR($A162="F&amp;F",$G162=""),"",IF(R$8&gt;$G162,IF(OR(status1B5!S162=1,status1B5!S162=2,'BOULEVARD 5'!U160&gt;0),"Pagado","impago"),""))</f>
        <v>Pagado</v>
      </c>
      <c r="S162" s="666" t="str">
        <f>IF(OR($A162="F&amp;F",$G162=""),"",IF(S$8&gt;$G162,IF(OR(status1B5!T162=1,status1B5!T162=2,'BOULEVARD 5'!V160&gt;0),"Pagado","impago"),""))</f>
        <v>Pagado</v>
      </c>
      <c r="T162" s="666" t="str">
        <f>IF(OR($A162="F&amp;F",$G162=""),"",IF(T$8&gt;$G162,IF(OR(status1B5!U162=1,status1B5!U162=2,'BOULEVARD 5'!W160&gt;0),"Pagado","impago"),""))</f>
        <v>Pagado</v>
      </c>
      <c r="U162" s="666" t="str">
        <f>IF(OR($A162="F&amp;F",$G162=""),"",IF(U$8&gt;$G162,IF(OR(status1B5!V162=1,status1B5!V162=2,'BOULEVARD 5'!X160&gt;0),"Pagado","impago"),""))</f>
        <v>Pagado</v>
      </c>
      <c r="V162" s="666" t="str">
        <f>IF(OR($A162="F&amp;F",$G162=""),"",IF(V$8&gt;$G162,IF(OR(status1B5!W162=1,status1B5!W162=2,'BOULEVARD 5'!Y160&gt;0),"Pagado","impago"),""))</f>
        <v>Pagado</v>
      </c>
      <c r="W162" s="666" t="str">
        <f>IF(OR($A162="F&amp;F",$G162=""),"",IF(W$8&gt;$G162,IF(OR(status1B5!X162=1,status1B5!X162=2,'BOULEVARD 5'!Z160&gt;0),"Pagado","impago"),""))</f>
        <v>Pagado</v>
      </c>
      <c r="X162" s="666" t="str">
        <f>IF(OR($A162="F&amp;F",$G162=""),"",IF(X$8&gt;$G162,IF(OR(status1B5!Y162=1,status1B5!Y162=2,'BOULEVARD 5'!AA160&gt;0),"Pagado","impago"),""))</f>
        <v>Pagado</v>
      </c>
      <c r="Y162" s="666" t="str">
        <f>IF(OR($A162="F&amp;F",$G162=""),"",IF(Y$8&gt;$G162,IF(OR(status1B5!Z162=1,status1B5!Z162=2,'BOULEVARD 5'!AB160&gt;0),"Pagado","impago"),""))</f>
        <v>Pagado</v>
      </c>
      <c r="Z162" s="666" t="str">
        <f>IF(OR($A162="F&amp;F",$G162=""),"",IF(Z$8&gt;$G162,IF(OR(status1B5!AA162=1,status1B5!AA162=2,'BOULEVARD 5'!AC160&gt;0),"Pagado","impago"),""))</f>
        <v>Pagado</v>
      </c>
      <c r="AA162" s="666" t="str">
        <f>IF(OR($A162="F&amp;F",$G162=""),"",IF(AA$8&gt;$G162,IF(OR(status1B5!AB162=1,status1B5!AB162=2,'BOULEVARD 5'!AD160&gt;0),"Pagado","impago"),""))</f>
        <v>Pagado</v>
      </c>
      <c r="AB162" s="666" t="str">
        <f>IF(OR($A162="F&amp;F",$G162=""),"",IF(AB$8&gt;$G162,IF(OR(status1B5!AC162=1,status1B5!AC162=2,'BOULEVARD 5'!AE160&gt;0),"Pagado","impago"),""))</f>
        <v>Pagado</v>
      </c>
      <c r="AC162" s="666" t="str">
        <f>IF(OR($A162="F&amp;F",$G162=""),"",IF(AC$8&gt;$G162,IF(OR(status1B5!AD162=1,status1B5!AD162=2,'BOULEVARD 5'!AF160&gt;0),"Pagado","impago"),""))</f>
        <v>Pagado</v>
      </c>
      <c r="AD162" s="666" t="str">
        <f>IF(OR($A162="F&amp;F",$G162=""),"",IF(AD$8&gt;$G162,IF(OR(status1B5!AE162=1,status1B5!AE162=2,'BOULEVARD 5'!AG160&gt;0),"Pagado","impago"),""))</f>
        <v>Pagado</v>
      </c>
      <c r="AE162" s="666" t="str">
        <f>IF(OR($A162="F&amp;F",$G162=""),"",IF(AE$8&gt;$G162,IF(OR(status1B5!AF162=1,status1B5!AF162=2,'BOULEVARD 5'!AH160&gt;0),"Pagado","impago"),""))</f>
        <v>Pagado</v>
      </c>
      <c r="AF162" s="666" t="str">
        <f>IF(OR($A162="F&amp;F",$G162=""),"",IF(AF$8&gt;$G162,IF(OR(status1B5!AG162=1,status1B5!AG162=2,'BOULEVARD 5'!AI160&gt;0),"Pagado","impago"),""))</f>
        <v>Pagado</v>
      </c>
      <c r="AG162" s="666" t="str">
        <f>IF(OR($A162="F&amp;F",$G162=""),"",IF(AG$8&gt;$G162,IF(OR(status1B5!AH162=1,status1B5!AH162=2,'BOULEVARD 5'!AJ160&gt;0),"Pagado","impago"),""))</f>
        <v>Pagado</v>
      </c>
      <c r="AH162" s="666" t="str">
        <f>IF(OR($A162="F&amp;F",$G162=""),"",IF(AH$8&gt;$G162,IF(OR(status1B5!AI162=1,status1B5!AI162=2,'BOULEVARD 5'!AK160&gt;0),"Pagado","impago"),""))</f>
        <v>Pagado</v>
      </c>
      <c r="AI162" s="666" t="str">
        <f>IF(OR($A162="F&amp;F",$G162=""),"",IF(AI$8&gt;$G162,IF(OR(status1B5!AJ162=1,status1B5!AJ162=2,'BOULEVARD 5'!AL160&gt;0),"Pagado","impago"),""))</f>
        <v>Pagado</v>
      </c>
      <c r="AJ162" s="666" t="str">
        <f>IF(OR($A162="F&amp;F",$G162=""),"",IF(AJ$8&gt;$G162,IF(OR(status1B5!AK162=1,status1B5!AK162=2,'BOULEVARD 5'!AM160&gt;0),"Pagado","impago"),""))</f>
        <v>Pagado</v>
      </c>
      <c r="AK162" s="666" t="str">
        <f>IF(OR($A162="F&amp;F",$G162=""),"",IF(AK$8&gt;$G162,IF(OR(status1B5!AL162=1,status1B5!AL162=2,'BOULEVARD 5'!AN160&gt;0),"Pagado","impago"),""))</f>
        <v>Pagado</v>
      </c>
      <c r="AL162" s="666" t="str">
        <f>IF(OR($A162="F&amp;F",$G162=""),"",IF(AL$8&gt;$G162,IF(OR(status1B5!AM162=1,status1B5!AM162=2,'BOULEVARD 5'!AO160&gt;0),"Pagado","impago"),""))</f>
        <v>Pagado</v>
      </c>
      <c r="AM162" s="666" t="str">
        <f>IF(OR($A162="F&amp;F",$G162=""),"",IF(AM$8&gt;$G162,IF(OR(status1B5!AN162=1,status1B5!AN162=2,'BOULEVARD 5'!AP160&gt;0),"Pagado","impago"),""))</f>
        <v>Pagado</v>
      </c>
      <c r="AN162" s="666" t="str">
        <f>IF(OR($A162="F&amp;F",$G162=""),"",IF(AN$8&gt;$G162,IF(OR(status1B5!AO162=1,status1B5!AO162=2,'BOULEVARD 5'!AQ160&gt;0),"Pagado","impago"),""))</f>
        <v>Pagado</v>
      </c>
      <c r="AO162" s="666" t="str">
        <f>IF(OR($A162="F&amp;F",$G162=""),"",IF(AO$8&gt;$G162,IF(OR(status1B5!AP162=1,status1B5!AP162=2,'BOULEVARD 5'!AS160&gt;0),"Pagado","impago"),""))</f>
        <v>Pagado</v>
      </c>
      <c r="AP162" s="429" t="str">
        <f t="shared" si="7"/>
        <v>Vendido</v>
      </c>
    </row>
    <row r="163" spans="1:42" s="429" customFormat="1" ht="13.9" customHeight="1" x14ac:dyDescent="0.25">
      <c r="A163" s="472"/>
      <c r="B163" s="436">
        <f>'BOULEVARD 5'!B161</f>
        <v>908</v>
      </c>
      <c r="C163" s="436" t="s">
        <v>355</v>
      </c>
      <c r="D163" s="436"/>
      <c r="E163" s="436" t="str">
        <f>IF('BOULEVARD 5'!E161="","",'BOULEVARD 5'!E161)</f>
        <v>Antonio Rada</v>
      </c>
      <c r="F163" s="429" t="str">
        <f>IF('BOULEVARD 5'!F161="","",'BOULEVARD 5'!F161)</f>
        <v>Jorge Pablo Gonzalez Oordoñez</v>
      </c>
      <c r="G163" s="473">
        <f>IF('BOULEVARD 5'!G161="","",'BOULEVARD 5'!G161)</f>
        <v>45316</v>
      </c>
      <c r="H163" s="666" t="str">
        <f>IF(OR($A163="F&amp;F",$G163=""),"",IF(H$8&gt;$G163,IF(OR(status1B5!I163=1,status1B5!I163=2,'BOULEVARD 5'!K161&gt;0),"Pagado","impago"),""))</f>
        <v/>
      </c>
      <c r="I163" s="666" t="str">
        <f>IF(OR($A163="F&amp;F",$G163=""),"",IF(I$8&gt;$G163,IF(OR(status1B5!J163=1,status1B5!J163=2,'BOULEVARD 5'!L161&gt;0),"Pagado","impago"),""))</f>
        <v/>
      </c>
      <c r="J163" s="666" t="str">
        <f>IF(OR($A163="F&amp;F",$G163=""),"",IF(J$8&gt;$G163,IF(OR(status1B5!K163=1,status1B5!K163=2,'BOULEVARD 5'!M161&gt;0),"Pagado","impago"),""))</f>
        <v/>
      </c>
      <c r="K163" s="666" t="str">
        <f>IF(OR($A163="F&amp;F",$G163=""),"",IF(K$8&gt;$G163,IF(OR(status1B5!L163=1,status1B5!L163=2,'BOULEVARD 5'!N161&gt;0),"Pagado","impago"),""))</f>
        <v/>
      </c>
      <c r="L163" s="666" t="str">
        <f>IF(OR($A163="F&amp;F",$G163=""),"",IF(L$8&gt;$G163,IF(OR(status1B5!M163=1,status1B5!M163=2,'BOULEVARD 5'!O161&gt;0),"Pagado","impago"),""))</f>
        <v/>
      </c>
      <c r="M163" s="666" t="str">
        <f>IF(OR($A163="F&amp;F",$G163=""),"",IF(M$8&gt;$G163,IF(OR(status1B5!N163=1,status1B5!N163=2,'BOULEVARD 5'!P161&gt;0),"Pagado","impago"),""))</f>
        <v/>
      </c>
      <c r="N163" s="666" t="str">
        <f>IF(OR($A163="F&amp;F",$G163=""),"",IF(N$8&gt;$G163,IF(OR(status1B5!O163=1,status1B5!O163=2,'BOULEVARD 5'!Q161&gt;0),"Pagado","impago"),""))</f>
        <v/>
      </c>
      <c r="O163" s="666" t="str">
        <f>IF(OR($A163="F&amp;F",$G163=""),"",IF(O$8&gt;$G163,IF(OR(status1B5!P163=1,status1B5!P163=2,'BOULEVARD 5'!R161&gt;0),"Pagado","impago"),""))</f>
        <v/>
      </c>
      <c r="P163" s="666" t="str">
        <f>IF(OR($A163="F&amp;F",$G163=""),"",IF(P$8&gt;$G163,IF(OR(status1B5!Q163=1,status1B5!Q163=2,'BOULEVARD 5'!S161&gt;0),"Pagado","impago"),""))</f>
        <v/>
      </c>
      <c r="Q163" s="666" t="str">
        <f>IF(OR($A163="F&amp;F",$G163=""),"",IF(Q$8&gt;$G163,IF(OR(status1B5!R163=1,status1B5!R163=2,'BOULEVARD 5'!T161&gt;0),"Pagado","impago"),""))</f>
        <v/>
      </c>
      <c r="R163" s="666" t="str">
        <f>IF(OR($A163="F&amp;F",$G163=""),"",IF(R$8&gt;$G163,IF(OR(status1B5!S163=1,status1B5!S163=2,'BOULEVARD 5'!U161&gt;0),"Pagado","impago"),""))</f>
        <v>Pagado</v>
      </c>
      <c r="S163" s="666" t="str">
        <f>IF(OR($A163="F&amp;F",$G163=""),"",IF(S$8&gt;$G163,IF(OR(status1B5!T163=1,status1B5!T163=2,'BOULEVARD 5'!V161&gt;0),"Pagado","impago"),""))</f>
        <v>Pagado</v>
      </c>
      <c r="T163" s="666" t="str">
        <f>IF(OR($A163="F&amp;F",$G163=""),"",IF(T$8&gt;$G163,IF(OR(status1B5!U163=1,status1B5!U163=2,'BOULEVARD 5'!W161&gt;0),"Pagado","impago"),""))</f>
        <v>Pagado</v>
      </c>
      <c r="U163" s="666" t="str">
        <f>IF(OR($A163="F&amp;F",$G163=""),"",IF(U$8&gt;$G163,IF(OR(status1B5!V163=1,status1B5!V163=2,'BOULEVARD 5'!X161&gt;0),"Pagado","impago"),""))</f>
        <v>Pagado</v>
      </c>
      <c r="V163" s="666" t="str">
        <f>IF(OR($A163="F&amp;F",$G163=""),"",IF(V$8&gt;$G163,IF(OR(status1B5!W163=1,status1B5!W163=2,'BOULEVARD 5'!Y161&gt;0),"Pagado","impago"),""))</f>
        <v>Pagado</v>
      </c>
      <c r="W163" s="666" t="str">
        <f>IF(OR($A163="F&amp;F",$G163=""),"",IF(W$8&gt;$G163,IF(OR(status1B5!X163=1,status1B5!X163=2,'BOULEVARD 5'!Z161&gt;0),"Pagado","impago"),""))</f>
        <v>Pagado</v>
      </c>
      <c r="X163" s="666" t="str">
        <f>IF(OR($A163="F&amp;F",$G163=""),"",IF(X$8&gt;$G163,IF(OR(status1B5!Y163=1,status1B5!Y163=2,'BOULEVARD 5'!AA161&gt;0),"Pagado","impago"),""))</f>
        <v>Pagado</v>
      </c>
      <c r="Y163" s="666" t="str">
        <f>IF(OR($A163="F&amp;F",$G163=""),"",IF(Y$8&gt;$G163,IF(OR(status1B5!Z163=1,status1B5!Z163=2,'BOULEVARD 5'!AB161&gt;0),"Pagado","impago"),""))</f>
        <v>Pagado</v>
      </c>
      <c r="Z163" s="666" t="str">
        <f>IF(OR($A163="F&amp;F",$G163=""),"",IF(Z$8&gt;$G163,IF(OR(status1B5!AA163=1,status1B5!AA163=2,'BOULEVARD 5'!AC161&gt;0),"Pagado","impago"),""))</f>
        <v>Pagado</v>
      </c>
      <c r="AA163" s="666" t="str">
        <f>IF(OR($A163="F&amp;F",$G163=""),"",IF(AA$8&gt;$G163,IF(OR(status1B5!AB163=1,status1B5!AB163=2,'BOULEVARD 5'!AD161&gt;0),"Pagado","impago"),""))</f>
        <v>Pagado</v>
      </c>
      <c r="AB163" s="666" t="str">
        <f>IF(OR($A163="F&amp;F",$G163=""),"",IF(AB$8&gt;$G163,IF(OR(status1B5!AC163=1,status1B5!AC163=2,'BOULEVARD 5'!AE161&gt;0),"Pagado","impago"),""))</f>
        <v>Pagado</v>
      </c>
      <c r="AC163" s="666" t="str">
        <f>IF(OR($A163="F&amp;F",$G163=""),"",IF(AC$8&gt;$G163,IF(OR(status1B5!AD163=1,status1B5!AD163=2,'BOULEVARD 5'!AF161&gt;0),"Pagado","impago"),""))</f>
        <v>Pagado</v>
      </c>
      <c r="AD163" s="666" t="str">
        <f>IF(OR($A163="F&amp;F",$G163=""),"",IF(AD$8&gt;$G163,IF(OR(status1B5!AE163=1,status1B5!AE163=2,'BOULEVARD 5'!AG161&gt;0),"Pagado","impago"),""))</f>
        <v>Pagado</v>
      </c>
      <c r="AE163" s="666" t="str">
        <f>IF(OR($A163="F&amp;F",$G163=""),"",IF(AE$8&gt;$G163,IF(OR(status1B5!AF163=1,status1B5!AF163=2,'BOULEVARD 5'!AH161&gt;0),"Pagado","impago"),""))</f>
        <v>Pagado</v>
      </c>
      <c r="AF163" s="666" t="str">
        <f>IF(OR($A163="F&amp;F",$G163=""),"",IF(AF$8&gt;$G163,IF(OR(status1B5!AG163=1,status1B5!AG163=2,'BOULEVARD 5'!AI161&gt;0),"Pagado","impago"),""))</f>
        <v>Pagado</v>
      </c>
      <c r="AG163" s="666" t="str">
        <f>IF(OR($A163="F&amp;F",$G163=""),"",IF(AG$8&gt;$G163,IF(OR(status1B5!AH163=1,status1B5!AH163=2,'BOULEVARD 5'!AJ161&gt;0),"Pagado","impago"),""))</f>
        <v>Pagado</v>
      </c>
      <c r="AH163" s="666" t="str">
        <f>IF(OR($A163="F&amp;F",$G163=""),"",IF(AH$8&gt;$G163,IF(OR(status1B5!AI163=1,status1B5!AI163=2,'BOULEVARD 5'!AK161&gt;0),"Pagado","impago"),""))</f>
        <v>Pagado</v>
      </c>
      <c r="AI163" s="666" t="str">
        <f>IF(OR($A163="F&amp;F",$G163=""),"",IF(AI$8&gt;$G163,IF(OR(status1B5!AJ163=1,status1B5!AJ163=2,'BOULEVARD 5'!AL161&gt;0),"Pagado","impago"),""))</f>
        <v>Pagado</v>
      </c>
      <c r="AJ163" s="666" t="str">
        <f>IF(OR($A163="F&amp;F",$G163=""),"",IF(AJ$8&gt;$G163,IF(OR(status1B5!AK163=1,status1B5!AK163=2,'BOULEVARD 5'!AM161&gt;0),"Pagado","impago"),""))</f>
        <v>Pagado</v>
      </c>
      <c r="AK163" s="666" t="str">
        <f>IF(OR($A163="F&amp;F",$G163=""),"",IF(AK$8&gt;$G163,IF(OR(status1B5!AL163=1,status1B5!AL163=2,'BOULEVARD 5'!AN161&gt;0),"Pagado","impago"),""))</f>
        <v>Pagado</v>
      </c>
      <c r="AL163" s="666" t="str">
        <f>IF(OR($A163="F&amp;F",$G163=""),"",IF(AL$8&gt;$G163,IF(OR(status1B5!AM163=1,status1B5!AM163=2,'BOULEVARD 5'!AO161&gt;0),"Pagado","impago"),""))</f>
        <v>Pagado</v>
      </c>
      <c r="AM163" s="666" t="str">
        <f>IF(OR($A163="F&amp;F",$G163=""),"",IF(AM$8&gt;$G163,IF(OR(status1B5!AN163=1,status1B5!AN163=2,'BOULEVARD 5'!AP161&gt;0),"Pagado","impago"),""))</f>
        <v>Pagado</v>
      </c>
      <c r="AN163" s="666" t="str">
        <f>IF(OR($A163="F&amp;F",$G163=""),"",IF(AN$8&gt;$G163,IF(OR(status1B5!AO163=1,status1B5!AO163=2,'BOULEVARD 5'!AQ161&gt;0),"Pagado","impago"),""))</f>
        <v>Pagado</v>
      </c>
      <c r="AO163" s="666" t="str">
        <f>IF(OR($A163="F&amp;F",$G163=""),"",IF(AO$8&gt;$G163,IF(OR(status1B5!AP163=1,status1B5!AP163=2,'BOULEVARD 5'!AS161&gt;0),"Pagado","impago"),""))</f>
        <v>Pagado</v>
      </c>
      <c r="AP163" s="429" t="str">
        <f t="shared" si="7"/>
        <v>Vendido</v>
      </c>
    </row>
    <row r="164" spans="1:42" s="429" customFormat="1" ht="13.9" customHeight="1" x14ac:dyDescent="0.25">
      <c r="A164" s="472"/>
      <c r="B164" s="436">
        <f>'BOULEVARD 5'!B162</f>
        <v>909</v>
      </c>
      <c r="C164" s="436" t="s">
        <v>355</v>
      </c>
      <c r="D164" s="436"/>
      <c r="E164" s="436" t="str">
        <f>IF('BOULEVARD 5'!E162="","",'BOULEVARD 5'!E162)</f>
        <v>Brenda Búcaro</v>
      </c>
      <c r="F164" s="429" t="str">
        <f>IF('BOULEVARD 5'!F162="","",'BOULEVARD 5'!F162)</f>
        <v>Alba Lucila Martinez Tobar</v>
      </c>
      <c r="G164" s="473">
        <f>IF('BOULEVARD 5'!G162="","",'BOULEVARD 5'!G162)</f>
        <v>45118</v>
      </c>
      <c r="H164" s="666" t="str">
        <f>IF(OR($A164="F&amp;F",$G164=""),"",IF(H$8&gt;$G164,IF(OR(status1B5!I164=1,status1B5!I164=2,'BOULEVARD 5'!K162&gt;0),"Pagado","impago"),""))</f>
        <v/>
      </c>
      <c r="I164" s="666" t="str">
        <f>IF(OR($A164="F&amp;F",$G164=""),"",IF(I$8&gt;$G164,IF(OR(status1B5!J164=1,status1B5!J164=2,'BOULEVARD 5'!L162&gt;0),"Pagado","impago"),""))</f>
        <v/>
      </c>
      <c r="J164" s="666" t="str">
        <f>IF(OR($A164="F&amp;F",$G164=""),"",IF(J$8&gt;$G164,IF(OR(status1B5!K164=1,status1B5!K164=2,'BOULEVARD 5'!M162&gt;0),"Pagado","impago"),""))</f>
        <v/>
      </c>
      <c r="K164" s="666" t="str">
        <f>IF(OR($A164="F&amp;F",$G164=""),"",IF(K$8&gt;$G164,IF(OR(status1B5!L164=1,status1B5!L164=2,'BOULEVARD 5'!N162&gt;0),"Pagado","impago"),""))</f>
        <v/>
      </c>
      <c r="L164" s="666" t="str">
        <f>IF(OR($A164="F&amp;F",$G164=""),"",IF(L$8&gt;$G164,IF(OR(status1B5!M164=1,status1B5!M164=2,'BOULEVARD 5'!O162&gt;0),"Pagado","impago"),""))</f>
        <v>Pagado</v>
      </c>
      <c r="M164" s="666" t="str">
        <f>IF(OR($A164="F&amp;F",$G164=""),"",IF(M$8&gt;$G164,IF(OR(status1B5!N164=1,status1B5!N164=2,'BOULEVARD 5'!P162&gt;0),"Pagado","impago"),""))</f>
        <v>Pagado</v>
      </c>
      <c r="N164" s="666" t="str">
        <f>IF(OR($A164="F&amp;F",$G164=""),"",IF(N$8&gt;$G164,IF(OR(status1B5!O164=1,status1B5!O164=2,'BOULEVARD 5'!Q162&gt;0),"Pagado","impago"),""))</f>
        <v>Pagado</v>
      </c>
      <c r="O164" s="666" t="str">
        <f>IF(OR($A164="F&amp;F",$G164=""),"",IF(O$8&gt;$G164,IF(OR(status1B5!P164=1,status1B5!P164=2,'BOULEVARD 5'!R162&gt;0),"Pagado","impago"),""))</f>
        <v>Pagado</v>
      </c>
      <c r="P164" s="666" t="str">
        <f>IF(OR($A164="F&amp;F",$G164=""),"",IF(P$8&gt;$G164,IF(OR(status1B5!Q164=1,status1B5!Q164=2,'BOULEVARD 5'!S162&gt;0),"Pagado","impago"),""))</f>
        <v>Pagado</v>
      </c>
      <c r="Q164" s="666" t="str">
        <f>IF(OR($A164="F&amp;F",$G164=""),"",IF(Q$8&gt;$G164,IF(OR(status1B5!R164=1,status1B5!R164=2,'BOULEVARD 5'!T162&gt;0),"Pagado","impago"),""))</f>
        <v>Pagado</v>
      </c>
      <c r="R164" s="666" t="str">
        <f>IF(OR($A164="F&amp;F",$G164=""),"",IF(R$8&gt;$G164,IF(OR(status1B5!S164=1,status1B5!S164=2,'BOULEVARD 5'!U162&gt;0),"Pagado","impago"),""))</f>
        <v>Pagado</v>
      </c>
      <c r="S164" s="666" t="str">
        <f>IF(OR($A164="F&amp;F",$G164=""),"",IF(S$8&gt;$G164,IF(OR(status1B5!T164=1,status1B5!T164=2,'BOULEVARD 5'!V162&gt;0),"Pagado","impago"),""))</f>
        <v>Pagado</v>
      </c>
      <c r="T164" s="666" t="str">
        <f>IF(OR($A164="F&amp;F",$G164=""),"",IF(T$8&gt;$G164,IF(OR(status1B5!U164=1,status1B5!U164=2,'BOULEVARD 5'!W162&gt;0),"Pagado","impago"),""))</f>
        <v>Pagado</v>
      </c>
      <c r="U164" s="666" t="str">
        <f>IF(OR($A164="F&amp;F",$G164=""),"",IF(U$8&gt;$G164,IF(OR(status1B5!V164=1,status1B5!V164=2,'BOULEVARD 5'!X162&gt;0),"Pagado","impago"),""))</f>
        <v>Pagado</v>
      </c>
      <c r="V164" s="666" t="str">
        <f>IF(OR($A164="F&amp;F",$G164=""),"",IF(V$8&gt;$G164,IF(OR(status1B5!W164=1,status1B5!W164=2,'BOULEVARD 5'!Y162&gt;0),"Pagado","impago"),""))</f>
        <v>Pagado</v>
      </c>
      <c r="W164" s="666" t="str">
        <f>IF(OR($A164="F&amp;F",$G164=""),"",IF(W$8&gt;$G164,IF(OR(status1B5!X164=1,status1B5!X164=2,'BOULEVARD 5'!Z162&gt;0),"Pagado","impago"),""))</f>
        <v>Pagado</v>
      </c>
      <c r="X164" s="666" t="str">
        <f>IF(OR($A164="F&amp;F",$G164=""),"",IF(X$8&gt;$G164,IF(OR(status1B5!Y164=1,status1B5!Y164=2,'BOULEVARD 5'!AA162&gt;0),"Pagado","impago"),""))</f>
        <v>Pagado</v>
      </c>
      <c r="Y164" s="666" t="str">
        <f>IF(OR($A164="F&amp;F",$G164=""),"",IF(Y$8&gt;$G164,IF(OR(status1B5!Z164=1,status1B5!Z164=2,'BOULEVARD 5'!AB162&gt;0),"Pagado","impago"),""))</f>
        <v>Pagado</v>
      </c>
      <c r="Z164" s="666" t="str">
        <f>IF(OR($A164="F&amp;F",$G164=""),"",IF(Z$8&gt;$G164,IF(OR(status1B5!AA164=1,status1B5!AA164=2,'BOULEVARD 5'!AC162&gt;0),"Pagado","impago"),""))</f>
        <v>Pagado</v>
      </c>
      <c r="AA164" s="666" t="str">
        <f>IF(OR($A164="F&amp;F",$G164=""),"",IF(AA$8&gt;$G164,IF(OR(status1B5!AB164=1,status1B5!AB164=2,'BOULEVARD 5'!AD162&gt;0),"Pagado","impago"),""))</f>
        <v>Pagado</v>
      </c>
      <c r="AB164" s="666" t="str">
        <f>IF(OR($A164="F&amp;F",$G164=""),"",IF(AB$8&gt;$G164,IF(OR(status1B5!AC164=1,status1B5!AC164=2,'BOULEVARD 5'!AE162&gt;0),"Pagado","impago"),""))</f>
        <v>Pagado</v>
      </c>
      <c r="AC164" s="666" t="str">
        <f>IF(OR($A164="F&amp;F",$G164=""),"",IF(AC$8&gt;$G164,IF(OR(status1B5!AD164=1,status1B5!AD164=2,'BOULEVARD 5'!AF162&gt;0),"Pagado","impago"),""))</f>
        <v>Pagado</v>
      </c>
      <c r="AD164" s="666" t="str">
        <f>IF(OR($A164="F&amp;F",$G164=""),"",IF(AD$8&gt;$G164,IF(OR(status1B5!AE164=1,status1B5!AE164=2,'BOULEVARD 5'!AG162&gt;0),"Pagado","impago"),""))</f>
        <v>Pagado</v>
      </c>
      <c r="AE164" s="666" t="str">
        <f>IF(OR($A164="F&amp;F",$G164=""),"",IF(AE$8&gt;$G164,IF(OR(status1B5!AF164=1,status1B5!AF164=2,'BOULEVARD 5'!AH162&gt;0),"Pagado","impago"),""))</f>
        <v>Pagado</v>
      </c>
      <c r="AF164" s="666" t="str">
        <f>IF(OR($A164="F&amp;F",$G164=""),"",IF(AF$8&gt;$G164,IF(OR(status1B5!AG164=1,status1B5!AG164=2,'BOULEVARD 5'!AI162&gt;0),"Pagado","impago"),""))</f>
        <v>Pagado</v>
      </c>
      <c r="AG164" s="666" t="str">
        <f>IF(OR($A164="F&amp;F",$G164=""),"",IF(AG$8&gt;$G164,IF(OR(status1B5!AH164=1,status1B5!AH164=2,'BOULEVARD 5'!AJ162&gt;0),"Pagado","impago"),""))</f>
        <v>Pagado</v>
      </c>
      <c r="AH164" s="666" t="str">
        <f>IF(OR($A164="F&amp;F",$G164=""),"",IF(AH$8&gt;$G164,IF(OR(status1B5!AI164=1,status1B5!AI164=2,'BOULEVARD 5'!AK162&gt;0),"Pagado","impago"),""))</f>
        <v>Pagado</v>
      </c>
      <c r="AI164" s="666" t="str">
        <f>IF(OR($A164="F&amp;F",$G164=""),"",IF(AI$8&gt;$G164,IF(OR(status1B5!AJ164=1,status1B5!AJ164=2,'BOULEVARD 5'!AL162&gt;0),"Pagado","impago"),""))</f>
        <v>Pagado</v>
      </c>
      <c r="AJ164" s="666" t="str">
        <f>IF(OR($A164="F&amp;F",$G164=""),"",IF(AJ$8&gt;$G164,IF(OR(status1B5!AK164=1,status1B5!AK164=2,'BOULEVARD 5'!AM162&gt;0),"Pagado","impago"),""))</f>
        <v>Pagado</v>
      </c>
      <c r="AK164" s="666" t="str">
        <f>IF(OR($A164="F&amp;F",$G164=""),"",IF(AK$8&gt;$G164,IF(OR(status1B5!AL164=1,status1B5!AL164=2,'BOULEVARD 5'!AN162&gt;0),"Pagado","impago"),""))</f>
        <v>Pagado</v>
      </c>
      <c r="AL164" s="666" t="str">
        <f>IF(OR($A164="F&amp;F",$G164=""),"",IF(AL$8&gt;$G164,IF(OR(status1B5!AM164=1,status1B5!AM164=2,'BOULEVARD 5'!AO162&gt;0),"Pagado","impago"),""))</f>
        <v>Pagado</v>
      </c>
      <c r="AM164" s="666" t="str">
        <f>IF(OR($A164="F&amp;F",$G164=""),"",IF(AM$8&gt;$G164,IF(OR(status1B5!AN164=1,status1B5!AN164=2,'BOULEVARD 5'!AP162&gt;0),"Pagado","impago"),""))</f>
        <v>Pagado</v>
      </c>
      <c r="AN164" s="666" t="str">
        <f>IF(OR($A164="F&amp;F",$G164=""),"",IF(AN$8&gt;$G164,IF(OR(status1B5!AO164=1,status1B5!AO164=2,'BOULEVARD 5'!AQ162&gt;0),"Pagado","impago"),""))</f>
        <v>Pagado</v>
      </c>
      <c r="AO164" s="666" t="str">
        <f>IF(OR($A164="F&amp;F",$G164=""),"",IF(AO$8&gt;$G164,IF(OR(status1B5!AP164=1,status1B5!AP164=2,'BOULEVARD 5'!AS162&gt;0),"Pagado","impago"),""))</f>
        <v>Pagado</v>
      </c>
      <c r="AP164" s="429" t="str">
        <f t="shared" si="7"/>
        <v>Vendido</v>
      </c>
    </row>
    <row r="165" spans="1:42" s="429" customFormat="1" ht="13.9" customHeight="1" x14ac:dyDescent="0.25">
      <c r="A165" s="472"/>
      <c r="B165" s="436">
        <f>'BOULEVARD 5'!B163</f>
        <v>910</v>
      </c>
      <c r="C165" s="436" t="s">
        <v>355</v>
      </c>
      <c r="D165" s="436"/>
      <c r="E165" s="436" t="str">
        <f>IF('BOULEVARD 5'!E163="","",'BOULEVARD 5'!E163)</f>
        <v/>
      </c>
      <c r="F165" s="429" t="str">
        <f>IF('BOULEVARD 5'!F163="","",'BOULEVARD 5'!F163)</f>
        <v/>
      </c>
      <c r="G165" s="473" t="str">
        <f>IF('BOULEVARD 5'!G163="","",'BOULEVARD 5'!G163)</f>
        <v/>
      </c>
      <c r="H165" s="666" t="str">
        <f>IF(OR($A165="F&amp;F",$G165=""),"",IF(H$8&gt;$G165,IF(OR(status1B5!I165=1,status1B5!I165=2,'BOULEVARD 5'!K163&gt;0),"Pagado","impago"),""))</f>
        <v/>
      </c>
      <c r="I165" s="666" t="str">
        <f>IF(OR($A165="F&amp;F",$G165=""),"",IF(I$8&gt;$G165,IF(OR(status1B5!J165=1,status1B5!J165=2,'BOULEVARD 5'!L163&gt;0),"Pagado","impago"),""))</f>
        <v/>
      </c>
      <c r="J165" s="666" t="str">
        <f>IF(OR($A165="F&amp;F",$G165=""),"",IF(J$8&gt;$G165,IF(OR(status1B5!K165=1,status1B5!K165=2,'BOULEVARD 5'!M163&gt;0),"Pagado","impago"),""))</f>
        <v/>
      </c>
      <c r="K165" s="666" t="str">
        <f>IF(OR($A165="F&amp;F",$G165=""),"",IF(K$8&gt;$G165,IF(OR(status1B5!L165=1,status1B5!L165=2,'BOULEVARD 5'!N163&gt;0),"Pagado","impago"),""))</f>
        <v/>
      </c>
      <c r="L165" s="666" t="str">
        <f>IF(OR($A165="F&amp;F",$G165=""),"",IF(L$8&gt;$G165,IF(OR(status1B5!M165=1,status1B5!M165=2,'BOULEVARD 5'!O163&gt;0),"Pagado","impago"),""))</f>
        <v/>
      </c>
      <c r="M165" s="666" t="str">
        <f>IF(OR($A165="F&amp;F",$G165=""),"",IF(M$8&gt;$G165,IF(OR(status1B5!N165=1,status1B5!N165=2,'BOULEVARD 5'!P163&gt;0),"Pagado","impago"),""))</f>
        <v/>
      </c>
      <c r="N165" s="666" t="str">
        <f>IF(OR($A165="F&amp;F",$G165=""),"",IF(N$8&gt;$G165,IF(OR(status1B5!O165=1,status1B5!O165=2,'BOULEVARD 5'!Q163&gt;0),"Pagado","impago"),""))</f>
        <v/>
      </c>
      <c r="O165" s="666" t="str">
        <f>IF(OR($A165="F&amp;F",$G165=""),"",IF(O$8&gt;$G165,IF(OR(status1B5!P165=1,status1B5!P165=2,'BOULEVARD 5'!R163&gt;0),"Pagado","impago"),""))</f>
        <v/>
      </c>
      <c r="P165" s="666" t="str">
        <f>IF(OR($A165="F&amp;F",$G165=""),"",IF(P$8&gt;$G165,IF(OR(status1B5!Q165=1,status1B5!Q165=2,'BOULEVARD 5'!S163&gt;0),"Pagado","impago"),""))</f>
        <v/>
      </c>
      <c r="Q165" s="666" t="str">
        <f>IF(OR($A165="F&amp;F",$G165=""),"",IF(Q$8&gt;$G165,IF(OR(status1B5!R165=1,status1B5!R165=2,'BOULEVARD 5'!T163&gt;0),"Pagado","impago"),""))</f>
        <v/>
      </c>
      <c r="R165" s="666" t="str">
        <f>IF(OR($A165="F&amp;F",$G165=""),"",IF(R$8&gt;$G165,IF(OR(status1B5!S165=1,status1B5!S165=2,'BOULEVARD 5'!U163&gt;0),"Pagado","impago"),""))</f>
        <v/>
      </c>
      <c r="S165" s="666" t="str">
        <f>IF(OR($A165="F&amp;F",$G165=""),"",IF(S$8&gt;$G165,IF(OR(status1B5!T165=1,status1B5!T165=2,'BOULEVARD 5'!V163&gt;0),"Pagado","impago"),""))</f>
        <v/>
      </c>
      <c r="T165" s="666" t="str">
        <f>IF(OR($A165="F&amp;F",$G165=""),"",IF(T$8&gt;$G165,IF(OR(status1B5!U165=1,status1B5!U165=2,'BOULEVARD 5'!W163&gt;0),"Pagado","impago"),""))</f>
        <v/>
      </c>
      <c r="U165" s="666" t="str">
        <f>IF(OR($A165="F&amp;F",$G165=""),"",IF(U$8&gt;$G165,IF(OR(status1B5!V165=1,status1B5!V165=2,'BOULEVARD 5'!X163&gt;0),"Pagado","impago"),""))</f>
        <v/>
      </c>
      <c r="V165" s="666" t="str">
        <f>IF(OR($A165="F&amp;F",$G165=""),"",IF(V$8&gt;$G165,IF(OR(status1B5!W165=1,status1B5!W165=2,'BOULEVARD 5'!Y163&gt;0),"Pagado","impago"),""))</f>
        <v/>
      </c>
      <c r="W165" s="666" t="str">
        <f>IF(OR($A165="F&amp;F",$G165=""),"",IF(W$8&gt;$G165,IF(OR(status1B5!X165=1,status1B5!X165=2,'BOULEVARD 5'!Z163&gt;0),"Pagado","impago"),""))</f>
        <v/>
      </c>
      <c r="X165" s="666" t="str">
        <f>IF(OR($A165="F&amp;F",$G165=""),"",IF(X$8&gt;$G165,IF(OR(status1B5!Y165=1,status1B5!Y165=2,'BOULEVARD 5'!AA163&gt;0),"Pagado","impago"),""))</f>
        <v/>
      </c>
      <c r="Y165" s="666" t="str">
        <f>IF(OR($A165="F&amp;F",$G165=""),"",IF(Y$8&gt;$G165,IF(OR(status1B5!Z165=1,status1B5!Z165=2,'BOULEVARD 5'!AB163&gt;0),"Pagado","impago"),""))</f>
        <v/>
      </c>
      <c r="Z165" s="666" t="str">
        <f>IF(OR($A165="F&amp;F",$G165=""),"",IF(Z$8&gt;$G165,IF(OR(status1B5!AA165=1,status1B5!AA165=2,'BOULEVARD 5'!AC163&gt;0),"Pagado","impago"),""))</f>
        <v/>
      </c>
      <c r="AA165" s="666" t="str">
        <f>IF(OR($A165="F&amp;F",$G165=""),"",IF(AA$8&gt;$G165,IF(OR(status1B5!AB165=1,status1B5!AB165=2,'BOULEVARD 5'!AD163&gt;0),"Pagado","impago"),""))</f>
        <v/>
      </c>
      <c r="AB165" s="666" t="str">
        <f>IF(OR($A165="F&amp;F",$G165=""),"",IF(AB$8&gt;$G165,IF(OR(status1B5!AC165=1,status1B5!AC165=2,'BOULEVARD 5'!AE163&gt;0),"Pagado","impago"),""))</f>
        <v/>
      </c>
      <c r="AC165" s="666" t="str">
        <f>IF(OR($A165="F&amp;F",$G165=""),"",IF(AC$8&gt;$G165,IF(OR(status1B5!AD165=1,status1B5!AD165=2,'BOULEVARD 5'!AF163&gt;0),"Pagado","impago"),""))</f>
        <v/>
      </c>
      <c r="AD165" s="666" t="str">
        <f>IF(OR($A165="F&amp;F",$G165=""),"",IF(AD$8&gt;$G165,IF(OR(status1B5!AE165=1,status1B5!AE165=2,'BOULEVARD 5'!AG163&gt;0),"Pagado","impago"),""))</f>
        <v/>
      </c>
      <c r="AE165" s="666" t="str">
        <f>IF(OR($A165="F&amp;F",$G165=""),"",IF(AE$8&gt;$G165,IF(OR(status1B5!AF165=1,status1B5!AF165=2,'BOULEVARD 5'!AH163&gt;0),"Pagado","impago"),""))</f>
        <v/>
      </c>
      <c r="AF165" s="666" t="str">
        <f>IF(OR($A165="F&amp;F",$G165=""),"",IF(AF$8&gt;$G165,IF(OR(status1B5!AG165=1,status1B5!AG165=2,'BOULEVARD 5'!AI163&gt;0),"Pagado","impago"),""))</f>
        <v/>
      </c>
      <c r="AG165" s="666" t="str">
        <f>IF(OR($A165="F&amp;F",$G165=""),"",IF(AG$8&gt;$G165,IF(OR(status1B5!AH165=1,status1B5!AH165=2,'BOULEVARD 5'!AJ163&gt;0),"Pagado","impago"),""))</f>
        <v/>
      </c>
      <c r="AH165" s="666" t="str">
        <f>IF(OR($A165="F&amp;F",$G165=""),"",IF(AH$8&gt;$G165,IF(OR(status1B5!AI165=1,status1B5!AI165=2,'BOULEVARD 5'!AK163&gt;0),"Pagado","impago"),""))</f>
        <v/>
      </c>
      <c r="AI165" s="666" t="str">
        <f>IF(OR($A165="F&amp;F",$G165=""),"",IF(AI$8&gt;$G165,IF(OR(status1B5!AJ165=1,status1B5!AJ165=2,'BOULEVARD 5'!AL163&gt;0),"Pagado","impago"),""))</f>
        <v/>
      </c>
      <c r="AJ165" s="666" t="str">
        <f>IF(OR($A165="F&amp;F",$G165=""),"",IF(AJ$8&gt;$G165,IF(OR(status1B5!AK165=1,status1B5!AK165=2,'BOULEVARD 5'!AM163&gt;0),"Pagado","impago"),""))</f>
        <v/>
      </c>
      <c r="AK165" s="666" t="str">
        <f>IF(OR($A165="F&amp;F",$G165=""),"",IF(AK$8&gt;$G165,IF(OR(status1B5!AL165=1,status1B5!AL165=2,'BOULEVARD 5'!AN163&gt;0),"Pagado","impago"),""))</f>
        <v/>
      </c>
      <c r="AL165" s="666" t="str">
        <f>IF(OR($A165="F&amp;F",$G165=""),"",IF(AL$8&gt;$G165,IF(OR(status1B5!AM165=1,status1B5!AM165=2,'BOULEVARD 5'!AO163&gt;0),"Pagado","impago"),""))</f>
        <v/>
      </c>
      <c r="AM165" s="666" t="str">
        <f>IF(OR($A165="F&amp;F",$G165=""),"",IF(AM$8&gt;$G165,IF(OR(status1B5!AN165=1,status1B5!AN165=2,'BOULEVARD 5'!AP163&gt;0),"Pagado","impago"),""))</f>
        <v/>
      </c>
      <c r="AN165" s="666" t="str">
        <f>IF(OR($A165="F&amp;F",$G165=""),"",IF(AN$8&gt;$G165,IF(OR(status1B5!AO165=1,status1B5!AO165=2,'BOULEVARD 5'!AQ163&gt;0),"Pagado","impago"),""))</f>
        <v/>
      </c>
      <c r="AO165" s="666" t="str">
        <f>IF(OR($A165="F&amp;F",$G165=""),"",IF(AO$8&gt;$G165,IF(OR(status1B5!AP165=1,status1B5!AP165=2,'BOULEVARD 5'!AS163&gt;0),"Pagado","impago"),""))</f>
        <v/>
      </c>
      <c r="AP165" s="429" t="str">
        <f t="shared" si="7"/>
        <v>No Vendido</v>
      </c>
    </row>
    <row r="166" spans="1:42" s="429" customFormat="1" ht="13.9" customHeight="1" x14ac:dyDescent="0.25">
      <c r="A166" s="472"/>
      <c r="B166" s="436">
        <f>'BOULEVARD 5'!B164</f>
        <v>911</v>
      </c>
      <c r="C166" s="436" t="s">
        <v>355</v>
      </c>
      <c r="D166" s="436"/>
      <c r="E166" s="436" t="str">
        <f>IF('BOULEVARD 5'!E164="","",'BOULEVARD 5'!E164)</f>
        <v>Brenda Búcaro</v>
      </c>
      <c r="F166" s="429" t="str">
        <f>IF('BOULEVARD 5'!F164="","",'BOULEVARD 5'!F164)</f>
        <v>Mario Alberto Maldonado Recinos</v>
      </c>
      <c r="G166" s="473">
        <f>IF('BOULEVARD 5'!G164="","",'BOULEVARD 5'!G164)</f>
        <v>45185</v>
      </c>
      <c r="H166" s="666" t="str">
        <f>IF(OR($A166="F&amp;F",$G166=""),"",IF(H$8&gt;$G166,IF(OR(status1B5!I166=1,status1B5!I166=2,'BOULEVARD 5'!K164&gt;0),"Pagado","impago"),""))</f>
        <v/>
      </c>
      <c r="I166" s="666" t="str">
        <f>IF(OR($A166="F&amp;F",$G166=""),"",IF(I$8&gt;$G166,IF(OR(status1B5!J166=1,status1B5!J166=2,'BOULEVARD 5'!L164&gt;0),"Pagado","impago"),""))</f>
        <v/>
      </c>
      <c r="J166" s="666" t="str">
        <f>IF(OR($A166="F&amp;F",$G166=""),"",IF(J$8&gt;$G166,IF(OR(status1B5!K166=1,status1B5!K166=2,'BOULEVARD 5'!M164&gt;0),"Pagado","impago"),""))</f>
        <v/>
      </c>
      <c r="K166" s="666" t="str">
        <f>IF(OR($A166="F&amp;F",$G166=""),"",IF(K$8&gt;$G166,IF(OR(status1B5!L166=1,status1B5!L166=2,'BOULEVARD 5'!N164&gt;0),"Pagado","impago"),""))</f>
        <v/>
      </c>
      <c r="L166" s="666" t="str">
        <f>IF(OR($A166="F&amp;F",$G166=""),"",IF(L$8&gt;$G166,IF(OR(status1B5!M166=1,status1B5!M166=2,'BOULEVARD 5'!O164&gt;0),"Pagado","impago"),""))</f>
        <v/>
      </c>
      <c r="M166" s="666" t="str">
        <f>IF(OR($A166="F&amp;F",$G166=""),"",IF(M$8&gt;$G166,IF(OR(status1B5!N166=1,status1B5!N166=2,'BOULEVARD 5'!P164&gt;0),"Pagado","impago"),""))</f>
        <v/>
      </c>
      <c r="N166" s="666" t="str">
        <f>IF(OR($A166="F&amp;F",$G166=""),"",IF(N$8&gt;$G166,IF(OR(status1B5!O166=1,status1B5!O166=2,'BOULEVARD 5'!Q164&gt;0),"Pagado","impago"),""))</f>
        <v>Pagado</v>
      </c>
      <c r="O166" s="666" t="str">
        <f>IF(OR($A166="F&amp;F",$G166=""),"",IF(O$8&gt;$G166,IF(OR(status1B5!P166=1,status1B5!P166=2,'BOULEVARD 5'!R164&gt;0),"Pagado","impago"),""))</f>
        <v>Pagado</v>
      </c>
      <c r="P166" s="666" t="str">
        <f>IF(OR($A166="F&amp;F",$G166=""),"",IF(P$8&gt;$G166,IF(OR(status1B5!Q166=1,status1B5!Q166=2,'BOULEVARD 5'!S164&gt;0),"Pagado","impago"),""))</f>
        <v>Pagado</v>
      </c>
      <c r="Q166" s="666" t="str">
        <f>IF(OR($A166="F&amp;F",$G166=""),"",IF(Q$8&gt;$G166,IF(OR(status1B5!R166=1,status1B5!R166=2,'BOULEVARD 5'!T164&gt;0),"Pagado","impago"),""))</f>
        <v>Pagado</v>
      </c>
      <c r="R166" s="666" t="str">
        <f>IF(OR($A166="F&amp;F",$G166=""),"",IF(R$8&gt;$G166,IF(OR(status1B5!S166=1,status1B5!S166=2,'BOULEVARD 5'!U164&gt;0),"Pagado","impago"),""))</f>
        <v>Pagado</v>
      </c>
      <c r="S166" s="666" t="str">
        <f>IF(OR($A166="F&amp;F",$G166=""),"",IF(S$8&gt;$G166,IF(OR(status1B5!T166=1,status1B5!T166=2,'BOULEVARD 5'!V164&gt;0),"Pagado","impago"),""))</f>
        <v>Pagado</v>
      </c>
      <c r="T166" s="666" t="str">
        <f>IF(OR($A166="F&amp;F",$G166=""),"",IF(T$8&gt;$G166,IF(OR(status1B5!U166=1,status1B5!U166=2,'BOULEVARD 5'!W164&gt;0),"Pagado","impago"),""))</f>
        <v>Pagado</v>
      </c>
      <c r="U166" s="666" t="str">
        <f>IF(OR($A166="F&amp;F",$G166=""),"",IF(U$8&gt;$G166,IF(OR(status1B5!V166=1,status1B5!V166=2,'BOULEVARD 5'!X164&gt;0),"Pagado","impago"),""))</f>
        <v>Pagado</v>
      </c>
      <c r="V166" s="666" t="str">
        <f>IF(OR($A166="F&amp;F",$G166=""),"",IF(V$8&gt;$G166,IF(OR(status1B5!W166=1,status1B5!W166=2,'BOULEVARD 5'!Y164&gt;0),"Pagado","impago"),""))</f>
        <v>Pagado</v>
      </c>
      <c r="W166" s="666" t="str">
        <f>IF(OR($A166="F&amp;F",$G166=""),"",IF(W$8&gt;$G166,IF(OR(status1B5!X166=1,status1B5!X166=2,'BOULEVARD 5'!Z164&gt;0),"Pagado","impago"),""))</f>
        <v>Pagado</v>
      </c>
      <c r="X166" s="666" t="str">
        <f>IF(OR($A166="F&amp;F",$G166=""),"",IF(X$8&gt;$G166,IF(OR(status1B5!Y166=1,status1B5!Y166=2,'BOULEVARD 5'!AA164&gt;0),"Pagado","impago"),""))</f>
        <v>Pagado</v>
      </c>
      <c r="Y166" s="666" t="str">
        <f>IF(OR($A166="F&amp;F",$G166=""),"",IF(Y$8&gt;$G166,IF(OR(status1B5!Z166=1,status1B5!Z166=2,'BOULEVARD 5'!AB164&gt;0),"Pagado","impago"),""))</f>
        <v>Pagado</v>
      </c>
      <c r="Z166" s="666" t="str">
        <f>IF(OR($A166="F&amp;F",$G166=""),"",IF(Z$8&gt;$G166,IF(OR(status1B5!AA166=1,status1B5!AA166=2,'BOULEVARD 5'!AC164&gt;0),"Pagado","impago"),""))</f>
        <v>Pagado</v>
      </c>
      <c r="AA166" s="666" t="str">
        <f>IF(OR($A166="F&amp;F",$G166=""),"",IF(AA$8&gt;$G166,IF(OR(status1B5!AB166=1,status1B5!AB166=2,'BOULEVARD 5'!AD164&gt;0),"Pagado","impago"),""))</f>
        <v>Pagado</v>
      </c>
      <c r="AB166" s="666" t="str">
        <f>IF(OR($A166="F&amp;F",$G166=""),"",IF(AB$8&gt;$G166,IF(OR(status1B5!AC166=1,status1B5!AC166=2,'BOULEVARD 5'!AE164&gt;0),"Pagado","impago"),""))</f>
        <v>Pagado</v>
      </c>
      <c r="AC166" s="666" t="str">
        <f>IF(OR($A166="F&amp;F",$G166=""),"",IF(AC$8&gt;$G166,IF(OR(status1B5!AD166=1,status1B5!AD166=2,'BOULEVARD 5'!AF164&gt;0),"Pagado","impago"),""))</f>
        <v>Pagado</v>
      </c>
      <c r="AD166" s="666" t="str">
        <f>IF(OR($A166="F&amp;F",$G166=""),"",IF(AD$8&gt;$G166,IF(OR(status1B5!AE166=1,status1B5!AE166=2,'BOULEVARD 5'!AG164&gt;0),"Pagado","impago"),""))</f>
        <v>Pagado</v>
      </c>
      <c r="AE166" s="666" t="str">
        <f>IF(OR($A166="F&amp;F",$G166=""),"",IF(AE$8&gt;$G166,IF(OR(status1B5!AF166=1,status1B5!AF166=2,'BOULEVARD 5'!AH164&gt;0),"Pagado","impago"),""))</f>
        <v>Pagado</v>
      </c>
      <c r="AF166" s="666" t="str">
        <f>IF(OR($A166="F&amp;F",$G166=""),"",IF(AF$8&gt;$G166,IF(OR(status1B5!AG166=1,status1B5!AG166=2,'BOULEVARD 5'!AI164&gt;0),"Pagado","impago"),""))</f>
        <v>Pagado</v>
      </c>
      <c r="AG166" s="666" t="str">
        <f>IF(OR($A166="F&amp;F",$G166=""),"",IF(AG$8&gt;$G166,IF(OR(status1B5!AH166=1,status1B5!AH166=2,'BOULEVARD 5'!AJ164&gt;0),"Pagado","impago"),""))</f>
        <v>Pagado</v>
      </c>
      <c r="AH166" s="666" t="str">
        <f>IF(OR($A166="F&amp;F",$G166=""),"",IF(AH$8&gt;$G166,IF(OR(status1B5!AI166=1,status1B5!AI166=2,'BOULEVARD 5'!AK164&gt;0),"Pagado","impago"),""))</f>
        <v>Pagado</v>
      </c>
      <c r="AI166" s="666" t="str">
        <f>IF(OR($A166="F&amp;F",$G166=""),"",IF(AI$8&gt;$G166,IF(OR(status1B5!AJ166=1,status1B5!AJ166=2,'BOULEVARD 5'!AL164&gt;0),"Pagado","impago"),""))</f>
        <v>Pagado</v>
      </c>
      <c r="AJ166" s="666" t="str">
        <f>IF(OR($A166="F&amp;F",$G166=""),"",IF(AJ$8&gt;$G166,IF(OR(status1B5!AK166=1,status1B5!AK166=2,'BOULEVARD 5'!AM164&gt;0),"Pagado","impago"),""))</f>
        <v>Pagado</v>
      </c>
      <c r="AK166" s="666" t="str">
        <f>IF(OR($A166="F&amp;F",$G166=""),"",IF(AK$8&gt;$G166,IF(OR(status1B5!AL166=1,status1B5!AL166=2,'BOULEVARD 5'!AN164&gt;0),"Pagado","impago"),""))</f>
        <v>Pagado</v>
      </c>
      <c r="AL166" s="666" t="str">
        <f>IF(OR($A166="F&amp;F",$G166=""),"",IF(AL$8&gt;$G166,IF(OR(status1B5!AM166=1,status1B5!AM166=2,'BOULEVARD 5'!AO164&gt;0),"Pagado","impago"),""))</f>
        <v>Pagado</v>
      </c>
      <c r="AM166" s="666" t="str">
        <f>IF(OR($A166="F&amp;F",$G166=""),"",IF(AM$8&gt;$G166,IF(OR(status1B5!AN166=1,status1B5!AN166=2,'BOULEVARD 5'!AP164&gt;0),"Pagado","impago"),""))</f>
        <v>Pagado</v>
      </c>
      <c r="AN166" s="666" t="str">
        <f>IF(OR($A166="F&amp;F",$G166=""),"",IF(AN$8&gt;$G166,IF(OR(status1B5!AO166=1,status1B5!AO166=2,'BOULEVARD 5'!AQ164&gt;0),"Pagado","impago"),""))</f>
        <v>Pagado</v>
      </c>
      <c r="AO166" s="666" t="str">
        <f>IF(OR($A166="F&amp;F",$G166=""),"",IF(AO$8&gt;$G166,IF(OR(status1B5!AP166=1,status1B5!AP166=2,'BOULEVARD 5'!AS164&gt;0),"Pagado","impago"),""))</f>
        <v>Pagado</v>
      </c>
      <c r="AP166" s="429" t="str">
        <f t="shared" si="7"/>
        <v>Vendido</v>
      </c>
    </row>
    <row r="167" spans="1:42" s="429" customFormat="1" ht="13.9" customHeight="1" x14ac:dyDescent="0.25">
      <c r="A167" s="472" t="s">
        <v>58</v>
      </c>
      <c r="B167" s="475">
        <f>'BOULEVARD 5'!B165</f>
        <v>912</v>
      </c>
      <c r="C167" s="475" t="s">
        <v>355</v>
      </c>
      <c r="D167" s="475"/>
      <c r="E167" s="475" t="str">
        <f>IF('BOULEVARD 5'!E165="","",'BOULEVARD 5'!E165)</f>
        <v>Ronaldo</v>
      </c>
      <c r="F167" s="476" t="str">
        <f>IF('BOULEVARD 5'!F165="","",'BOULEVARD 5'!F165)</f>
        <v>Iurix, S.A</v>
      </c>
      <c r="G167" s="473">
        <f>IF('BOULEVARD 5'!G165="","",'BOULEVARD 5'!G165)</f>
        <v>45300</v>
      </c>
      <c r="H167" s="666" t="str">
        <f>IF(OR($A167="F&amp;F",$G167=""),"",IF(H$8&gt;$G167,IF(OR(status1B5!I167=1,status1B5!I167=2,'BOULEVARD 5'!K165&gt;0),"Pagado","impago"),""))</f>
        <v/>
      </c>
      <c r="I167" s="666" t="str">
        <f>IF(OR($A167="F&amp;F",$G167=""),"",IF(I$8&gt;$G167,IF(OR(status1B5!J167=1,status1B5!J167=2,'BOULEVARD 5'!L165&gt;0),"Pagado","impago"),""))</f>
        <v/>
      </c>
      <c r="J167" s="666" t="str">
        <f>IF(OR($A167="F&amp;F",$G167=""),"",IF(J$8&gt;$G167,IF(OR(status1B5!K167=1,status1B5!K167=2,'BOULEVARD 5'!M165&gt;0),"Pagado","impago"),""))</f>
        <v/>
      </c>
      <c r="K167" s="666" t="str">
        <f>IF(OR($A167="F&amp;F",$G167=""),"",IF(K$8&gt;$G167,IF(OR(status1B5!L167=1,status1B5!L167=2,'BOULEVARD 5'!N165&gt;0),"Pagado","impago"),""))</f>
        <v/>
      </c>
      <c r="L167" s="666" t="str">
        <f>IF(OR($A167="F&amp;F",$G167=""),"",IF(L$8&gt;$G167,IF(OR(status1B5!M167=1,status1B5!M167=2,'BOULEVARD 5'!O165&gt;0),"Pagado","impago"),""))</f>
        <v/>
      </c>
      <c r="M167" s="666" t="str">
        <f>IF(OR($A167="F&amp;F",$G167=""),"",IF(M$8&gt;$G167,IF(OR(status1B5!N167=1,status1B5!N167=2,'BOULEVARD 5'!P165&gt;0),"Pagado","impago"),""))</f>
        <v/>
      </c>
      <c r="N167" s="666" t="str">
        <f>IF(OR($A167="F&amp;F",$G167=""),"",IF(N$8&gt;$G167,IF(OR(status1B5!O167=1,status1B5!O167=2,'BOULEVARD 5'!Q165&gt;0),"Pagado","impago"),""))</f>
        <v/>
      </c>
      <c r="O167" s="666" t="str">
        <f>IF(OR($A167="F&amp;F",$G167=""),"",IF(O$8&gt;$G167,IF(OR(status1B5!P167=1,status1B5!P167=2,'BOULEVARD 5'!R165&gt;0),"Pagado","impago"),""))</f>
        <v/>
      </c>
      <c r="P167" s="666" t="str">
        <f>IF(OR($A167="F&amp;F",$G167=""),"",IF(P$8&gt;$G167,IF(OR(status1B5!Q167=1,status1B5!Q167=2,'BOULEVARD 5'!S165&gt;0),"Pagado","impago"),""))</f>
        <v/>
      </c>
      <c r="Q167" s="666" t="str">
        <f>IF(OR($A167="F&amp;F",$G167=""),"",IF(Q$8&gt;$G167,IF(OR(status1B5!R167=1,status1B5!R167=2,'BOULEVARD 5'!T165&gt;0),"Pagado","impago"),""))</f>
        <v/>
      </c>
      <c r="R167" s="666" t="str">
        <f>IF(OR($A167="F&amp;F",$G167=""),"",IF(R$8&gt;$G167,IF(OR(status1B5!S167=1,status1B5!S167=2,'BOULEVARD 5'!U165&gt;0),"Pagado","impago"),""))</f>
        <v/>
      </c>
      <c r="S167" s="666" t="str">
        <f>IF(OR($A167="F&amp;F",$G167=""),"",IF(S$8&gt;$G167,IF(OR(status1B5!T167=1,status1B5!T167=2,'BOULEVARD 5'!V165&gt;0),"Pagado","impago"),""))</f>
        <v/>
      </c>
      <c r="T167" s="666" t="str">
        <f>IF(OR($A167="F&amp;F",$G167=""),"",IF(T$8&gt;$G167,IF(OR(status1B5!U167=1,status1B5!U167=2,'BOULEVARD 5'!W165&gt;0),"Pagado","impago"),""))</f>
        <v/>
      </c>
      <c r="U167" s="666" t="str">
        <f>IF(OR($A167="F&amp;F",$G167=""),"",IF(U$8&gt;$G167,IF(OR(status1B5!V167=1,status1B5!V167=2,'BOULEVARD 5'!X165&gt;0),"Pagado","impago"),""))</f>
        <v/>
      </c>
      <c r="V167" s="666" t="str">
        <f>IF(OR($A167="F&amp;F",$G167=""),"",IF(V$8&gt;$G167,IF(OR(status1B5!W167=1,status1B5!W167=2,'BOULEVARD 5'!Y165&gt;0),"Pagado","impago"),""))</f>
        <v/>
      </c>
      <c r="W167" s="666" t="str">
        <f>IF(OR($A167="F&amp;F",$G167=""),"",IF(W$8&gt;$G167,IF(OR(status1B5!X167=1,status1B5!X167=2,'BOULEVARD 5'!Z165&gt;0),"Pagado","impago"),""))</f>
        <v/>
      </c>
      <c r="X167" s="666" t="str">
        <f>IF(OR($A167="F&amp;F",$G167=""),"",IF(X$8&gt;$G167,IF(OR(status1B5!Y167=1,status1B5!Y167=2,'BOULEVARD 5'!AA165&gt;0),"Pagado","impago"),""))</f>
        <v/>
      </c>
      <c r="Y167" s="666" t="str">
        <f>IF(OR($A167="F&amp;F",$G167=""),"",IF(Y$8&gt;$G167,IF(OR(status1B5!Z167=1,status1B5!Z167=2,'BOULEVARD 5'!AB165&gt;0),"Pagado","impago"),""))</f>
        <v/>
      </c>
      <c r="Z167" s="666" t="str">
        <f>IF(OR($A167="F&amp;F",$G167=""),"",IF(Z$8&gt;$G167,IF(OR(status1B5!AA167=1,status1B5!AA167=2,'BOULEVARD 5'!AC165&gt;0),"Pagado","impago"),""))</f>
        <v/>
      </c>
      <c r="AA167" s="666" t="str">
        <f>IF(OR($A167="F&amp;F",$G167=""),"",IF(AA$8&gt;$G167,IF(OR(status1B5!AB167=1,status1B5!AB167=2,'BOULEVARD 5'!AD165&gt;0),"Pagado","impago"),""))</f>
        <v/>
      </c>
      <c r="AB167" s="666" t="str">
        <f>IF(OR($A167="F&amp;F",$G167=""),"",IF(AB$8&gt;$G167,IF(OR(status1B5!AC167=1,status1B5!AC167=2,'BOULEVARD 5'!AE165&gt;0),"Pagado","impago"),""))</f>
        <v/>
      </c>
      <c r="AC167" s="666" t="str">
        <f>IF(OR($A167="F&amp;F",$G167=""),"",IF(AC$8&gt;$G167,IF(OR(status1B5!AD167=1,status1B5!AD167=2,'BOULEVARD 5'!AF165&gt;0),"Pagado","impago"),""))</f>
        <v/>
      </c>
      <c r="AD167" s="666" t="str">
        <f>IF(OR($A167="F&amp;F",$G167=""),"",IF(AD$8&gt;$G167,IF(OR(status1B5!AE167=1,status1B5!AE167=2,'BOULEVARD 5'!AG165&gt;0),"Pagado","impago"),""))</f>
        <v/>
      </c>
      <c r="AE167" s="666" t="str">
        <f>IF(OR($A167="F&amp;F",$G167=""),"",IF(AE$8&gt;$G167,IF(OR(status1B5!AF167=1,status1B5!AF167=2,'BOULEVARD 5'!AH165&gt;0),"Pagado","impago"),""))</f>
        <v/>
      </c>
      <c r="AF167" s="666" t="str">
        <f>IF(OR($A167="F&amp;F",$G167=""),"",IF(AF$8&gt;$G167,IF(OR(status1B5!AG167=1,status1B5!AG167=2,'BOULEVARD 5'!AI165&gt;0),"Pagado","impago"),""))</f>
        <v/>
      </c>
      <c r="AG167" s="666" t="str">
        <f>IF(OR($A167="F&amp;F",$G167=""),"",IF(AG$8&gt;$G167,IF(OR(status1B5!AH167=1,status1B5!AH167=2,'BOULEVARD 5'!AJ165&gt;0),"Pagado","impago"),""))</f>
        <v/>
      </c>
      <c r="AH167" s="666" t="str">
        <f>IF(OR($A167="F&amp;F",$G167=""),"",IF(AH$8&gt;$G167,IF(OR(status1B5!AI167=1,status1B5!AI167=2,'BOULEVARD 5'!AK165&gt;0),"Pagado","impago"),""))</f>
        <v/>
      </c>
      <c r="AI167" s="666" t="str">
        <f>IF(OR($A167="F&amp;F",$G167=""),"",IF(AI$8&gt;$G167,IF(OR(status1B5!AJ167=1,status1B5!AJ167=2,'BOULEVARD 5'!AL165&gt;0),"Pagado","impago"),""))</f>
        <v/>
      </c>
      <c r="AJ167" s="666" t="str">
        <f>IF(OR($A167="F&amp;F",$G167=""),"",IF(AJ$8&gt;$G167,IF(OR(status1B5!AK167=1,status1B5!AK167=2,'BOULEVARD 5'!AM165&gt;0),"Pagado","impago"),""))</f>
        <v/>
      </c>
      <c r="AK167" s="666" t="str">
        <f>IF(OR($A167="F&amp;F",$G167=""),"",IF(AK$8&gt;$G167,IF(OR(status1B5!AL167=1,status1B5!AL167=2,'BOULEVARD 5'!AN165&gt;0),"Pagado","impago"),""))</f>
        <v/>
      </c>
      <c r="AL167" s="666" t="str">
        <f>IF(OR($A167="F&amp;F",$G167=""),"",IF(AL$8&gt;$G167,IF(OR(status1B5!AM167=1,status1B5!AM167=2,'BOULEVARD 5'!AO165&gt;0),"Pagado","impago"),""))</f>
        <v/>
      </c>
      <c r="AM167" s="666" t="str">
        <f>IF(OR($A167="F&amp;F",$G167=""),"",IF(AM$8&gt;$G167,IF(OR(status1B5!AN167=1,status1B5!AN167=2,'BOULEVARD 5'!AP165&gt;0),"Pagado","impago"),""))</f>
        <v/>
      </c>
      <c r="AN167" s="666" t="str">
        <f>IF(OR($A167="F&amp;F",$G167=""),"",IF(AN$8&gt;$G167,IF(OR(status1B5!AO167=1,status1B5!AO167=2,'BOULEVARD 5'!AQ165&gt;0),"Pagado","impago"),""))</f>
        <v/>
      </c>
      <c r="AO167" s="666" t="str">
        <f>IF(OR($A167="F&amp;F",$G167=""),"",IF(AO$8&gt;$G167,IF(OR(status1B5!AP167=1,status1B5!AP167=2,'BOULEVARD 5'!AS165&gt;0),"Pagado","impago"),""))</f>
        <v/>
      </c>
      <c r="AP167" s="429" t="str">
        <f t="shared" si="7"/>
        <v>Vendido</v>
      </c>
    </row>
    <row r="168" spans="1:42" s="429" customFormat="1" ht="13.9" customHeight="1" x14ac:dyDescent="0.25">
      <c r="A168" s="472"/>
      <c r="B168" s="436">
        <f>'BOULEVARD 5'!B166</f>
        <v>913</v>
      </c>
      <c r="C168" s="436" t="s">
        <v>355</v>
      </c>
      <c r="D168" s="436"/>
      <c r="E168" s="436" t="str">
        <f>IF('BOULEVARD 5'!E166="","",'BOULEVARD 5'!E166)</f>
        <v>Antonio Rada</v>
      </c>
      <c r="F168" s="429" t="str">
        <f>IF('BOULEVARD 5'!F166="","",'BOULEVARD 5'!F166)</f>
        <v>Wender Josue Bailon Campos</v>
      </c>
      <c r="G168" s="473">
        <f>IF('BOULEVARD 5'!G166="","",'BOULEVARD 5'!G166)</f>
        <v>45404</v>
      </c>
      <c r="H168" s="666" t="str">
        <f>IF(OR($A168="F&amp;F",$G168=""),"",IF(H$8&gt;$G168,IF(OR(status1B5!I168=1,status1B5!I168=2,'BOULEVARD 5'!K166&gt;0),"Pagado","impago"),""))</f>
        <v/>
      </c>
      <c r="I168" s="666" t="str">
        <f>IF(OR($A168="F&amp;F",$G168=""),"",IF(I$8&gt;$G168,IF(OR(status1B5!J168=1,status1B5!J168=2,'BOULEVARD 5'!L166&gt;0),"Pagado","impago"),""))</f>
        <v/>
      </c>
      <c r="J168" s="666" t="str">
        <f>IF(OR($A168="F&amp;F",$G168=""),"",IF(J$8&gt;$G168,IF(OR(status1B5!K168=1,status1B5!K168=2,'BOULEVARD 5'!M166&gt;0),"Pagado","impago"),""))</f>
        <v/>
      </c>
      <c r="K168" s="666" t="str">
        <f>IF(OR($A168="F&amp;F",$G168=""),"",IF(K$8&gt;$G168,IF(OR(status1B5!L168=1,status1B5!L168=2,'BOULEVARD 5'!N166&gt;0),"Pagado","impago"),""))</f>
        <v/>
      </c>
      <c r="L168" s="666" t="str">
        <f>IF(OR($A168="F&amp;F",$G168=""),"",IF(L$8&gt;$G168,IF(OR(status1B5!M168=1,status1B5!M168=2,'BOULEVARD 5'!O166&gt;0),"Pagado","impago"),""))</f>
        <v/>
      </c>
      <c r="M168" s="666" t="str">
        <f>IF(OR($A168="F&amp;F",$G168=""),"",IF(M$8&gt;$G168,IF(OR(status1B5!N168=1,status1B5!N168=2,'BOULEVARD 5'!P166&gt;0),"Pagado","impago"),""))</f>
        <v/>
      </c>
      <c r="N168" s="666" t="str">
        <f>IF(OR($A168="F&amp;F",$G168=""),"",IF(N$8&gt;$G168,IF(OR(status1B5!O168=1,status1B5!O168=2,'BOULEVARD 5'!Q166&gt;0),"Pagado","impago"),""))</f>
        <v/>
      </c>
      <c r="O168" s="666" t="str">
        <f>IF(OR($A168="F&amp;F",$G168=""),"",IF(O$8&gt;$G168,IF(OR(status1B5!P168=1,status1B5!P168=2,'BOULEVARD 5'!R166&gt;0),"Pagado","impago"),""))</f>
        <v/>
      </c>
      <c r="P168" s="666" t="str">
        <f>IF(OR($A168="F&amp;F",$G168=""),"",IF(P$8&gt;$G168,IF(OR(status1B5!Q168=1,status1B5!Q168=2,'BOULEVARD 5'!S166&gt;0),"Pagado","impago"),""))</f>
        <v/>
      </c>
      <c r="Q168" s="666" t="str">
        <f>IF(OR($A168="F&amp;F",$G168=""),"",IF(Q$8&gt;$G168,IF(OR(status1B5!R168=1,status1B5!R168=2,'BOULEVARD 5'!T166&gt;0),"Pagado","impago"),""))</f>
        <v/>
      </c>
      <c r="R168" s="666" t="str">
        <f>IF(OR($A168="F&amp;F",$G168=""),"",IF(R$8&gt;$G168,IF(OR(status1B5!S168=1,status1B5!S168=2,'BOULEVARD 5'!U166&gt;0),"Pagado","impago"),""))</f>
        <v/>
      </c>
      <c r="S168" s="666" t="str">
        <f>IF(OR($A168="F&amp;F",$G168=""),"",IF(S$8&gt;$G168,IF(OR(status1B5!T168=1,status1B5!T168=2,'BOULEVARD 5'!V166&gt;0),"Pagado","impago"),""))</f>
        <v/>
      </c>
      <c r="T168" s="666" t="str">
        <f>IF(OR($A168="F&amp;F",$G168=""),"",IF(T$8&gt;$G168,IF(OR(status1B5!U168=1,status1B5!U168=2,'BOULEVARD 5'!W166&gt;0),"Pagado","impago"),""))</f>
        <v/>
      </c>
      <c r="U168" s="666" t="str">
        <f>IF(OR($A168="F&amp;F",$G168=""),"",IF(U$8&gt;$G168,IF(OR(status1B5!V168=1,status1B5!V168=2,'BOULEVARD 5'!X166&gt;0),"Pagado","impago"),""))</f>
        <v>Pagado</v>
      </c>
      <c r="V168" s="666" t="str">
        <f>IF(OR($A168="F&amp;F",$G168=""),"",IF(V$8&gt;$G168,IF(OR(status1B5!W168=1,status1B5!W168=2,'BOULEVARD 5'!Y166&gt;0),"Pagado","impago"),""))</f>
        <v>Pagado</v>
      </c>
      <c r="W168" s="666" t="str">
        <f>IF(OR($A168="F&amp;F",$G168=""),"",IF(W$8&gt;$G168,IF(OR(status1B5!X168=1,status1B5!X168=2,'BOULEVARD 5'!Z166&gt;0),"Pagado","impago"),""))</f>
        <v>Pagado</v>
      </c>
      <c r="X168" s="666" t="str">
        <f>IF(OR($A168="F&amp;F",$G168=""),"",IF(X$8&gt;$G168,IF(OR(status1B5!Y168=1,status1B5!Y168=2,'BOULEVARD 5'!AA166&gt;0),"Pagado","impago"),""))</f>
        <v>Pagado</v>
      </c>
      <c r="Y168" s="666" t="str">
        <f>IF(OR($A168="F&amp;F",$G168=""),"",IF(Y$8&gt;$G168,IF(OR(status1B5!Z168=1,status1B5!Z168=2,'BOULEVARD 5'!AB166&gt;0),"Pagado","impago"),""))</f>
        <v>Pagado</v>
      </c>
      <c r="Z168" s="666" t="str">
        <f>IF(OR($A168="F&amp;F",$G168=""),"",IF(Z$8&gt;$G168,IF(OR(status1B5!AA168=1,status1B5!AA168=2,'BOULEVARD 5'!AC166&gt;0),"Pagado","impago"),""))</f>
        <v>Pagado</v>
      </c>
      <c r="AA168" s="666" t="str">
        <f>IF(OR($A168="F&amp;F",$G168=""),"",IF(AA$8&gt;$G168,IF(OR(status1B5!AB168=1,status1B5!AB168=2,'BOULEVARD 5'!AD166&gt;0),"Pagado","impago"),""))</f>
        <v>Pagado</v>
      </c>
      <c r="AB168" s="666" t="str">
        <f>IF(OR($A168="F&amp;F",$G168=""),"",IF(AB$8&gt;$G168,IF(OR(status1B5!AC168=1,status1B5!AC168=2,'BOULEVARD 5'!AE166&gt;0),"Pagado","impago"),""))</f>
        <v>Pagado</v>
      </c>
      <c r="AC168" s="666" t="str">
        <f>IF(OR($A168="F&amp;F",$G168=""),"",IF(AC$8&gt;$G168,IF(OR(status1B5!AD168=1,status1B5!AD168=2,'BOULEVARD 5'!AF166&gt;0),"Pagado","impago"),""))</f>
        <v>Pagado</v>
      </c>
      <c r="AD168" s="666" t="str">
        <f>IF(OR($A168="F&amp;F",$G168=""),"",IF(AD$8&gt;$G168,IF(OR(status1B5!AE168=1,status1B5!AE168=2,'BOULEVARD 5'!AG166&gt;0),"Pagado","impago"),""))</f>
        <v>Pagado</v>
      </c>
      <c r="AE168" s="666" t="str">
        <f>IF(OR($A168="F&amp;F",$G168=""),"",IF(AE$8&gt;$G168,IF(OR(status1B5!AF168=1,status1B5!AF168=2,'BOULEVARD 5'!AH166&gt;0),"Pagado","impago"),""))</f>
        <v>Pagado</v>
      </c>
      <c r="AF168" s="666" t="str">
        <f>IF(OR($A168="F&amp;F",$G168=""),"",IF(AF$8&gt;$G168,IF(OR(status1B5!AG168=1,status1B5!AG168=2,'BOULEVARD 5'!AI166&gt;0),"Pagado","impago"),""))</f>
        <v>Pagado</v>
      </c>
      <c r="AG168" s="666" t="str">
        <f>IF(OR($A168="F&amp;F",$G168=""),"",IF(AG$8&gt;$G168,IF(OR(status1B5!AH168=1,status1B5!AH168=2,'BOULEVARD 5'!AJ166&gt;0),"Pagado","impago"),""))</f>
        <v>Pagado</v>
      </c>
      <c r="AH168" s="666" t="str">
        <f>IF(OR($A168="F&amp;F",$G168=""),"",IF(AH$8&gt;$G168,IF(OR(status1B5!AI168=1,status1B5!AI168=2,'BOULEVARD 5'!AK166&gt;0),"Pagado","impago"),""))</f>
        <v>Pagado</v>
      </c>
      <c r="AI168" s="666" t="str">
        <f>IF(OR($A168="F&amp;F",$G168=""),"",IF(AI$8&gt;$G168,IF(OR(status1B5!AJ168=1,status1B5!AJ168=2,'BOULEVARD 5'!AL166&gt;0),"Pagado","impago"),""))</f>
        <v>Pagado</v>
      </c>
      <c r="AJ168" s="666" t="str">
        <f>IF(OR($A168="F&amp;F",$G168=""),"",IF(AJ$8&gt;$G168,IF(OR(status1B5!AK168=1,status1B5!AK168=2,'BOULEVARD 5'!AM166&gt;0),"Pagado","impago"),""))</f>
        <v>Pagado</v>
      </c>
      <c r="AK168" s="666" t="str">
        <f>IF(OR($A168="F&amp;F",$G168=""),"",IF(AK$8&gt;$G168,IF(OR(status1B5!AL168=1,status1B5!AL168=2,'BOULEVARD 5'!AN166&gt;0),"Pagado","impago"),""))</f>
        <v>Pagado</v>
      </c>
      <c r="AL168" s="666" t="str">
        <f>IF(OR($A168="F&amp;F",$G168=""),"",IF(AL$8&gt;$G168,IF(OR(status1B5!AM168=1,status1B5!AM168=2,'BOULEVARD 5'!AO166&gt;0),"Pagado","impago"),""))</f>
        <v>Pagado</v>
      </c>
      <c r="AM168" s="666" t="str">
        <f>IF(OR($A168="F&amp;F",$G168=""),"",IF(AM$8&gt;$G168,IF(OR(status1B5!AN168=1,status1B5!AN168=2,'BOULEVARD 5'!AP166&gt;0),"Pagado","impago"),""))</f>
        <v>Pagado</v>
      </c>
      <c r="AN168" s="666" t="str">
        <f>IF(OR($A168="F&amp;F",$G168=""),"",IF(AN$8&gt;$G168,IF(OR(status1B5!AO168=1,status1B5!AO168=2,'BOULEVARD 5'!AQ166&gt;0),"Pagado","impago"),""))</f>
        <v>Pagado</v>
      </c>
      <c r="AO168" s="666" t="str">
        <f>IF(OR($A168="F&amp;F",$G168=""),"",IF(AO$8&gt;$G168,IF(OR(status1B5!AP168=1,status1B5!AP168=2,'BOULEVARD 5'!AS166&gt;0),"Pagado","impago"),""))</f>
        <v>Pagado</v>
      </c>
      <c r="AP168" s="429" t="str">
        <f t="shared" si="7"/>
        <v>Vendido</v>
      </c>
    </row>
    <row r="169" spans="1:42" s="429" customFormat="1" ht="13.9" customHeight="1" x14ac:dyDescent="0.25">
      <c r="A169" s="472"/>
      <c r="B169" s="436">
        <f>'BOULEVARD 5'!B167</f>
        <v>914</v>
      </c>
      <c r="C169" s="436" t="s">
        <v>355</v>
      </c>
      <c r="D169" s="436"/>
      <c r="E169" s="436" t="str">
        <f>IF('BOULEVARD 5'!E167="","",'BOULEVARD 5'!E167)</f>
        <v>Antonio Rada</v>
      </c>
      <c r="F169" s="429" t="str">
        <f>IF('BOULEVARD 5'!F167="","",'BOULEVARD 5'!F167)</f>
        <v>Rebecca Gonzalez Ordoñez</v>
      </c>
      <c r="G169" s="473">
        <f>IF('BOULEVARD 5'!G167="","",'BOULEVARD 5'!G167)</f>
        <v>45320</v>
      </c>
      <c r="H169" s="666" t="str">
        <f>IF(OR($A169="F&amp;F",$G169=""),"",IF(H$8&gt;$G169,IF(OR(status1B5!I169=1,status1B5!I169=2,'BOULEVARD 5'!K167&gt;0),"Pagado","impago"),""))</f>
        <v/>
      </c>
      <c r="I169" s="666" t="str">
        <f>IF(OR($A169="F&amp;F",$G169=""),"",IF(I$8&gt;$G169,IF(OR(status1B5!J169=1,status1B5!J169=2,'BOULEVARD 5'!L167&gt;0),"Pagado","impago"),""))</f>
        <v/>
      </c>
      <c r="J169" s="666" t="str">
        <f>IF(OR($A169="F&amp;F",$G169=""),"",IF(J$8&gt;$G169,IF(OR(status1B5!K169=1,status1B5!K169=2,'BOULEVARD 5'!M167&gt;0),"Pagado","impago"),""))</f>
        <v/>
      </c>
      <c r="K169" s="666" t="str">
        <f>IF(OR($A169="F&amp;F",$G169=""),"",IF(K$8&gt;$G169,IF(OR(status1B5!L169=1,status1B5!L169=2,'BOULEVARD 5'!N167&gt;0),"Pagado","impago"),""))</f>
        <v/>
      </c>
      <c r="L169" s="666" t="str">
        <f>IF(OR($A169="F&amp;F",$G169=""),"",IF(L$8&gt;$G169,IF(OR(status1B5!M169=1,status1B5!M169=2,'BOULEVARD 5'!O167&gt;0),"Pagado","impago"),""))</f>
        <v/>
      </c>
      <c r="M169" s="666" t="str">
        <f>IF(OR($A169="F&amp;F",$G169=""),"",IF(M$8&gt;$G169,IF(OR(status1B5!N169=1,status1B5!N169=2,'BOULEVARD 5'!P167&gt;0),"Pagado","impago"),""))</f>
        <v/>
      </c>
      <c r="N169" s="666" t="str">
        <f>IF(OR($A169="F&amp;F",$G169=""),"",IF(N$8&gt;$G169,IF(OR(status1B5!O169=1,status1B5!O169=2,'BOULEVARD 5'!Q167&gt;0),"Pagado","impago"),""))</f>
        <v/>
      </c>
      <c r="O169" s="666" t="str">
        <f>IF(OR($A169="F&amp;F",$G169=""),"",IF(O$8&gt;$G169,IF(OR(status1B5!P169=1,status1B5!P169=2,'BOULEVARD 5'!R167&gt;0),"Pagado","impago"),""))</f>
        <v/>
      </c>
      <c r="P169" s="666" t="str">
        <f>IF(OR($A169="F&amp;F",$G169=""),"",IF(P$8&gt;$G169,IF(OR(status1B5!Q169=1,status1B5!Q169=2,'BOULEVARD 5'!S167&gt;0),"Pagado","impago"),""))</f>
        <v/>
      </c>
      <c r="Q169" s="666" t="str">
        <f>IF(OR($A169="F&amp;F",$G169=""),"",IF(Q$8&gt;$G169,IF(OR(status1B5!R169=1,status1B5!R169=2,'BOULEVARD 5'!T167&gt;0),"Pagado","impago"),""))</f>
        <v/>
      </c>
      <c r="R169" s="666" t="str">
        <f>IF(OR($A169="F&amp;F",$G169=""),"",IF(R$8&gt;$G169,IF(OR(status1B5!S169=1,status1B5!S169=2,'BOULEVARD 5'!U167&gt;0),"Pagado","impago"),""))</f>
        <v>Pagado</v>
      </c>
      <c r="S169" s="666" t="str">
        <f>IF(OR($A169="F&amp;F",$G169=""),"",IF(S$8&gt;$G169,IF(OR(status1B5!T169=1,status1B5!T169=2,'BOULEVARD 5'!V167&gt;0),"Pagado","impago"),""))</f>
        <v>Pagado</v>
      </c>
      <c r="T169" s="666" t="str">
        <f>IF(OR($A169="F&amp;F",$G169=""),"",IF(T$8&gt;$G169,IF(OR(status1B5!U169=1,status1B5!U169=2,'BOULEVARD 5'!W167&gt;0),"Pagado","impago"),""))</f>
        <v>Pagado</v>
      </c>
      <c r="U169" s="666" t="str">
        <f>IF(OR($A169="F&amp;F",$G169=""),"",IF(U$8&gt;$G169,IF(OR(status1B5!V169=1,status1B5!V169=2,'BOULEVARD 5'!X167&gt;0),"Pagado","impago"),""))</f>
        <v>Pagado</v>
      </c>
      <c r="V169" s="666" t="str">
        <f>IF(OR($A169="F&amp;F",$G169=""),"",IF(V$8&gt;$G169,IF(OR(status1B5!W169=1,status1B5!W169=2,'BOULEVARD 5'!Y167&gt;0),"Pagado","impago"),""))</f>
        <v>Pagado</v>
      </c>
      <c r="W169" s="666" t="str">
        <f>IF(OR($A169="F&amp;F",$G169=""),"",IF(W$8&gt;$G169,IF(OR(status1B5!X169=1,status1B5!X169=2,'BOULEVARD 5'!Z167&gt;0),"Pagado","impago"),""))</f>
        <v>Pagado</v>
      </c>
      <c r="X169" s="666" t="str">
        <f>IF(OR($A169="F&amp;F",$G169=""),"",IF(X$8&gt;$G169,IF(OR(status1B5!Y169=1,status1B5!Y169=2,'BOULEVARD 5'!AA167&gt;0),"Pagado","impago"),""))</f>
        <v>Pagado</v>
      </c>
      <c r="Y169" s="666" t="str">
        <f>IF(OR($A169="F&amp;F",$G169=""),"",IF(Y$8&gt;$G169,IF(OR(status1B5!Z169=1,status1B5!Z169=2,'BOULEVARD 5'!AB167&gt;0),"Pagado","impago"),""))</f>
        <v>Pagado</v>
      </c>
      <c r="Z169" s="666" t="str">
        <f>IF(OR($A169="F&amp;F",$G169=""),"",IF(Z$8&gt;$G169,IF(OR(status1B5!AA169=1,status1B5!AA169=2,'BOULEVARD 5'!AC167&gt;0),"Pagado","impago"),""))</f>
        <v>Pagado</v>
      </c>
      <c r="AA169" s="666" t="str">
        <f>IF(OR($A169="F&amp;F",$G169=""),"",IF(AA$8&gt;$G169,IF(OR(status1B5!AB169=1,status1B5!AB169=2,'BOULEVARD 5'!AD167&gt;0),"Pagado","impago"),""))</f>
        <v>Pagado</v>
      </c>
      <c r="AB169" s="666" t="str">
        <f>IF(OR($A169="F&amp;F",$G169=""),"",IF(AB$8&gt;$G169,IF(OR(status1B5!AC169=1,status1B5!AC169=2,'BOULEVARD 5'!AE167&gt;0),"Pagado","impago"),""))</f>
        <v>Pagado</v>
      </c>
      <c r="AC169" s="666" t="str">
        <f>IF(OR($A169="F&amp;F",$G169=""),"",IF(AC$8&gt;$G169,IF(OR(status1B5!AD169=1,status1B5!AD169=2,'BOULEVARD 5'!AF167&gt;0),"Pagado","impago"),""))</f>
        <v>Pagado</v>
      </c>
      <c r="AD169" s="666" t="str">
        <f>IF(OR($A169="F&amp;F",$G169=""),"",IF(AD$8&gt;$G169,IF(OR(status1B5!AE169=1,status1B5!AE169=2,'BOULEVARD 5'!AG167&gt;0),"Pagado","impago"),""))</f>
        <v>Pagado</v>
      </c>
      <c r="AE169" s="666" t="str">
        <f>IF(OR($A169="F&amp;F",$G169=""),"",IF(AE$8&gt;$G169,IF(OR(status1B5!AF169=1,status1B5!AF169=2,'BOULEVARD 5'!AH167&gt;0),"Pagado","impago"),""))</f>
        <v>Pagado</v>
      </c>
      <c r="AF169" s="666" t="str">
        <f>IF(OR($A169="F&amp;F",$G169=""),"",IF(AF$8&gt;$G169,IF(OR(status1B5!AG169=1,status1B5!AG169=2,'BOULEVARD 5'!AI167&gt;0),"Pagado","impago"),""))</f>
        <v>Pagado</v>
      </c>
      <c r="AG169" s="666" t="str">
        <f>IF(OR($A169="F&amp;F",$G169=""),"",IF(AG$8&gt;$G169,IF(OR(status1B5!AH169=1,status1B5!AH169=2,'BOULEVARD 5'!AJ167&gt;0),"Pagado","impago"),""))</f>
        <v>Pagado</v>
      </c>
      <c r="AH169" s="666" t="str">
        <f>IF(OR($A169="F&amp;F",$G169=""),"",IF(AH$8&gt;$G169,IF(OR(status1B5!AI169=1,status1B5!AI169=2,'BOULEVARD 5'!AK167&gt;0),"Pagado","impago"),""))</f>
        <v>Pagado</v>
      </c>
      <c r="AI169" s="666" t="str">
        <f>IF(OR($A169="F&amp;F",$G169=""),"",IF(AI$8&gt;$G169,IF(OR(status1B5!AJ169=1,status1B5!AJ169=2,'BOULEVARD 5'!AL167&gt;0),"Pagado","impago"),""))</f>
        <v>Pagado</v>
      </c>
      <c r="AJ169" s="666" t="str">
        <f>IF(OR($A169="F&amp;F",$G169=""),"",IF(AJ$8&gt;$G169,IF(OR(status1B5!AK169=1,status1B5!AK169=2,'BOULEVARD 5'!AM167&gt;0),"Pagado","impago"),""))</f>
        <v>Pagado</v>
      </c>
      <c r="AK169" s="666" t="str">
        <f>IF(OR($A169="F&amp;F",$G169=""),"",IF(AK$8&gt;$G169,IF(OR(status1B5!AL169=1,status1B5!AL169=2,'BOULEVARD 5'!AN167&gt;0),"Pagado","impago"),""))</f>
        <v>Pagado</v>
      </c>
      <c r="AL169" s="666" t="str">
        <f>IF(OR($A169="F&amp;F",$G169=""),"",IF(AL$8&gt;$G169,IF(OR(status1B5!AM169=1,status1B5!AM169=2,'BOULEVARD 5'!AO167&gt;0),"Pagado","impago"),""))</f>
        <v>Pagado</v>
      </c>
      <c r="AM169" s="666" t="str">
        <f>IF(OR($A169="F&amp;F",$G169=""),"",IF(AM$8&gt;$G169,IF(OR(status1B5!AN169=1,status1B5!AN169=2,'BOULEVARD 5'!AP167&gt;0),"Pagado","impago"),""))</f>
        <v>Pagado</v>
      </c>
      <c r="AN169" s="666" t="str">
        <f>IF(OR($A169="F&amp;F",$G169=""),"",IF(AN$8&gt;$G169,IF(OR(status1B5!AO169=1,status1B5!AO169=2,'BOULEVARD 5'!AQ167&gt;0),"Pagado","impago"),""))</f>
        <v>Pagado</v>
      </c>
      <c r="AO169" s="666" t="str">
        <f>IF(OR($A169="F&amp;F",$G169=""),"",IF(AO$8&gt;$G169,IF(OR(status1B5!AP169=1,status1B5!AP169=2,'BOULEVARD 5'!AS167&gt;0),"Pagado","impago"),""))</f>
        <v>Pagado</v>
      </c>
      <c r="AP169" s="429" t="str">
        <f t="shared" si="7"/>
        <v>Vendido</v>
      </c>
    </row>
    <row r="170" spans="1:42" s="429" customFormat="1" ht="13.9" customHeight="1" x14ac:dyDescent="0.25">
      <c r="A170" s="472"/>
      <c r="B170" s="436">
        <f>'BOULEVARD 5'!B168</f>
        <v>915</v>
      </c>
      <c r="C170" s="436" t="s">
        <v>355</v>
      </c>
      <c r="D170" s="436"/>
      <c r="E170" s="436" t="str">
        <f>IF('BOULEVARD 5'!E168="","",'BOULEVARD 5'!E168)</f>
        <v>Brenda Búcaro</v>
      </c>
      <c r="F170" s="429" t="str">
        <f>IF('BOULEVARD 5'!F168="","",'BOULEVARD 5'!F168)</f>
        <v>Marcela Alejandra Castro Marcía</v>
      </c>
      <c r="G170" s="473">
        <f>IF('BOULEVARD 5'!G168="","",'BOULEVARD 5'!G168)</f>
        <v>45197</v>
      </c>
      <c r="H170" s="666" t="str">
        <f>IF(OR($A170="F&amp;F",$G170=""),"",IF(H$8&gt;$G170,IF(OR(status1B5!I170=1,status1B5!I170=2,'BOULEVARD 5'!K168&gt;0),"Pagado","impago"),""))</f>
        <v/>
      </c>
      <c r="I170" s="666" t="str">
        <f>IF(OR($A170="F&amp;F",$G170=""),"",IF(I$8&gt;$G170,IF(OR(status1B5!J170=1,status1B5!J170=2,'BOULEVARD 5'!L168&gt;0),"Pagado","impago"),""))</f>
        <v/>
      </c>
      <c r="J170" s="666" t="str">
        <f>IF(OR($A170="F&amp;F",$G170=""),"",IF(J$8&gt;$G170,IF(OR(status1B5!K170=1,status1B5!K170=2,'BOULEVARD 5'!M168&gt;0),"Pagado","impago"),""))</f>
        <v/>
      </c>
      <c r="K170" s="666" t="str">
        <f>IF(OR($A170="F&amp;F",$G170=""),"",IF(K$8&gt;$G170,IF(OR(status1B5!L170=1,status1B5!L170=2,'BOULEVARD 5'!N168&gt;0),"Pagado","impago"),""))</f>
        <v/>
      </c>
      <c r="L170" s="666" t="str">
        <f>IF(OR($A170="F&amp;F",$G170=""),"",IF(L$8&gt;$G170,IF(OR(status1B5!M170=1,status1B5!M170=2,'BOULEVARD 5'!O168&gt;0),"Pagado","impago"),""))</f>
        <v/>
      </c>
      <c r="M170" s="666" t="str">
        <f>IF(OR($A170="F&amp;F",$G170=""),"",IF(M$8&gt;$G170,IF(OR(status1B5!N170=1,status1B5!N170=2,'BOULEVARD 5'!P168&gt;0),"Pagado","impago"),""))</f>
        <v/>
      </c>
      <c r="N170" s="666" t="str">
        <f>IF(OR($A170="F&amp;F",$G170=""),"",IF(N$8&gt;$G170,IF(OR(status1B5!O170=1,status1B5!O170=2,'BOULEVARD 5'!Q168&gt;0),"Pagado","impago"),""))</f>
        <v>Pagado</v>
      </c>
      <c r="O170" s="666" t="str">
        <f>IF(OR($A170="F&amp;F",$G170=""),"",IF(O$8&gt;$G170,IF(OR(status1B5!P170=1,status1B5!P170=2,'BOULEVARD 5'!R168&gt;0),"Pagado","impago"),""))</f>
        <v>Pagado</v>
      </c>
      <c r="P170" s="666" t="str">
        <f>IF(OR($A170="F&amp;F",$G170=""),"",IF(P$8&gt;$G170,IF(OR(status1B5!Q170=1,status1B5!Q170=2,'BOULEVARD 5'!S168&gt;0),"Pagado","impago"),""))</f>
        <v>Pagado</v>
      </c>
      <c r="Q170" s="666" t="str">
        <f>IF(OR($A170="F&amp;F",$G170=""),"",IF(Q$8&gt;$G170,IF(OR(status1B5!R170=1,status1B5!R170=2,'BOULEVARD 5'!T168&gt;0),"Pagado","impago"),""))</f>
        <v>Pagado</v>
      </c>
      <c r="R170" s="666" t="str">
        <f>IF(OR($A170="F&amp;F",$G170=""),"",IF(R$8&gt;$G170,IF(OR(status1B5!S170=1,status1B5!S170=2,'BOULEVARD 5'!U168&gt;0),"Pagado","impago"),""))</f>
        <v>Pagado</v>
      </c>
      <c r="S170" s="666" t="str">
        <f>IF(OR($A170="F&amp;F",$G170=""),"",IF(S$8&gt;$G170,IF(OR(status1B5!T170=1,status1B5!T170=2,'BOULEVARD 5'!V168&gt;0),"Pagado","impago"),""))</f>
        <v>Pagado</v>
      </c>
      <c r="T170" s="666" t="str">
        <f>IF(OR($A170="F&amp;F",$G170=""),"",IF(T$8&gt;$G170,IF(OR(status1B5!U170=1,status1B5!U170=2,'BOULEVARD 5'!W168&gt;0),"Pagado","impago"),""))</f>
        <v>Pagado</v>
      </c>
      <c r="U170" s="666" t="str">
        <f>IF(OR($A170="F&amp;F",$G170=""),"",IF(U$8&gt;$G170,IF(OR(status1B5!V170=1,status1B5!V170=2,'BOULEVARD 5'!X168&gt;0),"Pagado","impago"),""))</f>
        <v>Pagado</v>
      </c>
      <c r="V170" s="666" t="str">
        <f>IF(OR($A170="F&amp;F",$G170=""),"",IF(V$8&gt;$G170,IF(OR(status1B5!W170=1,status1B5!W170=2,'BOULEVARD 5'!Y168&gt;0),"Pagado","impago"),""))</f>
        <v>Pagado</v>
      </c>
      <c r="W170" s="666" t="str">
        <f>IF(OR($A170="F&amp;F",$G170=""),"",IF(W$8&gt;$G170,IF(OR(status1B5!X170=1,status1B5!X170=2,'BOULEVARD 5'!Z168&gt;0),"Pagado","impago"),""))</f>
        <v>Pagado</v>
      </c>
      <c r="X170" s="666" t="str">
        <f>IF(OR($A170="F&amp;F",$G170=""),"",IF(X$8&gt;$G170,IF(OR(status1B5!Y170=1,status1B5!Y170=2,'BOULEVARD 5'!AA168&gt;0),"Pagado","impago"),""))</f>
        <v>Pagado</v>
      </c>
      <c r="Y170" s="666" t="str">
        <f>IF(OR($A170="F&amp;F",$G170=""),"",IF(Y$8&gt;$G170,IF(OR(status1B5!Z170=1,status1B5!Z170=2,'BOULEVARD 5'!AB168&gt;0),"Pagado","impago"),""))</f>
        <v>Pagado</v>
      </c>
      <c r="Z170" s="666" t="str">
        <f>IF(OR($A170="F&amp;F",$G170=""),"",IF(Z$8&gt;$G170,IF(OR(status1B5!AA170=1,status1B5!AA170=2,'BOULEVARD 5'!AC168&gt;0),"Pagado","impago"),""))</f>
        <v>Pagado</v>
      </c>
      <c r="AA170" s="666" t="str">
        <f>IF(OR($A170="F&amp;F",$G170=""),"",IF(AA$8&gt;$G170,IF(OR(status1B5!AB170=1,status1B5!AB170=2,'BOULEVARD 5'!AD168&gt;0),"Pagado","impago"),""))</f>
        <v>Pagado</v>
      </c>
      <c r="AB170" s="666" t="str">
        <f>IF(OR($A170="F&amp;F",$G170=""),"",IF(AB$8&gt;$G170,IF(OR(status1B5!AC170=1,status1B5!AC170=2,'BOULEVARD 5'!AE168&gt;0),"Pagado","impago"),""))</f>
        <v>Pagado</v>
      </c>
      <c r="AC170" s="666" t="str">
        <f>IF(OR($A170="F&amp;F",$G170=""),"",IF(AC$8&gt;$G170,IF(OR(status1B5!AD170=1,status1B5!AD170=2,'BOULEVARD 5'!AF168&gt;0),"Pagado","impago"),""))</f>
        <v>Pagado</v>
      </c>
      <c r="AD170" s="666" t="str">
        <f>IF(OR($A170="F&amp;F",$G170=""),"",IF(AD$8&gt;$G170,IF(OR(status1B5!AE170=1,status1B5!AE170=2,'BOULEVARD 5'!AG168&gt;0),"Pagado","impago"),""))</f>
        <v>Pagado</v>
      </c>
      <c r="AE170" s="666" t="str">
        <f>IF(OR($A170="F&amp;F",$G170=""),"",IF(AE$8&gt;$G170,IF(OR(status1B5!AF170=1,status1B5!AF170=2,'BOULEVARD 5'!AH168&gt;0),"Pagado","impago"),""))</f>
        <v>Pagado</v>
      </c>
      <c r="AF170" s="666" t="str">
        <f>IF(OR($A170="F&amp;F",$G170=""),"",IF(AF$8&gt;$G170,IF(OR(status1B5!AG170=1,status1B5!AG170=2,'BOULEVARD 5'!AI168&gt;0),"Pagado","impago"),""))</f>
        <v>Pagado</v>
      </c>
      <c r="AG170" s="666" t="str">
        <f>IF(OR($A170="F&amp;F",$G170=""),"",IF(AG$8&gt;$G170,IF(OR(status1B5!AH170=1,status1B5!AH170=2,'BOULEVARD 5'!AJ168&gt;0),"Pagado","impago"),""))</f>
        <v>Pagado</v>
      </c>
      <c r="AH170" s="666" t="str">
        <f>IF(OR($A170="F&amp;F",$G170=""),"",IF(AH$8&gt;$G170,IF(OR(status1B5!AI170=1,status1B5!AI170=2,'BOULEVARD 5'!AK168&gt;0),"Pagado","impago"),""))</f>
        <v>Pagado</v>
      </c>
      <c r="AI170" s="666" t="str">
        <f>IF(OR($A170="F&amp;F",$G170=""),"",IF(AI$8&gt;$G170,IF(OR(status1B5!AJ170=1,status1B5!AJ170=2,'BOULEVARD 5'!AL168&gt;0),"Pagado","impago"),""))</f>
        <v>Pagado</v>
      </c>
      <c r="AJ170" s="666" t="str">
        <f>IF(OR($A170="F&amp;F",$G170=""),"",IF(AJ$8&gt;$G170,IF(OR(status1B5!AK170=1,status1B5!AK170=2,'BOULEVARD 5'!AM168&gt;0),"Pagado","impago"),""))</f>
        <v>Pagado</v>
      </c>
      <c r="AK170" s="666" t="str">
        <f>IF(OR($A170="F&amp;F",$G170=""),"",IF(AK$8&gt;$G170,IF(OR(status1B5!AL170=1,status1B5!AL170=2,'BOULEVARD 5'!AN168&gt;0),"Pagado","impago"),""))</f>
        <v>Pagado</v>
      </c>
      <c r="AL170" s="666" t="str">
        <f>IF(OR($A170="F&amp;F",$G170=""),"",IF(AL$8&gt;$G170,IF(OR(status1B5!AM170=1,status1B5!AM170=2,'BOULEVARD 5'!AO168&gt;0),"Pagado","impago"),""))</f>
        <v>Pagado</v>
      </c>
      <c r="AM170" s="666" t="str">
        <f>IF(OR($A170="F&amp;F",$G170=""),"",IF(AM$8&gt;$G170,IF(OR(status1B5!AN170=1,status1B5!AN170=2,'BOULEVARD 5'!AP168&gt;0),"Pagado","impago"),""))</f>
        <v>Pagado</v>
      </c>
      <c r="AN170" s="666" t="str">
        <f>IF(OR($A170="F&amp;F",$G170=""),"",IF(AN$8&gt;$G170,IF(OR(status1B5!AO170=1,status1B5!AO170=2,'BOULEVARD 5'!AQ168&gt;0),"Pagado","impago"),""))</f>
        <v>Pagado</v>
      </c>
      <c r="AO170" s="666" t="str">
        <f>IF(OR($A170="F&amp;F",$G170=""),"",IF(AO$8&gt;$G170,IF(OR(status1B5!AP170=1,status1B5!AP170=2,'BOULEVARD 5'!AS168&gt;0),"Pagado","impago"),""))</f>
        <v>Pagado</v>
      </c>
      <c r="AP170" s="429" t="str">
        <f t="shared" si="7"/>
        <v>Vendido</v>
      </c>
    </row>
    <row r="171" spans="1:42" s="429" customFormat="1" ht="13.9" customHeight="1" x14ac:dyDescent="0.25">
      <c r="A171" s="472"/>
      <c r="B171" s="436">
        <f>'BOULEVARD 5'!B169</f>
        <v>916</v>
      </c>
      <c r="C171" s="436" t="s">
        <v>355</v>
      </c>
      <c r="D171" s="436"/>
      <c r="E171" s="436" t="str">
        <f>IF('BOULEVARD 5'!E169="","",'BOULEVARD 5'!E169)</f>
        <v>Brenda Búcaro</v>
      </c>
      <c r="F171" s="429" t="str">
        <f>IF('BOULEVARD 5'!F169="","",'BOULEVARD 5'!F169)</f>
        <v>José Fernando Cordón Almengor</v>
      </c>
      <c r="G171" s="473">
        <f>IF('BOULEVARD 5'!G169="","",'BOULEVARD 5'!G169)</f>
        <v>45049</v>
      </c>
      <c r="H171" s="666" t="str">
        <f>IF(OR($A171="F&amp;F",$G171=""),"",IF(H$8&gt;$G171,IF(OR(status1B5!I171=1,status1B5!I171=2,'BOULEVARD 5'!K169&gt;0),"Pagado","impago"),""))</f>
        <v/>
      </c>
      <c r="I171" s="666" t="str">
        <f>IF(OR($A171="F&amp;F",$G171=""),"",IF(I$8&gt;$G171,IF(OR(status1B5!J171=1,status1B5!J171=2,'BOULEVARD 5'!L169&gt;0),"Pagado","impago"),""))</f>
        <v/>
      </c>
      <c r="J171" s="666" t="str">
        <f>IF(OR($A171="F&amp;F",$G171=""),"",IF(J$8&gt;$G171,IF(OR(status1B5!K171=1,status1B5!K171=2,'BOULEVARD 5'!M169&gt;0),"Pagado","impago"),""))</f>
        <v>Pagado</v>
      </c>
      <c r="K171" s="666" t="str">
        <f>IF(OR($A171="F&amp;F",$G171=""),"",IF(K$8&gt;$G171,IF(OR(status1B5!L171=1,status1B5!L171=2,'BOULEVARD 5'!N169&gt;0),"Pagado","impago"),""))</f>
        <v>Pagado</v>
      </c>
      <c r="L171" s="666" t="str">
        <f>IF(OR($A171="F&amp;F",$G171=""),"",IF(L$8&gt;$G171,IF(OR(status1B5!M171=1,status1B5!M171=2,'BOULEVARD 5'!O169&gt;0),"Pagado","impago"),""))</f>
        <v>Pagado</v>
      </c>
      <c r="M171" s="666" t="str">
        <f>IF(OR($A171="F&amp;F",$G171=""),"",IF(M$8&gt;$G171,IF(OR(status1B5!N171=1,status1B5!N171=2,'BOULEVARD 5'!P169&gt;0),"Pagado","impago"),""))</f>
        <v>Pagado</v>
      </c>
      <c r="N171" s="666" t="str">
        <f>IF(OR($A171="F&amp;F",$G171=""),"",IF(N$8&gt;$G171,IF(OR(status1B5!O171=1,status1B5!O171=2,'BOULEVARD 5'!Q169&gt;0),"Pagado","impago"),""))</f>
        <v>Pagado</v>
      </c>
      <c r="O171" s="666" t="str">
        <f>IF(OR($A171="F&amp;F",$G171=""),"",IF(O$8&gt;$G171,IF(OR(status1B5!P171=1,status1B5!P171=2,'BOULEVARD 5'!R169&gt;0),"Pagado","impago"),""))</f>
        <v>Pagado</v>
      </c>
      <c r="P171" s="666" t="str">
        <f>IF(OR($A171="F&amp;F",$G171=""),"",IF(P$8&gt;$G171,IF(OR(status1B5!Q171=1,status1B5!Q171=2,'BOULEVARD 5'!S169&gt;0),"Pagado","impago"),""))</f>
        <v>Pagado</v>
      </c>
      <c r="Q171" s="666" t="str">
        <f>IF(OR($A171="F&amp;F",$G171=""),"",IF(Q$8&gt;$G171,IF(OR(status1B5!R171=1,status1B5!R171=2,'BOULEVARD 5'!T169&gt;0),"Pagado","impago"),""))</f>
        <v>Pagado</v>
      </c>
      <c r="R171" s="666" t="str">
        <f>IF(OR($A171="F&amp;F",$G171=""),"",IF(R$8&gt;$G171,IF(OR(status1B5!S171=1,status1B5!S171=2,'BOULEVARD 5'!U169&gt;0),"Pagado","impago"),""))</f>
        <v>Pagado</v>
      </c>
      <c r="S171" s="666" t="str">
        <f>IF(OR($A171="F&amp;F",$G171=""),"",IF(S$8&gt;$G171,IF(OR(status1B5!T171=1,status1B5!T171=2,'BOULEVARD 5'!V169&gt;0),"Pagado","impago"),""))</f>
        <v>Pagado</v>
      </c>
      <c r="T171" s="666" t="str">
        <f>IF(OR($A171="F&amp;F",$G171=""),"",IF(T$8&gt;$G171,IF(OR(status1B5!U171=1,status1B5!U171=2,'BOULEVARD 5'!W169&gt;0),"Pagado","impago"),""))</f>
        <v>Pagado</v>
      </c>
      <c r="U171" s="666" t="str">
        <f>IF(OR($A171="F&amp;F",$G171=""),"",IF(U$8&gt;$G171,IF(OR(status1B5!V171=1,status1B5!V171=2,'BOULEVARD 5'!X169&gt;0),"Pagado","impago"),""))</f>
        <v>Pagado</v>
      </c>
      <c r="V171" s="666" t="str">
        <f>IF(OR($A171="F&amp;F",$G171=""),"",IF(V$8&gt;$G171,IF(OR(status1B5!W171=1,status1B5!W171=2,'BOULEVARD 5'!Y169&gt;0),"Pagado","impago"),""))</f>
        <v>Pagado</v>
      </c>
      <c r="W171" s="666" t="str">
        <f>IF(OR($A171="F&amp;F",$G171=""),"",IF(W$8&gt;$G171,IF(OR(status1B5!X171=1,status1B5!X171=2,'BOULEVARD 5'!Z169&gt;0),"Pagado","impago"),""))</f>
        <v>Pagado</v>
      </c>
      <c r="X171" s="666" t="str">
        <f>IF(OR($A171="F&amp;F",$G171=""),"",IF(X$8&gt;$G171,IF(OR(status1B5!Y171=1,status1B5!Y171=2,'BOULEVARD 5'!AA169&gt;0),"Pagado","impago"),""))</f>
        <v>Pagado</v>
      </c>
      <c r="Y171" s="666" t="str">
        <f>IF(OR($A171="F&amp;F",$G171=""),"",IF(Y$8&gt;$G171,IF(OR(status1B5!Z171=1,status1B5!Z171=2,'BOULEVARD 5'!AB169&gt;0),"Pagado","impago"),""))</f>
        <v>Pagado</v>
      </c>
      <c r="Z171" s="666" t="str">
        <f>IF(OR($A171="F&amp;F",$G171=""),"",IF(Z$8&gt;$G171,IF(OR(status1B5!AA171=1,status1B5!AA171=2,'BOULEVARD 5'!AC169&gt;0),"Pagado","impago"),""))</f>
        <v>Pagado</v>
      </c>
      <c r="AA171" s="666" t="str">
        <f>IF(OR($A171="F&amp;F",$G171=""),"",IF(AA$8&gt;$G171,IF(OR(status1B5!AB171=1,status1B5!AB171=2,'BOULEVARD 5'!AD169&gt;0),"Pagado","impago"),""))</f>
        <v>Pagado</v>
      </c>
      <c r="AB171" s="666" t="str">
        <f>IF(OR($A171="F&amp;F",$G171=""),"",IF(AB$8&gt;$G171,IF(OR(status1B5!AC171=1,status1B5!AC171=2,'BOULEVARD 5'!AE169&gt;0),"Pagado","impago"),""))</f>
        <v>Pagado</v>
      </c>
      <c r="AC171" s="666" t="str">
        <f>IF(OR($A171="F&amp;F",$G171=""),"",IF(AC$8&gt;$G171,IF(OR(status1B5!AD171=1,status1B5!AD171=2,'BOULEVARD 5'!AF169&gt;0),"Pagado","impago"),""))</f>
        <v>Pagado</v>
      </c>
      <c r="AD171" s="666" t="str">
        <f>IF(OR($A171="F&amp;F",$G171=""),"",IF(AD$8&gt;$G171,IF(OR(status1B5!AE171=1,status1B5!AE171=2,'BOULEVARD 5'!AG169&gt;0),"Pagado","impago"),""))</f>
        <v>Pagado</v>
      </c>
      <c r="AE171" s="666" t="str">
        <f>IF(OR($A171="F&amp;F",$G171=""),"",IF(AE$8&gt;$G171,IF(OR(status1B5!AF171=1,status1B5!AF171=2,'BOULEVARD 5'!AH169&gt;0),"Pagado","impago"),""))</f>
        <v>Pagado</v>
      </c>
      <c r="AF171" s="666" t="str">
        <f>IF(OR($A171="F&amp;F",$G171=""),"",IF(AF$8&gt;$G171,IF(OR(status1B5!AG171=1,status1B5!AG171=2,'BOULEVARD 5'!AI169&gt;0),"Pagado","impago"),""))</f>
        <v>Pagado</v>
      </c>
      <c r="AG171" s="666" t="str">
        <f>IF(OR($A171="F&amp;F",$G171=""),"",IF(AG$8&gt;$G171,IF(OR(status1B5!AH171=1,status1B5!AH171=2,'BOULEVARD 5'!AJ169&gt;0),"Pagado","impago"),""))</f>
        <v>Pagado</v>
      </c>
      <c r="AH171" s="666" t="str">
        <f>IF(OR($A171="F&amp;F",$G171=""),"",IF(AH$8&gt;$G171,IF(OR(status1B5!AI171=1,status1B5!AI171=2,'BOULEVARD 5'!AK169&gt;0),"Pagado","impago"),""))</f>
        <v>Pagado</v>
      </c>
      <c r="AI171" s="666" t="str">
        <f>IF(OR($A171="F&amp;F",$G171=""),"",IF(AI$8&gt;$G171,IF(OR(status1B5!AJ171=1,status1B5!AJ171=2,'BOULEVARD 5'!AL169&gt;0),"Pagado","impago"),""))</f>
        <v>Pagado</v>
      </c>
      <c r="AJ171" s="666" t="str">
        <f>IF(OR($A171="F&amp;F",$G171=""),"",IF(AJ$8&gt;$G171,IF(OR(status1B5!AK171=1,status1B5!AK171=2,'BOULEVARD 5'!AM169&gt;0),"Pagado","impago"),""))</f>
        <v>Pagado</v>
      </c>
      <c r="AK171" s="666" t="str">
        <f>IF(OR($A171="F&amp;F",$G171=""),"",IF(AK$8&gt;$G171,IF(OR(status1B5!AL171=1,status1B5!AL171=2,'BOULEVARD 5'!AN169&gt;0),"Pagado","impago"),""))</f>
        <v>Pagado</v>
      </c>
      <c r="AL171" s="666" t="str">
        <f>IF(OR($A171="F&amp;F",$G171=""),"",IF(AL$8&gt;$G171,IF(OR(status1B5!AM171=1,status1B5!AM171=2,'BOULEVARD 5'!AO169&gt;0),"Pagado","impago"),""))</f>
        <v>Pagado</v>
      </c>
      <c r="AM171" s="666" t="str">
        <f>IF(OR($A171="F&amp;F",$G171=""),"",IF(AM$8&gt;$G171,IF(OR(status1B5!AN171=1,status1B5!AN171=2,'BOULEVARD 5'!AP169&gt;0),"Pagado","impago"),""))</f>
        <v>Pagado</v>
      </c>
      <c r="AN171" s="666" t="str">
        <f>IF(OR($A171="F&amp;F",$G171=""),"",IF(AN$8&gt;$G171,IF(OR(status1B5!AO171=1,status1B5!AO171=2,'BOULEVARD 5'!AQ169&gt;0),"Pagado","impago"),""))</f>
        <v>Pagado</v>
      </c>
      <c r="AO171" s="666" t="str">
        <f>IF(OR($A171="F&amp;F",$G171=""),"",IF(AO$8&gt;$G171,IF(OR(status1B5!AP171=1,status1B5!AP171=2,'BOULEVARD 5'!AS169&gt;0),"Pagado","impago"),""))</f>
        <v>Pagado</v>
      </c>
      <c r="AP171" s="429" t="str">
        <f t="shared" si="7"/>
        <v>Vendido</v>
      </c>
    </row>
    <row r="172" spans="1:42" s="429" customFormat="1" ht="13.9" customHeight="1" x14ac:dyDescent="0.25">
      <c r="A172" s="472"/>
      <c r="B172" s="436">
        <f>'BOULEVARD 5'!B170</f>
        <v>917</v>
      </c>
      <c r="C172" s="436" t="s">
        <v>355</v>
      </c>
      <c r="D172" s="436"/>
      <c r="E172" s="436" t="str">
        <f>IF('BOULEVARD 5'!E170="","",'BOULEVARD 5'!E170)</f>
        <v>Brenda Búcaro</v>
      </c>
      <c r="F172" s="429" t="str">
        <f>IF('BOULEVARD 5'!F170="","",'BOULEVARD 5'!F170)</f>
        <v>Jessica María Ramirez Girard</v>
      </c>
      <c r="G172" s="473">
        <f>IF('BOULEVARD 5'!G170="","",'BOULEVARD 5'!G170)</f>
        <v>45068</v>
      </c>
      <c r="H172" s="666" t="str">
        <f>IF(OR($A172="F&amp;F",$G172=""),"",IF(H$8&gt;$G172,IF(OR(status1B5!I172=1,status1B5!I172=2,'BOULEVARD 5'!K170&gt;0),"Pagado","impago"),""))</f>
        <v/>
      </c>
      <c r="I172" s="666" t="str">
        <f>IF(OR($A172="F&amp;F",$G172=""),"",IF(I$8&gt;$G172,IF(OR(status1B5!J172=1,status1B5!J172=2,'BOULEVARD 5'!L170&gt;0),"Pagado","impago"),""))</f>
        <v/>
      </c>
      <c r="J172" s="666" t="str">
        <f>IF(OR($A172="F&amp;F",$G172=""),"",IF(J$8&gt;$G172,IF(OR(status1B5!K172=1,status1B5!K172=2,'BOULEVARD 5'!M170&gt;0),"Pagado","impago"),""))</f>
        <v>Pagado</v>
      </c>
      <c r="K172" s="666" t="str">
        <f>IF(OR($A172="F&amp;F",$G172=""),"",IF(K$8&gt;$G172,IF(OR(status1B5!L172=1,status1B5!L172=2,'BOULEVARD 5'!N170&gt;0),"Pagado","impago"),""))</f>
        <v>Pagado</v>
      </c>
      <c r="L172" s="666" t="str">
        <f>IF(OR($A172="F&amp;F",$G172=""),"",IF(L$8&gt;$G172,IF(OR(status1B5!M172=1,status1B5!M172=2,'BOULEVARD 5'!O170&gt;0),"Pagado","impago"),""))</f>
        <v>Pagado</v>
      </c>
      <c r="M172" s="666" t="str">
        <f>IF(OR($A172="F&amp;F",$G172=""),"",IF(M$8&gt;$G172,IF(OR(status1B5!N172=1,status1B5!N172=2,'BOULEVARD 5'!P170&gt;0),"Pagado","impago"),""))</f>
        <v>Pagado</v>
      </c>
      <c r="N172" s="666" t="str">
        <f>IF(OR($A172="F&amp;F",$G172=""),"",IF(N$8&gt;$G172,IF(OR(status1B5!O172=1,status1B5!O172=2,'BOULEVARD 5'!Q170&gt;0),"Pagado","impago"),""))</f>
        <v>Pagado</v>
      </c>
      <c r="O172" s="666" t="str">
        <f>IF(OR($A172="F&amp;F",$G172=""),"",IF(O$8&gt;$G172,IF(OR(status1B5!P172=1,status1B5!P172=2,'BOULEVARD 5'!R170&gt;0),"Pagado","impago"),""))</f>
        <v>Pagado</v>
      </c>
      <c r="P172" s="666" t="str">
        <f>IF(OR($A172="F&amp;F",$G172=""),"",IF(P$8&gt;$G172,IF(OR(status1B5!Q172=1,status1B5!Q172=2,'BOULEVARD 5'!S170&gt;0),"Pagado","impago"),""))</f>
        <v>Pagado</v>
      </c>
      <c r="Q172" s="666" t="str">
        <f>IF(OR($A172="F&amp;F",$G172=""),"",IF(Q$8&gt;$G172,IF(OR(status1B5!R172=1,status1B5!R172=2,'BOULEVARD 5'!T170&gt;0),"Pagado","impago"),""))</f>
        <v>Pagado</v>
      </c>
      <c r="R172" s="666" t="str">
        <f>IF(OR($A172="F&amp;F",$G172=""),"",IF(R$8&gt;$G172,IF(OR(status1B5!S172=1,status1B5!S172=2,'BOULEVARD 5'!U170&gt;0),"Pagado","impago"),""))</f>
        <v>Pagado</v>
      </c>
      <c r="S172" s="666" t="str">
        <f>IF(OR($A172="F&amp;F",$G172=""),"",IF(S$8&gt;$G172,IF(OR(status1B5!T172=1,status1B5!T172=2,'BOULEVARD 5'!V170&gt;0),"Pagado","impago"),""))</f>
        <v>Pagado</v>
      </c>
      <c r="T172" s="666" t="str">
        <f>IF(OR($A172="F&amp;F",$G172=""),"",IF(T$8&gt;$G172,IF(OR(status1B5!U172=1,status1B5!U172=2,'BOULEVARD 5'!W170&gt;0),"Pagado","impago"),""))</f>
        <v>Pagado</v>
      </c>
      <c r="U172" s="666" t="str">
        <f>IF(OR($A172="F&amp;F",$G172=""),"",IF(U$8&gt;$G172,IF(OR(status1B5!V172=1,status1B5!V172=2,'BOULEVARD 5'!X170&gt;0),"Pagado","impago"),""))</f>
        <v>Pagado</v>
      </c>
      <c r="V172" s="666" t="str">
        <f>IF(OR($A172="F&amp;F",$G172=""),"",IF(V$8&gt;$G172,IF(OR(status1B5!W172=1,status1B5!W172=2,'BOULEVARD 5'!Y170&gt;0),"Pagado","impago"),""))</f>
        <v>Pagado</v>
      </c>
      <c r="W172" s="666" t="str">
        <f>IF(OR($A172="F&amp;F",$G172=""),"",IF(W$8&gt;$G172,IF(OR(status1B5!X172=1,status1B5!X172=2,'BOULEVARD 5'!Z170&gt;0),"Pagado","impago"),""))</f>
        <v>Pagado</v>
      </c>
      <c r="X172" s="666" t="str">
        <f>IF(OR($A172="F&amp;F",$G172=""),"",IF(X$8&gt;$G172,IF(OR(status1B5!Y172=1,status1B5!Y172=2,'BOULEVARD 5'!AA170&gt;0),"Pagado","impago"),""))</f>
        <v>Pagado</v>
      </c>
      <c r="Y172" s="666" t="str">
        <f>IF(OR($A172="F&amp;F",$G172=""),"",IF(Y$8&gt;$G172,IF(OR(status1B5!Z172=1,status1B5!Z172=2,'BOULEVARD 5'!AB170&gt;0),"Pagado","impago"),""))</f>
        <v>Pagado</v>
      </c>
      <c r="Z172" s="666" t="str">
        <f>IF(OR($A172="F&amp;F",$G172=""),"",IF(Z$8&gt;$G172,IF(OR(status1B5!AA172=1,status1B5!AA172=2,'BOULEVARD 5'!AC170&gt;0),"Pagado","impago"),""))</f>
        <v>Pagado</v>
      </c>
      <c r="AA172" s="666" t="str">
        <f>IF(OR($A172="F&amp;F",$G172=""),"",IF(AA$8&gt;$G172,IF(OR(status1B5!AB172=1,status1B5!AB172=2,'BOULEVARD 5'!AD170&gt;0),"Pagado","impago"),""))</f>
        <v>Pagado</v>
      </c>
      <c r="AB172" s="666" t="str">
        <f>IF(OR($A172="F&amp;F",$G172=""),"",IF(AB$8&gt;$G172,IF(OR(status1B5!AC172=1,status1B5!AC172=2,'BOULEVARD 5'!AE170&gt;0),"Pagado","impago"),""))</f>
        <v>Pagado</v>
      </c>
      <c r="AC172" s="666" t="str">
        <f>IF(OR($A172="F&amp;F",$G172=""),"",IF(AC$8&gt;$G172,IF(OR(status1B5!AD172=1,status1B5!AD172=2,'BOULEVARD 5'!AF170&gt;0),"Pagado","impago"),""))</f>
        <v>Pagado</v>
      </c>
      <c r="AD172" s="666" t="str">
        <f>IF(OR($A172="F&amp;F",$G172=""),"",IF(AD$8&gt;$G172,IF(OR(status1B5!AE172=1,status1B5!AE172=2,'BOULEVARD 5'!AG170&gt;0),"Pagado","impago"),""))</f>
        <v>Pagado</v>
      </c>
      <c r="AE172" s="666" t="str">
        <f>IF(OR($A172="F&amp;F",$G172=""),"",IF(AE$8&gt;$G172,IF(OR(status1B5!AF172=1,status1B5!AF172=2,'BOULEVARD 5'!AH170&gt;0),"Pagado","impago"),""))</f>
        <v>Pagado</v>
      </c>
      <c r="AF172" s="666" t="str">
        <f>IF(OR($A172="F&amp;F",$G172=""),"",IF(AF$8&gt;$G172,IF(OR(status1B5!AG172=1,status1B5!AG172=2,'BOULEVARD 5'!AI170&gt;0),"Pagado","impago"),""))</f>
        <v>Pagado</v>
      </c>
      <c r="AG172" s="666" t="str">
        <f>IF(OR($A172="F&amp;F",$G172=""),"",IF(AG$8&gt;$G172,IF(OR(status1B5!AH172=1,status1B5!AH172=2,'BOULEVARD 5'!AJ170&gt;0),"Pagado","impago"),""))</f>
        <v>Pagado</v>
      </c>
      <c r="AH172" s="666" t="str">
        <f>IF(OR($A172="F&amp;F",$G172=""),"",IF(AH$8&gt;$G172,IF(OR(status1B5!AI172=1,status1B5!AI172=2,'BOULEVARD 5'!AK170&gt;0),"Pagado","impago"),""))</f>
        <v>Pagado</v>
      </c>
      <c r="AI172" s="666" t="str">
        <f>IF(OR($A172="F&amp;F",$G172=""),"",IF(AI$8&gt;$G172,IF(OR(status1B5!AJ172=1,status1B5!AJ172=2,'BOULEVARD 5'!AL170&gt;0),"Pagado","impago"),""))</f>
        <v>Pagado</v>
      </c>
      <c r="AJ172" s="666" t="str">
        <f>IF(OR($A172="F&amp;F",$G172=""),"",IF(AJ$8&gt;$G172,IF(OR(status1B5!AK172=1,status1B5!AK172=2,'BOULEVARD 5'!AM170&gt;0),"Pagado","impago"),""))</f>
        <v>Pagado</v>
      </c>
      <c r="AK172" s="666" t="str">
        <f>IF(OR($A172="F&amp;F",$G172=""),"",IF(AK$8&gt;$G172,IF(OR(status1B5!AL172=1,status1B5!AL172=2,'BOULEVARD 5'!AN170&gt;0),"Pagado","impago"),""))</f>
        <v>Pagado</v>
      </c>
      <c r="AL172" s="666" t="str">
        <f>IF(OR($A172="F&amp;F",$G172=""),"",IF(AL$8&gt;$G172,IF(OR(status1B5!AM172=1,status1B5!AM172=2,'BOULEVARD 5'!AO170&gt;0),"Pagado","impago"),""))</f>
        <v>Pagado</v>
      </c>
      <c r="AM172" s="666" t="str">
        <f>IF(OR($A172="F&amp;F",$G172=""),"",IF(AM$8&gt;$G172,IF(OR(status1B5!AN172=1,status1B5!AN172=2,'BOULEVARD 5'!AP170&gt;0),"Pagado","impago"),""))</f>
        <v>Pagado</v>
      </c>
      <c r="AN172" s="666" t="str">
        <f>IF(OR($A172="F&amp;F",$G172=""),"",IF(AN$8&gt;$G172,IF(OR(status1B5!AO172=1,status1B5!AO172=2,'BOULEVARD 5'!AQ170&gt;0),"Pagado","impago"),""))</f>
        <v>Pagado</v>
      </c>
      <c r="AO172" s="666" t="str">
        <f>IF(OR($A172="F&amp;F",$G172=""),"",IF(AO$8&gt;$G172,IF(OR(status1B5!AP172=1,status1B5!AP172=2,'BOULEVARD 5'!AS170&gt;0),"Pagado","impago"),""))</f>
        <v>Pagado</v>
      </c>
      <c r="AP172" s="429" t="str">
        <f t="shared" si="7"/>
        <v>Vendido</v>
      </c>
    </row>
    <row r="173" spans="1:42" s="429" customFormat="1" ht="13.9" customHeight="1" x14ac:dyDescent="0.25">
      <c r="A173" s="472"/>
      <c r="B173" s="436">
        <f>'BOULEVARD 5'!B171</f>
        <v>918</v>
      </c>
      <c r="C173" s="436" t="s">
        <v>355</v>
      </c>
      <c r="D173" s="436"/>
      <c r="E173" s="436" t="str">
        <f>IF('BOULEVARD 5'!E171="","",'BOULEVARD 5'!E171)</f>
        <v>Antonio Rada</v>
      </c>
      <c r="F173" s="429" t="str">
        <f>IF('BOULEVARD 5'!F171="","",'BOULEVARD 5'!F171)</f>
        <v>Astrid Maricel De León Ramírez</v>
      </c>
      <c r="G173" s="473">
        <f>IF('BOULEVARD 5'!G171="","",'BOULEVARD 5'!G171)</f>
        <v>45128</v>
      </c>
      <c r="H173" s="666" t="str">
        <f>IF(OR($A173="F&amp;F",$G173=""),"",IF(H$8&gt;$G173,IF(OR(status1B5!I173=1,status1B5!I173=2,'BOULEVARD 5'!K171&gt;0),"Pagado","impago"),""))</f>
        <v/>
      </c>
      <c r="I173" s="666" t="str">
        <f>IF(OR($A173="F&amp;F",$G173=""),"",IF(I$8&gt;$G173,IF(OR(status1B5!J173=1,status1B5!J173=2,'BOULEVARD 5'!L171&gt;0),"Pagado","impago"),""))</f>
        <v/>
      </c>
      <c r="J173" s="666" t="str">
        <f>IF(OR($A173="F&amp;F",$G173=""),"",IF(J$8&gt;$G173,IF(OR(status1B5!K173=1,status1B5!K173=2,'BOULEVARD 5'!M171&gt;0),"Pagado","impago"),""))</f>
        <v/>
      </c>
      <c r="K173" s="666" t="str">
        <f>IF(OR($A173="F&amp;F",$G173=""),"",IF(K$8&gt;$G173,IF(OR(status1B5!L173=1,status1B5!L173=2,'BOULEVARD 5'!N171&gt;0),"Pagado","impago"),""))</f>
        <v/>
      </c>
      <c r="L173" s="666" t="str">
        <f>IF(OR($A173="F&amp;F",$G173=""),"",IF(L$8&gt;$G173,IF(OR(status1B5!M173=1,status1B5!M173=2,'BOULEVARD 5'!O171&gt;0),"Pagado","impago"),""))</f>
        <v>Pagado</v>
      </c>
      <c r="M173" s="666" t="str">
        <f>IF(OR($A173="F&amp;F",$G173=""),"",IF(M$8&gt;$G173,IF(OR(status1B5!N173=1,status1B5!N173=2,'BOULEVARD 5'!P171&gt;0),"Pagado","impago"),""))</f>
        <v>Pagado</v>
      </c>
      <c r="N173" s="666" t="str">
        <f>IF(OR($A173="F&amp;F",$G173=""),"",IF(N$8&gt;$G173,IF(OR(status1B5!O173=1,status1B5!O173=2,'BOULEVARD 5'!Q171&gt;0),"Pagado","impago"),""))</f>
        <v>Pagado</v>
      </c>
      <c r="O173" s="666" t="str">
        <f>IF(OR($A173="F&amp;F",$G173=""),"",IF(O$8&gt;$G173,IF(OR(status1B5!P173=1,status1B5!P173=2,'BOULEVARD 5'!R171&gt;0),"Pagado","impago"),""))</f>
        <v>Pagado</v>
      </c>
      <c r="P173" s="666" t="str">
        <f>IF(OR($A173="F&amp;F",$G173=""),"",IF(P$8&gt;$G173,IF(OR(status1B5!Q173=1,status1B5!Q173=2,'BOULEVARD 5'!S171&gt;0),"Pagado","impago"),""))</f>
        <v>Pagado</v>
      </c>
      <c r="Q173" s="666" t="str">
        <f>IF(OR($A173="F&amp;F",$G173=""),"",IF(Q$8&gt;$G173,IF(OR(status1B5!R173=1,status1B5!R173=2,'BOULEVARD 5'!T171&gt;0),"Pagado","impago"),""))</f>
        <v>Pagado</v>
      </c>
      <c r="R173" s="666" t="str">
        <f>IF(OR($A173="F&amp;F",$G173=""),"",IF(R$8&gt;$G173,IF(OR(status1B5!S173=1,status1B5!S173=2,'BOULEVARD 5'!U171&gt;0),"Pagado","impago"),""))</f>
        <v>Pagado</v>
      </c>
      <c r="S173" s="666" t="str">
        <f>IF(OR($A173="F&amp;F",$G173=""),"",IF(S$8&gt;$G173,IF(OR(status1B5!T173=1,status1B5!T173=2,'BOULEVARD 5'!V171&gt;0),"Pagado","impago"),""))</f>
        <v>Pagado</v>
      </c>
      <c r="T173" s="666" t="str">
        <f>IF(OR($A173="F&amp;F",$G173=""),"",IF(T$8&gt;$G173,IF(OR(status1B5!U173=1,status1B5!U173=2,'BOULEVARD 5'!W171&gt;0),"Pagado","impago"),""))</f>
        <v>Pagado</v>
      </c>
      <c r="U173" s="666" t="str">
        <f>IF(OR($A173="F&amp;F",$G173=""),"",IF(U$8&gt;$G173,IF(OR(status1B5!V173=1,status1B5!V173=2,'BOULEVARD 5'!X171&gt;0),"Pagado","impago"),""))</f>
        <v>Pagado</v>
      </c>
      <c r="V173" s="666" t="str">
        <f>IF(OR($A173="F&amp;F",$G173=""),"",IF(V$8&gt;$G173,IF(OR(status1B5!W173=1,status1B5!W173=2,'BOULEVARD 5'!Y171&gt;0),"Pagado","impago"),""))</f>
        <v>Pagado</v>
      </c>
      <c r="W173" s="666" t="str">
        <f>IF(OR($A173="F&amp;F",$G173=""),"",IF(W$8&gt;$G173,IF(OR(status1B5!X173=1,status1B5!X173=2,'BOULEVARD 5'!Z171&gt;0),"Pagado","impago"),""))</f>
        <v>Pagado</v>
      </c>
      <c r="X173" s="666" t="str">
        <f>IF(OR($A173="F&amp;F",$G173=""),"",IF(X$8&gt;$G173,IF(OR(status1B5!Y173=1,status1B5!Y173=2,'BOULEVARD 5'!AA171&gt;0),"Pagado","impago"),""))</f>
        <v>Pagado</v>
      </c>
      <c r="Y173" s="666" t="str">
        <f>IF(OR($A173="F&amp;F",$G173=""),"",IF(Y$8&gt;$G173,IF(OR(status1B5!Z173=1,status1B5!Z173=2,'BOULEVARD 5'!AB171&gt;0),"Pagado","impago"),""))</f>
        <v>Pagado</v>
      </c>
      <c r="Z173" s="666" t="str">
        <f>IF(OR($A173="F&amp;F",$G173=""),"",IF(Z$8&gt;$G173,IF(OR(status1B5!AA173=1,status1B5!AA173=2,'BOULEVARD 5'!AC171&gt;0),"Pagado","impago"),""))</f>
        <v>Pagado</v>
      </c>
      <c r="AA173" s="666" t="str">
        <f>IF(OR($A173="F&amp;F",$G173=""),"",IF(AA$8&gt;$G173,IF(OR(status1B5!AB173=1,status1B5!AB173=2,'BOULEVARD 5'!AD171&gt;0),"Pagado","impago"),""))</f>
        <v>Pagado</v>
      </c>
      <c r="AB173" s="666" t="str">
        <f>IF(OR($A173="F&amp;F",$G173=""),"",IF(AB$8&gt;$G173,IF(OR(status1B5!AC173=1,status1B5!AC173=2,'BOULEVARD 5'!AE171&gt;0),"Pagado","impago"),""))</f>
        <v>Pagado</v>
      </c>
      <c r="AC173" s="666" t="str">
        <f>IF(OR($A173="F&amp;F",$G173=""),"",IF(AC$8&gt;$G173,IF(OR(status1B5!AD173=1,status1B5!AD173=2,'BOULEVARD 5'!AF171&gt;0),"Pagado","impago"),""))</f>
        <v>Pagado</v>
      </c>
      <c r="AD173" s="666" t="str">
        <f>IF(OR($A173="F&amp;F",$G173=""),"",IF(AD$8&gt;$G173,IF(OR(status1B5!AE173=1,status1B5!AE173=2,'BOULEVARD 5'!AG171&gt;0),"Pagado","impago"),""))</f>
        <v>Pagado</v>
      </c>
      <c r="AE173" s="666" t="str">
        <f>IF(OR($A173="F&amp;F",$G173=""),"",IF(AE$8&gt;$G173,IF(OR(status1B5!AF173=1,status1B5!AF173=2,'BOULEVARD 5'!AH171&gt;0),"Pagado","impago"),""))</f>
        <v>Pagado</v>
      </c>
      <c r="AF173" s="666" t="str">
        <f>IF(OR($A173="F&amp;F",$G173=""),"",IF(AF$8&gt;$G173,IF(OR(status1B5!AG173=1,status1B5!AG173=2,'BOULEVARD 5'!AI171&gt;0),"Pagado","impago"),""))</f>
        <v>Pagado</v>
      </c>
      <c r="AG173" s="666" t="str">
        <f>IF(OR($A173="F&amp;F",$G173=""),"",IF(AG$8&gt;$G173,IF(OR(status1B5!AH173=1,status1B5!AH173=2,'BOULEVARD 5'!AJ171&gt;0),"Pagado","impago"),""))</f>
        <v>Pagado</v>
      </c>
      <c r="AH173" s="666" t="str">
        <f>IF(OR($A173="F&amp;F",$G173=""),"",IF(AH$8&gt;$G173,IF(OR(status1B5!AI173=1,status1B5!AI173=2,'BOULEVARD 5'!AK171&gt;0),"Pagado","impago"),""))</f>
        <v>Pagado</v>
      </c>
      <c r="AI173" s="666" t="str">
        <f>IF(OR($A173="F&amp;F",$G173=""),"",IF(AI$8&gt;$G173,IF(OR(status1B5!AJ173=1,status1B5!AJ173=2,'BOULEVARD 5'!AL171&gt;0),"Pagado","impago"),""))</f>
        <v>Pagado</v>
      </c>
      <c r="AJ173" s="666" t="str">
        <f>IF(OR($A173="F&amp;F",$G173=""),"",IF(AJ$8&gt;$G173,IF(OR(status1B5!AK173=1,status1B5!AK173=2,'BOULEVARD 5'!AM171&gt;0),"Pagado","impago"),""))</f>
        <v>Pagado</v>
      </c>
      <c r="AK173" s="666" t="str">
        <f>IF(OR($A173="F&amp;F",$G173=""),"",IF(AK$8&gt;$G173,IF(OR(status1B5!AL173=1,status1B5!AL173=2,'BOULEVARD 5'!AN171&gt;0),"Pagado","impago"),""))</f>
        <v>Pagado</v>
      </c>
      <c r="AL173" s="666" t="str">
        <f>IF(OR($A173="F&amp;F",$G173=""),"",IF(AL$8&gt;$G173,IF(OR(status1B5!AM173=1,status1B5!AM173=2,'BOULEVARD 5'!AO171&gt;0),"Pagado","impago"),""))</f>
        <v>Pagado</v>
      </c>
      <c r="AM173" s="666" t="str">
        <f>IF(OR($A173="F&amp;F",$G173=""),"",IF(AM$8&gt;$G173,IF(OR(status1B5!AN173=1,status1B5!AN173=2,'BOULEVARD 5'!AP171&gt;0),"Pagado","impago"),""))</f>
        <v>Pagado</v>
      </c>
      <c r="AN173" s="666" t="str">
        <f>IF(OR($A173="F&amp;F",$G173=""),"",IF(AN$8&gt;$G173,IF(OR(status1B5!AO173=1,status1B5!AO173=2,'BOULEVARD 5'!AQ171&gt;0),"Pagado","impago"),""))</f>
        <v>Pagado</v>
      </c>
      <c r="AO173" s="666" t="str">
        <f>IF(OR($A173="F&amp;F",$G173=""),"",IF(AO$8&gt;$G173,IF(OR(status1B5!AP173=1,status1B5!AP173=2,'BOULEVARD 5'!AS171&gt;0),"Pagado","impago"),""))</f>
        <v>Pagado</v>
      </c>
      <c r="AP173" s="429" t="str">
        <f t="shared" si="7"/>
        <v>Vendido</v>
      </c>
    </row>
    <row r="174" spans="1:42" s="429" customFormat="1" ht="13.9" customHeight="1" x14ac:dyDescent="0.25">
      <c r="A174" s="472"/>
      <c r="B174" s="436">
        <f>'BOULEVARD 5'!B172</f>
        <v>919</v>
      </c>
      <c r="C174" s="436" t="s">
        <v>355</v>
      </c>
      <c r="D174" s="436"/>
      <c r="E174" s="436" t="str">
        <f>IF('BOULEVARD 5'!E172="","",'BOULEVARD 5'!E172)</f>
        <v>Brenda Búcaro</v>
      </c>
      <c r="F174" s="429" t="str">
        <f>IF('BOULEVARD 5'!F172="","",'BOULEVARD 5'!F172)</f>
        <v>Ana Lucrecia Rangel Aquino</v>
      </c>
      <c r="G174" s="473">
        <f>IF('BOULEVARD 5'!G172="","",'BOULEVARD 5'!G172)</f>
        <v>45016</v>
      </c>
      <c r="H174" s="666" t="str">
        <f>IF(OR($A174="F&amp;F",$G174=""),"",IF(H$8&gt;$G174,IF(OR(status1B5!I174=1,status1B5!I174=2,'BOULEVARD 5'!K172&gt;0),"Pagado","impago"),""))</f>
        <v/>
      </c>
      <c r="I174" s="666" t="str">
        <f>IF(OR($A174="F&amp;F",$G174=""),"",IF(I$8&gt;$G174,IF(OR(status1B5!J174=1,status1B5!J174=2,'BOULEVARD 5'!L172&gt;0),"Pagado","impago"),""))</f>
        <v>Pagado</v>
      </c>
      <c r="J174" s="666" t="str">
        <f>IF(OR($A174="F&amp;F",$G174=""),"",IF(J$8&gt;$G174,IF(OR(status1B5!K174=1,status1B5!K174=2,'BOULEVARD 5'!M172&gt;0),"Pagado","impago"),""))</f>
        <v>Pagado</v>
      </c>
      <c r="K174" s="666" t="str">
        <f>IF(OR($A174="F&amp;F",$G174=""),"",IF(K$8&gt;$G174,IF(OR(status1B5!L174=1,status1B5!L174=2,'BOULEVARD 5'!N172&gt;0),"Pagado","impago"),""))</f>
        <v>Pagado</v>
      </c>
      <c r="L174" s="666" t="str">
        <f>IF(OR($A174="F&amp;F",$G174=""),"",IF(L$8&gt;$G174,IF(OR(status1B5!M174=1,status1B5!M174=2,'BOULEVARD 5'!O172&gt;0),"Pagado","impago"),""))</f>
        <v>Pagado</v>
      </c>
      <c r="M174" s="666" t="str">
        <f>IF(OR($A174="F&amp;F",$G174=""),"",IF(M$8&gt;$G174,IF(OR(status1B5!N174=1,status1B5!N174=2,'BOULEVARD 5'!P172&gt;0),"Pagado","impago"),""))</f>
        <v>Pagado</v>
      </c>
      <c r="N174" s="666" t="str">
        <f>IF(OR($A174="F&amp;F",$G174=""),"",IF(N$8&gt;$G174,IF(OR(status1B5!O174=1,status1B5!O174=2,'BOULEVARD 5'!Q172&gt;0),"Pagado","impago"),""))</f>
        <v>Pagado</v>
      </c>
      <c r="O174" s="666" t="str">
        <f>IF(OR($A174="F&amp;F",$G174=""),"",IF(O$8&gt;$G174,IF(OR(status1B5!P174=1,status1B5!P174=2,'BOULEVARD 5'!R172&gt;0),"Pagado","impago"),""))</f>
        <v>Pagado</v>
      </c>
      <c r="P174" s="666" t="str">
        <f>IF(OR($A174="F&amp;F",$G174=""),"",IF(P$8&gt;$G174,IF(OR(status1B5!Q174=1,status1B5!Q174=2,'BOULEVARD 5'!S172&gt;0),"Pagado","impago"),""))</f>
        <v>Pagado</v>
      </c>
      <c r="Q174" s="666" t="str">
        <f>IF(OR($A174="F&amp;F",$G174=""),"",IF(Q$8&gt;$G174,IF(OR(status1B5!R174=1,status1B5!R174=2,'BOULEVARD 5'!T172&gt;0),"Pagado","impago"),""))</f>
        <v>Pagado</v>
      </c>
      <c r="R174" s="666" t="str">
        <f>IF(OR($A174="F&amp;F",$G174=""),"",IF(R$8&gt;$G174,IF(OR(status1B5!S174=1,status1B5!S174=2,'BOULEVARD 5'!U172&gt;0),"Pagado","impago"),""))</f>
        <v>Pagado</v>
      </c>
      <c r="S174" s="666" t="str">
        <f>IF(OR($A174="F&amp;F",$G174=""),"",IF(S$8&gt;$G174,IF(OR(status1B5!T174=1,status1B5!T174=2,'BOULEVARD 5'!V172&gt;0),"Pagado","impago"),""))</f>
        <v>Pagado</v>
      </c>
      <c r="T174" s="666" t="str">
        <f>IF(OR($A174="F&amp;F",$G174=""),"",IF(T$8&gt;$G174,IF(OR(status1B5!U174=1,status1B5!U174=2,'BOULEVARD 5'!W172&gt;0),"Pagado","impago"),""))</f>
        <v>Pagado</v>
      </c>
      <c r="U174" s="666" t="str">
        <f>IF(OR($A174="F&amp;F",$G174=""),"",IF(U$8&gt;$G174,IF(OR(status1B5!V174=1,status1B5!V174=2,'BOULEVARD 5'!X172&gt;0),"Pagado","impago"),""))</f>
        <v>Pagado</v>
      </c>
      <c r="V174" s="666" t="str">
        <f>IF(OR($A174="F&amp;F",$G174=""),"",IF(V$8&gt;$G174,IF(OR(status1B5!W174=1,status1B5!W174=2,'BOULEVARD 5'!Y172&gt;0),"Pagado","impago"),""))</f>
        <v>Pagado</v>
      </c>
      <c r="W174" s="666" t="str">
        <f>IF(OR($A174="F&amp;F",$G174=""),"",IF(W$8&gt;$G174,IF(OR(status1B5!X174=1,status1B5!X174=2,'BOULEVARD 5'!Z172&gt;0),"Pagado","impago"),""))</f>
        <v>Pagado</v>
      </c>
      <c r="X174" s="666" t="str">
        <f>IF(OR($A174="F&amp;F",$G174=""),"",IF(X$8&gt;$G174,IF(OR(status1B5!Y174=1,status1B5!Y174=2,'BOULEVARD 5'!AA172&gt;0),"Pagado","impago"),""))</f>
        <v>Pagado</v>
      </c>
      <c r="Y174" s="666" t="str">
        <f>IF(OR($A174="F&amp;F",$G174=""),"",IF(Y$8&gt;$G174,IF(OR(status1B5!Z174=1,status1B5!Z174=2,'BOULEVARD 5'!AB172&gt;0),"Pagado","impago"),""))</f>
        <v>Pagado</v>
      </c>
      <c r="Z174" s="666" t="str">
        <f>IF(OR($A174="F&amp;F",$G174=""),"",IF(Z$8&gt;$G174,IF(OR(status1B5!AA174=1,status1B5!AA174=2,'BOULEVARD 5'!AC172&gt;0),"Pagado","impago"),""))</f>
        <v>Pagado</v>
      </c>
      <c r="AA174" s="666" t="str">
        <f>IF(OR($A174="F&amp;F",$G174=""),"",IF(AA$8&gt;$G174,IF(OR(status1B5!AB174=1,status1B5!AB174=2,'BOULEVARD 5'!AD172&gt;0),"Pagado","impago"),""))</f>
        <v>Pagado</v>
      </c>
      <c r="AB174" s="666" t="str">
        <f>IF(OR($A174="F&amp;F",$G174=""),"",IF(AB$8&gt;$G174,IF(OR(status1B5!AC174=1,status1B5!AC174=2,'BOULEVARD 5'!AE172&gt;0),"Pagado","impago"),""))</f>
        <v>Pagado</v>
      </c>
      <c r="AC174" s="666" t="str">
        <f>IF(OR($A174="F&amp;F",$G174=""),"",IF(AC$8&gt;$G174,IF(OR(status1B5!AD174=1,status1B5!AD174=2,'BOULEVARD 5'!AF172&gt;0),"Pagado","impago"),""))</f>
        <v>Pagado</v>
      </c>
      <c r="AD174" s="666" t="str">
        <f>IF(OR($A174="F&amp;F",$G174=""),"",IF(AD$8&gt;$G174,IF(OR(status1B5!AE174=1,status1B5!AE174=2,'BOULEVARD 5'!AG172&gt;0),"Pagado","impago"),""))</f>
        <v>Pagado</v>
      </c>
      <c r="AE174" s="666" t="str">
        <f>IF(OR($A174="F&amp;F",$G174=""),"",IF(AE$8&gt;$G174,IF(OR(status1B5!AF174=1,status1B5!AF174=2,'BOULEVARD 5'!AH172&gt;0),"Pagado","impago"),""))</f>
        <v>Pagado</v>
      </c>
      <c r="AF174" s="666" t="str">
        <f>IF(OR($A174="F&amp;F",$G174=""),"",IF(AF$8&gt;$G174,IF(OR(status1B5!AG174=1,status1B5!AG174=2,'BOULEVARD 5'!AI172&gt;0),"Pagado","impago"),""))</f>
        <v>Pagado</v>
      </c>
      <c r="AG174" s="666" t="str">
        <f>IF(OR($A174="F&amp;F",$G174=""),"",IF(AG$8&gt;$G174,IF(OR(status1B5!AH174=1,status1B5!AH174=2,'BOULEVARD 5'!AJ172&gt;0),"Pagado","impago"),""))</f>
        <v>Pagado</v>
      </c>
      <c r="AH174" s="666" t="str">
        <f>IF(OR($A174="F&amp;F",$G174=""),"",IF(AH$8&gt;$G174,IF(OR(status1B5!AI174=1,status1B5!AI174=2,'BOULEVARD 5'!AK172&gt;0),"Pagado","impago"),""))</f>
        <v>Pagado</v>
      </c>
      <c r="AI174" s="666" t="str">
        <f>IF(OR($A174="F&amp;F",$G174=""),"",IF(AI$8&gt;$G174,IF(OR(status1B5!AJ174=1,status1B5!AJ174=2,'BOULEVARD 5'!AL172&gt;0),"Pagado","impago"),""))</f>
        <v>Pagado</v>
      </c>
      <c r="AJ174" s="666" t="str">
        <f>IF(OR($A174="F&amp;F",$G174=""),"",IF(AJ$8&gt;$G174,IF(OR(status1B5!AK174=1,status1B5!AK174=2,'BOULEVARD 5'!AM172&gt;0),"Pagado","impago"),""))</f>
        <v>Pagado</v>
      </c>
      <c r="AK174" s="666" t="str">
        <f>IF(OR($A174="F&amp;F",$G174=""),"",IF(AK$8&gt;$G174,IF(OR(status1B5!AL174=1,status1B5!AL174=2,'BOULEVARD 5'!AN172&gt;0),"Pagado","impago"),""))</f>
        <v>Pagado</v>
      </c>
      <c r="AL174" s="666" t="str">
        <f>IF(OR($A174="F&amp;F",$G174=""),"",IF(AL$8&gt;$G174,IF(OR(status1B5!AM174=1,status1B5!AM174=2,'BOULEVARD 5'!AO172&gt;0),"Pagado","impago"),""))</f>
        <v>Pagado</v>
      </c>
      <c r="AM174" s="666" t="str">
        <f>IF(OR($A174="F&amp;F",$G174=""),"",IF(AM$8&gt;$G174,IF(OR(status1B5!AN174=1,status1B5!AN174=2,'BOULEVARD 5'!AP172&gt;0),"Pagado","impago"),""))</f>
        <v>Pagado</v>
      </c>
      <c r="AN174" s="666" t="str">
        <f>IF(OR($A174="F&amp;F",$G174=""),"",IF(AN$8&gt;$G174,IF(OR(status1B5!AO174=1,status1B5!AO174=2,'BOULEVARD 5'!AQ172&gt;0),"Pagado","impago"),""))</f>
        <v>Pagado</v>
      </c>
      <c r="AO174" s="666" t="str">
        <f>IF(OR($A174="F&amp;F",$G174=""),"",IF(AO$8&gt;$G174,IF(OR(status1B5!AP174=1,status1B5!AP174=2,'BOULEVARD 5'!AS172&gt;0),"Pagado","impago"),""))</f>
        <v>Pagado</v>
      </c>
      <c r="AP174" s="429" t="str">
        <f t="shared" si="7"/>
        <v>Vendido</v>
      </c>
    </row>
    <row r="175" spans="1:42" s="429" customFormat="1" ht="13.9" customHeight="1" x14ac:dyDescent="0.25">
      <c r="A175" s="472" t="s">
        <v>58</v>
      </c>
      <c r="B175" s="475">
        <f>'BOULEVARD 5'!B173</f>
        <v>920</v>
      </c>
      <c r="C175" s="475" t="s">
        <v>355</v>
      </c>
      <c r="D175" s="475"/>
      <c r="E175" s="475" t="str">
        <f>IF('BOULEVARD 5'!E173="","",'BOULEVARD 5'!E173)</f>
        <v>Ronaldo</v>
      </c>
      <c r="F175" s="476" t="str">
        <f>IF('BOULEVARD 5'!F173="","",'BOULEVARD 5'!F173)</f>
        <v>Iurix, S.A</v>
      </c>
      <c r="G175" s="473">
        <f>IF('BOULEVARD 5'!G173="","",'BOULEVARD 5'!G173)</f>
        <v>45300</v>
      </c>
      <c r="H175" s="666" t="str">
        <f>IF(OR($A175="F&amp;F",$G175=""),"",IF(H$8&gt;$G175,IF(OR(status1B5!I175=1,status1B5!I175=2,'BOULEVARD 5'!K173&gt;0),"Pagado","impago"),""))</f>
        <v/>
      </c>
      <c r="I175" s="666" t="str">
        <f>IF(OR($A175="F&amp;F",$G175=""),"",IF(I$8&gt;$G175,IF(OR(status1B5!J175=1,status1B5!J175=2,'BOULEVARD 5'!L173&gt;0),"Pagado","impago"),""))</f>
        <v/>
      </c>
      <c r="J175" s="666" t="str">
        <f>IF(OR($A175="F&amp;F",$G175=""),"",IF(J$8&gt;$G175,IF(OR(status1B5!K175=1,status1B5!K175=2,'BOULEVARD 5'!M173&gt;0),"Pagado","impago"),""))</f>
        <v/>
      </c>
      <c r="K175" s="666" t="str">
        <f>IF(OR($A175="F&amp;F",$G175=""),"",IF(K$8&gt;$G175,IF(OR(status1B5!L175=1,status1B5!L175=2,'BOULEVARD 5'!N173&gt;0),"Pagado","impago"),""))</f>
        <v/>
      </c>
      <c r="L175" s="666" t="str">
        <f>IF(OR($A175="F&amp;F",$G175=""),"",IF(L$8&gt;$G175,IF(OR(status1B5!M175=1,status1B5!M175=2,'BOULEVARD 5'!O173&gt;0),"Pagado","impago"),""))</f>
        <v/>
      </c>
      <c r="M175" s="666" t="str">
        <f>IF(OR($A175="F&amp;F",$G175=""),"",IF(M$8&gt;$G175,IF(OR(status1B5!N175=1,status1B5!N175=2,'BOULEVARD 5'!P173&gt;0),"Pagado","impago"),""))</f>
        <v/>
      </c>
      <c r="N175" s="666" t="str">
        <f>IF(OR($A175="F&amp;F",$G175=""),"",IF(N$8&gt;$G175,IF(OR(status1B5!O175=1,status1B5!O175=2,'BOULEVARD 5'!Q173&gt;0),"Pagado","impago"),""))</f>
        <v/>
      </c>
      <c r="O175" s="666" t="str">
        <f>IF(OR($A175="F&amp;F",$G175=""),"",IF(O$8&gt;$G175,IF(OR(status1B5!P175=1,status1B5!P175=2,'BOULEVARD 5'!R173&gt;0),"Pagado","impago"),""))</f>
        <v/>
      </c>
      <c r="P175" s="666" t="str">
        <f>IF(OR($A175="F&amp;F",$G175=""),"",IF(P$8&gt;$G175,IF(OR(status1B5!Q175=1,status1B5!Q175=2,'BOULEVARD 5'!S173&gt;0),"Pagado","impago"),""))</f>
        <v/>
      </c>
      <c r="Q175" s="666" t="str">
        <f>IF(OR($A175="F&amp;F",$G175=""),"",IF(Q$8&gt;$G175,IF(OR(status1B5!R175=1,status1B5!R175=2,'BOULEVARD 5'!T173&gt;0),"Pagado","impago"),""))</f>
        <v/>
      </c>
      <c r="R175" s="666" t="str">
        <f>IF(OR($A175="F&amp;F",$G175=""),"",IF(R$8&gt;$G175,IF(OR(status1B5!S175=1,status1B5!S175=2,'BOULEVARD 5'!U173&gt;0),"Pagado","impago"),""))</f>
        <v/>
      </c>
      <c r="S175" s="666" t="str">
        <f>IF(OR($A175="F&amp;F",$G175=""),"",IF(S$8&gt;$G175,IF(OR(status1B5!T175=1,status1B5!T175=2,'BOULEVARD 5'!V173&gt;0),"Pagado","impago"),""))</f>
        <v/>
      </c>
      <c r="T175" s="666" t="str">
        <f>IF(OR($A175="F&amp;F",$G175=""),"",IF(T$8&gt;$G175,IF(OR(status1B5!U175=1,status1B5!U175=2,'BOULEVARD 5'!W173&gt;0),"Pagado","impago"),""))</f>
        <v/>
      </c>
      <c r="U175" s="666" t="str">
        <f>IF(OR($A175="F&amp;F",$G175=""),"",IF(U$8&gt;$G175,IF(OR(status1B5!V175=1,status1B5!V175=2,'BOULEVARD 5'!X173&gt;0),"Pagado","impago"),""))</f>
        <v/>
      </c>
      <c r="V175" s="666" t="str">
        <f>IF(OR($A175="F&amp;F",$G175=""),"",IF(V$8&gt;$G175,IF(OR(status1B5!W175=1,status1B5!W175=2,'BOULEVARD 5'!Y173&gt;0),"Pagado","impago"),""))</f>
        <v/>
      </c>
      <c r="W175" s="666" t="str">
        <f>IF(OR($A175="F&amp;F",$G175=""),"",IF(W$8&gt;$G175,IF(OR(status1B5!X175=1,status1B5!X175=2,'BOULEVARD 5'!Z173&gt;0),"Pagado","impago"),""))</f>
        <v/>
      </c>
      <c r="X175" s="666" t="str">
        <f>IF(OR($A175="F&amp;F",$G175=""),"",IF(X$8&gt;$G175,IF(OR(status1B5!Y175=1,status1B5!Y175=2,'BOULEVARD 5'!AA173&gt;0),"Pagado","impago"),""))</f>
        <v/>
      </c>
      <c r="Y175" s="666" t="str">
        <f>IF(OR($A175="F&amp;F",$G175=""),"",IF(Y$8&gt;$G175,IF(OR(status1B5!Z175=1,status1B5!Z175=2,'BOULEVARD 5'!AB173&gt;0),"Pagado","impago"),""))</f>
        <v/>
      </c>
      <c r="Z175" s="666" t="str">
        <f>IF(OR($A175="F&amp;F",$G175=""),"",IF(Z$8&gt;$G175,IF(OR(status1B5!AA175=1,status1B5!AA175=2,'BOULEVARD 5'!AC173&gt;0),"Pagado","impago"),""))</f>
        <v/>
      </c>
      <c r="AA175" s="666" t="str">
        <f>IF(OR($A175="F&amp;F",$G175=""),"",IF(AA$8&gt;$G175,IF(OR(status1B5!AB175=1,status1B5!AB175=2,'BOULEVARD 5'!AD173&gt;0),"Pagado","impago"),""))</f>
        <v/>
      </c>
      <c r="AB175" s="666" t="str">
        <f>IF(OR($A175="F&amp;F",$G175=""),"",IF(AB$8&gt;$G175,IF(OR(status1B5!AC175=1,status1B5!AC175=2,'BOULEVARD 5'!AE173&gt;0),"Pagado","impago"),""))</f>
        <v/>
      </c>
      <c r="AC175" s="666" t="str">
        <f>IF(OR($A175="F&amp;F",$G175=""),"",IF(AC$8&gt;$G175,IF(OR(status1B5!AD175=1,status1B5!AD175=2,'BOULEVARD 5'!AF173&gt;0),"Pagado","impago"),""))</f>
        <v/>
      </c>
      <c r="AD175" s="666" t="str">
        <f>IF(OR($A175="F&amp;F",$G175=""),"",IF(AD$8&gt;$G175,IF(OR(status1B5!AE175=1,status1B5!AE175=2,'BOULEVARD 5'!AG173&gt;0),"Pagado","impago"),""))</f>
        <v/>
      </c>
      <c r="AE175" s="666" t="str">
        <f>IF(OR($A175="F&amp;F",$G175=""),"",IF(AE$8&gt;$G175,IF(OR(status1B5!AF175=1,status1B5!AF175=2,'BOULEVARD 5'!AH173&gt;0),"Pagado","impago"),""))</f>
        <v/>
      </c>
      <c r="AF175" s="666" t="str">
        <f>IF(OR($A175="F&amp;F",$G175=""),"",IF(AF$8&gt;$G175,IF(OR(status1B5!AG175=1,status1B5!AG175=2,'BOULEVARD 5'!AI173&gt;0),"Pagado","impago"),""))</f>
        <v/>
      </c>
      <c r="AG175" s="666" t="str">
        <f>IF(OR($A175="F&amp;F",$G175=""),"",IF(AG$8&gt;$G175,IF(OR(status1B5!AH175=1,status1B5!AH175=2,'BOULEVARD 5'!AJ173&gt;0),"Pagado","impago"),""))</f>
        <v/>
      </c>
      <c r="AH175" s="666" t="str">
        <f>IF(OR($A175="F&amp;F",$G175=""),"",IF(AH$8&gt;$G175,IF(OR(status1B5!AI175=1,status1B5!AI175=2,'BOULEVARD 5'!AK173&gt;0),"Pagado","impago"),""))</f>
        <v/>
      </c>
      <c r="AI175" s="666" t="str">
        <f>IF(OR($A175="F&amp;F",$G175=""),"",IF(AI$8&gt;$G175,IF(OR(status1B5!AJ175=1,status1B5!AJ175=2,'BOULEVARD 5'!AL173&gt;0),"Pagado","impago"),""))</f>
        <v/>
      </c>
      <c r="AJ175" s="666" t="str">
        <f>IF(OR($A175="F&amp;F",$G175=""),"",IF(AJ$8&gt;$G175,IF(OR(status1B5!AK175=1,status1B5!AK175=2,'BOULEVARD 5'!AM173&gt;0),"Pagado","impago"),""))</f>
        <v/>
      </c>
      <c r="AK175" s="666" t="str">
        <f>IF(OR($A175="F&amp;F",$G175=""),"",IF(AK$8&gt;$G175,IF(OR(status1B5!AL175=1,status1B5!AL175=2,'BOULEVARD 5'!AN173&gt;0),"Pagado","impago"),""))</f>
        <v/>
      </c>
      <c r="AL175" s="666" t="str">
        <f>IF(OR($A175="F&amp;F",$G175=""),"",IF(AL$8&gt;$G175,IF(OR(status1B5!AM175=1,status1B5!AM175=2,'BOULEVARD 5'!AO173&gt;0),"Pagado","impago"),""))</f>
        <v/>
      </c>
      <c r="AM175" s="666" t="str">
        <f>IF(OR($A175="F&amp;F",$G175=""),"",IF(AM$8&gt;$G175,IF(OR(status1B5!AN175=1,status1B5!AN175=2,'BOULEVARD 5'!AP173&gt;0),"Pagado","impago"),""))</f>
        <v/>
      </c>
      <c r="AN175" s="666" t="str">
        <f>IF(OR($A175="F&amp;F",$G175=""),"",IF(AN$8&gt;$G175,IF(OR(status1B5!AO175=1,status1B5!AO175=2,'BOULEVARD 5'!AQ173&gt;0),"Pagado","impago"),""))</f>
        <v/>
      </c>
      <c r="AO175" s="666" t="str">
        <f>IF(OR($A175="F&amp;F",$G175=""),"",IF(AO$8&gt;$G175,IF(OR(status1B5!AP175=1,status1B5!AP175=2,'BOULEVARD 5'!AS173&gt;0),"Pagado","impago"),""))</f>
        <v/>
      </c>
      <c r="AP175" s="429" t="str">
        <f t="shared" si="7"/>
        <v>Vendido</v>
      </c>
    </row>
    <row r="176" spans="1:42" s="429" customFormat="1" ht="13.9" customHeight="1" x14ac:dyDescent="0.25">
      <c r="A176" s="472"/>
      <c r="B176" s="436">
        <f>'BOULEVARD 5'!B174</f>
        <v>1001</v>
      </c>
      <c r="C176" s="436" t="s">
        <v>355</v>
      </c>
      <c r="D176" s="436"/>
      <c r="E176" s="436" t="str">
        <f>IF('BOULEVARD 5'!E174="","",'BOULEVARD 5'!E174)</f>
        <v>Antonio Rada</v>
      </c>
      <c r="F176" s="429" t="str">
        <f>IF('BOULEVARD 5'!F174="","",'BOULEVARD 5'!F174)</f>
        <v xml:space="preserve"> Zonia Beariz Hernandez Herrera</v>
      </c>
      <c r="G176" s="473">
        <f>IF('BOULEVARD 5'!G174="","",'BOULEVARD 5'!G174)</f>
        <v>45027</v>
      </c>
      <c r="H176" s="666" t="str">
        <f>IF(OR($A176="F&amp;F",$G176=""),"",IF(H$8&gt;$G176,IF(OR(status1B5!I176=1,status1B5!I176=2,'BOULEVARD 5'!K174&gt;0),"Pagado","impago"),""))</f>
        <v/>
      </c>
      <c r="I176" s="666" t="str">
        <f>IF(OR($A176="F&amp;F",$G176=""),"",IF(I$8&gt;$G176,IF(OR(status1B5!J176=1,status1B5!J176=2,'BOULEVARD 5'!L174&gt;0),"Pagado","impago"),""))</f>
        <v>Pagado</v>
      </c>
      <c r="J176" s="666" t="str">
        <f>IF(OR($A176="F&amp;F",$G176=""),"",IF(J$8&gt;$G176,IF(OR(status1B5!K176=1,status1B5!K176=2,'BOULEVARD 5'!M174&gt;0),"Pagado","impago"),""))</f>
        <v>Pagado</v>
      </c>
      <c r="K176" s="666" t="str">
        <f>IF(OR($A176="F&amp;F",$G176=""),"",IF(K$8&gt;$G176,IF(OR(status1B5!L176=1,status1B5!L176=2,'BOULEVARD 5'!N174&gt;0),"Pagado","impago"),""))</f>
        <v>Pagado</v>
      </c>
      <c r="L176" s="666" t="str">
        <f>IF(OR($A176="F&amp;F",$G176=""),"",IF(L$8&gt;$G176,IF(OR(status1B5!M176=1,status1B5!M176=2,'BOULEVARD 5'!O174&gt;0),"Pagado","impago"),""))</f>
        <v>Pagado</v>
      </c>
      <c r="M176" s="666" t="str">
        <f>IF(OR($A176="F&amp;F",$G176=""),"",IF(M$8&gt;$G176,IF(OR(status1B5!N176=1,status1B5!N176=2,'BOULEVARD 5'!P174&gt;0),"Pagado","impago"),""))</f>
        <v>Pagado</v>
      </c>
      <c r="N176" s="666" t="str">
        <f>IF(OR($A176="F&amp;F",$G176=""),"",IF(N$8&gt;$G176,IF(OR(status1B5!O176=1,status1B5!O176=2,'BOULEVARD 5'!Q174&gt;0),"Pagado","impago"),""))</f>
        <v>Pagado</v>
      </c>
      <c r="O176" s="666" t="str">
        <f>IF(OR($A176="F&amp;F",$G176=""),"",IF(O$8&gt;$G176,IF(OR(status1B5!P176=1,status1B5!P176=2,'BOULEVARD 5'!R174&gt;0),"Pagado","impago"),""))</f>
        <v>Pagado</v>
      </c>
      <c r="P176" s="666" t="str">
        <f>IF(OR($A176="F&amp;F",$G176=""),"",IF(P$8&gt;$G176,IF(OR(status1B5!Q176=1,status1B5!Q176=2,'BOULEVARD 5'!S174&gt;0),"Pagado","impago"),""))</f>
        <v>Pagado</v>
      </c>
      <c r="Q176" s="666" t="str">
        <f>IF(OR($A176="F&amp;F",$G176=""),"",IF(Q$8&gt;$G176,IF(OR(status1B5!R176=1,status1B5!R176=2,'BOULEVARD 5'!T174&gt;0),"Pagado","impago"),""))</f>
        <v>Pagado</v>
      </c>
      <c r="R176" s="666" t="str">
        <f>IF(OR($A176="F&amp;F",$G176=""),"",IF(R$8&gt;$G176,IF(OR(status1B5!S176=1,status1B5!S176=2,'BOULEVARD 5'!U174&gt;0),"Pagado","impago"),""))</f>
        <v>Pagado</v>
      </c>
      <c r="S176" s="666" t="str">
        <f>IF(OR($A176="F&amp;F",$G176=""),"",IF(S$8&gt;$G176,IF(OR(status1B5!T176=1,status1B5!T176=2,'BOULEVARD 5'!V174&gt;0),"Pagado","impago"),""))</f>
        <v>Pagado</v>
      </c>
      <c r="T176" s="666" t="str">
        <f>IF(OR($A176="F&amp;F",$G176=""),"",IF(T$8&gt;$G176,IF(OR(status1B5!U176=1,status1B5!U176=2,'BOULEVARD 5'!W174&gt;0),"Pagado","impago"),""))</f>
        <v>Pagado</v>
      </c>
      <c r="U176" s="666" t="str">
        <f>IF(OR($A176="F&amp;F",$G176=""),"",IF(U$8&gt;$G176,IF(OR(status1B5!V176=1,status1B5!V176=2,'BOULEVARD 5'!X174&gt;0),"Pagado","impago"),""))</f>
        <v>Pagado</v>
      </c>
      <c r="V176" s="666" t="str">
        <f>IF(OR($A176="F&amp;F",$G176=""),"",IF(V$8&gt;$G176,IF(OR(status1B5!W176=1,status1B5!W176=2,'BOULEVARD 5'!Y174&gt;0),"Pagado","impago"),""))</f>
        <v>Pagado</v>
      </c>
      <c r="W176" s="666" t="str">
        <f>IF(OR($A176="F&amp;F",$G176=""),"",IF(W$8&gt;$G176,IF(OR(status1B5!X176=1,status1B5!X176=2,'BOULEVARD 5'!Z174&gt;0),"Pagado","impago"),""))</f>
        <v>Pagado</v>
      </c>
      <c r="X176" s="666" t="str">
        <f>IF(OR($A176="F&amp;F",$G176=""),"",IF(X$8&gt;$G176,IF(OR(status1B5!Y176=1,status1B5!Y176=2,'BOULEVARD 5'!AA174&gt;0),"Pagado","impago"),""))</f>
        <v>Pagado</v>
      </c>
      <c r="Y176" s="666" t="str">
        <f>IF(OR($A176="F&amp;F",$G176=""),"",IF(Y$8&gt;$G176,IF(OR(status1B5!Z176=1,status1B5!Z176=2,'BOULEVARD 5'!AB174&gt;0),"Pagado","impago"),""))</f>
        <v>Pagado</v>
      </c>
      <c r="Z176" s="666" t="str">
        <f>IF(OR($A176="F&amp;F",$G176=""),"",IF(Z$8&gt;$G176,IF(OR(status1B5!AA176=1,status1B5!AA176=2,'BOULEVARD 5'!AC174&gt;0),"Pagado","impago"),""))</f>
        <v>Pagado</v>
      </c>
      <c r="AA176" s="666" t="str">
        <f>IF(OR($A176="F&amp;F",$G176=""),"",IF(AA$8&gt;$G176,IF(OR(status1B5!AB176=1,status1B5!AB176=2,'BOULEVARD 5'!AD174&gt;0),"Pagado","impago"),""))</f>
        <v>Pagado</v>
      </c>
      <c r="AB176" s="666" t="str">
        <f>IF(OR($A176="F&amp;F",$G176=""),"",IF(AB$8&gt;$G176,IF(OR(status1B5!AC176=1,status1B5!AC176=2,'BOULEVARD 5'!AE174&gt;0),"Pagado","impago"),""))</f>
        <v>Pagado</v>
      </c>
      <c r="AC176" s="666" t="str">
        <f>IF(OR($A176="F&amp;F",$G176=""),"",IF(AC$8&gt;$G176,IF(OR(status1B5!AD176=1,status1B5!AD176=2,'BOULEVARD 5'!AF174&gt;0),"Pagado","impago"),""))</f>
        <v>Pagado</v>
      </c>
      <c r="AD176" s="666" t="str">
        <f>IF(OR($A176="F&amp;F",$G176=""),"",IF(AD$8&gt;$G176,IF(OR(status1B5!AE176=1,status1B5!AE176=2,'BOULEVARD 5'!AG174&gt;0),"Pagado","impago"),""))</f>
        <v>Pagado</v>
      </c>
      <c r="AE176" s="666" t="str">
        <f>IF(OR($A176="F&amp;F",$G176=""),"",IF(AE$8&gt;$G176,IF(OR(status1B5!AF176=1,status1B5!AF176=2,'BOULEVARD 5'!AH174&gt;0),"Pagado","impago"),""))</f>
        <v>Pagado</v>
      </c>
      <c r="AF176" s="666" t="str">
        <f>IF(OR($A176="F&amp;F",$G176=""),"",IF(AF$8&gt;$G176,IF(OR(status1B5!AG176=1,status1B5!AG176=2,'BOULEVARD 5'!AI174&gt;0),"Pagado","impago"),""))</f>
        <v>Pagado</v>
      </c>
      <c r="AG176" s="666" t="str">
        <f>IF(OR($A176="F&amp;F",$G176=""),"",IF(AG$8&gt;$G176,IF(OR(status1B5!AH176=1,status1B5!AH176=2,'BOULEVARD 5'!AJ174&gt;0),"Pagado","impago"),""))</f>
        <v>Pagado</v>
      </c>
      <c r="AH176" s="666" t="str">
        <f>IF(OR($A176="F&amp;F",$G176=""),"",IF(AH$8&gt;$G176,IF(OR(status1B5!AI176=1,status1B5!AI176=2,'BOULEVARD 5'!AK174&gt;0),"Pagado","impago"),""))</f>
        <v>Pagado</v>
      </c>
      <c r="AI176" s="666" t="str">
        <f>IF(OR($A176="F&amp;F",$G176=""),"",IF(AI$8&gt;$G176,IF(OR(status1B5!AJ176=1,status1B5!AJ176=2,'BOULEVARD 5'!AL174&gt;0),"Pagado","impago"),""))</f>
        <v>Pagado</v>
      </c>
      <c r="AJ176" s="666" t="str">
        <f>IF(OR($A176="F&amp;F",$G176=""),"",IF(AJ$8&gt;$G176,IF(OR(status1B5!AK176=1,status1B5!AK176=2,'BOULEVARD 5'!AM174&gt;0),"Pagado","impago"),""))</f>
        <v>Pagado</v>
      </c>
      <c r="AK176" s="666" t="str">
        <f>IF(OR($A176="F&amp;F",$G176=""),"",IF(AK$8&gt;$G176,IF(OR(status1B5!AL176=1,status1B5!AL176=2,'BOULEVARD 5'!AN174&gt;0),"Pagado","impago"),""))</f>
        <v>Pagado</v>
      </c>
      <c r="AL176" s="666" t="str">
        <f>IF(OR($A176="F&amp;F",$G176=""),"",IF(AL$8&gt;$G176,IF(OR(status1B5!AM176=1,status1B5!AM176=2,'BOULEVARD 5'!AO174&gt;0),"Pagado","impago"),""))</f>
        <v>Pagado</v>
      </c>
      <c r="AM176" s="666" t="str">
        <f>IF(OR($A176="F&amp;F",$G176=""),"",IF(AM$8&gt;$G176,IF(OR(status1B5!AN176=1,status1B5!AN176=2,'BOULEVARD 5'!AP174&gt;0),"Pagado","impago"),""))</f>
        <v>Pagado</v>
      </c>
      <c r="AN176" s="666" t="str">
        <f>IF(OR($A176="F&amp;F",$G176=""),"",IF(AN$8&gt;$G176,IF(OR(status1B5!AO176=1,status1B5!AO176=2,'BOULEVARD 5'!AQ174&gt;0),"Pagado","impago"),""))</f>
        <v>Pagado</v>
      </c>
      <c r="AO176" s="666" t="str">
        <f>IF(OR($A176="F&amp;F",$G176=""),"",IF(AO$8&gt;$G176,IF(OR(status1B5!AP176=1,status1B5!AP176=2,'BOULEVARD 5'!AS174&gt;0),"Pagado","impago"),""))</f>
        <v>Pagado</v>
      </c>
      <c r="AP176" s="429" t="str">
        <f t="shared" si="7"/>
        <v>Vendido</v>
      </c>
    </row>
    <row r="177" spans="1:42" s="429" customFormat="1" ht="13.9" customHeight="1" x14ac:dyDescent="0.25">
      <c r="A177" s="472"/>
      <c r="B177" s="436">
        <f>'BOULEVARD 5'!B175</f>
        <v>1002</v>
      </c>
      <c r="C177" s="436" t="s">
        <v>355</v>
      </c>
      <c r="D177" s="436"/>
      <c r="E177" s="436" t="str">
        <f>IF('BOULEVARD 5'!E175="","",'BOULEVARD 5'!E175)</f>
        <v>Antonio Rada</v>
      </c>
      <c r="F177" s="429" t="str">
        <f>IF('BOULEVARD 5'!F175="","",'BOULEVARD 5'!F175)</f>
        <v>Evelin Yadira Orellana Ordoñez</v>
      </c>
      <c r="G177" s="473">
        <f>IF('BOULEVARD 5'!G175="","",'BOULEVARD 5'!G175)</f>
        <v>45008</v>
      </c>
      <c r="H177" s="666" t="str">
        <f>IF(OR($A177="F&amp;F",$G177=""),"",IF(H$8&gt;$G177,IF(OR(status1B5!I177=1,status1B5!I177=2,'BOULEVARD 5'!K175&gt;0),"Pagado","impago"),""))</f>
        <v>Pagado</v>
      </c>
      <c r="I177" s="666" t="str">
        <f>IF(OR($A177="F&amp;F",$G177=""),"",IF(I$8&gt;$G177,IF(OR(status1B5!J177=1,status1B5!J177=2,'BOULEVARD 5'!L175&gt;0),"Pagado","impago"),""))</f>
        <v>Pagado</v>
      </c>
      <c r="J177" s="666" t="str">
        <f>IF(OR($A177="F&amp;F",$G177=""),"",IF(J$8&gt;$G177,IF(OR(status1B5!K177=1,status1B5!K177=2,'BOULEVARD 5'!M175&gt;0),"Pagado","impago"),""))</f>
        <v>Pagado</v>
      </c>
      <c r="K177" s="666" t="str">
        <f>IF(OR($A177="F&amp;F",$G177=""),"",IF(K$8&gt;$G177,IF(OR(status1B5!L177=1,status1B5!L177=2,'BOULEVARD 5'!N175&gt;0),"Pagado","impago"),""))</f>
        <v>Pagado</v>
      </c>
      <c r="L177" s="666" t="str">
        <f>IF(OR($A177="F&amp;F",$G177=""),"",IF(L$8&gt;$G177,IF(OR(status1B5!M177=1,status1B5!M177=2,'BOULEVARD 5'!O175&gt;0),"Pagado","impago"),""))</f>
        <v>Pagado</v>
      </c>
      <c r="M177" s="666" t="str">
        <f>IF(OR($A177="F&amp;F",$G177=""),"",IF(M$8&gt;$G177,IF(OR(status1B5!N177=1,status1B5!N177=2,'BOULEVARD 5'!P175&gt;0),"Pagado","impago"),""))</f>
        <v>Pagado</v>
      </c>
      <c r="N177" s="666" t="str">
        <f>IF(OR($A177="F&amp;F",$G177=""),"",IF(N$8&gt;$G177,IF(OR(status1B5!O177=1,status1B5!O177=2,'BOULEVARD 5'!Q175&gt;0),"Pagado","impago"),""))</f>
        <v>Pagado</v>
      </c>
      <c r="O177" s="666" t="str">
        <f>IF(OR($A177="F&amp;F",$G177=""),"",IF(O$8&gt;$G177,IF(OR(status1B5!P177=1,status1B5!P177=2,'BOULEVARD 5'!R175&gt;0),"Pagado","impago"),""))</f>
        <v>Pagado</v>
      </c>
      <c r="P177" s="666" t="str">
        <f>IF(OR($A177="F&amp;F",$G177=""),"",IF(P$8&gt;$G177,IF(OR(status1B5!Q177=1,status1B5!Q177=2,'BOULEVARD 5'!S175&gt;0),"Pagado","impago"),""))</f>
        <v>Pagado</v>
      </c>
      <c r="Q177" s="666" t="str">
        <f>IF(OR($A177="F&amp;F",$G177=""),"",IF(Q$8&gt;$G177,IF(OR(status1B5!R177=1,status1B5!R177=2,'BOULEVARD 5'!T175&gt;0),"Pagado","impago"),""))</f>
        <v>Pagado</v>
      </c>
      <c r="R177" s="666" t="str">
        <f>IF(OR($A177="F&amp;F",$G177=""),"",IF(R$8&gt;$G177,IF(OR(status1B5!S177=1,status1B5!S177=2,'BOULEVARD 5'!U175&gt;0),"Pagado","impago"),""))</f>
        <v>Pagado</v>
      </c>
      <c r="S177" s="666" t="str">
        <f>IF(OR($A177="F&amp;F",$G177=""),"",IF(S$8&gt;$G177,IF(OR(status1B5!T177=1,status1B5!T177=2,'BOULEVARD 5'!V175&gt;0),"Pagado","impago"),""))</f>
        <v>Pagado</v>
      </c>
      <c r="T177" s="666" t="str">
        <f>IF(OR($A177="F&amp;F",$G177=""),"",IF(T$8&gt;$G177,IF(OR(status1B5!U177=1,status1B5!U177=2,'BOULEVARD 5'!W175&gt;0),"Pagado","impago"),""))</f>
        <v>Pagado</v>
      </c>
      <c r="U177" s="666" t="str">
        <f>IF(OR($A177="F&amp;F",$G177=""),"",IF(U$8&gt;$G177,IF(OR(status1B5!V177=1,status1B5!V177=2,'BOULEVARD 5'!X175&gt;0),"Pagado","impago"),""))</f>
        <v>Pagado</v>
      </c>
      <c r="V177" s="666" t="str">
        <f>IF(OR($A177="F&amp;F",$G177=""),"",IF(V$8&gt;$G177,IF(OR(status1B5!W177=1,status1B5!W177=2,'BOULEVARD 5'!Y175&gt;0),"Pagado","impago"),""))</f>
        <v>Pagado</v>
      </c>
      <c r="W177" s="666" t="str">
        <f>IF(OR($A177="F&amp;F",$G177=""),"",IF(W$8&gt;$G177,IF(OR(status1B5!X177=1,status1B5!X177=2,'BOULEVARD 5'!Z175&gt;0),"Pagado","impago"),""))</f>
        <v>Pagado</v>
      </c>
      <c r="X177" s="666" t="str">
        <f>IF(OR($A177="F&amp;F",$G177=""),"",IF(X$8&gt;$G177,IF(OR(status1B5!Y177=1,status1B5!Y177=2,'BOULEVARD 5'!AA175&gt;0),"Pagado","impago"),""))</f>
        <v>Pagado</v>
      </c>
      <c r="Y177" s="666" t="str">
        <f>IF(OR($A177="F&amp;F",$G177=""),"",IF(Y$8&gt;$G177,IF(OR(status1B5!Z177=1,status1B5!Z177=2,'BOULEVARD 5'!AB175&gt;0),"Pagado","impago"),""))</f>
        <v>Pagado</v>
      </c>
      <c r="Z177" s="666" t="str">
        <f>IF(OR($A177="F&amp;F",$G177=""),"",IF(Z$8&gt;$G177,IF(OR(status1B5!AA177=1,status1B5!AA177=2,'BOULEVARD 5'!AC175&gt;0),"Pagado","impago"),""))</f>
        <v>Pagado</v>
      </c>
      <c r="AA177" s="666" t="str">
        <f>IF(OR($A177="F&amp;F",$G177=""),"",IF(AA$8&gt;$G177,IF(OR(status1B5!AB177=1,status1B5!AB177=2,'BOULEVARD 5'!AD175&gt;0),"Pagado","impago"),""))</f>
        <v>Pagado</v>
      </c>
      <c r="AB177" s="666" t="str">
        <f>IF(OR($A177="F&amp;F",$G177=""),"",IF(AB$8&gt;$G177,IF(OR(status1B5!AC177=1,status1B5!AC177=2,'BOULEVARD 5'!AE175&gt;0),"Pagado","impago"),""))</f>
        <v>Pagado</v>
      </c>
      <c r="AC177" s="666" t="str">
        <f>IF(OR($A177="F&amp;F",$G177=""),"",IF(AC$8&gt;$G177,IF(OR(status1B5!AD177=1,status1B5!AD177=2,'BOULEVARD 5'!AF175&gt;0),"Pagado","impago"),""))</f>
        <v>Pagado</v>
      </c>
      <c r="AD177" s="666" t="str">
        <f>IF(OR($A177="F&amp;F",$G177=""),"",IF(AD$8&gt;$G177,IF(OR(status1B5!AE177=1,status1B5!AE177=2,'BOULEVARD 5'!AG175&gt;0),"Pagado","impago"),""))</f>
        <v>Pagado</v>
      </c>
      <c r="AE177" s="666" t="str">
        <f>IF(OR($A177="F&amp;F",$G177=""),"",IF(AE$8&gt;$G177,IF(OR(status1B5!AF177=1,status1B5!AF177=2,'BOULEVARD 5'!AH175&gt;0),"Pagado","impago"),""))</f>
        <v>Pagado</v>
      </c>
      <c r="AF177" s="666" t="str">
        <f>IF(OR($A177="F&amp;F",$G177=""),"",IF(AF$8&gt;$G177,IF(OR(status1B5!AG177=1,status1B5!AG177=2,'BOULEVARD 5'!AI175&gt;0),"Pagado","impago"),""))</f>
        <v>Pagado</v>
      </c>
      <c r="AG177" s="666" t="str">
        <f>IF(OR($A177="F&amp;F",$G177=""),"",IF(AG$8&gt;$G177,IF(OR(status1B5!AH177=1,status1B5!AH177=2,'BOULEVARD 5'!AJ175&gt;0),"Pagado","impago"),""))</f>
        <v>Pagado</v>
      </c>
      <c r="AH177" s="666" t="str">
        <f>IF(OR($A177="F&amp;F",$G177=""),"",IF(AH$8&gt;$G177,IF(OR(status1B5!AI177=1,status1B5!AI177=2,'BOULEVARD 5'!AK175&gt;0),"Pagado","impago"),""))</f>
        <v>Pagado</v>
      </c>
      <c r="AI177" s="666" t="str">
        <f>IF(OR($A177="F&amp;F",$G177=""),"",IF(AI$8&gt;$G177,IF(OR(status1B5!AJ177=1,status1B5!AJ177=2,'BOULEVARD 5'!AL175&gt;0),"Pagado","impago"),""))</f>
        <v>Pagado</v>
      </c>
      <c r="AJ177" s="666" t="str">
        <f>IF(OR($A177="F&amp;F",$G177=""),"",IF(AJ$8&gt;$G177,IF(OR(status1B5!AK177=1,status1B5!AK177=2,'BOULEVARD 5'!AM175&gt;0),"Pagado","impago"),""))</f>
        <v>Pagado</v>
      </c>
      <c r="AK177" s="666" t="str">
        <f>IF(OR($A177="F&amp;F",$G177=""),"",IF(AK$8&gt;$G177,IF(OR(status1B5!AL177=1,status1B5!AL177=2,'BOULEVARD 5'!AN175&gt;0),"Pagado","impago"),""))</f>
        <v>Pagado</v>
      </c>
      <c r="AL177" s="666" t="str">
        <f>IF(OR($A177="F&amp;F",$G177=""),"",IF(AL$8&gt;$G177,IF(OR(status1B5!AM177=1,status1B5!AM177=2,'BOULEVARD 5'!AO175&gt;0),"Pagado","impago"),""))</f>
        <v>Pagado</v>
      </c>
      <c r="AM177" s="666" t="str">
        <f>IF(OR($A177="F&amp;F",$G177=""),"",IF(AM$8&gt;$G177,IF(OR(status1B5!AN177=1,status1B5!AN177=2,'BOULEVARD 5'!AP175&gt;0),"Pagado","impago"),""))</f>
        <v>Pagado</v>
      </c>
      <c r="AN177" s="666" t="str">
        <f>IF(OR($A177="F&amp;F",$G177=""),"",IF(AN$8&gt;$G177,IF(OR(status1B5!AO177=1,status1B5!AO177=2,'BOULEVARD 5'!AQ175&gt;0),"Pagado","impago"),""))</f>
        <v>Pagado</v>
      </c>
      <c r="AO177" s="666" t="str">
        <f>IF(OR($A177="F&amp;F",$G177=""),"",IF(AO$8&gt;$G177,IF(OR(status1B5!AP177=1,status1B5!AP177=2,'BOULEVARD 5'!AS175&gt;0),"Pagado","impago"),""))</f>
        <v>Pagado</v>
      </c>
      <c r="AP177" s="429" t="str">
        <f t="shared" si="7"/>
        <v>Vendido</v>
      </c>
    </row>
    <row r="178" spans="1:42" s="429" customFormat="1" ht="13.9" customHeight="1" x14ac:dyDescent="0.25">
      <c r="A178" s="472"/>
      <c r="B178" s="436">
        <f>'BOULEVARD 5'!B176</f>
        <v>1003</v>
      </c>
      <c r="C178" s="436" t="s">
        <v>355</v>
      </c>
      <c r="D178" s="436"/>
      <c r="E178" s="436" t="str">
        <f>IF('BOULEVARD 5'!E176="","",'BOULEVARD 5'!E176)</f>
        <v>Antonio Rada</v>
      </c>
      <c r="F178" s="429" t="str">
        <f>IF('BOULEVARD 5'!F176="","",'BOULEVARD 5'!F176)</f>
        <v>Eduar Reginaldo Colindres Estrada</v>
      </c>
      <c r="G178" s="473">
        <f>IF('BOULEVARD 5'!G176="","",'BOULEVARD 5'!G176)</f>
        <v>45072</v>
      </c>
      <c r="H178" s="666" t="str">
        <f>IF(OR($A178="F&amp;F",$G178=""),"",IF(H$8&gt;$G178,IF(OR(status1B5!I178=1,status1B5!I178=2,'BOULEVARD 5'!K176&gt;0),"Pagado","impago"),""))</f>
        <v/>
      </c>
      <c r="I178" s="666" t="str">
        <f>IF(OR($A178="F&amp;F",$G178=""),"",IF(I$8&gt;$G178,IF(OR(status1B5!J178=1,status1B5!J178=2,'BOULEVARD 5'!L176&gt;0),"Pagado","impago"),""))</f>
        <v/>
      </c>
      <c r="J178" s="666" t="str">
        <f>IF(OR($A178="F&amp;F",$G178=""),"",IF(J$8&gt;$G178,IF(OR(status1B5!K178=1,status1B5!K178=2,'BOULEVARD 5'!M176&gt;0),"Pagado","impago"),""))</f>
        <v>Pagado</v>
      </c>
      <c r="K178" s="666" t="str">
        <f>IF(OR($A178="F&amp;F",$G178=""),"",IF(K$8&gt;$G178,IF(OR(status1B5!L178=1,status1B5!L178=2,'BOULEVARD 5'!N176&gt;0),"Pagado","impago"),""))</f>
        <v>Pagado</v>
      </c>
      <c r="L178" s="666" t="str">
        <f>IF(OR($A178="F&amp;F",$G178=""),"",IF(L$8&gt;$G178,IF(OR(status1B5!M178=1,status1B5!M178=2,'BOULEVARD 5'!O176&gt;0),"Pagado","impago"),""))</f>
        <v>Pagado</v>
      </c>
      <c r="M178" s="666" t="str">
        <f>IF(OR($A178="F&amp;F",$G178=""),"",IF(M$8&gt;$G178,IF(OR(status1B5!N178=1,status1B5!N178=2,'BOULEVARD 5'!P176&gt;0),"Pagado","impago"),""))</f>
        <v>Pagado</v>
      </c>
      <c r="N178" s="666" t="str">
        <f>IF(OR($A178="F&amp;F",$G178=""),"",IF(N$8&gt;$G178,IF(OR(status1B5!O178=1,status1B5!O178=2,'BOULEVARD 5'!Q176&gt;0),"Pagado","impago"),""))</f>
        <v>Pagado</v>
      </c>
      <c r="O178" s="666" t="str">
        <f>IF(OR($A178="F&amp;F",$G178=""),"",IF(O$8&gt;$G178,IF(OR(status1B5!P178=1,status1B5!P178=2,'BOULEVARD 5'!R176&gt;0),"Pagado","impago"),""))</f>
        <v>Pagado</v>
      </c>
      <c r="P178" s="666" t="str">
        <f>IF(OR($A178="F&amp;F",$G178=""),"",IF(P$8&gt;$G178,IF(OR(status1B5!Q178=1,status1B5!Q178=2,'BOULEVARD 5'!S176&gt;0),"Pagado","impago"),""))</f>
        <v>Pagado</v>
      </c>
      <c r="Q178" s="666" t="str">
        <f>IF(OR($A178="F&amp;F",$G178=""),"",IF(Q$8&gt;$G178,IF(OR(status1B5!R178=1,status1B5!R178=2,'BOULEVARD 5'!T176&gt;0),"Pagado","impago"),""))</f>
        <v>Pagado</v>
      </c>
      <c r="R178" s="666" t="str">
        <f>IF(OR($A178="F&amp;F",$G178=""),"",IF(R$8&gt;$G178,IF(OR(status1B5!S178=1,status1B5!S178=2,'BOULEVARD 5'!U176&gt;0),"Pagado","impago"),""))</f>
        <v>Pagado</v>
      </c>
      <c r="S178" s="666" t="str">
        <f>IF(OR($A178="F&amp;F",$G178=""),"",IF(S$8&gt;$G178,IF(OR(status1B5!T178=1,status1B5!T178=2,'BOULEVARD 5'!V176&gt;0),"Pagado","impago"),""))</f>
        <v>Pagado</v>
      </c>
      <c r="T178" s="666" t="str">
        <f>IF(OR($A178="F&amp;F",$G178=""),"",IF(T$8&gt;$G178,IF(OR(status1B5!U178=1,status1B5!U178=2,'BOULEVARD 5'!W176&gt;0),"Pagado","impago"),""))</f>
        <v>Pagado</v>
      </c>
      <c r="U178" s="666" t="str">
        <f>IF(OR($A178="F&amp;F",$G178=""),"",IF(U$8&gt;$G178,IF(OR(status1B5!V178=1,status1B5!V178=2,'BOULEVARD 5'!X176&gt;0),"Pagado","impago"),""))</f>
        <v>Pagado</v>
      </c>
      <c r="V178" s="666" t="str">
        <f>IF(OR($A178="F&amp;F",$G178=""),"",IF(V$8&gt;$G178,IF(OR(status1B5!W178=1,status1B5!W178=2,'BOULEVARD 5'!Y176&gt;0),"Pagado","impago"),""))</f>
        <v>Pagado</v>
      </c>
      <c r="W178" s="666" t="str">
        <f>IF(OR($A178="F&amp;F",$G178=""),"",IF(W$8&gt;$G178,IF(OR(status1B5!X178=1,status1B5!X178=2,'BOULEVARD 5'!Z176&gt;0),"Pagado","impago"),""))</f>
        <v>Pagado</v>
      </c>
      <c r="X178" s="666" t="str">
        <f>IF(OR($A178="F&amp;F",$G178=""),"",IF(X$8&gt;$G178,IF(OR(status1B5!Y178=1,status1B5!Y178=2,'BOULEVARD 5'!AA176&gt;0),"Pagado","impago"),""))</f>
        <v>Pagado</v>
      </c>
      <c r="Y178" s="666" t="str">
        <f>IF(OR($A178="F&amp;F",$G178=""),"",IF(Y$8&gt;$G178,IF(OR(status1B5!Z178=1,status1B5!Z178=2,'BOULEVARD 5'!AB176&gt;0),"Pagado","impago"),""))</f>
        <v>Pagado</v>
      </c>
      <c r="Z178" s="666" t="str">
        <f>IF(OR($A178="F&amp;F",$G178=""),"",IF(Z$8&gt;$G178,IF(OR(status1B5!AA178=1,status1B5!AA178=2,'BOULEVARD 5'!AC176&gt;0),"Pagado","impago"),""))</f>
        <v>Pagado</v>
      </c>
      <c r="AA178" s="666" t="str">
        <f>IF(OR($A178="F&amp;F",$G178=""),"",IF(AA$8&gt;$G178,IF(OR(status1B5!AB178=1,status1B5!AB178=2,'BOULEVARD 5'!AD176&gt;0),"Pagado","impago"),""))</f>
        <v>Pagado</v>
      </c>
      <c r="AB178" s="666" t="str">
        <f>IF(OR($A178="F&amp;F",$G178=""),"",IF(AB$8&gt;$G178,IF(OR(status1B5!AC178=1,status1B5!AC178=2,'BOULEVARD 5'!AE176&gt;0),"Pagado","impago"),""))</f>
        <v>Pagado</v>
      </c>
      <c r="AC178" s="666" t="str">
        <f>IF(OR($A178="F&amp;F",$G178=""),"",IF(AC$8&gt;$G178,IF(OR(status1B5!AD178=1,status1B5!AD178=2,'BOULEVARD 5'!AF176&gt;0),"Pagado","impago"),""))</f>
        <v>Pagado</v>
      </c>
      <c r="AD178" s="666" t="str">
        <f>IF(OR($A178="F&amp;F",$G178=""),"",IF(AD$8&gt;$G178,IF(OR(status1B5!AE178=1,status1B5!AE178=2,'BOULEVARD 5'!AG176&gt;0),"Pagado","impago"),""))</f>
        <v>Pagado</v>
      </c>
      <c r="AE178" s="666" t="str">
        <f>IF(OR($A178="F&amp;F",$G178=""),"",IF(AE$8&gt;$G178,IF(OR(status1B5!AF178=1,status1B5!AF178=2,'BOULEVARD 5'!AH176&gt;0),"Pagado","impago"),""))</f>
        <v>Pagado</v>
      </c>
      <c r="AF178" s="666" t="str">
        <f>IF(OR($A178="F&amp;F",$G178=""),"",IF(AF$8&gt;$G178,IF(OR(status1B5!AG178=1,status1B5!AG178=2,'BOULEVARD 5'!AI176&gt;0),"Pagado","impago"),""))</f>
        <v>Pagado</v>
      </c>
      <c r="AG178" s="666" t="str">
        <f>IF(OR($A178="F&amp;F",$G178=""),"",IF(AG$8&gt;$G178,IF(OR(status1B5!AH178=1,status1B5!AH178=2,'BOULEVARD 5'!AJ176&gt;0),"Pagado","impago"),""))</f>
        <v>Pagado</v>
      </c>
      <c r="AH178" s="666" t="str">
        <f>IF(OR($A178="F&amp;F",$G178=""),"",IF(AH$8&gt;$G178,IF(OR(status1B5!AI178=1,status1B5!AI178=2,'BOULEVARD 5'!AK176&gt;0),"Pagado","impago"),""))</f>
        <v>Pagado</v>
      </c>
      <c r="AI178" s="666" t="str">
        <f>IF(OR($A178="F&amp;F",$G178=""),"",IF(AI$8&gt;$G178,IF(OR(status1B5!AJ178=1,status1B5!AJ178=2,'BOULEVARD 5'!AL176&gt;0),"Pagado","impago"),""))</f>
        <v>Pagado</v>
      </c>
      <c r="AJ178" s="666" t="str">
        <f>IF(OR($A178="F&amp;F",$G178=""),"",IF(AJ$8&gt;$G178,IF(OR(status1B5!AK178=1,status1B5!AK178=2,'BOULEVARD 5'!AM176&gt;0),"Pagado","impago"),""))</f>
        <v>Pagado</v>
      </c>
      <c r="AK178" s="666" t="str">
        <f>IF(OR($A178="F&amp;F",$G178=""),"",IF(AK$8&gt;$G178,IF(OR(status1B5!AL178=1,status1B5!AL178=2,'BOULEVARD 5'!AN176&gt;0),"Pagado","impago"),""))</f>
        <v>Pagado</v>
      </c>
      <c r="AL178" s="666" t="str">
        <f>IF(OR($A178="F&amp;F",$G178=""),"",IF(AL$8&gt;$G178,IF(OR(status1B5!AM178=1,status1B5!AM178=2,'BOULEVARD 5'!AO176&gt;0),"Pagado","impago"),""))</f>
        <v>Pagado</v>
      </c>
      <c r="AM178" s="666" t="str">
        <f>IF(OR($A178="F&amp;F",$G178=""),"",IF(AM$8&gt;$G178,IF(OR(status1B5!AN178=1,status1B5!AN178=2,'BOULEVARD 5'!AP176&gt;0),"Pagado","impago"),""))</f>
        <v>Pagado</v>
      </c>
      <c r="AN178" s="666" t="str">
        <f>IF(OR($A178="F&amp;F",$G178=""),"",IF(AN$8&gt;$G178,IF(OR(status1B5!AO178=1,status1B5!AO178=2,'BOULEVARD 5'!AQ176&gt;0),"Pagado","impago"),""))</f>
        <v>Pagado</v>
      </c>
      <c r="AO178" s="666" t="str">
        <f>IF(OR($A178="F&amp;F",$G178=""),"",IF(AO$8&gt;$G178,IF(OR(status1B5!AP178=1,status1B5!AP178=2,'BOULEVARD 5'!AS176&gt;0),"Pagado","impago"),""))</f>
        <v>Pagado</v>
      </c>
      <c r="AP178" s="429" t="str">
        <f t="shared" si="7"/>
        <v>Vendido</v>
      </c>
    </row>
    <row r="179" spans="1:42" s="429" customFormat="1" ht="13.9" customHeight="1" x14ac:dyDescent="0.25">
      <c r="A179" s="472"/>
      <c r="B179" s="436">
        <f>'BOULEVARD 5'!B177</f>
        <v>1004</v>
      </c>
      <c r="C179" s="436" t="s">
        <v>355</v>
      </c>
      <c r="D179" s="436"/>
      <c r="E179" s="436" t="str">
        <f>IF('BOULEVARD 5'!E177="","",'BOULEVARD 5'!E177)</f>
        <v>Jose Franco</v>
      </c>
      <c r="F179" s="429" t="str">
        <f>IF('BOULEVARD 5'!F177="","",'BOULEVARD 5'!F177)</f>
        <v xml:space="preserve"> Jorge Silva Sagastume</v>
      </c>
      <c r="G179" s="473">
        <f>IF('BOULEVARD 5'!G177="","",'BOULEVARD 5'!G177)</f>
        <v>45062</v>
      </c>
      <c r="H179" s="666" t="str">
        <f>IF(OR($A179="F&amp;F",$G179=""),"",IF(H$8&gt;$G179,IF(OR(status1B5!I179=1,status1B5!I179=2,'BOULEVARD 5'!K177&gt;0),"Pagado","impago"),""))</f>
        <v/>
      </c>
      <c r="I179" s="666" t="str">
        <f>IF(OR($A179="F&amp;F",$G179=""),"",IF(I$8&gt;$G179,IF(OR(status1B5!J179=1,status1B5!J179=2,'BOULEVARD 5'!L177&gt;0),"Pagado","impago"),""))</f>
        <v/>
      </c>
      <c r="J179" s="666" t="str">
        <f>IF(OR($A179="F&amp;F",$G179=""),"",IF(J$8&gt;$G179,IF(OR(status1B5!K179=1,status1B5!K179=2,'BOULEVARD 5'!M177&gt;0),"Pagado","impago"),""))</f>
        <v>Pagado</v>
      </c>
      <c r="K179" s="666" t="str">
        <f>IF(OR($A179="F&amp;F",$G179=""),"",IF(K$8&gt;$G179,IF(OR(status1B5!L179=1,status1B5!L179=2,'BOULEVARD 5'!N177&gt;0),"Pagado","impago"),""))</f>
        <v>Pagado</v>
      </c>
      <c r="L179" s="666" t="str">
        <f>IF(OR($A179="F&amp;F",$G179=""),"",IF(L$8&gt;$G179,IF(OR(status1B5!M179=1,status1B5!M179=2,'BOULEVARD 5'!O177&gt;0),"Pagado","impago"),""))</f>
        <v>Pagado</v>
      </c>
      <c r="M179" s="666" t="str">
        <f>IF(OR($A179="F&amp;F",$G179=""),"",IF(M$8&gt;$G179,IF(OR(status1B5!N179=1,status1B5!N179=2,'BOULEVARD 5'!P177&gt;0),"Pagado","impago"),""))</f>
        <v>Pagado</v>
      </c>
      <c r="N179" s="666" t="str">
        <f>IF(OR($A179="F&amp;F",$G179=""),"",IF(N$8&gt;$G179,IF(OR(status1B5!O179=1,status1B5!O179=2,'BOULEVARD 5'!Q177&gt;0),"Pagado","impago"),""))</f>
        <v>Pagado</v>
      </c>
      <c r="O179" s="666" t="str">
        <f>IF(OR($A179="F&amp;F",$G179=""),"",IF(O$8&gt;$G179,IF(OR(status1B5!P179=1,status1B5!P179=2,'BOULEVARD 5'!R177&gt;0),"Pagado","impago"),""))</f>
        <v>Pagado</v>
      </c>
      <c r="P179" s="666" t="str">
        <f>IF(OR($A179="F&amp;F",$G179=""),"",IF(P$8&gt;$G179,IF(OR(status1B5!Q179=1,status1B5!Q179=2,'BOULEVARD 5'!S177&gt;0),"Pagado","impago"),""))</f>
        <v>Pagado</v>
      </c>
      <c r="Q179" s="666" t="str">
        <f>IF(OR($A179="F&amp;F",$G179=""),"",IF(Q$8&gt;$G179,IF(OR(status1B5!R179=1,status1B5!R179=2,'BOULEVARD 5'!T177&gt;0),"Pagado","impago"),""))</f>
        <v>Pagado</v>
      </c>
      <c r="R179" s="666" t="str">
        <f>IF(OR($A179="F&amp;F",$G179=""),"",IF(R$8&gt;$G179,IF(OR(status1B5!S179=1,status1B5!S179=2,'BOULEVARD 5'!U177&gt;0),"Pagado","impago"),""))</f>
        <v>Pagado</v>
      </c>
      <c r="S179" s="666" t="str">
        <f>IF(OR($A179="F&amp;F",$G179=""),"",IF(S$8&gt;$G179,IF(OR(status1B5!T179=1,status1B5!T179=2,'BOULEVARD 5'!V177&gt;0),"Pagado","impago"),""))</f>
        <v>Pagado</v>
      </c>
      <c r="T179" s="666" t="str">
        <f>IF(OR($A179="F&amp;F",$G179=""),"",IF(T$8&gt;$G179,IF(OR(status1B5!U179=1,status1B5!U179=2,'BOULEVARD 5'!W177&gt;0),"Pagado","impago"),""))</f>
        <v>Pagado</v>
      </c>
      <c r="U179" s="666" t="str">
        <f>IF(OR($A179="F&amp;F",$G179=""),"",IF(U$8&gt;$G179,IF(OR(status1B5!V179=1,status1B5!V179=2,'BOULEVARD 5'!X177&gt;0),"Pagado","impago"),""))</f>
        <v>Pagado</v>
      </c>
      <c r="V179" s="666" t="str">
        <f>IF(OR($A179="F&amp;F",$G179=""),"",IF(V$8&gt;$G179,IF(OR(status1B5!W179=1,status1B5!W179=2,'BOULEVARD 5'!Y177&gt;0),"Pagado","impago"),""))</f>
        <v>Pagado</v>
      </c>
      <c r="W179" s="666" t="str">
        <f>IF(OR($A179="F&amp;F",$G179=""),"",IF(W$8&gt;$G179,IF(OR(status1B5!X179=1,status1B5!X179=2,'BOULEVARD 5'!Z177&gt;0),"Pagado","impago"),""))</f>
        <v>Pagado</v>
      </c>
      <c r="X179" s="666" t="str">
        <f>IF(OR($A179="F&amp;F",$G179=""),"",IF(X$8&gt;$G179,IF(OR(status1B5!Y179=1,status1B5!Y179=2,'BOULEVARD 5'!AA177&gt;0),"Pagado","impago"),""))</f>
        <v>Pagado</v>
      </c>
      <c r="Y179" s="666" t="str">
        <f>IF(OR($A179="F&amp;F",$G179=""),"",IF(Y$8&gt;$G179,IF(OR(status1B5!Z179=1,status1B5!Z179=2,'BOULEVARD 5'!AB177&gt;0),"Pagado","impago"),""))</f>
        <v>Pagado</v>
      </c>
      <c r="Z179" s="666" t="str">
        <f>IF(OR($A179="F&amp;F",$G179=""),"",IF(Z$8&gt;$G179,IF(OR(status1B5!AA179=1,status1B5!AA179=2,'BOULEVARD 5'!AC177&gt;0),"Pagado","impago"),""))</f>
        <v>Pagado</v>
      </c>
      <c r="AA179" s="666" t="str">
        <f>IF(OR($A179="F&amp;F",$G179=""),"",IF(AA$8&gt;$G179,IF(OR(status1B5!AB179=1,status1B5!AB179=2,'BOULEVARD 5'!AD177&gt;0),"Pagado","impago"),""))</f>
        <v>Pagado</v>
      </c>
      <c r="AB179" s="666" t="str">
        <f>IF(OR($A179="F&amp;F",$G179=""),"",IF(AB$8&gt;$G179,IF(OR(status1B5!AC179=1,status1B5!AC179=2,'BOULEVARD 5'!AE177&gt;0),"Pagado","impago"),""))</f>
        <v>Pagado</v>
      </c>
      <c r="AC179" s="666" t="str">
        <f>IF(OR($A179="F&amp;F",$G179=""),"",IF(AC$8&gt;$G179,IF(OR(status1B5!AD179=1,status1B5!AD179=2,'BOULEVARD 5'!AF177&gt;0),"Pagado","impago"),""))</f>
        <v>Pagado</v>
      </c>
      <c r="AD179" s="666" t="str">
        <f>IF(OR($A179="F&amp;F",$G179=""),"",IF(AD$8&gt;$G179,IF(OR(status1B5!AE179=1,status1B5!AE179=2,'BOULEVARD 5'!AG177&gt;0),"Pagado","impago"),""))</f>
        <v>Pagado</v>
      </c>
      <c r="AE179" s="666" t="str">
        <f>IF(OR($A179="F&amp;F",$G179=""),"",IF(AE$8&gt;$G179,IF(OR(status1B5!AF179=1,status1B5!AF179=2,'BOULEVARD 5'!AH177&gt;0),"Pagado","impago"),""))</f>
        <v>Pagado</v>
      </c>
      <c r="AF179" s="666" t="str">
        <f>IF(OR($A179="F&amp;F",$G179=""),"",IF(AF$8&gt;$G179,IF(OR(status1B5!AG179=1,status1B5!AG179=2,'BOULEVARD 5'!AI177&gt;0),"Pagado","impago"),""))</f>
        <v>Pagado</v>
      </c>
      <c r="AG179" s="666" t="str">
        <f>IF(OR($A179="F&amp;F",$G179=""),"",IF(AG$8&gt;$G179,IF(OR(status1B5!AH179=1,status1B5!AH179=2,'BOULEVARD 5'!AJ177&gt;0),"Pagado","impago"),""))</f>
        <v>Pagado</v>
      </c>
      <c r="AH179" s="666" t="str">
        <f>IF(OR($A179="F&amp;F",$G179=""),"",IF(AH$8&gt;$G179,IF(OR(status1B5!AI179=1,status1B5!AI179=2,'BOULEVARD 5'!AK177&gt;0),"Pagado","impago"),""))</f>
        <v>Pagado</v>
      </c>
      <c r="AI179" s="666" t="str">
        <f>IF(OR($A179="F&amp;F",$G179=""),"",IF(AI$8&gt;$G179,IF(OR(status1B5!AJ179=1,status1B5!AJ179=2,'BOULEVARD 5'!AL177&gt;0),"Pagado","impago"),""))</f>
        <v>Pagado</v>
      </c>
      <c r="AJ179" s="666" t="str">
        <f>IF(OR($A179="F&amp;F",$G179=""),"",IF(AJ$8&gt;$G179,IF(OR(status1B5!AK179=1,status1B5!AK179=2,'BOULEVARD 5'!AM177&gt;0),"Pagado","impago"),""))</f>
        <v>Pagado</v>
      </c>
      <c r="AK179" s="666" t="str">
        <f>IF(OR($A179="F&amp;F",$G179=""),"",IF(AK$8&gt;$G179,IF(OR(status1B5!AL179=1,status1B5!AL179=2,'BOULEVARD 5'!AN177&gt;0),"Pagado","impago"),""))</f>
        <v>Pagado</v>
      </c>
      <c r="AL179" s="666" t="str">
        <f>IF(OR($A179="F&amp;F",$G179=""),"",IF(AL$8&gt;$G179,IF(OR(status1B5!AM179=1,status1B5!AM179=2,'BOULEVARD 5'!AO177&gt;0),"Pagado","impago"),""))</f>
        <v>Pagado</v>
      </c>
      <c r="AM179" s="666" t="str">
        <f>IF(OR($A179="F&amp;F",$G179=""),"",IF(AM$8&gt;$G179,IF(OR(status1B5!AN179=1,status1B5!AN179=2,'BOULEVARD 5'!AP177&gt;0),"Pagado","impago"),""))</f>
        <v>Pagado</v>
      </c>
      <c r="AN179" s="666" t="str">
        <f>IF(OR($A179="F&amp;F",$G179=""),"",IF(AN$8&gt;$G179,IF(OR(status1B5!AO179=1,status1B5!AO179=2,'BOULEVARD 5'!AQ177&gt;0),"Pagado","impago"),""))</f>
        <v>Pagado</v>
      </c>
      <c r="AO179" s="666" t="str">
        <f>IF(OR($A179="F&amp;F",$G179=""),"",IF(AO$8&gt;$G179,IF(OR(status1B5!AP179=1,status1B5!AP179=2,'BOULEVARD 5'!AS177&gt;0),"Pagado","impago"),""))</f>
        <v>Pagado</v>
      </c>
      <c r="AP179" s="429" t="str">
        <f t="shared" si="7"/>
        <v>Vendido</v>
      </c>
    </row>
    <row r="180" spans="1:42" s="429" customFormat="1" ht="13.9" customHeight="1" x14ac:dyDescent="0.25">
      <c r="A180" s="472"/>
      <c r="B180" s="436">
        <f>'BOULEVARD 5'!B178</f>
        <v>1005</v>
      </c>
      <c r="C180" s="436" t="s">
        <v>355</v>
      </c>
      <c r="D180" s="436"/>
      <c r="E180" s="436" t="str">
        <f>IF('BOULEVARD 5'!E178="","",'BOULEVARD 5'!E178)</f>
        <v>Brenda Búcaro</v>
      </c>
      <c r="F180" s="429" t="str">
        <f>IF('BOULEVARD 5'!F178="","",'BOULEVARD 5'!F178)</f>
        <v>Barbara Elizabeth Ixmucane Zapeta Albanés</v>
      </c>
      <c r="G180" s="473">
        <f>IF('BOULEVARD 5'!G178="","",'BOULEVARD 5'!G178)</f>
        <v>45113</v>
      </c>
      <c r="H180" s="666" t="str">
        <f>IF(OR($A180="F&amp;F",$G180=""),"",IF(H$8&gt;$G180,IF(OR(status1B5!I180=1,status1B5!I180=2,'BOULEVARD 5'!K178&gt;0),"Pagado","impago"),""))</f>
        <v/>
      </c>
      <c r="I180" s="666" t="str">
        <f>IF(OR($A180="F&amp;F",$G180=""),"",IF(I$8&gt;$G180,IF(OR(status1B5!J180=1,status1B5!J180=2,'BOULEVARD 5'!L178&gt;0),"Pagado","impago"),""))</f>
        <v/>
      </c>
      <c r="J180" s="666" t="str">
        <f>IF(OR($A180="F&amp;F",$G180=""),"",IF(J$8&gt;$G180,IF(OR(status1B5!K180=1,status1B5!K180=2,'BOULEVARD 5'!M178&gt;0),"Pagado","impago"),""))</f>
        <v/>
      </c>
      <c r="K180" s="666" t="str">
        <f>IF(OR($A180="F&amp;F",$G180=""),"",IF(K$8&gt;$G180,IF(OR(status1B5!L180=1,status1B5!L180=2,'BOULEVARD 5'!N178&gt;0),"Pagado","impago"),""))</f>
        <v/>
      </c>
      <c r="L180" s="666" t="str">
        <f>IF(OR($A180="F&amp;F",$G180=""),"",IF(L$8&gt;$G180,IF(OR(status1B5!M180=1,status1B5!M180=2,'BOULEVARD 5'!O178&gt;0),"Pagado","impago"),""))</f>
        <v>Pagado</v>
      </c>
      <c r="M180" s="666" t="str">
        <f>IF(OR($A180="F&amp;F",$G180=""),"",IF(M$8&gt;$G180,IF(OR(status1B5!N180=1,status1B5!N180=2,'BOULEVARD 5'!P178&gt;0),"Pagado","impago"),""))</f>
        <v>Pagado</v>
      </c>
      <c r="N180" s="666" t="str">
        <f>IF(OR($A180="F&amp;F",$G180=""),"",IF(N$8&gt;$G180,IF(OR(status1B5!O180=1,status1B5!O180=2,'BOULEVARD 5'!Q178&gt;0),"Pagado","impago"),""))</f>
        <v>Pagado</v>
      </c>
      <c r="O180" s="666" t="str">
        <f>IF(OR($A180="F&amp;F",$G180=""),"",IF(O$8&gt;$G180,IF(OR(status1B5!P180=1,status1B5!P180=2,'BOULEVARD 5'!R178&gt;0),"Pagado","impago"),""))</f>
        <v>Pagado</v>
      </c>
      <c r="P180" s="666" t="str">
        <f>IF(OR($A180="F&amp;F",$G180=""),"",IF(P$8&gt;$G180,IF(OR(status1B5!Q180=1,status1B5!Q180=2,'BOULEVARD 5'!S178&gt;0),"Pagado","impago"),""))</f>
        <v>Pagado</v>
      </c>
      <c r="Q180" s="666" t="str">
        <f>IF(OR($A180="F&amp;F",$G180=""),"",IF(Q$8&gt;$G180,IF(OR(status1B5!R180=1,status1B5!R180=2,'BOULEVARD 5'!T178&gt;0),"Pagado","impago"),""))</f>
        <v>Pagado</v>
      </c>
      <c r="R180" s="666" t="str">
        <f>IF(OR($A180="F&amp;F",$G180=""),"",IF(R$8&gt;$G180,IF(OR(status1B5!S180=1,status1B5!S180=2,'BOULEVARD 5'!U178&gt;0),"Pagado","impago"),""))</f>
        <v>Pagado</v>
      </c>
      <c r="S180" s="666" t="str">
        <f>IF(OR($A180="F&amp;F",$G180=""),"",IF(S$8&gt;$G180,IF(OR(status1B5!T180=1,status1B5!T180=2,'BOULEVARD 5'!V178&gt;0),"Pagado","impago"),""))</f>
        <v>Pagado</v>
      </c>
      <c r="T180" s="666" t="str">
        <f>IF(OR($A180="F&amp;F",$G180=""),"",IF(T$8&gt;$G180,IF(OR(status1B5!U180=1,status1B5!U180=2,'BOULEVARD 5'!W178&gt;0),"Pagado","impago"),""))</f>
        <v>Pagado</v>
      </c>
      <c r="U180" s="666" t="str">
        <f>IF(OR($A180="F&amp;F",$G180=""),"",IF(U$8&gt;$G180,IF(OR(status1B5!V180=1,status1B5!V180=2,'BOULEVARD 5'!X178&gt;0),"Pagado","impago"),""))</f>
        <v>Pagado</v>
      </c>
      <c r="V180" s="666" t="str">
        <f>IF(OR($A180="F&amp;F",$G180=""),"",IF(V$8&gt;$G180,IF(OR(status1B5!W180=1,status1B5!W180=2,'BOULEVARD 5'!Y178&gt;0),"Pagado","impago"),""))</f>
        <v>Pagado</v>
      </c>
      <c r="W180" s="666" t="str">
        <f>IF(OR($A180="F&amp;F",$G180=""),"",IF(W$8&gt;$G180,IF(OR(status1B5!X180=1,status1B5!X180=2,'BOULEVARD 5'!Z178&gt;0),"Pagado","impago"),""))</f>
        <v>Pagado</v>
      </c>
      <c r="X180" s="666" t="str">
        <f>IF(OR($A180="F&amp;F",$G180=""),"",IF(X$8&gt;$G180,IF(OR(status1B5!Y180=1,status1B5!Y180=2,'BOULEVARD 5'!AA178&gt;0),"Pagado","impago"),""))</f>
        <v>Pagado</v>
      </c>
      <c r="Y180" s="666" t="str">
        <f>IF(OR($A180="F&amp;F",$G180=""),"",IF(Y$8&gt;$G180,IF(OR(status1B5!Z180=1,status1B5!Z180=2,'BOULEVARD 5'!AB178&gt;0),"Pagado","impago"),""))</f>
        <v>Pagado</v>
      </c>
      <c r="Z180" s="666" t="str">
        <f>IF(OR($A180="F&amp;F",$G180=""),"",IF(Z$8&gt;$G180,IF(OR(status1B5!AA180=1,status1B5!AA180=2,'BOULEVARD 5'!AC178&gt;0),"Pagado","impago"),""))</f>
        <v>Pagado</v>
      </c>
      <c r="AA180" s="666" t="str">
        <f>IF(OR($A180="F&amp;F",$G180=""),"",IF(AA$8&gt;$G180,IF(OR(status1B5!AB180=1,status1B5!AB180=2,'BOULEVARD 5'!AD178&gt;0),"Pagado","impago"),""))</f>
        <v>Pagado</v>
      </c>
      <c r="AB180" s="666" t="str">
        <f>IF(OR($A180="F&amp;F",$G180=""),"",IF(AB$8&gt;$G180,IF(OR(status1B5!AC180=1,status1B5!AC180=2,'BOULEVARD 5'!AE178&gt;0),"Pagado","impago"),""))</f>
        <v>Pagado</v>
      </c>
      <c r="AC180" s="666" t="str">
        <f>IF(OR($A180="F&amp;F",$G180=""),"",IF(AC$8&gt;$G180,IF(OR(status1B5!AD180=1,status1B5!AD180=2,'BOULEVARD 5'!AF178&gt;0),"Pagado","impago"),""))</f>
        <v>Pagado</v>
      </c>
      <c r="AD180" s="666" t="str">
        <f>IF(OR($A180="F&amp;F",$G180=""),"",IF(AD$8&gt;$G180,IF(OR(status1B5!AE180=1,status1B5!AE180=2,'BOULEVARD 5'!AG178&gt;0),"Pagado","impago"),""))</f>
        <v>Pagado</v>
      </c>
      <c r="AE180" s="666" t="str">
        <f>IF(OR($A180="F&amp;F",$G180=""),"",IF(AE$8&gt;$G180,IF(OR(status1B5!AF180=1,status1B5!AF180=2,'BOULEVARD 5'!AH178&gt;0),"Pagado","impago"),""))</f>
        <v>Pagado</v>
      </c>
      <c r="AF180" s="666" t="str">
        <f>IF(OR($A180="F&amp;F",$G180=""),"",IF(AF$8&gt;$G180,IF(OR(status1B5!AG180=1,status1B5!AG180=2,'BOULEVARD 5'!AI178&gt;0),"Pagado","impago"),""))</f>
        <v>Pagado</v>
      </c>
      <c r="AG180" s="666" t="str">
        <f>IF(OR($A180="F&amp;F",$G180=""),"",IF(AG$8&gt;$G180,IF(OR(status1B5!AH180=1,status1B5!AH180=2,'BOULEVARD 5'!AJ178&gt;0),"Pagado","impago"),""))</f>
        <v>Pagado</v>
      </c>
      <c r="AH180" s="666" t="str">
        <f>IF(OR($A180="F&amp;F",$G180=""),"",IF(AH$8&gt;$G180,IF(OR(status1B5!AI180=1,status1B5!AI180=2,'BOULEVARD 5'!AK178&gt;0),"Pagado","impago"),""))</f>
        <v>Pagado</v>
      </c>
      <c r="AI180" s="666" t="str">
        <f>IF(OR($A180="F&amp;F",$G180=""),"",IF(AI$8&gt;$G180,IF(OR(status1B5!AJ180=1,status1B5!AJ180=2,'BOULEVARD 5'!AL178&gt;0),"Pagado","impago"),""))</f>
        <v>Pagado</v>
      </c>
      <c r="AJ180" s="666" t="str">
        <f>IF(OR($A180="F&amp;F",$G180=""),"",IF(AJ$8&gt;$G180,IF(OR(status1B5!AK180=1,status1B5!AK180=2,'BOULEVARD 5'!AM178&gt;0),"Pagado","impago"),""))</f>
        <v>Pagado</v>
      </c>
      <c r="AK180" s="666" t="str">
        <f>IF(OR($A180="F&amp;F",$G180=""),"",IF(AK$8&gt;$G180,IF(OR(status1B5!AL180=1,status1B5!AL180=2,'BOULEVARD 5'!AN178&gt;0),"Pagado","impago"),""))</f>
        <v>Pagado</v>
      </c>
      <c r="AL180" s="666" t="str">
        <f>IF(OR($A180="F&amp;F",$G180=""),"",IF(AL$8&gt;$G180,IF(OR(status1B5!AM180=1,status1B5!AM180=2,'BOULEVARD 5'!AO178&gt;0),"Pagado","impago"),""))</f>
        <v>Pagado</v>
      </c>
      <c r="AM180" s="666" t="str">
        <f>IF(OR($A180="F&amp;F",$G180=""),"",IF(AM$8&gt;$G180,IF(OR(status1B5!AN180=1,status1B5!AN180=2,'BOULEVARD 5'!AP178&gt;0),"Pagado","impago"),""))</f>
        <v>Pagado</v>
      </c>
      <c r="AN180" s="666" t="str">
        <f>IF(OR($A180="F&amp;F",$G180=""),"",IF(AN$8&gt;$G180,IF(OR(status1B5!AO180=1,status1B5!AO180=2,'BOULEVARD 5'!AQ178&gt;0),"Pagado","impago"),""))</f>
        <v>Pagado</v>
      </c>
      <c r="AO180" s="666" t="str">
        <f>IF(OR($A180="F&amp;F",$G180=""),"",IF(AO$8&gt;$G180,IF(OR(status1B5!AP180=1,status1B5!AP180=2,'BOULEVARD 5'!AS178&gt;0),"Pagado","impago"),""))</f>
        <v>Pagado</v>
      </c>
      <c r="AP180" s="429" t="str">
        <f t="shared" si="7"/>
        <v>Vendido</v>
      </c>
    </row>
    <row r="181" spans="1:42" s="429" customFormat="1" ht="13.9" customHeight="1" x14ac:dyDescent="0.25">
      <c r="A181" s="472"/>
      <c r="B181" s="436">
        <f>'BOULEVARD 5'!B179</f>
        <v>1006</v>
      </c>
      <c r="C181" s="436" t="s">
        <v>355</v>
      </c>
      <c r="D181" s="436"/>
      <c r="E181" s="436" t="str">
        <f>IF('BOULEVARD 5'!E179="","",'BOULEVARD 5'!E179)</f>
        <v>Antonio Rada</v>
      </c>
      <c r="F181" s="429" t="str">
        <f>IF('BOULEVARD 5'!F179="","",'BOULEVARD 5'!F179)</f>
        <v>Diana Marisol Donis Cú</v>
      </c>
      <c r="G181" s="473">
        <f>IF('BOULEVARD 5'!G179="","",'BOULEVARD 5'!G179)</f>
        <v>45343</v>
      </c>
      <c r="H181" s="666" t="str">
        <f>IF(OR($A181="F&amp;F",$G181=""),"",IF(H$8&gt;$G181,IF(OR(status1B5!I181=1,status1B5!I181=2,'BOULEVARD 5'!K179&gt;0),"Pagado","impago"),""))</f>
        <v/>
      </c>
      <c r="I181" s="666" t="str">
        <f>IF(OR($A181="F&amp;F",$G181=""),"",IF(I$8&gt;$G181,IF(OR(status1B5!J181=1,status1B5!J181=2,'BOULEVARD 5'!L179&gt;0),"Pagado","impago"),""))</f>
        <v/>
      </c>
      <c r="J181" s="666" t="str">
        <f>IF(OR($A181="F&amp;F",$G181=""),"",IF(J$8&gt;$G181,IF(OR(status1B5!K181=1,status1B5!K181=2,'BOULEVARD 5'!M179&gt;0),"Pagado","impago"),""))</f>
        <v/>
      </c>
      <c r="K181" s="666" t="str">
        <f>IF(OR($A181="F&amp;F",$G181=""),"",IF(K$8&gt;$G181,IF(OR(status1B5!L181=1,status1B5!L181=2,'BOULEVARD 5'!N179&gt;0),"Pagado","impago"),""))</f>
        <v/>
      </c>
      <c r="L181" s="666" t="str">
        <f>IF(OR($A181="F&amp;F",$G181=""),"",IF(L$8&gt;$G181,IF(OR(status1B5!M181=1,status1B5!M181=2,'BOULEVARD 5'!O179&gt;0),"Pagado","impago"),""))</f>
        <v/>
      </c>
      <c r="M181" s="666" t="str">
        <f>IF(OR($A181="F&amp;F",$G181=""),"",IF(M$8&gt;$G181,IF(OR(status1B5!N181=1,status1B5!N181=2,'BOULEVARD 5'!P179&gt;0),"Pagado","impago"),""))</f>
        <v/>
      </c>
      <c r="N181" s="666" t="str">
        <f>IF(OR($A181="F&amp;F",$G181=""),"",IF(N$8&gt;$G181,IF(OR(status1B5!O181=1,status1B5!O181=2,'BOULEVARD 5'!Q179&gt;0),"Pagado","impago"),""))</f>
        <v/>
      </c>
      <c r="O181" s="666" t="str">
        <f>IF(OR($A181="F&amp;F",$G181=""),"",IF(O$8&gt;$G181,IF(OR(status1B5!P181=1,status1B5!P181=2,'BOULEVARD 5'!R179&gt;0),"Pagado","impago"),""))</f>
        <v/>
      </c>
      <c r="P181" s="666" t="str">
        <f>IF(OR($A181="F&amp;F",$G181=""),"",IF(P$8&gt;$G181,IF(OR(status1B5!Q181=1,status1B5!Q181=2,'BOULEVARD 5'!S179&gt;0),"Pagado","impago"),""))</f>
        <v/>
      </c>
      <c r="Q181" s="666" t="str">
        <f>IF(OR($A181="F&amp;F",$G181=""),"",IF(Q$8&gt;$G181,IF(OR(status1B5!R181=1,status1B5!R181=2,'BOULEVARD 5'!T179&gt;0),"Pagado","impago"),""))</f>
        <v/>
      </c>
      <c r="R181" s="666" t="str">
        <f>IF(OR($A181="F&amp;F",$G181=""),"",IF(R$8&gt;$G181,IF(OR(status1B5!S181=1,status1B5!S181=2,'BOULEVARD 5'!U179&gt;0),"Pagado","impago"),""))</f>
        <v/>
      </c>
      <c r="S181" s="666" t="str">
        <f>IF(OR($A181="F&amp;F",$G181=""),"",IF(S$8&gt;$G181,IF(OR(status1B5!T181=1,status1B5!T181=2,'BOULEVARD 5'!V179&gt;0),"Pagado","impago"),""))</f>
        <v>Pagado</v>
      </c>
      <c r="T181" s="666" t="str">
        <f>IF(OR($A181="F&amp;F",$G181=""),"",IF(T$8&gt;$G181,IF(OR(status1B5!U181=1,status1B5!U181=2,'BOULEVARD 5'!W179&gt;0),"Pagado","impago"),""))</f>
        <v>Pagado</v>
      </c>
      <c r="U181" s="666" t="str">
        <f>IF(OR($A181="F&amp;F",$G181=""),"",IF(U$8&gt;$G181,IF(OR(status1B5!V181=1,status1B5!V181=2,'BOULEVARD 5'!X179&gt;0),"Pagado","impago"),""))</f>
        <v>Pagado</v>
      </c>
      <c r="V181" s="666" t="str">
        <f>IF(OR($A181="F&amp;F",$G181=""),"",IF(V$8&gt;$G181,IF(OR(status1B5!W181=1,status1B5!W181=2,'BOULEVARD 5'!Y179&gt;0),"Pagado","impago"),""))</f>
        <v>Pagado</v>
      </c>
      <c r="W181" s="666" t="str">
        <f>IF(OR($A181="F&amp;F",$G181=""),"",IF(W$8&gt;$G181,IF(OR(status1B5!X181=1,status1B5!X181=2,'BOULEVARD 5'!Z179&gt;0),"Pagado","impago"),""))</f>
        <v>Pagado</v>
      </c>
      <c r="X181" s="666" t="str">
        <f>IF(OR($A181="F&amp;F",$G181=""),"",IF(X$8&gt;$G181,IF(OR(status1B5!Y181=1,status1B5!Y181=2,'BOULEVARD 5'!AA179&gt;0),"Pagado","impago"),""))</f>
        <v>Pagado</v>
      </c>
      <c r="Y181" s="666" t="str">
        <f>IF(OR($A181="F&amp;F",$G181=""),"",IF(Y$8&gt;$G181,IF(OR(status1B5!Z181=1,status1B5!Z181=2,'BOULEVARD 5'!AB179&gt;0),"Pagado","impago"),""))</f>
        <v>Pagado</v>
      </c>
      <c r="Z181" s="666" t="str">
        <f>IF(OR($A181="F&amp;F",$G181=""),"",IF(Z$8&gt;$G181,IF(OR(status1B5!AA181=1,status1B5!AA181=2,'BOULEVARD 5'!AC179&gt;0),"Pagado","impago"),""))</f>
        <v>Pagado</v>
      </c>
      <c r="AA181" s="666" t="str">
        <f>IF(OR($A181="F&amp;F",$G181=""),"",IF(AA$8&gt;$G181,IF(OR(status1B5!AB181=1,status1B5!AB181=2,'BOULEVARD 5'!AD179&gt;0),"Pagado","impago"),""))</f>
        <v>Pagado</v>
      </c>
      <c r="AB181" s="666" t="str">
        <f>IF(OR($A181="F&amp;F",$G181=""),"",IF(AB$8&gt;$G181,IF(OR(status1B5!AC181=1,status1B5!AC181=2,'BOULEVARD 5'!AE179&gt;0),"Pagado","impago"),""))</f>
        <v>Pagado</v>
      </c>
      <c r="AC181" s="666" t="str">
        <f>IF(OR($A181="F&amp;F",$G181=""),"",IF(AC$8&gt;$G181,IF(OR(status1B5!AD181=1,status1B5!AD181=2,'BOULEVARD 5'!AF179&gt;0),"Pagado","impago"),""))</f>
        <v>Pagado</v>
      </c>
      <c r="AD181" s="666" t="str">
        <f>IF(OR($A181="F&amp;F",$G181=""),"",IF(AD$8&gt;$G181,IF(OR(status1B5!AE181=1,status1B5!AE181=2,'BOULEVARD 5'!AG179&gt;0),"Pagado","impago"),""))</f>
        <v>Pagado</v>
      </c>
      <c r="AE181" s="666" t="str">
        <f>IF(OR($A181="F&amp;F",$G181=""),"",IF(AE$8&gt;$G181,IF(OR(status1B5!AF181=1,status1B5!AF181=2,'BOULEVARD 5'!AH179&gt;0),"Pagado","impago"),""))</f>
        <v>Pagado</v>
      </c>
      <c r="AF181" s="666" t="str">
        <f>IF(OR($A181="F&amp;F",$G181=""),"",IF(AF$8&gt;$G181,IF(OR(status1B5!AG181=1,status1B5!AG181=2,'BOULEVARD 5'!AI179&gt;0),"Pagado","impago"),""))</f>
        <v>Pagado</v>
      </c>
      <c r="AG181" s="666" t="str">
        <f>IF(OR($A181="F&amp;F",$G181=""),"",IF(AG$8&gt;$G181,IF(OR(status1B5!AH181=1,status1B5!AH181=2,'BOULEVARD 5'!AJ179&gt;0),"Pagado","impago"),""))</f>
        <v>Pagado</v>
      </c>
      <c r="AH181" s="666" t="str">
        <f>IF(OR($A181="F&amp;F",$G181=""),"",IF(AH$8&gt;$G181,IF(OR(status1B5!AI181=1,status1B5!AI181=2,'BOULEVARD 5'!AK179&gt;0),"Pagado","impago"),""))</f>
        <v>Pagado</v>
      </c>
      <c r="AI181" s="666" t="str">
        <f>IF(OR($A181="F&amp;F",$G181=""),"",IF(AI$8&gt;$G181,IF(OR(status1B5!AJ181=1,status1B5!AJ181=2,'BOULEVARD 5'!AL179&gt;0),"Pagado","impago"),""))</f>
        <v>Pagado</v>
      </c>
      <c r="AJ181" s="666" t="str">
        <f>IF(OR($A181="F&amp;F",$G181=""),"",IF(AJ$8&gt;$G181,IF(OR(status1B5!AK181=1,status1B5!AK181=2,'BOULEVARD 5'!AM179&gt;0),"Pagado","impago"),""))</f>
        <v>Pagado</v>
      </c>
      <c r="AK181" s="666" t="str">
        <f>IF(OR($A181="F&amp;F",$G181=""),"",IF(AK$8&gt;$G181,IF(OR(status1B5!AL181=1,status1B5!AL181=2,'BOULEVARD 5'!AN179&gt;0),"Pagado","impago"),""))</f>
        <v>Pagado</v>
      </c>
      <c r="AL181" s="666" t="str">
        <f>IF(OR($A181="F&amp;F",$G181=""),"",IF(AL$8&gt;$G181,IF(OR(status1B5!AM181=1,status1B5!AM181=2,'BOULEVARD 5'!AO179&gt;0),"Pagado","impago"),""))</f>
        <v>Pagado</v>
      </c>
      <c r="AM181" s="666" t="str">
        <f>IF(OR($A181="F&amp;F",$G181=""),"",IF(AM$8&gt;$G181,IF(OR(status1B5!AN181=1,status1B5!AN181=2,'BOULEVARD 5'!AP179&gt;0),"Pagado","impago"),""))</f>
        <v>Pagado</v>
      </c>
      <c r="AN181" s="666" t="str">
        <f>IF(OR($A181="F&amp;F",$G181=""),"",IF(AN$8&gt;$G181,IF(OR(status1B5!AO181=1,status1B5!AO181=2,'BOULEVARD 5'!AQ179&gt;0),"Pagado","impago"),""))</f>
        <v>Pagado</v>
      </c>
      <c r="AO181" s="666" t="str">
        <f>IF(OR($A181="F&amp;F",$G181=""),"",IF(AO$8&gt;$G181,IF(OR(status1B5!AP181=1,status1B5!AP181=2,'BOULEVARD 5'!AS179&gt;0),"Pagado","impago"),""))</f>
        <v>Pagado</v>
      </c>
      <c r="AP181" s="429" t="str">
        <f t="shared" si="7"/>
        <v>Vendido</v>
      </c>
    </row>
    <row r="182" spans="1:42" s="429" customFormat="1" ht="13.9" customHeight="1" x14ac:dyDescent="0.25">
      <c r="A182" s="472"/>
      <c r="B182" s="436">
        <f>'BOULEVARD 5'!B180</f>
        <v>1007</v>
      </c>
      <c r="C182" s="436" t="s">
        <v>355</v>
      </c>
      <c r="D182" s="436"/>
      <c r="E182" s="436" t="str">
        <f>IF('BOULEVARD 5'!E180="","",'BOULEVARD 5'!E180)</f>
        <v>Brenda Búcaro</v>
      </c>
      <c r="F182" s="429" t="str">
        <f>IF('BOULEVARD 5'!F180="","",'BOULEVARD 5'!F180)</f>
        <v>Marcela Alejandra Castro Marcía</v>
      </c>
      <c r="G182" s="473">
        <f>IF('BOULEVARD 5'!G180="","",'BOULEVARD 5'!G180)</f>
        <v>45173</v>
      </c>
      <c r="H182" s="666" t="str">
        <f>IF(OR($A182="F&amp;F",$G182=""),"",IF(H$8&gt;$G182,IF(OR(status1B5!I182=1,status1B5!I182=2,'BOULEVARD 5'!K180&gt;0),"Pagado","impago"),""))</f>
        <v/>
      </c>
      <c r="I182" s="666" t="str">
        <f>IF(OR($A182="F&amp;F",$G182=""),"",IF(I$8&gt;$G182,IF(OR(status1B5!J182=1,status1B5!J182=2,'BOULEVARD 5'!L180&gt;0),"Pagado","impago"),""))</f>
        <v/>
      </c>
      <c r="J182" s="666" t="str">
        <f>IF(OR($A182="F&amp;F",$G182=""),"",IF(J$8&gt;$G182,IF(OR(status1B5!K182=1,status1B5!K182=2,'BOULEVARD 5'!M180&gt;0),"Pagado","impago"),""))</f>
        <v/>
      </c>
      <c r="K182" s="666" t="str">
        <f>IF(OR($A182="F&amp;F",$G182=""),"",IF(K$8&gt;$G182,IF(OR(status1B5!L182=1,status1B5!L182=2,'BOULEVARD 5'!N180&gt;0),"Pagado","impago"),""))</f>
        <v/>
      </c>
      <c r="L182" s="666" t="str">
        <f>IF(OR($A182="F&amp;F",$G182=""),"",IF(L$8&gt;$G182,IF(OR(status1B5!M182=1,status1B5!M182=2,'BOULEVARD 5'!O180&gt;0),"Pagado","impago"),""))</f>
        <v/>
      </c>
      <c r="M182" s="666" t="str">
        <f>IF(OR($A182="F&amp;F",$G182=""),"",IF(M$8&gt;$G182,IF(OR(status1B5!N182=1,status1B5!N182=2,'BOULEVARD 5'!P180&gt;0),"Pagado","impago"),""))</f>
        <v/>
      </c>
      <c r="N182" s="666" t="str">
        <f>IF(OR($A182="F&amp;F",$G182=""),"",IF(N$8&gt;$G182,IF(OR(status1B5!O182=1,status1B5!O182=2,'BOULEVARD 5'!Q180&gt;0),"Pagado","impago"),""))</f>
        <v>Pagado</v>
      </c>
      <c r="O182" s="666" t="str">
        <f>IF(OR($A182="F&amp;F",$G182=""),"",IF(O$8&gt;$G182,IF(OR(status1B5!P182=1,status1B5!P182=2,'BOULEVARD 5'!R180&gt;0),"Pagado","impago"),""))</f>
        <v>Pagado</v>
      </c>
      <c r="P182" s="666" t="str">
        <f>IF(OR($A182="F&amp;F",$G182=""),"",IF(P$8&gt;$G182,IF(OR(status1B5!Q182=1,status1B5!Q182=2,'BOULEVARD 5'!S180&gt;0),"Pagado","impago"),""))</f>
        <v>Pagado</v>
      </c>
      <c r="Q182" s="666" t="str">
        <f>IF(OR($A182="F&amp;F",$G182=""),"",IF(Q$8&gt;$G182,IF(OR(status1B5!R182=1,status1B5!R182=2,'BOULEVARD 5'!T180&gt;0),"Pagado","impago"),""))</f>
        <v>Pagado</v>
      </c>
      <c r="R182" s="666" t="str">
        <f>IF(OR($A182="F&amp;F",$G182=""),"",IF(R$8&gt;$G182,IF(OR(status1B5!S182=1,status1B5!S182=2,'BOULEVARD 5'!U180&gt;0),"Pagado","impago"),""))</f>
        <v>Pagado</v>
      </c>
      <c r="S182" s="666" t="str">
        <f>IF(OR($A182="F&amp;F",$G182=""),"",IF(S$8&gt;$G182,IF(OR(status1B5!T182=1,status1B5!T182=2,'BOULEVARD 5'!V180&gt;0),"Pagado","impago"),""))</f>
        <v>Pagado</v>
      </c>
      <c r="T182" s="666" t="str">
        <f>IF(OR($A182="F&amp;F",$G182=""),"",IF(T$8&gt;$G182,IF(OR(status1B5!U182=1,status1B5!U182=2,'BOULEVARD 5'!W180&gt;0),"Pagado","impago"),""))</f>
        <v>Pagado</v>
      </c>
      <c r="U182" s="666" t="str">
        <f>IF(OR($A182="F&amp;F",$G182=""),"",IF(U$8&gt;$G182,IF(OR(status1B5!V182=1,status1B5!V182=2,'BOULEVARD 5'!X180&gt;0),"Pagado","impago"),""))</f>
        <v>Pagado</v>
      </c>
      <c r="V182" s="666" t="str">
        <f>IF(OR($A182="F&amp;F",$G182=""),"",IF(V$8&gt;$G182,IF(OR(status1B5!W182=1,status1B5!W182=2,'BOULEVARD 5'!Y180&gt;0),"Pagado","impago"),""))</f>
        <v>Pagado</v>
      </c>
      <c r="W182" s="666" t="str">
        <f>IF(OR($A182="F&amp;F",$G182=""),"",IF(W$8&gt;$G182,IF(OR(status1B5!X182=1,status1B5!X182=2,'BOULEVARD 5'!Z180&gt;0),"Pagado","impago"),""))</f>
        <v>Pagado</v>
      </c>
      <c r="X182" s="666" t="str">
        <f>IF(OR($A182="F&amp;F",$G182=""),"",IF(X$8&gt;$G182,IF(OR(status1B5!Y182=1,status1B5!Y182=2,'BOULEVARD 5'!AA180&gt;0),"Pagado","impago"),""))</f>
        <v>Pagado</v>
      </c>
      <c r="Y182" s="666" t="str">
        <f>IF(OR($A182="F&amp;F",$G182=""),"",IF(Y$8&gt;$G182,IF(OR(status1B5!Z182=1,status1B5!Z182=2,'BOULEVARD 5'!AB180&gt;0),"Pagado","impago"),""))</f>
        <v>Pagado</v>
      </c>
      <c r="Z182" s="666" t="str">
        <f>IF(OR($A182="F&amp;F",$G182=""),"",IF(Z$8&gt;$G182,IF(OR(status1B5!AA182=1,status1B5!AA182=2,'BOULEVARD 5'!AC180&gt;0),"Pagado","impago"),""))</f>
        <v>Pagado</v>
      </c>
      <c r="AA182" s="666" t="str">
        <f>IF(OR($A182="F&amp;F",$G182=""),"",IF(AA$8&gt;$G182,IF(OR(status1B5!AB182=1,status1B5!AB182=2,'BOULEVARD 5'!AD180&gt;0),"Pagado","impago"),""))</f>
        <v>Pagado</v>
      </c>
      <c r="AB182" s="666" t="str">
        <f>IF(OR($A182="F&amp;F",$G182=""),"",IF(AB$8&gt;$G182,IF(OR(status1B5!AC182=1,status1B5!AC182=2,'BOULEVARD 5'!AE180&gt;0),"Pagado","impago"),""))</f>
        <v>Pagado</v>
      </c>
      <c r="AC182" s="666" t="str">
        <f>IF(OR($A182="F&amp;F",$G182=""),"",IF(AC$8&gt;$G182,IF(OR(status1B5!AD182=1,status1B5!AD182=2,'BOULEVARD 5'!AF180&gt;0),"Pagado","impago"),""))</f>
        <v>Pagado</v>
      </c>
      <c r="AD182" s="666" t="str">
        <f>IF(OR($A182="F&amp;F",$G182=""),"",IF(AD$8&gt;$G182,IF(OR(status1B5!AE182=1,status1B5!AE182=2,'BOULEVARD 5'!AG180&gt;0),"Pagado","impago"),""))</f>
        <v>Pagado</v>
      </c>
      <c r="AE182" s="666" t="str">
        <f>IF(OR($A182="F&amp;F",$G182=""),"",IF(AE$8&gt;$G182,IF(OR(status1B5!AF182=1,status1B5!AF182=2,'BOULEVARD 5'!AH180&gt;0),"Pagado","impago"),""))</f>
        <v>Pagado</v>
      </c>
      <c r="AF182" s="666" t="str">
        <f>IF(OR($A182="F&amp;F",$G182=""),"",IF(AF$8&gt;$G182,IF(OR(status1B5!AG182=1,status1B5!AG182=2,'BOULEVARD 5'!AI180&gt;0),"Pagado","impago"),""))</f>
        <v>Pagado</v>
      </c>
      <c r="AG182" s="666" t="str">
        <f>IF(OR($A182="F&amp;F",$G182=""),"",IF(AG$8&gt;$G182,IF(OR(status1B5!AH182=1,status1B5!AH182=2,'BOULEVARD 5'!AJ180&gt;0),"Pagado","impago"),""))</f>
        <v>Pagado</v>
      </c>
      <c r="AH182" s="666" t="str">
        <f>IF(OR($A182="F&amp;F",$G182=""),"",IF(AH$8&gt;$G182,IF(OR(status1B5!AI182=1,status1B5!AI182=2,'BOULEVARD 5'!AK180&gt;0),"Pagado","impago"),""))</f>
        <v>Pagado</v>
      </c>
      <c r="AI182" s="666" t="str">
        <f>IF(OR($A182="F&amp;F",$G182=""),"",IF(AI$8&gt;$G182,IF(OR(status1B5!AJ182=1,status1B5!AJ182=2,'BOULEVARD 5'!AL180&gt;0),"Pagado","impago"),""))</f>
        <v>Pagado</v>
      </c>
      <c r="AJ182" s="666" t="str">
        <f>IF(OR($A182="F&amp;F",$G182=""),"",IF(AJ$8&gt;$G182,IF(OR(status1B5!AK182=1,status1B5!AK182=2,'BOULEVARD 5'!AM180&gt;0),"Pagado","impago"),""))</f>
        <v>Pagado</v>
      </c>
      <c r="AK182" s="666" t="str">
        <f>IF(OR($A182="F&amp;F",$G182=""),"",IF(AK$8&gt;$G182,IF(OR(status1B5!AL182=1,status1B5!AL182=2,'BOULEVARD 5'!AN180&gt;0),"Pagado","impago"),""))</f>
        <v>Pagado</v>
      </c>
      <c r="AL182" s="666" t="str">
        <f>IF(OR($A182="F&amp;F",$G182=""),"",IF(AL$8&gt;$G182,IF(OR(status1B5!AM182=1,status1B5!AM182=2,'BOULEVARD 5'!AO180&gt;0),"Pagado","impago"),""))</f>
        <v>Pagado</v>
      </c>
      <c r="AM182" s="666" t="str">
        <f>IF(OR($A182="F&amp;F",$G182=""),"",IF(AM$8&gt;$G182,IF(OR(status1B5!AN182=1,status1B5!AN182=2,'BOULEVARD 5'!AP180&gt;0),"Pagado","impago"),""))</f>
        <v>Pagado</v>
      </c>
      <c r="AN182" s="666" t="str">
        <f>IF(OR($A182="F&amp;F",$G182=""),"",IF(AN$8&gt;$G182,IF(OR(status1B5!AO182=1,status1B5!AO182=2,'BOULEVARD 5'!AQ180&gt;0),"Pagado","impago"),""))</f>
        <v>Pagado</v>
      </c>
      <c r="AO182" s="666" t="str">
        <f>IF(OR($A182="F&amp;F",$G182=""),"",IF(AO$8&gt;$G182,IF(OR(status1B5!AP182=1,status1B5!AP182=2,'BOULEVARD 5'!AS180&gt;0),"Pagado","impago"),""))</f>
        <v>Pagado</v>
      </c>
      <c r="AP182" s="429" t="str">
        <f t="shared" si="7"/>
        <v>Vendido</v>
      </c>
    </row>
    <row r="183" spans="1:42" s="429" customFormat="1" ht="13.9" customHeight="1" x14ac:dyDescent="0.25">
      <c r="A183" s="472" t="s">
        <v>58</v>
      </c>
      <c r="B183" s="475">
        <f>'BOULEVARD 5'!B181</f>
        <v>1008</v>
      </c>
      <c r="C183" s="475" t="s">
        <v>355</v>
      </c>
      <c r="D183" s="475"/>
      <c r="E183" s="475" t="str">
        <f>IF('BOULEVARD 5'!E181="","",'BOULEVARD 5'!E181)</f>
        <v>Antonio Rada</v>
      </c>
      <c r="F183" s="476" t="str">
        <f>IF('BOULEVARD 5'!F181="","",'BOULEVARD 5'!F181)</f>
        <v>Jorge Roberto Arimany Comas</v>
      </c>
      <c r="G183" s="473">
        <f>IF('BOULEVARD 5'!G181="","",'BOULEVARD 5'!G181)</f>
        <v>45401</v>
      </c>
      <c r="H183" s="666" t="str">
        <f>IF(OR($A183="F&amp;F",$G183=""),"",IF(H$8&gt;$G183,IF(OR(status1B5!I183=1,status1B5!I183=2,'BOULEVARD 5'!K181&gt;0),"Pagado","impago"),""))</f>
        <v/>
      </c>
      <c r="I183" s="666" t="str">
        <f>IF(OR($A183="F&amp;F",$G183=""),"",IF(I$8&gt;$G183,IF(OR(status1B5!J183=1,status1B5!J183=2,'BOULEVARD 5'!L181&gt;0),"Pagado","impago"),""))</f>
        <v/>
      </c>
      <c r="J183" s="666" t="str">
        <f>IF(OR($A183="F&amp;F",$G183=""),"",IF(J$8&gt;$G183,IF(OR(status1B5!K183=1,status1B5!K183=2,'BOULEVARD 5'!M181&gt;0),"Pagado","impago"),""))</f>
        <v/>
      </c>
      <c r="K183" s="666" t="str">
        <f>IF(OR($A183="F&amp;F",$G183=""),"",IF(K$8&gt;$G183,IF(OR(status1B5!L183=1,status1B5!L183=2,'BOULEVARD 5'!N181&gt;0),"Pagado","impago"),""))</f>
        <v/>
      </c>
      <c r="L183" s="666" t="str">
        <f>IF(OR($A183="F&amp;F",$G183=""),"",IF(L$8&gt;$G183,IF(OR(status1B5!M183=1,status1B5!M183=2,'BOULEVARD 5'!O181&gt;0),"Pagado","impago"),""))</f>
        <v/>
      </c>
      <c r="M183" s="666" t="str">
        <f>IF(OR($A183="F&amp;F",$G183=""),"",IF(M$8&gt;$G183,IF(OR(status1B5!N183=1,status1B5!N183=2,'BOULEVARD 5'!P181&gt;0),"Pagado","impago"),""))</f>
        <v/>
      </c>
      <c r="N183" s="666" t="str">
        <f>IF(OR($A183="F&amp;F",$G183=""),"",IF(N$8&gt;$G183,IF(OR(status1B5!O183=1,status1B5!O183=2,'BOULEVARD 5'!Q181&gt;0),"Pagado","impago"),""))</f>
        <v/>
      </c>
      <c r="O183" s="666" t="str">
        <f>IF(OR($A183="F&amp;F",$G183=""),"",IF(O$8&gt;$G183,IF(OR(status1B5!P183=1,status1B5!P183=2,'BOULEVARD 5'!R181&gt;0),"Pagado","impago"),""))</f>
        <v/>
      </c>
      <c r="P183" s="666" t="str">
        <f>IF(OR($A183="F&amp;F",$G183=""),"",IF(P$8&gt;$G183,IF(OR(status1B5!Q183=1,status1B5!Q183=2,'BOULEVARD 5'!S181&gt;0),"Pagado","impago"),""))</f>
        <v/>
      </c>
      <c r="Q183" s="666" t="str">
        <f>IF(OR($A183="F&amp;F",$G183=""),"",IF(Q$8&gt;$G183,IF(OR(status1B5!R183=1,status1B5!R183=2,'BOULEVARD 5'!T181&gt;0),"Pagado","impago"),""))</f>
        <v/>
      </c>
      <c r="R183" s="666" t="str">
        <f>IF(OR($A183="F&amp;F",$G183=""),"",IF(R$8&gt;$G183,IF(OR(status1B5!S183=1,status1B5!S183=2,'BOULEVARD 5'!U181&gt;0),"Pagado","impago"),""))</f>
        <v/>
      </c>
      <c r="S183" s="666" t="str">
        <f>IF(OR($A183="F&amp;F",$G183=""),"",IF(S$8&gt;$G183,IF(OR(status1B5!T183=1,status1B5!T183=2,'BOULEVARD 5'!V181&gt;0),"Pagado","impago"),""))</f>
        <v/>
      </c>
      <c r="T183" s="666" t="str">
        <f>IF(OR($A183="F&amp;F",$G183=""),"",IF(T$8&gt;$G183,IF(OR(status1B5!U183=1,status1B5!U183=2,'BOULEVARD 5'!W181&gt;0),"Pagado","impago"),""))</f>
        <v/>
      </c>
      <c r="U183" s="666" t="str">
        <f>IF(OR($A183="F&amp;F",$G183=""),"",IF(U$8&gt;$G183,IF(OR(status1B5!V183=1,status1B5!V183=2,'BOULEVARD 5'!X181&gt;0),"Pagado","impago"),""))</f>
        <v/>
      </c>
      <c r="V183" s="666" t="str">
        <f>IF(OR($A183="F&amp;F",$G183=""),"",IF(V$8&gt;$G183,IF(OR(status1B5!W183=1,status1B5!W183=2,'BOULEVARD 5'!Y181&gt;0),"Pagado","impago"),""))</f>
        <v/>
      </c>
      <c r="W183" s="666" t="str">
        <f>IF(OR($A183="F&amp;F",$G183=""),"",IF(W$8&gt;$G183,IF(OR(status1B5!X183=1,status1B5!X183=2,'BOULEVARD 5'!Z181&gt;0),"Pagado","impago"),""))</f>
        <v/>
      </c>
      <c r="X183" s="666" t="str">
        <f>IF(OR($A183="F&amp;F",$G183=""),"",IF(X$8&gt;$G183,IF(OR(status1B5!Y183=1,status1B5!Y183=2,'BOULEVARD 5'!AA181&gt;0),"Pagado","impago"),""))</f>
        <v/>
      </c>
      <c r="Y183" s="666" t="str">
        <f>IF(OR($A183="F&amp;F",$G183=""),"",IF(Y$8&gt;$G183,IF(OR(status1B5!Z183=1,status1B5!Z183=2,'BOULEVARD 5'!AB181&gt;0),"Pagado","impago"),""))</f>
        <v/>
      </c>
      <c r="Z183" s="666" t="str">
        <f>IF(OR($A183="F&amp;F",$G183=""),"",IF(Z$8&gt;$G183,IF(OR(status1B5!AA183=1,status1B5!AA183=2,'BOULEVARD 5'!AC181&gt;0),"Pagado","impago"),""))</f>
        <v/>
      </c>
      <c r="AA183" s="666" t="str">
        <f>IF(OR($A183="F&amp;F",$G183=""),"",IF(AA$8&gt;$G183,IF(OR(status1B5!AB183=1,status1B5!AB183=2,'BOULEVARD 5'!AD181&gt;0),"Pagado","impago"),""))</f>
        <v/>
      </c>
      <c r="AB183" s="666" t="str">
        <f>IF(OR($A183="F&amp;F",$G183=""),"",IF(AB$8&gt;$G183,IF(OR(status1B5!AC183=1,status1B5!AC183=2,'BOULEVARD 5'!AE181&gt;0),"Pagado","impago"),""))</f>
        <v/>
      </c>
      <c r="AC183" s="666" t="str">
        <f>IF(OR($A183="F&amp;F",$G183=""),"",IF(AC$8&gt;$G183,IF(OR(status1B5!AD183=1,status1B5!AD183=2,'BOULEVARD 5'!AF181&gt;0),"Pagado","impago"),""))</f>
        <v/>
      </c>
      <c r="AD183" s="666" t="str">
        <f>IF(OR($A183="F&amp;F",$G183=""),"",IF(AD$8&gt;$G183,IF(OR(status1B5!AE183=1,status1B5!AE183=2,'BOULEVARD 5'!AG181&gt;0),"Pagado","impago"),""))</f>
        <v/>
      </c>
      <c r="AE183" s="666" t="str">
        <f>IF(OR($A183="F&amp;F",$G183=""),"",IF(AE$8&gt;$G183,IF(OR(status1B5!AF183=1,status1B5!AF183=2,'BOULEVARD 5'!AH181&gt;0),"Pagado","impago"),""))</f>
        <v/>
      </c>
      <c r="AF183" s="666" t="str">
        <f>IF(OR($A183="F&amp;F",$G183=""),"",IF(AF$8&gt;$G183,IF(OR(status1B5!AG183=1,status1B5!AG183=2,'BOULEVARD 5'!AI181&gt;0),"Pagado","impago"),""))</f>
        <v/>
      </c>
      <c r="AG183" s="666" t="str">
        <f>IF(OR($A183="F&amp;F",$G183=""),"",IF(AG$8&gt;$G183,IF(OR(status1B5!AH183=1,status1B5!AH183=2,'BOULEVARD 5'!AJ181&gt;0),"Pagado","impago"),""))</f>
        <v/>
      </c>
      <c r="AH183" s="666" t="str">
        <f>IF(OR($A183="F&amp;F",$G183=""),"",IF(AH$8&gt;$G183,IF(OR(status1B5!AI183=1,status1B5!AI183=2,'BOULEVARD 5'!AK181&gt;0),"Pagado","impago"),""))</f>
        <v/>
      </c>
      <c r="AI183" s="666" t="str">
        <f>IF(OR($A183="F&amp;F",$G183=""),"",IF(AI$8&gt;$G183,IF(OR(status1B5!AJ183=1,status1B5!AJ183=2,'BOULEVARD 5'!AL181&gt;0),"Pagado","impago"),""))</f>
        <v/>
      </c>
      <c r="AJ183" s="666" t="str">
        <f>IF(OR($A183="F&amp;F",$G183=""),"",IF(AJ$8&gt;$G183,IF(OR(status1B5!AK183=1,status1B5!AK183=2,'BOULEVARD 5'!AM181&gt;0),"Pagado","impago"),""))</f>
        <v/>
      </c>
      <c r="AK183" s="666" t="str">
        <f>IF(OR($A183="F&amp;F",$G183=""),"",IF(AK$8&gt;$G183,IF(OR(status1B5!AL183=1,status1B5!AL183=2,'BOULEVARD 5'!AN181&gt;0),"Pagado","impago"),""))</f>
        <v/>
      </c>
      <c r="AL183" s="666" t="str">
        <f>IF(OR($A183="F&amp;F",$G183=""),"",IF(AL$8&gt;$G183,IF(OR(status1B5!AM183=1,status1B5!AM183=2,'BOULEVARD 5'!AO181&gt;0),"Pagado","impago"),""))</f>
        <v/>
      </c>
      <c r="AM183" s="666" t="str">
        <f>IF(OR($A183="F&amp;F",$G183=""),"",IF(AM$8&gt;$G183,IF(OR(status1B5!AN183=1,status1B5!AN183=2,'BOULEVARD 5'!AP181&gt;0),"Pagado","impago"),""))</f>
        <v/>
      </c>
      <c r="AN183" s="666" t="str">
        <f>IF(OR($A183="F&amp;F",$G183=""),"",IF(AN$8&gt;$G183,IF(OR(status1B5!AO183=1,status1B5!AO183=2,'BOULEVARD 5'!AQ181&gt;0),"Pagado","impago"),""))</f>
        <v/>
      </c>
      <c r="AO183" s="666" t="str">
        <f>IF(OR($A183="F&amp;F",$G183=""),"",IF(AO$8&gt;$G183,IF(OR(status1B5!AP183=1,status1B5!AP183=2,'BOULEVARD 5'!AS181&gt;0),"Pagado","impago"),""))</f>
        <v/>
      </c>
      <c r="AP183" s="429" t="str">
        <f t="shared" si="7"/>
        <v>Vendido</v>
      </c>
    </row>
    <row r="184" spans="1:42" s="429" customFormat="1" ht="13.9" customHeight="1" x14ac:dyDescent="0.25">
      <c r="A184" s="472"/>
      <c r="B184" s="436">
        <f>'BOULEVARD 5'!B182</f>
        <v>1009</v>
      </c>
      <c r="C184" s="436" t="s">
        <v>355</v>
      </c>
      <c r="D184" s="436"/>
      <c r="E184" s="482" t="str">
        <f>IF('BOULEVARD 5'!E182="","",'BOULEVARD 5'!E182)</f>
        <v>Diana Alvarez</v>
      </c>
      <c r="F184" s="429" t="str">
        <f>IF('BOULEVARD 5'!F182="","",'BOULEVARD 5'!F182)</f>
        <v xml:space="preserve">Augusto Alejandro Salazar Alecio Y Yosseline Yanira Moscoso Hidalgo </v>
      </c>
      <c r="G184" s="473">
        <f>IF('BOULEVARD 5'!G182="","",'BOULEVARD 5'!G182)</f>
        <v>45602</v>
      </c>
      <c r="H184" s="666" t="str">
        <f>IF(OR($A184="F&amp;F",$G184=""),"",IF(H$8&gt;$G184,IF(OR(status1B5!I184=1,status1B5!I184=2,'BOULEVARD 5'!K182&gt;0),"Pagado","impago"),""))</f>
        <v/>
      </c>
      <c r="I184" s="666" t="str">
        <f>IF(OR($A184="F&amp;F",$G184=""),"",IF(I$8&gt;$G184,IF(OR(status1B5!J184=1,status1B5!J184=2,'BOULEVARD 5'!L182&gt;0),"Pagado","impago"),""))</f>
        <v/>
      </c>
      <c r="J184" s="666" t="str">
        <f>IF(OR($A184="F&amp;F",$G184=""),"",IF(J$8&gt;$G184,IF(OR(status1B5!K184=1,status1B5!K184=2,'BOULEVARD 5'!M182&gt;0),"Pagado","impago"),""))</f>
        <v/>
      </c>
      <c r="K184" s="666" t="str">
        <f>IF(OR($A184="F&amp;F",$G184=""),"",IF(K$8&gt;$G184,IF(OR(status1B5!L184=1,status1B5!L184=2,'BOULEVARD 5'!N182&gt;0),"Pagado","impago"),""))</f>
        <v/>
      </c>
      <c r="L184" s="666" t="str">
        <f>IF(OR($A184="F&amp;F",$G184=""),"",IF(L$8&gt;$G184,IF(OR(status1B5!M184=1,status1B5!M184=2,'BOULEVARD 5'!O182&gt;0),"Pagado","impago"),""))</f>
        <v/>
      </c>
      <c r="M184" s="666" t="str">
        <f>IF(OR($A184="F&amp;F",$G184=""),"",IF(M$8&gt;$G184,IF(OR(status1B5!N184=1,status1B5!N184=2,'BOULEVARD 5'!P182&gt;0),"Pagado","impago"),""))</f>
        <v/>
      </c>
      <c r="N184" s="666" t="str">
        <f>IF(OR($A184="F&amp;F",$G184=""),"",IF(N$8&gt;$G184,IF(OR(status1B5!O184=1,status1B5!O184=2,'BOULEVARD 5'!Q182&gt;0),"Pagado","impago"),""))</f>
        <v/>
      </c>
      <c r="O184" s="666" t="str">
        <f>IF(OR($A184="F&amp;F",$G184=""),"",IF(O$8&gt;$G184,IF(OR(status1B5!P184=1,status1B5!P184=2,'BOULEVARD 5'!R182&gt;0),"Pagado","impago"),""))</f>
        <v/>
      </c>
      <c r="P184" s="666" t="str">
        <f>IF(OR($A184="F&amp;F",$G184=""),"",IF(P$8&gt;$G184,IF(OR(status1B5!Q184=1,status1B5!Q184=2,'BOULEVARD 5'!S182&gt;0),"Pagado","impago"),""))</f>
        <v/>
      </c>
      <c r="Q184" s="666" t="str">
        <f>IF(OR($A184="F&amp;F",$G184=""),"",IF(Q$8&gt;$G184,IF(OR(status1B5!R184=1,status1B5!R184=2,'BOULEVARD 5'!T182&gt;0),"Pagado","impago"),""))</f>
        <v/>
      </c>
      <c r="R184" s="666" t="str">
        <f>IF(OR($A184="F&amp;F",$G184=""),"",IF(R$8&gt;$G184,IF(OR(status1B5!S184=1,status1B5!S184=2,'BOULEVARD 5'!U182&gt;0),"Pagado","impago"),""))</f>
        <v/>
      </c>
      <c r="S184" s="666" t="str">
        <f>IF(OR($A184="F&amp;F",$G184=""),"",IF(S$8&gt;$G184,IF(OR(status1B5!T184=1,status1B5!T184=2,'BOULEVARD 5'!V182&gt;0),"Pagado","impago"),""))</f>
        <v/>
      </c>
      <c r="T184" s="666" t="str">
        <f>IF(OR($A184="F&amp;F",$G184=""),"",IF(T$8&gt;$G184,IF(OR(status1B5!U184=1,status1B5!U184=2,'BOULEVARD 5'!W182&gt;0),"Pagado","impago"),""))</f>
        <v/>
      </c>
      <c r="U184" s="666" t="str">
        <f>IF(OR($A184="F&amp;F",$G184=""),"",IF(U$8&gt;$G184,IF(OR(status1B5!V184=1,status1B5!V184=2,'BOULEVARD 5'!X182&gt;0),"Pagado","impago"),""))</f>
        <v/>
      </c>
      <c r="V184" s="666" t="str">
        <f>IF(OR($A184="F&amp;F",$G184=""),"",IF(V$8&gt;$G184,IF(OR(status1B5!W184=1,status1B5!W184=2,'BOULEVARD 5'!Y182&gt;0),"Pagado","impago"),""))</f>
        <v/>
      </c>
      <c r="W184" s="666" t="str">
        <f>IF(OR($A184="F&amp;F",$G184=""),"",IF(W$8&gt;$G184,IF(OR(status1B5!X184=1,status1B5!X184=2,'BOULEVARD 5'!Z182&gt;0),"Pagado","impago"),""))</f>
        <v/>
      </c>
      <c r="X184" s="666" t="str">
        <f>IF(OR($A184="F&amp;F",$G184=""),"",IF(X$8&gt;$G184,IF(OR(status1B5!Y184=1,status1B5!Y184=2,'BOULEVARD 5'!AA182&gt;0),"Pagado","impago"),""))</f>
        <v/>
      </c>
      <c r="Y184" s="666" t="str">
        <f>IF(OR($A184="F&amp;F",$G184=""),"",IF(Y$8&gt;$G184,IF(OR(status1B5!Z184=1,status1B5!Z184=2,'BOULEVARD 5'!AB182&gt;0),"Pagado","impago"),""))</f>
        <v/>
      </c>
      <c r="Z184" s="666" t="str">
        <f>IF(OR($A184="F&amp;F",$G184=""),"",IF(Z$8&gt;$G184,IF(OR(status1B5!AA184=1,status1B5!AA184=2,'BOULEVARD 5'!AC182&gt;0),"Pagado","impago"),""))</f>
        <v/>
      </c>
      <c r="AA184" s="666" t="str">
        <f>IF(OR($A184="F&amp;F",$G184=""),"",IF(AA$8&gt;$G184,IF(OR(status1B5!AB184=1,status1B5!AB184=2,'BOULEVARD 5'!AD182&gt;0),"Pagado","impago"),""))</f>
        <v/>
      </c>
      <c r="AB184" s="666" t="str">
        <f>IF(OR($A184="F&amp;F",$G184=""),"",IF(AB$8&gt;$G184,IF(OR(status1B5!AC184=1,status1B5!AC184=2,'BOULEVARD 5'!AE182&gt;0),"Pagado","impago"),""))</f>
        <v>Pagado</v>
      </c>
      <c r="AC184" s="666" t="str">
        <f>IF(OR($A184="F&amp;F",$G184=""),"",IF(AC$8&gt;$G184,IF(OR(status1B5!AD184=1,status1B5!AD184=2,'BOULEVARD 5'!AF182&gt;0),"Pagado","impago"),""))</f>
        <v>Pagado</v>
      </c>
      <c r="AD184" s="666" t="str">
        <f>IF(OR($A184="F&amp;F",$G184=""),"",IF(AD$8&gt;$G184,IF(OR(status1B5!AE184=1,status1B5!AE184=2,'BOULEVARD 5'!AG182&gt;0),"Pagado","impago"),""))</f>
        <v>Pagado</v>
      </c>
      <c r="AE184" s="666" t="str">
        <f>IF(OR($A184="F&amp;F",$G184=""),"",IF(AE$8&gt;$G184,IF(OR(status1B5!AF184=1,status1B5!AF184=2,'BOULEVARD 5'!AH182&gt;0),"Pagado","impago"),""))</f>
        <v>Pagado</v>
      </c>
      <c r="AF184" s="666" t="str">
        <f>IF(OR($A184="F&amp;F",$G184=""),"",IF(AF$8&gt;$G184,IF(OR(status1B5!AG184=1,status1B5!AG184=2,'BOULEVARD 5'!AI182&gt;0),"Pagado","impago"),""))</f>
        <v>Pagado</v>
      </c>
      <c r="AG184" s="666" t="str">
        <f>IF(OR($A184="F&amp;F",$G184=""),"",IF(AG$8&gt;$G184,IF(OR(status1B5!AH184=1,status1B5!AH184=2,'BOULEVARD 5'!AJ182&gt;0),"Pagado","impago"),""))</f>
        <v>Pagado</v>
      </c>
      <c r="AH184" s="666" t="str">
        <f>IF(OR($A184="F&amp;F",$G184=""),"",IF(AH$8&gt;$G184,IF(OR(status1B5!AI184=1,status1B5!AI184=2,'BOULEVARD 5'!AK182&gt;0),"Pagado","impago"),""))</f>
        <v>Pagado</v>
      </c>
      <c r="AI184" s="666" t="str">
        <f>IF(OR($A184="F&amp;F",$G184=""),"",IF(AI$8&gt;$G184,IF(OR(status1B5!AJ184=1,status1B5!AJ184=2,'BOULEVARD 5'!AL182&gt;0),"Pagado","impago"),""))</f>
        <v>Pagado</v>
      </c>
      <c r="AJ184" s="666" t="str">
        <f>IF(OR($A184="F&amp;F",$G184=""),"",IF(AJ$8&gt;$G184,IF(OR(status1B5!AK184=1,status1B5!AK184=2,'BOULEVARD 5'!AM182&gt;0),"Pagado","impago"),""))</f>
        <v>Pagado</v>
      </c>
      <c r="AK184" s="666" t="str">
        <f>IF(OR($A184="F&amp;F",$G184=""),"",IF(AK$8&gt;$G184,IF(OR(status1B5!AL184=1,status1B5!AL184=2,'BOULEVARD 5'!AN182&gt;0),"Pagado","impago"),""))</f>
        <v>Pagado</v>
      </c>
      <c r="AL184" s="666" t="str">
        <f>IF(OR($A184="F&amp;F",$G184=""),"",IF(AL$8&gt;$G184,IF(OR(status1B5!AM184=1,status1B5!AM184=2,'BOULEVARD 5'!AO182&gt;0),"Pagado","impago"),""))</f>
        <v>Pagado</v>
      </c>
      <c r="AM184" s="666" t="str">
        <f>IF(OR($A184="F&amp;F",$G184=""),"",IF(AM$8&gt;$G184,IF(OR(status1B5!AN184=1,status1B5!AN184=2,'BOULEVARD 5'!AP182&gt;0),"Pagado","impago"),""))</f>
        <v>Pagado</v>
      </c>
      <c r="AN184" s="666" t="str">
        <f>IF(OR($A184="F&amp;F",$G184=""),"",IF(AN$8&gt;$G184,IF(OR(status1B5!AO184=1,status1B5!AO184=2,'BOULEVARD 5'!AQ182&gt;0),"Pagado","impago"),""))</f>
        <v>Pagado</v>
      </c>
      <c r="AO184" s="666" t="str">
        <f>IF(OR($A184="F&amp;F",$G184=""),"",IF(AO$8&gt;$G184,IF(OR(status1B5!AP184=1,status1B5!AP184=2,'BOULEVARD 5'!AS182&gt;0),"Pagado","impago"),""))</f>
        <v>Pagado</v>
      </c>
      <c r="AP184" s="429" t="str">
        <f t="shared" si="7"/>
        <v>Vendido</v>
      </c>
    </row>
    <row r="185" spans="1:42" s="429" customFormat="1" ht="13.9" customHeight="1" x14ac:dyDescent="0.25">
      <c r="A185" s="472"/>
      <c r="B185" s="436">
        <f>'BOULEVARD 5'!B183</f>
        <v>1010</v>
      </c>
      <c r="C185" s="436" t="s">
        <v>355</v>
      </c>
      <c r="D185" s="436"/>
      <c r="E185" s="436" t="str">
        <f>IF('BOULEVARD 5'!E183="","",'BOULEVARD 5'!E183)</f>
        <v>Antonio Rada</v>
      </c>
      <c r="F185" s="429" t="str">
        <f>IF('BOULEVARD 5'!F183="","",'BOULEVARD 5'!F183)</f>
        <v>Allan Donaldo Lapop Cárdenas</v>
      </c>
      <c r="G185" s="473">
        <f>IF('BOULEVARD 5'!G183="","",'BOULEVARD 5'!G183)</f>
        <v>45165</v>
      </c>
      <c r="H185" s="666" t="str">
        <f>IF(OR($A185="F&amp;F",$G185=""),"",IF(H$8&gt;$G185,IF(OR(status1B5!I185=1,status1B5!I185=2,'BOULEVARD 5'!K183&gt;0),"Pagado","impago"),""))</f>
        <v/>
      </c>
      <c r="I185" s="666" t="str">
        <f>IF(OR($A185="F&amp;F",$G185=""),"",IF(I$8&gt;$G185,IF(OR(status1B5!J185=1,status1B5!J185=2,'BOULEVARD 5'!L183&gt;0),"Pagado","impago"),""))</f>
        <v/>
      </c>
      <c r="J185" s="666" t="str">
        <f>IF(OR($A185="F&amp;F",$G185=""),"",IF(J$8&gt;$G185,IF(OR(status1B5!K185=1,status1B5!K185=2,'BOULEVARD 5'!M183&gt;0),"Pagado","impago"),""))</f>
        <v/>
      </c>
      <c r="K185" s="666" t="str">
        <f>IF(OR($A185="F&amp;F",$G185=""),"",IF(K$8&gt;$G185,IF(OR(status1B5!L185=1,status1B5!L185=2,'BOULEVARD 5'!N183&gt;0),"Pagado","impago"),""))</f>
        <v/>
      </c>
      <c r="L185" s="666" t="str">
        <f>IF(OR($A185="F&amp;F",$G185=""),"",IF(L$8&gt;$G185,IF(OR(status1B5!M185=1,status1B5!M185=2,'BOULEVARD 5'!O183&gt;0),"Pagado","impago"),""))</f>
        <v/>
      </c>
      <c r="M185" s="666" t="str">
        <f>IF(OR($A185="F&amp;F",$G185=""),"",IF(M$8&gt;$G185,IF(OR(status1B5!N185=1,status1B5!N185=2,'BOULEVARD 5'!P183&gt;0),"Pagado","impago"),""))</f>
        <v>Pagado</v>
      </c>
      <c r="N185" s="666" t="str">
        <f>IF(OR($A185="F&amp;F",$G185=""),"",IF(N$8&gt;$G185,IF(OR(status1B5!O185=1,status1B5!O185=2,'BOULEVARD 5'!Q183&gt;0),"Pagado","impago"),""))</f>
        <v>Pagado</v>
      </c>
      <c r="O185" s="666" t="str">
        <f>IF(OR($A185="F&amp;F",$G185=""),"",IF(O$8&gt;$G185,IF(OR(status1B5!P185=1,status1B5!P185=2,'BOULEVARD 5'!R183&gt;0),"Pagado","impago"),""))</f>
        <v>Pagado</v>
      </c>
      <c r="P185" s="666" t="str">
        <f>IF(OR($A185="F&amp;F",$G185=""),"",IF(P$8&gt;$G185,IF(OR(status1B5!Q185=1,status1B5!Q185=2,'BOULEVARD 5'!S183&gt;0),"Pagado","impago"),""))</f>
        <v>Pagado</v>
      </c>
      <c r="Q185" s="666" t="str">
        <f>IF(OR($A185="F&amp;F",$G185=""),"",IF(Q$8&gt;$G185,IF(OR(status1B5!R185=1,status1B5!R185=2,'BOULEVARD 5'!T183&gt;0),"Pagado","impago"),""))</f>
        <v>Pagado</v>
      </c>
      <c r="R185" s="666" t="str">
        <f>IF(OR($A185="F&amp;F",$G185=""),"",IF(R$8&gt;$G185,IF(OR(status1B5!S185=1,status1B5!S185=2,'BOULEVARD 5'!U183&gt;0),"Pagado","impago"),""))</f>
        <v>Pagado</v>
      </c>
      <c r="S185" s="666" t="str">
        <f>IF(OR($A185="F&amp;F",$G185=""),"",IF(S$8&gt;$G185,IF(OR(status1B5!T185=1,status1B5!T185=2,'BOULEVARD 5'!V183&gt;0),"Pagado","impago"),""))</f>
        <v>Pagado</v>
      </c>
      <c r="T185" s="666" t="str">
        <f>IF(OR($A185="F&amp;F",$G185=""),"",IF(T$8&gt;$G185,IF(OR(status1B5!U185=1,status1B5!U185=2,'BOULEVARD 5'!W183&gt;0),"Pagado","impago"),""))</f>
        <v>Pagado</v>
      </c>
      <c r="U185" s="666" t="str">
        <f>IF(OR($A185="F&amp;F",$G185=""),"",IF(U$8&gt;$G185,IF(OR(status1B5!V185=1,status1B5!V185=2,'BOULEVARD 5'!X183&gt;0),"Pagado","impago"),""))</f>
        <v>Pagado</v>
      </c>
      <c r="V185" s="666" t="str">
        <f>IF(OR($A185="F&amp;F",$G185=""),"",IF(V$8&gt;$G185,IF(OR(status1B5!W185=1,status1B5!W185=2,'BOULEVARD 5'!Y183&gt;0),"Pagado","impago"),""))</f>
        <v>Pagado</v>
      </c>
      <c r="W185" s="666" t="str">
        <f>IF(OR($A185="F&amp;F",$G185=""),"",IF(W$8&gt;$G185,IF(OR(status1B5!X185=1,status1B5!X185=2,'BOULEVARD 5'!Z183&gt;0),"Pagado","impago"),""))</f>
        <v>Pagado</v>
      </c>
      <c r="X185" s="666" t="str">
        <f>IF(OR($A185="F&amp;F",$G185=""),"",IF(X$8&gt;$G185,IF(OR(status1B5!Y185=1,status1B5!Y185=2,'BOULEVARD 5'!AA183&gt;0),"Pagado","impago"),""))</f>
        <v>Pagado</v>
      </c>
      <c r="Y185" s="666" t="str">
        <f>IF(OR($A185="F&amp;F",$G185=""),"",IF(Y$8&gt;$G185,IF(OR(status1B5!Z185=1,status1B5!Z185=2,'BOULEVARD 5'!AB183&gt;0),"Pagado","impago"),""))</f>
        <v>Pagado</v>
      </c>
      <c r="Z185" s="666" t="str">
        <f>IF(OR($A185="F&amp;F",$G185=""),"",IF(Z$8&gt;$G185,IF(OR(status1B5!AA185=1,status1B5!AA185=2,'BOULEVARD 5'!AC183&gt;0),"Pagado","impago"),""))</f>
        <v>Pagado</v>
      </c>
      <c r="AA185" s="666" t="str">
        <f>IF(OR($A185="F&amp;F",$G185=""),"",IF(AA$8&gt;$G185,IF(OR(status1B5!AB185=1,status1B5!AB185=2,'BOULEVARD 5'!AD183&gt;0),"Pagado","impago"),""))</f>
        <v>Pagado</v>
      </c>
      <c r="AB185" s="666" t="str">
        <f>IF(OR($A185="F&amp;F",$G185=""),"",IF(AB$8&gt;$G185,IF(OR(status1B5!AC185=1,status1B5!AC185=2,'BOULEVARD 5'!AE183&gt;0),"Pagado","impago"),""))</f>
        <v>Pagado</v>
      </c>
      <c r="AC185" s="666" t="str">
        <f>IF(OR($A185="F&amp;F",$G185=""),"",IF(AC$8&gt;$G185,IF(OR(status1B5!AD185=1,status1B5!AD185=2,'BOULEVARD 5'!AF183&gt;0),"Pagado","impago"),""))</f>
        <v>Pagado</v>
      </c>
      <c r="AD185" s="666" t="str">
        <f>IF(OR($A185="F&amp;F",$G185=""),"",IF(AD$8&gt;$G185,IF(OR(status1B5!AE185=1,status1B5!AE185=2,'BOULEVARD 5'!AG183&gt;0),"Pagado","impago"),""))</f>
        <v>Pagado</v>
      </c>
      <c r="AE185" s="666" t="str">
        <f>IF(OR($A185="F&amp;F",$G185=""),"",IF(AE$8&gt;$G185,IF(OR(status1B5!AF185=1,status1B5!AF185=2,'BOULEVARD 5'!AH183&gt;0),"Pagado","impago"),""))</f>
        <v>Pagado</v>
      </c>
      <c r="AF185" s="666" t="str">
        <f>IF(OR($A185="F&amp;F",$G185=""),"",IF(AF$8&gt;$G185,IF(OR(status1B5!AG185=1,status1B5!AG185=2,'BOULEVARD 5'!AI183&gt;0),"Pagado","impago"),""))</f>
        <v>Pagado</v>
      </c>
      <c r="AG185" s="666" t="str">
        <f>IF(OR($A185="F&amp;F",$G185=""),"",IF(AG$8&gt;$G185,IF(OR(status1B5!AH185=1,status1B5!AH185=2,'BOULEVARD 5'!AJ183&gt;0),"Pagado","impago"),""))</f>
        <v>Pagado</v>
      </c>
      <c r="AH185" s="666" t="str">
        <f>IF(OR($A185="F&amp;F",$G185=""),"",IF(AH$8&gt;$G185,IF(OR(status1B5!AI185=1,status1B5!AI185=2,'BOULEVARD 5'!AK183&gt;0),"Pagado","impago"),""))</f>
        <v>Pagado</v>
      </c>
      <c r="AI185" s="666" t="str">
        <f>IF(OR($A185="F&amp;F",$G185=""),"",IF(AI$8&gt;$G185,IF(OR(status1B5!AJ185=1,status1B5!AJ185=2,'BOULEVARD 5'!AL183&gt;0),"Pagado","impago"),""))</f>
        <v>Pagado</v>
      </c>
      <c r="AJ185" s="666" t="str">
        <f>IF(OR($A185="F&amp;F",$G185=""),"",IF(AJ$8&gt;$G185,IF(OR(status1B5!AK185=1,status1B5!AK185=2,'BOULEVARD 5'!AM183&gt;0),"Pagado","impago"),""))</f>
        <v>Pagado</v>
      </c>
      <c r="AK185" s="666" t="str">
        <f>IF(OR($A185="F&amp;F",$G185=""),"",IF(AK$8&gt;$G185,IF(OR(status1B5!AL185=1,status1B5!AL185=2,'BOULEVARD 5'!AN183&gt;0),"Pagado","impago"),""))</f>
        <v>Pagado</v>
      </c>
      <c r="AL185" s="666" t="str">
        <f>IF(OR($A185="F&amp;F",$G185=""),"",IF(AL$8&gt;$G185,IF(OR(status1B5!AM185=1,status1B5!AM185=2,'BOULEVARD 5'!AO183&gt;0),"Pagado","impago"),""))</f>
        <v>Pagado</v>
      </c>
      <c r="AM185" s="666" t="str">
        <f>IF(OR($A185="F&amp;F",$G185=""),"",IF(AM$8&gt;$G185,IF(OR(status1B5!AN185=1,status1B5!AN185=2,'BOULEVARD 5'!AP183&gt;0),"Pagado","impago"),""))</f>
        <v>Pagado</v>
      </c>
      <c r="AN185" s="666" t="str">
        <f>IF(OR($A185="F&amp;F",$G185=""),"",IF(AN$8&gt;$G185,IF(OR(status1B5!AO185=1,status1B5!AO185=2,'BOULEVARD 5'!AQ183&gt;0),"Pagado","impago"),""))</f>
        <v>Pagado</v>
      </c>
      <c r="AO185" s="666" t="str">
        <f>IF(OR($A185="F&amp;F",$G185=""),"",IF(AO$8&gt;$G185,IF(OR(status1B5!AP185=1,status1B5!AP185=2,'BOULEVARD 5'!AS183&gt;0),"Pagado","impago"),""))</f>
        <v>Pagado</v>
      </c>
      <c r="AP185" s="429" t="str">
        <f t="shared" si="7"/>
        <v>Vendido</v>
      </c>
    </row>
    <row r="186" spans="1:42" s="429" customFormat="1" ht="13.9" customHeight="1" x14ac:dyDescent="0.25">
      <c r="A186" s="472"/>
      <c r="B186" s="436">
        <f>'BOULEVARD 5'!B184</f>
        <v>1011</v>
      </c>
      <c r="C186" s="436" t="s">
        <v>355</v>
      </c>
      <c r="D186" s="436"/>
      <c r="E186" s="436" t="str">
        <f>IF('BOULEVARD 5'!E184="","",'BOULEVARD 5'!E184)</f>
        <v>Brenda Búcaro</v>
      </c>
      <c r="F186" s="429" t="str">
        <f>IF('BOULEVARD 5'!F184="","",'BOULEVARD 5'!F184)</f>
        <v>Sebastian Gutierrez Ruiz</v>
      </c>
      <c r="G186" s="473">
        <f>IF('BOULEVARD 5'!G184="","",'BOULEVARD 5'!G184)</f>
        <v>45016</v>
      </c>
      <c r="H186" s="666" t="str">
        <f>IF(OR($A186="F&amp;F",$G186=""),"",IF(H$8&gt;$G186,IF(OR(status1B5!I186=1,status1B5!I186=2,'BOULEVARD 5'!K184&gt;0),"Pagado","impago"),""))</f>
        <v/>
      </c>
      <c r="I186" s="666" t="str">
        <f>IF(OR($A186="F&amp;F",$G186=""),"",IF(I$8&gt;$G186,IF(OR(status1B5!J186=1,status1B5!J186=2,'BOULEVARD 5'!L184&gt;0),"Pagado","impago"),""))</f>
        <v>Pagado</v>
      </c>
      <c r="J186" s="666" t="str">
        <f>IF(OR($A186="F&amp;F",$G186=""),"",IF(J$8&gt;$G186,IF(OR(status1B5!K186=1,status1B5!K186=2,'BOULEVARD 5'!M184&gt;0),"Pagado","impago"),""))</f>
        <v>Pagado</v>
      </c>
      <c r="K186" s="666" t="str">
        <f>IF(OR($A186="F&amp;F",$G186=""),"",IF(K$8&gt;$G186,IF(OR(status1B5!L186=1,status1B5!L186=2,'BOULEVARD 5'!N184&gt;0),"Pagado","impago"),""))</f>
        <v>Pagado</v>
      </c>
      <c r="L186" s="666" t="str">
        <f>IF(OR($A186="F&amp;F",$G186=""),"",IF(L$8&gt;$G186,IF(OR(status1B5!M186=1,status1B5!M186=2,'BOULEVARD 5'!O184&gt;0),"Pagado","impago"),""))</f>
        <v>Pagado</v>
      </c>
      <c r="M186" s="666" t="str">
        <f>IF(OR($A186="F&amp;F",$G186=""),"",IF(M$8&gt;$G186,IF(OR(status1B5!N186=1,status1B5!N186=2,'BOULEVARD 5'!P184&gt;0),"Pagado","impago"),""))</f>
        <v>Pagado</v>
      </c>
      <c r="N186" s="666" t="str">
        <f>IF(OR($A186="F&amp;F",$G186=""),"",IF(N$8&gt;$G186,IF(OR(status1B5!O186=1,status1B5!O186=2,'BOULEVARD 5'!Q184&gt;0),"Pagado","impago"),""))</f>
        <v>Pagado</v>
      </c>
      <c r="O186" s="666" t="str">
        <f>IF(OR($A186="F&amp;F",$G186=""),"",IF(O$8&gt;$G186,IF(OR(status1B5!P186=1,status1B5!P186=2,'BOULEVARD 5'!R184&gt;0),"Pagado","impago"),""))</f>
        <v>Pagado</v>
      </c>
      <c r="P186" s="666" t="str">
        <f>IF(OR($A186="F&amp;F",$G186=""),"",IF(P$8&gt;$G186,IF(OR(status1B5!Q186=1,status1B5!Q186=2,'BOULEVARD 5'!S184&gt;0),"Pagado","impago"),""))</f>
        <v>Pagado</v>
      </c>
      <c r="Q186" s="666" t="str">
        <f>IF(OR($A186="F&amp;F",$G186=""),"",IF(Q$8&gt;$G186,IF(OR(status1B5!R186=1,status1B5!R186=2,'BOULEVARD 5'!T184&gt;0),"Pagado","impago"),""))</f>
        <v>Pagado</v>
      </c>
      <c r="R186" s="666" t="str">
        <f>IF(OR($A186="F&amp;F",$G186=""),"",IF(R$8&gt;$G186,IF(OR(status1B5!S186=1,status1B5!S186=2,'BOULEVARD 5'!U184&gt;0),"Pagado","impago"),""))</f>
        <v>Pagado</v>
      </c>
      <c r="S186" s="666" t="str">
        <f>IF(OR($A186="F&amp;F",$G186=""),"",IF(S$8&gt;$G186,IF(OR(status1B5!T186=1,status1B5!T186=2,'BOULEVARD 5'!V184&gt;0),"Pagado","impago"),""))</f>
        <v>Pagado</v>
      </c>
      <c r="T186" s="666" t="str">
        <f>IF(OR($A186="F&amp;F",$G186=""),"",IF(T$8&gt;$G186,IF(OR(status1B5!U186=1,status1B5!U186=2,'BOULEVARD 5'!W184&gt;0),"Pagado","impago"),""))</f>
        <v>Pagado</v>
      </c>
      <c r="U186" s="666" t="str">
        <f>IF(OR($A186="F&amp;F",$G186=""),"",IF(U$8&gt;$G186,IF(OR(status1B5!V186=1,status1B5!V186=2,'BOULEVARD 5'!X184&gt;0),"Pagado","impago"),""))</f>
        <v>Pagado</v>
      </c>
      <c r="V186" s="666" t="str">
        <f>IF(OR($A186="F&amp;F",$G186=""),"",IF(V$8&gt;$G186,IF(OR(status1B5!W186=1,status1B5!W186=2,'BOULEVARD 5'!Y184&gt;0),"Pagado","impago"),""))</f>
        <v>Pagado</v>
      </c>
      <c r="W186" s="666" t="str">
        <f>IF(OR($A186="F&amp;F",$G186=""),"",IF(W$8&gt;$G186,IF(OR(status1B5!X186=1,status1B5!X186=2,'BOULEVARD 5'!Z184&gt;0),"Pagado","impago"),""))</f>
        <v>Pagado</v>
      </c>
      <c r="X186" s="666" t="str">
        <f>IF(OR($A186="F&amp;F",$G186=""),"",IF(X$8&gt;$G186,IF(OR(status1B5!Y186=1,status1B5!Y186=2,'BOULEVARD 5'!AA184&gt;0),"Pagado","impago"),""))</f>
        <v>Pagado</v>
      </c>
      <c r="Y186" s="666" t="str">
        <f>IF(OR($A186="F&amp;F",$G186=""),"",IF(Y$8&gt;$G186,IF(OR(status1B5!Z186=1,status1B5!Z186=2,'BOULEVARD 5'!AB184&gt;0),"Pagado","impago"),""))</f>
        <v>Pagado</v>
      </c>
      <c r="Z186" s="666" t="str">
        <f>IF(OR($A186="F&amp;F",$G186=""),"",IF(Z$8&gt;$G186,IF(OR(status1B5!AA186=1,status1B5!AA186=2,'BOULEVARD 5'!AC184&gt;0),"Pagado","impago"),""))</f>
        <v>Pagado</v>
      </c>
      <c r="AA186" s="666" t="str">
        <f>IF(OR($A186="F&amp;F",$G186=""),"",IF(AA$8&gt;$G186,IF(OR(status1B5!AB186=1,status1B5!AB186=2,'BOULEVARD 5'!AD184&gt;0),"Pagado","impago"),""))</f>
        <v>Pagado</v>
      </c>
      <c r="AB186" s="666" t="str">
        <f>IF(OR($A186="F&amp;F",$G186=""),"",IF(AB$8&gt;$G186,IF(OR(status1B5!AC186=1,status1B5!AC186=2,'BOULEVARD 5'!AE184&gt;0),"Pagado","impago"),""))</f>
        <v>Pagado</v>
      </c>
      <c r="AC186" s="666" t="str">
        <f>IF(OR($A186="F&amp;F",$G186=""),"",IF(AC$8&gt;$G186,IF(OR(status1B5!AD186=1,status1B5!AD186=2,'BOULEVARD 5'!AF184&gt;0),"Pagado","impago"),""))</f>
        <v>Pagado</v>
      </c>
      <c r="AD186" s="666" t="str">
        <f>IF(OR($A186="F&amp;F",$G186=""),"",IF(AD$8&gt;$G186,IF(OR(status1B5!AE186=1,status1B5!AE186=2,'BOULEVARD 5'!AG184&gt;0),"Pagado","impago"),""))</f>
        <v>Pagado</v>
      </c>
      <c r="AE186" s="666" t="str">
        <f>IF(OR($A186="F&amp;F",$G186=""),"",IF(AE$8&gt;$G186,IF(OR(status1B5!AF186=1,status1B5!AF186=2,'BOULEVARD 5'!AH184&gt;0),"Pagado","impago"),""))</f>
        <v>Pagado</v>
      </c>
      <c r="AF186" s="666" t="str">
        <f>IF(OR($A186="F&amp;F",$G186=""),"",IF(AF$8&gt;$G186,IF(OR(status1B5!AG186=1,status1B5!AG186=2,'BOULEVARD 5'!AI184&gt;0),"Pagado","impago"),""))</f>
        <v>Pagado</v>
      </c>
      <c r="AG186" s="666" t="str">
        <f>IF(OR($A186="F&amp;F",$G186=""),"",IF(AG$8&gt;$G186,IF(OR(status1B5!AH186=1,status1B5!AH186=2,'BOULEVARD 5'!AJ184&gt;0),"Pagado","impago"),""))</f>
        <v>Pagado</v>
      </c>
      <c r="AH186" s="666" t="str">
        <f>IF(OR($A186="F&amp;F",$G186=""),"",IF(AH$8&gt;$G186,IF(OR(status1B5!AI186=1,status1B5!AI186=2,'BOULEVARD 5'!AK184&gt;0),"Pagado","impago"),""))</f>
        <v>Pagado</v>
      </c>
      <c r="AI186" s="666" t="str">
        <f>IF(OR($A186="F&amp;F",$G186=""),"",IF(AI$8&gt;$G186,IF(OR(status1B5!AJ186=1,status1B5!AJ186=2,'BOULEVARD 5'!AL184&gt;0),"Pagado","impago"),""))</f>
        <v>Pagado</v>
      </c>
      <c r="AJ186" s="666" t="str">
        <f>IF(OR($A186="F&amp;F",$G186=""),"",IF(AJ$8&gt;$G186,IF(OR(status1B5!AK186=1,status1B5!AK186=2,'BOULEVARD 5'!AM184&gt;0),"Pagado","impago"),""))</f>
        <v>Pagado</v>
      </c>
      <c r="AK186" s="666" t="str">
        <f>IF(OR($A186="F&amp;F",$G186=""),"",IF(AK$8&gt;$G186,IF(OR(status1B5!AL186=1,status1B5!AL186=2,'BOULEVARD 5'!AN184&gt;0),"Pagado","impago"),""))</f>
        <v>Pagado</v>
      </c>
      <c r="AL186" s="666" t="str">
        <f>IF(OR($A186="F&amp;F",$G186=""),"",IF(AL$8&gt;$G186,IF(OR(status1B5!AM186=1,status1B5!AM186=2,'BOULEVARD 5'!AO184&gt;0),"Pagado","impago"),""))</f>
        <v>Pagado</v>
      </c>
      <c r="AM186" s="666" t="str">
        <f>IF(OR($A186="F&amp;F",$G186=""),"",IF(AM$8&gt;$G186,IF(OR(status1B5!AN186=1,status1B5!AN186=2,'BOULEVARD 5'!AP184&gt;0),"Pagado","impago"),""))</f>
        <v>Pagado</v>
      </c>
      <c r="AN186" s="666" t="str">
        <f>IF(OR($A186="F&amp;F",$G186=""),"",IF(AN$8&gt;$G186,IF(OR(status1B5!AO186=1,status1B5!AO186=2,'BOULEVARD 5'!AQ184&gt;0),"Pagado","impago"),""))</f>
        <v>Pagado</v>
      </c>
      <c r="AO186" s="666" t="str">
        <f>IF(OR($A186="F&amp;F",$G186=""),"",IF(AO$8&gt;$G186,IF(OR(status1B5!AP186=1,status1B5!AP186=2,'BOULEVARD 5'!AS184&gt;0),"Pagado","impago"),""))</f>
        <v>Pagado</v>
      </c>
      <c r="AP186" s="429" t="str">
        <f t="shared" si="7"/>
        <v>Vendido</v>
      </c>
    </row>
    <row r="187" spans="1:42" s="429" customFormat="1" ht="13.9" customHeight="1" x14ac:dyDescent="0.25">
      <c r="A187" s="472" t="s">
        <v>58</v>
      </c>
      <c r="B187" s="475">
        <f>'BOULEVARD 5'!B185</f>
        <v>1012</v>
      </c>
      <c r="C187" s="475" t="s">
        <v>355</v>
      </c>
      <c r="D187" s="475"/>
      <c r="E187" s="475" t="str">
        <f>IF('BOULEVARD 5'!E185="","",'BOULEVARD 5'!E185)</f>
        <v>Ronaldo</v>
      </c>
      <c r="F187" s="476" t="str">
        <f>IF('BOULEVARD 5'!F185="","",'BOULEVARD 5'!F185)</f>
        <v>Iurix, S.A</v>
      </c>
      <c r="G187" s="473">
        <f>IF('BOULEVARD 5'!G185="","",'BOULEVARD 5'!G185)</f>
        <v>45300</v>
      </c>
      <c r="H187" s="666" t="str">
        <f>IF(OR($A187="F&amp;F",$G187=""),"",IF(H$8&gt;$G187,IF(OR(status1B5!I187=1,status1B5!I187=2,'BOULEVARD 5'!K185&gt;0),"Pagado","impago"),""))</f>
        <v/>
      </c>
      <c r="I187" s="666" t="str">
        <f>IF(OR($A187="F&amp;F",$G187=""),"",IF(I$8&gt;$G187,IF(OR(status1B5!J187=1,status1B5!J187=2,'BOULEVARD 5'!L185&gt;0),"Pagado","impago"),""))</f>
        <v/>
      </c>
      <c r="J187" s="666" t="str">
        <f>IF(OR($A187="F&amp;F",$G187=""),"",IF(J$8&gt;$G187,IF(OR(status1B5!K187=1,status1B5!K187=2,'BOULEVARD 5'!M185&gt;0),"Pagado","impago"),""))</f>
        <v/>
      </c>
      <c r="K187" s="666" t="str">
        <f>IF(OR($A187="F&amp;F",$G187=""),"",IF(K$8&gt;$G187,IF(OR(status1B5!L187=1,status1B5!L187=2,'BOULEVARD 5'!N185&gt;0),"Pagado","impago"),""))</f>
        <v/>
      </c>
      <c r="L187" s="666" t="str">
        <f>IF(OR($A187="F&amp;F",$G187=""),"",IF(L$8&gt;$G187,IF(OR(status1B5!M187=1,status1B5!M187=2,'BOULEVARD 5'!O185&gt;0),"Pagado","impago"),""))</f>
        <v/>
      </c>
      <c r="M187" s="666" t="str">
        <f>IF(OR($A187="F&amp;F",$G187=""),"",IF(M$8&gt;$G187,IF(OR(status1B5!N187=1,status1B5!N187=2,'BOULEVARD 5'!P185&gt;0),"Pagado","impago"),""))</f>
        <v/>
      </c>
      <c r="N187" s="666" t="str">
        <f>IF(OR($A187="F&amp;F",$G187=""),"",IF(N$8&gt;$G187,IF(OR(status1B5!O187=1,status1B5!O187=2,'BOULEVARD 5'!Q185&gt;0),"Pagado","impago"),""))</f>
        <v/>
      </c>
      <c r="O187" s="666" t="str">
        <f>IF(OR($A187="F&amp;F",$G187=""),"",IF(O$8&gt;$G187,IF(OR(status1B5!P187=1,status1B5!P187=2,'BOULEVARD 5'!R185&gt;0),"Pagado","impago"),""))</f>
        <v/>
      </c>
      <c r="P187" s="666" t="str">
        <f>IF(OR($A187="F&amp;F",$G187=""),"",IF(P$8&gt;$G187,IF(OR(status1B5!Q187=1,status1B5!Q187=2,'BOULEVARD 5'!S185&gt;0),"Pagado","impago"),""))</f>
        <v/>
      </c>
      <c r="Q187" s="666" t="str">
        <f>IF(OR($A187="F&amp;F",$G187=""),"",IF(Q$8&gt;$G187,IF(OR(status1B5!R187=1,status1B5!R187=2,'BOULEVARD 5'!T185&gt;0),"Pagado","impago"),""))</f>
        <v/>
      </c>
      <c r="R187" s="666" t="str">
        <f>IF(OR($A187="F&amp;F",$G187=""),"",IF(R$8&gt;$G187,IF(OR(status1B5!S187=1,status1B5!S187=2,'BOULEVARD 5'!U185&gt;0),"Pagado","impago"),""))</f>
        <v/>
      </c>
      <c r="S187" s="666" t="str">
        <f>IF(OR($A187="F&amp;F",$G187=""),"",IF(S$8&gt;$G187,IF(OR(status1B5!T187=1,status1B5!T187=2,'BOULEVARD 5'!V185&gt;0),"Pagado","impago"),""))</f>
        <v/>
      </c>
      <c r="T187" s="666" t="str">
        <f>IF(OR($A187="F&amp;F",$G187=""),"",IF(T$8&gt;$G187,IF(OR(status1B5!U187=1,status1B5!U187=2,'BOULEVARD 5'!W185&gt;0),"Pagado","impago"),""))</f>
        <v/>
      </c>
      <c r="U187" s="666" t="str">
        <f>IF(OR($A187="F&amp;F",$G187=""),"",IF(U$8&gt;$G187,IF(OR(status1B5!V187=1,status1B5!V187=2,'BOULEVARD 5'!X185&gt;0),"Pagado","impago"),""))</f>
        <v/>
      </c>
      <c r="V187" s="666" t="str">
        <f>IF(OR($A187="F&amp;F",$G187=""),"",IF(V$8&gt;$G187,IF(OR(status1B5!W187=1,status1B5!W187=2,'BOULEVARD 5'!Y185&gt;0),"Pagado","impago"),""))</f>
        <v/>
      </c>
      <c r="W187" s="666" t="str">
        <f>IF(OR($A187="F&amp;F",$G187=""),"",IF(W$8&gt;$G187,IF(OR(status1B5!X187=1,status1B5!X187=2,'BOULEVARD 5'!Z185&gt;0),"Pagado","impago"),""))</f>
        <v/>
      </c>
      <c r="X187" s="666" t="str">
        <f>IF(OR($A187="F&amp;F",$G187=""),"",IF(X$8&gt;$G187,IF(OR(status1B5!Y187=1,status1B5!Y187=2,'BOULEVARD 5'!AA185&gt;0),"Pagado","impago"),""))</f>
        <v/>
      </c>
      <c r="Y187" s="666" t="str">
        <f>IF(OR($A187="F&amp;F",$G187=""),"",IF(Y$8&gt;$G187,IF(OR(status1B5!Z187=1,status1B5!Z187=2,'BOULEVARD 5'!AB185&gt;0),"Pagado","impago"),""))</f>
        <v/>
      </c>
      <c r="Z187" s="666" t="str">
        <f>IF(OR($A187="F&amp;F",$G187=""),"",IF(Z$8&gt;$G187,IF(OR(status1B5!AA187=1,status1B5!AA187=2,'BOULEVARD 5'!AC185&gt;0),"Pagado","impago"),""))</f>
        <v/>
      </c>
      <c r="AA187" s="666" t="str">
        <f>IF(OR($A187="F&amp;F",$G187=""),"",IF(AA$8&gt;$G187,IF(OR(status1B5!AB187=1,status1B5!AB187=2,'BOULEVARD 5'!AD185&gt;0),"Pagado","impago"),""))</f>
        <v/>
      </c>
      <c r="AB187" s="666" t="str">
        <f>IF(OR($A187="F&amp;F",$G187=""),"",IF(AB$8&gt;$G187,IF(OR(status1B5!AC187=1,status1B5!AC187=2,'BOULEVARD 5'!AE185&gt;0),"Pagado","impago"),""))</f>
        <v/>
      </c>
      <c r="AC187" s="666" t="str">
        <f>IF(OR($A187="F&amp;F",$G187=""),"",IF(AC$8&gt;$G187,IF(OR(status1B5!AD187=1,status1B5!AD187=2,'BOULEVARD 5'!AF185&gt;0),"Pagado","impago"),""))</f>
        <v/>
      </c>
      <c r="AD187" s="666" t="str">
        <f>IF(OR($A187="F&amp;F",$G187=""),"",IF(AD$8&gt;$G187,IF(OR(status1B5!AE187=1,status1B5!AE187=2,'BOULEVARD 5'!AG185&gt;0),"Pagado","impago"),""))</f>
        <v/>
      </c>
      <c r="AE187" s="666" t="str">
        <f>IF(OR($A187="F&amp;F",$G187=""),"",IF(AE$8&gt;$G187,IF(OR(status1B5!AF187=1,status1B5!AF187=2,'BOULEVARD 5'!AH185&gt;0),"Pagado","impago"),""))</f>
        <v/>
      </c>
      <c r="AF187" s="666" t="str">
        <f>IF(OR($A187="F&amp;F",$G187=""),"",IF(AF$8&gt;$G187,IF(OR(status1B5!AG187=1,status1B5!AG187=2,'BOULEVARD 5'!AI185&gt;0),"Pagado","impago"),""))</f>
        <v/>
      </c>
      <c r="AG187" s="666" t="str">
        <f>IF(OR($A187="F&amp;F",$G187=""),"",IF(AG$8&gt;$G187,IF(OR(status1B5!AH187=1,status1B5!AH187=2,'BOULEVARD 5'!AJ185&gt;0),"Pagado","impago"),""))</f>
        <v/>
      </c>
      <c r="AH187" s="666" t="str">
        <f>IF(OR($A187="F&amp;F",$G187=""),"",IF(AH$8&gt;$G187,IF(OR(status1B5!AI187=1,status1B5!AI187=2,'BOULEVARD 5'!AK185&gt;0),"Pagado","impago"),""))</f>
        <v/>
      </c>
      <c r="AI187" s="666" t="str">
        <f>IF(OR($A187="F&amp;F",$G187=""),"",IF(AI$8&gt;$G187,IF(OR(status1B5!AJ187=1,status1B5!AJ187=2,'BOULEVARD 5'!AL185&gt;0),"Pagado","impago"),""))</f>
        <v/>
      </c>
      <c r="AJ187" s="666" t="str">
        <f>IF(OR($A187="F&amp;F",$G187=""),"",IF(AJ$8&gt;$G187,IF(OR(status1B5!AK187=1,status1B5!AK187=2,'BOULEVARD 5'!AM185&gt;0),"Pagado","impago"),""))</f>
        <v/>
      </c>
      <c r="AK187" s="666" t="str">
        <f>IF(OR($A187="F&amp;F",$G187=""),"",IF(AK$8&gt;$G187,IF(OR(status1B5!AL187=1,status1B5!AL187=2,'BOULEVARD 5'!AN185&gt;0),"Pagado","impago"),""))</f>
        <v/>
      </c>
      <c r="AL187" s="666" t="str">
        <f>IF(OR($A187="F&amp;F",$G187=""),"",IF(AL$8&gt;$G187,IF(OR(status1B5!AM187=1,status1B5!AM187=2,'BOULEVARD 5'!AO185&gt;0),"Pagado","impago"),""))</f>
        <v/>
      </c>
      <c r="AM187" s="666" t="str">
        <f>IF(OR($A187="F&amp;F",$G187=""),"",IF(AM$8&gt;$G187,IF(OR(status1B5!AN187=1,status1B5!AN187=2,'BOULEVARD 5'!AP185&gt;0),"Pagado","impago"),""))</f>
        <v/>
      </c>
      <c r="AN187" s="666" t="str">
        <f>IF(OR($A187="F&amp;F",$G187=""),"",IF(AN$8&gt;$G187,IF(OR(status1B5!AO187=1,status1B5!AO187=2,'BOULEVARD 5'!AQ185&gt;0),"Pagado","impago"),""))</f>
        <v/>
      </c>
      <c r="AO187" s="666" t="str">
        <f>IF(OR($A187="F&amp;F",$G187=""),"",IF(AO$8&gt;$G187,IF(OR(status1B5!AP187=1,status1B5!AP187=2,'BOULEVARD 5'!AS185&gt;0),"Pagado","impago"),""))</f>
        <v/>
      </c>
      <c r="AP187" s="429" t="str">
        <f t="shared" si="7"/>
        <v>Vendido</v>
      </c>
    </row>
    <row r="188" spans="1:42" s="429" customFormat="1" ht="13.9" customHeight="1" x14ac:dyDescent="0.25">
      <c r="A188" s="472"/>
      <c r="B188" s="436">
        <f>'BOULEVARD 5'!B186</f>
        <v>1013</v>
      </c>
      <c r="C188" s="436" t="s">
        <v>355</v>
      </c>
      <c r="D188" s="436"/>
      <c r="E188" s="436" t="str">
        <f>IF('BOULEVARD 5'!E186="","",'BOULEVARD 5'!E186)</f>
        <v>Brenda Búcaro</v>
      </c>
      <c r="F188" s="429" t="str">
        <f>IF('BOULEVARD 5'!F186="","",'BOULEVARD 5'!F186)</f>
        <v>Byron Nehemías Ortega Ruiz</v>
      </c>
      <c r="G188" s="473">
        <f>IF('BOULEVARD 5'!G186="","",'BOULEVARD 5'!G186)</f>
        <v>45181</v>
      </c>
      <c r="H188" s="666" t="str">
        <f>IF(OR($A188="F&amp;F",$G188=""),"",IF(H$8&gt;$G188,IF(OR(status1B5!I188=1,status1B5!I188=2,'BOULEVARD 5'!K186&gt;0),"Pagado","impago"),""))</f>
        <v/>
      </c>
      <c r="I188" s="666" t="str">
        <f>IF(OR($A188="F&amp;F",$G188=""),"",IF(I$8&gt;$G188,IF(OR(status1B5!J188=1,status1B5!J188=2,'BOULEVARD 5'!L186&gt;0),"Pagado","impago"),""))</f>
        <v/>
      </c>
      <c r="J188" s="666" t="str">
        <f>IF(OR($A188="F&amp;F",$G188=""),"",IF(J$8&gt;$G188,IF(OR(status1B5!K188=1,status1B5!K188=2,'BOULEVARD 5'!M186&gt;0),"Pagado","impago"),""))</f>
        <v/>
      </c>
      <c r="K188" s="666" t="str">
        <f>IF(OR($A188="F&amp;F",$G188=""),"",IF(K$8&gt;$G188,IF(OR(status1B5!L188=1,status1B5!L188=2,'BOULEVARD 5'!N186&gt;0),"Pagado","impago"),""))</f>
        <v/>
      </c>
      <c r="L188" s="666" t="str">
        <f>IF(OR($A188="F&amp;F",$G188=""),"",IF(L$8&gt;$G188,IF(OR(status1B5!M188=1,status1B5!M188=2,'BOULEVARD 5'!O186&gt;0),"Pagado","impago"),""))</f>
        <v/>
      </c>
      <c r="M188" s="666" t="str">
        <f>IF(OR($A188="F&amp;F",$G188=""),"",IF(M$8&gt;$G188,IF(OR(status1B5!N188=1,status1B5!N188=2,'BOULEVARD 5'!P186&gt;0),"Pagado","impago"),""))</f>
        <v/>
      </c>
      <c r="N188" s="666" t="str">
        <f>IF(OR($A188="F&amp;F",$G188=""),"",IF(N$8&gt;$G188,IF(OR(status1B5!O188=1,status1B5!O188=2,'BOULEVARD 5'!Q186&gt;0),"Pagado","impago"),""))</f>
        <v>Pagado</v>
      </c>
      <c r="O188" s="666" t="str">
        <f>IF(OR($A188="F&amp;F",$G188=""),"",IF(O$8&gt;$G188,IF(OR(status1B5!P188=1,status1B5!P188=2,'BOULEVARD 5'!R186&gt;0),"Pagado","impago"),""))</f>
        <v>Pagado</v>
      </c>
      <c r="P188" s="666" t="str">
        <f>IF(OR($A188="F&amp;F",$G188=""),"",IF(P$8&gt;$G188,IF(OR(status1B5!Q188=1,status1B5!Q188=2,'BOULEVARD 5'!S186&gt;0),"Pagado","impago"),""))</f>
        <v>Pagado</v>
      </c>
      <c r="Q188" s="666" t="str">
        <f>IF(OR($A188="F&amp;F",$G188=""),"",IF(Q$8&gt;$G188,IF(OR(status1B5!R188=1,status1B5!R188=2,'BOULEVARD 5'!T186&gt;0),"Pagado","impago"),""))</f>
        <v>Pagado</v>
      </c>
      <c r="R188" s="666" t="str">
        <f>IF(OR($A188="F&amp;F",$G188=""),"",IF(R$8&gt;$G188,IF(OR(status1B5!S188=1,status1B5!S188=2,'BOULEVARD 5'!U186&gt;0),"Pagado","impago"),""))</f>
        <v>Pagado</v>
      </c>
      <c r="S188" s="666" t="str">
        <f>IF(OR($A188="F&amp;F",$G188=""),"",IF(S$8&gt;$G188,IF(OR(status1B5!T188=1,status1B5!T188=2,'BOULEVARD 5'!V186&gt;0),"Pagado","impago"),""))</f>
        <v>Pagado</v>
      </c>
      <c r="T188" s="666" t="str">
        <f>IF(OR($A188="F&amp;F",$G188=""),"",IF(T$8&gt;$G188,IF(OR(status1B5!U188=1,status1B5!U188=2,'BOULEVARD 5'!W186&gt;0),"Pagado","impago"),""))</f>
        <v>Pagado</v>
      </c>
      <c r="U188" s="666" t="str">
        <f>IF(OR($A188="F&amp;F",$G188=""),"",IF(U$8&gt;$G188,IF(OR(status1B5!V188=1,status1B5!V188=2,'BOULEVARD 5'!X186&gt;0),"Pagado","impago"),""))</f>
        <v>Pagado</v>
      </c>
      <c r="V188" s="666" t="str">
        <f>IF(OR($A188="F&amp;F",$G188=""),"",IF(V$8&gt;$G188,IF(OR(status1B5!W188=1,status1B5!W188=2,'BOULEVARD 5'!Y186&gt;0),"Pagado","impago"),""))</f>
        <v>Pagado</v>
      </c>
      <c r="W188" s="666" t="str">
        <f>IF(OR($A188="F&amp;F",$G188=""),"",IF(W$8&gt;$G188,IF(OR(status1B5!X188=1,status1B5!X188=2,'BOULEVARD 5'!Z186&gt;0),"Pagado","impago"),""))</f>
        <v>Pagado</v>
      </c>
      <c r="X188" s="666" t="str">
        <f>IF(OR($A188="F&amp;F",$G188=""),"",IF(X$8&gt;$G188,IF(OR(status1B5!Y188=1,status1B5!Y188=2,'BOULEVARD 5'!AA186&gt;0),"Pagado","impago"),""))</f>
        <v>Pagado</v>
      </c>
      <c r="Y188" s="666" t="str">
        <f>IF(OR($A188="F&amp;F",$G188=""),"",IF(Y$8&gt;$G188,IF(OR(status1B5!Z188=1,status1B5!Z188=2,'BOULEVARD 5'!AB186&gt;0),"Pagado","impago"),""))</f>
        <v>Pagado</v>
      </c>
      <c r="Z188" s="666" t="str">
        <f>IF(OR($A188="F&amp;F",$G188=""),"",IF(Z$8&gt;$G188,IF(OR(status1B5!AA188=1,status1B5!AA188=2,'BOULEVARD 5'!AC186&gt;0),"Pagado","impago"),""))</f>
        <v>Pagado</v>
      </c>
      <c r="AA188" s="666" t="str">
        <f>IF(OR($A188="F&amp;F",$G188=""),"",IF(AA$8&gt;$G188,IF(OR(status1B5!AB188=1,status1B5!AB188=2,'BOULEVARD 5'!AD186&gt;0),"Pagado","impago"),""))</f>
        <v>Pagado</v>
      </c>
      <c r="AB188" s="666" t="str">
        <f>IF(OR($A188="F&amp;F",$G188=""),"",IF(AB$8&gt;$G188,IF(OR(status1B5!AC188=1,status1B5!AC188=2,'BOULEVARD 5'!AE186&gt;0),"Pagado","impago"),""))</f>
        <v>Pagado</v>
      </c>
      <c r="AC188" s="666" t="str">
        <f>IF(OR($A188="F&amp;F",$G188=""),"",IF(AC$8&gt;$G188,IF(OR(status1B5!AD188=1,status1B5!AD188=2,'BOULEVARD 5'!AF186&gt;0),"Pagado","impago"),""))</f>
        <v>Pagado</v>
      </c>
      <c r="AD188" s="666" t="str">
        <f>IF(OR($A188="F&amp;F",$G188=""),"",IF(AD$8&gt;$G188,IF(OR(status1B5!AE188=1,status1B5!AE188=2,'BOULEVARD 5'!AG186&gt;0),"Pagado","impago"),""))</f>
        <v>Pagado</v>
      </c>
      <c r="AE188" s="666" t="str">
        <f>IF(OR($A188="F&amp;F",$G188=""),"",IF(AE$8&gt;$G188,IF(OR(status1B5!AF188=1,status1B5!AF188=2,'BOULEVARD 5'!AH186&gt;0),"Pagado","impago"),""))</f>
        <v>Pagado</v>
      </c>
      <c r="AF188" s="666" t="str">
        <f>IF(OR($A188="F&amp;F",$G188=""),"",IF(AF$8&gt;$G188,IF(OR(status1B5!AG188=1,status1B5!AG188=2,'BOULEVARD 5'!AI186&gt;0),"Pagado","impago"),""))</f>
        <v>Pagado</v>
      </c>
      <c r="AG188" s="666" t="str">
        <f>IF(OR($A188="F&amp;F",$G188=""),"",IF(AG$8&gt;$G188,IF(OR(status1B5!AH188=1,status1B5!AH188=2,'BOULEVARD 5'!AJ186&gt;0),"Pagado","impago"),""))</f>
        <v>Pagado</v>
      </c>
      <c r="AH188" s="666" t="str">
        <f>IF(OR($A188="F&amp;F",$G188=""),"",IF(AH$8&gt;$G188,IF(OR(status1B5!AI188=1,status1B5!AI188=2,'BOULEVARD 5'!AK186&gt;0),"Pagado","impago"),""))</f>
        <v>Pagado</v>
      </c>
      <c r="AI188" s="666" t="str">
        <f>IF(OR($A188="F&amp;F",$G188=""),"",IF(AI$8&gt;$G188,IF(OR(status1B5!AJ188=1,status1B5!AJ188=2,'BOULEVARD 5'!AL186&gt;0),"Pagado","impago"),""))</f>
        <v>Pagado</v>
      </c>
      <c r="AJ188" s="666" t="str">
        <f>IF(OR($A188="F&amp;F",$G188=""),"",IF(AJ$8&gt;$G188,IF(OR(status1B5!AK188=1,status1B5!AK188=2,'BOULEVARD 5'!AM186&gt;0),"Pagado","impago"),""))</f>
        <v>Pagado</v>
      </c>
      <c r="AK188" s="666" t="str">
        <f>IF(OR($A188="F&amp;F",$G188=""),"",IF(AK$8&gt;$G188,IF(OR(status1B5!AL188=1,status1B5!AL188=2,'BOULEVARD 5'!AN186&gt;0),"Pagado","impago"),""))</f>
        <v>Pagado</v>
      </c>
      <c r="AL188" s="666" t="str">
        <f>IF(OR($A188="F&amp;F",$G188=""),"",IF(AL$8&gt;$G188,IF(OR(status1B5!AM188=1,status1B5!AM188=2,'BOULEVARD 5'!AO186&gt;0),"Pagado","impago"),""))</f>
        <v>Pagado</v>
      </c>
      <c r="AM188" s="666" t="str">
        <f>IF(OR($A188="F&amp;F",$G188=""),"",IF(AM$8&gt;$G188,IF(OR(status1B5!AN188=1,status1B5!AN188=2,'BOULEVARD 5'!AP186&gt;0),"Pagado","impago"),""))</f>
        <v>Pagado</v>
      </c>
      <c r="AN188" s="666" t="str">
        <f>IF(OR($A188="F&amp;F",$G188=""),"",IF(AN$8&gt;$G188,IF(OR(status1B5!AO188=1,status1B5!AO188=2,'BOULEVARD 5'!AQ186&gt;0),"Pagado","impago"),""))</f>
        <v>Pagado</v>
      </c>
      <c r="AO188" s="666" t="str">
        <f>IF(OR($A188="F&amp;F",$G188=""),"",IF(AO$8&gt;$G188,IF(OR(status1B5!AP188=1,status1B5!AP188=2,'BOULEVARD 5'!AS186&gt;0),"Pagado","impago"),""))</f>
        <v>Pagado</v>
      </c>
      <c r="AP188" s="429" t="str">
        <f t="shared" si="7"/>
        <v>Vendido</v>
      </c>
    </row>
    <row r="189" spans="1:42" s="429" customFormat="1" ht="13.9" customHeight="1" x14ac:dyDescent="0.25">
      <c r="A189" s="472"/>
      <c r="B189" s="436">
        <f>'BOULEVARD 5'!B187</f>
        <v>1014</v>
      </c>
      <c r="C189" s="436" t="s">
        <v>355</v>
      </c>
      <c r="D189" s="436"/>
      <c r="E189" s="436" t="str">
        <f>IF('BOULEVARD 5'!E187="","",'BOULEVARD 5'!E187)</f>
        <v>Antonio Rada</v>
      </c>
      <c r="F189" s="429" t="str">
        <f>IF('BOULEVARD 5'!F187="","",'BOULEVARD 5'!F187)</f>
        <v>Jorge Antonio Reyes Ochoa</v>
      </c>
      <c r="G189" s="473">
        <f>IF('BOULEVARD 5'!G187="","",'BOULEVARD 5'!G187)</f>
        <v>45088</v>
      </c>
      <c r="H189" s="666" t="str">
        <f>IF(OR($A189="F&amp;F",$G189=""),"",IF(H$8&gt;$G189,IF(OR(status1B5!I189=1,status1B5!I189=2,'BOULEVARD 5'!K187&gt;0),"Pagado","impago"),""))</f>
        <v/>
      </c>
      <c r="I189" s="666" t="str">
        <f>IF(OR($A189="F&amp;F",$G189=""),"",IF(I$8&gt;$G189,IF(OR(status1B5!J189=1,status1B5!J189=2,'BOULEVARD 5'!L187&gt;0),"Pagado","impago"),""))</f>
        <v/>
      </c>
      <c r="J189" s="666" t="str">
        <f>IF(OR($A189="F&amp;F",$G189=""),"",IF(J$8&gt;$G189,IF(OR(status1B5!K189=1,status1B5!K189=2,'BOULEVARD 5'!M187&gt;0),"Pagado","impago"),""))</f>
        <v/>
      </c>
      <c r="K189" s="666" t="str">
        <f>IF(OR($A189="F&amp;F",$G189=""),"",IF(K$8&gt;$G189,IF(OR(status1B5!L189=1,status1B5!L189=2,'BOULEVARD 5'!N187&gt;0),"Pagado","impago"),""))</f>
        <v>Pagado</v>
      </c>
      <c r="L189" s="666" t="str">
        <f>IF(OR($A189="F&amp;F",$G189=""),"",IF(L$8&gt;$G189,IF(OR(status1B5!M189=1,status1B5!M189=2,'BOULEVARD 5'!O187&gt;0),"Pagado","impago"),""))</f>
        <v>Pagado</v>
      </c>
      <c r="M189" s="666" t="str">
        <f>IF(OR($A189="F&amp;F",$G189=""),"",IF(M$8&gt;$G189,IF(OR(status1B5!N189=1,status1B5!N189=2,'BOULEVARD 5'!P187&gt;0),"Pagado","impago"),""))</f>
        <v>Pagado</v>
      </c>
      <c r="N189" s="666" t="str">
        <f>IF(OR($A189="F&amp;F",$G189=""),"",IF(N$8&gt;$G189,IF(OR(status1B5!O189=1,status1B5!O189=2,'BOULEVARD 5'!Q187&gt;0),"Pagado","impago"),""))</f>
        <v>Pagado</v>
      </c>
      <c r="O189" s="666" t="str">
        <f>IF(OR($A189="F&amp;F",$G189=""),"",IF(O$8&gt;$G189,IF(OR(status1B5!P189=1,status1B5!P189=2,'BOULEVARD 5'!R187&gt;0),"Pagado","impago"),""))</f>
        <v>Pagado</v>
      </c>
      <c r="P189" s="666" t="str">
        <f>IF(OR($A189="F&amp;F",$G189=""),"",IF(P$8&gt;$G189,IF(OR(status1B5!Q189=1,status1B5!Q189=2,'BOULEVARD 5'!S187&gt;0),"Pagado","impago"),""))</f>
        <v>Pagado</v>
      </c>
      <c r="Q189" s="666" t="str">
        <f>IF(OR($A189="F&amp;F",$G189=""),"",IF(Q$8&gt;$G189,IF(OR(status1B5!R189=1,status1B5!R189=2,'BOULEVARD 5'!T187&gt;0),"Pagado","impago"),""))</f>
        <v>Pagado</v>
      </c>
      <c r="R189" s="666" t="str">
        <f>IF(OR($A189="F&amp;F",$G189=""),"",IF(R$8&gt;$G189,IF(OR(status1B5!S189=1,status1B5!S189=2,'BOULEVARD 5'!U187&gt;0),"Pagado","impago"),""))</f>
        <v>Pagado</v>
      </c>
      <c r="S189" s="666" t="str">
        <f>IF(OR($A189="F&amp;F",$G189=""),"",IF(S$8&gt;$G189,IF(OR(status1B5!T189=1,status1B5!T189=2,'BOULEVARD 5'!V187&gt;0),"Pagado","impago"),""))</f>
        <v>Pagado</v>
      </c>
      <c r="T189" s="666" t="str">
        <f>IF(OR($A189="F&amp;F",$G189=""),"",IF(T$8&gt;$G189,IF(OR(status1B5!U189=1,status1B5!U189=2,'BOULEVARD 5'!W187&gt;0),"Pagado","impago"),""))</f>
        <v>Pagado</v>
      </c>
      <c r="U189" s="666" t="str">
        <f>IF(OR($A189="F&amp;F",$G189=""),"",IF(U$8&gt;$G189,IF(OR(status1B5!V189=1,status1B5!V189=2,'BOULEVARD 5'!X187&gt;0),"Pagado","impago"),""))</f>
        <v>Pagado</v>
      </c>
      <c r="V189" s="666" t="str">
        <f>IF(OR($A189="F&amp;F",$G189=""),"",IF(V$8&gt;$G189,IF(OR(status1B5!W189=1,status1B5!W189=2,'BOULEVARD 5'!Y187&gt;0),"Pagado","impago"),""))</f>
        <v>Pagado</v>
      </c>
      <c r="W189" s="666" t="str">
        <f>IF(OR($A189="F&amp;F",$G189=""),"",IF(W$8&gt;$G189,IF(OR(status1B5!X189=1,status1B5!X189=2,'BOULEVARD 5'!Z187&gt;0),"Pagado","impago"),""))</f>
        <v>Pagado</v>
      </c>
      <c r="X189" s="666" t="str">
        <f>IF(OR($A189="F&amp;F",$G189=""),"",IF(X$8&gt;$G189,IF(OR(status1B5!Y189=1,status1B5!Y189=2,'BOULEVARD 5'!AA187&gt;0),"Pagado","impago"),""))</f>
        <v>Pagado</v>
      </c>
      <c r="Y189" s="666" t="str">
        <f>IF(OR($A189="F&amp;F",$G189=""),"",IF(Y$8&gt;$G189,IF(OR(status1B5!Z189=1,status1B5!Z189=2,'BOULEVARD 5'!AB187&gt;0),"Pagado","impago"),""))</f>
        <v>Pagado</v>
      </c>
      <c r="Z189" s="666" t="str">
        <f>IF(OR($A189="F&amp;F",$G189=""),"",IF(Z$8&gt;$G189,IF(OR(status1B5!AA189=1,status1B5!AA189=2,'BOULEVARD 5'!AC187&gt;0),"Pagado","impago"),""))</f>
        <v>Pagado</v>
      </c>
      <c r="AA189" s="666" t="str">
        <f>IF(OR($A189="F&amp;F",$G189=""),"",IF(AA$8&gt;$G189,IF(OR(status1B5!AB189=1,status1B5!AB189=2,'BOULEVARD 5'!AD187&gt;0),"Pagado","impago"),""))</f>
        <v>Pagado</v>
      </c>
      <c r="AB189" s="666" t="str">
        <f>IF(OR($A189="F&amp;F",$G189=""),"",IF(AB$8&gt;$G189,IF(OR(status1B5!AC189=1,status1B5!AC189=2,'BOULEVARD 5'!AE187&gt;0),"Pagado","impago"),""))</f>
        <v>Pagado</v>
      </c>
      <c r="AC189" s="666" t="str">
        <f>IF(OR($A189="F&amp;F",$G189=""),"",IF(AC$8&gt;$G189,IF(OR(status1B5!AD189=1,status1B5!AD189=2,'BOULEVARD 5'!AF187&gt;0),"Pagado","impago"),""))</f>
        <v>Pagado</v>
      </c>
      <c r="AD189" s="666" t="str">
        <f>IF(OR($A189="F&amp;F",$G189=""),"",IF(AD$8&gt;$G189,IF(OR(status1B5!AE189=1,status1B5!AE189=2,'BOULEVARD 5'!AG187&gt;0),"Pagado","impago"),""))</f>
        <v>Pagado</v>
      </c>
      <c r="AE189" s="666" t="str">
        <f>IF(OR($A189="F&amp;F",$G189=""),"",IF(AE$8&gt;$G189,IF(OR(status1B5!AF189=1,status1B5!AF189=2,'BOULEVARD 5'!AH187&gt;0),"Pagado","impago"),""))</f>
        <v>Pagado</v>
      </c>
      <c r="AF189" s="666" t="str">
        <f>IF(OR($A189="F&amp;F",$G189=""),"",IF(AF$8&gt;$G189,IF(OR(status1B5!AG189=1,status1B5!AG189=2,'BOULEVARD 5'!AI187&gt;0),"Pagado","impago"),""))</f>
        <v>Pagado</v>
      </c>
      <c r="AG189" s="666" t="str">
        <f>IF(OR($A189="F&amp;F",$G189=""),"",IF(AG$8&gt;$G189,IF(OR(status1B5!AH189=1,status1B5!AH189=2,'BOULEVARD 5'!AJ187&gt;0),"Pagado","impago"),""))</f>
        <v>Pagado</v>
      </c>
      <c r="AH189" s="666" t="str">
        <f>IF(OR($A189="F&amp;F",$G189=""),"",IF(AH$8&gt;$G189,IF(OR(status1B5!AI189=1,status1B5!AI189=2,'BOULEVARD 5'!AK187&gt;0),"Pagado","impago"),""))</f>
        <v>Pagado</v>
      </c>
      <c r="AI189" s="666" t="str">
        <f>IF(OR($A189="F&amp;F",$G189=""),"",IF(AI$8&gt;$G189,IF(OR(status1B5!AJ189=1,status1B5!AJ189=2,'BOULEVARD 5'!AL187&gt;0),"Pagado","impago"),""))</f>
        <v>Pagado</v>
      </c>
      <c r="AJ189" s="666" t="str">
        <f>IF(OR($A189="F&amp;F",$G189=""),"",IF(AJ$8&gt;$G189,IF(OR(status1B5!AK189=1,status1B5!AK189=2,'BOULEVARD 5'!AM187&gt;0),"Pagado","impago"),""))</f>
        <v>Pagado</v>
      </c>
      <c r="AK189" s="666" t="str">
        <f>IF(OR($A189="F&amp;F",$G189=""),"",IF(AK$8&gt;$G189,IF(OR(status1B5!AL189=1,status1B5!AL189=2,'BOULEVARD 5'!AN187&gt;0),"Pagado","impago"),""))</f>
        <v>Pagado</v>
      </c>
      <c r="AL189" s="666" t="str">
        <f>IF(OR($A189="F&amp;F",$G189=""),"",IF(AL$8&gt;$G189,IF(OR(status1B5!AM189=1,status1B5!AM189=2,'BOULEVARD 5'!AO187&gt;0),"Pagado","impago"),""))</f>
        <v>Pagado</v>
      </c>
      <c r="AM189" s="666" t="str">
        <f>IF(OR($A189="F&amp;F",$G189=""),"",IF(AM$8&gt;$G189,IF(OR(status1B5!AN189=1,status1B5!AN189=2,'BOULEVARD 5'!AP187&gt;0),"Pagado","impago"),""))</f>
        <v>Pagado</v>
      </c>
      <c r="AN189" s="666" t="str">
        <f>IF(OR($A189="F&amp;F",$G189=""),"",IF(AN$8&gt;$G189,IF(OR(status1B5!AO189=1,status1B5!AO189=2,'BOULEVARD 5'!AQ187&gt;0),"Pagado","impago"),""))</f>
        <v>Pagado</v>
      </c>
      <c r="AO189" s="666" t="str">
        <f>IF(OR($A189="F&amp;F",$G189=""),"",IF(AO$8&gt;$G189,IF(OR(status1B5!AP189=1,status1B5!AP189=2,'BOULEVARD 5'!AS187&gt;0),"Pagado","impago"),""))</f>
        <v>Pagado</v>
      </c>
      <c r="AP189" s="429" t="str">
        <f t="shared" si="7"/>
        <v>Vendido</v>
      </c>
    </row>
    <row r="190" spans="1:42" s="429" customFormat="1" ht="13.9" customHeight="1" x14ac:dyDescent="0.25">
      <c r="A190" s="472"/>
      <c r="B190" s="436">
        <f>'BOULEVARD 5'!B188</f>
        <v>1015</v>
      </c>
      <c r="C190" s="436" t="s">
        <v>355</v>
      </c>
      <c r="D190" s="436"/>
      <c r="E190" s="436" t="str">
        <f>IF('BOULEVARD 5'!E188="","",'BOULEVARD 5'!E188)</f>
        <v>Antonio Rada</v>
      </c>
      <c r="F190" s="429" t="str">
        <f>IF('BOULEVARD 5'!F188="","",'BOULEVARD 5'!F188)</f>
        <v>Pedro Luis Artero Bran</v>
      </c>
      <c r="G190" s="473">
        <f>IF('BOULEVARD 5'!G188="","",'BOULEVARD 5'!G188)</f>
        <v>45035</v>
      </c>
      <c r="H190" s="666" t="str">
        <f>IF(OR($A190="F&amp;F",$G190=""),"",IF(H$8&gt;$G190,IF(OR(status1B5!I190=1,status1B5!I190=2,'BOULEVARD 5'!K188&gt;0),"Pagado","impago"),""))</f>
        <v/>
      </c>
      <c r="I190" s="666" t="str">
        <f>IF(OR($A190="F&amp;F",$G190=""),"",IF(I$8&gt;$G190,IF(OR(status1B5!J190=1,status1B5!J190=2,'BOULEVARD 5'!L188&gt;0),"Pagado","impago"),""))</f>
        <v>Pagado</v>
      </c>
      <c r="J190" s="666" t="str">
        <f>IF(OR($A190="F&amp;F",$G190=""),"",IF(J$8&gt;$G190,IF(OR(status1B5!K190=1,status1B5!K190=2,'BOULEVARD 5'!M188&gt;0),"Pagado","impago"),""))</f>
        <v>Pagado</v>
      </c>
      <c r="K190" s="666" t="str">
        <f>IF(OR($A190="F&amp;F",$G190=""),"",IF(K$8&gt;$G190,IF(OR(status1B5!L190=1,status1B5!L190=2,'BOULEVARD 5'!N188&gt;0),"Pagado","impago"),""))</f>
        <v>Pagado</v>
      </c>
      <c r="L190" s="666" t="str">
        <f>IF(OR($A190="F&amp;F",$G190=""),"",IF(L$8&gt;$G190,IF(OR(status1B5!M190=1,status1B5!M190=2,'BOULEVARD 5'!O188&gt;0),"Pagado","impago"),""))</f>
        <v>Pagado</v>
      </c>
      <c r="M190" s="666" t="str">
        <f>IF(OR($A190="F&amp;F",$G190=""),"",IF(M$8&gt;$G190,IF(OR(status1B5!N190=1,status1B5!N190=2,'BOULEVARD 5'!P188&gt;0),"Pagado","impago"),""))</f>
        <v>Pagado</v>
      </c>
      <c r="N190" s="666" t="str">
        <f>IF(OR($A190="F&amp;F",$G190=""),"",IF(N$8&gt;$G190,IF(OR(status1B5!O190=1,status1B5!O190=2,'BOULEVARD 5'!Q188&gt;0),"Pagado","impago"),""))</f>
        <v>Pagado</v>
      </c>
      <c r="O190" s="666" t="str">
        <f>IF(OR($A190="F&amp;F",$G190=""),"",IF(O$8&gt;$G190,IF(OR(status1B5!P190=1,status1B5!P190=2,'BOULEVARD 5'!R188&gt;0),"Pagado","impago"),""))</f>
        <v>Pagado</v>
      </c>
      <c r="P190" s="666" t="str">
        <f>IF(OR($A190="F&amp;F",$G190=""),"",IF(P$8&gt;$G190,IF(OR(status1B5!Q190=1,status1B5!Q190=2,'BOULEVARD 5'!S188&gt;0),"Pagado","impago"),""))</f>
        <v>Pagado</v>
      </c>
      <c r="Q190" s="666" t="str">
        <f>IF(OR($A190="F&amp;F",$G190=""),"",IF(Q$8&gt;$G190,IF(OR(status1B5!R190=1,status1B5!R190=2,'BOULEVARD 5'!T188&gt;0),"Pagado","impago"),""))</f>
        <v>Pagado</v>
      </c>
      <c r="R190" s="666" t="str">
        <f>IF(OR($A190="F&amp;F",$G190=""),"",IF(R$8&gt;$G190,IF(OR(status1B5!S190=1,status1B5!S190=2,'BOULEVARD 5'!U188&gt;0),"Pagado","impago"),""))</f>
        <v>Pagado</v>
      </c>
      <c r="S190" s="666" t="str">
        <f>IF(OR($A190="F&amp;F",$G190=""),"",IF(S$8&gt;$G190,IF(OR(status1B5!T190=1,status1B5!T190=2,'BOULEVARD 5'!V188&gt;0),"Pagado","impago"),""))</f>
        <v>Pagado</v>
      </c>
      <c r="T190" s="666" t="str">
        <f>IF(OR($A190="F&amp;F",$G190=""),"",IF(T$8&gt;$G190,IF(OR(status1B5!U190=1,status1B5!U190=2,'BOULEVARD 5'!W188&gt;0),"Pagado","impago"),""))</f>
        <v>Pagado</v>
      </c>
      <c r="U190" s="666" t="str">
        <f>IF(OR($A190="F&amp;F",$G190=""),"",IF(U$8&gt;$G190,IF(OR(status1B5!V190=1,status1B5!V190=2,'BOULEVARD 5'!X188&gt;0),"Pagado","impago"),""))</f>
        <v>Pagado</v>
      </c>
      <c r="V190" s="666" t="str">
        <f>IF(OR($A190="F&amp;F",$G190=""),"",IF(V$8&gt;$G190,IF(OR(status1B5!W190=1,status1B5!W190=2,'BOULEVARD 5'!Y188&gt;0),"Pagado","impago"),""))</f>
        <v>Pagado</v>
      </c>
      <c r="W190" s="666" t="str">
        <f>IF(OR($A190="F&amp;F",$G190=""),"",IF(W$8&gt;$G190,IF(OR(status1B5!X190=1,status1B5!X190=2,'BOULEVARD 5'!Z188&gt;0),"Pagado","impago"),""))</f>
        <v>Pagado</v>
      </c>
      <c r="X190" s="666" t="str">
        <f>IF(OR($A190="F&amp;F",$G190=""),"",IF(X$8&gt;$G190,IF(OR(status1B5!Y190=1,status1B5!Y190=2,'BOULEVARD 5'!AA188&gt;0),"Pagado","impago"),""))</f>
        <v>Pagado</v>
      </c>
      <c r="Y190" s="666" t="str">
        <f>IF(OR($A190="F&amp;F",$G190=""),"",IF(Y$8&gt;$G190,IF(OR(status1B5!Z190=1,status1B5!Z190=2,'BOULEVARD 5'!AB188&gt;0),"Pagado","impago"),""))</f>
        <v>Pagado</v>
      </c>
      <c r="Z190" s="666" t="str">
        <f>IF(OR($A190="F&amp;F",$G190=""),"",IF(Z$8&gt;$G190,IF(OR(status1B5!AA190=1,status1B5!AA190=2,'BOULEVARD 5'!AC188&gt;0),"Pagado","impago"),""))</f>
        <v>Pagado</v>
      </c>
      <c r="AA190" s="666" t="str">
        <f>IF(OR($A190="F&amp;F",$G190=""),"",IF(AA$8&gt;$G190,IF(OR(status1B5!AB190=1,status1B5!AB190=2,'BOULEVARD 5'!AD188&gt;0),"Pagado","impago"),""))</f>
        <v>Pagado</v>
      </c>
      <c r="AB190" s="666" t="str">
        <f>IF(OR($A190="F&amp;F",$G190=""),"",IF(AB$8&gt;$G190,IF(OR(status1B5!AC190=1,status1B5!AC190=2,'BOULEVARD 5'!AE188&gt;0),"Pagado","impago"),""))</f>
        <v>Pagado</v>
      </c>
      <c r="AC190" s="666" t="str">
        <f>IF(OR($A190="F&amp;F",$G190=""),"",IF(AC$8&gt;$G190,IF(OR(status1B5!AD190=1,status1B5!AD190=2,'BOULEVARD 5'!AF188&gt;0),"Pagado","impago"),""))</f>
        <v>Pagado</v>
      </c>
      <c r="AD190" s="666" t="str">
        <f>IF(OR($A190="F&amp;F",$G190=""),"",IF(AD$8&gt;$G190,IF(OR(status1B5!AE190=1,status1B5!AE190=2,'BOULEVARD 5'!AG188&gt;0),"Pagado","impago"),""))</f>
        <v>Pagado</v>
      </c>
      <c r="AE190" s="666" t="str">
        <f>IF(OR($A190="F&amp;F",$G190=""),"",IF(AE$8&gt;$G190,IF(OR(status1B5!AF190=1,status1B5!AF190=2,'BOULEVARD 5'!AH188&gt;0),"Pagado","impago"),""))</f>
        <v>Pagado</v>
      </c>
      <c r="AF190" s="666" t="str">
        <f>IF(OR($A190="F&amp;F",$G190=""),"",IF(AF$8&gt;$G190,IF(OR(status1B5!AG190=1,status1B5!AG190=2,'BOULEVARD 5'!AI188&gt;0),"Pagado","impago"),""))</f>
        <v>Pagado</v>
      </c>
      <c r="AG190" s="666" t="str">
        <f>IF(OR($A190="F&amp;F",$G190=""),"",IF(AG$8&gt;$G190,IF(OR(status1B5!AH190=1,status1B5!AH190=2,'BOULEVARD 5'!AJ188&gt;0),"Pagado","impago"),""))</f>
        <v>Pagado</v>
      </c>
      <c r="AH190" s="666" t="str">
        <f>IF(OR($A190="F&amp;F",$G190=""),"",IF(AH$8&gt;$G190,IF(OR(status1B5!AI190=1,status1B5!AI190=2,'BOULEVARD 5'!AK188&gt;0),"Pagado","impago"),""))</f>
        <v>Pagado</v>
      </c>
      <c r="AI190" s="666" t="str">
        <f>IF(OR($A190="F&amp;F",$G190=""),"",IF(AI$8&gt;$G190,IF(OR(status1B5!AJ190=1,status1B5!AJ190=2,'BOULEVARD 5'!AL188&gt;0),"Pagado","impago"),""))</f>
        <v>Pagado</v>
      </c>
      <c r="AJ190" s="666" t="str">
        <f>IF(OR($A190="F&amp;F",$G190=""),"",IF(AJ$8&gt;$G190,IF(OR(status1B5!AK190=1,status1B5!AK190=2,'BOULEVARD 5'!AM188&gt;0),"Pagado","impago"),""))</f>
        <v>Pagado</v>
      </c>
      <c r="AK190" s="666" t="str">
        <f>IF(OR($A190="F&amp;F",$G190=""),"",IF(AK$8&gt;$G190,IF(OR(status1B5!AL190=1,status1B5!AL190=2,'BOULEVARD 5'!AN188&gt;0),"Pagado","impago"),""))</f>
        <v>Pagado</v>
      </c>
      <c r="AL190" s="666" t="str">
        <f>IF(OR($A190="F&amp;F",$G190=""),"",IF(AL$8&gt;$G190,IF(OR(status1B5!AM190=1,status1B5!AM190=2,'BOULEVARD 5'!AO188&gt;0),"Pagado","impago"),""))</f>
        <v>Pagado</v>
      </c>
      <c r="AM190" s="666" t="str">
        <f>IF(OR($A190="F&amp;F",$G190=""),"",IF(AM$8&gt;$G190,IF(OR(status1B5!AN190=1,status1B5!AN190=2,'BOULEVARD 5'!AP188&gt;0),"Pagado","impago"),""))</f>
        <v>Pagado</v>
      </c>
      <c r="AN190" s="666" t="str">
        <f>IF(OR($A190="F&amp;F",$G190=""),"",IF(AN$8&gt;$G190,IF(OR(status1B5!AO190=1,status1B5!AO190=2,'BOULEVARD 5'!AQ188&gt;0),"Pagado","impago"),""))</f>
        <v>Pagado</v>
      </c>
      <c r="AO190" s="666" t="str">
        <f>IF(OR($A190="F&amp;F",$G190=""),"",IF(AO$8&gt;$G190,IF(OR(status1B5!AP190=1,status1B5!AP190=2,'BOULEVARD 5'!AS188&gt;0),"Pagado","impago"),""))</f>
        <v>Pagado</v>
      </c>
      <c r="AP190" s="429" t="str">
        <f t="shared" si="7"/>
        <v>Vendido</v>
      </c>
    </row>
    <row r="191" spans="1:42" s="429" customFormat="1" ht="13.9" customHeight="1" x14ac:dyDescent="0.25">
      <c r="A191" s="472"/>
      <c r="B191" s="436">
        <f>'BOULEVARD 5'!B189</f>
        <v>1016</v>
      </c>
      <c r="C191" s="436" t="s">
        <v>355</v>
      </c>
      <c r="D191" s="642"/>
      <c r="E191" s="436" t="str">
        <f>IF('BOULEVARD 5'!E189="","",'BOULEVARD 5'!E189)</f>
        <v>Brenda Búcaro</v>
      </c>
      <c r="F191" s="429" t="str">
        <f>IF('BOULEVARD 5'!F189="","",'BOULEVARD 5'!F189)</f>
        <v>Sergio Enrique Bolaños López</v>
      </c>
      <c r="G191" s="473">
        <f>IF('BOULEVARD 5'!G189="","",'BOULEVARD 5'!G189)</f>
        <v>45032</v>
      </c>
      <c r="H191" s="666" t="str">
        <f>IF(OR($A191="F&amp;F",$G191=""),"",IF(H$8&gt;$G191,IF(OR(status1B5!I191=1,status1B5!I191=2,'BOULEVARD 5'!K189&gt;0),"Pagado","impago"),""))</f>
        <v/>
      </c>
      <c r="I191" s="666" t="str">
        <f>IF(OR($A191="F&amp;F",$G191=""),"",IF(I$8&gt;$G191,IF(OR(status1B5!J191=1,status1B5!J191=2,'BOULEVARD 5'!L189&gt;0),"Pagado","impago"),""))</f>
        <v>Pagado</v>
      </c>
      <c r="J191" s="666" t="str">
        <f>IF(OR($A191="F&amp;F",$G191=""),"",IF(J$8&gt;$G191,IF(OR(status1B5!K191=1,status1B5!K191=2,'BOULEVARD 5'!M189&gt;0),"Pagado","impago"),""))</f>
        <v>Pagado</v>
      </c>
      <c r="K191" s="666" t="str">
        <f>IF(OR($A191="F&amp;F",$G191=""),"",IF(K$8&gt;$G191,IF(OR(status1B5!L191=1,status1B5!L191=2,'BOULEVARD 5'!N189&gt;0),"Pagado","impago"),""))</f>
        <v>Pagado</v>
      </c>
      <c r="L191" s="666" t="str">
        <f>IF(OR($A191="F&amp;F",$G191=""),"",IF(L$8&gt;$G191,IF(OR(status1B5!M191=1,status1B5!M191=2,'BOULEVARD 5'!O189&gt;0),"Pagado","impago"),""))</f>
        <v>Pagado</v>
      </c>
      <c r="M191" s="666" t="str">
        <f>IF(OR($A191="F&amp;F",$G191=""),"",IF(M$8&gt;$G191,IF(OR(status1B5!N191=1,status1B5!N191=2,'BOULEVARD 5'!P189&gt;0),"Pagado","impago"),""))</f>
        <v>Pagado</v>
      </c>
      <c r="N191" s="666" t="str">
        <f>IF(OR($A191="F&amp;F",$G191=""),"",IF(N$8&gt;$G191,IF(OR(status1B5!O191=1,status1B5!O191=2,'BOULEVARD 5'!Q189&gt;0),"Pagado","impago"),""))</f>
        <v>Pagado</v>
      </c>
      <c r="O191" s="666" t="str">
        <f>IF(OR($A191="F&amp;F",$G191=""),"",IF(O$8&gt;$G191,IF(OR(status1B5!P191=1,status1B5!P191=2,'BOULEVARD 5'!R189&gt;0),"Pagado","impago"),""))</f>
        <v>Pagado</v>
      </c>
      <c r="P191" s="666" t="str">
        <f>IF(OR($A191="F&amp;F",$G191=""),"",IF(P$8&gt;$G191,IF(OR(status1B5!Q191=1,status1B5!Q191=2,'BOULEVARD 5'!S189&gt;0),"Pagado","impago"),""))</f>
        <v>Pagado</v>
      </c>
      <c r="Q191" s="666" t="str">
        <f>IF(OR($A191="F&amp;F",$G191=""),"",IF(Q$8&gt;$G191,IF(OR(status1B5!R191=1,status1B5!R191=2,'BOULEVARD 5'!T189&gt;0),"Pagado","impago"),""))</f>
        <v>Pagado</v>
      </c>
      <c r="R191" s="666" t="str">
        <f>IF(OR($A191="F&amp;F",$G191=""),"",IF(R$8&gt;$G191,IF(OR(status1B5!S191=1,status1B5!S191=2,'BOULEVARD 5'!U189&gt;0),"Pagado","impago"),""))</f>
        <v>Pagado</v>
      </c>
      <c r="S191" s="666" t="str">
        <f>IF(OR($A191="F&amp;F",$G191=""),"",IF(S$8&gt;$G191,IF(OR(status1B5!T191=1,status1B5!T191=2,'BOULEVARD 5'!V189&gt;0),"Pagado","impago"),""))</f>
        <v>Pagado</v>
      </c>
      <c r="T191" s="666" t="str">
        <f>IF(OR($A191="F&amp;F",$G191=""),"",IF(T$8&gt;$G191,IF(OR(status1B5!U191=1,status1B5!U191=2,'BOULEVARD 5'!W189&gt;0),"Pagado","impago"),""))</f>
        <v>Pagado</v>
      </c>
      <c r="U191" s="666" t="str">
        <f>IF(OR($A191="F&amp;F",$G191=""),"",IF(U$8&gt;$G191,IF(OR(status1B5!V191=1,status1B5!V191=2,'BOULEVARD 5'!X189&gt;0),"Pagado","impago"),""))</f>
        <v>Pagado</v>
      </c>
      <c r="V191" s="666" t="str">
        <f>IF(OR($A191="F&amp;F",$G191=""),"",IF(V$8&gt;$G191,IF(OR(status1B5!W191=1,status1B5!W191=2,'BOULEVARD 5'!Y189&gt;0),"Pagado","impago"),""))</f>
        <v>Pagado</v>
      </c>
      <c r="W191" s="666" t="str">
        <f>IF(OR($A191="F&amp;F",$G191=""),"",IF(W$8&gt;$G191,IF(OR(status1B5!X191=1,status1B5!X191=2,'BOULEVARD 5'!Z189&gt;0),"Pagado","impago"),""))</f>
        <v>Pagado</v>
      </c>
      <c r="X191" s="666" t="str">
        <f>IF(OR($A191="F&amp;F",$G191=""),"",IF(X$8&gt;$G191,IF(OR(status1B5!Y191=1,status1B5!Y191=2,'BOULEVARD 5'!AA189&gt;0),"Pagado","impago"),""))</f>
        <v>Pagado</v>
      </c>
      <c r="Y191" s="666" t="str">
        <f>IF(OR($A191="F&amp;F",$G191=""),"",IF(Y$8&gt;$G191,IF(OR(status1B5!Z191=1,status1B5!Z191=2,'BOULEVARD 5'!AB189&gt;0),"Pagado","impago"),""))</f>
        <v>Pagado</v>
      </c>
      <c r="Z191" s="666" t="str">
        <f>IF(OR($A191="F&amp;F",$G191=""),"",IF(Z$8&gt;$G191,IF(OR(status1B5!AA191=1,status1B5!AA191=2,'BOULEVARD 5'!AC189&gt;0),"Pagado","impago"),""))</f>
        <v>Pagado</v>
      </c>
      <c r="AA191" s="666" t="str">
        <f>IF(OR($A191="F&amp;F",$G191=""),"",IF(AA$8&gt;$G191,IF(OR(status1B5!AB191=1,status1B5!AB191=2,'BOULEVARD 5'!AD189&gt;0),"Pagado","impago"),""))</f>
        <v>Pagado</v>
      </c>
      <c r="AB191" s="666" t="str">
        <f>IF(OR($A191="F&amp;F",$G191=""),"",IF(AB$8&gt;$G191,IF(OR(status1B5!AC191=1,status1B5!AC191=2,'BOULEVARD 5'!AE189&gt;0),"Pagado","impago"),""))</f>
        <v>Pagado</v>
      </c>
      <c r="AC191" s="666" t="str">
        <f>IF(OR($A191="F&amp;F",$G191=""),"",IF(AC$8&gt;$G191,IF(OR(status1B5!AD191=1,status1B5!AD191=2,'BOULEVARD 5'!AF189&gt;0),"Pagado","impago"),""))</f>
        <v>Pagado</v>
      </c>
      <c r="AD191" s="666" t="str">
        <f>IF(OR($A191="F&amp;F",$G191=""),"",IF(AD$8&gt;$G191,IF(OR(status1B5!AE191=1,status1B5!AE191=2,'BOULEVARD 5'!AG189&gt;0),"Pagado","impago"),""))</f>
        <v>Pagado</v>
      </c>
      <c r="AE191" s="666" t="str">
        <f>IF(OR($A191="F&amp;F",$G191=""),"",IF(AE$8&gt;$G191,IF(OR(status1B5!AF191=1,status1B5!AF191=2,'BOULEVARD 5'!AH189&gt;0),"Pagado","impago"),""))</f>
        <v>Pagado</v>
      </c>
      <c r="AF191" s="666" t="str">
        <f>IF(OR($A191="F&amp;F",$G191=""),"",IF(AF$8&gt;$G191,IF(OR(status1B5!AG191=1,status1B5!AG191=2,'BOULEVARD 5'!AI189&gt;0),"Pagado","impago"),""))</f>
        <v>Pagado</v>
      </c>
      <c r="AG191" s="666" t="str">
        <f>IF(OR($A191="F&amp;F",$G191=""),"",IF(AG$8&gt;$G191,IF(OR(status1B5!AH191=1,status1B5!AH191=2,'BOULEVARD 5'!AJ189&gt;0),"Pagado","impago"),""))</f>
        <v>Pagado</v>
      </c>
      <c r="AH191" s="666" t="str">
        <f>IF(OR($A191="F&amp;F",$G191=""),"",IF(AH$8&gt;$G191,IF(OR(status1B5!AI191=1,status1B5!AI191=2,'BOULEVARD 5'!AK189&gt;0),"Pagado","impago"),""))</f>
        <v>Pagado</v>
      </c>
      <c r="AI191" s="666" t="str">
        <f>IF(OR($A191="F&amp;F",$G191=""),"",IF(AI$8&gt;$G191,IF(OR(status1B5!AJ191=1,status1B5!AJ191=2,'BOULEVARD 5'!AL189&gt;0),"Pagado","impago"),""))</f>
        <v>Pagado</v>
      </c>
      <c r="AJ191" s="666" t="str">
        <f>IF(OR($A191="F&amp;F",$G191=""),"",IF(AJ$8&gt;$G191,IF(OR(status1B5!AK191=1,status1B5!AK191=2,'BOULEVARD 5'!AM189&gt;0),"Pagado","impago"),""))</f>
        <v>Pagado</v>
      </c>
      <c r="AK191" s="666" t="str">
        <f>IF(OR($A191="F&amp;F",$G191=""),"",IF(AK$8&gt;$G191,IF(OR(status1B5!AL191=1,status1B5!AL191=2,'BOULEVARD 5'!AN189&gt;0),"Pagado","impago"),""))</f>
        <v>Pagado</v>
      </c>
      <c r="AL191" s="666" t="str">
        <f>IF(OR($A191="F&amp;F",$G191=""),"",IF(AL$8&gt;$G191,IF(OR(status1B5!AM191=1,status1B5!AM191=2,'BOULEVARD 5'!AO189&gt;0),"Pagado","impago"),""))</f>
        <v>Pagado</v>
      </c>
      <c r="AM191" s="666" t="str">
        <f>IF(OR($A191="F&amp;F",$G191=""),"",IF(AM$8&gt;$G191,IF(OR(status1B5!AN191=1,status1B5!AN191=2,'BOULEVARD 5'!AP189&gt;0),"Pagado","impago"),""))</f>
        <v>Pagado</v>
      </c>
      <c r="AN191" s="666" t="str">
        <f>IF(OR($A191="F&amp;F",$G191=""),"",IF(AN$8&gt;$G191,IF(OR(status1B5!AO191=1,status1B5!AO191=2,'BOULEVARD 5'!AQ189&gt;0),"Pagado","impago"),""))</f>
        <v>Pagado</v>
      </c>
      <c r="AO191" s="666" t="str">
        <f>IF(OR($A191="F&amp;F",$G191=""),"",IF(AO$8&gt;$G191,IF(OR(status1B5!AP191=1,status1B5!AP191=2,'BOULEVARD 5'!AS189&gt;0),"Pagado","impago"),""))</f>
        <v>Pagado</v>
      </c>
      <c r="AP191" s="429" t="str">
        <f t="shared" si="7"/>
        <v>Vendido</v>
      </c>
    </row>
    <row r="192" spans="1:42" s="429" customFormat="1" ht="13.9" customHeight="1" x14ac:dyDescent="0.25">
      <c r="A192" s="472"/>
      <c r="B192" s="436">
        <f>'BOULEVARD 5'!B190</f>
        <v>1017</v>
      </c>
      <c r="C192" s="436" t="s">
        <v>355</v>
      </c>
      <c r="D192" s="642"/>
      <c r="E192" s="436" t="str">
        <f>IF('BOULEVARD 5'!E190="","",'BOULEVARD 5'!E190)</f>
        <v>Brenda Búcaro</v>
      </c>
      <c r="F192" s="429" t="str">
        <f>IF('BOULEVARD 5'!F190="","",'BOULEVARD 5'!F190)</f>
        <v>Irene Alejandra Reyes Guzmán</v>
      </c>
      <c r="G192" s="473">
        <f>IF('BOULEVARD 5'!G190="","",'BOULEVARD 5'!G190)</f>
        <v>45032</v>
      </c>
      <c r="H192" s="666" t="str">
        <f>IF(OR($A192="F&amp;F",$G192=""),"",IF(H$8&gt;$G192,IF(OR(status1B5!I192=1,status1B5!I192=2,'BOULEVARD 5'!K190&gt;0),"Pagado","impago"),""))</f>
        <v/>
      </c>
      <c r="I192" s="666" t="str">
        <f>IF(OR($A192="F&amp;F",$G192=""),"",IF(I$8&gt;$G192,IF(OR(status1B5!J192=1,status1B5!J192=2,'BOULEVARD 5'!L190&gt;0),"Pagado","impago"),""))</f>
        <v>Pagado</v>
      </c>
      <c r="J192" s="666" t="str">
        <f>IF(OR($A192="F&amp;F",$G192=""),"",IF(J$8&gt;$G192,IF(OR(status1B5!K192=1,status1B5!K192=2,'BOULEVARD 5'!M190&gt;0),"Pagado","impago"),""))</f>
        <v>Pagado</v>
      </c>
      <c r="K192" s="666" t="str">
        <f>IF(OR($A192="F&amp;F",$G192=""),"",IF(K$8&gt;$G192,IF(OR(status1B5!L192=1,status1B5!L192=2,'BOULEVARD 5'!N190&gt;0),"Pagado","impago"),""))</f>
        <v>Pagado</v>
      </c>
      <c r="L192" s="666" t="str">
        <f>IF(OR($A192="F&amp;F",$G192=""),"",IF(L$8&gt;$G192,IF(OR(status1B5!M192=1,status1B5!M192=2,'BOULEVARD 5'!O190&gt;0),"Pagado","impago"),""))</f>
        <v>Pagado</v>
      </c>
      <c r="M192" s="666" t="str">
        <f>IF(OR($A192="F&amp;F",$G192=""),"",IF(M$8&gt;$G192,IF(OR(status1B5!N192=1,status1B5!N192=2,'BOULEVARD 5'!P190&gt;0),"Pagado","impago"),""))</f>
        <v>Pagado</v>
      </c>
      <c r="N192" s="666" t="str">
        <f>IF(OR($A192="F&amp;F",$G192=""),"",IF(N$8&gt;$G192,IF(OR(status1B5!O192=1,status1B5!O192=2,'BOULEVARD 5'!Q190&gt;0),"Pagado","impago"),""))</f>
        <v>Pagado</v>
      </c>
      <c r="O192" s="666" t="str">
        <f>IF(OR($A192="F&amp;F",$G192=""),"",IF(O$8&gt;$G192,IF(OR(status1B5!P192=1,status1B5!P192=2,'BOULEVARD 5'!R190&gt;0),"Pagado","impago"),""))</f>
        <v>Pagado</v>
      </c>
      <c r="P192" s="666" t="str">
        <f>IF(OR($A192="F&amp;F",$G192=""),"",IF(P$8&gt;$G192,IF(OR(status1B5!Q192=1,status1B5!Q192=2,'BOULEVARD 5'!S190&gt;0),"Pagado","impago"),""))</f>
        <v>Pagado</v>
      </c>
      <c r="Q192" s="666" t="str">
        <f>IF(OR($A192="F&amp;F",$G192=""),"",IF(Q$8&gt;$G192,IF(OR(status1B5!R192=1,status1B5!R192=2,'BOULEVARD 5'!T190&gt;0),"Pagado","impago"),""))</f>
        <v>Pagado</v>
      </c>
      <c r="R192" s="666" t="str">
        <f>IF(OR($A192="F&amp;F",$G192=""),"",IF(R$8&gt;$G192,IF(OR(status1B5!S192=1,status1B5!S192=2,'BOULEVARD 5'!U190&gt;0),"Pagado","impago"),""))</f>
        <v>Pagado</v>
      </c>
      <c r="S192" s="666" t="str">
        <f>IF(OR($A192="F&amp;F",$G192=""),"",IF(S$8&gt;$G192,IF(OR(status1B5!T192=1,status1B5!T192=2,'BOULEVARD 5'!V190&gt;0),"Pagado","impago"),""))</f>
        <v>Pagado</v>
      </c>
      <c r="T192" s="666" t="str">
        <f>IF(OR($A192="F&amp;F",$G192=""),"",IF(T$8&gt;$G192,IF(OR(status1B5!U192=1,status1B5!U192=2,'BOULEVARD 5'!W190&gt;0),"Pagado","impago"),""))</f>
        <v>Pagado</v>
      </c>
      <c r="U192" s="666" t="str">
        <f>IF(OR($A192="F&amp;F",$G192=""),"",IF(U$8&gt;$G192,IF(OR(status1B5!V192=1,status1B5!V192=2,'BOULEVARD 5'!X190&gt;0),"Pagado","impago"),""))</f>
        <v>Pagado</v>
      </c>
      <c r="V192" s="666" t="str">
        <f>IF(OR($A192="F&amp;F",$G192=""),"",IF(V$8&gt;$G192,IF(OR(status1B5!W192=1,status1B5!W192=2,'BOULEVARD 5'!Y190&gt;0),"Pagado","impago"),""))</f>
        <v>Pagado</v>
      </c>
      <c r="W192" s="666" t="str">
        <f>IF(OR($A192="F&amp;F",$G192=""),"",IF(W$8&gt;$G192,IF(OR(status1B5!X192=1,status1B5!X192=2,'BOULEVARD 5'!Z190&gt;0),"Pagado","impago"),""))</f>
        <v>Pagado</v>
      </c>
      <c r="X192" s="666" t="str">
        <f>IF(OR($A192="F&amp;F",$G192=""),"",IF(X$8&gt;$G192,IF(OR(status1B5!Y192=1,status1B5!Y192=2,'BOULEVARD 5'!AA190&gt;0),"Pagado","impago"),""))</f>
        <v>Pagado</v>
      </c>
      <c r="Y192" s="666" t="str">
        <f>IF(OR($A192="F&amp;F",$G192=""),"",IF(Y$8&gt;$G192,IF(OR(status1B5!Z192=1,status1B5!Z192=2,'BOULEVARD 5'!AB190&gt;0),"Pagado","impago"),""))</f>
        <v>Pagado</v>
      </c>
      <c r="Z192" s="666" t="str">
        <f>IF(OR($A192="F&amp;F",$G192=""),"",IF(Z$8&gt;$G192,IF(OR(status1B5!AA192=1,status1B5!AA192=2,'BOULEVARD 5'!AC190&gt;0),"Pagado","impago"),""))</f>
        <v>Pagado</v>
      </c>
      <c r="AA192" s="666" t="str">
        <f>IF(OR($A192="F&amp;F",$G192=""),"",IF(AA$8&gt;$G192,IF(OR(status1B5!AB192=1,status1B5!AB192=2,'BOULEVARD 5'!AD190&gt;0),"Pagado","impago"),""))</f>
        <v>Pagado</v>
      </c>
      <c r="AB192" s="666" t="str">
        <f>IF(OR($A192="F&amp;F",$G192=""),"",IF(AB$8&gt;$G192,IF(OR(status1B5!AC192=1,status1B5!AC192=2,'BOULEVARD 5'!AE190&gt;0),"Pagado","impago"),""))</f>
        <v>Pagado</v>
      </c>
      <c r="AC192" s="666" t="str">
        <f>IF(OR($A192="F&amp;F",$G192=""),"",IF(AC$8&gt;$G192,IF(OR(status1B5!AD192=1,status1B5!AD192=2,'BOULEVARD 5'!AF190&gt;0),"Pagado","impago"),""))</f>
        <v>Pagado</v>
      </c>
      <c r="AD192" s="666" t="str">
        <f>IF(OR($A192="F&amp;F",$G192=""),"",IF(AD$8&gt;$G192,IF(OR(status1B5!AE192=1,status1B5!AE192=2,'BOULEVARD 5'!AG190&gt;0),"Pagado","impago"),""))</f>
        <v>Pagado</v>
      </c>
      <c r="AE192" s="666" t="str">
        <f>IF(OR($A192="F&amp;F",$G192=""),"",IF(AE$8&gt;$G192,IF(OR(status1B5!AF192=1,status1B5!AF192=2,'BOULEVARD 5'!AH190&gt;0),"Pagado","impago"),""))</f>
        <v>Pagado</v>
      </c>
      <c r="AF192" s="666" t="str">
        <f>IF(OR($A192="F&amp;F",$G192=""),"",IF(AF$8&gt;$G192,IF(OR(status1B5!AG192=1,status1B5!AG192=2,'BOULEVARD 5'!AI190&gt;0),"Pagado","impago"),""))</f>
        <v>Pagado</v>
      </c>
      <c r="AG192" s="666" t="str">
        <f>IF(OR($A192="F&amp;F",$G192=""),"",IF(AG$8&gt;$G192,IF(OR(status1B5!AH192=1,status1B5!AH192=2,'BOULEVARD 5'!AJ190&gt;0),"Pagado","impago"),""))</f>
        <v>Pagado</v>
      </c>
      <c r="AH192" s="666" t="str">
        <f>IF(OR($A192="F&amp;F",$G192=""),"",IF(AH$8&gt;$G192,IF(OR(status1B5!AI192=1,status1B5!AI192=2,'BOULEVARD 5'!AK190&gt;0),"Pagado","impago"),""))</f>
        <v>Pagado</v>
      </c>
      <c r="AI192" s="666" t="str">
        <f>IF(OR($A192="F&amp;F",$G192=""),"",IF(AI$8&gt;$G192,IF(OR(status1B5!AJ192=1,status1B5!AJ192=2,'BOULEVARD 5'!AL190&gt;0),"Pagado","impago"),""))</f>
        <v>Pagado</v>
      </c>
      <c r="AJ192" s="666" t="str">
        <f>IF(OR($A192="F&amp;F",$G192=""),"",IF(AJ$8&gt;$G192,IF(OR(status1B5!AK192=1,status1B5!AK192=2,'BOULEVARD 5'!AM190&gt;0),"Pagado","impago"),""))</f>
        <v>Pagado</v>
      </c>
      <c r="AK192" s="666" t="str">
        <f>IF(OR($A192="F&amp;F",$G192=""),"",IF(AK$8&gt;$G192,IF(OR(status1B5!AL192=1,status1B5!AL192=2,'BOULEVARD 5'!AN190&gt;0),"Pagado","impago"),""))</f>
        <v>Pagado</v>
      </c>
      <c r="AL192" s="666" t="str">
        <f>IF(OR($A192="F&amp;F",$G192=""),"",IF(AL$8&gt;$G192,IF(OR(status1B5!AM192=1,status1B5!AM192=2,'BOULEVARD 5'!AO190&gt;0),"Pagado","impago"),""))</f>
        <v>Pagado</v>
      </c>
      <c r="AM192" s="666" t="str">
        <f>IF(OR($A192="F&amp;F",$G192=""),"",IF(AM$8&gt;$G192,IF(OR(status1B5!AN192=1,status1B5!AN192=2,'BOULEVARD 5'!AP190&gt;0),"Pagado","impago"),""))</f>
        <v>Pagado</v>
      </c>
      <c r="AN192" s="666" t="str">
        <f>IF(OR($A192="F&amp;F",$G192=""),"",IF(AN$8&gt;$G192,IF(OR(status1B5!AO192=1,status1B5!AO192=2,'BOULEVARD 5'!AQ190&gt;0),"Pagado","impago"),""))</f>
        <v>Pagado</v>
      </c>
      <c r="AO192" s="666" t="str">
        <f>IF(OR($A192="F&amp;F",$G192=""),"",IF(AO$8&gt;$G192,IF(OR(status1B5!AP192=1,status1B5!AP192=2,'BOULEVARD 5'!AS190&gt;0),"Pagado","impago"),""))</f>
        <v>Pagado</v>
      </c>
      <c r="AP192" s="429" t="str">
        <f t="shared" si="7"/>
        <v>Vendido</v>
      </c>
    </row>
    <row r="193" spans="1:42" s="429" customFormat="1" ht="13.9" customHeight="1" x14ac:dyDescent="0.25">
      <c r="A193" s="472"/>
      <c r="B193" s="436">
        <f>'BOULEVARD 5'!B191</f>
        <v>1018</v>
      </c>
      <c r="C193" s="436" t="s">
        <v>355</v>
      </c>
      <c r="D193" s="641"/>
      <c r="E193" s="436" t="str">
        <f>IF('BOULEVARD 5'!E191="","",'BOULEVARD 5'!E191)</f>
        <v>Antonio Rada</v>
      </c>
      <c r="F193" s="429" t="str">
        <f>IF('BOULEVARD 5'!F191="","",'BOULEVARD 5'!F191)</f>
        <v>Corporacion Fb Sociedad Anonima</v>
      </c>
      <c r="G193" s="473">
        <f>IF('BOULEVARD 5'!G191="","",'BOULEVARD 5'!G191)</f>
        <v>45141</v>
      </c>
      <c r="H193" s="666" t="str">
        <f>IF(OR($A193="F&amp;F",$G193=""),"",IF(H$8&gt;$G193,IF(OR(status1B5!I193=1,status1B5!I193=2,'BOULEVARD 5'!K191&gt;0),"Pagado","impago"),""))</f>
        <v/>
      </c>
      <c r="I193" s="666" t="str">
        <f>IF(OR($A193="F&amp;F",$G193=""),"",IF(I$8&gt;$G193,IF(OR(status1B5!J193=1,status1B5!J193=2,'BOULEVARD 5'!L191&gt;0),"Pagado","impago"),""))</f>
        <v/>
      </c>
      <c r="J193" s="666" t="str">
        <f>IF(OR($A193="F&amp;F",$G193=""),"",IF(J$8&gt;$G193,IF(OR(status1B5!K193=1,status1B5!K193=2,'BOULEVARD 5'!M191&gt;0),"Pagado","impago"),""))</f>
        <v/>
      </c>
      <c r="K193" s="666" t="str">
        <f>IF(OR($A193="F&amp;F",$G193=""),"",IF(K$8&gt;$G193,IF(OR(status1B5!L193=1,status1B5!L193=2,'BOULEVARD 5'!N191&gt;0),"Pagado","impago"),""))</f>
        <v/>
      </c>
      <c r="L193" s="666" t="str">
        <f>IF(OR($A193="F&amp;F",$G193=""),"",IF(L$8&gt;$G193,IF(OR(status1B5!M193=1,status1B5!M193=2,'BOULEVARD 5'!O191&gt;0),"Pagado","impago"),""))</f>
        <v/>
      </c>
      <c r="M193" s="666" t="str">
        <f>IF(OR($A193="F&amp;F",$G193=""),"",IF(M$8&gt;$G193,IF(OR(status1B5!N193=1,status1B5!N193=2,'BOULEVARD 5'!P191&gt;0),"Pagado","impago"),""))</f>
        <v>Pagado</v>
      </c>
      <c r="N193" s="666" t="str">
        <f>IF(OR($A193="F&amp;F",$G193=""),"",IF(N$8&gt;$G193,IF(OR(status1B5!O193=1,status1B5!O193=2,'BOULEVARD 5'!Q191&gt;0),"Pagado","impago"),""))</f>
        <v>Pagado</v>
      </c>
      <c r="O193" s="666" t="str">
        <f>IF(OR($A193="F&amp;F",$G193=""),"",IF(O$8&gt;$G193,IF(OR(status1B5!P193=1,status1B5!P193=2,'BOULEVARD 5'!R191&gt;0),"Pagado","impago"),""))</f>
        <v>Pagado</v>
      </c>
      <c r="P193" s="666" t="str">
        <f>IF(OR($A193="F&amp;F",$G193=""),"",IF(P$8&gt;$G193,IF(OR(status1B5!Q193=1,status1B5!Q193=2,'BOULEVARD 5'!S191&gt;0),"Pagado","impago"),""))</f>
        <v>Pagado</v>
      </c>
      <c r="Q193" s="666" t="str">
        <f>IF(OR($A193="F&amp;F",$G193=""),"",IF(Q$8&gt;$G193,IF(OR(status1B5!R193=1,status1B5!R193=2,'BOULEVARD 5'!T191&gt;0),"Pagado","impago"),""))</f>
        <v>Pagado</v>
      </c>
      <c r="R193" s="666" t="str">
        <f>IF(OR($A193="F&amp;F",$G193=""),"",IF(R$8&gt;$G193,IF(OR(status1B5!S193=1,status1B5!S193=2,'BOULEVARD 5'!U191&gt;0),"Pagado","impago"),""))</f>
        <v>Pagado</v>
      </c>
      <c r="S193" s="666" t="str">
        <f>IF(OR($A193="F&amp;F",$G193=""),"",IF(S$8&gt;$G193,IF(OR(status1B5!T193=1,status1B5!T193=2,'BOULEVARD 5'!V191&gt;0),"Pagado","impago"),""))</f>
        <v>Pagado</v>
      </c>
      <c r="T193" s="666" t="str">
        <f>IF(OR($A193="F&amp;F",$G193=""),"",IF(T$8&gt;$G193,IF(OR(status1B5!U193=1,status1B5!U193=2,'BOULEVARD 5'!W191&gt;0),"Pagado","impago"),""))</f>
        <v>Pagado</v>
      </c>
      <c r="U193" s="666" t="str">
        <f>IF(OR($A193="F&amp;F",$G193=""),"",IF(U$8&gt;$G193,IF(OR(status1B5!V193=1,status1B5!V193=2,'BOULEVARD 5'!X191&gt;0),"Pagado","impago"),""))</f>
        <v>Pagado</v>
      </c>
      <c r="V193" s="666" t="str">
        <f>IF(OR($A193="F&amp;F",$G193=""),"",IF(V$8&gt;$G193,IF(OR(status1B5!W193=1,status1B5!W193=2,'BOULEVARD 5'!Y191&gt;0),"Pagado","impago"),""))</f>
        <v>Pagado</v>
      </c>
      <c r="W193" s="666" t="str">
        <f>IF(OR($A193="F&amp;F",$G193=""),"",IF(W$8&gt;$G193,IF(OR(status1B5!X193=1,status1B5!X193=2,'BOULEVARD 5'!Z191&gt;0),"Pagado","impago"),""))</f>
        <v>Pagado</v>
      </c>
      <c r="X193" s="666" t="str">
        <f>IF(OR($A193="F&amp;F",$G193=""),"",IF(X$8&gt;$G193,IF(OR(status1B5!Y193=1,status1B5!Y193=2,'BOULEVARD 5'!AA191&gt;0),"Pagado","impago"),""))</f>
        <v>Pagado</v>
      </c>
      <c r="Y193" s="666" t="str">
        <f>IF(OR($A193="F&amp;F",$G193=""),"",IF(Y$8&gt;$G193,IF(OR(status1B5!Z193=1,status1B5!Z193=2,'BOULEVARD 5'!AB191&gt;0),"Pagado","impago"),""))</f>
        <v>Pagado</v>
      </c>
      <c r="Z193" s="666" t="str">
        <f>IF(OR($A193="F&amp;F",$G193=""),"",IF(Z$8&gt;$G193,IF(OR(status1B5!AA193=1,status1B5!AA193=2,'BOULEVARD 5'!AC191&gt;0),"Pagado","impago"),""))</f>
        <v>Pagado</v>
      </c>
      <c r="AA193" s="666" t="str">
        <f>IF(OR($A193="F&amp;F",$G193=""),"",IF(AA$8&gt;$G193,IF(OR(status1B5!AB193=1,status1B5!AB193=2,'BOULEVARD 5'!AD191&gt;0),"Pagado","impago"),""))</f>
        <v>Pagado</v>
      </c>
      <c r="AB193" s="666" t="str">
        <f>IF(OR($A193="F&amp;F",$G193=""),"",IF(AB$8&gt;$G193,IF(OR(status1B5!AC193=1,status1B5!AC193=2,'BOULEVARD 5'!AE191&gt;0),"Pagado","impago"),""))</f>
        <v>Pagado</v>
      </c>
      <c r="AC193" s="666" t="str">
        <f>IF(OR($A193="F&amp;F",$G193=""),"",IF(AC$8&gt;$G193,IF(OR(status1B5!AD193=1,status1B5!AD193=2,'BOULEVARD 5'!AF191&gt;0),"Pagado","impago"),""))</f>
        <v>Pagado</v>
      </c>
      <c r="AD193" s="666" t="str">
        <f>IF(OR($A193="F&amp;F",$G193=""),"",IF(AD$8&gt;$G193,IF(OR(status1B5!AE193=1,status1B5!AE193=2,'BOULEVARD 5'!AG191&gt;0),"Pagado","impago"),""))</f>
        <v>Pagado</v>
      </c>
      <c r="AE193" s="666" t="str">
        <f>IF(OR($A193="F&amp;F",$G193=""),"",IF(AE$8&gt;$G193,IF(OR(status1B5!AF193=1,status1B5!AF193=2,'BOULEVARD 5'!AH191&gt;0),"Pagado","impago"),""))</f>
        <v>Pagado</v>
      </c>
      <c r="AF193" s="666" t="str">
        <f>IF(OR($A193="F&amp;F",$G193=""),"",IF(AF$8&gt;$G193,IF(OR(status1B5!AG193=1,status1B5!AG193=2,'BOULEVARD 5'!AI191&gt;0),"Pagado","impago"),""))</f>
        <v>Pagado</v>
      </c>
      <c r="AG193" s="666" t="str">
        <f>IF(OR($A193="F&amp;F",$G193=""),"",IF(AG$8&gt;$G193,IF(OR(status1B5!AH193=1,status1B5!AH193=2,'BOULEVARD 5'!AJ191&gt;0),"Pagado","impago"),""))</f>
        <v>Pagado</v>
      </c>
      <c r="AH193" s="666" t="str">
        <f>IF(OR($A193="F&amp;F",$G193=""),"",IF(AH$8&gt;$G193,IF(OR(status1B5!AI193=1,status1B5!AI193=2,'BOULEVARD 5'!AK191&gt;0),"Pagado","impago"),""))</f>
        <v>Pagado</v>
      </c>
      <c r="AI193" s="666" t="str">
        <f>IF(OR($A193="F&amp;F",$G193=""),"",IF(AI$8&gt;$G193,IF(OR(status1B5!AJ193=1,status1B5!AJ193=2,'BOULEVARD 5'!AL191&gt;0),"Pagado","impago"),""))</f>
        <v>Pagado</v>
      </c>
      <c r="AJ193" s="666" t="str">
        <f>IF(OR($A193="F&amp;F",$G193=""),"",IF(AJ$8&gt;$G193,IF(OR(status1B5!AK193=1,status1B5!AK193=2,'BOULEVARD 5'!AM191&gt;0),"Pagado","impago"),""))</f>
        <v>Pagado</v>
      </c>
      <c r="AK193" s="666" t="str">
        <f>IF(OR($A193="F&amp;F",$G193=""),"",IF(AK$8&gt;$G193,IF(OR(status1B5!AL193=1,status1B5!AL193=2,'BOULEVARD 5'!AN191&gt;0),"Pagado","impago"),""))</f>
        <v>Pagado</v>
      </c>
      <c r="AL193" s="666" t="str">
        <f>IF(OR($A193="F&amp;F",$G193=""),"",IF(AL$8&gt;$G193,IF(OR(status1B5!AM193=1,status1B5!AM193=2,'BOULEVARD 5'!AO191&gt;0),"Pagado","impago"),""))</f>
        <v>Pagado</v>
      </c>
      <c r="AM193" s="666" t="str">
        <f>IF(OR($A193="F&amp;F",$G193=""),"",IF(AM$8&gt;$G193,IF(OR(status1B5!AN193=1,status1B5!AN193=2,'BOULEVARD 5'!AP191&gt;0),"Pagado","impago"),""))</f>
        <v>Pagado</v>
      </c>
      <c r="AN193" s="666" t="str">
        <f>IF(OR($A193="F&amp;F",$G193=""),"",IF(AN$8&gt;$G193,IF(OR(status1B5!AO193=1,status1B5!AO193=2,'BOULEVARD 5'!AQ191&gt;0),"Pagado","impago"),""))</f>
        <v>Pagado</v>
      </c>
      <c r="AO193" s="666" t="str">
        <f>IF(OR($A193="F&amp;F",$G193=""),"",IF(AO$8&gt;$G193,IF(OR(status1B5!AP193=1,status1B5!AP193=2,'BOULEVARD 5'!AS191&gt;0),"Pagado","impago"),""))</f>
        <v>Pagado</v>
      </c>
      <c r="AP193" s="429" t="str">
        <f t="shared" si="7"/>
        <v>Vendido</v>
      </c>
    </row>
    <row r="194" spans="1:42" s="429" customFormat="1" ht="13.9" customHeight="1" x14ac:dyDescent="0.25">
      <c r="A194" s="472"/>
      <c r="B194" s="436">
        <f>'BOULEVARD 5'!B192</f>
        <v>1019</v>
      </c>
      <c r="C194" s="436" t="s">
        <v>355</v>
      </c>
      <c r="D194" s="436"/>
      <c r="E194" s="436" t="str">
        <f>IF('BOULEVARD 5'!E192="","",'BOULEVARD 5'!E192)</f>
        <v>Mario Rodriguez</v>
      </c>
      <c r="F194" s="429" t="str">
        <f>IF('BOULEVARD 5'!F192="","",'BOULEVARD 5'!F192)</f>
        <v>Gloria Fernanda Moran Guevara</v>
      </c>
      <c r="G194" s="473">
        <f>IF('BOULEVARD 5'!G192="","",'BOULEVARD 5'!G192)</f>
        <v>45894</v>
      </c>
      <c r="H194" s="666" t="str">
        <f>IF(OR($A194="F&amp;F",$G194=""),"",IF(H$8&gt;$G194,IF(OR(status1B5!I194=1,status1B5!I194=2,'BOULEVARD 5'!K192&gt;0),"Pagado","impago"),""))</f>
        <v/>
      </c>
      <c r="I194" s="666" t="str">
        <f>IF(OR($A194="F&amp;F",$G194=""),"",IF(I$8&gt;$G194,IF(OR(status1B5!J194=1,status1B5!J194=2,'BOULEVARD 5'!L192&gt;0),"Pagado","impago"),""))</f>
        <v/>
      </c>
      <c r="J194" s="666" t="str">
        <f>IF(OR($A194="F&amp;F",$G194=""),"",IF(J$8&gt;$G194,IF(OR(status1B5!K194=1,status1B5!K194=2,'BOULEVARD 5'!M192&gt;0),"Pagado","impago"),""))</f>
        <v/>
      </c>
      <c r="K194" s="666" t="str">
        <f>IF(OR($A194="F&amp;F",$G194=""),"",IF(K$8&gt;$G194,IF(OR(status1B5!L194=1,status1B5!L194=2,'BOULEVARD 5'!N192&gt;0),"Pagado","impago"),""))</f>
        <v/>
      </c>
      <c r="L194" s="666" t="str">
        <f>IF(OR($A194="F&amp;F",$G194=""),"",IF(L$8&gt;$G194,IF(OR(status1B5!M194=1,status1B5!M194=2,'BOULEVARD 5'!O192&gt;0),"Pagado","impago"),""))</f>
        <v/>
      </c>
      <c r="M194" s="666" t="str">
        <f>IF(OR($A194="F&amp;F",$G194=""),"",IF(M$8&gt;$G194,IF(OR(status1B5!N194=1,status1B5!N194=2,'BOULEVARD 5'!P192&gt;0),"Pagado","impago"),""))</f>
        <v/>
      </c>
      <c r="N194" s="666" t="str">
        <f>IF(OR($A194="F&amp;F",$G194=""),"",IF(N$8&gt;$G194,IF(OR(status1B5!O194=1,status1B5!O194=2,'BOULEVARD 5'!Q192&gt;0),"Pagado","impago"),""))</f>
        <v/>
      </c>
      <c r="O194" s="666" t="str">
        <f>IF(OR($A194="F&amp;F",$G194=""),"",IF(O$8&gt;$G194,IF(OR(status1B5!P194=1,status1B5!P194=2,'BOULEVARD 5'!R192&gt;0),"Pagado","impago"),""))</f>
        <v/>
      </c>
      <c r="P194" s="666" t="str">
        <f>IF(OR($A194="F&amp;F",$G194=""),"",IF(P$8&gt;$G194,IF(OR(status1B5!Q194=1,status1B5!Q194=2,'BOULEVARD 5'!S192&gt;0),"Pagado","impago"),""))</f>
        <v/>
      </c>
      <c r="Q194" s="666" t="str">
        <f>IF(OR($A194="F&amp;F",$G194=""),"",IF(Q$8&gt;$G194,IF(OR(status1B5!R194=1,status1B5!R194=2,'BOULEVARD 5'!T192&gt;0),"Pagado","impago"),""))</f>
        <v/>
      </c>
      <c r="R194" s="666" t="str">
        <f>IF(OR($A194="F&amp;F",$G194=""),"",IF(R$8&gt;$G194,IF(OR(status1B5!S194=1,status1B5!S194=2,'BOULEVARD 5'!U192&gt;0),"Pagado","impago"),""))</f>
        <v/>
      </c>
      <c r="S194" s="666" t="str">
        <f>IF(OR($A194="F&amp;F",$G194=""),"",IF(S$8&gt;$G194,IF(OR(status1B5!T194=1,status1B5!T194=2,'BOULEVARD 5'!V192&gt;0),"Pagado","impago"),""))</f>
        <v/>
      </c>
      <c r="T194" s="666" t="str">
        <f>IF(OR($A194="F&amp;F",$G194=""),"",IF(T$8&gt;$G194,IF(OR(status1B5!U194=1,status1B5!U194=2,'BOULEVARD 5'!W192&gt;0),"Pagado","impago"),""))</f>
        <v/>
      </c>
      <c r="U194" s="666" t="str">
        <f>IF(OR($A194="F&amp;F",$G194=""),"",IF(U$8&gt;$G194,IF(OR(status1B5!V194=1,status1B5!V194=2,'BOULEVARD 5'!X192&gt;0),"Pagado","impago"),""))</f>
        <v/>
      </c>
      <c r="V194" s="666" t="str">
        <f>IF(OR($A194="F&amp;F",$G194=""),"",IF(V$8&gt;$G194,IF(OR(status1B5!W194=1,status1B5!W194=2,'BOULEVARD 5'!Y192&gt;0),"Pagado","impago"),""))</f>
        <v/>
      </c>
      <c r="W194" s="666" t="str">
        <f>IF(OR($A194="F&amp;F",$G194=""),"",IF(W$8&gt;$G194,IF(OR(status1B5!X194=1,status1B5!X194=2,'BOULEVARD 5'!Z192&gt;0),"Pagado","impago"),""))</f>
        <v/>
      </c>
      <c r="X194" s="666" t="str">
        <f>IF(OR($A194="F&amp;F",$G194=""),"",IF(X$8&gt;$G194,IF(OR(status1B5!Y194=1,status1B5!Y194=2,'BOULEVARD 5'!AA192&gt;0),"Pagado","impago"),""))</f>
        <v/>
      </c>
      <c r="Y194" s="666" t="str">
        <f>IF(OR($A194="F&amp;F",$G194=""),"",IF(Y$8&gt;$G194,IF(OR(status1B5!Z194=1,status1B5!Z194=2,'BOULEVARD 5'!AB192&gt;0),"Pagado","impago"),""))</f>
        <v/>
      </c>
      <c r="Z194" s="666" t="str">
        <f>IF(OR($A194="F&amp;F",$G194=""),"",IF(Z$8&gt;$G194,IF(OR(status1B5!AA194=1,status1B5!AA194=2,'BOULEVARD 5'!AC192&gt;0),"Pagado","impago"),""))</f>
        <v/>
      </c>
      <c r="AA194" s="666" t="str">
        <f>IF(OR($A194="F&amp;F",$G194=""),"",IF(AA$8&gt;$G194,IF(OR(status1B5!AB194=1,status1B5!AB194=2,'BOULEVARD 5'!AD192&gt;0),"Pagado","impago"),""))</f>
        <v/>
      </c>
      <c r="AB194" s="666" t="str">
        <f>IF(OR($A194="F&amp;F",$G194=""),"",IF(AB$8&gt;$G194,IF(OR(status1B5!AC194=1,status1B5!AC194=2,'BOULEVARD 5'!AE192&gt;0),"Pagado","impago"),""))</f>
        <v/>
      </c>
      <c r="AC194" s="666" t="str">
        <f>IF(OR($A194="F&amp;F",$G194=""),"",IF(AC$8&gt;$G194,IF(OR(status1B5!AD194=1,status1B5!AD194=2,'BOULEVARD 5'!AF192&gt;0),"Pagado","impago"),""))</f>
        <v/>
      </c>
      <c r="AD194" s="666" t="str">
        <f>IF(OR($A194="F&amp;F",$G194=""),"",IF(AD$8&gt;$G194,IF(OR(status1B5!AE194=1,status1B5!AE194=2,'BOULEVARD 5'!AG192&gt;0),"Pagado","impago"),""))</f>
        <v/>
      </c>
      <c r="AE194" s="666" t="str">
        <f>IF(OR($A194="F&amp;F",$G194=""),"",IF(AE$8&gt;$G194,IF(OR(status1B5!AF194=1,status1B5!AF194=2,'BOULEVARD 5'!AH192&gt;0),"Pagado","impago"),""))</f>
        <v/>
      </c>
      <c r="AF194" s="666" t="str">
        <f>IF(OR($A194="F&amp;F",$G194=""),"",IF(AF$8&gt;$G194,IF(OR(status1B5!AG194=1,status1B5!AG194=2,'BOULEVARD 5'!AI192&gt;0),"Pagado","impago"),""))</f>
        <v/>
      </c>
      <c r="AG194" s="666" t="str">
        <f>IF(OR($A194="F&amp;F",$G194=""),"",IF(AG$8&gt;$G194,IF(OR(status1B5!AH194=1,status1B5!AH194=2,'BOULEVARD 5'!AJ192&gt;0),"Pagado","impago"),""))</f>
        <v/>
      </c>
      <c r="AH194" s="666" t="str">
        <f>IF(OR($A194="F&amp;F",$G194=""),"",IF(AH$8&gt;$G194,IF(OR(status1B5!AI194=1,status1B5!AI194=2,'BOULEVARD 5'!AK192&gt;0),"Pagado","impago"),""))</f>
        <v/>
      </c>
      <c r="AI194" s="666" t="str">
        <f>IF(OR($A194="F&amp;F",$G194=""),"",IF(AI$8&gt;$G194,IF(OR(status1B5!AJ194=1,status1B5!AJ194=2,'BOULEVARD 5'!AL192&gt;0),"Pagado","impago"),""))</f>
        <v/>
      </c>
      <c r="AJ194" s="666" t="str">
        <f>IF(OR($A194="F&amp;F",$G194=""),"",IF(AJ$8&gt;$G194,IF(OR(status1B5!AK194=1,status1B5!AK194=2,'BOULEVARD 5'!AM192&gt;0),"Pagado","impago"),""))</f>
        <v/>
      </c>
      <c r="AK194" s="666" t="str">
        <f>IF(OR($A194="F&amp;F",$G194=""),"",IF(AK$8&gt;$G194,IF(OR(status1B5!AL194=1,status1B5!AL194=2,'BOULEVARD 5'!AN192&gt;0),"Pagado","impago"),""))</f>
        <v>Pagado</v>
      </c>
      <c r="AL194" s="666" t="str">
        <f>IF(OR($A194="F&amp;F",$G194=""),"",IF(AL$8&gt;$G194,IF(OR(status1B5!AM194=1,status1B5!AM194=2,'BOULEVARD 5'!AO192&gt;0),"Pagado","impago"),""))</f>
        <v>Pagado</v>
      </c>
      <c r="AM194" s="666" t="str">
        <f>IF(OR($A194="F&amp;F",$G194=""),"",IF(AM$8&gt;$G194,IF(OR(status1B5!AN194=1,status1B5!AN194=2,'BOULEVARD 5'!AP192&gt;0),"Pagado","impago"),""))</f>
        <v>Pagado</v>
      </c>
      <c r="AN194" s="666" t="str">
        <f>IF(OR($A194="F&amp;F",$G194=""),"",IF(AN$8&gt;$G194,IF(OR(status1B5!AO194=1,status1B5!AO194=2,'BOULEVARD 5'!AQ192&gt;0),"Pagado","impago"),""))</f>
        <v>Pagado</v>
      </c>
      <c r="AO194" s="666" t="str">
        <f>IF(OR($A194="F&amp;F",$G194=""),"",IF(AO$8&gt;$G194,IF(OR(status1B5!AP194=1,status1B5!AP194=2,'BOULEVARD 5'!AS192&gt;0),"Pagado","impago"),""))</f>
        <v>Pagado</v>
      </c>
      <c r="AP194" s="429" t="str">
        <f t="shared" si="7"/>
        <v>Vendido</v>
      </c>
    </row>
    <row r="195" spans="1:42" s="429" customFormat="1" ht="13.9" customHeight="1" x14ac:dyDescent="0.25">
      <c r="A195" s="472"/>
      <c r="B195" s="436">
        <f>'BOULEVARD 5'!B193</f>
        <v>1020</v>
      </c>
      <c r="C195" s="436" t="s">
        <v>355</v>
      </c>
      <c r="D195" s="436"/>
      <c r="E195" s="436" t="str">
        <f>IF('BOULEVARD 5'!E193="","",'BOULEVARD 5'!E193)</f>
        <v>Erwin Cardona</v>
      </c>
      <c r="F195" s="429" t="str">
        <f>IF('BOULEVARD 5'!F193="","",'BOULEVARD 5'!F193)</f>
        <v>Bernerd Alexandro Godínez López</v>
      </c>
      <c r="G195" s="473">
        <f>IF('BOULEVARD 5'!G193="","",'BOULEVARD 5'!G193)</f>
        <v>45985</v>
      </c>
      <c r="H195" s="666" t="str">
        <f>IF(OR($A195="F&amp;F",$G195=""),"",IF(H$8&gt;$G195,IF(OR(status1B5!I195=1,status1B5!I195=2,'BOULEVARD 5'!K193&gt;0),"Pagado","impago"),""))</f>
        <v/>
      </c>
      <c r="I195" s="666" t="str">
        <f>IF(OR($A195="F&amp;F",$G195=""),"",IF(I$8&gt;$G195,IF(OR(status1B5!J195=1,status1B5!J195=2,'BOULEVARD 5'!L193&gt;0),"Pagado","impago"),""))</f>
        <v/>
      </c>
      <c r="J195" s="666" t="str">
        <f>IF(OR($A195="F&amp;F",$G195=""),"",IF(J$8&gt;$G195,IF(OR(status1B5!K195=1,status1B5!K195=2,'BOULEVARD 5'!M193&gt;0),"Pagado","impago"),""))</f>
        <v/>
      </c>
      <c r="K195" s="666" t="str">
        <f>IF(OR($A195="F&amp;F",$G195=""),"",IF(K$8&gt;$G195,IF(OR(status1B5!L195=1,status1B5!L195=2,'BOULEVARD 5'!N193&gt;0),"Pagado","impago"),""))</f>
        <v/>
      </c>
      <c r="L195" s="666" t="str">
        <f>IF(OR($A195="F&amp;F",$G195=""),"",IF(L$8&gt;$G195,IF(OR(status1B5!M195=1,status1B5!M195=2,'BOULEVARD 5'!O193&gt;0),"Pagado","impago"),""))</f>
        <v/>
      </c>
      <c r="M195" s="666" t="str">
        <f>IF(OR($A195="F&amp;F",$G195=""),"",IF(M$8&gt;$G195,IF(OR(status1B5!N195=1,status1B5!N195=2,'BOULEVARD 5'!P193&gt;0),"Pagado","impago"),""))</f>
        <v/>
      </c>
      <c r="N195" s="666" t="str">
        <f>IF(OR($A195="F&amp;F",$G195=""),"",IF(N$8&gt;$G195,IF(OR(status1B5!O195=1,status1B5!O195=2,'BOULEVARD 5'!Q193&gt;0),"Pagado","impago"),""))</f>
        <v/>
      </c>
      <c r="O195" s="666" t="str">
        <f>IF(OR($A195="F&amp;F",$G195=""),"",IF(O$8&gt;$G195,IF(OR(status1B5!P195=1,status1B5!P195=2,'BOULEVARD 5'!R193&gt;0),"Pagado","impago"),""))</f>
        <v/>
      </c>
      <c r="P195" s="666" t="str">
        <f>IF(OR($A195="F&amp;F",$G195=""),"",IF(P$8&gt;$G195,IF(OR(status1B5!Q195=1,status1B5!Q195=2,'BOULEVARD 5'!S193&gt;0),"Pagado","impago"),""))</f>
        <v/>
      </c>
      <c r="Q195" s="666" t="str">
        <f>IF(OR($A195="F&amp;F",$G195=""),"",IF(Q$8&gt;$G195,IF(OR(status1B5!R195=1,status1B5!R195=2,'BOULEVARD 5'!T193&gt;0),"Pagado","impago"),""))</f>
        <v/>
      </c>
      <c r="R195" s="666" t="str">
        <f>IF(OR($A195="F&amp;F",$G195=""),"",IF(R$8&gt;$G195,IF(OR(status1B5!S195=1,status1B5!S195=2,'BOULEVARD 5'!U193&gt;0),"Pagado","impago"),""))</f>
        <v/>
      </c>
      <c r="S195" s="666" t="str">
        <f>IF(OR($A195="F&amp;F",$G195=""),"",IF(S$8&gt;$G195,IF(OR(status1B5!T195=1,status1B5!T195=2,'BOULEVARD 5'!V193&gt;0),"Pagado","impago"),""))</f>
        <v/>
      </c>
      <c r="T195" s="666" t="str">
        <f>IF(OR($A195="F&amp;F",$G195=""),"",IF(T$8&gt;$G195,IF(OR(status1B5!U195=1,status1B5!U195=2,'BOULEVARD 5'!W193&gt;0),"Pagado","impago"),""))</f>
        <v/>
      </c>
      <c r="U195" s="666" t="str">
        <f>IF(OR($A195="F&amp;F",$G195=""),"",IF(U$8&gt;$G195,IF(OR(status1B5!V195=1,status1B5!V195=2,'BOULEVARD 5'!X193&gt;0),"Pagado","impago"),""))</f>
        <v/>
      </c>
      <c r="V195" s="666" t="str">
        <f>IF(OR($A195="F&amp;F",$G195=""),"",IF(V$8&gt;$G195,IF(OR(status1B5!W195=1,status1B5!W195=2,'BOULEVARD 5'!Y193&gt;0),"Pagado","impago"),""))</f>
        <v/>
      </c>
      <c r="W195" s="666" t="str">
        <f>IF(OR($A195="F&amp;F",$G195=""),"",IF(W$8&gt;$G195,IF(OR(status1B5!X195=1,status1B5!X195=2,'BOULEVARD 5'!Z193&gt;0),"Pagado","impago"),""))</f>
        <v/>
      </c>
      <c r="X195" s="666" t="str">
        <f>IF(OR($A195="F&amp;F",$G195=""),"",IF(X$8&gt;$G195,IF(OR(status1B5!Y195=1,status1B5!Y195=2,'BOULEVARD 5'!AA193&gt;0),"Pagado","impago"),""))</f>
        <v/>
      </c>
      <c r="Y195" s="666" t="str">
        <f>IF(OR($A195="F&amp;F",$G195=""),"",IF(Y$8&gt;$G195,IF(OR(status1B5!Z195=1,status1B5!Z195=2,'BOULEVARD 5'!AB193&gt;0),"Pagado","impago"),""))</f>
        <v/>
      </c>
      <c r="Z195" s="666" t="str">
        <f>IF(OR($A195="F&amp;F",$G195=""),"",IF(Z$8&gt;$G195,IF(OR(status1B5!AA195=1,status1B5!AA195=2,'BOULEVARD 5'!AC193&gt;0),"Pagado","impago"),""))</f>
        <v/>
      </c>
      <c r="AA195" s="666" t="str">
        <f>IF(OR($A195="F&amp;F",$G195=""),"",IF(AA$8&gt;$G195,IF(OR(status1B5!AB195=1,status1B5!AB195=2,'BOULEVARD 5'!AD193&gt;0),"Pagado","impago"),""))</f>
        <v/>
      </c>
      <c r="AB195" s="666" t="str">
        <f>IF(OR($A195="F&amp;F",$G195=""),"",IF(AB$8&gt;$G195,IF(OR(status1B5!AC195=1,status1B5!AC195=2,'BOULEVARD 5'!AE193&gt;0),"Pagado","impago"),""))</f>
        <v/>
      </c>
      <c r="AC195" s="666" t="str">
        <f>IF(OR($A195="F&amp;F",$G195=""),"",IF(AC$8&gt;$G195,IF(OR(status1B5!AD195=1,status1B5!AD195=2,'BOULEVARD 5'!AF193&gt;0),"Pagado","impago"),""))</f>
        <v/>
      </c>
      <c r="AD195" s="666" t="str">
        <f>IF(OR($A195="F&amp;F",$G195=""),"",IF(AD$8&gt;$G195,IF(OR(status1B5!AE195=1,status1B5!AE195=2,'BOULEVARD 5'!AG193&gt;0),"Pagado","impago"),""))</f>
        <v/>
      </c>
      <c r="AE195" s="666" t="str">
        <f>IF(OR($A195="F&amp;F",$G195=""),"",IF(AE$8&gt;$G195,IF(OR(status1B5!AF195=1,status1B5!AF195=2,'BOULEVARD 5'!AH193&gt;0),"Pagado","impago"),""))</f>
        <v/>
      </c>
      <c r="AF195" s="666" t="str">
        <f>IF(OR($A195="F&amp;F",$G195=""),"",IF(AF$8&gt;$G195,IF(OR(status1B5!AG195=1,status1B5!AG195=2,'BOULEVARD 5'!AI193&gt;0),"Pagado","impago"),""))</f>
        <v/>
      </c>
      <c r="AG195" s="666" t="str">
        <f>IF(OR($A195="F&amp;F",$G195=""),"",IF(AG$8&gt;$G195,IF(OR(status1B5!AH195=1,status1B5!AH195=2,'BOULEVARD 5'!AJ193&gt;0),"Pagado","impago"),""))</f>
        <v/>
      </c>
      <c r="AH195" s="666" t="str">
        <f>IF(OR($A195="F&amp;F",$G195=""),"",IF(AH$8&gt;$G195,IF(OR(status1B5!AI195=1,status1B5!AI195=2,'BOULEVARD 5'!AK193&gt;0),"Pagado","impago"),""))</f>
        <v/>
      </c>
      <c r="AI195" s="666" t="str">
        <f>IF(OR($A195="F&amp;F",$G195=""),"",IF(AI$8&gt;$G195,IF(OR(status1B5!AJ195=1,status1B5!AJ195=2,'BOULEVARD 5'!AL193&gt;0),"Pagado","impago"),""))</f>
        <v/>
      </c>
      <c r="AJ195" s="666" t="str">
        <f>IF(OR($A195="F&amp;F",$G195=""),"",IF(AJ$8&gt;$G195,IF(OR(status1B5!AK195=1,status1B5!AK195=2,'BOULEVARD 5'!AM193&gt;0),"Pagado","impago"),""))</f>
        <v/>
      </c>
      <c r="AK195" s="666" t="str">
        <f>IF(OR($A195="F&amp;F",$G195=""),"",IF(AK$8&gt;$G195,IF(OR(status1B5!AL195=1,status1B5!AL195=2,'BOULEVARD 5'!AN193&gt;0),"Pagado","impago"),""))</f>
        <v/>
      </c>
      <c r="AL195" s="666" t="str">
        <f>IF(OR($A195="F&amp;F",$G195=""),"",IF(AL$8&gt;$G195,IF(OR(status1B5!AM195=1,status1B5!AM195=2,'BOULEVARD 5'!AO193&gt;0),"Pagado","impago"),""))</f>
        <v/>
      </c>
      <c r="AM195" s="666" t="str">
        <f>IF(OR($A195="F&amp;F",$G195=""),"",IF(AM$8&gt;$G195,IF(OR(status1B5!AN195=1,status1B5!AN195=2,'BOULEVARD 5'!AP193&gt;0),"Pagado","impago"),""))</f>
        <v/>
      </c>
      <c r="AN195" s="666" t="str">
        <f>IF(OR($A195="F&amp;F",$G195=""),"",IF(AN$8&gt;$G195,IF(OR(status1B5!AO195=1,status1B5!AO195=2,'BOULEVARD 5'!AQ193&gt;0),"Pagado","impago"),""))</f>
        <v>Pagado</v>
      </c>
      <c r="AO195" s="666" t="str">
        <f>IF(OR($A195="F&amp;F",$G195=""),"",IF(AO$8&gt;$G195,IF(OR(status1B5!AP195=1,status1B5!AP195=2,'BOULEVARD 5'!AS193&gt;0),"Pagado","impago"),""))</f>
        <v>Pagado</v>
      </c>
      <c r="AP195" s="429" t="str">
        <f t="shared" si="7"/>
        <v>Vendido</v>
      </c>
    </row>
    <row r="196" spans="1:42" s="429" customFormat="1" ht="13.9" customHeight="1" x14ac:dyDescent="0.25">
      <c r="A196" s="472"/>
      <c r="B196" s="436">
        <f>'BOULEVARD 5'!B194</f>
        <v>1101</v>
      </c>
      <c r="C196" s="436" t="s">
        <v>355</v>
      </c>
      <c r="D196" s="436"/>
      <c r="E196" s="436" t="str">
        <f>IF('BOULEVARD 5'!E194="","",'BOULEVARD 5'!E194)</f>
        <v>Antonio Rada</v>
      </c>
      <c r="F196" s="429" t="str">
        <f>IF('BOULEVARD 5'!F194="","",'BOULEVARD 5'!F194)</f>
        <v>Maria Fernanda Contreras Lopez</v>
      </c>
      <c r="G196" s="473">
        <f>IF('BOULEVARD 5'!G194="","",'BOULEVARD 5'!G194)</f>
        <v>45374</v>
      </c>
      <c r="H196" s="666" t="str">
        <f>IF(OR($A196="F&amp;F",$G196=""),"",IF(H$8&gt;$G196,IF(OR(status1B5!I196=1,status1B5!I196=2,'BOULEVARD 5'!K194&gt;0),"Pagado","impago"),""))</f>
        <v/>
      </c>
      <c r="I196" s="666" t="str">
        <f>IF(OR($A196="F&amp;F",$G196=""),"",IF(I$8&gt;$G196,IF(OR(status1B5!J196=1,status1B5!J196=2,'BOULEVARD 5'!L194&gt;0),"Pagado","impago"),""))</f>
        <v/>
      </c>
      <c r="J196" s="666" t="str">
        <f>IF(OR($A196="F&amp;F",$G196=""),"",IF(J$8&gt;$G196,IF(OR(status1B5!K196=1,status1B5!K196=2,'BOULEVARD 5'!M194&gt;0),"Pagado","impago"),""))</f>
        <v/>
      </c>
      <c r="K196" s="666" t="str">
        <f>IF(OR($A196="F&amp;F",$G196=""),"",IF(K$8&gt;$G196,IF(OR(status1B5!L196=1,status1B5!L196=2,'BOULEVARD 5'!N194&gt;0),"Pagado","impago"),""))</f>
        <v/>
      </c>
      <c r="L196" s="666" t="str">
        <f>IF(OR($A196="F&amp;F",$G196=""),"",IF(L$8&gt;$G196,IF(OR(status1B5!M196=1,status1B5!M196=2,'BOULEVARD 5'!O194&gt;0),"Pagado","impago"),""))</f>
        <v/>
      </c>
      <c r="M196" s="666" t="str">
        <f>IF(OR($A196="F&amp;F",$G196=""),"",IF(M$8&gt;$G196,IF(OR(status1B5!N196=1,status1B5!N196=2,'BOULEVARD 5'!P194&gt;0),"Pagado","impago"),""))</f>
        <v/>
      </c>
      <c r="N196" s="666" t="str">
        <f>IF(OR($A196="F&amp;F",$G196=""),"",IF(N$8&gt;$G196,IF(OR(status1B5!O196=1,status1B5!O196=2,'BOULEVARD 5'!Q194&gt;0),"Pagado","impago"),""))</f>
        <v/>
      </c>
      <c r="O196" s="666" t="str">
        <f>IF(OR($A196="F&amp;F",$G196=""),"",IF(O$8&gt;$G196,IF(OR(status1B5!P196=1,status1B5!P196=2,'BOULEVARD 5'!R194&gt;0),"Pagado","impago"),""))</f>
        <v/>
      </c>
      <c r="P196" s="666" t="str">
        <f>IF(OR($A196="F&amp;F",$G196=""),"",IF(P$8&gt;$G196,IF(OR(status1B5!Q196=1,status1B5!Q196=2,'BOULEVARD 5'!S194&gt;0),"Pagado","impago"),""))</f>
        <v/>
      </c>
      <c r="Q196" s="666" t="str">
        <f>IF(OR($A196="F&amp;F",$G196=""),"",IF(Q$8&gt;$G196,IF(OR(status1B5!R196=1,status1B5!R196=2,'BOULEVARD 5'!T194&gt;0),"Pagado","impago"),""))</f>
        <v/>
      </c>
      <c r="R196" s="666" t="str">
        <f>IF(OR($A196="F&amp;F",$G196=""),"",IF(R$8&gt;$G196,IF(OR(status1B5!S196=1,status1B5!S196=2,'BOULEVARD 5'!U194&gt;0),"Pagado","impago"),""))</f>
        <v/>
      </c>
      <c r="S196" s="666" t="str">
        <f>IF(OR($A196="F&amp;F",$G196=""),"",IF(S$8&gt;$G196,IF(OR(status1B5!T196=1,status1B5!T196=2,'BOULEVARD 5'!V194&gt;0),"Pagado","impago"),""))</f>
        <v/>
      </c>
      <c r="T196" s="666" t="str">
        <f>IF(OR($A196="F&amp;F",$G196=""),"",IF(T$8&gt;$G196,IF(OR(status1B5!U196=1,status1B5!U196=2,'BOULEVARD 5'!W194&gt;0),"Pagado","impago"),""))</f>
        <v>Pagado</v>
      </c>
      <c r="U196" s="666" t="str">
        <f>IF(OR($A196="F&amp;F",$G196=""),"",IF(U$8&gt;$G196,IF(OR(status1B5!V196=1,status1B5!V196=2,'BOULEVARD 5'!X194&gt;0),"Pagado","impago"),""))</f>
        <v>Pagado</v>
      </c>
      <c r="V196" s="666" t="str">
        <f>IF(OR($A196="F&amp;F",$G196=""),"",IF(V$8&gt;$G196,IF(OR(status1B5!W196=1,status1B5!W196=2,'BOULEVARD 5'!Y194&gt;0),"Pagado","impago"),""))</f>
        <v>Pagado</v>
      </c>
      <c r="W196" s="666" t="str">
        <f>IF(OR($A196="F&amp;F",$G196=""),"",IF(W$8&gt;$G196,IF(OR(status1B5!X196=1,status1B5!X196=2,'BOULEVARD 5'!Z194&gt;0),"Pagado","impago"),""))</f>
        <v>Pagado</v>
      </c>
      <c r="X196" s="666" t="str">
        <f>IF(OR($A196="F&amp;F",$G196=""),"",IF(X$8&gt;$G196,IF(OR(status1B5!Y196=1,status1B5!Y196=2,'BOULEVARD 5'!AA194&gt;0),"Pagado","impago"),""))</f>
        <v>Pagado</v>
      </c>
      <c r="Y196" s="666" t="str">
        <f>IF(OR($A196="F&amp;F",$G196=""),"",IF(Y$8&gt;$G196,IF(OR(status1B5!Z196=1,status1B5!Z196=2,'BOULEVARD 5'!AB194&gt;0),"Pagado","impago"),""))</f>
        <v>Pagado</v>
      </c>
      <c r="Z196" s="666" t="str">
        <f>IF(OR($A196="F&amp;F",$G196=""),"",IF(Z$8&gt;$G196,IF(OR(status1B5!AA196=1,status1B5!AA196=2,'BOULEVARD 5'!AC194&gt;0),"Pagado","impago"),""))</f>
        <v>Pagado</v>
      </c>
      <c r="AA196" s="666" t="str">
        <f>IF(OR($A196="F&amp;F",$G196=""),"",IF(AA$8&gt;$G196,IF(OR(status1B5!AB196=1,status1B5!AB196=2,'BOULEVARD 5'!AD194&gt;0),"Pagado","impago"),""))</f>
        <v>Pagado</v>
      </c>
      <c r="AB196" s="666" t="str">
        <f>IF(OR($A196="F&amp;F",$G196=""),"",IF(AB$8&gt;$G196,IF(OR(status1B5!AC196=1,status1B5!AC196=2,'BOULEVARD 5'!AE194&gt;0),"Pagado","impago"),""))</f>
        <v>Pagado</v>
      </c>
      <c r="AC196" s="666" t="str">
        <f>IF(OR($A196="F&amp;F",$G196=""),"",IF(AC$8&gt;$G196,IF(OR(status1B5!AD196=1,status1B5!AD196=2,'BOULEVARD 5'!AF194&gt;0),"Pagado","impago"),""))</f>
        <v>Pagado</v>
      </c>
      <c r="AD196" s="666" t="str">
        <f>IF(OR($A196="F&amp;F",$G196=""),"",IF(AD$8&gt;$G196,IF(OR(status1B5!AE196=1,status1B5!AE196=2,'BOULEVARD 5'!AG194&gt;0),"Pagado","impago"),""))</f>
        <v>Pagado</v>
      </c>
      <c r="AE196" s="666" t="str">
        <f>IF(OR($A196="F&amp;F",$G196=""),"",IF(AE$8&gt;$G196,IF(OR(status1B5!AF196=1,status1B5!AF196=2,'BOULEVARD 5'!AH194&gt;0),"Pagado","impago"),""))</f>
        <v>Pagado</v>
      </c>
      <c r="AF196" s="666" t="str">
        <f>IF(OR($A196="F&amp;F",$G196=""),"",IF(AF$8&gt;$G196,IF(OR(status1B5!AG196=1,status1B5!AG196=2,'BOULEVARD 5'!AI194&gt;0),"Pagado","impago"),""))</f>
        <v>Pagado</v>
      </c>
      <c r="AG196" s="666" t="str">
        <f>IF(OR($A196="F&amp;F",$G196=""),"",IF(AG$8&gt;$G196,IF(OR(status1B5!AH196=1,status1B5!AH196=2,'BOULEVARD 5'!AJ194&gt;0),"Pagado","impago"),""))</f>
        <v>Pagado</v>
      </c>
      <c r="AH196" s="666" t="str">
        <f>IF(OR($A196="F&amp;F",$G196=""),"",IF(AH$8&gt;$G196,IF(OR(status1B5!AI196=1,status1B5!AI196=2,'BOULEVARD 5'!AK194&gt;0),"Pagado","impago"),""))</f>
        <v>Pagado</v>
      </c>
      <c r="AI196" s="666" t="str">
        <f>IF(OR($A196="F&amp;F",$G196=""),"",IF(AI$8&gt;$G196,IF(OR(status1B5!AJ196=1,status1B5!AJ196=2,'BOULEVARD 5'!AL194&gt;0),"Pagado","impago"),""))</f>
        <v>Pagado</v>
      </c>
      <c r="AJ196" s="666" t="str">
        <f>IF(OR($A196="F&amp;F",$G196=""),"",IF(AJ$8&gt;$G196,IF(OR(status1B5!AK196=1,status1B5!AK196=2,'BOULEVARD 5'!AM194&gt;0),"Pagado","impago"),""))</f>
        <v>Pagado</v>
      </c>
      <c r="AK196" s="666" t="str">
        <f>IF(OR($A196="F&amp;F",$G196=""),"",IF(AK$8&gt;$G196,IF(OR(status1B5!AL196=1,status1B5!AL196=2,'BOULEVARD 5'!AN194&gt;0),"Pagado","impago"),""))</f>
        <v>Pagado</v>
      </c>
      <c r="AL196" s="666" t="str">
        <f>IF(OR($A196="F&amp;F",$G196=""),"",IF(AL$8&gt;$G196,IF(OR(status1B5!AM196=1,status1B5!AM196=2,'BOULEVARD 5'!AO194&gt;0),"Pagado","impago"),""))</f>
        <v>Pagado</v>
      </c>
      <c r="AM196" s="666" t="str">
        <f>IF(OR($A196="F&amp;F",$G196=""),"",IF(AM$8&gt;$G196,IF(OR(status1B5!AN196=1,status1B5!AN196=2,'BOULEVARD 5'!AP194&gt;0),"Pagado","impago"),""))</f>
        <v>Pagado</v>
      </c>
      <c r="AN196" s="666" t="str">
        <f>IF(OR($A196="F&amp;F",$G196=""),"",IF(AN$8&gt;$G196,IF(OR(status1B5!AO196=1,status1B5!AO196=2,'BOULEVARD 5'!AQ194&gt;0),"Pagado","impago"),""))</f>
        <v>Pagado</v>
      </c>
      <c r="AO196" s="666" t="str">
        <f>IF(OR($A196="F&amp;F",$G196=""),"",IF(AO$8&gt;$G196,IF(OR(status1B5!AP196=1,status1B5!AP196=2,'BOULEVARD 5'!AS194&gt;0),"Pagado","impago"),""))</f>
        <v>Pagado</v>
      </c>
      <c r="AP196" s="429" t="str">
        <f t="shared" si="7"/>
        <v>Vendido</v>
      </c>
    </row>
    <row r="197" spans="1:42" s="429" customFormat="1" ht="13.9" customHeight="1" x14ac:dyDescent="0.25">
      <c r="A197" s="472"/>
      <c r="B197" s="436">
        <f>'BOULEVARD 5'!B195</f>
        <v>1102</v>
      </c>
      <c r="C197" s="436" t="s">
        <v>355</v>
      </c>
      <c r="D197" s="436"/>
      <c r="E197" s="436" t="str">
        <f>IF('BOULEVARD 5'!E195="","",'BOULEVARD 5'!E195)</f>
        <v>Antonio Rada</v>
      </c>
      <c r="F197" s="429" t="str">
        <f>IF('BOULEVARD 5'!F195="","",'BOULEVARD 5'!F195)</f>
        <v>Luis Alberto Lopez Velasquez</v>
      </c>
      <c r="G197" s="473">
        <f>IF('BOULEVARD 5'!G195="","",'BOULEVARD 5'!G195)</f>
        <v>45016</v>
      </c>
      <c r="H197" s="666" t="str">
        <f>IF(OR($A197="F&amp;F",$G197=""),"",IF(H$8&gt;$G197,IF(OR(status1B5!I197=1,status1B5!I197=2,'BOULEVARD 5'!K195&gt;0),"Pagado","impago"),""))</f>
        <v/>
      </c>
      <c r="I197" s="666" t="str">
        <f>IF(OR($A197="F&amp;F",$G197=""),"",IF(I$8&gt;$G197,IF(OR(status1B5!J197=1,status1B5!J197=2,'BOULEVARD 5'!L195&gt;0),"Pagado","impago"),""))</f>
        <v>Pagado</v>
      </c>
      <c r="J197" s="666" t="str">
        <f>IF(OR($A197="F&amp;F",$G197=""),"",IF(J$8&gt;$G197,IF(OR(status1B5!K197=1,status1B5!K197=2,'BOULEVARD 5'!M195&gt;0),"Pagado","impago"),""))</f>
        <v>Pagado</v>
      </c>
      <c r="K197" s="666" t="str">
        <f>IF(OR($A197="F&amp;F",$G197=""),"",IF(K$8&gt;$G197,IF(OR(status1B5!L197=1,status1B5!L197=2,'BOULEVARD 5'!N195&gt;0),"Pagado","impago"),""))</f>
        <v>Pagado</v>
      </c>
      <c r="L197" s="666" t="str">
        <f>IF(OR($A197="F&amp;F",$G197=""),"",IF(L$8&gt;$G197,IF(OR(status1B5!M197=1,status1B5!M197=2,'BOULEVARD 5'!O195&gt;0),"Pagado","impago"),""))</f>
        <v>Pagado</v>
      </c>
      <c r="M197" s="666" t="str">
        <f>IF(OR($A197="F&amp;F",$G197=""),"",IF(M$8&gt;$G197,IF(OR(status1B5!N197=1,status1B5!N197=2,'BOULEVARD 5'!P195&gt;0),"Pagado","impago"),""))</f>
        <v>Pagado</v>
      </c>
      <c r="N197" s="666" t="str">
        <f>IF(OR($A197="F&amp;F",$G197=""),"",IF(N$8&gt;$G197,IF(OR(status1B5!O197=1,status1B5!O197=2,'BOULEVARD 5'!Q195&gt;0),"Pagado","impago"),""))</f>
        <v>Pagado</v>
      </c>
      <c r="O197" s="666" t="str">
        <f>IF(OR($A197="F&amp;F",$G197=""),"",IF(O$8&gt;$G197,IF(OR(status1B5!P197=1,status1B5!P197=2,'BOULEVARD 5'!R195&gt;0),"Pagado","impago"),""))</f>
        <v>Pagado</v>
      </c>
      <c r="P197" s="666" t="str">
        <f>IF(OR($A197="F&amp;F",$G197=""),"",IF(P$8&gt;$G197,IF(OR(status1B5!Q197=1,status1B5!Q197=2,'BOULEVARD 5'!S195&gt;0),"Pagado","impago"),""))</f>
        <v>Pagado</v>
      </c>
      <c r="Q197" s="666" t="str">
        <f>IF(OR($A197="F&amp;F",$G197=""),"",IF(Q$8&gt;$G197,IF(OR(status1B5!R197=1,status1B5!R197=2,'BOULEVARD 5'!T195&gt;0),"Pagado","impago"),""))</f>
        <v>Pagado</v>
      </c>
      <c r="R197" s="666" t="str">
        <f>IF(OR($A197="F&amp;F",$G197=""),"",IF(R$8&gt;$G197,IF(OR(status1B5!S197=1,status1B5!S197=2,'BOULEVARD 5'!U195&gt;0),"Pagado","impago"),""))</f>
        <v>Pagado</v>
      </c>
      <c r="S197" s="666" t="str">
        <f>IF(OR($A197="F&amp;F",$G197=""),"",IF(S$8&gt;$G197,IF(OR(status1B5!T197=1,status1B5!T197=2,'BOULEVARD 5'!V195&gt;0),"Pagado","impago"),""))</f>
        <v>Pagado</v>
      </c>
      <c r="T197" s="666" t="str">
        <f>IF(OR($A197="F&amp;F",$G197=""),"",IF(T$8&gt;$G197,IF(OR(status1B5!U197=1,status1B5!U197=2,'BOULEVARD 5'!W195&gt;0),"Pagado","impago"),""))</f>
        <v>Pagado</v>
      </c>
      <c r="U197" s="666" t="str">
        <f>IF(OR($A197="F&amp;F",$G197=""),"",IF(U$8&gt;$G197,IF(OR(status1B5!V197=1,status1B5!V197=2,'BOULEVARD 5'!X195&gt;0),"Pagado","impago"),""))</f>
        <v>Pagado</v>
      </c>
      <c r="V197" s="666" t="str">
        <f>IF(OR($A197="F&amp;F",$G197=""),"",IF(V$8&gt;$G197,IF(OR(status1B5!W197=1,status1B5!W197=2,'BOULEVARD 5'!Y195&gt;0),"Pagado","impago"),""))</f>
        <v>Pagado</v>
      </c>
      <c r="W197" s="666" t="str">
        <f>IF(OR($A197="F&amp;F",$G197=""),"",IF(W$8&gt;$G197,IF(OR(status1B5!X197=1,status1B5!X197=2,'BOULEVARD 5'!Z195&gt;0),"Pagado","impago"),""))</f>
        <v>Pagado</v>
      </c>
      <c r="X197" s="666" t="str">
        <f>IF(OR($A197="F&amp;F",$G197=""),"",IF(X$8&gt;$G197,IF(OR(status1B5!Y197=1,status1B5!Y197=2,'BOULEVARD 5'!AA195&gt;0),"Pagado","impago"),""))</f>
        <v>Pagado</v>
      </c>
      <c r="Y197" s="666" t="str">
        <f>IF(OR($A197="F&amp;F",$G197=""),"",IF(Y$8&gt;$G197,IF(OR(status1B5!Z197=1,status1B5!Z197=2,'BOULEVARD 5'!AB195&gt;0),"Pagado","impago"),""))</f>
        <v>Pagado</v>
      </c>
      <c r="Z197" s="666" t="str">
        <f>IF(OR($A197="F&amp;F",$G197=""),"",IF(Z$8&gt;$G197,IF(OR(status1B5!AA197=1,status1B5!AA197=2,'BOULEVARD 5'!AC195&gt;0),"Pagado","impago"),""))</f>
        <v>Pagado</v>
      </c>
      <c r="AA197" s="666" t="str">
        <f>IF(OR($A197="F&amp;F",$G197=""),"",IF(AA$8&gt;$G197,IF(OR(status1B5!AB197=1,status1B5!AB197=2,'BOULEVARD 5'!AD195&gt;0),"Pagado","impago"),""))</f>
        <v>Pagado</v>
      </c>
      <c r="AB197" s="666" t="str">
        <f>IF(OR($A197="F&amp;F",$G197=""),"",IF(AB$8&gt;$G197,IF(OR(status1B5!AC197=1,status1B5!AC197=2,'BOULEVARD 5'!AE195&gt;0),"Pagado","impago"),""))</f>
        <v>Pagado</v>
      </c>
      <c r="AC197" s="666" t="str">
        <f>IF(OR($A197="F&amp;F",$G197=""),"",IF(AC$8&gt;$G197,IF(OR(status1B5!AD197=1,status1B5!AD197=2,'BOULEVARD 5'!AF195&gt;0),"Pagado","impago"),""))</f>
        <v>Pagado</v>
      </c>
      <c r="AD197" s="666" t="str">
        <f>IF(OR($A197="F&amp;F",$G197=""),"",IF(AD$8&gt;$G197,IF(OR(status1B5!AE197=1,status1B5!AE197=2,'BOULEVARD 5'!AG195&gt;0),"Pagado","impago"),""))</f>
        <v>Pagado</v>
      </c>
      <c r="AE197" s="666" t="str">
        <f>IF(OR($A197="F&amp;F",$G197=""),"",IF(AE$8&gt;$G197,IF(OR(status1B5!AF197=1,status1B5!AF197=2,'BOULEVARD 5'!AH195&gt;0),"Pagado","impago"),""))</f>
        <v>Pagado</v>
      </c>
      <c r="AF197" s="666" t="str">
        <f>IF(OR($A197="F&amp;F",$G197=""),"",IF(AF$8&gt;$G197,IF(OR(status1B5!AG197=1,status1B5!AG197=2,'BOULEVARD 5'!AI195&gt;0),"Pagado","impago"),""))</f>
        <v>Pagado</v>
      </c>
      <c r="AG197" s="666" t="str">
        <f>IF(OR($A197="F&amp;F",$G197=""),"",IF(AG$8&gt;$G197,IF(OR(status1B5!AH197=1,status1B5!AH197=2,'BOULEVARD 5'!AJ195&gt;0),"Pagado","impago"),""))</f>
        <v>Pagado</v>
      </c>
      <c r="AH197" s="666" t="str">
        <f>IF(OR($A197="F&amp;F",$G197=""),"",IF(AH$8&gt;$G197,IF(OR(status1B5!AI197=1,status1B5!AI197=2,'BOULEVARD 5'!AK195&gt;0),"Pagado","impago"),""))</f>
        <v>Pagado</v>
      </c>
      <c r="AI197" s="666" t="str">
        <f>IF(OR($A197="F&amp;F",$G197=""),"",IF(AI$8&gt;$G197,IF(OR(status1B5!AJ197=1,status1B5!AJ197=2,'BOULEVARD 5'!AL195&gt;0),"Pagado","impago"),""))</f>
        <v>Pagado</v>
      </c>
      <c r="AJ197" s="666" t="str">
        <f>IF(OR($A197="F&amp;F",$G197=""),"",IF(AJ$8&gt;$G197,IF(OR(status1B5!AK197=1,status1B5!AK197=2,'BOULEVARD 5'!AM195&gt;0),"Pagado","impago"),""))</f>
        <v>Pagado</v>
      </c>
      <c r="AK197" s="666" t="str">
        <f>IF(OR($A197="F&amp;F",$G197=""),"",IF(AK$8&gt;$G197,IF(OR(status1B5!AL197=1,status1B5!AL197=2,'BOULEVARD 5'!AN195&gt;0),"Pagado","impago"),""))</f>
        <v>Pagado</v>
      </c>
      <c r="AL197" s="666" t="str">
        <f>IF(OR($A197="F&amp;F",$G197=""),"",IF(AL$8&gt;$G197,IF(OR(status1B5!AM197=1,status1B5!AM197=2,'BOULEVARD 5'!AO195&gt;0),"Pagado","impago"),""))</f>
        <v>Pagado</v>
      </c>
      <c r="AM197" s="666" t="str">
        <f>IF(OR($A197="F&amp;F",$G197=""),"",IF(AM$8&gt;$G197,IF(OR(status1B5!AN197=1,status1B5!AN197=2,'BOULEVARD 5'!AP195&gt;0),"Pagado","impago"),""))</f>
        <v>Pagado</v>
      </c>
      <c r="AN197" s="666" t="str">
        <f>IF(OR($A197="F&amp;F",$G197=""),"",IF(AN$8&gt;$G197,IF(OR(status1B5!AO197=1,status1B5!AO197=2,'BOULEVARD 5'!AQ195&gt;0),"Pagado","impago"),""))</f>
        <v>Pagado</v>
      </c>
      <c r="AO197" s="666" t="str">
        <f>IF(OR($A197="F&amp;F",$G197=""),"",IF(AO$8&gt;$G197,IF(OR(status1B5!AP197=1,status1B5!AP197=2,'BOULEVARD 5'!AS195&gt;0),"Pagado","impago"),""))</f>
        <v>Pagado</v>
      </c>
      <c r="AP197" s="429" t="str">
        <f t="shared" si="7"/>
        <v>Vendido</v>
      </c>
    </row>
    <row r="198" spans="1:42" s="429" customFormat="1" ht="13.9" customHeight="1" x14ac:dyDescent="0.25">
      <c r="A198" s="472"/>
      <c r="B198" s="436">
        <f>'BOULEVARD 5'!B196</f>
        <v>1103</v>
      </c>
      <c r="C198" s="436" t="s">
        <v>355</v>
      </c>
      <c r="D198" s="436"/>
      <c r="E198" s="436" t="str">
        <f>IF('BOULEVARD 5'!E196="","",'BOULEVARD 5'!E196)</f>
        <v>Antonio Rada</v>
      </c>
      <c r="F198" s="429" t="str">
        <f>IF('BOULEVARD 5'!F196="","",'BOULEVARD 5'!F196)</f>
        <v xml:space="preserve"> Samuel Hiram Salazar Say</v>
      </c>
      <c r="G198" s="473">
        <f>IF('BOULEVARD 5'!G196="","",'BOULEVARD 5'!G196)</f>
        <v>45071</v>
      </c>
      <c r="H198" s="666" t="str">
        <f>IF(OR($A198="F&amp;F",$G198=""),"",IF(H$8&gt;$G198,IF(OR(status1B5!I198=1,status1B5!I198=2,'BOULEVARD 5'!K196&gt;0),"Pagado","impago"),""))</f>
        <v/>
      </c>
      <c r="I198" s="666" t="str">
        <f>IF(OR($A198="F&amp;F",$G198=""),"",IF(I$8&gt;$G198,IF(OR(status1B5!J198=1,status1B5!J198=2,'BOULEVARD 5'!L196&gt;0),"Pagado","impago"),""))</f>
        <v/>
      </c>
      <c r="J198" s="666" t="str">
        <f>IF(OR($A198="F&amp;F",$G198=""),"",IF(J$8&gt;$G198,IF(OR(status1B5!K198=1,status1B5!K198=2,'BOULEVARD 5'!M196&gt;0),"Pagado","impago"),""))</f>
        <v>Pagado</v>
      </c>
      <c r="K198" s="666" t="str">
        <f>IF(OR($A198="F&amp;F",$G198=""),"",IF(K$8&gt;$G198,IF(OR(status1B5!L198=1,status1B5!L198=2,'BOULEVARD 5'!N196&gt;0),"Pagado","impago"),""))</f>
        <v>Pagado</v>
      </c>
      <c r="L198" s="666" t="str">
        <f>IF(OR($A198="F&amp;F",$G198=""),"",IF(L$8&gt;$G198,IF(OR(status1B5!M198=1,status1B5!M198=2,'BOULEVARD 5'!O196&gt;0),"Pagado","impago"),""))</f>
        <v>Pagado</v>
      </c>
      <c r="M198" s="666" t="str">
        <f>IF(OR($A198="F&amp;F",$G198=""),"",IF(M$8&gt;$G198,IF(OR(status1B5!N198=1,status1B5!N198=2,'BOULEVARD 5'!P196&gt;0),"Pagado","impago"),""))</f>
        <v>Pagado</v>
      </c>
      <c r="N198" s="666" t="str">
        <f>IF(OR($A198="F&amp;F",$G198=""),"",IF(N$8&gt;$G198,IF(OR(status1B5!O198=1,status1B5!O198=2,'BOULEVARD 5'!Q196&gt;0),"Pagado","impago"),""))</f>
        <v>Pagado</v>
      </c>
      <c r="O198" s="666" t="str">
        <f>IF(OR($A198="F&amp;F",$G198=""),"",IF(O$8&gt;$G198,IF(OR(status1B5!P198=1,status1B5!P198=2,'BOULEVARD 5'!R196&gt;0),"Pagado","impago"),""))</f>
        <v>Pagado</v>
      </c>
      <c r="P198" s="666" t="str">
        <f>IF(OR($A198="F&amp;F",$G198=""),"",IF(P$8&gt;$G198,IF(OR(status1B5!Q198=1,status1B5!Q198=2,'BOULEVARD 5'!S196&gt;0),"Pagado","impago"),""))</f>
        <v>Pagado</v>
      </c>
      <c r="Q198" s="666" t="str">
        <f>IF(OR($A198="F&amp;F",$G198=""),"",IF(Q$8&gt;$G198,IF(OR(status1B5!R198=1,status1B5!R198=2,'BOULEVARD 5'!T196&gt;0),"Pagado","impago"),""))</f>
        <v>Pagado</v>
      </c>
      <c r="R198" s="666" t="str">
        <f>IF(OR($A198="F&amp;F",$G198=""),"",IF(R$8&gt;$G198,IF(OR(status1B5!S198=1,status1B5!S198=2,'BOULEVARD 5'!U196&gt;0),"Pagado","impago"),""))</f>
        <v>Pagado</v>
      </c>
      <c r="S198" s="666" t="str">
        <f>IF(OR($A198="F&amp;F",$G198=""),"",IF(S$8&gt;$G198,IF(OR(status1B5!T198=1,status1B5!T198=2,'BOULEVARD 5'!V196&gt;0),"Pagado","impago"),""))</f>
        <v>Pagado</v>
      </c>
      <c r="T198" s="666" t="str">
        <f>IF(OR($A198="F&amp;F",$G198=""),"",IF(T$8&gt;$G198,IF(OR(status1B5!U198=1,status1B5!U198=2,'BOULEVARD 5'!W196&gt;0),"Pagado","impago"),""))</f>
        <v>Pagado</v>
      </c>
      <c r="U198" s="666" t="str">
        <f>IF(OR($A198="F&amp;F",$G198=""),"",IF(U$8&gt;$G198,IF(OR(status1B5!V198=1,status1B5!V198=2,'BOULEVARD 5'!X196&gt;0),"Pagado","impago"),""))</f>
        <v>Pagado</v>
      </c>
      <c r="V198" s="666" t="str">
        <f>IF(OR($A198="F&amp;F",$G198=""),"",IF(V$8&gt;$G198,IF(OR(status1B5!W198=1,status1B5!W198=2,'BOULEVARD 5'!Y196&gt;0),"Pagado","impago"),""))</f>
        <v>Pagado</v>
      </c>
      <c r="W198" s="666" t="str">
        <f>IF(OR($A198="F&amp;F",$G198=""),"",IF(W$8&gt;$G198,IF(OR(status1B5!X198=1,status1B5!X198=2,'BOULEVARD 5'!Z196&gt;0),"Pagado","impago"),""))</f>
        <v>Pagado</v>
      </c>
      <c r="X198" s="666" t="str">
        <f>IF(OR($A198="F&amp;F",$G198=""),"",IF(X$8&gt;$G198,IF(OR(status1B5!Y198=1,status1B5!Y198=2,'BOULEVARD 5'!AA196&gt;0),"Pagado","impago"),""))</f>
        <v>Pagado</v>
      </c>
      <c r="Y198" s="666" t="str">
        <f>IF(OR($A198="F&amp;F",$G198=""),"",IF(Y$8&gt;$G198,IF(OR(status1B5!Z198=1,status1B5!Z198=2,'BOULEVARD 5'!AB196&gt;0),"Pagado","impago"),""))</f>
        <v>Pagado</v>
      </c>
      <c r="Z198" s="666" t="str">
        <f>IF(OR($A198="F&amp;F",$G198=""),"",IF(Z$8&gt;$G198,IF(OR(status1B5!AA198=1,status1B5!AA198=2,'BOULEVARD 5'!AC196&gt;0),"Pagado","impago"),""))</f>
        <v>Pagado</v>
      </c>
      <c r="AA198" s="666" t="str">
        <f>IF(OR($A198="F&amp;F",$G198=""),"",IF(AA$8&gt;$G198,IF(OR(status1B5!AB198=1,status1B5!AB198=2,'BOULEVARD 5'!AD196&gt;0),"Pagado","impago"),""))</f>
        <v>Pagado</v>
      </c>
      <c r="AB198" s="666" t="str">
        <f>IF(OR($A198="F&amp;F",$G198=""),"",IF(AB$8&gt;$G198,IF(OR(status1B5!AC198=1,status1B5!AC198=2,'BOULEVARD 5'!AE196&gt;0),"Pagado","impago"),""))</f>
        <v>Pagado</v>
      </c>
      <c r="AC198" s="666" t="str">
        <f>IF(OR($A198="F&amp;F",$G198=""),"",IF(AC$8&gt;$G198,IF(OR(status1B5!AD198=1,status1B5!AD198=2,'BOULEVARD 5'!AF196&gt;0),"Pagado","impago"),""))</f>
        <v>Pagado</v>
      </c>
      <c r="AD198" s="666" t="str">
        <f>IF(OR($A198="F&amp;F",$G198=""),"",IF(AD$8&gt;$G198,IF(OR(status1B5!AE198=1,status1B5!AE198=2,'BOULEVARD 5'!AG196&gt;0),"Pagado","impago"),""))</f>
        <v>Pagado</v>
      </c>
      <c r="AE198" s="666" t="str">
        <f>IF(OR($A198="F&amp;F",$G198=""),"",IF(AE$8&gt;$G198,IF(OR(status1B5!AF198=1,status1B5!AF198=2,'BOULEVARD 5'!AH196&gt;0),"Pagado","impago"),""))</f>
        <v>Pagado</v>
      </c>
      <c r="AF198" s="666" t="str">
        <f>IF(OR($A198="F&amp;F",$G198=""),"",IF(AF$8&gt;$G198,IF(OR(status1B5!AG198=1,status1B5!AG198=2,'BOULEVARD 5'!AI196&gt;0),"Pagado","impago"),""))</f>
        <v>Pagado</v>
      </c>
      <c r="AG198" s="666" t="str">
        <f>IF(OR($A198="F&amp;F",$G198=""),"",IF(AG$8&gt;$G198,IF(OR(status1B5!AH198=1,status1B5!AH198=2,'BOULEVARD 5'!AJ196&gt;0),"Pagado","impago"),""))</f>
        <v>Pagado</v>
      </c>
      <c r="AH198" s="666" t="str">
        <f>IF(OR($A198="F&amp;F",$G198=""),"",IF(AH$8&gt;$G198,IF(OR(status1B5!AI198=1,status1B5!AI198=2,'BOULEVARD 5'!AK196&gt;0),"Pagado","impago"),""))</f>
        <v>Pagado</v>
      </c>
      <c r="AI198" s="666" t="str">
        <f>IF(OR($A198="F&amp;F",$G198=""),"",IF(AI$8&gt;$G198,IF(OR(status1B5!AJ198=1,status1B5!AJ198=2,'BOULEVARD 5'!AL196&gt;0),"Pagado","impago"),""))</f>
        <v>Pagado</v>
      </c>
      <c r="AJ198" s="666" t="str">
        <f>IF(OR($A198="F&amp;F",$G198=""),"",IF(AJ$8&gt;$G198,IF(OR(status1B5!AK198=1,status1B5!AK198=2,'BOULEVARD 5'!AM196&gt;0),"Pagado","impago"),""))</f>
        <v>Pagado</v>
      </c>
      <c r="AK198" s="666" t="str">
        <f>IF(OR($A198="F&amp;F",$G198=""),"",IF(AK$8&gt;$G198,IF(OR(status1B5!AL198=1,status1B5!AL198=2,'BOULEVARD 5'!AN196&gt;0),"Pagado","impago"),""))</f>
        <v>Pagado</v>
      </c>
      <c r="AL198" s="666" t="str">
        <f>IF(OR($A198="F&amp;F",$G198=""),"",IF(AL$8&gt;$G198,IF(OR(status1B5!AM198=1,status1B5!AM198=2,'BOULEVARD 5'!AO196&gt;0),"Pagado","impago"),""))</f>
        <v>Pagado</v>
      </c>
      <c r="AM198" s="666" t="str">
        <f>IF(OR($A198="F&amp;F",$G198=""),"",IF(AM$8&gt;$G198,IF(OR(status1B5!AN198=1,status1B5!AN198=2,'BOULEVARD 5'!AP196&gt;0),"Pagado","impago"),""))</f>
        <v>Pagado</v>
      </c>
      <c r="AN198" s="666" t="str">
        <f>IF(OR($A198="F&amp;F",$G198=""),"",IF(AN$8&gt;$G198,IF(OR(status1B5!AO198=1,status1B5!AO198=2,'BOULEVARD 5'!AQ196&gt;0),"Pagado","impago"),""))</f>
        <v>Pagado</v>
      </c>
      <c r="AO198" s="666" t="str">
        <f>IF(OR($A198="F&amp;F",$G198=""),"",IF(AO$8&gt;$G198,IF(OR(status1B5!AP198=1,status1B5!AP198=2,'BOULEVARD 5'!AS196&gt;0),"Pagado","impago"),""))</f>
        <v>Pagado</v>
      </c>
      <c r="AP198" s="429" t="str">
        <f t="shared" si="7"/>
        <v>Vendido</v>
      </c>
    </row>
    <row r="199" spans="1:42" s="429" customFormat="1" ht="13.9" customHeight="1" x14ac:dyDescent="0.25">
      <c r="A199" s="472"/>
      <c r="B199" s="436">
        <f>'BOULEVARD 5'!B197</f>
        <v>1104</v>
      </c>
      <c r="C199" s="436" t="s">
        <v>355</v>
      </c>
      <c r="D199" s="436"/>
      <c r="E199" s="436" t="str">
        <f>IF('BOULEVARD 5'!E197="","",'BOULEVARD 5'!E197)</f>
        <v>Antonio Rada</v>
      </c>
      <c r="F199" s="429" t="str">
        <f>IF('BOULEVARD 5'!F197="","",'BOULEVARD 5'!F197)</f>
        <v>Denisse Hortencia Alarcon Diaz</v>
      </c>
      <c r="G199" s="473">
        <f>IF('BOULEVARD 5'!G197="","",'BOULEVARD 5'!G197)</f>
        <v>45343</v>
      </c>
      <c r="H199" s="666" t="str">
        <f>IF(OR($A199="F&amp;F",$G199=""),"",IF(H$8&gt;$G199,IF(OR(status1B5!I199=1,status1B5!I199=2,'BOULEVARD 5'!K197&gt;0),"Pagado","impago"),""))</f>
        <v/>
      </c>
      <c r="I199" s="666" t="str">
        <f>IF(OR($A199="F&amp;F",$G199=""),"",IF(I$8&gt;$G199,IF(OR(status1B5!J199=1,status1B5!J199=2,'BOULEVARD 5'!L197&gt;0),"Pagado","impago"),""))</f>
        <v/>
      </c>
      <c r="J199" s="666" t="str">
        <f>IF(OR($A199="F&amp;F",$G199=""),"",IF(J$8&gt;$G199,IF(OR(status1B5!K199=1,status1B5!K199=2,'BOULEVARD 5'!M197&gt;0),"Pagado","impago"),""))</f>
        <v/>
      </c>
      <c r="K199" s="666" t="str">
        <f>IF(OR($A199="F&amp;F",$G199=""),"",IF(K$8&gt;$G199,IF(OR(status1B5!L199=1,status1B5!L199=2,'BOULEVARD 5'!N197&gt;0),"Pagado","impago"),""))</f>
        <v/>
      </c>
      <c r="L199" s="666" t="str">
        <f>IF(OR($A199="F&amp;F",$G199=""),"",IF(L$8&gt;$G199,IF(OR(status1B5!M199=1,status1B5!M199=2,'BOULEVARD 5'!O197&gt;0),"Pagado","impago"),""))</f>
        <v/>
      </c>
      <c r="M199" s="666" t="str">
        <f>IF(OR($A199="F&amp;F",$G199=""),"",IF(M$8&gt;$G199,IF(OR(status1B5!N199=1,status1B5!N199=2,'BOULEVARD 5'!P197&gt;0),"Pagado","impago"),""))</f>
        <v/>
      </c>
      <c r="N199" s="666" t="str">
        <f>IF(OR($A199="F&amp;F",$G199=""),"",IF(N$8&gt;$G199,IF(OR(status1B5!O199=1,status1B5!O199=2,'BOULEVARD 5'!Q197&gt;0),"Pagado","impago"),""))</f>
        <v/>
      </c>
      <c r="O199" s="666" t="str">
        <f>IF(OR($A199="F&amp;F",$G199=""),"",IF(O$8&gt;$G199,IF(OR(status1B5!P199=1,status1B5!P199=2,'BOULEVARD 5'!R197&gt;0),"Pagado","impago"),""))</f>
        <v/>
      </c>
      <c r="P199" s="666" t="str">
        <f>IF(OR($A199="F&amp;F",$G199=""),"",IF(P$8&gt;$G199,IF(OR(status1B5!Q199=1,status1B5!Q199=2,'BOULEVARD 5'!S197&gt;0),"Pagado","impago"),""))</f>
        <v/>
      </c>
      <c r="Q199" s="666" t="str">
        <f>IF(OR($A199="F&amp;F",$G199=""),"",IF(Q$8&gt;$G199,IF(OR(status1B5!R199=1,status1B5!R199=2,'BOULEVARD 5'!T197&gt;0),"Pagado","impago"),""))</f>
        <v/>
      </c>
      <c r="R199" s="666" t="str">
        <f>IF(OR($A199="F&amp;F",$G199=""),"",IF(R$8&gt;$G199,IF(OR(status1B5!S199=1,status1B5!S199=2,'BOULEVARD 5'!U197&gt;0),"Pagado","impago"),""))</f>
        <v/>
      </c>
      <c r="S199" s="666" t="str">
        <f>IF(OR($A199="F&amp;F",$G199=""),"",IF(S$8&gt;$G199,IF(OR(status1B5!T199=1,status1B5!T199=2,'BOULEVARD 5'!V197&gt;0),"Pagado","impago"),""))</f>
        <v>Pagado</v>
      </c>
      <c r="T199" s="666" t="str">
        <f>IF(OR($A199="F&amp;F",$G199=""),"",IF(T$8&gt;$G199,IF(OR(status1B5!U199=1,status1B5!U199=2,'BOULEVARD 5'!W197&gt;0),"Pagado","impago"),""))</f>
        <v>Pagado</v>
      </c>
      <c r="U199" s="666" t="str">
        <f>IF(OR($A199="F&amp;F",$G199=""),"",IF(U$8&gt;$G199,IF(OR(status1B5!V199=1,status1B5!V199=2,'BOULEVARD 5'!X197&gt;0),"Pagado","impago"),""))</f>
        <v>Pagado</v>
      </c>
      <c r="V199" s="666" t="str">
        <f>IF(OR($A199="F&amp;F",$G199=""),"",IF(V$8&gt;$G199,IF(OR(status1B5!W199=1,status1B5!W199=2,'BOULEVARD 5'!Y197&gt;0),"Pagado","impago"),""))</f>
        <v>Pagado</v>
      </c>
      <c r="W199" s="666" t="str">
        <f>IF(OR($A199="F&amp;F",$G199=""),"",IF(W$8&gt;$G199,IF(OR(status1B5!X199=1,status1B5!X199=2,'BOULEVARD 5'!Z197&gt;0),"Pagado","impago"),""))</f>
        <v>Pagado</v>
      </c>
      <c r="X199" s="666" t="str">
        <f>IF(OR($A199="F&amp;F",$G199=""),"",IF(X$8&gt;$G199,IF(OR(status1B5!Y199=1,status1B5!Y199=2,'BOULEVARD 5'!AA197&gt;0),"Pagado","impago"),""))</f>
        <v>Pagado</v>
      </c>
      <c r="Y199" s="666" t="str">
        <f>IF(OR($A199="F&amp;F",$G199=""),"",IF(Y$8&gt;$G199,IF(OR(status1B5!Z199=1,status1B5!Z199=2,'BOULEVARD 5'!AB197&gt;0),"Pagado","impago"),""))</f>
        <v>Pagado</v>
      </c>
      <c r="Z199" s="666" t="str">
        <f>IF(OR($A199="F&amp;F",$G199=""),"",IF(Z$8&gt;$G199,IF(OR(status1B5!AA199=1,status1B5!AA199=2,'BOULEVARD 5'!AC197&gt;0),"Pagado","impago"),""))</f>
        <v>Pagado</v>
      </c>
      <c r="AA199" s="666" t="str">
        <f>IF(OR($A199="F&amp;F",$G199=""),"",IF(AA$8&gt;$G199,IF(OR(status1B5!AB199=1,status1B5!AB199=2,'BOULEVARD 5'!AD197&gt;0),"Pagado","impago"),""))</f>
        <v>Pagado</v>
      </c>
      <c r="AB199" s="666" t="str">
        <f>IF(OR($A199="F&amp;F",$G199=""),"",IF(AB$8&gt;$G199,IF(OR(status1B5!AC199=1,status1B5!AC199=2,'BOULEVARD 5'!AE197&gt;0),"Pagado","impago"),""))</f>
        <v>Pagado</v>
      </c>
      <c r="AC199" s="666" t="str">
        <f>IF(OR($A199="F&amp;F",$G199=""),"",IF(AC$8&gt;$G199,IF(OR(status1B5!AD199=1,status1B5!AD199=2,'BOULEVARD 5'!AF197&gt;0),"Pagado","impago"),""))</f>
        <v>Pagado</v>
      </c>
      <c r="AD199" s="666" t="str">
        <f>IF(OR($A199="F&amp;F",$G199=""),"",IF(AD$8&gt;$G199,IF(OR(status1B5!AE199=1,status1B5!AE199=2,'BOULEVARD 5'!AG197&gt;0),"Pagado","impago"),""))</f>
        <v>Pagado</v>
      </c>
      <c r="AE199" s="666" t="str">
        <f>IF(OR($A199="F&amp;F",$G199=""),"",IF(AE$8&gt;$G199,IF(OR(status1B5!AF199=1,status1B5!AF199=2,'BOULEVARD 5'!AH197&gt;0),"Pagado","impago"),""))</f>
        <v>Pagado</v>
      </c>
      <c r="AF199" s="666" t="str">
        <f>IF(OR($A199="F&amp;F",$G199=""),"",IF(AF$8&gt;$G199,IF(OR(status1B5!AG199=1,status1B5!AG199=2,'BOULEVARD 5'!AI197&gt;0),"Pagado","impago"),""))</f>
        <v>Pagado</v>
      </c>
      <c r="AG199" s="666" t="str">
        <f>IF(OR($A199="F&amp;F",$G199=""),"",IF(AG$8&gt;$G199,IF(OR(status1B5!AH199=1,status1B5!AH199=2,'BOULEVARD 5'!AJ197&gt;0),"Pagado","impago"),""))</f>
        <v>Pagado</v>
      </c>
      <c r="AH199" s="666" t="str">
        <f>IF(OR($A199="F&amp;F",$G199=""),"",IF(AH$8&gt;$G199,IF(OR(status1B5!AI199=1,status1B5!AI199=2,'BOULEVARD 5'!AK197&gt;0),"Pagado","impago"),""))</f>
        <v>Pagado</v>
      </c>
      <c r="AI199" s="666" t="str">
        <f>IF(OR($A199="F&amp;F",$G199=""),"",IF(AI$8&gt;$G199,IF(OR(status1B5!AJ199=1,status1B5!AJ199=2,'BOULEVARD 5'!AL197&gt;0),"Pagado","impago"),""))</f>
        <v>Pagado</v>
      </c>
      <c r="AJ199" s="666" t="str">
        <f>IF(OR($A199="F&amp;F",$G199=""),"",IF(AJ$8&gt;$G199,IF(OR(status1B5!AK199=1,status1B5!AK199=2,'BOULEVARD 5'!AM197&gt;0),"Pagado","impago"),""))</f>
        <v>Pagado</v>
      </c>
      <c r="AK199" s="666" t="str">
        <f>IF(OR($A199="F&amp;F",$G199=""),"",IF(AK$8&gt;$G199,IF(OR(status1B5!AL199=1,status1B5!AL199=2,'BOULEVARD 5'!AN197&gt;0),"Pagado","impago"),""))</f>
        <v>Pagado</v>
      </c>
      <c r="AL199" s="666" t="str">
        <f>IF(OR($A199="F&amp;F",$G199=""),"",IF(AL$8&gt;$G199,IF(OR(status1B5!AM199=1,status1B5!AM199=2,'BOULEVARD 5'!AO197&gt;0),"Pagado","impago"),""))</f>
        <v>Pagado</v>
      </c>
      <c r="AM199" s="666" t="str">
        <f>IF(OR($A199="F&amp;F",$G199=""),"",IF(AM$8&gt;$G199,IF(OR(status1B5!AN199=1,status1B5!AN199=2,'BOULEVARD 5'!AP197&gt;0),"Pagado","impago"),""))</f>
        <v>Pagado</v>
      </c>
      <c r="AN199" s="666" t="str">
        <f>IF(OR($A199="F&amp;F",$G199=""),"",IF(AN$8&gt;$G199,IF(OR(status1B5!AO199=1,status1B5!AO199=2,'BOULEVARD 5'!AQ197&gt;0),"Pagado","impago"),""))</f>
        <v>Pagado</v>
      </c>
      <c r="AO199" s="666" t="str">
        <f>IF(OR($A199="F&amp;F",$G199=""),"",IF(AO$8&gt;$G199,IF(OR(status1B5!AP199=1,status1B5!AP199=2,'BOULEVARD 5'!AS197&gt;0),"Pagado","impago"),""))</f>
        <v>Pagado</v>
      </c>
      <c r="AP199" s="429" t="str">
        <f t="shared" si="7"/>
        <v>Vendido</v>
      </c>
    </row>
    <row r="200" spans="1:42" s="429" customFormat="1" ht="13.9" customHeight="1" x14ac:dyDescent="0.25">
      <c r="A200" s="472"/>
      <c r="B200" s="436">
        <f>'BOULEVARD 5'!B198</f>
        <v>1105</v>
      </c>
      <c r="C200" s="436" t="s">
        <v>355</v>
      </c>
      <c r="D200" s="436"/>
      <c r="E200" s="436" t="str">
        <f>IF('BOULEVARD 5'!E198="","",'BOULEVARD 5'!E198)</f>
        <v>Brenda Búcaro</v>
      </c>
      <c r="F200" s="429" t="str">
        <f>IF('BOULEVARD 5'!F198="","",'BOULEVARD 5'!F198)</f>
        <v>Luis Pedro Escobedo De Cid</v>
      </c>
      <c r="G200" s="473">
        <f>IF('BOULEVARD 5'!G198="","",'BOULEVARD 5'!G198)</f>
        <v>45012</v>
      </c>
      <c r="H200" s="666" t="str">
        <f>IF(OR($A200="F&amp;F",$G200=""),"",IF(H$8&gt;$G200,IF(OR(status1B5!I200=1,status1B5!I200=2,'BOULEVARD 5'!K198&gt;0),"Pagado","impago"),""))</f>
        <v>Pagado</v>
      </c>
      <c r="I200" s="666" t="str">
        <f>IF(OR($A200="F&amp;F",$G200=""),"",IF(I$8&gt;$G200,IF(OR(status1B5!J200=1,status1B5!J200=2,'BOULEVARD 5'!L198&gt;0),"Pagado","impago"),""))</f>
        <v>Pagado</v>
      </c>
      <c r="J200" s="666" t="str">
        <f>IF(OR($A200="F&amp;F",$G200=""),"",IF(J$8&gt;$G200,IF(OR(status1B5!K200=1,status1B5!K200=2,'BOULEVARD 5'!M198&gt;0),"Pagado","impago"),""))</f>
        <v>Pagado</v>
      </c>
      <c r="K200" s="666" t="str">
        <f>IF(OR($A200="F&amp;F",$G200=""),"",IF(K$8&gt;$G200,IF(OR(status1B5!L200=1,status1B5!L200=2,'BOULEVARD 5'!N198&gt;0),"Pagado","impago"),""))</f>
        <v>Pagado</v>
      </c>
      <c r="L200" s="666" t="str">
        <f>IF(OR($A200="F&amp;F",$G200=""),"",IF(L$8&gt;$G200,IF(OR(status1B5!M200=1,status1B5!M200=2,'BOULEVARD 5'!O198&gt;0),"Pagado","impago"),""))</f>
        <v>Pagado</v>
      </c>
      <c r="M200" s="666" t="str">
        <f>IF(OR($A200="F&amp;F",$G200=""),"",IF(M$8&gt;$G200,IF(OR(status1B5!N200=1,status1B5!N200=2,'BOULEVARD 5'!P198&gt;0),"Pagado","impago"),""))</f>
        <v>Pagado</v>
      </c>
      <c r="N200" s="666" t="str">
        <f>IF(OR($A200="F&amp;F",$G200=""),"",IF(N$8&gt;$G200,IF(OR(status1B5!O200=1,status1B5!O200=2,'BOULEVARD 5'!Q198&gt;0),"Pagado","impago"),""))</f>
        <v>Pagado</v>
      </c>
      <c r="O200" s="666" t="str">
        <f>IF(OR($A200="F&amp;F",$G200=""),"",IF(O$8&gt;$G200,IF(OR(status1B5!P200=1,status1B5!P200=2,'BOULEVARD 5'!R198&gt;0),"Pagado","impago"),""))</f>
        <v>Pagado</v>
      </c>
      <c r="P200" s="666" t="str">
        <f>IF(OR($A200="F&amp;F",$G200=""),"",IF(P$8&gt;$G200,IF(OR(status1B5!Q200=1,status1B5!Q200=2,'BOULEVARD 5'!S198&gt;0),"Pagado","impago"),""))</f>
        <v>Pagado</v>
      </c>
      <c r="Q200" s="666" t="str">
        <f>IF(OR($A200="F&amp;F",$G200=""),"",IF(Q$8&gt;$G200,IF(OR(status1B5!R200=1,status1B5!R200=2,'BOULEVARD 5'!T198&gt;0),"Pagado","impago"),""))</f>
        <v>Pagado</v>
      </c>
      <c r="R200" s="666" t="str">
        <f>IF(OR($A200="F&amp;F",$G200=""),"",IF(R$8&gt;$G200,IF(OR(status1B5!S200=1,status1B5!S200=2,'BOULEVARD 5'!U198&gt;0),"Pagado","impago"),""))</f>
        <v>Pagado</v>
      </c>
      <c r="S200" s="666" t="str">
        <f>IF(OR($A200="F&amp;F",$G200=""),"",IF(S$8&gt;$G200,IF(OR(status1B5!T200=1,status1B5!T200=2,'BOULEVARD 5'!V198&gt;0),"Pagado","impago"),""))</f>
        <v>Pagado</v>
      </c>
      <c r="T200" s="666" t="str">
        <f>IF(OR($A200="F&amp;F",$G200=""),"",IF(T$8&gt;$G200,IF(OR(status1B5!U200=1,status1B5!U200=2,'BOULEVARD 5'!W198&gt;0),"Pagado","impago"),""))</f>
        <v>Pagado</v>
      </c>
      <c r="U200" s="666" t="str">
        <f>IF(OR($A200="F&amp;F",$G200=""),"",IF(U$8&gt;$G200,IF(OR(status1B5!V200=1,status1B5!V200=2,'BOULEVARD 5'!X198&gt;0),"Pagado","impago"),""))</f>
        <v>Pagado</v>
      </c>
      <c r="V200" s="666" t="str">
        <f>IF(OR($A200="F&amp;F",$G200=""),"",IF(V$8&gt;$G200,IF(OR(status1B5!W200=1,status1B5!W200=2,'BOULEVARD 5'!Y198&gt;0),"Pagado","impago"),""))</f>
        <v>Pagado</v>
      </c>
      <c r="W200" s="666" t="str">
        <f>IF(OR($A200="F&amp;F",$G200=""),"",IF(W$8&gt;$G200,IF(OR(status1B5!X200=1,status1B5!X200=2,'BOULEVARD 5'!Z198&gt;0),"Pagado","impago"),""))</f>
        <v>Pagado</v>
      </c>
      <c r="X200" s="666" t="str">
        <f>IF(OR($A200="F&amp;F",$G200=""),"",IF(X$8&gt;$G200,IF(OR(status1B5!Y200=1,status1B5!Y200=2,'BOULEVARD 5'!AA198&gt;0),"Pagado","impago"),""))</f>
        <v>Pagado</v>
      </c>
      <c r="Y200" s="666" t="str">
        <f>IF(OR($A200="F&amp;F",$G200=""),"",IF(Y$8&gt;$G200,IF(OR(status1B5!Z200=1,status1B5!Z200=2,'BOULEVARD 5'!AB198&gt;0),"Pagado","impago"),""))</f>
        <v>Pagado</v>
      </c>
      <c r="Z200" s="666" t="str">
        <f>IF(OR($A200="F&amp;F",$G200=""),"",IF(Z$8&gt;$G200,IF(OR(status1B5!AA200=1,status1B5!AA200=2,'BOULEVARD 5'!AC198&gt;0),"Pagado","impago"),""))</f>
        <v>Pagado</v>
      </c>
      <c r="AA200" s="666" t="str">
        <f>IF(OR($A200="F&amp;F",$G200=""),"",IF(AA$8&gt;$G200,IF(OR(status1B5!AB200=1,status1B5!AB200=2,'BOULEVARD 5'!AD198&gt;0),"Pagado","impago"),""))</f>
        <v>Pagado</v>
      </c>
      <c r="AB200" s="666" t="str">
        <f>IF(OR($A200="F&amp;F",$G200=""),"",IF(AB$8&gt;$G200,IF(OR(status1B5!AC200=1,status1B5!AC200=2,'BOULEVARD 5'!AE198&gt;0),"Pagado","impago"),""))</f>
        <v>Pagado</v>
      </c>
      <c r="AC200" s="666" t="str">
        <f>IF(OR($A200="F&amp;F",$G200=""),"",IF(AC$8&gt;$G200,IF(OR(status1B5!AD200=1,status1B5!AD200=2,'BOULEVARD 5'!AF198&gt;0),"Pagado","impago"),""))</f>
        <v>Pagado</v>
      </c>
      <c r="AD200" s="666" t="str">
        <f>IF(OR($A200="F&amp;F",$G200=""),"",IF(AD$8&gt;$G200,IF(OR(status1B5!AE200=1,status1B5!AE200=2,'BOULEVARD 5'!AG198&gt;0),"Pagado","impago"),""))</f>
        <v>Pagado</v>
      </c>
      <c r="AE200" s="666" t="str">
        <f>IF(OR($A200="F&amp;F",$G200=""),"",IF(AE$8&gt;$G200,IF(OR(status1B5!AF200=1,status1B5!AF200=2,'BOULEVARD 5'!AH198&gt;0),"Pagado","impago"),""))</f>
        <v>Pagado</v>
      </c>
      <c r="AF200" s="666" t="str">
        <f>IF(OR($A200="F&amp;F",$G200=""),"",IF(AF$8&gt;$G200,IF(OR(status1B5!AG200=1,status1B5!AG200=2,'BOULEVARD 5'!AI198&gt;0),"Pagado","impago"),""))</f>
        <v>Pagado</v>
      </c>
      <c r="AG200" s="666" t="str">
        <f>IF(OR($A200="F&amp;F",$G200=""),"",IF(AG$8&gt;$G200,IF(OR(status1B5!AH200=1,status1B5!AH200=2,'BOULEVARD 5'!AJ198&gt;0),"Pagado","impago"),""))</f>
        <v>Pagado</v>
      </c>
      <c r="AH200" s="666" t="str">
        <f>IF(OR($A200="F&amp;F",$G200=""),"",IF(AH$8&gt;$G200,IF(OR(status1B5!AI200=1,status1B5!AI200=2,'BOULEVARD 5'!AK198&gt;0),"Pagado","impago"),""))</f>
        <v>Pagado</v>
      </c>
      <c r="AI200" s="666" t="str">
        <f>IF(OR($A200="F&amp;F",$G200=""),"",IF(AI$8&gt;$G200,IF(OR(status1B5!AJ200=1,status1B5!AJ200=2,'BOULEVARD 5'!AL198&gt;0),"Pagado","impago"),""))</f>
        <v>Pagado</v>
      </c>
      <c r="AJ200" s="666" t="str">
        <f>IF(OR($A200="F&amp;F",$G200=""),"",IF(AJ$8&gt;$G200,IF(OR(status1B5!AK200=1,status1B5!AK200=2,'BOULEVARD 5'!AM198&gt;0),"Pagado","impago"),""))</f>
        <v>Pagado</v>
      </c>
      <c r="AK200" s="666" t="str">
        <f>IF(OR($A200="F&amp;F",$G200=""),"",IF(AK$8&gt;$G200,IF(OR(status1B5!AL200=1,status1B5!AL200=2,'BOULEVARD 5'!AN198&gt;0),"Pagado","impago"),""))</f>
        <v>Pagado</v>
      </c>
      <c r="AL200" s="666" t="str">
        <f>IF(OR($A200="F&amp;F",$G200=""),"",IF(AL$8&gt;$G200,IF(OR(status1B5!AM200=1,status1B5!AM200=2,'BOULEVARD 5'!AO198&gt;0),"Pagado","impago"),""))</f>
        <v>Pagado</v>
      </c>
      <c r="AM200" s="666" t="str">
        <f>IF(OR($A200="F&amp;F",$G200=""),"",IF(AM$8&gt;$G200,IF(OR(status1B5!AN200=1,status1B5!AN200=2,'BOULEVARD 5'!AP198&gt;0),"Pagado","impago"),""))</f>
        <v>Pagado</v>
      </c>
      <c r="AN200" s="666" t="str">
        <f>IF(OR($A200="F&amp;F",$G200=""),"",IF(AN$8&gt;$G200,IF(OR(status1B5!AO200=1,status1B5!AO200=2,'BOULEVARD 5'!AQ198&gt;0),"Pagado","impago"),""))</f>
        <v>Pagado</v>
      </c>
      <c r="AO200" s="666" t="str">
        <f>IF(OR($A200="F&amp;F",$G200=""),"",IF(AO$8&gt;$G200,IF(OR(status1B5!AP200=1,status1B5!AP200=2,'BOULEVARD 5'!AS198&gt;0),"Pagado","impago"),""))</f>
        <v>Pagado</v>
      </c>
      <c r="AP200" s="429" t="str">
        <f t="shared" si="7"/>
        <v>Vendido</v>
      </c>
    </row>
    <row r="201" spans="1:42" s="429" customFormat="1" ht="13.9" customHeight="1" x14ac:dyDescent="0.25">
      <c r="A201" s="472"/>
      <c r="B201" s="436">
        <f>'BOULEVARD 5'!B199</f>
        <v>1106</v>
      </c>
      <c r="C201" s="436" t="s">
        <v>355</v>
      </c>
      <c r="D201" s="436"/>
      <c r="E201" s="436" t="str">
        <f>IF('BOULEVARD 5'!E199="","",'BOULEVARD 5'!E199)</f>
        <v>Antonio Rada</v>
      </c>
      <c r="F201" s="429" t="str">
        <f>IF('BOULEVARD 5'!F199="","",'BOULEVARD 5'!F199)</f>
        <v>Emerson Emanuel Menendez Rodas</v>
      </c>
      <c r="G201" s="473">
        <f>IF('BOULEVARD 5'!G199="","",'BOULEVARD 5'!G199)</f>
        <v>45043</v>
      </c>
      <c r="H201" s="666" t="str">
        <f>IF(OR($A201="F&amp;F",$G201=""),"",IF(H$8&gt;$G201,IF(OR(status1B5!I201=1,status1B5!I201=2,'BOULEVARD 5'!K199&gt;0),"Pagado","impago"),""))</f>
        <v/>
      </c>
      <c r="I201" s="666" t="str">
        <f>IF(OR($A201="F&amp;F",$G201=""),"",IF(I$8&gt;$G201,IF(OR(status1B5!J201=1,status1B5!J201=2,'BOULEVARD 5'!L199&gt;0),"Pagado","impago"),""))</f>
        <v>Pagado</v>
      </c>
      <c r="J201" s="666" t="str">
        <f>IF(OR($A201="F&amp;F",$G201=""),"",IF(J$8&gt;$G201,IF(OR(status1B5!K201=1,status1B5!K201=2,'BOULEVARD 5'!M199&gt;0),"Pagado","impago"),""))</f>
        <v>Pagado</v>
      </c>
      <c r="K201" s="666" t="str">
        <f>IF(OR($A201="F&amp;F",$G201=""),"",IF(K$8&gt;$G201,IF(OR(status1B5!L201=1,status1B5!L201=2,'BOULEVARD 5'!N199&gt;0),"Pagado","impago"),""))</f>
        <v>Pagado</v>
      </c>
      <c r="L201" s="666" t="str">
        <f>IF(OR($A201="F&amp;F",$G201=""),"",IF(L$8&gt;$G201,IF(OR(status1B5!M201=1,status1B5!M201=2,'BOULEVARD 5'!O199&gt;0),"Pagado","impago"),""))</f>
        <v>Pagado</v>
      </c>
      <c r="M201" s="666" t="str">
        <f>IF(OR($A201="F&amp;F",$G201=""),"",IF(M$8&gt;$G201,IF(OR(status1B5!N201=1,status1B5!N201=2,'BOULEVARD 5'!P199&gt;0),"Pagado","impago"),""))</f>
        <v>Pagado</v>
      </c>
      <c r="N201" s="666" t="str">
        <f>IF(OR($A201="F&amp;F",$G201=""),"",IF(N$8&gt;$G201,IF(OR(status1B5!O201=1,status1B5!O201=2,'BOULEVARD 5'!Q199&gt;0),"Pagado","impago"),""))</f>
        <v>Pagado</v>
      </c>
      <c r="O201" s="666" t="str">
        <f>IF(OR($A201="F&amp;F",$G201=""),"",IF(O$8&gt;$G201,IF(OR(status1B5!P201=1,status1B5!P201=2,'BOULEVARD 5'!R199&gt;0),"Pagado","impago"),""))</f>
        <v>Pagado</v>
      </c>
      <c r="P201" s="666" t="str">
        <f>IF(OR($A201="F&amp;F",$G201=""),"",IF(P$8&gt;$G201,IF(OR(status1B5!Q201=1,status1B5!Q201=2,'BOULEVARD 5'!S199&gt;0),"Pagado","impago"),""))</f>
        <v>Pagado</v>
      </c>
      <c r="Q201" s="666" t="str">
        <f>IF(OR($A201="F&amp;F",$G201=""),"",IF(Q$8&gt;$G201,IF(OR(status1B5!R201=1,status1B5!R201=2,'BOULEVARD 5'!T199&gt;0),"Pagado","impago"),""))</f>
        <v>Pagado</v>
      </c>
      <c r="R201" s="666" t="str">
        <f>IF(OR($A201="F&amp;F",$G201=""),"",IF(R$8&gt;$G201,IF(OR(status1B5!S201=1,status1B5!S201=2,'BOULEVARD 5'!U199&gt;0),"Pagado","impago"),""))</f>
        <v>Pagado</v>
      </c>
      <c r="S201" s="666" t="str">
        <f>IF(OR($A201="F&amp;F",$G201=""),"",IF(S$8&gt;$G201,IF(OR(status1B5!T201=1,status1B5!T201=2,'BOULEVARD 5'!V199&gt;0),"Pagado","impago"),""))</f>
        <v>Pagado</v>
      </c>
      <c r="T201" s="666" t="str">
        <f>IF(OR($A201="F&amp;F",$G201=""),"",IF(T$8&gt;$G201,IF(OR(status1B5!U201=1,status1B5!U201=2,'BOULEVARD 5'!W199&gt;0),"Pagado","impago"),""))</f>
        <v>Pagado</v>
      </c>
      <c r="U201" s="666" t="str">
        <f>IF(OR($A201="F&amp;F",$G201=""),"",IF(U$8&gt;$G201,IF(OR(status1B5!V201=1,status1B5!V201=2,'BOULEVARD 5'!X199&gt;0),"Pagado","impago"),""))</f>
        <v>Pagado</v>
      </c>
      <c r="V201" s="666" t="str">
        <f>IF(OR($A201="F&amp;F",$G201=""),"",IF(V$8&gt;$G201,IF(OR(status1B5!W201=1,status1B5!W201=2,'BOULEVARD 5'!Y199&gt;0),"Pagado","impago"),""))</f>
        <v>Pagado</v>
      </c>
      <c r="W201" s="666" t="str">
        <f>IF(OR($A201="F&amp;F",$G201=""),"",IF(W$8&gt;$G201,IF(OR(status1B5!X201=1,status1B5!X201=2,'BOULEVARD 5'!Z199&gt;0),"Pagado","impago"),""))</f>
        <v>Pagado</v>
      </c>
      <c r="X201" s="666" t="str">
        <f>IF(OR($A201="F&amp;F",$G201=""),"",IF(X$8&gt;$G201,IF(OR(status1B5!Y201=1,status1B5!Y201=2,'BOULEVARD 5'!AA199&gt;0),"Pagado","impago"),""))</f>
        <v>Pagado</v>
      </c>
      <c r="Y201" s="666" t="str">
        <f>IF(OR($A201="F&amp;F",$G201=""),"",IF(Y$8&gt;$G201,IF(OR(status1B5!Z201=1,status1B5!Z201=2,'BOULEVARD 5'!AB199&gt;0),"Pagado","impago"),""))</f>
        <v>Pagado</v>
      </c>
      <c r="Z201" s="666" t="str">
        <f>IF(OR($A201="F&amp;F",$G201=""),"",IF(Z$8&gt;$G201,IF(OR(status1B5!AA201=1,status1B5!AA201=2,'BOULEVARD 5'!AC199&gt;0),"Pagado","impago"),""))</f>
        <v>Pagado</v>
      </c>
      <c r="AA201" s="666" t="str">
        <f>IF(OR($A201="F&amp;F",$G201=""),"",IF(AA$8&gt;$G201,IF(OR(status1B5!AB201=1,status1B5!AB201=2,'BOULEVARD 5'!AD199&gt;0),"Pagado","impago"),""))</f>
        <v>Pagado</v>
      </c>
      <c r="AB201" s="666" t="str">
        <f>IF(OR($A201="F&amp;F",$G201=""),"",IF(AB$8&gt;$G201,IF(OR(status1B5!AC201=1,status1B5!AC201=2,'BOULEVARD 5'!AE199&gt;0),"Pagado","impago"),""))</f>
        <v>Pagado</v>
      </c>
      <c r="AC201" s="666" t="str">
        <f>IF(OR($A201="F&amp;F",$G201=""),"",IF(AC$8&gt;$G201,IF(OR(status1B5!AD201=1,status1B5!AD201=2,'BOULEVARD 5'!AF199&gt;0),"Pagado","impago"),""))</f>
        <v>Pagado</v>
      </c>
      <c r="AD201" s="666" t="str">
        <f>IF(OR($A201="F&amp;F",$G201=""),"",IF(AD$8&gt;$G201,IF(OR(status1B5!AE201=1,status1B5!AE201=2,'BOULEVARD 5'!AG199&gt;0),"Pagado","impago"),""))</f>
        <v>Pagado</v>
      </c>
      <c r="AE201" s="666" t="str">
        <f>IF(OR($A201="F&amp;F",$G201=""),"",IF(AE$8&gt;$G201,IF(OR(status1B5!AF201=1,status1B5!AF201=2,'BOULEVARD 5'!AH199&gt;0),"Pagado","impago"),""))</f>
        <v>Pagado</v>
      </c>
      <c r="AF201" s="666" t="str">
        <f>IF(OR($A201="F&amp;F",$G201=""),"",IF(AF$8&gt;$G201,IF(OR(status1B5!AG201=1,status1B5!AG201=2,'BOULEVARD 5'!AI199&gt;0),"Pagado","impago"),""))</f>
        <v>Pagado</v>
      </c>
      <c r="AG201" s="666" t="str">
        <f>IF(OR($A201="F&amp;F",$G201=""),"",IF(AG$8&gt;$G201,IF(OR(status1B5!AH201=1,status1B5!AH201=2,'BOULEVARD 5'!AJ199&gt;0),"Pagado","impago"),""))</f>
        <v>Pagado</v>
      </c>
      <c r="AH201" s="666" t="str">
        <f>IF(OR($A201="F&amp;F",$G201=""),"",IF(AH$8&gt;$G201,IF(OR(status1B5!AI201=1,status1B5!AI201=2,'BOULEVARD 5'!AK199&gt;0),"Pagado","impago"),""))</f>
        <v>Pagado</v>
      </c>
      <c r="AI201" s="666" t="str">
        <f>IF(OR($A201="F&amp;F",$G201=""),"",IF(AI$8&gt;$G201,IF(OR(status1B5!AJ201=1,status1B5!AJ201=2,'BOULEVARD 5'!AL199&gt;0),"Pagado","impago"),""))</f>
        <v>Pagado</v>
      </c>
      <c r="AJ201" s="666" t="str">
        <f>IF(OR($A201="F&amp;F",$G201=""),"",IF(AJ$8&gt;$G201,IF(OR(status1B5!AK201=1,status1B5!AK201=2,'BOULEVARD 5'!AM199&gt;0),"Pagado","impago"),""))</f>
        <v>Pagado</v>
      </c>
      <c r="AK201" s="666" t="str">
        <f>IF(OR($A201="F&amp;F",$G201=""),"",IF(AK$8&gt;$G201,IF(OR(status1B5!AL201=1,status1B5!AL201=2,'BOULEVARD 5'!AN199&gt;0),"Pagado","impago"),""))</f>
        <v>Pagado</v>
      </c>
      <c r="AL201" s="666" t="str">
        <f>IF(OR($A201="F&amp;F",$G201=""),"",IF(AL$8&gt;$G201,IF(OR(status1B5!AM201=1,status1B5!AM201=2,'BOULEVARD 5'!AO199&gt;0),"Pagado","impago"),""))</f>
        <v>Pagado</v>
      </c>
      <c r="AM201" s="666" t="str">
        <f>IF(OR($A201="F&amp;F",$G201=""),"",IF(AM$8&gt;$G201,IF(OR(status1B5!AN201=1,status1B5!AN201=2,'BOULEVARD 5'!AP199&gt;0),"Pagado","impago"),""))</f>
        <v>Pagado</v>
      </c>
      <c r="AN201" s="666" t="str">
        <f>IF(OR($A201="F&amp;F",$G201=""),"",IF(AN$8&gt;$G201,IF(OR(status1B5!AO201=1,status1B5!AO201=2,'BOULEVARD 5'!AQ199&gt;0),"Pagado","impago"),""))</f>
        <v>Pagado</v>
      </c>
      <c r="AO201" s="666" t="str">
        <f>IF(OR($A201="F&amp;F",$G201=""),"",IF(AO$8&gt;$G201,IF(OR(status1B5!AP201=1,status1B5!AP201=2,'BOULEVARD 5'!AS199&gt;0),"Pagado","impago"),""))</f>
        <v>Pagado</v>
      </c>
      <c r="AP201" s="429" t="str">
        <f t="shared" ref="AP201:AP264" si="8">IF(G201="","No Vendido","Vendido")</f>
        <v>Vendido</v>
      </c>
    </row>
    <row r="202" spans="1:42" s="429" customFormat="1" ht="13.9" customHeight="1" x14ac:dyDescent="0.25">
      <c r="A202" s="472" t="s">
        <v>58</v>
      </c>
      <c r="B202" s="475">
        <f>'BOULEVARD 5'!B200</f>
        <v>1107</v>
      </c>
      <c r="C202" s="475" t="s">
        <v>355</v>
      </c>
      <c r="D202" s="475"/>
      <c r="E202" s="475" t="str">
        <f>IF('BOULEVARD 5'!E200="","",'BOULEVARD 5'!E200)</f>
        <v>Ronaldo</v>
      </c>
      <c r="F202" s="476" t="str">
        <f>IF('BOULEVARD 5'!F200="","",'BOULEVARD 5'!F200)</f>
        <v>International Coffee Industry, S.A</v>
      </c>
      <c r="G202" s="473">
        <f>IF('BOULEVARD 5'!G200="","",'BOULEVARD 5'!G200)</f>
        <v>45300</v>
      </c>
      <c r="H202" s="666" t="str">
        <f>IF(OR($A202="F&amp;F",$G202=""),"",IF(H$8&gt;$G202,IF(OR(status1B5!I202=1,status1B5!I202=2,'BOULEVARD 5'!K200&gt;0),"Pagado","impago"),""))</f>
        <v/>
      </c>
      <c r="I202" s="666" t="str">
        <f>IF(OR($A202="F&amp;F",$G202=""),"",IF(I$8&gt;$G202,IF(OR(status1B5!J202=1,status1B5!J202=2,'BOULEVARD 5'!L200&gt;0),"Pagado","impago"),""))</f>
        <v/>
      </c>
      <c r="J202" s="666" t="str">
        <f>IF(OR($A202="F&amp;F",$G202=""),"",IF(J$8&gt;$G202,IF(OR(status1B5!K202=1,status1B5!K202=2,'BOULEVARD 5'!M200&gt;0),"Pagado","impago"),""))</f>
        <v/>
      </c>
      <c r="K202" s="666" t="str">
        <f>IF(OR($A202="F&amp;F",$G202=""),"",IF(K$8&gt;$G202,IF(OR(status1B5!L202=1,status1B5!L202=2,'BOULEVARD 5'!N200&gt;0),"Pagado","impago"),""))</f>
        <v/>
      </c>
      <c r="L202" s="666" t="str">
        <f>IF(OR($A202="F&amp;F",$G202=""),"",IF(L$8&gt;$G202,IF(OR(status1B5!M202=1,status1B5!M202=2,'BOULEVARD 5'!O200&gt;0),"Pagado","impago"),""))</f>
        <v/>
      </c>
      <c r="M202" s="666" t="str">
        <f>IF(OR($A202="F&amp;F",$G202=""),"",IF(M$8&gt;$G202,IF(OR(status1B5!N202=1,status1B5!N202=2,'BOULEVARD 5'!P200&gt;0),"Pagado","impago"),""))</f>
        <v/>
      </c>
      <c r="N202" s="666" t="str">
        <f>IF(OR($A202="F&amp;F",$G202=""),"",IF(N$8&gt;$G202,IF(OR(status1B5!O202=1,status1B5!O202=2,'BOULEVARD 5'!Q200&gt;0),"Pagado","impago"),""))</f>
        <v/>
      </c>
      <c r="O202" s="666" t="str">
        <f>IF(OR($A202="F&amp;F",$G202=""),"",IF(O$8&gt;$G202,IF(OR(status1B5!P202=1,status1B5!P202=2,'BOULEVARD 5'!R200&gt;0),"Pagado","impago"),""))</f>
        <v/>
      </c>
      <c r="P202" s="666" t="str">
        <f>IF(OR($A202="F&amp;F",$G202=""),"",IF(P$8&gt;$G202,IF(OR(status1B5!Q202=1,status1B5!Q202=2,'BOULEVARD 5'!S200&gt;0),"Pagado","impago"),""))</f>
        <v/>
      </c>
      <c r="Q202" s="666" t="str">
        <f>IF(OR($A202="F&amp;F",$G202=""),"",IF(Q$8&gt;$G202,IF(OR(status1B5!R202=1,status1B5!R202=2,'BOULEVARD 5'!T200&gt;0),"Pagado","impago"),""))</f>
        <v/>
      </c>
      <c r="R202" s="666" t="str">
        <f>IF(OR($A202="F&amp;F",$G202=""),"",IF(R$8&gt;$G202,IF(OR(status1B5!S202=1,status1B5!S202=2,'BOULEVARD 5'!U200&gt;0),"Pagado","impago"),""))</f>
        <v/>
      </c>
      <c r="S202" s="666" t="str">
        <f>IF(OR($A202="F&amp;F",$G202=""),"",IF(S$8&gt;$G202,IF(OR(status1B5!T202=1,status1B5!T202=2,'BOULEVARD 5'!V200&gt;0),"Pagado","impago"),""))</f>
        <v/>
      </c>
      <c r="T202" s="666" t="str">
        <f>IF(OR($A202="F&amp;F",$G202=""),"",IF(T$8&gt;$G202,IF(OR(status1B5!U202=1,status1B5!U202=2,'BOULEVARD 5'!W200&gt;0),"Pagado","impago"),""))</f>
        <v/>
      </c>
      <c r="U202" s="666" t="str">
        <f>IF(OR($A202="F&amp;F",$G202=""),"",IF(U$8&gt;$G202,IF(OR(status1B5!V202=1,status1B5!V202=2,'BOULEVARD 5'!X200&gt;0),"Pagado","impago"),""))</f>
        <v/>
      </c>
      <c r="V202" s="666" t="str">
        <f>IF(OR($A202="F&amp;F",$G202=""),"",IF(V$8&gt;$G202,IF(OR(status1B5!W202=1,status1B5!W202=2,'BOULEVARD 5'!Y200&gt;0),"Pagado","impago"),""))</f>
        <v/>
      </c>
      <c r="W202" s="666" t="str">
        <f>IF(OR($A202="F&amp;F",$G202=""),"",IF(W$8&gt;$G202,IF(OR(status1B5!X202=1,status1B5!X202=2,'BOULEVARD 5'!Z200&gt;0),"Pagado","impago"),""))</f>
        <v/>
      </c>
      <c r="X202" s="666" t="str">
        <f>IF(OR($A202="F&amp;F",$G202=""),"",IF(X$8&gt;$G202,IF(OR(status1B5!Y202=1,status1B5!Y202=2,'BOULEVARD 5'!AA200&gt;0),"Pagado","impago"),""))</f>
        <v/>
      </c>
      <c r="Y202" s="666" t="str">
        <f>IF(OR($A202="F&amp;F",$G202=""),"",IF(Y$8&gt;$G202,IF(OR(status1B5!Z202=1,status1B5!Z202=2,'BOULEVARD 5'!AB200&gt;0),"Pagado","impago"),""))</f>
        <v/>
      </c>
      <c r="Z202" s="666" t="str">
        <f>IF(OR($A202="F&amp;F",$G202=""),"",IF(Z$8&gt;$G202,IF(OR(status1B5!AA202=1,status1B5!AA202=2,'BOULEVARD 5'!AC200&gt;0),"Pagado","impago"),""))</f>
        <v/>
      </c>
      <c r="AA202" s="666" t="str">
        <f>IF(OR($A202="F&amp;F",$G202=""),"",IF(AA$8&gt;$G202,IF(OR(status1B5!AB202=1,status1B5!AB202=2,'BOULEVARD 5'!AD200&gt;0),"Pagado","impago"),""))</f>
        <v/>
      </c>
      <c r="AB202" s="666" t="str">
        <f>IF(OR($A202="F&amp;F",$G202=""),"",IF(AB$8&gt;$G202,IF(OR(status1B5!AC202=1,status1B5!AC202=2,'BOULEVARD 5'!AE200&gt;0),"Pagado","impago"),""))</f>
        <v/>
      </c>
      <c r="AC202" s="666" t="str">
        <f>IF(OR($A202="F&amp;F",$G202=""),"",IF(AC$8&gt;$G202,IF(OR(status1B5!AD202=1,status1B5!AD202=2,'BOULEVARD 5'!AF200&gt;0),"Pagado","impago"),""))</f>
        <v/>
      </c>
      <c r="AD202" s="666" t="str">
        <f>IF(OR($A202="F&amp;F",$G202=""),"",IF(AD$8&gt;$G202,IF(OR(status1B5!AE202=1,status1B5!AE202=2,'BOULEVARD 5'!AG200&gt;0),"Pagado","impago"),""))</f>
        <v/>
      </c>
      <c r="AE202" s="666" t="str">
        <f>IF(OR($A202="F&amp;F",$G202=""),"",IF(AE$8&gt;$G202,IF(OR(status1B5!AF202=1,status1B5!AF202=2,'BOULEVARD 5'!AH200&gt;0),"Pagado","impago"),""))</f>
        <v/>
      </c>
      <c r="AF202" s="666" t="str">
        <f>IF(OR($A202="F&amp;F",$G202=""),"",IF(AF$8&gt;$G202,IF(OR(status1B5!AG202=1,status1B5!AG202=2,'BOULEVARD 5'!AI200&gt;0),"Pagado","impago"),""))</f>
        <v/>
      </c>
      <c r="AG202" s="666" t="str">
        <f>IF(OR($A202="F&amp;F",$G202=""),"",IF(AG$8&gt;$G202,IF(OR(status1B5!AH202=1,status1B5!AH202=2,'BOULEVARD 5'!AJ200&gt;0),"Pagado","impago"),""))</f>
        <v/>
      </c>
      <c r="AH202" s="666" t="str">
        <f>IF(OR($A202="F&amp;F",$G202=""),"",IF(AH$8&gt;$G202,IF(OR(status1B5!AI202=1,status1B5!AI202=2,'BOULEVARD 5'!AK200&gt;0),"Pagado","impago"),""))</f>
        <v/>
      </c>
      <c r="AI202" s="666" t="str">
        <f>IF(OR($A202="F&amp;F",$G202=""),"",IF(AI$8&gt;$G202,IF(OR(status1B5!AJ202=1,status1B5!AJ202=2,'BOULEVARD 5'!AL200&gt;0),"Pagado","impago"),""))</f>
        <v/>
      </c>
      <c r="AJ202" s="666" t="str">
        <f>IF(OR($A202="F&amp;F",$G202=""),"",IF(AJ$8&gt;$G202,IF(OR(status1B5!AK202=1,status1B5!AK202=2,'BOULEVARD 5'!AM200&gt;0),"Pagado","impago"),""))</f>
        <v/>
      </c>
      <c r="AK202" s="666" t="str">
        <f>IF(OR($A202="F&amp;F",$G202=""),"",IF(AK$8&gt;$G202,IF(OR(status1B5!AL202=1,status1B5!AL202=2,'BOULEVARD 5'!AN200&gt;0),"Pagado","impago"),""))</f>
        <v/>
      </c>
      <c r="AL202" s="666" t="str">
        <f>IF(OR($A202="F&amp;F",$G202=""),"",IF(AL$8&gt;$G202,IF(OR(status1B5!AM202=1,status1B5!AM202=2,'BOULEVARD 5'!AO200&gt;0),"Pagado","impago"),""))</f>
        <v/>
      </c>
      <c r="AM202" s="666" t="str">
        <f>IF(OR($A202="F&amp;F",$G202=""),"",IF(AM$8&gt;$G202,IF(OR(status1B5!AN202=1,status1B5!AN202=2,'BOULEVARD 5'!AP200&gt;0),"Pagado","impago"),""))</f>
        <v/>
      </c>
      <c r="AN202" s="666" t="str">
        <f>IF(OR($A202="F&amp;F",$G202=""),"",IF(AN$8&gt;$G202,IF(OR(status1B5!AO202=1,status1B5!AO202=2,'BOULEVARD 5'!AQ200&gt;0),"Pagado","impago"),""))</f>
        <v/>
      </c>
      <c r="AO202" s="666" t="str">
        <f>IF(OR($A202="F&amp;F",$G202=""),"",IF(AO$8&gt;$G202,IF(OR(status1B5!AP202=1,status1B5!AP202=2,'BOULEVARD 5'!AS200&gt;0),"Pagado","impago"),""))</f>
        <v/>
      </c>
      <c r="AP202" s="429" t="str">
        <f t="shared" si="8"/>
        <v>Vendido</v>
      </c>
    </row>
    <row r="203" spans="1:42" s="429" customFormat="1" ht="13.9" customHeight="1" x14ac:dyDescent="0.25">
      <c r="A203" s="472"/>
      <c r="B203" s="436">
        <f>'BOULEVARD 5'!B201</f>
        <v>1108</v>
      </c>
      <c r="C203" s="436" t="s">
        <v>355</v>
      </c>
      <c r="D203" s="436"/>
      <c r="E203" s="436" t="str">
        <f>IF('BOULEVARD 5'!E201="","",'BOULEVARD 5'!E201)</f>
        <v>Brenda Búcaro</v>
      </c>
      <c r="F203" s="429" t="str">
        <f>IF('BOULEVARD 5'!F201="","",'BOULEVARD 5'!F201)</f>
        <v>Denis Orlando Coto Zelaya</v>
      </c>
      <c r="G203" s="473">
        <f>IF('BOULEVARD 5'!G201="","",'BOULEVARD 5'!G201)</f>
        <v>45013</v>
      </c>
      <c r="H203" s="666" t="str">
        <f>IF(OR($A203="F&amp;F",$G203=""),"",IF(H$8&gt;$G203,IF(OR(status1B5!I203=1,status1B5!I203=2,'BOULEVARD 5'!K201&gt;0),"Pagado","impago"),""))</f>
        <v>Pagado</v>
      </c>
      <c r="I203" s="666" t="str">
        <f>IF(OR($A203="F&amp;F",$G203=""),"",IF(I$8&gt;$G203,IF(OR(status1B5!J203=1,status1B5!J203=2,'BOULEVARD 5'!L201&gt;0),"Pagado","impago"),""))</f>
        <v>Pagado</v>
      </c>
      <c r="J203" s="666" t="str">
        <f>IF(OR($A203="F&amp;F",$G203=""),"",IF(J$8&gt;$G203,IF(OR(status1B5!K203=1,status1B5!K203=2,'BOULEVARD 5'!M201&gt;0),"Pagado","impago"),""))</f>
        <v>Pagado</v>
      </c>
      <c r="K203" s="666" t="str">
        <f>IF(OR($A203="F&amp;F",$G203=""),"",IF(K$8&gt;$G203,IF(OR(status1B5!L203=1,status1B5!L203=2,'BOULEVARD 5'!N201&gt;0),"Pagado","impago"),""))</f>
        <v>Pagado</v>
      </c>
      <c r="L203" s="666" t="str">
        <f>IF(OR($A203="F&amp;F",$G203=""),"",IF(L$8&gt;$G203,IF(OR(status1B5!M203=1,status1B5!M203=2,'BOULEVARD 5'!O201&gt;0),"Pagado","impago"),""))</f>
        <v>Pagado</v>
      </c>
      <c r="M203" s="666" t="str">
        <f>IF(OR($A203="F&amp;F",$G203=""),"",IF(M$8&gt;$G203,IF(OR(status1B5!N203=1,status1B5!N203=2,'BOULEVARD 5'!P201&gt;0),"Pagado","impago"),""))</f>
        <v>Pagado</v>
      </c>
      <c r="N203" s="666" t="str">
        <f>IF(OR($A203="F&amp;F",$G203=""),"",IF(N$8&gt;$G203,IF(OR(status1B5!O203=1,status1B5!O203=2,'BOULEVARD 5'!Q201&gt;0),"Pagado","impago"),""))</f>
        <v>Pagado</v>
      </c>
      <c r="O203" s="666" t="str">
        <f>IF(OR($A203="F&amp;F",$G203=""),"",IF(O$8&gt;$G203,IF(OR(status1B5!P203=1,status1B5!P203=2,'BOULEVARD 5'!R201&gt;0),"Pagado","impago"),""))</f>
        <v>Pagado</v>
      </c>
      <c r="P203" s="666" t="str">
        <f>IF(OR($A203="F&amp;F",$G203=""),"",IF(P$8&gt;$G203,IF(OR(status1B5!Q203=1,status1B5!Q203=2,'BOULEVARD 5'!S201&gt;0),"Pagado","impago"),""))</f>
        <v>Pagado</v>
      </c>
      <c r="Q203" s="666" t="str">
        <f>IF(OR($A203="F&amp;F",$G203=""),"",IF(Q$8&gt;$G203,IF(OR(status1B5!R203=1,status1B5!R203=2,'BOULEVARD 5'!T201&gt;0),"Pagado","impago"),""))</f>
        <v>Pagado</v>
      </c>
      <c r="R203" s="666" t="str">
        <f>IF(OR($A203="F&amp;F",$G203=""),"",IF(R$8&gt;$G203,IF(OR(status1B5!S203=1,status1B5!S203=2,'BOULEVARD 5'!U201&gt;0),"Pagado","impago"),""))</f>
        <v>Pagado</v>
      </c>
      <c r="S203" s="666" t="str">
        <f>IF(OR($A203="F&amp;F",$G203=""),"",IF(S$8&gt;$G203,IF(OR(status1B5!T203=1,status1B5!T203=2,'BOULEVARD 5'!V201&gt;0),"Pagado","impago"),""))</f>
        <v>Pagado</v>
      </c>
      <c r="T203" s="666" t="str">
        <f>IF(OR($A203="F&amp;F",$G203=""),"",IF(T$8&gt;$G203,IF(OR(status1B5!U203=1,status1B5!U203=2,'BOULEVARD 5'!W201&gt;0),"Pagado","impago"),""))</f>
        <v>Pagado</v>
      </c>
      <c r="U203" s="666" t="str">
        <f>IF(OR($A203="F&amp;F",$G203=""),"",IF(U$8&gt;$G203,IF(OR(status1B5!V203=1,status1B5!V203=2,'BOULEVARD 5'!X201&gt;0),"Pagado","impago"),""))</f>
        <v>Pagado</v>
      </c>
      <c r="V203" s="666" t="str">
        <f>IF(OR($A203="F&amp;F",$G203=""),"",IF(V$8&gt;$G203,IF(OR(status1B5!W203=1,status1B5!W203=2,'BOULEVARD 5'!Y201&gt;0),"Pagado","impago"),""))</f>
        <v>Pagado</v>
      </c>
      <c r="W203" s="666" t="str">
        <f>IF(OR($A203="F&amp;F",$G203=""),"",IF(W$8&gt;$G203,IF(OR(status1B5!X203=1,status1B5!X203=2,'BOULEVARD 5'!Z201&gt;0),"Pagado","impago"),""))</f>
        <v>Pagado</v>
      </c>
      <c r="X203" s="666" t="str">
        <f>IF(OR($A203="F&amp;F",$G203=""),"",IF(X$8&gt;$G203,IF(OR(status1B5!Y203=1,status1B5!Y203=2,'BOULEVARD 5'!AA201&gt;0),"Pagado","impago"),""))</f>
        <v>Pagado</v>
      </c>
      <c r="Y203" s="666" t="str">
        <f>IF(OR($A203="F&amp;F",$G203=""),"",IF(Y$8&gt;$G203,IF(OR(status1B5!Z203=1,status1B5!Z203=2,'BOULEVARD 5'!AB201&gt;0),"Pagado","impago"),""))</f>
        <v>Pagado</v>
      </c>
      <c r="Z203" s="666" t="str">
        <f>IF(OR($A203="F&amp;F",$G203=""),"",IF(Z$8&gt;$G203,IF(OR(status1B5!AA203=1,status1B5!AA203=2,'BOULEVARD 5'!AC201&gt;0),"Pagado","impago"),""))</f>
        <v>Pagado</v>
      </c>
      <c r="AA203" s="666" t="str">
        <f>IF(OR($A203="F&amp;F",$G203=""),"",IF(AA$8&gt;$G203,IF(OR(status1B5!AB203=1,status1B5!AB203=2,'BOULEVARD 5'!AD201&gt;0),"Pagado","impago"),""))</f>
        <v>Pagado</v>
      </c>
      <c r="AB203" s="666" t="str">
        <f>IF(OR($A203="F&amp;F",$G203=""),"",IF(AB$8&gt;$G203,IF(OR(status1B5!AC203=1,status1B5!AC203=2,'BOULEVARD 5'!AE201&gt;0),"Pagado","impago"),""))</f>
        <v>Pagado</v>
      </c>
      <c r="AC203" s="666" t="str">
        <f>IF(OR($A203="F&amp;F",$G203=""),"",IF(AC$8&gt;$G203,IF(OR(status1B5!AD203=1,status1B5!AD203=2,'BOULEVARD 5'!AF201&gt;0),"Pagado","impago"),""))</f>
        <v>Pagado</v>
      </c>
      <c r="AD203" s="666" t="str">
        <f>IF(OR($A203="F&amp;F",$G203=""),"",IF(AD$8&gt;$G203,IF(OR(status1B5!AE203=1,status1B5!AE203=2,'BOULEVARD 5'!AG201&gt;0),"Pagado","impago"),""))</f>
        <v>Pagado</v>
      </c>
      <c r="AE203" s="666" t="str">
        <f>IF(OR($A203="F&amp;F",$G203=""),"",IF(AE$8&gt;$G203,IF(OR(status1B5!AF203=1,status1B5!AF203=2,'BOULEVARD 5'!AH201&gt;0),"Pagado","impago"),""))</f>
        <v>Pagado</v>
      </c>
      <c r="AF203" s="666" t="str">
        <f>IF(OR($A203="F&amp;F",$G203=""),"",IF(AF$8&gt;$G203,IF(OR(status1B5!AG203=1,status1B5!AG203=2,'BOULEVARD 5'!AI201&gt;0),"Pagado","impago"),""))</f>
        <v>Pagado</v>
      </c>
      <c r="AG203" s="666" t="str">
        <f>IF(OR($A203="F&amp;F",$G203=""),"",IF(AG$8&gt;$G203,IF(OR(status1B5!AH203=1,status1B5!AH203=2,'BOULEVARD 5'!AJ201&gt;0),"Pagado","impago"),""))</f>
        <v>Pagado</v>
      </c>
      <c r="AH203" s="666" t="str">
        <f>IF(OR($A203="F&amp;F",$G203=""),"",IF(AH$8&gt;$G203,IF(OR(status1B5!AI203=1,status1B5!AI203=2,'BOULEVARD 5'!AK201&gt;0),"Pagado","impago"),""))</f>
        <v>Pagado</v>
      </c>
      <c r="AI203" s="666" t="str">
        <f>IF(OR($A203="F&amp;F",$G203=""),"",IF(AI$8&gt;$G203,IF(OR(status1B5!AJ203=1,status1B5!AJ203=2,'BOULEVARD 5'!AL201&gt;0),"Pagado","impago"),""))</f>
        <v>Pagado</v>
      </c>
      <c r="AJ203" s="666" t="str">
        <f>IF(OR($A203="F&amp;F",$G203=""),"",IF(AJ$8&gt;$G203,IF(OR(status1B5!AK203=1,status1B5!AK203=2,'BOULEVARD 5'!AM201&gt;0),"Pagado","impago"),""))</f>
        <v>Pagado</v>
      </c>
      <c r="AK203" s="666" t="str">
        <f>IF(OR($A203="F&amp;F",$G203=""),"",IF(AK$8&gt;$G203,IF(OR(status1B5!AL203=1,status1B5!AL203=2,'BOULEVARD 5'!AN201&gt;0),"Pagado","impago"),""))</f>
        <v>Pagado</v>
      </c>
      <c r="AL203" s="666" t="str">
        <f>IF(OR($A203="F&amp;F",$G203=""),"",IF(AL$8&gt;$G203,IF(OR(status1B5!AM203=1,status1B5!AM203=2,'BOULEVARD 5'!AO201&gt;0),"Pagado","impago"),""))</f>
        <v>Pagado</v>
      </c>
      <c r="AM203" s="666" t="str">
        <f>IF(OR($A203="F&amp;F",$G203=""),"",IF(AM$8&gt;$G203,IF(OR(status1B5!AN203=1,status1B5!AN203=2,'BOULEVARD 5'!AP201&gt;0),"Pagado","impago"),""))</f>
        <v>Pagado</v>
      </c>
      <c r="AN203" s="666" t="str">
        <f>IF(OR($A203="F&amp;F",$G203=""),"",IF(AN$8&gt;$G203,IF(OR(status1B5!AO203=1,status1B5!AO203=2,'BOULEVARD 5'!AQ201&gt;0),"Pagado","impago"),""))</f>
        <v>Pagado</v>
      </c>
      <c r="AO203" s="666" t="str">
        <f>IF(OR($A203="F&amp;F",$G203=""),"",IF(AO$8&gt;$G203,IF(OR(status1B5!AP203=1,status1B5!AP203=2,'BOULEVARD 5'!AS201&gt;0),"Pagado","impago"),""))</f>
        <v>Pagado</v>
      </c>
      <c r="AP203" s="429" t="str">
        <f t="shared" si="8"/>
        <v>Vendido</v>
      </c>
    </row>
    <row r="204" spans="1:42" s="429" customFormat="1" ht="13.9" customHeight="1" x14ac:dyDescent="0.25">
      <c r="A204" s="472"/>
      <c r="B204" s="436">
        <f>'BOULEVARD 5'!B202</f>
        <v>1109</v>
      </c>
      <c r="C204" s="436" t="s">
        <v>355</v>
      </c>
      <c r="D204" s="436"/>
      <c r="E204" s="436" t="str">
        <f>IF('BOULEVARD 5'!E202="","",'BOULEVARD 5'!E202)</f>
        <v>Antonio Rada</v>
      </c>
      <c r="F204" s="429" t="str">
        <f>IF('BOULEVARD 5'!F202="","",'BOULEVARD 5'!F202)</f>
        <v>Fausto Norberth Mendez Melgar</v>
      </c>
      <c r="G204" s="473">
        <f>IF('BOULEVARD 5'!G202="","",'BOULEVARD 5'!G202)</f>
        <v>45263</v>
      </c>
      <c r="H204" s="666" t="str">
        <f>IF(OR($A204="F&amp;F",$G204=""),"",IF(H$8&gt;$G204,IF(OR(status1B5!I204=1,status1B5!I204=2,'BOULEVARD 5'!K202&gt;0),"Pagado","impago"),""))</f>
        <v/>
      </c>
      <c r="I204" s="666" t="str">
        <f>IF(OR($A204="F&amp;F",$G204=""),"",IF(I$8&gt;$G204,IF(OR(status1B5!J204=1,status1B5!J204=2,'BOULEVARD 5'!L202&gt;0),"Pagado","impago"),""))</f>
        <v/>
      </c>
      <c r="J204" s="666" t="str">
        <f>IF(OR($A204="F&amp;F",$G204=""),"",IF(J$8&gt;$G204,IF(OR(status1B5!K204=1,status1B5!K204=2,'BOULEVARD 5'!M202&gt;0),"Pagado","impago"),""))</f>
        <v/>
      </c>
      <c r="K204" s="666" t="str">
        <f>IF(OR($A204="F&amp;F",$G204=""),"",IF(K$8&gt;$G204,IF(OR(status1B5!L204=1,status1B5!L204=2,'BOULEVARD 5'!N202&gt;0),"Pagado","impago"),""))</f>
        <v/>
      </c>
      <c r="L204" s="666" t="str">
        <f>IF(OR($A204="F&amp;F",$G204=""),"",IF(L$8&gt;$G204,IF(OR(status1B5!M204=1,status1B5!M204=2,'BOULEVARD 5'!O202&gt;0),"Pagado","impago"),""))</f>
        <v/>
      </c>
      <c r="M204" s="666" t="str">
        <f>IF(OR($A204="F&amp;F",$G204=""),"",IF(M$8&gt;$G204,IF(OR(status1B5!N204=1,status1B5!N204=2,'BOULEVARD 5'!P202&gt;0),"Pagado","impago"),""))</f>
        <v/>
      </c>
      <c r="N204" s="666" t="str">
        <f>IF(OR($A204="F&amp;F",$G204=""),"",IF(N$8&gt;$G204,IF(OR(status1B5!O204=1,status1B5!O204=2,'BOULEVARD 5'!Q202&gt;0),"Pagado","impago"),""))</f>
        <v/>
      </c>
      <c r="O204" s="666" t="str">
        <f>IF(OR($A204="F&amp;F",$G204=""),"",IF(O$8&gt;$G204,IF(OR(status1B5!P204=1,status1B5!P204=2,'BOULEVARD 5'!R202&gt;0),"Pagado","impago"),""))</f>
        <v/>
      </c>
      <c r="P204" s="666" t="str">
        <f>IF(OR($A204="F&amp;F",$G204=""),"",IF(P$8&gt;$G204,IF(OR(status1B5!Q204=1,status1B5!Q204=2,'BOULEVARD 5'!S202&gt;0),"Pagado","impago"),""))</f>
        <v/>
      </c>
      <c r="Q204" s="666" t="str">
        <f>IF(OR($A204="F&amp;F",$G204=""),"",IF(Q$8&gt;$G204,IF(OR(status1B5!R204=1,status1B5!R204=2,'BOULEVARD 5'!T202&gt;0),"Pagado","impago"),""))</f>
        <v>Pagado</v>
      </c>
      <c r="R204" s="666" t="str">
        <f>IF(OR($A204="F&amp;F",$G204=""),"",IF(R$8&gt;$G204,IF(OR(status1B5!S204=1,status1B5!S204=2,'BOULEVARD 5'!U202&gt;0),"Pagado","impago"),""))</f>
        <v>Pagado</v>
      </c>
      <c r="S204" s="666" t="str">
        <f>IF(OR($A204="F&amp;F",$G204=""),"",IF(S$8&gt;$G204,IF(OR(status1B5!T204=1,status1B5!T204=2,'BOULEVARD 5'!V202&gt;0),"Pagado","impago"),""))</f>
        <v>Pagado</v>
      </c>
      <c r="T204" s="666" t="str">
        <f>IF(OR($A204="F&amp;F",$G204=""),"",IF(T$8&gt;$G204,IF(OR(status1B5!U204=1,status1B5!U204=2,'BOULEVARD 5'!W202&gt;0),"Pagado","impago"),""))</f>
        <v>Pagado</v>
      </c>
      <c r="U204" s="666" t="str">
        <f>IF(OR($A204="F&amp;F",$G204=""),"",IF(U$8&gt;$G204,IF(OR(status1B5!V204=1,status1B5!V204=2,'BOULEVARD 5'!X202&gt;0),"Pagado","impago"),""))</f>
        <v>Pagado</v>
      </c>
      <c r="V204" s="666" t="str">
        <f>IF(OR($A204="F&amp;F",$G204=""),"",IF(V$8&gt;$G204,IF(OR(status1B5!W204=1,status1B5!W204=2,'BOULEVARD 5'!Y202&gt;0),"Pagado","impago"),""))</f>
        <v>Pagado</v>
      </c>
      <c r="W204" s="666" t="str">
        <f>IF(OR($A204="F&amp;F",$G204=""),"",IF(W$8&gt;$G204,IF(OR(status1B5!X204=1,status1B5!X204=2,'BOULEVARD 5'!Z202&gt;0),"Pagado","impago"),""))</f>
        <v>Pagado</v>
      </c>
      <c r="X204" s="666" t="str">
        <f>IF(OR($A204="F&amp;F",$G204=""),"",IF(X$8&gt;$G204,IF(OR(status1B5!Y204=1,status1B5!Y204=2,'BOULEVARD 5'!AA202&gt;0),"Pagado","impago"),""))</f>
        <v>Pagado</v>
      </c>
      <c r="Y204" s="666" t="str">
        <f>IF(OR($A204="F&amp;F",$G204=""),"",IF(Y$8&gt;$G204,IF(OR(status1B5!Z204=1,status1B5!Z204=2,'BOULEVARD 5'!AB202&gt;0),"Pagado","impago"),""))</f>
        <v>Pagado</v>
      </c>
      <c r="Z204" s="666" t="str">
        <f>IF(OR($A204="F&amp;F",$G204=""),"",IF(Z$8&gt;$G204,IF(OR(status1B5!AA204=1,status1B5!AA204=2,'BOULEVARD 5'!AC202&gt;0),"Pagado","impago"),""))</f>
        <v>Pagado</v>
      </c>
      <c r="AA204" s="666" t="str">
        <f>IF(OR($A204="F&amp;F",$G204=""),"",IF(AA$8&gt;$G204,IF(OR(status1B5!AB204=1,status1B5!AB204=2,'BOULEVARD 5'!AD202&gt;0),"Pagado","impago"),""))</f>
        <v>Pagado</v>
      </c>
      <c r="AB204" s="666" t="str">
        <f>IF(OR($A204="F&amp;F",$G204=""),"",IF(AB$8&gt;$G204,IF(OR(status1B5!AC204=1,status1B5!AC204=2,'BOULEVARD 5'!AE202&gt;0),"Pagado","impago"),""))</f>
        <v>Pagado</v>
      </c>
      <c r="AC204" s="666" t="str">
        <f>IF(OR($A204="F&amp;F",$G204=""),"",IF(AC$8&gt;$G204,IF(OR(status1B5!AD204=1,status1B5!AD204=2,'BOULEVARD 5'!AF202&gt;0),"Pagado","impago"),""))</f>
        <v>Pagado</v>
      </c>
      <c r="AD204" s="666" t="str">
        <f>IF(OR($A204="F&amp;F",$G204=""),"",IF(AD$8&gt;$G204,IF(OR(status1B5!AE204=1,status1B5!AE204=2,'BOULEVARD 5'!AG202&gt;0),"Pagado","impago"),""))</f>
        <v>Pagado</v>
      </c>
      <c r="AE204" s="666" t="str">
        <f>IF(OR($A204="F&amp;F",$G204=""),"",IF(AE$8&gt;$G204,IF(OR(status1B5!AF204=1,status1B5!AF204=2,'BOULEVARD 5'!AH202&gt;0),"Pagado","impago"),""))</f>
        <v>Pagado</v>
      </c>
      <c r="AF204" s="666" t="str">
        <f>IF(OR($A204="F&amp;F",$G204=""),"",IF(AF$8&gt;$G204,IF(OR(status1B5!AG204=1,status1B5!AG204=2,'BOULEVARD 5'!AI202&gt;0),"Pagado","impago"),""))</f>
        <v>Pagado</v>
      </c>
      <c r="AG204" s="666" t="str">
        <f>IF(OR($A204="F&amp;F",$G204=""),"",IF(AG$8&gt;$G204,IF(OR(status1B5!AH204=1,status1B5!AH204=2,'BOULEVARD 5'!AJ202&gt;0),"Pagado","impago"),""))</f>
        <v>Pagado</v>
      </c>
      <c r="AH204" s="666" t="str">
        <f>IF(OR($A204="F&amp;F",$G204=""),"",IF(AH$8&gt;$G204,IF(OR(status1B5!AI204=1,status1B5!AI204=2,'BOULEVARD 5'!AK202&gt;0),"Pagado","impago"),""))</f>
        <v>Pagado</v>
      </c>
      <c r="AI204" s="666" t="str">
        <f>IF(OR($A204="F&amp;F",$G204=""),"",IF(AI$8&gt;$G204,IF(OR(status1B5!AJ204=1,status1B5!AJ204=2,'BOULEVARD 5'!AL202&gt;0),"Pagado","impago"),""))</f>
        <v>Pagado</v>
      </c>
      <c r="AJ204" s="666" t="str">
        <f>IF(OR($A204="F&amp;F",$G204=""),"",IF(AJ$8&gt;$G204,IF(OR(status1B5!AK204=1,status1B5!AK204=2,'BOULEVARD 5'!AM202&gt;0),"Pagado","impago"),""))</f>
        <v>Pagado</v>
      </c>
      <c r="AK204" s="666" t="str">
        <f>IF(OR($A204="F&amp;F",$G204=""),"",IF(AK$8&gt;$G204,IF(OR(status1B5!AL204=1,status1B5!AL204=2,'BOULEVARD 5'!AN202&gt;0),"Pagado","impago"),""))</f>
        <v>Pagado</v>
      </c>
      <c r="AL204" s="666" t="str">
        <f>IF(OR($A204="F&amp;F",$G204=""),"",IF(AL$8&gt;$G204,IF(OR(status1B5!AM204=1,status1B5!AM204=2,'BOULEVARD 5'!AO202&gt;0),"Pagado","impago"),""))</f>
        <v>Pagado</v>
      </c>
      <c r="AM204" s="666" t="str">
        <f>IF(OR($A204="F&amp;F",$G204=""),"",IF(AM$8&gt;$G204,IF(OR(status1B5!AN204=1,status1B5!AN204=2,'BOULEVARD 5'!AP202&gt;0),"Pagado","impago"),""))</f>
        <v>Pagado</v>
      </c>
      <c r="AN204" s="666" t="str">
        <f>IF(OR($A204="F&amp;F",$G204=""),"",IF(AN$8&gt;$G204,IF(OR(status1B5!AO204=1,status1B5!AO204=2,'BOULEVARD 5'!AQ202&gt;0),"Pagado","impago"),""))</f>
        <v>Pagado</v>
      </c>
      <c r="AO204" s="666" t="str">
        <f>IF(OR($A204="F&amp;F",$G204=""),"",IF(AO$8&gt;$G204,IF(OR(status1B5!AP204=1,status1B5!AP204=2,'BOULEVARD 5'!AS202&gt;0),"Pagado","impago"),""))</f>
        <v>Pagado</v>
      </c>
      <c r="AP204" s="429" t="str">
        <f t="shared" si="8"/>
        <v>Vendido</v>
      </c>
    </row>
    <row r="205" spans="1:42" s="429" customFormat="1" ht="13.9" customHeight="1" x14ac:dyDescent="0.25">
      <c r="A205" s="472"/>
      <c r="B205" s="436">
        <f>'BOULEVARD 5'!B203</f>
        <v>1110</v>
      </c>
      <c r="C205" s="436" t="s">
        <v>355</v>
      </c>
      <c r="D205" s="436"/>
      <c r="E205" s="436" t="str">
        <f>IF('BOULEVARD 5'!E203="","",'BOULEVARD 5'!E203)</f>
        <v>Antonio Rada</v>
      </c>
      <c r="F205" s="429" t="str">
        <f>IF('BOULEVARD 5'!F203="","",'BOULEVARD 5'!F203)</f>
        <v>Juan Carlos Lantzendorffer Haas</v>
      </c>
      <c r="G205" s="473">
        <f>IF('BOULEVARD 5'!G203="","",'BOULEVARD 5'!G203)</f>
        <v>45143</v>
      </c>
      <c r="H205" s="666" t="str">
        <f>IF(OR($A205="F&amp;F",$G205=""),"",IF(H$8&gt;$G205,IF(OR(status1B5!I205=1,status1B5!I205=2,'BOULEVARD 5'!K203&gt;0),"Pagado","impago"),""))</f>
        <v/>
      </c>
      <c r="I205" s="666" t="str">
        <f>IF(OR($A205="F&amp;F",$G205=""),"",IF(I$8&gt;$G205,IF(OR(status1B5!J205=1,status1B5!J205=2,'BOULEVARD 5'!L203&gt;0),"Pagado","impago"),""))</f>
        <v/>
      </c>
      <c r="J205" s="666" t="str">
        <f>IF(OR($A205="F&amp;F",$G205=""),"",IF(J$8&gt;$G205,IF(OR(status1B5!K205=1,status1B5!K205=2,'BOULEVARD 5'!M203&gt;0),"Pagado","impago"),""))</f>
        <v/>
      </c>
      <c r="K205" s="666" t="str">
        <f>IF(OR($A205="F&amp;F",$G205=""),"",IF(K$8&gt;$G205,IF(OR(status1B5!L205=1,status1B5!L205=2,'BOULEVARD 5'!N203&gt;0),"Pagado","impago"),""))</f>
        <v/>
      </c>
      <c r="L205" s="666" t="str">
        <f>IF(OR($A205="F&amp;F",$G205=""),"",IF(L$8&gt;$G205,IF(OR(status1B5!M205=1,status1B5!M205=2,'BOULEVARD 5'!O203&gt;0),"Pagado","impago"),""))</f>
        <v/>
      </c>
      <c r="M205" s="666" t="str">
        <f>IF(OR($A205="F&amp;F",$G205=""),"",IF(M$8&gt;$G205,IF(OR(status1B5!N205=1,status1B5!N205=2,'BOULEVARD 5'!P203&gt;0),"Pagado","impago"),""))</f>
        <v>Pagado</v>
      </c>
      <c r="N205" s="666" t="str">
        <f>IF(OR($A205="F&amp;F",$G205=""),"",IF(N$8&gt;$G205,IF(OR(status1B5!O205=1,status1B5!O205=2,'BOULEVARD 5'!Q203&gt;0),"Pagado","impago"),""))</f>
        <v>Pagado</v>
      </c>
      <c r="O205" s="666" t="str">
        <f>IF(OR($A205="F&amp;F",$G205=""),"",IF(O$8&gt;$G205,IF(OR(status1B5!P205=1,status1B5!P205=2,'BOULEVARD 5'!R203&gt;0),"Pagado","impago"),""))</f>
        <v>Pagado</v>
      </c>
      <c r="P205" s="666" t="str">
        <f>IF(OR($A205="F&amp;F",$G205=""),"",IF(P$8&gt;$G205,IF(OR(status1B5!Q205=1,status1B5!Q205=2,'BOULEVARD 5'!S203&gt;0),"Pagado","impago"),""))</f>
        <v>Pagado</v>
      </c>
      <c r="Q205" s="666" t="str">
        <f>IF(OR($A205="F&amp;F",$G205=""),"",IF(Q$8&gt;$G205,IF(OR(status1B5!R205=1,status1B5!R205=2,'BOULEVARD 5'!T203&gt;0),"Pagado","impago"),""))</f>
        <v>Pagado</v>
      </c>
      <c r="R205" s="666" t="str">
        <f>IF(OR($A205="F&amp;F",$G205=""),"",IF(R$8&gt;$G205,IF(OR(status1B5!S205=1,status1B5!S205=2,'BOULEVARD 5'!U203&gt;0),"Pagado","impago"),""))</f>
        <v>Pagado</v>
      </c>
      <c r="S205" s="666" t="str">
        <f>IF(OR($A205="F&amp;F",$G205=""),"",IF(S$8&gt;$G205,IF(OR(status1B5!T205=1,status1B5!T205=2,'BOULEVARD 5'!V203&gt;0),"Pagado","impago"),""))</f>
        <v>Pagado</v>
      </c>
      <c r="T205" s="666" t="str">
        <f>IF(OR($A205="F&amp;F",$G205=""),"",IF(T$8&gt;$G205,IF(OR(status1B5!U205=1,status1B5!U205=2,'BOULEVARD 5'!W203&gt;0),"Pagado","impago"),""))</f>
        <v>Pagado</v>
      </c>
      <c r="U205" s="666" t="str">
        <f>IF(OR($A205="F&amp;F",$G205=""),"",IF(U$8&gt;$G205,IF(OR(status1B5!V205=1,status1B5!V205=2,'BOULEVARD 5'!X203&gt;0),"Pagado","impago"),""))</f>
        <v>Pagado</v>
      </c>
      <c r="V205" s="666" t="str">
        <f>IF(OR($A205="F&amp;F",$G205=""),"",IF(V$8&gt;$G205,IF(OR(status1B5!W205=1,status1B5!W205=2,'BOULEVARD 5'!Y203&gt;0),"Pagado","impago"),""))</f>
        <v>Pagado</v>
      </c>
      <c r="W205" s="666" t="str">
        <f>IF(OR($A205="F&amp;F",$G205=""),"",IF(W$8&gt;$G205,IF(OR(status1B5!X205=1,status1B5!X205=2,'BOULEVARD 5'!Z203&gt;0),"Pagado","impago"),""))</f>
        <v>Pagado</v>
      </c>
      <c r="X205" s="666" t="str">
        <f>IF(OR($A205="F&amp;F",$G205=""),"",IF(X$8&gt;$G205,IF(OR(status1B5!Y205=1,status1B5!Y205=2,'BOULEVARD 5'!AA203&gt;0),"Pagado","impago"),""))</f>
        <v>Pagado</v>
      </c>
      <c r="Y205" s="666" t="str">
        <f>IF(OR($A205="F&amp;F",$G205=""),"",IF(Y$8&gt;$G205,IF(OR(status1B5!Z205=1,status1B5!Z205=2,'BOULEVARD 5'!AB203&gt;0),"Pagado","impago"),""))</f>
        <v>Pagado</v>
      </c>
      <c r="Z205" s="666" t="str">
        <f>IF(OR($A205="F&amp;F",$G205=""),"",IF(Z$8&gt;$G205,IF(OR(status1B5!AA205=1,status1B5!AA205=2,'BOULEVARD 5'!AC203&gt;0),"Pagado","impago"),""))</f>
        <v>Pagado</v>
      </c>
      <c r="AA205" s="666" t="str">
        <f>IF(OR($A205="F&amp;F",$G205=""),"",IF(AA$8&gt;$G205,IF(OR(status1B5!AB205=1,status1B5!AB205=2,'BOULEVARD 5'!AD203&gt;0),"Pagado","impago"),""))</f>
        <v>Pagado</v>
      </c>
      <c r="AB205" s="666" t="str">
        <f>IF(OR($A205="F&amp;F",$G205=""),"",IF(AB$8&gt;$G205,IF(OR(status1B5!AC205=1,status1B5!AC205=2,'BOULEVARD 5'!AE203&gt;0),"Pagado","impago"),""))</f>
        <v>Pagado</v>
      </c>
      <c r="AC205" s="666" t="str">
        <f>IF(OR($A205="F&amp;F",$G205=""),"",IF(AC$8&gt;$G205,IF(OR(status1B5!AD205=1,status1B5!AD205=2,'BOULEVARD 5'!AF203&gt;0),"Pagado","impago"),""))</f>
        <v>Pagado</v>
      </c>
      <c r="AD205" s="666" t="str">
        <f>IF(OR($A205="F&amp;F",$G205=""),"",IF(AD$8&gt;$G205,IF(OR(status1B5!AE205=1,status1B5!AE205=2,'BOULEVARD 5'!AG203&gt;0),"Pagado","impago"),""))</f>
        <v>Pagado</v>
      </c>
      <c r="AE205" s="666" t="str">
        <f>IF(OR($A205="F&amp;F",$G205=""),"",IF(AE$8&gt;$G205,IF(OR(status1B5!AF205=1,status1B5!AF205=2,'BOULEVARD 5'!AH203&gt;0),"Pagado","impago"),""))</f>
        <v>Pagado</v>
      </c>
      <c r="AF205" s="666" t="str">
        <f>IF(OR($A205="F&amp;F",$G205=""),"",IF(AF$8&gt;$G205,IF(OR(status1B5!AG205=1,status1B5!AG205=2,'BOULEVARD 5'!AI203&gt;0),"Pagado","impago"),""))</f>
        <v>Pagado</v>
      </c>
      <c r="AG205" s="666" t="str">
        <f>IF(OR($A205="F&amp;F",$G205=""),"",IF(AG$8&gt;$G205,IF(OR(status1B5!AH205=1,status1B5!AH205=2,'BOULEVARD 5'!AJ203&gt;0),"Pagado","impago"),""))</f>
        <v>Pagado</v>
      </c>
      <c r="AH205" s="666" t="str">
        <f>IF(OR($A205="F&amp;F",$G205=""),"",IF(AH$8&gt;$G205,IF(OR(status1B5!AI205=1,status1B5!AI205=2,'BOULEVARD 5'!AK203&gt;0),"Pagado","impago"),""))</f>
        <v>Pagado</v>
      </c>
      <c r="AI205" s="666" t="str">
        <f>IF(OR($A205="F&amp;F",$G205=""),"",IF(AI$8&gt;$G205,IF(OR(status1B5!AJ205=1,status1B5!AJ205=2,'BOULEVARD 5'!AL203&gt;0),"Pagado","impago"),""))</f>
        <v>Pagado</v>
      </c>
      <c r="AJ205" s="666" t="str">
        <f>IF(OR($A205="F&amp;F",$G205=""),"",IF(AJ$8&gt;$G205,IF(OR(status1B5!AK205=1,status1B5!AK205=2,'BOULEVARD 5'!AM203&gt;0),"Pagado","impago"),""))</f>
        <v>Pagado</v>
      </c>
      <c r="AK205" s="666" t="str">
        <f>IF(OR($A205="F&amp;F",$G205=""),"",IF(AK$8&gt;$G205,IF(OR(status1B5!AL205=1,status1B5!AL205=2,'BOULEVARD 5'!AN203&gt;0),"Pagado","impago"),""))</f>
        <v>Pagado</v>
      </c>
      <c r="AL205" s="666" t="str">
        <f>IF(OR($A205="F&amp;F",$G205=""),"",IF(AL$8&gt;$G205,IF(OR(status1B5!AM205=1,status1B5!AM205=2,'BOULEVARD 5'!AO203&gt;0),"Pagado","impago"),""))</f>
        <v>Pagado</v>
      </c>
      <c r="AM205" s="666" t="str">
        <f>IF(OR($A205="F&amp;F",$G205=""),"",IF(AM$8&gt;$G205,IF(OR(status1B5!AN205=1,status1B5!AN205=2,'BOULEVARD 5'!AP203&gt;0),"Pagado","impago"),""))</f>
        <v>Pagado</v>
      </c>
      <c r="AN205" s="666" t="str">
        <f>IF(OR($A205="F&amp;F",$G205=""),"",IF(AN$8&gt;$G205,IF(OR(status1B5!AO205=1,status1B5!AO205=2,'BOULEVARD 5'!AQ203&gt;0),"Pagado","impago"),""))</f>
        <v>Pagado</v>
      </c>
      <c r="AO205" s="666" t="str">
        <f>IF(OR($A205="F&amp;F",$G205=""),"",IF(AO$8&gt;$G205,IF(OR(status1B5!AP205=1,status1B5!AP205=2,'BOULEVARD 5'!AS203&gt;0),"Pagado","impago"),""))</f>
        <v>Pagado</v>
      </c>
      <c r="AP205" s="429" t="str">
        <f t="shared" si="8"/>
        <v>Vendido</v>
      </c>
    </row>
    <row r="206" spans="1:42" s="429" customFormat="1" ht="13.9" customHeight="1" x14ac:dyDescent="0.25">
      <c r="A206" s="472"/>
      <c r="B206" s="436">
        <f>'BOULEVARD 5'!B204</f>
        <v>1111</v>
      </c>
      <c r="C206" s="436" t="s">
        <v>355</v>
      </c>
      <c r="D206" s="436"/>
      <c r="E206" s="436" t="str">
        <f>IF('BOULEVARD 5'!E204="","",'BOULEVARD 5'!E204)</f>
        <v>Antonio Rada</v>
      </c>
      <c r="F206" s="429" t="str">
        <f>IF('BOULEVARD 5'!F204="","",'BOULEVARD 5'!F204)</f>
        <v>Erika Ruth Castro Juarez</v>
      </c>
      <c r="G206" s="473">
        <f>IF('BOULEVARD 5'!G204="","",'BOULEVARD 5'!G204)</f>
        <v>45329</v>
      </c>
      <c r="H206" s="666" t="str">
        <f>IF(OR($A206="F&amp;F",$G206=""),"",IF(H$8&gt;$G206,IF(OR(status1B5!I206=1,status1B5!I206=2,'BOULEVARD 5'!K204&gt;0),"Pagado","impago"),""))</f>
        <v/>
      </c>
      <c r="I206" s="666" t="str">
        <f>IF(OR($A206="F&amp;F",$G206=""),"",IF(I$8&gt;$G206,IF(OR(status1B5!J206=1,status1B5!J206=2,'BOULEVARD 5'!L204&gt;0),"Pagado","impago"),""))</f>
        <v/>
      </c>
      <c r="J206" s="666" t="str">
        <f>IF(OR($A206="F&amp;F",$G206=""),"",IF(J$8&gt;$G206,IF(OR(status1B5!K206=1,status1B5!K206=2,'BOULEVARD 5'!M204&gt;0),"Pagado","impago"),""))</f>
        <v/>
      </c>
      <c r="K206" s="666" t="str">
        <f>IF(OR($A206="F&amp;F",$G206=""),"",IF(K$8&gt;$G206,IF(OR(status1B5!L206=1,status1B5!L206=2,'BOULEVARD 5'!N204&gt;0),"Pagado","impago"),""))</f>
        <v/>
      </c>
      <c r="L206" s="666" t="str">
        <f>IF(OR($A206="F&amp;F",$G206=""),"",IF(L$8&gt;$G206,IF(OR(status1B5!M206=1,status1B5!M206=2,'BOULEVARD 5'!O204&gt;0),"Pagado","impago"),""))</f>
        <v/>
      </c>
      <c r="M206" s="666" t="str">
        <f>IF(OR($A206="F&amp;F",$G206=""),"",IF(M$8&gt;$G206,IF(OR(status1B5!N206=1,status1B5!N206=2,'BOULEVARD 5'!P204&gt;0),"Pagado","impago"),""))</f>
        <v/>
      </c>
      <c r="N206" s="666" t="str">
        <f>IF(OR($A206="F&amp;F",$G206=""),"",IF(N$8&gt;$G206,IF(OR(status1B5!O206=1,status1B5!O206=2,'BOULEVARD 5'!Q204&gt;0),"Pagado","impago"),""))</f>
        <v/>
      </c>
      <c r="O206" s="666" t="str">
        <f>IF(OR($A206="F&amp;F",$G206=""),"",IF(O$8&gt;$G206,IF(OR(status1B5!P206=1,status1B5!P206=2,'BOULEVARD 5'!R204&gt;0),"Pagado","impago"),""))</f>
        <v/>
      </c>
      <c r="P206" s="666" t="str">
        <f>IF(OR($A206="F&amp;F",$G206=""),"",IF(P$8&gt;$G206,IF(OR(status1B5!Q206=1,status1B5!Q206=2,'BOULEVARD 5'!S204&gt;0),"Pagado","impago"),""))</f>
        <v/>
      </c>
      <c r="Q206" s="666" t="str">
        <f>IF(OR($A206="F&amp;F",$G206=""),"",IF(Q$8&gt;$G206,IF(OR(status1B5!R206=1,status1B5!R206=2,'BOULEVARD 5'!T204&gt;0),"Pagado","impago"),""))</f>
        <v/>
      </c>
      <c r="R206" s="666" t="str">
        <f>IF(OR($A206="F&amp;F",$G206=""),"",IF(R$8&gt;$G206,IF(OR(status1B5!S206=1,status1B5!S206=2,'BOULEVARD 5'!U204&gt;0),"Pagado","impago"),""))</f>
        <v/>
      </c>
      <c r="S206" s="666" t="str">
        <f>IF(OR($A206="F&amp;F",$G206=""),"",IF(S$8&gt;$G206,IF(OR(status1B5!T206=1,status1B5!T206=2,'BOULEVARD 5'!V204&gt;0),"Pagado","impago"),""))</f>
        <v>Pagado</v>
      </c>
      <c r="T206" s="666" t="str">
        <f>IF(OR($A206="F&amp;F",$G206=""),"",IF(T$8&gt;$G206,IF(OR(status1B5!U206=1,status1B5!U206=2,'BOULEVARD 5'!W204&gt;0),"Pagado","impago"),""))</f>
        <v>Pagado</v>
      </c>
      <c r="U206" s="666" t="str">
        <f>IF(OR($A206="F&amp;F",$G206=""),"",IF(U$8&gt;$G206,IF(OR(status1B5!V206=1,status1B5!V206=2,'BOULEVARD 5'!X204&gt;0),"Pagado","impago"),""))</f>
        <v>Pagado</v>
      </c>
      <c r="V206" s="666" t="str">
        <f>IF(OR($A206="F&amp;F",$G206=""),"",IF(V$8&gt;$G206,IF(OR(status1B5!W206=1,status1B5!W206=2,'BOULEVARD 5'!Y204&gt;0),"Pagado","impago"),""))</f>
        <v>Pagado</v>
      </c>
      <c r="W206" s="666" t="str">
        <f>IF(OR($A206="F&amp;F",$G206=""),"",IF(W$8&gt;$G206,IF(OR(status1B5!X206=1,status1B5!X206=2,'BOULEVARD 5'!Z204&gt;0),"Pagado","impago"),""))</f>
        <v>Pagado</v>
      </c>
      <c r="X206" s="666" t="str">
        <f>IF(OR($A206="F&amp;F",$G206=""),"",IF(X$8&gt;$G206,IF(OR(status1B5!Y206=1,status1B5!Y206=2,'BOULEVARD 5'!AA204&gt;0),"Pagado","impago"),""))</f>
        <v>Pagado</v>
      </c>
      <c r="Y206" s="666" t="str">
        <f>IF(OR($A206="F&amp;F",$G206=""),"",IF(Y$8&gt;$G206,IF(OR(status1B5!Z206=1,status1B5!Z206=2,'BOULEVARD 5'!AB204&gt;0),"Pagado","impago"),""))</f>
        <v>Pagado</v>
      </c>
      <c r="Z206" s="666" t="str">
        <f>IF(OR($A206="F&amp;F",$G206=""),"",IF(Z$8&gt;$G206,IF(OR(status1B5!AA206=1,status1B5!AA206=2,'BOULEVARD 5'!AC204&gt;0),"Pagado","impago"),""))</f>
        <v>Pagado</v>
      </c>
      <c r="AA206" s="666" t="str">
        <f>IF(OR($A206="F&amp;F",$G206=""),"",IF(AA$8&gt;$G206,IF(OR(status1B5!AB206=1,status1B5!AB206=2,'BOULEVARD 5'!AD204&gt;0),"Pagado","impago"),""))</f>
        <v>Pagado</v>
      </c>
      <c r="AB206" s="666" t="str">
        <f>IF(OR($A206="F&amp;F",$G206=""),"",IF(AB$8&gt;$G206,IF(OR(status1B5!AC206=1,status1B5!AC206=2,'BOULEVARD 5'!AE204&gt;0),"Pagado","impago"),""))</f>
        <v>Pagado</v>
      </c>
      <c r="AC206" s="666" t="str">
        <f>IF(OR($A206="F&amp;F",$G206=""),"",IF(AC$8&gt;$G206,IF(OR(status1B5!AD206=1,status1B5!AD206=2,'BOULEVARD 5'!AF204&gt;0),"Pagado","impago"),""))</f>
        <v>Pagado</v>
      </c>
      <c r="AD206" s="666" t="str">
        <f>IF(OR($A206="F&amp;F",$G206=""),"",IF(AD$8&gt;$G206,IF(OR(status1B5!AE206=1,status1B5!AE206=2,'BOULEVARD 5'!AG204&gt;0),"Pagado","impago"),""))</f>
        <v>Pagado</v>
      </c>
      <c r="AE206" s="666" t="str">
        <f>IF(OR($A206="F&amp;F",$G206=""),"",IF(AE$8&gt;$G206,IF(OR(status1B5!AF206=1,status1B5!AF206=2,'BOULEVARD 5'!AH204&gt;0),"Pagado","impago"),""))</f>
        <v>Pagado</v>
      </c>
      <c r="AF206" s="666" t="str">
        <f>IF(OR($A206="F&amp;F",$G206=""),"",IF(AF$8&gt;$G206,IF(OR(status1B5!AG206=1,status1B5!AG206=2,'BOULEVARD 5'!AI204&gt;0),"Pagado","impago"),""))</f>
        <v>Pagado</v>
      </c>
      <c r="AG206" s="666" t="str">
        <f>IF(OR($A206="F&amp;F",$G206=""),"",IF(AG$8&gt;$G206,IF(OR(status1B5!AH206=1,status1B5!AH206=2,'BOULEVARD 5'!AJ204&gt;0),"Pagado","impago"),""))</f>
        <v>Pagado</v>
      </c>
      <c r="AH206" s="666" t="str">
        <f>IF(OR($A206="F&amp;F",$G206=""),"",IF(AH$8&gt;$G206,IF(OR(status1B5!AI206=1,status1B5!AI206=2,'BOULEVARD 5'!AK204&gt;0),"Pagado","impago"),""))</f>
        <v>Pagado</v>
      </c>
      <c r="AI206" s="666" t="str">
        <f>IF(OR($A206="F&amp;F",$G206=""),"",IF(AI$8&gt;$G206,IF(OR(status1B5!AJ206=1,status1B5!AJ206=2,'BOULEVARD 5'!AL204&gt;0),"Pagado","impago"),""))</f>
        <v>Pagado</v>
      </c>
      <c r="AJ206" s="666" t="str">
        <f>IF(OR($A206="F&amp;F",$G206=""),"",IF(AJ$8&gt;$G206,IF(OR(status1B5!AK206=1,status1B5!AK206=2,'BOULEVARD 5'!AM204&gt;0),"Pagado","impago"),""))</f>
        <v>Pagado</v>
      </c>
      <c r="AK206" s="666" t="str">
        <f>IF(OR($A206="F&amp;F",$G206=""),"",IF(AK$8&gt;$G206,IF(OR(status1B5!AL206=1,status1B5!AL206=2,'BOULEVARD 5'!AN204&gt;0),"Pagado","impago"),""))</f>
        <v>Pagado</v>
      </c>
      <c r="AL206" s="666" t="str">
        <f>IF(OR($A206="F&amp;F",$G206=""),"",IF(AL$8&gt;$G206,IF(OR(status1B5!AM206=1,status1B5!AM206=2,'BOULEVARD 5'!AO204&gt;0),"Pagado","impago"),""))</f>
        <v>Pagado</v>
      </c>
      <c r="AM206" s="666" t="str">
        <f>IF(OR($A206="F&amp;F",$G206=""),"",IF(AM$8&gt;$G206,IF(OR(status1B5!AN206=1,status1B5!AN206=2,'BOULEVARD 5'!AP204&gt;0),"Pagado","impago"),""))</f>
        <v>Pagado</v>
      </c>
      <c r="AN206" s="666" t="str">
        <f>IF(OR($A206="F&amp;F",$G206=""),"",IF(AN$8&gt;$G206,IF(OR(status1B5!AO206=1,status1B5!AO206=2,'BOULEVARD 5'!AQ204&gt;0),"Pagado","impago"),""))</f>
        <v>Pagado</v>
      </c>
      <c r="AO206" s="666" t="str">
        <f>IF(OR($A206="F&amp;F",$G206=""),"",IF(AO$8&gt;$G206,IF(OR(status1B5!AP206=1,status1B5!AP206=2,'BOULEVARD 5'!AS204&gt;0),"Pagado","impago"),""))</f>
        <v>Pagado</v>
      </c>
      <c r="AP206" s="429" t="str">
        <f t="shared" si="8"/>
        <v>Vendido</v>
      </c>
    </row>
    <row r="207" spans="1:42" s="429" customFormat="1" ht="13.9" customHeight="1" x14ac:dyDescent="0.25">
      <c r="A207" s="472"/>
      <c r="B207" s="436">
        <f>'BOULEVARD 5'!B205</f>
        <v>1112</v>
      </c>
      <c r="C207" s="436" t="s">
        <v>355</v>
      </c>
      <c r="D207" s="436"/>
      <c r="E207" s="436" t="str">
        <f>IF('BOULEVARD 5'!E205="","",'BOULEVARD 5'!E205)</f>
        <v>Antonio Rada</v>
      </c>
      <c r="F207" s="429" t="str">
        <f>IF('BOULEVARD 5'!F205="","",'BOULEVARD 5'!F205)</f>
        <v>Grupo Sak Y Sak, S.A.</v>
      </c>
      <c r="G207" s="473">
        <f>IF('BOULEVARD 5'!G205="","",'BOULEVARD 5'!G205)</f>
        <v>45083</v>
      </c>
      <c r="H207" s="666" t="str">
        <f>IF(OR($A207="F&amp;F",$G207=""),"",IF(H$8&gt;$G207,IF(OR(status1B5!I207=1,status1B5!I207=2,'BOULEVARD 5'!K205&gt;0),"Pagado","impago"),""))</f>
        <v/>
      </c>
      <c r="I207" s="666" t="str">
        <f>IF(OR($A207="F&amp;F",$G207=""),"",IF(I$8&gt;$G207,IF(OR(status1B5!J207=1,status1B5!J207=2,'BOULEVARD 5'!L205&gt;0),"Pagado","impago"),""))</f>
        <v/>
      </c>
      <c r="J207" s="666" t="str">
        <f>IF(OR($A207="F&amp;F",$G207=""),"",IF(J$8&gt;$G207,IF(OR(status1B5!K207=1,status1B5!K207=2,'BOULEVARD 5'!M205&gt;0),"Pagado","impago"),""))</f>
        <v/>
      </c>
      <c r="K207" s="666" t="str">
        <f>IF(OR($A207="F&amp;F",$G207=""),"",IF(K$8&gt;$G207,IF(OR(status1B5!L207=1,status1B5!L207=2,'BOULEVARD 5'!N205&gt;0),"Pagado","impago"),""))</f>
        <v>Pagado</v>
      </c>
      <c r="L207" s="666" t="str">
        <f>IF(OR($A207="F&amp;F",$G207=""),"",IF(L$8&gt;$G207,IF(OR(status1B5!M207=1,status1B5!M207=2,'BOULEVARD 5'!O205&gt;0),"Pagado","impago"),""))</f>
        <v>Pagado</v>
      </c>
      <c r="M207" s="666" t="str">
        <f>IF(OR($A207="F&amp;F",$G207=""),"",IF(M$8&gt;$G207,IF(OR(status1B5!N207=1,status1B5!N207=2,'BOULEVARD 5'!P205&gt;0),"Pagado","impago"),""))</f>
        <v>Pagado</v>
      </c>
      <c r="N207" s="666" t="str">
        <f>IF(OR($A207="F&amp;F",$G207=""),"",IF(N$8&gt;$G207,IF(OR(status1B5!O207=1,status1B5!O207=2,'BOULEVARD 5'!Q205&gt;0),"Pagado","impago"),""))</f>
        <v>Pagado</v>
      </c>
      <c r="O207" s="666" t="str">
        <f>IF(OR($A207="F&amp;F",$G207=""),"",IF(O$8&gt;$G207,IF(OR(status1B5!P207=1,status1B5!P207=2,'BOULEVARD 5'!R205&gt;0),"Pagado","impago"),""))</f>
        <v>Pagado</v>
      </c>
      <c r="P207" s="666" t="str">
        <f>IF(OR($A207="F&amp;F",$G207=""),"",IF(P$8&gt;$G207,IF(OR(status1B5!Q207=1,status1B5!Q207=2,'BOULEVARD 5'!S205&gt;0),"Pagado","impago"),""))</f>
        <v>Pagado</v>
      </c>
      <c r="Q207" s="666" t="str">
        <f>IF(OR($A207="F&amp;F",$G207=""),"",IF(Q$8&gt;$G207,IF(OR(status1B5!R207=1,status1B5!R207=2,'BOULEVARD 5'!T205&gt;0),"Pagado","impago"),""))</f>
        <v>Pagado</v>
      </c>
      <c r="R207" s="666" t="str">
        <f>IF(OR($A207="F&amp;F",$G207=""),"",IF(R$8&gt;$G207,IF(OR(status1B5!S207=1,status1B5!S207=2,'BOULEVARD 5'!U205&gt;0),"Pagado","impago"),""))</f>
        <v>Pagado</v>
      </c>
      <c r="S207" s="666" t="str">
        <f>IF(OR($A207="F&amp;F",$G207=""),"",IF(S$8&gt;$G207,IF(OR(status1B5!T207=1,status1B5!T207=2,'BOULEVARD 5'!V205&gt;0),"Pagado","impago"),""))</f>
        <v>Pagado</v>
      </c>
      <c r="T207" s="666" t="str">
        <f>IF(OR($A207="F&amp;F",$G207=""),"",IF(T$8&gt;$G207,IF(OR(status1B5!U207=1,status1B5!U207=2,'BOULEVARD 5'!W205&gt;0),"Pagado","impago"),""))</f>
        <v>Pagado</v>
      </c>
      <c r="U207" s="666" t="str">
        <f>IF(OR($A207="F&amp;F",$G207=""),"",IF(U$8&gt;$G207,IF(OR(status1B5!V207=1,status1B5!V207=2,'BOULEVARD 5'!X205&gt;0),"Pagado","impago"),""))</f>
        <v>Pagado</v>
      </c>
      <c r="V207" s="666" t="str">
        <f>IF(OR($A207="F&amp;F",$G207=""),"",IF(V$8&gt;$G207,IF(OR(status1B5!W207=1,status1B5!W207=2,'BOULEVARD 5'!Y205&gt;0),"Pagado","impago"),""))</f>
        <v>Pagado</v>
      </c>
      <c r="W207" s="666" t="str">
        <f>IF(OR($A207="F&amp;F",$G207=""),"",IF(W$8&gt;$G207,IF(OR(status1B5!X207=1,status1B5!X207=2,'BOULEVARD 5'!Z205&gt;0),"Pagado","impago"),""))</f>
        <v>Pagado</v>
      </c>
      <c r="X207" s="666" t="str">
        <f>IF(OR($A207="F&amp;F",$G207=""),"",IF(X$8&gt;$G207,IF(OR(status1B5!Y207=1,status1B5!Y207=2,'BOULEVARD 5'!AA205&gt;0),"Pagado","impago"),""))</f>
        <v>Pagado</v>
      </c>
      <c r="Y207" s="666" t="str">
        <f>IF(OR($A207="F&amp;F",$G207=""),"",IF(Y$8&gt;$G207,IF(OR(status1B5!Z207=1,status1B5!Z207=2,'BOULEVARD 5'!AB205&gt;0),"Pagado","impago"),""))</f>
        <v>Pagado</v>
      </c>
      <c r="Z207" s="666" t="str">
        <f>IF(OR($A207="F&amp;F",$G207=""),"",IF(Z$8&gt;$G207,IF(OR(status1B5!AA207=1,status1B5!AA207=2,'BOULEVARD 5'!AC205&gt;0),"Pagado","impago"),""))</f>
        <v>Pagado</v>
      </c>
      <c r="AA207" s="666" t="str">
        <f>IF(OR($A207="F&amp;F",$G207=""),"",IF(AA$8&gt;$G207,IF(OR(status1B5!AB207=1,status1B5!AB207=2,'BOULEVARD 5'!AD205&gt;0),"Pagado","impago"),""))</f>
        <v>Pagado</v>
      </c>
      <c r="AB207" s="666" t="str">
        <f>IF(OR($A207="F&amp;F",$G207=""),"",IF(AB$8&gt;$G207,IF(OR(status1B5!AC207=1,status1B5!AC207=2,'BOULEVARD 5'!AE205&gt;0),"Pagado","impago"),""))</f>
        <v>Pagado</v>
      </c>
      <c r="AC207" s="666" t="str">
        <f>IF(OR($A207="F&amp;F",$G207=""),"",IF(AC$8&gt;$G207,IF(OR(status1B5!AD207=1,status1B5!AD207=2,'BOULEVARD 5'!AF205&gt;0),"Pagado","impago"),""))</f>
        <v>Pagado</v>
      </c>
      <c r="AD207" s="666" t="str">
        <f>IF(OR($A207="F&amp;F",$G207=""),"",IF(AD$8&gt;$G207,IF(OR(status1B5!AE207=1,status1B5!AE207=2,'BOULEVARD 5'!AG205&gt;0),"Pagado","impago"),""))</f>
        <v>Pagado</v>
      </c>
      <c r="AE207" s="666" t="str">
        <f>IF(OR($A207="F&amp;F",$G207=""),"",IF(AE$8&gt;$G207,IF(OR(status1B5!AF207=1,status1B5!AF207=2,'BOULEVARD 5'!AH205&gt;0),"Pagado","impago"),""))</f>
        <v>Pagado</v>
      </c>
      <c r="AF207" s="666" t="str">
        <f>IF(OR($A207="F&amp;F",$G207=""),"",IF(AF$8&gt;$G207,IF(OR(status1B5!AG207=1,status1B5!AG207=2,'BOULEVARD 5'!AI205&gt;0),"Pagado","impago"),""))</f>
        <v>Pagado</v>
      </c>
      <c r="AG207" s="666" t="str">
        <f>IF(OR($A207="F&amp;F",$G207=""),"",IF(AG$8&gt;$G207,IF(OR(status1B5!AH207=1,status1B5!AH207=2,'BOULEVARD 5'!AJ205&gt;0),"Pagado","impago"),""))</f>
        <v>Pagado</v>
      </c>
      <c r="AH207" s="666" t="str">
        <f>IF(OR($A207="F&amp;F",$G207=""),"",IF(AH$8&gt;$G207,IF(OR(status1B5!AI207=1,status1B5!AI207=2,'BOULEVARD 5'!AK205&gt;0),"Pagado","impago"),""))</f>
        <v>Pagado</v>
      </c>
      <c r="AI207" s="666" t="str">
        <f>IF(OR($A207="F&amp;F",$G207=""),"",IF(AI$8&gt;$G207,IF(OR(status1B5!AJ207=1,status1B5!AJ207=2,'BOULEVARD 5'!AL205&gt;0),"Pagado","impago"),""))</f>
        <v>Pagado</v>
      </c>
      <c r="AJ207" s="666" t="str">
        <f>IF(OR($A207="F&amp;F",$G207=""),"",IF(AJ$8&gt;$G207,IF(OR(status1B5!AK207=1,status1B5!AK207=2,'BOULEVARD 5'!AM205&gt;0),"Pagado","impago"),""))</f>
        <v>Pagado</v>
      </c>
      <c r="AK207" s="666" t="str">
        <f>IF(OR($A207="F&amp;F",$G207=""),"",IF(AK$8&gt;$G207,IF(OR(status1B5!AL207=1,status1B5!AL207=2,'BOULEVARD 5'!AN205&gt;0),"Pagado","impago"),""))</f>
        <v>Pagado</v>
      </c>
      <c r="AL207" s="666" t="str">
        <f>IF(OR($A207="F&amp;F",$G207=""),"",IF(AL$8&gt;$G207,IF(OR(status1B5!AM207=1,status1B5!AM207=2,'BOULEVARD 5'!AO205&gt;0),"Pagado","impago"),""))</f>
        <v>Pagado</v>
      </c>
      <c r="AM207" s="666" t="str">
        <f>IF(OR($A207="F&amp;F",$G207=""),"",IF(AM$8&gt;$G207,IF(OR(status1B5!AN207=1,status1B5!AN207=2,'BOULEVARD 5'!AP205&gt;0),"Pagado","impago"),""))</f>
        <v>Pagado</v>
      </c>
      <c r="AN207" s="666" t="str">
        <f>IF(OR($A207="F&amp;F",$G207=""),"",IF(AN$8&gt;$G207,IF(OR(status1B5!AO207=1,status1B5!AO207=2,'BOULEVARD 5'!AQ205&gt;0),"Pagado","impago"),""))</f>
        <v>Pagado</v>
      </c>
      <c r="AO207" s="666" t="str">
        <f>IF(OR($A207="F&amp;F",$G207=""),"",IF(AO$8&gt;$G207,IF(OR(status1B5!AP207=1,status1B5!AP207=2,'BOULEVARD 5'!AS205&gt;0),"Pagado","impago"),""))</f>
        <v>Pagado</v>
      </c>
      <c r="AP207" s="429" t="str">
        <f t="shared" si="8"/>
        <v>Vendido</v>
      </c>
    </row>
    <row r="208" spans="1:42" s="429" customFormat="1" ht="13.9" customHeight="1" x14ac:dyDescent="0.25">
      <c r="A208" s="472"/>
      <c r="B208" s="436">
        <f>'BOULEVARD 5'!B206</f>
        <v>1113</v>
      </c>
      <c r="C208" s="436" t="s">
        <v>355</v>
      </c>
      <c r="D208" s="436"/>
      <c r="E208" s="436" t="str">
        <f>IF('BOULEVARD 5'!E206="","",'BOULEVARD 5'!E206)</f>
        <v>Jose Franco</v>
      </c>
      <c r="F208" s="429" t="str">
        <f>IF('BOULEVARD 5'!F206="","",'BOULEVARD 5'!F206)</f>
        <v>Marcas &amp; Secretos, S.A.</v>
      </c>
      <c r="G208" s="473">
        <f>IF('BOULEVARD 5'!G206="","",'BOULEVARD 5'!G206)</f>
        <v>45021</v>
      </c>
      <c r="H208" s="666" t="str">
        <f>IF(OR($A208="F&amp;F",$G208=""),"",IF(H$8&gt;$G208,IF(OR(status1B5!I208=1,status1B5!I208=2,'BOULEVARD 5'!K206&gt;0),"Pagado","impago"),""))</f>
        <v/>
      </c>
      <c r="I208" s="666" t="str">
        <f>IF(OR($A208="F&amp;F",$G208=""),"",IF(I$8&gt;$G208,IF(OR(status1B5!J208=1,status1B5!J208=2,'BOULEVARD 5'!L206&gt;0),"Pagado","impago"),""))</f>
        <v>Pagado</v>
      </c>
      <c r="J208" s="666" t="str">
        <f>IF(OR($A208="F&amp;F",$G208=""),"",IF(J$8&gt;$G208,IF(OR(status1B5!K208=1,status1B5!K208=2,'BOULEVARD 5'!M206&gt;0),"Pagado","impago"),""))</f>
        <v>Pagado</v>
      </c>
      <c r="K208" s="666" t="str">
        <f>IF(OR($A208="F&amp;F",$G208=""),"",IF(K$8&gt;$G208,IF(OR(status1B5!L208=1,status1B5!L208=2,'BOULEVARD 5'!N206&gt;0),"Pagado","impago"),""))</f>
        <v>Pagado</v>
      </c>
      <c r="L208" s="666" t="str">
        <f>IF(OR($A208="F&amp;F",$G208=""),"",IF(L$8&gt;$G208,IF(OR(status1B5!M208=1,status1B5!M208=2,'BOULEVARD 5'!O206&gt;0),"Pagado","impago"),""))</f>
        <v>Pagado</v>
      </c>
      <c r="M208" s="666" t="str">
        <f>IF(OR($A208="F&amp;F",$G208=""),"",IF(M$8&gt;$G208,IF(OR(status1B5!N208=1,status1B5!N208=2,'BOULEVARD 5'!P206&gt;0),"Pagado","impago"),""))</f>
        <v>Pagado</v>
      </c>
      <c r="N208" s="666" t="str">
        <f>IF(OR($A208="F&amp;F",$G208=""),"",IF(N$8&gt;$G208,IF(OR(status1B5!O208=1,status1B5!O208=2,'BOULEVARD 5'!Q206&gt;0),"Pagado","impago"),""))</f>
        <v>Pagado</v>
      </c>
      <c r="O208" s="666" t="str">
        <f>IF(OR($A208="F&amp;F",$G208=""),"",IF(O$8&gt;$G208,IF(OR(status1B5!P208=1,status1B5!P208=2,'BOULEVARD 5'!R206&gt;0),"Pagado","impago"),""))</f>
        <v>Pagado</v>
      </c>
      <c r="P208" s="666" t="str">
        <f>IF(OR($A208="F&amp;F",$G208=""),"",IF(P$8&gt;$G208,IF(OR(status1B5!Q208=1,status1B5!Q208=2,'BOULEVARD 5'!S206&gt;0),"Pagado","impago"),""))</f>
        <v>Pagado</v>
      </c>
      <c r="Q208" s="666" t="str">
        <f>IF(OR($A208="F&amp;F",$G208=""),"",IF(Q$8&gt;$G208,IF(OR(status1B5!R208=1,status1B5!R208=2,'BOULEVARD 5'!T206&gt;0),"Pagado","impago"),""))</f>
        <v>Pagado</v>
      </c>
      <c r="R208" s="666" t="str">
        <f>IF(OR($A208="F&amp;F",$G208=""),"",IF(R$8&gt;$G208,IF(OR(status1B5!S208=1,status1B5!S208=2,'BOULEVARD 5'!U206&gt;0),"Pagado","impago"),""))</f>
        <v>Pagado</v>
      </c>
      <c r="S208" s="666" t="str">
        <f>IF(OR($A208="F&amp;F",$G208=""),"",IF(S$8&gt;$G208,IF(OR(status1B5!T208=1,status1B5!T208=2,'BOULEVARD 5'!V206&gt;0),"Pagado","impago"),""))</f>
        <v>Pagado</v>
      </c>
      <c r="T208" s="666" t="str">
        <f>IF(OR($A208="F&amp;F",$G208=""),"",IF(T$8&gt;$G208,IF(OR(status1B5!U208=1,status1B5!U208=2,'BOULEVARD 5'!W206&gt;0),"Pagado","impago"),""))</f>
        <v>Pagado</v>
      </c>
      <c r="U208" s="666" t="str">
        <f>IF(OR($A208="F&amp;F",$G208=""),"",IF(U$8&gt;$G208,IF(OR(status1B5!V208=1,status1B5!V208=2,'BOULEVARD 5'!X206&gt;0),"Pagado","impago"),""))</f>
        <v>Pagado</v>
      </c>
      <c r="V208" s="666" t="str">
        <f>IF(OR($A208="F&amp;F",$G208=""),"",IF(V$8&gt;$G208,IF(OR(status1B5!W208=1,status1B5!W208=2,'BOULEVARD 5'!Y206&gt;0),"Pagado","impago"),""))</f>
        <v>Pagado</v>
      </c>
      <c r="W208" s="666" t="str">
        <f>IF(OR($A208="F&amp;F",$G208=""),"",IF(W$8&gt;$G208,IF(OR(status1B5!X208=1,status1B5!X208=2,'BOULEVARD 5'!Z206&gt;0),"Pagado","impago"),""))</f>
        <v>Pagado</v>
      </c>
      <c r="X208" s="666" t="str">
        <f>IF(OR($A208="F&amp;F",$G208=""),"",IF(X$8&gt;$G208,IF(OR(status1B5!Y208=1,status1B5!Y208=2,'BOULEVARD 5'!AA206&gt;0),"Pagado","impago"),""))</f>
        <v>Pagado</v>
      </c>
      <c r="Y208" s="666" t="str">
        <f>IF(OR($A208="F&amp;F",$G208=""),"",IF(Y$8&gt;$G208,IF(OR(status1B5!Z208=1,status1B5!Z208=2,'BOULEVARD 5'!AB206&gt;0),"Pagado","impago"),""))</f>
        <v>Pagado</v>
      </c>
      <c r="Z208" s="666" t="str">
        <f>IF(OR($A208="F&amp;F",$G208=""),"",IF(Z$8&gt;$G208,IF(OR(status1B5!AA208=1,status1B5!AA208=2,'BOULEVARD 5'!AC206&gt;0),"Pagado","impago"),""))</f>
        <v>Pagado</v>
      </c>
      <c r="AA208" s="666" t="str">
        <f>IF(OR($A208="F&amp;F",$G208=""),"",IF(AA$8&gt;$G208,IF(OR(status1B5!AB208=1,status1B5!AB208=2,'BOULEVARD 5'!AD206&gt;0),"Pagado","impago"),""))</f>
        <v>Pagado</v>
      </c>
      <c r="AB208" s="666" t="str">
        <f>IF(OR($A208="F&amp;F",$G208=""),"",IF(AB$8&gt;$G208,IF(OR(status1B5!AC208=1,status1B5!AC208=2,'BOULEVARD 5'!AE206&gt;0),"Pagado","impago"),""))</f>
        <v>Pagado</v>
      </c>
      <c r="AC208" s="666" t="str">
        <f>IF(OR($A208="F&amp;F",$G208=""),"",IF(AC$8&gt;$G208,IF(OR(status1B5!AD208=1,status1B5!AD208=2,'BOULEVARD 5'!AF206&gt;0),"Pagado","impago"),""))</f>
        <v>Pagado</v>
      </c>
      <c r="AD208" s="666" t="str">
        <f>IF(OR($A208="F&amp;F",$G208=""),"",IF(AD$8&gt;$G208,IF(OR(status1B5!AE208=1,status1B5!AE208=2,'BOULEVARD 5'!AG206&gt;0),"Pagado","impago"),""))</f>
        <v>Pagado</v>
      </c>
      <c r="AE208" s="666" t="str">
        <f>IF(OR($A208="F&amp;F",$G208=""),"",IF(AE$8&gt;$G208,IF(OR(status1B5!AF208=1,status1B5!AF208=2,'BOULEVARD 5'!AH206&gt;0),"Pagado","impago"),""))</f>
        <v>Pagado</v>
      </c>
      <c r="AF208" s="666" t="str">
        <f>IF(OR($A208="F&amp;F",$G208=""),"",IF(AF$8&gt;$G208,IF(OR(status1B5!AG208=1,status1B5!AG208=2,'BOULEVARD 5'!AI206&gt;0),"Pagado","impago"),""))</f>
        <v>Pagado</v>
      </c>
      <c r="AG208" s="666" t="str">
        <f>IF(OR($A208="F&amp;F",$G208=""),"",IF(AG$8&gt;$G208,IF(OR(status1B5!AH208=1,status1B5!AH208=2,'BOULEVARD 5'!AJ206&gt;0),"Pagado","impago"),""))</f>
        <v>Pagado</v>
      </c>
      <c r="AH208" s="666" t="str">
        <f>IF(OR($A208="F&amp;F",$G208=""),"",IF(AH$8&gt;$G208,IF(OR(status1B5!AI208=1,status1B5!AI208=2,'BOULEVARD 5'!AK206&gt;0),"Pagado","impago"),""))</f>
        <v>Pagado</v>
      </c>
      <c r="AI208" s="666" t="str">
        <f>IF(OR($A208="F&amp;F",$G208=""),"",IF(AI$8&gt;$G208,IF(OR(status1B5!AJ208=1,status1B5!AJ208=2,'BOULEVARD 5'!AL206&gt;0),"Pagado","impago"),""))</f>
        <v>Pagado</v>
      </c>
      <c r="AJ208" s="666" t="str">
        <f>IF(OR($A208="F&amp;F",$G208=""),"",IF(AJ$8&gt;$G208,IF(OR(status1B5!AK208=1,status1B5!AK208=2,'BOULEVARD 5'!AM206&gt;0),"Pagado","impago"),""))</f>
        <v>Pagado</v>
      </c>
      <c r="AK208" s="666" t="str">
        <f>IF(OR($A208="F&amp;F",$G208=""),"",IF(AK$8&gt;$G208,IF(OR(status1B5!AL208=1,status1B5!AL208=2,'BOULEVARD 5'!AN206&gt;0),"Pagado","impago"),""))</f>
        <v>Pagado</v>
      </c>
      <c r="AL208" s="666" t="str">
        <f>IF(OR($A208="F&amp;F",$G208=""),"",IF(AL$8&gt;$G208,IF(OR(status1B5!AM208=1,status1B5!AM208=2,'BOULEVARD 5'!AO206&gt;0),"Pagado","impago"),""))</f>
        <v>Pagado</v>
      </c>
      <c r="AM208" s="666" t="str">
        <f>IF(OR($A208="F&amp;F",$G208=""),"",IF(AM$8&gt;$G208,IF(OR(status1B5!AN208=1,status1B5!AN208=2,'BOULEVARD 5'!AP206&gt;0),"Pagado","impago"),""))</f>
        <v>Pagado</v>
      </c>
      <c r="AN208" s="666" t="str">
        <f>IF(OR($A208="F&amp;F",$G208=""),"",IF(AN$8&gt;$G208,IF(OR(status1B5!AO208=1,status1B5!AO208=2,'BOULEVARD 5'!AQ206&gt;0),"Pagado","impago"),""))</f>
        <v>Pagado</v>
      </c>
      <c r="AO208" s="666" t="str">
        <f>IF(OR($A208="F&amp;F",$G208=""),"",IF(AO$8&gt;$G208,IF(OR(status1B5!AP208=1,status1B5!AP208=2,'BOULEVARD 5'!AS206&gt;0),"Pagado","impago"),""))</f>
        <v>Pagado</v>
      </c>
      <c r="AP208" s="429" t="str">
        <f t="shared" si="8"/>
        <v>Vendido</v>
      </c>
    </row>
    <row r="209" spans="1:42" s="429" customFormat="1" ht="13.9" customHeight="1" x14ac:dyDescent="0.25">
      <c r="A209" s="472"/>
      <c r="B209" s="436">
        <f>'BOULEVARD 5'!B207</f>
        <v>1114</v>
      </c>
      <c r="C209" s="436" t="s">
        <v>355</v>
      </c>
      <c r="D209" s="436"/>
      <c r="E209" s="436" t="str">
        <f>IF('BOULEVARD 5'!E207="","",'BOULEVARD 5'!E207)</f>
        <v>Antonio Rada</v>
      </c>
      <c r="F209" s="429" t="str">
        <f>IF('BOULEVARD 5'!F207="","",'BOULEVARD 5'!F207)</f>
        <v>Clara Hilda Maria Falla Bianchi De Cruz-Gomar</v>
      </c>
      <c r="G209" s="473">
        <f>IF('BOULEVARD 5'!G207="","",'BOULEVARD 5'!G207)</f>
        <v>45440</v>
      </c>
      <c r="H209" s="666" t="str">
        <f>IF(OR($A209="F&amp;F",$G209=""),"",IF(H$8&gt;$G209,IF(OR(status1B5!I209=1,status1B5!I209=2,'BOULEVARD 5'!K207&gt;0),"Pagado","impago"),""))</f>
        <v/>
      </c>
      <c r="I209" s="666" t="str">
        <f>IF(OR($A209="F&amp;F",$G209=""),"",IF(I$8&gt;$G209,IF(OR(status1B5!J209=1,status1B5!J209=2,'BOULEVARD 5'!L207&gt;0),"Pagado","impago"),""))</f>
        <v/>
      </c>
      <c r="J209" s="666" t="str">
        <f>IF(OR($A209="F&amp;F",$G209=""),"",IF(J$8&gt;$G209,IF(OR(status1B5!K209=1,status1B5!K209=2,'BOULEVARD 5'!M207&gt;0),"Pagado","impago"),""))</f>
        <v/>
      </c>
      <c r="K209" s="666" t="str">
        <f>IF(OR($A209="F&amp;F",$G209=""),"",IF(K$8&gt;$G209,IF(OR(status1B5!L209=1,status1B5!L209=2,'BOULEVARD 5'!N207&gt;0),"Pagado","impago"),""))</f>
        <v/>
      </c>
      <c r="L209" s="666" t="str">
        <f>IF(OR($A209="F&amp;F",$G209=""),"",IF(L$8&gt;$G209,IF(OR(status1B5!M209=1,status1B5!M209=2,'BOULEVARD 5'!O207&gt;0),"Pagado","impago"),""))</f>
        <v/>
      </c>
      <c r="M209" s="666" t="str">
        <f>IF(OR($A209="F&amp;F",$G209=""),"",IF(M$8&gt;$G209,IF(OR(status1B5!N209=1,status1B5!N209=2,'BOULEVARD 5'!P207&gt;0),"Pagado","impago"),""))</f>
        <v/>
      </c>
      <c r="N209" s="666" t="str">
        <f>IF(OR($A209="F&amp;F",$G209=""),"",IF(N$8&gt;$G209,IF(OR(status1B5!O209=1,status1B5!O209=2,'BOULEVARD 5'!Q207&gt;0),"Pagado","impago"),""))</f>
        <v/>
      </c>
      <c r="O209" s="666" t="str">
        <f>IF(OR($A209="F&amp;F",$G209=""),"",IF(O$8&gt;$G209,IF(OR(status1B5!P209=1,status1B5!P209=2,'BOULEVARD 5'!R207&gt;0),"Pagado","impago"),""))</f>
        <v/>
      </c>
      <c r="P209" s="666" t="str">
        <f>IF(OR($A209="F&amp;F",$G209=""),"",IF(P$8&gt;$G209,IF(OR(status1B5!Q209=1,status1B5!Q209=2,'BOULEVARD 5'!S207&gt;0),"Pagado","impago"),""))</f>
        <v/>
      </c>
      <c r="Q209" s="666" t="str">
        <f>IF(OR($A209="F&amp;F",$G209=""),"",IF(Q$8&gt;$G209,IF(OR(status1B5!R209=1,status1B5!R209=2,'BOULEVARD 5'!T207&gt;0),"Pagado","impago"),""))</f>
        <v/>
      </c>
      <c r="R209" s="666" t="str">
        <f>IF(OR($A209="F&amp;F",$G209=""),"",IF(R$8&gt;$G209,IF(OR(status1B5!S209=1,status1B5!S209=2,'BOULEVARD 5'!U207&gt;0),"Pagado","impago"),""))</f>
        <v/>
      </c>
      <c r="S209" s="666" t="str">
        <f>IF(OR($A209="F&amp;F",$G209=""),"",IF(S$8&gt;$G209,IF(OR(status1B5!T209=1,status1B5!T209=2,'BOULEVARD 5'!V207&gt;0),"Pagado","impago"),""))</f>
        <v/>
      </c>
      <c r="T209" s="666" t="str">
        <f>IF(OR($A209="F&amp;F",$G209=""),"",IF(T$8&gt;$G209,IF(OR(status1B5!U209=1,status1B5!U209=2,'BOULEVARD 5'!W207&gt;0),"Pagado","impago"),""))</f>
        <v/>
      </c>
      <c r="U209" s="666" t="str">
        <f>IF(OR($A209="F&amp;F",$G209=""),"",IF(U$8&gt;$G209,IF(OR(status1B5!V209=1,status1B5!V209=2,'BOULEVARD 5'!X207&gt;0),"Pagado","impago"),""))</f>
        <v/>
      </c>
      <c r="V209" s="666" t="str">
        <f>IF(OR($A209="F&amp;F",$G209=""),"",IF(V$8&gt;$G209,IF(OR(status1B5!W209=1,status1B5!W209=2,'BOULEVARD 5'!Y207&gt;0),"Pagado","impago"),""))</f>
        <v>Pagado</v>
      </c>
      <c r="W209" s="666" t="str">
        <f>IF(OR($A209="F&amp;F",$G209=""),"",IF(W$8&gt;$G209,IF(OR(status1B5!X209=1,status1B5!X209=2,'BOULEVARD 5'!Z207&gt;0),"Pagado","impago"),""))</f>
        <v>Pagado</v>
      </c>
      <c r="X209" s="666" t="str">
        <f>IF(OR($A209="F&amp;F",$G209=""),"",IF(X$8&gt;$G209,IF(OR(status1B5!Y209=1,status1B5!Y209=2,'BOULEVARD 5'!AA207&gt;0),"Pagado","impago"),""))</f>
        <v>Pagado</v>
      </c>
      <c r="Y209" s="666" t="str">
        <f>IF(OR($A209="F&amp;F",$G209=""),"",IF(Y$8&gt;$G209,IF(OR(status1B5!Z209=1,status1B5!Z209=2,'BOULEVARD 5'!AB207&gt;0),"Pagado","impago"),""))</f>
        <v>Pagado</v>
      </c>
      <c r="Z209" s="666" t="str">
        <f>IF(OR($A209="F&amp;F",$G209=""),"",IF(Z$8&gt;$G209,IF(OR(status1B5!AA209=1,status1B5!AA209=2,'BOULEVARD 5'!AC207&gt;0),"Pagado","impago"),""))</f>
        <v>Pagado</v>
      </c>
      <c r="AA209" s="666" t="str">
        <f>IF(OR($A209="F&amp;F",$G209=""),"",IF(AA$8&gt;$G209,IF(OR(status1B5!AB209=1,status1B5!AB209=2,'BOULEVARD 5'!AD207&gt;0),"Pagado","impago"),""))</f>
        <v>Pagado</v>
      </c>
      <c r="AB209" s="666" t="str">
        <f>IF(OR($A209="F&amp;F",$G209=""),"",IF(AB$8&gt;$G209,IF(OR(status1B5!AC209=1,status1B5!AC209=2,'BOULEVARD 5'!AE207&gt;0),"Pagado","impago"),""))</f>
        <v>Pagado</v>
      </c>
      <c r="AC209" s="666" t="str">
        <f>IF(OR($A209="F&amp;F",$G209=""),"",IF(AC$8&gt;$G209,IF(OR(status1B5!AD209=1,status1B5!AD209=2,'BOULEVARD 5'!AF207&gt;0),"Pagado","impago"),""))</f>
        <v>Pagado</v>
      </c>
      <c r="AD209" s="666" t="str">
        <f>IF(OR($A209="F&amp;F",$G209=""),"",IF(AD$8&gt;$G209,IF(OR(status1B5!AE209=1,status1B5!AE209=2,'BOULEVARD 5'!AG207&gt;0),"Pagado","impago"),""))</f>
        <v>Pagado</v>
      </c>
      <c r="AE209" s="666" t="str">
        <f>IF(OR($A209="F&amp;F",$G209=""),"",IF(AE$8&gt;$G209,IF(OR(status1B5!AF209=1,status1B5!AF209=2,'BOULEVARD 5'!AH207&gt;0),"Pagado","impago"),""))</f>
        <v>Pagado</v>
      </c>
      <c r="AF209" s="666" t="str">
        <f>IF(OR($A209="F&amp;F",$G209=""),"",IF(AF$8&gt;$G209,IF(OR(status1B5!AG209=1,status1B5!AG209=2,'BOULEVARD 5'!AI207&gt;0),"Pagado","impago"),""))</f>
        <v>Pagado</v>
      </c>
      <c r="AG209" s="666" t="str">
        <f>IF(OR($A209="F&amp;F",$G209=""),"",IF(AG$8&gt;$G209,IF(OR(status1B5!AH209=1,status1B5!AH209=2,'BOULEVARD 5'!AJ207&gt;0),"Pagado","impago"),""))</f>
        <v>Pagado</v>
      </c>
      <c r="AH209" s="666" t="str">
        <f>IF(OR($A209="F&amp;F",$G209=""),"",IF(AH$8&gt;$G209,IF(OR(status1B5!AI209=1,status1B5!AI209=2,'BOULEVARD 5'!AK207&gt;0),"Pagado","impago"),""))</f>
        <v>Pagado</v>
      </c>
      <c r="AI209" s="666" t="str">
        <f>IF(OR($A209="F&amp;F",$G209=""),"",IF(AI$8&gt;$G209,IF(OR(status1B5!AJ209=1,status1B5!AJ209=2,'BOULEVARD 5'!AL207&gt;0),"Pagado","impago"),""))</f>
        <v>Pagado</v>
      </c>
      <c r="AJ209" s="666" t="str">
        <f>IF(OR($A209="F&amp;F",$G209=""),"",IF(AJ$8&gt;$G209,IF(OR(status1B5!AK209=1,status1B5!AK209=2,'BOULEVARD 5'!AM207&gt;0),"Pagado","impago"),""))</f>
        <v>Pagado</v>
      </c>
      <c r="AK209" s="666" t="str">
        <f>IF(OR($A209="F&amp;F",$G209=""),"",IF(AK$8&gt;$G209,IF(OR(status1B5!AL209=1,status1B5!AL209=2,'BOULEVARD 5'!AN207&gt;0),"Pagado","impago"),""))</f>
        <v>Pagado</v>
      </c>
      <c r="AL209" s="666" t="str">
        <f>IF(OR($A209="F&amp;F",$G209=""),"",IF(AL$8&gt;$G209,IF(OR(status1B5!AM209=1,status1B5!AM209=2,'BOULEVARD 5'!AO207&gt;0),"Pagado","impago"),""))</f>
        <v>Pagado</v>
      </c>
      <c r="AM209" s="666" t="str">
        <f>IF(OR($A209="F&amp;F",$G209=""),"",IF(AM$8&gt;$G209,IF(OR(status1B5!AN209=1,status1B5!AN209=2,'BOULEVARD 5'!AP207&gt;0),"Pagado","impago"),""))</f>
        <v>Pagado</v>
      </c>
      <c r="AN209" s="666" t="str">
        <f>IF(OR($A209="F&amp;F",$G209=""),"",IF(AN$8&gt;$G209,IF(OR(status1B5!AO209=1,status1B5!AO209=2,'BOULEVARD 5'!AQ207&gt;0),"Pagado","impago"),""))</f>
        <v>Pagado</v>
      </c>
      <c r="AO209" s="666" t="str">
        <f>IF(OR($A209="F&amp;F",$G209=""),"",IF(AO$8&gt;$G209,IF(OR(status1B5!AP209=1,status1B5!AP209=2,'BOULEVARD 5'!AS207&gt;0),"Pagado","impago"),""))</f>
        <v>Pagado</v>
      </c>
      <c r="AP209" s="429" t="str">
        <f t="shared" si="8"/>
        <v>Vendido</v>
      </c>
    </row>
    <row r="210" spans="1:42" s="429" customFormat="1" ht="13.9" customHeight="1" x14ac:dyDescent="0.25">
      <c r="A210" s="472"/>
      <c r="B210" s="436">
        <f>'BOULEVARD 5'!B208</f>
        <v>1115</v>
      </c>
      <c r="C210" s="436" t="s">
        <v>355</v>
      </c>
      <c r="D210" s="436"/>
      <c r="E210" s="436" t="str">
        <f>IF('BOULEVARD 5'!E208="","",'BOULEVARD 5'!E208)</f>
        <v>Antonio Rada</v>
      </c>
      <c r="F210" s="429" t="str">
        <f>IF('BOULEVARD 5'!F208="","",'BOULEVARD 5'!F208)</f>
        <v>Eddy Francisco Mac-Intosh López</v>
      </c>
      <c r="G210" s="473">
        <f>IF('BOULEVARD 5'!G208="","",'BOULEVARD 5'!G208)</f>
        <v>45755</v>
      </c>
      <c r="H210" s="666" t="str">
        <f>IF(OR($A210="F&amp;F",$G210=""),"",IF(H$8&gt;$G210,IF(OR(status1B5!I210=1,status1B5!I210=2,'BOULEVARD 5'!K208&gt;0),"Pagado","impago"),""))</f>
        <v/>
      </c>
      <c r="I210" s="666" t="str">
        <f>IF(OR($A210="F&amp;F",$G210=""),"",IF(I$8&gt;$G210,IF(OR(status1B5!J210=1,status1B5!J210=2,'BOULEVARD 5'!L208&gt;0),"Pagado","impago"),""))</f>
        <v/>
      </c>
      <c r="J210" s="666" t="str">
        <f>IF(OR($A210="F&amp;F",$G210=""),"",IF(J$8&gt;$G210,IF(OR(status1B5!K210=1,status1B5!K210=2,'BOULEVARD 5'!M208&gt;0),"Pagado","impago"),""))</f>
        <v/>
      </c>
      <c r="K210" s="666" t="str">
        <f>IF(OR($A210="F&amp;F",$G210=""),"",IF(K$8&gt;$G210,IF(OR(status1B5!L210=1,status1B5!L210=2,'BOULEVARD 5'!N208&gt;0),"Pagado","impago"),""))</f>
        <v/>
      </c>
      <c r="L210" s="666" t="str">
        <f>IF(OR($A210="F&amp;F",$G210=""),"",IF(L$8&gt;$G210,IF(OR(status1B5!M210=1,status1B5!M210=2,'BOULEVARD 5'!O208&gt;0),"Pagado","impago"),""))</f>
        <v/>
      </c>
      <c r="M210" s="666" t="str">
        <f>IF(OR($A210="F&amp;F",$G210=""),"",IF(M$8&gt;$G210,IF(OR(status1B5!N210=1,status1B5!N210=2,'BOULEVARD 5'!P208&gt;0),"Pagado","impago"),""))</f>
        <v/>
      </c>
      <c r="N210" s="666" t="str">
        <f>IF(OR($A210="F&amp;F",$G210=""),"",IF(N$8&gt;$G210,IF(OR(status1B5!O210=1,status1B5!O210=2,'BOULEVARD 5'!Q208&gt;0),"Pagado","impago"),""))</f>
        <v/>
      </c>
      <c r="O210" s="666" t="str">
        <f>IF(OR($A210="F&amp;F",$G210=""),"",IF(O$8&gt;$G210,IF(OR(status1B5!P210=1,status1B5!P210=2,'BOULEVARD 5'!R208&gt;0),"Pagado","impago"),""))</f>
        <v/>
      </c>
      <c r="P210" s="666" t="str">
        <f>IF(OR($A210="F&amp;F",$G210=""),"",IF(P$8&gt;$G210,IF(OR(status1B5!Q210=1,status1B5!Q210=2,'BOULEVARD 5'!S208&gt;0),"Pagado","impago"),""))</f>
        <v/>
      </c>
      <c r="Q210" s="666" t="str">
        <f>IF(OR($A210="F&amp;F",$G210=""),"",IF(Q$8&gt;$G210,IF(OR(status1B5!R210=1,status1B5!R210=2,'BOULEVARD 5'!T208&gt;0),"Pagado","impago"),""))</f>
        <v/>
      </c>
      <c r="R210" s="666" t="str">
        <f>IF(OR($A210="F&amp;F",$G210=""),"",IF(R$8&gt;$G210,IF(OR(status1B5!S210=1,status1B5!S210=2,'BOULEVARD 5'!U208&gt;0),"Pagado","impago"),""))</f>
        <v/>
      </c>
      <c r="S210" s="666" t="str">
        <f>IF(OR($A210="F&amp;F",$G210=""),"",IF(S$8&gt;$G210,IF(OR(status1B5!T210=1,status1B5!T210=2,'BOULEVARD 5'!V208&gt;0),"Pagado","impago"),""))</f>
        <v/>
      </c>
      <c r="T210" s="666" t="str">
        <f>IF(OR($A210="F&amp;F",$G210=""),"",IF(T$8&gt;$G210,IF(OR(status1B5!U210=1,status1B5!U210=2,'BOULEVARD 5'!W208&gt;0),"Pagado","impago"),""))</f>
        <v/>
      </c>
      <c r="U210" s="666" t="str">
        <f>IF(OR($A210="F&amp;F",$G210=""),"",IF(U$8&gt;$G210,IF(OR(status1B5!V210=1,status1B5!V210=2,'BOULEVARD 5'!X208&gt;0),"Pagado","impago"),""))</f>
        <v/>
      </c>
      <c r="V210" s="666" t="str">
        <f>IF(OR($A210="F&amp;F",$G210=""),"",IF(V$8&gt;$G210,IF(OR(status1B5!W210=1,status1B5!W210=2,'BOULEVARD 5'!Y208&gt;0),"Pagado","impago"),""))</f>
        <v/>
      </c>
      <c r="W210" s="666" t="str">
        <f>IF(OR($A210="F&amp;F",$G210=""),"",IF(W$8&gt;$G210,IF(OR(status1B5!X210=1,status1B5!X210=2,'BOULEVARD 5'!Z208&gt;0),"Pagado","impago"),""))</f>
        <v/>
      </c>
      <c r="X210" s="666" t="str">
        <f>IF(OR($A210="F&amp;F",$G210=""),"",IF(X$8&gt;$G210,IF(OR(status1B5!Y210=1,status1B5!Y210=2,'BOULEVARD 5'!AA208&gt;0),"Pagado","impago"),""))</f>
        <v/>
      </c>
      <c r="Y210" s="666" t="str">
        <f>IF(OR($A210="F&amp;F",$G210=""),"",IF(Y$8&gt;$G210,IF(OR(status1B5!Z210=1,status1B5!Z210=2,'BOULEVARD 5'!AB208&gt;0),"Pagado","impago"),""))</f>
        <v/>
      </c>
      <c r="Z210" s="666" t="str">
        <f>IF(OR($A210="F&amp;F",$G210=""),"",IF(Z$8&gt;$G210,IF(OR(status1B5!AA210=1,status1B5!AA210=2,'BOULEVARD 5'!AC208&gt;0),"Pagado","impago"),""))</f>
        <v/>
      </c>
      <c r="AA210" s="666" t="str">
        <f>IF(OR($A210="F&amp;F",$G210=""),"",IF(AA$8&gt;$G210,IF(OR(status1B5!AB210=1,status1B5!AB210=2,'BOULEVARD 5'!AD208&gt;0),"Pagado","impago"),""))</f>
        <v/>
      </c>
      <c r="AB210" s="666" t="str">
        <f>IF(OR($A210="F&amp;F",$G210=""),"",IF(AB$8&gt;$G210,IF(OR(status1B5!AC210=1,status1B5!AC210=2,'BOULEVARD 5'!AE208&gt;0),"Pagado","impago"),""))</f>
        <v/>
      </c>
      <c r="AC210" s="666" t="str">
        <f>IF(OR($A210="F&amp;F",$G210=""),"",IF(AC$8&gt;$G210,IF(OR(status1B5!AD210=1,status1B5!AD210=2,'BOULEVARD 5'!AF208&gt;0),"Pagado","impago"),""))</f>
        <v/>
      </c>
      <c r="AD210" s="666" t="str">
        <f>IF(OR($A210="F&amp;F",$G210=""),"",IF(AD$8&gt;$G210,IF(OR(status1B5!AE210=1,status1B5!AE210=2,'BOULEVARD 5'!AG208&gt;0),"Pagado","impago"),""))</f>
        <v/>
      </c>
      <c r="AE210" s="666" t="str">
        <f>IF(OR($A210="F&amp;F",$G210=""),"",IF(AE$8&gt;$G210,IF(OR(status1B5!AF210=1,status1B5!AF210=2,'BOULEVARD 5'!AH208&gt;0),"Pagado","impago"),""))</f>
        <v/>
      </c>
      <c r="AF210" s="666" t="str">
        <f>IF(OR($A210="F&amp;F",$G210=""),"",IF(AF$8&gt;$G210,IF(OR(status1B5!AG210=1,status1B5!AG210=2,'BOULEVARD 5'!AI208&gt;0),"Pagado","impago"),""))</f>
        <v/>
      </c>
      <c r="AG210" s="666" t="str">
        <f>IF(OR($A210="F&amp;F",$G210=""),"",IF(AG$8&gt;$G210,IF(OR(status1B5!AH210=1,status1B5!AH210=2,'BOULEVARD 5'!AJ208&gt;0),"Pagado","impago"),""))</f>
        <v>Pagado</v>
      </c>
      <c r="AH210" s="666" t="str">
        <f>IF(OR($A210="F&amp;F",$G210=""),"",IF(AH$8&gt;$G210,IF(OR(status1B5!AI210=1,status1B5!AI210=2,'BOULEVARD 5'!AK208&gt;0),"Pagado","impago"),""))</f>
        <v>Pagado</v>
      </c>
      <c r="AI210" s="666" t="str">
        <f>IF(OR($A210="F&amp;F",$G210=""),"",IF(AI$8&gt;$G210,IF(OR(status1B5!AJ210=1,status1B5!AJ210=2,'BOULEVARD 5'!AL208&gt;0),"Pagado","impago"),""))</f>
        <v>Pagado</v>
      </c>
      <c r="AJ210" s="666" t="str">
        <f>IF(OR($A210="F&amp;F",$G210=""),"",IF(AJ$8&gt;$G210,IF(OR(status1B5!AK210=1,status1B5!AK210=2,'BOULEVARD 5'!AM208&gt;0),"Pagado","impago"),""))</f>
        <v>Pagado</v>
      </c>
      <c r="AK210" s="666" t="str">
        <f>IF(OR($A210="F&amp;F",$G210=""),"",IF(AK$8&gt;$G210,IF(OR(status1B5!AL210=1,status1B5!AL210=2,'BOULEVARD 5'!AN208&gt;0),"Pagado","impago"),""))</f>
        <v>Pagado</v>
      </c>
      <c r="AL210" s="666" t="str">
        <f>IF(OR($A210="F&amp;F",$G210=""),"",IF(AL$8&gt;$G210,IF(OR(status1B5!AM210=1,status1B5!AM210=2,'BOULEVARD 5'!AO208&gt;0),"Pagado","impago"),""))</f>
        <v>Pagado</v>
      </c>
      <c r="AM210" s="666" t="str">
        <f>IF(OR($A210="F&amp;F",$G210=""),"",IF(AM$8&gt;$G210,IF(OR(status1B5!AN210=1,status1B5!AN210=2,'BOULEVARD 5'!AP208&gt;0),"Pagado","impago"),""))</f>
        <v>Pagado</v>
      </c>
      <c r="AN210" s="666" t="str">
        <f>IF(OR($A210="F&amp;F",$G210=""),"",IF(AN$8&gt;$G210,IF(OR(status1B5!AO210=1,status1B5!AO210=2,'BOULEVARD 5'!AQ208&gt;0),"Pagado","impago"),""))</f>
        <v>Pagado</v>
      </c>
      <c r="AO210" s="666" t="str">
        <f>IF(OR($A210="F&amp;F",$G210=""),"",IF(AO$8&gt;$G210,IF(OR(status1B5!AP210=1,status1B5!AP210=2,'BOULEVARD 5'!AS208&gt;0),"Pagado","impago"),""))</f>
        <v>Pagado</v>
      </c>
      <c r="AP210" s="429" t="str">
        <f t="shared" si="8"/>
        <v>Vendido</v>
      </c>
    </row>
    <row r="211" spans="1:42" s="429" customFormat="1" ht="13.9" customHeight="1" x14ac:dyDescent="0.25">
      <c r="A211" s="472"/>
      <c r="B211" s="436">
        <f>'BOULEVARD 5'!B209</f>
        <v>1116</v>
      </c>
      <c r="C211" s="436" t="s">
        <v>355</v>
      </c>
      <c r="D211" s="642"/>
      <c r="E211" s="436" t="str">
        <f>IF('BOULEVARD 5'!E209="","",'BOULEVARD 5'!E209)</f>
        <v>Antonio Rada</v>
      </c>
      <c r="F211" s="429" t="str">
        <f>IF('BOULEVARD 5'!F209="","",'BOULEVARD 5'!F209)</f>
        <v>Francisco Javier Arriaza Reyes</v>
      </c>
      <c r="G211" s="473">
        <f>IF('BOULEVARD 5'!G209="","",'BOULEVARD 5'!G209)</f>
        <v>45337</v>
      </c>
      <c r="H211" s="666" t="str">
        <f>IF(OR($A211="F&amp;F",$G211=""),"",IF(H$8&gt;$G211,IF(OR(status1B5!I211=1,status1B5!I211=2,'BOULEVARD 5'!K209&gt;0),"Pagado","impago"),""))</f>
        <v/>
      </c>
      <c r="I211" s="666" t="str">
        <f>IF(OR($A211="F&amp;F",$G211=""),"",IF(I$8&gt;$G211,IF(OR(status1B5!J211=1,status1B5!J211=2,'BOULEVARD 5'!L209&gt;0),"Pagado","impago"),""))</f>
        <v/>
      </c>
      <c r="J211" s="666" t="str">
        <f>IF(OR($A211="F&amp;F",$G211=""),"",IF(J$8&gt;$G211,IF(OR(status1B5!K211=1,status1B5!K211=2,'BOULEVARD 5'!M209&gt;0),"Pagado","impago"),""))</f>
        <v/>
      </c>
      <c r="K211" s="666" t="str">
        <f>IF(OR($A211="F&amp;F",$G211=""),"",IF(K$8&gt;$G211,IF(OR(status1B5!L211=1,status1B5!L211=2,'BOULEVARD 5'!N209&gt;0),"Pagado","impago"),""))</f>
        <v/>
      </c>
      <c r="L211" s="666" t="str">
        <f>IF(OR($A211="F&amp;F",$G211=""),"",IF(L$8&gt;$G211,IF(OR(status1B5!M211=1,status1B5!M211=2,'BOULEVARD 5'!O209&gt;0),"Pagado","impago"),""))</f>
        <v/>
      </c>
      <c r="M211" s="666" t="str">
        <f>IF(OR($A211="F&amp;F",$G211=""),"",IF(M$8&gt;$G211,IF(OR(status1B5!N211=1,status1B5!N211=2,'BOULEVARD 5'!P209&gt;0),"Pagado","impago"),""))</f>
        <v/>
      </c>
      <c r="N211" s="666" t="str">
        <f>IF(OR($A211="F&amp;F",$G211=""),"",IF(N$8&gt;$G211,IF(OR(status1B5!O211=1,status1B5!O211=2,'BOULEVARD 5'!Q209&gt;0),"Pagado","impago"),""))</f>
        <v/>
      </c>
      <c r="O211" s="666" t="str">
        <f>IF(OR($A211="F&amp;F",$G211=""),"",IF(O$8&gt;$G211,IF(OR(status1B5!P211=1,status1B5!P211=2,'BOULEVARD 5'!R209&gt;0),"Pagado","impago"),""))</f>
        <v/>
      </c>
      <c r="P211" s="666" t="str">
        <f>IF(OR($A211="F&amp;F",$G211=""),"",IF(P$8&gt;$G211,IF(OR(status1B5!Q211=1,status1B5!Q211=2,'BOULEVARD 5'!S209&gt;0),"Pagado","impago"),""))</f>
        <v/>
      </c>
      <c r="Q211" s="666" t="str">
        <f>IF(OR($A211="F&amp;F",$G211=""),"",IF(Q$8&gt;$G211,IF(OR(status1B5!R211=1,status1B5!R211=2,'BOULEVARD 5'!T209&gt;0),"Pagado","impago"),""))</f>
        <v/>
      </c>
      <c r="R211" s="666" t="str">
        <f>IF(OR($A211="F&amp;F",$G211=""),"",IF(R$8&gt;$G211,IF(OR(status1B5!S211=1,status1B5!S211=2,'BOULEVARD 5'!U209&gt;0),"Pagado","impago"),""))</f>
        <v/>
      </c>
      <c r="S211" s="666" t="str">
        <f>IF(OR($A211="F&amp;F",$G211=""),"",IF(S$8&gt;$G211,IF(OR(status1B5!T211=1,status1B5!T211=2,'BOULEVARD 5'!V209&gt;0),"Pagado","impago"),""))</f>
        <v>Pagado</v>
      </c>
      <c r="T211" s="666" t="str">
        <f>IF(OR($A211="F&amp;F",$G211=""),"",IF(T$8&gt;$G211,IF(OR(status1B5!U211=1,status1B5!U211=2,'BOULEVARD 5'!W209&gt;0),"Pagado","impago"),""))</f>
        <v>Pagado</v>
      </c>
      <c r="U211" s="666" t="str">
        <f>IF(OR($A211="F&amp;F",$G211=""),"",IF(U$8&gt;$G211,IF(OR(status1B5!V211=1,status1B5!V211=2,'BOULEVARD 5'!X209&gt;0),"Pagado","impago"),""))</f>
        <v>Pagado</v>
      </c>
      <c r="V211" s="666" t="str">
        <f>IF(OR($A211="F&amp;F",$G211=""),"",IF(V$8&gt;$G211,IF(OR(status1B5!W211=1,status1B5!W211=2,'BOULEVARD 5'!Y209&gt;0),"Pagado","impago"),""))</f>
        <v>Pagado</v>
      </c>
      <c r="W211" s="666" t="str">
        <f>IF(OR($A211="F&amp;F",$G211=""),"",IF(W$8&gt;$G211,IF(OR(status1B5!X211=1,status1B5!X211=2,'BOULEVARD 5'!Z209&gt;0),"Pagado","impago"),""))</f>
        <v>Pagado</v>
      </c>
      <c r="X211" s="666" t="str">
        <f>IF(OR($A211="F&amp;F",$G211=""),"",IF(X$8&gt;$G211,IF(OR(status1B5!Y211=1,status1B5!Y211=2,'BOULEVARD 5'!AA209&gt;0),"Pagado","impago"),""))</f>
        <v>Pagado</v>
      </c>
      <c r="Y211" s="666" t="str">
        <f>IF(OR($A211="F&amp;F",$G211=""),"",IF(Y$8&gt;$G211,IF(OR(status1B5!Z211=1,status1B5!Z211=2,'BOULEVARD 5'!AB209&gt;0),"Pagado","impago"),""))</f>
        <v>Pagado</v>
      </c>
      <c r="Z211" s="666" t="str">
        <f>IF(OR($A211="F&amp;F",$G211=""),"",IF(Z$8&gt;$G211,IF(OR(status1B5!AA211=1,status1B5!AA211=2,'BOULEVARD 5'!AC209&gt;0),"Pagado","impago"),""))</f>
        <v>Pagado</v>
      </c>
      <c r="AA211" s="666" t="str">
        <f>IF(OR($A211="F&amp;F",$G211=""),"",IF(AA$8&gt;$G211,IF(OR(status1B5!AB211=1,status1B5!AB211=2,'BOULEVARD 5'!AD209&gt;0),"Pagado","impago"),""))</f>
        <v>Pagado</v>
      </c>
      <c r="AB211" s="666" t="str">
        <f>IF(OR($A211="F&amp;F",$G211=""),"",IF(AB$8&gt;$G211,IF(OR(status1B5!AC211=1,status1B5!AC211=2,'BOULEVARD 5'!AE209&gt;0),"Pagado","impago"),""))</f>
        <v>Pagado</v>
      </c>
      <c r="AC211" s="666" t="str">
        <f>IF(OR($A211="F&amp;F",$G211=""),"",IF(AC$8&gt;$G211,IF(OR(status1B5!AD211=1,status1B5!AD211=2,'BOULEVARD 5'!AF209&gt;0),"Pagado","impago"),""))</f>
        <v>Pagado</v>
      </c>
      <c r="AD211" s="666" t="str">
        <f>IF(OR($A211="F&amp;F",$G211=""),"",IF(AD$8&gt;$G211,IF(OR(status1B5!AE211=1,status1B5!AE211=2,'BOULEVARD 5'!AG209&gt;0),"Pagado","impago"),""))</f>
        <v>Pagado</v>
      </c>
      <c r="AE211" s="666" t="str">
        <f>IF(OR($A211="F&amp;F",$G211=""),"",IF(AE$8&gt;$G211,IF(OR(status1B5!AF211=1,status1B5!AF211=2,'BOULEVARD 5'!AH209&gt;0),"Pagado","impago"),""))</f>
        <v>Pagado</v>
      </c>
      <c r="AF211" s="666" t="str">
        <f>IF(OR($A211="F&amp;F",$G211=""),"",IF(AF$8&gt;$G211,IF(OR(status1B5!AG211=1,status1B5!AG211=2,'BOULEVARD 5'!AI209&gt;0),"Pagado","impago"),""))</f>
        <v>Pagado</v>
      </c>
      <c r="AG211" s="666" t="str">
        <f>IF(OR($A211="F&amp;F",$G211=""),"",IF(AG$8&gt;$G211,IF(OR(status1B5!AH211=1,status1B5!AH211=2,'BOULEVARD 5'!AJ209&gt;0),"Pagado","impago"),""))</f>
        <v>Pagado</v>
      </c>
      <c r="AH211" s="666" t="str">
        <f>IF(OR($A211="F&amp;F",$G211=""),"",IF(AH$8&gt;$G211,IF(OR(status1B5!AI211=1,status1B5!AI211=2,'BOULEVARD 5'!AK209&gt;0),"Pagado","impago"),""))</f>
        <v>Pagado</v>
      </c>
      <c r="AI211" s="666" t="str">
        <f>IF(OR($A211="F&amp;F",$G211=""),"",IF(AI$8&gt;$G211,IF(OR(status1B5!AJ211=1,status1B5!AJ211=2,'BOULEVARD 5'!AL209&gt;0),"Pagado","impago"),""))</f>
        <v>Pagado</v>
      </c>
      <c r="AJ211" s="666" t="str">
        <f>IF(OR($A211="F&amp;F",$G211=""),"",IF(AJ$8&gt;$G211,IF(OR(status1B5!AK211=1,status1B5!AK211=2,'BOULEVARD 5'!AM209&gt;0),"Pagado","impago"),""))</f>
        <v>Pagado</v>
      </c>
      <c r="AK211" s="666" t="str">
        <f>IF(OR($A211="F&amp;F",$G211=""),"",IF(AK$8&gt;$G211,IF(OR(status1B5!AL211=1,status1B5!AL211=2,'BOULEVARD 5'!AN209&gt;0),"Pagado","impago"),""))</f>
        <v>Pagado</v>
      </c>
      <c r="AL211" s="666" t="str">
        <f>IF(OR($A211="F&amp;F",$G211=""),"",IF(AL$8&gt;$G211,IF(OR(status1B5!AM211=1,status1B5!AM211=2,'BOULEVARD 5'!AO209&gt;0),"Pagado","impago"),""))</f>
        <v>Pagado</v>
      </c>
      <c r="AM211" s="666" t="str">
        <f>IF(OR($A211="F&amp;F",$G211=""),"",IF(AM$8&gt;$G211,IF(OR(status1B5!AN211=1,status1B5!AN211=2,'BOULEVARD 5'!AP209&gt;0),"Pagado","impago"),""))</f>
        <v>Pagado</v>
      </c>
      <c r="AN211" s="666" t="str">
        <f>IF(OR($A211="F&amp;F",$G211=""),"",IF(AN$8&gt;$G211,IF(OR(status1B5!AO211=1,status1B5!AO211=2,'BOULEVARD 5'!AQ209&gt;0),"Pagado","impago"),""))</f>
        <v>Pagado</v>
      </c>
      <c r="AO211" s="666" t="str">
        <f>IF(OR($A211="F&amp;F",$G211=""),"",IF(AO$8&gt;$G211,IF(OR(status1B5!AP211=1,status1B5!AP211=2,'BOULEVARD 5'!AS209&gt;0),"Pagado","impago"),""))</f>
        <v>Pagado</v>
      </c>
      <c r="AP211" s="429" t="str">
        <f t="shared" si="8"/>
        <v>Vendido</v>
      </c>
    </row>
    <row r="212" spans="1:42" s="429" customFormat="1" ht="13.9" customHeight="1" x14ac:dyDescent="0.25">
      <c r="A212" s="472"/>
      <c r="B212" s="436">
        <f>'BOULEVARD 5'!B210</f>
        <v>1117</v>
      </c>
      <c r="C212" s="436" t="s">
        <v>355</v>
      </c>
      <c r="D212" s="436"/>
      <c r="E212" s="436" t="str">
        <f>IF('BOULEVARD 5'!E210="","",'BOULEVARD 5'!E210)</f>
        <v>Antonio Rada</v>
      </c>
      <c r="F212" s="429" t="str">
        <f>IF('BOULEVARD 5'!F210="","",'BOULEVARD 5'!F210)</f>
        <v>Jerson Leonel Chavez Martinez</v>
      </c>
      <c r="G212" s="473">
        <f>IF('BOULEVARD 5'!G210="","",'BOULEVARD 5'!G210)</f>
        <v>45274</v>
      </c>
      <c r="H212" s="666" t="str">
        <f>IF(OR($A212="F&amp;F",$G212=""),"",IF(H$8&gt;$G212,IF(OR(status1B5!I212=1,status1B5!I212=2,'BOULEVARD 5'!K210&gt;0),"Pagado","impago"),""))</f>
        <v/>
      </c>
      <c r="I212" s="666" t="str">
        <f>IF(OR($A212="F&amp;F",$G212=""),"",IF(I$8&gt;$G212,IF(OR(status1B5!J212=1,status1B5!J212=2,'BOULEVARD 5'!L210&gt;0),"Pagado","impago"),""))</f>
        <v/>
      </c>
      <c r="J212" s="666" t="str">
        <f>IF(OR($A212="F&amp;F",$G212=""),"",IF(J$8&gt;$G212,IF(OR(status1B5!K212=1,status1B5!K212=2,'BOULEVARD 5'!M210&gt;0),"Pagado","impago"),""))</f>
        <v/>
      </c>
      <c r="K212" s="666" t="str">
        <f>IF(OR($A212="F&amp;F",$G212=""),"",IF(K$8&gt;$G212,IF(OR(status1B5!L212=1,status1B5!L212=2,'BOULEVARD 5'!N210&gt;0),"Pagado","impago"),""))</f>
        <v/>
      </c>
      <c r="L212" s="666" t="str">
        <f>IF(OR($A212="F&amp;F",$G212=""),"",IF(L$8&gt;$G212,IF(OR(status1B5!M212=1,status1B5!M212=2,'BOULEVARD 5'!O210&gt;0),"Pagado","impago"),""))</f>
        <v/>
      </c>
      <c r="M212" s="666" t="str">
        <f>IF(OR($A212="F&amp;F",$G212=""),"",IF(M$8&gt;$G212,IF(OR(status1B5!N212=1,status1B5!N212=2,'BOULEVARD 5'!P210&gt;0),"Pagado","impago"),""))</f>
        <v/>
      </c>
      <c r="N212" s="666" t="str">
        <f>IF(OR($A212="F&amp;F",$G212=""),"",IF(N$8&gt;$G212,IF(OR(status1B5!O212=1,status1B5!O212=2,'BOULEVARD 5'!Q210&gt;0),"Pagado","impago"),""))</f>
        <v/>
      </c>
      <c r="O212" s="666" t="str">
        <f>IF(OR($A212="F&amp;F",$G212=""),"",IF(O$8&gt;$G212,IF(OR(status1B5!P212=1,status1B5!P212=2,'BOULEVARD 5'!R210&gt;0),"Pagado","impago"),""))</f>
        <v/>
      </c>
      <c r="P212" s="666" t="str">
        <f>IF(OR($A212="F&amp;F",$G212=""),"",IF(P$8&gt;$G212,IF(OR(status1B5!Q212=1,status1B5!Q212=2,'BOULEVARD 5'!S210&gt;0),"Pagado","impago"),""))</f>
        <v/>
      </c>
      <c r="Q212" s="666" t="str">
        <f>IF(OR($A212="F&amp;F",$G212=""),"",IF(Q$8&gt;$G212,IF(OR(status1B5!R212=1,status1B5!R212=2,'BOULEVARD 5'!T210&gt;0),"Pagado","impago"),""))</f>
        <v>Pagado</v>
      </c>
      <c r="R212" s="666" t="str">
        <f>IF(OR($A212="F&amp;F",$G212=""),"",IF(R$8&gt;$G212,IF(OR(status1B5!S212=1,status1B5!S212=2,'BOULEVARD 5'!U210&gt;0),"Pagado","impago"),""))</f>
        <v>Pagado</v>
      </c>
      <c r="S212" s="666" t="str">
        <f>IF(OR($A212="F&amp;F",$G212=""),"",IF(S$8&gt;$G212,IF(OR(status1B5!T212=1,status1B5!T212=2,'BOULEVARD 5'!V210&gt;0),"Pagado","impago"),""))</f>
        <v>Pagado</v>
      </c>
      <c r="T212" s="666" t="str">
        <f>IF(OR($A212="F&amp;F",$G212=""),"",IF(T$8&gt;$G212,IF(OR(status1B5!U212=1,status1B5!U212=2,'BOULEVARD 5'!W210&gt;0),"Pagado","impago"),""))</f>
        <v>Pagado</v>
      </c>
      <c r="U212" s="666" t="str">
        <f>IF(OR($A212="F&amp;F",$G212=""),"",IF(U$8&gt;$G212,IF(OR(status1B5!V212=1,status1B5!V212=2,'BOULEVARD 5'!X210&gt;0),"Pagado","impago"),""))</f>
        <v>Pagado</v>
      </c>
      <c r="V212" s="666" t="str">
        <f>IF(OR($A212="F&amp;F",$G212=""),"",IF(V$8&gt;$G212,IF(OR(status1B5!W212=1,status1B5!W212=2,'BOULEVARD 5'!Y210&gt;0),"Pagado","impago"),""))</f>
        <v>Pagado</v>
      </c>
      <c r="W212" s="666" t="str">
        <f>IF(OR($A212="F&amp;F",$G212=""),"",IF(W$8&gt;$G212,IF(OR(status1B5!X212=1,status1B5!X212=2,'BOULEVARD 5'!Z210&gt;0),"Pagado","impago"),""))</f>
        <v>Pagado</v>
      </c>
      <c r="X212" s="666" t="str">
        <f>IF(OR($A212="F&amp;F",$G212=""),"",IF(X$8&gt;$G212,IF(OR(status1B5!Y212=1,status1B5!Y212=2,'BOULEVARD 5'!AA210&gt;0),"Pagado","impago"),""))</f>
        <v>Pagado</v>
      </c>
      <c r="Y212" s="666" t="str">
        <f>IF(OR($A212="F&amp;F",$G212=""),"",IF(Y$8&gt;$G212,IF(OR(status1B5!Z212=1,status1B5!Z212=2,'BOULEVARD 5'!AB210&gt;0),"Pagado","impago"),""))</f>
        <v>Pagado</v>
      </c>
      <c r="Z212" s="666" t="str">
        <f>IF(OR($A212="F&amp;F",$G212=""),"",IF(Z$8&gt;$G212,IF(OR(status1B5!AA212=1,status1B5!AA212=2,'BOULEVARD 5'!AC210&gt;0),"Pagado","impago"),""))</f>
        <v>Pagado</v>
      </c>
      <c r="AA212" s="666" t="str">
        <f>IF(OR($A212="F&amp;F",$G212=""),"",IF(AA$8&gt;$G212,IF(OR(status1B5!AB212=1,status1B5!AB212=2,'BOULEVARD 5'!AD210&gt;0),"Pagado","impago"),""))</f>
        <v>Pagado</v>
      </c>
      <c r="AB212" s="666" t="str">
        <f>IF(OR($A212="F&amp;F",$G212=""),"",IF(AB$8&gt;$G212,IF(OR(status1B5!AC212=1,status1B5!AC212=2,'BOULEVARD 5'!AE210&gt;0),"Pagado","impago"),""))</f>
        <v>Pagado</v>
      </c>
      <c r="AC212" s="666" t="str">
        <f>IF(OR($A212="F&amp;F",$G212=""),"",IF(AC$8&gt;$G212,IF(OR(status1B5!AD212=1,status1B5!AD212=2,'BOULEVARD 5'!AF210&gt;0),"Pagado","impago"),""))</f>
        <v>Pagado</v>
      </c>
      <c r="AD212" s="666" t="str">
        <f>IF(OR($A212="F&amp;F",$G212=""),"",IF(AD$8&gt;$G212,IF(OR(status1B5!AE212=1,status1B5!AE212=2,'BOULEVARD 5'!AG210&gt;0),"Pagado","impago"),""))</f>
        <v>Pagado</v>
      </c>
      <c r="AE212" s="666" t="str">
        <f>IF(OR($A212="F&amp;F",$G212=""),"",IF(AE$8&gt;$G212,IF(OR(status1B5!AF212=1,status1B5!AF212=2,'BOULEVARD 5'!AH210&gt;0),"Pagado","impago"),""))</f>
        <v>Pagado</v>
      </c>
      <c r="AF212" s="666" t="str">
        <f>IF(OR($A212="F&amp;F",$G212=""),"",IF(AF$8&gt;$G212,IF(OR(status1B5!AG212=1,status1B5!AG212=2,'BOULEVARD 5'!AI210&gt;0),"Pagado","impago"),""))</f>
        <v>Pagado</v>
      </c>
      <c r="AG212" s="666" t="str">
        <f>IF(OR($A212="F&amp;F",$G212=""),"",IF(AG$8&gt;$G212,IF(OR(status1B5!AH212=1,status1B5!AH212=2,'BOULEVARD 5'!AJ210&gt;0),"Pagado","impago"),""))</f>
        <v>Pagado</v>
      </c>
      <c r="AH212" s="666" t="str">
        <f>IF(OR($A212="F&amp;F",$G212=""),"",IF(AH$8&gt;$G212,IF(OR(status1B5!AI212=1,status1B5!AI212=2,'BOULEVARD 5'!AK210&gt;0),"Pagado","impago"),""))</f>
        <v>Pagado</v>
      </c>
      <c r="AI212" s="666" t="str">
        <f>IF(OR($A212="F&amp;F",$G212=""),"",IF(AI$8&gt;$G212,IF(OR(status1B5!AJ212=1,status1B5!AJ212=2,'BOULEVARD 5'!AL210&gt;0),"Pagado","impago"),""))</f>
        <v>Pagado</v>
      </c>
      <c r="AJ212" s="666" t="str">
        <f>IF(OR($A212="F&amp;F",$G212=""),"",IF(AJ$8&gt;$G212,IF(OR(status1B5!AK212=1,status1B5!AK212=2,'BOULEVARD 5'!AM210&gt;0),"Pagado","impago"),""))</f>
        <v>Pagado</v>
      </c>
      <c r="AK212" s="666" t="str">
        <f>IF(OR($A212="F&amp;F",$G212=""),"",IF(AK$8&gt;$G212,IF(OR(status1B5!AL212=1,status1B5!AL212=2,'BOULEVARD 5'!AN210&gt;0),"Pagado","impago"),""))</f>
        <v>Pagado</v>
      </c>
      <c r="AL212" s="666" t="str">
        <f>IF(OR($A212="F&amp;F",$G212=""),"",IF(AL$8&gt;$G212,IF(OR(status1B5!AM212=1,status1B5!AM212=2,'BOULEVARD 5'!AO210&gt;0),"Pagado","impago"),""))</f>
        <v>Pagado</v>
      </c>
      <c r="AM212" s="666" t="str">
        <f>IF(OR($A212="F&amp;F",$G212=""),"",IF(AM$8&gt;$G212,IF(OR(status1B5!AN212=1,status1B5!AN212=2,'BOULEVARD 5'!AP210&gt;0),"Pagado","impago"),""))</f>
        <v>Pagado</v>
      </c>
      <c r="AN212" s="666" t="str">
        <f>IF(OR($A212="F&amp;F",$G212=""),"",IF(AN$8&gt;$G212,IF(OR(status1B5!AO212=1,status1B5!AO212=2,'BOULEVARD 5'!AQ210&gt;0),"Pagado","impago"),""))</f>
        <v>Pagado</v>
      </c>
      <c r="AO212" s="666" t="str">
        <f>IF(OR($A212="F&amp;F",$G212=""),"",IF(AO$8&gt;$G212,IF(OR(status1B5!AP212=1,status1B5!AP212=2,'BOULEVARD 5'!AS210&gt;0),"Pagado","impago"),""))</f>
        <v>Pagado</v>
      </c>
      <c r="AP212" s="429" t="str">
        <f t="shared" si="8"/>
        <v>Vendido</v>
      </c>
    </row>
    <row r="213" spans="1:42" s="429" customFormat="1" ht="13.9" customHeight="1" x14ac:dyDescent="0.25">
      <c r="A213" s="472"/>
      <c r="B213" s="436">
        <f>'BOULEVARD 5'!B211</f>
        <v>1118</v>
      </c>
      <c r="C213" s="436" t="s">
        <v>355</v>
      </c>
      <c r="D213" s="436"/>
      <c r="E213" s="436" t="str">
        <f>IF('BOULEVARD 5'!E211="","",'BOULEVARD 5'!E211)</f>
        <v>Antonio Rada</v>
      </c>
      <c r="F213" s="429" t="str">
        <f>IF('BOULEVARD 5'!F211="","",'BOULEVARD 5'!F211)</f>
        <v>José Raúl Velasco Ferrigno</v>
      </c>
      <c r="G213" s="473">
        <f>IF('BOULEVARD 5'!G211="","",'BOULEVARD 5'!G211)</f>
        <v>45463</v>
      </c>
      <c r="H213" s="666" t="str">
        <f>IF(OR($A213="F&amp;F",$G213=""),"",IF(H$8&gt;$G213,IF(OR(status1B5!I213=1,status1B5!I213=2,'BOULEVARD 5'!K211&gt;0),"Pagado","impago"),""))</f>
        <v/>
      </c>
      <c r="I213" s="666" t="str">
        <f>IF(OR($A213="F&amp;F",$G213=""),"",IF(I$8&gt;$G213,IF(OR(status1B5!J213=1,status1B5!J213=2,'BOULEVARD 5'!L211&gt;0),"Pagado","impago"),""))</f>
        <v/>
      </c>
      <c r="J213" s="666" t="str">
        <f>IF(OR($A213="F&amp;F",$G213=""),"",IF(J$8&gt;$G213,IF(OR(status1B5!K213=1,status1B5!K213=2,'BOULEVARD 5'!M211&gt;0),"Pagado","impago"),""))</f>
        <v/>
      </c>
      <c r="K213" s="666" t="str">
        <f>IF(OR($A213="F&amp;F",$G213=""),"",IF(K$8&gt;$G213,IF(OR(status1B5!L213=1,status1B5!L213=2,'BOULEVARD 5'!N211&gt;0),"Pagado","impago"),""))</f>
        <v/>
      </c>
      <c r="L213" s="666" t="str">
        <f>IF(OR($A213="F&amp;F",$G213=""),"",IF(L$8&gt;$G213,IF(OR(status1B5!M213=1,status1B5!M213=2,'BOULEVARD 5'!O211&gt;0),"Pagado","impago"),""))</f>
        <v/>
      </c>
      <c r="M213" s="666" t="str">
        <f>IF(OR($A213="F&amp;F",$G213=""),"",IF(M$8&gt;$G213,IF(OR(status1B5!N213=1,status1B5!N213=2,'BOULEVARD 5'!P211&gt;0),"Pagado","impago"),""))</f>
        <v/>
      </c>
      <c r="N213" s="666" t="str">
        <f>IF(OR($A213="F&amp;F",$G213=""),"",IF(N$8&gt;$G213,IF(OR(status1B5!O213=1,status1B5!O213=2,'BOULEVARD 5'!Q211&gt;0),"Pagado","impago"),""))</f>
        <v/>
      </c>
      <c r="O213" s="666" t="str">
        <f>IF(OR($A213="F&amp;F",$G213=""),"",IF(O$8&gt;$G213,IF(OR(status1B5!P213=1,status1B5!P213=2,'BOULEVARD 5'!R211&gt;0),"Pagado","impago"),""))</f>
        <v/>
      </c>
      <c r="P213" s="666" t="str">
        <f>IF(OR($A213="F&amp;F",$G213=""),"",IF(P$8&gt;$G213,IF(OR(status1B5!Q213=1,status1B5!Q213=2,'BOULEVARD 5'!S211&gt;0),"Pagado","impago"),""))</f>
        <v/>
      </c>
      <c r="Q213" s="666" t="str">
        <f>IF(OR($A213="F&amp;F",$G213=""),"",IF(Q$8&gt;$G213,IF(OR(status1B5!R213=1,status1B5!R213=2,'BOULEVARD 5'!T211&gt;0),"Pagado","impago"),""))</f>
        <v/>
      </c>
      <c r="R213" s="666" t="str">
        <f>IF(OR($A213="F&amp;F",$G213=""),"",IF(R$8&gt;$G213,IF(OR(status1B5!S213=1,status1B5!S213=2,'BOULEVARD 5'!U211&gt;0),"Pagado","impago"),""))</f>
        <v/>
      </c>
      <c r="S213" s="666" t="str">
        <f>IF(OR($A213="F&amp;F",$G213=""),"",IF(S$8&gt;$G213,IF(OR(status1B5!T213=1,status1B5!T213=2,'BOULEVARD 5'!V211&gt;0),"Pagado","impago"),""))</f>
        <v/>
      </c>
      <c r="T213" s="666" t="str">
        <f>IF(OR($A213="F&amp;F",$G213=""),"",IF(T$8&gt;$G213,IF(OR(status1B5!U213=1,status1B5!U213=2,'BOULEVARD 5'!W211&gt;0),"Pagado","impago"),""))</f>
        <v/>
      </c>
      <c r="U213" s="666" t="str">
        <f>IF(OR($A213="F&amp;F",$G213=""),"",IF(U$8&gt;$G213,IF(OR(status1B5!V213=1,status1B5!V213=2,'BOULEVARD 5'!X211&gt;0),"Pagado","impago"),""))</f>
        <v/>
      </c>
      <c r="V213" s="666" t="str">
        <f>IF(OR($A213="F&amp;F",$G213=""),"",IF(V$8&gt;$G213,IF(OR(status1B5!W213=1,status1B5!W213=2,'BOULEVARD 5'!Y211&gt;0),"Pagado","impago"),""))</f>
        <v/>
      </c>
      <c r="W213" s="666" t="str">
        <f>IF(OR($A213="F&amp;F",$G213=""),"",IF(W$8&gt;$G213,IF(OR(status1B5!X213=1,status1B5!X213=2,'BOULEVARD 5'!Z211&gt;0),"Pagado","impago"),""))</f>
        <v>Pagado</v>
      </c>
      <c r="X213" s="666" t="str">
        <f>IF(OR($A213="F&amp;F",$G213=""),"",IF(X$8&gt;$G213,IF(OR(status1B5!Y213=1,status1B5!Y213=2,'BOULEVARD 5'!AA211&gt;0),"Pagado","impago"),""))</f>
        <v>Pagado</v>
      </c>
      <c r="Y213" s="666" t="str">
        <f>IF(OR($A213="F&amp;F",$G213=""),"",IF(Y$8&gt;$G213,IF(OR(status1B5!Z213=1,status1B5!Z213=2,'BOULEVARD 5'!AB211&gt;0),"Pagado","impago"),""))</f>
        <v>Pagado</v>
      </c>
      <c r="Z213" s="666" t="str">
        <f>IF(OR($A213="F&amp;F",$G213=""),"",IF(Z$8&gt;$G213,IF(OR(status1B5!AA213=1,status1B5!AA213=2,'BOULEVARD 5'!AC211&gt;0),"Pagado","impago"),""))</f>
        <v>Pagado</v>
      </c>
      <c r="AA213" s="666" t="str">
        <f>IF(OR($A213="F&amp;F",$G213=""),"",IF(AA$8&gt;$G213,IF(OR(status1B5!AB213=1,status1B5!AB213=2,'BOULEVARD 5'!AD211&gt;0),"Pagado","impago"),""))</f>
        <v>Pagado</v>
      </c>
      <c r="AB213" s="666" t="str">
        <f>IF(OR($A213="F&amp;F",$G213=""),"",IF(AB$8&gt;$G213,IF(OR(status1B5!AC213=1,status1B5!AC213=2,'BOULEVARD 5'!AE211&gt;0),"Pagado","impago"),""))</f>
        <v>Pagado</v>
      </c>
      <c r="AC213" s="666" t="str">
        <f>IF(OR($A213="F&amp;F",$G213=""),"",IF(AC$8&gt;$G213,IF(OR(status1B5!AD213=1,status1B5!AD213=2,'BOULEVARD 5'!AF211&gt;0),"Pagado","impago"),""))</f>
        <v>Pagado</v>
      </c>
      <c r="AD213" s="666" t="str">
        <f>IF(OR($A213="F&amp;F",$G213=""),"",IF(AD$8&gt;$G213,IF(OR(status1B5!AE213=1,status1B5!AE213=2,'BOULEVARD 5'!AG211&gt;0),"Pagado","impago"),""))</f>
        <v>Pagado</v>
      </c>
      <c r="AE213" s="666" t="str">
        <f>IF(OR($A213="F&amp;F",$G213=""),"",IF(AE$8&gt;$G213,IF(OR(status1B5!AF213=1,status1B5!AF213=2,'BOULEVARD 5'!AH211&gt;0),"Pagado","impago"),""))</f>
        <v>Pagado</v>
      </c>
      <c r="AF213" s="666" t="str">
        <f>IF(OR($A213="F&amp;F",$G213=""),"",IF(AF$8&gt;$G213,IF(OR(status1B5!AG213=1,status1B5!AG213=2,'BOULEVARD 5'!AI211&gt;0),"Pagado","impago"),""))</f>
        <v>Pagado</v>
      </c>
      <c r="AG213" s="666" t="str">
        <f>IF(OR($A213="F&amp;F",$G213=""),"",IF(AG$8&gt;$G213,IF(OR(status1B5!AH213=1,status1B5!AH213=2,'BOULEVARD 5'!AJ211&gt;0),"Pagado","impago"),""))</f>
        <v>Pagado</v>
      </c>
      <c r="AH213" s="666" t="str">
        <f>IF(OR($A213="F&amp;F",$G213=""),"",IF(AH$8&gt;$G213,IF(OR(status1B5!AI213=1,status1B5!AI213=2,'BOULEVARD 5'!AK211&gt;0),"Pagado","impago"),""))</f>
        <v>Pagado</v>
      </c>
      <c r="AI213" s="666" t="str">
        <f>IF(OR($A213="F&amp;F",$G213=""),"",IF(AI$8&gt;$G213,IF(OR(status1B5!AJ213=1,status1B5!AJ213=2,'BOULEVARD 5'!AL211&gt;0),"Pagado","impago"),""))</f>
        <v>Pagado</v>
      </c>
      <c r="AJ213" s="666" t="str">
        <f>IF(OR($A213="F&amp;F",$G213=""),"",IF(AJ$8&gt;$G213,IF(OR(status1B5!AK213=1,status1B5!AK213=2,'BOULEVARD 5'!AM211&gt;0),"Pagado","impago"),""))</f>
        <v>Pagado</v>
      </c>
      <c r="AK213" s="666" t="str">
        <f>IF(OR($A213="F&amp;F",$G213=""),"",IF(AK$8&gt;$G213,IF(OR(status1B5!AL213=1,status1B5!AL213=2,'BOULEVARD 5'!AN211&gt;0),"Pagado","impago"),""))</f>
        <v>Pagado</v>
      </c>
      <c r="AL213" s="666" t="str">
        <f>IF(OR($A213="F&amp;F",$G213=""),"",IF(AL$8&gt;$G213,IF(OR(status1B5!AM213=1,status1B5!AM213=2,'BOULEVARD 5'!AO211&gt;0),"Pagado","impago"),""))</f>
        <v>Pagado</v>
      </c>
      <c r="AM213" s="666" t="str">
        <f>IF(OR($A213="F&amp;F",$G213=""),"",IF(AM$8&gt;$G213,IF(OR(status1B5!AN213=1,status1B5!AN213=2,'BOULEVARD 5'!AP211&gt;0),"Pagado","impago"),""))</f>
        <v>Pagado</v>
      </c>
      <c r="AN213" s="666" t="str">
        <f>IF(OR($A213="F&amp;F",$G213=""),"",IF(AN$8&gt;$G213,IF(OR(status1B5!AO213=1,status1B5!AO213=2,'BOULEVARD 5'!AQ211&gt;0),"Pagado","impago"),""))</f>
        <v>Pagado</v>
      </c>
      <c r="AO213" s="666" t="str">
        <f>IF(OR($A213="F&amp;F",$G213=""),"",IF(AO$8&gt;$G213,IF(OR(status1B5!AP213=1,status1B5!AP213=2,'BOULEVARD 5'!AS211&gt;0),"Pagado","impago"),""))</f>
        <v>Pagado</v>
      </c>
      <c r="AP213" s="429" t="str">
        <f t="shared" si="8"/>
        <v>Vendido</v>
      </c>
    </row>
    <row r="214" spans="1:42" s="429" customFormat="1" ht="13.9" customHeight="1" x14ac:dyDescent="0.25">
      <c r="A214" s="472"/>
      <c r="B214" s="436">
        <f>'BOULEVARD 5'!B212</f>
        <v>1201</v>
      </c>
      <c r="C214" s="436" t="s">
        <v>355</v>
      </c>
      <c r="D214" s="436"/>
      <c r="E214" s="436" t="str">
        <f>IF('BOULEVARD 5'!E212="","",'BOULEVARD 5'!E212)</f>
        <v>Antonio Rada</v>
      </c>
      <c r="F214" s="429" t="str">
        <f>IF('BOULEVARD 5'!F212="","",'BOULEVARD 5'!F212)</f>
        <v>Rogelio Alejandro Ochoa Hernandez</v>
      </c>
      <c r="G214" s="473">
        <f>IF('BOULEVARD 5'!G212="","",'BOULEVARD 5'!G212)</f>
        <v>45461</v>
      </c>
      <c r="H214" s="666" t="str">
        <f>IF(OR($A214="F&amp;F",$G214=""),"",IF(H$8&gt;$G214,IF(OR(status1B5!I214=1,status1B5!I214=2,'BOULEVARD 5'!K212&gt;0),"Pagado","impago"),""))</f>
        <v/>
      </c>
      <c r="I214" s="666" t="str">
        <f>IF(OR($A214="F&amp;F",$G214=""),"",IF(I$8&gt;$G214,IF(OR(status1B5!J214=1,status1B5!J214=2,'BOULEVARD 5'!L212&gt;0),"Pagado","impago"),""))</f>
        <v/>
      </c>
      <c r="J214" s="666" t="str">
        <f>IF(OR($A214="F&amp;F",$G214=""),"",IF(J$8&gt;$G214,IF(OR(status1B5!K214=1,status1B5!K214=2,'BOULEVARD 5'!M212&gt;0),"Pagado","impago"),""))</f>
        <v/>
      </c>
      <c r="K214" s="666" t="str">
        <f>IF(OR($A214="F&amp;F",$G214=""),"",IF(K$8&gt;$G214,IF(OR(status1B5!L214=1,status1B5!L214=2,'BOULEVARD 5'!N212&gt;0),"Pagado","impago"),""))</f>
        <v/>
      </c>
      <c r="L214" s="666" t="str">
        <f>IF(OR($A214="F&amp;F",$G214=""),"",IF(L$8&gt;$G214,IF(OR(status1B5!M214=1,status1B5!M214=2,'BOULEVARD 5'!O212&gt;0),"Pagado","impago"),""))</f>
        <v/>
      </c>
      <c r="M214" s="666" t="str">
        <f>IF(OR($A214="F&amp;F",$G214=""),"",IF(M$8&gt;$G214,IF(OR(status1B5!N214=1,status1B5!N214=2,'BOULEVARD 5'!P212&gt;0),"Pagado","impago"),""))</f>
        <v/>
      </c>
      <c r="N214" s="666" t="str">
        <f>IF(OR($A214="F&amp;F",$G214=""),"",IF(N$8&gt;$G214,IF(OR(status1B5!O214=1,status1B5!O214=2,'BOULEVARD 5'!Q212&gt;0),"Pagado","impago"),""))</f>
        <v/>
      </c>
      <c r="O214" s="666" t="str">
        <f>IF(OR($A214="F&amp;F",$G214=""),"",IF(O$8&gt;$G214,IF(OR(status1B5!P214=1,status1B5!P214=2,'BOULEVARD 5'!R212&gt;0),"Pagado","impago"),""))</f>
        <v/>
      </c>
      <c r="P214" s="666" t="str">
        <f>IF(OR($A214="F&amp;F",$G214=""),"",IF(P$8&gt;$G214,IF(OR(status1B5!Q214=1,status1B5!Q214=2,'BOULEVARD 5'!S212&gt;0),"Pagado","impago"),""))</f>
        <v/>
      </c>
      <c r="Q214" s="666" t="str">
        <f>IF(OR($A214="F&amp;F",$G214=""),"",IF(Q$8&gt;$G214,IF(OR(status1B5!R214=1,status1B5!R214=2,'BOULEVARD 5'!T212&gt;0),"Pagado","impago"),""))</f>
        <v/>
      </c>
      <c r="R214" s="666" t="str">
        <f>IF(OR($A214="F&amp;F",$G214=""),"",IF(R$8&gt;$G214,IF(OR(status1B5!S214=1,status1B5!S214=2,'BOULEVARD 5'!U212&gt;0),"Pagado","impago"),""))</f>
        <v/>
      </c>
      <c r="S214" s="666" t="str">
        <f>IF(OR($A214="F&amp;F",$G214=""),"",IF(S$8&gt;$G214,IF(OR(status1B5!T214=1,status1B5!T214=2,'BOULEVARD 5'!V212&gt;0),"Pagado","impago"),""))</f>
        <v/>
      </c>
      <c r="T214" s="666" t="str">
        <f>IF(OR($A214="F&amp;F",$G214=""),"",IF(T$8&gt;$G214,IF(OR(status1B5!U214=1,status1B5!U214=2,'BOULEVARD 5'!W212&gt;0),"Pagado","impago"),""))</f>
        <v/>
      </c>
      <c r="U214" s="666" t="str">
        <f>IF(OR($A214="F&amp;F",$G214=""),"",IF(U$8&gt;$G214,IF(OR(status1B5!V214=1,status1B5!V214=2,'BOULEVARD 5'!X212&gt;0),"Pagado","impago"),""))</f>
        <v/>
      </c>
      <c r="V214" s="666" t="str">
        <f>IF(OR($A214="F&amp;F",$G214=""),"",IF(V$8&gt;$G214,IF(OR(status1B5!W214=1,status1B5!W214=2,'BOULEVARD 5'!Y212&gt;0),"Pagado","impago"),""))</f>
        <v/>
      </c>
      <c r="W214" s="666" t="str">
        <f>IF(OR($A214="F&amp;F",$G214=""),"",IF(W$8&gt;$G214,IF(OR(status1B5!X214=1,status1B5!X214=2,'BOULEVARD 5'!Z212&gt;0),"Pagado","impago"),""))</f>
        <v>Pagado</v>
      </c>
      <c r="X214" s="666" t="str">
        <f>IF(OR($A214="F&amp;F",$G214=""),"",IF(X$8&gt;$G214,IF(OR(status1B5!Y214=1,status1B5!Y214=2,'BOULEVARD 5'!AA212&gt;0),"Pagado","impago"),""))</f>
        <v>Pagado</v>
      </c>
      <c r="Y214" s="666" t="str">
        <f>IF(OR($A214="F&amp;F",$G214=""),"",IF(Y$8&gt;$G214,IF(OR(status1B5!Z214=1,status1B5!Z214=2,'BOULEVARD 5'!AB212&gt;0),"Pagado","impago"),""))</f>
        <v>Pagado</v>
      </c>
      <c r="Z214" s="666" t="str">
        <f>IF(OR($A214="F&amp;F",$G214=""),"",IF(Z$8&gt;$G214,IF(OR(status1B5!AA214=1,status1B5!AA214=2,'BOULEVARD 5'!AC212&gt;0),"Pagado","impago"),""))</f>
        <v>Pagado</v>
      </c>
      <c r="AA214" s="666" t="str">
        <f>IF(OR($A214="F&amp;F",$G214=""),"",IF(AA$8&gt;$G214,IF(OR(status1B5!AB214=1,status1B5!AB214=2,'BOULEVARD 5'!AD212&gt;0),"Pagado","impago"),""))</f>
        <v>Pagado</v>
      </c>
      <c r="AB214" s="666" t="str">
        <f>IF(OR($A214="F&amp;F",$G214=""),"",IF(AB$8&gt;$G214,IF(OR(status1B5!AC214=1,status1B5!AC214=2,'BOULEVARD 5'!AE212&gt;0),"Pagado","impago"),""))</f>
        <v>Pagado</v>
      </c>
      <c r="AC214" s="666" t="str">
        <f>IF(OR($A214="F&amp;F",$G214=""),"",IF(AC$8&gt;$G214,IF(OR(status1B5!AD214=1,status1B5!AD214=2,'BOULEVARD 5'!AF212&gt;0),"Pagado","impago"),""))</f>
        <v>Pagado</v>
      </c>
      <c r="AD214" s="666" t="str">
        <f>IF(OR($A214="F&amp;F",$G214=""),"",IF(AD$8&gt;$G214,IF(OR(status1B5!AE214=1,status1B5!AE214=2,'BOULEVARD 5'!AG212&gt;0),"Pagado","impago"),""))</f>
        <v>Pagado</v>
      </c>
      <c r="AE214" s="666" t="str">
        <f>IF(OR($A214="F&amp;F",$G214=""),"",IF(AE$8&gt;$G214,IF(OR(status1B5!AF214=1,status1B5!AF214=2,'BOULEVARD 5'!AH212&gt;0),"Pagado","impago"),""))</f>
        <v>Pagado</v>
      </c>
      <c r="AF214" s="666" t="str">
        <f>IF(OR($A214="F&amp;F",$G214=""),"",IF(AF$8&gt;$G214,IF(OR(status1B5!AG214=1,status1B5!AG214=2,'BOULEVARD 5'!AI212&gt;0),"Pagado","impago"),""))</f>
        <v>Pagado</v>
      </c>
      <c r="AG214" s="666" t="str">
        <f>IF(OR($A214="F&amp;F",$G214=""),"",IF(AG$8&gt;$G214,IF(OR(status1B5!AH214=1,status1B5!AH214=2,'BOULEVARD 5'!AJ212&gt;0),"Pagado","impago"),""))</f>
        <v>Pagado</v>
      </c>
      <c r="AH214" s="666" t="str">
        <f>IF(OR($A214="F&amp;F",$G214=""),"",IF(AH$8&gt;$G214,IF(OR(status1B5!AI214=1,status1B5!AI214=2,'BOULEVARD 5'!AK212&gt;0),"Pagado","impago"),""))</f>
        <v>Pagado</v>
      </c>
      <c r="AI214" s="666" t="str">
        <f>IF(OR($A214="F&amp;F",$G214=""),"",IF(AI$8&gt;$G214,IF(OR(status1B5!AJ214=1,status1B5!AJ214=2,'BOULEVARD 5'!AL212&gt;0),"Pagado","impago"),""))</f>
        <v>Pagado</v>
      </c>
      <c r="AJ214" s="666" t="str">
        <f>IF(OR($A214="F&amp;F",$G214=""),"",IF(AJ$8&gt;$G214,IF(OR(status1B5!AK214=1,status1B5!AK214=2,'BOULEVARD 5'!AM212&gt;0),"Pagado","impago"),""))</f>
        <v>Pagado</v>
      </c>
      <c r="AK214" s="666" t="str">
        <f>IF(OR($A214="F&amp;F",$G214=""),"",IF(AK$8&gt;$G214,IF(OR(status1B5!AL214=1,status1B5!AL214=2,'BOULEVARD 5'!AN212&gt;0),"Pagado","impago"),""))</f>
        <v>Pagado</v>
      </c>
      <c r="AL214" s="666" t="str">
        <f>IF(OR($A214="F&amp;F",$G214=""),"",IF(AL$8&gt;$G214,IF(OR(status1B5!AM214=1,status1B5!AM214=2,'BOULEVARD 5'!AO212&gt;0),"Pagado","impago"),""))</f>
        <v>Pagado</v>
      </c>
      <c r="AM214" s="666" t="str">
        <f>IF(OR($A214="F&amp;F",$G214=""),"",IF(AM$8&gt;$G214,IF(OR(status1B5!AN214=1,status1B5!AN214=2,'BOULEVARD 5'!AP212&gt;0),"Pagado","impago"),""))</f>
        <v>Pagado</v>
      </c>
      <c r="AN214" s="666" t="str">
        <f>IF(OR($A214="F&amp;F",$G214=""),"",IF(AN$8&gt;$G214,IF(OR(status1B5!AO214=1,status1B5!AO214=2,'BOULEVARD 5'!AQ212&gt;0),"Pagado","impago"),""))</f>
        <v>Pagado</v>
      </c>
      <c r="AO214" s="666" t="str">
        <f>IF(OR($A214="F&amp;F",$G214=""),"",IF(AO$8&gt;$G214,IF(OR(status1B5!AP214=1,status1B5!AP214=2,'BOULEVARD 5'!AS212&gt;0),"Pagado","impago"),""))</f>
        <v>Pagado</v>
      </c>
      <c r="AP214" s="429" t="str">
        <f t="shared" si="8"/>
        <v>Vendido</v>
      </c>
    </row>
    <row r="215" spans="1:42" s="429" customFormat="1" ht="13.9" customHeight="1" x14ac:dyDescent="0.25">
      <c r="A215" s="472"/>
      <c r="B215" s="436">
        <f>'BOULEVARD 5'!B213</f>
        <v>1202</v>
      </c>
      <c r="C215" s="436" t="s">
        <v>355</v>
      </c>
      <c r="D215" s="436"/>
      <c r="E215" s="436" t="str">
        <f>IF('BOULEVARD 5'!E213="","",'BOULEVARD 5'!E213)</f>
        <v>Antonio Rada</v>
      </c>
      <c r="F215" s="429" t="str">
        <f>IF('BOULEVARD 5'!F213="","",'BOULEVARD 5'!F213)</f>
        <v>Edwin Steven Quiroa Sitamul</v>
      </c>
      <c r="G215" s="473">
        <f>IF('BOULEVARD 5'!G213="","",'BOULEVARD 5'!G213)</f>
        <v>45350</v>
      </c>
      <c r="H215" s="666" t="str">
        <f>IF(OR($A215="F&amp;F",$G215=""),"",IF(H$8&gt;$G215,IF(OR(status1B5!I215=1,status1B5!I215=2,'BOULEVARD 5'!K213&gt;0),"Pagado","impago"),""))</f>
        <v/>
      </c>
      <c r="I215" s="666" t="str">
        <f>IF(OR($A215="F&amp;F",$G215=""),"",IF(I$8&gt;$G215,IF(OR(status1B5!J215=1,status1B5!J215=2,'BOULEVARD 5'!L213&gt;0),"Pagado","impago"),""))</f>
        <v/>
      </c>
      <c r="J215" s="666" t="str">
        <f>IF(OR($A215="F&amp;F",$G215=""),"",IF(J$8&gt;$G215,IF(OR(status1B5!K215=1,status1B5!K215=2,'BOULEVARD 5'!M213&gt;0),"Pagado","impago"),""))</f>
        <v/>
      </c>
      <c r="K215" s="666" t="str">
        <f>IF(OR($A215="F&amp;F",$G215=""),"",IF(K$8&gt;$G215,IF(OR(status1B5!L215=1,status1B5!L215=2,'BOULEVARD 5'!N213&gt;0),"Pagado","impago"),""))</f>
        <v/>
      </c>
      <c r="L215" s="666" t="str">
        <f>IF(OR($A215="F&amp;F",$G215=""),"",IF(L$8&gt;$G215,IF(OR(status1B5!M215=1,status1B5!M215=2,'BOULEVARD 5'!O213&gt;0),"Pagado","impago"),""))</f>
        <v/>
      </c>
      <c r="M215" s="666" t="str">
        <f>IF(OR($A215="F&amp;F",$G215=""),"",IF(M$8&gt;$G215,IF(OR(status1B5!N215=1,status1B5!N215=2,'BOULEVARD 5'!P213&gt;0),"Pagado","impago"),""))</f>
        <v/>
      </c>
      <c r="N215" s="666" t="str">
        <f>IF(OR($A215="F&amp;F",$G215=""),"",IF(N$8&gt;$G215,IF(OR(status1B5!O215=1,status1B5!O215=2,'BOULEVARD 5'!Q213&gt;0),"Pagado","impago"),""))</f>
        <v/>
      </c>
      <c r="O215" s="666" t="str">
        <f>IF(OR($A215="F&amp;F",$G215=""),"",IF(O$8&gt;$G215,IF(OR(status1B5!P215=1,status1B5!P215=2,'BOULEVARD 5'!R213&gt;0),"Pagado","impago"),""))</f>
        <v/>
      </c>
      <c r="P215" s="666" t="str">
        <f>IF(OR($A215="F&amp;F",$G215=""),"",IF(P$8&gt;$G215,IF(OR(status1B5!Q215=1,status1B5!Q215=2,'BOULEVARD 5'!S213&gt;0),"Pagado","impago"),""))</f>
        <v/>
      </c>
      <c r="Q215" s="666" t="str">
        <f>IF(OR($A215="F&amp;F",$G215=""),"",IF(Q$8&gt;$G215,IF(OR(status1B5!R215=1,status1B5!R215=2,'BOULEVARD 5'!T213&gt;0),"Pagado","impago"),""))</f>
        <v/>
      </c>
      <c r="R215" s="666" t="str">
        <f>IF(OR($A215="F&amp;F",$G215=""),"",IF(R$8&gt;$G215,IF(OR(status1B5!S215=1,status1B5!S215=2,'BOULEVARD 5'!U213&gt;0),"Pagado","impago"),""))</f>
        <v/>
      </c>
      <c r="S215" s="666" t="str">
        <f>IF(OR($A215="F&amp;F",$G215=""),"",IF(S$8&gt;$G215,IF(OR(status1B5!T215=1,status1B5!T215=2,'BOULEVARD 5'!V213&gt;0),"Pagado","impago"),""))</f>
        <v>Pagado</v>
      </c>
      <c r="T215" s="666" t="str">
        <f>IF(OR($A215="F&amp;F",$G215=""),"",IF(T$8&gt;$G215,IF(OR(status1B5!U215=1,status1B5!U215=2,'BOULEVARD 5'!W213&gt;0),"Pagado","impago"),""))</f>
        <v>Pagado</v>
      </c>
      <c r="U215" s="666" t="str">
        <f>IF(OR($A215="F&amp;F",$G215=""),"",IF(U$8&gt;$G215,IF(OR(status1B5!V215=1,status1B5!V215=2,'BOULEVARD 5'!X213&gt;0),"Pagado","impago"),""))</f>
        <v>Pagado</v>
      </c>
      <c r="V215" s="666" t="str">
        <f>IF(OR($A215="F&amp;F",$G215=""),"",IF(V$8&gt;$G215,IF(OR(status1B5!W215=1,status1B5!W215=2,'BOULEVARD 5'!Y213&gt;0),"Pagado","impago"),""))</f>
        <v>Pagado</v>
      </c>
      <c r="W215" s="666" t="str">
        <f>IF(OR($A215="F&amp;F",$G215=""),"",IF(W$8&gt;$G215,IF(OR(status1B5!X215=1,status1B5!X215=2,'BOULEVARD 5'!Z213&gt;0),"Pagado","impago"),""))</f>
        <v>Pagado</v>
      </c>
      <c r="X215" s="666" t="str">
        <f>IF(OR($A215="F&amp;F",$G215=""),"",IF(X$8&gt;$G215,IF(OR(status1B5!Y215=1,status1B5!Y215=2,'BOULEVARD 5'!AA213&gt;0),"Pagado","impago"),""))</f>
        <v>Pagado</v>
      </c>
      <c r="Y215" s="666" t="str">
        <f>IF(OR($A215="F&amp;F",$G215=""),"",IF(Y$8&gt;$G215,IF(OR(status1B5!Z215=1,status1B5!Z215=2,'BOULEVARD 5'!AB213&gt;0),"Pagado","impago"),""))</f>
        <v>Pagado</v>
      </c>
      <c r="Z215" s="666" t="str">
        <f>IF(OR($A215="F&amp;F",$G215=""),"",IF(Z$8&gt;$G215,IF(OR(status1B5!AA215=1,status1B5!AA215=2,'BOULEVARD 5'!AC213&gt;0),"Pagado","impago"),""))</f>
        <v>Pagado</v>
      </c>
      <c r="AA215" s="666" t="str">
        <f>IF(OR($A215="F&amp;F",$G215=""),"",IF(AA$8&gt;$G215,IF(OR(status1B5!AB215=1,status1B5!AB215=2,'BOULEVARD 5'!AD213&gt;0),"Pagado","impago"),""))</f>
        <v>Pagado</v>
      </c>
      <c r="AB215" s="666" t="str">
        <f>IF(OR($A215="F&amp;F",$G215=""),"",IF(AB$8&gt;$G215,IF(OR(status1B5!AC215=1,status1B5!AC215=2,'BOULEVARD 5'!AE213&gt;0),"Pagado","impago"),""))</f>
        <v>Pagado</v>
      </c>
      <c r="AC215" s="666" t="str">
        <f>IF(OR($A215="F&amp;F",$G215=""),"",IF(AC$8&gt;$G215,IF(OR(status1B5!AD215=1,status1B5!AD215=2,'BOULEVARD 5'!AF213&gt;0),"Pagado","impago"),""))</f>
        <v>Pagado</v>
      </c>
      <c r="AD215" s="666" t="str">
        <f>IF(OR($A215="F&amp;F",$G215=""),"",IF(AD$8&gt;$G215,IF(OR(status1B5!AE215=1,status1B5!AE215=2,'BOULEVARD 5'!AG213&gt;0),"Pagado","impago"),""))</f>
        <v>Pagado</v>
      </c>
      <c r="AE215" s="666" t="str">
        <f>IF(OR($A215="F&amp;F",$G215=""),"",IF(AE$8&gt;$G215,IF(OR(status1B5!AF215=1,status1B5!AF215=2,'BOULEVARD 5'!AH213&gt;0),"Pagado","impago"),""))</f>
        <v>Pagado</v>
      </c>
      <c r="AF215" s="666" t="str">
        <f>IF(OR($A215="F&amp;F",$G215=""),"",IF(AF$8&gt;$G215,IF(OR(status1B5!AG215=1,status1B5!AG215=2,'BOULEVARD 5'!AI213&gt;0),"Pagado","impago"),""))</f>
        <v>Pagado</v>
      </c>
      <c r="AG215" s="666" t="str">
        <f>IF(OR($A215="F&amp;F",$G215=""),"",IF(AG$8&gt;$G215,IF(OR(status1B5!AH215=1,status1B5!AH215=2,'BOULEVARD 5'!AJ213&gt;0),"Pagado","impago"),""))</f>
        <v>Pagado</v>
      </c>
      <c r="AH215" s="666" t="str">
        <f>IF(OR($A215="F&amp;F",$G215=""),"",IF(AH$8&gt;$G215,IF(OR(status1B5!AI215=1,status1B5!AI215=2,'BOULEVARD 5'!AK213&gt;0),"Pagado","impago"),""))</f>
        <v>Pagado</v>
      </c>
      <c r="AI215" s="666" t="str">
        <f>IF(OR($A215="F&amp;F",$G215=""),"",IF(AI$8&gt;$G215,IF(OR(status1B5!AJ215=1,status1B5!AJ215=2,'BOULEVARD 5'!AL213&gt;0),"Pagado","impago"),""))</f>
        <v>Pagado</v>
      </c>
      <c r="AJ215" s="666" t="str">
        <f>IF(OR($A215="F&amp;F",$G215=""),"",IF(AJ$8&gt;$G215,IF(OR(status1B5!AK215=1,status1B5!AK215=2,'BOULEVARD 5'!AM213&gt;0),"Pagado","impago"),""))</f>
        <v>Pagado</v>
      </c>
      <c r="AK215" s="666" t="str">
        <f>IF(OR($A215="F&amp;F",$G215=""),"",IF(AK$8&gt;$G215,IF(OR(status1B5!AL215=1,status1B5!AL215=2,'BOULEVARD 5'!AN213&gt;0),"Pagado","impago"),""))</f>
        <v>Pagado</v>
      </c>
      <c r="AL215" s="666" t="str">
        <f>IF(OR($A215="F&amp;F",$G215=""),"",IF(AL$8&gt;$G215,IF(OR(status1B5!AM215=1,status1B5!AM215=2,'BOULEVARD 5'!AO213&gt;0),"Pagado","impago"),""))</f>
        <v>Pagado</v>
      </c>
      <c r="AM215" s="666" t="str">
        <f>IF(OR($A215="F&amp;F",$G215=""),"",IF(AM$8&gt;$G215,IF(OR(status1B5!AN215=1,status1B5!AN215=2,'BOULEVARD 5'!AP213&gt;0),"Pagado","impago"),""))</f>
        <v>Pagado</v>
      </c>
      <c r="AN215" s="666" t="str">
        <f>IF(OR($A215="F&amp;F",$G215=""),"",IF(AN$8&gt;$G215,IF(OR(status1B5!AO215=1,status1B5!AO215=2,'BOULEVARD 5'!AQ213&gt;0),"Pagado","impago"),""))</f>
        <v>Pagado</v>
      </c>
      <c r="AO215" s="666" t="str">
        <f>IF(OR($A215="F&amp;F",$G215=""),"",IF(AO$8&gt;$G215,IF(OR(status1B5!AP215=1,status1B5!AP215=2,'BOULEVARD 5'!AS213&gt;0),"Pagado","impago"),""))</f>
        <v>Pagado</v>
      </c>
      <c r="AP215" s="429" t="str">
        <f t="shared" si="8"/>
        <v>Vendido</v>
      </c>
    </row>
    <row r="216" spans="1:42" s="429" customFormat="1" ht="13.9" customHeight="1" x14ac:dyDescent="0.25">
      <c r="A216" s="472"/>
      <c r="B216" s="436">
        <f>'BOULEVARD 5'!B214</f>
        <v>1203</v>
      </c>
      <c r="C216" s="436" t="s">
        <v>355</v>
      </c>
      <c r="D216" s="436"/>
      <c r="E216" s="436" t="str">
        <f>IF('BOULEVARD 5'!E214="","",'BOULEVARD 5'!E214)</f>
        <v>Antonio Rada</v>
      </c>
      <c r="F216" s="429" t="str">
        <f>IF('BOULEVARD 5'!F214="","",'BOULEVARD 5'!F214)</f>
        <v>Allan Vinicio Velásquez León</v>
      </c>
      <c r="G216" s="473">
        <f>IF('BOULEVARD 5'!G214="","",'BOULEVARD 5'!G214)</f>
        <v>45165</v>
      </c>
      <c r="H216" s="666" t="str">
        <f>IF(OR($A216="F&amp;F",$G216=""),"",IF(H$8&gt;$G216,IF(OR(status1B5!I216=1,status1B5!I216=2,'BOULEVARD 5'!K214&gt;0),"Pagado","impago"),""))</f>
        <v/>
      </c>
      <c r="I216" s="666" t="str">
        <f>IF(OR($A216="F&amp;F",$G216=""),"",IF(I$8&gt;$G216,IF(OR(status1B5!J216=1,status1B5!J216=2,'BOULEVARD 5'!L214&gt;0),"Pagado","impago"),""))</f>
        <v/>
      </c>
      <c r="J216" s="666" t="str">
        <f>IF(OR($A216="F&amp;F",$G216=""),"",IF(J$8&gt;$G216,IF(OR(status1B5!K216=1,status1B5!K216=2,'BOULEVARD 5'!M214&gt;0),"Pagado","impago"),""))</f>
        <v/>
      </c>
      <c r="K216" s="666" t="str">
        <f>IF(OR($A216="F&amp;F",$G216=""),"",IF(K$8&gt;$G216,IF(OR(status1B5!L216=1,status1B5!L216=2,'BOULEVARD 5'!N214&gt;0),"Pagado","impago"),""))</f>
        <v/>
      </c>
      <c r="L216" s="666" t="str">
        <f>IF(OR($A216="F&amp;F",$G216=""),"",IF(L$8&gt;$G216,IF(OR(status1B5!M216=1,status1B5!M216=2,'BOULEVARD 5'!O214&gt;0),"Pagado","impago"),""))</f>
        <v/>
      </c>
      <c r="M216" s="666" t="str">
        <f>IF(OR($A216="F&amp;F",$G216=""),"",IF(M$8&gt;$G216,IF(OR(status1B5!N216=1,status1B5!N216=2,'BOULEVARD 5'!P214&gt;0),"Pagado","impago"),""))</f>
        <v>Pagado</v>
      </c>
      <c r="N216" s="666" t="str">
        <f>IF(OR($A216="F&amp;F",$G216=""),"",IF(N$8&gt;$G216,IF(OR(status1B5!O216=1,status1B5!O216=2,'BOULEVARD 5'!Q214&gt;0),"Pagado","impago"),""))</f>
        <v>Pagado</v>
      </c>
      <c r="O216" s="666" t="str">
        <f>IF(OR($A216="F&amp;F",$G216=""),"",IF(O$8&gt;$G216,IF(OR(status1B5!P216=1,status1B5!P216=2,'BOULEVARD 5'!R214&gt;0),"Pagado","impago"),""))</f>
        <v>Pagado</v>
      </c>
      <c r="P216" s="666" t="str">
        <f>IF(OR($A216="F&amp;F",$G216=""),"",IF(P$8&gt;$G216,IF(OR(status1B5!Q216=1,status1B5!Q216=2,'BOULEVARD 5'!S214&gt;0),"Pagado","impago"),""))</f>
        <v>Pagado</v>
      </c>
      <c r="Q216" s="666" t="str">
        <f>IF(OR($A216="F&amp;F",$G216=""),"",IF(Q$8&gt;$G216,IF(OR(status1B5!R216=1,status1B5!R216=2,'BOULEVARD 5'!T214&gt;0),"Pagado","impago"),""))</f>
        <v>Pagado</v>
      </c>
      <c r="R216" s="666" t="str">
        <f>IF(OR($A216="F&amp;F",$G216=""),"",IF(R$8&gt;$G216,IF(OR(status1B5!S216=1,status1B5!S216=2,'BOULEVARD 5'!U214&gt;0),"Pagado","impago"),""))</f>
        <v>Pagado</v>
      </c>
      <c r="S216" s="666" t="str">
        <f>IF(OR($A216="F&amp;F",$G216=""),"",IF(S$8&gt;$G216,IF(OR(status1B5!T216=1,status1B5!T216=2,'BOULEVARD 5'!V214&gt;0),"Pagado","impago"),""))</f>
        <v>Pagado</v>
      </c>
      <c r="T216" s="666" t="str">
        <f>IF(OR($A216="F&amp;F",$G216=""),"",IF(T$8&gt;$G216,IF(OR(status1B5!U216=1,status1B5!U216=2,'BOULEVARD 5'!W214&gt;0),"Pagado","impago"),""))</f>
        <v>Pagado</v>
      </c>
      <c r="U216" s="666" t="str">
        <f>IF(OR($A216="F&amp;F",$G216=""),"",IF(U$8&gt;$G216,IF(OR(status1B5!V216=1,status1B5!V216=2,'BOULEVARD 5'!X214&gt;0),"Pagado","impago"),""))</f>
        <v>Pagado</v>
      </c>
      <c r="V216" s="666" t="str">
        <f>IF(OR($A216="F&amp;F",$G216=""),"",IF(V$8&gt;$G216,IF(OR(status1B5!W216=1,status1B5!W216=2,'BOULEVARD 5'!Y214&gt;0),"Pagado","impago"),""))</f>
        <v>Pagado</v>
      </c>
      <c r="W216" s="666" t="str">
        <f>IF(OR($A216="F&amp;F",$G216=""),"",IF(W$8&gt;$G216,IF(OR(status1B5!X216=1,status1B5!X216=2,'BOULEVARD 5'!Z214&gt;0),"Pagado","impago"),""))</f>
        <v>Pagado</v>
      </c>
      <c r="X216" s="666" t="str">
        <f>IF(OR($A216="F&amp;F",$G216=""),"",IF(X$8&gt;$G216,IF(OR(status1B5!Y216=1,status1B5!Y216=2,'BOULEVARD 5'!AA214&gt;0),"Pagado","impago"),""))</f>
        <v>Pagado</v>
      </c>
      <c r="Y216" s="666" t="str">
        <f>IF(OR($A216="F&amp;F",$G216=""),"",IF(Y$8&gt;$G216,IF(OR(status1B5!Z216=1,status1B5!Z216=2,'BOULEVARD 5'!AB214&gt;0),"Pagado","impago"),""))</f>
        <v>Pagado</v>
      </c>
      <c r="Z216" s="666" t="str">
        <f>IF(OR($A216="F&amp;F",$G216=""),"",IF(Z$8&gt;$G216,IF(OR(status1B5!AA216=1,status1B5!AA216=2,'BOULEVARD 5'!AC214&gt;0),"Pagado","impago"),""))</f>
        <v>Pagado</v>
      </c>
      <c r="AA216" s="666" t="str">
        <f>IF(OR($A216="F&amp;F",$G216=""),"",IF(AA$8&gt;$G216,IF(OR(status1B5!AB216=1,status1B5!AB216=2,'BOULEVARD 5'!AD214&gt;0),"Pagado","impago"),""))</f>
        <v>Pagado</v>
      </c>
      <c r="AB216" s="666" t="str">
        <f>IF(OR($A216="F&amp;F",$G216=""),"",IF(AB$8&gt;$G216,IF(OR(status1B5!AC216=1,status1B5!AC216=2,'BOULEVARD 5'!AE214&gt;0),"Pagado","impago"),""))</f>
        <v>Pagado</v>
      </c>
      <c r="AC216" s="666" t="str">
        <f>IF(OR($A216="F&amp;F",$G216=""),"",IF(AC$8&gt;$G216,IF(OR(status1B5!AD216=1,status1B5!AD216=2,'BOULEVARD 5'!AF214&gt;0),"Pagado","impago"),""))</f>
        <v>Pagado</v>
      </c>
      <c r="AD216" s="666" t="str">
        <f>IF(OR($A216="F&amp;F",$G216=""),"",IF(AD$8&gt;$G216,IF(OR(status1B5!AE216=1,status1B5!AE216=2,'BOULEVARD 5'!AG214&gt;0),"Pagado","impago"),""))</f>
        <v>Pagado</v>
      </c>
      <c r="AE216" s="666" t="str">
        <f>IF(OR($A216="F&amp;F",$G216=""),"",IF(AE$8&gt;$G216,IF(OR(status1B5!AF216=1,status1B5!AF216=2,'BOULEVARD 5'!AH214&gt;0),"Pagado","impago"),""))</f>
        <v>Pagado</v>
      </c>
      <c r="AF216" s="666" t="str">
        <f>IF(OR($A216="F&amp;F",$G216=""),"",IF(AF$8&gt;$G216,IF(OR(status1B5!AG216=1,status1B5!AG216=2,'BOULEVARD 5'!AI214&gt;0),"Pagado","impago"),""))</f>
        <v>Pagado</v>
      </c>
      <c r="AG216" s="666" t="str">
        <f>IF(OR($A216="F&amp;F",$G216=""),"",IF(AG$8&gt;$G216,IF(OR(status1B5!AH216=1,status1B5!AH216=2,'BOULEVARD 5'!AJ214&gt;0),"Pagado","impago"),""))</f>
        <v>Pagado</v>
      </c>
      <c r="AH216" s="666" t="str">
        <f>IF(OR($A216="F&amp;F",$G216=""),"",IF(AH$8&gt;$G216,IF(OR(status1B5!AI216=1,status1B5!AI216=2,'BOULEVARD 5'!AK214&gt;0),"Pagado","impago"),""))</f>
        <v>Pagado</v>
      </c>
      <c r="AI216" s="666" t="str">
        <f>IF(OR($A216="F&amp;F",$G216=""),"",IF(AI$8&gt;$G216,IF(OR(status1B5!AJ216=1,status1B5!AJ216=2,'BOULEVARD 5'!AL214&gt;0),"Pagado","impago"),""))</f>
        <v>Pagado</v>
      </c>
      <c r="AJ216" s="666" t="str">
        <f>IF(OR($A216="F&amp;F",$G216=""),"",IF(AJ$8&gt;$G216,IF(OR(status1B5!AK216=1,status1B5!AK216=2,'BOULEVARD 5'!AM214&gt;0),"Pagado","impago"),""))</f>
        <v>Pagado</v>
      </c>
      <c r="AK216" s="666" t="str">
        <f>IF(OR($A216="F&amp;F",$G216=""),"",IF(AK$8&gt;$G216,IF(OR(status1B5!AL216=1,status1B5!AL216=2,'BOULEVARD 5'!AN214&gt;0),"Pagado","impago"),""))</f>
        <v>Pagado</v>
      </c>
      <c r="AL216" s="666" t="str">
        <f>IF(OR($A216="F&amp;F",$G216=""),"",IF(AL$8&gt;$G216,IF(OR(status1B5!AM216=1,status1B5!AM216=2,'BOULEVARD 5'!AO214&gt;0),"Pagado","impago"),""))</f>
        <v>Pagado</v>
      </c>
      <c r="AM216" s="666" t="str">
        <f>IF(OR($A216="F&amp;F",$G216=""),"",IF(AM$8&gt;$G216,IF(OR(status1B5!AN216=1,status1B5!AN216=2,'BOULEVARD 5'!AP214&gt;0),"Pagado","impago"),""))</f>
        <v>Pagado</v>
      </c>
      <c r="AN216" s="666" t="str">
        <f>IF(OR($A216="F&amp;F",$G216=""),"",IF(AN$8&gt;$G216,IF(OR(status1B5!AO216=1,status1B5!AO216=2,'BOULEVARD 5'!AQ214&gt;0),"Pagado","impago"),""))</f>
        <v>Pagado</v>
      </c>
      <c r="AO216" s="666" t="str">
        <f>IF(OR($A216="F&amp;F",$G216=""),"",IF(AO$8&gt;$G216,IF(OR(status1B5!AP216=1,status1B5!AP216=2,'BOULEVARD 5'!AS214&gt;0),"Pagado","impago"),""))</f>
        <v>Pagado</v>
      </c>
      <c r="AP216" s="429" t="str">
        <f t="shared" si="8"/>
        <v>Vendido</v>
      </c>
    </row>
    <row r="217" spans="1:42" s="429" customFormat="1" ht="13.9" customHeight="1" x14ac:dyDescent="0.25">
      <c r="A217" s="472"/>
      <c r="B217" s="436">
        <f>'BOULEVARD 5'!B215</f>
        <v>1204</v>
      </c>
      <c r="C217" s="436" t="s">
        <v>355</v>
      </c>
      <c r="D217" s="436"/>
      <c r="E217" s="436" t="str">
        <f>IF('BOULEVARD 5'!E215="","",'BOULEVARD 5'!E215)</f>
        <v>Antonio Rada</v>
      </c>
      <c r="F217" s="429" t="str">
        <f>IF('BOULEVARD 5'!F215="","",'BOULEVARD 5'!F215)</f>
        <v>Josselin Alejandra Turcios Orantes</v>
      </c>
      <c r="G217" s="473">
        <f>IF('BOULEVARD 5'!G215="","",'BOULEVARD 5'!G215)</f>
        <v>45336</v>
      </c>
      <c r="H217" s="666" t="str">
        <f>IF(OR($A217="F&amp;F",$G217=""),"",IF(H$8&gt;$G217,IF(OR(status1B5!I217=1,status1B5!I217=2,'BOULEVARD 5'!K215&gt;0),"Pagado","impago"),""))</f>
        <v/>
      </c>
      <c r="I217" s="666" t="str">
        <f>IF(OR($A217="F&amp;F",$G217=""),"",IF(I$8&gt;$G217,IF(OR(status1B5!J217=1,status1B5!J217=2,'BOULEVARD 5'!L215&gt;0),"Pagado","impago"),""))</f>
        <v/>
      </c>
      <c r="J217" s="666" t="str">
        <f>IF(OR($A217="F&amp;F",$G217=""),"",IF(J$8&gt;$G217,IF(OR(status1B5!K217=1,status1B5!K217=2,'BOULEVARD 5'!M215&gt;0),"Pagado","impago"),""))</f>
        <v/>
      </c>
      <c r="K217" s="666" t="str">
        <f>IF(OR($A217="F&amp;F",$G217=""),"",IF(K$8&gt;$G217,IF(OR(status1B5!L217=1,status1B5!L217=2,'BOULEVARD 5'!N215&gt;0),"Pagado","impago"),""))</f>
        <v/>
      </c>
      <c r="L217" s="666" t="str">
        <f>IF(OR($A217="F&amp;F",$G217=""),"",IF(L$8&gt;$G217,IF(OR(status1B5!M217=1,status1B5!M217=2,'BOULEVARD 5'!O215&gt;0),"Pagado","impago"),""))</f>
        <v/>
      </c>
      <c r="M217" s="666" t="str">
        <f>IF(OR($A217="F&amp;F",$G217=""),"",IF(M$8&gt;$G217,IF(OR(status1B5!N217=1,status1B5!N217=2,'BOULEVARD 5'!P215&gt;0),"Pagado","impago"),""))</f>
        <v/>
      </c>
      <c r="N217" s="666" t="str">
        <f>IF(OR($A217="F&amp;F",$G217=""),"",IF(N$8&gt;$G217,IF(OR(status1B5!O217=1,status1B5!O217=2,'BOULEVARD 5'!Q215&gt;0),"Pagado","impago"),""))</f>
        <v/>
      </c>
      <c r="O217" s="666" t="str">
        <f>IF(OR($A217="F&amp;F",$G217=""),"",IF(O$8&gt;$G217,IF(OR(status1B5!P217=1,status1B5!P217=2,'BOULEVARD 5'!R215&gt;0),"Pagado","impago"),""))</f>
        <v/>
      </c>
      <c r="P217" s="666" t="str">
        <f>IF(OR($A217="F&amp;F",$G217=""),"",IF(P$8&gt;$G217,IF(OR(status1B5!Q217=1,status1B5!Q217=2,'BOULEVARD 5'!S215&gt;0),"Pagado","impago"),""))</f>
        <v/>
      </c>
      <c r="Q217" s="666" t="str">
        <f>IF(OR($A217="F&amp;F",$G217=""),"",IF(Q$8&gt;$G217,IF(OR(status1B5!R217=1,status1B5!R217=2,'BOULEVARD 5'!T215&gt;0),"Pagado","impago"),""))</f>
        <v/>
      </c>
      <c r="R217" s="666" t="str">
        <f>IF(OR($A217="F&amp;F",$G217=""),"",IF(R$8&gt;$G217,IF(OR(status1B5!S217=1,status1B5!S217=2,'BOULEVARD 5'!U215&gt;0),"Pagado","impago"),""))</f>
        <v/>
      </c>
      <c r="S217" s="666" t="str">
        <f>IF(OR($A217="F&amp;F",$G217=""),"",IF(S$8&gt;$G217,IF(OR(status1B5!T217=1,status1B5!T217=2,'BOULEVARD 5'!V215&gt;0),"Pagado","impago"),""))</f>
        <v>Pagado</v>
      </c>
      <c r="T217" s="666" t="str">
        <f>IF(OR($A217="F&amp;F",$G217=""),"",IF(T$8&gt;$G217,IF(OR(status1B5!U217=1,status1B5!U217=2,'BOULEVARD 5'!W215&gt;0),"Pagado","impago"),""))</f>
        <v>Pagado</v>
      </c>
      <c r="U217" s="666" t="str">
        <f>IF(OR($A217="F&amp;F",$G217=""),"",IF(U$8&gt;$G217,IF(OR(status1B5!V217=1,status1B5!V217=2,'BOULEVARD 5'!X215&gt;0),"Pagado","impago"),""))</f>
        <v>Pagado</v>
      </c>
      <c r="V217" s="666" t="str">
        <f>IF(OR($A217="F&amp;F",$G217=""),"",IF(V$8&gt;$G217,IF(OR(status1B5!W217=1,status1B5!W217=2,'BOULEVARD 5'!Y215&gt;0),"Pagado","impago"),""))</f>
        <v>Pagado</v>
      </c>
      <c r="W217" s="666" t="str">
        <f>IF(OR($A217="F&amp;F",$G217=""),"",IF(W$8&gt;$G217,IF(OR(status1B5!X217=1,status1B5!X217=2,'BOULEVARD 5'!Z215&gt;0),"Pagado","impago"),""))</f>
        <v>Pagado</v>
      </c>
      <c r="X217" s="666" t="str">
        <f>IF(OR($A217="F&amp;F",$G217=""),"",IF(X$8&gt;$G217,IF(OR(status1B5!Y217=1,status1B5!Y217=2,'BOULEVARD 5'!AA215&gt;0),"Pagado","impago"),""))</f>
        <v>Pagado</v>
      </c>
      <c r="Y217" s="666" t="str">
        <f>IF(OR($A217="F&amp;F",$G217=""),"",IF(Y$8&gt;$G217,IF(OR(status1B5!Z217=1,status1B5!Z217=2,'BOULEVARD 5'!AB215&gt;0),"Pagado","impago"),""))</f>
        <v>Pagado</v>
      </c>
      <c r="Z217" s="666" t="str">
        <f>IF(OR($A217="F&amp;F",$G217=""),"",IF(Z$8&gt;$G217,IF(OR(status1B5!AA217=1,status1B5!AA217=2,'BOULEVARD 5'!AC215&gt;0),"Pagado","impago"),""))</f>
        <v>Pagado</v>
      </c>
      <c r="AA217" s="666" t="str">
        <f>IF(OR($A217="F&amp;F",$G217=""),"",IF(AA$8&gt;$G217,IF(OR(status1B5!AB217=1,status1B5!AB217=2,'BOULEVARD 5'!AD215&gt;0),"Pagado","impago"),""))</f>
        <v>Pagado</v>
      </c>
      <c r="AB217" s="666" t="str">
        <f>IF(OR($A217="F&amp;F",$G217=""),"",IF(AB$8&gt;$G217,IF(OR(status1B5!AC217=1,status1B5!AC217=2,'BOULEVARD 5'!AE215&gt;0),"Pagado","impago"),""))</f>
        <v>Pagado</v>
      </c>
      <c r="AC217" s="666" t="str">
        <f>IF(OR($A217="F&amp;F",$G217=""),"",IF(AC$8&gt;$G217,IF(OR(status1B5!AD217=1,status1B5!AD217=2,'BOULEVARD 5'!AF215&gt;0),"Pagado","impago"),""))</f>
        <v>Pagado</v>
      </c>
      <c r="AD217" s="666" t="str">
        <f>IF(OR($A217="F&amp;F",$G217=""),"",IF(AD$8&gt;$G217,IF(OR(status1B5!AE217=1,status1B5!AE217=2,'BOULEVARD 5'!AG215&gt;0),"Pagado","impago"),""))</f>
        <v>Pagado</v>
      </c>
      <c r="AE217" s="666" t="str">
        <f>IF(OR($A217="F&amp;F",$G217=""),"",IF(AE$8&gt;$G217,IF(OR(status1B5!AF217=1,status1B5!AF217=2,'BOULEVARD 5'!AH215&gt;0),"Pagado","impago"),""))</f>
        <v>Pagado</v>
      </c>
      <c r="AF217" s="666" t="str">
        <f>IF(OR($A217="F&amp;F",$G217=""),"",IF(AF$8&gt;$G217,IF(OR(status1B5!AG217=1,status1B5!AG217=2,'BOULEVARD 5'!AI215&gt;0),"Pagado","impago"),""))</f>
        <v>Pagado</v>
      </c>
      <c r="AG217" s="666" t="str">
        <f>IF(OR($A217="F&amp;F",$G217=""),"",IF(AG$8&gt;$G217,IF(OR(status1B5!AH217=1,status1B5!AH217=2,'BOULEVARD 5'!AJ215&gt;0),"Pagado","impago"),""))</f>
        <v>Pagado</v>
      </c>
      <c r="AH217" s="666" t="str">
        <f>IF(OR($A217="F&amp;F",$G217=""),"",IF(AH$8&gt;$G217,IF(OR(status1B5!AI217=1,status1B5!AI217=2,'BOULEVARD 5'!AK215&gt;0),"Pagado","impago"),""))</f>
        <v>Pagado</v>
      </c>
      <c r="AI217" s="666" t="str">
        <f>IF(OR($A217="F&amp;F",$G217=""),"",IF(AI$8&gt;$G217,IF(OR(status1B5!AJ217=1,status1B5!AJ217=2,'BOULEVARD 5'!AL215&gt;0),"Pagado","impago"),""))</f>
        <v>Pagado</v>
      </c>
      <c r="AJ217" s="666" t="str">
        <f>IF(OR($A217="F&amp;F",$G217=""),"",IF(AJ$8&gt;$G217,IF(OR(status1B5!AK217=1,status1B5!AK217=2,'BOULEVARD 5'!AM215&gt;0),"Pagado","impago"),""))</f>
        <v>Pagado</v>
      </c>
      <c r="AK217" s="666" t="str">
        <f>IF(OR($A217="F&amp;F",$G217=""),"",IF(AK$8&gt;$G217,IF(OR(status1B5!AL217=1,status1B5!AL217=2,'BOULEVARD 5'!AN215&gt;0),"Pagado","impago"),""))</f>
        <v>Pagado</v>
      </c>
      <c r="AL217" s="666" t="str">
        <f>IF(OR($A217="F&amp;F",$G217=""),"",IF(AL$8&gt;$G217,IF(OR(status1B5!AM217=1,status1B5!AM217=2,'BOULEVARD 5'!AO215&gt;0),"Pagado","impago"),""))</f>
        <v>Pagado</v>
      </c>
      <c r="AM217" s="666" t="str">
        <f>IF(OR($A217="F&amp;F",$G217=""),"",IF(AM$8&gt;$G217,IF(OR(status1B5!AN217=1,status1B5!AN217=2,'BOULEVARD 5'!AP215&gt;0),"Pagado","impago"),""))</f>
        <v>Pagado</v>
      </c>
      <c r="AN217" s="666" t="str">
        <f>IF(OR($A217="F&amp;F",$G217=""),"",IF(AN$8&gt;$G217,IF(OR(status1B5!AO217=1,status1B5!AO217=2,'BOULEVARD 5'!AQ215&gt;0),"Pagado","impago"),""))</f>
        <v>Pagado</v>
      </c>
      <c r="AO217" s="666" t="str">
        <f>IF(OR($A217="F&amp;F",$G217=""),"",IF(AO$8&gt;$G217,IF(OR(status1B5!AP217=1,status1B5!AP217=2,'BOULEVARD 5'!AS215&gt;0),"Pagado","impago"),""))</f>
        <v>Pagado</v>
      </c>
      <c r="AP217" s="429" t="str">
        <f t="shared" si="8"/>
        <v>Vendido</v>
      </c>
    </row>
    <row r="218" spans="1:42" s="429" customFormat="1" ht="13.9" customHeight="1" x14ac:dyDescent="0.25">
      <c r="A218" s="472"/>
      <c r="B218" s="436">
        <f>'BOULEVARD 5'!B216</f>
        <v>1205</v>
      </c>
      <c r="C218" s="436" t="s">
        <v>355</v>
      </c>
      <c r="D218" s="436"/>
      <c r="E218" s="436" t="str">
        <f>IF('BOULEVARD 5'!E216="","",'BOULEVARD 5'!E216)</f>
        <v>Antonio Rada</v>
      </c>
      <c r="F218" s="429" t="str">
        <f>IF('BOULEVARD 5'!F216="","",'BOULEVARD 5'!F216)</f>
        <v>Andrea Nicole Mansilla Fuentes</v>
      </c>
      <c r="G218" s="473">
        <f>IF('BOULEVARD 5'!G216="","",'BOULEVARD 5'!G216)</f>
        <v>45010</v>
      </c>
      <c r="H218" s="666" t="str">
        <f>IF(OR($A218="F&amp;F",$G218=""),"",IF(H$8&gt;$G218,IF(OR(status1B5!I218=1,status1B5!I218=2,'BOULEVARD 5'!K216&gt;0),"Pagado","impago"),""))</f>
        <v>Pagado</v>
      </c>
      <c r="I218" s="666" t="str">
        <f>IF(OR($A218="F&amp;F",$G218=""),"",IF(I$8&gt;$G218,IF(OR(status1B5!J218=1,status1B5!J218=2,'BOULEVARD 5'!L216&gt;0),"Pagado","impago"),""))</f>
        <v>Pagado</v>
      </c>
      <c r="J218" s="666" t="str">
        <f>IF(OR($A218="F&amp;F",$G218=""),"",IF(J$8&gt;$G218,IF(OR(status1B5!K218=1,status1B5!K218=2,'BOULEVARD 5'!M216&gt;0),"Pagado","impago"),""))</f>
        <v>Pagado</v>
      </c>
      <c r="K218" s="666" t="str">
        <f>IF(OR($A218="F&amp;F",$G218=""),"",IF(K$8&gt;$G218,IF(OR(status1B5!L218=1,status1B5!L218=2,'BOULEVARD 5'!N216&gt;0),"Pagado","impago"),""))</f>
        <v>Pagado</v>
      </c>
      <c r="L218" s="666" t="str">
        <f>IF(OR($A218="F&amp;F",$G218=""),"",IF(L$8&gt;$G218,IF(OR(status1B5!M218=1,status1B5!M218=2,'BOULEVARD 5'!O216&gt;0),"Pagado","impago"),""))</f>
        <v>Pagado</v>
      </c>
      <c r="M218" s="666" t="str">
        <f>IF(OR($A218="F&amp;F",$G218=""),"",IF(M$8&gt;$G218,IF(OR(status1B5!N218=1,status1B5!N218=2,'BOULEVARD 5'!P216&gt;0),"Pagado","impago"),""))</f>
        <v>Pagado</v>
      </c>
      <c r="N218" s="666" t="str">
        <f>IF(OR($A218="F&amp;F",$G218=""),"",IF(N$8&gt;$G218,IF(OR(status1B5!O218=1,status1B5!O218=2,'BOULEVARD 5'!Q216&gt;0),"Pagado","impago"),""))</f>
        <v>Pagado</v>
      </c>
      <c r="O218" s="666" t="str">
        <f>IF(OR($A218="F&amp;F",$G218=""),"",IF(O$8&gt;$G218,IF(OR(status1B5!P218=1,status1B5!P218=2,'BOULEVARD 5'!R216&gt;0),"Pagado","impago"),""))</f>
        <v>Pagado</v>
      </c>
      <c r="P218" s="666" t="str">
        <f>IF(OR($A218="F&amp;F",$G218=""),"",IF(P$8&gt;$G218,IF(OR(status1B5!Q218=1,status1B5!Q218=2,'BOULEVARD 5'!S216&gt;0),"Pagado","impago"),""))</f>
        <v>Pagado</v>
      </c>
      <c r="Q218" s="666" t="str">
        <f>IF(OR($A218="F&amp;F",$G218=""),"",IF(Q$8&gt;$G218,IF(OR(status1B5!R218=1,status1B5!R218=2,'BOULEVARD 5'!T216&gt;0),"Pagado","impago"),""))</f>
        <v>Pagado</v>
      </c>
      <c r="R218" s="666" t="str">
        <f>IF(OR($A218="F&amp;F",$G218=""),"",IF(R$8&gt;$G218,IF(OR(status1B5!S218=1,status1B5!S218=2,'BOULEVARD 5'!U216&gt;0),"Pagado","impago"),""))</f>
        <v>Pagado</v>
      </c>
      <c r="S218" s="666" t="str">
        <f>IF(OR($A218="F&amp;F",$G218=""),"",IF(S$8&gt;$G218,IF(OR(status1B5!T218=1,status1B5!T218=2,'BOULEVARD 5'!V216&gt;0),"Pagado","impago"),""))</f>
        <v>Pagado</v>
      </c>
      <c r="T218" s="666" t="str">
        <f>IF(OR($A218="F&amp;F",$G218=""),"",IF(T$8&gt;$G218,IF(OR(status1B5!U218=1,status1B5!U218=2,'BOULEVARD 5'!W216&gt;0),"Pagado","impago"),""))</f>
        <v>Pagado</v>
      </c>
      <c r="U218" s="666" t="str">
        <f>IF(OR($A218="F&amp;F",$G218=""),"",IF(U$8&gt;$G218,IF(OR(status1B5!V218=1,status1B5!V218=2,'BOULEVARD 5'!X216&gt;0),"Pagado","impago"),""))</f>
        <v>Pagado</v>
      </c>
      <c r="V218" s="666" t="str">
        <f>IF(OR($A218="F&amp;F",$G218=""),"",IF(V$8&gt;$G218,IF(OR(status1B5!W218=1,status1B5!W218=2,'BOULEVARD 5'!Y216&gt;0),"Pagado","impago"),""))</f>
        <v>Pagado</v>
      </c>
      <c r="W218" s="666" t="str">
        <f>IF(OR($A218="F&amp;F",$G218=""),"",IF(W$8&gt;$G218,IF(OR(status1B5!X218=1,status1B5!X218=2,'BOULEVARD 5'!Z216&gt;0),"Pagado","impago"),""))</f>
        <v>Pagado</v>
      </c>
      <c r="X218" s="666" t="str">
        <f>IF(OR($A218="F&amp;F",$G218=""),"",IF(X$8&gt;$G218,IF(OR(status1B5!Y218=1,status1B5!Y218=2,'BOULEVARD 5'!AA216&gt;0),"Pagado","impago"),""))</f>
        <v>Pagado</v>
      </c>
      <c r="Y218" s="666" t="str">
        <f>IF(OR($A218="F&amp;F",$G218=""),"",IF(Y$8&gt;$G218,IF(OR(status1B5!Z218=1,status1B5!Z218=2,'BOULEVARD 5'!AB216&gt;0),"Pagado","impago"),""))</f>
        <v>Pagado</v>
      </c>
      <c r="Z218" s="666" t="str">
        <f>IF(OR($A218="F&amp;F",$G218=""),"",IF(Z$8&gt;$G218,IF(OR(status1B5!AA218=1,status1B5!AA218=2,'BOULEVARD 5'!AC216&gt;0),"Pagado","impago"),""))</f>
        <v>Pagado</v>
      </c>
      <c r="AA218" s="666" t="str">
        <f>IF(OR($A218="F&amp;F",$G218=""),"",IF(AA$8&gt;$G218,IF(OR(status1B5!AB218=1,status1B5!AB218=2,'BOULEVARD 5'!AD216&gt;0),"Pagado","impago"),""))</f>
        <v>Pagado</v>
      </c>
      <c r="AB218" s="666" t="str">
        <f>IF(OR($A218="F&amp;F",$G218=""),"",IF(AB$8&gt;$G218,IF(OR(status1B5!AC218=1,status1B5!AC218=2,'BOULEVARD 5'!AE216&gt;0),"Pagado","impago"),""))</f>
        <v>Pagado</v>
      </c>
      <c r="AC218" s="666" t="str">
        <f>IF(OR($A218="F&amp;F",$G218=""),"",IF(AC$8&gt;$G218,IF(OR(status1B5!AD218=1,status1B5!AD218=2,'BOULEVARD 5'!AF216&gt;0),"Pagado","impago"),""))</f>
        <v>Pagado</v>
      </c>
      <c r="AD218" s="666" t="str">
        <f>IF(OR($A218="F&amp;F",$G218=""),"",IF(AD$8&gt;$G218,IF(OR(status1B5!AE218=1,status1B5!AE218=2,'BOULEVARD 5'!AG216&gt;0),"Pagado","impago"),""))</f>
        <v>Pagado</v>
      </c>
      <c r="AE218" s="666" t="str">
        <f>IF(OR($A218="F&amp;F",$G218=""),"",IF(AE$8&gt;$G218,IF(OR(status1B5!AF218=1,status1B5!AF218=2,'BOULEVARD 5'!AH216&gt;0),"Pagado","impago"),""))</f>
        <v>Pagado</v>
      </c>
      <c r="AF218" s="666" t="str">
        <f>IF(OR($A218="F&amp;F",$G218=""),"",IF(AF$8&gt;$G218,IF(OR(status1B5!AG218=1,status1B5!AG218=2,'BOULEVARD 5'!AI216&gt;0),"Pagado","impago"),""))</f>
        <v>Pagado</v>
      </c>
      <c r="AG218" s="666" t="str">
        <f>IF(OR($A218="F&amp;F",$G218=""),"",IF(AG$8&gt;$G218,IF(OR(status1B5!AH218=1,status1B5!AH218=2,'BOULEVARD 5'!AJ216&gt;0),"Pagado","impago"),""))</f>
        <v>Pagado</v>
      </c>
      <c r="AH218" s="666" t="str">
        <f>IF(OR($A218="F&amp;F",$G218=""),"",IF(AH$8&gt;$G218,IF(OR(status1B5!AI218=1,status1B5!AI218=2,'BOULEVARD 5'!AK216&gt;0),"Pagado","impago"),""))</f>
        <v>Pagado</v>
      </c>
      <c r="AI218" s="666" t="str">
        <f>IF(OR($A218="F&amp;F",$G218=""),"",IF(AI$8&gt;$G218,IF(OR(status1B5!AJ218=1,status1B5!AJ218=2,'BOULEVARD 5'!AL216&gt;0),"Pagado","impago"),""))</f>
        <v>Pagado</v>
      </c>
      <c r="AJ218" s="666" t="str">
        <f>IF(OR($A218="F&amp;F",$G218=""),"",IF(AJ$8&gt;$G218,IF(OR(status1B5!AK218=1,status1B5!AK218=2,'BOULEVARD 5'!AM216&gt;0),"Pagado","impago"),""))</f>
        <v>Pagado</v>
      </c>
      <c r="AK218" s="666" t="str">
        <f>IF(OR($A218="F&amp;F",$G218=""),"",IF(AK$8&gt;$G218,IF(OR(status1B5!AL218=1,status1B5!AL218=2,'BOULEVARD 5'!AN216&gt;0),"Pagado","impago"),""))</f>
        <v>Pagado</v>
      </c>
      <c r="AL218" s="666" t="str">
        <f>IF(OR($A218="F&amp;F",$G218=""),"",IF(AL$8&gt;$G218,IF(OR(status1B5!AM218=1,status1B5!AM218=2,'BOULEVARD 5'!AO216&gt;0),"Pagado","impago"),""))</f>
        <v>Pagado</v>
      </c>
      <c r="AM218" s="666" t="str">
        <f>IF(OR($A218="F&amp;F",$G218=""),"",IF(AM$8&gt;$G218,IF(OR(status1B5!AN218=1,status1B5!AN218=2,'BOULEVARD 5'!AP216&gt;0),"Pagado","impago"),""))</f>
        <v>Pagado</v>
      </c>
      <c r="AN218" s="666" t="str">
        <f>IF(OR($A218="F&amp;F",$G218=""),"",IF(AN$8&gt;$G218,IF(OR(status1B5!AO218=1,status1B5!AO218=2,'BOULEVARD 5'!AQ216&gt;0),"Pagado","impago"),""))</f>
        <v>Pagado</v>
      </c>
      <c r="AO218" s="666" t="str">
        <f>IF(OR($A218="F&amp;F",$G218=""),"",IF(AO$8&gt;$G218,IF(OR(status1B5!AP218=1,status1B5!AP218=2,'BOULEVARD 5'!AS216&gt;0),"Pagado","impago"),""))</f>
        <v>Pagado</v>
      </c>
      <c r="AP218" s="429" t="str">
        <f t="shared" si="8"/>
        <v>Vendido</v>
      </c>
    </row>
    <row r="219" spans="1:42" s="429" customFormat="1" ht="13.9" customHeight="1" x14ac:dyDescent="0.25">
      <c r="A219" s="472"/>
      <c r="B219" s="436">
        <f>'BOULEVARD 5'!B217</f>
        <v>1206</v>
      </c>
      <c r="C219" s="436" t="s">
        <v>355</v>
      </c>
      <c r="D219" s="436"/>
      <c r="E219" s="436" t="str">
        <f>IF('BOULEVARD 5'!E217="","",'BOULEVARD 5'!E217)</f>
        <v>Jose Franco</v>
      </c>
      <c r="F219" s="429" t="str">
        <f>IF('BOULEVARD 5'!F217="","",'BOULEVARD 5'!F217)</f>
        <v>Juan José Silva Pacheco</v>
      </c>
      <c r="G219" s="473">
        <f>IF('BOULEVARD 5'!G217="","",'BOULEVARD 5'!G217)</f>
        <v>45062</v>
      </c>
      <c r="H219" s="666" t="str">
        <f>IF(OR($A219="F&amp;F",$G219=""),"",IF(H$8&gt;$G219,IF(OR(status1B5!I219=1,status1B5!I219=2,'BOULEVARD 5'!K217&gt;0),"Pagado","impago"),""))</f>
        <v/>
      </c>
      <c r="I219" s="666" t="str">
        <f>IF(OR($A219="F&amp;F",$G219=""),"",IF(I$8&gt;$G219,IF(OR(status1B5!J219=1,status1B5!J219=2,'BOULEVARD 5'!L217&gt;0),"Pagado","impago"),""))</f>
        <v/>
      </c>
      <c r="J219" s="666" t="str">
        <f>IF(OR($A219="F&amp;F",$G219=""),"",IF(J$8&gt;$G219,IF(OR(status1B5!K219=1,status1B5!K219=2,'BOULEVARD 5'!M217&gt;0),"Pagado","impago"),""))</f>
        <v>Pagado</v>
      </c>
      <c r="K219" s="666" t="str">
        <f>IF(OR($A219="F&amp;F",$G219=""),"",IF(K$8&gt;$G219,IF(OR(status1B5!L219=1,status1B5!L219=2,'BOULEVARD 5'!N217&gt;0),"Pagado","impago"),""))</f>
        <v>Pagado</v>
      </c>
      <c r="L219" s="666" t="str">
        <f>IF(OR($A219="F&amp;F",$G219=""),"",IF(L$8&gt;$G219,IF(OR(status1B5!M219=1,status1B5!M219=2,'BOULEVARD 5'!O217&gt;0),"Pagado","impago"),""))</f>
        <v>Pagado</v>
      </c>
      <c r="M219" s="666" t="str">
        <f>IF(OR($A219="F&amp;F",$G219=""),"",IF(M$8&gt;$G219,IF(OR(status1B5!N219=1,status1B5!N219=2,'BOULEVARD 5'!P217&gt;0),"Pagado","impago"),""))</f>
        <v>Pagado</v>
      </c>
      <c r="N219" s="666" t="str">
        <f>IF(OR($A219="F&amp;F",$G219=""),"",IF(N$8&gt;$G219,IF(OR(status1B5!O219=1,status1B5!O219=2,'BOULEVARD 5'!Q217&gt;0),"Pagado","impago"),""))</f>
        <v>Pagado</v>
      </c>
      <c r="O219" s="666" t="str">
        <f>IF(OR($A219="F&amp;F",$G219=""),"",IF(O$8&gt;$G219,IF(OR(status1B5!P219=1,status1B5!P219=2,'BOULEVARD 5'!R217&gt;0),"Pagado","impago"),""))</f>
        <v>Pagado</v>
      </c>
      <c r="P219" s="666" t="str">
        <f>IF(OR($A219="F&amp;F",$G219=""),"",IF(P$8&gt;$G219,IF(OR(status1B5!Q219=1,status1B5!Q219=2,'BOULEVARD 5'!S217&gt;0),"Pagado","impago"),""))</f>
        <v>Pagado</v>
      </c>
      <c r="Q219" s="666" t="str">
        <f>IF(OR($A219="F&amp;F",$G219=""),"",IF(Q$8&gt;$G219,IF(OR(status1B5!R219=1,status1B5!R219=2,'BOULEVARD 5'!T217&gt;0),"Pagado","impago"),""))</f>
        <v>Pagado</v>
      </c>
      <c r="R219" s="666" t="str">
        <f>IF(OR($A219="F&amp;F",$G219=""),"",IF(R$8&gt;$G219,IF(OR(status1B5!S219=1,status1B5!S219=2,'BOULEVARD 5'!U217&gt;0),"Pagado","impago"),""))</f>
        <v>Pagado</v>
      </c>
      <c r="S219" s="666" t="str">
        <f>IF(OR($A219="F&amp;F",$G219=""),"",IF(S$8&gt;$G219,IF(OR(status1B5!T219=1,status1B5!T219=2,'BOULEVARD 5'!V217&gt;0),"Pagado","impago"),""))</f>
        <v>Pagado</v>
      </c>
      <c r="T219" s="666" t="str">
        <f>IF(OR($A219="F&amp;F",$G219=""),"",IF(T$8&gt;$G219,IF(OR(status1B5!U219=1,status1B5!U219=2,'BOULEVARD 5'!W217&gt;0),"Pagado","impago"),""))</f>
        <v>Pagado</v>
      </c>
      <c r="U219" s="666" t="str">
        <f>IF(OR($A219="F&amp;F",$G219=""),"",IF(U$8&gt;$G219,IF(OR(status1B5!V219=1,status1B5!V219=2,'BOULEVARD 5'!X217&gt;0),"Pagado","impago"),""))</f>
        <v>Pagado</v>
      </c>
      <c r="V219" s="666" t="str">
        <f>IF(OR($A219="F&amp;F",$G219=""),"",IF(V$8&gt;$G219,IF(OR(status1B5!W219=1,status1B5!W219=2,'BOULEVARD 5'!Y217&gt;0),"Pagado","impago"),""))</f>
        <v>Pagado</v>
      </c>
      <c r="W219" s="666" t="str">
        <f>IF(OR($A219="F&amp;F",$G219=""),"",IF(W$8&gt;$G219,IF(OR(status1B5!X219=1,status1B5!X219=2,'BOULEVARD 5'!Z217&gt;0),"Pagado","impago"),""))</f>
        <v>Pagado</v>
      </c>
      <c r="X219" s="666" t="str">
        <f>IF(OR($A219="F&amp;F",$G219=""),"",IF(X$8&gt;$G219,IF(OR(status1B5!Y219=1,status1B5!Y219=2,'BOULEVARD 5'!AA217&gt;0),"Pagado","impago"),""))</f>
        <v>Pagado</v>
      </c>
      <c r="Y219" s="666" t="str">
        <f>IF(OR($A219="F&amp;F",$G219=""),"",IF(Y$8&gt;$G219,IF(OR(status1B5!Z219=1,status1B5!Z219=2,'BOULEVARD 5'!AB217&gt;0),"Pagado","impago"),""))</f>
        <v>Pagado</v>
      </c>
      <c r="Z219" s="666" t="str">
        <f>IF(OR($A219="F&amp;F",$G219=""),"",IF(Z$8&gt;$G219,IF(OR(status1B5!AA219=1,status1B5!AA219=2,'BOULEVARD 5'!AC217&gt;0),"Pagado","impago"),""))</f>
        <v>Pagado</v>
      </c>
      <c r="AA219" s="666" t="str">
        <f>IF(OR($A219="F&amp;F",$G219=""),"",IF(AA$8&gt;$G219,IF(OR(status1B5!AB219=1,status1B5!AB219=2,'BOULEVARD 5'!AD217&gt;0),"Pagado","impago"),""))</f>
        <v>Pagado</v>
      </c>
      <c r="AB219" s="666" t="str">
        <f>IF(OR($A219="F&amp;F",$G219=""),"",IF(AB$8&gt;$G219,IF(OR(status1B5!AC219=1,status1B5!AC219=2,'BOULEVARD 5'!AE217&gt;0),"Pagado","impago"),""))</f>
        <v>Pagado</v>
      </c>
      <c r="AC219" s="666" t="str">
        <f>IF(OR($A219="F&amp;F",$G219=""),"",IF(AC$8&gt;$G219,IF(OR(status1B5!AD219=1,status1B5!AD219=2,'BOULEVARD 5'!AF217&gt;0),"Pagado","impago"),""))</f>
        <v>Pagado</v>
      </c>
      <c r="AD219" s="666" t="str">
        <f>IF(OR($A219="F&amp;F",$G219=""),"",IF(AD$8&gt;$G219,IF(OR(status1B5!AE219=1,status1B5!AE219=2,'BOULEVARD 5'!AG217&gt;0),"Pagado","impago"),""))</f>
        <v>Pagado</v>
      </c>
      <c r="AE219" s="666" t="str">
        <f>IF(OR($A219="F&amp;F",$G219=""),"",IF(AE$8&gt;$G219,IF(OR(status1B5!AF219=1,status1B5!AF219=2,'BOULEVARD 5'!AH217&gt;0),"Pagado","impago"),""))</f>
        <v>Pagado</v>
      </c>
      <c r="AF219" s="666" t="str">
        <f>IF(OR($A219="F&amp;F",$G219=""),"",IF(AF$8&gt;$G219,IF(OR(status1B5!AG219=1,status1B5!AG219=2,'BOULEVARD 5'!AI217&gt;0),"Pagado","impago"),""))</f>
        <v>Pagado</v>
      </c>
      <c r="AG219" s="666" t="str">
        <f>IF(OR($A219="F&amp;F",$G219=""),"",IF(AG$8&gt;$G219,IF(OR(status1B5!AH219=1,status1B5!AH219=2,'BOULEVARD 5'!AJ217&gt;0),"Pagado","impago"),""))</f>
        <v>Pagado</v>
      </c>
      <c r="AH219" s="666" t="str">
        <f>IF(OR($A219="F&amp;F",$G219=""),"",IF(AH$8&gt;$G219,IF(OR(status1B5!AI219=1,status1B5!AI219=2,'BOULEVARD 5'!AK217&gt;0),"Pagado","impago"),""))</f>
        <v>Pagado</v>
      </c>
      <c r="AI219" s="666" t="str">
        <f>IF(OR($A219="F&amp;F",$G219=""),"",IF(AI$8&gt;$G219,IF(OR(status1B5!AJ219=1,status1B5!AJ219=2,'BOULEVARD 5'!AL217&gt;0),"Pagado","impago"),""))</f>
        <v>Pagado</v>
      </c>
      <c r="AJ219" s="666" t="str">
        <f>IF(OR($A219="F&amp;F",$G219=""),"",IF(AJ$8&gt;$G219,IF(OR(status1B5!AK219=1,status1B5!AK219=2,'BOULEVARD 5'!AM217&gt;0),"Pagado","impago"),""))</f>
        <v>Pagado</v>
      </c>
      <c r="AK219" s="666" t="str">
        <f>IF(OR($A219="F&amp;F",$G219=""),"",IF(AK$8&gt;$G219,IF(OR(status1B5!AL219=1,status1B5!AL219=2,'BOULEVARD 5'!AN217&gt;0),"Pagado","impago"),""))</f>
        <v>Pagado</v>
      </c>
      <c r="AL219" s="666" t="str">
        <f>IF(OR($A219="F&amp;F",$G219=""),"",IF(AL$8&gt;$G219,IF(OR(status1B5!AM219=1,status1B5!AM219=2,'BOULEVARD 5'!AO217&gt;0),"Pagado","impago"),""))</f>
        <v>Pagado</v>
      </c>
      <c r="AM219" s="666" t="str">
        <f>IF(OR($A219="F&amp;F",$G219=""),"",IF(AM$8&gt;$G219,IF(OR(status1B5!AN219=1,status1B5!AN219=2,'BOULEVARD 5'!AP217&gt;0),"Pagado","impago"),""))</f>
        <v>Pagado</v>
      </c>
      <c r="AN219" s="666" t="str">
        <f>IF(OR($A219="F&amp;F",$G219=""),"",IF(AN$8&gt;$G219,IF(OR(status1B5!AO219=1,status1B5!AO219=2,'BOULEVARD 5'!AQ217&gt;0),"Pagado","impago"),""))</f>
        <v>Pagado</v>
      </c>
      <c r="AO219" s="666" t="str">
        <f>IF(OR($A219="F&amp;F",$G219=""),"",IF(AO$8&gt;$G219,IF(OR(status1B5!AP219=1,status1B5!AP219=2,'BOULEVARD 5'!AS217&gt;0),"Pagado","impago"),""))</f>
        <v>Pagado</v>
      </c>
      <c r="AP219" s="429" t="str">
        <f t="shared" si="8"/>
        <v>Vendido</v>
      </c>
    </row>
    <row r="220" spans="1:42" s="429" customFormat="1" ht="13.9" customHeight="1" x14ac:dyDescent="0.25">
      <c r="A220" s="472" t="s">
        <v>58</v>
      </c>
      <c r="B220" s="475">
        <f>'BOULEVARD 5'!B218</f>
        <v>1207</v>
      </c>
      <c r="C220" s="475" t="s">
        <v>355</v>
      </c>
      <c r="D220" s="475"/>
      <c r="E220" s="475" t="str">
        <f>IF('BOULEVARD 5'!E218="","",'BOULEVARD 5'!E218)</f>
        <v>Jose Franco</v>
      </c>
      <c r="F220" s="476" t="str">
        <f>IF('BOULEVARD 5'!F218="","",'BOULEVARD 5'!F218)</f>
        <v>David Arimany Monzón</v>
      </c>
      <c r="G220" s="473">
        <f>IF('BOULEVARD 5'!G218="","",'BOULEVARD 5'!G218)</f>
        <v>45012</v>
      </c>
      <c r="H220" s="666" t="str">
        <f>IF(OR($A220="F&amp;F",$G220=""),"",IF(H$8&gt;$G220,IF(OR(status1B5!I220=1,status1B5!I220=2,'BOULEVARD 5'!K218&gt;0),"Pagado","impago"),""))</f>
        <v/>
      </c>
      <c r="I220" s="666" t="str">
        <f>IF(OR($A220="F&amp;F",$G220=""),"",IF(I$8&gt;$G220,IF(OR(status1B5!J220=1,status1B5!J220=2,'BOULEVARD 5'!L218&gt;0),"Pagado","impago"),""))</f>
        <v/>
      </c>
      <c r="J220" s="666" t="str">
        <f>IF(OR($A220="F&amp;F",$G220=""),"",IF(J$8&gt;$G220,IF(OR(status1B5!K220=1,status1B5!K220=2,'BOULEVARD 5'!M218&gt;0),"Pagado","impago"),""))</f>
        <v/>
      </c>
      <c r="K220" s="666" t="str">
        <f>IF(OR($A220="F&amp;F",$G220=""),"",IF(K$8&gt;$G220,IF(OR(status1B5!L220=1,status1B5!L220=2,'BOULEVARD 5'!N218&gt;0),"Pagado","impago"),""))</f>
        <v/>
      </c>
      <c r="L220" s="666" t="str">
        <f>IF(OR($A220="F&amp;F",$G220=""),"",IF(L$8&gt;$G220,IF(OR(status1B5!M220=1,status1B5!M220=2,'BOULEVARD 5'!O218&gt;0),"Pagado","impago"),""))</f>
        <v/>
      </c>
      <c r="M220" s="666" t="str">
        <f>IF(OR($A220="F&amp;F",$G220=""),"",IF(M$8&gt;$G220,IF(OR(status1B5!N220=1,status1B5!N220=2,'BOULEVARD 5'!P218&gt;0),"Pagado","impago"),""))</f>
        <v/>
      </c>
      <c r="N220" s="666" t="str">
        <f>IF(OR($A220="F&amp;F",$G220=""),"",IF(N$8&gt;$G220,IF(OR(status1B5!O220=1,status1B5!O220=2,'BOULEVARD 5'!Q218&gt;0),"Pagado","impago"),""))</f>
        <v/>
      </c>
      <c r="O220" s="666" t="str">
        <f>IF(OR($A220="F&amp;F",$G220=""),"",IF(O$8&gt;$G220,IF(OR(status1B5!P220=1,status1B5!P220=2,'BOULEVARD 5'!R218&gt;0),"Pagado","impago"),""))</f>
        <v/>
      </c>
      <c r="P220" s="666" t="str">
        <f>IF(OR($A220="F&amp;F",$G220=""),"",IF(P$8&gt;$G220,IF(OR(status1B5!Q220=1,status1B5!Q220=2,'BOULEVARD 5'!S218&gt;0),"Pagado","impago"),""))</f>
        <v/>
      </c>
      <c r="Q220" s="666" t="str">
        <f>IF(OR($A220="F&amp;F",$G220=""),"",IF(Q$8&gt;$G220,IF(OR(status1B5!R220=1,status1B5!R220=2,'BOULEVARD 5'!T218&gt;0),"Pagado","impago"),""))</f>
        <v/>
      </c>
      <c r="R220" s="666" t="str">
        <f>IF(OR($A220="F&amp;F",$G220=""),"",IF(R$8&gt;$G220,IF(OR(status1B5!S220=1,status1B5!S220=2,'BOULEVARD 5'!U218&gt;0),"Pagado","impago"),""))</f>
        <v/>
      </c>
      <c r="S220" s="666" t="str">
        <f>IF(OR($A220="F&amp;F",$G220=""),"",IF(S$8&gt;$G220,IF(OR(status1B5!T220=1,status1B5!T220=2,'BOULEVARD 5'!V218&gt;0),"Pagado","impago"),""))</f>
        <v/>
      </c>
      <c r="T220" s="666" t="str">
        <f>IF(OR($A220="F&amp;F",$G220=""),"",IF(T$8&gt;$G220,IF(OR(status1B5!U220=1,status1B5!U220=2,'BOULEVARD 5'!W218&gt;0),"Pagado","impago"),""))</f>
        <v/>
      </c>
      <c r="U220" s="666" t="str">
        <f>IF(OR($A220="F&amp;F",$G220=""),"",IF(U$8&gt;$G220,IF(OR(status1B5!V220=1,status1B5!V220=2,'BOULEVARD 5'!X218&gt;0),"Pagado","impago"),""))</f>
        <v/>
      </c>
      <c r="V220" s="666" t="str">
        <f>IF(OR($A220="F&amp;F",$G220=""),"",IF(V$8&gt;$G220,IF(OR(status1B5!W220=1,status1B5!W220=2,'BOULEVARD 5'!Y218&gt;0),"Pagado","impago"),""))</f>
        <v/>
      </c>
      <c r="W220" s="666" t="str">
        <f>IF(OR($A220="F&amp;F",$G220=""),"",IF(W$8&gt;$G220,IF(OR(status1B5!X220=1,status1B5!X220=2,'BOULEVARD 5'!Z218&gt;0),"Pagado","impago"),""))</f>
        <v/>
      </c>
      <c r="X220" s="666" t="str">
        <f>IF(OR($A220="F&amp;F",$G220=""),"",IF(X$8&gt;$G220,IF(OR(status1B5!Y220=1,status1B5!Y220=2,'BOULEVARD 5'!AA218&gt;0),"Pagado","impago"),""))</f>
        <v/>
      </c>
      <c r="Y220" s="666" t="str">
        <f>IF(OR($A220="F&amp;F",$G220=""),"",IF(Y$8&gt;$G220,IF(OR(status1B5!Z220=1,status1B5!Z220=2,'BOULEVARD 5'!AB218&gt;0),"Pagado","impago"),""))</f>
        <v/>
      </c>
      <c r="Z220" s="666" t="str">
        <f>IF(OR($A220="F&amp;F",$G220=""),"",IF(Z$8&gt;$G220,IF(OR(status1B5!AA220=1,status1B5!AA220=2,'BOULEVARD 5'!AC218&gt;0),"Pagado","impago"),""))</f>
        <v/>
      </c>
      <c r="AA220" s="666" t="str">
        <f>IF(OR($A220="F&amp;F",$G220=""),"",IF(AA$8&gt;$G220,IF(OR(status1B5!AB220=1,status1B5!AB220=2,'BOULEVARD 5'!AD218&gt;0),"Pagado","impago"),""))</f>
        <v/>
      </c>
      <c r="AB220" s="666" t="str">
        <f>IF(OR($A220="F&amp;F",$G220=""),"",IF(AB$8&gt;$G220,IF(OR(status1B5!AC220=1,status1B5!AC220=2,'BOULEVARD 5'!AE218&gt;0),"Pagado","impago"),""))</f>
        <v/>
      </c>
      <c r="AC220" s="666" t="str">
        <f>IF(OR($A220="F&amp;F",$G220=""),"",IF(AC$8&gt;$G220,IF(OR(status1B5!AD220=1,status1B5!AD220=2,'BOULEVARD 5'!AF218&gt;0),"Pagado","impago"),""))</f>
        <v/>
      </c>
      <c r="AD220" s="666" t="str">
        <f>IF(OR($A220="F&amp;F",$G220=""),"",IF(AD$8&gt;$G220,IF(OR(status1B5!AE220=1,status1B5!AE220=2,'BOULEVARD 5'!AG218&gt;0),"Pagado","impago"),""))</f>
        <v/>
      </c>
      <c r="AE220" s="666" t="str">
        <f>IF(OR($A220="F&amp;F",$G220=""),"",IF(AE$8&gt;$G220,IF(OR(status1B5!AF220=1,status1B5!AF220=2,'BOULEVARD 5'!AH218&gt;0),"Pagado","impago"),""))</f>
        <v/>
      </c>
      <c r="AF220" s="666" t="str">
        <f>IF(OR($A220="F&amp;F",$G220=""),"",IF(AF$8&gt;$G220,IF(OR(status1B5!AG220=1,status1B5!AG220=2,'BOULEVARD 5'!AI218&gt;0),"Pagado","impago"),""))</f>
        <v/>
      </c>
      <c r="AG220" s="666" t="str">
        <f>IF(OR($A220="F&amp;F",$G220=""),"",IF(AG$8&gt;$G220,IF(OR(status1B5!AH220=1,status1B5!AH220=2,'BOULEVARD 5'!AJ218&gt;0),"Pagado","impago"),""))</f>
        <v/>
      </c>
      <c r="AH220" s="666" t="str">
        <f>IF(OR($A220="F&amp;F",$G220=""),"",IF(AH$8&gt;$G220,IF(OR(status1B5!AI220=1,status1B5!AI220=2,'BOULEVARD 5'!AK218&gt;0),"Pagado","impago"),""))</f>
        <v/>
      </c>
      <c r="AI220" s="666" t="str">
        <f>IF(OR($A220="F&amp;F",$G220=""),"",IF(AI$8&gt;$G220,IF(OR(status1B5!AJ220=1,status1B5!AJ220=2,'BOULEVARD 5'!AL218&gt;0),"Pagado","impago"),""))</f>
        <v/>
      </c>
      <c r="AJ220" s="666" t="str">
        <f>IF(OR($A220="F&amp;F",$G220=""),"",IF(AJ$8&gt;$G220,IF(OR(status1B5!AK220=1,status1B5!AK220=2,'BOULEVARD 5'!AM218&gt;0),"Pagado","impago"),""))</f>
        <v/>
      </c>
      <c r="AK220" s="666" t="str">
        <f>IF(OR($A220="F&amp;F",$G220=""),"",IF(AK$8&gt;$G220,IF(OR(status1B5!AL220=1,status1B5!AL220=2,'BOULEVARD 5'!AN218&gt;0),"Pagado","impago"),""))</f>
        <v/>
      </c>
      <c r="AL220" s="666" t="str">
        <f>IF(OR($A220="F&amp;F",$G220=""),"",IF(AL$8&gt;$G220,IF(OR(status1B5!AM220=1,status1B5!AM220=2,'BOULEVARD 5'!AO218&gt;0),"Pagado","impago"),""))</f>
        <v/>
      </c>
      <c r="AM220" s="666" t="str">
        <f>IF(OR($A220="F&amp;F",$G220=""),"",IF(AM$8&gt;$G220,IF(OR(status1B5!AN220=1,status1B5!AN220=2,'BOULEVARD 5'!AP218&gt;0),"Pagado","impago"),""))</f>
        <v/>
      </c>
      <c r="AN220" s="666" t="str">
        <f>IF(OR($A220="F&amp;F",$G220=""),"",IF(AN$8&gt;$G220,IF(OR(status1B5!AO220=1,status1B5!AO220=2,'BOULEVARD 5'!AQ218&gt;0),"Pagado","impago"),""))</f>
        <v/>
      </c>
      <c r="AO220" s="666" t="str">
        <f>IF(OR($A220="F&amp;F",$G220=""),"",IF(AO$8&gt;$G220,IF(OR(status1B5!AP220=1,status1B5!AP220=2,'BOULEVARD 5'!AS218&gt;0),"Pagado","impago"),""))</f>
        <v/>
      </c>
      <c r="AP220" s="429" t="str">
        <f t="shared" si="8"/>
        <v>Vendido</v>
      </c>
    </row>
    <row r="221" spans="1:42" s="429" customFormat="1" ht="13.9" customHeight="1" x14ac:dyDescent="0.25">
      <c r="A221" s="472"/>
      <c r="B221" s="436">
        <f>'BOULEVARD 5'!B219</f>
        <v>1208</v>
      </c>
      <c r="C221" s="436" t="s">
        <v>355</v>
      </c>
      <c r="D221" s="436"/>
      <c r="E221" s="436" t="str">
        <f>IF('BOULEVARD 5'!E219="","",'BOULEVARD 5'!E219)</f>
        <v>Antonio Rada</v>
      </c>
      <c r="F221" s="429" t="str">
        <f>IF('BOULEVARD 5'!F219="","",'BOULEVARD 5'!F219)</f>
        <v>Jmx Inversiones Sociedad Anonima</v>
      </c>
      <c r="G221" s="473">
        <f>IF('BOULEVARD 5'!G219="","",'BOULEVARD 5'!G219)</f>
        <v>45031</v>
      </c>
      <c r="H221" s="666" t="str">
        <f>IF(OR($A221="F&amp;F",$G221=""),"",IF(H$8&gt;$G221,IF(OR(status1B5!I221=1,status1B5!I221=2,'BOULEVARD 5'!K219&gt;0),"Pagado","impago"),""))</f>
        <v/>
      </c>
      <c r="I221" s="666" t="str">
        <f>IF(OR($A221="F&amp;F",$G221=""),"",IF(I$8&gt;$G221,IF(OR(status1B5!J221=1,status1B5!J221=2,'BOULEVARD 5'!L219&gt;0),"Pagado","impago"),""))</f>
        <v>Pagado</v>
      </c>
      <c r="J221" s="666" t="str">
        <f>IF(OR($A221="F&amp;F",$G221=""),"",IF(J$8&gt;$G221,IF(OR(status1B5!K221=1,status1B5!K221=2,'BOULEVARD 5'!M219&gt;0),"Pagado","impago"),""))</f>
        <v>Pagado</v>
      </c>
      <c r="K221" s="666" t="str">
        <f>IF(OR($A221="F&amp;F",$G221=""),"",IF(K$8&gt;$G221,IF(OR(status1B5!L221=1,status1B5!L221=2,'BOULEVARD 5'!N219&gt;0),"Pagado","impago"),""))</f>
        <v>Pagado</v>
      </c>
      <c r="L221" s="666" t="str">
        <f>IF(OR($A221="F&amp;F",$G221=""),"",IF(L$8&gt;$G221,IF(OR(status1B5!M221=1,status1B5!M221=2,'BOULEVARD 5'!O219&gt;0),"Pagado","impago"),""))</f>
        <v>Pagado</v>
      </c>
      <c r="M221" s="666" t="str">
        <f>IF(OR($A221="F&amp;F",$G221=""),"",IF(M$8&gt;$G221,IF(OR(status1B5!N221=1,status1B5!N221=2,'BOULEVARD 5'!P219&gt;0),"Pagado","impago"),""))</f>
        <v>Pagado</v>
      </c>
      <c r="N221" s="666" t="str">
        <f>IF(OR($A221="F&amp;F",$G221=""),"",IF(N$8&gt;$G221,IF(OR(status1B5!O221=1,status1B5!O221=2,'BOULEVARD 5'!Q219&gt;0),"Pagado","impago"),""))</f>
        <v>Pagado</v>
      </c>
      <c r="O221" s="666" t="str">
        <f>IF(OR($A221="F&amp;F",$G221=""),"",IF(O$8&gt;$G221,IF(OR(status1B5!P221=1,status1B5!P221=2,'BOULEVARD 5'!R219&gt;0),"Pagado","impago"),""))</f>
        <v>Pagado</v>
      </c>
      <c r="P221" s="666" t="str">
        <f>IF(OR($A221="F&amp;F",$G221=""),"",IF(P$8&gt;$G221,IF(OR(status1B5!Q221=1,status1B5!Q221=2,'BOULEVARD 5'!S219&gt;0),"Pagado","impago"),""))</f>
        <v>Pagado</v>
      </c>
      <c r="Q221" s="666" t="str">
        <f>IF(OR($A221="F&amp;F",$G221=""),"",IF(Q$8&gt;$G221,IF(OR(status1B5!R221=1,status1B5!R221=2,'BOULEVARD 5'!T219&gt;0),"Pagado","impago"),""))</f>
        <v>Pagado</v>
      </c>
      <c r="R221" s="666" t="str">
        <f>IF(OR($A221="F&amp;F",$G221=""),"",IF(R$8&gt;$G221,IF(OR(status1B5!S221=1,status1B5!S221=2,'BOULEVARD 5'!U219&gt;0),"Pagado","impago"),""))</f>
        <v>Pagado</v>
      </c>
      <c r="S221" s="666" t="str">
        <f>IF(OR($A221="F&amp;F",$G221=""),"",IF(S$8&gt;$G221,IF(OR(status1B5!T221=1,status1B5!T221=2,'BOULEVARD 5'!V219&gt;0),"Pagado","impago"),""))</f>
        <v>Pagado</v>
      </c>
      <c r="T221" s="666" t="str">
        <f>IF(OR($A221="F&amp;F",$G221=""),"",IF(T$8&gt;$G221,IF(OR(status1B5!U221=1,status1B5!U221=2,'BOULEVARD 5'!W219&gt;0),"Pagado","impago"),""))</f>
        <v>Pagado</v>
      </c>
      <c r="U221" s="666" t="str">
        <f>IF(OR($A221="F&amp;F",$G221=""),"",IF(U$8&gt;$G221,IF(OR(status1B5!V221=1,status1B5!V221=2,'BOULEVARD 5'!X219&gt;0),"Pagado","impago"),""))</f>
        <v>Pagado</v>
      </c>
      <c r="V221" s="666" t="str">
        <f>IF(OR($A221="F&amp;F",$G221=""),"",IF(V$8&gt;$G221,IF(OR(status1B5!W221=1,status1B5!W221=2,'BOULEVARD 5'!Y219&gt;0),"Pagado","impago"),""))</f>
        <v>Pagado</v>
      </c>
      <c r="W221" s="666" t="str">
        <f>IF(OR($A221="F&amp;F",$G221=""),"",IF(W$8&gt;$G221,IF(OR(status1B5!X221=1,status1B5!X221=2,'BOULEVARD 5'!Z219&gt;0),"Pagado","impago"),""))</f>
        <v>Pagado</v>
      </c>
      <c r="X221" s="666" t="str">
        <f>IF(OR($A221="F&amp;F",$G221=""),"",IF(X$8&gt;$G221,IF(OR(status1B5!Y221=1,status1B5!Y221=2,'BOULEVARD 5'!AA219&gt;0),"Pagado","impago"),""))</f>
        <v>Pagado</v>
      </c>
      <c r="Y221" s="666" t="str">
        <f>IF(OR($A221="F&amp;F",$G221=""),"",IF(Y$8&gt;$G221,IF(OR(status1B5!Z221=1,status1B5!Z221=2,'BOULEVARD 5'!AB219&gt;0),"Pagado","impago"),""))</f>
        <v>Pagado</v>
      </c>
      <c r="Z221" s="666" t="str">
        <f>IF(OR($A221="F&amp;F",$G221=""),"",IF(Z$8&gt;$G221,IF(OR(status1B5!AA221=1,status1B5!AA221=2,'BOULEVARD 5'!AC219&gt;0),"Pagado","impago"),""))</f>
        <v>Pagado</v>
      </c>
      <c r="AA221" s="666" t="str">
        <f>IF(OR($A221="F&amp;F",$G221=""),"",IF(AA$8&gt;$G221,IF(OR(status1B5!AB221=1,status1B5!AB221=2,'BOULEVARD 5'!AD219&gt;0),"Pagado","impago"),""))</f>
        <v>Pagado</v>
      </c>
      <c r="AB221" s="666" t="str">
        <f>IF(OR($A221="F&amp;F",$G221=""),"",IF(AB$8&gt;$G221,IF(OR(status1B5!AC221=1,status1B5!AC221=2,'BOULEVARD 5'!AE219&gt;0),"Pagado","impago"),""))</f>
        <v>Pagado</v>
      </c>
      <c r="AC221" s="666" t="str">
        <f>IF(OR($A221="F&amp;F",$G221=""),"",IF(AC$8&gt;$G221,IF(OR(status1B5!AD221=1,status1B5!AD221=2,'BOULEVARD 5'!AF219&gt;0),"Pagado","impago"),""))</f>
        <v>Pagado</v>
      </c>
      <c r="AD221" s="666" t="str">
        <f>IF(OR($A221="F&amp;F",$G221=""),"",IF(AD$8&gt;$G221,IF(OR(status1B5!AE221=1,status1B5!AE221=2,'BOULEVARD 5'!AG219&gt;0),"Pagado","impago"),""))</f>
        <v>Pagado</v>
      </c>
      <c r="AE221" s="666" t="str">
        <f>IF(OR($A221="F&amp;F",$G221=""),"",IF(AE$8&gt;$G221,IF(OR(status1B5!AF221=1,status1B5!AF221=2,'BOULEVARD 5'!AH219&gt;0),"Pagado","impago"),""))</f>
        <v>Pagado</v>
      </c>
      <c r="AF221" s="666" t="str">
        <f>IF(OR($A221="F&amp;F",$G221=""),"",IF(AF$8&gt;$G221,IF(OR(status1B5!AG221=1,status1B5!AG221=2,'BOULEVARD 5'!AI219&gt;0),"Pagado","impago"),""))</f>
        <v>Pagado</v>
      </c>
      <c r="AG221" s="666" t="str">
        <f>IF(OR($A221="F&amp;F",$G221=""),"",IF(AG$8&gt;$G221,IF(OR(status1B5!AH221=1,status1B5!AH221=2,'BOULEVARD 5'!AJ219&gt;0),"Pagado","impago"),""))</f>
        <v>Pagado</v>
      </c>
      <c r="AH221" s="666" t="str">
        <f>IF(OR($A221="F&amp;F",$G221=""),"",IF(AH$8&gt;$G221,IF(OR(status1B5!AI221=1,status1B5!AI221=2,'BOULEVARD 5'!AK219&gt;0),"Pagado","impago"),""))</f>
        <v>Pagado</v>
      </c>
      <c r="AI221" s="666" t="str">
        <f>IF(OR($A221="F&amp;F",$G221=""),"",IF(AI$8&gt;$G221,IF(OR(status1B5!AJ221=1,status1B5!AJ221=2,'BOULEVARD 5'!AL219&gt;0),"Pagado","impago"),""))</f>
        <v>Pagado</v>
      </c>
      <c r="AJ221" s="666" t="str">
        <f>IF(OR($A221="F&amp;F",$G221=""),"",IF(AJ$8&gt;$G221,IF(OR(status1B5!AK221=1,status1B5!AK221=2,'BOULEVARD 5'!AM219&gt;0),"Pagado","impago"),""))</f>
        <v>Pagado</v>
      </c>
      <c r="AK221" s="666" t="str">
        <f>IF(OR($A221="F&amp;F",$G221=""),"",IF(AK$8&gt;$G221,IF(OR(status1B5!AL221=1,status1B5!AL221=2,'BOULEVARD 5'!AN219&gt;0),"Pagado","impago"),""))</f>
        <v>Pagado</v>
      </c>
      <c r="AL221" s="666" t="str">
        <f>IF(OR($A221="F&amp;F",$G221=""),"",IF(AL$8&gt;$G221,IF(OR(status1B5!AM221=1,status1B5!AM221=2,'BOULEVARD 5'!AO219&gt;0),"Pagado","impago"),""))</f>
        <v>Pagado</v>
      </c>
      <c r="AM221" s="666" t="str">
        <f>IF(OR($A221="F&amp;F",$G221=""),"",IF(AM$8&gt;$G221,IF(OR(status1B5!AN221=1,status1B5!AN221=2,'BOULEVARD 5'!AP219&gt;0),"Pagado","impago"),""))</f>
        <v>Pagado</v>
      </c>
      <c r="AN221" s="666" t="str">
        <f>IF(OR($A221="F&amp;F",$G221=""),"",IF(AN$8&gt;$G221,IF(OR(status1B5!AO221=1,status1B5!AO221=2,'BOULEVARD 5'!AQ219&gt;0),"Pagado","impago"),""))</f>
        <v>Pagado</v>
      </c>
      <c r="AO221" s="666" t="str">
        <f>IF(OR($A221="F&amp;F",$G221=""),"",IF(AO$8&gt;$G221,IF(OR(status1B5!AP221=1,status1B5!AP221=2,'BOULEVARD 5'!AS219&gt;0),"Pagado","impago"),""))</f>
        <v>Pagado</v>
      </c>
      <c r="AP221" s="429" t="str">
        <f t="shared" si="8"/>
        <v>Vendido</v>
      </c>
    </row>
    <row r="222" spans="1:42" s="429" customFormat="1" ht="13.9" customHeight="1" x14ac:dyDescent="0.25">
      <c r="A222" s="472"/>
      <c r="B222" s="436">
        <f>'BOULEVARD 5'!B220</f>
        <v>1209</v>
      </c>
      <c r="C222" s="436" t="s">
        <v>355</v>
      </c>
      <c r="D222" s="436"/>
      <c r="E222" s="436" t="str">
        <f>IF('BOULEVARD 5'!E220="","",'BOULEVARD 5'!E220)</f>
        <v>Antonio Rada</v>
      </c>
      <c r="F222" s="429" t="str">
        <f>IF('BOULEVARD 5'!F220="","",'BOULEVARD 5'!F220)</f>
        <v>Gilda Elena Siekavizza Castillo / Jose Pablo Pineda Bran</v>
      </c>
      <c r="G222" s="473">
        <f>IF('BOULEVARD 5'!G220="","",'BOULEVARD 5'!G220)</f>
        <v>45013</v>
      </c>
      <c r="H222" s="666" t="str">
        <f>IF(OR($A222="F&amp;F",$G222=""),"",IF(H$8&gt;$G222,IF(OR(status1B5!I222=1,status1B5!I222=2,'BOULEVARD 5'!K220&gt;0),"Pagado","impago"),""))</f>
        <v>Pagado</v>
      </c>
      <c r="I222" s="666" t="str">
        <f>IF(OR($A222="F&amp;F",$G222=""),"",IF(I$8&gt;$G222,IF(OR(status1B5!J222=1,status1B5!J222=2,'BOULEVARD 5'!L220&gt;0),"Pagado","impago"),""))</f>
        <v>Pagado</v>
      </c>
      <c r="J222" s="666" t="str">
        <f>IF(OR($A222="F&amp;F",$G222=""),"",IF(J$8&gt;$G222,IF(OR(status1B5!K222=1,status1B5!K222=2,'BOULEVARD 5'!M220&gt;0),"Pagado","impago"),""))</f>
        <v>Pagado</v>
      </c>
      <c r="K222" s="666" t="str">
        <f>IF(OR($A222="F&amp;F",$G222=""),"",IF(K$8&gt;$G222,IF(OR(status1B5!L222=1,status1B5!L222=2,'BOULEVARD 5'!N220&gt;0),"Pagado","impago"),""))</f>
        <v>Pagado</v>
      </c>
      <c r="L222" s="666" t="str">
        <f>IF(OR($A222="F&amp;F",$G222=""),"",IF(L$8&gt;$G222,IF(OR(status1B5!M222=1,status1B5!M222=2,'BOULEVARD 5'!O220&gt;0),"Pagado","impago"),""))</f>
        <v>Pagado</v>
      </c>
      <c r="M222" s="666" t="str">
        <f>IF(OR($A222="F&amp;F",$G222=""),"",IF(M$8&gt;$G222,IF(OR(status1B5!N222=1,status1B5!N222=2,'BOULEVARD 5'!P220&gt;0),"Pagado","impago"),""))</f>
        <v>Pagado</v>
      </c>
      <c r="N222" s="666" t="str">
        <f>IF(OR($A222="F&amp;F",$G222=""),"",IF(N$8&gt;$G222,IF(OR(status1B5!O222=1,status1B5!O222=2,'BOULEVARD 5'!Q220&gt;0),"Pagado","impago"),""))</f>
        <v>Pagado</v>
      </c>
      <c r="O222" s="666" t="str">
        <f>IF(OR($A222="F&amp;F",$G222=""),"",IF(O$8&gt;$G222,IF(OR(status1B5!P222=1,status1B5!P222=2,'BOULEVARD 5'!R220&gt;0),"Pagado","impago"),""))</f>
        <v>Pagado</v>
      </c>
      <c r="P222" s="666" t="str">
        <f>IF(OR($A222="F&amp;F",$G222=""),"",IF(P$8&gt;$G222,IF(OR(status1B5!Q222=1,status1B5!Q222=2,'BOULEVARD 5'!S220&gt;0),"Pagado","impago"),""))</f>
        <v>Pagado</v>
      </c>
      <c r="Q222" s="666" t="str">
        <f>IF(OR($A222="F&amp;F",$G222=""),"",IF(Q$8&gt;$G222,IF(OR(status1B5!R222=1,status1B5!R222=2,'BOULEVARD 5'!T220&gt;0),"Pagado","impago"),""))</f>
        <v>Pagado</v>
      </c>
      <c r="R222" s="666" t="str">
        <f>IF(OR($A222="F&amp;F",$G222=""),"",IF(R$8&gt;$G222,IF(OR(status1B5!S222=1,status1B5!S222=2,'BOULEVARD 5'!U220&gt;0),"Pagado","impago"),""))</f>
        <v>Pagado</v>
      </c>
      <c r="S222" s="666" t="str">
        <f>IF(OR($A222="F&amp;F",$G222=""),"",IF(S$8&gt;$G222,IF(OR(status1B5!T222=1,status1B5!T222=2,'BOULEVARD 5'!V220&gt;0),"Pagado","impago"),""))</f>
        <v>Pagado</v>
      </c>
      <c r="T222" s="666" t="str">
        <f>IF(OR($A222="F&amp;F",$G222=""),"",IF(T$8&gt;$G222,IF(OR(status1B5!U222=1,status1B5!U222=2,'BOULEVARD 5'!W220&gt;0),"Pagado","impago"),""))</f>
        <v>Pagado</v>
      </c>
      <c r="U222" s="666" t="str">
        <f>IF(OR($A222="F&amp;F",$G222=""),"",IF(U$8&gt;$G222,IF(OR(status1B5!V222=1,status1B5!V222=2,'BOULEVARD 5'!X220&gt;0),"Pagado","impago"),""))</f>
        <v>Pagado</v>
      </c>
      <c r="V222" s="666" t="str">
        <f>IF(OR($A222="F&amp;F",$G222=""),"",IF(V$8&gt;$G222,IF(OR(status1B5!W222=1,status1B5!W222=2,'BOULEVARD 5'!Y220&gt;0),"Pagado","impago"),""))</f>
        <v>Pagado</v>
      </c>
      <c r="W222" s="666" t="str">
        <f>IF(OR($A222="F&amp;F",$G222=""),"",IF(W$8&gt;$G222,IF(OR(status1B5!X222=1,status1B5!X222=2,'BOULEVARD 5'!Z220&gt;0),"Pagado","impago"),""))</f>
        <v>Pagado</v>
      </c>
      <c r="X222" s="666" t="str">
        <f>IF(OR($A222="F&amp;F",$G222=""),"",IF(X$8&gt;$G222,IF(OR(status1B5!Y222=1,status1B5!Y222=2,'BOULEVARD 5'!AA220&gt;0),"Pagado","impago"),""))</f>
        <v>Pagado</v>
      </c>
      <c r="Y222" s="666" t="str">
        <f>IF(OR($A222="F&amp;F",$G222=""),"",IF(Y$8&gt;$G222,IF(OR(status1B5!Z222=1,status1B5!Z222=2,'BOULEVARD 5'!AB220&gt;0),"Pagado","impago"),""))</f>
        <v>Pagado</v>
      </c>
      <c r="Z222" s="666" t="str">
        <f>IF(OR($A222="F&amp;F",$G222=""),"",IF(Z$8&gt;$G222,IF(OR(status1B5!AA222=1,status1B5!AA222=2,'BOULEVARD 5'!AC220&gt;0),"Pagado","impago"),""))</f>
        <v>Pagado</v>
      </c>
      <c r="AA222" s="666" t="str">
        <f>IF(OR($A222="F&amp;F",$G222=""),"",IF(AA$8&gt;$G222,IF(OR(status1B5!AB222=1,status1B5!AB222=2,'BOULEVARD 5'!AD220&gt;0),"Pagado","impago"),""))</f>
        <v>Pagado</v>
      </c>
      <c r="AB222" s="666" t="str">
        <f>IF(OR($A222="F&amp;F",$G222=""),"",IF(AB$8&gt;$G222,IF(OR(status1B5!AC222=1,status1B5!AC222=2,'BOULEVARD 5'!AE220&gt;0),"Pagado","impago"),""))</f>
        <v>Pagado</v>
      </c>
      <c r="AC222" s="666" t="str">
        <f>IF(OR($A222="F&amp;F",$G222=""),"",IF(AC$8&gt;$G222,IF(OR(status1B5!AD222=1,status1B5!AD222=2,'BOULEVARD 5'!AF220&gt;0),"Pagado","impago"),""))</f>
        <v>Pagado</v>
      </c>
      <c r="AD222" s="666" t="str">
        <f>IF(OR($A222="F&amp;F",$G222=""),"",IF(AD$8&gt;$G222,IF(OR(status1B5!AE222=1,status1B5!AE222=2,'BOULEVARD 5'!AG220&gt;0),"Pagado","impago"),""))</f>
        <v>Pagado</v>
      </c>
      <c r="AE222" s="666" t="str">
        <f>IF(OR($A222="F&amp;F",$G222=""),"",IF(AE$8&gt;$G222,IF(OR(status1B5!AF222=1,status1B5!AF222=2,'BOULEVARD 5'!AH220&gt;0),"Pagado","impago"),""))</f>
        <v>Pagado</v>
      </c>
      <c r="AF222" s="666" t="str">
        <f>IF(OR($A222="F&amp;F",$G222=""),"",IF(AF$8&gt;$G222,IF(OR(status1B5!AG222=1,status1B5!AG222=2,'BOULEVARD 5'!AI220&gt;0),"Pagado","impago"),""))</f>
        <v>Pagado</v>
      </c>
      <c r="AG222" s="666" t="str">
        <f>IF(OR($A222="F&amp;F",$G222=""),"",IF(AG$8&gt;$G222,IF(OR(status1B5!AH222=1,status1B5!AH222=2,'BOULEVARD 5'!AJ220&gt;0),"Pagado","impago"),""))</f>
        <v>Pagado</v>
      </c>
      <c r="AH222" s="666" t="str">
        <f>IF(OR($A222="F&amp;F",$G222=""),"",IF(AH$8&gt;$G222,IF(OR(status1B5!AI222=1,status1B5!AI222=2,'BOULEVARD 5'!AK220&gt;0),"Pagado","impago"),""))</f>
        <v>Pagado</v>
      </c>
      <c r="AI222" s="666" t="str">
        <f>IF(OR($A222="F&amp;F",$G222=""),"",IF(AI$8&gt;$G222,IF(OR(status1B5!AJ222=1,status1B5!AJ222=2,'BOULEVARD 5'!AL220&gt;0),"Pagado","impago"),""))</f>
        <v>Pagado</v>
      </c>
      <c r="AJ222" s="666" t="str">
        <f>IF(OR($A222="F&amp;F",$G222=""),"",IF(AJ$8&gt;$G222,IF(OR(status1B5!AK222=1,status1B5!AK222=2,'BOULEVARD 5'!AM220&gt;0),"Pagado","impago"),""))</f>
        <v>Pagado</v>
      </c>
      <c r="AK222" s="666" t="str">
        <f>IF(OR($A222="F&amp;F",$G222=""),"",IF(AK$8&gt;$G222,IF(OR(status1B5!AL222=1,status1B5!AL222=2,'BOULEVARD 5'!AN220&gt;0),"Pagado","impago"),""))</f>
        <v>Pagado</v>
      </c>
      <c r="AL222" s="666" t="str">
        <f>IF(OR($A222="F&amp;F",$G222=""),"",IF(AL$8&gt;$G222,IF(OR(status1B5!AM222=1,status1B5!AM222=2,'BOULEVARD 5'!AO220&gt;0),"Pagado","impago"),""))</f>
        <v>Pagado</v>
      </c>
      <c r="AM222" s="666" t="str">
        <f>IF(OR($A222="F&amp;F",$G222=""),"",IF(AM$8&gt;$G222,IF(OR(status1B5!AN222=1,status1B5!AN222=2,'BOULEVARD 5'!AP220&gt;0),"Pagado","impago"),""))</f>
        <v>Pagado</v>
      </c>
      <c r="AN222" s="666" t="str">
        <f>IF(OR($A222="F&amp;F",$G222=""),"",IF(AN$8&gt;$G222,IF(OR(status1B5!AO222=1,status1B5!AO222=2,'BOULEVARD 5'!AQ220&gt;0),"Pagado","impago"),""))</f>
        <v>Pagado</v>
      </c>
      <c r="AO222" s="666" t="str">
        <f>IF(OR($A222="F&amp;F",$G222=""),"",IF(AO$8&gt;$G222,IF(OR(status1B5!AP222=1,status1B5!AP222=2,'BOULEVARD 5'!AS220&gt;0),"Pagado","impago"),""))</f>
        <v>Pagado</v>
      </c>
      <c r="AP222" s="429" t="str">
        <f t="shared" si="8"/>
        <v>Vendido</v>
      </c>
    </row>
    <row r="223" spans="1:42" s="429" customFormat="1" ht="13.9" customHeight="1" x14ac:dyDescent="0.25">
      <c r="A223" s="472"/>
      <c r="B223" s="436">
        <f>'BOULEVARD 5'!B221</f>
        <v>1210</v>
      </c>
      <c r="C223" s="436" t="s">
        <v>355</v>
      </c>
      <c r="D223" s="436"/>
      <c r="E223" s="436" t="str">
        <f>IF('BOULEVARD 5'!E221="","",'BOULEVARD 5'!E221)</f>
        <v>Antonio Rada</v>
      </c>
      <c r="F223" s="429" t="str">
        <f>IF('BOULEVARD 5'!F221="","",'BOULEVARD 5'!F221)</f>
        <v>Jmx Inversiones Sociedad Anonima</v>
      </c>
      <c r="G223" s="473">
        <f>IF('BOULEVARD 5'!G221="","",'BOULEVARD 5'!G221)</f>
        <v>45031</v>
      </c>
      <c r="H223" s="666" t="str">
        <f>IF(OR($A223="F&amp;F",$G223=""),"",IF(H$8&gt;$G223,IF(OR(status1B5!I223=1,status1B5!I223=2,'BOULEVARD 5'!K221&gt;0),"Pagado","impago"),""))</f>
        <v/>
      </c>
      <c r="I223" s="666" t="str">
        <f>IF(OR($A223="F&amp;F",$G223=""),"",IF(I$8&gt;$G223,IF(OR(status1B5!J223=1,status1B5!J223=2,'BOULEVARD 5'!L221&gt;0),"Pagado","impago"),""))</f>
        <v>Pagado</v>
      </c>
      <c r="J223" s="666" t="str">
        <f>IF(OR($A223="F&amp;F",$G223=""),"",IF(J$8&gt;$G223,IF(OR(status1B5!K223=1,status1B5!K223=2,'BOULEVARD 5'!M221&gt;0),"Pagado","impago"),""))</f>
        <v>Pagado</v>
      </c>
      <c r="K223" s="666" t="str">
        <f>IF(OR($A223="F&amp;F",$G223=""),"",IF(K$8&gt;$G223,IF(OR(status1B5!L223=1,status1B5!L223=2,'BOULEVARD 5'!N221&gt;0),"Pagado","impago"),""))</f>
        <v>Pagado</v>
      </c>
      <c r="L223" s="666" t="str">
        <f>IF(OR($A223="F&amp;F",$G223=""),"",IF(L$8&gt;$G223,IF(OR(status1B5!M223=1,status1B5!M223=2,'BOULEVARD 5'!O221&gt;0),"Pagado","impago"),""))</f>
        <v>Pagado</v>
      </c>
      <c r="M223" s="666" t="str">
        <f>IF(OR($A223="F&amp;F",$G223=""),"",IF(M$8&gt;$G223,IF(OR(status1B5!N223=1,status1B5!N223=2,'BOULEVARD 5'!P221&gt;0),"Pagado","impago"),""))</f>
        <v>Pagado</v>
      </c>
      <c r="N223" s="666" t="str">
        <f>IF(OR($A223="F&amp;F",$G223=""),"",IF(N$8&gt;$G223,IF(OR(status1B5!O223=1,status1B5!O223=2,'BOULEVARD 5'!Q221&gt;0),"Pagado","impago"),""))</f>
        <v>Pagado</v>
      </c>
      <c r="O223" s="666" t="str">
        <f>IF(OR($A223="F&amp;F",$G223=""),"",IF(O$8&gt;$G223,IF(OR(status1B5!P223=1,status1B5!P223=2,'BOULEVARD 5'!R221&gt;0),"Pagado","impago"),""))</f>
        <v>Pagado</v>
      </c>
      <c r="P223" s="666" t="str">
        <f>IF(OR($A223="F&amp;F",$G223=""),"",IF(P$8&gt;$G223,IF(OR(status1B5!Q223=1,status1B5!Q223=2,'BOULEVARD 5'!S221&gt;0),"Pagado","impago"),""))</f>
        <v>Pagado</v>
      </c>
      <c r="Q223" s="666" t="str">
        <f>IF(OR($A223="F&amp;F",$G223=""),"",IF(Q$8&gt;$G223,IF(OR(status1B5!R223=1,status1B5!R223=2,'BOULEVARD 5'!T221&gt;0),"Pagado","impago"),""))</f>
        <v>Pagado</v>
      </c>
      <c r="R223" s="666" t="str">
        <f>IF(OR($A223="F&amp;F",$G223=""),"",IF(R$8&gt;$G223,IF(OR(status1B5!S223=1,status1B5!S223=2,'BOULEVARD 5'!U221&gt;0),"Pagado","impago"),""))</f>
        <v>Pagado</v>
      </c>
      <c r="S223" s="666" t="str">
        <f>IF(OR($A223="F&amp;F",$G223=""),"",IF(S$8&gt;$G223,IF(OR(status1B5!T223=1,status1B5!T223=2,'BOULEVARD 5'!V221&gt;0),"Pagado","impago"),""))</f>
        <v>Pagado</v>
      </c>
      <c r="T223" s="666" t="str">
        <f>IF(OR($A223="F&amp;F",$G223=""),"",IF(T$8&gt;$G223,IF(OR(status1B5!U223=1,status1B5!U223=2,'BOULEVARD 5'!W221&gt;0),"Pagado","impago"),""))</f>
        <v>Pagado</v>
      </c>
      <c r="U223" s="666" t="str">
        <f>IF(OR($A223="F&amp;F",$G223=""),"",IF(U$8&gt;$G223,IF(OR(status1B5!V223=1,status1B5!V223=2,'BOULEVARD 5'!X221&gt;0),"Pagado","impago"),""))</f>
        <v>Pagado</v>
      </c>
      <c r="V223" s="666" t="str">
        <f>IF(OR($A223="F&amp;F",$G223=""),"",IF(V$8&gt;$G223,IF(OR(status1B5!W223=1,status1B5!W223=2,'BOULEVARD 5'!Y221&gt;0),"Pagado","impago"),""))</f>
        <v>Pagado</v>
      </c>
      <c r="W223" s="666" t="str">
        <f>IF(OR($A223="F&amp;F",$G223=""),"",IF(W$8&gt;$G223,IF(OR(status1B5!X223=1,status1B5!X223=2,'BOULEVARD 5'!Z221&gt;0),"Pagado","impago"),""))</f>
        <v>Pagado</v>
      </c>
      <c r="X223" s="666" t="str">
        <f>IF(OR($A223="F&amp;F",$G223=""),"",IF(X$8&gt;$G223,IF(OR(status1B5!Y223=1,status1B5!Y223=2,'BOULEVARD 5'!AA221&gt;0),"Pagado","impago"),""))</f>
        <v>Pagado</v>
      </c>
      <c r="Y223" s="666" t="str">
        <f>IF(OR($A223="F&amp;F",$G223=""),"",IF(Y$8&gt;$G223,IF(OR(status1B5!Z223=1,status1B5!Z223=2,'BOULEVARD 5'!AB221&gt;0),"Pagado","impago"),""))</f>
        <v>Pagado</v>
      </c>
      <c r="Z223" s="666" t="str">
        <f>IF(OR($A223="F&amp;F",$G223=""),"",IF(Z$8&gt;$G223,IF(OR(status1B5!AA223=1,status1B5!AA223=2,'BOULEVARD 5'!AC221&gt;0),"Pagado","impago"),""))</f>
        <v>Pagado</v>
      </c>
      <c r="AA223" s="666" t="str">
        <f>IF(OR($A223="F&amp;F",$G223=""),"",IF(AA$8&gt;$G223,IF(OR(status1B5!AB223=1,status1B5!AB223=2,'BOULEVARD 5'!AD221&gt;0),"Pagado","impago"),""))</f>
        <v>Pagado</v>
      </c>
      <c r="AB223" s="666" t="str">
        <f>IF(OR($A223="F&amp;F",$G223=""),"",IF(AB$8&gt;$G223,IF(OR(status1B5!AC223=1,status1B5!AC223=2,'BOULEVARD 5'!AE221&gt;0),"Pagado","impago"),""))</f>
        <v>Pagado</v>
      </c>
      <c r="AC223" s="666" t="str">
        <f>IF(OR($A223="F&amp;F",$G223=""),"",IF(AC$8&gt;$G223,IF(OR(status1B5!AD223=1,status1B5!AD223=2,'BOULEVARD 5'!AF221&gt;0),"Pagado","impago"),""))</f>
        <v>Pagado</v>
      </c>
      <c r="AD223" s="666" t="str">
        <f>IF(OR($A223="F&amp;F",$G223=""),"",IF(AD$8&gt;$G223,IF(OR(status1B5!AE223=1,status1B5!AE223=2,'BOULEVARD 5'!AG221&gt;0),"Pagado","impago"),""))</f>
        <v>Pagado</v>
      </c>
      <c r="AE223" s="666" t="str">
        <f>IF(OR($A223="F&amp;F",$G223=""),"",IF(AE$8&gt;$G223,IF(OR(status1B5!AF223=1,status1B5!AF223=2,'BOULEVARD 5'!AH221&gt;0),"Pagado","impago"),""))</f>
        <v>Pagado</v>
      </c>
      <c r="AF223" s="666" t="str">
        <f>IF(OR($A223="F&amp;F",$G223=""),"",IF(AF$8&gt;$G223,IF(OR(status1B5!AG223=1,status1B5!AG223=2,'BOULEVARD 5'!AI221&gt;0),"Pagado","impago"),""))</f>
        <v>Pagado</v>
      </c>
      <c r="AG223" s="666" t="str">
        <f>IF(OR($A223="F&amp;F",$G223=""),"",IF(AG$8&gt;$G223,IF(OR(status1B5!AH223=1,status1B5!AH223=2,'BOULEVARD 5'!AJ221&gt;0),"Pagado","impago"),""))</f>
        <v>Pagado</v>
      </c>
      <c r="AH223" s="666" t="str">
        <f>IF(OR($A223="F&amp;F",$G223=""),"",IF(AH$8&gt;$G223,IF(OR(status1B5!AI223=1,status1B5!AI223=2,'BOULEVARD 5'!AK221&gt;0),"Pagado","impago"),""))</f>
        <v>Pagado</v>
      </c>
      <c r="AI223" s="666" t="str">
        <f>IF(OR($A223="F&amp;F",$G223=""),"",IF(AI$8&gt;$G223,IF(OR(status1B5!AJ223=1,status1B5!AJ223=2,'BOULEVARD 5'!AL221&gt;0),"Pagado","impago"),""))</f>
        <v>Pagado</v>
      </c>
      <c r="AJ223" s="666" t="str">
        <f>IF(OR($A223="F&amp;F",$G223=""),"",IF(AJ$8&gt;$G223,IF(OR(status1B5!AK223=1,status1B5!AK223=2,'BOULEVARD 5'!AM221&gt;0),"Pagado","impago"),""))</f>
        <v>Pagado</v>
      </c>
      <c r="AK223" s="666" t="str">
        <f>IF(OR($A223="F&amp;F",$G223=""),"",IF(AK$8&gt;$G223,IF(OR(status1B5!AL223=1,status1B5!AL223=2,'BOULEVARD 5'!AN221&gt;0),"Pagado","impago"),""))</f>
        <v>Pagado</v>
      </c>
      <c r="AL223" s="666" t="str">
        <f>IF(OR($A223="F&amp;F",$G223=""),"",IF(AL$8&gt;$G223,IF(OR(status1B5!AM223=1,status1B5!AM223=2,'BOULEVARD 5'!AO221&gt;0),"Pagado","impago"),""))</f>
        <v>Pagado</v>
      </c>
      <c r="AM223" s="666" t="str">
        <f>IF(OR($A223="F&amp;F",$G223=""),"",IF(AM$8&gt;$G223,IF(OR(status1B5!AN223=1,status1B5!AN223=2,'BOULEVARD 5'!AP221&gt;0),"Pagado","impago"),""))</f>
        <v>Pagado</v>
      </c>
      <c r="AN223" s="666" t="str">
        <f>IF(OR($A223="F&amp;F",$G223=""),"",IF(AN$8&gt;$G223,IF(OR(status1B5!AO223=1,status1B5!AO223=2,'BOULEVARD 5'!AQ221&gt;0),"Pagado","impago"),""))</f>
        <v>Pagado</v>
      </c>
      <c r="AO223" s="666" t="str">
        <f>IF(OR($A223="F&amp;F",$G223=""),"",IF(AO$8&gt;$G223,IF(OR(status1B5!AP223=1,status1B5!AP223=2,'BOULEVARD 5'!AS221&gt;0),"Pagado","impago"),""))</f>
        <v>Pagado</v>
      </c>
      <c r="AP223" s="429" t="str">
        <f t="shared" si="8"/>
        <v>Vendido</v>
      </c>
    </row>
    <row r="224" spans="1:42" s="429" customFormat="1" ht="13.9" customHeight="1" x14ac:dyDescent="0.25">
      <c r="A224" s="472"/>
      <c r="B224" s="436">
        <f>'BOULEVARD 5'!B222</f>
        <v>1211</v>
      </c>
      <c r="C224" s="436" t="s">
        <v>355</v>
      </c>
      <c r="D224" s="436"/>
      <c r="E224" s="436" t="str">
        <f>IF('BOULEVARD 5'!E222="","",'BOULEVARD 5'!E222)</f>
        <v>Antonio Rada</v>
      </c>
      <c r="F224" s="429" t="str">
        <f>IF('BOULEVARD 5'!F222="","",'BOULEVARD 5'!F222)</f>
        <v>Jorge Daniel Baca Chiroy</v>
      </c>
      <c r="G224" s="473">
        <f>IF('BOULEVARD 5'!G222="","",'BOULEVARD 5'!G222)</f>
        <v>45258</v>
      </c>
      <c r="H224" s="666" t="str">
        <f>IF(OR($A224="F&amp;F",$G224=""),"",IF(H$8&gt;$G224,IF(OR(status1B5!I224=1,status1B5!I224=2,'BOULEVARD 5'!K222&gt;0),"Pagado","impago"),""))</f>
        <v/>
      </c>
      <c r="I224" s="666" t="str">
        <f>IF(OR($A224="F&amp;F",$G224=""),"",IF(I$8&gt;$G224,IF(OR(status1B5!J224=1,status1B5!J224=2,'BOULEVARD 5'!L222&gt;0),"Pagado","impago"),""))</f>
        <v/>
      </c>
      <c r="J224" s="666" t="str">
        <f>IF(OR($A224="F&amp;F",$G224=""),"",IF(J$8&gt;$G224,IF(OR(status1B5!K224=1,status1B5!K224=2,'BOULEVARD 5'!M222&gt;0),"Pagado","impago"),""))</f>
        <v/>
      </c>
      <c r="K224" s="666" t="str">
        <f>IF(OR($A224="F&amp;F",$G224=""),"",IF(K$8&gt;$G224,IF(OR(status1B5!L224=1,status1B5!L224=2,'BOULEVARD 5'!N222&gt;0),"Pagado","impago"),""))</f>
        <v/>
      </c>
      <c r="L224" s="666" t="str">
        <f>IF(OR($A224="F&amp;F",$G224=""),"",IF(L$8&gt;$G224,IF(OR(status1B5!M224=1,status1B5!M224=2,'BOULEVARD 5'!O222&gt;0),"Pagado","impago"),""))</f>
        <v/>
      </c>
      <c r="M224" s="666" t="str">
        <f>IF(OR($A224="F&amp;F",$G224=""),"",IF(M$8&gt;$G224,IF(OR(status1B5!N224=1,status1B5!N224=2,'BOULEVARD 5'!P222&gt;0),"Pagado","impago"),""))</f>
        <v/>
      </c>
      <c r="N224" s="666" t="str">
        <f>IF(OR($A224="F&amp;F",$G224=""),"",IF(N$8&gt;$G224,IF(OR(status1B5!O224=1,status1B5!O224=2,'BOULEVARD 5'!Q222&gt;0),"Pagado","impago"),""))</f>
        <v/>
      </c>
      <c r="O224" s="666" t="str">
        <f>IF(OR($A224="F&amp;F",$G224=""),"",IF(O$8&gt;$G224,IF(OR(status1B5!P224=1,status1B5!P224=2,'BOULEVARD 5'!R222&gt;0),"Pagado","impago"),""))</f>
        <v/>
      </c>
      <c r="P224" s="666" t="str">
        <f>IF(OR($A224="F&amp;F",$G224=""),"",IF(P$8&gt;$G224,IF(OR(status1B5!Q224=1,status1B5!Q224=2,'BOULEVARD 5'!S222&gt;0),"Pagado","impago"),""))</f>
        <v>Pagado</v>
      </c>
      <c r="Q224" s="666" t="str">
        <f>IF(OR($A224="F&amp;F",$G224=""),"",IF(Q$8&gt;$G224,IF(OR(status1B5!R224=1,status1B5!R224=2,'BOULEVARD 5'!T222&gt;0),"Pagado","impago"),""))</f>
        <v>Pagado</v>
      </c>
      <c r="R224" s="666" t="str">
        <f>IF(OR($A224="F&amp;F",$G224=""),"",IF(R$8&gt;$G224,IF(OR(status1B5!S224=1,status1B5!S224=2,'BOULEVARD 5'!U222&gt;0),"Pagado","impago"),""))</f>
        <v>Pagado</v>
      </c>
      <c r="S224" s="666" t="str">
        <f>IF(OR($A224="F&amp;F",$G224=""),"",IF(S$8&gt;$G224,IF(OR(status1B5!T224=1,status1B5!T224=2,'BOULEVARD 5'!V222&gt;0),"Pagado","impago"),""))</f>
        <v>Pagado</v>
      </c>
      <c r="T224" s="666" t="str">
        <f>IF(OR($A224="F&amp;F",$G224=""),"",IF(T$8&gt;$G224,IF(OR(status1B5!U224=1,status1B5!U224=2,'BOULEVARD 5'!W222&gt;0),"Pagado","impago"),""))</f>
        <v>Pagado</v>
      </c>
      <c r="U224" s="666" t="str">
        <f>IF(OR($A224="F&amp;F",$G224=""),"",IF(U$8&gt;$G224,IF(OR(status1B5!V224=1,status1B5!V224=2,'BOULEVARD 5'!X222&gt;0),"Pagado","impago"),""))</f>
        <v>Pagado</v>
      </c>
      <c r="V224" s="666" t="str">
        <f>IF(OR($A224="F&amp;F",$G224=""),"",IF(V$8&gt;$G224,IF(OR(status1B5!W224=1,status1B5!W224=2,'BOULEVARD 5'!Y222&gt;0),"Pagado","impago"),""))</f>
        <v>Pagado</v>
      </c>
      <c r="W224" s="666" t="str">
        <f>IF(OR($A224="F&amp;F",$G224=""),"",IF(W$8&gt;$G224,IF(OR(status1B5!X224=1,status1B5!X224=2,'BOULEVARD 5'!Z222&gt;0),"Pagado","impago"),""))</f>
        <v>Pagado</v>
      </c>
      <c r="X224" s="666" t="str">
        <f>IF(OR($A224="F&amp;F",$G224=""),"",IF(X$8&gt;$G224,IF(OR(status1B5!Y224=1,status1B5!Y224=2,'BOULEVARD 5'!AA222&gt;0),"Pagado","impago"),""))</f>
        <v>Pagado</v>
      </c>
      <c r="Y224" s="666" t="str">
        <f>IF(OR($A224="F&amp;F",$G224=""),"",IF(Y$8&gt;$G224,IF(OR(status1B5!Z224=1,status1B5!Z224=2,'BOULEVARD 5'!AB222&gt;0),"Pagado","impago"),""))</f>
        <v>Pagado</v>
      </c>
      <c r="Z224" s="666" t="str">
        <f>IF(OR($A224="F&amp;F",$G224=""),"",IF(Z$8&gt;$G224,IF(OR(status1B5!AA224=1,status1B5!AA224=2,'BOULEVARD 5'!AC222&gt;0),"Pagado","impago"),""))</f>
        <v>Pagado</v>
      </c>
      <c r="AA224" s="666" t="str">
        <f>IF(OR($A224="F&amp;F",$G224=""),"",IF(AA$8&gt;$G224,IF(OR(status1B5!AB224=1,status1B5!AB224=2,'BOULEVARD 5'!AD222&gt;0),"Pagado","impago"),""))</f>
        <v>Pagado</v>
      </c>
      <c r="AB224" s="666" t="str">
        <f>IF(OR($A224="F&amp;F",$G224=""),"",IF(AB$8&gt;$G224,IF(OR(status1B5!AC224=1,status1B5!AC224=2,'BOULEVARD 5'!AE222&gt;0),"Pagado","impago"),""))</f>
        <v>Pagado</v>
      </c>
      <c r="AC224" s="666" t="str">
        <f>IF(OR($A224="F&amp;F",$G224=""),"",IF(AC$8&gt;$G224,IF(OR(status1B5!AD224=1,status1B5!AD224=2,'BOULEVARD 5'!AF222&gt;0),"Pagado","impago"),""))</f>
        <v>Pagado</v>
      </c>
      <c r="AD224" s="666" t="str">
        <f>IF(OR($A224="F&amp;F",$G224=""),"",IF(AD$8&gt;$G224,IF(OR(status1B5!AE224=1,status1B5!AE224=2,'BOULEVARD 5'!AG222&gt;0),"Pagado","impago"),""))</f>
        <v>Pagado</v>
      </c>
      <c r="AE224" s="666" t="str">
        <f>IF(OR($A224="F&amp;F",$G224=""),"",IF(AE$8&gt;$G224,IF(OR(status1B5!AF224=1,status1B5!AF224=2,'BOULEVARD 5'!AH222&gt;0),"Pagado","impago"),""))</f>
        <v>Pagado</v>
      </c>
      <c r="AF224" s="666" t="str">
        <f>IF(OR($A224="F&amp;F",$G224=""),"",IF(AF$8&gt;$G224,IF(OR(status1B5!AG224=1,status1B5!AG224=2,'BOULEVARD 5'!AI222&gt;0),"Pagado","impago"),""))</f>
        <v>Pagado</v>
      </c>
      <c r="AG224" s="666" t="str">
        <f>IF(OR($A224="F&amp;F",$G224=""),"",IF(AG$8&gt;$G224,IF(OR(status1B5!AH224=1,status1B5!AH224=2,'BOULEVARD 5'!AJ222&gt;0),"Pagado","impago"),""))</f>
        <v>Pagado</v>
      </c>
      <c r="AH224" s="666" t="str">
        <f>IF(OR($A224="F&amp;F",$G224=""),"",IF(AH$8&gt;$G224,IF(OR(status1B5!AI224=1,status1B5!AI224=2,'BOULEVARD 5'!AK222&gt;0),"Pagado","impago"),""))</f>
        <v>Pagado</v>
      </c>
      <c r="AI224" s="666" t="str">
        <f>IF(OR($A224="F&amp;F",$G224=""),"",IF(AI$8&gt;$G224,IF(OR(status1B5!AJ224=1,status1B5!AJ224=2,'BOULEVARD 5'!AL222&gt;0),"Pagado","impago"),""))</f>
        <v>Pagado</v>
      </c>
      <c r="AJ224" s="666" t="str">
        <f>IF(OR($A224="F&amp;F",$G224=""),"",IF(AJ$8&gt;$G224,IF(OR(status1B5!AK224=1,status1B5!AK224=2,'BOULEVARD 5'!AM222&gt;0),"Pagado","impago"),""))</f>
        <v>Pagado</v>
      </c>
      <c r="AK224" s="666" t="str">
        <f>IF(OR($A224="F&amp;F",$G224=""),"",IF(AK$8&gt;$G224,IF(OR(status1B5!AL224=1,status1B5!AL224=2,'BOULEVARD 5'!AN222&gt;0),"Pagado","impago"),""))</f>
        <v>Pagado</v>
      </c>
      <c r="AL224" s="666" t="str">
        <f>IF(OR($A224="F&amp;F",$G224=""),"",IF(AL$8&gt;$G224,IF(OR(status1B5!AM224=1,status1B5!AM224=2,'BOULEVARD 5'!AO222&gt;0),"Pagado","impago"),""))</f>
        <v>Pagado</v>
      </c>
      <c r="AM224" s="666" t="str">
        <f>IF(OR($A224="F&amp;F",$G224=""),"",IF(AM$8&gt;$G224,IF(OR(status1B5!AN224=1,status1B5!AN224=2,'BOULEVARD 5'!AP222&gt;0),"Pagado","impago"),""))</f>
        <v>Pagado</v>
      </c>
      <c r="AN224" s="666" t="str">
        <f>IF(OR($A224="F&amp;F",$G224=""),"",IF(AN$8&gt;$G224,IF(OR(status1B5!AO224=1,status1B5!AO224=2,'BOULEVARD 5'!AQ222&gt;0),"Pagado","impago"),""))</f>
        <v>Pagado</v>
      </c>
      <c r="AO224" s="666" t="str">
        <f>IF(OR($A224="F&amp;F",$G224=""),"",IF(AO$8&gt;$G224,IF(OR(status1B5!AP224=1,status1B5!AP224=2,'BOULEVARD 5'!AS222&gt;0),"Pagado","impago"),""))</f>
        <v>Pagado</v>
      </c>
      <c r="AP224" s="429" t="str">
        <f t="shared" si="8"/>
        <v>Vendido</v>
      </c>
    </row>
    <row r="225" spans="1:42" s="429" customFormat="1" ht="13.9" customHeight="1" x14ac:dyDescent="0.25">
      <c r="A225" s="472"/>
      <c r="B225" s="436">
        <f>'BOULEVARD 5'!B223</f>
        <v>1212</v>
      </c>
      <c r="C225" s="436" t="s">
        <v>355</v>
      </c>
      <c r="D225" s="642"/>
      <c r="E225" s="436" t="str">
        <f>IF('BOULEVARD 5'!E223="","",'BOULEVARD 5'!E223)</f>
        <v>Brenda Búcaro</v>
      </c>
      <c r="F225" s="429" t="str">
        <f>IF('BOULEVARD 5'!F223="","",'BOULEVARD 5'!F223)</f>
        <v>Sergio Enrique Bolaños López</v>
      </c>
      <c r="G225" s="473">
        <f>IF('BOULEVARD 5'!G223="","",'BOULEVARD 5'!G223)</f>
        <v>45123</v>
      </c>
      <c r="H225" s="666" t="str">
        <f>IF(OR($A225="F&amp;F",$G225=""),"",IF(H$8&gt;$G225,IF(OR(status1B5!I225=1,status1B5!I225=2,'BOULEVARD 5'!K223&gt;0),"Pagado","impago"),""))</f>
        <v/>
      </c>
      <c r="I225" s="666" t="str">
        <f>IF(OR($A225="F&amp;F",$G225=""),"",IF(I$8&gt;$G225,IF(OR(status1B5!J225=1,status1B5!J225=2,'BOULEVARD 5'!L223&gt;0),"Pagado","impago"),""))</f>
        <v/>
      </c>
      <c r="J225" s="666" t="str">
        <f>IF(OR($A225="F&amp;F",$G225=""),"",IF(J$8&gt;$G225,IF(OR(status1B5!K225=1,status1B5!K225=2,'BOULEVARD 5'!M223&gt;0),"Pagado","impago"),""))</f>
        <v/>
      </c>
      <c r="K225" s="666" t="str">
        <f>IF(OR($A225="F&amp;F",$G225=""),"",IF(K$8&gt;$G225,IF(OR(status1B5!L225=1,status1B5!L225=2,'BOULEVARD 5'!N223&gt;0),"Pagado","impago"),""))</f>
        <v/>
      </c>
      <c r="L225" s="666" t="str">
        <f>IF(OR($A225="F&amp;F",$G225=""),"",IF(L$8&gt;$G225,IF(OR(status1B5!M225=1,status1B5!M225=2,'BOULEVARD 5'!O223&gt;0),"Pagado","impago"),""))</f>
        <v>Pagado</v>
      </c>
      <c r="M225" s="666" t="str">
        <f>IF(OR($A225="F&amp;F",$G225=""),"",IF(M$8&gt;$G225,IF(OR(status1B5!N225=1,status1B5!N225=2,'BOULEVARD 5'!P223&gt;0),"Pagado","impago"),""))</f>
        <v>Pagado</v>
      </c>
      <c r="N225" s="666" t="str">
        <f>IF(OR($A225="F&amp;F",$G225=""),"",IF(N$8&gt;$G225,IF(OR(status1B5!O225=1,status1B5!O225=2,'BOULEVARD 5'!Q223&gt;0),"Pagado","impago"),""))</f>
        <v>Pagado</v>
      </c>
      <c r="O225" s="666" t="str">
        <f>IF(OR($A225="F&amp;F",$G225=""),"",IF(O$8&gt;$G225,IF(OR(status1B5!P225=1,status1B5!P225=2,'BOULEVARD 5'!R223&gt;0),"Pagado","impago"),""))</f>
        <v>Pagado</v>
      </c>
      <c r="P225" s="666" t="str">
        <f>IF(OR($A225="F&amp;F",$G225=""),"",IF(P$8&gt;$G225,IF(OR(status1B5!Q225=1,status1B5!Q225=2,'BOULEVARD 5'!S223&gt;0),"Pagado","impago"),""))</f>
        <v>Pagado</v>
      </c>
      <c r="Q225" s="666" t="str">
        <f>IF(OR($A225="F&amp;F",$G225=""),"",IF(Q$8&gt;$G225,IF(OR(status1B5!R225=1,status1B5!R225=2,'BOULEVARD 5'!T223&gt;0),"Pagado","impago"),""))</f>
        <v>Pagado</v>
      </c>
      <c r="R225" s="666" t="str">
        <f>IF(OR($A225="F&amp;F",$G225=""),"",IF(R$8&gt;$G225,IF(OR(status1B5!S225=1,status1B5!S225=2,'BOULEVARD 5'!U223&gt;0),"Pagado","impago"),""))</f>
        <v>Pagado</v>
      </c>
      <c r="S225" s="666" t="str">
        <f>IF(OR($A225="F&amp;F",$G225=""),"",IF(S$8&gt;$G225,IF(OR(status1B5!T225=1,status1B5!T225=2,'BOULEVARD 5'!V223&gt;0),"Pagado","impago"),""))</f>
        <v>Pagado</v>
      </c>
      <c r="T225" s="666" t="str">
        <f>IF(OR($A225="F&amp;F",$G225=""),"",IF(T$8&gt;$G225,IF(OR(status1B5!U225=1,status1B5!U225=2,'BOULEVARD 5'!W223&gt;0),"Pagado","impago"),""))</f>
        <v>Pagado</v>
      </c>
      <c r="U225" s="666" t="str">
        <f>IF(OR($A225="F&amp;F",$G225=""),"",IF(U$8&gt;$G225,IF(OR(status1B5!V225=1,status1B5!V225=2,'BOULEVARD 5'!X223&gt;0),"Pagado","impago"),""))</f>
        <v>Pagado</v>
      </c>
      <c r="V225" s="666" t="str">
        <f>IF(OR($A225="F&amp;F",$G225=""),"",IF(V$8&gt;$G225,IF(OR(status1B5!W225=1,status1B5!W225=2,'BOULEVARD 5'!Y223&gt;0),"Pagado","impago"),""))</f>
        <v>Pagado</v>
      </c>
      <c r="W225" s="666" t="str">
        <f>IF(OR($A225="F&amp;F",$G225=""),"",IF(W$8&gt;$G225,IF(OR(status1B5!X225=1,status1B5!X225=2,'BOULEVARD 5'!Z223&gt;0),"Pagado","impago"),""))</f>
        <v>Pagado</v>
      </c>
      <c r="X225" s="666" t="str">
        <f>IF(OR($A225="F&amp;F",$G225=""),"",IF(X$8&gt;$G225,IF(OR(status1B5!Y225=1,status1B5!Y225=2,'BOULEVARD 5'!AA223&gt;0),"Pagado","impago"),""))</f>
        <v>Pagado</v>
      </c>
      <c r="Y225" s="666" t="str">
        <f>IF(OR($A225="F&amp;F",$G225=""),"",IF(Y$8&gt;$G225,IF(OR(status1B5!Z225=1,status1B5!Z225=2,'BOULEVARD 5'!AB223&gt;0),"Pagado","impago"),""))</f>
        <v>Pagado</v>
      </c>
      <c r="Z225" s="666" t="str">
        <f>IF(OR($A225="F&amp;F",$G225=""),"",IF(Z$8&gt;$G225,IF(OR(status1B5!AA225=1,status1B5!AA225=2,'BOULEVARD 5'!AC223&gt;0),"Pagado","impago"),""))</f>
        <v>Pagado</v>
      </c>
      <c r="AA225" s="666" t="str">
        <f>IF(OR($A225="F&amp;F",$G225=""),"",IF(AA$8&gt;$G225,IF(OR(status1B5!AB225=1,status1B5!AB225=2,'BOULEVARD 5'!AD223&gt;0),"Pagado","impago"),""))</f>
        <v>Pagado</v>
      </c>
      <c r="AB225" s="666" t="str">
        <f>IF(OR($A225="F&amp;F",$G225=""),"",IF(AB$8&gt;$G225,IF(OR(status1B5!AC225=1,status1B5!AC225=2,'BOULEVARD 5'!AE223&gt;0),"Pagado","impago"),""))</f>
        <v>Pagado</v>
      </c>
      <c r="AC225" s="666" t="str">
        <f>IF(OR($A225="F&amp;F",$G225=""),"",IF(AC$8&gt;$G225,IF(OR(status1B5!AD225=1,status1B5!AD225=2,'BOULEVARD 5'!AF223&gt;0),"Pagado","impago"),""))</f>
        <v>Pagado</v>
      </c>
      <c r="AD225" s="666" t="str">
        <f>IF(OR($A225="F&amp;F",$G225=""),"",IF(AD$8&gt;$G225,IF(OR(status1B5!AE225=1,status1B5!AE225=2,'BOULEVARD 5'!AG223&gt;0),"Pagado","impago"),""))</f>
        <v>Pagado</v>
      </c>
      <c r="AE225" s="666" t="str">
        <f>IF(OR($A225="F&amp;F",$G225=""),"",IF(AE$8&gt;$G225,IF(OR(status1B5!AF225=1,status1B5!AF225=2,'BOULEVARD 5'!AH223&gt;0),"Pagado","impago"),""))</f>
        <v>Pagado</v>
      </c>
      <c r="AF225" s="666" t="str">
        <f>IF(OR($A225="F&amp;F",$G225=""),"",IF(AF$8&gt;$G225,IF(OR(status1B5!AG225=1,status1B5!AG225=2,'BOULEVARD 5'!AI223&gt;0),"Pagado","impago"),""))</f>
        <v>Pagado</v>
      </c>
      <c r="AG225" s="666" t="str">
        <f>IF(OR($A225="F&amp;F",$G225=""),"",IF(AG$8&gt;$G225,IF(OR(status1B5!AH225=1,status1B5!AH225=2,'BOULEVARD 5'!AJ223&gt;0),"Pagado","impago"),""))</f>
        <v>Pagado</v>
      </c>
      <c r="AH225" s="666" t="str">
        <f>IF(OR($A225="F&amp;F",$G225=""),"",IF(AH$8&gt;$G225,IF(OR(status1B5!AI225=1,status1B5!AI225=2,'BOULEVARD 5'!AK223&gt;0),"Pagado","impago"),""))</f>
        <v>Pagado</v>
      </c>
      <c r="AI225" s="666" t="str">
        <f>IF(OR($A225="F&amp;F",$G225=""),"",IF(AI$8&gt;$G225,IF(OR(status1B5!AJ225=1,status1B5!AJ225=2,'BOULEVARD 5'!AL223&gt;0),"Pagado","impago"),""))</f>
        <v>Pagado</v>
      </c>
      <c r="AJ225" s="666" t="str">
        <f>IF(OR($A225="F&amp;F",$G225=""),"",IF(AJ$8&gt;$G225,IF(OR(status1B5!AK225=1,status1B5!AK225=2,'BOULEVARD 5'!AM223&gt;0),"Pagado","impago"),""))</f>
        <v>Pagado</v>
      </c>
      <c r="AK225" s="666" t="str">
        <f>IF(OR($A225="F&amp;F",$G225=""),"",IF(AK$8&gt;$G225,IF(OR(status1B5!AL225=1,status1B5!AL225=2,'BOULEVARD 5'!AN223&gt;0),"Pagado","impago"),""))</f>
        <v>Pagado</v>
      </c>
      <c r="AL225" s="666" t="str">
        <f>IF(OR($A225="F&amp;F",$G225=""),"",IF(AL$8&gt;$G225,IF(OR(status1B5!AM225=1,status1B5!AM225=2,'BOULEVARD 5'!AO223&gt;0),"Pagado","impago"),""))</f>
        <v>Pagado</v>
      </c>
      <c r="AM225" s="666" t="str">
        <f>IF(OR($A225="F&amp;F",$G225=""),"",IF(AM$8&gt;$G225,IF(OR(status1B5!AN225=1,status1B5!AN225=2,'BOULEVARD 5'!AP223&gt;0),"Pagado","impago"),""))</f>
        <v>Pagado</v>
      </c>
      <c r="AN225" s="666" t="str">
        <f>IF(OR($A225="F&amp;F",$G225=""),"",IF(AN$8&gt;$G225,IF(OR(status1B5!AO225=1,status1B5!AO225=2,'BOULEVARD 5'!AQ223&gt;0),"Pagado","impago"),""))</f>
        <v>Pagado</v>
      </c>
      <c r="AO225" s="666" t="str">
        <f>IF(OR($A225="F&amp;F",$G225=""),"",IF(AO$8&gt;$G225,IF(OR(status1B5!AP225=1,status1B5!AP225=2,'BOULEVARD 5'!AS223&gt;0),"Pagado","impago"),""))</f>
        <v>Pagado</v>
      </c>
      <c r="AP225" s="429" t="str">
        <f t="shared" si="8"/>
        <v>Vendido</v>
      </c>
    </row>
    <row r="226" spans="1:42" s="429" customFormat="1" ht="13.9" customHeight="1" x14ac:dyDescent="0.25">
      <c r="A226" s="472"/>
      <c r="B226" s="436">
        <f>'BOULEVARD 5'!B224</f>
        <v>1213</v>
      </c>
      <c r="C226" s="436" t="s">
        <v>355</v>
      </c>
      <c r="D226" s="436"/>
      <c r="E226" s="436" t="str">
        <f>IF('BOULEVARD 5'!E224="","",'BOULEVARD 5'!E224)</f>
        <v>Jose Franco</v>
      </c>
      <c r="F226" s="429" t="str">
        <f>IF('BOULEVARD 5'!F224="","",'BOULEVARD 5'!F224)</f>
        <v>Marcas &amp; Secretos, S.A.</v>
      </c>
      <c r="G226" s="473">
        <f>IF('BOULEVARD 5'!G224="","",'BOULEVARD 5'!G224)</f>
        <v>45021</v>
      </c>
      <c r="H226" s="666" t="str">
        <f>IF(OR($A226="F&amp;F",$G226=""),"",IF(H$8&gt;$G226,IF(OR(status1B5!I226=1,status1B5!I226=2,'BOULEVARD 5'!K224&gt;0),"Pagado","impago"),""))</f>
        <v/>
      </c>
      <c r="I226" s="666" t="str">
        <f>IF(OR($A226="F&amp;F",$G226=""),"",IF(I$8&gt;$G226,IF(OR(status1B5!J226=1,status1B5!J226=2,'BOULEVARD 5'!L224&gt;0),"Pagado","impago"),""))</f>
        <v>Pagado</v>
      </c>
      <c r="J226" s="666" t="str">
        <f>IF(OR($A226="F&amp;F",$G226=""),"",IF(J$8&gt;$G226,IF(OR(status1B5!K226=1,status1B5!K226=2,'BOULEVARD 5'!M224&gt;0),"Pagado","impago"),""))</f>
        <v>Pagado</v>
      </c>
      <c r="K226" s="666" t="str">
        <f>IF(OR($A226="F&amp;F",$G226=""),"",IF(K$8&gt;$G226,IF(OR(status1B5!L226=1,status1B5!L226=2,'BOULEVARD 5'!N224&gt;0),"Pagado","impago"),""))</f>
        <v>Pagado</v>
      </c>
      <c r="L226" s="666" t="str">
        <f>IF(OR($A226="F&amp;F",$G226=""),"",IF(L$8&gt;$G226,IF(OR(status1B5!M226=1,status1B5!M226=2,'BOULEVARD 5'!O224&gt;0),"Pagado","impago"),""))</f>
        <v>Pagado</v>
      </c>
      <c r="M226" s="666" t="str">
        <f>IF(OR($A226="F&amp;F",$G226=""),"",IF(M$8&gt;$G226,IF(OR(status1B5!N226=1,status1B5!N226=2,'BOULEVARD 5'!P224&gt;0),"Pagado","impago"),""))</f>
        <v>Pagado</v>
      </c>
      <c r="N226" s="666" t="str">
        <f>IF(OR($A226="F&amp;F",$G226=""),"",IF(N$8&gt;$G226,IF(OR(status1B5!O226=1,status1B5!O226=2,'BOULEVARD 5'!Q224&gt;0),"Pagado","impago"),""))</f>
        <v>Pagado</v>
      </c>
      <c r="O226" s="666" t="str">
        <f>IF(OR($A226="F&amp;F",$G226=""),"",IF(O$8&gt;$G226,IF(OR(status1B5!P226=1,status1B5!P226=2,'BOULEVARD 5'!R224&gt;0),"Pagado","impago"),""))</f>
        <v>Pagado</v>
      </c>
      <c r="P226" s="666" t="str">
        <f>IF(OR($A226="F&amp;F",$G226=""),"",IF(P$8&gt;$G226,IF(OR(status1B5!Q226=1,status1B5!Q226=2,'BOULEVARD 5'!S224&gt;0),"Pagado","impago"),""))</f>
        <v>Pagado</v>
      </c>
      <c r="Q226" s="666" t="str">
        <f>IF(OR($A226="F&amp;F",$G226=""),"",IF(Q$8&gt;$G226,IF(OR(status1B5!R226=1,status1B5!R226=2,'BOULEVARD 5'!T224&gt;0),"Pagado","impago"),""))</f>
        <v>Pagado</v>
      </c>
      <c r="R226" s="666" t="str">
        <f>IF(OR($A226="F&amp;F",$G226=""),"",IF(R$8&gt;$G226,IF(OR(status1B5!S226=1,status1B5!S226=2,'BOULEVARD 5'!U224&gt;0),"Pagado","impago"),""))</f>
        <v>Pagado</v>
      </c>
      <c r="S226" s="666" t="str">
        <f>IF(OR($A226="F&amp;F",$G226=""),"",IF(S$8&gt;$G226,IF(OR(status1B5!T226=1,status1B5!T226=2,'BOULEVARD 5'!V224&gt;0),"Pagado","impago"),""))</f>
        <v>Pagado</v>
      </c>
      <c r="T226" s="666" t="str">
        <f>IF(OR($A226="F&amp;F",$G226=""),"",IF(T$8&gt;$G226,IF(OR(status1B5!U226=1,status1B5!U226=2,'BOULEVARD 5'!W224&gt;0),"Pagado","impago"),""))</f>
        <v>Pagado</v>
      </c>
      <c r="U226" s="666" t="str">
        <f>IF(OR($A226="F&amp;F",$G226=""),"",IF(U$8&gt;$G226,IF(OR(status1B5!V226=1,status1B5!V226=2,'BOULEVARD 5'!X224&gt;0),"Pagado","impago"),""))</f>
        <v>Pagado</v>
      </c>
      <c r="V226" s="666" t="str">
        <f>IF(OR($A226="F&amp;F",$G226=""),"",IF(V$8&gt;$G226,IF(OR(status1B5!W226=1,status1B5!W226=2,'BOULEVARD 5'!Y224&gt;0),"Pagado","impago"),""))</f>
        <v>Pagado</v>
      </c>
      <c r="W226" s="666" t="str">
        <f>IF(OR($A226="F&amp;F",$G226=""),"",IF(W$8&gt;$G226,IF(OR(status1B5!X226=1,status1B5!X226=2,'BOULEVARD 5'!Z224&gt;0),"Pagado","impago"),""))</f>
        <v>Pagado</v>
      </c>
      <c r="X226" s="666" t="str">
        <f>IF(OR($A226="F&amp;F",$G226=""),"",IF(X$8&gt;$G226,IF(OR(status1B5!Y226=1,status1B5!Y226=2,'BOULEVARD 5'!AA224&gt;0),"Pagado","impago"),""))</f>
        <v>Pagado</v>
      </c>
      <c r="Y226" s="666" t="str">
        <f>IF(OR($A226="F&amp;F",$G226=""),"",IF(Y$8&gt;$G226,IF(OR(status1B5!Z226=1,status1B5!Z226=2,'BOULEVARD 5'!AB224&gt;0),"Pagado","impago"),""))</f>
        <v>Pagado</v>
      </c>
      <c r="Z226" s="666" t="str">
        <f>IF(OR($A226="F&amp;F",$G226=""),"",IF(Z$8&gt;$G226,IF(OR(status1B5!AA226=1,status1B5!AA226=2,'BOULEVARD 5'!AC224&gt;0),"Pagado","impago"),""))</f>
        <v>Pagado</v>
      </c>
      <c r="AA226" s="666" t="str">
        <f>IF(OR($A226="F&amp;F",$G226=""),"",IF(AA$8&gt;$G226,IF(OR(status1B5!AB226=1,status1B5!AB226=2,'BOULEVARD 5'!AD224&gt;0),"Pagado","impago"),""))</f>
        <v>Pagado</v>
      </c>
      <c r="AB226" s="666" t="str">
        <f>IF(OR($A226="F&amp;F",$G226=""),"",IF(AB$8&gt;$G226,IF(OR(status1B5!AC226=1,status1B5!AC226=2,'BOULEVARD 5'!AE224&gt;0),"Pagado","impago"),""))</f>
        <v>Pagado</v>
      </c>
      <c r="AC226" s="666" t="str">
        <f>IF(OR($A226="F&amp;F",$G226=""),"",IF(AC$8&gt;$G226,IF(OR(status1B5!AD226=1,status1B5!AD226=2,'BOULEVARD 5'!AF224&gt;0),"Pagado","impago"),""))</f>
        <v>Pagado</v>
      </c>
      <c r="AD226" s="666" t="str">
        <f>IF(OR($A226="F&amp;F",$G226=""),"",IF(AD$8&gt;$G226,IF(OR(status1B5!AE226=1,status1B5!AE226=2,'BOULEVARD 5'!AG224&gt;0),"Pagado","impago"),""))</f>
        <v>Pagado</v>
      </c>
      <c r="AE226" s="666" t="str">
        <f>IF(OR($A226="F&amp;F",$G226=""),"",IF(AE$8&gt;$G226,IF(OR(status1B5!AF226=1,status1B5!AF226=2,'BOULEVARD 5'!AH224&gt;0),"Pagado","impago"),""))</f>
        <v>Pagado</v>
      </c>
      <c r="AF226" s="666" t="str">
        <f>IF(OR($A226="F&amp;F",$G226=""),"",IF(AF$8&gt;$G226,IF(OR(status1B5!AG226=1,status1B5!AG226=2,'BOULEVARD 5'!AI224&gt;0),"Pagado","impago"),""))</f>
        <v>Pagado</v>
      </c>
      <c r="AG226" s="666" t="str">
        <f>IF(OR($A226="F&amp;F",$G226=""),"",IF(AG$8&gt;$G226,IF(OR(status1B5!AH226=1,status1B5!AH226=2,'BOULEVARD 5'!AJ224&gt;0),"Pagado","impago"),""))</f>
        <v>Pagado</v>
      </c>
      <c r="AH226" s="666" t="str">
        <f>IF(OR($A226="F&amp;F",$G226=""),"",IF(AH$8&gt;$G226,IF(OR(status1B5!AI226=1,status1B5!AI226=2,'BOULEVARD 5'!AK224&gt;0),"Pagado","impago"),""))</f>
        <v>Pagado</v>
      </c>
      <c r="AI226" s="666" t="str">
        <f>IF(OR($A226="F&amp;F",$G226=""),"",IF(AI$8&gt;$G226,IF(OR(status1B5!AJ226=1,status1B5!AJ226=2,'BOULEVARD 5'!AL224&gt;0),"Pagado","impago"),""))</f>
        <v>Pagado</v>
      </c>
      <c r="AJ226" s="666" t="str">
        <f>IF(OR($A226="F&amp;F",$G226=""),"",IF(AJ$8&gt;$G226,IF(OR(status1B5!AK226=1,status1B5!AK226=2,'BOULEVARD 5'!AM224&gt;0),"Pagado","impago"),""))</f>
        <v>Pagado</v>
      </c>
      <c r="AK226" s="666" t="str">
        <f>IF(OR($A226="F&amp;F",$G226=""),"",IF(AK$8&gt;$G226,IF(OR(status1B5!AL226=1,status1B5!AL226=2,'BOULEVARD 5'!AN224&gt;0),"Pagado","impago"),""))</f>
        <v>Pagado</v>
      </c>
      <c r="AL226" s="666" t="str">
        <f>IF(OR($A226="F&amp;F",$G226=""),"",IF(AL$8&gt;$G226,IF(OR(status1B5!AM226=1,status1B5!AM226=2,'BOULEVARD 5'!AO224&gt;0),"Pagado","impago"),""))</f>
        <v>Pagado</v>
      </c>
      <c r="AM226" s="666" t="str">
        <f>IF(OR($A226="F&amp;F",$G226=""),"",IF(AM$8&gt;$G226,IF(OR(status1B5!AN226=1,status1B5!AN226=2,'BOULEVARD 5'!AP224&gt;0),"Pagado","impago"),""))</f>
        <v>Pagado</v>
      </c>
      <c r="AN226" s="666" t="str">
        <f>IF(OR($A226="F&amp;F",$G226=""),"",IF(AN$8&gt;$G226,IF(OR(status1B5!AO226=1,status1B5!AO226=2,'BOULEVARD 5'!AQ224&gt;0),"Pagado","impago"),""))</f>
        <v>Pagado</v>
      </c>
      <c r="AO226" s="666" t="str">
        <f>IF(OR($A226="F&amp;F",$G226=""),"",IF(AO$8&gt;$G226,IF(OR(status1B5!AP226=1,status1B5!AP226=2,'BOULEVARD 5'!AS224&gt;0),"Pagado","impago"),""))</f>
        <v>Pagado</v>
      </c>
      <c r="AP226" s="429" t="str">
        <f t="shared" si="8"/>
        <v>Vendido</v>
      </c>
    </row>
    <row r="227" spans="1:42" s="429" customFormat="1" ht="13.9" customHeight="1" x14ac:dyDescent="0.25">
      <c r="A227" s="472"/>
      <c r="B227" s="436">
        <f>'BOULEVARD 5'!B225</f>
        <v>1214</v>
      </c>
      <c r="C227" s="436" t="s">
        <v>355</v>
      </c>
      <c r="D227" s="436"/>
      <c r="E227" s="436" t="str">
        <f>IF('BOULEVARD 5'!E225="","",'BOULEVARD 5'!E225)</f>
        <v>Jose Franco</v>
      </c>
      <c r="F227" s="429" t="str">
        <f>IF('BOULEVARD 5'!F225="","",'BOULEVARD 5'!F225)</f>
        <v>Manuel Armando Fletes Ordoñez</v>
      </c>
      <c r="G227" s="473">
        <f>IF('BOULEVARD 5'!G225="","",'BOULEVARD 5'!G225)</f>
        <v>45082</v>
      </c>
      <c r="H227" s="666" t="str">
        <f>IF(OR($A227="F&amp;F",$G227=""),"",IF(H$8&gt;$G227,IF(OR(status1B5!I227=1,status1B5!I227=2,'BOULEVARD 5'!K225&gt;0),"Pagado","impago"),""))</f>
        <v/>
      </c>
      <c r="I227" s="666" t="str">
        <f>IF(OR($A227="F&amp;F",$G227=""),"",IF(I$8&gt;$G227,IF(OR(status1B5!J227=1,status1B5!J227=2,'BOULEVARD 5'!L225&gt;0),"Pagado","impago"),""))</f>
        <v/>
      </c>
      <c r="J227" s="666" t="str">
        <f>IF(OR($A227="F&amp;F",$G227=""),"",IF(J$8&gt;$G227,IF(OR(status1B5!K227=1,status1B5!K227=2,'BOULEVARD 5'!M225&gt;0),"Pagado","impago"),""))</f>
        <v/>
      </c>
      <c r="K227" s="666" t="str">
        <f>IF(OR($A227="F&amp;F",$G227=""),"",IF(K$8&gt;$G227,IF(OR(status1B5!L227=1,status1B5!L227=2,'BOULEVARD 5'!N225&gt;0),"Pagado","impago"),""))</f>
        <v>Pagado</v>
      </c>
      <c r="L227" s="666" t="str">
        <f>IF(OR($A227="F&amp;F",$G227=""),"",IF(L$8&gt;$G227,IF(OR(status1B5!M227=1,status1B5!M227=2,'BOULEVARD 5'!O225&gt;0),"Pagado","impago"),""))</f>
        <v>Pagado</v>
      </c>
      <c r="M227" s="666" t="str">
        <f>IF(OR($A227="F&amp;F",$G227=""),"",IF(M$8&gt;$G227,IF(OR(status1B5!N227=1,status1B5!N227=2,'BOULEVARD 5'!P225&gt;0),"Pagado","impago"),""))</f>
        <v>Pagado</v>
      </c>
      <c r="N227" s="666" t="str">
        <f>IF(OR($A227="F&amp;F",$G227=""),"",IF(N$8&gt;$G227,IF(OR(status1B5!O227=1,status1B5!O227=2,'BOULEVARD 5'!Q225&gt;0),"Pagado","impago"),""))</f>
        <v>Pagado</v>
      </c>
      <c r="O227" s="666" t="str">
        <f>IF(OR($A227="F&amp;F",$G227=""),"",IF(O$8&gt;$G227,IF(OR(status1B5!P227=1,status1B5!P227=2,'BOULEVARD 5'!R225&gt;0),"Pagado","impago"),""))</f>
        <v>Pagado</v>
      </c>
      <c r="P227" s="666" t="str">
        <f>IF(OR($A227="F&amp;F",$G227=""),"",IF(P$8&gt;$G227,IF(OR(status1B5!Q227=1,status1B5!Q227=2,'BOULEVARD 5'!S225&gt;0),"Pagado","impago"),""))</f>
        <v>Pagado</v>
      </c>
      <c r="Q227" s="666" t="str">
        <f>IF(OR($A227="F&amp;F",$G227=""),"",IF(Q$8&gt;$G227,IF(OR(status1B5!R227=1,status1B5!R227=2,'BOULEVARD 5'!T225&gt;0),"Pagado","impago"),""))</f>
        <v>Pagado</v>
      </c>
      <c r="R227" s="666" t="str">
        <f>IF(OR($A227="F&amp;F",$G227=""),"",IF(R$8&gt;$G227,IF(OR(status1B5!S227=1,status1B5!S227=2,'BOULEVARD 5'!U225&gt;0),"Pagado","impago"),""))</f>
        <v>Pagado</v>
      </c>
      <c r="S227" s="666" t="str">
        <f>IF(OR($A227="F&amp;F",$G227=""),"",IF(S$8&gt;$G227,IF(OR(status1B5!T227=1,status1B5!T227=2,'BOULEVARD 5'!V225&gt;0),"Pagado","impago"),""))</f>
        <v>Pagado</v>
      </c>
      <c r="T227" s="666" t="str">
        <f>IF(OR($A227="F&amp;F",$G227=""),"",IF(T$8&gt;$G227,IF(OR(status1B5!U227=1,status1B5!U227=2,'BOULEVARD 5'!W225&gt;0),"Pagado","impago"),""))</f>
        <v>Pagado</v>
      </c>
      <c r="U227" s="666" t="str">
        <f>IF(OR($A227="F&amp;F",$G227=""),"",IF(U$8&gt;$G227,IF(OR(status1B5!V227=1,status1B5!V227=2,'BOULEVARD 5'!X225&gt;0),"Pagado","impago"),""))</f>
        <v>Pagado</v>
      </c>
      <c r="V227" s="666" t="str">
        <f>IF(OR($A227="F&amp;F",$G227=""),"",IF(V$8&gt;$G227,IF(OR(status1B5!W227=1,status1B5!W227=2,'BOULEVARD 5'!Y225&gt;0),"Pagado","impago"),""))</f>
        <v>Pagado</v>
      </c>
      <c r="W227" s="666" t="str">
        <f>IF(OR($A227="F&amp;F",$G227=""),"",IF(W$8&gt;$G227,IF(OR(status1B5!X227=1,status1B5!X227=2,'BOULEVARD 5'!Z225&gt;0),"Pagado","impago"),""))</f>
        <v>Pagado</v>
      </c>
      <c r="X227" s="666" t="str">
        <f>IF(OR($A227="F&amp;F",$G227=""),"",IF(X$8&gt;$G227,IF(OR(status1B5!Y227=1,status1B5!Y227=2,'BOULEVARD 5'!AA225&gt;0),"Pagado","impago"),""))</f>
        <v>Pagado</v>
      </c>
      <c r="Y227" s="666" t="str">
        <f>IF(OR($A227="F&amp;F",$G227=""),"",IF(Y$8&gt;$G227,IF(OR(status1B5!Z227=1,status1B5!Z227=2,'BOULEVARD 5'!AB225&gt;0),"Pagado","impago"),""))</f>
        <v>Pagado</v>
      </c>
      <c r="Z227" s="666" t="str">
        <f>IF(OR($A227="F&amp;F",$G227=""),"",IF(Z$8&gt;$G227,IF(OR(status1B5!AA227=1,status1B5!AA227=2,'BOULEVARD 5'!AC225&gt;0),"Pagado","impago"),""))</f>
        <v>Pagado</v>
      </c>
      <c r="AA227" s="666" t="str">
        <f>IF(OR($A227="F&amp;F",$G227=""),"",IF(AA$8&gt;$G227,IF(OR(status1B5!AB227=1,status1B5!AB227=2,'BOULEVARD 5'!AD225&gt;0),"Pagado","impago"),""))</f>
        <v>Pagado</v>
      </c>
      <c r="AB227" s="666" t="str">
        <f>IF(OR($A227="F&amp;F",$G227=""),"",IF(AB$8&gt;$G227,IF(OR(status1B5!AC227=1,status1B5!AC227=2,'BOULEVARD 5'!AE225&gt;0),"Pagado","impago"),""))</f>
        <v>Pagado</v>
      </c>
      <c r="AC227" s="666" t="str">
        <f>IF(OR($A227="F&amp;F",$G227=""),"",IF(AC$8&gt;$G227,IF(OR(status1B5!AD227=1,status1B5!AD227=2,'BOULEVARD 5'!AF225&gt;0),"Pagado","impago"),""))</f>
        <v>Pagado</v>
      </c>
      <c r="AD227" s="666" t="str">
        <f>IF(OR($A227="F&amp;F",$G227=""),"",IF(AD$8&gt;$G227,IF(OR(status1B5!AE227=1,status1B5!AE227=2,'BOULEVARD 5'!AG225&gt;0),"Pagado","impago"),""))</f>
        <v>Pagado</v>
      </c>
      <c r="AE227" s="666" t="str">
        <f>IF(OR($A227="F&amp;F",$G227=""),"",IF(AE$8&gt;$G227,IF(OR(status1B5!AF227=1,status1B5!AF227=2,'BOULEVARD 5'!AH225&gt;0),"Pagado","impago"),""))</f>
        <v>Pagado</v>
      </c>
      <c r="AF227" s="666" t="str">
        <f>IF(OR($A227="F&amp;F",$G227=""),"",IF(AF$8&gt;$G227,IF(OR(status1B5!AG227=1,status1B5!AG227=2,'BOULEVARD 5'!AI225&gt;0),"Pagado","impago"),""))</f>
        <v>Pagado</v>
      </c>
      <c r="AG227" s="666" t="str">
        <f>IF(OR($A227="F&amp;F",$G227=""),"",IF(AG$8&gt;$G227,IF(OR(status1B5!AH227=1,status1B5!AH227=2,'BOULEVARD 5'!AJ225&gt;0),"Pagado","impago"),""))</f>
        <v>Pagado</v>
      </c>
      <c r="AH227" s="666" t="str">
        <f>IF(OR($A227="F&amp;F",$G227=""),"",IF(AH$8&gt;$G227,IF(OR(status1B5!AI227=1,status1B5!AI227=2,'BOULEVARD 5'!AK225&gt;0),"Pagado","impago"),""))</f>
        <v>Pagado</v>
      </c>
      <c r="AI227" s="666" t="str">
        <f>IF(OR($A227="F&amp;F",$G227=""),"",IF(AI$8&gt;$G227,IF(OR(status1B5!AJ227=1,status1B5!AJ227=2,'BOULEVARD 5'!AL225&gt;0),"Pagado","impago"),""))</f>
        <v>Pagado</v>
      </c>
      <c r="AJ227" s="666" t="str">
        <f>IF(OR($A227="F&amp;F",$G227=""),"",IF(AJ$8&gt;$G227,IF(OR(status1B5!AK227=1,status1B5!AK227=2,'BOULEVARD 5'!AM225&gt;0),"Pagado","impago"),""))</f>
        <v>Pagado</v>
      </c>
      <c r="AK227" s="666" t="str">
        <f>IF(OR($A227="F&amp;F",$G227=""),"",IF(AK$8&gt;$G227,IF(OR(status1B5!AL227=1,status1B5!AL227=2,'BOULEVARD 5'!AN225&gt;0),"Pagado","impago"),""))</f>
        <v>Pagado</v>
      </c>
      <c r="AL227" s="666" t="str">
        <f>IF(OR($A227="F&amp;F",$G227=""),"",IF(AL$8&gt;$G227,IF(OR(status1B5!AM227=1,status1B5!AM227=2,'BOULEVARD 5'!AO225&gt;0),"Pagado","impago"),""))</f>
        <v>Pagado</v>
      </c>
      <c r="AM227" s="666" t="str">
        <f>IF(OR($A227="F&amp;F",$G227=""),"",IF(AM$8&gt;$G227,IF(OR(status1B5!AN227=1,status1B5!AN227=2,'BOULEVARD 5'!AP225&gt;0),"Pagado","impago"),""))</f>
        <v>Pagado</v>
      </c>
      <c r="AN227" s="666" t="str">
        <f>IF(OR($A227="F&amp;F",$G227=""),"",IF(AN$8&gt;$G227,IF(OR(status1B5!AO227=1,status1B5!AO227=2,'BOULEVARD 5'!AQ225&gt;0),"Pagado","impago"),""))</f>
        <v>Pagado</v>
      </c>
      <c r="AO227" s="666" t="str">
        <f>IF(OR($A227="F&amp;F",$G227=""),"",IF(AO$8&gt;$G227,IF(OR(status1B5!AP227=1,status1B5!AP227=2,'BOULEVARD 5'!AS225&gt;0),"Pagado","impago"),""))</f>
        <v>Pagado</v>
      </c>
      <c r="AP227" s="429" t="str">
        <f t="shared" si="8"/>
        <v>Vendido</v>
      </c>
    </row>
    <row r="228" spans="1:42" s="429" customFormat="1" ht="13.9" customHeight="1" x14ac:dyDescent="0.25">
      <c r="A228" s="472"/>
      <c r="B228" s="436">
        <f>'BOULEVARD 5'!B226</f>
        <v>1215</v>
      </c>
      <c r="C228" s="436" t="s">
        <v>355</v>
      </c>
      <c r="D228" s="436"/>
      <c r="E228" s="436" t="str">
        <f>IF('BOULEVARD 5'!E226="","",'BOULEVARD 5'!E226)</f>
        <v>Antonio Rada</v>
      </c>
      <c r="F228" s="429" t="str">
        <f>IF('BOULEVARD 5'!F226="","",'BOULEVARD 5'!F226)</f>
        <v xml:space="preserve"> Jose Javier Hernandez Juarez</v>
      </c>
      <c r="G228" s="473">
        <f>IF('BOULEVARD 5'!G226="","",'BOULEVARD 5'!G226)</f>
        <v>45027</v>
      </c>
      <c r="H228" s="666" t="str">
        <f>IF(OR($A228="F&amp;F",$G228=""),"",IF(H$8&gt;$G228,IF(OR(status1B5!I228=1,status1B5!I228=2,'BOULEVARD 5'!K226&gt;0),"Pagado","impago"),""))</f>
        <v/>
      </c>
      <c r="I228" s="666" t="str">
        <f>IF(OR($A228="F&amp;F",$G228=""),"",IF(I$8&gt;$G228,IF(OR(status1B5!J228=1,status1B5!J228=2,'BOULEVARD 5'!L226&gt;0),"Pagado","impago"),""))</f>
        <v>Pagado</v>
      </c>
      <c r="J228" s="666" t="str">
        <f>IF(OR($A228="F&amp;F",$G228=""),"",IF(J$8&gt;$G228,IF(OR(status1B5!K228=1,status1B5!K228=2,'BOULEVARD 5'!M226&gt;0),"Pagado","impago"),""))</f>
        <v>Pagado</v>
      </c>
      <c r="K228" s="666" t="str">
        <f>IF(OR($A228="F&amp;F",$G228=""),"",IF(K$8&gt;$G228,IF(OR(status1B5!L228=1,status1B5!L228=2,'BOULEVARD 5'!N226&gt;0),"Pagado","impago"),""))</f>
        <v>Pagado</v>
      </c>
      <c r="L228" s="666" t="str">
        <f>IF(OR($A228="F&amp;F",$G228=""),"",IF(L$8&gt;$G228,IF(OR(status1B5!M228=1,status1B5!M228=2,'BOULEVARD 5'!O226&gt;0),"Pagado","impago"),""))</f>
        <v>Pagado</v>
      </c>
      <c r="M228" s="666" t="str">
        <f>IF(OR($A228="F&amp;F",$G228=""),"",IF(M$8&gt;$G228,IF(OR(status1B5!N228=1,status1B5!N228=2,'BOULEVARD 5'!P226&gt;0),"Pagado","impago"),""))</f>
        <v>Pagado</v>
      </c>
      <c r="N228" s="666" t="str">
        <f>IF(OR($A228="F&amp;F",$G228=""),"",IF(N$8&gt;$G228,IF(OR(status1B5!O228=1,status1B5!O228=2,'BOULEVARD 5'!Q226&gt;0),"Pagado","impago"),""))</f>
        <v>Pagado</v>
      </c>
      <c r="O228" s="666" t="str">
        <f>IF(OR($A228="F&amp;F",$G228=""),"",IF(O$8&gt;$G228,IF(OR(status1B5!P228=1,status1B5!P228=2,'BOULEVARD 5'!R226&gt;0),"Pagado","impago"),""))</f>
        <v>Pagado</v>
      </c>
      <c r="P228" s="666" t="str">
        <f>IF(OR($A228="F&amp;F",$G228=""),"",IF(P$8&gt;$G228,IF(OR(status1B5!Q228=1,status1B5!Q228=2,'BOULEVARD 5'!S226&gt;0),"Pagado","impago"),""))</f>
        <v>Pagado</v>
      </c>
      <c r="Q228" s="666" t="str">
        <f>IF(OR($A228="F&amp;F",$G228=""),"",IF(Q$8&gt;$G228,IF(OR(status1B5!R228=1,status1B5!R228=2,'BOULEVARD 5'!T226&gt;0),"Pagado","impago"),""))</f>
        <v>Pagado</v>
      </c>
      <c r="R228" s="666" t="str">
        <f>IF(OR($A228="F&amp;F",$G228=""),"",IF(R$8&gt;$G228,IF(OR(status1B5!S228=1,status1B5!S228=2,'BOULEVARD 5'!U226&gt;0),"Pagado","impago"),""))</f>
        <v>Pagado</v>
      </c>
      <c r="S228" s="666" t="str">
        <f>IF(OR($A228="F&amp;F",$G228=""),"",IF(S$8&gt;$G228,IF(OR(status1B5!T228=1,status1B5!T228=2,'BOULEVARD 5'!V226&gt;0),"Pagado","impago"),""))</f>
        <v>Pagado</v>
      </c>
      <c r="T228" s="666" t="str">
        <f>IF(OR($A228="F&amp;F",$G228=""),"",IF(T$8&gt;$G228,IF(OR(status1B5!U228=1,status1B5!U228=2,'BOULEVARD 5'!W226&gt;0),"Pagado","impago"),""))</f>
        <v>Pagado</v>
      </c>
      <c r="U228" s="666" t="str">
        <f>IF(OR($A228="F&amp;F",$G228=""),"",IF(U$8&gt;$G228,IF(OR(status1B5!V228=1,status1B5!V228=2,'BOULEVARD 5'!X226&gt;0),"Pagado","impago"),""))</f>
        <v>Pagado</v>
      </c>
      <c r="V228" s="666" t="str">
        <f>IF(OR($A228="F&amp;F",$G228=""),"",IF(V$8&gt;$G228,IF(OR(status1B5!W228=1,status1B5!W228=2,'BOULEVARD 5'!Y226&gt;0),"Pagado","impago"),""))</f>
        <v>Pagado</v>
      </c>
      <c r="W228" s="666" t="str">
        <f>IF(OR($A228="F&amp;F",$G228=""),"",IF(W$8&gt;$G228,IF(OR(status1B5!X228=1,status1B5!X228=2,'BOULEVARD 5'!Z226&gt;0),"Pagado","impago"),""))</f>
        <v>Pagado</v>
      </c>
      <c r="X228" s="666" t="str">
        <f>IF(OR($A228="F&amp;F",$G228=""),"",IF(X$8&gt;$G228,IF(OR(status1B5!Y228=1,status1B5!Y228=2,'BOULEVARD 5'!AA226&gt;0),"Pagado","impago"),""))</f>
        <v>Pagado</v>
      </c>
      <c r="Y228" s="666" t="str">
        <f>IF(OR($A228="F&amp;F",$G228=""),"",IF(Y$8&gt;$G228,IF(OR(status1B5!Z228=1,status1B5!Z228=2,'BOULEVARD 5'!AB226&gt;0),"Pagado","impago"),""))</f>
        <v>Pagado</v>
      </c>
      <c r="Z228" s="666" t="str">
        <f>IF(OR($A228="F&amp;F",$G228=""),"",IF(Z$8&gt;$G228,IF(OR(status1B5!AA228=1,status1B5!AA228=2,'BOULEVARD 5'!AC226&gt;0),"Pagado","impago"),""))</f>
        <v>Pagado</v>
      </c>
      <c r="AA228" s="666" t="str">
        <f>IF(OR($A228="F&amp;F",$G228=""),"",IF(AA$8&gt;$G228,IF(OR(status1B5!AB228=1,status1B5!AB228=2,'BOULEVARD 5'!AD226&gt;0),"Pagado","impago"),""))</f>
        <v>Pagado</v>
      </c>
      <c r="AB228" s="666" t="str">
        <f>IF(OR($A228="F&amp;F",$G228=""),"",IF(AB$8&gt;$G228,IF(OR(status1B5!AC228=1,status1B5!AC228=2,'BOULEVARD 5'!AE226&gt;0),"Pagado","impago"),""))</f>
        <v>Pagado</v>
      </c>
      <c r="AC228" s="666" t="str">
        <f>IF(OR($A228="F&amp;F",$G228=""),"",IF(AC$8&gt;$G228,IF(OR(status1B5!AD228=1,status1B5!AD228=2,'BOULEVARD 5'!AF226&gt;0),"Pagado","impago"),""))</f>
        <v>Pagado</v>
      </c>
      <c r="AD228" s="666" t="str">
        <f>IF(OR($A228="F&amp;F",$G228=""),"",IF(AD$8&gt;$G228,IF(OR(status1B5!AE228=1,status1B5!AE228=2,'BOULEVARD 5'!AG226&gt;0),"Pagado","impago"),""))</f>
        <v>Pagado</v>
      </c>
      <c r="AE228" s="666" t="str">
        <f>IF(OR($A228="F&amp;F",$G228=""),"",IF(AE$8&gt;$G228,IF(OR(status1B5!AF228=1,status1B5!AF228=2,'BOULEVARD 5'!AH226&gt;0),"Pagado","impago"),""))</f>
        <v>Pagado</v>
      </c>
      <c r="AF228" s="666" t="str">
        <f>IF(OR($A228="F&amp;F",$G228=""),"",IF(AF$8&gt;$G228,IF(OR(status1B5!AG228=1,status1B5!AG228=2,'BOULEVARD 5'!AI226&gt;0),"Pagado","impago"),""))</f>
        <v>Pagado</v>
      </c>
      <c r="AG228" s="666" t="str">
        <f>IF(OR($A228="F&amp;F",$G228=""),"",IF(AG$8&gt;$G228,IF(OR(status1B5!AH228=1,status1B5!AH228=2,'BOULEVARD 5'!AJ226&gt;0),"Pagado","impago"),""))</f>
        <v>Pagado</v>
      </c>
      <c r="AH228" s="666" t="str">
        <f>IF(OR($A228="F&amp;F",$G228=""),"",IF(AH$8&gt;$G228,IF(OR(status1B5!AI228=1,status1B5!AI228=2,'BOULEVARD 5'!AK226&gt;0),"Pagado","impago"),""))</f>
        <v>Pagado</v>
      </c>
      <c r="AI228" s="666" t="str">
        <f>IF(OR($A228="F&amp;F",$G228=""),"",IF(AI$8&gt;$G228,IF(OR(status1B5!AJ228=1,status1B5!AJ228=2,'BOULEVARD 5'!AL226&gt;0),"Pagado","impago"),""))</f>
        <v>Pagado</v>
      </c>
      <c r="AJ228" s="666" t="str">
        <f>IF(OR($A228="F&amp;F",$G228=""),"",IF(AJ$8&gt;$G228,IF(OR(status1B5!AK228=1,status1B5!AK228=2,'BOULEVARD 5'!AM226&gt;0),"Pagado","impago"),""))</f>
        <v>Pagado</v>
      </c>
      <c r="AK228" s="666" t="str">
        <f>IF(OR($A228="F&amp;F",$G228=""),"",IF(AK$8&gt;$G228,IF(OR(status1B5!AL228=1,status1B5!AL228=2,'BOULEVARD 5'!AN226&gt;0),"Pagado","impago"),""))</f>
        <v>Pagado</v>
      </c>
      <c r="AL228" s="666" t="str">
        <f>IF(OR($A228="F&amp;F",$G228=""),"",IF(AL$8&gt;$G228,IF(OR(status1B5!AM228=1,status1B5!AM228=2,'BOULEVARD 5'!AO226&gt;0),"Pagado","impago"),""))</f>
        <v>Pagado</v>
      </c>
      <c r="AM228" s="666" t="str">
        <f>IF(OR($A228="F&amp;F",$G228=""),"",IF(AM$8&gt;$G228,IF(OR(status1B5!AN228=1,status1B5!AN228=2,'BOULEVARD 5'!AP226&gt;0),"Pagado","impago"),""))</f>
        <v>Pagado</v>
      </c>
      <c r="AN228" s="666" t="str">
        <f>IF(OR($A228="F&amp;F",$G228=""),"",IF(AN$8&gt;$G228,IF(OR(status1B5!AO228=1,status1B5!AO228=2,'BOULEVARD 5'!AQ226&gt;0),"Pagado","impago"),""))</f>
        <v>Pagado</v>
      </c>
      <c r="AO228" s="666" t="str">
        <f>IF(OR($A228="F&amp;F",$G228=""),"",IF(AO$8&gt;$G228,IF(OR(status1B5!AP228=1,status1B5!AP228=2,'BOULEVARD 5'!AS226&gt;0),"Pagado","impago"),""))</f>
        <v>Pagado</v>
      </c>
      <c r="AP228" s="429" t="str">
        <f t="shared" si="8"/>
        <v>Vendido</v>
      </c>
    </row>
    <row r="229" spans="1:42" s="467" customFormat="1" ht="13.9" customHeight="1" x14ac:dyDescent="0.25">
      <c r="B229" s="483">
        <f>'BOULEVARD 5'!B227</f>
        <v>1216</v>
      </c>
      <c r="C229" s="483" t="s">
        <v>355</v>
      </c>
      <c r="D229" s="483"/>
      <c r="E229" s="436" t="str">
        <f>IF('BOULEVARD 5'!E227="","",'BOULEVARD 5'!E227)</f>
        <v>Anahí Cisneros</v>
      </c>
      <c r="F229" s="467" t="str">
        <f>IF('BOULEVARD 5'!F227="","",'BOULEVARD 5'!F227)</f>
        <v>Alan Gonzalez Choc</v>
      </c>
      <c r="G229" s="473">
        <f>IF('BOULEVARD 5'!G227="","",'BOULEVARD 5'!G227)</f>
        <v>45856</v>
      </c>
      <c r="H229" s="666" t="str">
        <f>IF(OR($A229="F&amp;F",$G229=""),"",IF(H$8&gt;$G229,IF(OR(status1B5!I229=1,status1B5!I229=2,'BOULEVARD 5'!K227&gt;0),"Pagado","impago"),""))</f>
        <v/>
      </c>
      <c r="I229" s="666" t="str">
        <f>IF(OR($A229="F&amp;F",$G229=""),"",IF(I$8&gt;$G229,IF(OR(status1B5!J229=1,status1B5!J229=2,'BOULEVARD 5'!L227&gt;0),"Pagado","impago"),""))</f>
        <v/>
      </c>
      <c r="J229" s="666" t="str">
        <f>IF(OR($A229="F&amp;F",$G229=""),"",IF(J$8&gt;$G229,IF(OR(status1B5!K229=1,status1B5!K229=2,'BOULEVARD 5'!M227&gt;0),"Pagado","impago"),""))</f>
        <v/>
      </c>
      <c r="K229" s="666" t="str">
        <f>IF(OR($A229="F&amp;F",$G229=""),"",IF(K$8&gt;$G229,IF(OR(status1B5!L229=1,status1B5!L229=2,'BOULEVARD 5'!N227&gt;0),"Pagado","impago"),""))</f>
        <v/>
      </c>
      <c r="L229" s="666" t="str">
        <f>IF(OR($A229="F&amp;F",$G229=""),"",IF(L$8&gt;$G229,IF(OR(status1B5!M229=1,status1B5!M229=2,'BOULEVARD 5'!O227&gt;0),"Pagado","impago"),""))</f>
        <v/>
      </c>
      <c r="M229" s="666" t="str">
        <f>IF(OR($A229="F&amp;F",$G229=""),"",IF(M$8&gt;$G229,IF(OR(status1B5!N229=1,status1B5!N229=2,'BOULEVARD 5'!P227&gt;0),"Pagado","impago"),""))</f>
        <v/>
      </c>
      <c r="N229" s="666" t="str">
        <f>IF(OR($A229="F&amp;F",$G229=""),"",IF(N$8&gt;$G229,IF(OR(status1B5!O229=1,status1B5!O229=2,'BOULEVARD 5'!Q227&gt;0),"Pagado","impago"),""))</f>
        <v/>
      </c>
      <c r="O229" s="666" t="str">
        <f>IF(OR($A229="F&amp;F",$G229=""),"",IF(O$8&gt;$G229,IF(OR(status1B5!P229=1,status1B5!P229=2,'BOULEVARD 5'!R227&gt;0),"Pagado","impago"),""))</f>
        <v/>
      </c>
      <c r="P229" s="666" t="str">
        <f>IF(OR($A229="F&amp;F",$G229=""),"",IF(P$8&gt;$G229,IF(OR(status1B5!Q229=1,status1B5!Q229=2,'BOULEVARD 5'!S227&gt;0),"Pagado","impago"),""))</f>
        <v/>
      </c>
      <c r="Q229" s="666" t="str">
        <f>IF(OR($A229="F&amp;F",$G229=""),"",IF(Q$8&gt;$G229,IF(OR(status1B5!R229=1,status1B5!R229=2,'BOULEVARD 5'!T227&gt;0),"Pagado","impago"),""))</f>
        <v/>
      </c>
      <c r="R229" s="666" t="str">
        <f>IF(OR($A229="F&amp;F",$G229=""),"",IF(R$8&gt;$G229,IF(OR(status1B5!S229=1,status1B5!S229=2,'BOULEVARD 5'!U227&gt;0),"Pagado","impago"),""))</f>
        <v/>
      </c>
      <c r="S229" s="666" t="str">
        <f>IF(OR($A229="F&amp;F",$G229=""),"",IF(S$8&gt;$G229,IF(OR(status1B5!T229=1,status1B5!T229=2,'BOULEVARD 5'!V227&gt;0),"Pagado","impago"),""))</f>
        <v/>
      </c>
      <c r="T229" s="666" t="str">
        <f>IF(OR($A229="F&amp;F",$G229=""),"",IF(T$8&gt;$G229,IF(OR(status1B5!U229=1,status1B5!U229=2,'BOULEVARD 5'!W227&gt;0),"Pagado","impago"),""))</f>
        <v/>
      </c>
      <c r="U229" s="666" t="str">
        <f>IF(OR($A229="F&amp;F",$G229=""),"",IF(U$8&gt;$G229,IF(OR(status1B5!V229=1,status1B5!V229=2,'BOULEVARD 5'!X227&gt;0),"Pagado","impago"),""))</f>
        <v/>
      </c>
      <c r="V229" s="666" t="str">
        <f>IF(OR($A229="F&amp;F",$G229=""),"",IF(V$8&gt;$G229,IF(OR(status1B5!W229=1,status1B5!W229=2,'BOULEVARD 5'!Y227&gt;0),"Pagado","impago"),""))</f>
        <v/>
      </c>
      <c r="W229" s="666" t="str">
        <f>IF(OR($A229="F&amp;F",$G229=""),"",IF(W$8&gt;$G229,IF(OR(status1B5!X229=1,status1B5!X229=2,'BOULEVARD 5'!Z227&gt;0),"Pagado","impago"),""))</f>
        <v/>
      </c>
      <c r="X229" s="666" t="str">
        <f>IF(OR($A229="F&amp;F",$G229=""),"",IF(X$8&gt;$G229,IF(OR(status1B5!Y229=1,status1B5!Y229=2,'BOULEVARD 5'!AA227&gt;0),"Pagado","impago"),""))</f>
        <v/>
      </c>
      <c r="Y229" s="666" t="str">
        <f>IF(OR($A229="F&amp;F",$G229=""),"",IF(Y$8&gt;$G229,IF(OR(status1B5!Z229=1,status1B5!Z229=2,'BOULEVARD 5'!AB227&gt;0),"Pagado","impago"),""))</f>
        <v/>
      </c>
      <c r="Z229" s="666" t="str">
        <f>IF(OR($A229="F&amp;F",$G229=""),"",IF(Z$8&gt;$G229,IF(OR(status1B5!AA229=1,status1B5!AA229=2,'BOULEVARD 5'!AC227&gt;0),"Pagado","impago"),""))</f>
        <v/>
      </c>
      <c r="AA229" s="666" t="str">
        <f>IF(OR($A229="F&amp;F",$G229=""),"",IF(AA$8&gt;$G229,IF(OR(status1B5!AB229=1,status1B5!AB229=2,'BOULEVARD 5'!AD227&gt;0),"Pagado","impago"),""))</f>
        <v/>
      </c>
      <c r="AB229" s="666" t="str">
        <f>IF(OR($A229="F&amp;F",$G229=""),"",IF(AB$8&gt;$G229,IF(OR(status1B5!AC229=1,status1B5!AC229=2,'BOULEVARD 5'!AE227&gt;0),"Pagado","impago"),""))</f>
        <v/>
      </c>
      <c r="AC229" s="666" t="str">
        <f>IF(OR($A229="F&amp;F",$G229=""),"",IF(AC$8&gt;$G229,IF(OR(status1B5!AD229=1,status1B5!AD229=2,'BOULEVARD 5'!AF227&gt;0),"Pagado","impago"),""))</f>
        <v/>
      </c>
      <c r="AD229" s="666" t="str">
        <f>IF(OR($A229="F&amp;F",$G229=""),"",IF(AD$8&gt;$G229,IF(OR(status1B5!AE229=1,status1B5!AE229=2,'BOULEVARD 5'!AG227&gt;0),"Pagado","impago"),""))</f>
        <v/>
      </c>
      <c r="AE229" s="666" t="str">
        <f>IF(OR($A229="F&amp;F",$G229=""),"",IF(AE$8&gt;$G229,IF(OR(status1B5!AF229=1,status1B5!AF229=2,'BOULEVARD 5'!AH227&gt;0),"Pagado","impago"),""))</f>
        <v/>
      </c>
      <c r="AF229" s="666" t="str">
        <f>IF(OR($A229="F&amp;F",$G229=""),"",IF(AF$8&gt;$G229,IF(OR(status1B5!AG229=1,status1B5!AG229=2,'BOULEVARD 5'!AI227&gt;0),"Pagado","impago"),""))</f>
        <v/>
      </c>
      <c r="AG229" s="666" t="str">
        <f>IF(OR($A229="F&amp;F",$G229=""),"",IF(AG$8&gt;$G229,IF(OR(status1B5!AH229=1,status1B5!AH229=2,'BOULEVARD 5'!AJ227&gt;0),"Pagado","impago"),""))</f>
        <v/>
      </c>
      <c r="AH229" s="666" t="str">
        <f>IF(OR($A229="F&amp;F",$G229=""),"",IF(AH$8&gt;$G229,IF(OR(status1B5!AI229=1,status1B5!AI229=2,'BOULEVARD 5'!AK227&gt;0),"Pagado","impago"),""))</f>
        <v/>
      </c>
      <c r="AI229" s="666" t="str">
        <f>IF(OR($A229="F&amp;F",$G229=""),"",IF(AI$8&gt;$G229,IF(OR(status1B5!AJ229=1,status1B5!AJ229=2,'BOULEVARD 5'!AL227&gt;0),"Pagado","impago"),""))</f>
        <v/>
      </c>
      <c r="AJ229" s="666" t="str">
        <f>IF(OR($A229="F&amp;F",$G229=""),"",IF(AJ$8&gt;$G229,IF(OR(status1B5!AK229=1,status1B5!AK229=2,'BOULEVARD 5'!AM227&gt;0),"Pagado","impago"),""))</f>
        <v>Pagado</v>
      </c>
      <c r="AK229" s="666" t="str">
        <f>IF(OR($A229="F&amp;F",$G229=""),"",IF(AK$8&gt;$G229,IF(OR(status1B5!AL229=1,status1B5!AL229=2,'BOULEVARD 5'!AN227&gt;0),"Pagado","impago"),""))</f>
        <v>Pagado</v>
      </c>
      <c r="AL229" s="666" t="str">
        <f>IF(OR($A229="F&amp;F",$G229=""),"",IF(AL$8&gt;$G229,IF(OR(status1B5!AM229=1,status1B5!AM229=2,'BOULEVARD 5'!AO227&gt;0),"Pagado","impago"),""))</f>
        <v>Pagado</v>
      </c>
      <c r="AM229" s="666" t="str">
        <f>IF(OR($A229="F&amp;F",$G229=""),"",IF(AM$8&gt;$G229,IF(OR(status1B5!AN229=1,status1B5!AN229=2,'BOULEVARD 5'!AP227&gt;0),"Pagado","impago"),""))</f>
        <v>Pagado</v>
      </c>
      <c r="AN229" s="666" t="str">
        <f>IF(OR($A229="F&amp;F",$G229=""),"",IF(AN$8&gt;$G229,IF(OR(status1B5!AO229=1,status1B5!AO229=2,'BOULEVARD 5'!AQ227&gt;0),"Pagado","impago"),""))</f>
        <v>Pagado</v>
      </c>
      <c r="AO229" s="666" t="str">
        <f>IF(OR($A229="F&amp;F",$G229=""),"",IF(AO$8&gt;$G229,IF(OR(status1B5!AP229=1,status1B5!AP229=2,'BOULEVARD 5'!AS227&gt;0),"Pagado","impago"),""))</f>
        <v>Pagado</v>
      </c>
      <c r="AP229" s="429" t="str">
        <f t="shared" si="8"/>
        <v>Vendido</v>
      </c>
    </row>
    <row r="230" spans="1:42" s="429" customFormat="1" ht="13.9" customHeight="1" x14ac:dyDescent="0.25">
      <c r="A230" s="472"/>
      <c r="B230" s="436">
        <f>'BOULEVARD 5'!B228</f>
        <v>1217</v>
      </c>
      <c r="C230" s="436" t="s">
        <v>355</v>
      </c>
      <c r="D230" s="436"/>
      <c r="E230" s="436" t="str">
        <f>IF('BOULEVARD 5'!E228="","",'BOULEVARD 5'!E228)</f>
        <v>Antonio Rada</v>
      </c>
      <c r="F230" s="429" t="str">
        <f>IF('BOULEVARD 5'!F228="","",'BOULEVARD 5'!F228)</f>
        <v>Irene Noemy Santisteban Chiguil</v>
      </c>
      <c r="G230" s="473">
        <f>IF('BOULEVARD 5'!G228="","",'BOULEVARD 5'!G228)</f>
        <v>45391</v>
      </c>
      <c r="H230" s="666" t="str">
        <f>IF(OR($A230="F&amp;F",$G230=""),"",IF(H$8&gt;$G230,IF(OR(status1B5!I230=1,status1B5!I230=2,'BOULEVARD 5'!K228&gt;0),"Pagado","impago"),""))</f>
        <v/>
      </c>
      <c r="I230" s="666" t="str">
        <f>IF(OR($A230="F&amp;F",$G230=""),"",IF(I$8&gt;$G230,IF(OR(status1B5!J230=1,status1B5!J230=2,'BOULEVARD 5'!L228&gt;0),"Pagado","impago"),""))</f>
        <v/>
      </c>
      <c r="J230" s="666" t="str">
        <f>IF(OR($A230="F&amp;F",$G230=""),"",IF(J$8&gt;$G230,IF(OR(status1B5!K230=1,status1B5!K230=2,'BOULEVARD 5'!M228&gt;0),"Pagado","impago"),""))</f>
        <v/>
      </c>
      <c r="K230" s="666" t="str">
        <f>IF(OR($A230="F&amp;F",$G230=""),"",IF(K$8&gt;$G230,IF(OR(status1B5!L230=1,status1B5!L230=2,'BOULEVARD 5'!N228&gt;0),"Pagado","impago"),""))</f>
        <v/>
      </c>
      <c r="L230" s="666" t="str">
        <f>IF(OR($A230="F&amp;F",$G230=""),"",IF(L$8&gt;$G230,IF(OR(status1B5!M230=1,status1B5!M230=2,'BOULEVARD 5'!O228&gt;0),"Pagado","impago"),""))</f>
        <v/>
      </c>
      <c r="M230" s="666" t="str">
        <f>IF(OR($A230="F&amp;F",$G230=""),"",IF(M$8&gt;$G230,IF(OR(status1B5!N230=1,status1B5!N230=2,'BOULEVARD 5'!P228&gt;0),"Pagado","impago"),""))</f>
        <v/>
      </c>
      <c r="N230" s="666" t="str">
        <f>IF(OR($A230="F&amp;F",$G230=""),"",IF(N$8&gt;$G230,IF(OR(status1B5!O230=1,status1B5!O230=2,'BOULEVARD 5'!Q228&gt;0),"Pagado","impago"),""))</f>
        <v/>
      </c>
      <c r="O230" s="666" t="str">
        <f>IF(OR($A230="F&amp;F",$G230=""),"",IF(O$8&gt;$G230,IF(OR(status1B5!P230=1,status1B5!P230=2,'BOULEVARD 5'!R228&gt;0),"Pagado","impago"),""))</f>
        <v/>
      </c>
      <c r="P230" s="666" t="str">
        <f>IF(OR($A230="F&amp;F",$G230=""),"",IF(P$8&gt;$G230,IF(OR(status1B5!Q230=1,status1B5!Q230=2,'BOULEVARD 5'!S228&gt;0),"Pagado","impago"),""))</f>
        <v/>
      </c>
      <c r="Q230" s="666" t="str">
        <f>IF(OR($A230="F&amp;F",$G230=""),"",IF(Q$8&gt;$G230,IF(OR(status1B5!R230=1,status1B5!R230=2,'BOULEVARD 5'!T228&gt;0),"Pagado","impago"),""))</f>
        <v/>
      </c>
      <c r="R230" s="666" t="str">
        <f>IF(OR($A230="F&amp;F",$G230=""),"",IF(R$8&gt;$G230,IF(OR(status1B5!S230=1,status1B5!S230=2,'BOULEVARD 5'!U228&gt;0),"Pagado","impago"),""))</f>
        <v/>
      </c>
      <c r="S230" s="666" t="str">
        <f>IF(OR($A230="F&amp;F",$G230=""),"",IF(S$8&gt;$G230,IF(OR(status1B5!T230=1,status1B5!T230=2,'BOULEVARD 5'!V228&gt;0),"Pagado","impago"),""))</f>
        <v/>
      </c>
      <c r="T230" s="666" t="str">
        <f>IF(OR($A230="F&amp;F",$G230=""),"",IF(T$8&gt;$G230,IF(OR(status1B5!U230=1,status1B5!U230=2,'BOULEVARD 5'!W228&gt;0),"Pagado","impago"),""))</f>
        <v/>
      </c>
      <c r="U230" s="666" t="str">
        <f>IF(OR($A230="F&amp;F",$G230=""),"",IF(U$8&gt;$G230,IF(OR(status1B5!V230=1,status1B5!V230=2,'BOULEVARD 5'!X228&gt;0),"Pagado","impago"),""))</f>
        <v>Pagado</v>
      </c>
      <c r="V230" s="666" t="str">
        <f>IF(OR($A230="F&amp;F",$G230=""),"",IF(V$8&gt;$G230,IF(OR(status1B5!W230=1,status1B5!W230=2,'BOULEVARD 5'!Y228&gt;0),"Pagado","impago"),""))</f>
        <v>Pagado</v>
      </c>
      <c r="W230" s="666" t="str">
        <f>IF(OR($A230="F&amp;F",$G230=""),"",IF(W$8&gt;$G230,IF(OR(status1B5!X230=1,status1B5!X230=2,'BOULEVARD 5'!Z228&gt;0),"Pagado","impago"),""))</f>
        <v>Pagado</v>
      </c>
      <c r="X230" s="666" t="str">
        <f>IF(OR($A230="F&amp;F",$G230=""),"",IF(X$8&gt;$G230,IF(OR(status1B5!Y230=1,status1B5!Y230=2,'BOULEVARD 5'!AA228&gt;0),"Pagado","impago"),""))</f>
        <v>Pagado</v>
      </c>
      <c r="Y230" s="666" t="str">
        <f>IF(OR($A230="F&amp;F",$G230=""),"",IF(Y$8&gt;$G230,IF(OR(status1B5!Z230=1,status1B5!Z230=2,'BOULEVARD 5'!AB228&gt;0),"Pagado","impago"),""))</f>
        <v>Pagado</v>
      </c>
      <c r="Z230" s="666" t="str">
        <f>IF(OR($A230="F&amp;F",$G230=""),"",IF(Z$8&gt;$G230,IF(OR(status1B5!AA230=1,status1B5!AA230=2,'BOULEVARD 5'!AC228&gt;0),"Pagado","impago"),""))</f>
        <v>Pagado</v>
      </c>
      <c r="AA230" s="666" t="str">
        <f>IF(OR($A230="F&amp;F",$G230=""),"",IF(AA$8&gt;$G230,IF(OR(status1B5!AB230=1,status1B5!AB230=2,'BOULEVARD 5'!AD228&gt;0),"Pagado","impago"),""))</f>
        <v>Pagado</v>
      </c>
      <c r="AB230" s="666" t="str">
        <f>IF(OR($A230="F&amp;F",$G230=""),"",IF(AB$8&gt;$G230,IF(OR(status1B5!AC230=1,status1B5!AC230=2,'BOULEVARD 5'!AE228&gt;0),"Pagado","impago"),""))</f>
        <v>Pagado</v>
      </c>
      <c r="AC230" s="666" t="str">
        <f>IF(OR($A230="F&amp;F",$G230=""),"",IF(AC$8&gt;$G230,IF(OR(status1B5!AD230=1,status1B5!AD230=2,'BOULEVARD 5'!AF228&gt;0),"Pagado","impago"),""))</f>
        <v>Pagado</v>
      </c>
      <c r="AD230" s="666" t="str">
        <f>IF(OR($A230="F&amp;F",$G230=""),"",IF(AD$8&gt;$G230,IF(OR(status1B5!AE230=1,status1B5!AE230=2,'BOULEVARD 5'!AG228&gt;0),"Pagado","impago"),""))</f>
        <v>Pagado</v>
      </c>
      <c r="AE230" s="666" t="str">
        <f>IF(OR($A230="F&amp;F",$G230=""),"",IF(AE$8&gt;$G230,IF(OR(status1B5!AF230=1,status1B5!AF230=2,'BOULEVARD 5'!AH228&gt;0),"Pagado","impago"),""))</f>
        <v>Pagado</v>
      </c>
      <c r="AF230" s="666" t="str">
        <f>IF(OR($A230="F&amp;F",$G230=""),"",IF(AF$8&gt;$G230,IF(OR(status1B5!AG230=1,status1B5!AG230=2,'BOULEVARD 5'!AI228&gt;0),"Pagado","impago"),""))</f>
        <v>Pagado</v>
      </c>
      <c r="AG230" s="666" t="str">
        <f>IF(OR($A230="F&amp;F",$G230=""),"",IF(AG$8&gt;$G230,IF(OR(status1B5!AH230=1,status1B5!AH230=2,'BOULEVARD 5'!AJ228&gt;0),"Pagado","impago"),""))</f>
        <v>Pagado</v>
      </c>
      <c r="AH230" s="666" t="str">
        <f>IF(OR($A230="F&amp;F",$G230=""),"",IF(AH$8&gt;$G230,IF(OR(status1B5!AI230=1,status1B5!AI230=2,'BOULEVARD 5'!AK228&gt;0),"Pagado","impago"),""))</f>
        <v>Pagado</v>
      </c>
      <c r="AI230" s="666" t="str">
        <f>IF(OR($A230="F&amp;F",$G230=""),"",IF(AI$8&gt;$G230,IF(OR(status1B5!AJ230=1,status1B5!AJ230=2,'BOULEVARD 5'!AL228&gt;0),"Pagado","impago"),""))</f>
        <v>Pagado</v>
      </c>
      <c r="AJ230" s="666" t="str">
        <f>IF(OR($A230="F&amp;F",$G230=""),"",IF(AJ$8&gt;$G230,IF(OR(status1B5!AK230=1,status1B5!AK230=2,'BOULEVARD 5'!AM228&gt;0),"Pagado","impago"),""))</f>
        <v>Pagado</v>
      </c>
      <c r="AK230" s="666" t="str">
        <f>IF(OR($A230="F&amp;F",$G230=""),"",IF(AK$8&gt;$G230,IF(OR(status1B5!AL230=1,status1B5!AL230=2,'BOULEVARD 5'!AN228&gt;0),"Pagado","impago"),""))</f>
        <v>Pagado</v>
      </c>
      <c r="AL230" s="666" t="str">
        <f>IF(OR($A230="F&amp;F",$G230=""),"",IF(AL$8&gt;$G230,IF(OR(status1B5!AM230=1,status1B5!AM230=2,'BOULEVARD 5'!AO228&gt;0),"Pagado","impago"),""))</f>
        <v>Pagado</v>
      </c>
      <c r="AM230" s="666" t="str">
        <f>IF(OR($A230="F&amp;F",$G230=""),"",IF(AM$8&gt;$G230,IF(OR(status1B5!AN230=1,status1B5!AN230=2,'BOULEVARD 5'!AP228&gt;0),"Pagado","impago"),""))</f>
        <v>Pagado</v>
      </c>
      <c r="AN230" s="666" t="str">
        <f>IF(OR($A230="F&amp;F",$G230=""),"",IF(AN$8&gt;$G230,IF(OR(status1B5!AO230=1,status1B5!AO230=2,'BOULEVARD 5'!AQ228&gt;0),"Pagado","impago"),""))</f>
        <v>Pagado</v>
      </c>
      <c r="AO230" s="666" t="str">
        <f>IF(OR($A230="F&amp;F",$G230=""),"",IF(AO$8&gt;$G230,IF(OR(status1B5!AP230=1,status1B5!AP230=2,'BOULEVARD 5'!AS228&gt;0),"Pagado","impago"),""))</f>
        <v>Pagado</v>
      </c>
      <c r="AP230" s="429" t="str">
        <f t="shared" si="8"/>
        <v>Vendido</v>
      </c>
    </row>
    <row r="231" spans="1:42" s="429" customFormat="1" ht="13.9" customHeight="1" x14ac:dyDescent="0.25">
      <c r="A231" s="472"/>
      <c r="B231" s="436">
        <f>'BOULEVARD 5'!B229</f>
        <v>1218</v>
      </c>
      <c r="C231" s="436" t="s">
        <v>355</v>
      </c>
      <c r="D231" s="436"/>
      <c r="E231" s="436" t="str">
        <f>IF('BOULEVARD 5'!E229="","",'BOULEVARD 5'!E229)</f>
        <v>Diana Alvarez</v>
      </c>
      <c r="F231" s="429" t="str">
        <f>IF('BOULEVARD 5'!F229="","",'BOULEVARD 5'!F229)</f>
        <v>Hector Ricardo Echeverria  Mendez</v>
      </c>
      <c r="G231" s="473">
        <f>IF('BOULEVARD 5'!G229="","",'BOULEVARD 5'!G229)</f>
        <v>45614</v>
      </c>
      <c r="H231" s="666" t="str">
        <f>IF(OR($A231="F&amp;F",$G231=""),"",IF(H$8&gt;$G231,IF(OR(status1B5!I231=1,status1B5!I231=2,'BOULEVARD 5'!K229&gt;0),"Pagado","impago"),""))</f>
        <v/>
      </c>
      <c r="I231" s="666" t="str">
        <f>IF(OR($A231="F&amp;F",$G231=""),"",IF(I$8&gt;$G231,IF(OR(status1B5!J231=1,status1B5!J231=2,'BOULEVARD 5'!L229&gt;0),"Pagado","impago"),""))</f>
        <v/>
      </c>
      <c r="J231" s="666" t="str">
        <f>IF(OR($A231="F&amp;F",$G231=""),"",IF(J$8&gt;$G231,IF(OR(status1B5!K231=1,status1B5!K231=2,'BOULEVARD 5'!M229&gt;0),"Pagado","impago"),""))</f>
        <v/>
      </c>
      <c r="K231" s="666" t="str">
        <f>IF(OR($A231="F&amp;F",$G231=""),"",IF(K$8&gt;$G231,IF(OR(status1B5!L231=1,status1B5!L231=2,'BOULEVARD 5'!N229&gt;0),"Pagado","impago"),""))</f>
        <v/>
      </c>
      <c r="L231" s="666" t="str">
        <f>IF(OR($A231="F&amp;F",$G231=""),"",IF(L$8&gt;$G231,IF(OR(status1B5!M231=1,status1B5!M231=2,'BOULEVARD 5'!O229&gt;0),"Pagado","impago"),""))</f>
        <v/>
      </c>
      <c r="M231" s="666" t="str">
        <f>IF(OR($A231="F&amp;F",$G231=""),"",IF(M$8&gt;$G231,IF(OR(status1B5!N231=1,status1B5!N231=2,'BOULEVARD 5'!P229&gt;0),"Pagado","impago"),""))</f>
        <v/>
      </c>
      <c r="N231" s="666" t="str">
        <f>IF(OR($A231="F&amp;F",$G231=""),"",IF(N$8&gt;$G231,IF(OR(status1B5!O231=1,status1B5!O231=2,'BOULEVARD 5'!Q229&gt;0),"Pagado","impago"),""))</f>
        <v/>
      </c>
      <c r="O231" s="666" t="str">
        <f>IF(OR($A231="F&amp;F",$G231=""),"",IF(O$8&gt;$G231,IF(OR(status1B5!P231=1,status1B5!P231=2,'BOULEVARD 5'!R229&gt;0),"Pagado","impago"),""))</f>
        <v/>
      </c>
      <c r="P231" s="666" t="str">
        <f>IF(OR($A231="F&amp;F",$G231=""),"",IF(P$8&gt;$G231,IF(OR(status1B5!Q231=1,status1B5!Q231=2,'BOULEVARD 5'!S229&gt;0),"Pagado","impago"),""))</f>
        <v/>
      </c>
      <c r="Q231" s="666" t="str">
        <f>IF(OR($A231="F&amp;F",$G231=""),"",IF(Q$8&gt;$G231,IF(OR(status1B5!R231=1,status1B5!R231=2,'BOULEVARD 5'!T229&gt;0),"Pagado","impago"),""))</f>
        <v/>
      </c>
      <c r="R231" s="666" t="str">
        <f>IF(OR($A231="F&amp;F",$G231=""),"",IF(R$8&gt;$G231,IF(OR(status1B5!S231=1,status1B5!S231=2,'BOULEVARD 5'!U229&gt;0),"Pagado","impago"),""))</f>
        <v/>
      </c>
      <c r="S231" s="666" t="str">
        <f>IF(OR($A231="F&amp;F",$G231=""),"",IF(S$8&gt;$G231,IF(OR(status1B5!T231=1,status1B5!T231=2,'BOULEVARD 5'!V229&gt;0),"Pagado","impago"),""))</f>
        <v/>
      </c>
      <c r="T231" s="666" t="str">
        <f>IF(OR($A231="F&amp;F",$G231=""),"",IF(T$8&gt;$G231,IF(OR(status1B5!U231=1,status1B5!U231=2,'BOULEVARD 5'!W229&gt;0),"Pagado","impago"),""))</f>
        <v/>
      </c>
      <c r="U231" s="666" t="str">
        <f>IF(OR($A231="F&amp;F",$G231=""),"",IF(U$8&gt;$G231,IF(OR(status1B5!V231=1,status1B5!V231=2,'BOULEVARD 5'!X229&gt;0),"Pagado","impago"),""))</f>
        <v/>
      </c>
      <c r="V231" s="666" t="str">
        <f>IF(OR($A231="F&amp;F",$G231=""),"",IF(V$8&gt;$G231,IF(OR(status1B5!W231=1,status1B5!W231=2,'BOULEVARD 5'!Y229&gt;0),"Pagado","impago"),""))</f>
        <v/>
      </c>
      <c r="W231" s="666" t="str">
        <f>IF(OR($A231="F&amp;F",$G231=""),"",IF(W$8&gt;$G231,IF(OR(status1B5!X231=1,status1B5!X231=2,'BOULEVARD 5'!Z229&gt;0),"Pagado","impago"),""))</f>
        <v/>
      </c>
      <c r="X231" s="666" t="str">
        <f>IF(OR($A231="F&amp;F",$G231=""),"",IF(X$8&gt;$G231,IF(OR(status1B5!Y231=1,status1B5!Y231=2,'BOULEVARD 5'!AA229&gt;0),"Pagado","impago"),""))</f>
        <v/>
      </c>
      <c r="Y231" s="666" t="str">
        <f>IF(OR($A231="F&amp;F",$G231=""),"",IF(Y$8&gt;$G231,IF(OR(status1B5!Z231=1,status1B5!Z231=2,'BOULEVARD 5'!AB229&gt;0),"Pagado","impago"),""))</f>
        <v/>
      </c>
      <c r="Z231" s="666" t="str">
        <f>IF(OR($A231="F&amp;F",$G231=""),"",IF(Z$8&gt;$G231,IF(OR(status1B5!AA231=1,status1B5!AA231=2,'BOULEVARD 5'!AC229&gt;0),"Pagado","impago"),""))</f>
        <v/>
      </c>
      <c r="AA231" s="666" t="str">
        <f>IF(OR($A231="F&amp;F",$G231=""),"",IF(AA$8&gt;$G231,IF(OR(status1B5!AB231=1,status1B5!AB231=2,'BOULEVARD 5'!AD229&gt;0),"Pagado","impago"),""))</f>
        <v/>
      </c>
      <c r="AB231" s="666" t="str">
        <f>IF(OR($A231="F&amp;F",$G231=""),"",IF(AB$8&gt;$G231,IF(OR(status1B5!AC231=1,status1B5!AC231=2,'BOULEVARD 5'!AE229&gt;0),"Pagado","impago"),""))</f>
        <v>Pagado</v>
      </c>
      <c r="AC231" s="666" t="str">
        <f>IF(OR($A231="F&amp;F",$G231=""),"",IF(AC$8&gt;$G231,IF(OR(status1B5!AD231=1,status1B5!AD231=2,'BOULEVARD 5'!AF229&gt;0),"Pagado","impago"),""))</f>
        <v>Pagado</v>
      </c>
      <c r="AD231" s="666" t="str">
        <f>IF(OR($A231="F&amp;F",$G231=""),"",IF(AD$8&gt;$G231,IF(OR(status1B5!AE231=1,status1B5!AE231=2,'BOULEVARD 5'!AG229&gt;0),"Pagado","impago"),""))</f>
        <v>Pagado</v>
      </c>
      <c r="AE231" s="666" t="str">
        <f>IF(OR($A231="F&amp;F",$G231=""),"",IF(AE$8&gt;$G231,IF(OR(status1B5!AF231=1,status1B5!AF231=2,'BOULEVARD 5'!AH229&gt;0),"Pagado","impago"),""))</f>
        <v>Pagado</v>
      </c>
      <c r="AF231" s="666" t="str">
        <f>IF(OR($A231="F&amp;F",$G231=""),"",IF(AF$8&gt;$G231,IF(OR(status1B5!AG231=1,status1B5!AG231=2,'BOULEVARD 5'!AI229&gt;0),"Pagado","impago"),""))</f>
        <v>Pagado</v>
      </c>
      <c r="AG231" s="666" t="str">
        <f>IF(OR($A231="F&amp;F",$G231=""),"",IF(AG$8&gt;$G231,IF(OR(status1B5!AH231=1,status1B5!AH231=2,'BOULEVARD 5'!AJ229&gt;0),"Pagado","impago"),""))</f>
        <v>Pagado</v>
      </c>
      <c r="AH231" s="666" t="str">
        <f>IF(OR($A231="F&amp;F",$G231=""),"",IF(AH$8&gt;$G231,IF(OR(status1B5!AI231=1,status1B5!AI231=2,'BOULEVARD 5'!AK229&gt;0),"Pagado","impago"),""))</f>
        <v>Pagado</v>
      </c>
      <c r="AI231" s="666" t="str">
        <f>IF(OR($A231="F&amp;F",$G231=""),"",IF(AI$8&gt;$G231,IF(OR(status1B5!AJ231=1,status1B5!AJ231=2,'BOULEVARD 5'!AL229&gt;0),"Pagado","impago"),""))</f>
        <v>Pagado</v>
      </c>
      <c r="AJ231" s="666" t="str">
        <f>IF(OR($A231="F&amp;F",$G231=""),"",IF(AJ$8&gt;$G231,IF(OR(status1B5!AK231=1,status1B5!AK231=2,'BOULEVARD 5'!AM229&gt;0),"Pagado","impago"),""))</f>
        <v>Pagado</v>
      </c>
      <c r="AK231" s="666" t="str">
        <f>IF(OR($A231="F&amp;F",$G231=""),"",IF(AK$8&gt;$G231,IF(OR(status1B5!AL231=1,status1B5!AL231=2,'BOULEVARD 5'!AN229&gt;0),"Pagado","impago"),""))</f>
        <v>Pagado</v>
      </c>
      <c r="AL231" s="666" t="str">
        <f>IF(OR($A231="F&amp;F",$G231=""),"",IF(AL$8&gt;$G231,IF(OR(status1B5!AM231=1,status1B5!AM231=2,'BOULEVARD 5'!AO229&gt;0),"Pagado","impago"),""))</f>
        <v>Pagado</v>
      </c>
      <c r="AM231" s="666" t="str">
        <f>IF(OR($A231="F&amp;F",$G231=""),"",IF(AM$8&gt;$G231,IF(OR(status1B5!AN231=1,status1B5!AN231=2,'BOULEVARD 5'!AP229&gt;0),"Pagado","impago"),""))</f>
        <v>Pagado</v>
      </c>
      <c r="AN231" s="666" t="str">
        <f>IF(OR($A231="F&amp;F",$G231=""),"",IF(AN$8&gt;$G231,IF(OR(status1B5!AO231=1,status1B5!AO231=2,'BOULEVARD 5'!AQ229&gt;0),"Pagado","impago"),""))</f>
        <v>Pagado</v>
      </c>
      <c r="AO231" s="666" t="str">
        <f>IF(OR($A231="F&amp;F",$G231=""),"",IF(AO$8&gt;$G231,IF(OR(status1B5!AP231=1,status1B5!AP231=2,'BOULEVARD 5'!AS229&gt;0),"Pagado","impago"),""))</f>
        <v>Pagado</v>
      </c>
      <c r="AP231" s="429" t="str">
        <f t="shared" si="8"/>
        <v>Vendido</v>
      </c>
    </row>
    <row r="232" spans="1:42" s="429" customFormat="1" ht="13.9" customHeight="1" x14ac:dyDescent="0.25">
      <c r="A232" s="472"/>
      <c r="B232" s="436">
        <f>'BOULEVARD 5'!B230</f>
        <v>1301</v>
      </c>
      <c r="C232" s="436" t="s">
        <v>355</v>
      </c>
      <c r="D232" s="436"/>
      <c r="E232" s="436" t="str">
        <f>IF('BOULEVARD 5'!E230="","",'BOULEVARD 5'!E230)</f>
        <v>Antonio Rada</v>
      </c>
      <c r="F232" s="429" t="str">
        <f>IF('BOULEVARD 5'!F230="","",'BOULEVARD 5'!F230)</f>
        <v>Raul Eliazar Lemus Garza</v>
      </c>
      <c r="G232" s="473">
        <f>IF('BOULEVARD 5'!G230="","",'BOULEVARD 5'!G230)</f>
        <v>45456</v>
      </c>
      <c r="H232" s="666" t="str">
        <f>IF(OR($A232="F&amp;F",$G232=""),"",IF(H$8&gt;$G232,IF(OR(status1B5!I232=1,status1B5!I232=2,'BOULEVARD 5'!K230&gt;0),"Pagado","impago"),""))</f>
        <v/>
      </c>
      <c r="I232" s="666" t="str">
        <f>IF(OR($A232="F&amp;F",$G232=""),"",IF(I$8&gt;$G232,IF(OR(status1B5!J232=1,status1B5!J232=2,'BOULEVARD 5'!L230&gt;0),"Pagado","impago"),""))</f>
        <v/>
      </c>
      <c r="J232" s="666" t="str">
        <f>IF(OR($A232="F&amp;F",$G232=""),"",IF(J$8&gt;$G232,IF(OR(status1B5!K232=1,status1B5!K232=2,'BOULEVARD 5'!M230&gt;0),"Pagado","impago"),""))</f>
        <v/>
      </c>
      <c r="K232" s="666" t="str">
        <f>IF(OR($A232="F&amp;F",$G232=""),"",IF(K$8&gt;$G232,IF(OR(status1B5!L232=1,status1B5!L232=2,'BOULEVARD 5'!N230&gt;0),"Pagado","impago"),""))</f>
        <v/>
      </c>
      <c r="L232" s="666" t="str">
        <f>IF(OR($A232="F&amp;F",$G232=""),"",IF(L$8&gt;$G232,IF(OR(status1B5!M232=1,status1B5!M232=2,'BOULEVARD 5'!O230&gt;0),"Pagado","impago"),""))</f>
        <v/>
      </c>
      <c r="M232" s="666" t="str">
        <f>IF(OR($A232="F&amp;F",$G232=""),"",IF(M$8&gt;$G232,IF(OR(status1B5!N232=1,status1B5!N232=2,'BOULEVARD 5'!P230&gt;0),"Pagado","impago"),""))</f>
        <v/>
      </c>
      <c r="N232" s="666" t="str">
        <f>IF(OR($A232="F&amp;F",$G232=""),"",IF(N$8&gt;$G232,IF(OR(status1B5!O232=1,status1B5!O232=2,'BOULEVARD 5'!Q230&gt;0),"Pagado","impago"),""))</f>
        <v/>
      </c>
      <c r="O232" s="666" t="str">
        <f>IF(OR($A232="F&amp;F",$G232=""),"",IF(O$8&gt;$G232,IF(OR(status1B5!P232=1,status1B5!P232=2,'BOULEVARD 5'!R230&gt;0),"Pagado","impago"),""))</f>
        <v/>
      </c>
      <c r="P232" s="666" t="str">
        <f>IF(OR($A232="F&amp;F",$G232=""),"",IF(P$8&gt;$G232,IF(OR(status1B5!Q232=1,status1B5!Q232=2,'BOULEVARD 5'!S230&gt;0),"Pagado","impago"),""))</f>
        <v/>
      </c>
      <c r="Q232" s="666" t="str">
        <f>IF(OR($A232="F&amp;F",$G232=""),"",IF(Q$8&gt;$G232,IF(OR(status1B5!R232=1,status1B5!R232=2,'BOULEVARD 5'!T230&gt;0),"Pagado","impago"),""))</f>
        <v/>
      </c>
      <c r="R232" s="666" t="str">
        <f>IF(OR($A232="F&amp;F",$G232=""),"",IF(R$8&gt;$G232,IF(OR(status1B5!S232=1,status1B5!S232=2,'BOULEVARD 5'!U230&gt;0),"Pagado","impago"),""))</f>
        <v/>
      </c>
      <c r="S232" s="666" t="str">
        <f>IF(OR($A232="F&amp;F",$G232=""),"",IF(S$8&gt;$G232,IF(OR(status1B5!T232=1,status1B5!T232=2,'BOULEVARD 5'!V230&gt;0),"Pagado","impago"),""))</f>
        <v/>
      </c>
      <c r="T232" s="666" t="str">
        <f>IF(OR($A232="F&amp;F",$G232=""),"",IF(T$8&gt;$G232,IF(OR(status1B5!U232=1,status1B5!U232=2,'BOULEVARD 5'!W230&gt;0),"Pagado","impago"),""))</f>
        <v/>
      </c>
      <c r="U232" s="666" t="str">
        <f>IF(OR($A232="F&amp;F",$G232=""),"",IF(U$8&gt;$G232,IF(OR(status1B5!V232=1,status1B5!V232=2,'BOULEVARD 5'!X230&gt;0),"Pagado","impago"),""))</f>
        <v/>
      </c>
      <c r="V232" s="666" t="str">
        <f>IF(OR($A232="F&amp;F",$G232=""),"",IF(V$8&gt;$G232,IF(OR(status1B5!W232=1,status1B5!W232=2,'BOULEVARD 5'!Y230&gt;0),"Pagado","impago"),""))</f>
        <v/>
      </c>
      <c r="W232" s="666" t="str">
        <f>IF(OR($A232="F&amp;F",$G232=""),"",IF(W$8&gt;$G232,IF(OR(status1B5!X232=1,status1B5!X232=2,'BOULEVARD 5'!Z230&gt;0),"Pagado","impago"),""))</f>
        <v>Pagado</v>
      </c>
      <c r="X232" s="666" t="str">
        <f>IF(OR($A232="F&amp;F",$G232=""),"",IF(X$8&gt;$G232,IF(OR(status1B5!Y232=1,status1B5!Y232=2,'BOULEVARD 5'!AA230&gt;0),"Pagado","impago"),""))</f>
        <v>Pagado</v>
      </c>
      <c r="Y232" s="666" t="str">
        <f>IF(OR($A232="F&amp;F",$G232=""),"",IF(Y$8&gt;$G232,IF(OR(status1B5!Z232=1,status1B5!Z232=2,'BOULEVARD 5'!AB230&gt;0),"Pagado","impago"),""))</f>
        <v>Pagado</v>
      </c>
      <c r="Z232" s="666" t="str">
        <f>IF(OR($A232="F&amp;F",$G232=""),"",IF(Z$8&gt;$G232,IF(OR(status1B5!AA232=1,status1B5!AA232=2,'BOULEVARD 5'!AC230&gt;0),"Pagado","impago"),""))</f>
        <v>Pagado</v>
      </c>
      <c r="AA232" s="666" t="str">
        <f>IF(OR($A232="F&amp;F",$G232=""),"",IF(AA$8&gt;$G232,IF(OR(status1B5!AB232=1,status1B5!AB232=2,'BOULEVARD 5'!AD230&gt;0),"Pagado","impago"),""))</f>
        <v>Pagado</v>
      </c>
      <c r="AB232" s="666" t="str">
        <f>IF(OR($A232="F&amp;F",$G232=""),"",IF(AB$8&gt;$G232,IF(OR(status1B5!AC232=1,status1B5!AC232=2,'BOULEVARD 5'!AE230&gt;0),"Pagado","impago"),""))</f>
        <v>Pagado</v>
      </c>
      <c r="AC232" s="666" t="str">
        <f>IF(OR($A232="F&amp;F",$G232=""),"",IF(AC$8&gt;$G232,IF(OR(status1B5!AD232=1,status1B5!AD232=2,'BOULEVARD 5'!AF230&gt;0),"Pagado","impago"),""))</f>
        <v>Pagado</v>
      </c>
      <c r="AD232" s="666" t="str">
        <f>IF(OR($A232="F&amp;F",$G232=""),"",IF(AD$8&gt;$G232,IF(OR(status1B5!AE232=1,status1B5!AE232=2,'BOULEVARD 5'!AG230&gt;0),"Pagado","impago"),""))</f>
        <v>Pagado</v>
      </c>
      <c r="AE232" s="666" t="str">
        <f>IF(OR($A232="F&amp;F",$G232=""),"",IF(AE$8&gt;$G232,IF(OR(status1B5!AF232=1,status1B5!AF232=2,'BOULEVARD 5'!AH230&gt;0),"Pagado","impago"),""))</f>
        <v>Pagado</v>
      </c>
      <c r="AF232" s="666" t="str">
        <f>IF(OR($A232="F&amp;F",$G232=""),"",IF(AF$8&gt;$G232,IF(OR(status1B5!AG232=1,status1B5!AG232=2,'BOULEVARD 5'!AI230&gt;0),"Pagado","impago"),""))</f>
        <v>Pagado</v>
      </c>
      <c r="AG232" s="666" t="str">
        <f>IF(OR($A232="F&amp;F",$G232=""),"",IF(AG$8&gt;$G232,IF(OR(status1B5!AH232=1,status1B5!AH232=2,'BOULEVARD 5'!AJ230&gt;0),"Pagado","impago"),""))</f>
        <v>Pagado</v>
      </c>
      <c r="AH232" s="666" t="str">
        <f>IF(OR($A232="F&amp;F",$G232=""),"",IF(AH$8&gt;$G232,IF(OR(status1B5!AI232=1,status1B5!AI232=2,'BOULEVARD 5'!AK230&gt;0),"Pagado","impago"),""))</f>
        <v>Pagado</v>
      </c>
      <c r="AI232" s="666" t="str">
        <f>IF(OR($A232="F&amp;F",$G232=""),"",IF(AI$8&gt;$G232,IF(OR(status1B5!AJ232=1,status1B5!AJ232=2,'BOULEVARD 5'!AL230&gt;0),"Pagado","impago"),""))</f>
        <v>Pagado</v>
      </c>
      <c r="AJ232" s="666" t="str">
        <f>IF(OR($A232="F&amp;F",$G232=""),"",IF(AJ$8&gt;$G232,IF(OR(status1B5!AK232=1,status1B5!AK232=2,'BOULEVARD 5'!AM230&gt;0),"Pagado","impago"),""))</f>
        <v>Pagado</v>
      </c>
      <c r="AK232" s="666" t="str">
        <f>IF(OR($A232="F&amp;F",$G232=""),"",IF(AK$8&gt;$G232,IF(OR(status1B5!AL232=1,status1B5!AL232=2,'BOULEVARD 5'!AN230&gt;0),"Pagado","impago"),""))</f>
        <v>Pagado</v>
      </c>
      <c r="AL232" s="666" t="str">
        <f>IF(OR($A232="F&amp;F",$G232=""),"",IF(AL$8&gt;$G232,IF(OR(status1B5!AM232=1,status1B5!AM232=2,'BOULEVARD 5'!AO230&gt;0),"Pagado","impago"),""))</f>
        <v>Pagado</v>
      </c>
      <c r="AM232" s="666" t="str">
        <f>IF(OR($A232="F&amp;F",$G232=""),"",IF(AM$8&gt;$G232,IF(OR(status1B5!AN232=1,status1B5!AN232=2,'BOULEVARD 5'!AP230&gt;0),"Pagado","impago"),""))</f>
        <v>Pagado</v>
      </c>
      <c r="AN232" s="666" t="str">
        <f>IF(OR($A232="F&amp;F",$G232=""),"",IF(AN$8&gt;$G232,IF(OR(status1B5!AO232=1,status1B5!AO232=2,'BOULEVARD 5'!AQ230&gt;0),"Pagado","impago"),""))</f>
        <v>Pagado</v>
      </c>
      <c r="AO232" s="666" t="str">
        <f>IF(OR($A232="F&amp;F",$G232=""),"",IF(AO$8&gt;$G232,IF(OR(status1B5!AP232=1,status1B5!AP232=2,'BOULEVARD 5'!AS230&gt;0),"Pagado","impago"),""))</f>
        <v>Pagado</v>
      </c>
      <c r="AP232" s="429" t="str">
        <f t="shared" si="8"/>
        <v>Vendido</v>
      </c>
    </row>
    <row r="233" spans="1:42" s="429" customFormat="1" ht="13.9" customHeight="1" x14ac:dyDescent="0.25">
      <c r="A233" s="472"/>
      <c r="B233" s="436">
        <f>'BOULEVARD 5'!B231</f>
        <v>1302</v>
      </c>
      <c r="C233" s="436" t="s">
        <v>355</v>
      </c>
      <c r="D233" s="436"/>
      <c r="E233" s="436" t="str">
        <f>IF('BOULEVARD 5'!E231="","",'BOULEVARD 5'!E231)</f>
        <v>Antonio Rada</v>
      </c>
      <c r="F233" s="429" t="str">
        <f>IF('BOULEVARD 5'!F231="","",'BOULEVARD 5'!F231)</f>
        <v>Rodolfo Godoy Lemus</v>
      </c>
      <c r="G233" s="473">
        <f>IF('BOULEVARD 5'!G231="","",'BOULEVARD 5'!G231)</f>
        <v>45609</v>
      </c>
      <c r="H233" s="666" t="str">
        <f>IF(OR($A233="F&amp;F",$G233=""),"",IF(H$8&gt;$G233,IF(OR(status1B5!I233=1,status1B5!I233=2,'BOULEVARD 5'!K231&gt;0),"Pagado","impago"),""))</f>
        <v/>
      </c>
      <c r="I233" s="666" t="str">
        <f>IF(OR($A233="F&amp;F",$G233=""),"",IF(I$8&gt;$G233,IF(OR(status1B5!J233=1,status1B5!J233=2,'BOULEVARD 5'!L231&gt;0),"Pagado","impago"),""))</f>
        <v/>
      </c>
      <c r="J233" s="666" t="str">
        <f>IF(OR($A233="F&amp;F",$G233=""),"",IF(J$8&gt;$G233,IF(OR(status1B5!K233=1,status1B5!K233=2,'BOULEVARD 5'!M231&gt;0),"Pagado","impago"),""))</f>
        <v/>
      </c>
      <c r="K233" s="666" t="str">
        <f>IF(OR($A233="F&amp;F",$G233=""),"",IF(K$8&gt;$G233,IF(OR(status1B5!L233=1,status1B5!L233=2,'BOULEVARD 5'!N231&gt;0),"Pagado","impago"),""))</f>
        <v/>
      </c>
      <c r="L233" s="666" t="str">
        <f>IF(OR($A233="F&amp;F",$G233=""),"",IF(L$8&gt;$G233,IF(OR(status1B5!M233=1,status1B5!M233=2,'BOULEVARD 5'!O231&gt;0),"Pagado","impago"),""))</f>
        <v/>
      </c>
      <c r="M233" s="666" t="str">
        <f>IF(OR($A233="F&amp;F",$G233=""),"",IF(M$8&gt;$G233,IF(OR(status1B5!N233=1,status1B5!N233=2,'BOULEVARD 5'!P231&gt;0),"Pagado","impago"),""))</f>
        <v/>
      </c>
      <c r="N233" s="666" t="str">
        <f>IF(OR($A233="F&amp;F",$G233=""),"",IF(N$8&gt;$G233,IF(OR(status1B5!O233=1,status1B5!O233=2,'BOULEVARD 5'!Q231&gt;0),"Pagado","impago"),""))</f>
        <v/>
      </c>
      <c r="O233" s="666" t="str">
        <f>IF(OR($A233="F&amp;F",$G233=""),"",IF(O$8&gt;$G233,IF(OR(status1B5!P233=1,status1B5!P233=2,'BOULEVARD 5'!R231&gt;0),"Pagado","impago"),""))</f>
        <v/>
      </c>
      <c r="P233" s="666" t="str">
        <f>IF(OR($A233="F&amp;F",$G233=""),"",IF(P$8&gt;$G233,IF(OR(status1B5!Q233=1,status1B5!Q233=2,'BOULEVARD 5'!S231&gt;0),"Pagado","impago"),""))</f>
        <v/>
      </c>
      <c r="Q233" s="666" t="str">
        <f>IF(OR($A233="F&amp;F",$G233=""),"",IF(Q$8&gt;$G233,IF(OR(status1B5!R233=1,status1B5!R233=2,'BOULEVARD 5'!T231&gt;0),"Pagado","impago"),""))</f>
        <v/>
      </c>
      <c r="R233" s="666" t="str">
        <f>IF(OR($A233="F&amp;F",$G233=""),"",IF(R$8&gt;$G233,IF(OR(status1B5!S233=1,status1B5!S233=2,'BOULEVARD 5'!U231&gt;0),"Pagado","impago"),""))</f>
        <v/>
      </c>
      <c r="S233" s="666" t="str">
        <f>IF(OR($A233="F&amp;F",$G233=""),"",IF(S$8&gt;$G233,IF(OR(status1B5!T233=1,status1B5!T233=2,'BOULEVARD 5'!V231&gt;0),"Pagado","impago"),""))</f>
        <v/>
      </c>
      <c r="T233" s="666" t="str">
        <f>IF(OR($A233="F&amp;F",$G233=""),"",IF(T$8&gt;$G233,IF(OR(status1B5!U233=1,status1B5!U233=2,'BOULEVARD 5'!W231&gt;0),"Pagado","impago"),""))</f>
        <v/>
      </c>
      <c r="U233" s="666" t="str">
        <f>IF(OR($A233="F&amp;F",$G233=""),"",IF(U$8&gt;$G233,IF(OR(status1B5!V233=1,status1B5!V233=2,'BOULEVARD 5'!X231&gt;0),"Pagado","impago"),""))</f>
        <v/>
      </c>
      <c r="V233" s="666" t="str">
        <f>IF(OR($A233="F&amp;F",$G233=""),"",IF(V$8&gt;$G233,IF(OR(status1B5!W233=1,status1B5!W233=2,'BOULEVARD 5'!Y231&gt;0),"Pagado","impago"),""))</f>
        <v/>
      </c>
      <c r="W233" s="666" t="str">
        <f>IF(OR($A233="F&amp;F",$G233=""),"",IF(W$8&gt;$G233,IF(OR(status1B5!X233=1,status1B5!X233=2,'BOULEVARD 5'!Z231&gt;0),"Pagado","impago"),""))</f>
        <v/>
      </c>
      <c r="X233" s="666" t="str">
        <f>IF(OR($A233="F&amp;F",$G233=""),"",IF(X$8&gt;$G233,IF(OR(status1B5!Y233=1,status1B5!Y233=2,'BOULEVARD 5'!AA231&gt;0),"Pagado","impago"),""))</f>
        <v/>
      </c>
      <c r="Y233" s="666" t="str">
        <f>IF(OR($A233="F&amp;F",$G233=""),"",IF(Y$8&gt;$G233,IF(OR(status1B5!Z233=1,status1B5!Z233=2,'BOULEVARD 5'!AB231&gt;0),"Pagado","impago"),""))</f>
        <v/>
      </c>
      <c r="Z233" s="666" t="str">
        <f>IF(OR($A233="F&amp;F",$G233=""),"",IF(Z$8&gt;$G233,IF(OR(status1B5!AA233=1,status1B5!AA233=2,'BOULEVARD 5'!AC231&gt;0),"Pagado","impago"),""))</f>
        <v/>
      </c>
      <c r="AA233" s="666" t="str">
        <f>IF(OR($A233="F&amp;F",$G233=""),"",IF(AA$8&gt;$G233,IF(OR(status1B5!AB233=1,status1B5!AB233=2,'BOULEVARD 5'!AD231&gt;0),"Pagado","impago"),""))</f>
        <v/>
      </c>
      <c r="AB233" s="666" t="str">
        <f>IF(OR($A233="F&amp;F",$G233=""),"",IF(AB$8&gt;$G233,IF(OR(status1B5!AC233=1,status1B5!AC233=2,'BOULEVARD 5'!AE231&gt;0),"Pagado","impago"),""))</f>
        <v>Pagado</v>
      </c>
      <c r="AC233" s="666" t="str">
        <f>IF(OR($A233="F&amp;F",$G233=""),"",IF(AC$8&gt;$G233,IF(OR(status1B5!AD233=1,status1B5!AD233=2,'BOULEVARD 5'!AF231&gt;0),"Pagado","impago"),""))</f>
        <v>Pagado</v>
      </c>
      <c r="AD233" s="666" t="str">
        <f>IF(OR($A233="F&amp;F",$G233=""),"",IF(AD$8&gt;$G233,IF(OR(status1B5!AE233=1,status1B5!AE233=2,'BOULEVARD 5'!AG231&gt;0),"Pagado","impago"),""))</f>
        <v>Pagado</v>
      </c>
      <c r="AE233" s="666" t="str">
        <f>IF(OR($A233="F&amp;F",$G233=""),"",IF(AE$8&gt;$G233,IF(OR(status1B5!AF233=1,status1B5!AF233=2,'BOULEVARD 5'!AH231&gt;0),"Pagado","impago"),""))</f>
        <v>Pagado</v>
      </c>
      <c r="AF233" s="666" t="str">
        <f>IF(OR($A233="F&amp;F",$G233=""),"",IF(AF$8&gt;$G233,IF(OR(status1B5!AG233=1,status1B5!AG233=2,'BOULEVARD 5'!AI231&gt;0),"Pagado","impago"),""))</f>
        <v>Pagado</v>
      </c>
      <c r="AG233" s="666" t="str">
        <f>IF(OR($A233="F&amp;F",$G233=""),"",IF(AG$8&gt;$G233,IF(OR(status1B5!AH233=1,status1B5!AH233=2,'BOULEVARD 5'!AJ231&gt;0),"Pagado","impago"),""))</f>
        <v>Pagado</v>
      </c>
      <c r="AH233" s="666" t="str">
        <f>IF(OR($A233="F&amp;F",$G233=""),"",IF(AH$8&gt;$G233,IF(OR(status1B5!AI233=1,status1B5!AI233=2,'BOULEVARD 5'!AK231&gt;0),"Pagado","impago"),""))</f>
        <v>Pagado</v>
      </c>
      <c r="AI233" s="666" t="str">
        <f>IF(OR($A233="F&amp;F",$G233=""),"",IF(AI$8&gt;$G233,IF(OR(status1B5!AJ233=1,status1B5!AJ233=2,'BOULEVARD 5'!AL231&gt;0),"Pagado","impago"),""))</f>
        <v>Pagado</v>
      </c>
      <c r="AJ233" s="666" t="str">
        <f>IF(OR($A233="F&amp;F",$G233=""),"",IF(AJ$8&gt;$G233,IF(OR(status1B5!AK233=1,status1B5!AK233=2,'BOULEVARD 5'!AM231&gt;0),"Pagado","impago"),""))</f>
        <v>Pagado</v>
      </c>
      <c r="AK233" s="666" t="str">
        <f>IF(OR($A233="F&amp;F",$G233=""),"",IF(AK$8&gt;$G233,IF(OR(status1B5!AL233=1,status1B5!AL233=2,'BOULEVARD 5'!AN231&gt;0),"Pagado","impago"),""))</f>
        <v>Pagado</v>
      </c>
      <c r="AL233" s="666" t="str">
        <f>IF(OR($A233="F&amp;F",$G233=""),"",IF(AL$8&gt;$G233,IF(OR(status1B5!AM233=1,status1B5!AM233=2,'BOULEVARD 5'!AO231&gt;0),"Pagado","impago"),""))</f>
        <v>Pagado</v>
      </c>
      <c r="AM233" s="666" t="str">
        <f>IF(OR($A233="F&amp;F",$G233=""),"",IF(AM$8&gt;$G233,IF(OR(status1B5!AN233=1,status1B5!AN233=2,'BOULEVARD 5'!AP231&gt;0),"Pagado","impago"),""))</f>
        <v>Pagado</v>
      </c>
      <c r="AN233" s="666" t="str">
        <f>IF(OR($A233="F&amp;F",$G233=""),"",IF(AN$8&gt;$G233,IF(OR(status1B5!AO233=1,status1B5!AO233=2,'BOULEVARD 5'!AQ231&gt;0),"Pagado","impago"),""))</f>
        <v>Pagado</v>
      </c>
      <c r="AO233" s="666" t="str">
        <f>IF(OR($A233="F&amp;F",$G233=""),"",IF(AO$8&gt;$G233,IF(OR(status1B5!AP233=1,status1B5!AP233=2,'BOULEVARD 5'!AS231&gt;0),"Pagado","impago"),""))</f>
        <v>Pagado</v>
      </c>
      <c r="AP233" s="429" t="str">
        <f t="shared" si="8"/>
        <v>Vendido</v>
      </c>
    </row>
    <row r="234" spans="1:42" s="429" customFormat="1" ht="13.9" customHeight="1" x14ac:dyDescent="0.25">
      <c r="A234" s="472"/>
      <c r="B234" s="436">
        <f>'BOULEVARD 5'!B232</f>
        <v>1303</v>
      </c>
      <c r="C234" s="436" t="s">
        <v>355</v>
      </c>
      <c r="D234" s="436"/>
      <c r="E234" s="436" t="str">
        <f>IF('BOULEVARD 5'!E232="","",'BOULEVARD 5'!E232)</f>
        <v>Antonio Rada</v>
      </c>
      <c r="F234" s="429" t="str">
        <f>IF('BOULEVARD 5'!F232="","",'BOULEVARD 5'!F232)</f>
        <v>Ricardo Fernando Linares Perez</v>
      </c>
      <c r="G234" s="473">
        <f>IF('BOULEVARD 5'!G232="","",'BOULEVARD 5'!G232)</f>
        <v>45144</v>
      </c>
      <c r="H234" s="666" t="str">
        <f>IF(OR($A234="F&amp;F",$G234=""),"",IF(H$8&gt;$G234,IF(OR(status1B5!I234=1,status1B5!I234=2,'BOULEVARD 5'!K232&gt;0),"Pagado","impago"),""))</f>
        <v/>
      </c>
      <c r="I234" s="666" t="str">
        <f>IF(OR($A234="F&amp;F",$G234=""),"",IF(I$8&gt;$G234,IF(OR(status1B5!J234=1,status1B5!J234=2,'BOULEVARD 5'!L232&gt;0),"Pagado","impago"),""))</f>
        <v/>
      </c>
      <c r="J234" s="666" t="str">
        <f>IF(OR($A234="F&amp;F",$G234=""),"",IF(J$8&gt;$G234,IF(OR(status1B5!K234=1,status1B5!K234=2,'BOULEVARD 5'!M232&gt;0),"Pagado","impago"),""))</f>
        <v/>
      </c>
      <c r="K234" s="666" t="str">
        <f>IF(OR($A234="F&amp;F",$G234=""),"",IF(K$8&gt;$G234,IF(OR(status1B5!L234=1,status1B5!L234=2,'BOULEVARD 5'!N232&gt;0),"Pagado","impago"),""))</f>
        <v/>
      </c>
      <c r="L234" s="666" t="str">
        <f>IF(OR($A234="F&amp;F",$G234=""),"",IF(L$8&gt;$G234,IF(OR(status1B5!M234=1,status1B5!M234=2,'BOULEVARD 5'!O232&gt;0),"Pagado","impago"),""))</f>
        <v/>
      </c>
      <c r="M234" s="666" t="str">
        <f>IF(OR($A234="F&amp;F",$G234=""),"",IF(M$8&gt;$G234,IF(OR(status1B5!N234=1,status1B5!N234=2,'BOULEVARD 5'!P232&gt;0),"Pagado","impago"),""))</f>
        <v>Pagado</v>
      </c>
      <c r="N234" s="666" t="str">
        <f>IF(OR($A234="F&amp;F",$G234=""),"",IF(N$8&gt;$G234,IF(OR(status1B5!O234=1,status1B5!O234=2,'BOULEVARD 5'!Q232&gt;0),"Pagado","impago"),""))</f>
        <v>Pagado</v>
      </c>
      <c r="O234" s="666" t="str">
        <f>IF(OR($A234="F&amp;F",$G234=""),"",IF(O$8&gt;$G234,IF(OR(status1B5!P234=1,status1B5!P234=2,'BOULEVARD 5'!R232&gt;0),"Pagado","impago"),""))</f>
        <v>Pagado</v>
      </c>
      <c r="P234" s="666" t="str">
        <f>IF(OR($A234="F&amp;F",$G234=""),"",IF(P$8&gt;$G234,IF(OR(status1B5!Q234=1,status1B5!Q234=2,'BOULEVARD 5'!S232&gt;0),"Pagado","impago"),""))</f>
        <v>Pagado</v>
      </c>
      <c r="Q234" s="666" t="str">
        <f>IF(OR($A234="F&amp;F",$G234=""),"",IF(Q$8&gt;$G234,IF(OR(status1B5!R234=1,status1B5!R234=2,'BOULEVARD 5'!T232&gt;0),"Pagado","impago"),""))</f>
        <v>Pagado</v>
      </c>
      <c r="R234" s="666" t="str">
        <f>IF(OR($A234="F&amp;F",$G234=""),"",IF(R$8&gt;$G234,IF(OR(status1B5!S234=1,status1B5!S234=2,'BOULEVARD 5'!U232&gt;0),"Pagado","impago"),""))</f>
        <v>Pagado</v>
      </c>
      <c r="S234" s="666" t="str">
        <f>IF(OR($A234="F&amp;F",$G234=""),"",IF(S$8&gt;$G234,IF(OR(status1B5!T234=1,status1B5!T234=2,'BOULEVARD 5'!V232&gt;0),"Pagado","impago"),""))</f>
        <v>Pagado</v>
      </c>
      <c r="T234" s="666" t="str">
        <f>IF(OR($A234="F&amp;F",$G234=""),"",IF(T$8&gt;$G234,IF(OR(status1B5!U234=1,status1B5!U234=2,'BOULEVARD 5'!W232&gt;0),"Pagado","impago"),""))</f>
        <v>Pagado</v>
      </c>
      <c r="U234" s="666" t="str">
        <f>IF(OR($A234="F&amp;F",$G234=""),"",IF(U$8&gt;$G234,IF(OR(status1B5!V234=1,status1B5!V234=2,'BOULEVARD 5'!X232&gt;0),"Pagado","impago"),""))</f>
        <v>Pagado</v>
      </c>
      <c r="V234" s="666" t="str">
        <f>IF(OR($A234="F&amp;F",$G234=""),"",IF(V$8&gt;$G234,IF(OR(status1B5!W234=1,status1B5!W234=2,'BOULEVARD 5'!Y232&gt;0),"Pagado","impago"),""))</f>
        <v>Pagado</v>
      </c>
      <c r="W234" s="666" t="str">
        <f>IF(OR($A234="F&amp;F",$G234=""),"",IF(W$8&gt;$G234,IF(OR(status1B5!X234=1,status1B5!X234=2,'BOULEVARD 5'!Z232&gt;0),"Pagado","impago"),""))</f>
        <v>Pagado</v>
      </c>
      <c r="X234" s="666" t="str">
        <f>IF(OR($A234="F&amp;F",$G234=""),"",IF(X$8&gt;$G234,IF(OR(status1B5!Y234=1,status1B5!Y234=2,'BOULEVARD 5'!AA232&gt;0),"Pagado","impago"),""))</f>
        <v>Pagado</v>
      </c>
      <c r="Y234" s="666" t="str">
        <f>IF(OR($A234="F&amp;F",$G234=""),"",IF(Y$8&gt;$G234,IF(OR(status1B5!Z234=1,status1B5!Z234=2,'BOULEVARD 5'!AB232&gt;0),"Pagado","impago"),""))</f>
        <v>Pagado</v>
      </c>
      <c r="Z234" s="666" t="str">
        <f>IF(OR($A234="F&amp;F",$G234=""),"",IF(Z$8&gt;$G234,IF(OR(status1B5!AA234=1,status1B5!AA234=2,'BOULEVARD 5'!AC232&gt;0),"Pagado","impago"),""))</f>
        <v>Pagado</v>
      </c>
      <c r="AA234" s="666" t="str">
        <f>IF(OR($A234="F&amp;F",$G234=""),"",IF(AA$8&gt;$G234,IF(OR(status1B5!AB234=1,status1B5!AB234=2,'BOULEVARD 5'!AD232&gt;0),"Pagado","impago"),""))</f>
        <v>Pagado</v>
      </c>
      <c r="AB234" s="666" t="str">
        <f>IF(OR($A234="F&amp;F",$G234=""),"",IF(AB$8&gt;$G234,IF(OR(status1B5!AC234=1,status1B5!AC234=2,'BOULEVARD 5'!AE232&gt;0),"Pagado","impago"),""))</f>
        <v>Pagado</v>
      </c>
      <c r="AC234" s="666" t="str">
        <f>IF(OR($A234="F&amp;F",$G234=""),"",IF(AC$8&gt;$G234,IF(OR(status1B5!AD234=1,status1B5!AD234=2,'BOULEVARD 5'!AF232&gt;0),"Pagado","impago"),""))</f>
        <v>Pagado</v>
      </c>
      <c r="AD234" s="666" t="str">
        <f>IF(OR($A234="F&amp;F",$G234=""),"",IF(AD$8&gt;$G234,IF(OR(status1B5!AE234=1,status1B5!AE234=2,'BOULEVARD 5'!AG232&gt;0),"Pagado","impago"),""))</f>
        <v>Pagado</v>
      </c>
      <c r="AE234" s="666" t="str">
        <f>IF(OR($A234="F&amp;F",$G234=""),"",IF(AE$8&gt;$G234,IF(OR(status1B5!AF234=1,status1B5!AF234=2,'BOULEVARD 5'!AH232&gt;0),"Pagado","impago"),""))</f>
        <v>Pagado</v>
      </c>
      <c r="AF234" s="666" t="str">
        <f>IF(OR($A234="F&amp;F",$G234=""),"",IF(AF$8&gt;$G234,IF(OR(status1B5!AG234=1,status1B5!AG234=2,'BOULEVARD 5'!AI232&gt;0),"Pagado","impago"),""))</f>
        <v>Pagado</v>
      </c>
      <c r="AG234" s="666" t="str">
        <f>IF(OR($A234="F&amp;F",$G234=""),"",IF(AG$8&gt;$G234,IF(OR(status1B5!AH234=1,status1B5!AH234=2,'BOULEVARD 5'!AJ232&gt;0),"Pagado","impago"),""))</f>
        <v>Pagado</v>
      </c>
      <c r="AH234" s="666" t="str">
        <f>IF(OR($A234="F&amp;F",$G234=""),"",IF(AH$8&gt;$G234,IF(OR(status1B5!AI234=1,status1B5!AI234=2,'BOULEVARD 5'!AK232&gt;0),"Pagado","impago"),""))</f>
        <v>Pagado</v>
      </c>
      <c r="AI234" s="666" t="str">
        <f>IF(OR($A234="F&amp;F",$G234=""),"",IF(AI$8&gt;$G234,IF(OR(status1B5!AJ234=1,status1B5!AJ234=2,'BOULEVARD 5'!AL232&gt;0),"Pagado","impago"),""))</f>
        <v>Pagado</v>
      </c>
      <c r="AJ234" s="666" t="str">
        <f>IF(OR($A234="F&amp;F",$G234=""),"",IF(AJ$8&gt;$G234,IF(OR(status1B5!AK234=1,status1B5!AK234=2,'BOULEVARD 5'!AM232&gt;0),"Pagado","impago"),""))</f>
        <v>Pagado</v>
      </c>
      <c r="AK234" s="666" t="str">
        <f>IF(OR($A234="F&amp;F",$G234=""),"",IF(AK$8&gt;$G234,IF(OR(status1B5!AL234=1,status1B5!AL234=2,'BOULEVARD 5'!AN232&gt;0),"Pagado","impago"),""))</f>
        <v>Pagado</v>
      </c>
      <c r="AL234" s="666" t="str">
        <f>IF(OR($A234="F&amp;F",$G234=""),"",IF(AL$8&gt;$G234,IF(OR(status1B5!AM234=1,status1B5!AM234=2,'BOULEVARD 5'!AO232&gt;0),"Pagado","impago"),""))</f>
        <v>Pagado</v>
      </c>
      <c r="AM234" s="666" t="str">
        <f>IF(OR($A234="F&amp;F",$G234=""),"",IF(AM$8&gt;$G234,IF(OR(status1B5!AN234=1,status1B5!AN234=2,'BOULEVARD 5'!AP232&gt;0),"Pagado","impago"),""))</f>
        <v>Pagado</v>
      </c>
      <c r="AN234" s="666" t="str">
        <f>IF(OR($A234="F&amp;F",$G234=""),"",IF(AN$8&gt;$G234,IF(OR(status1B5!AO234=1,status1B5!AO234=2,'BOULEVARD 5'!AQ232&gt;0),"Pagado","impago"),""))</f>
        <v>Pagado</v>
      </c>
      <c r="AO234" s="666" t="str">
        <f>IF(OR($A234="F&amp;F",$G234=""),"",IF(AO$8&gt;$G234,IF(OR(status1B5!AP234=1,status1B5!AP234=2,'BOULEVARD 5'!AS232&gt;0),"Pagado","impago"),""))</f>
        <v>Pagado</v>
      </c>
      <c r="AP234" s="429" t="str">
        <f t="shared" si="8"/>
        <v>Vendido</v>
      </c>
    </row>
    <row r="235" spans="1:42" s="429" customFormat="1" ht="13.9" customHeight="1" x14ac:dyDescent="0.25">
      <c r="A235" s="472"/>
      <c r="B235" s="436">
        <f>'BOULEVARD 5'!B233</f>
        <v>1304</v>
      </c>
      <c r="C235" s="436" t="s">
        <v>355</v>
      </c>
      <c r="D235" s="436"/>
      <c r="E235" s="436" t="str">
        <f>IF('BOULEVARD 5'!E233="","",'BOULEVARD 5'!E233)</f>
        <v>Antonio Rada</v>
      </c>
      <c r="F235" s="429" t="str">
        <f>IF('BOULEVARD 5'!F233="","",'BOULEVARD 5'!F233)</f>
        <v>Shirley Hilene Recinos</v>
      </c>
      <c r="G235" s="473">
        <f>IF('BOULEVARD 5'!G233="","",'BOULEVARD 5'!G233)</f>
        <v>45223</v>
      </c>
      <c r="H235" s="666" t="str">
        <f>IF(OR($A235="F&amp;F",$G235=""),"",IF(H$8&gt;$G235,IF(OR(status1B5!I235=1,status1B5!I235=2,'BOULEVARD 5'!K233&gt;0),"Pagado","impago"),""))</f>
        <v/>
      </c>
      <c r="I235" s="666" t="str">
        <f>IF(OR($A235="F&amp;F",$G235=""),"",IF(I$8&gt;$G235,IF(OR(status1B5!J235=1,status1B5!J235=2,'BOULEVARD 5'!L233&gt;0),"Pagado","impago"),""))</f>
        <v/>
      </c>
      <c r="J235" s="666" t="str">
        <f>IF(OR($A235="F&amp;F",$G235=""),"",IF(J$8&gt;$G235,IF(OR(status1B5!K235=1,status1B5!K235=2,'BOULEVARD 5'!M233&gt;0),"Pagado","impago"),""))</f>
        <v/>
      </c>
      <c r="K235" s="666" t="str">
        <f>IF(OR($A235="F&amp;F",$G235=""),"",IF(K$8&gt;$G235,IF(OR(status1B5!L235=1,status1B5!L235=2,'BOULEVARD 5'!N233&gt;0),"Pagado","impago"),""))</f>
        <v/>
      </c>
      <c r="L235" s="666" t="str">
        <f>IF(OR($A235="F&amp;F",$G235=""),"",IF(L$8&gt;$G235,IF(OR(status1B5!M235=1,status1B5!M235=2,'BOULEVARD 5'!O233&gt;0),"Pagado","impago"),""))</f>
        <v/>
      </c>
      <c r="M235" s="666" t="str">
        <f>IF(OR($A235="F&amp;F",$G235=""),"",IF(M$8&gt;$G235,IF(OR(status1B5!N235=1,status1B5!N235=2,'BOULEVARD 5'!P233&gt;0),"Pagado","impago"),""))</f>
        <v/>
      </c>
      <c r="N235" s="666" t="str">
        <f>IF(OR($A235="F&amp;F",$G235=""),"",IF(N$8&gt;$G235,IF(OR(status1B5!O235=1,status1B5!O235=2,'BOULEVARD 5'!Q233&gt;0),"Pagado","impago"),""))</f>
        <v/>
      </c>
      <c r="O235" s="666" t="str">
        <f>IF(OR($A235="F&amp;F",$G235=""),"",IF(O$8&gt;$G235,IF(OR(status1B5!P235=1,status1B5!P235=2,'BOULEVARD 5'!R233&gt;0),"Pagado","impago"),""))</f>
        <v>Pagado</v>
      </c>
      <c r="P235" s="666" t="str">
        <f>IF(OR($A235="F&amp;F",$G235=""),"",IF(P$8&gt;$G235,IF(OR(status1B5!Q235=1,status1B5!Q235=2,'BOULEVARD 5'!S233&gt;0),"Pagado","impago"),""))</f>
        <v>Pagado</v>
      </c>
      <c r="Q235" s="666" t="str">
        <f>IF(OR($A235="F&amp;F",$G235=""),"",IF(Q$8&gt;$G235,IF(OR(status1B5!R235=1,status1B5!R235=2,'BOULEVARD 5'!T233&gt;0),"Pagado","impago"),""))</f>
        <v>Pagado</v>
      </c>
      <c r="R235" s="666" t="str">
        <f>IF(OR($A235="F&amp;F",$G235=""),"",IF(R$8&gt;$G235,IF(OR(status1B5!S235=1,status1B5!S235=2,'BOULEVARD 5'!U233&gt;0),"Pagado","impago"),""))</f>
        <v>Pagado</v>
      </c>
      <c r="S235" s="666" t="str">
        <f>IF(OR($A235="F&amp;F",$G235=""),"",IF(S$8&gt;$G235,IF(OR(status1B5!T235=1,status1B5!T235=2,'BOULEVARD 5'!V233&gt;0),"Pagado","impago"),""))</f>
        <v>Pagado</v>
      </c>
      <c r="T235" s="666" t="str">
        <f>IF(OR($A235="F&amp;F",$G235=""),"",IF(T$8&gt;$G235,IF(OR(status1B5!U235=1,status1B5!U235=2,'BOULEVARD 5'!W233&gt;0),"Pagado","impago"),""))</f>
        <v>Pagado</v>
      </c>
      <c r="U235" s="666" t="str">
        <f>IF(OR($A235="F&amp;F",$G235=""),"",IF(U$8&gt;$G235,IF(OR(status1B5!V235=1,status1B5!V235=2,'BOULEVARD 5'!X233&gt;0),"Pagado","impago"),""))</f>
        <v>Pagado</v>
      </c>
      <c r="V235" s="666" t="str">
        <f>IF(OR($A235="F&amp;F",$G235=""),"",IF(V$8&gt;$G235,IF(OR(status1B5!W235=1,status1B5!W235=2,'BOULEVARD 5'!Y233&gt;0),"Pagado","impago"),""))</f>
        <v>Pagado</v>
      </c>
      <c r="W235" s="666" t="str">
        <f>IF(OR($A235="F&amp;F",$G235=""),"",IF(W$8&gt;$G235,IF(OR(status1B5!X235=1,status1B5!X235=2,'BOULEVARD 5'!Z233&gt;0),"Pagado","impago"),""))</f>
        <v>Pagado</v>
      </c>
      <c r="X235" s="666" t="str">
        <f>IF(OR($A235="F&amp;F",$G235=""),"",IF(X$8&gt;$G235,IF(OR(status1B5!Y235=1,status1B5!Y235=2,'BOULEVARD 5'!AA233&gt;0),"Pagado","impago"),""))</f>
        <v>Pagado</v>
      </c>
      <c r="Y235" s="666" t="str">
        <f>IF(OR($A235="F&amp;F",$G235=""),"",IF(Y$8&gt;$G235,IF(OR(status1B5!Z235=1,status1B5!Z235=2,'BOULEVARD 5'!AB233&gt;0),"Pagado","impago"),""))</f>
        <v>Pagado</v>
      </c>
      <c r="Z235" s="666" t="str">
        <f>IF(OR($A235="F&amp;F",$G235=""),"",IF(Z$8&gt;$G235,IF(OR(status1B5!AA235=1,status1B5!AA235=2,'BOULEVARD 5'!AC233&gt;0),"Pagado","impago"),""))</f>
        <v>Pagado</v>
      </c>
      <c r="AA235" s="666" t="str">
        <f>IF(OR($A235="F&amp;F",$G235=""),"",IF(AA$8&gt;$G235,IF(OR(status1B5!AB235=1,status1B5!AB235=2,'BOULEVARD 5'!AD233&gt;0),"Pagado","impago"),""))</f>
        <v>Pagado</v>
      </c>
      <c r="AB235" s="666" t="str">
        <f>IF(OR($A235="F&amp;F",$G235=""),"",IF(AB$8&gt;$G235,IF(OR(status1B5!AC235=1,status1B5!AC235=2,'BOULEVARD 5'!AE233&gt;0),"Pagado","impago"),""))</f>
        <v>Pagado</v>
      </c>
      <c r="AC235" s="666" t="str">
        <f>IF(OR($A235="F&amp;F",$G235=""),"",IF(AC$8&gt;$G235,IF(OR(status1B5!AD235=1,status1B5!AD235=2,'BOULEVARD 5'!AF233&gt;0),"Pagado","impago"),""))</f>
        <v>Pagado</v>
      </c>
      <c r="AD235" s="666" t="str">
        <f>IF(OR($A235="F&amp;F",$G235=""),"",IF(AD$8&gt;$G235,IF(OR(status1B5!AE235=1,status1B5!AE235=2,'BOULEVARD 5'!AG233&gt;0),"Pagado","impago"),""))</f>
        <v>Pagado</v>
      </c>
      <c r="AE235" s="666" t="str">
        <f>IF(OR($A235="F&amp;F",$G235=""),"",IF(AE$8&gt;$G235,IF(OR(status1B5!AF235=1,status1B5!AF235=2,'BOULEVARD 5'!AH233&gt;0),"Pagado","impago"),""))</f>
        <v>Pagado</v>
      </c>
      <c r="AF235" s="666" t="str">
        <f>IF(OR($A235="F&amp;F",$G235=""),"",IF(AF$8&gt;$G235,IF(OR(status1B5!AG235=1,status1B5!AG235=2,'BOULEVARD 5'!AI233&gt;0),"Pagado","impago"),""))</f>
        <v>Pagado</v>
      </c>
      <c r="AG235" s="666" t="str">
        <f>IF(OR($A235="F&amp;F",$G235=""),"",IF(AG$8&gt;$G235,IF(OR(status1B5!AH235=1,status1B5!AH235=2,'BOULEVARD 5'!AJ233&gt;0),"Pagado","impago"),""))</f>
        <v>Pagado</v>
      </c>
      <c r="AH235" s="666" t="str">
        <f>IF(OR($A235="F&amp;F",$G235=""),"",IF(AH$8&gt;$G235,IF(OR(status1B5!AI235=1,status1B5!AI235=2,'BOULEVARD 5'!AK233&gt;0),"Pagado","impago"),""))</f>
        <v>Pagado</v>
      </c>
      <c r="AI235" s="666" t="str">
        <f>IF(OR($A235="F&amp;F",$G235=""),"",IF(AI$8&gt;$G235,IF(OR(status1B5!AJ235=1,status1B5!AJ235=2,'BOULEVARD 5'!AL233&gt;0),"Pagado","impago"),""))</f>
        <v>Pagado</v>
      </c>
      <c r="AJ235" s="666" t="str">
        <f>IF(OR($A235="F&amp;F",$G235=""),"",IF(AJ$8&gt;$G235,IF(OR(status1B5!AK235=1,status1B5!AK235=2,'BOULEVARD 5'!AM233&gt;0),"Pagado","impago"),""))</f>
        <v>Pagado</v>
      </c>
      <c r="AK235" s="666" t="str">
        <f>IF(OR($A235="F&amp;F",$G235=""),"",IF(AK$8&gt;$G235,IF(OR(status1B5!AL235=1,status1B5!AL235=2,'BOULEVARD 5'!AN233&gt;0),"Pagado","impago"),""))</f>
        <v>Pagado</v>
      </c>
      <c r="AL235" s="666" t="str">
        <f>IF(OR($A235="F&amp;F",$G235=""),"",IF(AL$8&gt;$G235,IF(OR(status1B5!AM235=1,status1B5!AM235=2,'BOULEVARD 5'!AO233&gt;0),"Pagado","impago"),""))</f>
        <v>Pagado</v>
      </c>
      <c r="AM235" s="666" t="str">
        <f>IF(OR($A235="F&amp;F",$G235=""),"",IF(AM$8&gt;$G235,IF(OR(status1B5!AN235=1,status1B5!AN235=2,'BOULEVARD 5'!AP233&gt;0),"Pagado","impago"),""))</f>
        <v>Pagado</v>
      </c>
      <c r="AN235" s="666" t="str">
        <f>IF(OR($A235="F&amp;F",$G235=""),"",IF(AN$8&gt;$G235,IF(OR(status1B5!AO235=1,status1B5!AO235=2,'BOULEVARD 5'!AQ233&gt;0),"Pagado","impago"),""))</f>
        <v>Pagado</v>
      </c>
      <c r="AO235" s="666" t="str">
        <f>IF(OR($A235="F&amp;F",$G235=""),"",IF(AO$8&gt;$G235,IF(OR(status1B5!AP235=1,status1B5!AP235=2,'BOULEVARD 5'!AS233&gt;0),"Pagado","impago"),""))</f>
        <v>Pagado</v>
      </c>
      <c r="AP235" s="429" t="str">
        <f t="shared" si="8"/>
        <v>Vendido</v>
      </c>
    </row>
    <row r="236" spans="1:42" s="429" customFormat="1" ht="13.9" customHeight="1" x14ac:dyDescent="0.25">
      <c r="A236" s="472"/>
      <c r="B236" s="436">
        <f>'BOULEVARD 5'!B234</f>
        <v>1305</v>
      </c>
      <c r="C236" s="436" t="s">
        <v>355</v>
      </c>
      <c r="D236" s="436"/>
      <c r="E236" s="436" t="str">
        <f>IF('BOULEVARD 5'!E234="","",'BOULEVARD 5'!E234)</f>
        <v>Antonio Rada</v>
      </c>
      <c r="F236" s="429" t="str">
        <f>IF('BOULEVARD 5'!F234="","",'BOULEVARD 5'!F234)</f>
        <v>Jose Salvador Franco Rosales</v>
      </c>
      <c r="G236" s="473">
        <f>IF('BOULEVARD 5'!G234="","",'BOULEVARD 5'!G234)</f>
        <v>45779</v>
      </c>
      <c r="H236" s="666" t="str">
        <f>IF(OR($A236="F&amp;F",$G236=""),"",IF(H$8&gt;$G236,IF(OR(status1B5!I236=1,status1B5!I236=2,'BOULEVARD 5'!K234&gt;0),"Pagado","impago"),""))</f>
        <v/>
      </c>
      <c r="I236" s="666" t="str">
        <f>IF(OR($A236="F&amp;F",$G236=""),"",IF(I$8&gt;$G236,IF(OR(status1B5!J236=1,status1B5!J236=2,'BOULEVARD 5'!L234&gt;0),"Pagado","impago"),""))</f>
        <v/>
      </c>
      <c r="J236" s="666" t="str">
        <f>IF(OR($A236="F&amp;F",$G236=""),"",IF(J$8&gt;$G236,IF(OR(status1B5!K236=1,status1B5!K236=2,'BOULEVARD 5'!M234&gt;0),"Pagado","impago"),""))</f>
        <v/>
      </c>
      <c r="K236" s="666" t="str">
        <f>IF(OR($A236="F&amp;F",$G236=""),"",IF(K$8&gt;$G236,IF(OR(status1B5!L236=1,status1B5!L236=2,'BOULEVARD 5'!N234&gt;0),"Pagado","impago"),""))</f>
        <v/>
      </c>
      <c r="L236" s="666" t="str">
        <f>IF(OR($A236="F&amp;F",$G236=""),"",IF(L$8&gt;$G236,IF(OR(status1B5!M236=1,status1B5!M236=2,'BOULEVARD 5'!O234&gt;0),"Pagado","impago"),""))</f>
        <v/>
      </c>
      <c r="M236" s="666" t="str">
        <f>IF(OR($A236="F&amp;F",$G236=""),"",IF(M$8&gt;$G236,IF(OR(status1B5!N236=1,status1B5!N236=2,'BOULEVARD 5'!P234&gt;0),"Pagado","impago"),""))</f>
        <v/>
      </c>
      <c r="N236" s="666" t="str">
        <f>IF(OR($A236="F&amp;F",$G236=""),"",IF(N$8&gt;$G236,IF(OR(status1B5!O236=1,status1B5!O236=2,'BOULEVARD 5'!Q234&gt;0),"Pagado","impago"),""))</f>
        <v/>
      </c>
      <c r="O236" s="666" t="str">
        <f>IF(OR($A236="F&amp;F",$G236=""),"",IF(O$8&gt;$G236,IF(OR(status1B5!P236=1,status1B5!P236=2,'BOULEVARD 5'!R234&gt;0),"Pagado","impago"),""))</f>
        <v/>
      </c>
      <c r="P236" s="666" t="str">
        <f>IF(OR($A236="F&amp;F",$G236=""),"",IF(P$8&gt;$G236,IF(OR(status1B5!Q236=1,status1B5!Q236=2,'BOULEVARD 5'!S234&gt;0),"Pagado","impago"),""))</f>
        <v/>
      </c>
      <c r="Q236" s="666" t="str">
        <f>IF(OR($A236="F&amp;F",$G236=""),"",IF(Q$8&gt;$G236,IF(OR(status1B5!R236=1,status1B5!R236=2,'BOULEVARD 5'!T234&gt;0),"Pagado","impago"),""))</f>
        <v/>
      </c>
      <c r="R236" s="666" t="str">
        <f>IF(OR($A236="F&amp;F",$G236=""),"",IF(R$8&gt;$G236,IF(OR(status1B5!S236=1,status1B5!S236=2,'BOULEVARD 5'!U234&gt;0),"Pagado","impago"),""))</f>
        <v/>
      </c>
      <c r="S236" s="666" t="str">
        <f>IF(OR($A236="F&amp;F",$G236=""),"",IF(S$8&gt;$G236,IF(OR(status1B5!T236=1,status1B5!T236=2,'BOULEVARD 5'!V234&gt;0),"Pagado","impago"),""))</f>
        <v/>
      </c>
      <c r="T236" s="666" t="str">
        <f>IF(OR($A236="F&amp;F",$G236=""),"",IF(T$8&gt;$G236,IF(OR(status1B5!U236=1,status1B5!U236=2,'BOULEVARD 5'!W234&gt;0),"Pagado","impago"),""))</f>
        <v/>
      </c>
      <c r="U236" s="666" t="str">
        <f>IF(OR($A236="F&amp;F",$G236=""),"",IF(U$8&gt;$G236,IF(OR(status1B5!V236=1,status1B5!V236=2,'BOULEVARD 5'!X234&gt;0),"Pagado","impago"),""))</f>
        <v/>
      </c>
      <c r="V236" s="666" t="str">
        <f>IF(OR($A236="F&amp;F",$G236=""),"",IF(V$8&gt;$G236,IF(OR(status1B5!W236=1,status1B5!W236=2,'BOULEVARD 5'!Y234&gt;0),"Pagado","impago"),""))</f>
        <v/>
      </c>
      <c r="W236" s="666" t="str">
        <f>IF(OR($A236="F&amp;F",$G236=""),"",IF(W$8&gt;$G236,IF(OR(status1B5!X236=1,status1B5!X236=2,'BOULEVARD 5'!Z234&gt;0),"Pagado","impago"),""))</f>
        <v/>
      </c>
      <c r="X236" s="666" t="str">
        <f>IF(OR($A236="F&amp;F",$G236=""),"",IF(X$8&gt;$G236,IF(OR(status1B5!Y236=1,status1B5!Y236=2,'BOULEVARD 5'!AA234&gt;0),"Pagado","impago"),""))</f>
        <v/>
      </c>
      <c r="Y236" s="666" t="str">
        <f>IF(OR($A236="F&amp;F",$G236=""),"",IF(Y$8&gt;$G236,IF(OR(status1B5!Z236=1,status1B5!Z236=2,'BOULEVARD 5'!AB234&gt;0),"Pagado","impago"),""))</f>
        <v/>
      </c>
      <c r="Z236" s="666" t="str">
        <f>IF(OR($A236="F&amp;F",$G236=""),"",IF(Z$8&gt;$G236,IF(OR(status1B5!AA236=1,status1B5!AA236=2,'BOULEVARD 5'!AC234&gt;0),"Pagado","impago"),""))</f>
        <v/>
      </c>
      <c r="AA236" s="666" t="str">
        <f>IF(OR($A236="F&amp;F",$G236=""),"",IF(AA$8&gt;$G236,IF(OR(status1B5!AB236=1,status1B5!AB236=2,'BOULEVARD 5'!AD234&gt;0),"Pagado","impago"),""))</f>
        <v/>
      </c>
      <c r="AB236" s="666" t="str">
        <f>IF(OR($A236="F&amp;F",$G236=""),"",IF(AB$8&gt;$G236,IF(OR(status1B5!AC236=1,status1B5!AC236=2,'BOULEVARD 5'!AE234&gt;0),"Pagado","impago"),""))</f>
        <v/>
      </c>
      <c r="AC236" s="666" t="str">
        <f>IF(OR($A236="F&amp;F",$G236=""),"",IF(AC$8&gt;$G236,IF(OR(status1B5!AD236=1,status1B5!AD236=2,'BOULEVARD 5'!AF234&gt;0),"Pagado","impago"),""))</f>
        <v/>
      </c>
      <c r="AD236" s="666" t="str">
        <f>IF(OR($A236="F&amp;F",$G236=""),"",IF(AD$8&gt;$G236,IF(OR(status1B5!AE236=1,status1B5!AE236=2,'BOULEVARD 5'!AG234&gt;0),"Pagado","impago"),""))</f>
        <v/>
      </c>
      <c r="AE236" s="666" t="str">
        <f>IF(OR($A236="F&amp;F",$G236=""),"",IF(AE$8&gt;$G236,IF(OR(status1B5!AF236=1,status1B5!AF236=2,'BOULEVARD 5'!AH234&gt;0),"Pagado","impago"),""))</f>
        <v/>
      </c>
      <c r="AF236" s="666" t="str">
        <f>IF(OR($A236="F&amp;F",$G236=""),"",IF(AF$8&gt;$G236,IF(OR(status1B5!AG236=1,status1B5!AG236=2,'BOULEVARD 5'!AI234&gt;0),"Pagado","impago"),""))</f>
        <v/>
      </c>
      <c r="AG236" s="666" t="str">
        <f>IF(OR($A236="F&amp;F",$G236=""),"",IF(AG$8&gt;$G236,IF(OR(status1B5!AH236=1,status1B5!AH236=2,'BOULEVARD 5'!AJ234&gt;0),"Pagado","impago"),""))</f>
        <v/>
      </c>
      <c r="AH236" s="666" t="str">
        <f>IF(OR($A236="F&amp;F",$G236=""),"",IF(AH$8&gt;$G236,IF(OR(status1B5!AI236=1,status1B5!AI236=2,'BOULEVARD 5'!AK234&gt;0),"Pagado","impago"),""))</f>
        <v>Pagado</v>
      </c>
      <c r="AI236" s="666" t="str">
        <f>IF(OR($A236="F&amp;F",$G236=""),"",IF(AI$8&gt;$G236,IF(OR(status1B5!AJ236=1,status1B5!AJ236=2,'BOULEVARD 5'!AL234&gt;0),"Pagado","impago"),""))</f>
        <v>Pagado</v>
      </c>
      <c r="AJ236" s="666" t="str">
        <f>IF(OR($A236="F&amp;F",$G236=""),"",IF(AJ$8&gt;$G236,IF(OR(status1B5!AK236=1,status1B5!AK236=2,'BOULEVARD 5'!AM234&gt;0),"Pagado","impago"),""))</f>
        <v>Pagado</v>
      </c>
      <c r="AK236" s="666" t="str">
        <f>IF(OR($A236="F&amp;F",$G236=""),"",IF(AK$8&gt;$G236,IF(OR(status1B5!AL236=1,status1B5!AL236=2,'BOULEVARD 5'!AN234&gt;0),"Pagado","impago"),""))</f>
        <v>Pagado</v>
      </c>
      <c r="AL236" s="666" t="str">
        <f>IF(OR($A236="F&amp;F",$G236=""),"",IF(AL$8&gt;$G236,IF(OR(status1B5!AM236=1,status1B5!AM236=2,'BOULEVARD 5'!AO234&gt;0),"Pagado","impago"),""))</f>
        <v>Pagado</v>
      </c>
      <c r="AM236" s="666" t="str">
        <f>IF(OR($A236="F&amp;F",$G236=""),"",IF(AM$8&gt;$G236,IF(OR(status1B5!AN236=1,status1B5!AN236=2,'BOULEVARD 5'!AP234&gt;0),"Pagado","impago"),""))</f>
        <v>Pagado</v>
      </c>
      <c r="AN236" s="666" t="str">
        <f>IF(OR($A236="F&amp;F",$G236=""),"",IF(AN$8&gt;$G236,IF(OR(status1B5!AO236=1,status1B5!AO236=2,'BOULEVARD 5'!AQ234&gt;0),"Pagado","impago"),""))</f>
        <v>Pagado</v>
      </c>
      <c r="AO236" s="666" t="str">
        <f>IF(OR($A236="F&amp;F",$G236=""),"",IF(AO$8&gt;$G236,IF(OR(status1B5!AP236=1,status1B5!AP236=2,'BOULEVARD 5'!AS234&gt;0),"Pagado","impago"),""))</f>
        <v>Pagado</v>
      </c>
      <c r="AP236" s="429" t="str">
        <f t="shared" si="8"/>
        <v>Vendido</v>
      </c>
    </row>
    <row r="237" spans="1:42" s="429" customFormat="1" ht="13.9" customHeight="1" x14ac:dyDescent="0.25">
      <c r="A237" s="472"/>
      <c r="B237" s="436">
        <f>'BOULEVARD 5'!B235</f>
        <v>1306</v>
      </c>
      <c r="C237" s="436" t="s">
        <v>355</v>
      </c>
      <c r="D237" s="436"/>
      <c r="E237" s="436" t="str">
        <f>IF('BOULEVARD 5'!E235="","",'BOULEVARD 5'!E235)</f>
        <v>Brenda Búcaro</v>
      </c>
      <c r="F237" s="429" t="str">
        <f>IF('BOULEVARD 5'!F235="","",'BOULEVARD 5'!F235)</f>
        <v xml:space="preserve"> Barbara Elizabeth Barrientos Valenzuela</v>
      </c>
      <c r="G237" s="473">
        <f>IF('BOULEVARD 5'!G235="","",'BOULEVARD 5'!G235)</f>
        <v>45054</v>
      </c>
      <c r="H237" s="666" t="str">
        <f>IF(OR($A237="F&amp;F",$G237=""),"",IF(H$8&gt;$G237,IF(OR(status1B5!I237=1,status1B5!I237=2,'BOULEVARD 5'!K235&gt;0),"Pagado","impago"),""))</f>
        <v/>
      </c>
      <c r="I237" s="666" t="str">
        <f>IF(OR($A237="F&amp;F",$G237=""),"",IF(I$8&gt;$G237,IF(OR(status1B5!J237=1,status1B5!J237=2,'BOULEVARD 5'!L235&gt;0),"Pagado","impago"),""))</f>
        <v/>
      </c>
      <c r="J237" s="666" t="str">
        <f>IF(OR($A237="F&amp;F",$G237=""),"",IF(J$8&gt;$G237,IF(OR(status1B5!K237=1,status1B5!K237=2,'BOULEVARD 5'!M235&gt;0),"Pagado","impago"),""))</f>
        <v>Pagado</v>
      </c>
      <c r="K237" s="666" t="str">
        <f>IF(OR($A237="F&amp;F",$G237=""),"",IF(K$8&gt;$G237,IF(OR(status1B5!L237=1,status1B5!L237=2,'BOULEVARD 5'!N235&gt;0),"Pagado","impago"),""))</f>
        <v>Pagado</v>
      </c>
      <c r="L237" s="666" t="str">
        <f>IF(OR($A237="F&amp;F",$G237=""),"",IF(L$8&gt;$G237,IF(OR(status1B5!M237=1,status1B5!M237=2,'BOULEVARD 5'!O235&gt;0),"Pagado","impago"),""))</f>
        <v>Pagado</v>
      </c>
      <c r="M237" s="666" t="str">
        <f>IF(OR($A237="F&amp;F",$G237=""),"",IF(M$8&gt;$G237,IF(OR(status1B5!N237=1,status1B5!N237=2,'BOULEVARD 5'!P235&gt;0),"Pagado","impago"),""))</f>
        <v>Pagado</v>
      </c>
      <c r="N237" s="666" t="str">
        <f>IF(OR($A237="F&amp;F",$G237=""),"",IF(N$8&gt;$G237,IF(OR(status1B5!O237=1,status1B5!O237=2,'BOULEVARD 5'!Q235&gt;0),"Pagado","impago"),""))</f>
        <v>Pagado</v>
      </c>
      <c r="O237" s="666" t="str">
        <f>IF(OR($A237="F&amp;F",$G237=""),"",IF(O$8&gt;$G237,IF(OR(status1B5!P237=1,status1B5!P237=2,'BOULEVARD 5'!R235&gt;0),"Pagado","impago"),""))</f>
        <v>Pagado</v>
      </c>
      <c r="P237" s="666" t="str">
        <f>IF(OR($A237="F&amp;F",$G237=""),"",IF(P$8&gt;$G237,IF(OR(status1B5!Q237=1,status1B5!Q237=2,'BOULEVARD 5'!S235&gt;0),"Pagado","impago"),""))</f>
        <v>Pagado</v>
      </c>
      <c r="Q237" s="666" t="str">
        <f>IF(OR($A237="F&amp;F",$G237=""),"",IF(Q$8&gt;$G237,IF(OR(status1B5!R237=1,status1B5!R237=2,'BOULEVARD 5'!T235&gt;0),"Pagado","impago"),""))</f>
        <v>Pagado</v>
      </c>
      <c r="R237" s="666" t="str">
        <f>IF(OR($A237="F&amp;F",$G237=""),"",IF(R$8&gt;$G237,IF(OR(status1B5!S237=1,status1B5!S237=2,'BOULEVARD 5'!U235&gt;0),"Pagado","impago"),""))</f>
        <v>Pagado</v>
      </c>
      <c r="S237" s="666" t="str">
        <f>IF(OR($A237="F&amp;F",$G237=""),"",IF(S$8&gt;$G237,IF(OR(status1B5!T237=1,status1B5!T237=2,'BOULEVARD 5'!V235&gt;0),"Pagado","impago"),""))</f>
        <v>Pagado</v>
      </c>
      <c r="T237" s="666" t="str">
        <f>IF(OR($A237="F&amp;F",$G237=""),"",IF(T$8&gt;$G237,IF(OR(status1B5!U237=1,status1B5!U237=2,'BOULEVARD 5'!W235&gt;0),"Pagado","impago"),""))</f>
        <v>Pagado</v>
      </c>
      <c r="U237" s="666" t="str">
        <f>IF(OR($A237="F&amp;F",$G237=""),"",IF(U$8&gt;$G237,IF(OR(status1B5!V237=1,status1B5!V237=2,'BOULEVARD 5'!X235&gt;0),"Pagado","impago"),""))</f>
        <v>Pagado</v>
      </c>
      <c r="V237" s="666" t="str">
        <f>IF(OR($A237="F&amp;F",$G237=""),"",IF(V$8&gt;$G237,IF(OR(status1B5!W237=1,status1B5!W237=2,'BOULEVARD 5'!Y235&gt;0),"Pagado","impago"),""))</f>
        <v>Pagado</v>
      </c>
      <c r="W237" s="666" t="str">
        <f>IF(OR($A237="F&amp;F",$G237=""),"",IF(W$8&gt;$G237,IF(OR(status1B5!X237=1,status1B5!X237=2,'BOULEVARD 5'!Z235&gt;0),"Pagado","impago"),""))</f>
        <v>Pagado</v>
      </c>
      <c r="X237" s="666" t="str">
        <f>IF(OR($A237="F&amp;F",$G237=""),"",IF(X$8&gt;$G237,IF(OR(status1B5!Y237=1,status1B5!Y237=2,'BOULEVARD 5'!AA235&gt;0),"Pagado","impago"),""))</f>
        <v>Pagado</v>
      </c>
      <c r="Y237" s="666" t="str">
        <f>IF(OR($A237="F&amp;F",$G237=""),"",IF(Y$8&gt;$G237,IF(OR(status1B5!Z237=1,status1B5!Z237=2,'BOULEVARD 5'!AB235&gt;0),"Pagado","impago"),""))</f>
        <v>Pagado</v>
      </c>
      <c r="Z237" s="666" t="str">
        <f>IF(OR($A237="F&amp;F",$G237=""),"",IF(Z$8&gt;$G237,IF(OR(status1B5!AA237=1,status1B5!AA237=2,'BOULEVARD 5'!AC235&gt;0),"Pagado","impago"),""))</f>
        <v>Pagado</v>
      </c>
      <c r="AA237" s="666" t="str">
        <f>IF(OR($A237="F&amp;F",$G237=""),"",IF(AA$8&gt;$G237,IF(OR(status1B5!AB237=1,status1B5!AB237=2,'BOULEVARD 5'!AD235&gt;0),"Pagado","impago"),""))</f>
        <v>Pagado</v>
      </c>
      <c r="AB237" s="666" t="str">
        <f>IF(OR($A237="F&amp;F",$G237=""),"",IF(AB$8&gt;$G237,IF(OR(status1B5!AC237=1,status1B5!AC237=2,'BOULEVARD 5'!AE235&gt;0),"Pagado","impago"),""))</f>
        <v>Pagado</v>
      </c>
      <c r="AC237" s="666" t="str">
        <f>IF(OR($A237="F&amp;F",$G237=""),"",IF(AC$8&gt;$G237,IF(OR(status1B5!AD237=1,status1B5!AD237=2,'BOULEVARD 5'!AF235&gt;0),"Pagado","impago"),""))</f>
        <v>Pagado</v>
      </c>
      <c r="AD237" s="666" t="str">
        <f>IF(OR($A237="F&amp;F",$G237=""),"",IF(AD$8&gt;$G237,IF(OR(status1B5!AE237=1,status1B5!AE237=2,'BOULEVARD 5'!AG235&gt;0),"Pagado","impago"),""))</f>
        <v>Pagado</v>
      </c>
      <c r="AE237" s="666" t="str">
        <f>IF(OR($A237="F&amp;F",$G237=""),"",IF(AE$8&gt;$G237,IF(OR(status1B5!AF237=1,status1B5!AF237=2,'BOULEVARD 5'!AH235&gt;0),"Pagado","impago"),""))</f>
        <v>Pagado</v>
      </c>
      <c r="AF237" s="666" t="str">
        <f>IF(OR($A237="F&amp;F",$G237=""),"",IF(AF$8&gt;$G237,IF(OR(status1B5!AG237=1,status1B5!AG237=2,'BOULEVARD 5'!AI235&gt;0),"Pagado","impago"),""))</f>
        <v>Pagado</v>
      </c>
      <c r="AG237" s="666" t="str">
        <f>IF(OR($A237="F&amp;F",$G237=""),"",IF(AG$8&gt;$G237,IF(OR(status1B5!AH237=1,status1B5!AH237=2,'BOULEVARD 5'!AJ235&gt;0),"Pagado","impago"),""))</f>
        <v>Pagado</v>
      </c>
      <c r="AH237" s="666" t="str">
        <f>IF(OR($A237="F&amp;F",$G237=""),"",IF(AH$8&gt;$G237,IF(OR(status1B5!AI237=1,status1B5!AI237=2,'BOULEVARD 5'!AK235&gt;0),"Pagado","impago"),""))</f>
        <v>Pagado</v>
      </c>
      <c r="AI237" s="666" t="str">
        <f>IF(OR($A237="F&amp;F",$G237=""),"",IF(AI$8&gt;$G237,IF(OR(status1B5!AJ237=1,status1B5!AJ237=2,'BOULEVARD 5'!AL235&gt;0),"Pagado","impago"),""))</f>
        <v>Pagado</v>
      </c>
      <c r="AJ237" s="666" t="str">
        <f>IF(OR($A237="F&amp;F",$G237=""),"",IF(AJ$8&gt;$G237,IF(OR(status1B5!AK237=1,status1B5!AK237=2,'BOULEVARD 5'!AM235&gt;0),"Pagado","impago"),""))</f>
        <v>Pagado</v>
      </c>
      <c r="AK237" s="666" t="str">
        <f>IF(OR($A237="F&amp;F",$G237=""),"",IF(AK$8&gt;$G237,IF(OR(status1B5!AL237=1,status1B5!AL237=2,'BOULEVARD 5'!AN235&gt;0),"Pagado","impago"),""))</f>
        <v>Pagado</v>
      </c>
      <c r="AL237" s="666" t="str">
        <f>IF(OR($A237="F&amp;F",$G237=""),"",IF(AL$8&gt;$G237,IF(OR(status1B5!AM237=1,status1B5!AM237=2,'BOULEVARD 5'!AO235&gt;0),"Pagado","impago"),""))</f>
        <v>Pagado</v>
      </c>
      <c r="AM237" s="666" t="str">
        <f>IF(OR($A237="F&amp;F",$G237=""),"",IF(AM$8&gt;$G237,IF(OR(status1B5!AN237=1,status1B5!AN237=2,'BOULEVARD 5'!AP235&gt;0),"Pagado","impago"),""))</f>
        <v>Pagado</v>
      </c>
      <c r="AN237" s="666" t="str">
        <f>IF(OR($A237="F&amp;F",$G237=""),"",IF(AN$8&gt;$G237,IF(OR(status1B5!AO237=1,status1B5!AO237=2,'BOULEVARD 5'!AQ235&gt;0),"Pagado","impago"),""))</f>
        <v>Pagado</v>
      </c>
      <c r="AO237" s="666" t="str">
        <f>IF(OR($A237="F&amp;F",$G237=""),"",IF(AO$8&gt;$G237,IF(OR(status1B5!AP237=1,status1B5!AP237=2,'BOULEVARD 5'!AS235&gt;0),"Pagado","impago"),""))</f>
        <v>Pagado</v>
      </c>
      <c r="AP237" s="429" t="str">
        <f t="shared" si="8"/>
        <v>Vendido</v>
      </c>
    </row>
    <row r="238" spans="1:42" s="429" customFormat="1" ht="13.9" customHeight="1" x14ac:dyDescent="0.25">
      <c r="A238" s="472" t="s">
        <v>58</v>
      </c>
      <c r="B238" s="475">
        <f>'BOULEVARD 5'!B236</f>
        <v>1307</v>
      </c>
      <c r="C238" s="475" t="s">
        <v>355</v>
      </c>
      <c r="D238" s="475"/>
      <c r="E238" s="475" t="str">
        <f>IF('BOULEVARD 5'!E236="","",'BOULEVARD 5'!E236)</f>
        <v>Jose Franco</v>
      </c>
      <c r="F238" s="476" t="str">
        <f>IF('BOULEVARD 5'!F236="","",'BOULEVARD 5'!F236)</f>
        <v>Fernando José Franco Jiménez</v>
      </c>
      <c r="G238" s="473">
        <f>IF('BOULEVARD 5'!G236="","",'BOULEVARD 5'!G236)</f>
        <v>45016</v>
      </c>
      <c r="H238" s="666" t="str">
        <f>IF(OR($A238="F&amp;F",$G238=""),"",IF(H$8&gt;$G238,IF(OR(status1B5!I238=1,status1B5!I238=2,'BOULEVARD 5'!K236&gt;0),"Pagado","impago"),""))</f>
        <v/>
      </c>
      <c r="I238" s="666" t="str">
        <f>IF(OR($A238="F&amp;F",$G238=""),"",IF(I$8&gt;$G238,IF(OR(status1B5!J238=1,status1B5!J238=2,'BOULEVARD 5'!L236&gt;0),"Pagado","impago"),""))</f>
        <v/>
      </c>
      <c r="J238" s="666" t="str">
        <f>IF(OR($A238="F&amp;F",$G238=""),"",IF(J$8&gt;$G238,IF(OR(status1B5!K238=1,status1B5!K238=2,'BOULEVARD 5'!M236&gt;0),"Pagado","impago"),""))</f>
        <v/>
      </c>
      <c r="K238" s="666" t="str">
        <f>IF(OR($A238="F&amp;F",$G238=""),"",IF(K$8&gt;$G238,IF(OR(status1B5!L238=1,status1B5!L238=2,'BOULEVARD 5'!N236&gt;0),"Pagado","impago"),""))</f>
        <v/>
      </c>
      <c r="L238" s="666" t="str">
        <f>IF(OR($A238="F&amp;F",$G238=""),"",IF(L$8&gt;$G238,IF(OR(status1B5!M238=1,status1B5!M238=2,'BOULEVARD 5'!O236&gt;0),"Pagado","impago"),""))</f>
        <v/>
      </c>
      <c r="M238" s="666" t="str">
        <f>IF(OR($A238="F&amp;F",$G238=""),"",IF(M$8&gt;$G238,IF(OR(status1B5!N238=1,status1B5!N238=2,'BOULEVARD 5'!P236&gt;0),"Pagado","impago"),""))</f>
        <v/>
      </c>
      <c r="N238" s="666" t="str">
        <f>IF(OR($A238="F&amp;F",$G238=""),"",IF(N$8&gt;$G238,IF(OR(status1B5!O238=1,status1B5!O238=2,'BOULEVARD 5'!Q236&gt;0),"Pagado","impago"),""))</f>
        <v/>
      </c>
      <c r="O238" s="666" t="str">
        <f>IF(OR($A238="F&amp;F",$G238=""),"",IF(O$8&gt;$G238,IF(OR(status1B5!P238=1,status1B5!P238=2,'BOULEVARD 5'!R236&gt;0),"Pagado","impago"),""))</f>
        <v/>
      </c>
      <c r="P238" s="666" t="str">
        <f>IF(OR($A238="F&amp;F",$G238=""),"",IF(P$8&gt;$G238,IF(OR(status1B5!Q238=1,status1B5!Q238=2,'BOULEVARD 5'!S236&gt;0),"Pagado","impago"),""))</f>
        <v/>
      </c>
      <c r="Q238" s="666" t="str">
        <f>IF(OR($A238="F&amp;F",$G238=""),"",IF(Q$8&gt;$G238,IF(OR(status1B5!R238=1,status1B5!R238=2,'BOULEVARD 5'!T236&gt;0),"Pagado","impago"),""))</f>
        <v/>
      </c>
      <c r="R238" s="666" t="str">
        <f>IF(OR($A238="F&amp;F",$G238=""),"",IF(R$8&gt;$G238,IF(OR(status1B5!S238=1,status1B5!S238=2,'BOULEVARD 5'!U236&gt;0),"Pagado","impago"),""))</f>
        <v/>
      </c>
      <c r="S238" s="666" t="str">
        <f>IF(OR($A238="F&amp;F",$G238=""),"",IF(S$8&gt;$G238,IF(OR(status1B5!T238=1,status1B5!T238=2,'BOULEVARD 5'!V236&gt;0),"Pagado","impago"),""))</f>
        <v/>
      </c>
      <c r="T238" s="666" t="str">
        <f>IF(OR($A238="F&amp;F",$G238=""),"",IF(T$8&gt;$G238,IF(OR(status1B5!U238=1,status1B5!U238=2,'BOULEVARD 5'!W236&gt;0),"Pagado","impago"),""))</f>
        <v/>
      </c>
      <c r="U238" s="666" t="str">
        <f>IF(OR($A238="F&amp;F",$G238=""),"",IF(U$8&gt;$G238,IF(OR(status1B5!V238=1,status1B5!V238=2,'BOULEVARD 5'!X236&gt;0),"Pagado","impago"),""))</f>
        <v/>
      </c>
      <c r="V238" s="666" t="str">
        <f>IF(OR($A238="F&amp;F",$G238=""),"",IF(V$8&gt;$G238,IF(OR(status1B5!W238=1,status1B5!W238=2,'BOULEVARD 5'!Y236&gt;0),"Pagado","impago"),""))</f>
        <v/>
      </c>
      <c r="W238" s="666" t="str">
        <f>IF(OR($A238="F&amp;F",$G238=""),"",IF(W$8&gt;$G238,IF(OR(status1B5!X238=1,status1B5!X238=2,'BOULEVARD 5'!Z236&gt;0),"Pagado","impago"),""))</f>
        <v/>
      </c>
      <c r="X238" s="666" t="str">
        <f>IF(OR($A238="F&amp;F",$G238=""),"",IF(X$8&gt;$G238,IF(OR(status1B5!Y238=1,status1B5!Y238=2,'BOULEVARD 5'!AA236&gt;0),"Pagado","impago"),""))</f>
        <v/>
      </c>
      <c r="Y238" s="666" t="str">
        <f>IF(OR($A238="F&amp;F",$G238=""),"",IF(Y$8&gt;$G238,IF(OR(status1B5!Z238=1,status1B5!Z238=2,'BOULEVARD 5'!AB236&gt;0),"Pagado","impago"),""))</f>
        <v/>
      </c>
      <c r="Z238" s="666" t="str">
        <f>IF(OR($A238="F&amp;F",$G238=""),"",IF(Z$8&gt;$G238,IF(OR(status1B5!AA238=1,status1B5!AA238=2,'BOULEVARD 5'!AC236&gt;0),"Pagado","impago"),""))</f>
        <v/>
      </c>
      <c r="AA238" s="666" t="str">
        <f>IF(OR($A238="F&amp;F",$G238=""),"",IF(AA$8&gt;$G238,IF(OR(status1B5!AB238=1,status1B5!AB238=2,'BOULEVARD 5'!AD236&gt;0),"Pagado","impago"),""))</f>
        <v/>
      </c>
      <c r="AB238" s="666" t="str">
        <f>IF(OR($A238="F&amp;F",$G238=""),"",IF(AB$8&gt;$G238,IF(OR(status1B5!AC238=1,status1B5!AC238=2,'BOULEVARD 5'!AE236&gt;0),"Pagado","impago"),""))</f>
        <v/>
      </c>
      <c r="AC238" s="666" t="str">
        <f>IF(OR($A238="F&amp;F",$G238=""),"",IF(AC$8&gt;$G238,IF(OR(status1B5!AD238=1,status1B5!AD238=2,'BOULEVARD 5'!AF236&gt;0),"Pagado","impago"),""))</f>
        <v/>
      </c>
      <c r="AD238" s="666" t="str">
        <f>IF(OR($A238="F&amp;F",$G238=""),"",IF(AD$8&gt;$G238,IF(OR(status1B5!AE238=1,status1B5!AE238=2,'BOULEVARD 5'!AG236&gt;0),"Pagado","impago"),""))</f>
        <v/>
      </c>
      <c r="AE238" s="666" t="str">
        <f>IF(OR($A238="F&amp;F",$G238=""),"",IF(AE$8&gt;$G238,IF(OR(status1B5!AF238=1,status1B5!AF238=2,'BOULEVARD 5'!AH236&gt;0),"Pagado","impago"),""))</f>
        <v/>
      </c>
      <c r="AF238" s="666" t="str">
        <f>IF(OR($A238="F&amp;F",$G238=""),"",IF(AF$8&gt;$G238,IF(OR(status1B5!AG238=1,status1B5!AG238=2,'BOULEVARD 5'!AI236&gt;0),"Pagado","impago"),""))</f>
        <v/>
      </c>
      <c r="AG238" s="666" t="str">
        <f>IF(OR($A238="F&amp;F",$G238=""),"",IF(AG$8&gt;$G238,IF(OR(status1B5!AH238=1,status1B5!AH238=2,'BOULEVARD 5'!AJ236&gt;0),"Pagado","impago"),""))</f>
        <v/>
      </c>
      <c r="AH238" s="666" t="str">
        <f>IF(OR($A238="F&amp;F",$G238=""),"",IF(AH$8&gt;$G238,IF(OR(status1B5!AI238=1,status1B5!AI238=2,'BOULEVARD 5'!AK236&gt;0),"Pagado","impago"),""))</f>
        <v/>
      </c>
      <c r="AI238" s="666" t="str">
        <f>IF(OR($A238="F&amp;F",$G238=""),"",IF(AI$8&gt;$G238,IF(OR(status1B5!AJ238=1,status1B5!AJ238=2,'BOULEVARD 5'!AL236&gt;0),"Pagado","impago"),""))</f>
        <v/>
      </c>
      <c r="AJ238" s="666" t="str">
        <f>IF(OR($A238="F&amp;F",$G238=""),"",IF(AJ$8&gt;$G238,IF(OR(status1B5!AK238=1,status1B5!AK238=2,'BOULEVARD 5'!AM236&gt;0),"Pagado","impago"),""))</f>
        <v/>
      </c>
      <c r="AK238" s="666" t="str">
        <f>IF(OR($A238="F&amp;F",$G238=""),"",IF(AK$8&gt;$G238,IF(OR(status1B5!AL238=1,status1B5!AL238=2,'BOULEVARD 5'!AN236&gt;0),"Pagado","impago"),""))</f>
        <v/>
      </c>
      <c r="AL238" s="666" t="str">
        <f>IF(OR($A238="F&amp;F",$G238=""),"",IF(AL$8&gt;$G238,IF(OR(status1B5!AM238=1,status1B5!AM238=2,'BOULEVARD 5'!AO236&gt;0),"Pagado","impago"),""))</f>
        <v/>
      </c>
      <c r="AM238" s="666" t="str">
        <f>IF(OR($A238="F&amp;F",$G238=""),"",IF(AM$8&gt;$G238,IF(OR(status1B5!AN238=1,status1B5!AN238=2,'BOULEVARD 5'!AP236&gt;0),"Pagado","impago"),""))</f>
        <v/>
      </c>
      <c r="AN238" s="666" t="str">
        <f>IF(OR($A238="F&amp;F",$G238=""),"",IF(AN$8&gt;$G238,IF(OR(status1B5!AO238=1,status1B5!AO238=2,'BOULEVARD 5'!AQ236&gt;0),"Pagado","impago"),""))</f>
        <v/>
      </c>
      <c r="AO238" s="666" t="str">
        <f>IF(OR($A238="F&amp;F",$G238=""),"",IF(AO$8&gt;$G238,IF(OR(status1B5!AP238=1,status1B5!AP238=2,'BOULEVARD 5'!AS236&gt;0),"Pagado","impago"),""))</f>
        <v/>
      </c>
      <c r="AP238" s="429" t="str">
        <f t="shared" si="8"/>
        <v>Vendido</v>
      </c>
    </row>
    <row r="239" spans="1:42" s="429" customFormat="1" ht="13.9" customHeight="1" x14ac:dyDescent="0.25">
      <c r="A239" s="472"/>
      <c r="B239" s="436">
        <f>'BOULEVARD 5'!B237</f>
        <v>1308</v>
      </c>
      <c r="C239" s="436" t="s">
        <v>355</v>
      </c>
      <c r="D239" s="436"/>
      <c r="E239" s="436" t="str">
        <f>IF('BOULEVARD 5'!E237="","",'BOULEVARD 5'!E237)</f>
        <v>Antonio Rada</v>
      </c>
      <c r="F239" s="429" t="str">
        <f>IF('BOULEVARD 5'!F237="","",'BOULEVARD 5'!F237)</f>
        <v>Gerson Alexander Urias Marquez</v>
      </c>
      <c r="G239" s="473">
        <f>IF('BOULEVARD 5'!G237="","",'BOULEVARD 5'!G237)</f>
        <v>45230</v>
      </c>
      <c r="H239" s="666" t="str">
        <f>IF(OR($A239="F&amp;F",$G239=""),"",IF(H$8&gt;$G239,IF(OR(status1B5!I239=1,status1B5!I239=2,'BOULEVARD 5'!K237&gt;0),"Pagado","impago"),""))</f>
        <v/>
      </c>
      <c r="I239" s="666" t="str">
        <f>IF(OR($A239="F&amp;F",$G239=""),"",IF(I$8&gt;$G239,IF(OR(status1B5!J239=1,status1B5!J239=2,'BOULEVARD 5'!L237&gt;0),"Pagado","impago"),""))</f>
        <v/>
      </c>
      <c r="J239" s="666" t="str">
        <f>IF(OR($A239="F&amp;F",$G239=""),"",IF(J$8&gt;$G239,IF(OR(status1B5!K239=1,status1B5!K239=2,'BOULEVARD 5'!M237&gt;0),"Pagado","impago"),""))</f>
        <v/>
      </c>
      <c r="K239" s="666" t="str">
        <f>IF(OR($A239="F&amp;F",$G239=""),"",IF(K$8&gt;$G239,IF(OR(status1B5!L239=1,status1B5!L239=2,'BOULEVARD 5'!N237&gt;0),"Pagado","impago"),""))</f>
        <v/>
      </c>
      <c r="L239" s="666" t="str">
        <f>IF(OR($A239="F&amp;F",$G239=""),"",IF(L$8&gt;$G239,IF(OR(status1B5!M239=1,status1B5!M239=2,'BOULEVARD 5'!O237&gt;0),"Pagado","impago"),""))</f>
        <v/>
      </c>
      <c r="M239" s="666" t="str">
        <f>IF(OR($A239="F&amp;F",$G239=""),"",IF(M$8&gt;$G239,IF(OR(status1B5!N239=1,status1B5!N239=2,'BOULEVARD 5'!P237&gt;0),"Pagado","impago"),""))</f>
        <v/>
      </c>
      <c r="N239" s="666" t="str">
        <f>IF(OR($A239="F&amp;F",$G239=""),"",IF(N$8&gt;$G239,IF(OR(status1B5!O239=1,status1B5!O239=2,'BOULEVARD 5'!Q237&gt;0),"Pagado","impago"),""))</f>
        <v/>
      </c>
      <c r="O239" s="666" t="str">
        <f>IF(OR($A239="F&amp;F",$G239=""),"",IF(O$8&gt;$G239,IF(OR(status1B5!P239=1,status1B5!P239=2,'BOULEVARD 5'!R237&gt;0),"Pagado","impago"),""))</f>
        <v/>
      </c>
      <c r="P239" s="666" t="str">
        <f>IF(OR($A239="F&amp;F",$G239=""),"",IF(P$8&gt;$G239,IF(OR(status1B5!Q239=1,status1B5!Q239=2,'BOULEVARD 5'!S237&gt;0),"Pagado","impago"),""))</f>
        <v>Pagado</v>
      </c>
      <c r="Q239" s="666" t="str">
        <f>IF(OR($A239="F&amp;F",$G239=""),"",IF(Q$8&gt;$G239,IF(OR(status1B5!R239=1,status1B5!R239=2,'BOULEVARD 5'!T237&gt;0),"Pagado","impago"),""))</f>
        <v>Pagado</v>
      </c>
      <c r="R239" s="666" t="str">
        <f>IF(OR($A239="F&amp;F",$G239=""),"",IF(R$8&gt;$G239,IF(OR(status1B5!S239=1,status1B5!S239=2,'BOULEVARD 5'!U237&gt;0),"Pagado","impago"),""))</f>
        <v>Pagado</v>
      </c>
      <c r="S239" s="666" t="str">
        <f>IF(OR($A239="F&amp;F",$G239=""),"",IF(S$8&gt;$G239,IF(OR(status1B5!T239=1,status1B5!T239=2,'BOULEVARD 5'!V237&gt;0),"Pagado","impago"),""))</f>
        <v>Pagado</v>
      </c>
      <c r="T239" s="666" t="str">
        <f>IF(OR($A239="F&amp;F",$G239=""),"",IF(T$8&gt;$G239,IF(OR(status1B5!U239=1,status1B5!U239=2,'BOULEVARD 5'!W237&gt;0),"Pagado","impago"),""))</f>
        <v>Pagado</v>
      </c>
      <c r="U239" s="666" t="str">
        <f>IF(OR($A239="F&amp;F",$G239=""),"",IF(U$8&gt;$G239,IF(OR(status1B5!V239=1,status1B5!V239=2,'BOULEVARD 5'!X237&gt;0),"Pagado","impago"),""))</f>
        <v>Pagado</v>
      </c>
      <c r="V239" s="666" t="str">
        <f>IF(OR($A239="F&amp;F",$G239=""),"",IF(V$8&gt;$G239,IF(OR(status1B5!W239=1,status1B5!W239=2,'BOULEVARD 5'!Y237&gt;0),"Pagado","impago"),""))</f>
        <v>Pagado</v>
      </c>
      <c r="W239" s="666" t="str">
        <f>IF(OR($A239="F&amp;F",$G239=""),"",IF(W$8&gt;$G239,IF(OR(status1B5!X239=1,status1B5!X239=2,'BOULEVARD 5'!Z237&gt;0),"Pagado","impago"),""))</f>
        <v>Pagado</v>
      </c>
      <c r="X239" s="666" t="str">
        <f>IF(OR($A239="F&amp;F",$G239=""),"",IF(X$8&gt;$G239,IF(OR(status1B5!Y239=1,status1B5!Y239=2,'BOULEVARD 5'!AA237&gt;0),"Pagado","impago"),""))</f>
        <v>Pagado</v>
      </c>
      <c r="Y239" s="666" t="str">
        <f>IF(OR($A239="F&amp;F",$G239=""),"",IF(Y$8&gt;$G239,IF(OR(status1B5!Z239=1,status1B5!Z239=2,'BOULEVARD 5'!AB237&gt;0),"Pagado","impago"),""))</f>
        <v>Pagado</v>
      </c>
      <c r="Z239" s="666" t="str">
        <f>IF(OR($A239="F&amp;F",$G239=""),"",IF(Z$8&gt;$G239,IF(OR(status1B5!AA239=1,status1B5!AA239=2,'BOULEVARD 5'!AC237&gt;0),"Pagado","impago"),""))</f>
        <v>Pagado</v>
      </c>
      <c r="AA239" s="666" t="str">
        <f>IF(OR($A239="F&amp;F",$G239=""),"",IF(AA$8&gt;$G239,IF(OR(status1B5!AB239=1,status1B5!AB239=2,'BOULEVARD 5'!AD237&gt;0),"Pagado","impago"),""))</f>
        <v>Pagado</v>
      </c>
      <c r="AB239" s="666" t="str">
        <f>IF(OR($A239="F&amp;F",$G239=""),"",IF(AB$8&gt;$G239,IF(OR(status1B5!AC239=1,status1B5!AC239=2,'BOULEVARD 5'!AE237&gt;0),"Pagado","impago"),""))</f>
        <v>Pagado</v>
      </c>
      <c r="AC239" s="666" t="str">
        <f>IF(OR($A239="F&amp;F",$G239=""),"",IF(AC$8&gt;$G239,IF(OR(status1B5!AD239=1,status1B5!AD239=2,'BOULEVARD 5'!AF237&gt;0),"Pagado","impago"),""))</f>
        <v>Pagado</v>
      </c>
      <c r="AD239" s="666" t="str">
        <f>IF(OR($A239="F&amp;F",$G239=""),"",IF(AD$8&gt;$G239,IF(OR(status1B5!AE239=1,status1B5!AE239=2,'BOULEVARD 5'!AG237&gt;0),"Pagado","impago"),""))</f>
        <v>Pagado</v>
      </c>
      <c r="AE239" s="666" t="str">
        <f>IF(OR($A239="F&amp;F",$G239=""),"",IF(AE$8&gt;$G239,IF(OR(status1B5!AF239=1,status1B5!AF239=2,'BOULEVARD 5'!AH237&gt;0),"Pagado","impago"),""))</f>
        <v>Pagado</v>
      </c>
      <c r="AF239" s="666" t="str">
        <f>IF(OR($A239="F&amp;F",$G239=""),"",IF(AF$8&gt;$G239,IF(OR(status1B5!AG239=1,status1B5!AG239=2,'BOULEVARD 5'!AI237&gt;0),"Pagado","impago"),""))</f>
        <v>Pagado</v>
      </c>
      <c r="AG239" s="666" t="str">
        <f>IF(OR($A239="F&amp;F",$G239=""),"",IF(AG$8&gt;$G239,IF(OR(status1B5!AH239=1,status1B5!AH239=2,'BOULEVARD 5'!AJ237&gt;0),"Pagado","impago"),""))</f>
        <v>Pagado</v>
      </c>
      <c r="AH239" s="666" t="str">
        <f>IF(OR($A239="F&amp;F",$G239=""),"",IF(AH$8&gt;$G239,IF(OR(status1B5!AI239=1,status1B5!AI239=2,'BOULEVARD 5'!AK237&gt;0),"Pagado","impago"),""))</f>
        <v>Pagado</v>
      </c>
      <c r="AI239" s="666" t="str">
        <f>IF(OR($A239="F&amp;F",$G239=""),"",IF(AI$8&gt;$G239,IF(OR(status1B5!AJ239=1,status1B5!AJ239=2,'BOULEVARD 5'!AL237&gt;0),"Pagado","impago"),""))</f>
        <v>Pagado</v>
      </c>
      <c r="AJ239" s="666" t="str">
        <f>IF(OR($A239="F&amp;F",$G239=""),"",IF(AJ$8&gt;$G239,IF(OR(status1B5!AK239=1,status1B5!AK239=2,'BOULEVARD 5'!AM237&gt;0),"Pagado","impago"),""))</f>
        <v>Pagado</v>
      </c>
      <c r="AK239" s="666" t="str">
        <f>IF(OR($A239="F&amp;F",$G239=""),"",IF(AK$8&gt;$G239,IF(OR(status1B5!AL239=1,status1B5!AL239=2,'BOULEVARD 5'!AN237&gt;0),"Pagado","impago"),""))</f>
        <v>Pagado</v>
      </c>
      <c r="AL239" s="666" t="str">
        <f>IF(OR($A239="F&amp;F",$G239=""),"",IF(AL$8&gt;$G239,IF(OR(status1B5!AM239=1,status1B5!AM239=2,'BOULEVARD 5'!AO237&gt;0),"Pagado","impago"),""))</f>
        <v>Pagado</v>
      </c>
      <c r="AM239" s="666" t="str">
        <f>IF(OR($A239="F&amp;F",$G239=""),"",IF(AM$8&gt;$G239,IF(OR(status1B5!AN239=1,status1B5!AN239=2,'BOULEVARD 5'!AP237&gt;0),"Pagado","impago"),""))</f>
        <v>Pagado</v>
      </c>
      <c r="AN239" s="666" t="str">
        <f>IF(OR($A239="F&amp;F",$G239=""),"",IF(AN$8&gt;$G239,IF(OR(status1B5!AO239=1,status1B5!AO239=2,'BOULEVARD 5'!AQ237&gt;0),"Pagado","impago"),""))</f>
        <v>Pagado</v>
      </c>
      <c r="AO239" s="666" t="str">
        <f>IF(OR($A239="F&amp;F",$G239=""),"",IF(AO$8&gt;$G239,IF(OR(status1B5!AP239=1,status1B5!AP239=2,'BOULEVARD 5'!AS237&gt;0),"Pagado","impago"),""))</f>
        <v>Pagado</v>
      </c>
      <c r="AP239" s="429" t="str">
        <f t="shared" si="8"/>
        <v>Vendido</v>
      </c>
    </row>
    <row r="240" spans="1:42" s="429" customFormat="1" ht="13.9" customHeight="1" x14ac:dyDescent="0.25">
      <c r="B240" s="436">
        <f>'BOULEVARD 5'!B238</f>
        <v>1309</v>
      </c>
      <c r="C240" s="436" t="s">
        <v>355</v>
      </c>
      <c r="D240" s="436"/>
      <c r="E240" s="436" t="str">
        <f>IF('BOULEVARD 5'!E238="","",'BOULEVARD 5'!E238)</f>
        <v/>
      </c>
      <c r="F240" s="429" t="str">
        <f>IF('BOULEVARD 5'!F238="","",'BOULEVARD 5'!F238)</f>
        <v/>
      </c>
      <c r="G240" s="473" t="str">
        <f>IF('BOULEVARD 5'!G238="","",'BOULEVARD 5'!G238)</f>
        <v/>
      </c>
      <c r="H240" s="666" t="str">
        <f>IF(OR($A240="F&amp;F",$G240=""),"",IF(H$8&gt;$G240,IF(OR(status1B5!I240=1,status1B5!I240=2,'BOULEVARD 5'!K238&gt;0),"Pagado","impago"),""))</f>
        <v/>
      </c>
      <c r="I240" s="666" t="str">
        <f>IF(OR($A240="F&amp;F",$G240=""),"",IF(I$8&gt;$G240,IF(OR(status1B5!J240=1,status1B5!J240=2,'BOULEVARD 5'!L238&gt;0),"Pagado","impago"),""))</f>
        <v/>
      </c>
      <c r="J240" s="666" t="str">
        <f>IF(OR($A240="F&amp;F",$G240=""),"",IF(J$8&gt;$G240,IF(OR(status1B5!K240=1,status1B5!K240=2,'BOULEVARD 5'!M238&gt;0),"Pagado","impago"),""))</f>
        <v/>
      </c>
      <c r="K240" s="666" t="str">
        <f>IF(OR($A240="F&amp;F",$G240=""),"",IF(K$8&gt;$G240,IF(OR(status1B5!L240=1,status1B5!L240=2,'BOULEVARD 5'!N238&gt;0),"Pagado","impago"),""))</f>
        <v/>
      </c>
      <c r="L240" s="666" t="str">
        <f>IF(OR($A240="F&amp;F",$G240=""),"",IF(L$8&gt;$G240,IF(OR(status1B5!M240=1,status1B5!M240=2,'BOULEVARD 5'!O238&gt;0),"Pagado","impago"),""))</f>
        <v/>
      </c>
      <c r="M240" s="666" t="str">
        <f>IF(OR($A240="F&amp;F",$G240=""),"",IF(M$8&gt;$G240,IF(OR(status1B5!N240=1,status1B5!N240=2,'BOULEVARD 5'!P238&gt;0),"Pagado","impago"),""))</f>
        <v/>
      </c>
      <c r="N240" s="666" t="str">
        <f>IF(OR($A240="F&amp;F",$G240=""),"",IF(N$8&gt;$G240,IF(OR(status1B5!O240=1,status1B5!O240=2,'BOULEVARD 5'!Q238&gt;0),"Pagado","impago"),""))</f>
        <v/>
      </c>
      <c r="O240" s="666" t="str">
        <f>IF(OR($A240="F&amp;F",$G240=""),"",IF(O$8&gt;$G240,IF(OR(status1B5!P240=1,status1B5!P240=2,'BOULEVARD 5'!R238&gt;0),"Pagado","impago"),""))</f>
        <v/>
      </c>
      <c r="P240" s="666" t="str">
        <f>IF(OR($A240="F&amp;F",$G240=""),"",IF(P$8&gt;$G240,IF(OR(status1B5!Q240=1,status1B5!Q240=2,'BOULEVARD 5'!S238&gt;0),"Pagado","impago"),""))</f>
        <v/>
      </c>
      <c r="Q240" s="666" t="str">
        <f>IF(OR($A240="F&amp;F",$G240=""),"",IF(Q$8&gt;$G240,IF(OR(status1B5!R240=1,status1B5!R240=2,'BOULEVARD 5'!T238&gt;0),"Pagado","impago"),""))</f>
        <v/>
      </c>
      <c r="R240" s="666" t="str">
        <f>IF(OR($A240="F&amp;F",$G240=""),"",IF(R$8&gt;$G240,IF(OR(status1B5!S240=1,status1B5!S240=2,'BOULEVARD 5'!U238&gt;0),"Pagado","impago"),""))</f>
        <v/>
      </c>
      <c r="S240" s="666" t="str">
        <f>IF(OR($A240="F&amp;F",$G240=""),"",IF(S$8&gt;$G240,IF(OR(status1B5!T240=1,status1B5!T240=2,'BOULEVARD 5'!V238&gt;0),"Pagado","impago"),""))</f>
        <v/>
      </c>
      <c r="T240" s="666" t="str">
        <f>IF(OR($A240="F&amp;F",$G240=""),"",IF(T$8&gt;$G240,IF(OR(status1B5!U240=1,status1B5!U240=2,'BOULEVARD 5'!W238&gt;0),"Pagado","impago"),""))</f>
        <v/>
      </c>
      <c r="U240" s="666" t="str">
        <f>IF(OR($A240="F&amp;F",$G240=""),"",IF(U$8&gt;$G240,IF(OR(status1B5!V240=1,status1B5!V240=2,'BOULEVARD 5'!X238&gt;0),"Pagado","impago"),""))</f>
        <v/>
      </c>
      <c r="V240" s="666" t="str">
        <f>IF(OR($A240="F&amp;F",$G240=""),"",IF(V$8&gt;$G240,IF(OR(status1B5!W240=1,status1B5!W240=2,'BOULEVARD 5'!Y238&gt;0),"Pagado","impago"),""))</f>
        <v/>
      </c>
      <c r="W240" s="666" t="str">
        <f>IF(OR($A240="F&amp;F",$G240=""),"",IF(W$8&gt;$G240,IF(OR(status1B5!X240=1,status1B5!X240=2,'BOULEVARD 5'!Z238&gt;0),"Pagado","impago"),""))</f>
        <v/>
      </c>
      <c r="X240" s="666" t="str">
        <f>IF(OR($A240="F&amp;F",$G240=""),"",IF(X$8&gt;$G240,IF(OR(status1B5!Y240=1,status1B5!Y240=2,'BOULEVARD 5'!AA238&gt;0),"Pagado","impago"),""))</f>
        <v/>
      </c>
      <c r="Y240" s="666" t="str">
        <f>IF(OR($A240="F&amp;F",$G240=""),"",IF(Y$8&gt;$G240,IF(OR(status1B5!Z240=1,status1B5!Z240=2,'BOULEVARD 5'!AB238&gt;0),"Pagado","impago"),""))</f>
        <v/>
      </c>
      <c r="Z240" s="666" t="str">
        <f>IF(OR($A240="F&amp;F",$G240=""),"",IF(Z$8&gt;$G240,IF(OR(status1B5!AA240=1,status1B5!AA240=2,'BOULEVARD 5'!AC238&gt;0),"Pagado","impago"),""))</f>
        <v/>
      </c>
      <c r="AA240" s="666" t="str">
        <f>IF(OR($A240="F&amp;F",$G240=""),"",IF(AA$8&gt;$G240,IF(OR(status1B5!AB240=1,status1B5!AB240=2,'BOULEVARD 5'!AD238&gt;0),"Pagado","impago"),""))</f>
        <v/>
      </c>
      <c r="AB240" s="666" t="str">
        <f>IF(OR($A240="F&amp;F",$G240=""),"",IF(AB$8&gt;$G240,IF(OR(status1B5!AC240=1,status1B5!AC240=2,'BOULEVARD 5'!AE238&gt;0),"Pagado","impago"),""))</f>
        <v/>
      </c>
      <c r="AC240" s="666" t="str">
        <f>IF(OR($A240="F&amp;F",$G240=""),"",IF(AC$8&gt;$G240,IF(OR(status1B5!AD240=1,status1B5!AD240=2,'BOULEVARD 5'!AF238&gt;0),"Pagado","impago"),""))</f>
        <v/>
      </c>
      <c r="AD240" s="666" t="str">
        <f>IF(OR($A240="F&amp;F",$G240=""),"",IF(AD$8&gt;$G240,IF(OR(status1B5!AE240=1,status1B5!AE240=2,'BOULEVARD 5'!AG238&gt;0),"Pagado","impago"),""))</f>
        <v/>
      </c>
      <c r="AE240" s="666" t="str">
        <f>IF(OR($A240="F&amp;F",$G240=""),"",IF(AE$8&gt;$G240,IF(OR(status1B5!AF240=1,status1B5!AF240=2,'BOULEVARD 5'!AH238&gt;0),"Pagado","impago"),""))</f>
        <v/>
      </c>
      <c r="AF240" s="666" t="str">
        <f>IF(OR($A240="F&amp;F",$G240=""),"",IF(AF$8&gt;$G240,IF(OR(status1B5!AG240=1,status1B5!AG240=2,'BOULEVARD 5'!AI238&gt;0),"Pagado","impago"),""))</f>
        <v/>
      </c>
      <c r="AG240" s="666" t="str">
        <f>IF(OR($A240="F&amp;F",$G240=""),"",IF(AG$8&gt;$G240,IF(OR(status1B5!AH240=1,status1B5!AH240=2,'BOULEVARD 5'!AJ238&gt;0),"Pagado","impago"),""))</f>
        <v/>
      </c>
      <c r="AH240" s="666" t="str">
        <f>IF(OR($A240="F&amp;F",$G240=""),"",IF(AH$8&gt;$G240,IF(OR(status1B5!AI240=1,status1B5!AI240=2,'BOULEVARD 5'!AK238&gt;0),"Pagado","impago"),""))</f>
        <v/>
      </c>
      <c r="AI240" s="666" t="str">
        <f>IF(OR($A240="F&amp;F",$G240=""),"",IF(AI$8&gt;$G240,IF(OR(status1B5!AJ240=1,status1B5!AJ240=2,'BOULEVARD 5'!AL238&gt;0),"Pagado","impago"),""))</f>
        <v/>
      </c>
      <c r="AJ240" s="666" t="str">
        <f>IF(OR($A240="F&amp;F",$G240=""),"",IF(AJ$8&gt;$G240,IF(OR(status1B5!AK240=1,status1B5!AK240=2,'BOULEVARD 5'!AM238&gt;0),"Pagado","impago"),""))</f>
        <v/>
      </c>
      <c r="AK240" s="666" t="str">
        <f>IF(OR($A240="F&amp;F",$G240=""),"",IF(AK$8&gt;$G240,IF(OR(status1B5!AL240=1,status1B5!AL240=2,'BOULEVARD 5'!AN238&gt;0),"Pagado","impago"),""))</f>
        <v/>
      </c>
      <c r="AL240" s="666" t="str">
        <f>IF(OR($A240="F&amp;F",$G240=""),"",IF(AL$8&gt;$G240,IF(OR(status1B5!AM240=1,status1B5!AM240=2,'BOULEVARD 5'!AO238&gt;0),"Pagado","impago"),""))</f>
        <v/>
      </c>
      <c r="AM240" s="666" t="str">
        <f>IF(OR($A240="F&amp;F",$G240=""),"",IF(AM$8&gt;$G240,IF(OR(status1B5!AN240=1,status1B5!AN240=2,'BOULEVARD 5'!AP238&gt;0),"Pagado","impago"),""))</f>
        <v/>
      </c>
      <c r="AN240" s="666" t="str">
        <f>IF(OR($A240="F&amp;F",$G240=""),"",IF(AN$8&gt;$G240,IF(OR(status1B5!AO240=1,status1B5!AO240=2,'BOULEVARD 5'!AQ238&gt;0),"Pagado","impago"),""))</f>
        <v/>
      </c>
      <c r="AO240" s="666" t="str">
        <f>IF(OR($A240="F&amp;F",$G240=""),"",IF(AO$8&gt;$G240,IF(OR(status1B5!AP240=1,status1B5!AP240=2,'BOULEVARD 5'!AS238&gt;0),"Pagado","impago"),""))</f>
        <v/>
      </c>
      <c r="AP240" s="429" t="str">
        <f t="shared" si="8"/>
        <v>No Vendido</v>
      </c>
    </row>
    <row r="241" spans="1:42" s="429" customFormat="1" ht="13.9" customHeight="1" x14ac:dyDescent="0.25">
      <c r="A241" s="472"/>
      <c r="B241" s="436">
        <f>'BOULEVARD 5'!B239</f>
        <v>1310</v>
      </c>
      <c r="C241" s="436" t="s">
        <v>355</v>
      </c>
      <c r="D241" s="436"/>
      <c r="E241" s="436" t="str">
        <f>IF('BOULEVARD 5'!E239="","",'BOULEVARD 5'!E239)</f>
        <v>Jose Franco</v>
      </c>
      <c r="F241" s="429" t="str">
        <f>IF('BOULEVARD 5'!F239="","",'BOULEVARD 5'!F239)</f>
        <v xml:space="preserve"> Raúl Cabrera Galindo</v>
      </c>
      <c r="G241" s="473">
        <f>IF('BOULEVARD 5'!G239="","",'BOULEVARD 5'!G239)</f>
        <v>45012</v>
      </c>
      <c r="H241" s="666" t="str">
        <f>IF(OR($A241="F&amp;F",$G241=""),"",IF(H$8&gt;$G241,IF(OR(status1B5!I241=1,status1B5!I241=2,'BOULEVARD 5'!K239&gt;0),"Pagado","impago"),""))</f>
        <v>Pagado</v>
      </c>
      <c r="I241" s="666" t="str">
        <f>IF(OR($A241="F&amp;F",$G241=""),"",IF(I$8&gt;$G241,IF(OR(status1B5!J241=1,status1B5!J241=2,'BOULEVARD 5'!L239&gt;0),"Pagado","impago"),""))</f>
        <v>Pagado</v>
      </c>
      <c r="J241" s="666" t="str">
        <f>IF(OR($A241="F&amp;F",$G241=""),"",IF(J$8&gt;$G241,IF(OR(status1B5!K241=1,status1B5!K241=2,'BOULEVARD 5'!M239&gt;0),"Pagado","impago"),""))</f>
        <v>Pagado</v>
      </c>
      <c r="K241" s="666" t="str">
        <f>IF(OR($A241="F&amp;F",$G241=""),"",IF(K$8&gt;$G241,IF(OR(status1B5!L241=1,status1B5!L241=2,'BOULEVARD 5'!N239&gt;0),"Pagado","impago"),""))</f>
        <v>Pagado</v>
      </c>
      <c r="L241" s="666" t="str">
        <f>IF(OR($A241="F&amp;F",$G241=""),"",IF(L$8&gt;$G241,IF(OR(status1B5!M241=1,status1B5!M241=2,'BOULEVARD 5'!O239&gt;0),"Pagado","impago"),""))</f>
        <v>Pagado</v>
      </c>
      <c r="M241" s="666" t="str">
        <f>IF(OR($A241="F&amp;F",$G241=""),"",IF(M$8&gt;$G241,IF(OR(status1B5!N241=1,status1B5!N241=2,'BOULEVARD 5'!P239&gt;0),"Pagado","impago"),""))</f>
        <v>Pagado</v>
      </c>
      <c r="N241" s="666" t="str">
        <f>IF(OR($A241="F&amp;F",$G241=""),"",IF(N$8&gt;$G241,IF(OR(status1B5!O241=1,status1B5!O241=2,'BOULEVARD 5'!Q239&gt;0),"Pagado","impago"),""))</f>
        <v>Pagado</v>
      </c>
      <c r="O241" s="666" t="str">
        <f>IF(OR($A241="F&amp;F",$G241=""),"",IF(O$8&gt;$G241,IF(OR(status1B5!P241=1,status1B5!P241=2,'BOULEVARD 5'!R239&gt;0),"Pagado","impago"),""))</f>
        <v>Pagado</v>
      </c>
      <c r="P241" s="666" t="str">
        <f>IF(OR($A241="F&amp;F",$G241=""),"",IF(P$8&gt;$G241,IF(OR(status1B5!Q241=1,status1B5!Q241=2,'BOULEVARD 5'!S239&gt;0),"Pagado","impago"),""))</f>
        <v>Pagado</v>
      </c>
      <c r="Q241" s="666" t="str">
        <f>IF(OR($A241="F&amp;F",$G241=""),"",IF(Q$8&gt;$G241,IF(OR(status1B5!R241=1,status1B5!R241=2,'BOULEVARD 5'!T239&gt;0),"Pagado","impago"),""))</f>
        <v>Pagado</v>
      </c>
      <c r="R241" s="666" t="str">
        <f>IF(OR($A241="F&amp;F",$G241=""),"",IF(R$8&gt;$G241,IF(OR(status1B5!S241=1,status1B5!S241=2,'BOULEVARD 5'!U239&gt;0),"Pagado","impago"),""))</f>
        <v>Pagado</v>
      </c>
      <c r="S241" s="666" t="str">
        <f>IF(OR($A241="F&amp;F",$G241=""),"",IF(S$8&gt;$G241,IF(OR(status1B5!T241=1,status1B5!T241=2,'BOULEVARD 5'!V239&gt;0),"Pagado","impago"),""))</f>
        <v>Pagado</v>
      </c>
      <c r="T241" s="666" t="str">
        <f>IF(OR($A241="F&amp;F",$G241=""),"",IF(T$8&gt;$G241,IF(OR(status1B5!U241=1,status1B5!U241=2,'BOULEVARD 5'!W239&gt;0),"Pagado","impago"),""))</f>
        <v>Pagado</v>
      </c>
      <c r="U241" s="666" t="str">
        <f>IF(OR($A241="F&amp;F",$G241=""),"",IF(U$8&gt;$G241,IF(OR(status1B5!V241=1,status1B5!V241=2,'BOULEVARD 5'!X239&gt;0),"Pagado","impago"),""))</f>
        <v>Pagado</v>
      </c>
      <c r="V241" s="666" t="str">
        <f>IF(OR($A241="F&amp;F",$G241=""),"",IF(V$8&gt;$G241,IF(OR(status1B5!W241=1,status1B5!W241=2,'BOULEVARD 5'!Y239&gt;0),"Pagado","impago"),""))</f>
        <v>Pagado</v>
      </c>
      <c r="W241" s="666" t="str">
        <f>IF(OR($A241="F&amp;F",$G241=""),"",IF(W$8&gt;$G241,IF(OR(status1B5!X241=1,status1B5!X241=2,'BOULEVARD 5'!Z239&gt;0),"Pagado","impago"),""))</f>
        <v>Pagado</v>
      </c>
      <c r="X241" s="666" t="str">
        <f>IF(OR($A241="F&amp;F",$G241=""),"",IF(X$8&gt;$G241,IF(OR(status1B5!Y241=1,status1B5!Y241=2,'BOULEVARD 5'!AA239&gt;0),"Pagado","impago"),""))</f>
        <v>Pagado</v>
      </c>
      <c r="Y241" s="666" t="str">
        <f>IF(OR($A241="F&amp;F",$G241=""),"",IF(Y$8&gt;$G241,IF(OR(status1B5!Z241=1,status1B5!Z241=2,'BOULEVARD 5'!AB239&gt;0),"Pagado","impago"),""))</f>
        <v>Pagado</v>
      </c>
      <c r="Z241" s="666" t="str">
        <f>IF(OR($A241="F&amp;F",$G241=""),"",IF(Z$8&gt;$G241,IF(OR(status1B5!AA241=1,status1B5!AA241=2,'BOULEVARD 5'!AC239&gt;0),"Pagado","impago"),""))</f>
        <v>Pagado</v>
      </c>
      <c r="AA241" s="666" t="str">
        <f>IF(OR($A241="F&amp;F",$G241=""),"",IF(AA$8&gt;$G241,IF(OR(status1B5!AB241=1,status1B5!AB241=2,'BOULEVARD 5'!AD239&gt;0),"Pagado","impago"),""))</f>
        <v>Pagado</v>
      </c>
      <c r="AB241" s="666" t="str">
        <f>IF(OR($A241="F&amp;F",$G241=""),"",IF(AB$8&gt;$G241,IF(OR(status1B5!AC241=1,status1B5!AC241=2,'BOULEVARD 5'!AE239&gt;0),"Pagado","impago"),""))</f>
        <v>Pagado</v>
      </c>
      <c r="AC241" s="666" t="str">
        <f>IF(OR($A241="F&amp;F",$G241=""),"",IF(AC$8&gt;$G241,IF(OR(status1B5!AD241=1,status1B5!AD241=2,'BOULEVARD 5'!AF239&gt;0),"Pagado","impago"),""))</f>
        <v>Pagado</v>
      </c>
      <c r="AD241" s="666" t="str">
        <f>IF(OR($A241="F&amp;F",$G241=""),"",IF(AD$8&gt;$G241,IF(OR(status1B5!AE241=1,status1B5!AE241=2,'BOULEVARD 5'!AG239&gt;0),"Pagado","impago"),""))</f>
        <v>Pagado</v>
      </c>
      <c r="AE241" s="666" t="str">
        <f>IF(OR($A241="F&amp;F",$G241=""),"",IF(AE$8&gt;$G241,IF(OR(status1B5!AF241=1,status1B5!AF241=2,'BOULEVARD 5'!AH239&gt;0),"Pagado","impago"),""))</f>
        <v>Pagado</v>
      </c>
      <c r="AF241" s="666" t="str">
        <f>IF(OR($A241="F&amp;F",$G241=""),"",IF(AF$8&gt;$G241,IF(OR(status1B5!AG241=1,status1B5!AG241=2,'BOULEVARD 5'!AI239&gt;0),"Pagado","impago"),""))</f>
        <v>Pagado</v>
      </c>
      <c r="AG241" s="666" t="str">
        <f>IF(OR($A241="F&amp;F",$G241=""),"",IF(AG$8&gt;$G241,IF(OR(status1B5!AH241=1,status1B5!AH241=2,'BOULEVARD 5'!AJ239&gt;0),"Pagado","impago"),""))</f>
        <v>Pagado</v>
      </c>
      <c r="AH241" s="666" t="str">
        <f>IF(OR($A241="F&amp;F",$G241=""),"",IF(AH$8&gt;$G241,IF(OR(status1B5!AI241=1,status1B5!AI241=2,'BOULEVARD 5'!AK239&gt;0),"Pagado","impago"),""))</f>
        <v>Pagado</v>
      </c>
      <c r="AI241" s="666" t="str">
        <f>IF(OR($A241="F&amp;F",$G241=""),"",IF(AI$8&gt;$G241,IF(OR(status1B5!AJ241=1,status1B5!AJ241=2,'BOULEVARD 5'!AL239&gt;0),"Pagado","impago"),""))</f>
        <v>Pagado</v>
      </c>
      <c r="AJ241" s="666" t="str">
        <f>IF(OR($A241="F&amp;F",$G241=""),"",IF(AJ$8&gt;$G241,IF(OR(status1B5!AK241=1,status1B5!AK241=2,'BOULEVARD 5'!AM239&gt;0),"Pagado","impago"),""))</f>
        <v>Pagado</v>
      </c>
      <c r="AK241" s="666" t="str">
        <f>IF(OR($A241="F&amp;F",$G241=""),"",IF(AK$8&gt;$G241,IF(OR(status1B5!AL241=1,status1B5!AL241=2,'BOULEVARD 5'!AN239&gt;0),"Pagado","impago"),""))</f>
        <v>Pagado</v>
      </c>
      <c r="AL241" s="666" t="str">
        <f>IF(OR($A241="F&amp;F",$G241=""),"",IF(AL$8&gt;$G241,IF(OR(status1B5!AM241=1,status1B5!AM241=2,'BOULEVARD 5'!AO239&gt;0),"Pagado","impago"),""))</f>
        <v>Pagado</v>
      </c>
      <c r="AM241" s="666" t="str">
        <f>IF(OR($A241="F&amp;F",$G241=""),"",IF(AM$8&gt;$G241,IF(OR(status1B5!AN241=1,status1B5!AN241=2,'BOULEVARD 5'!AP239&gt;0),"Pagado","impago"),""))</f>
        <v>Pagado</v>
      </c>
      <c r="AN241" s="666" t="str">
        <f>IF(OR($A241="F&amp;F",$G241=""),"",IF(AN$8&gt;$G241,IF(OR(status1B5!AO241=1,status1B5!AO241=2,'BOULEVARD 5'!AQ239&gt;0),"Pagado","impago"),""))</f>
        <v>Pagado</v>
      </c>
      <c r="AO241" s="666" t="str">
        <f>IF(OR($A241="F&amp;F",$G241=""),"",IF(AO$8&gt;$G241,IF(OR(status1B5!AP241=1,status1B5!AP241=2,'BOULEVARD 5'!AS239&gt;0),"Pagado","impago"),""))</f>
        <v>Pagado</v>
      </c>
      <c r="AP241" s="429" t="str">
        <f t="shared" si="8"/>
        <v>Vendido</v>
      </c>
    </row>
    <row r="242" spans="1:42" s="429" customFormat="1" ht="13.9" customHeight="1" x14ac:dyDescent="0.25">
      <c r="A242" s="472"/>
      <c r="B242" s="436">
        <f>'BOULEVARD 5'!B240</f>
        <v>1311</v>
      </c>
      <c r="C242" s="436" t="s">
        <v>355</v>
      </c>
      <c r="D242" s="436"/>
      <c r="E242" s="436" t="str">
        <f>IF('BOULEVARD 5'!E240="","",'BOULEVARD 5'!E240)</f>
        <v>Antonio Rada</v>
      </c>
      <c r="F242" s="429" t="str">
        <f>IF('BOULEVARD 5'!F240="","",'BOULEVARD 5'!F240)</f>
        <v>Luis Gabriel Garrido Blanco</v>
      </c>
      <c r="G242" s="473">
        <f>IF('BOULEVARD 5'!G240="","",'BOULEVARD 5'!G240)</f>
        <v>45202</v>
      </c>
      <c r="H242" s="666" t="str">
        <f>IF(OR($A242="F&amp;F",$G242=""),"",IF(H$8&gt;$G242,IF(OR(status1B5!I242=1,status1B5!I242=2,'BOULEVARD 5'!K240&gt;0),"Pagado","impago"),""))</f>
        <v/>
      </c>
      <c r="I242" s="666" t="str">
        <f>IF(OR($A242="F&amp;F",$G242=""),"",IF(I$8&gt;$G242,IF(OR(status1B5!J242=1,status1B5!J242=2,'BOULEVARD 5'!L240&gt;0),"Pagado","impago"),""))</f>
        <v/>
      </c>
      <c r="J242" s="666" t="str">
        <f>IF(OR($A242="F&amp;F",$G242=""),"",IF(J$8&gt;$G242,IF(OR(status1B5!K242=1,status1B5!K242=2,'BOULEVARD 5'!M240&gt;0),"Pagado","impago"),""))</f>
        <v/>
      </c>
      <c r="K242" s="666" t="str">
        <f>IF(OR($A242="F&amp;F",$G242=""),"",IF(K$8&gt;$G242,IF(OR(status1B5!L242=1,status1B5!L242=2,'BOULEVARD 5'!N240&gt;0),"Pagado","impago"),""))</f>
        <v/>
      </c>
      <c r="L242" s="666" t="str">
        <f>IF(OR($A242="F&amp;F",$G242=""),"",IF(L$8&gt;$G242,IF(OR(status1B5!M242=1,status1B5!M242=2,'BOULEVARD 5'!O240&gt;0),"Pagado","impago"),""))</f>
        <v/>
      </c>
      <c r="M242" s="666" t="str">
        <f>IF(OR($A242="F&amp;F",$G242=""),"",IF(M$8&gt;$G242,IF(OR(status1B5!N242=1,status1B5!N242=2,'BOULEVARD 5'!P240&gt;0),"Pagado","impago"),""))</f>
        <v/>
      </c>
      <c r="N242" s="666" t="str">
        <f>IF(OR($A242="F&amp;F",$G242=""),"",IF(N$8&gt;$G242,IF(OR(status1B5!O242=1,status1B5!O242=2,'BOULEVARD 5'!Q240&gt;0),"Pagado","impago"),""))</f>
        <v/>
      </c>
      <c r="O242" s="666" t="str">
        <f>IF(OR($A242="F&amp;F",$G242=""),"",IF(O$8&gt;$G242,IF(OR(status1B5!P242=1,status1B5!P242=2,'BOULEVARD 5'!R240&gt;0),"Pagado","impago"),""))</f>
        <v>Pagado</v>
      </c>
      <c r="P242" s="666" t="str">
        <f>IF(OR($A242="F&amp;F",$G242=""),"",IF(P$8&gt;$G242,IF(OR(status1B5!Q242=1,status1B5!Q242=2,'BOULEVARD 5'!S240&gt;0),"Pagado","impago"),""))</f>
        <v>Pagado</v>
      </c>
      <c r="Q242" s="666" t="str">
        <f>IF(OR($A242="F&amp;F",$G242=""),"",IF(Q$8&gt;$G242,IF(OR(status1B5!R242=1,status1B5!R242=2,'BOULEVARD 5'!T240&gt;0),"Pagado","impago"),""))</f>
        <v>Pagado</v>
      </c>
      <c r="R242" s="666" t="str">
        <f>IF(OR($A242="F&amp;F",$G242=""),"",IF(R$8&gt;$G242,IF(OR(status1B5!S242=1,status1B5!S242=2,'BOULEVARD 5'!U240&gt;0),"Pagado","impago"),""))</f>
        <v>Pagado</v>
      </c>
      <c r="S242" s="666" t="str">
        <f>IF(OR($A242="F&amp;F",$G242=""),"",IF(S$8&gt;$G242,IF(OR(status1B5!T242=1,status1B5!T242=2,'BOULEVARD 5'!V240&gt;0),"Pagado","impago"),""))</f>
        <v>Pagado</v>
      </c>
      <c r="T242" s="666" t="str">
        <f>IF(OR($A242="F&amp;F",$G242=""),"",IF(T$8&gt;$G242,IF(OR(status1B5!U242=1,status1B5!U242=2,'BOULEVARD 5'!W240&gt;0),"Pagado","impago"),""))</f>
        <v>Pagado</v>
      </c>
      <c r="U242" s="666" t="str">
        <f>IF(OR($A242="F&amp;F",$G242=""),"",IF(U$8&gt;$G242,IF(OR(status1B5!V242=1,status1B5!V242=2,'BOULEVARD 5'!X240&gt;0),"Pagado","impago"),""))</f>
        <v>Pagado</v>
      </c>
      <c r="V242" s="666" t="str">
        <f>IF(OR($A242="F&amp;F",$G242=""),"",IF(V$8&gt;$G242,IF(OR(status1B5!W242=1,status1B5!W242=2,'BOULEVARD 5'!Y240&gt;0),"Pagado","impago"),""))</f>
        <v>Pagado</v>
      </c>
      <c r="W242" s="666" t="str">
        <f>IF(OR($A242="F&amp;F",$G242=""),"",IF(W$8&gt;$G242,IF(OR(status1B5!X242=1,status1B5!X242=2,'BOULEVARD 5'!Z240&gt;0),"Pagado","impago"),""))</f>
        <v>Pagado</v>
      </c>
      <c r="X242" s="666" t="str">
        <f>IF(OR($A242="F&amp;F",$G242=""),"",IF(X$8&gt;$G242,IF(OR(status1B5!Y242=1,status1B5!Y242=2,'BOULEVARD 5'!AA240&gt;0),"Pagado","impago"),""))</f>
        <v>Pagado</v>
      </c>
      <c r="Y242" s="666" t="str">
        <f>IF(OR($A242="F&amp;F",$G242=""),"",IF(Y$8&gt;$G242,IF(OR(status1B5!Z242=1,status1B5!Z242=2,'BOULEVARD 5'!AB240&gt;0),"Pagado","impago"),""))</f>
        <v>Pagado</v>
      </c>
      <c r="Z242" s="666" t="str">
        <f>IF(OR($A242="F&amp;F",$G242=""),"",IF(Z$8&gt;$G242,IF(OR(status1B5!AA242=1,status1B5!AA242=2,'BOULEVARD 5'!AC240&gt;0),"Pagado","impago"),""))</f>
        <v>Pagado</v>
      </c>
      <c r="AA242" s="666" t="str">
        <f>IF(OR($A242="F&amp;F",$G242=""),"",IF(AA$8&gt;$G242,IF(OR(status1B5!AB242=1,status1B5!AB242=2,'BOULEVARD 5'!AD240&gt;0),"Pagado","impago"),""))</f>
        <v>Pagado</v>
      </c>
      <c r="AB242" s="666" t="str">
        <f>IF(OR($A242="F&amp;F",$G242=""),"",IF(AB$8&gt;$G242,IF(OR(status1B5!AC242=1,status1B5!AC242=2,'BOULEVARD 5'!AE240&gt;0),"Pagado","impago"),""))</f>
        <v>Pagado</v>
      </c>
      <c r="AC242" s="666" t="str">
        <f>IF(OR($A242="F&amp;F",$G242=""),"",IF(AC$8&gt;$G242,IF(OR(status1B5!AD242=1,status1B5!AD242=2,'BOULEVARD 5'!AF240&gt;0),"Pagado","impago"),""))</f>
        <v>Pagado</v>
      </c>
      <c r="AD242" s="666" t="str">
        <f>IF(OR($A242="F&amp;F",$G242=""),"",IF(AD$8&gt;$G242,IF(OR(status1B5!AE242=1,status1B5!AE242=2,'BOULEVARD 5'!AG240&gt;0),"Pagado","impago"),""))</f>
        <v>Pagado</v>
      </c>
      <c r="AE242" s="666" t="str">
        <f>IF(OR($A242="F&amp;F",$G242=""),"",IF(AE$8&gt;$G242,IF(OR(status1B5!AF242=1,status1B5!AF242=2,'BOULEVARD 5'!AH240&gt;0),"Pagado","impago"),""))</f>
        <v>Pagado</v>
      </c>
      <c r="AF242" s="666" t="str">
        <f>IF(OR($A242="F&amp;F",$G242=""),"",IF(AF$8&gt;$G242,IF(OR(status1B5!AG242=1,status1B5!AG242=2,'BOULEVARD 5'!AI240&gt;0),"Pagado","impago"),""))</f>
        <v>Pagado</v>
      </c>
      <c r="AG242" s="666" t="str">
        <f>IF(OR($A242="F&amp;F",$G242=""),"",IF(AG$8&gt;$G242,IF(OR(status1B5!AH242=1,status1B5!AH242=2,'BOULEVARD 5'!AJ240&gt;0),"Pagado","impago"),""))</f>
        <v>Pagado</v>
      </c>
      <c r="AH242" s="666" t="str">
        <f>IF(OR($A242="F&amp;F",$G242=""),"",IF(AH$8&gt;$G242,IF(OR(status1B5!AI242=1,status1B5!AI242=2,'BOULEVARD 5'!AK240&gt;0),"Pagado","impago"),""))</f>
        <v>Pagado</v>
      </c>
      <c r="AI242" s="666" t="str">
        <f>IF(OR($A242="F&amp;F",$G242=""),"",IF(AI$8&gt;$G242,IF(OR(status1B5!AJ242=1,status1B5!AJ242=2,'BOULEVARD 5'!AL240&gt;0),"Pagado","impago"),""))</f>
        <v>Pagado</v>
      </c>
      <c r="AJ242" s="666" t="str">
        <f>IF(OR($A242="F&amp;F",$G242=""),"",IF(AJ$8&gt;$G242,IF(OR(status1B5!AK242=1,status1B5!AK242=2,'BOULEVARD 5'!AM240&gt;0),"Pagado","impago"),""))</f>
        <v>Pagado</v>
      </c>
      <c r="AK242" s="666" t="str">
        <f>IF(OR($A242="F&amp;F",$G242=""),"",IF(AK$8&gt;$G242,IF(OR(status1B5!AL242=1,status1B5!AL242=2,'BOULEVARD 5'!AN240&gt;0),"Pagado","impago"),""))</f>
        <v>Pagado</v>
      </c>
      <c r="AL242" s="666" t="str">
        <f>IF(OR($A242="F&amp;F",$G242=""),"",IF(AL$8&gt;$G242,IF(OR(status1B5!AM242=1,status1B5!AM242=2,'BOULEVARD 5'!AO240&gt;0),"Pagado","impago"),""))</f>
        <v>Pagado</v>
      </c>
      <c r="AM242" s="666" t="str">
        <f>IF(OR($A242="F&amp;F",$G242=""),"",IF(AM$8&gt;$G242,IF(OR(status1B5!AN242=1,status1B5!AN242=2,'BOULEVARD 5'!AP240&gt;0),"Pagado","impago"),""))</f>
        <v>Pagado</v>
      </c>
      <c r="AN242" s="666" t="str">
        <f>IF(OR($A242="F&amp;F",$G242=""),"",IF(AN$8&gt;$G242,IF(OR(status1B5!AO242=1,status1B5!AO242=2,'BOULEVARD 5'!AQ240&gt;0),"Pagado","impago"),""))</f>
        <v>Pagado</v>
      </c>
      <c r="AO242" s="666" t="str">
        <f>IF(OR($A242="F&amp;F",$G242=""),"",IF(AO$8&gt;$G242,IF(OR(status1B5!AP242=1,status1B5!AP242=2,'BOULEVARD 5'!AS240&gt;0),"Pagado","impago"),""))</f>
        <v>Pagado</v>
      </c>
      <c r="AP242" s="429" t="str">
        <f t="shared" si="8"/>
        <v>Vendido</v>
      </c>
    </row>
    <row r="243" spans="1:42" s="429" customFormat="1" ht="13.9" customHeight="1" x14ac:dyDescent="0.25">
      <c r="A243" s="472"/>
      <c r="B243" s="436">
        <f>'BOULEVARD 5'!B241</f>
        <v>1312</v>
      </c>
      <c r="C243" s="436" t="s">
        <v>355</v>
      </c>
      <c r="D243" s="436"/>
      <c r="E243" s="436" t="str">
        <f>IF('BOULEVARD 5'!E241="","",'BOULEVARD 5'!E241)</f>
        <v>Brenda Búcaro</v>
      </c>
      <c r="F243" s="429" t="str">
        <f>IF('BOULEVARD 5'!F241="","",'BOULEVARD 5'!F241)</f>
        <v>Arturo Alfredo Monzón López</v>
      </c>
      <c r="G243" s="473">
        <f>IF('BOULEVARD 5'!G241="","",'BOULEVARD 5'!G241)</f>
        <v>45034</v>
      </c>
      <c r="H243" s="666" t="str">
        <f>IF(OR($A243="F&amp;F",$G243=""),"",IF(H$8&gt;$G243,IF(OR(status1B5!I243=1,status1B5!I243=2,'BOULEVARD 5'!K241&gt;0),"Pagado","impago"),""))</f>
        <v/>
      </c>
      <c r="I243" s="666" t="str">
        <f>IF(OR($A243="F&amp;F",$G243=""),"",IF(I$8&gt;$G243,IF(OR(status1B5!J243=1,status1B5!J243=2,'BOULEVARD 5'!L241&gt;0),"Pagado","impago"),""))</f>
        <v>Pagado</v>
      </c>
      <c r="J243" s="666" t="str">
        <f>IF(OR($A243="F&amp;F",$G243=""),"",IF(J$8&gt;$G243,IF(OR(status1B5!K243=1,status1B5!K243=2,'BOULEVARD 5'!M241&gt;0),"Pagado","impago"),""))</f>
        <v>Pagado</v>
      </c>
      <c r="K243" s="666" t="str">
        <f>IF(OR($A243="F&amp;F",$G243=""),"",IF(K$8&gt;$G243,IF(OR(status1B5!L243=1,status1B5!L243=2,'BOULEVARD 5'!N241&gt;0),"Pagado","impago"),""))</f>
        <v>Pagado</v>
      </c>
      <c r="L243" s="666" t="str">
        <f>IF(OR($A243="F&amp;F",$G243=""),"",IF(L$8&gt;$G243,IF(OR(status1B5!M243=1,status1B5!M243=2,'BOULEVARD 5'!O241&gt;0),"Pagado","impago"),""))</f>
        <v>Pagado</v>
      </c>
      <c r="M243" s="666" t="str">
        <f>IF(OR($A243="F&amp;F",$G243=""),"",IF(M$8&gt;$G243,IF(OR(status1B5!N243=1,status1B5!N243=2,'BOULEVARD 5'!P241&gt;0),"Pagado","impago"),""))</f>
        <v>Pagado</v>
      </c>
      <c r="N243" s="666" t="str">
        <f>IF(OR($A243="F&amp;F",$G243=""),"",IF(N$8&gt;$G243,IF(OR(status1B5!O243=1,status1B5!O243=2,'BOULEVARD 5'!Q241&gt;0),"Pagado","impago"),""))</f>
        <v>Pagado</v>
      </c>
      <c r="O243" s="666" t="str">
        <f>IF(OR($A243="F&amp;F",$G243=""),"",IF(O$8&gt;$G243,IF(OR(status1B5!P243=1,status1B5!P243=2,'BOULEVARD 5'!R241&gt;0),"Pagado","impago"),""))</f>
        <v>Pagado</v>
      </c>
      <c r="P243" s="666" t="str">
        <f>IF(OR($A243="F&amp;F",$G243=""),"",IF(P$8&gt;$G243,IF(OR(status1B5!Q243=1,status1B5!Q243=2,'BOULEVARD 5'!S241&gt;0),"Pagado","impago"),""))</f>
        <v>Pagado</v>
      </c>
      <c r="Q243" s="666" t="str">
        <f>IF(OR($A243="F&amp;F",$G243=""),"",IF(Q$8&gt;$G243,IF(OR(status1B5!R243=1,status1B5!R243=2,'BOULEVARD 5'!T241&gt;0),"Pagado","impago"),""))</f>
        <v>Pagado</v>
      </c>
      <c r="R243" s="666" t="str">
        <f>IF(OR($A243="F&amp;F",$G243=""),"",IF(R$8&gt;$G243,IF(OR(status1B5!S243=1,status1B5!S243=2,'BOULEVARD 5'!U241&gt;0),"Pagado","impago"),""))</f>
        <v>Pagado</v>
      </c>
      <c r="S243" s="666" t="str">
        <f>IF(OR($A243="F&amp;F",$G243=""),"",IF(S$8&gt;$G243,IF(OR(status1B5!T243=1,status1B5!T243=2,'BOULEVARD 5'!V241&gt;0),"Pagado","impago"),""))</f>
        <v>Pagado</v>
      </c>
      <c r="T243" s="666" t="str">
        <f>IF(OR($A243="F&amp;F",$G243=""),"",IF(T$8&gt;$G243,IF(OR(status1B5!U243=1,status1B5!U243=2,'BOULEVARD 5'!W241&gt;0),"Pagado","impago"),""))</f>
        <v>Pagado</v>
      </c>
      <c r="U243" s="666" t="str">
        <f>IF(OR($A243="F&amp;F",$G243=""),"",IF(U$8&gt;$G243,IF(OR(status1B5!V243=1,status1B5!V243=2,'BOULEVARD 5'!X241&gt;0),"Pagado","impago"),""))</f>
        <v>Pagado</v>
      </c>
      <c r="V243" s="666" t="str">
        <f>IF(OR($A243="F&amp;F",$G243=""),"",IF(V$8&gt;$G243,IF(OR(status1B5!W243=1,status1B5!W243=2,'BOULEVARD 5'!Y241&gt;0),"Pagado","impago"),""))</f>
        <v>Pagado</v>
      </c>
      <c r="W243" s="666" t="str">
        <f>IF(OR($A243="F&amp;F",$G243=""),"",IF(W$8&gt;$G243,IF(OR(status1B5!X243=1,status1B5!X243=2,'BOULEVARD 5'!Z241&gt;0),"Pagado","impago"),""))</f>
        <v>Pagado</v>
      </c>
      <c r="X243" s="666" t="str">
        <f>IF(OR($A243="F&amp;F",$G243=""),"",IF(X$8&gt;$G243,IF(OR(status1B5!Y243=1,status1B5!Y243=2,'BOULEVARD 5'!AA241&gt;0),"Pagado","impago"),""))</f>
        <v>Pagado</v>
      </c>
      <c r="Y243" s="666" t="str">
        <f>IF(OR($A243="F&amp;F",$G243=""),"",IF(Y$8&gt;$G243,IF(OR(status1B5!Z243=1,status1B5!Z243=2,'BOULEVARD 5'!AB241&gt;0),"Pagado","impago"),""))</f>
        <v>Pagado</v>
      </c>
      <c r="Z243" s="666" t="str">
        <f>IF(OR($A243="F&amp;F",$G243=""),"",IF(Z$8&gt;$G243,IF(OR(status1B5!AA243=1,status1B5!AA243=2,'BOULEVARD 5'!AC241&gt;0),"Pagado","impago"),""))</f>
        <v>Pagado</v>
      </c>
      <c r="AA243" s="666" t="str">
        <f>IF(OR($A243="F&amp;F",$G243=""),"",IF(AA$8&gt;$G243,IF(OR(status1B5!AB243=1,status1B5!AB243=2,'BOULEVARD 5'!AD241&gt;0),"Pagado","impago"),""))</f>
        <v>Pagado</v>
      </c>
      <c r="AB243" s="666" t="str">
        <f>IF(OR($A243="F&amp;F",$G243=""),"",IF(AB$8&gt;$G243,IF(OR(status1B5!AC243=1,status1B5!AC243=2,'BOULEVARD 5'!AE241&gt;0),"Pagado","impago"),""))</f>
        <v>Pagado</v>
      </c>
      <c r="AC243" s="666" t="str">
        <f>IF(OR($A243="F&amp;F",$G243=""),"",IF(AC$8&gt;$G243,IF(OR(status1B5!AD243=1,status1B5!AD243=2,'BOULEVARD 5'!AF241&gt;0),"Pagado","impago"),""))</f>
        <v>Pagado</v>
      </c>
      <c r="AD243" s="666" t="str">
        <f>IF(OR($A243="F&amp;F",$G243=""),"",IF(AD$8&gt;$G243,IF(OR(status1B5!AE243=1,status1B5!AE243=2,'BOULEVARD 5'!AG241&gt;0),"Pagado","impago"),""))</f>
        <v>Pagado</v>
      </c>
      <c r="AE243" s="666" t="str">
        <f>IF(OR($A243="F&amp;F",$G243=""),"",IF(AE$8&gt;$G243,IF(OR(status1B5!AF243=1,status1B5!AF243=2,'BOULEVARD 5'!AH241&gt;0),"Pagado","impago"),""))</f>
        <v>Pagado</v>
      </c>
      <c r="AF243" s="666" t="str">
        <f>IF(OR($A243="F&amp;F",$G243=""),"",IF(AF$8&gt;$G243,IF(OR(status1B5!AG243=1,status1B5!AG243=2,'BOULEVARD 5'!AI241&gt;0),"Pagado","impago"),""))</f>
        <v>Pagado</v>
      </c>
      <c r="AG243" s="666" t="str">
        <f>IF(OR($A243="F&amp;F",$G243=""),"",IF(AG$8&gt;$G243,IF(OR(status1B5!AH243=1,status1B5!AH243=2,'BOULEVARD 5'!AJ241&gt;0),"Pagado","impago"),""))</f>
        <v>Pagado</v>
      </c>
      <c r="AH243" s="666" t="str">
        <f>IF(OR($A243="F&amp;F",$G243=""),"",IF(AH$8&gt;$G243,IF(OR(status1B5!AI243=1,status1B5!AI243=2,'BOULEVARD 5'!AK241&gt;0),"Pagado","impago"),""))</f>
        <v>Pagado</v>
      </c>
      <c r="AI243" s="666" t="str">
        <f>IF(OR($A243="F&amp;F",$G243=""),"",IF(AI$8&gt;$G243,IF(OR(status1B5!AJ243=1,status1B5!AJ243=2,'BOULEVARD 5'!AL241&gt;0),"Pagado","impago"),""))</f>
        <v>Pagado</v>
      </c>
      <c r="AJ243" s="666" t="str">
        <f>IF(OR($A243="F&amp;F",$G243=""),"",IF(AJ$8&gt;$G243,IF(OR(status1B5!AK243=1,status1B5!AK243=2,'BOULEVARD 5'!AM241&gt;0),"Pagado","impago"),""))</f>
        <v>Pagado</v>
      </c>
      <c r="AK243" s="666" t="str">
        <f>IF(OR($A243="F&amp;F",$G243=""),"",IF(AK$8&gt;$G243,IF(OR(status1B5!AL243=1,status1B5!AL243=2,'BOULEVARD 5'!AN241&gt;0),"Pagado","impago"),""))</f>
        <v>Pagado</v>
      </c>
      <c r="AL243" s="666" t="str">
        <f>IF(OR($A243="F&amp;F",$G243=""),"",IF(AL$8&gt;$G243,IF(OR(status1B5!AM243=1,status1B5!AM243=2,'BOULEVARD 5'!AO241&gt;0),"Pagado","impago"),""))</f>
        <v>Pagado</v>
      </c>
      <c r="AM243" s="666" t="str">
        <f>IF(OR($A243="F&amp;F",$G243=""),"",IF(AM$8&gt;$G243,IF(OR(status1B5!AN243=1,status1B5!AN243=2,'BOULEVARD 5'!AP241&gt;0),"Pagado","impago"),""))</f>
        <v>Pagado</v>
      </c>
      <c r="AN243" s="666" t="str">
        <f>IF(OR($A243="F&amp;F",$G243=""),"",IF(AN$8&gt;$G243,IF(OR(status1B5!AO243=1,status1B5!AO243=2,'BOULEVARD 5'!AQ241&gt;0),"Pagado","impago"),""))</f>
        <v>Pagado</v>
      </c>
      <c r="AO243" s="666" t="str">
        <f>IF(OR($A243="F&amp;F",$G243=""),"",IF(AO$8&gt;$G243,IF(OR(status1B5!AP243=1,status1B5!AP243=2,'BOULEVARD 5'!AS241&gt;0),"Pagado","impago"),""))</f>
        <v>Pagado</v>
      </c>
      <c r="AP243" s="429" t="str">
        <f t="shared" si="8"/>
        <v>Vendido</v>
      </c>
    </row>
    <row r="244" spans="1:42" s="429" customFormat="1" ht="13.9" customHeight="1" x14ac:dyDescent="0.25">
      <c r="A244" s="472"/>
      <c r="B244" s="436">
        <f>'BOULEVARD 5'!B242</f>
        <v>1313</v>
      </c>
      <c r="C244" s="436" t="s">
        <v>355</v>
      </c>
      <c r="D244" s="436"/>
      <c r="E244" s="436" t="str">
        <f>IF('BOULEVARD 5'!E242="","",'BOULEVARD 5'!E242)</f>
        <v>Jose Franco</v>
      </c>
      <c r="F244" s="429" t="str">
        <f>IF('BOULEVARD 5'!F242="","",'BOULEVARD 5'!F242)</f>
        <v>Marcas &amp; Secretos, S.A.</v>
      </c>
      <c r="G244" s="473">
        <f>IF('BOULEVARD 5'!G242="","",'BOULEVARD 5'!G242)</f>
        <v>45021</v>
      </c>
      <c r="H244" s="666" t="str">
        <f>IF(OR($A244="F&amp;F",$G244=""),"",IF(H$8&gt;$G244,IF(OR(status1B5!I244=1,status1B5!I244=2,'BOULEVARD 5'!K242&gt;0),"Pagado","impago"),""))</f>
        <v/>
      </c>
      <c r="I244" s="666" t="str">
        <f>IF(OR($A244="F&amp;F",$G244=""),"",IF(I$8&gt;$G244,IF(OR(status1B5!J244=1,status1B5!J244=2,'BOULEVARD 5'!L242&gt;0),"Pagado","impago"),""))</f>
        <v>Pagado</v>
      </c>
      <c r="J244" s="666" t="str">
        <f>IF(OR($A244="F&amp;F",$G244=""),"",IF(J$8&gt;$G244,IF(OR(status1B5!K244=1,status1B5!K244=2,'BOULEVARD 5'!M242&gt;0),"Pagado","impago"),""))</f>
        <v>Pagado</v>
      </c>
      <c r="K244" s="666" t="str">
        <f>IF(OR($A244="F&amp;F",$G244=""),"",IF(K$8&gt;$G244,IF(OR(status1B5!L244=1,status1B5!L244=2,'BOULEVARD 5'!N242&gt;0),"Pagado","impago"),""))</f>
        <v>Pagado</v>
      </c>
      <c r="L244" s="666" t="str">
        <f>IF(OR($A244="F&amp;F",$G244=""),"",IF(L$8&gt;$G244,IF(OR(status1B5!M244=1,status1B5!M244=2,'BOULEVARD 5'!O242&gt;0),"Pagado","impago"),""))</f>
        <v>Pagado</v>
      </c>
      <c r="M244" s="666" t="str">
        <f>IF(OR($A244="F&amp;F",$G244=""),"",IF(M$8&gt;$G244,IF(OR(status1B5!N244=1,status1B5!N244=2,'BOULEVARD 5'!P242&gt;0),"Pagado","impago"),""))</f>
        <v>Pagado</v>
      </c>
      <c r="N244" s="666" t="str">
        <f>IF(OR($A244="F&amp;F",$G244=""),"",IF(N$8&gt;$G244,IF(OR(status1B5!O244=1,status1B5!O244=2,'BOULEVARD 5'!Q242&gt;0),"Pagado","impago"),""))</f>
        <v>Pagado</v>
      </c>
      <c r="O244" s="666" t="str">
        <f>IF(OR($A244="F&amp;F",$G244=""),"",IF(O$8&gt;$G244,IF(OR(status1B5!P244=1,status1B5!P244=2,'BOULEVARD 5'!R242&gt;0),"Pagado","impago"),""))</f>
        <v>Pagado</v>
      </c>
      <c r="P244" s="666" t="str">
        <f>IF(OR($A244="F&amp;F",$G244=""),"",IF(P$8&gt;$G244,IF(OR(status1B5!Q244=1,status1B5!Q244=2,'BOULEVARD 5'!S242&gt;0),"Pagado","impago"),""))</f>
        <v>Pagado</v>
      </c>
      <c r="Q244" s="666" t="str">
        <f>IF(OR($A244="F&amp;F",$G244=""),"",IF(Q$8&gt;$G244,IF(OR(status1B5!R244=1,status1B5!R244=2,'BOULEVARD 5'!T242&gt;0),"Pagado","impago"),""))</f>
        <v>Pagado</v>
      </c>
      <c r="R244" s="666" t="str">
        <f>IF(OR($A244="F&amp;F",$G244=""),"",IF(R$8&gt;$G244,IF(OR(status1B5!S244=1,status1B5!S244=2,'BOULEVARD 5'!U242&gt;0),"Pagado","impago"),""))</f>
        <v>Pagado</v>
      </c>
      <c r="S244" s="666" t="str">
        <f>IF(OR($A244="F&amp;F",$G244=""),"",IF(S$8&gt;$G244,IF(OR(status1B5!T244=1,status1B5!T244=2,'BOULEVARD 5'!V242&gt;0),"Pagado","impago"),""))</f>
        <v>Pagado</v>
      </c>
      <c r="T244" s="666" t="str">
        <f>IF(OR($A244="F&amp;F",$G244=""),"",IF(T$8&gt;$G244,IF(OR(status1B5!U244=1,status1B5!U244=2,'BOULEVARD 5'!W242&gt;0),"Pagado","impago"),""))</f>
        <v>Pagado</v>
      </c>
      <c r="U244" s="666" t="str">
        <f>IF(OR($A244="F&amp;F",$G244=""),"",IF(U$8&gt;$G244,IF(OR(status1B5!V244=1,status1B5!V244=2,'BOULEVARD 5'!X242&gt;0),"Pagado","impago"),""))</f>
        <v>Pagado</v>
      </c>
      <c r="V244" s="666" t="str">
        <f>IF(OR($A244="F&amp;F",$G244=""),"",IF(V$8&gt;$G244,IF(OR(status1B5!W244=1,status1B5!W244=2,'BOULEVARD 5'!Y242&gt;0),"Pagado","impago"),""))</f>
        <v>Pagado</v>
      </c>
      <c r="W244" s="666" t="str">
        <f>IF(OR($A244="F&amp;F",$G244=""),"",IF(W$8&gt;$G244,IF(OR(status1B5!X244=1,status1B5!X244=2,'BOULEVARD 5'!Z242&gt;0),"Pagado","impago"),""))</f>
        <v>Pagado</v>
      </c>
      <c r="X244" s="666" t="str">
        <f>IF(OR($A244="F&amp;F",$G244=""),"",IF(X$8&gt;$G244,IF(OR(status1B5!Y244=1,status1B5!Y244=2,'BOULEVARD 5'!AA242&gt;0),"Pagado","impago"),""))</f>
        <v>Pagado</v>
      </c>
      <c r="Y244" s="666" t="str">
        <f>IF(OR($A244="F&amp;F",$G244=""),"",IF(Y$8&gt;$G244,IF(OR(status1B5!Z244=1,status1B5!Z244=2,'BOULEVARD 5'!AB242&gt;0),"Pagado","impago"),""))</f>
        <v>Pagado</v>
      </c>
      <c r="Z244" s="666" t="str">
        <f>IF(OR($A244="F&amp;F",$G244=""),"",IF(Z$8&gt;$G244,IF(OR(status1B5!AA244=1,status1B5!AA244=2,'BOULEVARD 5'!AC242&gt;0),"Pagado","impago"),""))</f>
        <v>Pagado</v>
      </c>
      <c r="AA244" s="666" t="str">
        <f>IF(OR($A244="F&amp;F",$G244=""),"",IF(AA$8&gt;$G244,IF(OR(status1B5!AB244=1,status1B5!AB244=2,'BOULEVARD 5'!AD242&gt;0),"Pagado","impago"),""))</f>
        <v>Pagado</v>
      </c>
      <c r="AB244" s="666" t="str">
        <f>IF(OR($A244="F&amp;F",$G244=""),"",IF(AB$8&gt;$G244,IF(OR(status1B5!AC244=1,status1B5!AC244=2,'BOULEVARD 5'!AE242&gt;0),"Pagado","impago"),""))</f>
        <v>Pagado</v>
      </c>
      <c r="AC244" s="666" t="str">
        <f>IF(OR($A244="F&amp;F",$G244=""),"",IF(AC$8&gt;$G244,IF(OR(status1B5!AD244=1,status1B5!AD244=2,'BOULEVARD 5'!AF242&gt;0),"Pagado","impago"),""))</f>
        <v>Pagado</v>
      </c>
      <c r="AD244" s="666" t="str">
        <f>IF(OR($A244="F&amp;F",$G244=""),"",IF(AD$8&gt;$G244,IF(OR(status1B5!AE244=1,status1B5!AE244=2,'BOULEVARD 5'!AG242&gt;0),"Pagado","impago"),""))</f>
        <v>Pagado</v>
      </c>
      <c r="AE244" s="666" t="str">
        <f>IF(OR($A244="F&amp;F",$G244=""),"",IF(AE$8&gt;$G244,IF(OR(status1B5!AF244=1,status1B5!AF244=2,'BOULEVARD 5'!AH242&gt;0),"Pagado","impago"),""))</f>
        <v>Pagado</v>
      </c>
      <c r="AF244" s="666" t="str">
        <f>IF(OR($A244="F&amp;F",$G244=""),"",IF(AF$8&gt;$G244,IF(OR(status1B5!AG244=1,status1B5!AG244=2,'BOULEVARD 5'!AI242&gt;0),"Pagado","impago"),""))</f>
        <v>Pagado</v>
      </c>
      <c r="AG244" s="666" t="str">
        <f>IF(OR($A244="F&amp;F",$G244=""),"",IF(AG$8&gt;$G244,IF(OR(status1B5!AH244=1,status1B5!AH244=2,'BOULEVARD 5'!AJ242&gt;0),"Pagado","impago"),""))</f>
        <v>Pagado</v>
      </c>
      <c r="AH244" s="666" t="str">
        <f>IF(OR($A244="F&amp;F",$G244=""),"",IF(AH$8&gt;$G244,IF(OR(status1B5!AI244=1,status1B5!AI244=2,'BOULEVARD 5'!AK242&gt;0),"Pagado","impago"),""))</f>
        <v>Pagado</v>
      </c>
      <c r="AI244" s="666" t="str">
        <f>IF(OR($A244="F&amp;F",$G244=""),"",IF(AI$8&gt;$G244,IF(OR(status1B5!AJ244=1,status1B5!AJ244=2,'BOULEVARD 5'!AL242&gt;0),"Pagado","impago"),""))</f>
        <v>Pagado</v>
      </c>
      <c r="AJ244" s="666" t="str">
        <f>IF(OR($A244="F&amp;F",$G244=""),"",IF(AJ$8&gt;$G244,IF(OR(status1B5!AK244=1,status1B5!AK244=2,'BOULEVARD 5'!AM242&gt;0),"Pagado","impago"),""))</f>
        <v>Pagado</v>
      </c>
      <c r="AK244" s="666" t="str">
        <f>IF(OR($A244="F&amp;F",$G244=""),"",IF(AK$8&gt;$G244,IF(OR(status1B5!AL244=1,status1B5!AL244=2,'BOULEVARD 5'!AN242&gt;0),"Pagado","impago"),""))</f>
        <v>Pagado</v>
      </c>
      <c r="AL244" s="666" t="str">
        <f>IF(OR($A244="F&amp;F",$G244=""),"",IF(AL$8&gt;$G244,IF(OR(status1B5!AM244=1,status1B5!AM244=2,'BOULEVARD 5'!AO242&gt;0),"Pagado","impago"),""))</f>
        <v>Pagado</v>
      </c>
      <c r="AM244" s="666" t="str">
        <f>IF(OR($A244="F&amp;F",$G244=""),"",IF(AM$8&gt;$G244,IF(OR(status1B5!AN244=1,status1B5!AN244=2,'BOULEVARD 5'!AP242&gt;0),"Pagado","impago"),""))</f>
        <v>Pagado</v>
      </c>
      <c r="AN244" s="666" t="str">
        <f>IF(OR($A244="F&amp;F",$G244=""),"",IF(AN$8&gt;$G244,IF(OR(status1B5!AO244=1,status1B5!AO244=2,'BOULEVARD 5'!AQ242&gt;0),"Pagado","impago"),""))</f>
        <v>Pagado</v>
      </c>
      <c r="AO244" s="666" t="str">
        <f>IF(OR($A244="F&amp;F",$G244=""),"",IF(AO$8&gt;$G244,IF(OR(status1B5!AP244=1,status1B5!AP244=2,'BOULEVARD 5'!AS242&gt;0),"Pagado","impago"),""))</f>
        <v>Pagado</v>
      </c>
      <c r="AP244" s="429" t="str">
        <f t="shared" si="8"/>
        <v>Vendido</v>
      </c>
    </row>
    <row r="245" spans="1:42" s="429" customFormat="1" ht="13.9" customHeight="1" x14ac:dyDescent="0.25">
      <c r="A245" s="472"/>
      <c r="B245" s="436">
        <f>'BOULEVARD 5'!B243</f>
        <v>1314</v>
      </c>
      <c r="C245" s="436" t="s">
        <v>355</v>
      </c>
      <c r="D245" s="436"/>
      <c r="E245" s="436" t="str">
        <f>IF('BOULEVARD 5'!E243="","",'BOULEVARD 5'!E243)</f>
        <v>Brenda Búcaro</v>
      </c>
      <c r="F245" s="429" t="str">
        <f>IF('BOULEVARD 5'!F243="","",'BOULEVARD 5'!F243)</f>
        <v>Sidney Alexander Osorio Montufar</v>
      </c>
      <c r="G245" s="473">
        <f>IF('BOULEVARD 5'!G243="","",'BOULEVARD 5'!G243)</f>
        <v>45005</v>
      </c>
      <c r="H245" s="666" t="str">
        <f>IF(OR($A245="F&amp;F",$G245=""),"",IF(H$8&gt;$G245,IF(OR(status1B5!I245=1,status1B5!I245=2,'BOULEVARD 5'!K243&gt;0),"Pagado","impago"),""))</f>
        <v>Pagado</v>
      </c>
      <c r="I245" s="666" t="str">
        <f>IF(OR($A245="F&amp;F",$G245=""),"",IF(I$8&gt;$G245,IF(OR(status1B5!J245=1,status1B5!J245=2,'BOULEVARD 5'!L243&gt;0),"Pagado","impago"),""))</f>
        <v>Pagado</v>
      </c>
      <c r="J245" s="666" t="str">
        <f>IF(OR($A245="F&amp;F",$G245=""),"",IF(J$8&gt;$G245,IF(OR(status1B5!K245=1,status1B5!K245=2,'BOULEVARD 5'!M243&gt;0),"Pagado","impago"),""))</f>
        <v>Pagado</v>
      </c>
      <c r="K245" s="666" t="str">
        <f>IF(OR($A245="F&amp;F",$G245=""),"",IF(K$8&gt;$G245,IF(OR(status1B5!L245=1,status1B5!L245=2,'BOULEVARD 5'!N243&gt;0),"Pagado","impago"),""))</f>
        <v>Pagado</v>
      </c>
      <c r="L245" s="666" t="str">
        <f>IF(OR($A245="F&amp;F",$G245=""),"",IF(L$8&gt;$G245,IF(OR(status1B5!M245=1,status1B5!M245=2,'BOULEVARD 5'!O243&gt;0),"Pagado","impago"),""))</f>
        <v>Pagado</v>
      </c>
      <c r="M245" s="666" t="str">
        <f>IF(OR($A245="F&amp;F",$G245=""),"",IF(M$8&gt;$G245,IF(OR(status1B5!N245=1,status1B5!N245=2,'BOULEVARD 5'!P243&gt;0),"Pagado","impago"),""))</f>
        <v>Pagado</v>
      </c>
      <c r="N245" s="666" t="str">
        <f>IF(OR($A245="F&amp;F",$G245=""),"",IF(N$8&gt;$G245,IF(OR(status1B5!O245=1,status1B5!O245=2,'BOULEVARD 5'!Q243&gt;0),"Pagado","impago"),""))</f>
        <v>Pagado</v>
      </c>
      <c r="O245" s="666" t="str">
        <f>IF(OR($A245="F&amp;F",$G245=""),"",IF(O$8&gt;$G245,IF(OR(status1B5!P245=1,status1B5!P245=2,'BOULEVARD 5'!R243&gt;0),"Pagado","impago"),""))</f>
        <v>Pagado</v>
      </c>
      <c r="P245" s="666" t="str">
        <f>IF(OR($A245="F&amp;F",$G245=""),"",IF(P$8&gt;$G245,IF(OR(status1B5!Q245=1,status1B5!Q245=2,'BOULEVARD 5'!S243&gt;0),"Pagado","impago"),""))</f>
        <v>Pagado</v>
      </c>
      <c r="Q245" s="666" t="str">
        <f>IF(OR($A245="F&amp;F",$G245=""),"",IF(Q$8&gt;$G245,IF(OR(status1B5!R245=1,status1B5!R245=2,'BOULEVARD 5'!T243&gt;0),"Pagado","impago"),""))</f>
        <v>Pagado</v>
      </c>
      <c r="R245" s="666" t="str">
        <f>IF(OR($A245="F&amp;F",$G245=""),"",IF(R$8&gt;$G245,IF(OR(status1B5!S245=1,status1B5!S245=2,'BOULEVARD 5'!U243&gt;0),"Pagado","impago"),""))</f>
        <v>Pagado</v>
      </c>
      <c r="S245" s="666" t="str">
        <f>IF(OR($A245="F&amp;F",$G245=""),"",IF(S$8&gt;$G245,IF(OR(status1B5!T245=1,status1B5!T245=2,'BOULEVARD 5'!V243&gt;0),"Pagado","impago"),""))</f>
        <v>Pagado</v>
      </c>
      <c r="T245" s="666" t="str">
        <f>IF(OR($A245="F&amp;F",$G245=""),"",IF(T$8&gt;$G245,IF(OR(status1B5!U245=1,status1B5!U245=2,'BOULEVARD 5'!W243&gt;0),"Pagado","impago"),""))</f>
        <v>Pagado</v>
      </c>
      <c r="U245" s="666" t="str">
        <f>IF(OR($A245="F&amp;F",$G245=""),"",IF(U$8&gt;$G245,IF(OR(status1B5!V245=1,status1B5!V245=2,'BOULEVARD 5'!X243&gt;0),"Pagado","impago"),""))</f>
        <v>Pagado</v>
      </c>
      <c r="V245" s="666" t="str">
        <f>IF(OR($A245="F&amp;F",$G245=""),"",IF(V$8&gt;$G245,IF(OR(status1B5!W245=1,status1B5!W245=2,'BOULEVARD 5'!Y243&gt;0),"Pagado","impago"),""))</f>
        <v>Pagado</v>
      </c>
      <c r="W245" s="666" t="str">
        <f>IF(OR($A245="F&amp;F",$G245=""),"",IF(W$8&gt;$G245,IF(OR(status1B5!X245=1,status1B5!X245=2,'BOULEVARD 5'!Z243&gt;0),"Pagado","impago"),""))</f>
        <v>Pagado</v>
      </c>
      <c r="X245" s="666" t="str">
        <f>IF(OR($A245="F&amp;F",$G245=""),"",IF(X$8&gt;$G245,IF(OR(status1B5!Y245=1,status1B5!Y245=2,'BOULEVARD 5'!AA243&gt;0),"Pagado","impago"),""))</f>
        <v>Pagado</v>
      </c>
      <c r="Y245" s="666" t="str">
        <f>IF(OR($A245="F&amp;F",$G245=""),"",IF(Y$8&gt;$G245,IF(OR(status1B5!Z245=1,status1B5!Z245=2,'BOULEVARD 5'!AB243&gt;0),"Pagado","impago"),""))</f>
        <v>Pagado</v>
      </c>
      <c r="Z245" s="666" t="str">
        <f>IF(OR($A245="F&amp;F",$G245=""),"",IF(Z$8&gt;$G245,IF(OR(status1B5!AA245=1,status1B5!AA245=2,'BOULEVARD 5'!AC243&gt;0),"Pagado","impago"),""))</f>
        <v>Pagado</v>
      </c>
      <c r="AA245" s="666" t="str">
        <f>IF(OR($A245="F&amp;F",$G245=""),"",IF(AA$8&gt;$G245,IF(OR(status1B5!AB245=1,status1B5!AB245=2,'BOULEVARD 5'!AD243&gt;0),"Pagado","impago"),""))</f>
        <v>Pagado</v>
      </c>
      <c r="AB245" s="666" t="str">
        <f>IF(OR($A245="F&amp;F",$G245=""),"",IF(AB$8&gt;$G245,IF(OR(status1B5!AC245=1,status1B5!AC245=2,'BOULEVARD 5'!AE243&gt;0),"Pagado","impago"),""))</f>
        <v>Pagado</v>
      </c>
      <c r="AC245" s="666" t="str">
        <f>IF(OR($A245="F&amp;F",$G245=""),"",IF(AC$8&gt;$G245,IF(OR(status1B5!AD245=1,status1B5!AD245=2,'BOULEVARD 5'!AF243&gt;0),"Pagado","impago"),""))</f>
        <v>Pagado</v>
      </c>
      <c r="AD245" s="666" t="str">
        <f>IF(OR($A245="F&amp;F",$G245=""),"",IF(AD$8&gt;$G245,IF(OR(status1B5!AE245=1,status1B5!AE245=2,'BOULEVARD 5'!AG243&gt;0),"Pagado","impago"),""))</f>
        <v>Pagado</v>
      </c>
      <c r="AE245" s="666" t="str">
        <f>IF(OR($A245="F&amp;F",$G245=""),"",IF(AE$8&gt;$G245,IF(OR(status1B5!AF245=1,status1B5!AF245=2,'BOULEVARD 5'!AH243&gt;0),"Pagado","impago"),""))</f>
        <v>Pagado</v>
      </c>
      <c r="AF245" s="666" t="str">
        <f>IF(OR($A245="F&amp;F",$G245=""),"",IF(AF$8&gt;$G245,IF(OR(status1B5!AG245=1,status1B5!AG245=2,'BOULEVARD 5'!AI243&gt;0),"Pagado","impago"),""))</f>
        <v>Pagado</v>
      </c>
      <c r="AG245" s="666" t="str">
        <f>IF(OR($A245="F&amp;F",$G245=""),"",IF(AG$8&gt;$G245,IF(OR(status1B5!AH245=1,status1B5!AH245=2,'BOULEVARD 5'!AJ243&gt;0),"Pagado","impago"),""))</f>
        <v>Pagado</v>
      </c>
      <c r="AH245" s="666" t="str">
        <f>IF(OR($A245="F&amp;F",$G245=""),"",IF(AH$8&gt;$G245,IF(OR(status1B5!AI245=1,status1B5!AI245=2,'BOULEVARD 5'!AK243&gt;0),"Pagado","impago"),""))</f>
        <v>Pagado</v>
      </c>
      <c r="AI245" s="666" t="str">
        <f>IF(OR($A245="F&amp;F",$G245=""),"",IF(AI$8&gt;$G245,IF(OR(status1B5!AJ245=1,status1B5!AJ245=2,'BOULEVARD 5'!AL243&gt;0),"Pagado","impago"),""))</f>
        <v>Pagado</v>
      </c>
      <c r="AJ245" s="666" t="str">
        <f>IF(OR($A245="F&amp;F",$G245=""),"",IF(AJ$8&gt;$G245,IF(OR(status1B5!AK245=1,status1B5!AK245=2,'BOULEVARD 5'!AM243&gt;0),"Pagado","impago"),""))</f>
        <v>Pagado</v>
      </c>
      <c r="AK245" s="666" t="str">
        <f>IF(OR($A245="F&amp;F",$G245=""),"",IF(AK$8&gt;$G245,IF(OR(status1B5!AL245=1,status1B5!AL245=2,'BOULEVARD 5'!AN243&gt;0),"Pagado","impago"),""))</f>
        <v>Pagado</v>
      </c>
      <c r="AL245" s="666" t="str">
        <f>IF(OR($A245="F&amp;F",$G245=""),"",IF(AL$8&gt;$G245,IF(OR(status1B5!AM245=1,status1B5!AM245=2,'BOULEVARD 5'!AO243&gt;0),"Pagado","impago"),""))</f>
        <v>Pagado</v>
      </c>
      <c r="AM245" s="666" t="str">
        <f>IF(OR($A245="F&amp;F",$G245=""),"",IF(AM$8&gt;$G245,IF(OR(status1B5!AN245=1,status1B5!AN245=2,'BOULEVARD 5'!AP243&gt;0),"Pagado","impago"),""))</f>
        <v>Pagado</v>
      </c>
      <c r="AN245" s="666" t="str">
        <f>IF(OR($A245="F&amp;F",$G245=""),"",IF(AN$8&gt;$G245,IF(OR(status1B5!AO245=1,status1B5!AO245=2,'BOULEVARD 5'!AQ243&gt;0),"Pagado","impago"),""))</f>
        <v>Pagado</v>
      </c>
      <c r="AO245" s="666" t="str">
        <f>IF(OR($A245="F&amp;F",$G245=""),"",IF(AO$8&gt;$G245,IF(OR(status1B5!AP245=1,status1B5!AP245=2,'BOULEVARD 5'!AS243&gt;0),"Pagado","impago"),""))</f>
        <v>Pagado</v>
      </c>
      <c r="AP245" s="429" t="str">
        <f t="shared" si="8"/>
        <v>Vendido</v>
      </c>
    </row>
    <row r="246" spans="1:42" s="467" customFormat="1" ht="13.9" customHeight="1" x14ac:dyDescent="0.25">
      <c r="B246" s="483">
        <f>'BOULEVARD 5'!B244</f>
        <v>1315</v>
      </c>
      <c r="C246" s="483" t="s">
        <v>355</v>
      </c>
      <c r="D246" s="483"/>
      <c r="E246" s="436" t="str">
        <f>IF('BOULEVARD 5'!E244="","",'BOULEVARD 5'!E244)</f>
        <v>Anahí Cisneros</v>
      </c>
      <c r="F246" s="467" t="str">
        <f>IF('BOULEVARD 5'!F244="","",'BOULEVARD 5'!F244)</f>
        <v>Alan Gonzalez Choc</v>
      </c>
      <c r="G246" s="473">
        <f>IF('BOULEVARD 5'!G244="","",'BOULEVARD 5'!G244)</f>
        <v>45856</v>
      </c>
      <c r="H246" s="666" t="str">
        <f>IF(OR($A246="F&amp;F",$G246=""),"",IF(H$8&gt;$G246,IF(OR(status1B5!I246=1,status1B5!I246=2,'BOULEVARD 5'!K244&gt;0),"Pagado","impago"),""))</f>
        <v/>
      </c>
      <c r="I246" s="666" t="str">
        <f>IF(OR($A246="F&amp;F",$G246=""),"",IF(I$8&gt;$G246,IF(OR(status1B5!J246=1,status1B5!J246=2,'BOULEVARD 5'!L244&gt;0),"Pagado","impago"),""))</f>
        <v/>
      </c>
      <c r="J246" s="666" t="str">
        <f>IF(OR($A246="F&amp;F",$G246=""),"",IF(J$8&gt;$G246,IF(OR(status1B5!K246=1,status1B5!K246=2,'BOULEVARD 5'!M244&gt;0),"Pagado","impago"),""))</f>
        <v/>
      </c>
      <c r="K246" s="666" t="str">
        <f>IF(OR($A246="F&amp;F",$G246=""),"",IF(K$8&gt;$G246,IF(OR(status1B5!L246=1,status1B5!L246=2,'BOULEVARD 5'!N244&gt;0),"Pagado","impago"),""))</f>
        <v/>
      </c>
      <c r="L246" s="666" t="str">
        <f>IF(OR($A246="F&amp;F",$G246=""),"",IF(L$8&gt;$G246,IF(OR(status1B5!M246=1,status1B5!M246=2,'BOULEVARD 5'!O244&gt;0),"Pagado","impago"),""))</f>
        <v/>
      </c>
      <c r="M246" s="666" t="str">
        <f>IF(OR($A246="F&amp;F",$G246=""),"",IF(M$8&gt;$G246,IF(OR(status1B5!N246=1,status1B5!N246=2,'BOULEVARD 5'!P244&gt;0),"Pagado","impago"),""))</f>
        <v/>
      </c>
      <c r="N246" s="666" t="str">
        <f>IF(OR($A246="F&amp;F",$G246=""),"",IF(N$8&gt;$G246,IF(OR(status1B5!O246=1,status1B5!O246=2,'BOULEVARD 5'!Q244&gt;0),"Pagado","impago"),""))</f>
        <v/>
      </c>
      <c r="O246" s="666" t="str">
        <f>IF(OR($A246="F&amp;F",$G246=""),"",IF(O$8&gt;$G246,IF(OR(status1B5!P246=1,status1B5!P246=2,'BOULEVARD 5'!R244&gt;0),"Pagado","impago"),""))</f>
        <v/>
      </c>
      <c r="P246" s="666" t="str">
        <f>IF(OR($A246="F&amp;F",$G246=""),"",IF(P$8&gt;$G246,IF(OR(status1B5!Q246=1,status1B5!Q246=2,'BOULEVARD 5'!S244&gt;0),"Pagado","impago"),""))</f>
        <v/>
      </c>
      <c r="Q246" s="666" t="str">
        <f>IF(OR($A246="F&amp;F",$G246=""),"",IF(Q$8&gt;$G246,IF(OR(status1B5!R246=1,status1B5!R246=2,'BOULEVARD 5'!T244&gt;0),"Pagado","impago"),""))</f>
        <v/>
      </c>
      <c r="R246" s="666" t="str">
        <f>IF(OR($A246="F&amp;F",$G246=""),"",IF(R$8&gt;$G246,IF(OR(status1B5!S246=1,status1B5!S246=2,'BOULEVARD 5'!U244&gt;0),"Pagado","impago"),""))</f>
        <v/>
      </c>
      <c r="S246" s="666" t="str">
        <f>IF(OR($A246="F&amp;F",$G246=""),"",IF(S$8&gt;$G246,IF(OR(status1B5!T246=1,status1B5!T246=2,'BOULEVARD 5'!V244&gt;0),"Pagado","impago"),""))</f>
        <v/>
      </c>
      <c r="T246" s="666" t="str">
        <f>IF(OR($A246="F&amp;F",$G246=""),"",IF(T$8&gt;$G246,IF(OR(status1B5!U246=1,status1B5!U246=2,'BOULEVARD 5'!W244&gt;0),"Pagado","impago"),""))</f>
        <v/>
      </c>
      <c r="U246" s="666" t="str">
        <f>IF(OR($A246="F&amp;F",$G246=""),"",IF(U$8&gt;$G246,IF(OR(status1B5!V246=1,status1B5!V246=2,'BOULEVARD 5'!X244&gt;0),"Pagado","impago"),""))</f>
        <v/>
      </c>
      <c r="V246" s="666" t="str">
        <f>IF(OR($A246="F&amp;F",$G246=""),"",IF(V$8&gt;$G246,IF(OR(status1B5!W246=1,status1B5!W246=2,'BOULEVARD 5'!Y244&gt;0),"Pagado","impago"),""))</f>
        <v/>
      </c>
      <c r="W246" s="666" t="str">
        <f>IF(OR($A246="F&amp;F",$G246=""),"",IF(W$8&gt;$G246,IF(OR(status1B5!X246=1,status1B5!X246=2,'BOULEVARD 5'!Z244&gt;0),"Pagado","impago"),""))</f>
        <v/>
      </c>
      <c r="X246" s="666" t="str">
        <f>IF(OR($A246="F&amp;F",$G246=""),"",IF(X$8&gt;$G246,IF(OR(status1B5!Y246=1,status1B5!Y246=2,'BOULEVARD 5'!AA244&gt;0),"Pagado","impago"),""))</f>
        <v/>
      </c>
      <c r="Y246" s="666" t="str">
        <f>IF(OR($A246="F&amp;F",$G246=""),"",IF(Y$8&gt;$G246,IF(OR(status1B5!Z246=1,status1B5!Z246=2,'BOULEVARD 5'!AB244&gt;0),"Pagado","impago"),""))</f>
        <v/>
      </c>
      <c r="Z246" s="666" t="str">
        <f>IF(OR($A246="F&amp;F",$G246=""),"",IF(Z$8&gt;$G246,IF(OR(status1B5!AA246=1,status1B5!AA246=2,'BOULEVARD 5'!AC244&gt;0),"Pagado","impago"),""))</f>
        <v/>
      </c>
      <c r="AA246" s="666" t="str">
        <f>IF(OR($A246="F&amp;F",$G246=""),"",IF(AA$8&gt;$G246,IF(OR(status1B5!AB246=1,status1B5!AB246=2,'BOULEVARD 5'!AD244&gt;0),"Pagado","impago"),""))</f>
        <v/>
      </c>
      <c r="AB246" s="666" t="str">
        <f>IF(OR($A246="F&amp;F",$G246=""),"",IF(AB$8&gt;$G246,IF(OR(status1B5!AC246=1,status1B5!AC246=2,'BOULEVARD 5'!AE244&gt;0),"Pagado","impago"),""))</f>
        <v/>
      </c>
      <c r="AC246" s="666" t="str">
        <f>IF(OR($A246="F&amp;F",$G246=""),"",IF(AC$8&gt;$G246,IF(OR(status1B5!AD246=1,status1B5!AD246=2,'BOULEVARD 5'!AF244&gt;0),"Pagado","impago"),""))</f>
        <v/>
      </c>
      <c r="AD246" s="666" t="str">
        <f>IF(OR($A246="F&amp;F",$G246=""),"",IF(AD$8&gt;$G246,IF(OR(status1B5!AE246=1,status1B5!AE246=2,'BOULEVARD 5'!AG244&gt;0),"Pagado","impago"),""))</f>
        <v/>
      </c>
      <c r="AE246" s="666" t="str">
        <f>IF(OR($A246="F&amp;F",$G246=""),"",IF(AE$8&gt;$G246,IF(OR(status1B5!AF246=1,status1B5!AF246=2,'BOULEVARD 5'!AH244&gt;0),"Pagado","impago"),""))</f>
        <v/>
      </c>
      <c r="AF246" s="666" t="str">
        <f>IF(OR($A246="F&amp;F",$G246=""),"",IF(AF$8&gt;$G246,IF(OR(status1B5!AG246=1,status1B5!AG246=2,'BOULEVARD 5'!AI244&gt;0),"Pagado","impago"),""))</f>
        <v/>
      </c>
      <c r="AG246" s="666" t="str">
        <f>IF(OR($A246="F&amp;F",$G246=""),"",IF(AG$8&gt;$G246,IF(OR(status1B5!AH246=1,status1B5!AH246=2,'BOULEVARD 5'!AJ244&gt;0),"Pagado","impago"),""))</f>
        <v/>
      </c>
      <c r="AH246" s="666" t="str">
        <f>IF(OR($A246="F&amp;F",$G246=""),"",IF(AH$8&gt;$G246,IF(OR(status1B5!AI246=1,status1B5!AI246=2,'BOULEVARD 5'!AK244&gt;0),"Pagado","impago"),""))</f>
        <v/>
      </c>
      <c r="AI246" s="666" t="str">
        <f>IF(OR($A246="F&amp;F",$G246=""),"",IF(AI$8&gt;$G246,IF(OR(status1B5!AJ246=1,status1B5!AJ246=2,'BOULEVARD 5'!AL244&gt;0),"Pagado","impago"),""))</f>
        <v/>
      </c>
      <c r="AJ246" s="666" t="str">
        <f>IF(OR($A246="F&amp;F",$G246=""),"",IF(AJ$8&gt;$G246,IF(OR(status1B5!AK246=1,status1B5!AK246=2,'BOULEVARD 5'!AM244&gt;0),"Pagado","impago"),""))</f>
        <v>Pagado</v>
      </c>
      <c r="AK246" s="666" t="str">
        <f>IF(OR($A246="F&amp;F",$G246=""),"",IF(AK$8&gt;$G246,IF(OR(status1B5!AL246=1,status1B5!AL246=2,'BOULEVARD 5'!AN244&gt;0),"Pagado","impago"),""))</f>
        <v>Pagado</v>
      </c>
      <c r="AL246" s="666" t="str">
        <f>IF(OR($A246="F&amp;F",$G246=""),"",IF(AL$8&gt;$G246,IF(OR(status1B5!AM246=1,status1B5!AM246=2,'BOULEVARD 5'!AO244&gt;0),"Pagado","impago"),""))</f>
        <v>Pagado</v>
      </c>
      <c r="AM246" s="666" t="str">
        <f>IF(OR($A246="F&amp;F",$G246=""),"",IF(AM$8&gt;$G246,IF(OR(status1B5!AN246=1,status1B5!AN246=2,'BOULEVARD 5'!AP244&gt;0),"Pagado","impago"),""))</f>
        <v>Pagado</v>
      </c>
      <c r="AN246" s="666" t="str">
        <f>IF(OR($A246="F&amp;F",$G246=""),"",IF(AN$8&gt;$G246,IF(OR(status1B5!AO246=1,status1B5!AO246=2,'BOULEVARD 5'!AQ244&gt;0),"Pagado","impago"),""))</f>
        <v>Pagado</v>
      </c>
      <c r="AO246" s="666" t="str">
        <f>IF(OR($A246="F&amp;F",$G246=""),"",IF(AO$8&gt;$G246,IF(OR(status1B5!AP246=1,status1B5!AP246=2,'BOULEVARD 5'!AS244&gt;0),"Pagado","impago"),""))</f>
        <v>Pagado</v>
      </c>
      <c r="AP246" s="429" t="str">
        <f t="shared" si="8"/>
        <v>Vendido</v>
      </c>
    </row>
    <row r="247" spans="1:42" s="429" customFormat="1" ht="13.9" customHeight="1" x14ac:dyDescent="0.25">
      <c r="A247" s="472"/>
      <c r="B247" s="436">
        <f>'BOULEVARD 5'!B245</f>
        <v>1316</v>
      </c>
      <c r="C247" s="436" t="s">
        <v>355</v>
      </c>
      <c r="D247" s="436"/>
      <c r="E247" s="436" t="str">
        <f>IF('BOULEVARD 5'!E245="","",'BOULEVARD 5'!E245)</f>
        <v>Antonio Rada</v>
      </c>
      <c r="F247" s="429" t="str">
        <f>IF('BOULEVARD 5'!F245="","",'BOULEVARD 5'!F245)</f>
        <v>Juan Ernesto Vossberg Ordoñez / Sumilab</v>
      </c>
      <c r="G247" s="473">
        <f>IF('BOULEVARD 5'!G245="","",'BOULEVARD 5'!G245)</f>
        <v>45232</v>
      </c>
      <c r="H247" s="666" t="str">
        <f>IF(OR($A247="F&amp;F",$G247=""),"",IF(H$8&gt;$G247,IF(OR(status1B5!I247=1,status1B5!I247=2,'BOULEVARD 5'!K245&gt;0),"Pagado","impago"),""))</f>
        <v/>
      </c>
      <c r="I247" s="666" t="str">
        <f>IF(OR($A247="F&amp;F",$G247=""),"",IF(I$8&gt;$G247,IF(OR(status1B5!J247=1,status1B5!J247=2,'BOULEVARD 5'!L245&gt;0),"Pagado","impago"),""))</f>
        <v/>
      </c>
      <c r="J247" s="666" t="str">
        <f>IF(OR($A247="F&amp;F",$G247=""),"",IF(J$8&gt;$G247,IF(OR(status1B5!K247=1,status1B5!K247=2,'BOULEVARD 5'!M245&gt;0),"Pagado","impago"),""))</f>
        <v/>
      </c>
      <c r="K247" s="666" t="str">
        <f>IF(OR($A247="F&amp;F",$G247=""),"",IF(K$8&gt;$G247,IF(OR(status1B5!L247=1,status1B5!L247=2,'BOULEVARD 5'!N245&gt;0),"Pagado","impago"),""))</f>
        <v/>
      </c>
      <c r="L247" s="666" t="str">
        <f>IF(OR($A247="F&amp;F",$G247=""),"",IF(L$8&gt;$G247,IF(OR(status1B5!M247=1,status1B5!M247=2,'BOULEVARD 5'!O245&gt;0),"Pagado","impago"),""))</f>
        <v/>
      </c>
      <c r="M247" s="666" t="str">
        <f>IF(OR($A247="F&amp;F",$G247=""),"",IF(M$8&gt;$G247,IF(OR(status1B5!N247=1,status1B5!N247=2,'BOULEVARD 5'!P245&gt;0),"Pagado","impago"),""))</f>
        <v/>
      </c>
      <c r="N247" s="666" t="str">
        <f>IF(OR($A247="F&amp;F",$G247=""),"",IF(N$8&gt;$G247,IF(OR(status1B5!O247=1,status1B5!O247=2,'BOULEVARD 5'!Q245&gt;0),"Pagado","impago"),""))</f>
        <v/>
      </c>
      <c r="O247" s="666" t="str">
        <f>IF(OR($A247="F&amp;F",$G247=""),"",IF(O$8&gt;$G247,IF(OR(status1B5!P247=1,status1B5!P247=2,'BOULEVARD 5'!R245&gt;0),"Pagado","impago"),""))</f>
        <v/>
      </c>
      <c r="P247" s="666" t="str">
        <f>IF(OR($A247="F&amp;F",$G247=""),"",IF(P$8&gt;$G247,IF(OR(status1B5!Q247=1,status1B5!Q247=2,'BOULEVARD 5'!S245&gt;0),"Pagado","impago"),""))</f>
        <v>Pagado</v>
      </c>
      <c r="Q247" s="666" t="str">
        <f>IF(OR($A247="F&amp;F",$G247=""),"",IF(Q$8&gt;$G247,IF(OR(status1B5!R247=1,status1B5!R247=2,'BOULEVARD 5'!T245&gt;0),"Pagado","impago"),""))</f>
        <v>Pagado</v>
      </c>
      <c r="R247" s="666" t="str">
        <f>IF(OR($A247="F&amp;F",$G247=""),"",IF(R$8&gt;$G247,IF(OR(status1B5!S247=1,status1B5!S247=2,'BOULEVARD 5'!U245&gt;0),"Pagado","impago"),""))</f>
        <v>Pagado</v>
      </c>
      <c r="S247" s="666" t="str">
        <f>IF(OR($A247="F&amp;F",$G247=""),"",IF(S$8&gt;$G247,IF(OR(status1B5!T247=1,status1B5!T247=2,'BOULEVARD 5'!V245&gt;0),"Pagado","impago"),""))</f>
        <v>Pagado</v>
      </c>
      <c r="T247" s="666" t="str">
        <f>IF(OR($A247="F&amp;F",$G247=""),"",IF(T$8&gt;$G247,IF(OR(status1B5!U247=1,status1B5!U247=2,'BOULEVARD 5'!W245&gt;0),"Pagado","impago"),""))</f>
        <v>Pagado</v>
      </c>
      <c r="U247" s="666" t="str">
        <f>IF(OR($A247="F&amp;F",$G247=""),"",IF(U$8&gt;$G247,IF(OR(status1B5!V247=1,status1B5!V247=2,'BOULEVARD 5'!X245&gt;0),"Pagado","impago"),""))</f>
        <v>Pagado</v>
      </c>
      <c r="V247" s="666" t="str">
        <f>IF(OR($A247="F&amp;F",$G247=""),"",IF(V$8&gt;$G247,IF(OR(status1B5!W247=1,status1B5!W247=2,'BOULEVARD 5'!Y245&gt;0),"Pagado","impago"),""))</f>
        <v>Pagado</v>
      </c>
      <c r="W247" s="666" t="str">
        <f>IF(OR($A247="F&amp;F",$G247=""),"",IF(W$8&gt;$G247,IF(OR(status1B5!X247=1,status1B5!X247=2,'BOULEVARD 5'!Z245&gt;0),"Pagado","impago"),""))</f>
        <v>Pagado</v>
      </c>
      <c r="X247" s="666" t="str">
        <f>IF(OR($A247="F&amp;F",$G247=""),"",IF(X$8&gt;$G247,IF(OR(status1B5!Y247=1,status1B5!Y247=2,'BOULEVARD 5'!AA245&gt;0),"Pagado","impago"),""))</f>
        <v>Pagado</v>
      </c>
      <c r="Y247" s="666" t="str">
        <f>IF(OR($A247="F&amp;F",$G247=""),"",IF(Y$8&gt;$G247,IF(OR(status1B5!Z247=1,status1B5!Z247=2,'BOULEVARD 5'!AB245&gt;0),"Pagado","impago"),""))</f>
        <v>Pagado</v>
      </c>
      <c r="Z247" s="666" t="str">
        <f>IF(OR($A247="F&amp;F",$G247=""),"",IF(Z$8&gt;$G247,IF(OR(status1B5!AA247=1,status1B5!AA247=2,'BOULEVARD 5'!AC245&gt;0),"Pagado","impago"),""))</f>
        <v>Pagado</v>
      </c>
      <c r="AA247" s="666" t="str">
        <f>IF(OR($A247="F&amp;F",$G247=""),"",IF(AA$8&gt;$G247,IF(OR(status1B5!AB247=1,status1B5!AB247=2,'BOULEVARD 5'!AD245&gt;0),"Pagado","impago"),""))</f>
        <v>Pagado</v>
      </c>
      <c r="AB247" s="666" t="str">
        <f>IF(OR($A247="F&amp;F",$G247=""),"",IF(AB$8&gt;$G247,IF(OR(status1B5!AC247=1,status1B5!AC247=2,'BOULEVARD 5'!AE245&gt;0),"Pagado","impago"),""))</f>
        <v>Pagado</v>
      </c>
      <c r="AC247" s="666" t="str">
        <f>IF(OR($A247="F&amp;F",$G247=""),"",IF(AC$8&gt;$G247,IF(OR(status1B5!AD247=1,status1B5!AD247=2,'BOULEVARD 5'!AF245&gt;0),"Pagado","impago"),""))</f>
        <v>Pagado</v>
      </c>
      <c r="AD247" s="666" t="str">
        <f>IF(OR($A247="F&amp;F",$G247=""),"",IF(AD$8&gt;$G247,IF(OR(status1B5!AE247=1,status1B5!AE247=2,'BOULEVARD 5'!AG245&gt;0),"Pagado","impago"),""))</f>
        <v>Pagado</v>
      </c>
      <c r="AE247" s="666" t="str">
        <f>IF(OR($A247="F&amp;F",$G247=""),"",IF(AE$8&gt;$G247,IF(OR(status1B5!AF247=1,status1B5!AF247=2,'BOULEVARD 5'!AH245&gt;0),"Pagado","impago"),""))</f>
        <v>Pagado</v>
      </c>
      <c r="AF247" s="666" t="str">
        <f>IF(OR($A247="F&amp;F",$G247=""),"",IF(AF$8&gt;$G247,IF(OR(status1B5!AG247=1,status1B5!AG247=2,'BOULEVARD 5'!AI245&gt;0),"Pagado","impago"),""))</f>
        <v>Pagado</v>
      </c>
      <c r="AG247" s="666" t="str">
        <f>IF(OR($A247="F&amp;F",$G247=""),"",IF(AG$8&gt;$G247,IF(OR(status1B5!AH247=1,status1B5!AH247=2,'BOULEVARD 5'!AJ245&gt;0),"Pagado","impago"),""))</f>
        <v>Pagado</v>
      </c>
      <c r="AH247" s="666" t="str">
        <f>IF(OR($A247="F&amp;F",$G247=""),"",IF(AH$8&gt;$G247,IF(OR(status1B5!AI247=1,status1B5!AI247=2,'BOULEVARD 5'!AK245&gt;0),"Pagado","impago"),""))</f>
        <v>Pagado</v>
      </c>
      <c r="AI247" s="666" t="str">
        <f>IF(OR($A247="F&amp;F",$G247=""),"",IF(AI$8&gt;$G247,IF(OR(status1B5!AJ247=1,status1B5!AJ247=2,'BOULEVARD 5'!AL245&gt;0),"Pagado","impago"),""))</f>
        <v>Pagado</v>
      </c>
      <c r="AJ247" s="666" t="str">
        <f>IF(OR($A247="F&amp;F",$G247=""),"",IF(AJ$8&gt;$G247,IF(OR(status1B5!AK247=1,status1B5!AK247=2,'BOULEVARD 5'!AM245&gt;0),"Pagado","impago"),""))</f>
        <v>Pagado</v>
      </c>
      <c r="AK247" s="666" t="str">
        <f>IF(OR($A247="F&amp;F",$G247=""),"",IF(AK$8&gt;$G247,IF(OR(status1B5!AL247=1,status1B5!AL247=2,'BOULEVARD 5'!AN245&gt;0),"Pagado","impago"),""))</f>
        <v>Pagado</v>
      </c>
      <c r="AL247" s="666" t="str">
        <f>IF(OR($A247="F&amp;F",$G247=""),"",IF(AL$8&gt;$G247,IF(OR(status1B5!AM247=1,status1B5!AM247=2,'BOULEVARD 5'!AO245&gt;0),"Pagado","impago"),""))</f>
        <v>Pagado</v>
      </c>
      <c r="AM247" s="666" t="str">
        <f>IF(OR($A247="F&amp;F",$G247=""),"",IF(AM$8&gt;$G247,IF(OR(status1B5!AN247=1,status1B5!AN247=2,'BOULEVARD 5'!AP245&gt;0),"Pagado","impago"),""))</f>
        <v>Pagado</v>
      </c>
      <c r="AN247" s="666" t="str">
        <f>IF(OR($A247="F&amp;F",$G247=""),"",IF(AN$8&gt;$G247,IF(OR(status1B5!AO247=1,status1B5!AO247=2,'BOULEVARD 5'!AQ245&gt;0),"Pagado","impago"),""))</f>
        <v>Pagado</v>
      </c>
      <c r="AO247" s="666" t="str">
        <f>IF(OR($A247="F&amp;F",$G247=""),"",IF(AO$8&gt;$G247,IF(OR(status1B5!AP247=1,status1B5!AP247=2,'BOULEVARD 5'!AS245&gt;0),"Pagado","impago"),""))</f>
        <v>Pagado</v>
      </c>
      <c r="AP247" s="429" t="str">
        <f t="shared" si="8"/>
        <v>Vendido</v>
      </c>
    </row>
    <row r="248" spans="1:42" s="429" customFormat="1" ht="13.9" customHeight="1" x14ac:dyDescent="0.25">
      <c r="A248" s="472"/>
      <c r="B248" s="436">
        <f>'BOULEVARD 5'!B246</f>
        <v>1317</v>
      </c>
      <c r="C248" s="436" t="s">
        <v>355</v>
      </c>
      <c r="D248" s="436"/>
      <c r="E248" s="436" t="str">
        <f>IF('BOULEVARD 5'!E246="","",'BOULEVARD 5'!E246)</f>
        <v>Antonio Rada</v>
      </c>
      <c r="F248" s="429" t="str">
        <f>IF('BOULEVARD 5'!F246="","",'BOULEVARD 5'!F246)</f>
        <v>Marcos David Boror Alpirez</v>
      </c>
      <c r="G248" s="473">
        <f>IF('BOULEVARD 5'!G246="","",'BOULEVARD 5'!G246)</f>
        <v>45525</v>
      </c>
      <c r="H248" s="666" t="str">
        <f>IF(OR($A248="F&amp;F",$G248=""),"",IF(H$8&gt;$G248,IF(OR(status1B5!I248=1,status1B5!I248=2,'BOULEVARD 5'!K246&gt;0),"Pagado","impago"),""))</f>
        <v/>
      </c>
      <c r="I248" s="666" t="str">
        <f>IF(OR($A248="F&amp;F",$G248=""),"",IF(I$8&gt;$G248,IF(OR(status1B5!J248=1,status1B5!J248=2,'BOULEVARD 5'!L246&gt;0),"Pagado","impago"),""))</f>
        <v/>
      </c>
      <c r="J248" s="666" t="str">
        <f>IF(OR($A248="F&amp;F",$G248=""),"",IF(J$8&gt;$G248,IF(OR(status1B5!K248=1,status1B5!K248=2,'BOULEVARD 5'!M246&gt;0),"Pagado","impago"),""))</f>
        <v/>
      </c>
      <c r="K248" s="666" t="str">
        <f>IF(OR($A248="F&amp;F",$G248=""),"",IF(K$8&gt;$G248,IF(OR(status1B5!L248=1,status1B5!L248=2,'BOULEVARD 5'!N246&gt;0),"Pagado","impago"),""))</f>
        <v/>
      </c>
      <c r="L248" s="666" t="str">
        <f>IF(OR($A248="F&amp;F",$G248=""),"",IF(L$8&gt;$G248,IF(OR(status1B5!M248=1,status1B5!M248=2,'BOULEVARD 5'!O246&gt;0),"Pagado","impago"),""))</f>
        <v/>
      </c>
      <c r="M248" s="666" t="str">
        <f>IF(OR($A248="F&amp;F",$G248=""),"",IF(M$8&gt;$G248,IF(OR(status1B5!N248=1,status1B5!N248=2,'BOULEVARD 5'!P246&gt;0),"Pagado","impago"),""))</f>
        <v/>
      </c>
      <c r="N248" s="666" t="str">
        <f>IF(OR($A248="F&amp;F",$G248=""),"",IF(N$8&gt;$G248,IF(OR(status1B5!O248=1,status1B5!O248=2,'BOULEVARD 5'!Q246&gt;0),"Pagado","impago"),""))</f>
        <v/>
      </c>
      <c r="O248" s="666" t="str">
        <f>IF(OR($A248="F&amp;F",$G248=""),"",IF(O$8&gt;$G248,IF(OR(status1B5!P248=1,status1B5!P248=2,'BOULEVARD 5'!R246&gt;0),"Pagado","impago"),""))</f>
        <v/>
      </c>
      <c r="P248" s="666" t="str">
        <f>IF(OR($A248="F&amp;F",$G248=""),"",IF(P$8&gt;$G248,IF(OR(status1B5!Q248=1,status1B5!Q248=2,'BOULEVARD 5'!S246&gt;0),"Pagado","impago"),""))</f>
        <v/>
      </c>
      <c r="Q248" s="666" t="str">
        <f>IF(OR($A248="F&amp;F",$G248=""),"",IF(Q$8&gt;$G248,IF(OR(status1B5!R248=1,status1B5!R248=2,'BOULEVARD 5'!T246&gt;0),"Pagado","impago"),""))</f>
        <v/>
      </c>
      <c r="R248" s="666" t="str">
        <f>IF(OR($A248="F&amp;F",$G248=""),"",IF(R$8&gt;$G248,IF(OR(status1B5!S248=1,status1B5!S248=2,'BOULEVARD 5'!U246&gt;0),"Pagado","impago"),""))</f>
        <v/>
      </c>
      <c r="S248" s="666" t="str">
        <f>IF(OR($A248="F&amp;F",$G248=""),"",IF(S$8&gt;$G248,IF(OR(status1B5!T248=1,status1B5!T248=2,'BOULEVARD 5'!V246&gt;0),"Pagado","impago"),""))</f>
        <v/>
      </c>
      <c r="T248" s="666" t="str">
        <f>IF(OR($A248="F&amp;F",$G248=""),"",IF(T$8&gt;$G248,IF(OR(status1B5!U248=1,status1B5!U248=2,'BOULEVARD 5'!W246&gt;0),"Pagado","impago"),""))</f>
        <v/>
      </c>
      <c r="U248" s="666" t="str">
        <f>IF(OR($A248="F&amp;F",$G248=""),"",IF(U$8&gt;$G248,IF(OR(status1B5!V248=1,status1B5!V248=2,'BOULEVARD 5'!X246&gt;0),"Pagado","impago"),""))</f>
        <v/>
      </c>
      <c r="V248" s="666" t="str">
        <f>IF(OR($A248="F&amp;F",$G248=""),"",IF(V$8&gt;$G248,IF(OR(status1B5!W248=1,status1B5!W248=2,'BOULEVARD 5'!Y246&gt;0),"Pagado","impago"),""))</f>
        <v/>
      </c>
      <c r="W248" s="666" t="str">
        <f>IF(OR($A248="F&amp;F",$G248=""),"",IF(W$8&gt;$G248,IF(OR(status1B5!X248=1,status1B5!X248=2,'BOULEVARD 5'!Z246&gt;0),"Pagado","impago"),""))</f>
        <v/>
      </c>
      <c r="X248" s="666" t="str">
        <f>IF(OR($A248="F&amp;F",$G248=""),"",IF(X$8&gt;$G248,IF(OR(status1B5!Y248=1,status1B5!Y248=2,'BOULEVARD 5'!AA246&gt;0),"Pagado","impago"),""))</f>
        <v/>
      </c>
      <c r="Y248" s="666" t="str">
        <f>IF(OR($A248="F&amp;F",$G248=""),"",IF(Y$8&gt;$G248,IF(OR(status1B5!Z248=1,status1B5!Z248=2,'BOULEVARD 5'!AB246&gt;0),"Pagado","impago"),""))</f>
        <v>Pagado</v>
      </c>
      <c r="Z248" s="666" t="str">
        <f>IF(OR($A248="F&amp;F",$G248=""),"",IF(Z$8&gt;$G248,IF(OR(status1B5!AA248=1,status1B5!AA248=2,'BOULEVARD 5'!AC246&gt;0),"Pagado","impago"),""))</f>
        <v>Pagado</v>
      </c>
      <c r="AA248" s="666" t="str">
        <f>IF(OR($A248="F&amp;F",$G248=""),"",IF(AA$8&gt;$G248,IF(OR(status1B5!AB248=1,status1B5!AB248=2,'BOULEVARD 5'!AD246&gt;0),"Pagado","impago"),""))</f>
        <v>Pagado</v>
      </c>
      <c r="AB248" s="666" t="str">
        <f>IF(OR($A248="F&amp;F",$G248=""),"",IF(AB$8&gt;$G248,IF(OR(status1B5!AC248=1,status1B5!AC248=2,'BOULEVARD 5'!AE246&gt;0),"Pagado","impago"),""))</f>
        <v>Pagado</v>
      </c>
      <c r="AC248" s="666" t="str">
        <f>IF(OR($A248="F&amp;F",$G248=""),"",IF(AC$8&gt;$G248,IF(OR(status1B5!AD248=1,status1B5!AD248=2,'BOULEVARD 5'!AF246&gt;0),"Pagado","impago"),""))</f>
        <v>Pagado</v>
      </c>
      <c r="AD248" s="666" t="str">
        <f>IF(OR($A248="F&amp;F",$G248=""),"",IF(AD$8&gt;$G248,IF(OR(status1B5!AE248=1,status1B5!AE248=2,'BOULEVARD 5'!AG246&gt;0),"Pagado","impago"),""))</f>
        <v>Pagado</v>
      </c>
      <c r="AE248" s="666" t="str">
        <f>IF(OR($A248="F&amp;F",$G248=""),"",IF(AE$8&gt;$G248,IF(OR(status1B5!AF248=1,status1B5!AF248=2,'BOULEVARD 5'!AH246&gt;0),"Pagado","impago"),""))</f>
        <v>Pagado</v>
      </c>
      <c r="AF248" s="666" t="str">
        <f>IF(OR($A248="F&amp;F",$G248=""),"",IF(AF$8&gt;$G248,IF(OR(status1B5!AG248=1,status1B5!AG248=2,'BOULEVARD 5'!AI246&gt;0),"Pagado","impago"),""))</f>
        <v>Pagado</v>
      </c>
      <c r="AG248" s="666" t="str">
        <f>IF(OR($A248="F&amp;F",$G248=""),"",IF(AG$8&gt;$G248,IF(OR(status1B5!AH248=1,status1B5!AH248=2,'BOULEVARD 5'!AJ246&gt;0),"Pagado","impago"),""))</f>
        <v>Pagado</v>
      </c>
      <c r="AH248" s="666" t="str">
        <f>IF(OR($A248="F&amp;F",$G248=""),"",IF(AH$8&gt;$G248,IF(OR(status1B5!AI248=1,status1B5!AI248=2,'BOULEVARD 5'!AK246&gt;0),"Pagado","impago"),""))</f>
        <v>Pagado</v>
      </c>
      <c r="AI248" s="666" t="str">
        <f>IF(OR($A248="F&amp;F",$G248=""),"",IF(AI$8&gt;$G248,IF(OR(status1B5!AJ248=1,status1B5!AJ248=2,'BOULEVARD 5'!AL246&gt;0),"Pagado","impago"),""))</f>
        <v>Pagado</v>
      </c>
      <c r="AJ248" s="666" t="str">
        <f>IF(OR($A248="F&amp;F",$G248=""),"",IF(AJ$8&gt;$G248,IF(OR(status1B5!AK248=1,status1B5!AK248=2,'BOULEVARD 5'!AM246&gt;0),"Pagado","impago"),""))</f>
        <v>Pagado</v>
      </c>
      <c r="AK248" s="666" t="str">
        <f>IF(OR($A248="F&amp;F",$G248=""),"",IF(AK$8&gt;$G248,IF(OR(status1B5!AL248=1,status1B5!AL248=2,'BOULEVARD 5'!AN246&gt;0),"Pagado","impago"),""))</f>
        <v>Pagado</v>
      </c>
      <c r="AL248" s="666" t="str">
        <f>IF(OR($A248="F&amp;F",$G248=""),"",IF(AL$8&gt;$G248,IF(OR(status1B5!AM248=1,status1B5!AM248=2,'BOULEVARD 5'!AO246&gt;0),"Pagado","impago"),""))</f>
        <v>Pagado</v>
      </c>
      <c r="AM248" s="666" t="str">
        <f>IF(OR($A248="F&amp;F",$G248=""),"",IF(AM$8&gt;$G248,IF(OR(status1B5!AN248=1,status1B5!AN248=2,'BOULEVARD 5'!AP246&gt;0),"Pagado","impago"),""))</f>
        <v>Pagado</v>
      </c>
      <c r="AN248" s="666" t="str">
        <f>IF(OR($A248="F&amp;F",$G248=""),"",IF(AN$8&gt;$G248,IF(OR(status1B5!AO248=1,status1B5!AO248=2,'BOULEVARD 5'!AQ246&gt;0),"Pagado","impago"),""))</f>
        <v>Pagado</v>
      </c>
      <c r="AO248" s="666" t="str">
        <f>IF(OR($A248="F&amp;F",$G248=""),"",IF(AO$8&gt;$G248,IF(OR(status1B5!AP248=1,status1B5!AP248=2,'BOULEVARD 5'!AS246&gt;0),"Pagado","impago"),""))</f>
        <v>Pagado</v>
      </c>
      <c r="AP248" s="429" t="str">
        <f t="shared" si="8"/>
        <v>Vendido</v>
      </c>
    </row>
    <row r="249" spans="1:42" s="429" customFormat="1" ht="13.9" customHeight="1" x14ac:dyDescent="0.25">
      <c r="A249" s="472"/>
      <c r="B249" s="436">
        <f>'BOULEVARD 5'!B247</f>
        <v>1318</v>
      </c>
      <c r="C249" s="436" t="s">
        <v>355</v>
      </c>
      <c r="D249" s="436"/>
      <c r="E249" s="436" t="str">
        <f>IF('BOULEVARD 5'!E247="","",'BOULEVARD 5'!E247)</f>
        <v/>
      </c>
      <c r="F249" s="429" t="str">
        <f>IF('BOULEVARD 5'!F247="","",'BOULEVARD 5'!F247)</f>
        <v>Jose Alejandro Abalony Rojas</v>
      </c>
      <c r="G249" s="473">
        <f>IF('BOULEVARD 5'!G247="","",'BOULEVARD 5'!G247)</f>
        <v>45993</v>
      </c>
      <c r="H249" s="666" t="str">
        <f>IF(OR($A249="F&amp;F",$G249=""),"",IF(H$8&gt;$G249,IF(OR(status1B5!I249=1,status1B5!I249=2,'BOULEVARD 5'!K247&gt;0),"Pagado","impago"),""))</f>
        <v/>
      </c>
      <c r="I249" s="666" t="str">
        <f>IF(OR($A249="F&amp;F",$G249=""),"",IF(I$8&gt;$G249,IF(OR(status1B5!J249=1,status1B5!J249=2,'BOULEVARD 5'!L247&gt;0),"Pagado","impago"),""))</f>
        <v/>
      </c>
      <c r="J249" s="666" t="str">
        <f>IF(OR($A249="F&amp;F",$G249=""),"",IF(J$8&gt;$G249,IF(OR(status1B5!K249=1,status1B5!K249=2,'BOULEVARD 5'!M247&gt;0),"Pagado","impago"),""))</f>
        <v/>
      </c>
      <c r="K249" s="666" t="str">
        <f>IF(OR($A249="F&amp;F",$G249=""),"",IF(K$8&gt;$G249,IF(OR(status1B5!L249=1,status1B5!L249=2,'BOULEVARD 5'!N247&gt;0),"Pagado","impago"),""))</f>
        <v/>
      </c>
      <c r="L249" s="666" t="str">
        <f>IF(OR($A249="F&amp;F",$G249=""),"",IF(L$8&gt;$G249,IF(OR(status1B5!M249=1,status1B5!M249=2,'BOULEVARD 5'!O247&gt;0),"Pagado","impago"),""))</f>
        <v/>
      </c>
      <c r="M249" s="666" t="str">
        <f>IF(OR($A249="F&amp;F",$G249=""),"",IF(M$8&gt;$G249,IF(OR(status1B5!N249=1,status1B5!N249=2,'BOULEVARD 5'!P247&gt;0),"Pagado","impago"),""))</f>
        <v/>
      </c>
      <c r="N249" s="666" t="str">
        <f>IF(OR($A249="F&amp;F",$G249=""),"",IF(N$8&gt;$G249,IF(OR(status1B5!O249=1,status1B5!O249=2,'BOULEVARD 5'!Q247&gt;0),"Pagado","impago"),""))</f>
        <v/>
      </c>
      <c r="O249" s="666" t="str">
        <f>IF(OR($A249="F&amp;F",$G249=""),"",IF(O$8&gt;$G249,IF(OR(status1B5!P249=1,status1B5!P249=2,'BOULEVARD 5'!R247&gt;0),"Pagado","impago"),""))</f>
        <v/>
      </c>
      <c r="P249" s="666" t="str">
        <f>IF(OR($A249="F&amp;F",$G249=""),"",IF(P$8&gt;$G249,IF(OR(status1B5!Q249=1,status1B5!Q249=2,'BOULEVARD 5'!S247&gt;0),"Pagado","impago"),""))</f>
        <v/>
      </c>
      <c r="Q249" s="666" t="str">
        <f>IF(OR($A249="F&amp;F",$G249=""),"",IF(Q$8&gt;$G249,IF(OR(status1B5!R249=1,status1B5!R249=2,'BOULEVARD 5'!T247&gt;0),"Pagado","impago"),""))</f>
        <v/>
      </c>
      <c r="R249" s="666" t="str">
        <f>IF(OR($A249="F&amp;F",$G249=""),"",IF(R$8&gt;$G249,IF(OR(status1B5!S249=1,status1B5!S249=2,'BOULEVARD 5'!U247&gt;0),"Pagado","impago"),""))</f>
        <v/>
      </c>
      <c r="S249" s="666" t="str">
        <f>IF(OR($A249="F&amp;F",$G249=""),"",IF(S$8&gt;$G249,IF(OR(status1B5!T249=1,status1B5!T249=2,'BOULEVARD 5'!V247&gt;0),"Pagado","impago"),""))</f>
        <v/>
      </c>
      <c r="T249" s="666" t="str">
        <f>IF(OR($A249="F&amp;F",$G249=""),"",IF(T$8&gt;$G249,IF(OR(status1B5!U249=1,status1B5!U249=2,'BOULEVARD 5'!W247&gt;0),"Pagado","impago"),""))</f>
        <v/>
      </c>
      <c r="U249" s="666" t="str">
        <f>IF(OR($A249="F&amp;F",$G249=""),"",IF(U$8&gt;$G249,IF(OR(status1B5!V249=1,status1B5!V249=2,'BOULEVARD 5'!X247&gt;0),"Pagado","impago"),""))</f>
        <v/>
      </c>
      <c r="V249" s="666" t="str">
        <f>IF(OR($A249="F&amp;F",$G249=""),"",IF(V$8&gt;$G249,IF(OR(status1B5!W249=1,status1B5!W249=2,'BOULEVARD 5'!Y247&gt;0),"Pagado","impago"),""))</f>
        <v/>
      </c>
      <c r="W249" s="666" t="str">
        <f>IF(OR($A249="F&amp;F",$G249=""),"",IF(W$8&gt;$G249,IF(OR(status1B5!X249=1,status1B5!X249=2,'BOULEVARD 5'!Z247&gt;0),"Pagado","impago"),""))</f>
        <v/>
      </c>
      <c r="X249" s="666" t="str">
        <f>IF(OR($A249="F&amp;F",$G249=""),"",IF(X$8&gt;$G249,IF(OR(status1B5!Y249=1,status1B5!Y249=2,'BOULEVARD 5'!AA247&gt;0),"Pagado","impago"),""))</f>
        <v/>
      </c>
      <c r="Y249" s="666" t="str">
        <f>IF(OR($A249="F&amp;F",$G249=""),"",IF(Y$8&gt;$G249,IF(OR(status1B5!Z249=1,status1B5!Z249=2,'BOULEVARD 5'!AB247&gt;0),"Pagado","impago"),""))</f>
        <v/>
      </c>
      <c r="Z249" s="666" t="str">
        <f>IF(OR($A249="F&amp;F",$G249=""),"",IF(Z$8&gt;$G249,IF(OR(status1B5!AA249=1,status1B5!AA249=2,'BOULEVARD 5'!AC247&gt;0),"Pagado","impago"),""))</f>
        <v/>
      </c>
      <c r="AA249" s="666" t="str">
        <f>IF(OR($A249="F&amp;F",$G249=""),"",IF(AA$8&gt;$G249,IF(OR(status1B5!AB249=1,status1B5!AB249=2,'BOULEVARD 5'!AD247&gt;0),"Pagado","impago"),""))</f>
        <v/>
      </c>
      <c r="AB249" s="666" t="str">
        <f>IF(OR($A249="F&amp;F",$G249=""),"",IF(AB$8&gt;$G249,IF(OR(status1B5!AC249=1,status1B5!AC249=2,'BOULEVARD 5'!AE247&gt;0),"Pagado","impago"),""))</f>
        <v/>
      </c>
      <c r="AC249" s="666" t="str">
        <f>IF(OR($A249="F&amp;F",$G249=""),"",IF(AC$8&gt;$G249,IF(OR(status1B5!AD249=1,status1B5!AD249=2,'BOULEVARD 5'!AF247&gt;0),"Pagado","impago"),""))</f>
        <v/>
      </c>
      <c r="AD249" s="666" t="str">
        <f>IF(OR($A249="F&amp;F",$G249=""),"",IF(AD$8&gt;$G249,IF(OR(status1B5!AE249=1,status1B5!AE249=2,'BOULEVARD 5'!AG247&gt;0),"Pagado","impago"),""))</f>
        <v/>
      </c>
      <c r="AE249" s="666" t="str">
        <f>IF(OR($A249="F&amp;F",$G249=""),"",IF(AE$8&gt;$G249,IF(OR(status1B5!AF249=1,status1B5!AF249=2,'BOULEVARD 5'!AH247&gt;0),"Pagado","impago"),""))</f>
        <v/>
      </c>
      <c r="AF249" s="666" t="str">
        <f>IF(OR($A249="F&amp;F",$G249=""),"",IF(AF$8&gt;$G249,IF(OR(status1B5!AG249=1,status1B5!AG249=2,'BOULEVARD 5'!AI247&gt;0),"Pagado","impago"),""))</f>
        <v/>
      </c>
      <c r="AG249" s="666" t="str">
        <f>IF(OR($A249="F&amp;F",$G249=""),"",IF(AG$8&gt;$G249,IF(OR(status1B5!AH249=1,status1B5!AH249=2,'BOULEVARD 5'!AJ247&gt;0),"Pagado","impago"),""))</f>
        <v/>
      </c>
      <c r="AH249" s="666" t="str">
        <f>IF(OR($A249="F&amp;F",$G249=""),"",IF(AH$8&gt;$G249,IF(OR(status1B5!AI249=1,status1B5!AI249=2,'BOULEVARD 5'!AK247&gt;0),"Pagado","impago"),""))</f>
        <v/>
      </c>
      <c r="AI249" s="666" t="str">
        <f>IF(OR($A249="F&amp;F",$G249=""),"",IF(AI$8&gt;$G249,IF(OR(status1B5!AJ249=1,status1B5!AJ249=2,'BOULEVARD 5'!AL247&gt;0),"Pagado","impago"),""))</f>
        <v/>
      </c>
      <c r="AJ249" s="666" t="str">
        <f>IF(OR($A249="F&amp;F",$G249=""),"",IF(AJ$8&gt;$G249,IF(OR(status1B5!AK249=1,status1B5!AK249=2,'BOULEVARD 5'!AM247&gt;0),"Pagado","impago"),""))</f>
        <v/>
      </c>
      <c r="AK249" s="666" t="str">
        <f>IF(OR($A249="F&amp;F",$G249=""),"",IF(AK$8&gt;$G249,IF(OR(status1B5!AL249=1,status1B5!AL249=2,'BOULEVARD 5'!AN247&gt;0),"Pagado","impago"),""))</f>
        <v/>
      </c>
      <c r="AL249" s="666" t="str">
        <f>IF(OR($A249="F&amp;F",$G249=""),"",IF(AL$8&gt;$G249,IF(OR(status1B5!AM249=1,status1B5!AM249=2,'BOULEVARD 5'!AO247&gt;0),"Pagado","impago"),""))</f>
        <v/>
      </c>
      <c r="AM249" s="666" t="str">
        <f>IF(OR($A249="F&amp;F",$G249=""),"",IF(AM$8&gt;$G249,IF(OR(status1B5!AN249=1,status1B5!AN249=2,'BOULEVARD 5'!AP247&gt;0),"Pagado","impago"),""))</f>
        <v/>
      </c>
      <c r="AN249" s="666" t="str">
        <f>IF(OR($A249="F&amp;F",$G249=""),"",IF(AN$8&gt;$G249,IF(OR(status1B5!AO249=1,status1B5!AO249=2,'BOULEVARD 5'!AQ247&gt;0),"Pagado","impago"),""))</f>
        <v/>
      </c>
      <c r="AO249" s="666" t="str">
        <f>IF(OR($A249="F&amp;F",$G249=""),"",IF(AO$8&gt;$G249,IF(OR(status1B5!AP249=1,status1B5!AP249=2,'BOULEVARD 5'!AS247&gt;0),"Pagado","impago"),""))</f>
        <v>Pagado</v>
      </c>
      <c r="AP249" s="429" t="str">
        <f t="shared" si="8"/>
        <v>Vendido</v>
      </c>
    </row>
    <row r="250" spans="1:42" s="429" customFormat="1" ht="13.9" customHeight="1" x14ac:dyDescent="0.25">
      <c r="A250" s="472"/>
      <c r="B250" s="436">
        <f>'BOULEVARD 5'!B248</f>
        <v>1401</v>
      </c>
      <c r="C250" s="436" t="s">
        <v>355</v>
      </c>
      <c r="D250" s="436"/>
      <c r="E250" s="436" t="str">
        <f>IF('BOULEVARD 5'!E248="","",'BOULEVARD 5'!E248)</f>
        <v>Brenda Búcaro</v>
      </c>
      <c r="F250" s="429" t="str">
        <f>IF('BOULEVARD 5'!F248="","",'BOULEVARD 5'!F248)</f>
        <v>Fernando García Coronado</v>
      </c>
      <c r="G250" s="473">
        <f>IF('BOULEVARD 5'!G248="","",'BOULEVARD 5'!G248)</f>
        <v>45158</v>
      </c>
      <c r="H250" s="666" t="str">
        <f>IF(OR($A250="F&amp;F",$G250=""),"",IF(H$8&gt;$G250,IF(OR(status1B5!I250=1,status1B5!I250=2,'BOULEVARD 5'!K248&gt;0),"Pagado","impago"),""))</f>
        <v/>
      </c>
      <c r="I250" s="666" t="str">
        <f>IF(OR($A250="F&amp;F",$G250=""),"",IF(I$8&gt;$G250,IF(OR(status1B5!J250=1,status1B5!J250=2,'BOULEVARD 5'!L248&gt;0),"Pagado","impago"),""))</f>
        <v/>
      </c>
      <c r="J250" s="666" t="str">
        <f>IF(OR($A250="F&amp;F",$G250=""),"",IF(J$8&gt;$G250,IF(OR(status1B5!K250=1,status1B5!K250=2,'BOULEVARD 5'!M248&gt;0),"Pagado","impago"),""))</f>
        <v/>
      </c>
      <c r="K250" s="666" t="str">
        <f>IF(OR($A250="F&amp;F",$G250=""),"",IF(K$8&gt;$G250,IF(OR(status1B5!L250=1,status1B5!L250=2,'BOULEVARD 5'!N248&gt;0),"Pagado","impago"),""))</f>
        <v/>
      </c>
      <c r="L250" s="666" t="str">
        <f>IF(OR($A250="F&amp;F",$G250=""),"",IF(L$8&gt;$G250,IF(OR(status1B5!M250=1,status1B5!M250=2,'BOULEVARD 5'!O248&gt;0),"Pagado","impago"),""))</f>
        <v/>
      </c>
      <c r="M250" s="666" t="str">
        <f>IF(OR($A250="F&amp;F",$G250=""),"",IF(M$8&gt;$G250,IF(OR(status1B5!N250=1,status1B5!N250=2,'BOULEVARD 5'!P248&gt;0),"Pagado","impago"),""))</f>
        <v>Pagado</v>
      </c>
      <c r="N250" s="666" t="str">
        <f>IF(OR($A250="F&amp;F",$G250=""),"",IF(N$8&gt;$G250,IF(OR(status1B5!O250=1,status1B5!O250=2,'BOULEVARD 5'!Q248&gt;0),"Pagado","impago"),""))</f>
        <v>Pagado</v>
      </c>
      <c r="O250" s="666" t="str">
        <f>IF(OR($A250="F&amp;F",$G250=""),"",IF(O$8&gt;$G250,IF(OR(status1B5!P250=1,status1B5!P250=2,'BOULEVARD 5'!R248&gt;0),"Pagado","impago"),""))</f>
        <v>Pagado</v>
      </c>
      <c r="P250" s="666" t="str">
        <f>IF(OR($A250="F&amp;F",$G250=""),"",IF(P$8&gt;$G250,IF(OR(status1B5!Q250=1,status1B5!Q250=2,'BOULEVARD 5'!S248&gt;0),"Pagado","impago"),""))</f>
        <v>Pagado</v>
      </c>
      <c r="Q250" s="666" t="str">
        <f>IF(OR($A250="F&amp;F",$G250=""),"",IF(Q$8&gt;$G250,IF(OR(status1B5!R250=1,status1B5!R250=2,'BOULEVARD 5'!T248&gt;0),"Pagado","impago"),""))</f>
        <v>Pagado</v>
      </c>
      <c r="R250" s="666" t="str">
        <f>IF(OR($A250="F&amp;F",$G250=""),"",IF(R$8&gt;$G250,IF(OR(status1B5!S250=1,status1B5!S250=2,'BOULEVARD 5'!U248&gt;0),"Pagado","impago"),""))</f>
        <v>Pagado</v>
      </c>
      <c r="S250" s="666" t="str">
        <f>IF(OR($A250="F&amp;F",$G250=""),"",IF(S$8&gt;$G250,IF(OR(status1B5!T250=1,status1B5!T250=2,'BOULEVARD 5'!V248&gt;0),"Pagado","impago"),""))</f>
        <v>Pagado</v>
      </c>
      <c r="T250" s="666" t="str">
        <f>IF(OR($A250="F&amp;F",$G250=""),"",IF(T$8&gt;$G250,IF(OR(status1B5!U250=1,status1B5!U250=2,'BOULEVARD 5'!W248&gt;0),"Pagado","impago"),""))</f>
        <v>Pagado</v>
      </c>
      <c r="U250" s="666" t="str">
        <f>IF(OR($A250="F&amp;F",$G250=""),"",IF(U$8&gt;$G250,IF(OR(status1B5!V250=1,status1B5!V250=2,'BOULEVARD 5'!X248&gt;0),"Pagado","impago"),""))</f>
        <v>Pagado</v>
      </c>
      <c r="V250" s="666" t="str">
        <f>IF(OR($A250="F&amp;F",$G250=""),"",IF(V$8&gt;$G250,IF(OR(status1B5!W250=1,status1B5!W250=2,'BOULEVARD 5'!Y248&gt;0),"Pagado","impago"),""))</f>
        <v>Pagado</v>
      </c>
      <c r="W250" s="666" t="str">
        <f>IF(OR($A250="F&amp;F",$G250=""),"",IF(W$8&gt;$G250,IF(OR(status1B5!X250=1,status1B5!X250=2,'BOULEVARD 5'!Z248&gt;0),"Pagado","impago"),""))</f>
        <v>Pagado</v>
      </c>
      <c r="X250" s="666" t="str">
        <f>IF(OR($A250="F&amp;F",$G250=""),"",IF(X$8&gt;$G250,IF(OR(status1B5!Y250=1,status1B5!Y250=2,'BOULEVARD 5'!AA248&gt;0),"Pagado","impago"),""))</f>
        <v>Pagado</v>
      </c>
      <c r="Y250" s="666" t="str">
        <f>IF(OR($A250="F&amp;F",$G250=""),"",IF(Y$8&gt;$G250,IF(OR(status1B5!Z250=1,status1B5!Z250=2,'BOULEVARD 5'!AB248&gt;0),"Pagado","impago"),""))</f>
        <v>Pagado</v>
      </c>
      <c r="Z250" s="666" t="str">
        <f>IF(OR($A250="F&amp;F",$G250=""),"",IF(Z$8&gt;$G250,IF(OR(status1B5!AA250=1,status1B5!AA250=2,'BOULEVARD 5'!AC248&gt;0),"Pagado","impago"),""))</f>
        <v>Pagado</v>
      </c>
      <c r="AA250" s="666" t="str">
        <f>IF(OR($A250="F&amp;F",$G250=""),"",IF(AA$8&gt;$G250,IF(OR(status1B5!AB250=1,status1B5!AB250=2,'BOULEVARD 5'!AD248&gt;0),"Pagado","impago"),""))</f>
        <v>Pagado</v>
      </c>
      <c r="AB250" s="666" t="str">
        <f>IF(OR($A250="F&amp;F",$G250=""),"",IF(AB$8&gt;$G250,IF(OR(status1B5!AC250=1,status1B5!AC250=2,'BOULEVARD 5'!AE248&gt;0),"Pagado","impago"),""))</f>
        <v>Pagado</v>
      </c>
      <c r="AC250" s="666" t="str">
        <f>IF(OR($A250="F&amp;F",$G250=""),"",IF(AC$8&gt;$G250,IF(OR(status1B5!AD250=1,status1B5!AD250=2,'BOULEVARD 5'!AF248&gt;0),"Pagado","impago"),""))</f>
        <v>Pagado</v>
      </c>
      <c r="AD250" s="666" t="str">
        <f>IF(OR($A250="F&amp;F",$G250=""),"",IF(AD$8&gt;$G250,IF(OR(status1B5!AE250=1,status1B5!AE250=2,'BOULEVARD 5'!AG248&gt;0),"Pagado","impago"),""))</f>
        <v>Pagado</v>
      </c>
      <c r="AE250" s="666" t="str">
        <f>IF(OR($A250="F&amp;F",$G250=""),"",IF(AE$8&gt;$G250,IF(OR(status1B5!AF250=1,status1B5!AF250=2,'BOULEVARD 5'!AH248&gt;0),"Pagado","impago"),""))</f>
        <v>Pagado</v>
      </c>
      <c r="AF250" s="666" t="str">
        <f>IF(OR($A250="F&amp;F",$G250=""),"",IF(AF$8&gt;$G250,IF(OR(status1B5!AG250=1,status1B5!AG250=2,'BOULEVARD 5'!AI248&gt;0),"Pagado","impago"),""))</f>
        <v>Pagado</v>
      </c>
      <c r="AG250" s="666" t="str">
        <f>IF(OR($A250="F&amp;F",$G250=""),"",IF(AG$8&gt;$G250,IF(OR(status1B5!AH250=1,status1B5!AH250=2,'BOULEVARD 5'!AJ248&gt;0),"Pagado","impago"),""))</f>
        <v>Pagado</v>
      </c>
      <c r="AH250" s="666" t="str">
        <f>IF(OR($A250="F&amp;F",$G250=""),"",IF(AH$8&gt;$G250,IF(OR(status1B5!AI250=1,status1B5!AI250=2,'BOULEVARD 5'!AK248&gt;0),"Pagado","impago"),""))</f>
        <v>Pagado</v>
      </c>
      <c r="AI250" s="666" t="str">
        <f>IF(OR($A250="F&amp;F",$G250=""),"",IF(AI$8&gt;$G250,IF(OR(status1B5!AJ250=1,status1B5!AJ250=2,'BOULEVARD 5'!AL248&gt;0),"Pagado","impago"),""))</f>
        <v>Pagado</v>
      </c>
      <c r="AJ250" s="666" t="str">
        <f>IF(OR($A250="F&amp;F",$G250=""),"",IF(AJ$8&gt;$G250,IF(OR(status1B5!AK250=1,status1B5!AK250=2,'BOULEVARD 5'!AM248&gt;0),"Pagado","impago"),""))</f>
        <v>Pagado</v>
      </c>
      <c r="AK250" s="666" t="str">
        <f>IF(OR($A250="F&amp;F",$G250=""),"",IF(AK$8&gt;$G250,IF(OR(status1B5!AL250=1,status1B5!AL250=2,'BOULEVARD 5'!AN248&gt;0),"Pagado","impago"),""))</f>
        <v>Pagado</v>
      </c>
      <c r="AL250" s="666" t="str">
        <f>IF(OR($A250="F&amp;F",$G250=""),"",IF(AL$8&gt;$G250,IF(OR(status1B5!AM250=1,status1B5!AM250=2,'BOULEVARD 5'!AO248&gt;0),"Pagado","impago"),""))</f>
        <v>Pagado</v>
      </c>
      <c r="AM250" s="666" t="str">
        <f>IF(OR($A250="F&amp;F",$G250=""),"",IF(AM$8&gt;$G250,IF(OR(status1B5!AN250=1,status1B5!AN250=2,'BOULEVARD 5'!AP248&gt;0),"Pagado","impago"),""))</f>
        <v>Pagado</v>
      </c>
      <c r="AN250" s="666" t="str">
        <f>IF(OR($A250="F&amp;F",$G250=""),"",IF(AN$8&gt;$G250,IF(OR(status1B5!AO250=1,status1B5!AO250=2,'BOULEVARD 5'!AQ248&gt;0),"Pagado","impago"),""))</f>
        <v>Pagado</v>
      </c>
      <c r="AO250" s="666" t="str">
        <f>IF(OR($A250="F&amp;F",$G250=""),"",IF(AO$8&gt;$G250,IF(OR(status1B5!AP250=1,status1B5!AP250=2,'BOULEVARD 5'!AS248&gt;0),"Pagado","impago"),""))</f>
        <v>Pagado</v>
      </c>
      <c r="AP250" s="429" t="str">
        <f t="shared" si="8"/>
        <v>Vendido</v>
      </c>
    </row>
    <row r="251" spans="1:42" s="429" customFormat="1" ht="13.9" customHeight="1" x14ac:dyDescent="0.25">
      <c r="A251" s="472"/>
      <c r="B251" s="436">
        <f>'BOULEVARD 5'!B249</f>
        <v>1402</v>
      </c>
      <c r="C251" s="436" t="s">
        <v>355</v>
      </c>
      <c r="D251" s="436"/>
      <c r="E251" s="436" t="str">
        <f>IF('BOULEVARD 5'!E249="","",'BOULEVARD 5'!E249)</f>
        <v>Antonio Rada</v>
      </c>
      <c r="F251" s="429" t="str">
        <f>IF('BOULEVARD 5'!F249="","",'BOULEVARD 5'!F249)</f>
        <v>Marlen Fabiola Izaguirre Navas</v>
      </c>
      <c r="G251" s="473">
        <f>IF('BOULEVARD 5'!G249="","",'BOULEVARD 5'!G249)</f>
        <v>45572</v>
      </c>
      <c r="H251" s="666" t="str">
        <f>IF(OR($A251="F&amp;F",$G251=""),"",IF(H$8&gt;$G251,IF(OR(status1B5!I251=1,status1B5!I251=2,'BOULEVARD 5'!K249&gt;0),"Pagado","impago"),""))</f>
        <v/>
      </c>
      <c r="I251" s="666" t="str">
        <f>IF(OR($A251="F&amp;F",$G251=""),"",IF(I$8&gt;$G251,IF(OR(status1B5!J251=1,status1B5!J251=2,'BOULEVARD 5'!L249&gt;0),"Pagado","impago"),""))</f>
        <v/>
      </c>
      <c r="J251" s="666" t="str">
        <f>IF(OR($A251="F&amp;F",$G251=""),"",IF(J$8&gt;$G251,IF(OR(status1B5!K251=1,status1B5!K251=2,'BOULEVARD 5'!M249&gt;0),"Pagado","impago"),""))</f>
        <v/>
      </c>
      <c r="K251" s="666" t="str">
        <f>IF(OR($A251="F&amp;F",$G251=""),"",IF(K$8&gt;$G251,IF(OR(status1B5!L251=1,status1B5!L251=2,'BOULEVARD 5'!N249&gt;0),"Pagado","impago"),""))</f>
        <v/>
      </c>
      <c r="L251" s="666" t="str">
        <f>IF(OR($A251="F&amp;F",$G251=""),"",IF(L$8&gt;$G251,IF(OR(status1B5!M251=1,status1B5!M251=2,'BOULEVARD 5'!O249&gt;0),"Pagado","impago"),""))</f>
        <v/>
      </c>
      <c r="M251" s="666" t="str">
        <f>IF(OR($A251="F&amp;F",$G251=""),"",IF(M$8&gt;$G251,IF(OR(status1B5!N251=1,status1B5!N251=2,'BOULEVARD 5'!P249&gt;0),"Pagado","impago"),""))</f>
        <v/>
      </c>
      <c r="N251" s="666" t="str">
        <f>IF(OR($A251="F&amp;F",$G251=""),"",IF(N$8&gt;$G251,IF(OR(status1B5!O251=1,status1B5!O251=2,'BOULEVARD 5'!Q249&gt;0),"Pagado","impago"),""))</f>
        <v/>
      </c>
      <c r="O251" s="666" t="str">
        <f>IF(OR($A251="F&amp;F",$G251=""),"",IF(O$8&gt;$G251,IF(OR(status1B5!P251=1,status1B5!P251=2,'BOULEVARD 5'!R249&gt;0),"Pagado","impago"),""))</f>
        <v/>
      </c>
      <c r="P251" s="666" t="str">
        <f>IF(OR($A251="F&amp;F",$G251=""),"",IF(P$8&gt;$G251,IF(OR(status1B5!Q251=1,status1B5!Q251=2,'BOULEVARD 5'!S249&gt;0),"Pagado","impago"),""))</f>
        <v/>
      </c>
      <c r="Q251" s="666" t="str">
        <f>IF(OR($A251="F&amp;F",$G251=""),"",IF(Q$8&gt;$G251,IF(OR(status1B5!R251=1,status1B5!R251=2,'BOULEVARD 5'!T249&gt;0),"Pagado","impago"),""))</f>
        <v/>
      </c>
      <c r="R251" s="666" t="str">
        <f>IF(OR($A251="F&amp;F",$G251=""),"",IF(R$8&gt;$G251,IF(OR(status1B5!S251=1,status1B5!S251=2,'BOULEVARD 5'!U249&gt;0),"Pagado","impago"),""))</f>
        <v/>
      </c>
      <c r="S251" s="666" t="str">
        <f>IF(OR($A251="F&amp;F",$G251=""),"",IF(S$8&gt;$G251,IF(OR(status1B5!T251=1,status1B5!T251=2,'BOULEVARD 5'!V249&gt;0),"Pagado","impago"),""))</f>
        <v/>
      </c>
      <c r="T251" s="666" t="str">
        <f>IF(OR($A251="F&amp;F",$G251=""),"",IF(T$8&gt;$G251,IF(OR(status1B5!U251=1,status1B5!U251=2,'BOULEVARD 5'!W249&gt;0),"Pagado","impago"),""))</f>
        <v/>
      </c>
      <c r="U251" s="666" t="str">
        <f>IF(OR($A251="F&amp;F",$G251=""),"",IF(U$8&gt;$G251,IF(OR(status1B5!V251=1,status1B5!V251=2,'BOULEVARD 5'!X249&gt;0),"Pagado","impago"),""))</f>
        <v/>
      </c>
      <c r="V251" s="666" t="str">
        <f>IF(OR($A251="F&amp;F",$G251=""),"",IF(V$8&gt;$G251,IF(OR(status1B5!W251=1,status1B5!W251=2,'BOULEVARD 5'!Y249&gt;0),"Pagado","impago"),""))</f>
        <v/>
      </c>
      <c r="W251" s="666" t="str">
        <f>IF(OR($A251="F&amp;F",$G251=""),"",IF(W$8&gt;$G251,IF(OR(status1B5!X251=1,status1B5!X251=2,'BOULEVARD 5'!Z249&gt;0),"Pagado","impago"),""))</f>
        <v/>
      </c>
      <c r="X251" s="666" t="str">
        <f>IF(OR($A251="F&amp;F",$G251=""),"",IF(X$8&gt;$G251,IF(OR(status1B5!Y251=1,status1B5!Y251=2,'BOULEVARD 5'!AA249&gt;0),"Pagado","impago"),""))</f>
        <v/>
      </c>
      <c r="Y251" s="666" t="str">
        <f>IF(OR($A251="F&amp;F",$G251=""),"",IF(Y$8&gt;$G251,IF(OR(status1B5!Z251=1,status1B5!Z251=2,'BOULEVARD 5'!AB249&gt;0),"Pagado","impago"),""))</f>
        <v/>
      </c>
      <c r="Z251" s="666" t="str">
        <f>IF(OR($A251="F&amp;F",$G251=""),"",IF(Z$8&gt;$G251,IF(OR(status1B5!AA251=1,status1B5!AA251=2,'BOULEVARD 5'!AC249&gt;0),"Pagado","impago"),""))</f>
        <v/>
      </c>
      <c r="AA251" s="666" t="str">
        <f>IF(OR($A251="F&amp;F",$G251=""),"",IF(AA$8&gt;$G251,IF(OR(status1B5!AB251=1,status1B5!AB251=2,'BOULEVARD 5'!AD249&gt;0),"Pagado","impago"),""))</f>
        <v>Pagado</v>
      </c>
      <c r="AB251" s="666" t="str">
        <f>IF(OR($A251="F&amp;F",$G251=""),"",IF(AB$8&gt;$G251,IF(OR(status1B5!AC251=1,status1B5!AC251=2,'BOULEVARD 5'!AE249&gt;0),"Pagado","impago"),""))</f>
        <v>Pagado</v>
      </c>
      <c r="AC251" s="666" t="str">
        <f>IF(OR($A251="F&amp;F",$G251=""),"",IF(AC$8&gt;$G251,IF(OR(status1B5!AD251=1,status1B5!AD251=2,'BOULEVARD 5'!AF249&gt;0),"Pagado","impago"),""))</f>
        <v>Pagado</v>
      </c>
      <c r="AD251" s="666" t="str">
        <f>IF(OR($A251="F&amp;F",$G251=""),"",IF(AD$8&gt;$G251,IF(OR(status1B5!AE251=1,status1B5!AE251=2,'BOULEVARD 5'!AG249&gt;0),"Pagado","impago"),""))</f>
        <v>Pagado</v>
      </c>
      <c r="AE251" s="666" t="str">
        <f>IF(OR($A251="F&amp;F",$G251=""),"",IF(AE$8&gt;$G251,IF(OR(status1B5!AF251=1,status1B5!AF251=2,'BOULEVARD 5'!AH249&gt;0),"Pagado","impago"),""))</f>
        <v>Pagado</v>
      </c>
      <c r="AF251" s="666" t="str">
        <f>IF(OR($A251="F&amp;F",$G251=""),"",IF(AF$8&gt;$G251,IF(OR(status1B5!AG251=1,status1B5!AG251=2,'BOULEVARD 5'!AI249&gt;0),"Pagado","impago"),""))</f>
        <v>Pagado</v>
      </c>
      <c r="AG251" s="666" t="str">
        <f>IF(OR($A251="F&amp;F",$G251=""),"",IF(AG$8&gt;$G251,IF(OR(status1B5!AH251=1,status1B5!AH251=2,'BOULEVARD 5'!AJ249&gt;0),"Pagado","impago"),""))</f>
        <v>Pagado</v>
      </c>
      <c r="AH251" s="666" t="str">
        <f>IF(OR($A251="F&amp;F",$G251=""),"",IF(AH$8&gt;$G251,IF(OR(status1B5!AI251=1,status1B5!AI251=2,'BOULEVARD 5'!AK249&gt;0),"Pagado","impago"),""))</f>
        <v>Pagado</v>
      </c>
      <c r="AI251" s="666" t="str">
        <f>IF(OR($A251="F&amp;F",$G251=""),"",IF(AI$8&gt;$G251,IF(OR(status1B5!AJ251=1,status1B5!AJ251=2,'BOULEVARD 5'!AL249&gt;0),"Pagado","impago"),""))</f>
        <v>Pagado</v>
      </c>
      <c r="AJ251" s="666" t="str">
        <f>IF(OR($A251="F&amp;F",$G251=""),"",IF(AJ$8&gt;$G251,IF(OR(status1B5!AK251=1,status1B5!AK251=2,'BOULEVARD 5'!AM249&gt;0),"Pagado","impago"),""))</f>
        <v>Pagado</v>
      </c>
      <c r="AK251" s="666" t="str">
        <f>IF(OR($A251="F&amp;F",$G251=""),"",IF(AK$8&gt;$G251,IF(OR(status1B5!AL251=1,status1B5!AL251=2,'BOULEVARD 5'!AN249&gt;0),"Pagado","impago"),""))</f>
        <v>Pagado</v>
      </c>
      <c r="AL251" s="666" t="str">
        <f>IF(OR($A251="F&amp;F",$G251=""),"",IF(AL$8&gt;$G251,IF(OR(status1B5!AM251=1,status1B5!AM251=2,'BOULEVARD 5'!AO249&gt;0),"Pagado","impago"),""))</f>
        <v>Pagado</v>
      </c>
      <c r="AM251" s="666" t="str">
        <f>IF(OR($A251="F&amp;F",$G251=""),"",IF(AM$8&gt;$G251,IF(OR(status1B5!AN251=1,status1B5!AN251=2,'BOULEVARD 5'!AP249&gt;0),"Pagado","impago"),""))</f>
        <v>Pagado</v>
      </c>
      <c r="AN251" s="666" t="str">
        <f>IF(OR($A251="F&amp;F",$G251=""),"",IF(AN$8&gt;$G251,IF(OR(status1B5!AO251=1,status1B5!AO251=2,'BOULEVARD 5'!AQ249&gt;0),"Pagado","impago"),""))</f>
        <v>Pagado</v>
      </c>
      <c r="AO251" s="666" t="str">
        <f>IF(OR($A251="F&amp;F",$G251=""),"",IF(AO$8&gt;$G251,IF(OR(status1B5!AP251=1,status1B5!AP251=2,'BOULEVARD 5'!AS249&gt;0),"Pagado","impago"),""))</f>
        <v>Pagado</v>
      </c>
      <c r="AP251" s="429" t="str">
        <f t="shared" si="8"/>
        <v>Vendido</v>
      </c>
    </row>
    <row r="252" spans="1:42" s="429" customFormat="1" ht="13.9" customHeight="1" x14ac:dyDescent="0.25">
      <c r="A252" s="472" t="s">
        <v>58</v>
      </c>
      <c r="B252" s="475">
        <f>'BOULEVARD 5'!B250</f>
        <v>1403</v>
      </c>
      <c r="C252" s="475" t="s">
        <v>355</v>
      </c>
      <c r="D252" s="475"/>
      <c r="E252" s="475" t="str">
        <f>IF('BOULEVARD 5'!E250="","",'BOULEVARD 5'!E250)</f>
        <v>Antonio Rada</v>
      </c>
      <c r="F252" s="476" t="str">
        <f>IF('BOULEVARD 5'!F250="","",'BOULEVARD 5'!F250)</f>
        <v>Maria Mercedes Lizarralde Mc Allister</v>
      </c>
      <c r="G252" s="473">
        <f>IF('BOULEVARD 5'!G250="","",'BOULEVARD 5'!G250)</f>
        <v>45012</v>
      </c>
      <c r="H252" s="666" t="str">
        <f>IF(OR($A252="F&amp;F",$G252=""),"",IF(H$8&gt;$G252,IF(OR(status1B5!I252=1,status1B5!I252=2,'BOULEVARD 5'!K250&gt;0),"Pagado","impago"),""))</f>
        <v/>
      </c>
      <c r="I252" s="666" t="str">
        <f>IF(OR($A252="F&amp;F",$G252=""),"",IF(I$8&gt;$G252,IF(OR(status1B5!J252=1,status1B5!J252=2,'BOULEVARD 5'!L250&gt;0),"Pagado","impago"),""))</f>
        <v/>
      </c>
      <c r="J252" s="666" t="str">
        <f>IF(OR($A252="F&amp;F",$G252=""),"",IF(J$8&gt;$G252,IF(OR(status1B5!K252=1,status1B5!K252=2,'BOULEVARD 5'!M250&gt;0),"Pagado","impago"),""))</f>
        <v/>
      </c>
      <c r="K252" s="666" t="str">
        <f>IF(OR($A252="F&amp;F",$G252=""),"",IF(K$8&gt;$G252,IF(OR(status1B5!L252=1,status1B5!L252=2,'BOULEVARD 5'!N250&gt;0),"Pagado","impago"),""))</f>
        <v/>
      </c>
      <c r="L252" s="666" t="str">
        <f>IF(OR($A252="F&amp;F",$G252=""),"",IF(L$8&gt;$G252,IF(OR(status1B5!M252=1,status1B5!M252=2,'BOULEVARD 5'!O250&gt;0),"Pagado","impago"),""))</f>
        <v/>
      </c>
      <c r="M252" s="666" t="str">
        <f>IF(OR($A252="F&amp;F",$G252=""),"",IF(M$8&gt;$G252,IF(OR(status1B5!N252=1,status1B5!N252=2,'BOULEVARD 5'!P250&gt;0),"Pagado","impago"),""))</f>
        <v/>
      </c>
      <c r="N252" s="666" t="str">
        <f>IF(OR($A252="F&amp;F",$G252=""),"",IF(N$8&gt;$G252,IF(OR(status1B5!O252=1,status1B5!O252=2,'BOULEVARD 5'!Q250&gt;0),"Pagado","impago"),""))</f>
        <v/>
      </c>
      <c r="O252" s="666" t="str">
        <f>IF(OR($A252="F&amp;F",$G252=""),"",IF(O$8&gt;$G252,IF(OR(status1B5!P252=1,status1B5!P252=2,'BOULEVARD 5'!R250&gt;0),"Pagado","impago"),""))</f>
        <v/>
      </c>
      <c r="P252" s="666" t="str">
        <f>IF(OR($A252="F&amp;F",$G252=""),"",IF(P$8&gt;$G252,IF(OR(status1B5!Q252=1,status1B5!Q252=2,'BOULEVARD 5'!S250&gt;0),"Pagado","impago"),""))</f>
        <v/>
      </c>
      <c r="Q252" s="666" t="str">
        <f>IF(OR($A252="F&amp;F",$G252=""),"",IF(Q$8&gt;$G252,IF(OR(status1B5!R252=1,status1B5!R252=2,'BOULEVARD 5'!T250&gt;0),"Pagado","impago"),""))</f>
        <v/>
      </c>
      <c r="R252" s="666" t="str">
        <f>IF(OR($A252="F&amp;F",$G252=""),"",IF(R$8&gt;$G252,IF(OR(status1B5!S252=1,status1B5!S252=2,'BOULEVARD 5'!U250&gt;0),"Pagado","impago"),""))</f>
        <v/>
      </c>
      <c r="S252" s="666" t="str">
        <f>IF(OR($A252="F&amp;F",$G252=""),"",IF(S$8&gt;$G252,IF(OR(status1B5!T252=1,status1B5!T252=2,'BOULEVARD 5'!V250&gt;0),"Pagado","impago"),""))</f>
        <v/>
      </c>
      <c r="T252" s="666" t="str">
        <f>IF(OR($A252="F&amp;F",$G252=""),"",IF(T$8&gt;$G252,IF(OR(status1B5!U252=1,status1B5!U252=2,'BOULEVARD 5'!W250&gt;0),"Pagado","impago"),""))</f>
        <v/>
      </c>
      <c r="U252" s="666" t="str">
        <f>IF(OR($A252="F&amp;F",$G252=""),"",IF(U$8&gt;$G252,IF(OR(status1B5!V252=1,status1B5!V252=2,'BOULEVARD 5'!X250&gt;0),"Pagado","impago"),""))</f>
        <v/>
      </c>
      <c r="V252" s="666" t="str">
        <f>IF(OR($A252="F&amp;F",$G252=""),"",IF(V$8&gt;$G252,IF(OR(status1B5!W252=1,status1B5!W252=2,'BOULEVARD 5'!Y250&gt;0),"Pagado","impago"),""))</f>
        <v/>
      </c>
      <c r="W252" s="666" t="str">
        <f>IF(OR($A252="F&amp;F",$G252=""),"",IF(W$8&gt;$G252,IF(OR(status1B5!X252=1,status1B5!X252=2,'BOULEVARD 5'!Z250&gt;0),"Pagado","impago"),""))</f>
        <v/>
      </c>
      <c r="X252" s="666" t="str">
        <f>IF(OR($A252="F&amp;F",$G252=""),"",IF(X$8&gt;$G252,IF(OR(status1B5!Y252=1,status1B5!Y252=2,'BOULEVARD 5'!AA250&gt;0),"Pagado","impago"),""))</f>
        <v/>
      </c>
      <c r="Y252" s="666" t="str">
        <f>IF(OR($A252="F&amp;F",$G252=""),"",IF(Y$8&gt;$G252,IF(OR(status1B5!Z252=1,status1B5!Z252=2,'BOULEVARD 5'!AB250&gt;0),"Pagado","impago"),""))</f>
        <v/>
      </c>
      <c r="Z252" s="666" t="str">
        <f>IF(OR($A252="F&amp;F",$G252=""),"",IF(Z$8&gt;$G252,IF(OR(status1B5!AA252=1,status1B5!AA252=2,'BOULEVARD 5'!AC250&gt;0),"Pagado","impago"),""))</f>
        <v/>
      </c>
      <c r="AA252" s="666" t="str">
        <f>IF(OR($A252="F&amp;F",$G252=""),"",IF(AA$8&gt;$G252,IF(OR(status1B5!AB252=1,status1B5!AB252=2,'BOULEVARD 5'!AD250&gt;0),"Pagado","impago"),""))</f>
        <v/>
      </c>
      <c r="AB252" s="666" t="str">
        <f>IF(OR($A252="F&amp;F",$G252=""),"",IF(AB$8&gt;$G252,IF(OR(status1B5!AC252=1,status1B5!AC252=2,'BOULEVARD 5'!AE250&gt;0),"Pagado","impago"),""))</f>
        <v/>
      </c>
      <c r="AC252" s="666" t="str">
        <f>IF(OR($A252="F&amp;F",$G252=""),"",IF(AC$8&gt;$G252,IF(OR(status1B5!AD252=1,status1B5!AD252=2,'BOULEVARD 5'!AF250&gt;0),"Pagado","impago"),""))</f>
        <v/>
      </c>
      <c r="AD252" s="666" t="str">
        <f>IF(OR($A252="F&amp;F",$G252=""),"",IF(AD$8&gt;$G252,IF(OR(status1B5!AE252=1,status1B5!AE252=2,'BOULEVARD 5'!AG250&gt;0),"Pagado","impago"),""))</f>
        <v/>
      </c>
      <c r="AE252" s="666" t="str">
        <f>IF(OR($A252="F&amp;F",$G252=""),"",IF(AE$8&gt;$G252,IF(OR(status1B5!AF252=1,status1B5!AF252=2,'BOULEVARD 5'!AH250&gt;0),"Pagado","impago"),""))</f>
        <v/>
      </c>
      <c r="AF252" s="666" t="str">
        <f>IF(OR($A252="F&amp;F",$G252=""),"",IF(AF$8&gt;$G252,IF(OR(status1B5!AG252=1,status1B5!AG252=2,'BOULEVARD 5'!AI250&gt;0),"Pagado","impago"),""))</f>
        <v/>
      </c>
      <c r="AG252" s="666" t="str">
        <f>IF(OR($A252="F&amp;F",$G252=""),"",IF(AG$8&gt;$G252,IF(OR(status1B5!AH252=1,status1B5!AH252=2,'BOULEVARD 5'!AJ250&gt;0),"Pagado","impago"),""))</f>
        <v/>
      </c>
      <c r="AH252" s="666" t="str">
        <f>IF(OR($A252="F&amp;F",$G252=""),"",IF(AH$8&gt;$G252,IF(OR(status1B5!AI252=1,status1B5!AI252=2,'BOULEVARD 5'!AK250&gt;0),"Pagado","impago"),""))</f>
        <v/>
      </c>
      <c r="AI252" s="666" t="str">
        <f>IF(OR($A252="F&amp;F",$G252=""),"",IF(AI$8&gt;$G252,IF(OR(status1B5!AJ252=1,status1B5!AJ252=2,'BOULEVARD 5'!AL250&gt;0),"Pagado","impago"),""))</f>
        <v/>
      </c>
      <c r="AJ252" s="666" t="str">
        <f>IF(OR($A252="F&amp;F",$G252=""),"",IF(AJ$8&gt;$G252,IF(OR(status1B5!AK252=1,status1B5!AK252=2,'BOULEVARD 5'!AM250&gt;0),"Pagado","impago"),""))</f>
        <v/>
      </c>
      <c r="AK252" s="666" t="str">
        <f>IF(OR($A252="F&amp;F",$G252=""),"",IF(AK$8&gt;$G252,IF(OR(status1B5!AL252=1,status1B5!AL252=2,'BOULEVARD 5'!AN250&gt;0),"Pagado","impago"),""))</f>
        <v/>
      </c>
      <c r="AL252" s="666" t="str">
        <f>IF(OR($A252="F&amp;F",$G252=""),"",IF(AL$8&gt;$G252,IF(OR(status1B5!AM252=1,status1B5!AM252=2,'BOULEVARD 5'!AO250&gt;0),"Pagado","impago"),""))</f>
        <v/>
      </c>
      <c r="AM252" s="666" t="str">
        <f>IF(OR($A252="F&amp;F",$G252=""),"",IF(AM$8&gt;$G252,IF(OR(status1B5!AN252=1,status1B5!AN252=2,'BOULEVARD 5'!AP250&gt;0),"Pagado","impago"),""))</f>
        <v/>
      </c>
      <c r="AN252" s="666" t="str">
        <f>IF(OR($A252="F&amp;F",$G252=""),"",IF(AN$8&gt;$G252,IF(OR(status1B5!AO252=1,status1B5!AO252=2,'BOULEVARD 5'!AQ250&gt;0),"Pagado","impago"),""))</f>
        <v/>
      </c>
      <c r="AO252" s="666" t="str">
        <f>IF(OR($A252="F&amp;F",$G252=""),"",IF(AO$8&gt;$G252,IF(OR(status1B5!AP252=1,status1B5!AP252=2,'BOULEVARD 5'!AS250&gt;0),"Pagado","impago"),""))</f>
        <v/>
      </c>
      <c r="AP252" s="429" t="str">
        <f t="shared" si="8"/>
        <v>Vendido</v>
      </c>
    </row>
    <row r="253" spans="1:42" s="429" customFormat="1" ht="13.9" customHeight="1" x14ac:dyDescent="0.25">
      <c r="A253" s="472"/>
      <c r="B253" s="436">
        <f>'BOULEVARD 5'!B251</f>
        <v>1404</v>
      </c>
      <c r="C253" s="436" t="s">
        <v>355</v>
      </c>
      <c r="D253" s="436"/>
      <c r="E253" s="436" t="str">
        <f>IF('BOULEVARD 5'!E251="","",'BOULEVARD 5'!E251)</f>
        <v>Jose Franco</v>
      </c>
      <c r="F253" s="429" t="str">
        <f>IF('BOULEVARD 5'!F251="","",'BOULEVARD 5'!F251)</f>
        <v>Diego Eduardo Roman Hazard</v>
      </c>
      <c r="G253" s="473">
        <f>IF('BOULEVARD 5'!G251="","",'BOULEVARD 5'!G251)</f>
        <v>45012</v>
      </c>
      <c r="H253" s="666" t="str">
        <f>IF(OR($A253="F&amp;F",$G253=""),"",IF(H$8&gt;$G253,IF(OR(status1B5!I253=1,status1B5!I253=2,'BOULEVARD 5'!K251&gt;0),"Pagado","impago"),""))</f>
        <v>Pagado</v>
      </c>
      <c r="I253" s="666" t="str">
        <f>IF(OR($A253="F&amp;F",$G253=""),"",IF(I$8&gt;$G253,IF(OR(status1B5!J253=1,status1B5!J253=2,'BOULEVARD 5'!L251&gt;0),"Pagado","impago"),""))</f>
        <v>Pagado</v>
      </c>
      <c r="J253" s="666" t="str">
        <f>IF(OR($A253="F&amp;F",$G253=""),"",IF(J$8&gt;$G253,IF(OR(status1B5!K253=1,status1B5!K253=2,'BOULEVARD 5'!M251&gt;0),"Pagado","impago"),""))</f>
        <v>Pagado</v>
      </c>
      <c r="K253" s="666" t="str">
        <f>IF(OR($A253="F&amp;F",$G253=""),"",IF(K$8&gt;$G253,IF(OR(status1B5!L253=1,status1B5!L253=2,'BOULEVARD 5'!N251&gt;0),"Pagado","impago"),""))</f>
        <v>Pagado</v>
      </c>
      <c r="L253" s="666" t="str">
        <f>IF(OR($A253="F&amp;F",$G253=""),"",IF(L$8&gt;$G253,IF(OR(status1B5!M253=1,status1B5!M253=2,'BOULEVARD 5'!O251&gt;0),"Pagado","impago"),""))</f>
        <v>Pagado</v>
      </c>
      <c r="M253" s="666" t="str">
        <f>IF(OR($A253="F&amp;F",$G253=""),"",IF(M$8&gt;$G253,IF(OR(status1B5!N253=1,status1B5!N253=2,'BOULEVARD 5'!P251&gt;0),"Pagado","impago"),""))</f>
        <v>Pagado</v>
      </c>
      <c r="N253" s="666" t="str">
        <f>IF(OR($A253="F&amp;F",$G253=""),"",IF(N$8&gt;$G253,IF(OR(status1B5!O253=1,status1B5!O253=2,'BOULEVARD 5'!Q251&gt;0),"Pagado","impago"),""))</f>
        <v>Pagado</v>
      </c>
      <c r="O253" s="666" t="str">
        <f>IF(OR($A253="F&amp;F",$G253=""),"",IF(O$8&gt;$G253,IF(OR(status1B5!P253=1,status1B5!P253=2,'BOULEVARD 5'!R251&gt;0),"Pagado","impago"),""))</f>
        <v>Pagado</v>
      </c>
      <c r="P253" s="666" t="str">
        <f>IF(OR($A253="F&amp;F",$G253=""),"",IF(P$8&gt;$G253,IF(OR(status1B5!Q253=1,status1B5!Q253=2,'BOULEVARD 5'!S251&gt;0),"Pagado","impago"),""))</f>
        <v>Pagado</v>
      </c>
      <c r="Q253" s="666" t="str">
        <f>IF(OR($A253="F&amp;F",$G253=""),"",IF(Q$8&gt;$G253,IF(OR(status1B5!R253=1,status1B5!R253=2,'BOULEVARD 5'!T251&gt;0),"Pagado","impago"),""))</f>
        <v>Pagado</v>
      </c>
      <c r="R253" s="666" t="str">
        <f>IF(OR($A253="F&amp;F",$G253=""),"",IF(R$8&gt;$G253,IF(OR(status1B5!S253=1,status1B5!S253=2,'BOULEVARD 5'!U251&gt;0),"Pagado","impago"),""))</f>
        <v>Pagado</v>
      </c>
      <c r="S253" s="666" t="str">
        <f>IF(OR($A253="F&amp;F",$G253=""),"",IF(S$8&gt;$G253,IF(OR(status1B5!T253=1,status1B5!T253=2,'BOULEVARD 5'!V251&gt;0),"Pagado","impago"),""))</f>
        <v>Pagado</v>
      </c>
      <c r="T253" s="666" t="str">
        <f>IF(OR($A253="F&amp;F",$G253=""),"",IF(T$8&gt;$G253,IF(OR(status1B5!U253=1,status1B5!U253=2,'BOULEVARD 5'!W251&gt;0),"Pagado","impago"),""))</f>
        <v>Pagado</v>
      </c>
      <c r="U253" s="666" t="str">
        <f>IF(OR($A253="F&amp;F",$G253=""),"",IF(U$8&gt;$G253,IF(OR(status1B5!V253=1,status1B5!V253=2,'BOULEVARD 5'!X251&gt;0),"Pagado","impago"),""))</f>
        <v>Pagado</v>
      </c>
      <c r="V253" s="666" t="str">
        <f>IF(OR($A253="F&amp;F",$G253=""),"",IF(V$8&gt;$G253,IF(OR(status1B5!W253=1,status1B5!W253=2,'BOULEVARD 5'!Y251&gt;0),"Pagado","impago"),""))</f>
        <v>Pagado</v>
      </c>
      <c r="W253" s="666" t="str">
        <f>IF(OR($A253="F&amp;F",$G253=""),"",IF(W$8&gt;$G253,IF(OR(status1B5!X253=1,status1B5!X253=2,'BOULEVARD 5'!Z251&gt;0),"Pagado","impago"),""))</f>
        <v>Pagado</v>
      </c>
      <c r="X253" s="666" t="str">
        <f>IF(OR($A253="F&amp;F",$G253=""),"",IF(X$8&gt;$G253,IF(OR(status1B5!Y253=1,status1B5!Y253=2,'BOULEVARD 5'!AA251&gt;0),"Pagado","impago"),""))</f>
        <v>Pagado</v>
      </c>
      <c r="Y253" s="666" t="str">
        <f>IF(OR($A253="F&amp;F",$G253=""),"",IF(Y$8&gt;$G253,IF(OR(status1B5!Z253=1,status1B5!Z253=2,'BOULEVARD 5'!AB251&gt;0),"Pagado","impago"),""))</f>
        <v>Pagado</v>
      </c>
      <c r="Z253" s="666" t="str">
        <f>IF(OR($A253="F&amp;F",$G253=""),"",IF(Z$8&gt;$G253,IF(OR(status1B5!AA253=1,status1B5!AA253=2,'BOULEVARD 5'!AC251&gt;0),"Pagado","impago"),""))</f>
        <v>Pagado</v>
      </c>
      <c r="AA253" s="666" t="str">
        <f>IF(OR($A253="F&amp;F",$G253=""),"",IF(AA$8&gt;$G253,IF(OR(status1B5!AB253=1,status1B5!AB253=2,'BOULEVARD 5'!AD251&gt;0),"Pagado","impago"),""))</f>
        <v>Pagado</v>
      </c>
      <c r="AB253" s="666" t="str">
        <f>IF(OR($A253="F&amp;F",$G253=""),"",IF(AB$8&gt;$G253,IF(OR(status1B5!AC253=1,status1B5!AC253=2,'BOULEVARD 5'!AE251&gt;0),"Pagado","impago"),""))</f>
        <v>Pagado</v>
      </c>
      <c r="AC253" s="666" t="str">
        <f>IF(OR($A253="F&amp;F",$G253=""),"",IF(AC$8&gt;$G253,IF(OR(status1B5!AD253=1,status1B5!AD253=2,'BOULEVARD 5'!AF251&gt;0),"Pagado","impago"),""))</f>
        <v>Pagado</v>
      </c>
      <c r="AD253" s="666" t="str">
        <f>IF(OR($A253="F&amp;F",$G253=""),"",IF(AD$8&gt;$G253,IF(OR(status1B5!AE253=1,status1B5!AE253=2,'BOULEVARD 5'!AG251&gt;0),"Pagado","impago"),""))</f>
        <v>Pagado</v>
      </c>
      <c r="AE253" s="666" t="str">
        <f>IF(OR($A253="F&amp;F",$G253=""),"",IF(AE$8&gt;$G253,IF(OR(status1B5!AF253=1,status1B5!AF253=2,'BOULEVARD 5'!AH251&gt;0),"Pagado","impago"),""))</f>
        <v>Pagado</v>
      </c>
      <c r="AF253" s="666" t="str">
        <f>IF(OR($A253="F&amp;F",$G253=""),"",IF(AF$8&gt;$G253,IF(OR(status1B5!AG253=1,status1B5!AG253=2,'BOULEVARD 5'!AI251&gt;0),"Pagado","impago"),""))</f>
        <v>Pagado</v>
      </c>
      <c r="AG253" s="666" t="str">
        <f>IF(OR($A253="F&amp;F",$G253=""),"",IF(AG$8&gt;$G253,IF(OR(status1B5!AH253=1,status1B5!AH253=2,'BOULEVARD 5'!AJ251&gt;0),"Pagado","impago"),""))</f>
        <v>Pagado</v>
      </c>
      <c r="AH253" s="666" t="str">
        <f>IF(OR($A253="F&amp;F",$G253=""),"",IF(AH$8&gt;$G253,IF(OR(status1B5!AI253=1,status1B5!AI253=2,'BOULEVARD 5'!AK251&gt;0),"Pagado","impago"),""))</f>
        <v>Pagado</v>
      </c>
      <c r="AI253" s="666" t="str">
        <f>IF(OR($A253="F&amp;F",$G253=""),"",IF(AI$8&gt;$G253,IF(OR(status1B5!AJ253=1,status1B5!AJ253=2,'BOULEVARD 5'!AL251&gt;0),"Pagado","impago"),""))</f>
        <v>Pagado</v>
      </c>
      <c r="AJ253" s="666" t="str">
        <f>IF(OR($A253="F&amp;F",$G253=""),"",IF(AJ$8&gt;$G253,IF(OR(status1B5!AK253=1,status1B5!AK253=2,'BOULEVARD 5'!AM251&gt;0),"Pagado","impago"),""))</f>
        <v>Pagado</v>
      </c>
      <c r="AK253" s="666" t="str">
        <f>IF(OR($A253="F&amp;F",$G253=""),"",IF(AK$8&gt;$G253,IF(OR(status1B5!AL253=1,status1B5!AL253=2,'BOULEVARD 5'!AN251&gt;0),"Pagado","impago"),""))</f>
        <v>Pagado</v>
      </c>
      <c r="AL253" s="666" t="str">
        <f>IF(OR($A253="F&amp;F",$G253=""),"",IF(AL$8&gt;$G253,IF(OR(status1B5!AM253=1,status1B5!AM253=2,'BOULEVARD 5'!AO251&gt;0),"Pagado","impago"),""))</f>
        <v>Pagado</v>
      </c>
      <c r="AM253" s="666" t="str">
        <f>IF(OR($A253="F&amp;F",$G253=""),"",IF(AM$8&gt;$G253,IF(OR(status1B5!AN253=1,status1B5!AN253=2,'BOULEVARD 5'!AP251&gt;0),"Pagado","impago"),""))</f>
        <v>Pagado</v>
      </c>
      <c r="AN253" s="666" t="str">
        <f>IF(OR($A253="F&amp;F",$G253=""),"",IF(AN$8&gt;$G253,IF(OR(status1B5!AO253=1,status1B5!AO253=2,'BOULEVARD 5'!AQ251&gt;0),"Pagado","impago"),""))</f>
        <v>Pagado</v>
      </c>
      <c r="AO253" s="666" t="str">
        <f>IF(OR($A253="F&amp;F",$G253=""),"",IF(AO$8&gt;$G253,IF(OR(status1B5!AP253=1,status1B5!AP253=2,'BOULEVARD 5'!AS251&gt;0),"Pagado","impago"),""))</f>
        <v>Pagado</v>
      </c>
      <c r="AP253" s="429" t="str">
        <f t="shared" si="8"/>
        <v>Vendido</v>
      </c>
    </row>
    <row r="254" spans="1:42" s="429" customFormat="1" ht="13.9" customHeight="1" x14ac:dyDescent="0.25">
      <c r="A254" s="472"/>
      <c r="B254" s="436">
        <f>'BOULEVARD 5'!B252</f>
        <v>1405</v>
      </c>
      <c r="C254" s="436" t="s">
        <v>355</v>
      </c>
      <c r="D254" s="641"/>
      <c r="E254" s="436" t="str">
        <f>IF('BOULEVARD 5'!E252="","",'BOULEVARD 5'!E252)</f>
        <v>Antonio Rada</v>
      </c>
      <c r="F254" s="429" t="str">
        <f>IF('BOULEVARD 5'!F252="","",'BOULEVARD 5'!F252)</f>
        <v>Victor Leonel Orozco Lopez</v>
      </c>
      <c r="G254" s="473">
        <f>IF('BOULEVARD 5'!G252="","",'BOULEVARD 5'!G252)</f>
        <v>45034</v>
      </c>
      <c r="H254" s="666" t="str">
        <f>IF(OR($A254="F&amp;F",$G254=""),"",IF(H$8&gt;$G254,IF(OR(status1B5!I254=1,status1B5!I254=2,'BOULEVARD 5'!K252&gt;0),"Pagado","impago"),""))</f>
        <v/>
      </c>
      <c r="I254" s="666" t="str">
        <f>IF(OR($A254="F&amp;F",$G254=""),"",IF(I$8&gt;$G254,IF(OR(status1B5!J254=1,status1B5!J254=2,'BOULEVARD 5'!L252&gt;0),"Pagado","impago"),""))</f>
        <v>Pagado</v>
      </c>
      <c r="J254" s="666" t="str">
        <f>IF(OR($A254="F&amp;F",$G254=""),"",IF(J$8&gt;$G254,IF(OR(status1B5!K254=1,status1B5!K254=2,'BOULEVARD 5'!M252&gt;0),"Pagado","impago"),""))</f>
        <v>Pagado</v>
      </c>
      <c r="K254" s="666" t="str">
        <f>IF(OR($A254="F&amp;F",$G254=""),"",IF(K$8&gt;$G254,IF(OR(status1B5!L254=1,status1B5!L254=2,'BOULEVARD 5'!N252&gt;0),"Pagado","impago"),""))</f>
        <v>Pagado</v>
      </c>
      <c r="L254" s="666" t="str">
        <f>IF(OR($A254="F&amp;F",$G254=""),"",IF(L$8&gt;$G254,IF(OR(status1B5!M254=1,status1B5!M254=2,'BOULEVARD 5'!O252&gt;0),"Pagado","impago"),""))</f>
        <v>Pagado</v>
      </c>
      <c r="M254" s="666" t="str">
        <f>IF(OR($A254="F&amp;F",$G254=""),"",IF(M$8&gt;$G254,IF(OR(status1B5!N254=1,status1B5!N254=2,'BOULEVARD 5'!P252&gt;0),"Pagado","impago"),""))</f>
        <v>Pagado</v>
      </c>
      <c r="N254" s="666" t="str">
        <f>IF(OR($A254="F&amp;F",$G254=""),"",IF(N$8&gt;$G254,IF(OR(status1B5!O254=1,status1B5!O254=2,'BOULEVARD 5'!Q252&gt;0),"Pagado","impago"),""))</f>
        <v>Pagado</v>
      </c>
      <c r="O254" s="666" t="str">
        <f>IF(OR($A254="F&amp;F",$G254=""),"",IF(O$8&gt;$G254,IF(OR(status1B5!P254=1,status1B5!P254=2,'BOULEVARD 5'!R252&gt;0),"Pagado","impago"),""))</f>
        <v>Pagado</v>
      </c>
      <c r="P254" s="666" t="str">
        <f>IF(OR($A254="F&amp;F",$G254=""),"",IF(P$8&gt;$G254,IF(OR(status1B5!Q254=1,status1B5!Q254=2,'BOULEVARD 5'!S252&gt;0),"Pagado","impago"),""))</f>
        <v>Pagado</v>
      </c>
      <c r="Q254" s="666" t="str">
        <f>IF(OR($A254="F&amp;F",$G254=""),"",IF(Q$8&gt;$G254,IF(OR(status1B5!R254=1,status1B5!R254=2,'BOULEVARD 5'!T252&gt;0),"Pagado","impago"),""))</f>
        <v>Pagado</v>
      </c>
      <c r="R254" s="666" t="str">
        <f>IF(OR($A254="F&amp;F",$G254=""),"",IF(R$8&gt;$G254,IF(OR(status1B5!S254=1,status1B5!S254=2,'BOULEVARD 5'!U252&gt;0),"Pagado","impago"),""))</f>
        <v>Pagado</v>
      </c>
      <c r="S254" s="666" t="str">
        <f>IF(OR($A254="F&amp;F",$G254=""),"",IF(S$8&gt;$G254,IF(OR(status1B5!T254=1,status1B5!T254=2,'BOULEVARD 5'!V252&gt;0),"Pagado","impago"),""))</f>
        <v>Pagado</v>
      </c>
      <c r="T254" s="666" t="str">
        <f>IF(OR($A254="F&amp;F",$G254=""),"",IF(T$8&gt;$G254,IF(OR(status1B5!U254=1,status1B5!U254=2,'BOULEVARD 5'!W252&gt;0),"Pagado","impago"),""))</f>
        <v>Pagado</v>
      </c>
      <c r="U254" s="666" t="str">
        <f>IF(OR($A254="F&amp;F",$G254=""),"",IF(U$8&gt;$G254,IF(OR(status1B5!V254=1,status1B5!V254=2,'BOULEVARD 5'!X252&gt;0),"Pagado","impago"),""))</f>
        <v>Pagado</v>
      </c>
      <c r="V254" s="666" t="str">
        <f>IF(OR($A254="F&amp;F",$G254=""),"",IF(V$8&gt;$G254,IF(OR(status1B5!W254=1,status1B5!W254=2,'BOULEVARD 5'!Y252&gt;0),"Pagado","impago"),""))</f>
        <v>Pagado</v>
      </c>
      <c r="W254" s="666" t="str">
        <f>IF(OR($A254="F&amp;F",$G254=""),"",IF(W$8&gt;$G254,IF(OR(status1B5!X254=1,status1B5!X254=2,'BOULEVARD 5'!Z252&gt;0),"Pagado","impago"),""))</f>
        <v>Pagado</v>
      </c>
      <c r="X254" s="666" t="str">
        <f>IF(OR($A254="F&amp;F",$G254=""),"",IF(X$8&gt;$G254,IF(OR(status1B5!Y254=1,status1B5!Y254=2,'BOULEVARD 5'!AA252&gt;0),"Pagado","impago"),""))</f>
        <v>Pagado</v>
      </c>
      <c r="Y254" s="666" t="str">
        <f>IF(OR($A254="F&amp;F",$G254=""),"",IF(Y$8&gt;$G254,IF(OR(status1B5!Z254=1,status1B5!Z254=2,'BOULEVARD 5'!AB252&gt;0),"Pagado","impago"),""))</f>
        <v>Pagado</v>
      </c>
      <c r="Z254" s="666" t="str">
        <f>IF(OR($A254="F&amp;F",$G254=""),"",IF(Z$8&gt;$G254,IF(OR(status1B5!AA254=1,status1B5!AA254=2,'BOULEVARD 5'!AC252&gt;0),"Pagado","impago"),""))</f>
        <v>Pagado</v>
      </c>
      <c r="AA254" s="666" t="str">
        <f>IF(OR($A254="F&amp;F",$G254=""),"",IF(AA$8&gt;$G254,IF(OR(status1B5!AB254=1,status1B5!AB254=2,'BOULEVARD 5'!AD252&gt;0),"Pagado","impago"),""))</f>
        <v>Pagado</v>
      </c>
      <c r="AB254" s="666" t="str">
        <f>IF(OR($A254="F&amp;F",$G254=""),"",IF(AB$8&gt;$G254,IF(OR(status1B5!AC254=1,status1B5!AC254=2,'BOULEVARD 5'!AE252&gt;0),"Pagado","impago"),""))</f>
        <v>Pagado</v>
      </c>
      <c r="AC254" s="666" t="str">
        <f>IF(OR($A254="F&amp;F",$G254=""),"",IF(AC$8&gt;$G254,IF(OR(status1B5!AD254=1,status1B5!AD254=2,'BOULEVARD 5'!AF252&gt;0),"Pagado","impago"),""))</f>
        <v>Pagado</v>
      </c>
      <c r="AD254" s="666" t="str">
        <f>IF(OR($A254="F&amp;F",$G254=""),"",IF(AD$8&gt;$G254,IF(OR(status1B5!AE254=1,status1B5!AE254=2,'BOULEVARD 5'!AG252&gt;0),"Pagado","impago"),""))</f>
        <v>Pagado</v>
      </c>
      <c r="AE254" s="666" t="str">
        <f>IF(OR($A254="F&amp;F",$G254=""),"",IF(AE$8&gt;$G254,IF(OR(status1B5!AF254=1,status1B5!AF254=2,'BOULEVARD 5'!AH252&gt;0),"Pagado","impago"),""))</f>
        <v>Pagado</v>
      </c>
      <c r="AF254" s="666" t="str">
        <f>IF(OR($A254="F&amp;F",$G254=""),"",IF(AF$8&gt;$G254,IF(OR(status1B5!AG254=1,status1B5!AG254=2,'BOULEVARD 5'!AI252&gt;0),"Pagado","impago"),""))</f>
        <v>Pagado</v>
      </c>
      <c r="AG254" s="666" t="str">
        <f>IF(OR($A254="F&amp;F",$G254=""),"",IF(AG$8&gt;$G254,IF(OR(status1B5!AH254=1,status1B5!AH254=2,'BOULEVARD 5'!AJ252&gt;0),"Pagado","impago"),""))</f>
        <v>Pagado</v>
      </c>
      <c r="AH254" s="666" t="str">
        <f>IF(OR($A254="F&amp;F",$G254=""),"",IF(AH$8&gt;$G254,IF(OR(status1B5!AI254=1,status1B5!AI254=2,'BOULEVARD 5'!AK252&gt;0),"Pagado","impago"),""))</f>
        <v>Pagado</v>
      </c>
      <c r="AI254" s="666" t="str">
        <f>IF(OR($A254="F&amp;F",$G254=""),"",IF(AI$8&gt;$G254,IF(OR(status1B5!AJ254=1,status1B5!AJ254=2,'BOULEVARD 5'!AL252&gt;0),"Pagado","impago"),""))</f>
        <v>Pagado</v>
      </c>
      <c r="AJ254" s="666" t="str">
        <f>IF(OR($A254="F&amp;F",$G254=""),"",IF(AJ$8&gt;$G254,IF(OR(status1B5!AK254=1,status1B5!AK254=2,'BOULEVARD 5'!AM252&gt;0),"Pagado","impago"),""))</f>
        <v>Pagado</v>
      </c>
      <c r="AK254" s="666" t="str">
        <f>IF(OR($A254="F&amp;F",$G254=""),"",IF(AK$8&gt;$G254,IF(OR(status1B5!AL254=1,status1B5!AL254=2,'BOULEVARD 5'!AN252&gt;0),"Pagado","impago"),""))</f>
        <v>Pagado</v>
      </c>
      <c r="AL254" s="666" t="str">
        <f>IF(OR($A254="F&amp;F",$G254=""),"",IF(AL$8&gt;$G254,IF(OR(status1B5!AM254=1,status1B5!AM254=2,'BOULEVARD 5'!AO252&gt;0),"Pagado","impago"),""))</f>
        <v>Pagado</v>
      </c>
      <c r="AM254" s="666" t="str">
        <f>IF(OR($A254="F&amp;F",$G254=""),"",IF(AM$8&gt;$G254,IF(OR(status1B5!AN254=1,status1B5!AN254=2,'BOULEVARD 5'!AP252&gt;0),"Pagado","impago"),""))</f>
        <v>Pagado</v>
      </c>
      <c r="AN254" s="666" t="str">
        <f>IF(OR($A254="F&amp;F",$G254=""),"",IF(AN$8&gt;$G254,IF(OR(status1B5!AO254=1,status1B5!AO254=2,'BOULEVARD 5'!AQ252&gt;0),"Pagado","impago"),""))</f>
        <v>Pagado</v>
      </c>
      <c r="AO254" s="666" t="str">
        <f>IF(OR($A254="F&amp;F",$G254=""),"",IF(AO$8&gt;$G254,IF(OR(status1B5!AP254=1,status1B5!AP254=2,'BOULEVARD 5'!AS252&gt;0),"Pagado","impago"),""))</f>
        <v>Pagado</v>
      </c>
      <c r="AP254" s="429" t="str">
        <f t="shared" si="8"/>
        <v>Vendido</v>
      </c>
    </row>
    <row r="255" spans="1:42" s="429" customFormat="1" ht="13.9" customHeight="1" x14ac:dyDescent="0.25">
      <c r="A255" s="472"/>
      <c r="B255" s="436">
        <f>'BOULEVARD 5'!B253</f>
        <v>1406</v>
      </c>
      <c r="C255" s="436" t="s">
        <v>355</v>
      </c>
      <c r="D255" s="436"/>
      <c r="E255" s="436" t="str">
        <f>IF('BOULEVARD 5'!E253="","",'BOULEVARD 5'!E253)</f>
        <v>Jose Franco</v>
      </c>
      <c r="F255" s="429" t="str">
        <f>IF('BOULEVARD 5'!F253="","",'BOULEVARD 5'!F253)</f>
        <v xml:space="preserve"> Jonatan Hans Donis Montenegro</v>
      </c>
      <c r="G255" s="473">
        <f>IF('BOULEVARD 5'!G253="","",'BOULEVARD 5'!G253)</f>
        <v>45012</v>
      </c>
      <c r="H255" s="666" t="str">
        <f>IF(OR($A255="F&amp;F",$G255=""),"",IF(H$8&gt;$G255,IF(OR(status1B5!I255=1,status1B5!I255=2,'BOULEVARD 5'!K253&gt;0),"Pagado","impago"),""))</f>
        <v>Pagado</v>
      </c>
      <c r="I255" s="666" t="str">
        <f>IF(OR($A255="F&amp;F",$G255=""),"",IF(I$8&gt;$G255,IF(OR(status1B5!J255=1,status1B5!J255=2,'BOULEVARD 5'!L253&gt;0),"Pagado","impago"),""))</f>
        <v>Pagado</v>
      </c>
      <c r="J255" s="666" t="str">
        <f>IF(OR($A255="F&amp;F",$G255=""),"",IF(J$8&gt;$G255,IF(OR(status1B5!K255=1,status1B5!K255=2,'BOULEVARD 5'!M253&gt;0),"Pagado","impago"),""))</f>
        <v>Pagado</v>
      </c>
      <c r="K255" s="666" t="str">
        <f>IF(OR($A255="F&amp;F",$G255=""),"",IF(K$8&gt;$G255,IF(OR(status1B5!L255=1,status1B5!L255=2,'BOULEVARD 5'!N253&gt;0),"Pagado","impago"),""))</f>
        <v>Pagado</v>
      </c>
      <c r="L255" s="666" t="str">
        <f>IF(OR($A255="F&amp;F",$G255=""),"",IF(L$8&gt;$G255,IF(OR(status1B5!M255=1,status1B5!M255=2,'BOULEVARD 5'!O253&gt;0),"Pagado","impago"),""))</f>
        <v>Pagado</v>
      </c>
      <c r="M255" s="666" t="str">
        <f>IF(OR($A255="F&amp;F",$G255=""),"",IF(M$8&gt;$G255,IF(OR(status1B5!N255=1,status1B5!N255=2,'BOULEVARD 5'!P253&gt;0),"Pagado","impago"),""))</f>
        <v>Pagado</v>
      </c>
      <c r="N255" s="666" t="str">
        <f>IF(OR($A255="F&amp;F",$G255=""),"",IF(N$8&gt;$G255,IF(OR(status1B5!O255=1,status1B5!O255=2,'BOULEVARD 5'!Q253&gt;0),"Pagado","impago"),""))</f>
        <v>Pagado</v>
      </c>
      <c r="O255" s="666" t="str">
        <f>IF(OR($A255="F&amp;F",$G255=""),"",IF(O$8&gt;$G255,IF(OR(status1B5!P255=1,status1B5!P255=2,'BOULEVARD 5'!R253&gt;0),"Pagado","impago"),""))</f>
        <v>Pagado</v>
      </c>
      <c r="P255" s="666" t="str">
        <f>IF(OR($A255="F&amp;F",$G255=""),"",IF(P$8&gt;$G255,IF(OR(status1B5!Q255=1,status1B5!Q255=2,'BOULEVARD 5'!S253&gt;0),"Pagado","impago"),""))</f>
        <v>Pagado</v>
      </c>
      <c r="Q255" s="666" t="str">
        <f>IF(OR($A255="F&amp;F",$G255=""),"",IF(Q$8&gt;$G255,IF(OR(status1B5!R255=1,status1B5!R255=2,'BOULEVARD 5'!T253&gt;0),"Pagado","impago"),""))</f>
        <v>Pagado</v>
      </c>
      <c r="R255" s="666" t="str">
        <f>IF(OR($A255="F&amp;F",$G255=""),"",IF(R$8&gt;$G255,IF(OR(status1B5!S255=1,status1B5!S255=2,'BOULEVARD 5'!U253&gt;0),"Pagado","impago"),""))</f>
        <v>Pagado</v>
      </c>
      <c r="S255" s="666" t="str">
        <f>IF(OR($A255="F&amp;F",$G255=""),"",IF(S$8&gt;$G255,IF(OR(status1B5!T255=1,status1B5!T255=2,'BOULEVARD 5'!V253&gt;0),"Pagado","impago"),""))</f>
        <v>Pagado</v>
      </c>
      <c r="T255" s="666" t="str">
        <f>IF(OR($A255="F&amp;F",$G255=""),"",IF(T$8&gt;$G255,IF(OR(status1B5!U255=1,status1B5!U255=2,'BOULEVARD 5'!W253&gt;0),"Pagado","impago"),""))</f>
        <v>Pagado</v>
      </c>
      <c r="U255" s="666" t="str">
        <f>IF(OR($A255="F&amp;F",$G255=""),"",IF(U$8&gt;$G255,IF(OR(status1B5!V255=1,status1B5!V255=2,'BOULEVARD 5'!X253&gt;0),"Pagado","impago"),""))</f>
        <v>Pagado</v>
      </c>
      <c r="V255" s="666" t="str">
        <f>IF(OR($A255="F&amp;F",$G255=""),"",IF(V$8&gt;$G255,IF(OR(status1B5!W255=1,status1B5!W255=2,'BOULEVARD 5'!Y253&gt;0),"Pagado","impago"),""))</f>
        <v>Pagado</v>
      </c>
      <c r="W255" s="666" t="str">
        <f>IF(OR($A255="F&amp;F",$G255=""),"",IF(W$8&gt;$G255,IF(OR(status1B5!X255=1,status1B5!X255=2,'BOULEVARD 5'!Z253&gt;0),"Pagado","impago"),""))</f>
        <v>Pagado</v>
      </c>
      <c r="X255" s="666" t="str">
        <f>IF(OR($A255="F&amp;F",$G255=""),"",IF(X$8&gt;$G255,IF(OR(status1B5!Y255=1,status1B5!Y255=2,'BOULEVARD 5'!AA253&gt;0),"Pagado","impago"),""))</f>
        <v>Pagado</v>
      </c>
      <c r="Y255" s="666" t="str">
        <f>IF(OR($A255="F&amp;F",$G255=""),"",IF(Y$8&gt;$G255,IF(OR(status1B5!Z255=1,status1B5!Z255=2,'BOULEVARD 5'!AB253&gt;0),"Pagado","impago"),""))</f>
        <v>Pagado</v>
      </c>
      <c r="Z255" s="666" t="str">
        <f>IF(OR($A255="F&amp;F",$G255=""),"",IF(Z$8&gt;$G255,IF(OR(status1B5!AA255=1,status1B5!AA255=2,'BOULEVARD 5'!AC253&gt;0),"Pagado","impago"),""))</f>
        <v>Pagado</v>
      </c>
      <c r="AA255" s="666" t="str">
        <f>IF(OR($A255="F&amp;F",$G255=""),"",IF(AA$8&gt;$G255,IF(OR(status1B5!AB255=1,status1B5!AB255=2,'BOULEVARD 5'!AD253&gt;0),"Pagado","impago"),""))</f>
        <v>Pagado</v>
      </c>
      <c r="AB255" s="666" t="str">
        <f>IF(OR($A255="F&amp;F",$G255=""),"",IF(AB$8&gt;$G255,IF(OR(status1B5!AC255=1,status1B5!AC255=2,'BOULEVARD 5'!AE253&gt;0),"Pagado","impago"),""))</f>
        <v>Pagado</v>
      </c>
      <c r="AC255" s="666" t="str">
        <f>IF(OR($A255="F&amp;F",$G255=""),"",IF(AC$8&gt;$G255,IF(OR(status1B5!AD255=1,status1B5!AD255=2,'BOULEVARD 5'!AF253&gt;0),"Pagado","impago"),""))</f>
        <v>Pagado</v>
      </c>
      <c r="AD255" s="666" t="str">
        <f>IF(OR($A255="F&amp;F",$G255=""),"",IF(AD$8&gt;$G255,IF(OR(status1B5!AE255=1,status1B5!AE255=2,'BOULEVARD 5'!AG253&gt;0),"Pagado","impago"),""))</f>
        <v>Pagado</v>
      </c>
      <c r="AE255" s="666" t="str">
        <f>IF(OR($A255="F&amp;F",$G255=""),"",IF(AE$8&gt;$G255,IF(OR(status1B5!AF255=1,status1B5!AF255=2,'BOULEVARD 5'!AH253&gt;0),"Pagado","impago"),""))</f>
        <v>Pagado</v>
      </c>
      <c r="AF255" s="666" t="str">
        <f>IF(OR($A255="F&amp;F",$G255=""),"",IF(AF$8&gt;$G255,IF(OR(status1B5!AG255=1,status1B5!AG255=2,'BOULEVARD 5'!AI253&gt;0),"Pagado","impago"),""))</f>
        <v>Pagado</v>
      </c>
      <c r="AG255" s="666" t="str">
        <f>IF(OR($A255="F&amp;F",$G255=""),"",IF(AG$8&gt;$G255,IF(OR(status1B5!AH255=1,status1B5!AH255=2,'BOULEVARD 5'!AJ253&gt;0),"Pagado","impago"),""))</f>
        <v>Pagado</v>
      </c>
      <c r="AH255" s="666" t="str">
        <f>IF(OR($A255="F&amp;F",$G255=""),"",IF(AH$8&gt;$G255,IF(OR(status1B5!AI255=1,status1B5!AI255=2,'BOULEVARD 5'!AK253&gt;0),"Pagado","impago"),""))</f>
        <v>Pagado</v>
      </c>
      <c r="AI255" s="666" t="str">
        <f>IF(OR($A255="F&amp;F",$G255=""),"",IF(AI$8&gt;$G255,IF(OR(status1B5!AJ255=1,status1B5!AJ255=2,'BOULEVARD 5'!AL253&gt;0),"Pagado","impago"),""))</f>
        <v>Pagado</v>
      </c>
      <c r="AJ255" s="666" t="str">
        <f>IF(OR($A255="F&amp;F",$G255=""),"",IF(AJ$8&gt;$G255,IF(OR(status1B5!AK255=1,status1B5!AK255=2,'BOULEVARD 5'!AM253&gt;0),"Pagado","impago"),""))</f>
        <v>Pagado</v>
      </c>
      <c r="AK255" s="666" t="str">
        <f>IF(OR($A255="F&amp;F",$G255=""),"",IF(AK$8&gt;$G255,IF(OR(status1B5!AL255=1,status1B5!AL255=2,'BOULEVARD 5'!AN253&gt;0),"Pagado","impago"),""))</f>
        <v>Pagado</v>
      </c>
      <c r="AL255" s="666" t="str">
        <f>IF(OR($A255="F&amp;F",$G255=""),"",IF(AL$8&gt;$G255,IF(OR(status1B5!AM255=1,status1B5!AM255=2,'BOULEVARD 5'!AO253&gt;0),"Pagado","impago"),""))</f>
        <v>Pagado</v>
      </c>
      <c r="AM255" s="666" t="str">
        <f>IF(OR($A255="F&amp;F",$G255=""),"",IF(AM$8&gt;$G255,IF(OR(status1B5!AN255=1,status1B5!AN255=2,'BOULEVARD 5'!AP253&gt;0),"Pagado","impago"),""))</f>
        <v>Pagado</v>
      </c>
      <c r="AN255" s="666" t="str">
        <f>IF(OR($A255="F&amp;F",$G255=""),"",IF(AN$8&gt;$G255,IF(OR(status1B5!AO255=1,status1B5!AO255=2,'BOULEVARD 5'!AQ253&gt;0),"Pagado","impago"),""))</f>
        <v>Pagado</v>
      </c>
      <c r="AO255" s="666" t="str">
        <f>IF(OR($A255="F&amp;F",$G255=""),"",IF(AO$8&gt;$G255,IF(OR(status1B5!AP255=1,status1B5!AP255=2,'BOULEVARD 5'!AS253&gt;0),"Pagado","impago"),""))</f>
        <v>Pagado</v>
      </c>
      <c r="AP255" s="429" t="str">
        <f t="shared" si="8"/>
        <v>Vendido</v>
      </c>
    </row>
    <row r="256" spans="1:42" s="429" customFormat="1" ht="13.9" customHeight="1" x14ac:dyDescent="0.25">
      <c r="A256" s="472" t="s">
        <v>58</v>
      </c>
      <c r="B256" s="475">
        <f>'BOULEVARD 5'!B254</f>
        <v>1407</v>
      </c>
      <c r="C256" s="475" t="s">
        <v>355</v>
      </c>
      <c r="D256" s="475"/>
      <c r="E256" s="475" t="str">
        <f>IF('BOULEVARD 5'!E254="","",'BOULEVARD 5'!E254)</f>
        <v>Ronaldo</v>
      </c>
      <c r="F256" s="476" t="str">
        <f>IF('BOULEVARD 5'!F254="","",'BOULEVARD 5'!F254)</f>
        <v>José Herrera Pérez</v>
      </c>
      <c r="G256" s="473">
        <f>IF('BOULEVARD 5'!G254="","",'BOULEVARD 5'!G254)</f>
        <v>45336</v>
      </c>
      <c r="H256" s="666" t="str">
        <f>IF(OR($A256="F&amp;F",$G256=""),"",IF(H$8&gt;$G256,IF(OR(status1B5!I256=1,status1B5!I256=2,'BOULEVARD 5'!K254&gt;0),"Pagado","impago"),""))</f>
        <v/>
      </c>
      <c r="I256" s="666" t="str">
        <f>IF(OR($A256="F&amp;F",$G256=""),"",IF(I$8&gt;$G256,IF(OR(status1B5!J256=1,status1B5!J256=2,'BOULEVARD 5'!L254&gt;0),"Pagado","impago"),""))</f>
        <v/>
      </c>
      <c r="J256" s="666" t="str">
        <f>IF(OR($A256="F&amp;F",$G256=""),"",IF(J$8&gt;$G256,IF(OR(status1B5!K256=1,status1B5!K256=2,'BOULEVARD 5'!M254&gt;0),"Pagado","impago"),""))</f>
        <v/>
      </c>
      <c r="K256" s="666" t="str">
        <f>IF(OR($A256="F&amp;F",$G256=""),"",IF(K$8&gt;$G256,IF(OR(status1B5!L256=1,status1B5!L256=2,'BOULEVARD 5'!N254&gt;0),"Pagado","impago"),""))</f>
        <v/>
      </c>
      <c r="L256" s="666" t="str">
        <f>IF(OR($A256="F&amp;F",$G256=""),"",IF(L$8&gt;$G256,IF(OR(status1B5!M256=1,status1B5!M256=2,'BOULEVARD 5'!O254&gt;0),"Pagado","impago"),""))</f>
        <v/>
      </c>
      <c r="M256" s="666" t="str">
        <f>IF(OR($A256="F&amp;F",$G256=""),"",IF(M$8&gt;$G256,IF(OR(status1B5!N256=1,status1B5!N256=2,'BOULEVARD 5'!P254&gt;0),"Pagado","impago"),""))</f>
        <v/>
      </c>
      <c r="N256" s="666" t="str">
        <f>IF(OR($A256="F&amp;F",$G256=""),"",IF(N$8&gt;$G256,IF(OR(status1B5!O256=1,status1B5!O256=2,'BOULEVARD 5'!Q254&gt;0),"Pagado","impago"),""))</f>
        <v/>
      </c>
      <c r="O256" s="666" t="str">
        <f>IF(OR($A256="F&amp;F",$G256=""),"",IF(O$8&gt;$G256,IF(OR(status1B5!P256=1,status1B5!P256=2,'BOULEVARD 5'!R254&gt;0),"Pagado","impago"),""))</f>
        <v/>
      </c>
      <c r="P256" s="666" t="str">
        <f>IF(OR($A256="F&amp;F",$G256=""),"",IF(P$8&gt;$G256,IF(OR(status1B5!Q256=1,status1B5!Q256=2,'BOULEVARD 5'!S254&gt;0),"Pagado","impago"),""))</f>
        <v/>
      </c>
      <c r="Q256" s="666" t="str">
        <f>IF(OR($A256="F&amp;F",$G256=""),"",IF(Q$8&gt;$G256,IF(OR(status1B5!R256=1,status1B5!R256=2,'BOULEVARD 5'!T254&gt;0),"Pagado","impago"),""))</f>
        <v/>
      </c>
      <c r="R256" s="666" t="str">
        <f>IF(OR($A256="F&amp;F",$G256=""),"",IF(R$8&gt;$G256,IF(OR(status1B5!S256=1,status1B5!S256=2,'BOULEVARD 5'!U254&gt;0),"Pagado","impago"),""))</f>
        <v/>
      </c>
      <c r="S256" s="666" t="str">
        <f>IF(OR($A256="F&amp;F",$G256=""),"",IF(S$8&gt;$G256,IF(OR(status1B5!T256=1,status1B5!T256=2,'BOULEVARD 5'!V254&gt;0),"Pagado","impago"),""))</f>
        <v/>
      </c>
      <c r="T256" s="666" t="str">
        <f>IF(OR($A256="F&amp;F",$G256=""),"",IF(T$8&gt;$G256,IF(OR(status1B5!U256=1,status1B5!U256=2,'BOULEVARD 5'!W254&gt;0),"Pagado","impago"),""))</f>
        <v/>
      </c>
      <c r="U256" s="666" t="str">
        <f>IF(OR($A256="F&amp;F",$G256=""),"",IF(U$8&gt;$G256,IF(OR(status1B5!V256=1,status1B5!V256=2,'BOULEVARD 5'!X254&gt;0),"Pagado","impago"),""))</f>
        <v/>
      </c>
      <c r="V256" s="666" t="str">
        <f>IF(OR($A256="F&amp;F",$G256=""),"",IF(V$8&gt;$G256,IF(OR(status1B5!W256=1,status1B5!W256=2,'BOULEVARD 5'!Y254&gt;0),"Pagado","impago"),""))</f>
        <v/>
      </c>
      <c r="W256" s="666" t="str">
        <f>IF(OR($A256="F&amp;F",$G256=""),"",IF(W$8&gt;$G256,IF(OR(status1B5!X256=1,status1B5!X256=2,'BOULEVARD 5'!Z254&gt;0),"Pagado","impago"),""))</f>
        <v/>
      </c>
      <c r="X256" s="666" t="str">
        <f>IF(OR($A256="F&amp;F",$G256=""),"",IF(X$8&gt;$G256,IF(OR(status1B5!Y256=1,status1B5!Y256=2,'BOULEVARD 5'!AA254&gt;0),"Pagado","impago"),""))</f>
        <v/>
      </c>
      <c r="Y256" s="666" t="str">
        <f>IF(OR($A256="F&amp;F",$G256=""),"",IF(Y$8&gt;$G256,IF(OR(status1B5!Z256=1,status1B5!Z256=2,'BOULEVARD 5'!AB254&gt;0),"Pagado","impago"),""))</f>
        <v/>
      </c>
      <c r="Z256" s="666" t="str">
        <f>IF(OR($A256="F&amp;F",$G256=""),"",IF(Z$8&gt;$G256,IF(OR(status1B5!AA256=1,status1B5!AA256=2,'BOULEVARD 5'!AC254&gt;0),"Pagado","impago"),""))</f>
        <v/>
      </c>
      <c r="AA256" s="666" t="str">
        <f>IF(OR($A256="F&amp;F",$G256=""),"",IF(AA$8&gt;$G256,IF(OR(status1B5!AB256=1,status1B5!AB256=2,'BOULEVARD 5'!AD254&gt;0),"Pagado","impago"),""))</f>
        <v/>
      </c>
      <c r="AB256" s="666" t="str">
        <f>IF(OR($A256="F&amp;F",$G256=""),"",IF(AB$8&gt;$G256,IF(OR(status1B5!AC256=1,status1B5!AC256=2,'BOULEVARD 5'!AE254&gt;0),"Pagado","impago"),""))</f>
        <v/>
      </c>
      <c r="AC256" s="666" t="str">
        <f>IF(OR($A256="F&amp;F",$G256=""),"",IF(AC$8&gt;$G256,IF(OR(status1B5!AD256=1,status1B5!AD256=2,'BOULEVARD 5'!AF254&gt;0),"Pagado","impago"),""))</f>
        <v/>
      </c>
      <c r="AD256" s="666" t="str">
        <f>IF(OR($A256="F&amp;F",$G256=""),"",IF(AD$8&gt;$G256,IF(OR(status1B5!AE256=1,status1B5!AE256=2,'BOULEVARD 5'!AG254&gt;0),"Pagado","impago"),""))</f>
        <v/>
      </c>
      <c r="AE256" s="666" t="str">
        <f>IF(OR($A256="F&amp;F",$G256=""),"",IF(AE$8&gt;$G256,IF(OR(status1B5!AF256=1,status1B5!AF256=2,'BOULEVARD 5'!AH254&gt;0),"Pagado","impago"),""))</f>
        <v/>
      </c>
      <c r="AF256" s="666" t="str">
        <f>IF(OR($A256="F&amp;F",$G256=""),"",IF(AF$8&gt;$G256,IF(OR(status1B5!AG256=1,status1B5!AG256=2,'BOULEVARD 5'!AI254&gt;0),"Pagado","impago"),""))</f>
        <v/>
      </c>
      <c r="AG256" s="666" t="str">
        <f>IF(OR($A256="F&amp;F",$G256=""),"",IF(AG$8&gt;$G256,IF(OR(status1B5!AH256=1,status1B5!AH256=2,'BOULEVARD 5'!AJ254&gt;0),"Pagado","impago"),""))</f>
        <v/>
      </c>
      <c r="AH256" s="666" t="str">
        <f>IF(OR($A256="F&amp;F",$G256=""),"",IF(AH$8&gt;$G256,IF(OR(status1B5!AI256=1,status1B5!AI256=2,'BOULEVARD 5'!AK254&gt;0),"Pagado","impago"),""))</f>
        <v/>
      </c>
      <c r="AI256" s="666" t="str">
        <f>IF(OR($A256="F&amp;F",$G256=""),"",IF(AI$8&gt;$G256,IF(OR(status1B5!AJ256=1,status1B5!AJ256=2,'BOULEVARD 5'!AL254&gt;0),"Pagado","impago"),""))</f>
        <v/>
      </c>
      <c r="AJ256" s="666" t="str">
        <f>IF(OR($A256="F&amp;F",$G256=""),"",IF(AJ$8&gt;$G256,IF(OR(status1B5!AK256=1,status1B5!AK256=2,'BOULEVARD 5'!AM254&gt;0),"Pagado","impago"),""))</f>
        <v/>
      </c>
      <c r="AK256" s="666" t="str">
        <f>IF(OR($A256="F&amp;F",$G256=""),"",IF(AK$8&gt;$G256,IF(OR(status1B5!AL256=1,status1B5!AL256=2,'BOULEVARD 5'!AN254&gt;0),"Pagado","impago"),""))</f>
        <v/>
      </c>
      <c r="AL256" s="666" t="str">
        <f>IF(OR($A256="F&amp;F",$G256=""),"",IF(AL$8&gt;$G256,IF(OR(status1B5!AM256=1,status1B5!AM256=2,'BOULEVARD 5'!AO254&gt;0),"Pagado","impago"),""))</f>
        <v/>
      </c>
      <c r="AM256" s="666" t="str">
        <f>IF(OR($A256="F&amp;F",$G256=""),"",IF(AM$8&gt;$G256,IF(OR(status1B5!AN256=1,status1B5!AN256=2,'BOULEVARD 5'!AP254&gt;0),"Pagado","impago"),""))</f>
        <v/>
      </c>
      <c r="AN256" s="666" t="str">
        <f>IF(OR($A256="F&amp;F",$G256=""),"",IF(AN$8&gt;$G256,IF(OR(status1B5!AO256=1,status1B5!AO256=2,'BOULEVARD 5'!AQ254&gt;0),"Pagado","impago"),""))</f>
        <v/>
      </c>
      <c r="AO256" s="666" t="str">
        <f>IF(OR($A256="F&amp;F",$G256=""),"",IF(AO$8&gt;$G256,IF(OR(status1B5!AP256=1,status1B5!AP256=2,'BOULEVARD 5'!AS254&gt;0),"Pagado","impago"),""))</f>
        <v/>
      </c>
      <c r="AP256" s="429" t="str">
        <f t="shared" si="8"/>
        <v>Vendido</v>
      </c>
    </row>
    <row r="257" spans="1:42" s="429" customFormat="1" ht="13.9" customHeight="1" x14ac:dyDescent="0.25">
      <c r="B257" s="436">
        <f>'BOULEVARD 5'!B255</f>
        <v>1408</v>
      </c>
      <c r="C257" s="436" t="s">
        <v>355</v>
      </c>
      <c r="D257" s="436"/>
      <c r="E257" s="436" t="str">
        <f>IF('BOULEVARD 5'!E255="","",'BOULEVARD 5'!E255)</f>
        <v>Erwin Cardona</v>
      </c>
      <c r="F257" s="429" t="str">
        <f>IF('BOULEVARD 5'!F255="","",'BOULEVARD 5'!F255)</f>
        <v>GUILLERMO ALFREDO SAENZ DE TEJADA VILLEDA</v>
      </c>
      <c r="G257" s="473">
        <f>IF('BOULEVARD 5'!G255="","",'BOULEVARD 5'!G255)</f>
        <v>46027</v>
      </c>
      <c r="H257" s="666" t="str">
        <f>IF(OR($A257="F&amp;F",$G257=""),"",IF(H$8&gt;$G257,IF(OR(status1B5!I257=1,status1B5!I257=2,'BOULEVARD 5'!K255&gt;0),"Pagado","impago"),""))</f>
        <v/>
      </c>
      <c r="I257" s="666" t="str">
        <f>IF(OR($A257="F&amp;F",$G257=""),"",IF(I$8&gt;$G257,IF(OR(status1B5!J257=1,status1B5!J257=2,'BOULEVARD 5'!L255&gt;0),"Pagado","impago"),""))</f>
        <v/>
      </c>
      <c r="J257" s="666" t="str">
        <f>IF(OR($A257="F&amp;F",$G257=""),"",IF(J$8&gt;$G257,IF(OR(status1B5!K257=1,status1B5!K257=2,'BOULEVARD 5'!M255&gt;0),"Pagado","impago"),""))</f>
        <v/>
      </c>
      <c r="K257" s="666" t="str">
        <f>IF(OR($A257="F&amp;F",$G257=""),"",IF(K$8&gt;$G257,IF(OR(status1B5!L257=1,status1B5!L257=2,'BOULEVARD 5'!N255&gt;0),"Pagado","impago"),""))</f>
        <v/>
      </c>
      <c r="L257" s="666" t="str">
        <f>IF(OR($A257="F&amp;F",$G257=""),"",IF(L$8&gt;$G257,IF(OR(status1B5!M257=1,status1B5!M257=2,'BOULEVARD 5'!O255&gt;0),"Pagado","impago"),""))</f>
        <v/>
      </c>
      <c r="M257" s="666" t="str">
        <f>IF(OR($A257="F&amp;F",$G257=""),"",IF(M$8&gt;$G257,IF(OR(status1B5!N257=1,status1B5!N257=2,'BOULEVARD 5'!P255&gt;0),"Pagado","impago"),""))</f>
        <v/>
      </c>
      <c r="N257" s="666" t="str">
        <f>IF(OR($A257="F&amp;F",$G257=""),"",IF(N$8&gt;$G257,IF(OR(status1B5!O257=1,status1B5!O257=2,'BOULEVARD 5'!Q255&gt;0),"Pagado","impago"),""))</f>
        <v/>
      </c>
      <c r="O257" s="666" t="str">
        <f>IF(OR($A257="F&amp;F",$G257=""),"",IF(O$8&gt;$G257,IF(OR(status1B5!P257=1,status1B5!P257=2,'BOULEVARD 5'!R255&gt;0),"Pagado","impago"),""))</f>
        <v/>
      </c>
      <c r="P257" s="666" t="str">
        <f>IF(OR($A257="F&amp;F",$G257=""),"",IF(P$8&gt;$G257,IF(OR(status1B5!Q257=1,status1B5!Q257=2,'BOULEVARD 5'!S255&gt;0),"Pagado","impago"),""))</f>
        <v/>
      </c>
      <c r="Q257" s="666" t="str">
        <f>IF(OR($A257="F&amp;F",$G257=""),"",IF(Q$8&gt;$G257,IF(OR(status1B5!R257=1,status1B5!R257=2,'BOULEVARD 5'!T255&gt;0),"Pagado","impago"),""))</f>
        <v/>
      </c>
      <c r="R257" s="666" t="str">
        <f>IF(OR($A257="F&amp;F",$G257=""),"",IF(R$8&gt;$G257,IF(OR(status1B5!S257=1,status1B5!S257=2,'BOULEVARD 5'!U255&gt;0),"Pagado","impago"),""))</f>
        <v/>
      </c>
      <c r="S257" s="666" t="str">
        <f>IF(OR($A257="F&amp;F",$G257=""),"",IF(S$8&gt;$G257,IF(OR(status1B5!T257=1,status1B5!T257=2,'BOULEVARD 5'!V255&gt;0),"Pagado","impago"),""))</f>
        <v/>
      </c>
      <c r="T257" s="666" t="str">
        <f>IF(OR($A257="F&amp;F",$G257=""),"",IF(T$8&gt;$G257,IF(OR(status1B5!U257=1,status1B5!U257=2,'BOULEVARD 5'!W255&gt;0),"Pagado","impago"),""))</f>
        <v/>
      </c>
      <c r="U257" s="666" t="str">
        <f>IF(OR($A257="F&amp;F",$G257=""),"",IF(U$8&gt;$G257,IF(OR(status1B5!V257=1,status1B5!V257=2,'BOULEVARD 5'!X255&gt;0),"Pagado","impago"),""))</f>
        <v/>
      </c>
      <c r="V257" s="666" t="str">
        <f>IF(OR($A257="F&amp;F",$G257=""),"",IF(V$8&gt;$G257,IF(OR(status1B5!W257=1,status1B5!W257=2,'BOULEVARD 5'!Y255&gt;0),"Pagado","impago"),""))</f>
        <v/>
      </c>
      <c r="W257" s="666" t="str">
        <f>IF(OR($A257="F&amp;F",$G257=""),"",IF(W$8&gt;$G257,IF(OR(status1B5!X257=1,status1B5!X257=2,'BOULEVARD 5'!Z255&gt;0),"Pagado","impago"),""))</f>
        <v/>
      </c>
      <c r="X257" s="666" t="str">
        <f>IF(OR($A257="F&amp;F",$G257=""),"",IF(X$8&gt;$G257,IF(OR(status1B5!Y257=1,status1B5!Y257=2,'BOULEVARD 5'!AA255&gt;0),"Pagado","impago"),""))</f>
        <v/>
      </c>
      <c r="Y257" s="666" t="str">
        <f>IF(OR($A257="F&amp;F",$G257=""),"",IF(Y$8&gt;$G257,IF(OR(status1B5!Z257=1,status1B5!Z257=2,'BOULEVARD 5'!AB255&gt;0),"Pagado","impago"),""))</f>
        <v/>
      </c>
      <c r="Z257" s="666" t="str">
        <f>IF(OR($A257="F&amp;F",$G257=""),"",IF(Z$8&gt;$G257,IF(OR(status1B5!AA257=1,status1B5!AA257=2,'BOULEVARD 5'!AC255&gt;0),"Pagado","impago"),""))</f>
        <v/>
      </c>
      <c r="AA257" s="666" t="str">
        <f>IF(OR($A257="F&amp;F",$G257=""),"",IF(AA$8&gt;$G257,IF(OR(status1B5!AB257=1,status1B5!AB257=2,'BOULEVARD 5'!AD255&gt;0),"Pagado","impago"),""))</f>
        <v/>
      </c>
      <c r="AB257" s="666" t="str">
        <f>IF(OR($A257="F&amp;F",$G257=""),"",IF(AB$8&gt;$G257,IF(OR(status1B5!AC257=1,status1B5!AC257=2,'BOULEVARD 5'!AE255&gt;0),"Pagado","impago"),""))</f>
        <v/>
      </c>
      <c r="AC257" s="666" t="str">
        <f>IF(OR($A257="F&amp;F",$G257=""),"",IF(AC$8&gt;$G257,IF(OR(status1B5!AD257=1,status1B5!AD257=2,'BOULEVARD 5'!AF255&gt;0),"Pagado","impago"),""))</f>
        <v/>
      </c>
      <c r="AD257" s="666" t="str">
        <f>IF(OR($A257="F&amp;F",$G257=""),"",IF(AD$8&gt;$G257,IF(OR(status1B5!AE257=1,status1B5!AE257=2,'BOULEVARD 5'!AG255&gt;0),"Pagado","impago"),""))</f>
        <v/>
      </c>
      <c r="AE257" s="666" t="str">
        <f>IF(OR($A257="F&amp;F",$G257=""),"",IF(AE$8&gt;$G257,IF(OR(status1B5!AF257=1,status1B5!AF257=2,'BOULEVARD 5'!AH255&gt;0),"Pagado","impago"),""))</f>
        <v/>
      </c>
      <c r="AF257" s="666" t="str">
        <f>IF(OR($A257="F&amp;F",$G257=""),"",IF(AF$8&gt;$G257,IF(OR(status1B5!AG257=1,status1B5!AG257=2,'BOULEVARD 5'!AI255&gt;0),"Pagado","impago"),""))</f>
        <v/>
      </c>
      <c r="AG257" s="666" t="str">
        <f>IF(OR($A257="F&amp;F",$G257=""),"",IF(AG$8&gt;$G257,IF(OR(status1B5!AH257=1,status1B5!AH257=2,'BOULEVARD 5'!AJ255&gt;0),"Pagado","impago"),""))</f>
        <v/>
      </c>
      <c r="AH257" s="666" t="str">
        <f>IF(OR($A257="F&amp;F",$G257=""),"",IF(AH$8&gt;$G257,IF(OR(status1B5!AI257=1,status1B5!AI257=2,'BOULEVARD 5'!AK255&gt;0),"Pagado","impago"),""))</f>
        <v/>
      </c>
      <c r="AI257" s="666" t="str">
        <f>IF(OR($A257="F&amp;F",$G257=""),"",IF(AI$8&gt;$G257,IF(OR(status1B5!AJ257=1,status1B5!AJ257=2,'BOULEVARD 5'!AL255&gt;0),"Pagado","impago"),""))</f>
        <v/>
      </c>
      <c r="AJ257" s="666" t="str">
        <f>IF(OR($A257="F&amp;F",$G257=""),"",IF(AJ$8&gt;$G257,IF(OR(status1B5!AK257=1,status1B5!AK257=2,'BOULEVARD 5'!AM255&gt;0),"Pagado","impago"),""))</f>
        <v/>
      </c>
      <c r="AK257" s="666" t="str">
        <f>IF(OR($A257="F&amp;F",$G257=""),"",IF(AK$8&gt;$G257,IF(OR(status1B5!AL257=1,status1B5!AL257=2,'BOULEVARD 5'!AN255&gt;0),"Pagado","impago"),""))</f>
        <v/>
      </c>
      <c r="AL257" s="666" t="str">
        <f>IF(OR($A257="F&amp;F",$G257=""),"",IF(AL$8&gt;$G257,IF(OR(status1B5!AM257=1,status1B5!AM257=2,'BOULEVARD 5'!AO255&gt;0),"Pagado","impago"),""))</f>
        <v/>
      </c>
      <c r="AM257" s="666" t="str">
        <f>IF(OR($A257="F&amp;F",$G257=""),"",IF(AM$8&gt;$G257,IF(OR(status1B5!AN257=1,status1B5!AN257=2,'BOULEVARD 5'!AP255&gt;0),"Pagado","impago"),""))</f>
        <v/>
      </c>
      <c r="AN257" s="666" t="str">
        <f>IF(OR($A257="F&amp;F",$G257=""),"",IF(AN$8&gt;$G257,IF(OR(status1B5!AO257=1,status1B5!AO257=2,'BOULEVARD 5'!AQ255&gt;0),"Pagado","impago"),""))</f>
        <v/>
      </c>
      <c r="AO257" s="666" t="str">
        <f>IF(OR($A257="F&amp;F",$G257=""),"",IF(AO$8&gt;$G257,IF(OR(status1B5!AP257=1,status1B5!AP257=2,'BOULEVARD 5'!AS255&gt;0),"Pagado","impago"),""))</f>
        <v/>
      </c>
      <c r="AP257" s="429" t="str">
        <f t="shared" si="8"/>
        <v>Vendido</v>
      </c>
    </row>
    <row r="258" spans="1:42" s="429" customFormat="1" ht="13.9" customHeight="1" x14ac:dyDescent="0.25">
      <c r="A258" s="472" t="s">
        <v>58</v>
      </c>
      <c r="B258" s="475">
        <f>'BOULEVARD 5'!B256</f>
        <v>1409</v>
      </c>
      <c r="C258" s="475" t="s">
        <v>355</v>
      </c>
      <c r="D258" s="475"/>
      <c r="E258" s="475" t="str">
        <f>IF('BOULEVARD 5'!E256="","",'BOULEVARD 5'!E256)</f>
        <v>Ronaldo</v>
      </c>
      <c r="F258" s="476" t="str">
        <f>IF('BOULEVARD 5'!F256="","",'BOULEVARD 5'!F256)</f>
        <v>International Coffee Industry, S.A</v>
      </c>
      <c r="G258" s="473">
        <f>IF('BOULEVARD 5'!G256="","",'BOULEVARD 5'!G256)</f>
        <v>45300</v>
      </c>
      <c r="H258" s="666" t="str">
        <f>IF(OR($A258="F&amp;F",$G258=""),"",IF(H$8&gt;$G258,IF(OR(status1B5!I258=1,status1B5!I258=2,'BOULEVARD 5'!K256&gt;0),"Pagado","impago"),""))</f>
        <v/>
      </c>
      <c r="I258" s="666" t="str">
        <f>IF(OR($A258="F&amp;F",$G258=""),"",IF(I$8&gt;$G258,IF(OR(status1B5!J258=1,status1B5!J258=2,'BOULEVARD 5'!L256&gt;0),"Pagado","impago"),""))</f>
        <v/>
      </c>
      <c r="J258" s="666" t="str">
        <f>IF(OR($A258="F&amp;F",$G258=""),"",IF(J$8&gt;$G258,IF(OR(status1B5!K258=1,status1B5!K258=2,'BOULEVARD 5'!M256&gt;0),"Pagado","impago"),""))</f>
        <v/>
      </c>
      <c r="K258" s="666" t="str">
        <f>IF(OR($A258="F&amp;F",$G258=""),"",IF(K$8&gt;$G258,IF(OR(status1B5!L258=1,status1B5!L258=2,'BOULEVARD 5'!N256&gt;0),"Pagado","impago"),""))</f>
        <v/>
      </c>
      <c r="L258" s="666" t="str">
        <f>IF(OR($A258="F&amp;F",$G258=""),"",IF(L$8&gt;$G258,IF(OR(status1B5!M258=1,status1B5!M258=2,'BOULEVARD 5'!O256&gt;0),"Pagado","impago"),""))</f>
        <v/>
      </c>
      <c r="M258" s="666" t="str">
        <f>IF(OR($A258="F&amp;F",$G258=""),"",IF(M$8&gt;$G258,IF(OR(status1B5!N258=1,status1B5!N258=2,'BOULEVARD 5'!P256&gt;0),"Pagado","impago"),""))</f>
        <v/>
      </c>
      <c r="N258" s="666" t="str">
        <f>IF(OR($A258="F&amp;F",$G258=""),"",IF(N$8&gt;$G258,IF(OR(status1B5!O258=1,status1B5!O258=2,'BOULEVARD 5'!Q256&gt;0),"Pagado","impago"),""))</f>
        <v/>
      </c>
      <c r="O258" s="666" t="str">
        <f>IF(OR($A258="F&amp;F",$G258=""),"",IF(O$8&gt;$G258,IF(OR(status1B5!P258=1,status1B5!P258=2,'BOULEVARD 5'!R256&gt;0),"Pagado","impago"),""))</f>
        <v/>
      </c>
      <c r="P258" s="666" t="str">
        <f>IF(OR($A258="F&amp;F",$G258=""),"",IF(P$8&gt;$G258,IF(OR(status1B5!Q258=1,status1B5!Q258=2,'BOULEVARD 5'!S256&gt;0),"Pagado","impago"),""))</f>
        <v/>
      </c>
      <c r="Q258" s="666" t="str">
        <f>IF(OR($A258="F&amp;F",$G258=""),"",IF(Q$8&gt;$G258,IF(OR(status1B5!R258=1,status1B5!R258=2,'BOULEVARD 5'!T256&gt;0),"Pagado","impago"),""))</f>
        <v/>
      </c>
      <c r="R258" s="666" t="str">
        <f>IF(OR($A258="F&amp;F",$G258=""),"",IF(R$8&gt;$G258,IF(OR(status1B5!S258=1,status1B5!S258=2,'BOULEVARD 5'!U256&gt;0),"Pagado","impago"),""))</f>
        <v/>
      </c>
      <c r="S258" s="666" t="str">
        <f>IF(OR($A258="F&amp;F",$G258=""),"",IF(S$8&gt;$G258,IF(OR(status1B5!T258=1,status1B5!T258=2,'BOULEVARD 5'!V256&gt;0),"Pagado","impago"),""))</f>
        <v/>
      </c>
      <c r="T258" s="666" t="str">
        <f>IF(OR($A258="F&amp;F",$G258=""),"",IF(T$8&gt;$G258,IF(OR(status1B5!U258=1,status1B5!U258=2,'BOULEVARD 5'!W256&gt;0),"Pagado","impago"),""))</f>
        <v/>
      </c>
      <c r="U258" s="666" t="str">
        <f>IF(OR($A258="F&amp;F",$G258=""),"",IF(U$8&gt;$G258,IF(OR(status1B5!V258=1,status1B5!V258=2,'BOULEVARD 5'!X256&gt;0),"Pagado","impago"),""))</f>
        <v/>
      </c>
      <c r="V258" s="666" t="str">
        <f>IF(OR($A258="F&amp;F",$G258=""),"",IF(V$8&gt;$G258,IF(OR(status1B5!W258=1,status1B5!W258=2,'BOULEVARD 5'!Y256&gt;0),"Pagado","impago"),""))</f>
        <v/>
      </c>
      <c r="W258" s="666" t="str">
        <f>IF(OR($A258="F&amp;F",$G258=""),"",IF(W$8&gt;$G258,IF(OR(status1B5!X258=1,status1B5!X258=2,'BOULEVARD 5'!Z256&gt;0),"Pagado","impago"),""))</f>
        <v/>
      </c>
      <c r="X258" s="666" t="str">
        <f>IF(OR($A258="F&amp;F",$G258=""),"",IF(X$8&gt;$G258,IF(OR(status1B5!Y258=1,status1B5!Y258=2,'BOULEVARD 5'!AA256&gt;0),"Pagado","impago"),""))</f>
        <v/>
      </c>
      <c r="Y258" s="666" t="str">
        <f>IF(OR($A258="F&amp;F",$G258=""),"",IF(Y$8&gt;$G258,IF(OR(status1B5!Z258=1,status1B5!Z258=2,'BOULEVARD 5'!AB256&gt;0),"Pagado","impago"),""))</f>
        <v/>
      </c>
      <c r="Z258" s="666" t="str">
        <f>IF(OR($A258="F&amp;F",$G258=""),"",IF(Z$8&gt;$G258,IF(OR(status1B5!AA258=1,status1B5!AA258=2,'BOULEVARD 5'!AC256&gt;0),"Pagado","impago"),""))</f>
        <v/>
      </c>
      <c r="AA258" s="666" t="str">
        <f>IF(OR($A258="F&amp;F",$G258=""),"",IF(AA$8&gt;$G258,IF(OR(status1B5!AB258=1,status1B5!AB258=2,'BOULEVARD 5'!AD256&gt;0),"Pagado","impago"),""))</f>
        <v/>
      </c>
      <c r="AB258" s="666" t="str">
        <f>IF(OR($A258="F&amp;F",$G258=""),"",IF(AB$8&gt;$G258,IF(OR(status1B5!AC258=1,status1B5!AC258=2,'BOULEVARD 5'!AE256&gt;0),"Pagado","impago"),""))</f>
        <v/>
      </c>
      <c r="AC258" s="666" t="str">
        <f>IF(OR($A258="F&amp;F",$G258=""),"",IF(AC$8&gt;$G258,IF(OR(status1B5!AD258=1,status1B5!AD258=2,'BOULEVARD 5'!AF256&gt;0),"Pagado","impago"),""))</f>
        <v/>
      </c>
      <c r="AD258" s="666" t="str">
        <f>IF(OR($A258="F&amp;F",$G258=""),"",IF(AD$8&gt;$G258,IF(OR(status1B5!AE258=1,status1B5!AE258=2,'BOULEVARD 5'!AG256&gt;0),"Pagado","impago"),""))</f>
        <v/>
      </c>
      <c r="AE258" s="666" t="str">
        <f>IF(OR($A258="F&amp;F",$G258=""),"",IF(AE$8&gt;$G258,IF(OR(status1B5!AF258=1,status1B5!AF258=2,'BOULEVARD 5'!AH256&gt;0),"Pagado","impago"),""))</f>
        <v/>
      </c>
      <c r="AF258" s="666" t="str">
        <f>IF(OR($A258="F&amp;F",$G258=""),"",IF(AF$8&gt;$G258,IF(OR(status1B5!AG258=1,status1B5!AG258=2,'BOULEVARD 5'!AI256&gt;0),"Pagado","impago"),""))</f>
        <v/>
      </c>
      <c r="AG258" s="666" t="str">
        <f>IF(OR($A258="F&amp;F",$G258=""),"",IF(AG$8&gt;$G258,IF(OR(status1B5!AH258=1,status1B5!AH258=2,'BOULEVARD 5'!AJ256&gt;0),"Pagado","impago"),""))</f>
        <v/>
      </c>
      <c r="AH258" s="666" t="str">
        <f>IF(OR($A258="F&amp;F",$G258=""),"",IF(AH$8&gt;$G258,IF(OR(status1B5!AI258=1,status1B5!AI258=2,'BOULEVARD 5'!AK256&gt;0),"Pagado","impago"),""))</f>
        <v/>
      </c>
      <c r="AI258" s="666" t="str">
        <f>IF(OR($A258="F&amp;F",$G258=""),"",IF(AI$8&gt;$G258,IF(OR(status1B5!AJ258=1,status1B5!AJ258=2,'BOULEVARD 5'!AL256&gt;0),"Pagado","impago"),""))</f>
        <v/>
      </c>
      <c r="AJ258" s="666" t="str">
        <f>IF(OR($A258="F&amp;F",$G258=""),"",IF(AJ$8&gt;$G258,IF(OR(status1B5!AK258=1,status1B5!AK258=2,'BOULEVARD 5'!AM256&gt;0),"Pagado","impago"),""))</f>
        <v/>
      </c>
      <c r="AK258" s="666" t="str">
        <f>IF(OR($A258="F&amp;F",$G258=""),"",IF(AK$8&gt;$G258,IF(OR(status1B5!AL258=1,status1B5!AL258=2,'BOULEVARD 5'!AN256&gt;0),"Pagado","impago"),""))</f>
        <v/>
      </c>
      <c r="AL258" s="666" t="str">
        <f>IF(OR($A258="F&amp;F",$G258=""),"",IF(AL$8&gt;$G258,IF(OR(status1B5!AM258=1,status1B5!AM258=2,'BOULEVARD 5'!AO256&gt;0),"Pagado","impago"),""))</f>
        <v/>
      </c>
      <c r="AM258" s="666" t="str">
        <f>IF(OR($A258="F&amp;F",$G258=""),"",IF(AM$8&gt;$G258,IF(OR(status1B5!AN258=1,status1B5!AN258=2,'BOULEVARD 5'!AP256&gt;0),"Pagado","impago"),""))</f>
        <v/>
      </c>
      <c r="AN258" s="666" t="str">
        <f>IF(OR($A258="F&amp;F",$G258=""),"",IF(AN$8&gt;$G258,IF(OR(status1B5!AO258=1,status1B5!AO258=2,'BOULEVARD 5'!AQ256&gt;0),"Pagado","impago"),""))</f>
        <v/>
      </c>
      <c r="AO258" s="666" t="str">
        <f>IF(OR($A258="F&amp;F",$G258=""),"",IF(AO$8&gt;$G258,IF(OR(status1B5!AP258=1,status1B5!AP258=2,'BOULEVARD 5'!AS256&gt;0),"Pagado","impago"),""))</f>
        <v/>
      </c>
      <c r="AP258" s="429" t="str">
        <f t="shared" si="8"/>
        <v>Vendido</v>
      </c>
    </row>
    <row r="259" spans="1:42" s="429" customFormat="1" ht="13.9" customHeight="1" x14ac:dyDescent="0.25">
      <c r="A259" s="472"/>
      <c r="B259" s="436">
        <f>'BOULEVARD 5'!B257</f>
        <v>1410</v>
      </c>
      <c r="C259" s="436" t="s">
        <v>355</v>
      </c>
      <c r="D259" s="642"/>
      <c r="E259" s="436" t="str">
        <f>IF('BOULEVARD 5'!E257="","",'BOULEVARD 5'!E257)</f>
        <v>Antonio Rada</v>
      </c>
      <c r="F259" s="429" t="str">
        <f>IF('BOULEVARD 5'!F257="","",'BOULEVARD 5'!F257)</f>
        <v>Selvin Ramiro Gamez Perez</v>
      </c>
      <c r="G259" s="473">
        <f>IF('BOULEVARD 5'!G257="","",'BOULEVARD 5'!G257)</f>
        <v>45327</v>
      </c>
      <c r="H259" s="666" t="str">
        <f>IF(OR($A259="F&amp;F",$G259=""),"",IF(H$8&gt;$G259,IF(OR(status1B5!I259=1,status1B5!I259=2,'BOULEVARD 5'!K257&gt;0),"Pagado","impago"),""))</f>
        <v/>
      </c>
      <c r="I259" s="666" t="str">
        <f>IF(OR($A259="F&amp;F",$G259=""),"",IF(I$8&gt;$G259,IF(OR(status1B5!J259=1,status1B5!J259=2,'BOULEVARD 5'!L257&gt;0),"Pagado","impago"),""))</f>
        <v/>
      </c>
      <c r="J259" s="666" t="str">
        <f>IF(OR($A259="F&amp;F",$G259=""),"",IF(J$8&gt;$G259,IF(OR(status1B5!K259=1,status1B5!K259=2,'BOULEVARD 5'!M257&gt;0),"Pagado","impago"),""))</f>
        <v/>
      </c>
      <c r="K259" s="666" t="str">
        <f>IF(OR($A259="F&amp;F",$G259=""),"",IF(K$8&gt;$G259,IF(OR(status1B5!L259=1,status1B5!L259=2,'BOULEVARD 5'!N257&gt;0),"Pagado","impago"),""))</f>
        <v/>
      </c>
      <c r="L259" s="666" t="str">
        <f>IF(OR($A259="F&amp;F",$G259=""),"",IF(L$8&gt;$G259,IF(OR(status1B5!M259=1,status1B5!M259=2,'BOULEVARD 5'!O257&gt;0),"Pagado","impago"),""))</f>
        <v/>
      </c>
      <c r="M259" s="666" t="str">
        <f>IF(OR($A259="F&amp;F",$G259=""),"",IF(M$8&gt;$G259,IF(OR(status1B5!N259=1,status1B5!N259=2,'BOULEVARD 5'!P257&gt;0),"Pagado","impago"),""))</f>
        <v/>
      </c>
      <c r="N259" s="666" t="str">
        <f>IF(OR($A259="F&amp;F",$G259=""),"",IF(N$8&gt;$G259,IF(OR(status1B5!O259=1,status1B5!O259=2,'BOULEVARD 5'!Q257&gt;0),"Pagado","impago"),""))</f>
        <v/>
      </c>
      <c r="O259" s="666" t="str">
        <f>IF(OR($A259="F&amp;F",$G259=""),"",IF(O$8&gt;$G259,IF(OR(status1B5!P259=1,status1B5!P259=2,'BOULEVARD 5'!R257&gt;0),"Pagado","impago"),""))</f>
        <v/>
      </c>
      <c r="P259" s="666" t="str">
        <f>IF(OR($A259="F&amp;F",$G259=""),"",IF(P$8&gt;$G259,IF(OR(status1B5!Q259=1,status1B5!Q259=2,'BOULEVARD 5'!S257&gt;0),"Pagado","impago"),""))</f>
        <v/>
      </c>
      <c r="Q259" s="666" t="str">
        <f>IF(OR($A259="F&amp;F",$G259=""),"",IF(Q$8&gt;$G259,IF(OR(status1B5!R259=1,status1B5!R259=2,'BOULEVARD 5'!T257&gt;0),"Pagado","impago"),""))</f>
        <v/>
      </c>
      <c r="R259" s="666" t="str">
        <f>IF(OR($A259="F&amp;F",$G259=""),"",IF(R$8&gt;$G259,IF(OR(status1B5!S259=1,status1B5!S259=2,'BOULEVARD 5'!U257&gt;0),"Pagado","impago"),""))</f>
        <v/>
      </c>
      <c r="S259" s="666" t="str">
        <f>IF(OR($A259="F&amp;F",$G259=""),"",IF(S$8&gt;$G259,IF(OR(status1B5!T259=1,status1B5!T259=2,'BOULEVARD 5'!V257&gt;0),"Pagado","impago"),""))</f>
        <v>Pagado</v>
      </c>
      <c r="T259" s="666" t="str">
        <f>IF(OR($A259="F&amp;F",$G259=""),"",IF(T$8&gt;$G259,IF(OR(status1B5!U259=1,status1B5!U259=2,'BOULEVARD 5'!W257&gt;0),"Pagado","impago"),""))</f>
        <v>Pagado</v>
      </c>
      <c r="U259" s="666" t="str">
        <f>IF(OR($A259="F&amp;F",$G259=""),"",IF(U$8&gt;$G259,IF(OR(status1B5!V259=1,status1B5!V259=2,'BOULEVARD 5'!X257&gt;0),"Pagado","impago"),""))</f>
        <v>Pagado</v>
      </c>
      <c r="V259" s="666" t="str">
        <f>IF(OR($A259="F&amp;F",$G259=""),"",IF(V$8&gt;$G259,IF(OR(status1B5!W259=1,status1B5!W259=2,'BOULEVARD 5'!Y257&gt;0),"Pagado","impago"),""))</f>
        <v>Pagado</v>
      </c>
      <c r="W259" s="666" t="str">
        <f>IF(OR($A259="F&amp;F",$G259=""),"",IF(W$8&gt;$G259,IF(OR(status1B5!X259=1,status1B5!X259=2,'BOULEVARD 5'!Z257&gt;0),"Pagado","impago"),""))</f>
        <v>Pagado</v>
      </c>
      <c r="X259" s="666" t="str">
        <f>IF(OR($A259="F&amp;F",$G259=""),"",IF(X$8&gt;$G259,IF(OR(status1B5!Y259=1,status1B5!Y259=2,'BOULEVARD 5'!AA257&gt;0),"Pagado","impago"),""))</f>
        <v>Pagado</v>
      </c>
      <c r="Y259" s="666" t="str">
        <f>IF(OR($A259="F&amp;F",$G259=""),"",IF(Y$8&gt;$G259,IF(OR(status1B5!Z259=1,status1B5!Z259=2,'BOULEVARD 5'!AB257&gt;0),"Pagado","impago"),""))</f>
        <v>Pagado</v>
      </c>
      <c r="Z259" s="666" t="str">
        <f>IF(OR($A259="F&amp;F",$G259=""),"",IF(Z$8&gt;$G259,IF(OR(status1B5!AA259=1,status1B5!AA259=2,'BOULEVARD 5'!AC257&gt;0),"Pagado","impago"),""))</f>
        <v>Pagado</v>
      </c>
      <c r="AA259" s="666" t="str">
        <f>IF(OR($A259="F&amp;F",$G259=""),"",IF(AA$8&gt;$G259,IF(OR(status1B5!AB259=1,status1B5!AB259=2,'BOULEVARD 5'!AD257&gt;0),"Pagado","impago"),""))</f>
        <v>Pagado</v>
      </c>
      <c r="AB259" s="666" t="str">
        <f>IF(OR($A259="F&amp;F",$G259=""),"",IF(AB$8&gt;$G259,IF(OR(status1B5!AC259=1,status1B5!AC259=2,'BOULEVARD 5'!AE257&gt;0),"Pagado","impago"),""))</f>
        <v>Pagado</v>
      </c>
      <c r="AC259" s="666" t="str">
        <f>IF(OR($A259="F&amp;F",$G259=""),"",IF(AC$8&gt;$G259,IF(OR(status1B5!AD259=1,status1B5!AD259=2,'BOULEVARD 5'!AF257&gt;0),"Pagado","impago"),""))</f>
        <v>Pagado</v>
      </c>
      <c r="AD259" s="666" t="str">
        <f>IF(OR($A259="F&amp;F",$G259=""),"",IF(AD$8&gt;$G259,IF(OR(status1B5!AE259=1,status1B5!AE259=2,'BOULEVARD 5'!AG257&gt;0),"Pagado","impago"),""))</f>
        <v>Pagado</v>
      </c>
      <c r="AE259" s="666" t="str">
        <f>IF(OR($A259="F&amp;F",$G259=""),"",IF(AE$8&gt;$G259,IF(OR(status1B5!AF259=1,status1B5!AF259=2,'BOULEVARD 5'!AH257&gt;0),"Pagado","impago"),""))</f>
        <v>Pagado</v>
      </c>
      <c r="AF259" s="666" t="str">
        <f>IF(OR($A259="F&amp;F",$G259=""),"",IF(AF$8&gt;$G259,IF(OR(status1B5!AG259=1,status1B5!AG259=2,'BOULEVARD 5'!AI257&gt;0),"Pagado","impago"),""))</f>
        <v>Pagado</v>
      </c>
      <c r="AG259" s="666" t="str">
        <f>IF(OR($A259="F&amp;F",$G259=""),"",IF(AG$8&gt;$G259,IF(OR(status1B5!AH259=1,status1B5!AH259=2,'BOULEVARD 5'!AJ257&gt;0),"Pagado","impago"),""))</f>
        <v>Pagado</v>
      </c>
      <c r="AH259" s="666" t="str">
        <f>IF(OR($A259="F&amp;F",$G259=""),"",IF(AH$8&gt;$G259,IF(OR(status1B5!AI259=1,status1B5!AI259=2,'BOULEVARD 5'!AK257&gt;0),"Pagado","impago"),""))</f>
        <v>Pagado</v>
      </c>
      <c r="AI259" s="666" t="str">
        <f>IF(OR($A259="F&amp;F",$G259=""),"",IF(AI$8&gt;$G259,IF(OR(status1B5!AJ259=1,status1B5!AJ259=2,'BOULEVARD 5'!AL257&gt;0),"Pagado","impago"),""))</f>
        <v>Pagado</v>
      </c>
      <c r="AJ259" s="666" t="str">
        <f>IF(OR($A259="F&amp;F",$G259=""),"",IF(AJ$8&gt;$G259,IF(OR(status1B5!AK259=1,status1B5!AK259=2,'BOULEVARD 5'!AM257&gt;0),"Pagado","impago"),""))</f>
        <v>Pagado</v>
      </c>
      <c r="AK259" s="666" t="str">
        <f>IF(OR($A259="F&amp;F",$G259=""),"",IF(AK$8&gt;$G259,IF(OR(status1B5!AL259=1,status1B5!AL259=2,'BOULEVARD 5'!AN257&gt;0),"Pagado","impago"),""))</f>
        <v>Pagado</v>
      </c>
      <c r="AL259" s="666" t="str">
        <f>IF(OR($A259="F&amp;F",$G259=""),"",IF(AL$8&gt;$G259,IF(OR(status1B5!AM259=1,status1B5!AM259=2,'BOULEVARD 5'!AO257&gt;0),"Pagado","impago"),""))</f>
        <v>Pagado</v>
      </c>
      <c r="AM259" s="666" t="str">
        <f>IF(OR($A259="F&amp;F",$G259=""),"",IF(AM$8&gt;$G259,IF(OR(status1B5!AN259=1,status1B5!AN259=2,'BOULEVARD 5'!AP257&gt;0),"Pagado","impago"),""))</f>
        <v>Pagado</v>
      </c>
      <c r="AN259" s="666" t="str">
        <f>IF(OR($A259="F&amp;F",$G259=""),"",IF(AN$8&gt;$G259,IF(OR(status1B5!AO259=1,status1B5!AO259=2,'BOULEVARD 5'!AQ257&gt;0),"Pagado","impago"),""))</f>
        <v>Pagado</v>
      </c>
      <c r="AO259" s="666" t="str">
        <f>IF(OR($A259="F&amp;F",$G259=""),"",IF(AO$8&gt;$G259,IF(OR(status1B5!AP259=1,status1B5!AP259=2,'BOULEVARD 5'!AS257&gt;0),"Pagado","impago"),""))</f>
        <v>Pagado</v>
      </c>
      <c r="AP259" s="429" t="str">
        <f t="shared" si="8"/>
        <v>Vendido</v>
      </c>
    </row>
    <row r="260" spans="1:42" s="429" customFormat="1" ht="13.9" customHeight="1" x14ac:dyDescent="0.25">
      <c r="A260" s="472"/>
      <c r="B260" s="436">
        <f>'BOULEVARD 5'!B258</f>
        <v>1411</v>
      </c>
      <c r="C260" s="436" t="s">
        <v>355</v>
      </c>
      <c r="D260" s="436"/>
      <c r="E260" s="436" t="str">
        <f>IF('BOULEVARD 5'!E258="","",'BOULEVARD 5'!E258)</f>
        <v>Antonio Rada</v>
      </c>
      <c r="F260" s="429" t="str">
        <f>IF('BOULEVARD 5'!F258="","",'BOULEVARD 5'!F258)</f>
        <v>Julio Cesar Morales Díaz</v>
      </c>
      <c r="G260" s="473">
        <f>IF('BOULEVARD 5'!G258="","",'BOULEVARD 5'!G258)</f>
        <v>45096</v>
      </c>
      <c r="H260" s="666" t="str">
        <f>IF(OR($A260="F&amp;F",$G260=""),"",IF(H$8&gt;$G260,IF(OR(status1B5!I260=1,status1B5!I260=2,'BOULEVARD 5'!K258&gt;0),"Pagado","impago"),""))</f>
        <v/>
      </c>
      <c r="I260" s="666" t="str">
        <f>IF(OR($A260="F&amp;F",$G260=""),"",IF(I$8&gt;$G260,IF(OR(status1B5!J260=1,status1B5!J260=2,'BOULEVARD 5'!L258&gt;0),"Pagado","impago"),""))</f>
        <v/>
      </c>
      <c r="J260" s="666" t="str">
        <f>IF(OR($A260="F&amp;F",$G260=""),"",IF(J$8&gt;$G260,IF(OR(status1B5!K260=1,status1B5!K260=2,'BOULEVARD 5'!M258&gt;0),"Pagado","impago"),""))</f>
        <v/>
      </c>
      <c r="K260" s="666" t="str">
        <f>IF(OR($A260="F&amp;F",$G260=""),"",IF(K$8&gt;$G260,IF(OR(status1B5!L260=1,status1B5!L260=2,'BOULEVARD 5'!N258&gt;0),"Pagado","impago"),""))</f>
        <v>Pagado</v>
      </c>
      <c r="L260" s="666" t="str">
        <f>IF(OR($A260="F&amp;F",$G260=""),"",IF(L$8&gt;$G260,IF(OR(status1B5!M260=1,status1B5!M260=2,'BOULEVARD 5'!O258&gt;0),"Pagado","impago"),""))</f>
        <v>Pagado</v>
      </c>
      <c r="M260" s="666" t="str">
        <f>IF(OR($A260="F&amp;F",$G260=""),"",IF(M$8&gt;$G260,IF(OR(status1B5!N260=1,status1B5!N260=2,'BOULEVARD 5'!P258&gt;0),"Pagado","impago"),""))</f>
        <v>Pagado</v>
      </c>
      <c r="N260" s="666" t="str">
        <f>IF(OR($A260="F&amp;F",$G260=""),"",IF(N$8&gt;$G260,IF(OR(status1B5!O260=1,status1B5!O260=2,'BOULEVARD 5'!Q258&gt;0),"Pagado","impago"),""))</f>
        <v>Pagado</v>
      </c>
      <c r="O260" s="666" t="str">
        <f>IF(OR($A260="F&amp;F",$G260=""),"",IF(O$8&gt;$G260,IF(OR(status1B5!P260=1,status1B5!P260=2,'BOULEVARD 5'!R258&gt;0),"Pagado","impago"),""))</f>
        <v>Pagado</v>
      </c>
      <c r="P260" s="666" t="str">
        <f>IF(OR($A260="F&amp;F",$G260=""),"",IF(P$8&gt;$G260,IF(OR(status1B5!Q260=1,status1B5!Q260=2,'BOULEVARD 5'!S258&gt;0),"Pagado","impago"),""))</f>
        <v>Pagado</v>
      </c>
      <c r="Q260" s="666" t="str">
        <f>IF(OR($A260="F&amp;F",$G260=""),"",IF(Q$8&gt;$G260,IF(OR(status1B5!R260=1,status1B5!R260=2,'BOULEVARD 5'!T258&gt;0),"Pagado","impago"),""))</f>
        <v>Pagado</v>
      </c>
      <c r="R260" s="666" t="str">
        <f>IF(OR($A260="F&amp;F",$G260=""),"",IF(R$8&gt;$G260,IF(OR(status1B5!S260=1,status1B5!S260=2,'BOULEVARD 5'!U258&gt;0),"Pagado","impago"),""))</f>
        <v>Pagado</v>
      </c>
      <c r="S260" s="666" t="str">
        <f>IF(OR($A260="F&amp;F",$G260=""),"",IF(S$8&gt;$G260,IF(OR(status1B5!T260=1,status1B5!T260=2,'BOULEVARD 5'!V258&gt;0),"Pagado","impago"),""))</f>
        <v>Pagado</v>
      </c>
      <c r="T260" s="666" t="str">
        <f>IF(OR($A260="F&amp;F",$G260=""),"",IF(T$8&gt;$G260,IF(OR(status1B5!U260=1,status1B5!U260=2,'BOULEVARD 5'!W258&gt;0),"Pagado","impago"),""))</f>
        <v>Pagado</v>
      </c>
      <c r="U260" s="666" t="str">
        <f>IF(OR($A260="F&amp;F",$G260=""),"",IF(U$8&gt;$G260,IF(OR(status1B5!V260=1,status1B5!V260=2,'BOULEVARD 5'!X258&gt;0),"Pagado","impago"),""))</f>
        <v>Pagado</v>
      </c>
      <c r="V260" s="666" t="str">
        <f>IF(OR($A260="F&amp;F",$G260=""),"",IF(V$8&gt;$G260,IF(OR(status1B5!W260=1,status1B5!W260=2,'BOULEVARD 5'!Y258&gt;0),"Pagado","impago"),""))</f>
        <v>Pagado</v>
      </c>
      <c r="W260" s="666" t="str">
        <f>IF(OR($A260="F&amp;F",$G260=""),"",IF(W$8&gt;$G260,IF(OR(status1B5!X260=1,status1B5!X260=2,'BOULEVARD 5'!Z258&gt;0),"Pagado","impago"),""))</f>
        <v>Pagado</v>
      </c>
      <c r="X260" s="666" t="str">
        <f>IF(OR($A260="F&amp;F",$G260=""),"",IF(X$8&gt;$G260,IF(OR(status1B5!Y260=1,status1B5!Y260=2,'BOULEVARD 5'!AA258&gt;0),"Pagado","impago"),""))</f>
        <v>Pagado</v>
      </c>
      <c r="Y260" s="666" t="str">
        <f>IF(OR($A260="F&amp;F",$G260=""),"",IF(Y$8&gt;$G260,IF(OR(status1B5!Z260=1,status1B5!Z260=2,'BOULEVARD 5'!AB258&gt;0),"Pagado","impago"),""))</f>
        <v>Pagado</v>
      </c>
      <c r="Z260" s="666" t="str">
        <f>IF(OR($A260="F&amp;F",$G260=""),"",IF(Z$8&gt;$G260,IF(OR(status1B5!AA260=1,status1B5!AA260=2,'BOULEVARD 5'!AC258&gt;0),"Pagado","impago"),""))</f>
        <v>Pagado</v>
      </c>
      <c r="AA260" s="666" t="str">
        <f>IF(OR($A260="F&amp;F",$G260=""),"",IF(AA$8&gt;$G260,IF(OR(status1B5!AB260=1,status1B5!AB260=2,'BOULEVARD 5'!AD258&gt;0),"Pagado","impago"),""))</f>
        <v>Pagado</v>
      </c>
      <c r="AB260" s="666" t="str">
        <f>IF(OR($A260="F&amp;F",$G260=""),"",IF(AB$8&gt;$G260,IF(OR(status1B5!AC260=1,status1B5!AC260=2,'BOULEVARD 5'!AE258&gt;0),"Pagado","impago"),""))</f>
        <v>Pagado</v>
      </c>
      <c r="AC260" s="666" t="str">
        <f>IF(OR($A260="F&amp;F",$G260=""),"",IF(AC$8&gt;$G260,IF(OR(status1B5!AD260=1,status1B5!AD260=2,'BOULEVARD 5'!AF258&gt;0),"Pagado","impago"),""))</f>
        <v>Pagado</v>
      </c>
      <c r="AD260" s="666" t="str">
        <f>IF(OR($A260="F&amp;F",$G260=""),"",IF(AD$8&gt;$G260,IF(OR(status1B5!AE260=1,status1B5!AE260=2,'BOULEVARD 5'!AG258&gt;0),"Pagado","impago"),""))</f>
        <v>Pagado</v>
      </c>
      <c r="AE260" s="666" t="str">
        <f>IF(OR($A260="F&amp;F",$G260=""),"",IF(AE$8&gt;$G260,IF(OR(status1B5!AF260=1,status1B5!AF260=2,'BOULEVARD 5'!AH258&gt;0),"Pagado","impago"),""))</f>
        <v>Pagado</v>
      </c>
      <c r="AF260" s="666" t="str">
        <f>IF(OR($A260="F&amp;F",$G260=""),"",IF(AF$8&gt;$G260,IF(OR(status1B5!AG260=1,status1B5!AG260=2,'BOULEVARD 5'!AI258&gt;0),"Pagado","impago"),""))</f>
        <v>Pagado</v>
      </c>
      <c r="AG260" s="666" t="str">
        <f>IF(OR($A260="F&amp;F",$G260=""),"",IF(AG$8&gt;$G260,IF(OR(status1B5!AH260=1,status1B5!AH260=2,'BOULEVARD 5'!AJ258&gt;0),"Pagado","impago"),""))</f>
        <v>Pagado</v>
      </c>
      <c r="AH260" s="666" t="str">
        <f>IF(OR($A260="F&amp;F",$G260=""),"",IF(AH$8&gt;$G260,IF(OR(status1B5!AI260=1,status1B5!AI260=2,'BOULEVARD 5'!AK258&gt;0),"Pagado","impago"),""))</f>
        <v>Pagado</v>
      </c>
      <c r="AI260" s="666" t="str">
        <f>IF(OR($A260="F&amp;F",$G260=""),"",IF(AI$8&gt;$G260,IF(OR(status1B5!AJ260=1,status1B5!AJ260=2,'BOULEVARD 5'!AL258&gt;0),"Pagado","impago"),""))</f>
        <v>Pagado</v>
      </c>
      <c r="AJ260" s="666" t="str">
        <f>IF(OR($A260="F&amp;F",$G260=""),"",IF(AJ$8&gt;$G260,IF(OR(status1B5!AK260=1,status1B5!AK260=2,'BOULEVARD 5'!AM258&gt;0),"Pagado","impago"),""))</f>
        <v>Pagado</v>
      </c>
      <c r="AK260" s="666" t="str">
        <f>IF(OR($A260="F&amp;F",$G260=""),"",IF(AK$8&gt;$G260,IF(OR(status1B5!AL260=1,status1B5!AL260=2,'BOULEVARD 5'!AN258&gt;0),"Pagado","impago"),""))</f>
        <v>Pagado</v>
      </c>
      <c r="AL260" s="666" t="str">
        <f>IF(OR($A260="F&amp;F",$G260=""),"",IF(AL$8&gt;$G260,IF(OR(status1B5!AM260=1,status1B5!AM260=2,'BOULEVARD 5'!AO258&gt;0),"Pagado","impago"),""))</f>
        <v>Pagado</v>
      </c>
      <c r="AM260" s="666" t="str">
        <f>IF(OR($A260="F&amp;F",$G260=""),"",IF(AM$8&gt;$G260,IF(OR(status1B5!AN260=1,status1B5!AN260=2,'BOULEVARD 5'!AP258&gt;0),"Pagado","impago"),""))</f>
        <v>Pagado</v>
      </c>
      <c r="AN260" s="666" t="str">
        <f>IF(OR($A260="F&amp;F",$G260=""),"",IF(AN$8&gt;$G260,IF(OR(status1B5!AO260=1,status1B5!AO260=2,'BOULEVARD 5'!AQ258&gt;0),"Pagado","impago"),""))</f>
        <v>Pagado</v>
      </c>
      <c r="AO260" s="666" t="str">
        <f>IF(OR($A260="F&amp;F",$G260=""),"",IF(AO$8&gt;$G260,IF(OR(status1B5!AP260=1,status1B5!AP260=2,'BOULEVARD 5'!AS258&gt;0),"Pagado","impago"),""))</f>
        <v>Pagado</v>
      </c>
      <c r="AP260" s="429" t="str">
        <f t="shared" si="8"/>
        <v>Vendido</v>
      </c>
    </row>
    <row r="261" spans="1:42" s="429" customFormat="1" ht="13.9" customHeight="1" x14ac:dyDescent="0.25">
      <c r="A261" s="472"/>
      <c r="B261" s="436">
        <f>'BOULEVARD 5'!B259</f>
        <v>1412</v>
      </c>
      <c r="C261" s="436" t="s">
        <v>355</v>
      </c>
      <c r="D261" s="436"/>
      <c r="E261" s="436" t="str">
        <f>IF('BOULEVARD 5'!E259="","",'BOULEVARD 5'!E259)</f>
        <v>Brenda Búcaro</v>
      </c>
      <c r="F261" s="429" t="str">
        <f>IF('BOULEVARD 5'!F259="","",'BOULEVARD 5'!F259)</f>
        <v>Javier Andrés Soto Coronado</v>
      </c>
      <c r="G261" s="473">
        <f>IF('BOULEVARD 5'!G259="","",'BOULEVARD 5'!G259)</f>
        <v>45044</v>
      </c>
      <c r="H261" s="666" t="str">
        <f>IF(OR($A261="F&amp;F",$G261=""),"",IF(H$8&gt;$G261,IF(OR(status1B5!I261=1,status1B5!I261=2,'BOULEVARD 5'!K259&gt;0),"Pagado","impago"),""))</f>
        <v/>
      </c>
      <c r="I261" s="666" t="str">
        <f>IF(OR($A261="F&amp;F",$G261=""),"",IF(I$8&gt;$G261,IF(OR(status1B5!J261=1,status1B5!J261=2,'BOULEVARD 5'!L259&gt;0),"Pagado","impago"),""))</f>
        <v>Pagado</v>
      </c>
      <c r="J261" s="666" t="str">
        <f>IF(OR($A261="F&amp;F",$G261=""),"",IF(J$8&gt;$G261,IF(OR(status1B5!K261=1,status1B5!K261=2,'BOULEVARD 5'!M259&gt;0),"Pagado","impago"),""))</f>
        <v>Pagado</v>
      </c>
      <c r="K261" s="666" t="str">
        <f>IF(OR($A261="F&amp;F",$G261=""),"",IF(K$8&gt;$G261,IF(OR(status1B5!L261=1,status1B5!L261=2,'BOULEVARD 5'!N259&gt;0),"Pagado","impago"),""))</f>
        <v>Pagado</v>
      </c>
      <c r="L261" s="666" t="str">
        <f>IF(OR($A261="F&amp;F",$G261=""),"",IF(L$8&gt;$G261,IF(OR(status1B5!M261=1,status1B5!M261=2,'BOULEVARD 5'!O259&gt;0),"Pagado","impago"),""))</f>
        <v>Pagado</v>
      </c>
      <c r="M261" s="666" t="str">
        <f>IF(OR($A261="F&amp;F",$G261=""),"",IF(M$8&gt;$G261,IF(OR(status1B5!N261=1,status1B5!N261=2,'BOULEVARD 5'!P259&gt;0),"Pagado","impago"),""))</f>
        <v>Pagado</v>
      </c>
      <c r="N261" s="666" t="str">
        <f>IF(OR($A261="F&amp;F",$G261=""),"",IF(N$8&gt;$G261,IF(OR(status1B5!O261=1,status1B5!O261=2,'BOULEVARD 5'!Q259&gt;0),"Pagado","impago"),""))</f>
        <v>Pagado</v>
      </c>
      <c r="O261" s="666" t="str">
        <f>IF(OR($A261="F&amp;F",$G261=""),"",IF(O$8&gt;$G261,IF(OR(status1B5!P261=1,status1B5!P261=2,'BOULEVARD 5'!R259&gt;0),"Pagado","impago"),""))</f>
        <v>Pagado</v>
      </c>
      <c r="P261" s="666" t="str">
        <f>IF(OR($A261="F&amp;F",$G261=""),"",IF(P$8&gt;$G261,IF(OR(status1B5!Q261=1,status1B5!Q261=2,'BOULEVARD 5'!S259&gt;0),"Pagado","impago"),""))</f>
        <v>Pagado</v>
      </c>
      <c r="Q261" s="666" t="str">
        <f>IF(OR($A261="F&amp;F",$G261=""),"",IF(Q$8&gt;$G261,IF(OR(status1B5!R261=1,status1B5!R261=2,'BOULEVARD 5'!T259&gt;0),"Pagado","impago"),""))</f>
        <v>Pagado</v>
      </c>
      <c r="R261" s="666" t="str">
        <f>IF(OR($A261="F&amp;F",$G261=""),"",IF(R$8&gt;$G261,IF(OR(status1B5!S261=1,status1B5!S261=2,'BOULEVARD 5'!U259&gt;0),"Pagado","impago"),""))</f>
        <v>Pagado</v>
      </c>
      <c r="S261" s="666" t="str">
        <f>IF(OR($A261="F&amp;F",$G261=""),"",IF(S$8&gt;$G261,IF(OR(status1B5!T261=1,status1B5!T261=2,'BOULEVARD 5'!V259&gt;0),"Pagado","impago"),""))</f>
        <v>Pagado</v>
      </c>
      <c r="T261" s="666" t="str">
        <f>IF(OR($A261="F&amp;F",$G261=""),"",IF(T$8&gt;$G261,IF(OR(status1B5!U261=1,status1B5!U261=2,'BOULEVARD 5'!W259&gt;0),"Pagado","impago"),""))</f>
        <v>Pagado</v>
      </c>
      <c r="U261" s="666" t="str">
        <f>IF(OR($A261="F&amp;F",$G261=""),"",IF(U$8&gt;$G261,IF(OR(status1B5!V261=1,status1B5!V261=2,'BOULEVARD 5'!X259&gt;0),"Pagado","impago"),""))</f>
        <v>Pagado</v>
      </c>
      <c r="V261" s="666" t="str">
        <f>IF(OR($A261="F&amp;F",$G261=""),"",IF(V$8&gt;$G261,IF(OR(status1B5!W261=1,status1B5!W261=2,'BOULEVARD 5'!Y259&gt;0),"Pagado","impago"),""))</f>
        <v>Pagado</v>
      </c>
      <c r="W261" s="666" t="str">
        <f>IF(OR($A261="F&amp;F",$G261=""),"",IF(W$8&gt;$G261,IF(OR(status1B5!X261=1,status1B5!X261=2,'BOULEVARD 5'!Z259&gt;0),"Pagado","impago"),""))</f>
        <v>Pagado</v>
      </c>
      <c r="X261" s="666" t="str">
        <f>IF(OR($A261="F&amp;F",$G261=""),"",IF(X$8&gt;$G261,IF(OR(status1B5!Y261=1,status1B5!Y261=2,'BOULEVARD 5'!AA259&gt;0),"Pagado","impago"),""))</f>
        <v>Pagado</v>
      </c>
      <c r="Y261" s="666" t="str">
        <f>IF(OR($A261="F&amp;F",$G261=""),"",IF(Y$8&gt;$G261,IF(OR(status1B5!Z261=1,status1B5!Z261=2,'BOULEVARD 5'!AB259&gt;0),"Pagado","impago"),""))</f>
        <v>Pagado</v>
      </c>
      <c r="Z261" s="666" t="str">
        <f>IF(OR($A261="F&amp;F",$G261=""),"",IF(Z$8&gt;$G261,IF(OR(status1B5!AA261=1,status1B5!AA261=2,'BOULEVARD 5'!AC259&gt;0),"Pagado","impago"),""))</f>
        <v>Pagado</v>
      </c>
      <c r="AA261" s="666" t="str">
        <f>IF(OR($A261="F&amp;F",$G261=""),"",IF(AA$8&gt;$G261,IF(OR(status1B5!AB261=1,status1B5!AB261=2,'BOULEVARD 5'!AD259&gt;0),"Pagado","impago"),""))</f>
        <v>Pagado</v>
      </c>
      <c r="AB261" s="666" t="str">
        <f>IF(OR($A261="F&amp;F",$G261=""),"",IF(AB$8&gt;$G261,IF(OR(status1B5!AC261=1,status1B5!AC261=2,'BOULEVARD 5'!AE259&gt;0),"Pagado","impago"),""))</f>
        <v>Pagado</v>
      </c>
      <c r="AC261" s="666" t="str">
        <f>IF(OR($A261="F&amp;F",$G261=""),"",IF(AC$8&gt;$G261,IF(OR(status1B5!AD261=1,status1B5!AD261=2,'BOULEVARD 5'!AF259&gt;0),"Pagado","impago"),""))</f>
        <v>Pagado</v>
      </c>
      <c r="AD261" s="666" t="str">
        <f>IF(OR($A261="F&amp;F",$G261=""),"",IF(AD$8&gt;$G261,IF(OR(status1B5!AE261=1,status1B5!AE261=2,'BOULEVARD 5'!AG259&gt;0),"Pagado","impago"),""))</f>
        <v>Pagado</v>
      </c>
      <c r="AE261" s="666" t="str">
        <f>IF(OR($A261="F&amp;F",$G261=""),"",IF(AE$8&gt;$G261,IF(OR(status1B5!AF261=1,status1B5!AF261=2,'BOULEVARD 5'!AH259&gt;0),"Pagado","impago"),""))</f>
        <v>Pagado</v>
      </c>
      <c r="AF261" s="666" t="str">
        <f>IF(OR($A261="F&amp;F",$G261=""),"",IF(AF$8&gt;$G261,IF(OR(status1B5!AG261=1,status1B5!AG261=2,'BOULEVARD 5'!AI259&gt;0),"Pagado","impago"),""))</f>
        <v>Pagado</v>
      </c>
      <c r="AG261" s="666" t="str">
        <f>IF(OR($A261="F&amp;F",$G261=""),"",IF(AG$8&gt;$G261,IF(OR(status1B5!AH261=1,status1B5!AH261=2,'BOULEVARD 5'!AJ259&gt;0),"Pagado","impago"),""))</f>
        <v>Pagado</v>
      </c>
      <c r="AH261" s="666" t="str">
        <f>IF(OR($A261="F&amp;F",$G261=""),"",IF(AH$8&gt;$G261,IF(OR(status1B5!AI261=1,status1B5!AI261=2,'BOULEVARD 5'!AK259&gt;0),"Pagado","impago"),""))</f>
        <v>Pagado</v>
      </c>
      <c r="AI261" s="666" t="str">
        <f>IF(OR($A261="F&amp;F",$G261=""),"",IF(AI$8&gt;$G261,IF(OR(status1B5!AJ261=1,status1B5!AJ261=2,'BOULEVARD 5'!AL259&gt;0),"Pagado","impago"),""))</f>
        <v>Pagado</v>
      </c>
      <c r="AJ261" s="666" t="str">
        <f>IF(OR($A261="F&amp;F",$G261=""),"",IF(AJ$8&gt;$G261,IF(OR(status1B5!AK261=1,status1B5!AK261=2,'BOULEVARD 5'!AM259&gt;0),"Pagado","impago"),""))</f>
        <v>Pagado</v>
      </c>
      <c r="AK261" s="666" t="str">
        <f>IF(OR($A261="F&amp;F",$G261=""),"",IF(AK$8&gt;$G261,IF(OR(status1B5!AL261=1,status1B5!AL261=2,'BOULEVARD 5'!AN259&gt;0),"Pagado","impago"),""))</f>
        <v>Pagado</v>
      </c>
      <c r="AL261" s="666" t="str">
        <f>IF(OR($A261="F&amp;F",$G261=""),"",IF(AL$8&gt;$G261,IF(OR(status1B5!AM261=1,status1B5!AM261=2,'BOULEVARD 5'!AO259&gt;0),"Pagado","impago"),""))</f>
        <v>Pagado</v>
      </c>
      <c r="AM261" s="666" t="str">
        <f>IF(OR($A261="F&amp;F",$G261=""),"",IF(AM$8&gt;$G261,IF(OR(status1B5!AN261=1,status1B5!AN261=2,'BOULEVARD 5'!AP259&gt;0),"Pagado","impago"),""))</f>
        <v>Pagado</v>
      </c>
      <c r="AN261" s="666" t="str">
        <f>IF(OR($A261="F&amp;F",$G261=""),"",IF(AN$8&gt;$G261,IF(OR(status1B5!AO261=1,status1B5!AO261=2,'BOULEVARD 5'!AQ259&gt;0),"Pagado","impago"),""))</f>
        <v>Pagado</v>
      </c>
      <c r="AO261" s="666" t="str">
        <f>IF(OR($A261="F&amp;F",$G261=""),"",IF(AO$8&gt;$G261,IF(OR(status1B5!AP261=1,status1B5!AP261=2,'BOULEVARD 5'!AS259&gt;0),"Pagado","impago"),""))</f>
        <v>Pagado</v>
      </c>
      <c r="AP261" s="429" t="str">
        <f t="shared" si="8"/>
        <v>Vendido</v>
      </c>
    </row>
    <row r="262" spans="1:42" s="470" customFormat="1" ht="13.9" customHeight="1" x14ac:dyDescent="0.25">
      <c r="A262" s="486"/>
      <c r="B262" s="487">
        <f>'BOULEVARD 5'!B260</f>
        <v>1501</v>
      </c>
      <c r="C262" s="487" t="s">
        <v>355</v>
      </c>
      <c r="D262" s="487"/>
      <c r="E262" s="487" t="str">
        <f>IF('BOULEVARD 5'!E260="","",'BOULEVARD 5'!E260)</f>
        <v>Erwin Cardona</v>
      </c>
      <c r="F262" s="470" t="str">
        <f>IF('BOULEVARD 5'!F260="","",'BOULEVARD 5'!F260)</f>
        <v>Corporacion G&amp;G Sociedad Anonima</v>
      </c>
      <c r="G262" s="473">
        <f>IF('BOULEVARD 5'!G260="","",'BOULEVARD 5'!G260)</f>
        <v>45987</v>
      </c>
      <c r="H262" s="666" t="str">
        <f>IF(OR($A262="F&amp;F",$G262=""),"",IF(H$8&gt;$G262,IF(OR(status1B5!I262=1,status1B5!I262=2,'BOULEVARD 5'!K260&gt;0),"Pagado","impago"),""))</f>
        <v/>
      </c>
      <c r="I262" s="666" t="str">
        <f>IF(OR($A262="F&amp;F",$G262=""),"",IF(I$8&gt;$G262,IF(OR(status1B5!J262=1,status1B5!J262=2,'BOULEVARD 5'!L260&gt;0),"Pagado","impago"),""))</f>
        <v/>
      </c>
      <c r="J262" s="666" t="str">
        <f>IF(OR($A262="F&amp;F",$G262=""),"",IF(J$8&gt;$G262,IF(OR(status1B5!K262=1,status1B5!K262=2,'BOULEVARD 5'!M260&gt;0),"Pagado","impago"),""))</f>
        <v/>
      </c>
      <c r="K262" s="666" t="str">
        <f>IF(OR($A262="F&amp;F",$G262=""),"",IF(K$8&gt;$G262,IF(OR(status1B5!L262=1,status1B5!L262=2,'BOULEVARD 5'!N260&gt;0),"Pagado","impago"),""))</f>
        <v/>
      </c>
      <c r="L262" s="666" t="str">
        <f>IF(OR($A262="F&amp;F",$G262=""),"",IF(L$8&gt;$G262,IF(OR(status1B5!M262=1,status1B5!M262=2,'BOULEVARD 5'!O260&gt;0),"Pagado","impago"),""))</f>
        <v/>
      </c>
      <c r="M262" s="666" t="str">
        <f>IF(OR($A262="F&amp;F",$G262=""),"",IF(M$8&gt;$G262,IF(OR(status1B5!N262=1,status1B5!N262=2,'BOULEVARD 5'!P260&gt;0),"Pagado","impago"),""))</f>
        <v/>
      </c>
      <c r="N262" s="666" t="str">
        <f>IF(OR($A262="F&amp;F",$G262=""),"",IF(N$8&gt;$G262,IF(OR(status1B5!O262=1,status1B5!O262=2,'BOULEVARD 5'!Q260&gt;0),"Pagado","impago"),""))</f>
        <v/>
      </c>
      <c r="O262" s="666" t="str">
        <f>IF(OR($A262="F&amp;F",$G262=""),"",IF(O$8&gt;$G262,IF(OR(status1B5!P262=1,status1B5!P262=2,'BOULEVARD 5'!R260&gt;0),"Pagado","impago"),""))</f>
        <v/>
      </c>
      <c r="P262" s="666" t="str">
        <f>IF(OR($A262="F&amp;F",$G262=""),"",IF(P$8&gt;$G262,IF(OR(status1B5!Q262=1,status1B5!Q262=2,'BOULEVARD 5'!S260&gt;0),"Pagado","impago"),""))</f>
        <v/>
      </c>
      <c r="Q262" s="666" t="str">
        <f>IF(OR($A262="F&amp;F",$G262=""),"",IF(Q$8&gt;$G262,IF(OR(status1B5!R262=1,status1B5!R262=2,'BOULEVARD 5'!T260&gt;0),"Pagado","impago"),""))</f>
        <v/>
      </c>
      <c r="R262" s="666" t="str">
        <f>IF(OR($A262="F&amp;F",$G262=""),"",IF(R$8&gt;$G262,IF(OR(status1B5!S262=1,status1B5!S262=2,'BOULEVARD 5'!U260&gt;0),"Pagado","impago"),""))</f>
        <v/>
      </c>
      <c r="S262" s="666" t="str">
        <f>IF(OR($A262="F&amp;F",$G262=""),"",IF(S$8&gt;$G262,IF(OR(status1B5!T262=1,status1B5!T262=2,'BOULEVARD 5'!V260&gt;0),"Pagado","impago"),""))</f>
        <v/>
      </c>
      <c r="T262" s="666" t="str">
        <f>IF(OR($A262="F&amp;F",$G262=""),"",IF(T$8&gt;$G262,IF(OR(status1B5!U262=1,status1B5!U262=2,'BOULEVARD 5'!W260&gt;0),"Pagado","impago"),""))</f>
        <v/>
      </c>
      <c r="U262" s="666" t="str">
        <f>IF(OR($A262="F&amp;F",$G262=""),"",IF(U$8&gt;$G262,IF(OR(status1B5!V262=1,status1B5!V262=2,'BOULEVARD 5'!X260&gt;0),"Pagado","impago"),""))</f>
        <v/>
      </c>
      <c r="V262" s="666" t="str">
        <f>IF(OR($A262="F&amp;F",$G262=""),"",IF(V$8&gt;$G262,IF(OR(status1B5!W262=1,status1B5!W262=2,'BOULEVARD 5'!Y260&gt;0),"Pagado","impago"),""))</f>
        <v/>
      </c>
      <c r="W262" s="666" t="str">
        <f>IF(OR($A262="F&amp;F",$G262=""),"",IF(W$8&gt;$G262,IF(OR(status1B5!X262=1,status1B5!X262=2,'BOULEVARD 5'!Z260&gt;0),"Pagado","impago"),""))</f>
        <v/>
      </c>
      <c r="X262" s="666" t="str">
        <f>IF(OR($A262="F&amp;F",$G262=""),"",IF(X$8&gt;$G262,IF(OR(status1B5!Y262=1,status1B5!Y262=2,'BOULEVARD 5'!AA260&gt;0),"Pagado","impago"),""))</f>
        <v/>
      </c>
      <c r="Y262" s="666" t="str">
        <f>IF(OR($A262="F&amp;F",$G262=""),"",IF(Y$8&gt;$G262,IF(OR(status1B5!Z262=1,status1B5!Z262=2,'BOULEVARD 5'!AB260&gt;0),"Pagado","impago"),""))</f>
        <v/>
      </c>
      <c r="Z262" s="666" t="str">
        <f>IF(OR($A262="F&amp;F",$G262=""),"",IF(Z$8&gt;$G262,IF(OR(status1B5!AA262=1,status1B5!AA262=2,'BOULEVARD 5'!AC260&gt;0),"Pagado","impago"),""))</f>
        <v/>
      </c>
      <c r="AA262" s="666" t="str">
        <f>IF(OR($A262="F&amp;F",$G262=""),"",IF(AA$8&gt;$G262,IF(OR(status1B5!AB262=1,status1B5!AB262=2,'BOULEVARD 5'!AD260&gt;0),"Pagado","impago"),""))</f>
        <v/>
      </c>
      <c r="AB262" s="666" t="str">
        <f>IF(OR($A262="F&amp;F",$G262=""),"",IF(AB$8&gt;$G262,IF(OR(status1B5!AC262=1,status1B5!AC262=2,'BOULEVARD 5'!AE260&gt;0),"Pagado","impago"),""))</f>
        <v/>
      </c>
      <c r="AC262" s="666" t="str">
        <f>IF(OR($A262="F&amp;F",$G262=""),"",IF(AC$8&gt;$G262,IF(OR(status1B5!AD262=1,status1B5!AD262=2,'BOULEVARD 5'!AF260&gt;0),"Pagado","impago"),""))</f>
        <v/>
      </c>
      <c r="AD262" s="666" t="str">
        <f>IF(OR($A262="F&amp;F",$G262=""),"",IF(AD$8&gt;$G262,IF(OR(status1B5!AE262=1,status1B5!AE262=2,'BOULEVARD 5'!AG260&gt;0),"Pagado","impago"),""))</f>
        <v/>
      </c>
      <c r="AE262" s="666" t="str">
        <f>IF(OR($A262="F&amp;F",$G262=""),"",IF(AE$8&gt;$G262,IF(OR(status1B5!AF262=1,status1B5!AF262=2,'BOULEVARD 5'!AH260&gt;0),"Pagado","impago"),""))</f>
        <v/>
      </c>
      <c r="AF262" s="666" t="str">
        <f>IF(OR($A262="F&amp;F",$G262=""),"",IF(AF$8&gt;$G262,IF(OR(status1B5!AG262=1,status1B5!AG262=2,'BOULEVARD 5'!AI260&gt;0),"Pagado","impago"),""))</f>
        <v/>
      </c>
      <c r="AG262" s="666" t="str">
        <f>IF(OR($A262="F&amp;F",$G262=""),"",IF(AG$8&gt;$G262,IF(OR(status1B5!AH262=1,status1B5!AH262=2,'BOULEVARD 5'!AJ260&gt;0),"Pagado","impago"),""))</f>
        <v/>
      </c>
      <c r="AH262" s="666" t="str">
        <f>IF(OR($A262="F&amp;F",$G262=""),"",IF(AH$8&gt;$G262,IF(OR(status1B5!AI262=1,status1B5!AI262=2,'BOULEVARD 5'!AK260&gt;0),"Pagado","impago"),""))</f>
        <v/>
      </c>
      <c r="AI262" s="666" t="str">
        <f>IF(OR($A262="F&amp;F",$G262=""),"",IF(AI$8&gt;$G262,IF(OR(status1B5!AJ262=1,status1B5!AJ262=2,'BOULEVARD 5'!AL260&gt;0),"Pagado","impago"),""))</f>
        <v/>
      </c>
      <c r="AJ262" s="666" t="str">
        <f>IF(OR($A262="F&amp;F",$G262=""),"",IF(AJ$8&gt;$G262,IF(OR(status1B5!AK262=1,status1B5!AK262=2,'BOULEVARD 5'!AM260&gt;0),"Pagado","impago"),""))</f>
        <v/>
      </c>
      <c r="AK262" s="666" t="str">
        <f>IF(OR($A262="F&amp;F",$G262=""),"",IF(AK$8&gt;$G262,IF(OR(status1B5!AL262=1,status1B5!AL262=2,'BOULEVARD 5'!AN260&gt;0),"Pagado","impago"),""))</f>
        <v/>
      </c>
      <c r="AL262" s="666" t="str">
        <f>IF(OR($A262="F&amp;F",$G262=""),"",IF(AL$8&gt;$G262,IF(OR(status1B5!AM262=1,status1B5!AM262=2,'BOULEVARD 5'!AO260&gt;0),"Pagado","impago"),""))</f>
        <v/>
      </c>
      <c r="AM262" s="666" t="str">
        <f>IF(OR($A262="F&amp;F",$G262=""),"",IF(AM$8&gt;$G262,IF(OR(status1B5!AN262=1,status1B5!AN262=2,'BOULEVARD 5'!AP260&gt;0),"Pagado","impago"),""))</f>
        <v/>
      </c>
      <c r="AN262" s="666" t="str">
        <f>IF(OR($A262="F&amp;F",$G262=""),"",IF(AN$8&gt;$G262,IF(OR(status1B5!AO262=1,status1B5!AO262=2,'BOULEVARD 5'!AQ260&gt;0),"Pagado","impago"),""))</f>
        <v>Pagado</v>
      </c>
      <c r="AO262" s="666" t="str">
        <f>IF(OR($A262="F&amp;F",$G262=""),"",IF(AO$8&gt;$G262,IF(OR(status1B5!AP262=1,status1B5!AP262=2,'BOULEVARD 5'!AS260&gt;0),"Pagado","impago"),""))</f>
        <v>Pagado</v>
      </c>
      <c r="AP262" s="429" t="str">
        <f t="shared" si="8"/>
        <v>Vendido</v>
      </c>
    </row>
    <row r="263" spans="1:42" s="429" customFormat="1" ht="13.9" customHeight="1" x14ac:dyDescent="0.25">
      <c r="A263" s="472"/>
      <c r="B263" s="436">
        <f>'BOULEVARD 5'!B261</f>
        <v>1502</v>
      </c>
      <c r="C263" s="436" t="s">
        <v>355</v>
      </c>
      <c r="D263" s="436"/>
      <c r="E263" s="482" t="str">
        <f>IF('BOULEVARD 5'!E261="","",'BOULEVARD 5'!E261)</f>
        <v>Sofia Paredes</v>
      </c>
      <c r="F263" s="429" t="str">
        <f>IF('BOULEVARD 5'!F261="","",'BOULEVARD 5'!F261)</f>
        <v>Edgar Benjamín Ramírez Masaya Y Leslie María Ivonne Pivaral Gudiel</v>
      </c>
      <c r="G263" s="473">
        <f>IF('BOULEVARD 5'!G261="","",'BOULEVARD 5'!G261)</f>
        <v>45578</v>
      </c>
      <c r="H263" s="666" t="str">
        <f>IF(OR($A263="F&amp;F",$G263=""),"",IF(H$8&gt;$G263,IF(OR(status1B5!I263=1,status1B5!I263=2,'BOULEVARD 5'!K261&gt;0),"Pagado","impago"),""))</f>
        <v/>
      </c>
      <c r="I263" s="666" t="str">
        <f>IF(OR($A263="F&amp;F",$G263=""),"",IF(I$8&gt;$G263,IF(OR(status1B5!J263=1,status1B5!J263=2,'BOULEVARD 5'!L261&gt;0),"Pagado","impago"),""))</f>
        <v/>
      </c>
      <c r="J263" s="666" t="str">
        <f>IF(OR($A263="F&amp;F",$G263=""),"",IF(J$8&gt;$G263,IF(OR(status1B5!K263=1,status1B5!K263=2,'BOULEVARD 5'!M261&gt;0),"Pagado","impago"),""))</f>
        <v/>
      </c>
      <c r="K263" s="666" t="str">
        <f>IF(OR($A263="F&amp;F",$G263=""),"",IF(K$8&gt;$G263,IF(OR(status1B5!L263=1,status1B5!L263=2,'BOULEVARD 5'!N261&gt;0),"Pagado","impago"),""))</f>
        <v/>
      </c>
      <c r="L263" s="666" t="str">
        <f>IF(OR($A263="F&amp;F",$G263=""),"",IF(L$8&gt;$G263,IF(OR(status1B5!M263=1,status1B5!M263=2,'BOULEVARD 5'!O261&gt;0),"Pagado","impago"),""))</f>
        <v/>
      </c>
      <c r="M263" s="666" t="str">
        <f>IF(OR($A263="F&amp;F",$G263=""),"",IF(M$8&gt;$G263,IF(OR(status1B5!N263=1,status1B5!N263=2,'BOULEVARD 5'!P261&gt;0),"Pagado","impago"),""))</f>
        <v/>
      </c>
      <c r="N263" s="666" t="str">
        <f>IF(OR($A263="F&amp;F",$G263=""),"",IF(N$8&gt;$G263,IF(OR(status1B5!O263=1,status1B5!O263=2,'BOULEVARD 5'!Q261&gt;0),"Pagado","impago"),""))</f>
        <v/>
      </c>
      <c r="O263" s="666" t="str">
        <f>IF(OR($A263="F&amp;F",$G263=""),"",IF(O$8&gt;$G263,IF(OR(status1B5!P263=1,status1B5!P263=2,'BOULEVARD 5'!R261&gt;0),"Pagado","impago"),""))</f>
        <v/>
      </c>
      <c r="P263" s="666" t="str">
        <f>IF(OR($A263="F&amp;F",$G263=""),"",IF(P$8&gt;$G263,IF(OR(status1B5!Q263=1,status1B5!Q263=2,'BOULEVARD 5'!S261&gt;0),"Pagado","impago"),""))</f>
        <v/>
      </c>
      <c r="Q263" s="666" t="str">
        <f>IF(OR($A263="F&amp;F",$G263=""),"",IF(Q$8&gt;$G263,IF(OR(status1B5!R263=1,status1B5!R263=2,'BOULEVARD 5'!T261&gt;0),"Pagado","impago"),""))</f>
        <v/>
      </c>
      <c r="R263" s="666" t="str">
        <f>IF(OR($A263="F&amp;F",$G263=""),"",IF(R$8&gt;$G263,IF(OR(status1B5!S263=1,status1B5!S263=2,'BOULEVARD 5'!U261&gt;0),"Pagado","impago"),""))</f>
        <v/>
      </c>
      <c r="S263" s="666" t="str">
        <f>IF(OR($A263="F&amp;F",$G263=""),"",IF(S$8&gt;$G263,IF(OR(status1B5!T263=1,status1B5!T263=2,'BOULEVARD 5'!V261&gt;0),"Pagado","impago"),""))</f>
        <v/>
      </c>
      <c r="T263" s="666" t="str">
        <f>IF(OR($A263="F&amp;F",$G263=""),"",IF(T$8&gt;$G263,IF(OR(status1B5!U263=1,status1B5!U263=2,'BOULEVARD 5'!W261&gt;0),"Pagado","impago"),""))</f>
        <v/>
      </c>
      <c r="U263" s="666" t="str">
        <f>IF(OR($A263="F&amp;F",$G263=""),"",IF(U$8&gt;$G263,IF(OR(status1B5!V263=1,status1B5!V263=2,'BOULEVARD 5'!X261&gt;0),"Pagado","impago"),""))</f>
        <v/>
      </c>
      <c r="V263" s="666" t="str">
        <f>IF(OR($A263="F&amp;F",$G263=""),"",IF(V$8&gt;$G263,IF(OR(status1B5!W263=1,status1B5!W263=2,'BOULEVARD 5'!Y261&gt;0),"Pagado","impago"),""))</f>
        <v/>
      </c>
      <c r="W263" s="666" t="str">
        <f>IF(OR($A263="F&amp;F",$G263=""),"",IF(W$8&gt;$G263,IF(OR(status1B5!X263=1,status1B5!X263=2,'BOULEVARD 5'!Z261&gt;0),"Pagado","impago"),""))</f>
        <v/>
      </c>
      <c r="X263" s="666" t="str">
        <f>IF(OR($A263="F&amp;F",$G263=""),"",IF(X$8&gt;$G263,IF(OR(status1B5!Y263=1,status1B5!Y263=2,'BOULEVARD 5'!AA261&gt;0),"Pagado","impago"),""))</f>
        <v/>
      </c>
      <c r="Y263" s="666" t="str">
        <f>IF(OR($A263="F&amp;F",$G263=""),"",IF(Y$8&gt;$G263,IF(OR(status1B5!Z263=1,status1B5!Z263=2,'BOULEVARD 5'!AB261&gt;0),"Pagado","impago"),""))</f>
        <v/>
      </c>
      <c r="Z263" s="666" t="str">
        <f>IF(OR($A263="F&amp;F",$G263=""),"",IF(Z$8&gt;$G263,IF(OR(status1B5!AA263=1,status1B5!AA263=2,'BOULEVARD 5'!AC261&gt;0),"Pagado","impago"),""))</f>
        <v/>
      </c>
      <c r="AA263" s="666" t="str">
        <f>IF(OR($A263="F&amp;F",$G263=""),"",IF(AA$8&gt;$G263,IF(OR(status1B5!AB263=1,status1B5!AB263=2,'BOULEVARD 5'!AD261&gt;0),"Pagado","impago"),""))</f>
        <v>Pagado</v>
      </c>
      <c r="AB263" s="666" t="str">
        <f>IF(OR($A263="F&amp;F",$G263=""),"",IF(AB$8&gt;$G263,IF(OR(status1B5!AC263=1,status1B5!AC263=2,'BOULEVARD 5'!AE261&gt;0),"Pagado","impago"),""))</f>
        <v>Pagado</v>
      </c>
      <c r="AC263" s="666" t="str">
        <f>IF(OR($A263="F&amp;F",$G263=""),"",IF(AC$8&gt;$G263,IF(OR(status1B5!AD263=1,status1B5!AD263=2,'BOULEVARD 5'!AF261&gt;0),"Pagado","impago"),""))</f>
        <v>Pagado</v>
      </c>
      <c r="AD263" s="666" t="str">
        <f>IF(OR($A263="F&amp;F",$G263=""),"",IF(AD$8&gt;$G263,IF(OR(status1B5!AE263=1,status1B5!AE263=2,'BOULEVARD 5'!AG261&gt;0),"Pagado","impago"),""))</f>
        <v>Pagado</v>
      </c>
      <c r="AE263" s="666" t="str">
        <f>IF(OR($A263="F&amp;F",$G263=""),"",IF(AE$8&gt;$G263,IF(OR(status1B5!AF263=1,status1B5!AF263=2,'BOULEVARD 5'!AH261&gt;0),"Pagado","impago"),""))</f>
        <v>Pagado</v>
      </c>
      <c r="AF263" s="666" t="str">
        <f>IF(OR($A263="F&amp;F",$G263=""),"",IF(AF$8&gt;$G263,IF(OR(status1B5!AG263=1,status1B5!AG263=2,'BOULEVARD 5'!AI261&gt;0),"Pagado","impago"),""))</f>
        <v>Pagado</v>
      </c>
      <c r="AG263" s="666" t="str">
        <f>IF(OR($A263="F&amp;F",$G263=""),"",IF(AG$8&gt;$G263,IF(OR(status1B5!AH263=1,status1B5!AH263=2,'BOULEVARD 5'!AJ261&gt;0),"Pagado","impago"),""))</f>
        <v>Pagado</v>
      </c>
      <c r="AH263" s="666" t="str">
        <f>IF(OR($A263="F&amp;F",$G263=""),"",IF(AH$8&gt;$G263,IF(OR(status1B5!AI263=1,status1B5!AI263=2,'BOULEVARD 5'!AK261&gt;0),"Pagado","impago"),""))</f>
        <v>Pagado</v>
      </c>
      <c r="AI263" s="666" t="str">
        <f>IF(OR($A263="F&amp;F",$G263=""),"",IF(AI$8&gt;$G263,IF(OR(status1B5!AJ263=1,status1B5!AJ263=2,'BOULEVARD 5'!AL261&gt;0),"Pagado","impago"),""))</f>
        <v>Pagado</v>
      </c>
      <c r="AJ263" s="666" t="str">
        <f>IF(OR($A263="F&amp;F",$G263=""),"",IF(AJ$8&gt;$G263,IF(OR(status1B5!AK263=1,status1B5!AK263=2,'BOULEVARD 5'!AM261&gt;0),"Pagado","impago"),""))</f>
        <v>Pagado</v>
      </c>
      <c r="AK263" s="666" t="str">
        <f>IF(OR($A263="F&amp;F",$G263=""),"",IF(AK$8&gt;$G263,IF(OR(status1B5!AL263=1,status1B5!AL263=2,'BOULEVARD 5'!AN261&gt;0),"Pagado","impago"),""))</f>
        <v>Pagado</v>
      </c>
      <c r="AL263" s="666" t="str">
        <f>IF(OR($A263="F&amp;F",$G263=""),"",IF(AL$8&gt;$G263,IF(OR(status1B5!AM263=1,status1B5!AM263=2,'BOULEVARD 5'!AO261&gt;0),"Pagado","impago"),""))</f>
        <v>Pagado</v>
      </c>
      <c r="AM263" s="666" t="str">
        <f>IF(OR($A263="F&amp;F",$G263=""),"",IF(AM$8&gt;$G263,IF(OR(status1B5!AN263=1,status1B5!AN263=2,'BOULEVARD 5'!AP261&gt;0),"Pagado","impago"),""))</f>
        <v>Pagado</v>
      </c>
      <c r="AN263" s="666" t="str">
        <f>IF(OR($A263="F&amp;F",$G263=""),"",IF(AN$8&gt;$G263,IF(OR(status1B5!AO263=1,status1B5!AO263=2,'BOULEVARD 5'!AQ261&gt;0),"Pagado","impago"),""))</f>
        <v>Pagado</v>
      </c>
      <c r="AO263" s="666" t="str">
        <f>IF(OR($A263="F&amp;F",$G263=""),"",IF(AO$8&gt;$G263,IF(OR(status1B5!AP263=1,status1B5!AP263=2,'BOULEVARD 5'!AS261&gt;0),"Pagado","impago"),""))</f>
        <v>Pagado</v>
      </c>
      <c r="AP263" s="429" t="str">
        <f t="shared" si="8"/>
        <v>Vendido</v>
      </c>
    </row>
    <row r="264" spans="1:42" s="429" customFormat="1" ht="13.9" customHeight="1" x14ac:dyDescent="0.25">
      <c r="A264" s="472" t="s">
        <v>58</v>
      </c>
      <c r="B264" s="475">
        <f>'BOULEVARD 5'!B262</f>
        <v>1503</v>
      </c>
      <c r="C264" s="475" t="s">
        <v>355</v>
      </c>
      <c r="D264" s="475"/>
      <c r="E264" s="475" t="str">
        <f>IF('BOULEVARD 5'!E262="","",'BOULEVARD 5'!E262)</f>
        <v>Brenda Búcaro</v>
      </c>
      <c r="F264" s="476" t="str">
        <f>IF('BOULEVARD 5'!F262="","",'BOULEVARD 5'!F262)</f>
        <v>Emilia Aracely Larrazabal Melgar</v>
      </c>
      <c r="G264" s="473">
        <f>IF('BOULEVARD 5'!G262="","",'BOULEVARD 5'!G262)</f>
        <v>45016</v>
      </c>
      <c r="H264" s="666" t="str">
        <f>IF(OR($A264="F&amp;F",$G264=""),"",IF(H$8&gt;$G264,IF(OR(status1B5!I264=1,status1B5!I264=2,'BOULEVARD 5'!K262&gt;0),"Pagado","impago"),""))</f>
        <v/>
      </c>
      <c r="I264" s="666" t="str">
        <f>IF(OR($A264="F&amp;F",$G264=""),"",IF(I$8&gt;$G264,IF(OR(status1B5!J264=1,status1B5!J264=2,'BOULEVARD 5'!L262&gt;0),"Pagado","impago"),""))</f>
        <v/>
      </c>
      <c r="J264" s="666" t="str">
        <f>IF(OR($A264="F&amp;F",$G264=""),"",IF(J$8&gt;$G264,IF(OR(status1B5!K264=1,status1B5!K264=2,'BOULEVARD 5'!M262&gt;0),"Pagado","impago"),""))</f>
        <v/>
      </c>
      <c r="K264" s="666" t="str">
        <f>IF(OR($A264="F&amp;F",$G264=""),"",IF(K$8&gt;$G264,IF(OR(status1B5!L264=1,status1B5!L264=2,'BOULEVARD 5'!N262&gt;0),"Pagado","impago"),""))</f>
        <v/>
      </c>
      <c r="L264" s="666" t="str">
        <f>IF(OR($A264="F&amp;F",$G264=""),"",IF(L$8&gt;$G264,IF(OR(status1B5!M264=1,status1B5!M264=2,'BOULEVARD 5'!O262&gt;0),"Pagado","impago"),""))</f>
        <v/>
      </c>
      <c r="M264" s="666" t="str">
        <f>IF(OR($A264="F&amp;F",$G264=""),"",IF(M$8&gt;$G264,IF(OR(status1B5!N264=1,status1B5!N264=2,'BOULEVARD 5'!P262&gt;0),"Pagado","impago"),""))</f>
        <v/>
      </c>
      <c r="N264" s="666" t="str">
        <f>IF(OR($A264="F&amp;F",$G264=""),"",IF(N$8&gt;$G264,IF(OR(status1B5!O264=1,status1B5!O264=2,'BOULEVARD 5'!Q262&gt;0),"Pagado","impago"),""))</f>
        <v/>
      </c>
      <c r="O264" s="666" t="str">
        <f>IF(OR($A264="F&amp;F",$G264=""),"",IF(O$8&gt;$G264,IF(OR(status1B5!P264=1,status1B5!P264=2,'BOULEVARD 5'!R262&gt;0),"Pagado","impago"),""))</f>
        <v/>
      </c>
      <c r="P264" s="666" t="str">
        <f>IF(OR($A264="F&amp;F",$G264=""),"",IF(P$8&gt;$G264,IF(OR(status1B5!Q264=1,status1B5!Q264=2,'BOULEVARD 5'!S262&gt;0),"Pagado","impago"),""))</f>
        <v/>
      </c>
      <c r="Q264" s="666" t="str">
        <f>IF(OR($A264="F&amp;F",$G264=""),"",IF(Q$8&gt;$G264,IF(OR(status1B5!R264=1,status1B5!R264=2,'BOULEVARD 5'!T262&gt;0),"Pagado","impago"),""))</f>
        <v/>
      </c>
      <c r="R264" s="666" t="str">
        <f>IF(OR($A264="F&amp;F",$G264=""),"",IF(R$8&gt;$G264,IF(OR(status1B5!S264=1,status1B5!S264=2,'BOULEVARD 5'!U262&gt;0),"Pagado","impago"),""))</f>
        <v/>
      </c>
      <c r="S264" s="666" t="str">
        <f>IF(OR($A264="F&amp;F",$G264=""),"",IF(S$8&gt;$G264,IF(OR(status1B5!T264=1,status1B5!T264=2,'BOULEVARD 5'!V262&gt;0),"Pagado","impago"),""))</f>
        <v/>
      </c>
      <c r="T264" s="666" t="str">
        <f>IF(OR($A264="F&amp;F",$G264=""),"",IF(T$8&gt;$G264,IF(OR(status1B5!U264=1,status1B5!U264=2,'BOULEVARD 5'!W262&gt;0),"Pagado","impago"),""))</f>
        <v/>
      </c>
      <c r="U264" s="666" t="str">
        <f>IF(OR($A264="F&amp;F",$G264=""),"",IF(U$8&gt;$G264,IF(OR(status1B5!V264=1,status1B5!V264=2,'BOULEVARD 5'!X262&gt;0),"Pagado","impago"),""))</f>
        <v/>
      </c>
      <c r="V264" s="666" t="str">
        <f>IF(OR($A264="F&amp;F",$G264=""),"",IF(V$8&gt;$G264,IF(OR(status1B5!W264=1,status1B5!W264=2,'BOULEVARD 5'!Y262&gt;0),"Pagado","impago"),""))</f>
        <v/>
      </c>
      <c r="W264" s="666" t="str">
        <f>IF(OR($A264="F&amp;F",$G264=""),"",IF(W$8&gt;$G264,IF(OR(status1B5!X264=1,status1B5!X264=2,'BOULEVARD 5'!Z262&gt;0),"Pagado","impago"),""))</f>
        <v/>
      </c>
      <c r="X264" s="666" t="str">
        <f>IF(OR($A264="F&amp;F",$G264=""),"",IF(X$8&gt;$G264,IF(OR(status1B5!Y264=1,status1B5!Y264=2,'BOULEVARD 5'!AA262&gt;0),"Pagado","impago"),""))</f>
        <v/>
      </c>
      <c r="Y264" s="666" t="str">
        <f>IF(OR($A264="F&amp;F",$G264=""),"",IF(Y$8&gt;$G264,IF(OR(status1B5!Z264=1,status1B5!Z264=2,'BOULEVARD 5'!AB262&gt;0),"Pagado","impago"),""))</f>
        <v/>
      </c>
      <c r="Z264" s="666" t="str">
        <f>IF(OR($A264="F&amp;F",$G264=""),"",IF(Z$8&gt;$G264,IF(OR(status1B5!AA264=1,status1B5!AA264=2,'BOULEVARD 5'!AC262&gt;0),"Pagado","impago"),""))</f>
        <v/>
      </c>
      <c r="AA264" s="666" t="str">
        <f>IF(OR($A264="F&amp;F",$G264=""),"",IF(AA$8&gt;$G264,IF(OR(status1B5!AB264=1,status1B5!AB264=2,'BOULEVARD 5'!AD262&gt;0),"Pagado","impago"),""))</f>
        <v/>
      </c>
      <c r="AB264" s="666" t="str">
        <f>IF(OR($A264="F&amp;F",$G264=""),"",IF(AB$8&gt;$G264,IF(OR(status1B5!AC264=1,status1B5!AC264=2,'BOULEVARD 5'!AE262&gt;0),"Pagado","impago"),""))</f>
        <v/>
      </c>
      <c r="AC264" s="666" t="str">
        <f>IF(OR($A264="F&amp;F",$G264=""),"",IF(AC$8&gt;$G264,IF(OR(status1B5!AD264=1,status1B5!AD264=2,'BOULEVARD 5'!AF262&gt;0),"Pagado","impago"),""))</f>
        <v/>
      </c>
      <c r="AD264" s="666" t="str">
        <f>IF(OR($A264="F&amp;F",$G264=""),"",IF(AD$8&gt;$G264,IF(OR(status1B5!AE264=1,status1B5!AE264=2,'BOULEVARD 5'!AG262&gt;0),"Pagado","impago"),""))</f>
        <v/>
      </c>
      <c r="AE264" s="666" t="str">
        <f>IF(OR($A264="F&amp;F",$G264=""),"",IF(AE$8&gt;$G264,IF(OR(status1B5!AF264=1,status1B5!AF264=2,'BOULEVARD 5'!AH262&gt;0),"Pagado","impago"),""))</f>
        <v/>
      </c>
      <c r="AF264" s="666" t="str">
        <f>IF(OR($A264="F&amp;F",$G264=""),"",IF(AF$8&gt;$G264,IF(OR(status1B5!AG264=1,status1B5!AG264=2,'BOULEVARD 5'!AI262&gt;0),"Pagado","impago"),""))</f>
        <v/>
      </c>
      <c r="AG264" s="666" t="str">
        <f>IF(OR($A264="F&amp;F",$G264=""),"",IF(AG$8&gt;$G264,IF(OR(status1B5!AH264=1,status1B5!AH264=2,'BOULEVARD 5'!AJ262&gt;0),"Pagado","impago"),""))</f>
        <v/>
      </c>
      <c r="AH264" s="666" t="str">
        <f>IF(OR($A264="F&amp;F",$G264=""),"",IF(AH$8&gt;$G264,IF(OR(status1B5!AI264=1,status1B5!AI264=2,'BOULEVARD 5'!AK262&gt;0),"Pagado","impago"),""))</f>
        <v/>
      </c>
      <c r="AI264" s="666" t="str">
        <f>IF(OR($A264="F&amp;F",$G264=""),"",IF(AI$8&gt;$G264,IF(OR(status1B5!AJ264=1,status1B5!AJ264=2,'BOULEVARD 5'!AL262&gt;0),"Pagado","impago"),""))</f>
        <v/>
      </c>
      <c r="AJ264" s="666" t="str">
        <f>IF(OR($A264="F&amp;F",$G264=""),"",IF(AJ$8&gt;$G264,IF(OR(status1B5!AK264=1,status1B5!AK264=2,'BOULEVARD 5'!AM262&gt;0),"Pagado","impago"),""))</f>
        <v/>
      </c>
      <c r="AK264" s="666" t="str">
        <f>IF(OR($A264="F&amp;F",$G264=""),"",IF(AK$8&gt;$G264,IF(OR(status1B5!AL264=1,status1B5!AL264=2,'BOULEVARD 5'!AN262&gt;0),"Pagado","impago"),""))</f>
        <v/>
      </c>
      <c r="AL264" s="666" t="str">
        <f>IF(OR($A264="F&amp;F",$G264=""),"",IF(AL$8&gt;$G264,IF(OR(status1B5!AM264=1,status1B5!AM264=2,'BOULEVARD 5'!AO262&gt;0),"Pagado","impago"),""))</f>
        <v/>
      </c>
      <c r="AM264" s="666" t="str">
        <f>IF(OR($A264="F&amp;F",$G264=""),"",IF(AM$8&gt;$G264,IF(OR(status1B5!AN264=1,status1B5!AN264=2,'BOULEVARD 5'!AP262&gt;0),"Pagado","impago"),""))</f>
        <v/>
      </c>
      <c r="AN264" s="666" t="str">
        <f>IF(OR($A264="F&amp;F",$G264=""),"",IF(AN$8&gt;$G264,IF(OR(status1B5!AO264=1,status1B5!AO264=2,'BOULEVARD 5'!AQ262&gt;0),"Pagado","impago"),""))</f>
        <v/>
      </c>
      <c r="AO264" s="666" t="str">
        <f>IF(OR($A264="F&amp;F",$G264=""),"",IF(AO$8&gt;$G264,IF(OR(status1B5!AP264=1,status1B5!AP264=2,'BOULEVARD 5'!AS262&gt;0),"Pagado","impago"),""))</f>
        <v/>
      </c>
      <c r="AP264" s="429" t="str">
        <f t="shared" si="8"/>
        <v>Vendido</v>
      </c>
    </row>
    <row r="265" spans="1:42" s="429" customFormat="1" ht="13.9" customHeight="1" x14ac:dyDescent="0.25">
      <c r="A265" s="472"/>
      <c r="B265" s="436">
        <f>'BOULEVARD 5'!B263</f>
        <v>1504</v>
      </c>
      <c r="C265" s="436" t="s">
        <v>355</v>
      </c>
      <c r="D265" s="436"/>
      <c r="E265" s="436" t="str">
        <f>IF('BOULEVARD 5'!E263="","",'BOULEVARD 5'!E263)</f>
        <v>Jose Franco</v>
      </c>
      <c r="F265" s="429" t="str">
        <f>IF('BOULEVARD 5'!F263="","",'BOULEVARD 5'!F263)</f>
        <v>Berta Eugenia Morales López</v>
      </c>
      <c r="G265" s="473">
        <f>IF('BOULEVARD 5'!G263="","",'BOULEVARD 5'!G263)</f>
        <v>45068</v>
      </c>
      <c r="H265" s="666" t="str">
        <f>IF(OR($A265="F&amp;F",$G265=""),"",IF(H$8&gt;$G265,IF(OR(status1B5!I265=1,status1B5!I265=2,'BOULEVARD 5'!K263&gt;0),"Pagado","impago"),""))</f>
        <v/>
      </c>
      <c r="I265" s="666" t="str">
        <f>IF(OR($A265="F&amp;F",$G265=""),"",IF(I$8&gt;$G265,IF(OR(status1B5!J265=1,status1B5!J265=2,'BOULEVARD 5'!L263&gt;0),"Pagado","impago"),""))</f>
        <v/>
      </c>
      <c r="J265" s="666" t="str">
        <f>IF(OR($A265="F&amp;F",$G265=""),"",IF(J$8&gt;$G265,IF(OR(status1B5!K265=1,status1B5!K265=2,'BOULEVARD 5'!M263&gt;0),"Pagado","impago"),""))</f>
        <v>Pagado</v>
      </c>
      <c r="K265" s="666" t="str">
        <f>IF(OR($A265="F&amp;F",$G265=""),"",IF(K$8&gt;$G265,IF(OR(status1B5!L265=1,status1B5!L265=2,'BOULEVARD 5'!N263&gt;0),"Pagado","impago"),""))</f>
        <v>Pagado</v>
      </c>
      <c r="L265" s="666" t="str">
        <f>IF(OR($A265="F&amp;F",$G265=""),"",IF(L$8&gt;$G265,IF(OR(status1B5!M265=1,status1B5!M265=2,'BOULEVARD 5'!O263&gt;0),"Pagado","impago"),""))</f>
        <v>Pagado</v>
      </c>
      <c r="M265" s="666" t="str">
        <f>IF(OR($A265="F&amp;F",$G265=""),"",IF(M$8&gt;$G265,IF(OR(status1B5!N265=1,status1B5!N265=2,'BOULEVARD 5'!P263&gt;0),"Pagado","impago"),""))</f>
        <v>Pagado</v>
      </c>
      <c r="N265" s="666" t="str">
        <f>IF(OR($A265="F&amp;F",$G265=""),"",IF(N$8&gt;$G265,IF(OR(status1B5!O265=1,status1B5!O265=2,'BOULEVARD 5'!Q263&gt;0),"Pagado","impago"),""))</f>
        <v>Pagado</v>
      </c>
      <c r="O265" s="666" t="str">
        <f>IF(OR($A265="F&amp;F",$G265=""),"",IF(O$8&gt;$G265,IF(OR(status1B5!P265=1,status1B5!P265=2,'BOULEVARD 5'!R263&gt;0),"Pagado","impago"),""))</f>
        <v>Pagado</v>
      </c>
      <c r="P265" s="666" t="str">
        <f>IF(OR($A265="F&amp;F",$G265=""),"",IF(P$8&gt;$G265,IF(OR(status1B5!Q265=1,status1B5!Q265=2,'BOULEVARD 5'!S263&gt;0),"Pagado","impago"),""))</f>
        <v>Pagado</v>
      </c>
      <c r="Q265" s="666" t="str">
        <f>IF(OR($A265="F&amp;F",$G265=""),"",IF(Q$8&gt;$G265,IF(OR(status1B5!R265=1,status1B5!R265=2,'BOULEVARD 5'!T263&gt;0),"Pagado","impago"),""))</f>
        <v>Pagado</v>
      </c>
      <c r="R265" s="666" t="str">
        <f>IF(OR($A265="F&amp;F",$G265=""),"",IF(R$8&gt;$G265,IF(OR(status1B5!S265=1,status1B5!S265=2,'BOULEVARD 5'!U263&gt;0),"Pagado","impago"),""))</f>
        <v>Pagado</v>
      </c>
      <c r="S265" s="666" t="str">
        <f>IF(OR($A265="F&amp;F",$G265=""),"",IF(S$8&gt;$G265,IF(OR(status1B5!T265=1,status1B5!T265=2,'BOULEVARD 5'!V263&gt;0),"Pagado","impago"),""))</f>
        <v>Pagado</v>
      </c>
      <c r="T265" s="666" t="str">
        <f>IF(OR($A265="F&amp;F",$G265=""),"",IF(T$8&gt;$G265,IF(OR(status1B5!U265=1,status1B5!U265=2,'BOULEVARD 5'!W263&gt;0),"Pagado","impago"),""))</f>
        <v>Pagado</v>
      </c>
      <c r="U265" s="666" t="str">
        <f>IF(OR($A265="F&amp;F",$G265=""),"",IF(U$8&gt;$G265,IF(OR(status1B5!V265=1,status1B5!V265=2,'BOULEVARD 5'!X263&gt;0),"Pagado","impago"),""))</f>
        <v>Pagado</v>
      </c>
      <c r="V265" s="666" t="str">
        <f>IF(OR($A265="F&amp;F",$G265=""),"",IF(V$8&gt;$G265,IF(OR(status1B5!W265=1,status1B5!W265=2,'BOULEVARD 5'!Y263&gt;0),"Pagado","impago"),""))</f>
        <v>Pagado</v>
      </c>
      <c r="W265" s="666" t="str">
        <f>IF(OR($A265="F&amp;F",$G265=""),"",IF(W$8&gt;$G265,IF(OR(status1B5!X265=1,status1B5!X265=2,'BOULEVARD 5'!Z263&gt;0),"Pagado","impago"),""))</f>
        <v>Pagado</v>
      </c>
      <c r="X265" s="666" t="str">
        <f>IF(OR($A265="F&amp;F",$G265=""),"",IF(X$8&gt;$G265,IF(OR(status1B5!Y265=1,status1B5!Y265=2,'BOULEVARD 5'!AA263&gt;0),"Pagado","impago"),""))</f>
        <v>Pagado</v>
      </c>
      <c r="Y265" s="666" t="str">
        <f>IF(OR($A265="F&amp;F",$G265=""),"",IF(Y$8&gt;$G265,IF(OR(status1B5!Z265=1,status1B5!Z265=2,'BOULEVARD 5'!AB263&gt;0),"Pagado","impago"),""))</f>
        <v>Pagado</v>
      </c>
      <c r="Z265" s="666" t="str">
        <f>IF(OR($A265="F&amp;F",$G265=""),"",IF(Z$8&gt;$G265,IF(OR(status1B5!AA265=1,status1B5!AA265=2,'BOULEVARD 5'!AC263&gt;0),"Pagado","impago"),""))</f>
        <v>Pagado</v>
      </c>
      <c r="AA265" s="666" t="str">
        <f>IF(OR($A265="F&amp;F",$G265=""),"",IF(AA$8&gt;$G265,IF(OR(status1B5!AB265=1,status1B5!AB265=2,'BOULEVARD 5'!AD263&gt;0),"Pagado","impago"),""))</f>
        <v>Pagado</v>
      </c>
      <c r="AB265" s="666" t="str">
        <f>IF(OR($A265="F&amp;F",$G265=""),"",IF(AB$8&gt;$G265,IF(OR(status1B5!AC265=1,status1B5!AC265=2,'BOULEVARD 5'!AE263&gt;0),"Pagado","impago"),""))</f>
        <v>Pagado</v>
      </c>
      <c r="AC265" s="666" t="str">
        <f>IF(OR($A265="F&amp;F",$G265=""),"",IF(AC$8&gt;$G265,IF(OR(status1B5!AD265=1,status1B5!AD265=2,'BOULEVARD 5'!AF263&gt;0),"Pagado","impago"),""))</f>
        <v>Pagado</v>
      </c>
      <c r="AD265" s="666" t="str">
        <f>IF(OR($A265="F&amp;F",$G265=""),"",IF(AD$8&gt;$G265,IF(OR(status1B5!AE265=1,status1B5!AE265=2,'BOULEVARD 5'!AG263&gt;0),"Pagado","impago"),""))</f>
        <v>Pagado</v>
      </c>
      <c r="AE265" s="666" t="str">
        <f>IF(OR($A265="F&amp;F",$G265=""),"",IF(AE$8&gt;$G265,IF(OR(status1B5!AF265=1,status1B5!AF265=2,'BOULEVARD 5'!AH263&gt;0),"Pagado","impago"),""))</f>
        <v>Pagado</v>
      </c>
      <c r="AF265" s="666" t="str">
        <f>IF(OR($A265="F&amp;F",$G265=""),"",IF(AF$8&gt;$G265,IF(OR(status1B5!AG265=1,status1B5!AG265=2,'BOULEVARD 5'!AI263&gt;0),"Pagado","impago"),""))</f>
        <v>Pagado</v>
      </c>
      <c r="AG265" s="666" t="str">
        <f>IF(OR($A265="F&amp;F",$G265=""),"",IF(AG$8&gt;$G265,IF(OR(status1B5!AH265=1,status1B5!AH265=2,'BOULEVARD 5'!AJ263&gt;0),"Pagado","impago"),""))</f>
        <v>Pagado</v>
      </c>
      <c r="AH265" s="666" t="str">
        <f>IF(OR($A265="F&amp;F",$G265=""),"",IF(AH$8&gt;$G265,IF(OR(status1B5!AI265=1,status1B5!AI265=2,'BOULEVARD 5'!AK263&gt;0),"Pagado","impago"),""))</f>
        <v>Pagado</v>
      </c>
      <c r="AI265" s="666" t="str">
        <f>IF(OR($A265="F&amp;F",$G265=""),"",IF(AI$8&gt;$G265,IF(OR(status1B5!AJ265=1,status1B5!AJ265=2,'BOULEVARD 5'!AL263&gt;0),"Pagado","impago"),""))</f>
        <v>Pagado</v>
      </c>
      <c r="AJ265" s="666" t="str">
        <f>IF(OR($A265="F&amp;F",$G265=""),"",IF(AJ$8&gt;$G265,IF(OR(status1B5!AK265=1,status1B5!AK265=2,'BOULEVARD 5'!AM263&gt;0),"Pagado","impago"),""))</f>
        <v>Pagado</v>
      </c>
      <c r="AK265" s="666" t="str">
        <f>IF(OR($A265="F&amp;F",$G265=""),"",IF(AK$8&gt;$G265,IF(OR(status1B5!AL265=1,status1B5!AL265=2,'BOULEVARD 5'!AN263&gt;0),"Pagado","impago"),""))</f>
        <v>Pagado</v>
      </c>
      <c r="AL265" s="666" t="str">
        <f>IF(OR($A265="F&amp;F",$G265=""),"",IF(AL$8&gt;$G265,IF(OR(status1B5!AM265=1,status1B5!AM265=2,'BOULEVARD 5'!AO263&gt;0),"Pagado","impago"),""))</f>
        <v>Pagado</v>
      </c>
      <c r="AM265" s="666" t="str">
        <f>IF(OR($A265="F&amp;F",$G265=""),"",IF(AM$8&gt;$G265,IF(OR(status1B5!AN265=1,status1B5!AN265=2,'BOULEVARD 5'!AP263&gt;0),"Pagado","impago"),""))</f>
        <v>Pagado</v>
      </c>
      <c r="AN265" s="666" t="str">
        <f>IF(OR($A265="F&amp;F",$G265=""),"",IF(AN$8&gt;$G265,IF(OR(status1B5!AO265=1,status1B5!AO265=2,'BOULEVARD 5'!AQ263&gt;0),"Pagado","impago"),""))</f>
        <v>Pagado</v>
      </c>
      <c r="AO265" s="666" t="str">
        <f>IF(OR($A265="F&amp;F",$G265=""),"",IF(AO$8&gt;$G265,IF(OR(status1B5!AP265=1,status1B5!AP265=2,'BOULEVARD 5'!AS263&gt;0),"Pagado","impago"),""))</f>
        <v>Pagado</v>
      </c>
      <c r="AP265" s="429" t="str">
        <f t="shared" ref="AP265:AP306" si="9">IF(G265="","No Vendido","Vendido")</f>
        <v>Vendido</v>
      </c>
    </row>
    <row r="266" spans="1:42" s="429" customFormat="1" ht="13.9" customHeight="1" x14ac:dyDescent="0.25">
      <c r="A266" s="472"/>
      <c r="B266" s="436">
        <f>'BOULEVARD 5'!B264</f>
        <v>1505</v>
      </c>
      <c r="C266" s="436" t="s">
        <v>355</v>
      </c>
      <c r="D266" s="436"/>
      <c r="E266" s="436" t="str">
        <f>IF('BOULEVARD 5'!E264="","",'BOULEVARD 5'!E264)</f>
        <v>Antonio Rada</v>
      </c>
      <c r="F266" s="429" t="str">
        <f>IF('BOULEVARD 5'!F264="","",'BOULEVARD 5'!F264)</f>
        <v>Daniel Alvarez Alvarez</v>
      </c>
      <c r="G266" s="473">
        <f>IF('BOULEVARD 5'!G264="","",'BOULEVARD 5'!G264)</f>
        <v>45491</v>
      </c>
      <c r="H266" s="666" t="str">
        <f>IF(OR($A266="F&amp;F",$G266=""),"",IF(H$8&gt;$G266,IF(OR(status1B5!I266=1,status1B5!I266=2,'BOULEVARD 5'!K264&gt;0),"Pagado","impago"),""))</f>
        <v/>
      </c>
      <c r="I266" s="666" t="str">
        <f>IF(OR($A266="F&amp;F",$G266=""),"",IF(I$8&gt;$G266,IF(OR(status1B5!J266=1,status1B5!J266=2,'BOULEVARD 5'!L264&gt;0),"Pagado","impago"),""))</f>
        <v/>
      </c>
      <c r="J266" s="666" t="str">
        <f>IF(OR($A266="F&amp;F",$G266=""),"",IF(J$8&gt;$G266,IF(OR(status1B5!K266=1,status1B5!K266=2,'BOULEVARD 5'!M264&gt;0),"Pagado","impago"),""))</f>
        <v/>
      </c>
      <c r="K266" s="666" t="str">
        <f>IF(OR($A266="F&amp;F",$G266=""),"",IF(K$8&gt;$G266,IF(OR(status1B5!L266=1,status1B5!L266=2,'BOULEVARD 5'!N264&gt;0),"Pagado","impago"),""))</f>
        <v/>
      </c>
      <c r="L266" s="666" t="str">
        <f>IF(OR($A266="F&amp;F",$G266=""),"",IF(L$8&gt;$G266,IF(OR(status1B5!M266=1,status1B5!M266=2,'BOULEVARD 5'!O264&gt;0),"Pagado","impago"),""))</f>
        <v/>
      </c>
      <c r="M266" s="666" t="str">
        <f>IF(OR($A266="F&amp;F",$G266=""),"",IF(M$8&gt;$G266,IF(OR(status1B5!N266=1,status1B5!N266=2,'BOULEVARD 5'!P264&gt;0),"Pagado","impago"),""))</f>
        <v/>
      </c>
      <c r="N266" s="666" t="str">
        <f>IF(OR($A266="F&amp;F",$G266=""),"",IF(N$8&gt;$G266,IF(OR(status1B5!O266=1,status1B5!O266=2,'BOULEVARD 5'!Q264&gt;0),"Pagado","impago"),""))</f>
        <v/>
      </c>
      <c r="O266" s="666" t="str">
        <f>IF(OR($A266="F&amp;F",$G266=""),"",IF(O$8&gt;$G266,IF(OR(status1B5!P266=1,status1B5!P266=2,'BOULEVARD 5'!R264&gt;0),"Pagado","impago"),""))</f>
        <v/>
      </c>
      <c r="P266" s="666" t="str">
        <f>IF(OR($A266="F&amp;F",$G266=""),"",IF(P$8&gt;$G266,IF(OR(status1B5!Q266=1,status1B5!Q266=2,'BOULEVARD 5'!S264&gt;0),"Pagado","impago"),""))</f>
        <v/>
      </c>
      <c r="Q266" s="666" t="str">
        <f>IF(OR($A266="F&amp;F",$G266=""),"",IF(Q$8&gt;$G266,IF(OR(status1B5!R266=1,status1B5!R266=2,'BOULEVARD 5'!T264&gt;0),"Pagado","impago"),""))</f>
        <v/>
      </c>
      <c r="R266" s="666" t="str">
        <f>IF(OR($A266="F&amp;F",$G266=""),"",IF(R$8&gt;$G266,IF(OR(status1B5!S266=1,status1B5!S266=2,'BOULEVARD 5'!U264&gt;0),"Pagado","impago"),""))</f>
        <v/>
      </c>
      <c r="S266" s="666" t="str">
        <f>IF(OR($A266="F&amp;F",$G266=""),"",IF(S$8&gt;$G266,IF(OR(status1B5!T266=1,status1B5!T266=2,'BOULEVARD 5'!V264&gt;0),"Pagado","impago"),""))</f>
        <v/>
      </c>
      <c r="T266" s="666" t="str">
        <f>IF(OR($A266="F&amp;F",$G266=""),"",IF(T$8&gt;$G266,IF(OR(status1B5!U266=1,status1B5!U266=2,'BOULEVARD 5'!W264&gt;0),"Pagado","impago"),""))</f>
        <v/>
      </c>
      <c r="U266" s="666" t="str">
        <f>IF(OR($A266="F&amp;F",$G266=""),"",IF(U$8&gt;$G266,IF(OR(status1B5!V266=1,status1B5!V266=2,'BOULEVARD 5'!X264&gt;0),"Pagado","impago"),""))</f>
        <v/>
      </c>
      <c r="V266" s="666" t="str">
        <f>IF(OR($A266="F&amp;F",$G266=""),"",IF(V$8&gt;$G266,IF(OR(status1B5!W266=1,status1B5!W266=2,'BOULEVARD 5'!Y264&gt;0),"Pagado","impago"),""))</f>
        <v/>
      </c>
      <c r="W266" s="666" t="str">
        <f>IF(OR($A266="F&amp;F",$G266=""),"",IF(W$8&gt;$G266,IF(OR(status1B5!X266=1,status1B5!X266=2,'BOULEVARD 5'!Z264&gt;0),"Pagado","impago"),""))</f>
        <v/>
      </c>
      <c r="X266" s="666" t="str">
        <f>IF(OR($A266="F&amp;F",$G266=""),"",IF(X$8&gt;$G266,IF(OR(status1B5!Y266=1,status1B5!Y266=2,'BOULEVARD 5'!AA264&gt;0),"Pagado","impago"),""))</f>
        <v>Pagado</v>
      </c>
      <c r="Y266" s="666" t="str">
        <f>IF(OR($A266="F&amp;F",$G266=""),"",IF(Y$8&gt;$G266,IF(OR(status1B5!Z266=1,status1B5!Z266=2,'BOULEVARD 5'!AB264&gt;0),"Pagado","impago"),""))</f>
        <v>Pagado</v>
      </c>
      <c r="Z266" s="666" t="str">
        <f>IF(OR($A266="F&amp;F",$G266=""),"",IF(Z$8&gt;$G266,IF(OR(status1B5!AA266=1,status1B5!AA266=2,'BOULEVARD 5'!AC264&gt;0),"Pagado","impago"),""))</f>
        <v>Pagado</v>
      </c>
      <c r="AA266" s="666" t="str">
        <f>IF(OR($A266="F&amp;F",$G266=""),"",IF(AA$8&gt;$G266,IF(OR(status1B5!AB266=1,status1B5!AB266=2,'BOULEVARD 5'!AD264&gt;0),"Pagado","impago"),""))</f>
        <v>Pagado</v>
      </c>
      <c r="AB266" s="666" t="str">
        <f>IF(OR($A266="F&amp;F",$G266=""),"",IF(AB$8&gt;$G266,IF(OR(status1B5!AC266=1,status1B5!AC266=2,'BOULEVARD 5'!AE264&gt;0),"Pagado","impago"),""))</f>
        <v>Pagado</v>
      </c>
      <c r="AC266" s="666" t="str">
        <f>IF(OR($A266="F&amp;F",$G266=""),"",IF(AC$8&gt;$G266,IF(OR(status1B5!AD266=1,status1B5!AD266=2,'BOULEVARD 5'!AF264&gt;0),"Pagado","impago"),""))</f>
        <v>Pagado</v>
      </c>
      <c r="AD266" s="666" t="str">
        <f>IF(OR($A266="F&amp;F",$G266=""),"",IF(AD$8&gt;$G266,IF(OR(status1B5!AE266=1,status1B5!AE266=2,'BOULEVARD 5'!AG264&gt;0),"Pagado","impago"),""))</f>
        <v>Pagado</v>
      </c>
      <c r="AE266" s="666" t="str">
        <f>IF(OR($A266="F&amp;F",$G266=""),"",IF(AE$8&gt;$G266,IF(OR(status1B5!AF266=1,status1B5!AF266=2,'BOULEVARD 5'!AH264&gt;0),"Pagado","impago"),""))</f>
        <v>Pagado</v>
      </c>
      <c r="AF266" s="666" t="str">
        <f>IF(OR($A266="F&amp;F",$G266=""),"",IF(AF$8&gt;$G266,IF(OR(status1B5!AG266=1,status1B5!AG266=2,'BOULEVARD 5'!AI264&gt;0),"Pagado","impago"),""))</f>
        <v>Pagado</v>
      </c>
      <c r="AG266" s="666" t="str">
        <f>IF(OR($A266="F&amp;F",$G266=""),"",IF(AG$8&gt;$G266,IF(OR(status1B5!AH266=1,status1B5!AH266=2,'BOULEVARD 5'!AJ264&gt;0),"Pagado","impago"),""))</f>
        <v>Pagado</v>
      </c>
      <c r="AH266" s="666" t="str">
        <f>IF(OR($A266="F&amp;F",$G266=""),"",IF(AH$8&gt;$G266,IF(OR(status1B5!AI266=1,status1B5!AI266=2,'BOULEVARD 5'!AK264&gt;0),"Pagado","impago"),""))</f>
        <v>Pagado</v>
      </c>
      <c r="AI266" s="666" t="str">
        <f>IF(OR($A266="F&amp;F",$G266=""),"",IF(AI$8&gt;$G266,IF(OR(status1B5!AJ266=1,status1B5!AJ266=2,'BOULEVARD 5'!AL264&gt;0),"Pagado","impago"),""))</f>
        <v>Pagado</v>
      </c>
      <c r="AJ266" s="666" t="str">
        <f>IF(OR($A266="F&amp;F",$G266=""),"",IF(AJ$8&gt;$G266,IF(OR(status1B5!AK266=1,status1B5!AK266=2,'BOULEVARD 5'!AM264&gt;0),"Pagado","impago"),""))</f>
        <v>Pagado</v>
      </c>
      <c r="AK266" s="666" t="str">
        <f>IF(OR($A266="F&amp;F",$G266=""),"",IF(AK$8&gt;$G266,IF(OR(status1B5!AL266=1,status1B5!AL266=2,'BOULEVARD 5'!AN264&gt;0),"Pagado","impago"),""))</f>
        <v>Pagado</v>
      </c>
      <c r="AL266" s="666" t="str">
        <f>IF(OR($A266="F&amp;F",$G266=""),"",IF(AL$8&gt;$G266,IF(OR(status1B5!AM266=1,status1B5!AM266=2,'BOULEVARD 5'!AO264&gt;0),"Pagado","impago"),""))</f>
        <v>Pagado</v>
      </c>
      <c r="AM266" s="666" t="str">
        <f>IF(OR($A266="F&amp;F",$G266=""),"",IF(AM$8&gt;$G266,IF(OR(status1B5!AN266=1,status1B5!AN266=2,'BOULEVARD 5'!AP264&gt;0),"Pagado","impago"),""))</f>
        <v>Pagado</v>
      </c>
      <c r="AN266" s="666" t="str">
        <f>IF(OR($A266="F&amp;F",$G266=""),"",IF(AN$8&gt;$G266,IF(OR(status1B5!AO266=1,status1B5!AO266=2,'BOULEVARD 5'!AQ264&gt;0),"Pagado","impago"),""))</f>
        <v>Pagado</v>
      </c>
      <c r="AO266" s="666" t="str">
        <f>IF(OR($A266="F&amp;F",$G266=""),"",IF(AO$8&gt;$G266,IF(OR(status1B5!AP266=1,status1B5!AP266=2,'BOULEVARD 5'!AS264&gt;0),"Pagado","impago"),""))</f>
        <v>Pagado</v>
      </c>
      <c r="AP266" s="429" t="str">
        <f t="shared" si="9"/>
        <v>Vendido</v>
      </c>
    </row>
    <row r="267" spans="1:42" s="429" customFormat="1" ht="13.9" customHeight="1" x14ac:dyDescent="0.25">
      <c r="B267" s="436">
        <f>'BOULEVARD 5'!B265</f>
        <v>1506</v>
      </c>
      <c r="C267" s="436" t="s">
        <v>355</v>
      </c>
      <c r="D267" s="436"/>
      <c r="E267" s="436" t="str">
        <f>IF('BOULEVARD 5'!E265="","",'BOULEVARD 5'!E265)</f>
        <v/>
      </c>
      <c r="F267" s="429" t="str">
        <f>IF('BOULEVARD 5'!F265="","",'BOULEVARD 5'!F265)</f>
        <v/>
      </c>
      <c r="G267" s="473" t="str">
        <f>IF('BOULEVARD 5'!G265="","",'BOULEVARD 5'!G265)</f>
        <v/>
      </c>
      <c r="H267" s="666" t="str">
        <f>IF(OR($A267="F&amp;F",$G267=""),"",IF(H$8&gt;$G267,IF(OR(status1B5!I267=1,status1B5!I267=2,'BOULEVARD 5'!K265&gt;0),"Pagado","impago"),""))</f>
        <v/>
      </c>
      <c r="I267" s="666" t="str">
        <f>IF(OR($A267="F&amp;F",$G267=""),"",IF(I$8&gt;$G267,IF(OR(status1B5!J267=1,status1B5!J267=2,'BOULEVARD 5'!L265&gt;0),"Pagado","impago"),""))</f>
        <v/>
      </c>
      <c r="J267" s="666" t="str">
        <f>IF(OR($A267="F&amp;F",$G267=""),"",IF(J$8&gt;$G267,IF(OR(status1B5!K267=1,status1B5!K267=2,'BOULEVARD 5'!M265&gt;0),"Pagado","impago"),""))</f>
        <v/>
      </c>
      <c r="K267" s="666" t="str">
        <f>IF(OR($A267="F&amp;F",$G267=""),"",IF(K$8&gt;$G267,IF(OR(status1B5!L267=1,status1B5!L267=2,'BOULEVARD 5'!N265&gt;0),"Pagado","impago"),""))</f>
        <v/>
      </c>
      <c r="L267" s="666" t="str">
        <f>IF(OR($A267="F&amp;F",$G267=""),"",IF(L$8&gt;$G267,IF(OR(status1B5!M267=1,status1B5!M267=2,'BOULEVARD 5'!O265&gt;0),"Pagado","impago"),""))</f>
        <v/>
      </c>
      <c r="M267" s="666" t="str">
        <f>IF(OR($A267="F&amp;F",$G267=""),"",IF(M$8&gt;$G267,IF(OR(status1B5!N267=1,status1B5!N267=2,'BOULEVARD 5'!P265&gt;0),"Pagado","impago"),""))</f>
        <v/>
      </c>
      <c r="N267" s="666" t="str">
        <f>IF(OR($A267="F&amp;F",$G267=""),"",IF(N$8&gt;$G267,IF(OR(status1B5!O267=1,status1B5!O267=2,'BOULEVARD 5'!Q265&gt;0),"Pagado","impago"),""))</f>
        <v/>
      </c>
      <c r="O267" s="666" t="str">
        <f>IF(OR($A267="F&amp;F",$G267=""),"",IF(O$8&gt;$G267,IF(OR(status1B5!P267=1,status1B5!P267=2,'BOULEVARD 5'!R265&gt;0),"Pagado","impago"),""))</f>
        <v/>
      </c>
      <c r="P267" s="666" t="str">
        <f>IF(OR($A267="F&amp;F",$G267=""),"",IF(P$8&gt;$G267,IF(OR(status1B5!Q267=1,status1B5!Q267=2,'BOULEVARD 5'!S265&gt;0),"Pagado","impago"),""))</f>
        <v/>
      </c>
      <c r="Q267" s="666" t="str">
        <f>IF(OR($A267="F&amp;F",$G267=""),"",IF(Q$8&gt;$G267,IF(OR(status1B5!R267=1,status1B5!R267=2,'BOULEVARD 5'!T265&gt;0),"Pagado","impago"),""))</f>
        <v/>
      </c>
      <c r="R267" s="666" t="str">
        <f>IF(OR($A267="F&amp;F",$G267=""),"",IF(R$8&gt;$G267,IF(OR(status1B5!S267=1,status1B5!S267=2,'BOULEVARD 5'!U265&gt;0),"Pagado","impago"),""))</f>
        <v/>
      </c>
      <c r="S267" s="666" t="str">
        <f>IF(OR($A267="F&amp;F",$G267=""),"",IF(S$8&gt;$G267,IF(OR(status1B5!T267=1,status1B5!T267=2,'BOULEVARD 5'!V265&gt;0),"Pagado","impago"),""))</f>
        <v/>
      </c>
      <c r="T267" s="666" t="str">
        <f>IF(OR($A267="F&amp;F",$G267=""),"",IF(T$8&gt;$G267,IF(OR(status1B5!U267=1,status1B5!U267=2,'BOULEVARD 5'!W265&gt;0),"Pagado","impago"),""))</f>
        <v/>
      </c>
      <c r="U267" s="666" t="str">
        <f>IF(OR($A267="F&amp;F",$G267=""),"",IF(U$8&gt;$G267,IF(OR(status1B5!V267=1,status1B5!V267=2,'BOULEVARD 5'!X265&gt;0),"Pagado","impago"),""))</f>
        <v/>
      </c>
      <c r="V267" s="666" t="str">
        <f>IF(OR($A267="F&amp;F",$G267=""),"",IF(V$8&gt;$G267,IF(OR(status1B5!W267=1,status1B5!W267=2,'BOULEVARD 5'!Y265&gt;0),"Pagado","impago"),""))</f>
        <v/>
      </c>
      <c r="W267" s="666" t="str">
        <f>IF(OR($A267="F&amp;F",$G267=""),"",IF(W$8&gt;$G267,IF(OR(status1B5!X267=1,status1B5!X267=2,'BOULEVARD 5'!Z265&gt;0),"Pagado","impago"),""))</f>
        <v/>
      </c>
      <c r="X267" s="666" t="str">
        <f>IF(OR($A267="F&amp;F",$G267=""),"",IF(X$8&gt;$G267,IF(OR(status1B5!Y267=1,status1B5!Y267=2,'BOULEVARD 5'!AA265&gt;0),"Pagado","impago"),""))</f>
        <v/>
      </c>
      <c r="Y267" s="666" t="str">
        <f>IF(OR($A267="F&amp;F",$G267=""),"",IF(Y$8&gt;$G267,IF(OR(status1B5!Z267=1,status1B5!Z267=2,'BOULEVARD 5'!AB265&gt;0),"Pagado","impago"),""))</f>
        <v/>
      </c>
      <c r="Z267" s="666" t="str">
        <f>IF(OR($A267="F&amp;F",$G267=""),"",IF(Z$8&gt;$G267,IF(OR(status1B5!AA267=1,status1B5!AA267=2,'BOULEVARD 5'!AC265&gt;0),"Pagado","impago"),""))</f>
        <v/>
      </c>
      <c r="AA267" s="666" t="str">
        <f>IF(OR($A267="F&amp;F",$G267=""),"",IF(AA$8&gt;$G267,IF(OR(status1B5!AB267=1,status1B5!AB267=2,'BOULEVARD 5'!AD265&gt;0),"Pagado","impago"),""))</f>
        <v/>
      </c>
      <c r="AB267" s="666" t="str">
        <f>IF(OR($A267="F&amp;F",$G267=""),"",IF(AB$8&gt;$G267,IF(OR(status1B5!AC267=1,status1B5!AC267=2,'BOULEVARD 5'!AE265&gt;0),"Pagado","impago"),""))</f>
        <v/>
      </c>
      <c r="AC267" s="666" t="str">
        <f>IF(OR($A267="F&amp;F",$G267=""),"",IF(AC$8&gt;$G267,IF(OR(status1B5!AD267=1,status1B5!AD267=2,'BOULEVARD 5'!AF265&gt;0),"Pagado","impago"),""))</f>
        <v/>
      </c>
      <c r="AD267" s="666" t="str">
        <f>IF(OR($A267="F&amp;F",$G267=""),"",IF(AD$8&gt;$G267,IF(OR(status1B5!AE267=1,status1B5!AE267=2,'BOULEVARD 5'!AG265&gt;0),"Pagado","impago"),""))</f>
        <v/>
      </c>
      <c r="AE267" s="666" t="str">
        <f>IF(OR($A267="F&amp;F",$G267=""),"",IF(AE$8&gt;$G267,IF(OR(status1B5!AF267=1,status1B5!AF267=2,'BOULEVARD 5'!AH265&gt;0),"Pagado","impago"),""))</f>
        <v/>
      </c>
      <c r="AF267" s="666" t="str">
        <f>IF(OR($A267="F&amp;F",$G267=""),"",IF(AF$8&gt;$G267,IF(OR(status1B5!AG267=1,status1B5!AG267=2,'BOULEVARD 5'!AI265&gt;0),"Pagado","impago"),""))</f>
        <v/>
      </c>
      <c r="AG267" s="666" t="str">
        <f>IF(OR($A267="F&amp;F",$G267=""),"",IF(AG$8&gt;$G267,IF(OR(status1B5!AH267=1,status1B5!AH267=2,'BOULEVARD 5'!AJ265&gt;0),"Pagado","impago"),""))</f>
        <v/>
      </c>
      <c r="AH267" s="666" t="str">
        <f>IF(OR($A267="F&amp;F",$G267=""),"",IF(AH$8&gt;$G267,IF(OR(status1B5!AI267=1,status1B5!AI267=2,'BOULEVARD 5'!AK265&gt;0),"Pagado","impago"),""))</f>
        <v/>
      </c>
      <c r="AI267" s="666" t="str">
        <f>IF(OR($A267="F&amp;F",$G267=""),"",IF(AI$8&gt;$G267,IF(OR(status1B5!AJ267=1,status1B5!AJ267=2,'BOULEVARD 5'!AL265&gt;0),"Pagado","impago"),""))</f>
        <v/>
      </c>
      <c r="AJ267" s="666" t="str">
        <f>IF(OR($A267="F&amp;F",$G267=""),"",IF(AJ$8&gt;$G267,IF(OR(status1B5!AK267=1,status1B5!AK267=2,'BOULEVARD 5'!AM265&gt;0),"Pagado","impago"),""))</f>
        <v/>
      </c>
      <c r="AK267" s="666" t="str">
        <f>IF(OR($A267="F&amp;F",$G267=""),"",IF(AK$8&gt;$G267,IF(OR(status1B5!AL267=1,status1B5!AL267=2,'BOULEVARD 5'!AN265&gt;0),"Pagado","impago"),""))</f>
        <v/>
      </c>
      <c r="AL267" s="666" t="str">
        <f>IF(OR($A267="F&amp;F",$G267=""),"",IF(AL$8&gt;$G267,IF(OR(status1B5!AM267=1,status1B5!AM267=2,'BOULEVARD 5'!AO265&gt;0),"Pagado","impago"),""))</f>
        <v/>
      </c>
      <c r="AM267" s="666" t="str">
        <f>IF(OR($A267="F&amp;F",$G267=""),"",IF(AM$8&gt;$G267,IF(OR(status1B5!AN267=1,status1B5!AN267=2,'BOULEVARD 5'!AP265&gt;0),"Pagado","impago"),""))</f>
        <v/>
      </c>
      <c r="AN267" s="666" t="str">
        <f>IF(OR($A267="F&amp;F",$G267=""),"",IF(AN$8&gt;$G267,IF(OR(status1B5!AO267=1,status1B5!AO267=2,'BOULEVARD 5'!AQ265&gt;0),"Pagado","impago"),""))</f>
        <v/>
      </c>
      <c r="AO267" s="666" t="str">
        <f>IF(OR($A267="F&amp;F",$G267=""),"",IF(AO$8&gt;$G267,IF(OR(status1B5!AP267=1,status1B5!AP267=2,'BOULEVARD 5'!AS265&gt;0),"Pagado","impago"),""))</f>
        <v/>
      </c>
      <c r="AP267" s="429" t="str">
        <f t="shared" si="9"/>
        <v>No Vendido</v>
      </c>
    </row>
    <row r="268" spans="1:42" s="429" customFormat="1" ht="13.9" customHeight="1" x14ac:dyDescent="0.25">
      <c r="A268" s="472" t="s">
        <v>58</v>
      </c>
      <c r="B268" s="475">
        <f>'BOULEVARD 5'!B266</f>
        <v>1507</v>
      </c>
      <c r="C268" s="475" t="s">
        <v>355</v>
      </c>
      <c r="D268" s="475"/>
      <c r="E268" s="475" t="str">
        <f>IF('BOULEVARD 5'!E266="","",'BOULEVARD 5'!E266)</f>
        <v>Jose Franco</v>
      </c>
      <c r="F268" s="476" t="str">
        <f>IF('BOULEVARD 5'!F266="","",'BOULEVARD 5'!F266)</f>
        <v>Gabriel Arimany Monzón</v>
      </c>
      <c r="G268" s="473">
        <f>IF('BOULEVARD 5'!G266="","",'BOULEVARD 5'!G266)</f>
        <v>45013</v>
      </c>
      <c r="H268" s="666" t="str">
        <f>IF(OR($A268="F&amp;F",$G268=""),"",IF(H$8&gt;$G268,IF(OR(status1B5!I268=1,status1B5!I268=2,'BOULEVARD 5'!K266&gt;0),"Pagado","impago"),""))</f>
        <v/>
      </c>
      <c r="I268" s="666" t="str">
        <f>IF(OR($A268="F&amp;F",$G268=""),"",IF(I$8&gt;$G268,IF(OR(status1B5!J268=1,status1B5!J268=2,'BOULEVARD 5'!L266&gt;0),"Pagado","impago"),""))</f>
        <v/>
      </c>
      <c r="J268" s="666" t="str">
        <f>IF(OR($A268="F&amp;F",$G268=""),"",IF(J$8&gt;$G268,IF(OR(status1B5!K268=1,status1B5!K268=2,'BOULEVARD 5'!M266&gt;0),"Pagado","impago"),""))</f>
        <v/>
      </c>
      <c r="K268" s="666" t="str">
        <f>IF(OR($A268="F&amp;F",$G268=""),"",IF(K$8&gt;$G268,IF(OR(status1B5!L268=1,status1B5!L268=2,'BOULEVARD 5'!N266&gt;0),"Pagado","impago"),""))</f>
        <v/>
      </c>
      <c r="L268" s="666" t="str">
        <f>IF(OR($A268="F&amp;F",$G268=""),"",IF(L$8&gt;$G268,IF(OR(status1B5!M268=1,status1B5!M268=2,'BOULEVARD 5'!O266&gt;0),"Pagado","impago"),""))</f>
        <v/>
      </c>
      <c r="M268" s="666" t="str">
        <f>IF(OR($A268="F&amp;F",$G268=""),"",IF(M$8&gt;$G268,IF(OR(status1B5!N268=1,status1B5!N268=2,'BOULEVARD 5'!P266&gt;0),"Pagado","impago"),""))</f>
        <v/>
      </c>
      <c r="N268" s="666" t="str">
        <f>IF(OR($A268="F&amp;F",$G268=""),"",IF(N$8&gt;$G268,IF(OR(status1B5!O268=1,status1B5!O268=2,'BOULEVARD 5'!Q266&gt;0),"Pagado","impago"),""))</f>
        <v/>
      </c>
      <c r="O268" s="666" t="str">
        <f>IF(OR($A268="F&amp;F",$G268=""),"",IF(O$8&gt;$G268,IF(OR(status1B5!P268=1,status1B5!P268=2,'BOULEVARD 5'!R266&gt;0),"Pagado","impago"),""))</f>
        <v/>
      </c>
      <c r="P268" s="666" t="str">
        <f>IF(OR($A268="F&amp;F",$G268=""),"",IF(P$8&gt;$G268,IF(OR(status1B5!Q268=1,status1B5!Q268=2,'BOULEVARD 5'!S266&gt;0),"Pagado","impago"),""))</f>
        <v/>
      </c>
      <c r="Q268" s="666" t="str">
        <f>IF(OR($A268="F&amp;F",$G268=""),"",IF(Q$8&gt;$G268,IF(OR(status1B5!R268=1,status1B5!R268=2,'BOULEVARD 5'!T266&gt;0),"Pagado","impago"),""))</f>
        <v/>
      </c>
      <c r="R268" s="666" t="str">
        <f>IF(OR($A268="F&amp;F",$G268=""),"",IF(R$8&gt;$G268,IF(OR(status1B5!S268=1,status1B5!S268=2,'BOULEVARD 5'!U266&gt;0),"Pagado","impago"),""))</f>
        <v/>
      </c>
      <c r="S268" s="666" t="str">
        <f>IF(OR($A268="F&amp;F",$G268=""),"",IF(S$8&gt;$G268,IF(OR(status1B5!T268=1,status1B5!T268=2,'BOULEVARD 5'!V266&gt;0),"Pagado","impago"),""))</f>
        <v/>
      </c>
      <c r="T268" s="666" t="str">
        <f>IF(OR($A268="F&amp;F",$G268=""),"",IF(T$8&gt;$G268,IF(OR(status1B5!U268=1,status1B5!U268=2,'BOULEVARD 5'!W266&gt;0),"Pagado","impago"),""))</f>
        <v/>
      </c>
      <c r="U268" s="666" t="str">
        <f>IF(OR($A268="F&amp;F",$G268=""),"",IF(U$8&gt;$G268,IF(OR(status1B5!V268=1,status1B5!V268=2,'BOULEVARD 5'!X266&gt;0),"Pagado","impago"),""))</f>
        <v/>
      </c>
      <c r="V268" s="666" t="str">
        <f>IF(OR($A268="F&amp;F",$G268=""),"",IF(V$8&gt;$G268,IF(OR(status1B5!W268=1,status1B5!W268=2,'BOULEVARD 5'!Y266&gt;0),"Pagado","impago"),""))</f>
        <v/>
      </c>
      <c r="W268" s="666" t="str">
        <f>IF(OR($A268="F&amp;F",$G268=""),"",IF(W$8&gt;$G268,IF(OR(status1B5!X268=1,status1B5!X268=2,'BOULEVARD 5'!Z266&gt;0),"Pagado","impago"),""))</f>
        <v/>
      </c>
      <c r="X268" s="666" t="str">
        <f>IF(OR($A268="F&amp;F",$G268=""),"",IF(X$8&gt;$G268,IF(OR(status1B5!Y268=1,status1B5!Y268=2,'BOULEVARD 5'!AA266&gt;0),"Pagado","impago"),""))</f>
        <v/>
      </c>
      <c r="Y268" s="666" t="str">
        <f>IF(OR($A268="F&amp;F",$G268=""),"",IF(Y$8&gt;$G268,IF(OR(status1B5!Z268=1,status1B5!Z268=2,'BOULEVARD 5'!AB266&gt;0),"Pagado","impago"),""))</f>
        <v/>
      </c>
      <c r="Z268" s="666" t="str">
        <f>IF(OR($A268="F&amp;F",$G268=""),"",IF(Z$8&gt;$G268,IF(OR(status1B5!AA268=1,status1B5!AA268=2,'BOULEVARD 5'!AC266&gt;0),"Pagado","impago"),""))</f>
        <v/>
      </c>
      <c r="AA268" s="666" t="str">
        <f>IF(OR($A268="F&amp;F",$G268=""),"",IF(AA$8&gt;$G268,IF(OR(status1B5!AB268=1,status1B5!AB268=2,'BOULEVARD 5'!AD266&gt;0),"Pagado","impago"),""))</f>
        <v/>
      </c>
      <c r="AB268" s="666" t="str">
        <f>IF(OR($A268="F&amp;F",$G268=""),"",IF(AB$8&gt;$G268,IF(OR(status1B5!AC268=1,status1B5!AC268=2,'BOULEVARD 5'!AE266&gt;0),"Pagado","impago"),""))</f>
        <v/>
      </c>
      <c r="AC268" s="666" t="str">
        <f>IF(OR($A268="F&amp;F",$G268=""),"",IF(AC$8&gt;$G268,IF(OR(status1B5!AD268=1,status1B5!AD268=2,'BOULEVARD 5'!AF266&gt;0),"Pagado","impago"),""))</f>
        <v/>
      </c>
      <c r="AD268" s="666" t="str">
        <f>IF(OR($A268="F&amp;F",$G268=""),"",IF(AD$8&gt;$G268,IF(OR(status1B5!AE268=1,status1B5!AE268=2,'BOULEVARD 5'!AG266&gt;0),"Pagado","impago"),""))</f>
        <v/>
      </c>
      <c r="AE268" s="666" t="str">
        <f>IF(OR($A268="F&amp;F",$G268=""),"",IF(AE$8&gt;$G268,IF(OR(status1B5!AF268=1,status1B5!AF268=2,'BOULEVARD 5'!AH266&gt;0),"Pagado","impago"),""))</f>
        <v/>
      </c>
      <c r="AF268" s="666" t="str">
        <f>IF(OR($A268="F&amp;F",$G268=""),"",IF(AF$8&gt;$G268,IF(OR(status1B5!AG268=1,status1B5!AG268=2,'BOULEVARD 5'!AI266&gt;0),"Pagado","impago"),""))</f>
        <v/>
      </c>
      <c r="AG268" s="666" t="str">
        <f>IF(OR($A268="F&amp;F",$G268=""),"",IF(AG$8&gt;$G268,IF(OR(status1B5!AH268=1,status1B5!AH268=2,'BOULEVARD 5'!AJ266&gt;0),"Pagado","impago"),""))</f>
        <v/>
      </c>
      <c r="AH268" s="666" t="str">
        <f>IF(OR($A268="F&amp;F",$G268=""),"",IF(AH$8&gt;$G268,IF(OR(status1B5!AI268=1,status1B5!AI268=2,'BOULEVARD 5'!AK266&gt;0),"Pagado","impago"),""))</f>
        <v/>
      </c>
      <c r="AI268" s="666" t="str">
        <f>IF(OR($A268="F&amp;F",$G268=""),"",IF(AI$8&gt;$G268,IF(OR(status1B5!AJ268=1,status1B5!AJ268=2,'BOULEVARD 5'!AL266&gt;0),"Pagado","impago"),""))</f>
        <v/>
      </c>
      <c r="AJ268" s="666" t="str">
        <f>IF(OR($A268="F&amp;F",$G268=""),"",IF(AJ$8&gt;$G268,IF(OR(status1B5!AK268=1,status1B5!AK268=2,'BOULEVARD 5'!AM266&gt;0),"Pagado","impago"),""))</f>
        <v/>
      </c>
      <c r="AK268" s="666" t="str">
        <f>IF(OR($A268="F&amp;F",$G268=""),"",IF(AK$8&gt;$G268,IF(OR(status1B5!AL268=1,status1B5!AL268=2,'BOULEVARD 5'!AN266&gt;0),"Pagado","impago"),""))</f>
        <v/>
      </c>
      <c r="AL268" s="666" t="str">
        <f>IF(OR($A268="F&amp;F",$G268=""),"",IF(AL$8&gt;$G268,IF(OR(status1B5!AM268=1,status1B5!AM268=2,'BOULEVARD 5'!AO266&gt;0),"Pagado","impago"),""))</f>
        <v/>
      </c>
      <c r="AM268" s="666" t="str">
        <f>IF(OR($A268="F&amp;F",$G268=""),"",IF(AM$8&gt;$G268,IF(OR(status1B5!AN268=1,status1B5!AN268=2,'BOULEVARD 5'!AP266&gt;0),"Pagado","impago"),""))</f>
        <v/>
      </c>
      <c r="AN268" s="666" t="str">
        <f>IF(OR($A268="F&amp;F",$G268=""),"",IF(AN$8&gt;$G268,IF(OR(status1B5!AO268=1,status1B5!AO268=2,'BOULEVARD 5'!AQ266&gt;0),"Pagado","impago"),""))</f>
        <v/>
      </c>
      <c r="AO268" s="666" t="str">
        <f>IF(OR($A268="F&amp;F",$G268=""),"",IF(AO$8&gt;$G268,IF(OR(status1B5!AP268=1,status1B5!AP268=2,'BOULEVARD 5'!AS266&gt;0),"Pagado","impago"),""))</f>
        <v/>
      </c>
      <c r="AP268" s="429" t="str">
        <f t="shared" si="9"/>
        <v>Vendido</v>
      </c>
    </row>
    <row r="269" spans="1:42" s="429" customFormat="1" ht="13.9" customHeight="1" x14ac:dyDescent="0.25">
      <c r="A269" s="472" t="s">
        <v>58</v>
      </c>
      <c r="B269" s="475">
        <f>'BOULEVARD 5'!B267</f>
        <v>1508</v>
      </c>
      <c r="C269" s="475" t="s">
        <v>355</v>
      </c>
      <c r="D269" s="475"/>
      <c r="E269" s="475" t="str">
        <f>IF('BOULEVARD 5'!E267="","",'BOULEVARD 5'!E267)</f>
        <v>Jose Franco</v>
      </c>
      <c r="F269" s="476" t="str">
        <f>IF('BOULEVARD 5'!F267="","",'BOULEVARD 5'!F267)</f>
        <v>María Carolina Arimany Comas</v>
      </c>
      <c r="G269" s="473">
        <f>IF('BOULEVARD 5'!G267="","",'BOULEVARD 5'!G267)</f>
        <v>45013</v>
      </c>
      <c r="H269" s="666" t="str">
        <f>IF(OR($A269="F&amp;F",$G269=""),"",IF(H$8&gt;$G269,IF(OR(status1B5!I269=1,status1B5!I269=2,'BOULEVARD 5'!K267&gt;0),"Pagado","impago"),""))</f>
        <v/>
      </c>
      <c r="I269" s="666" t="str">
        <f>IF(OR($A269="F&amp;F",$G269=""),"",IF(I$8&gt;$G269,IF(OR(status1B5!J269=1,status1B5!J269=2,'BOULEVARD 5'!L267&gt;0),"Pagado","impago"),""))</f>
        <v/>
      </c>
      <c r="J269" s="666" t="str">
        <f>IF(OR($A269="F&amp;F",$G269=""),"",IF(J$8&gt;$G269,IF(OR(status1B5!K269=1,status1B5!K269=2,'BOULEVARD 5'!M267&gt;0),"Pagado","impago"),""))</f>
        <v/>
      </c>
      <c r="K269" s="666" t="str">
        <f>IF(OR($A269="F&amp;F",$G269=""),"",IF(K$8&gt;$G269,IF(OR(status1B5!L269=1,status1B5!L269=2,'BOULEVARD 5'!N267&gt;0),"Pagado","impago"),""))</f>
        <v/>
      </c>
      <c r="L269" s="666" t="str">
        <f>IF(OR($A269="F&amp;F",$G269=""),"",IF(L$8&gt;$G269,IF(OR(status1B5!M269=1,status1B5!M269=2,'BOULEVARD 5'!O267&gt;0),"Pagado","impago"),""))</f>
        <v/>
      </c>
      <c r="M269" s="666" t="str">
        <f>IF(OR($A269="F&amp;F",$G269=""),"",IF(M$8&gt;$G269,IF(OR(status1B5!N269=1,status1B5!N269=2,'BOULEVARD 5'!P267&gt;0),"Pagado","impago"),""))</f>
        <v/>
      </c>
      <c r="N269" s="666" t="str">
        <f>IF(OR($A269="F&amp;F",$G269=""),"",IF(N$8&gt;$G269,IF(OR(status1B5!O269=1,status1B5!O269=2,'BOULEVARD 5'!Q267&gt;0),"Pagado","impago"),""))</f>
        <v/>
      </c>
      <c r="O269" s="666" t="str">
        <f>IF(OR($A269="F&amp;F",$G269=""),"",IF(O$8&gt;$G269,IF(OR(status1B5!P269=1,status1B5!P269=2,'BOULEVARD 5'!R267&gt;0),"Pagado","impago"),""))</f>
        <v/>
      </c>
      <c r="P269" s="666" t="str">
        <f>IF(OR($A269="F&amp;F",$G269=""),"",IF(P$8&gt;$G269,IF(OR(status1B5!Q269=1,status1B5!Q269=2,'BOULEVARD 5'!S267&gt;0),"Pagado","impago"),""))</f>
        <v/>
      </c>
      <c r="Q269" s="666" t="str">
        <f>IF(OR($A269="F&amp;F",$G269=""),"",IF(Q$8&gt;$G269,IF(OR(status1B5!R269=1,status1B5!R269=2,'BOULEVARD 5'!T267&gt;0),"Pagado","impago"),""))</f>
        <v/>
      </c>
      <c r="R269" s="666" t="str">
        <f>IF(OR($A269="F&amp;F",$G269=""),"",IF(R$8&gt;$G269,IF(OR(status1B5!S269=1,status1B5!S269=2,'BOULEVARD 5'!U267&gt;0),"Pagado","impago"),""))</f>
        <v/>
      </c>
      <c r="S269" s="666" t="str">
        <f>IF(OR($A269="F&amp;F",$G269=""),"",IF(S$8&gt;$G269,IF(OR(status1B5!T269=1,status1B5!T269=2,'BOULEVARD 5'!V267&gt;0),"Pagado","impago"),""))</f>
        <v/>
      </c>
      <c r="T269" s="666" t="str">
        <f>IF(OR($A269="F&amp;F",$G269=""),"",IF(T$8&gt;$G269,IF(OR(status1B5!U269=1,status1B5!U269=2,'BOULEVARD 5'!W267&gt;0),"Pagado","impago"),""))</f>
        <v/>
      </c>
      <c r="U269" s="666" t="str">
        <f>IF(OR($A269="F&amp;F",$G269=""),"",IF(U$8&gt;$G269,IF(OR(status1B5!V269=1,status1B5!V269=2,'BOULEVARD 5'!X267&gt;0),"Pagado","impago"),""))</f>
        <v/>
      </c>
      <c r="V269" s="666" t="str">
        <f>IF(OR($A269="F&amp;F",$G269=""),"",IF(V$8&gt;$G269,IF(OR(status1B5!W269=1,status1B5!W269=2,'BOULEVARD 5'!Y267&gt;0),"Pagado","impago"),""))</f>
        <v/>
      </c>
      <c r="W269" s="666" t="str">
        <f>IF(OR($A269="F&amp;F",$G269=""),"",IF(W$8&gt;$G269,IF(OR(status1B5!X269=1,status1B5!X269=2,'BOULEVARD 5'!Z267&gt;0),"Pagado","impago"),""))</f>
        <v/>
      </c>
      <c r="X269" s="666" t="str">
        <f>IF(OR($A269="F&amp;F",$G269=""),"",IF(X$8&gt;$G269,IF(OR(status1B5!Y269=1,status1B5!Y269=2,'BOULEVARD 5'!AA267&gt;0),"Pagado","impago"),""))</f>
        <v/>
      </c>
      <c r="Y269" s="666" t="str">
        <f>IF(OR($A269="F&amp;F",$G269=""),"",IF(Y$8&gt;$G269,IF(OR(status1B5!Z269=1,status1B5!Z269=2,'BOULEVARD 5'!AB267&gt;0),"Pagado","impago"),""))</f>
        <v/>
      </c>
      <c r="Z269" s="666" t="str">
        <f>IF(OR($A269="F&amp;F",$G269=""),"",IF(Z$8&gt;$G269,IF(OR(status1B5!AA269=1,status1B5!AA269=2,'BOULEVARD 5'!AC267&gt;0),"Pagado","impago"),""))</f>
        <v/>
      </c>
      <c r="AA269" s="666" t="str">
        <f>IF(OR($A269="F&amp;F",$G269=""),"",IF(AA$8&gt;$G269,IF(OR(status1B5!AB269=1,status1B5!AB269=2,'BOULEVARD 5'!AD267&gt;0),"Pagado","impago"),""))</f>
        <v/>
      </c>
      <c r="AB269" s="666" t="str">
        <f>IF(OR($A269="F&amp;F",$G269=""),"",IF(AB$8&gt;$G269,IF(OR(status1B5!AC269=1,status1B5!AC269=2,'BOULEVARD 5'!AE267&gt;0),"Pagado","impago"),""))</f>
        <v/>
      </c>
      <c r="AC269" s="666" t="str">
        <f>IF(OR($A269="F&amp;F",$G269=""),"",IF(AC$8&gt;$G269,IF(OR(status1B5!AD269=1,status1B5!AD269=2,'BOULEVARD 5'!AF267&gt;0),"Pagado","impago"),""))</f>
        <v/>
      </c>
      <c r="AD269" s="666" t="str">
        <f>IF(OR($A269="F&amp;F",$G269=""),"",IF(AD$8&gt;$G269,IF(OR(status1B5!AE269=1,status1B5!AE269=2,'BOULEVARD 5'!AG267&gt;0),"Pagado","impago"),""))</f>
        <v/>
      </c>
      <c r="AE269" s="666" t="str">
        <f>IF(OR($A269="F&amp;F",$G269=""),"",IF(AE$8&gt;$G269,IF(OR(status1B5!AF269=1,status1B5!AF269=2,'BOULEVARD 5'!AH267&gt;0),"Pagado","impago"),""))</f>
        <v/>
      </c>
      <c r="AF269" s="666" t="str">
        <f>IF(OR($A269="F&amp;F",$G269=""),"",IF(AF$8&gt;$G269,IF(OR(status1B5!AG269=1,status1B5!AG269=2,'BOULEVARD 5'!AI267&gt;0),"Pagado","impago"),""))</f>
        <v/>
      </c>
      <c r="AG269" s="666" t="str">
        <f>IF(OR($A269="F&amp;F",$G269=""),"",IF(AG$8&gt;$G269,IF(OR(status1B5!AH269=1,status1B5!AH269=2,'BOULEVARD 5'!AJ267&gt;0),"Pagado","impago"),""))</f>
        <v/>
      </c>
      <c r="AH269" s="666" t="str">
        <f>IF(OR($A269="F&amp;F",$G269=""),"",IF(AH$8&gt;$G269,IF(OR(status1B5!AI269=1,status1B5!AI269=2,'BOULEVARD 5'!AK267&gt;0),"Pagado","impago"),""))</f>
        <v/>
      </c>
      <c r="AI269" s="666" t="str">
        <f>IF(OR($A269="F&amp;F",$G269=""),"",IF(AI$8&gt;$G269,IF(OR(status1B5!AJ269=1,status1B5!AJ269=2,'BOULEVARD 5'!AL267&gt;0),"Pagado","impago"),""))</f>
        <v/>
      </c>
      <c r="AJ269" s="666" t="str">
        <f>IF(OR($A269="F&amp;F",$G269=""),"",IF(AJ$8&gt;$G269,IF(OR(status1B5!AK269=1,status1B5!AK269=2,'BOULEVARD 5'!AM267&gt;0),"Pagado","impago"),""))</f>
        <v/>
      </c>
      <c r="AK269" s="666" t="str">
        <f>IF(OR($A269="F&amp;F",$G269=""),"",IF(AK$8&gt;$G269,IF(OR(status1B5!AL269=1,status1B5!AL269=2,'BOULEVARD 5'!AN267&gt;0),"Pagado","impago"),""))</f>
        <v/>
      </c>
      <c r="AL269" s="666" t="str">
        <f>IF(OR($A269="F&amp;F",$G269=""),"",IF(AL$8&gt;$G269,IF(OR(status1B5!AM269=1,status1B5!AM269=2,'BOULEVARD 5'!AO267&gt;0),"Pagado","impago"),""))</f>
        <v/>
      </c>
      <c r="AM269" s="666" t="str">
        <f>IF(OR($A269="F&amp;F",$G269=""),"",IF(AM$8&gt;$G269,IF(OR(status1B5!AN269=1,status1B5!AN269=2,'BOULEVARD 5'!AP267&gt;0),"Pagado","impago"),""))</f>
        <v/>
      </c>
      <c r="AN269" s="666" t="str">
        <f>IF(OR($A269="F&amp;F",$G269=""),"",IF(AN$8&gt;$G269,IF(OR(status1B5!AO269=1,status1B5!AO269=2,'BOULEVARD 5'!AQ267&gt;0),"Pagado","impago"),""))</f>
        <v/>
      </c>
      <c r="AO269" s="666" t="str">
        <f>IF(OR($A269="F&amp;F",$G269=""),"",IF(AO$8&gt;$G269,IF(OR(status1B5!AP269=1,status1B5!AP269=2,'BOULEVARD 5'!AS267&gt;0),"Pagado","impago"),""))</f>
        <v/>
      </c>
      <c r="AP269" s="429" t="str">
        <f t="shared" si="9"/>
        <v>Vendido</v>
      </c>
    </row>
    <row r="270" spans="1:42" s="467" customFormat="1" ht="13.9" customHeight="1" x14ac:dyDescent="0.25">
      <c r="B270" s="483">
        <f>'BOULEVARD 5'!B268</f>
        <v>1509</v>
      </c>
      <c r="C270" s="483" t="s">
        <v>355</v>
      </c>
      <c r="D270" s="483"/>
      <c r="E270" s="436" t="str">
        <f>IF('BOULEVARD 5'!E268="","",'BOULEVARD 5'!E268)</f>
        <v>Anahí Cisneros</v>
      </c>
      <c r="F270" s="467" t="str">
        <f>IF('BOULEVARD 5'!F268="","",'BOULEVARD 5'!F268)</f>
        <v>Alan Gonzalez Choc</v>
      </c>
      <c r="G270" s="473">
        <f>IF('BOULEVARD 5'!G268="","",'BOULEVARD 5'!G268)</f>
        <v>45856</v>
      </c>
      <c r="H270" s="666" t="str">
        <f>IF(OR($A270="F&amp;F",$G270=""),"",IF(H$8&gt;$G270,IF(OR(status1B5!I270=1,status1B5!I270=2,'BOULEVARD 5'!K268&gt;0),"Pagado","impago"),""))</f>
        <v/>
      </c>
      <c r="I270" s="666" t="str">
        <f>IF(OR($A270="F&amp;F",$G270=""),"",IF(I$8&gt;$G270,IF(OR(status1B5!J270=1,status1B5!J270=2,'BOULEVARD 5'!L268&gt;0),"Pagado","impago"),""))</f>
        <v/>
      </c>
      <c r="J270" s="666" t="str">
        <f>IF(OR($A270="F&amp;F",$G270=""),"",IF(J$8&gt;$G270,IF(OR(status1B5!K270=1,status1B5!K270=2,'BOULEVARD 5'!M268&gt;0),"Pagado","impago"),""))</f>
        <v/>
      </c>
      <c r="K270" s="666" t="str">
        <f>IF(OR($A270="F&amp;F",$G270=""),"",IF(K$8&gt;$G270,IF(OR(status1B5!L270=1,status1B5!L270=2,'BOULEVARD 5'!N268&gt;0),"Pagado","impago"),""))</f>
        <v/>
      </c>
      <c r="L270" s="666" t="str">
        <f>IF(OR($A270="F&amp;F",$G270=""),"",IF(L$8&gt;$G270,IF(OR(status1B5!M270=1,status1B5!M270=2,'BOULEVARD 5'!O268&gt;0),"Pagado","impago"),""))</f>
        <v/>
      </c>
      <c r="M270" s="666" t="str">
        <f>IF(OR($A270="F&amp;F",$G270=""),"",IF(M$8&gt;$G270,IF(OR(status1B5!N270=1,status1B5!N270=2,'BOULEVARD 5'!P268&gt;0),"Pagado","impago"),""))</f>
        <v/>
      </c>
      <c r="N270" s="666" t="str">
        <f>IF(OR($A270="F&amp;F",$G270=""),"",IF(N$8&gt;$G270,IF(OR(status1B5!O270=1,status1B5!O270=2,'BOULEVARD 5'!Q268&gt;0),"Pagado","impago"),""))</f>
        <v/>
      </c>
      <c r="O270" s="666" t="str">
        <f>IF(OR($A270="F&amp;F",$G270=""),"",IF(O$8&gt;$G270,IF(OR(status1B5!P270=1,status1B5!P270=2,'BOULEVARD 5'!R268&gt;0),"Pagado","impago"),""))</f>
        <v/>
      </c>
      <c r="P270" s="666" t="str">
        <f>IF(OR($A270="F&amp;F",$G270=""),"",IF(P$8&gt;$G270,IF(OR(status1B5!Q270=1,status1B5!Q270=2,'BOULEVARD 5'!S268&gt;0),"Pagado","impago"),""))</f>
        <v/>
      </c>
      <c r="Q270" s="666" t="str">
        <f>IF(OR($A270="F&amp;F",$G270=""),"",IF(Q$8&gt;$G270,IF(OR(status1B5!R270=1,status1B5!R270=2,'BOULEVARD 5'!T268&gt;0),"Pagado","impago"),""))</f>
        <v/>
      </c>
      <c r="R270" s="666" t="str">
        <f>IF(OR($A270="F&amp;F",$G270=""),"",IF(R$8&gt;$G270,IF(OR(status1B5!S270=1,status1B5!S270=2,'BOULEVARD 5'!U268&gt;0),"Pagado","impago"),""))</f>
        <v/>
      </c>
      <c r="S270" s="666" t="str">
        <f>IF(OR($A270="F&amp;F",$G270=""),"",IF(S$8&gt;$G270,IF(OR(status1B5!T270=1,status1B5!T270=2,'BOULEVARD 5'!V268&gt;0),"Pagado","impago"),""))</f>
        <v/>
      </c>
      <c r="T270" s="666" t="str">
        <f>IF(OR($A270="F&amp;F",$G270=""),"",IF(T$8&gt;$G270,IF(OR(status1B5!U270=1,status1B5!U270=2,'BOULEVARD 5'!W268&gt;0),"Pagado","impago"),""))</f>
        <v/>
      </c>
      <c r="U270" s="666" t="str">
        <f>IF(OR($A270="F&amp;F",$G270=""),"",IF(U$8&gt;$G270,IF(OR(status1B5!V270=1,status1B5!V270=2,'BOULEVARD 5'!X268&gt;0),"Pagado","impago"),""))</f>
        <v/>
      </c>
      <c r="V270" s="666" t="str">
        <f>IF(OR($A270="F&amp;F",$G270=""),"",IF(V$8&gt;$G270,IF(OR(status1B5!W270=1,status1B5!W270=2,'BOULEVARD 5'!Y268&gt;0),"Pagado","impago"),""))</f>
        <v/>
      </c>
      <c r="W270" s="666" t="str">
        <f>IF(OR($A270="F&amp;F",$G270=""),"",IF(W$8&gt;$G270,IF(OR(status1B5!X270=1,status1B5!X270=2,'BOULEVARD 5'!Z268&gt;0),"Pagado","impago"),""))</f>
        <v/>
      </c>
      <c r="X270" s="666" t="str">
        <f>IF(OR($A270="F&amp;F",$G270=""),"",IF(X$8&gt;$G270,IF(OR(status1B5!Y270=1,status1B5!Y270=2,'BOULEVARD 5'!AA268&gt;0),"Pagado","impago"),""))</f>
        <v/>
      </c>
      <c r="Y270" s="666" t="str">
        <f>IF(OR($A270="F&amp;F",$G270=""),"",IF(Y$8&gt;$G270,IF(OR(status1B5!Z270=1,status1B5!Z270=2,'BOULEVARD 5'!AB268&gt;0),"Pagado","impago"),""))</f>
        <v/>
      </c>
      <c r="Z270" s="666" t="str">
        <f>IF(OR($A270="F&amp;F",$G270=""),"",IF(Z$8&gt;$G270,IF(OR(status1B5!AA270=1,status1B5!AA270=2,'BOULEVARD 5'!AC268&gt;0),"Pagado","impago"),""))</f>
        <v/>
      </c>
      <c r="AA270" s="666" t="str">
        <f>IF(OR($A270="F&amp;F",$G270=""),"",IF(AA$8&gt;$G270,IF(OR(status1B5!AB270=1,status1B5!AB270=2,'BOULEVARD 5'!AD268&gt;0),"Pagado","impago"),""))</f>
        <v/>
      </c>
      <c r="AB270" s="666" t="str">
        <f>IF(OR($A270="F&amp;F",$G270=""),"",IF(AB$8&gt;$G270,IF(OR(status1B5!AC270=1,status1B5!AC270=2,'BOULEVARD 5'!AE268&gt;0),"Pagado","impago"),""))</f>
        <v/>
      </c>
      <c r="AC270" s="666" t="str">
        <f>IF(OR($A270="F&amp;F",$G270=""),"",IF(AC$8&gt;$G270,IF(OR(status1B5!AD270=1,status1B5!AD270=2,'BOULEVARD 5'!AF268&gt;0),"Pagado","impago"),""))</f>
        <v/>
      </c>
      <c r="AD270" s="666" t="str">
        <f>IF(OR($A270="F&amp;F",$G270=""),"",IF(AD$8&gt;$G270,IF(OR(status1B5!AE270=1,status1B5!AE270=2,'BOULEVARD 5'!AG268&gt;0),"Pagado","impago"),""))</f>
        <v/>
      </c>
      <c r="AE270" s="666" t="str">
        <f>IF(OR($A270="F&amp;F",$G270=""),"",IF(AE$8&gt;$G270,IF(OR(status1B5!AF270=1,status1B5!AF270=2,'BOULEVARD 5'!AH268&gt;0),"Pagado","impago"),""))</f>
        <v/>
      </c>
      <c r="AF270" s="666" t="str">
        <f>IF(OR($A270="F&amp;F",$G270=""),"",IF(AF$8&gt;$G270,IF(OR(status1B5!AG270=1,status1B5!AG270=2,'BOULEVARD 5'!AI268&gt;0),"Pagado","impago"),""))</f>
        <v/>
      </c>
      <c r="AG270" s="666" t="str">
        <f>IF(OR($A270="F&amp;F",$G270=""),"",IF(AG$8&gt;$G270,IF(OR(status1B5!AH270=1,status1B5!AH270=2,'BOULEVARD 5'!AJ268&gt;0),"Pagado","impago"),""))</f>
        <v/>
      </c>
      <c r="AH270" s="666" t="str">
        <f>IF(OR($A270="F&amp;F",$G270=""),"",IF(AH$8&gt;$G270,IF(OR(status1B5!AI270=1,status1B5!AI270=2,'BOULEVARD 5'!AK268&gt;0),"Pagado","impago"),""))</f>
        <v/>
      </c>
      <c r="AI270" s="666" t="str">
        <f>IF(OR($A270="F&amp;F",$G270=""),"",IF(AI$8&gt;$G270,IF(OR(status1B5!AJ270=1,status1B5!AJ270=2,'BOULEVARD 5'!AL268&gt;0),"Pagado","impago"),""))</f>
        <v/>
      </c>
      <c r="AJ270" s="666" t="str">
        <f>IF(OR($A270="F&amp;F",$G270=""),"",IF(AJ$8&gt;$G270,IF(OR(status1B5!AK270=1,status1B5!AK270=2,'BOULEVARD 5'!AM268&gt;0),"Pagado","impago"),""))</f>
        <v>Pagado</v>
      </c>
      <c r="AK270" s="666" t="str">
        <f>IF(OR($A270="F&amp;F",$G270=""),"",IF(AK$8&gt;$G270,IF(OR(status1B5!AL270=1,status1B5!AL270=2,'BOULEVARD 5'!AN268&gt;0),"Pagado","impago"),""))</f>
        <v>Pagado</v>
      </c>
      <c r="AL270" s="666" t="str">
        <f>IF(OR($A270="F&amp;F",$G270=""),"",IF(AL$8&gt;$G270,IF(OR(status1B5!AM270=1,status1B5!AM270=2,'BOULEVARD 5'!AO268&gt;0),"Pagado","impago"),""))</f>
        <v>Pagado</v>
      </c>
      <c r="AM270" s="666" t="str">
        <f>IF(OR($A270="F&amp;F",$G270=""),"",IF(AM$8&gt;$G270,IF(OR(status1B5!AN270=1,status1B5!AN270=2,'BOULEVARD 5'!AP268&gt;0),"Pagado","impago"),""))</f>
        <v>Pagado</v>
      </c>
      <c r="AN270" s="666" t="str">
        <f>IF(OR($A270="F&amp;F",$G270=""),"",IF(AN$8&gt;$G270,IF(OR(status1B5!AO270=1,status1B5!AO270=2,'BOULEVARD 5'!AQ268&gt;0),"Pagado","impago"),""))</f>
        <v>Pagado</v>
      </c>
      <c r="AO270" s="666" t="str">
        <f>IF(OR($A270="F&amp;F",$G270=""),"",IF(AO$8&gt;$G270,IF(OR(status1B5!AP270=1,status1B5!AP270=2,'BOULEVARD 5'!AS268&gt;0),"Pagado","impago"),""))</f>
        <v>Pagado</v>
      </c>
      <c r="AP270" s="429" t="str">
        <f t="shared" si="9"/>
        <v>Vendido</v>
      </c>
    </row>
    <row r="271" spans="1:42" s="429" customFormat="1" ht="13.9" customHeight="1" x14ac:dyDescent="0.25">
      <c r="A271" s="472"/>
      <c r="B271" s="436">
        <f>'BOULEVARD 5'!B269</f>
        <v>1510</v>
      </c>
      <c r="C271" s="436" t="s">
        <v>355</v>
      </c>
      <c r="D271" s="436"/>
      <c r="E271" s="436" t="str">
        <f>IF('BOULEVARD 5'!E269="","",'BOULEVARD 5'!E269)</f>
        <v>Brenda Búcaro</v>
      </c>
      <c r="F271" s="429" t="str">
        <f>IF('BOULEVARD 5'!F269="","",'BOULEVARD 5'!F269)</f>
        <v>José Paúl Centeno Valdés</v>
      </c>
      <c r="G271" s="473">
        <f>IF('BOULEVARD 5'!G269="","",'BOULEVARD 5'!G269)</f>
        <v>45085</v>
      </c>
      <c r="H271" s="666" t="str">
        <f>IF(OR($A271="F&amp;F",$G271=""),"",IF(H$8&gt;$G271,IF(OR(status1B5!I271=1,status1B5!I271=2,'BOULEVARD 5'!K269&gt;0),"Pagado","impago"),""))</f>
        <v/>
      </c>
      <c r="I271" s="666" t="str">
        <f>IF(OR($A271="F&amp;F",$G271=""),"",IF(I$8&gt;$G271,IF(OR(status1B5!J271=1,status1B5!J271=2,'BOULEVARD 5'!L269&gt;0),"Pagado","impago"),""))</f>
        <v/>
      </c>
      <c r="J271" s="666" t="str">
        <f>IF(OR($A271="F&amp;F",$G271=""),"",IF(J$8&gt;$G271,IF(OR(status1B5!K271=1,status1B5!K271=2,'BOULEVARD 5'!M269&gt;0),"Pagado","impago"),""))</f>
        <v/>
      </c>
      <c r="K271" s="666" t="str">
        <f>IF(OR($A271="F&amp;F",$G271=""),"",IF(K$8&gt;$G271,IF(OR(status1B5!L271=1,status1B5!L271=2,'BOULEVARD 5'!N269&gt;0),"Pagado","impago"),""))</f>
        <v>Pagado</v>
      </c>
      <c r="L271" s="666" t="str">
        <f>IF(OR($A271="F&amp;F",$G271=""),"",IF(L$8&gt;$G271,IF(OR(status1B5!M271=1,status1B5!M271=2,'BOULEVARD 5'!O269&gt;0),"Pagado","impago"),""))</f>
        <v>Pagado</v>
      </c>
      <c r="M271" s="666" t="str">
        <f>IF(OR($A271="F&amp;F",$G271=""),"",IF(M$8&gt;$G271,IF(OR(status1B5!N271=1,status1B5!N271=2,'BOULEVARD 5'!P269&gt;0),"Pagado","impago"),""))</f>
        <v>Pagado</v>
      </c>
      <c r="N271" s="666" t="str">
        <f>IF(OR($A271="F&amp;F",$G271=""),"",IF(N$8&gt;$G271,IF(OR(status1B5!O271=1,status1B5!O271=2,'BOULEVARD 5'!Q269&gt;0),"Pagado","impago"),""))</f>
        <v>Pagado</v>
      </c>
      <c r="O271" s="666" t="str">
        <f>IF(OR($A271="F&amp;F",$G271=""),"",IF(O$8&gt;$G271,IF(OR(status1B5!P271=1,status1B5!P271=2,'BOULEVARD 5'!R269&gt;0),"Pagado","impago"),""))</f>
        <v>Pagado</v>
      </c>
      <c r="P271" s="666" t="str">
        <f>IF(OR($A271="F&amp;F",$G271=""),"",IF(P$8&gt;$G271,IF(OR(status1B5!Q271=1,status1B5!Q271=2,'BOULEVARD 5'!S269&gt;0),"Pagado","impago"),""))</f>
        <v>Pagado</v>
      </c>
      <c r="Q271" s="666" t="str">
        <f>IF(OR($A271="F&amp;F",$G271=""),"",IF(Q$8&gt;$G271,IF(OR(status1B5!R271=1,status1B5!R271=2,'BOULEVARD 5'!T269&gt;0),"Pagado","impago"),""))</f>
        <v>Pagado</v>
      </c>
      <c r="R271" s="666" t="str">
        <f>IF(OR($A271="F&amp;F",$G271=""),"",IF(R$8&gt;$G271,IF(OR(status1B5!S271=1,status1B5!S271=2,'BOULEVARD 5'!U269&gt;0),"Pagado","impago"),""))</f>
        <v>Pagado</v>
      </c>
      <c r="S271" s="666" t="str">
        <f>IF(OR($A271="F&amp;F",$G271=""),"",IF(S$8&gt;$G271,IF(OR(status1B5!T271=1,status1B5!T271=2,'BOULEVARD 5'!V269&gt;0),"Pagado","impago"),""))</f>
        <v>Pagado</v>
      </c>
      <c r="T271" s="666" t="str">
        <f>IF(OR($A271="F&amp;F",$G271=""),"",IF(T$8&gt;$G271,IF(OR(status1B5!U271=1,status1B5!U271=2,'BOULEVARD 5'!W269&gt;0),"Pagado","impago"),""))</f>
        <v>Pagado</v>
      </c>
      <c r="U271" s="666" t="str">
        <f>IF(OR($A271="F&amp;F",$G271=""),"",IF(U$8&gt;$G271,IF(OR(status1B5!V271=1,status1B5!V271=2,'BOULEVARD 5'!X269&gt;0),"Pagado","impago"),""))</f>
        <v>Pagado</v>
      </c>
      <c r="V271" s="666" t="str">
        <f>IF(OR($A271="F&amp;F",$G271=""),"",IF(V$8&gt;$G271,IF(OR(status1B5!W271=1,status1B5!W271=2,'BOULEVARD 5'!Y269&gt;0),"Pagado","impago"),""))</f>
        <v>Pagado</v>
      </c>
      <c r="W271" s="666" t="str">
        <f>IF(OR($A271="F&amp;F",$G271=""),"",IF(W$8&gt;$G271,IF(OR(status1B5!X271=1,status1B5!X271=2,'BOULEVARD 5'!Z269&gt;0),"Pagado","impago"),""))</f>
        <v>Pagado</v>
      </c>
      <c r="X271" s="666" t="str">
        <f>IF(OR($A271="F&amp;F",$G271=""),"",IF(X$8&gt;$G271,IF(OR(status1B5!Y271=1,status1B5!Y271=2,'BOULEVARD 5'!AA269&gt;0),"Pagado","impago"),""))</f>
        <v>Pagado</v>
      </c>
      <c r="Y271" s="666" t="str">
        <f>IF(OR($A271="F&amp;F",$G271=""),"",IF(Y$8&gt;$G271,IF(OR(status1B5!Z271=1,status1B5!Z271=2,'BOULEVARD 5'!AB269&gt;0),"Pagado","impago"),""))</f>
        <v>Pagado</v>
      </c>
      <c r="Z271" s="666" t="str">
        <f>IF(OR($A271="F&amp;F",$G271=""),"",IF(Z$8&gt;$G271,IF(OR(status1B5!AA271=1,status1B5!AA271=2,'BOULEVARD 5'!AC269&gt;0),"Pagado","impago"),""))</f>
        <v>Pagado</v>
      </c>
      <c r="AA271" s="666" t="str">
        <f>IF(OR($A271="F&amp;F",$G271=""),"",IF(AA$8&gt;$G271,IF(OR(status1B5!AB271=1,status1B5!AB271=2,'BOULEVARD 5'!AD269&gt;0),"Pagado","impago"),""))</f>
        <v>Pagado</v>
      </c>
      <c r="AB271" s="666" t="str">
        <f>IF(OR($A271="F&amp;F",$G271=""),"",IF(AB$8&gt;$G271,IF(OR(status1B5!AC271=1,status1B5!AC271=2,'BOULEVARD 5'!AE269&gt;0),"Pagado","impago"),""))</f>
        <v>Pagado</v>
      </c>
      <c r="AC271" s="666" t="str">
        <f>IF(OR($A271="F&amp;F",$G271=""),"",IF(AC$8&gt;$G271,IF(OR(status1B5!AD271=1,status1B5!AD271=2,'BOULEVARD 5'!AF269&gt;0),"Pagado","impago"),""))</f>
        <v>Pagado</v>
      </c>
      <c r="AD271" s="666" t="str">
        <f>IF(OR($A271="F&amp;F",$G271=""),"",IF(AD$8&gt;$G271,IF(OR(status1B5!AE271=1,status1B5!AE271=2,'BOULEVARD 5'!AG269&gt;0),"Pagado","impago"),""))</f>
        <v>Pagado</v>
      </c>
      <c r="AE271" s="666" t="str">
        <f>IF(OR($A271="F&amp;F",$G271=""),"",IF(AE$8&gt;$G271,IF(OR(status1B5!AF271=1,status1B5!AF271=2,'BOULEVARD 5'!AH269&gt;0),"Pagado","impago"),""))</f>
        <v>Pagado</v>
      </c>
      <c r="AF271" s="666" t="str">
        <f>IF(OR($A271="F&amp;F",$G271=""),"",IF(AF$8&gt;$G271,IF(OR(status1B5!AG271=1,status1B5!AG271=2,'BOULEVARD 5'!AI269&gt;0),"Pagado","impago"),""))</f>
        <v>Pagado</v>
      </c>
      <c r="AG271" s="666" t="str">
        <f>IF(OR($A271="F&amp;F",$G271=""),"",IF(AG$8&gt;$G271,IF(OR(status1B5!AH271=1,status1B5!AH271=2,'BOULEVARD 5'!AJ269&gt;0),"Pagado","impago"),""))</f>
        <v>Pagado</v>
      </c>
      <c r="AH271" s="666" t="str">
        <f>IF(OR($A271="F&amp;F",$G271=""),"",IF(AH$8&gt;$G271,IF(OR(status1B5!AI271=1,status1B5!AI271=2,'BOULEVARD 5'!AK269&gt;0),"Pagado","impago"),""))</f>
        <v>Pagado</v>
      </c>
      <c r="AI271" s="666" t="str">
        <f>IF(OR($A271="F&amp;F",$G271=""),"",IF(AI$8&gt;$G271,IF(OR(status1B5!AJ271=1,status1B5!AJ271=2,'BOULEVARD 5'!AL269&gt;0),"Pagado","impago"),""))</f>
        <v>Pagado</v>
      </c>
      <c r="AJ271" s="666" t="str">
        <f>IF(OR($A271="F&amp;F",$G271=""),"",IF(AJ$8&gt;$G271,IF(OR(status1B5!AK271=1,status1B5!AK271=2,'BOULEVARD 5'!AM269&gt;0),"Pagado","impago"),""))</f>
        <v>Pagado</v>
      </c>
      <c r="AK271" s="666" t="str">
        <f>IF(OR($A271="F&amp;F",$G271=""),"",IF(AK$8&gt;$G271,IF(OR(status1B5!AL271=1,status1B5!AL271=2,'BOULEVARD 5'!AN269&gt;0),"Pagado","impago"),""))</f>
        <v>Pagado</v>
      </c>
      <c r="AL271" s="666" t="str">
        <f>IF(OR($A271="F&amp;F",$G271=""),"",IF(AL$8&gt;$G271,IF(OR(status1B5!AM271=1,status1B5!AM271=2,'BOULEVARD 5'!AO269&gt;0),"Pagado","impago"),""))</f>
        <v>Pagado</v>
      </c>
      <c r="AM271" s="666" t="str">
        <f>IF(OR($A271="F&amp;F",$G271=""),"",IF(AM$8&gt;$G271,IF(OR(status1B5!AN271=1,status1B5!AN271=2,'BOULEVARD 5'!AP269&gt;0),"Pagado","impago"),""))</f>
        <v>Pagado</v>
      </c>
      <c r="AN271" s="666" t="str">
        <f>IF(OR($A271="F&amp;F",$G271=""),"",IF(AN$8&gt;$G271,IF(OR(status1B5!AO271=1,status1B5!AO271=2,'BOULEVARD 5'!AQ269&gt;0),"Pagado","impago"),""))</f>
        <v>Pagado</v>
      </c>
      <c r="AO271" s="666" t="str">
        <f>IF(OR($A271="F&amp;F",$G271=""),"",IF(AO$8&gt;$G271,IF(OR(status1B5!AP271=1,status1B5!AP271=2,'BOULEVARD 5'!AS269&gt;0),"Pagado","impago"),""))</f>
        <v>Pagado</v>
      </c>
      <c r="AP271" s="429" t="str">
        <f t="shared" si="9"/>
        <v>Vendido</v>
      </c>
    </row>
    <row r="272" spans="1:42" s="429" customFormat="1" ht="13.9" customHeight="1" x14ac:dyDescent="0.25">
      <c r="A272" s="472"/>
      <c r="B272" s="436">
        <f>'BOULEVARD 5'!B270</f>
        <v>1511</v>
      </c>
      <c r="C272" s="436" t="s">
        <v>355</v>
      </c>
      <c r="D272" s="436"/>
      <c r="E272" s="436" t="str">
        <f>IF('BOULEVARD 5'!E270="","",'BOULEVARD 5'!E270)</f>
        <v>Antonio Rada</v>
      </c>
      <c r="F272" s="429" t="str">
        <f>IF('BOULEVARD 5'!F270="","",'BOULEVARD 5'!F270)</f>
        <v>Luis Fernando Velasquez León</v>
      </c>
      <c r="G272" s="473">
        <f>IF('BOULEVARD 5'!G270="","",'BOULEVARD 5'!G270)</f>
        <v>45155</v>
      </c>
      <c r="H272" s="666" t="str">
        <f>IF(OR($A272="F&amp;F",$G272=""),"",IF(H$8&gt;$G272,IF(OR(status1B5!I272=1,status1B5!I272=2,'BOULEVARD 5'!K270&gt;0),"Pagado","impago"),""))</f>
        <v/>
      </c>
      <c r="I272" s="666" t="str">
        <f>IF(OR($A272="F&amp;F",$G272=""),"",IF(I$8&gt;$G272,IF(OR(status1B5!J272=1,status1B5!J272=2,'BOULEVARD 5'!L270&gt;0),"Pagado","impago"),""))</f>
        <v/>
      </c>
      <c r="J272" s="666" t="str">
        <f>IF(OR($A272="F&amp;F",$G272=""),"",IF(J$8&gt;$G272,IF(OR(status1B5!K272=1,status1B5!K272=2,'BOULEVARD 5'!M270&gt;0),"Pagado","impago"),""))</f>
        <v/>
      </c>
      <c r="K272" s="666" t="str">
        <f>IF(OR($A272="F&amp;F",$G272=""),"",IF(K$8&gt;$G272,IF(OR(status1B5!L272=1,status1B5!L272=2,'BOULEVARD 5'!N270&gt;0),"Pagado","impago"),""))</f>
        <v/>
      </c>
      <c r="L272" s="666" t="str">
        <f>IF(OR($A272="F&amp;F",$G272=""),"",IF(L$8&gt;$G272,IF(OR(status1B5!M272=1,status1B5!M272=2,'BOULEVARD 5'!O270&gt;0),"Pagado","impago"),""))</f>
        <v/>
      </c>
      <c r="M272" s="666" t="str">
        <f>IF(OR($A272="F&amp;F",$G272=""),"",IF(M$8&gt;$G272,IF(OR(status1B5!N272=1,status1B5!N272=2,'BOULEVARD 5'!P270&gt;0),"Pagado","impago"),""))</f>
        <v>Pagado</v>
      </c>
      <c r="N272" s="666" t="str">
        <f>IF(OR($A272="F&amp;F",$G272=""),"",IF(N$8&gt;$G272,IF(OR(status1B5!O272=1,status1B5!O272=2,'BOULEVARD 5'!Q270&gt;0),"Pagado","impago"),""))</f>
        <v>Pagado</v>
      </c>
      <c r="O272" s="666" t="str">
        <f>IF(OR($A272="F&amp;F",$G272=""),"",IF(O$8&gt;$G272,IF(OR(status1B5!P272=1,status1B5!P272=2,'BOULEVARD 5'!R270&gt;0),"Pagado","impago"),""))</f>
        <v>Pagado</v>
      </c>
      <c r="P272" s="666" t="str">
        <f>IF(OR($A272="F&amp;F",$G272=""),"",IF(P$8&gt;$G272,IF(OR(status1B5!Q272=1,status1B5!Q272=2,'BOULEVARD 5'!S270&gt;0),"Pagado","impago"),""))</f>
        <v>Pagado</v>
      </c>
      <c r="Q272" s="666" t="str">
        <f>IF(OR($A272="F&amp;F",$G272=""),"",IF(Q$8&gt;$G272,IF(OR(status1B5!R272=1,status1B5!R272=2,'BOULEVARD 5'!T270&gt;0),"Pagado","impago"),""))</f>
        <v>Pagado</v>
      </c>
      <c r="R272" s="666" t="str">
        <f>IF(OR($A272="F&amp;F",$G272=""),"",IF(R$8&gt;$G272,IF(OR(status1B5!S272=1,status1B5!S272=2,'BOULEVARD 5'!U270&gt;0),"Pagado","impago"),""))</f>
        <v>Pagado</v>
      </c>
      <c r="S272" s="666" t="str">
        <f>IF(OR($A272="F&amp;F",$G272=""),"",IF(S$8&gt;$G272,IF(OR(status1B5!T272=1,status1B5!T272=2,'BOULEVARD 5'!V270&gt;0),"Pagado","impago"),""))</f>
        <v>Pagado</v>
      </c>
      <c r="T272" s="666" t="str">
        <f>IF(OR($A272="F&amp;F",$G272=""),"",IF(T$8&gt;$G272,IF(OR(status1B5!U272=1,status1B5!U272=2,'BOULEVARD 5'!W270&gt;0),"Pagado","impago"),""))</f>
        <v>Pagado</v>
      </c>
      <c r="U272" s="666" t="str">
        <f>IF(OR($A272="F&amp;F",$G272=""),"",IF(U$8&gt;$G272,IF(OR(status1B5!V272=1,status1B5!V272=2,'BOULEVARD 5'!X270&gt;0),"Pagado","impago"),""))</f>
        <v>Pagado</v>
      </c>
      <c r="V272" s="666" t="str">
        <f>IF(OR($A272="F&amp;F",$G272=""),"",IF(V$8&gt;$G272,IF(OR(status1B5!W272=1,status1B5!W272=2,'BOULEVARD 5'!Y270&gt;0),"Pagado","impago"),""))</f>
        <v>Pagado</v>
      </c>
      <c r="W272" s="666" t="str">
        <f>IF(OR($A272="F&amp;F",$G272=""),"",IF(W$8&gt;$G272,IF(OR(status1B5!X272=1,status1B5!X272=2,'BOULEVARD 5'!Z270&gt;0),"Pagado","impago"),""))</f>
        <v>Pagado</v>
      </c>
      <c r="X272" s="666" t="str">
        <f>IF(OR($A272="F&amp;F",$G272=""),"",IF(X$8&gt;$G272,IF(OR(status1B5!Y272=1,status1B5!Y272=2,'BOULEVARD 5'!AA270&gt;0),"Pagado","impago"),""))</f>
        <v>Pagado</v>
      </c>
      <c r="Y272" s="666" t="str">
        <f>IF(OR($A272="F&amp;F",$G272=""),"",IF(Y$8&gt;$G272,IF(OR(status1B5!Z272=1,status1B5!Z272=2,'BOULEVARD 5'!AB270&gt;0),"Pagado","impago"),""))</f>
        <v>Pagado</v>
      </c>
      <c r="Z272" s="666" t="str">
        <f>IF(OR($A272="F&amp;F",$G272=""),"",IF(Z$8&gt;$G272,IF(OR(status1B5!AA272=1,status1B5!AA272=2,'BOULEVARD 5'!AC270&gt;0),"Pagado","impago"),""))</f>
        <v>Pagado</v>
      </c>
      <c r="AA272" s="666" t="str">
        <f>IF(OR($A272="F&amp;F",$G272=""),"",IF(AA$8&gt;$G272,IF(OR(status1B5!AB272=1,status1B5!AB272=2,'BOULEVARD 5'!AD270&gt;0),"Pagado","impago"),""))</f>
        <v>Pagado</v>
      </c>
      <c r="AB272" s="666" t="str">
        <f>IF(OR($A272="F&amp;F",$G272=""),"",IF(AB$8&gt;$G272,IF(OR(status1B5!AC272=1,status1B5!AC272=2,'BOULEVARD 5'!AE270&gt;0),"Pagado","impago"),""))</f>
        <v>Pagado</v>
      </c>
      <c r="AC272" s="666" t="str">
        <f>IF(OR($A272="F&amp;F",$G272=""),"",IF(AC$8&gt;$G272,IF(OR(status1B5!AD272=1,status1B5!AD272=2,'BOULEVARD 5'!AF270&gt;0),"Pagado","impago"),""))</f>
        <v>Pagado</v>
      </c>
      <c r="AD272" s="666" t="str">
        <f>IF(OR($A272="F&amp;F",$G272=""),"",IF(AD$8&gt;$G272,IF(OR(status1B5!AE272=1,status1B5!AE272=2,'BOULEVARD 5'!AG270&gt;0),"Pagado","impago"),""))</f>
        <v>Pagado</v>
      </c>
      <c r="AE272" s="666" t="str">
        <f>IF(OR($A272="F&amp;F",$G272=""),"",IF(AE$8&gt;$G272,IF(OR(status1B5!AF272=1,status1B5!AF272=2,'BOULEVARD 5'!AH270&gt;0),"Pagado","impago"),""))</f>
        <v>Pagado</v>
      </c>
      <c r="AF272" s="666" t="str">
        <f>IF(OR($A272="F&amp;F",$G272=""),"",IF(AF$8&gt;$G272,IF(OR(status1B5!AG272=1,status1B5!AG272=2,'BOULEVARD 5'!AI270&gt;0),"Pagado","impago"),""))</f>
        <v>Pagado</v>
      </c>
      <c r="AG272" s="666" t="str">
        <f>IF(OR($A272="F&amp;F",$G272=""),"",IF(AG$8&gt;$G272,IF(OR(status1B5!AH272=1,status1B5!AH272=2,'BOULEVARD 5'!AJ270&gt;0),"Pagado","impago"),""))</f>
        <v>Pagado</v>
      </c>
      <c r="AH272" s="666" t="str">
        <f>IF(OR($A272="F&amp;F",$G272=""),"",IF(AH$8&gt;$G272,IF(OR(status1B5!AI272=1,status1B5!AI272=2,'BOULEVARD 5'!AK270&gt;0),"Pagado","impago"),""))</f>
        <v>Pagado</v>
      </c>
      <c r="AI272" s="666" t="str">
        <f>IF(OR($A272="F&amp;F",$G272=""),"",IF(AI$8&gt;$G272,IF(OR(status1B5!AJ272=1,status1B5!AJ272=2,'BOULEVARD 5'!AL270&gt;0),"Pagado","impago"),""))</f>
        <v>Pagado</v>
      </c>
      <c r="AJ272" s="666" t="str">
        <f>IF(OR($A272="F&amp;F",$G272=""),"",IF(AJ$8&gt;$G272,IF(OR(status1B5!AK272=1,status1B5!AK272=2,'BOULEVARD 5'!AM270&gt;0),"Pagado","impago"),""))</f>
        <v>Pagado</v>
      </c>
      <c r="AK272" s="666" t="str">
        <f>IF(OR($A272="F&amp;F",$G272=""),"",IF(AK$8&gt;$G272,IF(OR(status1B5!AL272=1,status1B5!AL272=2,'BOULEVARD 5'!AN270&gt;0),"Pagado","impago"),""))</f>
        <v>Pagado</v>
      </c>
      <c r="AL272" s="666" t="str">
        <f>IF(OR($A272="F&amp;F",$G272=""),"",IF(AL$8&gt;$G272,IF(OR(status1B5!AM272=1,status1B5!AM272=2,'BOULEVARD 5'!AO270&gt;0),"Pagado","impago"),""))</f>
        <v>Pagado</v>
      </c>
      <c r="AM272" s="666" t="str">
        <f>IF(OR($A272="F&amp;F",$G272=""),"",IF(AM$8&gt;$G272,IF(OR(status1B5!AN272=1,status1B5!AN272=2,'BOULEVARD 5'!AP270&gt;0),"Pagado","impago"),""))</f>
        <v>Pagado</v>
      </c>
      <c r="AN272" s="666" t="str">
        <f>IF(OR($A272="F&amp;F",$G272=""),"",IF(AN$8&gt;$G272,IF(OR(status1B5!AO272=1,status1B5!AO272=2,'BOULEVARD 5'!AQ270&gt;0),"Pagado","impago"),""))</f>
        <v>Pagado</v>
      </c>
      <c r="AO272" s="666" t="str">
        <f>IF(OR($A272="F&amp;F",$G272=""),"",IF(AO$8&gt;$G272,IF(OR(status1B5!AP272=1,status1B5!AP272=2,'BOULEVARD 5'!AS270&gt;0),"Pagado","impago"),""))</f>
        <v>Pagado</v>
      </c>
      <c r="AP272" s="429" t="str">
        <f t="shared" si="9"/>
        <v>Vendido</v>
      </c>
    </row>
    <row r="273" spans="1:42" s="429" customFormat="1" ht="13.9" customHeight="1" x14ac:dyDescent="0.25">
      <c r="B273" s="436">
        <f>'BOULEVARD 5'!B271</f>
        <v>1512</v>
      </c>
      <c r="C273" s="436" t="s">
        <v>355</v>
      </c>
      <c r="D273" s="436"/>
      <c r="E273" s="436" t="str">
        <f>IF('BOULEVARD 5'!E271="","",'BOULEVARD 5'!E271)</f>
        <v/>
      </c>
      <c r="F273" s="429" t="str">
        <f>IF('BOULEVARD 5'!F271="","",'BOULEVARD 5'!F271)</f>
        <v/>
      </c>
      <c r="G273" s="473" t="str">
        <f>IF('BOULEVARD 5'!G271="","",'BOULEVARD 5'!G271)</f>
        <v/>
      </c>
      <c r="H273" s="666" t="str">
        <f>IF(OR($A273="F&amp;F",$G273=""),"",IF(H$8&gt;$G273,IF(OR(status1B5!I273=1,status1B5!I273=2,'BOULEVARD 5'!K271&gt;0),"Pagado","impago"),""))</f>
        <v/>
      </c>
      <c r="I273" s="666" t="str">
        <f>IF(OR($A273="F&amp;F",$G273=""),"",IF(I$8&gt;$G273,IF(OR(status1B5!J273=1,status1B5!J273=2,'BOULEVARD 5'!L271&gt;0),"Pagado","impago"),""))</f>
        <v/>
      </c>
      <c r="J273" s="666" t="str">
        <f>IF(OR($A273="F&amp;F",$G273=""),"",IF(J$8&gt;$G273,IF(OR(status1B5!K273=1,status1B5!K273=2,'BOULEVARD 5'!M271&gt;0),"Pagado","impago"),""))</f>
        <v/>
      </c>
      <c r="K273" s="666" t="str">
        <f>IF(OR($A273="F&amp;F",$G273=""),"",IF(K$8&gt;$G273,IF(OR(status1B5!L273=1,status1B5!L273=2,'BOULEVARD 5'!N271&gt;0),"Pagado","impago"),""))</f>
        <v/>
      </c>
      <c r="L273" s="666" t="str">
        <f>IF(OR($A273="F&amp;F",$G273=""),"",IF(L$8&gt;$G273,IF(OR(status1B5!M273=1,status1B5!M273=2,'BOULEVARD 5'!O271&gt;0),"Pagado","impago"),""))</f>
        <v/>
      </c>
      <c r="M273" s="666" t="str">
        <f>IF(OR($A273="F&amp;F",$G273=""),"",IF(M$8&gt;$G273,IF(OR(status1B5!N273=1,status1B5!N273=2,'BOULEVARD 5'!P271&gt;0),"Pagado","impago"),""))</f>
        <v/>
      </c>
      <c r="N273" s="666" t="str">
        <f>IF(OR($A273="F&amp;F",$G273=""),"",IF(N$8&gt;$G273,IF(OR(status1B5!O273=1,status1B5!O273=2,'BOULEVARD 5'!Q271&gt;0),"Pagado","impago"),""))</f>
        <v/>
      </c>
      <c r="O273" s="666" t="str">
        <f>IF(OR($A273="F&amp;F",$G273=""),"",IF(O$8&gt;$G273,IF(OR(status1B5!P273=1,status1B5!P273=2,'BOULEVARD 5'!R271&gt;0),"Pagado","impago"),""))</f>
        <v/>
      </c>
      <c r="P273" s="666" t="str">
        <f>IF(OR($A273="F&amp;F",$G273=""),"",IF(P$8&gt;$G273,IF(OR(status1B5!Q273=1,status1B5!Q273=2,'BOULEVARD 5'!S271&gt;0),"Pagado","impago"),""))</f>
        <v/>
      </c>
      <c r="Q273" s="666" t="str">
        <f>IF(OR($A273="F&amp;F",$G273=""),"",IF(Q$8&gt;$G273,IF(OR(status1B5!R273=1,status1B5!R273=2,'BOULEVARD 5'!T271&gt;0),"Pagado","impago"),""))</f>
        <v/>
      </c>
      <c r="R273" s="666" t="str">
        <f>IF(OR($A273="F&amp;F",$G273=""),"",IF(R$8&gt;$G273,IF(OR(status1B5!S273=1,status1B5!S273=2,'BOULEVARD 5'!U271&gt;0),"Pagado","impago"),""))</f>
        <v/>
      </c>
      <c r="S273" s="666" t="str">
        <f>IF(OR($A273="F&amp;F",$G273=""),"",IF(S$8&gt;$G273,IF(OR(status1B5!T273=1,status1B5!T273=2,'BOULEVARD 5'!V271&gt;0),"Pagado","impago"),""))</f>
        <v/>
      </c>
      <c r="T273" s="666" t="str">
        <f>IF(OR($A273="F&amp;F",$G273=""),"",IF(T$8&gt;$G273,IF(OR(status1B5!U273=1,status1B5!U273=2,'BOULEVARD 5'!W271&gt;0),"Pagado","impago"),""))</f>
        <v/>
      </c>
      <c r="U273" s="666" t="str">
        <f>IF(OR($A273="F&amp;F",$G273=""),"",IF(U$8&gt;$G273,IF(OR(status1B5!V273=1,status1B5!V273=2,'BOULEVARD 5'!X271&gt;0),"Pagado","impago"),""))</f>
        <v/>
      </c>
      <c r="V273" s="666" t="str">
        <f>IF(OR($A273="F&amp;F",$G273=""),"",IF(V$8&gt;$G273,IF(OR(status1B5!W273=1,status1B5!W273=2,'BOULEVARD 5'!Y271&gt;0),"Pagado","impago"),""))</f>
        <v/>
      </c>
      <c r="W273" s="666" t="str">
        <f>IF(OR($A273="F&amp;F",$G273=""),"",IF(W$8&gt;$G273,IF(OR(status1B5!X273=1,status1B5!X273=2,'BOULEVARD 5'!Z271&gt;0),"Pagado","impago"),""))</f>
        <v/>
      </c>
      <c r="X273" s="666" t="str">
        <f>IF(OR($A273="F&amp;F",$G273=""),"",IF(X$8&gt;$G273,IF(OR(status1B5!Y273=1,status1B5!Y273=2,'BOULEVARD 5'!AA271&gt;0),"Pagado","impago"),""))</f>
        <v/>
      </c>
      <c r="Y273" s="666" t="str">
        <f>IF(OR($A273="F&amp;F",$G273=""),"",IF(Y$8&gt;$G273,IF(OR(status1B5!Z273=1,status1B5!Z273=2,'BOULEVARD 5'!AB271&gt;0),"Pagado","impago"),""))</f>
        <v/>
      </c>
      <c r="Z273" s="666" t="str">
        <f>IF(OR($A273="F&amp;F",$G273=""),"",IF(Z$8&gt;$G273,IF(OR(status1B5!AA273=1,status1B5!AA273=2,'BOULEVARD 5'!AC271&gt;0),"Pagado","impago"),""))</f>
        <v/>
      </c>
      <c r="AA273" s="666" t="str">
        <f>IF(OR($A273="F&amp;F",$G273=""),"",IF(AA$8&gt;$G273,IF(OR(status1B5!AB273=1,status1B5!AB273=2,'BOULEVARD 5'!AD271&gt;0),"Pagado","impago"),""))</f>
        <v/>
      </c>
      <c r="AB273" s="666" t="str">
        <f>IF(OR($A273="F&amp;F",$G273=""),"",IF(AB$8&gt;$G273,IF(OR(status1B5!AC273=1,status1B5!AC273=2,'BOULEVARD 5'!AE271&gt;0),"Pagado","impago"),""))</f>
        <v/>
      </c>
      <c r="AC273" s="666" t="str">
        <f>IF(OR($A273="F&amp;F",$G273=""),"",IF(AC$8&gt;$G273,IF(OR(status1B5!AD273=1,status1B5!AD273=2,'BOULEVARD 5'!AF271&gt;0),"Pagado","impago"),""))</f>
        <v/>
      </c>
      <c r="AD273" s="666" t="str">
        <f>IF(OR($A273="F&amp;F",$G273=""),"",IF(AD$8&gt;$G273,IF(OR(status1B5!AE273=1,status1B5!AE273=2,'BOULEVARD 5'!AG271&gt;0),"Pagado","impago"),""))</f>
        <v/>
      </c>
      <c r="AE273" s="666" t="str">
        <f>IF(OR($A273="F&amp;F",$G273=""),"",IF(AE$8&gt;$G273,IF(OR(status1B5!AF273=1,status1B5!AF273=2,'BOULEVARD 5'!AH271&gt;0),"Pagado","impago"),""))</f>
        <v/>
      </c>
      <c r="AF273" s="666" t="str">
        <f>IF(OR($A273="F&amp;F",$G273=""),"",IF(AF$8&gt;$G273,IF(OR(status1B5!AG273=1,status1B5!AG273=2,'BOULEVARD 5'!AI271&gt;0),"Pagado","impago"),""))</f>
        <v/>
      </c>
      <c r="AG273" s="666" t="str">
        <f>IF(OR($A273="F&amp;F",$G273=""),"",IF(AG$8&gt;$G273,IF(OR(status1B5!AH273=1,status1B5!AH273=2,'BOULEVARD 5'!AJ271&gt;0),"Pagado","impago"),""))</f>
        <v/>
      </c>
      <c r="AH273" s="666" t="str">
        <f>IF(OR($A273="F&amp;F",$G273=""),"",IF(AH$8&gt;$G273,IF(OR(status1B5!AI273=1,status1B5!AI273=2,'BOULEVARD 5'!AK271&gt;0),"Pagado","impago"),""))</f>
        <v/>
      </c>
      <c r="AI273" s="666" t="str">
        <f>IF(OR($A273="F&amp;F",$G273=""),"",IF(AI$8&gt;$G273,IF(OR(status1B5!AJ273=1,status1B5!AJ273=2,'BOULEVARD 5'!AL271&gt;0),"Pagado","impago"),""))</f>
        <v/>
      </c>
      <c r="AJ273" s="666" t="str">
        <f>IF(OR($A273="F&amp;F",$G273=""),"",IF(AJ$8&gt;$G273,IF(OR(status1B5!AK273=1,status1B5!AK273=2,'BOULEVARD 5'!AM271&gt;0),"Pagado","impago"),""))</f>
        <v/>
      </c>
      <c r="AK273" s="666" t="str">
        <f>IF(OR($A273="F&amp;F",$G273=""),"",IF(AK$8&gt;$G273,IF(OR(status1B5!AL273=1,status1B5!AL273=2,'BOULEVARD 5'!AN271&gt;0),"Pagado","impago"),""))</f>
        <v/>
      </c>
      <c r="AL273" s="666" t="str">
        <f>IF(OR($A273="F&amp;F",$G273=""),"",IF(AL$8&gt;$G273,IF(OR(status1B5!AM273=1,status1B5!AM273=2,'BOULEVARD 5'!AO271&gt;0),"Pagado","impago"),""))</f>
        <v/>
      </c>
      <c r="AM273" s="666" t="str">
        <f>IF(OR($A273="F&amp;F",$G273=""),"",IF(AM$8&gt;$G273,IF(OR(status1B5!AN273=1,status1B5!AN273=2,'BOULEVARD 5'!AP271&gt;0),"Pagado","impago"),""))</f>
        <v/>
      </c>
      <c r="AN273" s="666" t="str">
        <f>IF(OR($A273="F&amp;F",$G273=""),"",IF(AN$8&gt;$G273,IF(OR(status1B5!AO273=1,status1B5!AO273=2,'BOULEVARD 5'!AQ271&gt;0),"Pagado","impago"),""))</f>
        <v/>
      </c>
      <c r="AO273" s="666" t="str">
        <f>IF(OR($A273="F&amp;F",$G273=""),"",IF(AO$8&gt;$G273,IF(OR(status1B5!AP273=1,status1B5!AP273=2,'BOULEVARD 5'!AS271&gt;0),"Pagado","impago"),""))</f>
        <v/>
      </c>
      <c r="AP273" s="429" t="str">
        <f t="shared" si="9"/>
        <v>No Vendido</v>
      </c>
    </row>
    <row r="274" spans="1:42" s="429" customFormat="1" ht="13.9" customHeight="1" x14ac:dyDescent="0.25">
      <c r="A274" s="472"/>
      <c r="B274" s="436">
        <f>'BOULEVARD 5'!B272</f>
        <v>1601</v>
      </c>
      <c r="C274" s="436" t="s">
        <v>355</v>
      </c>
      <c r="D274" s="436"/>
      <c r="E274" s="436" t="str">
        <f>IF('BOULEVARD 5'!E272="","",'BOULEVARD 5'!E272)</f>
        <v>Brenda Búcaro</v>
      </c>
      <c r="F274" s="429" t="str">
        <f>IF('BOULEVARD 5'!F272="","",'BOULEVARD 5'!F272)</f>
        <v>Fernando García Coronado</v>
      </c>
      <c r="G274" s="473">
        <f>IF('BOULEVARD 5'!G272="","",'BOULEVARD 5'!G272)</f>
        <v>45162</v>
      </c>
      <c r="H274" s="666" t="str">
        <f>IF(OR($A274="F&amp;F",$G274=""),"",IF(H$8&gt;$G274,IF(OR(status1B5!I274=1,status1B5!I274=2,'BOULEVARD 5'!K272&gt;0),"Pagado","impago"),""))</f>
        <v/>
      </c>
      <c r="I274" s="666" t="str">
        <f>IF(OR($A274="F&amp;F",$G274=""),"",IF(I$8&gt;$G274,IF(OR(status1B5!J274=1,status1B5!J274=2,'BOULEVARD 5'!L272&gt;0),"Pagado","impago"),""))</f>
        <v/>
      </c>
      <c r="J274" s="666" t="str">
        <f>IF(OR($A274="F&amp;F",$G274=""),"",IF(J$8&gt;$G274,IF(OR(status1B5!K274=1,status1B5!K274=2,'BOULEVARD 5'!M272&gt;0),"Pagado","impago"),""))</f>
        <v/>
      </c>
      <c r="K274" s="666" t="str">
        <f>IF(OR($A274="F&amp;F",$G274=""),"",IF(K$8&gt;$G274,IF(OR(status1B5!L274=1,status1B5!L274=2,'BOULEVARD 5'!N272&gt;0),"Pagado","impago"),""))</f>
        <v/>
      </c>
      <c r="L274" s="666" t="str">
        <f>IF(OR($A274="F&amp;F",$G274=""),"",IF(L$8&gt;$G274,IF(OR(status1B5!M274=1,status1B5!M274=2,'BOULEVARD 5'!O272&gt;0),"Pagado","impago"),""))</f>
        <v/>
      </c>
      <c r="M274" s="666" t="str">
        <f>IF(OR($A274="F&amp;F",$G274=""),"",IF(M$8&gt;$G274,IF(OR(status1B5!N274=1,status1B5!N274=2,'BOULEVARD 5'!P272&gt;0),"Pagado","impago"),""))</f>
        <v>Pagado</v>
      </c>
      <c r="N274" s="666" t="str">
        <f>IF(OR($A274="F&amp;F",$G274=""),"",IF(N$8&gt;$G274,IF(OR(status1B5!O274=1,status1B5!O274=2,'BOULEVARD 5'!Q272&gt;0),"Pagado","impago"),""))</f>
        <v>Pagado</v>
      </c>
      <c r="O274" s="666" t="str">
        <f>IF(OR($A274="F&amp;F",$G274=""),"",IF(O$8&gt;$G274,IF(OR(status1B5!P274=1,status1B5!P274=2,'BOULEVARD 5'!R272&gt;0),"Pagado","impago"),""))</f>
        <v>Pagado</v>
      </c>
      <c r="P274" s="666" t="str">
        <f>IF(OR($A274="F&amp;F",$G274=""),"",IF(P$8&gt;$G274,IF(OR(status1B5!Q274=1,status1B5!Q274=2,'BOULEVARD 5'!S272&gt;0),"Pagado","impago"),""))</f>
        <v>Pagado</v>
      </c>
      <c r="Q274" s="666" t="str">
        <f>IF(OR($A274="F&amp;F",$G274=""),"",IF(Q$8&gt;$G274,IF(OR(status1B5!R274=1,status1B5!R274=2,'BOULEVARD 5'!T272&gt;0),"Pagado","impago"),""))</f>
        <v>Pagado</v>
      </c>
      <c r="R274" s="666" t="str">
        <f>IF(OR($A274="F&amp;F",$G274=""),"",IF(R$8&gt;$G274,IF(OR(status1B5!S274=1,status1B5!S274=2,'BOULEVARD 5'!U272&gt;0),"Pagado","impago"),""))</f>
        <v>Pagado</v>
      </c>
      <c r="S274" s="666" t="str">
        <f>IF(OR($A274="F&amp;F",$G274=""),"",IF(S$8&gt;$G274,IF(OR(status1B5!T274=1,status1B5!T274=2,'BOULEVARD 5'!V272&gt;0),"Pagado","impago"),""))</f>
        <v>Pagado</v>
      </c>
      <c r="T274" s="666" t="str">
        <f>IF(OR($A274="F&amp;F",$G274=""),"",IF(T$8&gt;$G274,IF(OR(status1B5!U274=1,status1B5!U274=2,'BOULEVARD 5'!W272&gt;0),"Pagado","impago"),""))</f>
        <v>Pagado</v>
      </c>
      <c r="U274" s="666" t="str">
        <f>IF(OR($A274="F&amp;F",$G274=""),"",IF(U$8&gt;$G274,IF(OR(status1B5!V274=1,status1B5!V274=2,'BOULEVARD 5'!X272&gt;0),"Pagado","impago"),""))</f>
        <v>Pagado</v>
      </c>
      <c r="V274" s="666" t="str">
        <f>IF(OR($A274="F&amp;F",$G274=""),"",IF(V$8&gt;$G274,IF(OR(status1B5!W274=1,status1B5!W274=2,'BOULEVARD 5'!Y272&gt;0),"Pagado","impago"),""))</f>
        <v>Pagado</v>
      </c>
      <c r="W274" s="666" t="str">
        <f>IF(OR($A274="F&amp;F",$G274=""),"",IF(W$8&gt;$G274,IF(OR(status1B5!X274=1,status1B5!X274=2,'BOULEVARD 5'!Z272&gt;0),"Pagado","impago"),""))</f>
        <v>Pagado</v>
      </c>
      <c r="X274" s="666" t="str">
        <f>IF(OR($A274="F&amp;F",$G274=""),"",IF(X$8&gt;$G274,IF(OR(status1B5!Y274=1,status1B5!Y274=2,'BOULEVARD 5'!AA272&gt;0),"Pagado","impago"),""))</f>
        <v>Pagado</v>
      </c>
      <c r="Y274" s="666" t="str">
        <f>IF(OR($A274="F&amp;F",$G274=""),"",IF(Y$8&gt;$G274,IF(OR(status1B5!Z274=1,status1B5!Z274=2,'BOULEVARD 5'!AB272&gt;0),"Pagado","impago"),""))</f>
        <v>Pagado</v>
      </c>
      <c r="Z274" s="666" t="str">
        <f>IF(OR($A274="F&amp;F",$G274=""),"",IF(Z$8&gt;$G274,IF(OR(status1B5!AA274=1,status1B5!AA274=2,'BOULEVARD 5'!AC272&gt;0),"Pagado","impago"),""))</f>
        <v>Pagado</v>
      </c>
      <c r="AA274" s="666" t="str">
        <f>IF(OR($A274="F&amp;F",$G274=""),"",IF(AA$8&gt;$G274,IF(OR(status1B5!AB274=1,status1B5!AB274=2,'BOULEVARD 5'!AD272&gt;0),"Pagado","impago"),""))</f>
        <v>Pagado</v>
      </c>
      <c r="AB274" s="666" t="str">
        <f>IF(OR($A274="F&amp;F",$G274=""),"",IF(AB$8&gt;$G274,IF(OR(status1B5!AC274=1,status1B5!AC274=2,'BOULEVARD 5'!AE272&gt;0),"Pagado","impago"),""))</f>
        <v>Pagado</v>
      </c>
      <c r="AC274" s="666" t="str">
        <f>IF(OR($A274="F&amp;F",$G274=""),"",IF(AC$8&gt;$G274,IF(OR(status1B5!AD274=1,status1B5!AD274=2,'BOULEVARD 5'!AF272&gt;0),"Pagado","impago"),""))</f>
        <v>Pagado</v>
      </c>
      <c r="AD274" s="666" t="str">
        <f>IF(OR($A274="F&amp;F",$G274=""),"",IF(AD$8&gt;$G274,IF(OR(status1B5!AE274=1,status1B5!AE274=2,'BOULEVARD 5'!AG272&gt;0),"Pagado","impago"),""))</f>
        <v>Pagado</v>
      </c>
      <c r="AE274" s="666" t="str">
        <f>IF(OR($A274="F&amp;F",$G274=""),"",IF(AE$8&gt;$G274,IF(OR(status1B5!AF274=1,status1B5!AF274=2,'BOULEVARD 5'!AH272&gt;0),"Pagado","impago"),""))</f>
        <v>Pagado</v>
      </c>
      <c r="AF274" s="666" t="str">
        <f>IF(OR($A274="F&amp;F",$G274=""),"",IF(AF$8&gt;$G274,IF(OR(status1B5!AG274=1,status1B5!AG274=2,'BOULEVARD 5'!AI272&gt;0),"Pagado","impago"),""))</f>
        <v>Pagado</v>
      </c>
      <c r="AG274" s="666" t="str">
        <f>IF(OR($A274="F&amp;F",$G274=""),"",IF(AG$8&gt;$G274,IF(OR(status1B5!AH274=1,status1B5!AH274=2,'BOULEVARD 5'!AJ272&gt;0),"Pagado","impago"),""))</f>
        <v>Pagado</v>
      </c>
      <c r="AH274" s="666" t="str">
        <f>IF(OR($A274="F&amp;F",$G274=""),"",IF(AH$8&gt;$G274,IF(OR(status1B5!AI274=1,status1B5!AI274=2,'BOULEVARD 5'!AK272&gt;0),"Pagado","impago"),""))</f>
        <v>Pagado</v>
      </c>
      <c r="AI274" s="666" t="str">
        <f>IF(OR($A274="F&amp;F",$G274=""),"",IF(AI$8&gt;$G274,IF(OR(status1B5!AJ274=1,status1B5!AJ274=2,'BOULEVARD 5'!AL272&gt;0),"Pagado","impago"),""))</f>
        <v>Pagado</v>
      </c>
      <c r="AJ274" s="666" t="str">
        <f>IF(OR($A274="F&amp;F",$G274=""),"",IF(AJ$8&gt;$G274,IF(OR(status1B5!AK274=1,status1B5!AK274=2,'BOULEVARD 5'!AM272&gt;0),"Pagado","impago"),""))</f>
        <v>Pagado</v>
      </c>
      <c r="AK274" s="666" t="str">
        <f>IF(OR($A274="F&amp;F",$G274=""),"",IF(AK$8&gt;$G274,IF(OR(status1B5!AL274=1,status1B5!AL274=2,'BOULEVARD 5'!AN272&gt;0),"Pagado","impago"),""))</f>
        <v>Pagado</v>
      </c>
      <c r="AL274" s="666" t="str">
        <f>IF(OR($A274="F&amp;F",$G274=""),"",IF(AL$8&gt;$G274,IF(OR(status1B5!AM274=1,status1B5!AM274=2,'BOULEVARD 5'!AO272&gt;0),"Pagado","impago"),""))</f>
        <v>Pagado</v>
      </c>
      <c r="AM274" s="666" t="str">
        <f>IF(OR($A274="F&amp;F",$G274=""),"",IF(AM$8&gt;$G274,IF(OR(status1B5!AN274=1,status1B5!AN274=2,'BOULEVARD 5'!AP272&gt;0),"Pagado","impago"),""))</f>
        <v>Pagado</v>
      </c>
      <c r="AN274" s="666" t="str">
        <f>IF(OR($A274="F&amp;F",$G274=""),"",IF(AN$8&gt;$G274,IF(OR(status1B5!AO274=1,status1B5!AO274=2,'BOULEVARD 5'!AQ272&gt;0),"Pagado","impago"),""))</f>
        <v>Pagado</v>
      </c>
      <c r="AO274" s="666" t="str">
        <f>IF(OR($A274="F&amp;F",$G274=""),"",IF(AO$8&gt;$G274,IF(OR(status1B5!AP274=1,status1B5!AP274=2,'BOULEVARD 5'!AS272&gt;0),"Pagado","impago"),""))</f>
        <v>Pagado</v>
      </c>
      <c r="AP274" s="429" t="str">
        <f t="shared" si="9"/>
        <v>Vendido</v>
      </c>
    </row>
    <row r="275" spans="1:42" s="429" customFormat="1" ht="13.9" customHeight="1" x14ac:dyDescent="0.25">
      <c r="A275" s="472" t="s">
        <v>58</v>
      </c>
      <c r="B275" s="475">
        <f>'BOULEVARD 5'!B273</f>
        <v>1602</v>
      </c>
      <c r="C275" s="475" t="s">
        <v>355</v>
      </c>
      <c r="D275" s="475"/>
      <c r="E275" s="475" t="str">
        <f>IF('BOULEVARD 5'!E273="","",'BOULEVARD 5'!E273)</f>
        <v>Ronaldo</v>
      </c>
      <c r="F275" s="476" t="str">
        <f>IF('BOULEVARD 5'!F273="","",'BOULEVARD 5'!F273)</f>
        <v>International Coffee Industry, S.A</v>
      </c>
      <c r="G275" s="473">
        <f>IF('BOULEVARD 5'!G273="","",'BOULEVARD 5'!G273)</f>
        <v>45300</v>
      </c>
      <c r="H275" s="666" t="str">
        <f>IF(OR($A275="F&amp;F",$G275=""),"",IF(H$8&gt;$G275,IF(OR(status1B5!I275=1,status1B5!I275=2,'BOULEVARD 5'!K273&gt;0),"Pagado","impago"),""))</f>
        <v/>
      </c>
      <c r="I275" s="666" t="str">
        <f>IF(OR($A275="F&amp;F",$G275=""),"",IF(I$8&gt;$G275,IF(OR(status1B5!J275=1,status1B5!J275=2,'BOULEVARD 5'!L273&gt;0),"Pagado","impago"),""))</f>
        <v/>
      </c>
      <c r="J275" s="666" t="str">
        <f>IF(OR($A275="F&amp;F",$G275=""),"",IF(J$8&gt;$G275,IF(OR(status1B5!K275=1,status1B5!K275=2,'BOULEVARD 5'!M273&gt;0),"Pagado","impago"),""))</f>
        <v/>
      </c>
      <c r="K275" s="666" t="str">
        <f>IF(OR($A275="F&amp;F",$G275=""),"",IF(K$8&gt;$G275,IF(OR(status1B5!L275=1,status1B5!L275=2,'BOULEVARD 5'!N273&gt;0),"Pagado","impago"),""))</f>
        <v/>
      </c>
      <c r="L275" s="666" t="str">
        <f>IF(OR($A275="F&amp;F",$G275=""),"",IF(L$8&gt;$G275,IF(OR(status1B5!M275=1,status1B5!M275=2,'BOULEVARD 5'!O273&gt;0),"Pagado","impago"),""))</f>
        <v/>
      </c>
      <c r="M275" s="666" t="str">
        <f>IF(OR($A275="F&amp;F",$G275=""),"",IF(M$8&gt;$G275,IF(OR(status1B5!N275=1,status1B5!N275=2,'BOULEVARD 5'!P273&gt;0),"Pagado","impago"),""))</f>
        <v/>
      </c>
      <c r="N275" s="666" t="str">
        <f>IF(OR($A275="F&amp;F",$G275=""),"",IF(N$8&gt;$G275,IF(OR(status1B5!O275=1,status1B5!O275=2,'BOULEVARD 5'!Q273&gt;0),"Pagado","impago"),""))</f>
        <v/>
      </c>
      <c r="O275" s="666" t="str">
        <f>IF(OR($A275="F&amp;F",$G275=""),"",IF(O$8&gt;$G275,IF(OR(status1B5!P275=1,status1B5!P275=2,'BOULEVARD 5'!R273&gt;0),"Pagado","impago"),""))</f>
        <v/>
      </c>
      <c r="P275" s="666" t="str">
        <f>IF(OR($A275="F&amp;F",$G275=""),"",IF(P$8&gt;$G275,IF(OR(status1B5!Q275=1,status1B5!Q275=2,'BOULEVARD 5'!S273&gt;0),"Pagado","impago"),""))</f>
        <v/>
      </c>
      <c r="Q275" s="666" t="str">
        <f>IF(OR($A275="F&amp;F",$G275=""),"",IF(Q$8&gt;$G275,IF(OR(status1B5!R275=1,status1B5!R275=2,'BOULEVARD 5'!T273&gt;0),"Pagado","impago"),""))</f>
        <v/>
      </c>
      <c r="R275" s="666" t="str">
        <f>IF(OR($A275="F&amp;F",$G275=""),"",IF(R$8&gt;$G275,IF(OR(status1B5!S275=1,status1B5!S275=2,'BOULEVARD 5'!U273&gt;0),"Pagado","impago"),""))</f>
        <v/>
      </c>
      <c r="S275" s="666" t="str">
        <f>IF(OR($A275="F&amp;F",$G275=""),"",IF(S$8&gt;$G275,IF(OR(status1B5!T275=1,status1B5!T275=2,'BOULEVARD 5'!V273&gt;0),"Pagado","impago"),""))</f>
        <v/>
      </c>
      <c r="T275" s="666" t="str">
        <f>IF(OR($A275="F&amp;F",$G275=""),"",IF(T$8&gt;$G275,IF(OR(status1B5!U275=1,status1B5!U275=2,'BOULEVARD 5'!W273&gt;0),"Pagado","impago"),""))</f>
        <v/>
      </c>
      <c r="U275" s="666" t="str">
        <f>IF(OR($A275="F&amp;F",$G275=""),"",IF(U$8&gt;$G275,IF(OR(status1B5!V275=1,status1B5!V275=2,'BOULEVARD 5'!X273&gt;0),"Pagado","impago"),""))</f>
        <v/>
      </c>
      <c r="V275" s="666" t="str">
        <f>IF(OR($A275="F&amp;F",$G275=""),"",IF(V$8&gt;$G275,IF(OR(status1B5!W275=1,status1B5!W275=2,'BOULEVARD 5'!Y273&gt;0),"Pagado","impago"),""))</f>
        <v/>
      </c>
      <c r="W275" s="666" t="str">
        <f>IF(OR($A275="F&amp;F",$G275=""),"",IF(W$8&gt;$G275,IF(OR(status1B5!X275=1,status1B5!X275=2,'BOULEVARD 5'!Z273&gt;0),"Pagado","impago"),""))</f>
        <v/>
      </c>
      <c r="X275" s="666" t="str">
        <f>IF(OR($A275="F&amp;F",$G275=""),"",IF(X$8&gt;$G275,IF(OR(status1B5!Y275=1,status1B5!Y275=2,'BOULEVARD 5'!AA273&gt;0),"Pagado","impago"),""))</f>
        <v/>
      </c>
      <c r="Y275" s="666" t="str">
        <f>IF(OR($A275="F&amp;F",$G275=""),"",IF(Y$8&gt;$G275,IF(OR(status1B5!Z275=1,status1B5!Z275=2,'BOULEVARD 5'!AB273&gt;0),"Pagado","impago"),""))</f>
        <v/>
      </c>
      <c r="Z275" s="666" t="str">
        <f>IF(OR($A275="F&amp;F",$G275=""),"",IF(Z$8&gt;$G275,IF(OR(status1B5!AA275=1,status1B5!AA275=2,'BOULEVARD 5'!AC273&gt;0),"Pagado","impago"),""))</f>
        <v/>
      </c>
      <c r="AA275" s="666" t="str">
        <f>IF(OR($A275="F&amp;F",$G275=""),"",IF(AA$8&gt;$G275,IF(OR(status1B5!AB275=1,status1B5!AB275=2,'BOULEVARD 5'!AD273&gt;0),"Pagado","impago"),""))</f>
        <v/>
      </c>
      <c r="AB275" s="666" t="str">
        <f>IF(OR($A275="F&amp;F",$G275=""),"",IF(AB$8&gt;$G275,IF(OR(status1B5!AC275=1,status1B5!AC275=2,'BOULEVARD 5'!AE273&gt;0),"Pagado","impago"),""))</f>
        <v/>
      </c>
      <c r="AC275" s="666" t="str">
        <f>IF(OR($A275="F&amp;F",$G275=""),"",IF(AC$8&gt;$G275,IF(OR(status1B5!AD275=1,status1B5!AD275=2,'BOULEVARD 5'!AF273&gt;0),"Pagado","impago"),""))</f>
        <v/>
      </c>
      <c r="AD275" s="666" t="str">
        <f>IF(OR($A275="F&amp;F",$G275=""),"",IF(AD$8&gt;$G275,IF(OR(status1B5!AE275=1,status1B5!AE275=2,'BOULEVARD 5'!AG273&gt;0),"Pagado","impago"),""))</f>
        <v/>
      </c>
      <c r="AE275" s="666" t="str">
        <f>IF(OR($A275="F&amp;F",$G275=""),"",IF(AE$8&gt;$G275,IF(OR(status1B5!AF275=1,status1B5!AF275=2,'BOULEVARD 5'!AH273&gt;0),"Pagado","impago"),""))</f>
        <v/>
      </c>
      <c r="AF275" s="666" t="str">
        <f>IF(OR($A275="F&amp;F",$G275=""),"",IF(AF$8&gt;$G275,IF(OR(status1B5!AG275=1,status1B5!AG275=2,'BOULEVARD 5'!AI273&gt;0),"Pagado","impago"),""))</f>
        <v/>
      </c>
      <c r="AG275" s="666" t="str">
        <f>IF(OR($A275="F&amp;F",$G275=""),"",IF(AG$8&gt;$G275,IF(OR(status1B5!AH275=1,status1B5!AH275=2,'BOULEVARD 5'!AJ273&gt;0),"Pagado","impago"),""))</f>
        <v/>
      </c>
      <c r="AH275" s="666" t="str">
        <f>IF(OR($A275="F&amp;F",$G275=""),"",IF(AH$8&gt;$G275,IF(OR(status1B5!AI275=1,status1B5!AI275=2,'BOULEVARD 5'!AK273&gt;0),"Pagado","impago"),""))</f>
        <v/>
      </c>
      <c r="AI275" s="666" t="str">
        <f>IF(OR($A275="F&amp;F",$G275=""),"",IF(AI$8&gt;$G275,IF(OR(status1B5!AJ275=1,status1B5!AJ275=2,'BOULEVARD 5'!AL273&gt;0),"Pagado","impago"),""))</f>
        <v/>
      </c>
      <c r="AJ275" s="666" t="str">
        <f>IF(OR($A275="F&amp;F",$G275=""),"",IF(AJ$8&gt;$G275,IF(OR(status1B5!AK275=1,status1B5!AK275=2,'BOULEVARD 5'!AM273&gt;0),"Pagado","impago"),""))</f>
        <v/>
      </c>
      <c r="AK275" s="666" t="str">
        <f>IF(OR($A275="F&amp;F",$G275=""),"",IF(AK$8&gt;$G275,IF(OR(status1B5!AL275=1,status1B5!AL275=2,'BOULEVARD 5'!AN273&gt;0),"Pagado","impago"),""))</f>
        <v/>
      </c>
      <c r="AL275" s="666" t="str">
        <f>IF(OR($A275="F&amp;F",$G275=""),"",IF(AL$8&gt;$G275,IF(OR(status1B5!AM275=1,status1B5!AM275=2,'BOULEVARD 5'!AO273&gt;0),"Pagado","impago"),""))</f>
        <v/>
      </c>
      <c r="AM275" s="666" t="str">
        <f>IF(OR($A275="F&amp;F",$G275=""),"",IF(AM$8&gt;$G275,IF(OR(status1B5!AN275=1,status1B5!AN275=2,'BOULEVARD 5'!AP273&gt;0),"Pagado","impago"),""))</f>
        <v/>
      </c>
      <c r="AN275" s="666" t="str">
        <f>IF(OR($A275="F&amp;F",$G275=""),"",IF(AN$8&gt;$G275,IF(OR(status1B5!AO275=1,status1B5!AO275=2,'BOULEVARD 5'!AQ273&gt;0),"Pagado","impago"),""))</f>
        <v/>
      </c>
      <c r="AO275" s="666" t="str">
        <f>IF(OR($A275="F&amp;F",$G275=""),"",IF(AO$8&gt;$G275,IF(OR(status1B5!AP275=1,status1B5!AP275=2,'BOULEVARD 5'!AS273&gt;0),"Pagado","impago"),""))</f>
        <v/>
      </c>
      <c r="AP275" s="429" t="str">
        <f t="shared" si="9"/>
        <v>Vendido</v>
      </c>
    </row>
    <row r="276" spans="1:42" s="429" customFormat="1" ht="13.9" customHeight="1" x14ac:dyDescent="0.25">
      <c r="A276" s="472"/>
      <c r="B276" s="436">
        <f>'BOULEVARD 5'!B274</f>
        <v>1603</v>
      </c>
      <c r="C276" s="436" t="s">
        <v>355</v>
      </c>
      <c r="D276" s="436"/>
      <c r="E276" s="436" t="str">
        <f>IF('BOULEVARD 5'!E274="","",'BOULEVARD 5'!E274)</f>
        <v>Antonio Rada</v>
      </c>
      <c r="F276" s="429" t="str">
        <f>IF('BOULEVARD 5'!F274="","",'BOULEVARD 5'!F274)</f>
        <v>Inmobiliaria Quince Sociedad Anonima</v>
      </c>
      <c r="G276" s="473">
        <f>IF('BOULEVARD 5'!G274="","",'BOULEVARD 5'!G274)</f>
        <v>45013</v>
      </c>
      <c r="H276" s="666" t="str">
        <f>IF(OR($A276="F&amp;F",$G276=""),"",IF(H$8&gt;$G276,IF(OR(status1B5!I276=1,status1B5!I276=2,'BOULEVARD 5'!K274&gt;0),"Pagado","impago"),""))</f>
        <v>Pagado</v>
      </c>
      <c r="I276" s="666" t="str">
        <f>IF(OR($A276="F&amp;F",$G276=""),"",IF(I$8&gt;$G276,IF(OR(status1B5!J276=1,status1B5!J276=2,'BOULEVARD 5'!L274&gt;0),"Pagado","impago"),""))</f>
        <v>Pagado</v>
      </c>
      <c r="J276" s="666" t="str">
        <f>IF(OR($A276="F&amp;F",$G276=""),"",IF(J$8&gt;$G276,IF(OR(status1B5!K276=1,status1B5!K276=2,'BOULEVARD 5'!M274&gt;0),"Pagado","impago"),""))</f>
        <v>Pagado</v>
      </c>
      <c r="K276" s="666" t="str">
        <f>IF(OR($A276="F&amp;F",$G276=""),"",IF(K$8&gt;$G276,IF(OR(status1B5!L276=1,status1B5!L276=2,'BOULEVARD 5'!N274&gt;0),"Pagado","impago"),""))</f>
        <v>Pagado</v>
      </c>
      <c r="L276" s="666" t="str">
        <f>IF(OR($A276="F&amp;F",$G276=""),"",IF(L$8&gt;$G276,IF(OR(status1B5!M276=1,status1B5!M276=2,'BOULEVARD 5'!O274&gt;0),"Pagado","impago"),""))</f>
        <v>Pagado</v>
      </c>
      <c r="M276" s="666" t="str">
        <f>IF(OR($A276="F&amp;F",$G276=""),"",IF(M$8&gt;$G276,IF(OR(status1B5!N276=1,status1B5!N276=2,'BOULEVARD 5'!P274&gt;0),"Pagado","impago"),""))</f>
        <v>Pagado</v>
      </c>
      <c r="N276" s="666" t="str">
        <f>IF(OR($A276="F&amp;F",$G276=""),"",IF(N$8&gt;$G276,IF(OR(status1B5!O276=1,status1B5!O276=2,'BOULEVARD 5'!Q274&gt;0),"Pagado","impago"),""))</f>
        <v>Pagado</v>
      </c>
      <c r="O276" s="666" t="str">
        <f>IF(OR($A276="F&amp;F",$G276=""),"",IF(O$8&gt;$G276,IF(OR(status1B5!P276=1,status1B5!P276=2,'BOULEVARD 5'!R274&gt;0),"Pagado","impago"),""))</f>
        <v>Pagado</v>
      </c>
      <c r="P276" s="666" t="str">
        <f>IF(OR($A276="F&amp;F",$G276=""),"",IF(P$8&gt;$G276,IF(OR(status1B5!Q276=1,status1B5!Q276=2,'BOULEVARD 5'!S274&gt;0),"Pagado","impago"),""))</f>
        <v>Pagado</v>
      </c>
      <c r="Q276" s="666" t="str">
        <f>IF(OR($A276="F&amp;F",$G276=""),"",IF(Q$8&gt;$G276,IF(OR(status1B5!R276=1,status1B5!R276=2,'BOULEVARD 5'!T274&gt;0),"Pagado","impago"),""))</f>
        <v>Pagado</v>
      </c>
      <c r="R276" s="666" t="str">
        <f>IF(OR($A276="F&amp;F",$G276=""),"",IF(R$8&gt;$G276,IF(OR(status1B5!S276=1,status1B5!S276=2,'BOULEVARD 5'!U274&gt;0),"Pagado","impago"),""))</f>
        <v>Pagado</v>
      </c>
      <c r="S276" s="666" t="str">
        <f>IF(OR($A276="F&amp;F",$G276=""),"",IF(S$8&gt;$G276,IF(OR(status1B5!T276=1,status1B5!T276=2,'BOULEVARD 5'!V274&gt;0),"Pagado","impago"),""))</f>
        <v>Pagado</v>
      </c>
      <c r="T276" s="666" t="str">
        <f>IF(OR($A276="F&amp;F",$G276=""),"",IF(T$8&gt;$G276,IF(OR(status1B5!U276=1,status1B5!U276=2,'BOULEVARD 5'!W274&gt;0),"Pagado","impago"),""))</f>
        <v>Pagado</v>
      </c>
      <c r="U276" s="666" t="str">
        <f>IF(OR($A276="F&amp;F",$G276=""),"",IF(U$8&gt;$G276,IF(OR(status1B5!V276=1,status1B5!V276=2,'BOULEVARD 5'!X274&gt;0),"Pagado","impago"),""))</f>
        <v>Pagado</v>
      </c>
      <c r="V276" s="666" t="str">
        <f>IF(OR($A276="F&amp;F",$G276=""),"",IF(V$8&gt;$G276,IF(OR(status1B5!W276=1,status1B5!W276=2,'BOULEVARD 5'!Y274&gt;0),"Pagado","impago"),""))</f>
        <v>Pagado</v>
      </c>
      <c r="W276" s="666" t="str">
        <f>IF(OR($A276="F&amp;F",$G276=""),"",IF(W$8&gt;$G276,IF(OR(status1B5!X276=1,status1B5!X276=2,'BOULEVARD 5'!Z274&gt;0),"Pagado","impago"),""))</f>
        <v>Pagado</v>
      </c>
      <c r="X276" s="666" t="str">
        <f>IF(OR($A276="F&amp;F",$G276=""),"",IF(X$8&gt;$G276,IF(OR(status1B5!Y276=1,status1B5!Y276=2,'BOULEVARD 5'!AA274&gt;0),"Pagado","impago"),""))</f>
        <v>Pagado</v>
      </c>
      <c r="Y276" s="666" t="str">
        <f>IF(OR($A276="F&amp;F",$G276=""),"",IF(Y$8&gt;$G276,IF(OR(status1B5!Z276=1,status1B5!Z276=2,'BOULEVARD 5'!AB274&gt;0),"Pagado","impago"),""))</f>
        <v>Pagado</v>
      </c>
      <c r="Z276" s="666" t="str">
        <f>IF(OR($A276="F&amp;F",$G276=""),"",IF(Z$8&gt;$G276,IF(OR(status1B5!AA276=1,status1B5!AA276=2,'BOULEVARD 5'!AC274&gt;0),"Pagado","impago"),""))</f>
        <v>Pagado</v>
      </c>
      <c r="AA276" s="666" t="str">
        <f>IF(OR($A276="F&amp;F",$G276=""),"",IF(AA$8&gt;$G276,IF(OR(status1B5!AB276=1,status1B5!AB276=2,'BOULEVARD 5'!AD274&gt;0),"Pagado","impago"),""))</f>
        <v>Pagado</v>
      </c>
      <c r="AB276" s="666" t="str">
        <f>IF(OR($A276="F&amp;F",$G276=""),"",IF(AB$8&gt;$G276,IF(OR(status1B5!AC276=1,status1B5!AC276=2,'BOULEVARD 5'!AE274&gt;0),"Pagado","impago"),""))</f>
        <v>Pagado</v>
      </c>
      <c r="AC276" s="666" t="str">
        <f>IF(OR($A276="F&amp;F",$G276=""),"",IF(AC$8&gt;$G276,IF(OR(status1B5!AD276=1,status1B5!AD276=2,'BOULEVARD 5'!AF274&gt;0),"Pagado","impago"),""))</f>
        <v>Pagado</v>
      </c>
      <c r="AD276" s="666" t="str">
        <f>IF(OR($A276="F&amp;F",$G276=""),"",IF(AD$8&gt;$G276,IF(OR(status1B5!AE276=1,status1B5!AE276=2,'BOULEVARD 5'!AG274&gt;0),"Pagado","impago"),""))</f>
        <v>Pagado</v>
      </c>
      <c r="AE276" s="666" t="str">
        <f>IF(OR($A276="F&amp;F",$G276=""),"",IF(AE$8&gt;$G276,IF(OR(status1B5!AF276=1,status1B5!AF276=2,'BOULEVARD 5'!AH274&gt;0),"Pagado","impago"),""))</f>
        <v>Pagado</v>
      </c>
      <c r="AF276" s="666" t="str">
        <f>IF(OR($A276="F&amp;F",$G276=""),"",IF(AF$8&gt;$G276,IF(OR(status1B5!AG276=1,status1B5!AG276=2,'BOULEVARD 5'!AI274&gt;0),"Pagado","impago"),""))</f>
        <v>Pagado</v>
      </c>
      <c r="AG276" s="666" t="str">
        <f>IF(OR($A276="F&amp;F",$G276=""),"",IF(AG$8&gt;$G276,IF(OR(status1B5!AH276=1,status1B5!AH276=2,'BOULEVARD 5'!AJ274&gt;0),"Pagado","impago"),""))</f>
        <v>Pagado</v>
      </c>
      <c r="AH276" s="666" t="str">
        <f>IF(OR($A276="F&amp;F",$G276=""),"",IF(AH$8&gt;$G276,IF(OR(status1B5!AI276=1,status1B5!AI276=2,'BOULEVARD 5'!AK274&gt;0),"Pagado","impago"),""))</f>
        <v>Pagado</v>
      </c>
      <c r="AI276" s="666" t="str">
        <f>IF(OR($A276="F&amp;F",$G276=""),"",IF(AI$8&gt;$G276,IF(OR(status1B5!AJ276=1,status1B5!AJ276=2,'BOULEVARD 5'!AL274&gt;0),"Pagado","impago"),""))</f>
        <v>Pagado</v>
      </c>
      <c r="AJ276" s="666" t="str">
        <f>IF(OR($A276="F&amp;F",$G276=""),"",IF(AJ$8&gt;$G276,IF(OR(status1B5!AK276=1,status1B5!AK276=2,'BOULEVARD 5'!AM274&gt;0),"Pagado","impago"),""))</f>
        <v>Pagado</v>
      </c>
      <c r="AK276" s="666" t="str">
        <f>IF(OR($A276="F&amp;F",$G276=""),"",IF(AK$8&gt;$G276,IF(OR(status1B5!AL276=1,status1B5!AL276=2,'BOULEVARD 5'!AN274&gt;0),"Pagado","impago"),""))</f>
        <v>Pagado</v>
      </c>
      <c r="AL276" s="666" t="str">
        <f>IF(OR($A276="F&amp;F",$G276=""),"",IF(AL$8&gt;$G276,IF(OR(status1B5!AM276=1,status1B5!AM276=2,'BOULEVARD 5'!AO274&gt;0),"Pagado","impago"),""))</f>
        <v>Pagado</v>
      </c>
      <c r="AM276" s="666" t="str">
        <f>IF(OR($A276="F&amp;F",$G276=""),"",IF(AM$8&gt;$G276,IF(OR(status1B5!AN276=1,status1B5!AN276=2,'BOULEVARD 5'!AP274&gt;0),"Pagado","impago"),""))</f>
        <v>Pagado</v>
      </c>
      <c r="AN276" s="666" t="str">
        <f>IF(OR($A276="F&amp;F",$G276=""),"",IF(AN$8&gt;$G276,IF(OR(status1B5!AO276=1,status1B5!AO276=2,'BOULEVARD 5'!AQ274&gt;0),"Pagado","impago"),""))</f>
        <v>Pagado</v>
      </c>
      <c r="AO276" s="666" t="str">
        <f>IF(OR($A276="F&amp;F",$G276=""),"",IF(AO$8&gt;$G276,IF(OR(status1B5!AP276=1,status1B5!AP276=2,'BOULEVARD 5'!AS274&gt;0),"Pagado","impago"),""))</f>
        <v>Pagado</v>
      </c>
      <c r="AP276" s="429" t="str">
        <f t="shared" si="9"/>
        <v>Vendido</v>
      </c>
    </row>
    <row r="277" spans="1:42" s="429" customFormat="1" ht="13.9" customHeight="1" x14ac:dyDescent="0.25">
      <c r="A277" s="472"/>
      <c r="B277" s="436">
        <f>'BOULEVARD 5'!B275</f>
        <v>1604</v>
      </c>
      <c r="C277" s="436" t="s">
        <v>355</v>
      </c>
      <c r="D277" s="436"/>
      <c r="E277" s="436" t="str">
        <f>IF('BOULEVARD 5'!E275="","",'BOULEVARD 5'!E275)</f>
        <v>Antonio Rada</v>
      </c>
      <c r="F277" s="429" t="str">
        <f>IF('BOULEVARD 5'!F275="","",'BOULEVARD 5'!F275)</f>
        <v>Oliver Lenin Garcia Godoy</v>
      </c>
      <c r="G277" s="473">
        <f>IF('BOULEVARD 5'!G275="","",'BOULEVARD 5'!G275)</f>
        <v>45062</v>
      </c>
      <c r="H277" s="666" t="str">
        <f>IF(OR($A277="F&amp;F",$G277=""),"",IF(H$8&gt;$G277,IF(OR(status1B5!I277=1,status1B5!I277=2,'BOULEVARD 5'!K275&gt;0),"Pagado","impago"),""))</f>
        <v/>
      </c>
      <c r="I277" s="666" t="str">
        <f>IF(OR($A277="F&amp;F",$G277=""),"",IF(I$8&gt;$G277,IF(OR(status1B5!J277=1,status1B5!J277=2,'BOULEVARD 5'!L275&gt;0),"Pagado","impago"),""))</f>
        <v/>
      </c>
      <c r="J277" s="666" t="str">
        <f>IF(OR($A277="F&amp;F",$G277=""),"",IF(J$8&gt;$G277,IF(OR(status1B5!K277=1,status1B5!K277=2,'BOULEVARD 5'!M275&gt;0),"Pagado","impago"),""))</f>
        <v>Pagado</v>
      </c>
      <c r="K277" s="666" t="str">
        <f>IF(OR($A277="F&amp;F",$G277=""),"",IF(K$8&gt;$G277,IF(OR(status1B5!L277=1,status1B5!L277=2,'BOULEVARD 5'!N275&gt;0),"Pagado","impago"),""))</f>
        <v>Pagado</v>
      </c>
      <c r="L277" s="666" t="str">
        <f>IF(OR($A277="F&amp;F",$G277=""),"",IF(L$8&gt;$G277,IF(OR(status1B5!M277=1,status1B5!M277=2,'BOULEVARD 5'!O275&gt;0),"Pagado","impago"),""))</f>
        <v>Pagado</v>
      </c>
      <c r="M277" s="666" t="str">
        <f>IF(OR($A277="F&amp;F",$G277=""),"",IF(M$8&gt;$G277,IF(OR(status1B5!N277=1,status1B5!N277=2,'BOULEVARD 5'!P275&gt;0),"Pagado","impago"),""))</f>
        <v>Pagado</v>
      </c>
      <c r="N277" s="666" t="str">
        <f>IF(OR($A277="F&amp;F",$G277=""),"",IF(N$8&gt;$G277,IF(OR(status1B5!O277=1,status1B5!O277=2,'BOULEVARD 5'!Q275&gt;0),"Pagado","impago"),""))</f>
        <v>Pagado</v>
      </c>
      <c r="O277" s="666" t="str">
        <f>IF(OR($A277="F&amp;F",$G277=""),"",IF(O$8&gt;$G277,IF(OR(status1B5!P277=1,status1B5!P277=2,'BOULEVARD 5'!R275&gt;0),"Pagado","impago"),""))</f>
        <v>Pagado</v>
      </c>
      <c r="P277" s="666" t="str">
        <f>IF(OR($A277="F&amp;F",$G277=""),"",IF(P$8&gt;$G277,IF(OR(status1B5!Q277=1,status1B5!Q277=2,'BOULEVARD 5'!S275&gt;0),"Pagado","impago"),""))</f>
        <v>Pagado</v>
      </c>
      <c r="Q277" s="666" t="str">
        <f>IF(OR($A277="F&amp;F",$G277=""),"",IF(Q$8&gt;$G277,IF(OR(status1B5!R277=1,status1B5!R277=2,'BOULEVARD 5'!T275&gt;0),"Pagado","impago"),""))</f>
        <v>Pagado</v>
      </c>
      <c r="R277" s="666" t="str">
        <f>IF(OR($A277="F&amp;F",$G277=""),"",IF(R$8&gt;$G277,IF(OR(status1B5!S277=1,status1B5!S277=2,'BOULEVARD 5'!U275&gt;0),"Pagado","impago"),""))</f>
        <v>Pagado</v>
      </c>
      <c r="S277" s="666" t="str">
        <f>IF(OR($A277="F&amp;F",$G277=""),"",IF(S$8&gt;$G277,IF(OR(status1B5!T277=1,status1B5!T277=2,'BOULEVARD 5'!V275&gt;0),"Pagado","impago"),""))</f>
        <v>Pagado</v>
      </c>
      <c r="T277" s="666" t="str">
        <f>IF(OR($A277="F&amp;F",$G277=""),"",IF(T$8&gt;$G277,IF(OR(status1B5!U277=1,status1B5!U277=2,'BOULEVARD 5'!W275&gt;0),"Pagado","impago"),""))</f>
        <v>Pagado</v>
      </c>
      <c r="U277" s="666" t="str">
        <f>IF(OR($A277="F&amp;F",$G277=""),"",IF(U$8&gt;$G277,IF(OR(status1B5!V277=1,status1B5!V277=2,'BOULEVARD 5'!X275&gt;0),"Pagado","impago"),""))</f>
        <v>Pagado</v>
      </c>
      <c r="V277" s="666" t="str">
        <f>IF(OR($A277="F&amp;F",$G277=""),"",IF(V$8&gt;$G277,IF(OR(status1B5!W277=1,status1B5!W277=2,'BOULEVARD 5'!Y275&gt;0),"Pagado","impago"),""))</f>
        <v>Pagado</v>
      </c>
      <c r="W277" s="666" t="str">
        <f>IF(OR($A277="F&amp;F",$G277=""),"",IF(W$8&gt;$G277,IF(OR(status1B5!X277=1,status1B5!X277=2,'BOULEVARD 5'!Z275&gt;0),"Pagado","impago"),""))</f>
        <v>Pagado</v>
      </c>
      <c r="X277" s="666" t="str">
        <f>IF(OR($A277="F&amp;F",$G277=""),"",IF(X$8&gt;$G277,IF(OR(status1B5!Y277=1,status1B5!Y277=2,'BOULEVARD 5'!AA275&gt;0),"Pagado","impago"),""))</f>
        <v>Pagado</v>
      </c>
      <c r="Y277" s="666" t="str">
        <f>IF(OR($A277="F&amp;F",$G277=""),"",IF(Y$8&gt;$G277,IF(OR(status1B5!Z277=1,status1B5!Z277=2,'BOULEVARD 5'!AB275&gt;0),"Pagado","impago"),""))</f>
        <v>Pagado</v>
      </c>
      <c r="Z277" s="666" t="str">
        <f>IF(OR($A277="F&amp;F",$G277=""),"",IF(Z$8&gt;$G277,IF(OR(status1B5!AA277=1,status1B5!AA277=2,'BOULEVARD 5'!AC275&gt;0),"Pagado","impago"),""))</f>
        <v>Pagado</v>
      </c>
      <c r="AA277" s="666" t="str">
        <f>IF(OR($A277="F&amp;F",$G277=""),"",IF(AA$8&gt;$G277,IF(OR(status1B5!AB277=1,status1B5!AB277=2,'BOULEVARD 5'!AD275&gt;0),"Pagado","impago"),""))</f>
        <v>Pagado</v>
      </c>
      <c r="AB277" s="666" t="str">
        <f>IF(OR($A277="F&amp;F",$G277=""),"",IF(AB$8&gt;$G277,IF(OR(status1B5!AC277=1,status1B5!AC277=2,'BOULEVARD 5'!AE275&gt;0),"Pagado","impago"),""))</f>
        <v>Pagado</v>
      </c>
      <c r="AC277" s="666" t="str">
        <f>IF(OR($A277="F&amp;F",$G277=""),"",IF(AC$8&gt;$G277,IF(OR(status1B5!AD277=1,status1B5!AD277=2,'BOULEVARD 5'!AF275&gt;0),"Pagado","impago"),""))</f>
        <v>Pagado</v>
      </c>
      <c r="AD277" s="666" t="str">
        <f>IF(OR($A277="F&amp;F",$G277=""),"",IF(AD$8&gt;$G277,IF(OR(status1B5!AE277=1,status1B5!AE277=2,'BOULEVARD 5'!AG275&gt;0),"Pagado","impago"),""))</f>
        <v>Pagado</v>
      </c>
      <c r="AE277" s="666" t="str">
        <f>IF(OR($A277="F&amp;F",$G277=""),"",IF(AE$8&gt;$G277,IF(OR(status1B5!AF277=1,status1B5!AF277=2,'BOULEVARD 5'!AH275&gt;0),"Pagado","impago"),""))</f>
        <v>Pagado</v>
      </c>
      <c r="AF277" s="666" t="str">
        <f>IF(OR($A277="F&amp;F",$G277=""),"",IF(AF$8&gt;$G277,IF(OR(status1B5!AG277=1,status1B5!AG277=2,'BOULEVARD 5'!AI275&gt;0),"Pagado","impago"),""))</f>
        <v>Pagado</v>
      </c>
      <c r="AG277" s="666" t="str">
        <f>IF(OR($A277="F&amp;F",$G277=""),"",IF(AG$8&gt;$G277,IF(OR(status1B5!AH277=1,status1B5!AH277=2,'BOULEVARD 5'!AJ275&gt;0),"Pagado","impago"),""))</f>
        <v>Pagado</v>
      </c>
      <c r="AH277" s="666" t="str">
        <f>IF(OR($A277="F&amp;F",$G277=""),"",IF(AH$8&gt;$G277,IF(OR(status1B5!AI277=1,status1B5!AI277=2,'BOULEVARD 5'!AK275&gt;0),"Pagado","impago"),""))</f>
        <v>Pagado</v>
      </c>
      <c r="AI277" s="666" t="str">
        <f>IF(OR($A277="F&amp;F",$G277=""),"",IF(AI$8&gt;$G277,IF(OR(status1B5!AJ277=1,status1B5!AJ277=2,'BOULEVARD 5'!AL275&gt;0),"Pagado","impago"),""))</f>
        <v>Pagado</v>
      </c>
      <c r="AJ277" s="666" t="str">
        <f>IF(OR($A277="F&amp;F",$G277=""),"",IF(AJ$8&gt;$G277,IF(OR(status1B5!AK277=1,status1B5!AK277=2,'BOULEVARD 5'!AM275&gt;0),"Pagado","impago"),""))</f>
        <v>Pagado</v>
      </c>
      <c r="AK277" s="666" t="str">
        <f>IF(OR($A277="F&amp;F",$G277=""),"",IF(AK$8&gt;$G277,IF(OR(status1B5!AL277=1,status1B5!AL277=2,'BOULEVARD 5'!AN275&gt;0),"Pagado","impago"),""))</f>
        <v>Pagado</v>
      </c>
      <c r="AL277" s="666" t="str">
        <f>IF(OR($A277="F&amp;F",$G277=""),"",IF(AL$8&gt;$G277,IF(OR(status1B5!AM277=1,status1B5!AM277=2,'BOULEVARD 5'!AO275&gt;0),"Pagado","impago"),""))</f>
        <v>Pagado</v>
      </c>
      <c r="AM277" s="666" t="str">
        <f>IF(OR($A277="F&amp;F",$G277=""),"",IF(AM$8&gt;$G277,IF(OR(status1B5!AN277=1,status1B5!AN277=2,'BOULEVARD 5'!AP275&gt;0),"Pagado","impago"),""))</f>
        <v>Pagado</v>
      </c>
      <c r="AN277" s="666" t="str">
        <f>IF(OR($A277="F&amp;F",$G277=""),"",IF(AN$8&gt;$G277,IF(OR(status1B5!AO277=1,status1B5!AO277=2,'BOULEVARD 5'!AQ275&gt;0),"Pagado","impago"),""))</f>
        <v>Pagado</v>
      </c>
      <c r="AO277" s="666" t="str">
        <f>IF(OR($A277="F&amp;F",$G277=""),"",IF(AO$8&gt;$G277,IF(OR(status1B5!AP277=1,status1B5!AP277=2,'BOULEVARD 5'!AS275&gt;0),"Pagado","impago"),""))</f>
        <v>Pagado</v>
      </c>
      <c r="AP277" s="429" t="str">
        <f t="shared" si="9"/>
        <v>Vendido</v>
      </c>
    </row>
    <row r="278" spans="1:42" s="429" customFormat="1" ht="13.9" customHeight="1" x14ac:dyDescent="0.25">
      <c r="A278" s="472"/>
      <c r="B278" s="436">
        <f>'BOULEVARD 5'!B276</f>
        <v>1605</v>
      </c>
      <c r="C278" s="436" t="s">
        <v>355</v>
      </c>
      <c r="D278" s="436"/>
      <c r="E278" s="436" t="str">
        <f>IF('BOULEVARD 5'!E276="","",'BOULEVARD 5'!E276)</f>
        <v>Antonio Rada</v>
      </c>
      <c r="F278" s="429" t="str">
        <f>IF('BOULEVARD 5'!F276="","",'BOULEVARD 5'!F276)</f>
        <v>Edgar Ronaldo Muy Pineda</v>
      </c>
      <c r="G278" s="473">
        <f>IF('BOULEVARD 5'!G276="","",'BOULEVARD 5'!G276)</f>
        <v>45587</v>
      </c>
      <c r="H278" s="666" t="str">
        <f>IF(OR($A278="F&amp;F",$G278=""),"",IF(H$8&gt;$G278,IF(OR(status1B5!I278=1,status1B5!I278=2,'BOULEVARD 5'!K276&gt;0),"Pagado","impago"),""))</f>
        <v/>
      </c>
      <c r="I278" s="666" t="str">
        <f>IF(OR($A278="F&amp;F",$G278=""),"",IF(I$8&gt;$G278,IF(OR(status1B5!J278=1,status1B5!J278=2,'BOULEVARD 5'!L276&gt;0),"Pagado","impago"),""))</f>
        <v/>
      </c>
      <c r="J278" s="666" t="str">
        <f>IF(OR($A278="F&amp;F",$G278=""),"",IF(J$8&gt;$G278,IF(OR(status1B5!K278=1,status1B5!K278=2,'BOULEVARD 5'!M276&gt;0),"Pagado","impago"),""))</f>
        <v/>
      </c>
      <c r="K278" s="666" t="str">
        <f>IF(OR($A278="F&amp;F",$G278=""),"",IF(K$8&gt;$G278,IF(OR(status1B5!L278=1,status1B5!L278=2,'BOULEVARD 5'!N276&gt;0),"Pagado","impago"),""))</f>
        <v/>
      </c>
      <c r="L278" s="666" t="str">
        <f>IF(OR($A278="F&amp;F",$G278=""),"",IF(L$8&gt;$G278,IF(OR(status1B5!M278=1,status1B5!M278=2,'BOULEVARD 5'!O276&gt;0),"Pagado","impago"),""))</f>
        <v/>
      </c>
      <c r="M278" s="666" t="str">
        <f>IF(OR($A278="F&amp;F",$G278=""),"",IF(M$8&gt;$G278,IF(OR(status1B5!N278=1,status1B5!N278=2,'BOULEVARD 5'!P276&gt;0),"Pagado","impago"),""))</f>
        <v/>
      </c>
      <c r="N278" s="666" t="str">
        <f>IF(OR($A278="F&amp;F",$G278=""),"",IF(N$8&gt;$G278,IF(OR(status1B5!O278=1,status1B5!O278=2,'BOULEVARD 5'!Q276&gt;0),"Pagado","impago"),""))</f>
        <v/>
      </c>
      <c r="O278" s="666" t="str">
        <f>IF(OR($A278="F&amp;F",$G278=""),"",IF(O$8&gt;$G278,IF(OR(status1B5!P278=1,status1B5!P278=2,'BOULEVARD 5'!R276&gt;0),"Pagado","impago"),""))</f>
        <v/>
      </c>
      <c r="P278" s="666" t="str">
        <f>IF(OR($A278="F&amp;F",$G278=""),"",IF(P$8&gt;$G278,IF(OR(status1B5!Q278=1,status1B5!Q278=2,'BOULEVARD 5'!S276&gt;0),"Pagado","impago"),""))</f>
        <v/>
      </c>
      <c r="Q278" s="666" t="str">
        <f>IF(OR($A278="F&amp;F",$G278=""),"",IF(Q$8&gt;$G278,IF(OR(status1B5!R278=1,status1B5!R278=2,'BOULEVARD 5'!T276&gt;0),"Pagado","impago"),""))</f>
        <v/>
      </c>
      <c r="R278" s="666" t="str">
        <f>IF(OR($A278="F&amp;F",$G278=""),"",IF(R$8&gt;$G278,IF(OR(status1B5!S278=1,status1B5!S278=2,'BOULEVARD 5'!U276&gt;0),"Pagado","impago"),""))</f>
        <v/>
      </c>
      <c r="S278" s="666" t="str">
        <f>IF(OR($A278="F&amp;F",$G278=""),"",IF(S$8&gt;$G278,IF(OR(status1B5!T278=1,status1B5!T278=2,'BOULEVARD 5'!V276&gt;0),"Pagado","impago"),""))</f>
        <v/>
      </c>
      <c r="T278" s="666" t="str">
        <f>IF(OR($A278="F&amp;F",$G278=""),"",IF(T$8&gt;$G278,IF(OR(status1B5!U278=1,status1B5!U278=2,'BOULEVARD 5'!W276&gt;0),"Pagado","impago"),""))</f>
        <v/>
      </c>
      <c r="U278" s="666" t="str">
        <f>IF(OR($A278="F&amp;F",$G278=""),"",IF(U$8&gt;$G278,IF(OR(status1B5!V278=1,status1B5!V278=2,'BOULEVARD 5'!X276&gt;0),"Pagado","impago"),""))</f>
        <v/>
      </c>
      <c r="V278" s="666" t="str">
        <f>IF(OR($A278="F&amp;F",$G278=""),"",IF(V$8&gt;$G278,IF(OR(status1B5!W278=1,status1B5!W278=2,'BOULEVARD 5'!Y276&gt;0),"Pagado","impago"),""))</f>
        <v/>
      </c>
      <c r="W278" s="666" t="str">
        <f>IF(OR($A278="F&amp;F",$G278=""),"",IF(W$8&gt;$G278,IF(OR(status1B5!X278=1,status1B5!X278=2,'BOULEVARD 5'!Z276&gt;0),"Pagado","impago"),""))</f>
        <v/>
      </c>
      <c r="X278" s="666" t="str">
        <f>IF(OR($A278="F&amp;F",$G278=""),"",IF(X$8&gt;$G278,IF(OR(status1B5!Y278=1,status1B5!Y278=2,'BOULEVARD 5'!AA276&gt;0),"Pagado","impago"),""))</f>
        <v/>
      </c>
      <c r="Y278" s="666" t="str">
        <f>IF(OR($A278="F&amp;F",$G278=""),"",IF(Y$8&gt;$G278,IF(OR(status1B5!Z278=1,status1B5!Z278=2,'BOULEVARD 5'!AB276&gt;0),"Pagado","impago"),""))</f>
        <v/>
      </c>
      <c r="Z278" s="666" t="str">
        <f>IF(OR($A278="F&amp;F",$G278=""),"",IF(Z$8&gt;$G278,IF(OR(status1B5!AA278=1,status1B5!AA278=2,'BOULEVARD 5'!AC276&gt;0),"Pagado","impago"),""))</f>
        <v/>
      </c>
      <c r="AA278" s="666" t="str">
        <f>IF(OR($A278="F&amp;F",$G278=""),"",IF(AA$8&gt;$G278,IF(OR(status1B5!AB278=1,status1B5!AB278=2,'BOULEVARD 5'!AD276&gt;0),"Pagado","impago"),""))</f>
        <v>Pagado</v>
      </c>
      <c r="AB278" s="666" t="str">
        <f>IF(OR($A278="F&amp;F",$G278=""),"",IF(AB$8&gt;$G278,IF(OR(status1B5!AC278=1,status1B5!AC278=2,'BOULEVARD 5'!AE276&gt;0),"Pagado","impago"),""))</f>
        <v>Pagado</v>
      </c>
      <c r="AC278" s="666" t="str">
        <f>IF(OR($A278="F&amp;F",$G278=""),"",IF(AC$8&gt;$G278,IF(OR(status1B5!AD278=1,status1B5!AD278=2,'BOULEVARD 5'!AF276&gt;0),"Pagado","impago"),""))</f>
        <v>Pagado</v>
      </c>
      <c r="AD278" s="666" t="str">
        <f>IF(OR($A278="F&amp;F",$G278=""),"",IF(AD$8&gt;$G278,IF(OR(status1B5!AE278=1,status1B5!AE278=2,'BOULEVARD 5'!AG276&gt;0),"Pagado","impago"),""))</f>
        <v>Pagado</v>
      </c>
      <c r="AE278" s="666" t="str">
        <f>IF(OR($A278="F&amp;F",$G278=""),"",IF(AE$8&gt;$G278,IF(OR(status1B5!AF278=1,status1B5!AF278=2,'BOULEVARD 5'!AH276&gt;0),"Pagado","impago"),""))</f>
        <v>Pagado</v>
      </c>
      <c r="AF278" s="666" t="str">
        <f>IF(OR($A278="F&amp;F",$G278=""),"",IF(AF$8&gt;$G278,IF(OR(status1B5!AG278=1,status1B5!AG278=2,'BOULEVARD 5'!AI276&gt;0),"Pagado","impago"),""))</f>
        <v>Pagado</v>
      </c>
      <c r="AG278" s="666" t="str">
        <f>IF(OR($A278="F&amp;F",$G278=""),"",IF(AG$8&gt;$G278,IF(OR(status1B5!AH278=1,status1B5!AH278=2,'BOULEVARD 5'!AJ276&gt;0),"Pagado","impago"),""))</f>
        <v>Pagado</v>
      </c>
      <c r="AH278" s="666" t="str">
        <f>IF(OR($A278="F&amp;F",$G278=""),"",IF(AH$8&gt;$G278,IF(OR(status1B5!AI278=1,status1B5!AI278=2,'BOULEVARD 5'!AK276&gt;0),"Pagado","impago"),""))</f>
        <v>Pagado</v>
      </c>
      <c r="AI278" s="666" t="str">
        <f>IF(OR($A278="F&amp;F",$G278=""),"",IF(AI$8&gt;$G278,IF(OR(status1B5!AJ278=1,status1B5!AJ278=2,'BOULEVARD 5'!AL276&gt;0),"Pagado","impago"),""))</f>
        <v>Pagado</v>
      </c>
      <c r="AJ278" s="666" t="str">
        <f>IF(OR($A278="F&amp;F",$G278=""),"",IF(AJ$8&gt;$G278,IF(OR(status1B5!AK278=1,status1B5!AK278=2,'BOULEVARD 5'!AM276&gt;0),"Pagado","impago"),""))</f>
        <v>Pagado</v>
      </c>
      <c r="AK278" s="666" t="str">
        <f>IF(OR($A278="F&amp;F",$G278=""),"",IF(AK$8&gt;$G278,IF(OR(status1B5!AL278=1,status1B5!AL278=2,'BOULEVARD 5'!AN276&gt;0),"Pagado","impago"),""))</f>
        <v>Pagado</v>
      </c>
      <c r="AL278" s="666" t="str">
        <f>IF(OR($A278="F&amp;F",$G278=""),"",IF(AL$8&gt;$G278,IF(OR(status1B5!AM278=1,status1B5!AM278=2,'BOULEVARD 5'!AO276&gt;0),"Pagado","impago"),""))</f>
        <v>Pagado</v>
      </c>
      <c r="AM278" s="666" t="str">
        <f>IF(OR($A278="F&amp;F",$G278=""),"",IF(AM$8&gt;$G278,IF(OR(status1B5!AN278=1,status1B5!AN278=2,'BOULEVARD 5'!AP276&gt;0),"Pagado","impago"),""))</f>
        <v>Pagado</v>
      </c>
      <c r="AN278" s="666" t="str">
        <f>IF(OR($A278="F&amp;F",$G278=""),"",IF(AN$8&gt;$G278,IF(OR(status1B5!AO278=1,status1B5!AO278=2,'BOULEVARD 5'!AQ276&gt;0),"Pagado","impago"),""))</f>
        <v>Pagado</v>
      </c>
      <c r="AO278" s="666" t="str">
        <f>IF(OR($A278="F&amp;F",$G278=""),"",IF(AO$8&gt;$G278,IF(OR(status1B5!AP278=1,status1B5!AP278=2,'BOULEVARD 5'!AS276&gt;0),"Pagado","impago"),""))</f>
        <v>Pagado</v>
      </c>
      <c r="AP278" s="429" t="str">
        <f t="shared" si="9"/>
        <v>Vendido</v>
      </c>
    </row>
    <row r="279" spans="1:42" s="429" customFormat="1" ht="13.9" customHeight="1" x14ac:dyDescent="0.25">
      <c r="B279" s="436">
        <f>'BOULEVARD 5'!B277</f>
        <v>1606</v>
      </c>
      <c r="C279" s="436" t="s">
        <v>355</v>
      </c>
      <c r="D279" s="436"/>
      <c r="E279" s="436" t="str">
        <f>IF('BOULEVARD 5'!E277="","",'BOULEVARD 5'!E277)</f>
        <v/>
      </c>
      <c r="F279" s="429" t="str">
        <f>IF('BOULEVARD 5'!F277="","",'BOULEVARD 5'!F277)</f>
        <v/>
      </c>
      <c r="G279" s="473" t="str">
        <f>IF('BOULEVARD 5'!G277="","",'BOULEVARD 5'!G277)</f>
        <v/>
      </c>
      <c r="H279" s="666" t="str">
        <f>IF(OR($A279="F&amp;F",$G279=""),"",IF(H$8&gt;$G279,IF(OR(status1B5!I279=1,status1B5!I279=2,'BOULEVARD 5'!K277&gt;0),"Pagado","impago"),""))</f>
        <v/>
      </c>
      <c r="I279" s="666" t="str">
        <f>IF(OR($A279="F&amp;F",$G279=""),"",IF(I$8&gt;$G279,IF(OR(status1B5!J279=1,status1B5!J279=2,'BOULEVARD 5'!L277&gt;0),"Pagado","impago"),""))</f>
        <v/>
      </c>
      <c r="J279" s="666" t="str">
        <f>IF(OR($A279="F&amp;F",$G279=""),"",IF(J$8&gt;$G279,IF(OR(status1B5!K279=1,status1B5!K279=2,'BOULEVARD 5'!M277&gt;0),"Pagado","impago"),""))</f>
        <v/>
      </c>
      <c r="K279" s="666" t="str">
        <f>IF(OR($A279="F&amp;F",$G279=""),"",IF(K$8&gt;$G279,IF(OR(status1B5!L279=1,status1B5!L279=2,'BOULEVARD 5'!N277&gt;0),"Pagado","impago"),""))</f>
        <v/>
      </c>
      <c r="L279" s="666" t="str">
        <f>IF(OR($A279="F&amp;F",$G279=""),"",IF(L$8&gt;$G279,IF(OR(status1B5!M279=1,status1B5!M279=2,'BOULEVARD 5'!O277&gt;0),"Pagado","impago"),""))</f>
        <v/>
      </c>
      <c r="M279" s="666" t="str">
        <f>IF(OR($A279="F&amp;F",$G279=""),"",IF(M$8&gt;$G279,IF(OR(status1B5!N279=1,status1B5!N279=2,'BOULEVARD 5'!P277&gt;0),"Pagado","impago"),""))</f>
        <v/>
      </c>
      <c r="N279" s="666" t="str">
        <f>IF(OR($A279="F&amp;F",$G279=""),"",IF(N$8&gt;$G279,IF(OR(status1B5!O279=1,status1B5!O279=2,'BOULEVARD 5'!Q277&gt;0),"Pagado","impago"),""))</f>
        <v/>
      </c>
      <c r="O279" s="666" t="str">
        <f>IF(OR($A279="F&amp;F",$G279=""),"",IF(O$8&gt;$G279,IF(OR(status1B5!P279=1,status1B5!P279=2,'BOULEVARD 5'!R277&gt;0),"Pagado","impago"),""))</f>
        <v/>
      </c>
      <c r="P279" s="666" t="str">
        <f>IF(OR($A279="F&amp;F",$G279=""),"",IF(P$8&gt;$G279,IF(OR(status1B5!Q279=1,status1B5!Q279=2,'BOULEVARD 5'!S277&gt;0),"Pagado","impago"),""))</f>
        <v/>
      </c>
      <c r="Q279" s="666" t="str">
        <f>IF(OR($A279="F&amp;F",$G279=""),"",IF(Q$8&gt;$G279,IF(OR(status1B5!R279=1,status1B5!R279=2,'BOULEVARD 5'!T277&gt;0),"Pagado","impago"),""))</f>
        <v/>
      </c>
      <c r="R279" s="666" t="str">
        <f>IF(OR($A279="F&amp;F",$G279=""),"",IF(R$8&gt;$G279,IF(OR(status1B5!S279=1,status1B5!S279=2,'BOULEVARD 5'!U277&gt;0),"Pagado","impago"),""))</f>
        <v/>
      </c>
      <c r="S279" s="666" t="str">
        <f>IF(OR($A279="F&amp;F",$G279=""),"",IF(S$8&gt;$G279,IF(OR(status1B5!T279=1,status1B5!T279=2,'BOULEVARD 5'!V277&gt;0),"Pagado","impago"),""))</f>
        <v/>
      </c>
      <c r="T279" s="666" t="str">
        <f>IF(OR($A279="F&amp;F",$G279=""),"",IF(T$8&gt;$G279,IF(OR(status1B5!U279=1,status1B5!U279=2,'BOULEVARD 5'!W277&gt;0),"Pagado","impago"),""))</f>
        <v/>
      </c>
      <c r="U279" s="666" t="str">
        <f>IF(OR($A279="F&amp;F",$G279=""),"",IF(U$8&gt;$G279,IF(OR(status1B5!V279=1,status1B5!V279=2,'BOULEVARD 5'!X277&gt;0),"Pagado","impago"),""))</f>
        <v/>
      </c>
      <c r="V279" s="666" t="str">
        <f>IF(OR($A279="F&amp;F",$G279=""),"",IF(V$8&gt;$G279,IF(OR(status1B5!W279=1,status1B5!W279=2,'BOULEVARD 5'!Y277&gt;0),"Pagado","impago"),""))</f>
        <v/>
      </c>
      <c r="W279" s="666" t="str">
        <f>IF(OR($A279="F&amp;F",$G279=""),"",IF(W$8&gt;$G279,IF(OR(status1B5!X279=1,status1B5!X279=2,'BOULEVARD 5'!Z277&gt;0),"Pagado","impago"),""))</f>
        <v/>
      </c>
      <c r="X279" s="666" t="str">
        <f>IF(OR($A279="F&amp;F",$G279=""),"",IF(X$8&gt;$G279,IF(OR(status1B5!Y279=1,status1B5!Y279=2,'BOULEVARD 5'!AA277&gt;0),"Pagado","impago"),""))</f>
        <v/>
      </c>
      <c r="Y279" s="666" t="str">
        <f>IF(OR($A279="F&amp;F",$G279=""),"",IF(Y$8&gt;$G279,IF(OR(status1B5!Z279=1,status1B5!Z279=2,'BOULEVARD 5'!AB277&gt;0),"Pagado","impago"),""))</f>
        <v/>
      </c>
      <c r="Z279" s="666" t="str">
        <f>IF(OR($A279="F&amp;F",$G279=""),"",IF(Z$8&gt;$G279,IF(OR(status1B5!AA279=1,status1B5!AA279=2,'BOULEVARD 5'!AC277&gt;0),"Pagado","impago"),""))</f>
        <v/>
      </c>
      <c r="AA279" s="666" t="str">
        <f>IF(OR($A279="F&amp;F",$G279=""),"",IF(AA$8&gt;$G279,IF(OR(status1B5!AB279=1,status1B5!AB279=2,'BOULEVARD 5'!AD277&gt;0),"Pagado","impago"),""))</f>
        <v/>
      </c>
      <c r="AB279" s="666" t="str">
        <f>IF(OR($A279="F&amp;F",$G279=""),"",IF(AB$8&gt;$G279,IF(OR(status1B5!AC279=1,status1B5!AC279=2,'BOULEVARD 5'!AE277&gt;0),"Pagado","impago"),""))</f>
        <v/>
      </c>
      <c r="AC279" s="666" t="str">
        <f>IF(OR($A279="F&amp;F",$G279=""),"",IF(AC$8&gt;$G279,IF(OR(status1B5!AD279=1,status1B5!AD279=2,'BOULEVARD 5'!AF277&gt;0),"Pagado","impago"),""))</f>
        <v/>
      </c>
      <c r="AD279" s="666" t="str">
        <f>IF(OR($A279="F&amp;F",$G279=""),"",IF(AD$8&gt;$G279,IF(OR(status1B5!AE279=1,status1B5!AE279=2,'BOULEVARD 5'!AG277&gt;0),"Pagado","impago"),""))</f>
        <v/>
      </c>
      <c r="AE279" s="666" t="str">
        <f>IF(OR($A279="F&amp;F",$G279=""),"",IF(AE$8&gt;$G279,IF(OR(status1B5!AF279=1,status1B5!AF279=2,'BOULEVARD 5'!AH277&gt;0),"Pagado","impago"),""))</f>
        <v/>
      </c>
      <c r="AF279" s="666" t="str">
        <f>IF(OR($A279="F&amp;F",$G279=""),"",IF(AF$8&gt;$G279,IF(OR(status1B5!AG279=1,status1B5!AG279=2,'BOULEVARD 5'!AI277&gt;0),"Pagado","impago"),""))</f>
        <v/>
      </c>
      <c r="AG279" s="666" t="str">
        <f>IF(OR($A279="F&amp;F",$G279=""),"",IF(AG$8&gt;$G279,IF(OR(status1B5!AH279=1,status1B5!AH279=2,'BOULEVARD 5'!AJ277&gt;0),"Pagado","impago"),""))</f>
        <v/>
      </c>
      <c r="AH279" s="666" t="str">
        <f>IF(OR($A279="F&amp;F",$G279=""),"",IF(AH$8&gt;$G279,IF(OR(status1B5!AI279=1,status1B5!AI279=2,'BOULEVARD 5'!AK277&gt;0),"Pagado","impago"),""))</f>
        <v/>
      </c>
      <c r="AI279" s="666" t="str">
        <f>IF(OR($A279="F&amp;F",$G279=""),"",IF(AI$8&gt;$G279,IF(OR(status1B5!AJ279=1,status1B5!AJ279=2,'BOULEVARD 5'!AL277&gt;0),"Pagado","impago"),""))</f>
        <v/>
      </c>
      <c r="AJ279" s="666" t="str">
        <f>IF(OR($A279="F&amp;F",$G279=""),"",IF(AJ$8&gt;$G279,IF(OR(status1B5!AK279=1,status1B5!AK279=2,'BOULEVARD 5'!AM277&gt;0),"Pagado","impago"),""))</f>
        <v/>
      </c>
      <c r="AK279" s="666" t="str">
        <f>IF(OR($A279="F&amp;F",$G279=""),"",IF(AK$8&gt;$G279,IF(OR(status1B5!AL279=1,status1B5!AL279=2,'BOULEVARD 5'!AN277&gt;0),"Pagado","impago"),""))</f>
        <v/>
      </c>
      <c r="AL279" s="666" t="str">
        <f>IF(OR($A279="F&amp;F",$G279=""),"",IF(AL$8&gt;$G279,IF(OR(status1B5!AM279=1,status1B5!AM279=2,'BOULEVARD 5'!AO277&gt;0),"Pagado","impago"),""))</f>
        <v/>
      </c>
      <c r="AM279" s="666" t="str">
        <f>IF(OR($A279="F&amp;F",$G279=""),"",IF(AM$8&gt;$G279,IF(OR(status1B5!AN279=1,status1B5!AN279=2,'BOULEVARD 5'!AP277&gt;0),"Pagado","impago"),""))</f>
        <v/>
      </c>
      <c r="AN279" s="666" t="str">
        <f>IF(OR($A279="F&amp;F",$G279=""),"",IF(AN$8&gt;$G279,IF(OR(status1B5!AO279=1,status1B5!AO279=2,'BOULEVARD 5'!AQ277&gt;0),"Pagado","impago"),""))</f>
        <v/>
      </c>
      <c r="AO279" s="666" t="str">
        <f>IF(OR($A279="F&amp;F",$G279=""),"",IF(AO$8&gt;$G279,IF(OR(status1B5!AP279=1,status1B5!AP279=2,'BOULEVARD 5'!AS277&gt;0),"Pagado","impago"),""))</f>
        <v/>
      </c>
      <c r="AP279" s="429" t="str">
        <f t="shared" si="9"/>
        <v>No Vendido</v>
      </c>
    </row>
    <row r="280" spans="1:42" s="429" customFormat="1" ht="13.9" customHeight="1" x14ac:dyDescent="0.25">
      <c r="A280" s="472"/>
      <c r="B280" s="436">
        <f>'BOULEVARD 5'!B278</f>
        <v>1607</v>
      </c>
      <c r="C280" s="436" t="s">
        <v>355</v>
      </c>
      <c r="D280" s="436"/>
      <c r="E280" s="436" t="str">
        <f>IF('BOULEVARD 5'!E278="","",'BOULEVARD 5'!E278)</f>
        <v>Brenda Búcaro</v>
      </c>
      <c r="F280" s="466" t="str">
        <f>IF('BOULEVARD 5'!F278="","",'BOULEVARD 5'!F278)</f>
        <v>Edvin Carlos Cifuentes Salguero - Inmobiliaria Quince</v>
      </c>
      <c r="G280" s="473">
        <f>IF('BOULEVARD 5'!G278="","",'BOULEVARD 5'!G278)</f>
        <v>45077</v>
      </c>
      <c r="H280" s="666" t="str">
        <f>IF(OR($A280="F&amp;F",$G280=""),"",IF(H$8&gt;$G280,IF(OR(status1B5!I280=1,status1B5!I280=2,'BOULEVARD 5'!K278&gt;0),"Pagado","impago"),""))</f>
        <v/>
      </c>
      <c r="I280" s="666" t="str">
        <f>IF(OR($A280="F&amp;F",$G280=""),"",IF(I$8&gt;$G280,IF(OR(status1B5!J280=1,status1B5!J280=2,'BOULEVARD 5'!L278&gt;0),"Pagado","impago"),""))</f>
        <v/>
      </c>
      <c r="J280" s="666" t="str">
        <f>IF(OR($A280="F&amp;F",$G280=""),"",IF(J$8&gt;$G280,IF(OR(status1B5!K280=1,status1B5!K280=2,'BOULEVARD 5'!M278&gt;0),"Pagado","impago"),""))</f>
        <v/>
      </c>
      <c r="K280" s="666" t="str">
        <f>IF(OR($A280="F&amp;F",$G280=""),"",IF(K$8&gt;$G280,IF(OR(status1B5!L280=1,status1B5!L280=2,'BOULEVARD 5'!N278&gt;0),"Pagado","impago"),""))</f>
        <v>Pagado</v>
      </c>
      <c r="L280" s="666" t="str">
        <f>IF(OR($A280="F&amp;F",$G280=""),"",IF(L$8&gt;$G280,IF(OR(status1B5!M280=1,status1B5!M280=2,'BOULEVARD 5'!O278&gt;0),"Pagado","impago"),""))</f>
        <v>Pagado</v>
      </c>
      <c r="M280" s="666" t="str">
        <f>IF(OR($A280="F&amp;F",$G280=""),"",IF(M$8&gt;$G280,IF(OR(status1B5!N280=1,status1B5!N280=2,'BOULEVARD 5'!P278&gt;0),"Pagado","impago"),""))</f>
        <v>Pagado</v>
      </c>
      <c r="N280" s="666" t="str">
        <f>IF(OR($A280="F&amp;F",$G280=""),"",IF(N$8&gt;$G280,IF(OR(status1B5!O280=1,status1B5!O280=2,'BOULEVARD 5'!Q278&gt;0),"Pagado","impago"),""))</f>
        <v>Pagado</v>
      </c>
      <c r="O280" s="666" t="str">
        <f>IF(OR($A280="F&amp;F",$G280=""),"",IF(O$8&gt;$G280,IF(OR(status1B5!P280=1,status1B5!P280=2,'BOULEVARD 5'!R278&gt;0),"Pagado","impago"),""))</f>
        <v>Pagado</v>
      </c>
      <c r="P280" s="666" t="str">
        <f>IF(OR($A280="F&amp;F",$G280=""),"",IF(P$8&gt;$G280,IF(OR(status1B5!Q280=1,status1B5!Q280=2,'BOULEVARD 5'!S278&gt;0),"Pagado","impago"),""))</f>
        <v>Pagado</v>
      </c>
      <c r="Q280" s="666" t="str">
        <f>IF(OR($A280="F&amp;F",$G280=""),"",IF(Q$8&gt;$G280,IF(OR(status1B5!R280=1,status1B5!R280=2,'BOULEVARD 5'!T278&gt;0),"Pagado","impago"),""))</f>
        <v>Pagado</v>
      </c>
      <c r="R280" s="666" t="str">
        <f>IF(OR($A280="F&amp;F",$G280=""),"",IF(R$8&gt;$G280,IF(OR(status1B5!S280=1,status1B5!S280=2,'BOULEVARD 5'!U278&gt;0),"Pagado","impago"),""))</f>
        <v>Pagado</v>
      </c>
      <c r="S280" s="666" t="str">
        <f>IF(OR($A280="F&amp;F",$G280=""),"",IF(S$8&gt;$G280,IF(OR(status1B5!T280=1,status1B5!T280=2,'BOULEVARD 5'!V278&gt;0),"Pagado","impago"),""))</f>
        <v>Pagado</v>
      </c>
      <c r="T280" s="666" t="str">
        <f>IF(OR($A280="F&amp;F",$G280=""),"",IF(T$8&gt;$G280,IF(OR(status1B5!U280=1,status1B5!U280=2,'BOULEVARD 5'!W278&gt;0),"Pagado","impago"),""))</f>
        <v>Pagado</v>
      </c>
      <c r="U280" s="666" t="str">
        <f>IF(OR($A280="F&amp;F",$G280=""),"",IF(U$8&gt;$G280,IF(OR(status1B5!V280=1,status1B5!V280=2,'BOULEVARD 5'!X278&gt;0),"Pagado","impago"),""))</f>
        <v>Pagado</v>
      </c>
      <c r="V280" s="666" t="str">
        <f>IF(OR($A280="F&amp;F",$G280=""),"",IF(V$8&gt;$G280,IF(OR(status1B5!W280=1,status1B5!W280=2,'BOULEVARD 5'!Y278&gt;0),"Pagado","impago"),""))</f>
        <v>Pagado</v>
      </c>
      <c r="W280" s="666" t="str">
        <f>IF(OR($A280="F&amp;F",$G280=""),"",IF(W$8&gt;$G280,IF(OR(status1B5!X280=1,status1B5!X280=2,'BOULEVARD 5'!Z278&gt;0),"Pagado","impago"),""))</f>
        <v>Pagado</v>
      </c>
      <c r="X280" s="666" t="str">
        <f>IF(OR($A280="F&amp;F",$G280=""),"",IF(X$8&gt;$G280,IF(OR(status1B5!Y280=1,status1B5!Y280=2,'BOULEVARD 5'!AA278&gt;0),"Pagado","impago"),""))</f>
        <v>Pagado</v>
      </c>
      <c r="Y280" s="666" t="str">
        <f>IF(OR($A280="F&amp;F",$G280=""),"",IF(Y$8&gt;$G280,IF(OR(status1B5!Z280=1,status1B5!Z280=2,'BOULEVARD 5'!AB278&gt;0),"Pagado","impago"),""))</f>
        <v>Pagado</v>
      </c>
      <c r="Z280" s="666" t="str">
        <f>IF(OR($A280="F&amp;F",$G280=""),"",IF(Z$8&gt;$G280,IF(OR(status1B5!AA280=1,status1B5!AA280=2,'BOULEVARD 5'!AC278&gt;0),"Pagado","impago"),""))</f>
        <v>Pagado</v>
      </c>
      <c r="AA280" s="666" t="str">
        <f>IF(OR($A280="F&amp;F",$G280=""),"",IF(AA$8&gt;$G280,IF(OR(status1B5!AB280=1,status1B5!AB280=2,'BOULEVARD 5'!AD278&gt;0),"Pagado","impago"),""))</f>
        <v>Pagado</v>
      </c>
      <c r="AB280" s="666" t="str">
        <f>IF(OR($A280="F&amp;F",$G280=""),"",IF(AB$8&gt;$G280,IF(OR(status1B5!AC280=1,status1B5!AC280=2,'BOULEVARD 5'!AE278&gt;0),"Pagado","impago"),""))</f>
        <v>Pagado</v>
      </c>
      <c r="AC280" s="666" t="str">
        <f>IF(OR($A280="F&amp;F",$G280=""),"",IF(AC$8&gt;$G280,IF(OR(status1B5!AD280=1,status1B5!AD280=2,'BOULEVARD 5'!AF278&gt;0),"Pagado","impago"),""))</f>
        <v>Pagado</v>
      </c>
      <c r="AD280" s="666" t="str">
        <f>IF(OR($A280="F&amp;F",$G280=""),"",IF(AD$8&gt;$G280,IF(OR(status1B5!AE280=1,status1B5!AE280=2,'BOULEVARD 5'!AG278&gt;0),"Pagado","impago"),""))</f>
        <v>Pagado</v>
      </c>
      <c r="AE280" s="666" t="str">
        <f>IF(OR($A280="F&amp;F",$G280=""),"",IF(AE$8&gt;$G280,IF(OR(status1B5!AF280=1,status1B5!AF280=2,'BOULEVARD 5'!AH278&gt;0),"Pagado","impago"),""))</f>
        <v>Pagado</v>
      </c>
      <c r="AF280" s="666" t="str">
        <f>IF(OR($A280="F&amp;F",$G280=""),"",IF(AF$8&gt;$G280,IF(OR(status1B5!AG280=1,status1B5!AG280=2,'BOULEVARD 5'!AI278&gt;0),"Pagado","impago"),""))</f>
        <v>Pagado</v>
      </c>
      <c r="AG280" s="666" t="str">
        <f>IF(OR($A280="F&amp;F",$G280=""),"",IF(AG$8&gt;$G280,IF(OR(status1B5!AH280=1,status1B5!AH280=2,'BOULEVARD 5'!AJ278&gt;0),"Pagado","impago"),""))</f>
        <v>Pagado</v>
      </c>
      <c r="AH280" s="666" t="str">
        <f>IF(OR($A280="F&amp;F",$G280=""),"",IF(AH$8&gt;$G280,IF(OR(status1B5!AI280=1,status1B5!AI280=2,'BOULEVARD 5'!AK278&gt;0),"Pagado","impago"),""))</f>
        <v>Pagado</v>
      </c>
      <c r="AI280" s="666" t="str">
        <f>IF(OR($A280="F&amp;F",$G280=""),"",IF(AI$8&gt;$G280,IF(OR(status1B5!AJ280=1,status1B5!AJ280=2,'BOULEVARD 5'!AL278&gt;0),"Pagado","impago"),""))</f>
        <v>Pagado</v>
      </c>
      <c r="AJ280" s="666" t="str">
        <f>IF(OR($A280="F&amp;F",$G280=""),"",IF(AJ$8&gt;$G280,IF(OR(status1B5!AK280=1,status1B5!AK280=2,'BOULEVARD 5'!AM278&gt;0),"Pagado","impago"),""))</f>
        <v>Pagado</v>
      </c>
      <c r="AK280" s="666" t="str">
        <f>IF(OR($A280="F&amp;F",$G280=""),"",IF(AK$8&gt;$G280,IF(OR(status1B5!AL280=1,status1B5!AL280=2,'BOULEVARD 5'!AN278&gt;0),"Pagado","impago"),""))</f>
        <v>Pagado</v>
      </c>
      <c r="AL280" s="666" t="str">
        <f>IF(OR($A280="F&amp;F",$G280=""),"",IF(AL$8&gt;$G280,IF(OR(status1B5!AM280=1,status1B5!AM280=2,'BOULEVARD 5'!AO278&gt;0),"Pagado","impago"),""))</f>
        <v>Pagado</v>
      </c>
      <c r="AM280" s="666" t="str">
        <f>IF(OR($A280="F&amp;F",$G280=""),"",IF(AM$8&gt;$G280,IF(OR(status1B5!AN280=1,status1B5!AN280=2,'BOULEVARD 5'!AP278&gt;0),"Pagado","impago"),""))</f>
        <v>Pagado</v>
      </c>
      <c r="AN280" s="666" t="str">
        <f>IF(OR($A280="F&amp;F",$G280=""),"",IF(AN$8&gt;$G280,IF(OR(status1B5!AO280=1,status1B5!AO280=2,'BOULEVARD 5'!AQ278&gt;0),"Pagado","impago"),""))</f>
        <v>Pagado</v>
      </c>
      <c r="AO280" s="666" t="str">
        <f>IF(OR($A280="F&amp;F",$G280=""),"",IF(AO$8&gt;$G280,IF(OR(status1B5!AP280=1,status1B5!AP280=2,'BOULEVARD 5'!AS278&gt;0),"Pagado","impago"),""))</f>
        <v>Pagado</v>
      </c>
      <c r="AP280" s="429" t="str">
        <f t="shared" si="9"/>
        <v>Vendido</v>
      </c>
    </row>
    <row r="281" spans="1:42" s="429" customFormat="1" ht="13.9" customHeight="1" x14ac:dyDescent="0.25">
      <c r="A281" s="472" t="s">
        <v>58</v>
      </c>
      <c r="B281" s="475">
        <f>'BOULEVARD 5'!B279</f>
        <v>1608</v>
      </c>
      <c r="C281" s="475" t="s">
        <v>355</v>
      </c>
      <c r="D281" s="475"/>
      <c r="E281" s="475" t="str">
        <f>IF('BOULEVARD 5'!E279="","",'BOULEVARD 5'!E279)</f>
        <v>Jose Franco</v>
      </c>
      <c r="F281" s="476" t="str">
        <f>IF('BOULEVARD 5'!F279="","",'BOULEVARD 5'!F279)</f>
        <v>María Carolina Arimany Comas</v>
      </c>
      <c r="G281" s="473">
        <f>IF('BOULEVARD 5'!G279="","",'BOULEVARD 5'!G279)</f>
        <v>45013</v>
      </c>
      <c r="H281" s="666" t="str">
        <f>IF(OR($A281="F&amp;F",$G281=""),"",IF(H$8&gt;$G281,IF(OR(status1B5!I281=1,status1B5!I281=2,'BOULEVARD 5'!K279&gt;0),"Pagado","impago"),""))</f>
        <v/>
      </c>
      <c r="I281" s="666" t="str">
        <f>IF(OR($A281="F&amp;F",$G281=""),"",IF(I$8&gt;$G281,IF(OR(status1B5!J281=1,status1B5!J281=2,'BOULEVARD 5'!L279&gt;0),"Pagado","impago"),""))</f>
        <v/>
      </c>
      <c r="J281" s="666" t="str">
        <f>IF(OR($A281="F&amp;F",$G281=""),"",IF(J$8&gt;$G281,IF(OR(status1B5!K281=1,status1B5!K281=2,'BOULEVARD 5'!M279&gt;0),"Pagado","impago"),""))</f>
        <v/>
      </c>
      <c r="K281" s="666" t="str">
        <f>IF(OR($A281="F&amp;F",$G281=""),"",IF(K$8&gt;$G281,IF(OR(status1B5!L281=1,status1B5!L281=2,'BOULEVARD 5'!N279&gt;0),"Pagado","impago"),""))</f>
        <v/>
      </c>
      <c r="L281" s="666" t="str">
        <f>IF(OR($A281="F&amp;F",$G281=""),"",IF(L$8&gt;$G281,IF(OR(status1B5!M281=1,status1B5!M281=2,'BOULEVARD 5'!O279&gt;0),"Pagado","impago"),""))</f>
        <v/>
      </c>
      <c r="M281" s="666" t="str">
        <f>IF(OR($A281="F&amp;F",$G281=""),"",IF(M$8&gt;$G281,IF(OR(status1B5!N281=1,status1B5!N281=2,'BOULEVARD 5'!P279&gt;0),"Pagado","impago"),""))</f>
        <v/>
      </c>
      <c r="N281" s="666" t="str">
        <f>IF(OR($A281="F&amp;F",$G281=""),"",IF(N$8&gt;$G281,IF(OR(status1B5!O281=1,status1B5!O281=2,'BOULEVARD 5'!Q279&gt;0),"Pagado","impago"),""))</f>
        <v/>
      </c>
      <c r="O281" s="666" t="str">
        <f>IF(OR($A281="F&amp;F",$G281=""),"",IF(O$8&gt;$G281,IF(OR(status1B5!P281=1,status1B5!P281=2,'BOULEVARD 5'!R279&gt;0),"Pagado","impago"),""))</f>
        <v/>
      </c>
      <c r="P281" s="666" t="str">
        <f>IF(OR($A281="F&amp;F",$G281=""),"",IF(P$8&gt;$G281,IF(OR(status1B5!Q281=1,status1B5!Q281=2,'BOULEVARD 5'!S279&gt;0),"Pagado","impago"),""))</f>
        <v/>
      </c>
      <c r="Q281" s="666" t="str">
        <f>IF(OR($A281="F&amp;F",$G281=""),"",IF(Q$8&gt;$G281,IF(OR(status1B5!R281=1,status1B5!R281=2,'BOULEVARD 5'!T279&gt;0),"Pagado","impago"),""))</f>
        <v/>
      </c>
      <c r="R281" s="666" t="str">
        <f>IF(OR($A281="F&amp;F",$G281=""),"",IF(R$8&gt;$G281,IF(OR(status1B5!S281=1,status1B5!S281=2,'BOULEVARD 5'!U279&gt;0),"Pagado","impago"),""))</f>
        <v/>
      </c>
      <c r="S281" s="666" t="str">
        <f>IF(OR($A281="F&amp;F",$G281=""),"",IF(S$8&gt;$G281,IF(OR(status1B5!T281=1,status1B5!T281=2,'BOULEVARD 5'!V279&gt;0),"Pagado","impago"),""))</f>
        <v/>
      </c>
      <c r="T281" s="666" t="str">
        <f>IF(OR($A281="F&amp;F",$G281=""),"",IF(T$8&gt;$G281,IF(OR(status1B5!U281=1,status1B5!U281=2,'BOULEVARD 5'!W279&gt;0),"Pagado","impago"),""))</f>
        <v/>
      </c>
      <c r="U281" s="666" t="str">
        <f>IF(OR($A281="F&amp;F",$G281=""),"",IF(U$8&gt;$G281,IF(OR(status1B5!V281=1,status1B5!V281=2,'BOULEVARD 5'!X279&gt;0),"Pagado","impago"),""))</f>
        <v/>
      </c>
      <c r="V281" s="666" t="str">
        <f>IF(OR($A281="F&amp;F",$G281=""),"",IF(V$8&gt;$G281,IF(OR(status1B5!W281=1,status1B5!W281=2,'BOULEVARD 5'!Y279&gt;0),"Pagado","impago"),""))</f>
        <v/>
      </c>
      <c r="W281" s="666" t="str">
        <f>IF(OR($A281="F&amp;F",$G281=""),"",IF(W$8&gt;$G281,IF(OR(status1B5!X281=1,status1B5!X281=2,'BOULEVARD 5'!Z279&gt;0),"Pagado","impago"),""))</f>
        <v/>
      </c>
      <c r="X281" s="666" t="str">
        <f>IF(OR($A281="F&amp;F",$G281=""),"",IF(X$8&gt;$G281,IF(OR(status1B5!Y281=1,status1B5!Y281=2,'BOULEVARD 5'!AA279&gt;0),"Pagado","impago"),""))</f>
        <v/>
      </c>
      <c r="Y281" s="666" t="str">
        <f>IF(OR($A281="F&amp;F",$G281=""),"",IF(Y$8&gt;$G281,IF(OR(status1B5!Z281=1,status1B5!Z281=2,'BOULEVARD 5'!AB279&gt;0),"Pagado","impago"),""))</f>
        <v/>
      </c>
      <c r="Z281" s="666" t="str">
        <f>IF(OR($A281="F&amp;F",$G281=""),"",IF(Z$8&gt;$G281,IF(OR(status1B5!AA281=1,status1B5!AA281=2,'BOULEVARD 5'!AC279&gt;0),"Pagado","impago"),""))</f>
        <v/>
      </c>
      <c r="AA281" s="666" t="str">
        <f>IF(OR($A281="F&amp;F",$G281=""),"",IF(AA$8&gt;$G281,IF(OR(status1B5!AB281=1,status1B5!AB281=2,'BOULEVARD 5'!AD279&gt;0),"Pagado","impago"),""))</f>
        <v/>
      </c>
      <c r="AB281" s="666" t="str">
        <f>IF(OR($A281="F&amp;F",$G281=""),"",IF(AB$8&gt;$G281,IF(OR(status1B5!AC281=1,status1B5!AC281=2,'BOULEVARD 5'!AE279&gt;0),"Pagado","impago"),""))</f>
        <v/>
      </c>
      <c r="AC281" s="666" t="str">
        <f>IF(OR($A281="F&amp;F",$G281=""),"",IF(AC$8&gt;$G281,IF(OR(status1B5!AD281=1,status1B5!AD281=2,'BOULEVARD 5'!AF279&gt;0),"Pagado","impago"),""))</f>
        <v/>
      </c>
      <c r="AD281" s="666" t="str">
        <f>IF(OR($A281="F&amp;F",$G281=""),"",IF(AD$8&gt;$G281,IF(OR(status1B5!AE281=1,status1B5!AE281=2,'BOULEVARD 5'!AG279&gt;0),"Pagado","impago"),""))</f>
        <v/>
      </c>
      <c r="AE281" s="666" t="str">
        <f>IF(OR($A281="F&amp;F",$G281=""),"",IF(AE$8&gt;$G281,IF(OR(status1B5!AF281=1,status1B5!AF281=2,'BOULEVARD 5'!AH279&gt;0),"Pagado","impago"),""))</f>
        <v/>
      </c>
      <c r="AF281" s="666" t="str">
        <f>IF(OR($A281="F&amp;F",$G281=""),"",IF(AF$8&gt;$G281,IF(OR(status1B5!AG281=1,status1B5!AG281=2,'BOULEVARD 5'!AI279&gt;0),"Pagado","impago"),""))</f>
        <v/>
      </c>
      <c r="AG281" s="666" t="str">
        <f>IF(OR($A281="F&amp;F",$G281=""),"",IF(AG$8&gt;$G281,IF(OR(status1B5!AH281=1,status1B5!AH281=2,'BOULEVARD 5'!AJ279&gt;0),"Pagado","impago"),""))</f>
        <v/>
      </c>
      <c r="AH281" s="666" t="str">
        <f>IF(OR($A281="F&amp;F",$G281=""),"",IF(AH$8&gt;$G281,IF(OR(status1B5!AI281=1,status1B5!AI281=2,'BOULEVARD 5'!AK279&gt;0),"Pagado","impago"),""))</f>
        <v/>
      </c>
      <c r="AI281" s="666" t="str">
        <f>IF(OR($A281="F&amp;F",$G281=""),"",IF(AI$8&gt;$G281,IF(OR(status1B5!AJ281=1,status1B5!AJ281=2,'BOULEVARD 5'!AL279&gt;0),"Pagado","impago"),""))</f>
        <v/>
      </c>
      <c r="AJ281" s="666" t="str">
        <f>IF(OR($A281="F&amp;F",$G281=""),"",IF(AJ$8&gt;$G281,IF(OR(status1B5!AK281=1,status1B5!AK281=2,'BOULEVARD 5'!AM279&gt;0),"Pagado","impago"),""))</f>
        <v/>
      </c>
      <c r="AK281" s="666" t="str">
        <f>IF(OR($A281="F&amp;F",$G281=""),"",IF(AK$8&gt;$G281,IF(OR(status1B5!AL281=1,status1B5!AL281=2,'BOULEVARD 5'!AN279&gt;0),"Pagado","impago"),""))</f>
        <v/>
      </c>
      <c r="AL281" s="666" t="str">
        <f>IF(OR($A281="F&amp;F",$G281=""),"",IF(AL$8&gt;$G281,IF(OR(status1B5!AM281=1,status1B5!AM281=2,'BOULEVARD 5'!AO279&gt;0),"Pagado","impago"),""))</f>
        <v/>
      </c>
      <c r="AM281" s="666" t="str">
        <f>IF(OR($A281="F&amp;F",$G281=""),"",IF(AM$8&gt;$G281,IF(OR(status1B5!AN281=1,status1B5!AN281=2,'BOULEVARD 5'!AP279&gt;0),"Pagado","impago"),""))</f>
        <v/>
      </c>
      <c r="AN281" s="666" t="str">
        <f>IF(OR($A281="F&amp;F",$G281=""),"",IF(AN$8&gt;$G281,IF(OR(status1B5!AO281=1,status1B5!AO281=2,'BOULEVARD 5'!AQ279&gt;0),"Pagado","impago"),""))</f>
        <v/>
      </c>
      <c r="AO281" s="666" t="str">
        <f>IF(OR($A281="F&amp;F",$G281=""),"",IF(AO$8&gt;$G281,IF(OR(status1B5!AP281=1,status1B5!AP281=2,'BOULEVARD 5'!AS279&gt;0),"Pagado","impago"),""))</f>
        <v/>
      </c>
      <c r="AP281" s="429" t="str">
        <f t="shared" si="9"/>
        <v>Vendido</v>
      </c>
    </row>
    <row r="282" spans="1:42" s="429" customFormat="1" ht="13.9" customHeight="1" x14ac:dyDescent="0.25">
      <c r="A282" s="472"/>
      <c r="B282" s="436">
        <f>'BOULEVARD 5'!B280</f>
        <v>1609</v>
      </c>
      <c r="C282" s="436" t="s">
        <v>355</v>
      </c>
      <c r="D282" s="436"/>
      <c r="E282" s="436" t="str">
        <f>IF('BOULEVARD 5'!E280="","",'BOULEVARD 5'!E280)</f>
        <v>Antonio Rada</v>
      </c>
      <c r="F282" s="429" t="str">
        <f>IF('BOULEVARD 5'!F280="","",'BOULEVARD 5'!F280)</f>
        <v>Christian Josue Colindres Sandoval</v>
      </c>
      <c r="G282" s="473">
        <f>IF('BOULEVARD 5'!G280="","",'BOULEVARD 5'!G280)</f>
        <v>45010</v>
      </c>
      <c r="H282" s="666" t="str">
        <f>IF(OR($A282="F&amp;F",$G282=""),"",IF(H$8&gt;$G282,IF(OR(status1B5!I282=1,status1B5!I282=2,'BOULEVARD 5'!K280&gt;0),"Pagado","impago"),""))</f>
        <v>Pagado</v>
      </c>
      <c r="I282" s="666" t="str">
        <f>IF(OR($A282="F&amp;F",$G282=""),"",IF(I$8&gt;$G282,IF(OR(status1B5!J282=1,status1B5!J282=2,'BOULEVARD 5'!L280&gt;0),"Pagado","impago"),""))</f>
        <v>Pagado</v>
      </c>
      <c r="J282" s="666" t="str">
        <f>IF(OR($A282="F&amp;F",$G282=""),"",IF(J$8&gt;$G282,IF(OR(status1B5!K282=1,status1B5!K282=2,'BOULEVARD 5'!M280&gt;0),"Pagado","impago"),""))</f>
        <v>Pagado</v>
      </c>
      <c r="K282" s="666" t="str">
        <f>IF(OR($A282="F&amp;F",$G282=""),"",IF(K$8&gt;$G282,IF(OR(status1B5!L282=1,status1B5!L282=2,'BOULEVARD 5'!N280&gt;0),"Pagado","impago"),""))</f>
        <v>Pagado</v>
      </c>
      <c r="L282" s="666" t="str">
        <f>IF(OR($A282="F&amp;F",$G282=""),"",IF(L$8&gt;$G282,IF(OR(status1B5!M282=1,status1B5!M282=2,'BOULEVARD 5'!O280&gt;0),"Pagado","impago"),""))</f>
        <v>Pagado</v>
      </c>
      <c r="M282" s="666" t="str">
        <f>IF(OR($A282="F&amp;F",$G282=""),"",IF(M$8&gt;$G282,IF(OR(status1B5!N282=1,status1B5!N282=2,'BOULEVARD 5'!P280&gt;0),"Pagado","impago"),""))</f>
        <v>Pagado</v>
      </c>
      <c r="N282" s="666" t="str">
        <f>IF(OR($A282="F&amp;F",$G282=""),"",IF(N$8&gt;$G282,IF(OR(status1B5!O282=1,status1B5!O282=2,'BOULEVARD 5'!Q280&gt;0),"Pagado","impago"),""))</f>
        <v>Pagado</v>
      </c>
      <c r="O282" s="666" t="str">
        <f>IF(OR($A282="F&amp;F",$G282=""),"",IF(O$8&gt;$G282,IF(OR(status1B5!P282=1,status1B5!P282=2,'BOULEVARD 5'!R280&gt;0),"Pagado","impago"),""))</f>
        <v>Pagado</v>
      </c>
      <c r="P282" s="666" t="str">
        <f>IF(OR($A282="F&amp;F",$G282=""),"",IF(P$8&gt;$G282,IF(OR(status1B5!Q282=1,status1B5!Q282=2,'BOULEVARD 5'!S280&gt;0),"Pagado","impago"),""))</f>
        <v>Pagado</v>
      </c>
      <c r="Q282" s="666" t="str">
        <f>IF(OR($A282="F&amp;F",$G282=""),"",IF(Q$8&gt;$G282,IF(OR(status1B5!R282=1,status1B5!R282=2,'BOULEVARD 5'!T280&gt;0),"Pagado","impago"),""))</f>
        <v>Pagado</v>
      </c>
      <c r="R282" s="666" t="str">
        <f>IF(OR($A282="F&amp;F",$G282=""),"",IF(R$8&gt;$G282,IF(OR(status1B5!S282=1,status1B5!S282=2,'BOULEVARD 5'!U280&gt;0),"Pagado","impago"),""))</f>
        <v>Pagado</v>
      </c>
      <c r="S282" s="666" t="str">
        <f>IF(OR($A282="F&amp;F",$G282=""),"",IF(S$8&gt;$G282,IF(OR(status1B5!T282=1,status1B5!T282=2,'BOULEVARD 5'!V280&gt;0),"Pagado","impago"),""))</f>
        <v>Pagado</v>
      </c>
      <c r="T282" s="666" t="str">
        <f>IF(OR($A282="F&amp;F",$G282=""),"",IF(T$8&gt;$G282,IF(OR(status1B5!U282=1,status1B5!U282=2,'BOULEVARD 5'!W280&gt;0),"Pagado","impago"),""))</f>
        <v>Pagado</v>
      </c>
      <c r="U282" s="666" t="str">
        <f>IF(OR($A282="F&amp;F",$G282=""),"",IF(U$8&gt;$G282,IF(OR(status1B5!V282=1,status1B5!V282=2,'BOULEVARD 5'!X280&gt;0),"Pagado","impago"),""))</f>
        <v>Pagado</v>
      </c>
      <c r="V282" s="666" t="str">
        <f>IF(OR($A282="F&amp;F",$G282=""),"",IF(V$8&gt;$G282,IF(OR(status1B5!W282=1,status1B5!W282=2,'BOULEVARD 5'!Y280&gt;0),"Pagado","impago"),""))</f>
        <v>Pagado</v>
      </c>
      <c r="W282" s="666" t="str">
        <f>IF(OR($A282="F&amp;F",$G282=""),"",IF(W$8&gt;$G282,IF(OR(status1B5!X282=1,status1B5!X282=2,'BOULEVARD 5'!Z280&gt;0),"Pagado","impago"),""))</f>
        <v>Pagado</v>
      </c>
      <c r="X282" s="666" t="str">
        <f>IF(OR($A282="F&amp;F",$G282=""),"",IF(X$8&gt;$G282,IF(OR(status1B5!Y282=1,status1B5!Y282=2,'BOULEVARD 5'!AA280&gt;0),"Pagado","impago"),""))</f>
        <v>Pagado</v>
      </c>
      <c r="Y282" s="666" t="str">
        <f>IF(OR($A282="F&amp;F",$G282=""),"",IF(Y$8&gt;$G282,IF(OR(status1B5!Z282=1,status1B5!Z282=2,'BOULEVARD 5'!AB280&gt;0),"Pagado","impago"),""))</f>
        <v>Pagado</v>
      </c>
      <c r="Z282" s="666" t="str">
        <f>IF(OR($A282="F&amp;F",$G282=""),"",IF(Z$8&gt;$G282,IF(OR(status1B5!AA282=1,status1B5!AA282=2,'BOULEVARD 5'!AC280&gt;0),"Pagado","impago"),""))</f>
        <v>Pagado</v>
      </c>
      <c r="AA282" s="666" t="str">
        <f>IF(OR($A282="F&amp;F",$G282=""),"",IF(AA$8&gt;$G282,IF(OR(status1B5!AB282=1,status1B5!AB282=2,'BOULEVARD 5'!AD280&gt;0),"Pagado","impago"),""))</f>
        <v>Pagado</v>
      </c>
      <c r="AB282" s="666" t="str">
        <f>IF(OR($A282="F&amp;F",$G282=""),"",IF(AB$8&gt;$G282,IF(OR(status1B5!AC282=1,status1B5!AC282=2,'BOULEVARD 5'!AE280&gt;0),"Pagado","impago"),""))</f>
        <v>Pagado</v>
      </c>
      <c r="AC282" s="666" t="str">
        <f>IF(OR($A282="F&amp;F",$G282=""),"",IF(AC$8&gt;$G282,IF(OR(status1B5!AD282=1,status1B5!AD282=2,'BOULEVARD 5'!AF280&gt;0),"Pagado","impago"),""))</f>
        <v>Pagado</v>
      </c>
      <c r="AD282" s="666" t="str">
        <f>IF(OR($A282="F&amp;F",$G282=""),"",IF(AD$8&gt;$G282,IF(OR(status1B5!AE282=1,status1B5!AE282=2,'BOULEVARD 5'!AG280&gt;0),"Pagado","impago"),""))</f>
        <v>Pagado</v>
      </c>
      <c r="AE282" s="666" t="str">
        <f>IF(OR($A282="F&amp;F",$G282=""),"",IF(AE$8&gt;$G282,IF(OR(status1B5!AF282=1,status1B5!AF282=2,'BOULEVARD 5'!AH280&gt;0),"Pagado","impago"),""))</f>
        <v>Pagado</v>
      </c>
      <c r="AF282" s="666" t="str">
        <f>IF(OR($A282="F&amp;F",$G282=""),"",IF(AF$8&gt;$G282,IF(OR(status1B5!AG282=1,status1B5!AG282=2,'BOULEVARD 5'!AI280&gt;0),"Pagado","impago"),""))</f>
        <v>Pagado</v>
      </c>
      <c r="AG282" s="666" t="str">
        <f>IF(OR($A282="F&amp;F",$G282=""),"",IF(AG$8&gt;$G282,IF(OR(status1B5!AH282=1,status1B5!AH282=2,'BOULEVARD 5'!AJ280&gt;0),"Pagado","impago"),""))</f>
        <v>Pagado</v>
      </c>
      <c r="AH282" s="666" t="str">
        <f>IF(OR($A282="F&amp;F",$G282=""),"",IF(AH$8&gt;$G282,IF(OR(status1B5!AI282=1,status1B5!AI282=2,'BOULEVARD 5'!AK280&gt;0),"Pagado","impago"),""))</f>
        <v>Pagado</v>
      </c>
      <c r="AI282" s="666" t="str">
        <f>IF(OR($A282="F&amp;F",$G282=""),"",IF(AI$8&gt;$G282,IF(OR(status1B5!AJ282=1,status1B5!AJ282=2,'BOULEVARD 5'!AL280&gt;0),"Pagado","impago"),""))</f>
        <v>Pagado</v>
      </c>
      <c r="AJ282" s="666" t="str">
        <f>IF(OR($A282="F&amp;F",$G282=""),"",IF(AJ$8&gt;$G282,IF(OR(status1B5!AK282=1,status1B5!AK282=2,'BOULEVARD 5'!AM280&gt;0),"Pagado","impago"),""))</f>
        <v>Pagado</v>
      </c>
      <c r="AK282" s="666" t="str">
        <f>IF(OR($A282="F&amp;F",$G282=""),"",IF(AK$8&gt;$G282,IF(OR(status1B5!AL282=1,status1B5!AL282=2,'BOULEVARD 5'!AN280&gt;0),"Pagado","impago"),""))</f>
        <v>Pagado</v>
      </c>
      <c r="AL282" s="666" t="str">
        <f>IF(OR($A282="F&amp;F",$G282=""),"",IF(AL$8&gt;$G282,IF(OR(status1B5!AM282=1,status1B5!AM282=2,'BOULEVARD 5'!AO280&gt;0),"Pagado","impago"),""))</f>
        <v>Pagado</v>
      </c>
      <c r="AM282" s="666" t="str">
        <f>IF(OR($A282="F&amp;F",$G282=""),"",IF(AM$8&gt;$G282,IF(OR(status1B5!AN282=1,status1B5!AN282=2,'BOULEVARD 5'!AP280&gt;0),"Pagado","impago"),""))</f>
        <v>Pagado</v>
      </c>
      <c r="AN282" s="666" t="str">
        <f>IF(OR($A282="F&amp;F",$G282=""),"",IF(AN$8&gt;$G282,IF(OR(status1B5!AO282=1,status1B5!AO282=2,'BOULEVARD 5'!AQ280&gt;0),"Pagado","impago"),""))</f>
        <v>Pagado</v>
      </c>
      <c r="AO282" s="666" t="str">
        <f>IF(OR($A282="F&amp;F",$G282=""),"",IF(AO$8&gt;$G282,IF(OR(status1B5!AP282=1,status1B5!AP282=2,'BOULEVARD 5'!AS280&gt;0),"Pagado","impago"),""))</f>
        <v>Pagado</v>
      </c>
      <c r="AP282" s="429" t="str">
        <f t="shared" si="9"/>
        <v>Vendido</v>
      </c>
    </row>
    <row r="283" spans="1:42" s="429" customFormat="1" ht="13.9" customHeight="1" x14ac:dyDescent="0.25">
      <c r="A283" s="472"/>
      <c r="B283" s="436">
        <f>'BOULEVARD 5'!B281</f>
        <v>1610</v>
      </c>
      <c r="C283" s="436" t="s">
        <v>355</v>
      </c>
      <c r="D283" s="436"/>
      <c r="E283" s="436" t="str">
        <f>IF('BOULEVARD 5'!E281="","",'BOULEVARD 5'!E281)</f>
        <v>Antonio Rada</v>
      </c>
      <c r="F283" s="429" t="str">
        <f>IF('BOULEVARD 5'!F281="","",'BOULEVARD 5'!F281)</f>
        <v>Grupo Sak Y Sak, S.A.</v>
      </c>
      <c r="G283" s="473">
        <f>IF('BOULEVARD 5'!G281="","",'BOULEVARD 5'!G281)</f>
        <v>45077</v>
      </c>
      <c r="H283" s="666" t="str">
        <f>IF(OR($A283="F&amp;F",$G283=""),"",IF(H$8&gt;$G283,IF(OR(status1B5!I283=1,status1B5!I283=2,'BOULEVARD 5'!K281&gt;0),"Pagado","impago"),""))</f>
        <v/>
      </c>
      <c r="I283" s="666" t="str">
        <f>IF(OR($A283="F&amp;F",$G283=""),"",IF(I$8&gt;$G283,IF(OR(status1B5!J283=1,status1B5!J283=2,'BOULEVARD 5'!L281&gt;0),"Pagado","impago"),""))</f>
        <v/>
      </c>
      <c r="J283" s="666" t="str">
        <f>IF(OR($A283="F&amp;F",$G283=""),"",IF(J$8&gt;$G283,IF(OR(status1B5!K283=1,status1B5!K283=2,'BOULEVARD 5'!M281&gt;0),"Pagado","impago"),""))</f>
        <v/>
      </c>
      <c r="K283" s="666" t="str">
        <f>IF(OR($A283="F&amp;F",$G283=""),"",IF(K$8&gt;$G283,IF(OR(status1B5!L283=1,status1B5!L283=2,'BOULEVARD 5'!N281&gt;0),"Pagado","impago"),""))</f>
        <v>Pagado</v>
      </c>
      <c r="L283" s="666" t="str">
        <f>IF(OR($A283="F&amp;F",$G283=""),"",IF(L$8&gt;$G283,IF(OR(status1B5!M283=1,status1B5!M283=2,'BOULEVARD 5'!O281&gt;0),"Pagado","impago"),""))</f>
        <v>Pagado</v>
      </c>
      <c r="M283" s="666" t="str">
        <f>IF(OR($A283="F&amp;F",$G283=""),"",IF(M$8&gt;$G283,IF(OR(status1B5!N283=1,status1B5!N283=2,'BOULEVARD 5'!P281&gt;0),"Pagado","impago"),""))</f>
        <v>Pagado</v>
      </c>
      <c r="N283" s="666" t="str">
        <f>IF(OR($A283="F&amp;F",$G283=""),"",IF(N$8&gt;$G283,IF(OR(status1B5!O283=1,status1B5!O283=2,'BOULEVARD 5'!Q281&gt;0),"Pagado","impago"),""))</f>
        <v>Pagado</v>
      </c>
      <c r="O283" s="666" t="str">
        <f>IF(OR($A283="F&amp;F",$G283=""),"",IF(O$8&gt;$G283,IF(OR(status1B5!P283=1,status1B5!P283=2,'BOULEVARD 5'!R281&gt;0),"Pagado","impago"),""))</f>
        <v>Pagado</v>
      </c>
      <c r="P283" s="666" t="str">
        <f>IF(OR($A283="F&amp;F",$G283=""),"",IF(P$8&gt;$G283,IF(OR(status1B5!Q283=1,status1B5!Q283=2,'BOULEVARD 5'!S281&gt;0),"Pagado","impago"),""))</f>
        <v>Pagado</v>
      </c>
      <c r="Q283" s="666" t="str">
        <f>IF(OR($A283="F&amp;F",$G283=""),"",IF(Q$8&gt;$G283,IF(OR(status1B5!R283=1,status1B5!R283=2,'BOULEVARD 5'!T281&gt;0),"Pagado","impago"),""))</f>
        <v>Pagado</v>
      </c>
      <c r="R283" s="666" t="str">
        <f>IF(OR($A283="F&amp;F",$G283=""),"",IF(R$8&gt;$G283,IF(OR(status1B5!S283=1,status1B5!S283=2,'BOULEVARD 5'!U281&gt;0),"Pagado","impago"),""))</f>
        <v>Pagado</v>
      </c>
      <c r="S283" s="666" t="str">
        <f>IF(OR($A283="F&amp;F",$G283=""),"",IF(S$8&gt;$G283,IF(OR(status1B5!T283=1,status1B5!T283=2,'BOULEVARD 5'!V281&gt;0),"Pagado","impago"),""))</f>
        <v>Pagado</v>
      </c>
      <c r="T283" s="666" t="str">
        <f>IF(OR($A283="F&amp;F",$G283=""),"",IF(T$8&gt;$G283,IF(OR(status1B5!U283=1,status1B5!U283=2,'BOULEVARD 5'!W281&gt;0),"Pagado","impago"),""))</f>
        <v>Pagado</v>
      </c>
      <c r="U283" s="666" t="str">
        <f>IF(OR($A283="F&amp;F",$G283=""),"",IF(U$8&gt;$G283,IF(OR(status1B5!V283=1,status1B5!V283=2,'BOULEVARD 5'!X281&gt;0),"Pagado","impago"),""))</f>
        <v>Pagado</v>
      </c>
      <c r="V283" s="666" t="str">
        <f>IF(OR($A283="F&amp;F",$G283=""),"",IF(V$8&gt;$G283,IF(OR(status1B5!W283=1,status1B5!W283=2,'BOULEVARD 5'!Y281&gt;0),"Pagado","impago"),""))</f>
        <v>Pagado</v>
      </c>
      <c r="W283" s="666" t="str">
        <f>IF(OR($A283="F&amp;F",$G283=""),"",IF(W$8&gt;$G283,IF(OR(status1B5!X283=1,status1B5!X283=2,'BOULEVARD 5'!Z281&gt;0),"Pagado","impago"),""))</f>
        <v>Pagado</v>
      </c>
      <c r="X283" s="666" t="str">
        <f>IF(OR($A283="F&amp;F",$G283=""),"",IF(X$8&gt;$G283,IF(OR(status1B5!Y283=1,status1B5!Y283=2,'BOULEVARD 5'!AA281&gt;0),"Pagado","impago"),""))</f>
        <v>Pagado</v>
      </c>
      <c r="Y283" s="666" t="str">
        <f>IF(OR($A283="F&amp;F",$G283=""),"",IF(Y$8&gt;$G283,IF(OR(status1B5!Z283=1,status1B5!Z283=2,'BOULEVARD 5'!AB281&gt;0),"Pagado","impago"),""))</f>
        <v>Pagado</v>
      </c>
      <c r="Z283" s="666" t="str">
        <f>IF(OR($A283="F&amp;F",$G283=""),"",IF(Z$8&gt;$G283,IF(OR(status1B5!AA283=1,status1B5!AA283=2,'BOULEVARD 5'!AC281&gt;0),"Pagado","impago"),""))</f>
        <v>Pagado</v>
      </c>
      <c r="AA283" s="666" t="str">
        <f>IF(OR($A283="F&amp;F",$G283=""),"",IF(AA$8&gt;$G283,IF(OR(status1B5!AB283=1,status1B5!AB283=2,'BOULEVARD 5'!AD281&gt;0),"Pagado","impago"),""))</f>
        <v>Pagado</v>
      </c>
      <c r="AB283" s="666" t="str">
        <f>IF(OR($A283="F&amp;F",$G283=""),"",IF(AB$8&gt;$G283,IF(OR(status1B5!AC283=1,status1B5!AC283=2,'BOULEVARD 5'!AE281&gt;0),"Pagado","impago"),""))</f>
        <v>Pagado</v>
      </c>
      <c r="AC283" s="666" t="str">
        <f>IF(OR($A283="F&amp;F",$G283=""),"",IF(AC$8&gt;$G283,IF(OR(status1B5!AD283=1,status1B5!AD283=2,'BOULEVARD 5'!AF281&gt;0),"Pagado","impago"),""))</f>
        <v>Pagado</v>
      </c>
      <c r="AD283" s="666" t="str">
        <f>IF(OR($A283="F&amp;F",$G283=""),"",IF(AD$8&gt;$G283,IF(OR(status1B5!AE283=1,status1B5!AE283=2,'BOULEVARD 5'!AG281&gt;0),"Pagado","impago"),""))</f>
        <v>Pagado</v>
      </c>
      <c r="AE283" s="666" t="str">
        <f>IF(OR($A283="F&amp;F",$G283=""),"",IF(AE$8&gt;$G283,IF(OR(status1B5!AF283=1,status1B5!AF283=2,'BOULEVARD 5'!AH281&gt;0),"Pagado","impago"),""))</f>
        <v>Pagado</v>
      </c>
      <c r="AF283" s="666" t="str">
        <f>IF(OR($A283="F&amp;F",$G283=""),"",IF(AF$8&gt;$G283,IF(OR(status1B5!AG283=1,status1B5!AG283=2,'BOULEVARD 5'!AI281&gt;0),"Pagado","impago"),""))</f>
        <v>Pagado</v>
      </c>
      <c r="AG283" s="666" t="str">
        <f>IF(OR($A283="F&amp;F",$G283=""),"",IF(AG$8&gt;$G283,IF(OR(status1B5!AH283=1,status1B5!AH283=2,'BOULEVARD 5'!AJ281&gt;0),"Pagado","impago"),""))</f>
        <v>Pagado</v>
      </c>
      <c r="AH283" s="666" t="str">
        <f>IF(OR($A283="F&amp;F",$G283=""),"",IF(AH$8&gt;$G283,IF(OR(status1B5!AI283=1,status1B5!AI283=2,'BOULEVARD 5'!AK281&gt;0),"Pagado","impago"),""))</f>
        <v>Pagado</v>
      </c>
      <c r="AI283" s="666" t="str">
        <f>IF(OR($A283="F&amp;F",$G283=""),"",IF(AI$8&gt;$G283,IF(OR(status1B5!AJ283=1,status1B5!AJ283=2,'BOULEVARD 5'!AL281&gt;0),"Pagado","impago"),""))</f>
        <v>Pagado</v>
      </c>
      <c r="AJ283" s="666" t="str">
        <f>IF(OR($A283="F&amp;F",$G283=""),"",IF(AJ$8&gt;$G283,IF(OR(status1B5!AK283=1,status1B5!AK283=2,'BOULEVARD 5'!AM281&gt;0),"Pagado","impago"),""))</f>
        <v>Pagado</v>
      </c>
      <c r="AK283" s="666" t="str">
        <f>IF(OR($A283="F&amp;F",$G283=""),"",IF(AK$8&gt;$G283,IF(OR(status1B5!AL283=1,status1B5!AL283=2,'BOULEVARD 5'!AN281&gt;0),"Pagado","impago"),""))</f>
        <v>Pagado</v>
      </c>
      <c r="AL283" s="666" t="str">
        <f>IF(OR($A283="F&amp;F",$G283=""),"",IF(AL$8&gt;$G283,IF(OR(status1B5!AM283=1,status1B5!AM283=2,'BOULEVARD 5'!AO281&gt;0),"Pagado","impago"),""))</f>
        <v>Pagado</v>
      </c>
      <c r="AM283" s="666" t="str">
        <f>IF(OR($A283="F&amp;F",$G283=""),"",IF(AM$8&gt;$G283,IF(OR(status1B5!AN283=1,status1B5!AN283=2,'BOULEVARD 5'!AP281&gt;0),"Pagado","impago"),""))</f>
        <v>Pagado</v>
      </c>
      <c r="AN283" s="666" t="str">
        <f>IF(OR($A283="F&amp;F",$G283=""),"",IF(AN$8&gt;$G283,IF(OR(status1B5!AO283=1,status1B5!AO283=2,'BOULEVARD 5'!AQ281&gt;0),"Pagado","impago"),""))</f>
        <v>Pagado</v>
      </c>
      <c r="AO283" s="666" t="str">
        <f>IF(OR($A283="F&amp;F",$G283=""),"",IF(AO$8&gt;$G283,IF(OR(status1B5!AP283=1,status1B5!AP283=2,'BOULEVARD 5'!AS281&gt;0),"Pagado","impago"),""))</f>
        <v>Pagado</v>
      </c>
      <c r="AP283" s="429" t="str">
        <f t="shared" si="9"/>
        <v>Vendido</v>
      </c>
    </row>
    <row r="284" spans="1:42" s="429" customFormat="1" ht="13.9" customHeight="1" x14ac:dyDescent="0.25">
      <c r="A284" s="472"/>
      <c r="B284" s="436">
        <f>'BOULEVARD 5'!B282</f>
        <v>1611</v>
      </c>
      <c r="C284" s="436" t="s">
        <v>355</v>
      </c>
      <c r="D284" s="436"/>
      <c r="E284" s="436" t="str">
        <f>IF('BOULEVARD 5'!E282="","",'BOULEVARD 5'!E282)</f>
        <v>Brenda Búcaro</v>
      </c>
      <c r="F284" s="429" t="str">
        <f>IF('BOULEVARD 5'!F282="","",'BOULEVARD 5'!F282)</f>
        <v>Luis Alexander Valencia Mendez</v>
      </c>
      <c r="G284" s="473">
        <f>IF('BOULEVARD 5'!G282="","",'BOULEVARD 5'!G282)</f>
        <v>45970</v>
      </c>
      <c r="H284" s="666" t="str">
        <f>IF(OR($A284="F&amp;F",$G284=""),"",IF(H$8&gt;$G284,IF(OR(status1B5!I284=1,status1B5!I284=2,'BOULEVARD 5'!K282&gt;0),"Pagado","impago"),""))</f>
        <v/>
      </c>
      <c r="I284" s="666" t="str">
        <f>IF(OR($A284="F&amp;F",$G284=""),"",IF(I$8&gt;$G284,IF(OR(status1B5!J284=1,status1B5!J284=2,'BOULEVARD 5'!L282&gt;0),"Pagado","impago"),""))</f>
        <v/>
      </c>
      <c r="J284" s="666" t="str">
        <f>IF(OR($A284="F&amp;F",$G284=""),"",IF(J$8&gt;$G284,IF(OR(status1B5!K284=1,status1B5!K284=2,'BOULEVARD 5'!M282&gt;0),"Pagado","impago"),""))</f>
        <v/>
      </c>
      <c r="K284" s="666" t="str">
        <f>IF(OR($A284="F&amp;F",$G284=""),"",IF(K$8&gt;$G284,IF(OR(status1B5!L284=1,status1B5!L284=2,'BOULEVARD 5'!N282&gt;0),"Pagado","impago"),""))</f>
        <v/>
      </c>
      <c r="L284" s="666" t="str">
        <f>IF(OR($A284="F&amp;F",$G284=""),"",IF(L$8&gt;$G284,IF(OR(status1B5!M284=1,status1B5!M284=2,'BOULEVARD 5'!O282&gt;0),"Pagado","impago"),""))</f>
        <v/>
      </c>
      <c r="M284" s="666" t="str">
        <f>IF(OR($A284="F&amp;F",$G284=""),"",IF(M$8&gt;$G284,IF(OR(status1B5!N284=1,status1B5!N284=2,'BOULEVARD 5'!P282&gt;0),"Pagado","impago"),""))</f>
        <v/>
      </c>
      <c r="N284" s="666" t="str">
        <f>IF(OR($A284="F&amp;F",$G284=""),"",IF(N$8&gt;$G284,IF(OR(status1B5!O284=1,status1B5!O284=2,'BOULEVARD 5'!Q282&gt;0),"Pagado","impago"),""))</f>
        <v/>
      </c>
      <c r="O284" s="666" t="str">
        <f>IF(OR($A284="F&amp;F",$G284=""),"",IF(O$8&gt;$G284,IF(OR(status1B5!P284=1,status1B5!P284=2,'BOULEVARD 5'!R282&gt;0),"Pagado","impago"),""))</f>
        <v/>
      </c>
      <c r="P284" s="666" t="str">
        <f>IF(OR($A284="F&amp;F",$G284=""),"",IF(P$8&gt;$G284,IF(OR(status1B5!Q284=1,status1B5!Q284=2,'BOULEVARD 5'!S282&gt;0),"Pagado","impago"),""))</f>
        <v/>
      </c>
      <c r="Q284" s="666" t="str">
        <f>IF(OR($A284="F&amp;F",$G284=""),"",IF(Q$8&gt;$G284,IF(OR(status1B5!R284=1,status1B5!R284=2,'BOULEVARD 5'!T282&gt;0),"Pagado","impago"),""))</f>
        <v/>
      </c>
      <c r="R284" s="666" t="str">
        <f>IF(OR($A284="F&amp;F",$G284=""),"",IF(R$8&gt;$G284,IF(OR(status1B5!S284=1,status1B5!S284=2,'BOULEVARD 5'!U282&gt;0),"Pagado","impago"),""))</f>
        <v/>
      </c>
      <c r="S284" s="666" t="str">
        <f>IF(OR($A284="F&amp;F",$G284=""),"",IF(S$8&gt;$G284,IF(OR(status1B5!T284=1,status1B5!T284=2,'BOULEVARD 5'!V282&gt;0),"Pagado","impago"),""))</f>
        <v/>
      </c>
      <c r="T284" s="666" t="str">
        <f>IF(OR($A284="F&amp;F",$G284=""),"",IF(T$8&gt;$G284,IF(OR(status1B5!U284=1,status1B5!U284=2,'BOULEVARD 5'!W282&gt;0),"Pagado","impago"),""))</f>
        <v/>
      </c>
      <c r="U284" s="666" t="str">
        <f>IF(OR($A284="F&amp;F",$G284=""),"",IF(U$8&gt;$G284,IF(OR(status1B5!V284=1,status1B5!V284=2,'BOULEVARD 5'!X282&gt;0),"Pagado","impago"),""))</f>
        <v/>
      </c>
      <c r="V284" s="666" t="str">
        <f>IF(OR($A284="F&amp;F",$G284=""),"",IF(V$8&gt;$G284,IF(OR(status1B5!W284=1,status1B5!W284=2,'BOULEVARD 5'!Y282&gt;0),"Pagado","impago"),""))</f>
        <v/>
      </c>
      <c r="W284" s="666" t="str">
        <f>IF(OR($A284="F&amp;F",$G284=""),"",IF(W$8&gt;$G284,IF(OR(status1B5!X284=1,status1B5!X284=2,'BOULEVARD 5'!Z282&gt;0),"Pagado","impago"),""))</f>
        <v/>
      </c>
      <c r="X284" s="666" t="str">
        <f>IF(OR($A284="F&amp;F",$G284=""),"",IF(X$8&gt;$G284,IF(OR(status1B5!Y284=1,status1B5!Y284=2,'BOULEVARD 5'!AA282&gt;0),"Pagado","impago"),""))</f>
        <v/>
      </c>
      <c r="Y284" s="666" t="str">
        <f>IF(OR($A284="F&amp;F",$G284=""),"",IF(Y$8&gt;$G284,IF(OR(status1B5!Z284=1,status1B5!Z284=2,'BOULEVARD 5'!AB282&gt;0),"Pagado","impago"),""))</f>
        <v/>
      </c>
      <c r="Z284" s="666" t="str">
        <f>IF(OR($A284="F&amp;F",$G284=""),"",IF(Z$8&gt;$G284,IF(OR(status1B5!AA284=1,status1B5!AA284=2,'BOULEVARD 5'!AC282&gt;0),"Pagado","impago"),""))</f>
        <v/>
      </c>
      <c r="AA284" s="666" t="str">
        <f>IF(OR($A284="F&amp;F",$G284=""),"",IF(AA$8&gt;$G284,IF(OR(status1B5!AB284=1,status1B5!AB284=2,'BOULEVARD 5'!AD282&gt;0),"Pagado","impago"),""))</f>
        <v/>
      </c>
      <c r="AB284" s="666" t="str">
        <f>IF(OR($A284="F&amp;F",$G284=""),"",IF(AB$8&gt;$G284,IF(OR(status1B5!AC284=1,status1B5!AC284=2,'BOULEVARD 5'!AE282&gt;0),"Pagado","impago"),""))</f>
        <v/>
      </c>
      <c r="AC284" s="666" t="str">
        <f>IF(OR($A284="F&amp;F",$G284=""),"",IF(AC$8&gt;$G284,IF(OR(status1B5!AD284=1,status1B5!AD284=2,'BOULEVARD 5'!AF282&gt;0),"Pagado","impago"),""))</f>
        <v/>
      </c>
      <c r="AD284" s="666" t="str">
        <f>IF(OR($A284="F&amp;F",$G284=""),"",IF(AD$8&gt;$G284,IF(OR(status1B5!AE284=1,status1B5!AE284=2,'BOULEVARD 5'!AG282&gt;0),"Pagado","impago"),""))</f>
        <v/>
      </c>
      <c r="AE284" s="666" t="str">
        <f>IF(OR($A284="F&amp;F",$G284=""),"",IF(AE$8&gt;$G284,IF(OR(status1B5!AF284=1,status1B5!AF284=2,'BOULEVARD 5'!AH282&gt;0),"Pagado","impago"),""))</f>
        <v/>
      </c>
      <c r="AF284" s="666" t="str">
        <f>IF(OR($A284="F&amp;F",$G284=""),"",IF(AF$8&gt;$G284,IF(OR(status1B5!AG284=1,status1B5!AG284=2,'BOULEVARD 5'!AI282&gt;0),"Pagado","impago"),""))</f>
        <v/>
      </c>
      <c r="AG284" s="666" t="str">
        <f>IF(OR($A284="F&amp;F",$G284=""),"",IF(AG$8&gt;$G284,IF(OR(status1B5!AH284=1,status1B5!AH284=2,'BOULEVARD 5'!AJ282&gt;0),"Pagado","impago"),""))</f>
        <v/>
      </c>
      <c r="AH284" s="666" t="str">
        <f>IF(OR($A284="F&amp;F",$G284=""),"",IF(AH$8&gt;$G284,IF(OR(status1B5!AI284=1,status1B5!AI284=2,'BOULEVARD 5'!AK282&gt;0),"Pagado","impago"),""))</f>
        <v/>
      </c>
      <c r="AI284" s="666" t="str">
        <f>IF(OR($A284="F&amp;F",$G284=""),"",IF(AI$8&gt;$G284,IF(OR(status1B5!AJ284=1,status1B5!AJ284=2,'BOULEVARD 5'!AL282&gt;0),"Pagado","impago"),""))</f>
        <v/>
      </c>
      <c r="AJ284" s="666" t="str">
        <f>IF(OR($A284="F&amp;F",$G284=""),"",IF(AJ$8&gt;$G284,IF(OR(status1B5!AK284=1,status1B5!AK284=2,'BOULEVARD 5'!AM282&gt;0),"Pagado","impago"),""))</f>
        <v/>
      </c>
      <c r="AK284" s="666" t="str">
        <f>IF(OR($A284="F&amp;F",$G284=""),"",IF(AK$8&gt;$G284,IF(OR(status1B5!AL284=1,status1B5!AL284=2,'BOULEVARD 5'!AN282&gt;0),"Pagado","impago"),""))</f>
        <v/>
      </c>
      <c r="AL284" s="666" t="str">
        <f>IF(OR($A284="F&amp;F",$G284=""),"",IF(AL$8&gt;$G284,IF(OR(status1B5!AM284=1,status1B5!AM284=2,'BOULEVARD 5'!AO282&gt;0),"Pagado","impago"),""))</f>
        <v/>
      </c>
      <c r="AM284" s="666" t="str">
        <f>IF(OR($A284="F&amp;F",$G284=""),"",IF(AM$8&gt;$G284,IF(OR(status1B5!AN284=1,status1B5!AN284=2,'BOULEVARD 5'!AP282&gt;0),"Pagado","impago"),""))</f>
        <v/>
      </c>
      <c r="AN284" s="666" t="str">
        <f>IF(OR($A284="F&amp;F",$G284=""),"",IF(AN$8&gt;$G284,IF(OR(status1B5!AO284=1,status1B5!AO284=2,'BOULEVARD 5'!AQ282&gt;0),"Pagado","impago"),""))</f>
        <v>Pagado</v>
      </c>
      <c r="AO284" s="666" t="str">
        <f>IF(OR($A284="F&amp;F",$G284=""),"",IF(AO$8&gt;$G284,IF(OR(status1B5!AP284=1,status1B5!AP284=2,'BOULEVARD 5'!AS282&gt;0),"Pagado","impago"),""))</f>
        <v>Pagado</v>
      </c>
      <c r="AP284" s="429" t="str">
        <f t="shared" si="9"/>
        <v>Vendido</v>
      </c>
    </row>
    <row r="285" spans="1:42" s="429" customFormat="1" ht="13.9" customHeight="1" x14ac:dyDescent="0.25">
      <c r="B285" s="436">
        <f>'BOULEVARD 5'!B283</f>
        <v>1612</v>
      </c>
      <c r="C285" s="436" t="s">
        <v>355</v>
      </c>
      <c r="D285" s="436"/>
      <c r="E285" s="436" t="str">
        <f>IF('BOULEVARD 5'!E283="","",'BOULEVARD 5'!E283)</f>
        <v/>
      </c>
      <c r="F285" s="429" t="str">
        <f>IF('BOULEVARD 5'!F283="","",'BOULEVARD 5'!F283)</f>
        <v/>
      </c>
      <c r="G285" s="473" t="str">
        <f>IF('BOULEVARD 5'!G283="","",'BOULEVARD 5'!G283)</f>
        <v/>
      </c>
      <c r="H285" s="666" t="str">
        <f>IF(OR($A285="F&amp;F",$G285=""),"",IF(H$8&gt;$G285,IF(OR(status1B5!I285=1,status1B5!I285=2,'BOULEVARD 5'!K283&gt;0),"Pagado","impago"),""))</f>
        <v/>
      </c>
      <c r="I285" s="666" t="str">
        <f>IF(OR($A285="F&amp;F",$G285=""),"",IF(I$8&gt;$G285,IF(OR(status1B5!J285=1,status1B5!J285=2,'BOULEVARD 5'!L283&gt;0),"Pagado","impago"),""))</f>
        <v/>
      </c>
      <c r="J285" s="666" t="str">
        <f>IF(OR($A285="F&amp;F",$G285=""),"",IF(J$8&gt;$G285,IF(OR(status1B5!K285=1,status1B5!K285=2,'BOULEVARD 5'!M283&gt;0),"Pagado","impago"),""))</f>
        <v/>
      </c>
      <c r="K285" s="666" t="str">
        <f>IF(OR($A285="F&amp;F",$G285=""),"",IF(K$8&gt;$G285,IF(OR(status1B5!L285=1,status1B5!L285=2,'BOULEVARD 5'!N283&gt;0),"Pagado","impago"),""))</f>
        <v/>
      </c>
      <c r="L285" s="666" t="str">
        <f>IF(OR($A285="F&amp;F",$G285=""),"",IF(L$8&gt;$G285,IF(OR(status1B5!M285=1,status1B5!M285=2,'BOULEVARD 5'!O283&gt;0),"Pagado","impago"),""))</f>
        <v/>
      </c>
      <c r="M285" s="666" t="str">
        <f>IF(OR($A285="F&amp;F",$G285=""),"",IF(M$8&gt;$G285,IF(OR(status1B5!N285=1,status1B5!N285=2,'BOULEVARD 5'!P283&gt;0),"Pagado","impago"),""))</f>
        <v/>
      </c>
      <c r="N285" s="666" t="str">
        <f>IF(OR($A285="F&amp;F",$G285=""),"",IF(N$8&gt;$G285,IF(OR(status1B5!O285=1,status1B5!O285=2,'BOULEVARD 5'!Q283&gt;0),"Pagado","impago"),""))</f>
        <v/>
      </c>
      <c r="O285" s="666" t="str">
        <f>IF(OR($A285="F&amp;F",$G285=""),"",IF(O$8&gt;$G285,IF(OR(status1B5!P285=1,status1B5!P285=2,'BOULEVARD 5'!R283&gt;0),"Pagado","impago"),""))</f>
        <v/>
      </c>
      <c r="P285" s="666" t="str">
        <f>IF(OR($A285="F&amp;F",$G285=""),"",IF(P$8&gt;$G285,IF(OR(status1B5!Q285=1,status1B5!Q285=2,'BOULEVARD 5'!S283&gt;0),"Pagado","impago"),""))</f>
        <v/>
      </c>
      <c r="Q285" s="666" t="str">
        <f>IF(OR($A285="F&amp;F",$G285=""),"",IF(Q$8&gt;$G285,IF(OR(status1B5!R285=1,status1B5!R285=2,'BOULEVARD 5'!T283&gt;0),"Pagado","impago"),""))</f>
        <v/>
      </c>
      <c r="R285" s="666" t="str">
        <f>IF(OR($A285="F&amp;F",$G285=""),"",IF(R$8&gt;$G285,IF(OR(status1B5!S285=1,status1B5!S285=2,'BOULEVARD 5'!U283&gt;0),"Pagado","impago"),""))</f>
        <v/>
      </c>
      <c r="S285" s="666" t="str">
        <f>IF(OR($A285="F&amp;F",$G285=""),"",IF(S$8&gt;$G285,IF(OR(status1B5!T285=1,status1B5!T285=2,'BOULEVARD 5'!V283&gt;0),"Pagado","impago"),""))</f>
        <v/>
      </c>
      <c r="T285" s="666" t="str">
        <f>IF(OR($A285="F&amp;F",$G285=""),"",IF(T$8&gt;$G285,IF(OR(status1B5!U285=1,status1B5!U285=2,'BOULEVARD 5'!W283&gt;0),"Pagado","impago"),""))</f>
        <v/>
      </c>
      <c r="U285" s="666" t="str">
        <f>IF(OR($A285="F&amp;F",$G285=""),"",IF(U$8&gt;$G285,IF(OR(status1B5!V285=1,status1B5!V285=2,'BOULEVARD 5'!X283&gt;0),"Pagado","impago"),""))</f>
        <v/>
      </c>
      <c r="V285" s="666" t="str">
        <f>IF(OR($A285="F&amp;F",$G285=""),"",IF(V$8&gt;$G285,IF(OR(status1B5!W285=1,status1B5!W285=2,'BOULEVARD 5'!Y283&gt;0),"Pagado","impago"),""))</f>
        <v/>
      </c>
      <c r="W285" s="666" t="str">
        <f>IF(OR($A285="F&amp;F",$G285=""),"",IF(W$8&gt;$G285,IF(OR(status1B5!X285=1,status1B5!X285=2,'BOULEVARD 5'!Z283&gt;0),"Pagado","impago"),""))</f>
        <v/>
      </c>
      <c r="X285" s="666" t="str">
        <f>IF(OR($A285="F&amp;F",$G285=""),"",IF(X$8&gt;$G285,IF(OR(status1B5!Y285=1,status1B5!Y285=2,'BOULEVARD 5'!AA283&gt;0),"Pagado","impago"),""))</f>
        <v/>
      </c>
      <c r="Y285" s="666" t="str">
        <f>IF(OR($A285="F&amp;F",$G285=""),"",IF(Y$8&gt;$G285,IF(OR(status1B5!Z285=1,status1B5!Z285=2,'BOULEVARD 5'!AB283&gt;0),"Pagado","impago"),""))</f>
        <v/>
      </c>
      <c r="Z285" s="666" t="str">
        <f>IF(OR($A285="F&amp;F",$G285=""),"",IF(Z$8&gt;$G285,IF(OR(status1B5!AA285=1,status1B5!AA285=2,'BOULEVARD 5'!AC283&gt;0),"Pagado","impago"),""))</f>
        <v/>
      </c>
      <c r="AA285" s="666" t="str">
        <f>IF(OR($A285="F&amp;F",$G285=""),"",IF(AA$8&gt;$G285,IF(OR(status1B5!AB285=1,status1B5!AB285=2,'BOULEVARD 5'!AD283&gt;0),"Pagado","impago"),""))</f>
        <v/>
      </c>
      <c r="AB285" s="666" t="str">
        <f>IF(OR($A285="F&amp;F",$G285=""),"",IF(AB$8&gt;$G285,IF(OR(status1B5!AC285=1,status1B5!AC285=2,'BOULEVARD 5'!AE283&gt;0),"Pagado","impago"),""))</f>
        <v/>
      </c>
      <c r="AC285" s="666" t="str">
        <f>IF(OR($A285="F&amp;F",$G285=""),"",IF(AC$8&gt;$G285,IF(OR(status1B5!AD285=1,status1B5!AD285=2,'BOULEVARD 5'!AF283&gt;0),"Pagado","impago"),""))</f>
        <v/>
      </c>
      <c r="AD285" s="666" t="str">
        <f>IF(OR($A285="F&amp;F",$G285=""),"",IF(AD$8&gt;$G285,IF(OR(status1B5!AE285=1,status1B5!AE285=2,'BOULEVARD 5'!AG283&gt;0),"Pagado","impago"),""))</f>
        <v/>
      </c>
      <c r="AE285" s="666" t="str">
        <f>IF(OR($A285="F&amp;F",$G285=""),"",IF(AE$8&gt;$G285,IF(OR(status1B5!AF285=1,status1B5!AF285=2,'BOULEVARD 5'!AH283&gt;0),"Pagado","impago"),""))</f>
        <v/>
      </c>
      <c r="AF285" s="666" t="str">
        <f>IF(OR($A285="F&amp;F",$G285=""),"",IF(AF$8&gt;$G285,IF(OR(status1B5!AG285=1,status1B5!AG285=2,'BOULEVARD 5'!AI283&gt;0),"Pagado","impago"),""))</f>
        <v/>
      </c>
      <c r="AG285" s="666" t="str">
        <f>IF(OR($A285="F&amp;F",$G285=""),"",IF(AG$8&gt;$G285,IF(OR(status1B5!AH285=1,status1B5!AH285=2,'BOULEVARD 5'!AJ283&gt;0),"Pagado","impago"),""))</f>
        <v/>
      </c>
      <c r="AH285" s="666" t="str">
        <f>IF(OR($A285="F&amp;F",$G285=""),"",IF(AH$8&gt;$G285,IF(OR(status1B5!AI285=1,status1B5!AI285=2,'BOULEVARD 5'!AK283&gt;0),"Pagado","impago"),""))</f>
        <v/>
      </c>
      <c r="AI285" s="666" t="str">
        <f>IF(OR($A285="F&amp;F",$G285=""),"",IF(AI$8&gt;$G285,IF(OR(status1B5!AJ285=1,status1B5!AJ285=2,'BOULEVARD 5'!AL283&gt;0),"Pagado","impago"),""))</f>
        <v/>
      </c>
      <c r="AJ285" s="666" t="str">
        <f>IF(OR($A285="F&amp;F",$G285=""),"",IF(AJ$8&gt;$G285,IF(OR(status1B5!AK285=1,status1B5!AK285=2,'BOULEVARD 5'!AM283&gt;0),"Pagado","impago"),""))</f>
        <v/>
      </c>
      <c r="AK285" s="666" t="str">
        <f>IF(OR($A285="F&amp;F",$G285=""),"",IF(AK$8&gt;$G285,IF(OR(status1B5!AL285=1,status1B5!AL285=2,'BOULEVARD 5'!AN283&gt;0),"Pagado","impago"),""))</f>
        <v/>
      </c>
      <c r="AL285" s="666" t="str">
        <f>IF(OR($A285="F&amp;F",$G285=""),"",IF(AL$8&gt;$G285,IF(OR(status1B5!AM285=1,status1B5!AM285=2,'BOULEVARD 5'!AO283&gt;0),"Pagado","impago"),""))</f>
        <v/>
      </c>
      <c r="AM285" s="666" t="str">
        <f>IF(OR($A285="F&amp;F",$G285=""),"",IF(AM$8&gt;$G285,IF(OR(status1B5!AN285=1,status1B5!AN285=2,'BOULEVARD 5'!AP283&gt;0),"Pagado","impago"),""))</f>
        <v/>
      </c>
      <c r="AN285" s="666" t="str">
        <f>IF(OR($A285="F&amp;F",$G285=""),"",IF(AN$8&gt;$G285,IF(OR(status1B5!AO285=1,status1B5!AO285=2,'BOULEVARD 5'!AQ283&gt;0),"Pagado","impago"),""))</f>
        <v/>
      </c>
      <c r="AO285" s="666" t="str">
        <f>IF(OR($A285="F&amp;F",$G285=""),"",IF(AO$8&gt;$G285,IF(OR(status1B5!AP285=1,status1B5!AP285=2,'BOULEVARD 5'!AS283&gt;0),"Pagado","impago"),""))</f>
        <v/>
      </c>
      <c r="AP285" s="429" t="str">
        <f t="shared" si="9"/>
        <v>No Vendido</v>
      </c>
    </row>
    <row r="286" spans="1:42" s="429" customFormat="1" ht="13.9" customHeight="1" x14ac:dyDescent="0.25">
      <c r="A286" s="472" t="s">
        <v>58</v>
      </c>
      <c r="B286" s="475">
        <f>'BOULEVARD 5'!B284</f>
        <v>1701</v>
      </c>
      <c r="C286" s="475" t="s">
        <v>355</v>
      </c>
      <c r="D286" s="475"/>
      <c r="E286" s="475" t="str">
        <f>IF('BOULEVARD 5'!E284="","",'BOULEVARD 5'!E284)</f>
        <v>Brenda Búcaro</v>
      </c>
      <c r="F286" s="476" t="str">
        <f>IF('BOULEVARD 5'!F284="","",'BOULEVARD 5'!F284)</f>
        <v>Ramiro José Muñoz Jordán - Emilia Larrazabal</v>
      </c>
      <c r="G286" s="473">
        <f>IF('BOULEVARD 5'!G284="","",'BOULEVARD 5'!G284)</f>
        <v>45014</v>
      </c>
      <c r="H286" s="666" t="str">
        <f>IF(OR($A286="F&amp;F",$G286=""),"",IF(H$8&gt;$G286,IF(OR(status1B5!I286=1,status1B5!I286=2,'BOULEVARD 5'!K284&gt;0),"Pagado","impago"),""))</f>
        <v/>
      </c>
      <c r="I286" s="666" t="str">
        <f>IF(OR($A286="F&amp;F",$G286=""),"",IF(I$8&gt;$G286,IF(OR(status1B5!J286=1,status1B5!J286=2,'BOULEVARD 5'!L284&gt;0),"Pagado","impago"),""))</f>
        <v/>
      </c>
      <c r="J286" s="666" t="str">
        <f>IF(OR($A286="F&amp;F",$G286=""),"",IF(J$8&gt;$G286,IF(OR(status1B5!K286=1,status1B5!K286=2,'BOULEVARD 5'!M284&gt;0),"Pagado","impago"),""))</f>
        <v/>
      </c>
      <c r="K286" s="666" t="str">
        <f>IF(OR($A286="F&amp;F",$G286=""),"",IF(K$8&gt;$G286,IF(OR(status1B5!L286=1,status1B5!L286=2,'BOULEVARD 5'!N284&gt;0),"Pagado","impago"),""))</f>
        <v/>
      </c>
      <c r="L286" s="666" t="str">
        <f>IF(OR($A286="F&amp;F",$G286=""),"",IF(L$8&gt;$G286,IF(OR(status1B5!M286=1,status1B5!M286=2,'BOULEVARD 5'!O284&gt;0),"Pagado","impago"),""))</f>
        <v/>
      </c>
      <c r="M286" s="666" t="str">
        <f>IF(OR($A286="F&amp;F",$G286=""),"",IF(M$8&gt;$G286,IF(OR(status1B5!N286=1,status1B5!N286=2,'BOULEVARD 5'!P284&gt;0),"Pagado","impago"),""))</f>
        <v/>
      </c>
      <c r="N286" s="666" t="str">
        <f>IF(OR($A286="F&amp;F",$G286=""),"",IF(N$8&gt;$G286,IF(OR(status1B5!O286=1,status1B5!O286=2,'BOULEVARD 5'!Q284&gt;0),"Pagado","impago"),""))</f>
        <v/>
      </c>
      <c r="O286" s="666" t="str">
        <f>IF(OR($A286="F&amp;F",$G286=""),"",IF(O$8&gt;$G286,IF(OR(status1B5!P286=1,status1B5!P286=2,'BOULEVARD 5'!R284&gt;0),"Pagado","impago"),""))</f>
        <v/>
      </c>
      <c r="P286" s="666" t="str">
        <f>IF(OR($A286="F&amp;F",$G286=""),"",IF(P$8&gt;$G286,IF(OR(status1B5!Q286=1,status1B5!Q286=2,'BOULEVARD 5'!S284&gt;0),"Pagado","impago"),""))</f>
        <v/>
      </c>
      <c r="Q286" s="666" t="str">
        <f>IF(OR($A286="F&amp;F",$G286=""),"",IF(Q$8&gt;$G286,IF(OR(status1B5!R286=1,status1B5!R286=2,'BOULEVARD 5'!T284&gt;0),"Pagado","impago"),""))</f>
        <v/>
      </c>
      <c r="R286" s="666" t="str">
        <f>IF(OR($A286="F&amp;F",$G286=""),"",IF(R$8&gt;$G286,IF(OR(status1B5!S286=1,status1B5!S286=2,'BOULEVARD 5'!U284&gt;0),"Pagado","impago"),""))</f>
        <v/>
      </c>
      <c r="S286" s="666" t="str">
        <f>IF(OR($A286="F&amp;F",$G286=""),"",IF(S$8&gt;$G286,IF(OR(status1B5!T286=1,status1B5!T286=2,'BOULEVARD 5'!V284&gt;0),"Pagado","impago"),""))</f>
        <v/>
      </c>
      <c r="T286" s="666" t="str">
        <f>IF(OR($A286="F&amp;F",$G286=""),"",IF(T$8&gt;$G286,IF(OR(status1B5!U286=1,status1B5!U286=2,'BOULEVARD 5'!W284&gt;0),"Pagado","impago"),""))</f>
        <v/>
      </c>
      <c r="U286" s="666" t="str">
        <f>IF(OR($A286="F&amp;F",$G286=""),"",IF(U$8&gt;$G286,IF(OR(status1B5!V286=1,status1B5!V286=2,'BOULEVARD 5'!X284&gt;0),"Pagado","impago"),""))</f>
        <v/>
      </c>
      <c r="V286" s="666" t="str">
        <f>IF(OR($A286="F&amp;F",$G286=""),"",IF(V$8&gt;$G286,IF(OR(status1B5!W286=1,status1B5!W286=2,'BOULEVARD 5'!Y284&gt;0),"Pagado","impago"),""))</f>
        <v/>
      </c>
      <c r="W286" s="666" t="str">
        <f>IF(OR($A286="F&amp;F",$G286=""),"",IF(W$8&gt;$G286,IF(OR(status1B5!X286=1,status1B5!X286=2,'BOULEVARD 5'!Z284&gt;0),"Pagado","impago"),""))</f>
        <v/>
      </c>
      <c r="X286" s="666" t="str">
        <f>IF(OR($A286="F&amp;F",$G286=""),"",IF(X$8&gt;$G286,IF(OR(status1B5!Y286=1,status1B5!Y286=2,'BOULEVARD 5'!AA284&gt;0),"Pagado","impago"),""))</f>
        <v/>
      </c>
      <c r="Y286" s="666" t="str">
        <f>IF(OR($A286="F&amp;F",$G286=""),"",IF(Y$8&gt;$G286,IF(OR(status1B5!Z286=1,status1B5!Z286=2,'BOULEVARD 5'!AB284&gt;0),"Pagado","impago"),""))</f>
        <v/>
      </c>
      <c r="Z286" s="666" t="str">
        <f>IF(OR($A286="F&amp;F",$G286=""),"",IF(Z$8&gt;$G286,IF(OR(status1B5!AA286=1,status1B5!AA286=2,'BOULEVARD 5'!AC284&gt;0),"Pagado","impago"),""))</f>
        <v/>
      </c>
      <c r="AA286" s="666" t="str">
        <f>IF(OR($A286="F&amp;F",$G286=""),"",IF(AA$8&gt;$G286,IF(OR(status1B5!AB286=1,status1B5!AB286=2,'BOULEVARD 5'!AD284&gt;0),"Pagado","impago"),""))</f>
        <v/>
      </c>
      <c r="AB286" s="666" t="str">
        <f>IF(OR($A286="F&amp;F",$G286=""),"",IF(AB$8&gt;$G286,IF(OR(status1B5!AC286=1,status1B5!AC286=2,'BOULEVARD 5'!AE284&gt;0),"Pagado","impago"),""))</f>
        <v/>
      </c>
      <c r="AC286" s="666" t="str">
        <f>IF(OR($A286="F&amp;F",$G286=""),"",IF(AC$8&gt;$G286,IF(OR(status1B5!AD286=1,status1B5!AD286=2,'BOULEVARD 5'!AF284&gt;0),"Pagado","impago"),""))</f>
        <v/>
      </c>
      <c r="AD286" s="666" t="str">
        <f>IF(OR($A286="F&amp;F",$G286=""),"",IF(AD$8&gt;$G286,IF(OR(status1B5!AE286=1,status1B5!AE286=2,'BOULEVARD 5'!AG284&gt;0),"Pagado","impago"),""))</f>
        <v/>
      </c>
      <c r="AE286" s="666" t="str">
        <f>IF(OR($A286="F&amp;F",$G286=""),"",IF(AE$8&gt;$G286,IF(OR(status1B5!AF286=1,status1B5!AF286=2,'BOULEVARD 5'!AH284&gt;0),"Pagado","impago"),""))</f>
        <v/>
      </c>
      <c r="AF286" s="666" t="str">
        <f>IF(OR($A286="F&amp;F",$G286=""),"",IF(AF$8&gt;$G286,IF(OR(status1B5!AG286=1,status1B5!AG286=2,'BOULEVARD 5'!AI284&gt;0),"Pagado","impago"),""))</f>
        <v/>
      </c>
      <c r="AG286" s="666" t="str">
        <f>IF(OR($A286="F&amp;F",$G286=""),"",IF(AG$8&gt;$G286,IF(OR(status1B5!AH286=1,status1B5!AH286=2,'BOULEVARD 5'!AJ284&gt;0),"Pagado","impago"),""))</f>
        <v/>
      </c>
      <c r="AH286" s="666" t="str">
        <f>IF(OR($A286="F&amp;F",$G286=""),"",IF(AH$8&gt;$G286,IF(OR(status1B5!AI286=1,status1B5!AI286=2,'BOULEVARD 5'!AK284&gt;0),"Pagado","impago"),""))</f>
        <v/>
      </c>
      <c r="AI286" s="666" t="str">
        <f>IF(OR($A286="F&amp;F",$G286=""),"",IF(AI$8&gt;$G286,IF(OR(status1B5!AJ286=1,status1B5!AJ286=2,'BOULEVARD 5'!AL284&gt;0),"Pagado","impago"),""))</f>
        <v/>
      </c>
      <c r="AJ286" s="666" t="str">
        <f>IF(OR($A286="F&amp;F",$G286=""),"",IF(AJ$8&gt;$G286,IF(OR(status1B5!AK286=1,status1B5!AK286=2,'BOULEVARD 5'!AM284&gt;0),"Pagado","impago"),""))</f>
        <v/>
      </c>
      <c r="AK286" s="666" t="str">
        <f>IF(OR($A286="F&amp;F",$G286=""),"",IF(AK$8&gt;$G286,IF(OR(status1B5!AL286=1,status1B5!AL286=2,'BOULEVARD 5'!AN284&gt;0),"Pagado","impago"),""))</f>
        <v/>
      </c>
      <c r="AL286" s="666" t="str">
        <f>IF(OR($A286="F&amp;F",$G286=""),"",IF(AL$8&gt;$G286,IF(OR(status1B5!AM286=1,status1B5!AM286=2,'BOULEVARD 5'!AO284&gt;0),"Pagado","impago"),""))</f>
        <v/>
      </c>
      <c r="AM286" s="666" t="str">
        <f>IF(OR($A286="F&amp;F",$G286=""),"",IF(AM$8&gt;$G286,IF(OR(status1B5!AN286=1,status1B5!AN286=2,'BOULEVARD 5'!AP284&gt;0),"Pagado","impago"),""))</f>
        <v/>
      </c>
      <c r="AN286" s="666" t="str">
        <f>IF(OR($A286="F&amp;F",$G286=""),"",IF(AN$8&gt;$G286,IF(OR(status1B5!AO286=1,status1B5!AO286=2,'BOULEVARD 5'!AQ284&gt;0),"Pagado","impago"),""))</f>
        <v/>
      </c>
      <c r="AO286" s="666" t="str">
        <f>IF(OR($A286="F&amp;F",$G286=""),"",IF(AO$8&gt;$G286,IF(OR(status1B5!AP286=1,status1B5!AP286=2,'BOULEVARD 5'!AS284&gt;0),"Pagado","impago"),""))</f>
        <v/>
      </c>
      <c r="AP286" s="429" t="str">
        <f t="shared" si="9"/>
        <v>Vendido</v>
      </c>
    </row>
    <row r="287" spans="1:42" s="429" customFormat="1" ht="13.9" customHeight="1" x14ac:dyDescent="0.25">
      <c r="A287" s="472"/>
      <c r="B287" s="436">
        <f>'BOULEVARD 5'!B285</f>
        <v>1702</v>
      </c>
      <c r="C287" s="436" t="s">
        <v>355</v>
      </c>
      <c r="D287" s="436"/>
      <c r="E287" s="436" t="str">
        <f>IF('BOULEVARD 5'!E285="","",'BOULEVARD 5'!E285)</f>
        <v>Brenda Búcaro</v>
      </c>
      <c r="F287" s="429" t="str">
        <f>IF('BOULEVARD 5'!F285="","",'BOULEVARD 5'!F285)</f>
        <v>David Alejandro Donis Lopez</v>
      </c>
      <c r="G287" s="473">
        <f>IF('BOULEVARD 5'!G285="","",'BOULEVARD 5'!G285)</f>
        <v>45031</v>
      </c>
      <c r="H287" s="666" t="str">
        <f>IF(OR($A287="F&amp;F",$G287=""),"",IF(H$8&gt;$G287,IF(OR(status1B5!I287=1,status1B5!I287=2,'BOULEVARD 5'!K285&gt;0),"Pagado","impago"),""))</f>
        <v/>
      </c>
      <c r="I287" s="666" t="str">
        <f>IF(OR($A287="F&amp;F",$G287=""),"",IF(I$8&gt;$G287,IF(OR(status1B5!J287=1,status1B5!J287=2,'BOULEVARD 5'!L285&gt;0),"Pagado","impago"),""))</f>
        <v>Pagado</v>
      </c>
      <c r="J287" s="666" t="str">
        <f>IF(OR($A287="F&amp;F",$G287=""),"",IF(J$8&gt;$G287,IF(OR(status1B5!K287=1,status1B5!K287=2,'BOULEVARD 5'!M285&gt;0),"Pagado","impago"),""))</f>
        <v>Pagado</v>
      </c>
      <c r="K287" s="666" t="str">
        <f>IF(OR($A287="F&amp;F",$G287=""),"",IF(K$8&gt;$G287,IF(OR(status1B5!L287=1,status1B5!L287=2,'BOULEVARD 5'!N285&gt;0),"Pagado","impago"),""))</f>
        <v>Pagado</v>
      </c>
      <c r="L287" s="666" t="str">
        <f>IF(OR($A287="F&amp;F",$G287=""),"",IF(L$8&gt;$G287,IF(OR(status1B5!M287=1,status1B5!M287=2,'BOULEVARD 5'!O285&gt;0),"Pagado","impago"),""))</f>
        <v>Pagado</v>
      </c>
      <c r="M287" s="666" t="str">
        <f>IF(OR($A287="F&amp;F",$G287=""),"",IF(M$8&gt;$G287,IF(OR(status1B5!N287=1,status1B5!N287=2,'BOULEVARD 5'!P285&gt;0),"Pagado","impago"),""))</f>
        <v>Pagado</v>
      </c>
      <c r="N287" s="666" t="str">
        <f>IF(OR($A287="F&amp;F",$G287=""),"",IF(N$8&gt;$G287,IF(OR(status1B5!O287=1,status1B5!O287=2,'BOULEVARD 5'!Q285&gt;0),"Pagado","impago"),""))</f>
        <v>Pagado</v>
      </c>
      <c r="O287" s="666" t="str">
        <f>IF(OR($A287="F&amp;F",$G287=""),"",IF(O$8&gt;$G287,IF(OR(status1B5!P287=1,status1B5!P287=2,'BOULEVARD 5'!R285&gt;0),"Pagado","impago"),""))</f>
        <v>Pagado</v>
      </c>
      <c r="P287" s="666" t="str">
        <f>IF(OR($A287="F&amp;F",$G287=""),"",IF(P$8&gt;$G287,IF(OR(status1B5!Q287=1,status1B5!Q287=2,'BOULEVARD 5'!S285&gt;0),"Pagado","impago"),""))</f>
        <v>Pagado</v>
      </c>
      <c r="Q287" s="666" t="str">
        <f>IF(OR($A287="F&amp;F",$G287=""),"",IF(Q$8&gt;$G287,IF(OR(status1B5!R287=1,status1B5!R287=2,'BOULEVARD 5'!T285&gt;0),"Pagado","impago"),""))</f>
        <v>Pagado</v>
      </c>
      <c r="R287" s="666" t="str">
        <f>IF(OR($A287="F&amp;F",$G287=""),"",IF(R$8&gt;$G287,IF(OR(status1B5!S287=1,status1B5!S287=2,'BOULEVARD 5'!U285&gt;0),"Pagado","impago"),""))</f>
        <v>Pagado</v>
      </c>
      <c r="S287" s="666" t="str">
        <f>IF(OR($A287="F&amp;F",$G287=""),"",IF(S$8&gt;$G287,IF(OR(status1B5!T287=1,status1B5!T287=2,'BOULEVARD 5'!V285&gt;0),"Pagado","impago"),""))</f>
        <v>Pagado</v>
      </c>
      <c r="T287" s="666" t="str">
        <f>IF(OR($A287="F&amp;F",$G287=""),"",IF(T$8&gt;$G287,IF(OR(status1B5!U287=1,status1B5!U287=2,'BOULEVARD 5'!W285&gt;0),"Pagado","impago"),""))</f>
        <v>Pagado</v>
      </c>
      <c r="U287" s="666" t="str">
        <f>IF(OR($A287="F&amp;F",$G287=""),"",IF(U$8&gt;$G287,IF(OR(status1B5!V287=1,status1B5!V287=2,'BOULEVARD 5'!X285&gt;0),"Pagado","impago"),""))</f>
        <v>Pagado</v>
      </c>
      <c r="V287" s="666" t="str">
        <f>IF(OR($A287="F&amp;F",$G287=""),"",IF(V$8&gt;$G287,IF(OR(status1B5!W287=1,status1B5!W287=2,'BOULEVARD 5'!Y285&gt;0),"Pagado","impago"),""))</f>
        <v>Pagado</v>
      </c>
      <c r="W287" s="666" t="str">
        <f>IF(OR($A287="F&amp;F",$G287=""),"",IF(W$8&gt;$G287,IF(OR(status1B5!X287=1,status1B5!X287=2,'BOULEVARD 5'!Z285&gt;0),"Pagado","impago"),""))</f>
        <v>Pagado</v>
      </c>
      <c r="X287" s="666" t="str">
        <f>IF(OR($A287="F&amp;F",$G287=""),"",IF(X$8&gt;$G287,IF(OR(status1B5!Y287=1,status1B5!Y287=2,'BOULEVARD 5'!AA285&gt;0),"Pagado","impago"),""))</f>
        <v>Pagado</v>
      </c>
      <c r="Y287" s="666" t="str">
        <f>IF(OR($A287="F&amp;F",$G287=""),"",IF(Y$8&gt;$G287,IF(OR(status1B5!Z287=1,status1B5!Z287=2,'BOULEVARD 5'!AB285&gt;0),"Pagado","impago"),""))</f>
        <v>Pagado</v>
      </c>
      <c r="Z287" s="666" t="str">
        <f>IF(OR($A287="F&amp;F",$G287=""),"",IF(Z$8&gt;$G287,IF(OR(status1B5!AA287=1,status1B5!AA287=2,'BOULEVARD 5'!AC285&gt;0),"Pagado","impago"),""))</f>
        <v>Pagado</v>
      </c>
      <c r="AA287" s="666" t="str">
        <f>IF(OR($A287="F&amp;F",$G287=""),"",IF(AA$8&gt;$G287,IF(OR(status1B5!AB287=1,status1B5!AB287=2,'BOULEVARD 5'!AD285&gt;0),"Pagado","impago"),""))</f>
        <v>Pagado</v>
      </c>
      <c r="AB287" s="666" t="str">
        <f>IF(OR($A287="F&amp;F",$G287=""),"",IF(AB$8&gt;$G287,IF(OR(status1B5!AC287=1,status1B5!AC287=2,'BOULEVARD 5'!AE285&gt;0),"Pagado","impago"),""))</f>
        <v>Pagado</v>
      </c>
      <c r="AC287" s="666" t="str">
        <f>IF(OR($A287="F&amp;F",$G287=""),"",IF(AC$8&gt;$G287,IF(OR(status1B5!AD287=1,status1B5!AD287=2,'BOULEVARD 5'!AF285&gt;0),"Pagado","impago"),""))</f>
        <v>Pagado</v>
      </c>
      <c r="AD287" s="666" t="str">
        <f>IF(OR($A287="F&amp;F",$G287=""),"",IF(AD$8&gt;$G287,IF(OR(status1B5!AE287=1,status1B5!AE287=2,'BOULEVARD 5'!AG285&gt;0),"Pagado","impago"),""))</f>
        <v>Pagado</v>
      </c>
      <c r="AE287" s="666" t="str">
        <f>IF(OR($A287="F&amp;F",$G287=""),"",IF(AE$8&gt;$G287,IF(OR(status1B5!AF287=1,status1B5!AF287=2,'BOULEVARD 5'!AH285&gt;0),"Pagado","impago"),""))</f>
        <v>Pagado</v>
      </c>
      <c r="AF287" s="666" t="str">
        <f>IF(OR($A287="F&amp;F",$G287=""),"",IF(AF$8&gt;$G287,IF(OR(status1B5!AG287=1,status1B5!AG287=2,'BOULEVARD 5'!AI285&gt;0),"Pagado","impago"),""))</f>
        <v>Pagado</v>
      </c>
      <c r="AG287" s="666" t="str">
        <f>IF(OR($A287="F&amp;F",$G287=""),"",IF(AG$8&gt;$G287,IF(OR(status1B5!AH287=1,status1B5!AH287=2,'BOULEVARD 5'!AJ285&gt;0),"Pagado","impago"),""))</f>
        <v>Pagado</v>
      </c>
      <c r="AH287" s="666" t="str">
        <f>IF(OR($A287="F&amp;F",$G287=""),"",IF(AH$8&gt;$G287,IF(OR(status1B5!AI287=1,status1B5!AI287=2,'BOULEVARD 5'!AK285&gt;0),"Pagado","impago"),""))</f>
        <v>Pagado</v>
      </c>
      <c r="AI287" s="666" t="str">
        <f>IF(OR($A287="F&amp;F",$G287=""),"",IF(AI$8&gt;$G287,IF(OR(status1B5!AJ287=1,status1B5!AJ287=2,'BOULEVARD 5'!AL285&gt;0),"Pagado","impago"),""))</f>
        <v>Pagado</v>
      </c>
      <c r="AJ287" s="666" t="str">
        <f>IF(OR($A287="F&amp;F",$G287=""),"",IF(AJ$8&gt;$G287,IF(OR(status1B5!AK287=1,status1B5!AK287=2,'BOULEVARD 5'!AM285&gt;0),"Pagado","impago"),""))</f>
        <v>Pagado</v>
      </c>
      <c r="AK287" s="666" t="str">
        <f>IF(OR($A287="F&amp;F",$G287=""),"",IF(AK$8&gt;$G287,IF(OR(status1B5!AL287=1,status1B5!AL287=2,'BOULEVARD 5'!AN285&gt;0),"Pagado","impago"),""))</f>
        <v>Pagado</v>
      </c>
      <c r="AL287" s="666" t="str">
        <f>IF(OR($A287="F&amp;F",$G287=""),"",IF(AL$8&gt;$G287,IF(OR(status1B5!AM287=1,status1B5!AM287=2,'BOULEVARD 5'!AO285&gt;0),"Pagado","impago"),""))</f>
        <v>Pagado</v>
      </c>
      <c r="AM287" s="666" t="str">
        <f>IF(OR($A287="F&amp;F",$G287=""),"",IF(AM$8&gt;$G287,IF(OR(status1B5!AN287=1,status1B5!AN287=2,'BOULEVARD 5'!AP285&gt;0),"Pagado","impago"),""))</f>
        <v>Pagado</v>
      </c>
      <c r="AN287" s="666" t="str">
        <f>IF(OR($A287="F&amp;F",$G287=""),"",IF(AN$8&gt;$G287,IF(OR(status1B5!AO287=1,status1B5!AO287=2,'BOULEVARD 5'!AQ285&gt;0),"Pagado","impago"),""))</f>
        <v>Pagado</v>
      </c>
      <c r="AO287" s="666" t="str">
        <f>IF(OR($A287="F&amp;F",$G287=""),"",IF(AO$8&gt;$G287,IF(OR(status1B5!AP287=1,status1B5!AP287=2,'BOULEVARD 5'!AS285&gt;0),"Pagado","impago"),""))</f>
        <v>Pagado</v>
      </c>
      <c r="AP287" s="429" t="str">
        <f t="shared" si="9"/>
        <v>Vendido</v>
      </c>
    </row>
    <row r="288" spans="1:42" s="429" customFormat="1" ht="13.9" customHeight="1" x14ac:dyDescent="0.25">
      <c r="B288" s="436">
        <f>'BOULEVARD 5'!B286</f>
        <v>1703</v>
      </c>
      <c r="C288" s="436" t="s">
        <v>355</v>
      </c>
      <c r="D288" s="436"/>
      <c r="E288" s="436" t="str">
        <f>IF('BOULEVARD 5'!E286="","",'BOULEVARD 5'!E286)</f>
        <v>Antonio Rada</v>
      </c>
      <c r="F288" s="429" t="str">
        <f>IF('BOULEVARD 5'!F286="","",'BOULEVARD 5'!F286)</f>
        <v>Rolando Antonio Pineda Juarez</v>
      </c>
      <c r="G288" s="473">
        <f>IF('BOULEVARD 5'!G286="","",'BOULEVARD 5'!G286)</f>
        <v>45759</v>
      </c>
      <c r="H288" s="666" t="str">
        <f>IF(OR($A288="F&amp;F",$G288=""),"",IF(H$8&gt;$G288,IF(OR(status1B5!I288=1,status1B5!I288=2,'BOULEVARD 5'!K286&gt;0),"Pagado","impago"),""))</f>
        <v/>
      </c>
      <c r="I288" s="666" t="str">
        <f>IF(OR($A288="F&amp;F",$G288=""),"",IF(I$8&gt;$G288,IF(OR(status1B5!J288=1,status1B5!J288=2,'BOULEVARD 5'!L286&gt;0),"Pagado","impago"),""))</f>
        <v/>
      </c>
      <c r="J288" s="666" t="str">
        <f>IF(OR($A288="F&amp;F",$G288=""),"",IF(J$8&gt;$G288,IF(OR(status1B5!K288=1,status1B5!K288=2,'BOULEVARD 5'!M286&gt;0),"Pagado","impago"),""))</f>
        <v/>
      </c>
      <c r="K288" s="666" t="str">
        <f>IF(OR($A288="F&amp;F",$G288=""),"",IF(K$8&gt;$G288,IF(OR(status1B5!L288=1,status1B5!L288=2,'BOULEVARD 5'!N286&gt;0),"Pagado","impago"),""))</f>
        <v/>
      </c>
      <c r="L288" s="666" t="str">
        <f>IF(OR($A288="F&amp;F",$G288=""),"",IF(L$8&gt;$G288,IF(OR(status1B5!M288=1,status1B5!M288=2,'BOULEVARD 5'!O286&gt;0),"Pagado","impago"),""))</f>
        <v/>
      </c>
      <c r="M288" s="666" t="str">
        <f>IF(OR($A288="F&amp;F",$G288=""),"",IF(M$8&gt;$G288,IF(OR(status1B5!N288=1,status1B5!N288=2,'BOULEVARD 5'!P286&gt;0),"Pagado","impago"),""))</f>
        <v/>
      </c>
      <c r="N288" s="666" t="str">
        <f>IF(OR($A288="F&amp;F",$G288=""),"",IF(N$8&gt;$G288,IF(OR(status1B5!O288=1,status1B5!O288=2,'BOULEVARD 5'!Q286&gt;0),"Pagado","impago"),""))</f>
        <v/>
      </c>
      <c r="O288" s="666" t="str">
        <f>IF(OR($A288="F&amp;F",$G288=""),"",IF(O$8&gt;$G288,IF(OR(status1B5!P288=1,status1B5!P288=2,'BOULEVARD 5'!R286&gt;0),"Pagado","impago"),""))</f>
        <v/>
      </c>
      <c r="P288" s="666" t="str">
        <f>IF(OR($A288="F&amp;F",$G288=""),"",IF(P$8&gt;$G288,IF(OR(status1B5!Q288=1,status1B5!Q288=2,'BOULEVARD 5'!S286&gt;0),"Pagado","impago"),""))</f>
        <v/>
      </c>
      <c r="Q288" s="666" t="str">
        <f>IF(OR($A288="F&amp;F",$G288=""),"",IF(Q$8&gt;$G288,IF(OR(status1B5!R288=1,status1B5!R288=2,'BOULEVARD 5'!T286&gt;0),"Pagado","impago"),""))</f>
        <v/>
      </c>
      <c r="R288" s="666" t="str">
        <f>IF(OR($A288="F&amp;F",$G288=""),"",IF(R$8&gt;$G288,IF(OR(status1B5!S288=1,status1B5!S288=2,'BOULEVARD 5'!U286&gt;0),"Pagado","impago"),""))</f>
        <v/>
      </c>
      <c r="S288" s="666" t="str">
        <f>IF(OR($A288="F&amp;F",$G288=""),"",IF(S$8&gt;$G288,IF(OR(status1B5!T288=1,status1B5!T288=2,'BOULEVARD 5'!V286&gt;0),"Pagado","impago"),""))</f>
        <v/>
      </c>
      <c r="T288" s="666" t="str">
        <f>IF(OR($A288="F&amp;F",$G288=""),"",IF(T$8&gt;$G288,IF(OR(status1B5!U288=1,status1B5!U288=2,'BOULEVARD 5'!W286&gt;0),"Pagado","impago"),""))</f>
        <v/>
      </c>
      <c r="U288" s="666" t="str">
        <f>IF(OR($A288="F&amp;F",$G288=""),"",IF(U$8&gt;$G288,IF(OR(status1B5!V288=1,status1B5!V288=2,'BOULEVARD 5'!X286&gt;0),"Pagado","impago"),""))</f>
        <v/>
      </c>
      <c r="V288" s="666" t="str">
        <f>IF(OR($A288="F&amp;F",$G288=""),"",IF(V$8&gt;$G288,IF(OR(status1B5!W288=1,status1B5!W288=2,'BOULEVARD 5'!Y286&gt;0),"Pagado","impago"),""))</f>
        <v/>
      </c>
      <c r="W288" s="666" t="str">
        <f>IF(OR($A288="F&amp;F",$G288=""),"",IF(W$8&gt;$G288,IF(OR(status1B5!X288=1,status1B5!X288=2,'BOULEVARD 5'!Z286&gt;0),"Pagado","impago"),""))</f>
        <v/>
      </c>
      <c r="X288" s="666" t="str">
        <f>IF(OR($A288="F&amp;F",$G288=""),"",IF(X$8&gt;$G288,IF(OR(status1B5!Y288=1,status1B5!Y288=2,'BOULEVARD 5'!AA286&gt;0),"Pagado","impago"),""))</f>
        <v/>
      </c>
      <c r="Y288" s="666" t="str">
        <f>IF(OR($A288="F&amp;F",$G288=""),"",IF(Y$8&gt;$G288,IF(OR(status1B5!Z288=1,status1B5!Z288=2,'BOULEVARD 5'!AB286&gt;0),"Pagado","impago"),""))</f>
        <v/>
      </c>
      <c r="Z288" s="666" t="str">
        <f>IF(OR($A288="F&amp;F",$G288=""),"",IF(Z$8&gt;$G288,IF(OR(status1B5!AA288=1,status1B5!AA288=2,'BOULEVARD 5'!AC286&gt;0),"Pagado","impago"),""))</f>
        <v/>
      </c>
      <c r="AA288" s="666" t="str">
        <f>IF(OR($A288="F&amp;F",$G288=""),"",IF(AA$8&gt;$G288,IF(OR(status1B5!AB288=1,status1B5!AB288=2,'BOULEVARD 5'!AD286&gt;0),"Pagado","impago"),""))</f>
        <v/>
      </c>
      <c r="AB288" s="666" t="str">
        <f>IF(OR($A288="F&amp;F",$G288=""),"",IF(AB$8&gt;$G288,IF(OR(status1B5!AC288=1,status1B5!AC288=2,'BOULEVARD 5'!AE286&gt;0),"Pagado","impago"),""))</f>
        <v/>
      </c>
      <c r="AC288" s="666" t="str">
        <f>IF(OR($A288="F&amp;F",$G288=""),"",IF(AC$8&gt;$G288,IF(OR(status1B5!AD288=1,status1B5!AD288=2,'BOULEVARD 5'!AF286&gt;0),"Pagado","impago"),""))</f>
        <v/>
      </c>
      <c r="AD288" s="666" t="str">
        <f>IF(OR($A288="F&amp;F",$G288=""),"",IF(AD$8&gt;$G288,IF(OR(status1B5!AE288=1,status1B5!AE288=2,'BOULEVARD 5'!AG286&gt;0),"Pagado","impago"),""))</f>
        <v/>
      </c>
      <c r="AE288" s="666" t="str">
        <f>IF(OR($A288="F&amp;F",$G288=""),"",IF(AE$8&gt;$G288,IF(OR(status1B5!AF288=1,status1B5!AF288=2,'BOULEVARD 5'!AH286&gt;0),"Pagado","impago"),""))</f>
        <v/>
      </c>
      <c r="AF288" s="666" t="str">
        <f>IF(OR($A288="F&amp;F",$G288=""),"",IF(AF$8&gt;$G288,IF(OR(status1B5!AG288=1,status1B5!AG288=2,'BOULEVARD 5'!AI286&gt;0),"Pagado","impago"),""))</f>
        <v/>
      </c>
      <c r="AG288" s="666" t="str">
        <f>IF(OR($A288="F&amp;F",$G288=""),"",IF(AG$8&gt;$G288,IF(OR(status1B5!AH288=1,status1B5!AH288=2,'BOULEVARD 5'!AJ286&gt;0),"Pagado","impago"),""))</f>
        <v>Pagado</v>
      </c>
      <c r="AH288" s="666" t="str">
        <f>IF(OR($A288="F&amp;F",$G288=""),"",IF(AH$8&gt;$G288,IF(OR(status1B5!AI288=1,status1B5!AI288=2,'BOULEVARD 5'!AK286&gt;0),"Pagado","impago"),""))</f>
        <v>Pagado</v>
      </c>
      <c r="AI288" s="666" t="str">
        <f>IF(OR($A288="F&amp;F",$G288=""),"",IF(AI$8&gt;$G288,IF(OR(status1B5!AJ288=1,status1B5!AJ288=2,'BOULEVARD 5'!AL286&gt;0),"Pagado","impago"),""))</f>
        <v>Pagado</v>
      </c>
      <c r="AJ288" s="666" t="str">
        <f>IF(OR($A288="F&amp;F",$G288=""),"",IF(AJ$8&gt;$G288,IF(OR(status1B5!AK288=1,status1B5!AK288=2,'BOULEVARD 5'!AM286&gt;0),"Pagado","impago"),""))</f>
        <v>Pagado</v>
      </c>
      <c r="AK288" s="666" t="str">
        <f>IF(OR($A288="F&amp;F",$G288=""),"",IF(AK$8&gt;$G288,IF(OR(status1B5!AL288=1,status1B5!AL288=2,'BOULEVARD 5'!AN286&gt;0),"Pagado","impago"),""))</f>
        <v>Pagado</v>
      </c>
      <c r="AL288" s="666" t="str">
        <f>IF(OR($A288="F&amp;F",$G288=""),"",IF(AL$8&gt;$G288,IF(OR(status1B5!AM288=1,status1B5!AM288=2,'BOULEVARD 5'!AO286&gt;0),"Pagado","impago"),""))</f>
        <v>Pagado</v>
      </c>
      <c r="AM288" s="666" t="str">
        <f>IF(OR($A288="F&amp;F",$G288=""),"",IF(AM$8&gt;$G288,IF(OR(status1B5!AN288=1,status1B5!AN288=2,'BOULEVARD 5'!AP286&gt;0),"Pagado","impago"),""))</f>
        <v>Pagado</v>
      </c>
      <c r="AN288" s="666" t="str">
        <f>IF(OR($A288="F&amp;F",$G288=""),"",IF(AN$8&gt;$G288,IF(OR(status1B5!AO288=1,status1B5!AO288=2,'BOULEVARD 5'!AQ286&gt;0),"Pagado","impago"),""))</f>
        <v>Pagado</v>
      </c>
      <c r="AO288" s="666" t="str">
        <f>IF(OR($A288="F&amp;F",$G288=""),"",IF(AO$8&gt;$G288,IF(OR(status1B5!AP288=1,status1B5!AP288=2,'BOULEVARD 5'!AS286&gt;0),"Pagado","impago"),""))</f>
        <v>Pagado</v>
      </c>
      <c r="AP288" s="429" t="str">
        <f t="shared" si="9"/>
        <v>Vendido</v>
      </c>
    </row>
    <row r="289" spans="1:42" s="429" customFormat="1" ht="13.9" customHeight="1" x14ac:dyDescent="0.25">
      <c r="A289" s="472"/>
      <c r="B289" s="436">
        <f>'BOULEVARD 5'!B287</f>
        <v>1704</v>
      </c>
      <c r="C289" s="436" t="s">
        <v>355</v>
      </c>
      <c r="D289" s="436"/>
      <c r="E289" s="436" t="str">
        <f>IF('BOULEVARD 5'!E287="","",'BOULEVARD 5'!E287)</f>
        <v>Brenda Búcaro</v>
      </c>
      <c r="F289" s="429" t="str">
        <f>IF('BOULEVARD 5'!F287="","",'BOULEVARD 5'!F287)</f>
        <v>Javier Andres Soto Coronado</v>
      </c>
      <c r="G289" s="473">
        <f>IF('BOULEVARD 5'!G287="","",'BOULEVARD 5'!G287)</f>
        <v>44995</v>
      </c>
      <c r="H289" s="666" t="str">
        <f>IF(OR($A289="F&amp;F",$G289=""),"",IF(H$8&gt;$G289,IF(OR(status1B5!I289=1,status1B5!I289=2,'BOULEVARD 5'!K287&gt;0),"Pagado","impago"),""))</f>
        <v>Pagado</v>
      </c>
      <c r="I289" s="666" t="str">
        <f>IF(OR($A289="F&amp;F",$G289=""),"",IF(I$8&gt;$G289,IF(OR(status1B5!J289=1,status1B5!J289=2,'BOULEVARD 5'!L287&gt;0),"Pagado","impago"),""))</f>
        <v>Pagado</v>
      </c>
      <c r="J289" s="666" t="str">
        <f>IF(OR($A289="F&amp;F",$G289=""),"",IF(J$8&gt;$G289,IF(OR(status1B5!K289=1,status1B5!K289=2,'BOULEVARD 5'!M287&gt;0),"Pagado","impago"),""))</f>
        <v>Pagado</v>
      </c>
      <c r="K289" s="666" t="str">
        <f>IF(OR($A289="F&amp;F",$G289=""),"",IF(K$8&gt;$G289,IF(OR(status1B5!L289=1,status1B5!L289=2,'BOULEVARD 5'!N287&gt;0),"Pagado","impago"),""))</f>
        <v>Pagado</v>
      </c>
      <c r="L289" s="666" t="str">
        <f>IF(OR($A289="F&amp;F",$G289=""),"",IF(L$8&gt;$G289,IF(OR(status1B5!M289=1,status1B5!M289=2,'BOULEVARD 5'!O287&gt;0),"Pagado","impago"),""))</f>
        <v>Pagado</v>
      </c>
      <c r="M289" s="666" t="str">
        <f>IF(OR($A289="F&amp;F",$G289=""),"",IF(M$8&gt;$G289,IF(OR(status1B5!N289=1,status1B5!N289=2,'BOULEVARD 5'!P287&gt;0),"Pagado","impago"),""))</f>
        <v>Pagado</v>
      </c>
      <c r="N289" s="666" t="str">
        <f>IF(OR($A289="F&amp;F",$G289=""),"",IF(N$8&gt;$G289,IF(OR(status1B5!O289=1,status1B5!O289=2,'BOULEVARD 5'!Q287&gt;0),"Pagado","impago"),""))</f>
        <v>Pagado</v>
      </c>
      <c r="O289" s="666" t="str">
        <f>IF(OR($A289="F&amp;F",$G289=""),"",IF(O$8&gt;$G289,IF(OR(status1B5!P289=1,status1B5!P289=2,'BOULEVARD 5'!R287&gt;0),"Pagado","impago"),""))</f>
        <v>Pagado</v>
      </c>
      <c r="P289" s="666" t="str">
        <f>IF(OR($A289="F&amp;F",$G289=""),"",IF(P$8&gt;$G289,IF(OR(status1B5!Q289=1,status1B5!Q289=2,'BOULEVARD 5'!S287&gt;0),"Pagado","impago"),""))</f>
        <v>Pagado</v>
      </c>
      <c r="Q289" s="666" t="str">
        <f>IF(OR($A289="F&amp;F",$G289=""),"",IF(Q$8&gt;$G289,IF(OR(status1B5!R289=1,status1B5!R289=2,'BOULEVARD 5'!T287&gt;0),"Pagado","impago"),""))</f>
        <v>Pagado</v>
      </c>
      <c r="R289" s="666" t="str">
        <f>IF(OR($A289="F&amp;F",$G289=""),"",IF(R$8&gt;$G289,IF(OR(status1B5!S289=1,status1B5!S289=2,'BOULEVARD 5'!U287&gt;0),"Pagado","impago"),""))</f>
        <v>Pagado</v>
      </c>
      <c r="S289" s="666" t="str">
        <f>IF(OR($A289="F&amp;F",$G289=""),"",IF(S$8&gt;$G289,IF(OR(status1B5!T289=1,status1B5!T289=2,'BOULEVARD 5'!V287&gt;0),"Pagado","impago"),""))</f>
        <v>Pagado</v>
      </c>
      <c r="T289" s="666" t="str">
        <f>IF(OR($A289="F&amp;F",$G289=""),"",IF(T$8&gt;$G289,IF(OR(status1B5!U289=1,status1B5!U289=2,'BOULEVARD 5'!W287&gt;0),"Pagado","impago"),""))</f>
        <v>Pagado</v>
      </c>
      <c r="U289" s="666" t="str">
        <f>IF(OR($A289="F&amp;F",$G289=""),"",IF(U$8&gt;$G289,IF(OR(status1B5!V289=1,status1B5!V289=2,'BOULEVARD 5'!X287&gt;0),"Pagado","impago"),""))</f>
        <v>Pagado</v>
      </c>
      <c r="V289" s="666" t="str">
        <f>IF(OR($A289="F&amp;F",$G289=""),"",IF(V$8&gt;$G289,IF(OR(status1B5!W289=1,status1B5!W289=2,'BOULEVARD 5'!Y287&gt;0),"Pagado","impago"),""))</f>
        <v>Pagado</v>
      </c>
      <c r="W289" s="666" t="str">
        <f>IF(OR($A289="F&amp;F",$G289=""),"",IF(W$8&gt;$G289,IF(OR(status1B5!X289=1,status1B5!X289=2,'BOULEVARD 5'!Z287&gt;0),"Pagado","impago"),""))</f>
        <v>Pagado</v>
      </c>
      <c r="X289" s="666" t="str">
        <f>IF(OR($A289="F&amp;F",$G289=""),"",IF(X$8&gt;$G289,IF(OR(status1B5!Y289=1,status1B5!Y289=2,'BOULEVARD 5'!AA287&gt;0),"Pagado","impago"),""))</f>
        <v>Pagado</v>
      </c>
      <c r="Y289" s="666" t="str">
        <f>IF(OR($A289="F&amp;F",$G289=""),"",IF(Y$8&gt;$G289,IF(OR(status1B5!Z289=1,status1B5!Z289=2,'BOULEVARD 5'!AB287&gt;0),"Pagado","impago"),""))</f>
        <v>Pagado</v>
      </c>
      <c r="Z289" s="666" t="str">
        <f>IF(OR($A289="F&amp;F",$G289=""),"",IF(Z$8&gt;$G289,IF(OR(status1B5!AA289=1,status1B5!AA289=2,'BOULEVARD 5'!AC287&gt;0),"Pagado","impago"),""))</f>
        <v>Pagado</v>
      </c>
      <c r="AA289" s="666" t="str">
        <f>IF(OR($A289="F&amp;F",$G289=""),"",IF(AA$8&gt;$G289,IF(OR(status1B5!AB289=1,status1B5!AB289=2,'BOULEVARD 5'!AD287&gt;0),"Pagado","impago"),""))</f>
        <v>Pagado</v>
      </c>
      <c r="AB289" s="666" t="str">
        <f>IF(OR($A289="F&amp;F",$G289=""),"",IF(AB$8&gt;$G289,IF(OR(status1B5!AC289=1,status1B5!AC289=2,'BOULEVARD 5'!AE287&gt;0),"Pagado","impago"),""))</f>
        <v>Pagado</v>
      </c>
      <c r="AC289" s="666" t="str">
        <f>IF(OR($A289="F&amp;F",$G289=""),"",IF(AC$8&gt;$G289,IF(OR(status1B5!AD289=1,status1B5!AD289=2,'BOULEVARD 5'!AF287&gt;0),"Pagado","impago"),""))</f>
        <v>Pagado</v>
      </c>
      <c r="AD289" s="666" t="str">
        <f>IF(OR($A289="F&amp;F",$G289=""),"",IF(AD$8&gt;$G289,IF(OR(status1B5!AE289=1,status1B5!AE289=2,'BOULEVARD 5'!AG287&gt;0),"Pagado","impago"),""))</f>
        <v>Pagado</v>
      </c>
      <c r="AE289" s="666" t="str">
        <f>IF(OR($A289="F&amp;F",$G289=""),"",IF(AE$8&gt;$G289,IF(OR(status1B5!AF289=1,status1B5!AF289=2,'BOULEVARD 5'!AH287&gt;0),"Pagado","impago"),""))</f>
        <v>Pagado</v>
      </c>
      <c r="AF289" s="666" t="str">
        <f>IF(OR($A289="F&amp;F",$G289=""),"",IF(AF$8&gt;$G289,IF(OR(status1B5!AG289=1,status1B5!AG289=2,'BOULEVARD 5'!AI287&gt;0),"Pagado","impago"),""))</f>
        <v>Pagado</v>
      </c>
      <c r="AG289" s="666" t="str">
        <f>IF(OR($A289="F&amp;F",$G289=""),"",IF(AG$8&gt;$G289,IF(OR(status1B5!AH289=1,status1B5!AH289=2,'BOULEVARD 5'!AJ287&gt;0),"Pagado","impago"),""))</f>
        <v>Pagado</v>
      </c>
      <c r="AH289" s="666" t="str">
        <f>IF(OR($A289="F&amp;F",$G289=""),"",IF(AH$8&gt;$G289,IF(OR(status1B5!AI289=1,status1B5!AI289=2,'BOULEVARD 5'!AK287&gt;0),"Pagado","impago"),""))</f>
        <v>Pagado</v>
      </c>
      <c r="AI289" s="666" t="str">
        <f>IF(OR($A289="F&amp;F",$G289=""),"",IF(AI$8&gt;$G289,IF(OR(status1B5!AJ289=1,status1B5!AJ289=2,'BOULEVARD 5'!AL287&gt;0),"Pagado","impago"),""))</f>
        <v>Pagado</v>
      </c>
      <c r="AJ289" s="666" t="str">
        <f>IF(OR($A289="F&amp;F",$G289=""),"",IF(AJ$8&gt;$G289,IF(OR(status1B5!AK289=1,status1B5!AK289=2,'BOULEVARD 5'!AM287&gt;0),"Pagado","impago"),""))</f>
        <v>Pagado</v>
      </c>
      <c r="AK289" s="666" t="str">
        <f>IF(OR($A289="F&amp;F",$G289=""),"",IF(AK$8&gt;$G289,IF(OR(status1B5!AL289=1,status1B5!AL289=2,'BOULEVARD 5'!AN287&gt;0),"Pagado","impago"),""))</f>
        <v>Pagado</v>
      </c>
      <c r="AL289" s="666" t="str">
        <f>IF(OR($A289="F&amp;F",$G289=""),"",IF(AL$8&gt;$G289,IF(OR(status1B5!AM289=1,status1B5!AM289=2,'BOULEVARD 5'!AO287&gt;0),"Pagado","impago"),""))</f>
        <v>Pagado</v>
      </c>
      <c r="AM289" s="666" t="str">
        <f>IF(OR($A289="F&amp;F",$G289=""),"",IF(AM$8&gt;$G289,IF(OR(status1B5!AN289=1,status1B5!AN289=2,'BOULEVARD 5'!AP287&gt;0),"Pagado","impago"),""))</f>
        <v>Pagado</v>
      </c>
      <c r="AN289" s="666" t="str">
        <f>IF(OR($A289="F&amp;F",$G289=""),"",IF(AN$8&gt;$G289,IF(OR(status1B5!AO289=1,status1B5!AO289=2,'BOULEVARD 5'!AQ287&gt;0),"Pagado","impago"),""))</f>
        <v>Pagado</v>
      </c>
      <c r="AO289" s="666" t="str">
        <f>IF(OR($A289="F&amp;F",$G289=""),"",IF(AO$8&gt;$G289,IF(OR(status1B5!AP289=1,status1B5!AP289=2,'BOULEVARD 5'!AS287&gt;0),"Pagado","impago"),""))</f>
        <v>Pagado</v>
      </c>
      <c r="AP289" s="429" t="str">
        <f t="shared" si="9"/>
        <v>Vendido</v>
      </c>
    </row>
    <row r="290" spans="1:42" s="429" customFormat="1" ht="13.9" customHeight="1" x14ac:dyDescent="0.25">
      <c r="B290" s="436">
        <f>'BOULEVARD 5'!B288</f>
        <v>1705</v>
      </c>
      <c r="C290" s="436" t="s">
        <v>355</v>
      </c>
      <c r="D290" s="436"/>
      <c r="E290" s="436" t="str">
        <f>IF('BOULEVARD 5'!E288="","",'BOULEVARD 5'!E288)</f>
        <v>Antonio Rada</v>
      </c>
      <c r="F290" s="429" t="str">
        <f>IF('BOULEVARD 5'!F288="","",'BOULEVARD 5'!F288)</f>
        <v>Maxi Alexander Mendez Moran</v>
      </c>
      <c r="G290" s="473">
        <f>IF('BOULEVARD 5'!G288="","",'BOULEVARD 5'!G288)</f>
        <v>45749</v>
      </c>
      <c r="H290" s="666" t="str">
        <f>IF(OR($A290="F&amp;F",$G290=""),"",IF(H$8&gt;$G290,IF(OR(status1B5!I290=1,status1B5!I290=2,'BOULEVARD 5'!K288&gt;0),"Pagado","impago"),""))</f>
        <v/>
      </c>
      <c r="I290" s="666" t="str">
        <f>IF(OR($A290="F&amp;F",$G290=""),"",IF(I$8&gt;$G290,IF(OR(status1B5!J290=1,status1B5!J290=2,'BOULEVARD 5'!L288&gt;0),"Pagado","impago"),""))</f>
        <v/>
      </c>
      <c r="J290" s="666" t="str">
        <f>IF(OR($A290="F&amp;F",$G290=""),"",IF(J$8&gt;$G290,IF(OR(status1B5!K290=1,status1B5!K290=2,'BOULEVARD 5'!M288&gt;0),"Pagado","impago"),""))</f>
        <v/>
      </c>
      <c r="K290" s="666" t="str">
        <f>IF(OR($A290="F&amp;F",$G290=""),"",IF(K$8&gt;$G290,IF(OR(status1B5!L290=1,status1B5!L290=2,'BOULEVARD 5'!N288&gt;0),"Pagado","impago"),""))</f>
        <v/>
      </c>
      <c r="L290" s="666" t="str">
        <f>IF(OR($A290="F&amp;F",$G290=""),"",IF(L$8&gt;$G290,IF(OR(status1B5!M290=1,status1B5!M290=2,'BOULEVARD 5'!O288&gt;0),"Pagado","impago"),""))</f>
        <v/>
      </c>
      <c r="M290" s="666" t="str">
        <f>IF(OR($A290="F&amp;F",$G290=""),"",IF(M$8&gt;$G290,IF(OR(status1B5!N290=1,status1B5!N290=2,'BOULEVARD 5'!P288&gt;0),"Pagado","impago"),""))</f>
        <v/>
      </c>
      <c r="N290" s="666" t="str">
        <f>IF(OR($A290="F&amp;F",$G290=""),"",IF(N$8&gt;$G290,IF(OR(status1B5!O290=1,status1B5!O290=2,'BOULEVARD 5'!Q288&gt;0),"Pagado","impago"),""))</f>
        <v/>
      </c>
      <c r="O290" s="666" t="str">
        <f>IF(OR($A290="F&amp;F",$G290=""),"",IF(O$8&gt;$G290,IF(OR(status1B5!P290=1,status1B5!P290=2,'BOULEVARD 5'!R288&gt;0),"Pagado","impago"),""))</f>
        <v/>
      </c>
      <c r="P290" s="666" t="str">
        <f>IF(OR($A290="F&amp;F",$G290=""),"",IF(P$8&gt;$G290,IF(OR(status1B5!Q290=1,status1B5!Q290=2,'BOULEVARD 5'!S288&gt;0),"Pagado","impago"),""))</f>
        <v/>
      </c>
      <c r="Q290" s="666" t="str">
        <f>IF(OR($A290="F&amp;F",$G290=""),"",IF(Q$8&gt;$G290,IF(OR(status1B5!R290=1,status1B5!R290=2,'BOULEVARD 5'!T288&gt;0),"Pagado","impago"),""))</f>
        <v/>
      </c>
      <c r="R290" s="666" t="str">
        <f>IF(OR($A290="F&amp;F",$G290=""),"",IF(R$8&gt;$G290,IF(OR(status1B5!S290=1,status1B5!S290=2,'BOULEVARD 5'!U288&gt;0),"Pagado","impago"),""))</f>
        <v/>
      </c>
      <c r="S290" s="666" t="str">
        <f>IF(OR($A290="F&amp;F",$G290=""),"",IF(S$8&gt;$G290,IF(OR(status1B5!T290=1,status1B5!T290=2,'BOULEVARD 5'!V288&gt;0),"Pagado","impago"),""))</f>
        <v/>
      </c>
      <c r="T290" s="666" t="str">
        <f>IF(OR($A290="F&amp;F",$G290=""),"",IF(T$8&gt;$G290,IF(OR(status1B5!U290=1,status1B5!U290=2,'BOULEVARD 5'!W288&gt;0),"Pagado","impago"),""))</f>
        <v/>
      </c>
      <c r="U290" s="666" t="str">
        <f>IF(OR($A290="F&amp;F",$G290=""),"",IF(U$8&gt;$G290,IF(OR(status1B5!V290=1,status1B5!V290=2,'BOULEVARD 5'!X288&gt;0),"Pagado","impago"),""))</f>
        <v/>
      </c>
      <c r="V290" s="666" t="str">
        <f>IF(OR($A290="F&amp;F",$G290=""),"",IF(V$8&gt;$G290,IF(OR(status1B5!W290=1,status1B5!W290=2,'BOULEVARD 5'!Y288&gt;0),"Pagado","impago"),""))</f>
        <v/>
      </c>
      <c r="W290" s="666" t="str">
        <f>IF(OR($A290="F&amp;F",$G290=""),"",IF(W$8&gt;$G290,IF(OR(status1B5!X290=1,status1B5!X290=2,'BOULEVARD 5'!Z288&gt;0),"Pagado","impago"),""))</f>
        <v/>
      </c>
      <c r="X290" s="666" t="str">
        <f>IF(OR($A290="F&amp;F",$G290=""),"",IF(X$8&gt;$G290,IF(OR(status1B5!Y290=1,status1B5!Y290=2,'BOULEVARD 5'!AA288&gt;0),"Pagado","impago"),""))</f>
        <v/>
      </c>
      <c r="Y290" s="666" t="str">
        <f>IF(OR($A290="F&amp;F",$G290=""),"",IF(Y$8&gt;$G290,IF(OR(status1B5!Z290=1,status1B5!Z290=2,'BOULEVARD 5'!AB288&gt;0),"Pagado","impago"),""))</f>
        <v/>
      </c>
      <c r="Z290" s="666" t="str">
        <f>IF(OR($A290="F&amp;F",$G290=""),"",IF(Z$8&gt;$G290,IF(OR(status1B5!AA290=1,status1B5!AA290=2,'BOULEVARD 5'!AC288&gt;0),"Pagado","impago"),""))</f>
        <v/>
      </c>
      <c r="AA290" s="666" t="str">
        <f>IF(OR($A290="F&amp;F",$G290=""),"",IF(AA$8&gt;$G290,IF(OR(status1B5!AB290=1,status1B5!AB290=2,'BOULEVARD 5'!AD288&gt;0),"Pagado","impago"),""))</f>
        <v/>
      </c>
      <c r="AB290" s="666" t="str">
        <f>IF(OR($A290="F&amp;F",$G290=""),"",IF(AB$8&gt;$G290,IF(OR(status1B5!AC290=1,status1B5!AC290=2,'BOULEVARD 5'!AE288&gt;0),"Pagado","impago"),""))</f>
        <v/>
      </c>
      <c r="AC290" s="666" t="str">
        <f>IF(OR($A290="F&amp;F",$G290=""),"",IF(AC$8&gt;$G290,IF(OR(status1B5!AD290=1,status1B5!AD290=2,'BOULEVARD 5'!AF288&gt;0),"Pagado","impago"),""))</f>
        <v/>
      </c>
      <c r="AD290" s="666" t="str">
        <f>IF(OR($A290="F&amp;F",$G290=""),"",IF(AD$8&gt;$G290,IF(OR(status1B5!AE290=1,status1B5!AE290=2,'BOULEVARD 5'!AG288&gt;0),"Pagado","impago"),""))</f>
        <v/>
      </c>
      <c r="AE290" s="666" t="str">
        <f>IF(OR($A290="F&amp;F",$G290=""),"",IF(AE$8&gt;$G290,IF(OR(status1B5!AF290=1,status1B5!AF290=2,'BOULEVARD 5'!AH288&gt;0),"Pagado","impago"),""))</f>
        <v/>
      </c>
      <c r="AF290" s="666" t="str">
        <f>IF(OR($A290="F&amp;F",$G290=""),"",IF(AF$8&gt;$G290,IF(OR(status1B5!AG290=1,status1B5!AG290=2,'BOULEVARD 5'!AI288&gt;0),"Pagado","impago"),""))</f>
        <v/>
      </c>
      <c r="AG290" s="666" t="str">
        <f>IF(OR($A290="F&amp;F",$G290=""),"",IF(AG$8&gt;$G290,IF(OR(status1B5!AH290=1,status1B5!AH290=2,'BOULEVARD 5'!AJ288&gt;0),"Pagado","impago"),""))</f>
        <v>Pagado</v>
      </c>
      <c r="AH290" s="666" t="str">
        <f>IF(OR($A290="F&amp;F",$G290=""),"",IF(AH$8&gt;$G290,IF(OR(status1B5!AI290=1,status1B5!AI290=2,'BOULEVARD 5'!AK288&gt;0),"Pagado","impago"),""))</f>
        <v>Pagado</v>
      </c>
      <c r="AI290" s="666" t="str">
        <f>IF(OR($A290="F&amp;F",$G290=""),"",IF(AI$8&gt;$G290,IF(OR(status1B5!AJ290=1,status1B5!AJ290=2,'BOULEVARD 5'!AL288&gt;0),"Pagado","impago"),""))</f>
        <v>Pagado</v>
      </c>
      <c r="AJ290" s="666" t="str">
        <f>IF(OR($A290="F&amp;F",$G290=""),"",IF(AJ$8&gt;$G290,IF(OR(status1B5!AK290=1,status1B5!AK290=2,'BOULEVARD 5'!AM288&gt;0),"Pagado","impago"),""))</f>
        <v>Pagado</v>
      </c>
      <c r="AK290" s="666" t="str">
        <f>IF(OR($A290="F&amp;F",$G290=""),"",IF(AK$8&gt;$G290,IF(OR(status1B5!AL290=1,status1B5!AL290=2,'BOULEVARD 5'!AN288&gt;0),"Pagado","impago"),""))</f>
        <v>Pagado</v>
      </c>
      <c r="AL290" s="666" t="str">
        <f>IF(OR($A290="F&amp;F",$G290=""),"",IF(AL$8&gt;$G290,IF(OR(status1B5!AM290=1,status1B5!AM290=2,'BOULEVARD 5'!AO288&gt;0),"Pagado","impago"),""))</f>
        <v>Pagado</v>
      </c>
      <c r="AM290" s="666" t="str">
        <f>IF(OR($A290="F&amp;F",$G290=""),"",IF(AM$8&gt;$G290,IF(OR(status1B5!AN290=1,status1B5!AN290=2,'BOULEVARD 5'!AP288&gt;0),"Pagado","impago"),""))</f>
        <v>Pagado</v>
      </c>
      <c r="AN290" s="666" t="str">
        <f>IF(OR($A290="F&amp;F",$G290=""),"",IF(AN$8&gt;$G290,IF(OR(status1B5!AO290=1,status1B5!AO290=2,'BOULEVARD 5'!AQ288&gt;0),"Pagado","impago"),""))</f>
        <v>Pagado</v>
      </c>
      <c r="AO290" s="666" t="str">
        <f>IF(OR($A290="F&amp;F",$G290=""),"",IF(AO$8&gt;$G290,IF(OR(status1B5!AP290=1,status1B5!AP290=2,'BOULEVARD 5'!AS288&gt;0),"Pagado","impago"),""))</f>
        <v>Pagado</v>
      </c>
      <c r="AP290" s="429" t="str">
        <f t="shared" si="9"/>
        <v>Vendido</v>
      </c>
    </row>
    <row r="291" spans="1:42" s="429" customFormat="1" ht="13.9" customHeight="1" x14ac:dyDescent="0.25">
      <c r="A291" s="472" t="s">
        <v>58</v>
      </c>
      <c r="B291" s="475">
        <f>'BOULEVARD 5'!B289</f>
        <v>1706</v>
      </c>
      <c r="C291" s="475" t="s">
        <v>355</v>
      </c>
      <c r="D291" s="475"/>
      <c r="E291" s="475" t="str">
        <f>IF('BOULEVARD 5'!E289="","",'BOULEVARD 5'!E289)</f>
        <v>Jose Franco</v>
      </c>
      <c r="F291" s="476" t="str">
        <f>IF('BOULEVARD 5'!F289="","",'BOULEVARD 5'!F289)</f>
        <v>David Arimany Monzón</v>
      </c>
      <c r="G291" s="473">
        <f>IF('BOULEVARD 5'!G289="","",'BOULEVARD 5'!G289)</f>
        <v>45009</v>
      </c>
      <c r="H291" s="666" t="str">
        <f>IF(OR($A291="F&amp;F",$G291=""),"",IF(H$8&gt;$G291,IF(OR(status1B5!I291=1,status1B5!I291=2,'BOULEVARD 5'!K289&gt;0),"Pagado","impago"),""))</f>
        <v/>
      </c>
      <c r="I291" s="666" t="str">
        <f>IF(OR($A291="F&amp;F",$G291=""),"",IF(I$8&gt;$G291,IF(OR(status1B5!J291=1,status1B5!J291=2,'BOULEVARD 5'!L289&gt;0),"Pagado","impago"),""))</f>
        <v/>
      </c>
      <c r="J291" s="666" t="str">
        <f>IF(OR($A291="F&amp;F",$G291=""),"",IF(J$8&gt;$G291,IF(OR(status1B5!K291=1,status1B5!K291=2,'BOULEVARD 5'!M289&gt;0),"Pagado","impago"),""))</f>
        <v/>
      </c>
      <c r="K291" s="666" t="str">
        <f>IF(OR($A291="F&amp;F",$G291=""),"",IF(K$8&gt;$G291,IF(OR(status1B5!L291=1,status1B5!L291=2,'BOULEVARD 5'!N289&gt;0),"Pagado","impago"),""))</f>
        <v/>
      </c>
      <c r="L291" s="666" t="str">
        <f>IF(OR($A291="F&amp;F",$G291=""),"",IF(L$8&gt;$G291,IF(OR(status1B5!M291=1,status1B5!M291=2,'BOULEVARD 5'!O289&gt;0),"Pagado","impago"),""))</f>
        <v/>
      </c>
      <c r="M291" s="666" t="str">
        <f>IF(OR($A291="F&amp;F",$G291=""),"",IF(M$8&gt;$G291,IF(OR(status1B5!N291=1,status1B5!N291=2,'BOULEVARD 5'!P289&gt;0),"Pagado","impago"),""))</f>
        <v/>
      </c>
      <c r="N291" s="666" t="str">
        <f>IF(OR($A291="F&amp;F",$G291=""),"",IF(N$8&gt;$G291,IF(OR(status1B5!O291=1,status1B5!O291=2,'BOULEVARD 5'!Q289&gt;0),"Pagado","impago"),""))</f>
        <v/>
      </c>
      <c r="O291" s="666" t="str">
        <f>IF(OR($A291="F&amp;F",$G291=""),"",IF(O$8&gt;$G291,IF(OR(status1B5!P291=1,status1B5!P291=2,'BOULEVARD 5'!R289&gt;0),"Pagado","impago"),""))</f>
        <v/>
      </c>
      <c r="P291" s="666" t="str">
        <f>IF(OR($A291="F&amp;F",$G291=""),"",IF(P$8&gt;$G291,IF(OR(status1B5!Q291=1,status1B5!Q291=2,'BOULEVARD 5'!S289&gt;0),"Pagado","impago"),""))</f>
        <v/>
      </c>
      <c r="Q291" s="666" t="str">
        <f>IF(OR($A291="F&amp;F",$G291=""),"",IF(Q$8&gt;$G291,IF(OR(status1B5!R291=1,status1B5!R291=2,'BOULEVARD 5'!T289&gt;0),"Pagado","impago"),""))</f>
        <v/>
      </c>
      <c r="R291" s="666" t="str">
        <f>IF(OR($A291="F&amp;F",$G291=""),"",IF(R$8&gt;$G291,IF(OR(status1B5!S291=1,status1B5!S291=2,'BOULEVARD 5'!U289&gt;0),"Pagado","impago"),""))</f>
        <v/>
      </c>
      <c r="S291" s="666" t="str">
        <f>IF(OR($A291="F&amp;F",$G291=""),"",IF(S$8&gt;$G291,IF(OR(status1B5!T291=1,status1B5!T291=2,'BOULEVARD 5'!V289&gt;0),"Pagado","impago"),""))</f>
        <v/>
      </c>
      <c r="T291" s="666" t="str">
        <f>IF(OR($A291="F&amp;F",$G291=""),"",IF(T$8&gt;$G291,IF(OR(status1B5!U291=1,status1B5!U291=2,'BOULEVARD 5'!W289&gt;0),"Pagado","impago"),""))</f>
        <v/>
      </c>
      <c r="U291" s="666" t="str">
        <f>IF(OR($A291="F&amp;F",$G291=""),"",IF(U$8&gt;$G291,IF(OR(status1B5!V291=1,status1B5!V291=2,'BOULEVARD 5'!X289&gt;0),"Pagado","impago"),""))</f>
        <v/>
      </c>
      <c r="V291" s="666" t="str">
        <f>IF(OR($A291="F&amp;F",$G291=""),"",IF(V$8&gt;$G291,IF(OR(status1B5!W291=1,status1B5!W291=2,'BOULEVARD 5'!Y289&gt;0),"Pagado","impago"),""))</f>
        <v/>
      </c>
      <c r="W291" s="666" t="str">
        <f>IF(OR($A291="F&amp;F",$G291=""),"",IF(W$8&gt;$G291,IF(OR(status1B5!X291=1,status1B5!X291=2,'BOULEVARD 5'!Z289&gt;0),"Pagado","impago"),""))</f>
        <v/>
      </c>
      <c r="X291" s="666" t="str">
        <f>IF(OR($A291="F&amp;F",$G291=""),"",IF(X$8&gt;$G291,IF(OR(status1B5!Y291=1,status1B5!Y291=2,'BOULEVARD 5'!AA289&gt;0),"Pagado","impago"),""))</f>
        <v/>
      </c>
      <c r="Y291" s="666" t="str">
        <f>IF(OR($A291="F&amp;F",$G291=""),"",IF(Y$8&gt;$G291,IF(OR(status1B5!Z291=1,status1B5!Z291=2,'BOULEVARD 5'!AB289&gt;0),"Pagado","impago"),""))</f>
        <v/>
      </c>
      <c r="Z291" s="666" t="str">
        <f>IF(OR($A291="F&amp;F",$G291=""),"",IF(Z$8&gt;$G291,IF(OR(status1B5!AA291=1,status1B5!AA291=2,'BOULEVARD 5'!AC289&gt;0),"Pagado","impago"),""))</f>
        <v/>
      </c>
      <c r="AA291" s="666" t="str">
        <f>IF(OR($A291="F&amp;F",$G291=""),"",IF(AA$8&gt;$G291,IF(OR(status1B5!AB291=1,status1B5!AB291=2,'BOULEVARD 5'!AD289&gt;0),"Pagado","impago"),""))</f>
        <v/>
      </c>
      <c r="AB291" s="666" t="str">
        <f>IF(OR($A291="F&amp;F",$G291=""),"",IF(AB$8&gt;$G291,IF(OR(status1B5!AC291=1,status1B5!AC291=2,'BOULEVARD 5'!AE289&gt;0),"Pagado","impago"),""))</f>
        <v/>
      </c>
      <c r="AC291" s="666" t="str">
        <f>IF(OR($A291="F&amp;F",$G291=""),"",IF(AC$8&gt;$G291,IF(OR(status1B5!AD291=1,status1B5!AD291=2,'BOULEVARD 5'!AF289&gt;0),"Pagado","impago"),""))</f>
        <v/>
      </c>
      <c r="AD291" s="666" t="str">
        <f>IF(OR($A291="F&amp;F",$G291=""),"",IF(AD$8&gt;$G291,IF(OR(status1B5!AE291=1,status1B5!AE291=2,'BOULEVARD 5'!AG289&gt;0),"Pagado","impago"),""))</f>
        <v/>
      </c>
      <c r="AE291" s="666" t="str">
        <f>IF(OR($A291="F&amp;F",$G291=""),"",IF(AE$8&gt;$G291,IF(OR(status1B5!AF291=1,status1B5!AF291=2,'BOULEVARD 5'!AH289&gt;0),"Pagado","impago"),""))</f>
        <v/>
      </c>
      <c r="AF291" s="666" t="str">
        <f>IF(OR($A291="F&amp;F",$G291=""),"",IF(AF$8&gt;$G291,IF(OR(status1B5!AG291=1,status1B5!AG291=2,'BOULEVARD 5'!AI289&gt;0),"Pagado","impago"),""))</f>
        <v/>
      </c>
      <c r="AG291" s="666" t="str">
        <f>IF(OR($A291="F&amp;F",$G291=""),"",IF(AG$8&gt;$G291,IF(OR(status1B5!AH291=1,status1B5!AH291=2,'BOULEVARD 5'!AJ289&gt;0),"Pagado","impago"),""))</f>
        <v/>
      </c>
      <c r="AH291" s="666" t="str">
        <f>IF(OR($A291="F&amp;F",$G291=""),"",IF(AH$8&gt;$G291,IF(OR(status1B5!AI291=1,status1B5!AI291=2,'BOULEVARD 5'!AK289&gt;0),"Pagado","impago"),""))</f>
        <v/>
      </c>
      <c r="AI291" s="666" t="str">
        <f>IF(OR($A291="F&amp;F",$G291=""),"",IF(AI$8&gt;$G291,IF(OR(status1B5!AJ291=1,status1B5!AJ291=2,'BOULEVARD 5'!AL289&gt;0),"Pagado","impago"),""))</f>
        <v/>
      </c>
      <c r="AJ291" s="666" t="str">
        <f>IF(OR($A291="F&amp;F",$G291=""),"",IF(AJ$8&gt;$G291,IF(OR(status1B5!AK291=1,status1B5!AK291=2,'BOULEVARD 5'!AM289&gt;0),"Pagado","impago"),""))</f>
        <v/>
      </c>
      <c r="AK291" s="666" t="str">
        <f>IF(OR($A291="F&amp;F",$G291=""),"",IF(AK$8&gt;$G291,IF(OR(status1B5!AL291=1,status1B5!AL291=2,'BOULEVARD 5'!AN289&gt;0),"Pagado","impago"),""))</f>
        <v/>
      </c>
      <c r="AL291" s="666" t="str">
        <f>IF(OR($A291="F&amp;F",$G291=""),"",IF(AL$8&gt;$G291,IF(OR(status1B5!AM291=1,status1B5!AM291=2,'BOULEVARD 5'!AO289&gt;0),"Pagado","impago"),""))</f>
        <v/>
      </c>
      <c r="AM291" s="666" t="str">
        <f>IF(OR($A291="F&amp;F",$G291=""),"",IF(AM$8&gt;$G291,IF(OR(status1B5!AN291=1,status1B5!AN291=2,'BOULEVARD 5'!AP289&gt;0),"Pagado","impago"),""))</f>
        <v/>
      </c>
      <c r="AN291" s="666" t="str">
        <f>IF(OR($A291="F&amp;F",$G291=""),"",IF(AN$8&gt;$G291,IF(OR(status1B5!AO291=1,status1B5!AO291=2,'BOULEVARD 5'!AQ289&gt;0),"Pagado","impago"),""))</f>
        <v/>
      </c>
      <c r="AO291" s="666" t="str">
        <f>IF(OR($A291="F&amp;F",$G291=""),"",IF(AO$8&gt;$G291,IF(OR(status1B5!AP291=1,status1B5!AP291=2,'BOULEVARD 5'!AS289&gt;0),"Pagado","impago"),""))</f>
        <v/>
      </c>
      <c r="AP291" s="429" t="str">
        <f t="shared" si="9"/>
        <v>Vendido</v>
      </c>
    </row>
    <row r="292" spans="1:42" s="429" customFormat="1" ht="13.9" customHeight="1" x14ac:dyDescent="0.25">
      <c r="B292" s="436">
        <f>'BOULEVARD 5'!B290</f>
        <v>1707</v>
      </c>
      <c r="C292" s="436" t="s">
        <v>355</v>
      </c>
      <c r="D292" s="436"/>
      <c r="E292" s="436" t="str">
        <f>IF('BOULEVARD 5'!E290="","",'BOULEVARD 5'!E290)</f>
        <v>Ronaldo Ogaldez</v>
      </c>
      <c r="F292" s="429" t="str">
        <f>IF('BOULEVARD 5'!F290="","",'BOULEVARD 5'!F290)</f>
        <v>Miguel Eduardo Yon Moll</v>
      </c>
      <c r="G292" s="473">
        <f>IF('BOULEVARD 5'!G290="","",'BOULEVARD 5'!G290)</f>
        <v>45721</v>
      </c>
      <c r="H292" s="666" t="str">
        <f>IF(OR($A292="F&amp;F",$G292=""),"",IF(H$8&gt;$G292,IF(OR(status1B5!I292=1,status1B5!I292=2,'BOULEVARD 5'!K290&gt;0),"Pagado","impago"),""))</f>
        <v/>
      </c>
      <c r="I292" s="666" t="str">
        <f>IF(OR($A292="F&amp;F",$G292=""),"",IF(I$8&gt;$G292,IF(OR(status1B5!J292=1,status1B5!J292=2,'BOULEVARD 5'!L290&gt;0),"Pagado","impago"),""))</f>
        <v/>
      </c>
      <c r="J292" s="666" t="str">
        <f>IF(OR($A292="F&amp;F",$G292=""),"",IF(J$8&gt;$G292,IF(OR(status1B5!K292=1,status1B5!K292=2,'BOULEVARD 5'!M290&gt;0),"Pagado","impago"),""))</f>
        <v/>
      </c>
      <c r="K292" s="666" t="str">
        <f>IF(OR($A292="F&amp;F",$G292=""),"",IF(K$8&gt;$G292,IF(OR(status1B5!L292=1,status1B5!L292=2,'BOULEVARD 5'!N290&gt;0),"Pagado","impago"),""))</f>
        <v/>
      </c>
      <c r="L292" s="666" t="str">
        <f>IF(OR($A292="F&amp;F",$G292=""),"",IF(L$8&gt;$G292,IF(OR(status1B5!M292=1,status1B5!M292=2,'BOULEVARD 5'!O290&gt;0),"Pagado","impago"),""))</f>
        <v/>
      </c>
      <c r="M292" s="666" t="str">
        <f>IF(OR($A292="F&amp;F",$G292=""),"",IF(M$8&gt;$G292,IF(OR(status1B5!N292=1,status1B5!N292=2,'BOULEVARD 5'!P290&gt;0),"Pagado","impago"),""))</f>
        <v/>
      </c>
      <c r="N292" s="666" t="str">
        <f>IF(OR($A292="F&amp;F",$G292=""),"",IF(N$8&gt;$G292,IF(OR(status1B5!O292=1,status1B5!O292=2,'BOULEVARD 5'!Q290&gt;0),"Pagado","impago"),""))</f>
        <v/>
      </c>
      <c r="O292" s="666" t="str">
        <f>IF(OR($A292="F&amp;F",$G292=""),"",IF(O$8&gt;$G292,IF(OR(status1B5!P292=1,status1B5!P292=2,'BOULEVARD 5'!R290&gt;0),"Pagado","impago"),""))</f>
        <v/>
      </c>
      <c r="P292" s="666" t="str">
        <f>IF(OR($A292="F&amp;F",$G292=""),"",IF(P$8&gt;$G292,IF(OR(status1B5!Q292=1,status1B5!Q292=2,'BOULEVARD 5'!S290&gt;0),"Pagado","impago"),""))</f>
        <v/>
      </c>
      <c r="Q292" s="666" t="str">
        <f>IF(OR($A292="F&amp;F",$G292=""),"",IF(Q$8&gt;$G292,IF(OR(status1B5!R292=1,status1B5!R292=2,'BOULEVARD 5'!T290&gt;0),"Pagado","impago"),""))</f>
        <v/>
      </c>
      <c r="R292" s="666" t="str">
        <f>IF(OR($A292="F&amp;F",$G292=""),"",IF(R$8&gt;$G292,IF(OR(status1B5!S292=1,status1B5!S292=2,'BOULEVARD 5'!U290&gt;0),"Pagado","impago"),""))</f>
        <v/>
      </c>
      <c r="S292" s="666" t="str">
        <f>IF(OR($A292="F&amp;F",$G292=""),"",IF(S$8&gt;$G292,IF(OR(status1B5!T292=1,status1B5!T292=2,'BOULEVARD 5'!V290&gt;0),"Pagado","impago"),""))</f>
        <v/>
      </c>
      <c r="T292" s="666" t="str">
        <f>IF(OR($A292="F&amp;F",$G292=""),"",IF(T$8&gt;$G292,IF(OR(status1B5!U292=1,status1B5!U292=2,'BOULEVARD 5'!W290&gt;0),"Pagado","impago"),""))</f>
        <v/>
      </c>
      <c r="U292" s="666" t="str">
        <f>IF(OR($A292="F&amp;F",$G292=""),"",IF(U$8&gt;$G292,IF(OR(status1B5!V292=1,status1B5!V292=2,'BOULEVARD 5'!X290&gt;0),"Pagado","impago"),""))</f>
        <v/>
      </c>
      <c r="V292" s="666" t="str">
        <f>IF(OR($A292="F&amp;F",$G292=""),"",IF(V$8&gt;$G292,IF(OR(status1B5!W292=1,status1B5!W292=2,'BOULEVARD 5'!Y290&gt;0),"Pagado","impago"),""))</f>
        <v/>
      </c>
      <c r="W292" s="666" t="str">
        <f>IF(OR($A292="F&amp;F",$G292=""),"",IF(W$8&gt;$G292,IF(OR(status1B5!X292=1,status1B5!X292=2,'BOULEVARD 5'!Z290&gt;0),"Pagado","impago"),""))</f>
        <v/>
      </c>
      <c r="X292" s="666" t="str">
        <f>IF(OR($A292="F&amp;F",$G292=""),"",IF(X$8&gt;$G292,IF(OR(status1B5!Y292=1,status1B5!Y292=2,'BOULEVARD 5'!AA290&gt;0),"Pagado","impago"),""))</f>
        <v/>
      </c>
      <c r="Y292" s="666" t="str">
        <f>IF(OR($A292="F&amp;F",$G292=""),"",IF(Y$8&gt;$G292,IF(OR(status1B5!Z292=1,status1B5!Z292=2,'BOULEVARD 5'!AB290&gt;0),"Pagado","impago"),""))</f>
        <v/>
      </c>
      <c r="Z292" s="666" t="str">
        <f>IF(OR($A292="F&amp;F",$G292=""),"",IF(Z$8&gt;$G292,IF(OR(status1B5!AA292=1,status1B5!AA292=2,'BOULEVARD 5'!AC290&gt;0),"Pagado","impago"),""))</f>
        <v/>
      </c>
      <c r="AA292" s="666" t="str">
        <f>IF(OR($A292="F&amp;F",$G292=""),"",IF(AA$8&gt;$G292,IF(OR(status1B5!AB292=1,status1B5!AB292=2,'BOULEVARD 5'!AD290&gt;0),"Pagado","impago"),""))</f>
        <v/>
      </c>
      <c r="AB292" s="666" t="str">
        <f>IF(OR($A292="F&amp;F",$G292=""),"",IF(AB$8&gt;$G292,IF(OR(status1B5!AC292=1,status1B5!AC292=2,'BOULEVARD 5'!AE290&gt;0),"Pagado","impago"),""))</f>
        <v/>
      </c>
      <c r="AC292" s="666" t="str">
        <f>IF(OR($A292="F&amp;F",$G292=""),"",IF(AC$8&gt;$G292,IF(OR(status1B5!AD292=1,status1B5!AD292=2,'BOULEVARD 5'!AF290&gt;0),"Pagado","impago"),""))</f>
        <v/>
      </c>
      <c r="AD292" s="666" t="str">
        <f>IF(OR($A292="F&amp;F",$G292=""),"",IF(AD$8&gt;$G292,IF(OR(status1B5!AE292=1,status1B5!AE292=2,'BOULEVARD 5'!AG290&gt;0),"Pagado","impago"),""))</f>
        <v/>
      </c>
      <c r="AE292" s="666" t="str">
        <f>IF(OR($A292="F&amp;F",$G292=""),"",IF(AE$8&gt;$G292,IF(OR(status1B5!AF292=1,status1B5!AF292=2,'BOULEVARD 5'!AH290&gt;0),"Pagado","impago"),""))</f>
        <v/>
      </c>
      <c r="AF292" s="666" t="str">
        <f>IF(OR($A292="F&amp;F",$G292=""),"",IF(AF$8&gt;$G292,IF(OR(status1B5!AG292=1,status1B5!AG292=2,'BOULEVARD 5'!AI290&gt;0),"Pagado","impago"),""))</f>
        <v>Pagado</v>
      </c>
      <c r="AG292" s="666" t="str">
        <f>IF(OR($A292="F&amp;F",$G292=""),"",IF(AG$8&gt;$G292,IF(OR(status1B5!AH292=1,status1B5!AH292=2,'BOULEVARD 5'!AJ290&gt;0),"Pagado","impago"),""))</f>
        <v>Pagado</v>
      </c>
      <c r="AH292" s="666" t="str">
        <f>IF(OR($A292="F&amp;F",$G292=""),"",IF(AH$8&gt;$G292,IF(OR(status1B5!AI292=1,status1B5!AI292=2,'BOULEVARD 5'!AK290&gt;0),"Pagado","impago"),""))</f>
        <v>Pagado</v>
      </c>
      <c r="AI292" s="666" t="str">
        <f>IF(OR($A292="F&amp;F",$G292=""),"",IF(AI$8&gt;$G292,IF(OR(status1B5!AJ292=1,status1B5!AJ292=2,'BOULEVARD 5'!AL290&gt;0),"Pagado","impago"),""))</f>
        <v>Pagado</v>
      </c>
      <c r="AJ292" s="666" t="str">
        <f>IF(OR($A292="F&amp;F",$G292=""),"",IF(AJ$8&gt;$G292,IF(OR(status1B5!AK292=1,status1B5!AK292=2,'BOULEVARD 5'!AM290&gt;0),"Pagado","impago"),""))</f>
        <v>Pagado</v>
      </c>
      <c r="AK292" s="666" t="str">
        <f>IF(OR($A292="F&amp;F",$G292=""),"",IF(AK$8&gt;$G292,IF(OR(status1B5!AL292=1,status1B5!AL292=2,'BOULEVARD 5'!AN290&gt;0),"Pagado","impago"),""))</f>
        <v>Pagado</v>
      </c>
      <c r="AL292" s="666" t="str">
        <f>IF(OR($A292="F&amp;F",$G292=""),"",IF(AL$8&gt;$G292,IF(OR(status1B5!AM292=1,status1B5!AM292=2,'BOULEVARD 5'!AO290&gt;0),"Pagado","impago"),""))</f>
        <v>Pagado</v>
      </c>
      <c r="AM292" s="666" t="str">
        <f>IF(OR($A292="F&amp;F",$G292=""),"",IF(AM$8&gt;$G292,IF(OR(status1B5!AN292=1,status1B5!AN292=2,'BOULEVARD 5'!AP290&gt;0),"Pagado","impago"),""))</f>
        <v>Pagado</v>
      </c>
      <c r="AN292" s="666" t="str">
        <f>IF(OR($A292="F&amp;F",$G292=""),"",IF(AN$8&gt;$G292,IF(OR(status1B5!AO292=1,status1B5!AO292=2,'BOULEVARD 5'!AQ290&gt;0),"Pagado","impago"),""))</f>
        <v>Pagado</v>
      </c>
      <c r="AO292" s="666" t="str">
        <f>IF(OR($A292="F&amp;F",$G292=""),"",IF(AO$8&gt;$G292,IF(OR(status1B5!AP292=1,status1B5!AP292=2,'BOULEVARD 5'!AS290&gt;0),"Pagado","impago"),""))</f>
        <v>Pagado</v>
      </c>
      <c r="AP292" s="429" t="str">
        <f t="shared" si="9"/>
        <v>Vendido</v>
      </c>
    </row>
    <row r="293" spans="1:42" s="429" customFormat="1" ht="13.9" customHeight="1" x14ac:dyDescent="0.25">
      <c r="B293" s="436">
        <f>'BOULEVARD 5'!B291</f>
        <v>1708</v>
      </c>
      <c r="C293" s="436" t="s">
        <v>355</v>
      </c>
      <c r="D293" s="436"/>
      <c r="E293" s="436" t="str">
        <f>IF('BOULEVARD 5'!E291="","",'BOULEVARD 5'!E291)</f>
        <v>Anahí Cisneros</v>
      </c>
      <c r="F293" s="429" t="str">
        <f>IF('BOULEVARD 5'!F291="","",'BOULEVARD 5'!F291)</f>
        <v>Carlos Antonio Aguilar Velasquez</v>
      </c>
      <c r="G293" s="473">
        <f>IF('BOULEVARD 5'!G291="","",'BOULEVARD 5'!G291)</f>
        <v>45957</v>
      </c>
      <c r="H293" s="666" t="str">
        <f>IF(OR($A293="F&amp;F",$G293=""),"",IF(H$8&gt;$G293,IF(OR(status1B5!I293=1,status1B5!I293=2,'BOULEVARD 5'!K291&gt;0),"Pagado","impago"),""))</f>
        <v/>
      </c>
      <c r="I293" s="666" t="str">
        <f>IF(OR($A293="F&amp;F",$G293=""),"",IF(I$8&gt;$G293,IF(OR(status1B5!J293=1,status1B5!J293=2,'BOULEVARD 5'!L291&gt;0),"Pagado","impago"),""))</f>
        <v/>
      </c>
      <c r="J293" s="666" t="str">
        <f>IF(OR($A293="F&amp;F",$G293=""),"",IF(J$8&gt;$G293,IF(OR(status1B5!K293=1,status1B5!K293=2,'BOULEVARD 5'!M291&gt;0),"Pagado","impago"),""))</f>
        <v/>
      </c>
      <c r="K293" s="666" t="str">
        <f>IF(OR($A293="F&amp;F",$G293=""),"",IF(K$8&gt;$G293,IF(OR(status1B5!L293=1,status1B5!L293=2,'BOULEVARD 5'!N291&gt;0),"Pagado","impago"),""))</f>
        <v/>
      </c>
      <c r="L293" s="666" t="str">
        <f>IF(OR($A293="F&amp;F",$G293=""),"",IF(L$8&gt;$G293,IF(OR(status1B5!M293=1,status1B5!M293=2,'BOULEVARD 5'!O291&gt;0),"Pagado","impago"),""))</f>
        <v/>
      </c>
      <c r="M293" s="666" t="str">
        <f>IF(OR($A293="F&amp;F",$G293=""),"",IF(M$8&gt;$G293,IF(OR(status1B5!N293=1,status1B5!N293=2,'BOULEVARD 5'!P291&gt;0),"Pagado","impago"),""))</f>
        <v/>
      </c>
      <c r="N293" s="666" t="str">
        <f>IF(OR($A293="F&amp;F",$G293=""),"",IF(N$8&gt;$G293,IF(OR(status1B5!O293=1,status1B5!O293=2,'BOULEVARD 5'!Q291&gt;0),"Pagado","impago"),""))</f>
        <v/>
      </c>
      <c r="O293" s="666" t="str">
        <f>IF(OR($A293="F&amp;F",$G293=""),"",IF(O$8&gt;$G293,IF(OR(status1B5!P293=1,status1B5!P293=2,'BOULEVARD 5'!R291&gt;0),"Pagado","impago"),""))</f>
        <v/>
      </c>
      <c r="P293" s="666" t="str">
        <f>IF(OR($A293="F&amp;F",$G293=""),"",IF(P$8&gt;$G293,IF(OR(status1B5!Q293=1,status1B5!Q293=2,'BOULEVARD 5'!S291&gt;0),"Pagado","impago"),""))</f>
        <v/>
      </c>
      <c r="Q293" s="666" t="str">
        <f>IF(OR($A293="F&amp;F",$G293=""),"",IF(Q$8&gt;$G293,IF(OR(status1B5!R293=1,status1B5!R293=2,'BOULEVARD 5'!T291&gt;0),"Pagado","impago"),""))</f>
        <v/>
      </c>
      <c r="R293" s="666" t="str">
        <f>IF(OR($A293="F&amp;F",$G293=""),"",IF(R$8&gt;$G293,IF(OR(status1B5!S293=1,status1B5!S293=2,'BOULEVARD 5'!U291&gt;0),"Pagado","impago"),""))</f>
        <v/>
      </c>
      <c r="S293" s="666" t="str">
        <f>IF(OR($A293="F&amp;F",$G293=""),"",IF(S$8&gt;$G293,IF(OR(status1B5!T293=1,status1B5!T293=2,'BOULEVARD 5'!V291&gt;0),"Pagado","impago"),""))</f>
        <v/>
      </c>
      <c r="T293" s="666" t="str">
        <f>IF(OR($A293="F&amp;F",$G293=""),"",IF(T$8&gt;$G293,IF(OR(status1B5!U293=1,status1B5!U293=2,'BOULEVARD 5'!W291&gt;0),"Pagado","impago"),""))</f>
        <v/>
      </c>
      <c r="U293" s="666" t="str">
        <f>IF(OR($A293="F&amp;F",$G293=""),"",IF(U$8&gt;$G293,IF(OR(status1B5!V293=1,status1B5!V293=2,'BOULEVARD 5'!X291&gt;0),"Pagado","impago"),""))</f>
        <v/>
      </c>
      <c r="V293" s="666" t="str">
        <f>IF(OR($A293="F&amp;F",$G293=""),"",IF(V$8&gt;$G293,IF(OR(status1B5!W293=1,status1B5!W293=2,'BOULEVARD 5'!Y291&gt;0),"Pagado","impago"),""))</f>
        <v/>
      </c>
      <c r="W293" s="666" t="str">
        <f>IF(OR($A293="F&amp;F",$G293=""),"",IF(W$8&gt;$G293,IF(OR(status1B5!X293=1,status1B5!X293=2,'BOULEVARD 5'!Z291&gt;0),"Pagado","impago"),""))</f>
        <v/>
      </c>
      <c r="X293" s="666" t="str">
        <f>IF(OR($A293="F&amp;F",$G293=""),"",IF(X$8&gt;$G293,IF(OR(status1B5!Y293=1,status1B5!Y293=2,'BOULEVARD 5'!AA291&gt;0),"Pagado","impago"),""))</f>
        <v/>
      </c>
      <c r="Y293" s="666" t="str">
        <f>IF(OR($A293="F&amp;F",$G293=""),"",IF(Y$8&gt;$G293,IF(OR(status1B5!Z293=1,status1B5!Z293=2,'BOULEVARD 5'!AB291&gt;0),"Pagado","impago"),""))</f>
        <v/>
      </c>
      <c r="Z293" s="666" t="str">
        <f>IF(OR($A293="F&amp;F",$G293=""),"",IF(Z$8&gt;$G293,IF(OR(status1B5!AA293=1,status1B5!AA293=2,'BOULEVARD 5'!AC291&gt;0),"Pagado","impago"),""))</f>
        <v/>
      </c>
      <c r="AA293" s="666" t="str">
        <f>IF(OR($A293="F&amp;F",$G293=""),"",IF(AA$8&gt;$G293,IF(OR(status1B5!AB293=1,status1B5!AB293=2,'BOULEVARD 5'!AD291&gt;0),"Pagado","impago"),""))</f>
        <v/>
      </c>
      <c r="AB293" s="666" t="str">
        <f>IF(OR($A293="F&amp;F",$G293=""),"",IF(AB$8&gt;$G293,IF(OR(status1B5!AC293=1,status1B5!AC293=2,'BOULEVARD 5'!AE291&gt;0),"Pagado","impago"),""))</f>
        <v/>
      </c>
      <c r="AC293" s="666" t="str">
        <f>IF(OR($A293="F&amp;F",$G293=""),"",IF(AC$8&gt;$G293,IF(OR(status1B5!AD293=1,status1B5!AD293=2,'BOULEVARD 5'!AF291&gt;0),"Pagado","impago"),""))</f>
        <v/>
      </c>
      <c r="AD293" s="666" t="str">
        <f>IF(OR($A293="F&amp;F",$G293=""),"",IF(AD$8&gt;$G293,IF(OR(status1B5!AE293=1,status1B5!AE293=2,'BOULEVARD 5'!AG291&gt;0),"Pagado","impago"),""))</f>
        <v/>
      </c>
      <c r="AE293" s="666" t="str">
        <f>IF(OR($A293="F&amp;F",$G293=""),"",IF(AE$8&gt;$G293,IF(OR(status1B5!AF293=1,status1B5!AF293=2,'BOULEVARD 5'!AH291&gt;0),"Pagado","impago"),""))</f>
        <v/>
      </c>
      <c r="AF293" s="666" t="str">
        <f>IF(OR($A293="F&amp;F",$G293=""),"",IF(AF$8&gt;$G293,IF(OR(status1B5!AG293=1,status1B5!AG293=2,'BOULEVARD 5'!AI291&gt;0),"Pagado","impago"),""))</f>
        <v/>
      </c>
      <c r="AG293" s="666" t="str">
        <f>IF(OR($A293="F&amp;F",$G293=""),"",IF(AG$8&gt;$G293,IF(OR(status1B5!AH293=1,status1B5!AH293=2,'BOULEVARD 5'!AJ291&gt;0),"Pagado","impago"),""))</f>
        <v/>
      </c>
      <c r="AH293" s="666" t="str">
        <f>IF(OR($A293="F&amp;F",$G293=""),"",IF(AH$8&gt;$G293,IF(OR(status1B5!AI293=1,status1B5!AI293=2,'BOULEVARD 5'!AK291&gt;0),"Pagado","impago"),""))</f>
        <v/>
      </c>
      <c r="AI293" s="666" t="str">
        <f>IF(OR($A293="F&amp;F",$G293=""),"",IF(AI$8&gt;$G293,IF(OR(status1B5!AJ293=1,status1B5!AJ293=2,'BOULEVARD 5'!AL291&gt;0),"Pagado","impago"),""))</f>
        <v/>
      </c>
      <c r="AJ293" s="666" t="str">
        <f>IF(OR($A293="F&amp;F",$G293=""),"",IF(AJ$8&gt;$G293,IF(OR(status1B5!AK293=1,status1B5!AK293=2,'BOULEVARD 5'!AM291&gt;0),"Pagado","impago"),""))</f>
        <v/>
      </c>
      <c r="AK293" s="666" t="str">
        <f>IF(OR($A293="F&amp;F",$G293=""),"",IF(AK$8&gt;$G293,IF(OR(status1B5!AL293=1,status1B5!AL293=2,'BOULEVARD 5'!AN291&gt;0),"Pagado","impago"),""))</f>
        <v/>
      </c>
      <c r="AL293" s="666" t="str">
        <f>IF(OR($A293="F&amp;F",$G293=""),"",IF(AL$8&gt;$G293,IF(OR(status1B5!AM293=1,status1B5!AM293=2,'BOULEVARD 5'!AO291&gt;0),"Pagado","impago"),""))</f>
        <v/>
      </c>
      <c r="AM293" s="666" t="str">
        <f>IF(OR($A293="F&amp;F",$G293=""),"",IF(AM$8&gt;$G293,IF(OR(status1B5!AN293=1,status1B5!AN293=2,'BOULEVARD 5'!AP291&gt;0),"Pagado","impago"),""))</f>
        <v>Pagado</v>
      </c>
      <c r="AN293" s="666" t="str">
        <f>IF(OR($A293="F&amp;F",$G293=""),"",IF(AN$8&gt;$G293,IF(OR(status1B5!AO293=1,status1B5!AO293=2,'BOULEVARD 5'!AQ291&gt;0),"Pagado","impago"),""))</f>
        <v>Pagado</v>
      </c>
      <c r="AO293" s="666" t="str">
        <f>IF(OR($A293="F&amp;F",$G293=""),"",IF(AO$8&gt;$G293,IF(OR(status1B5!AP293=1,status1B5!AP293=2,'BOULEVARD 5'!AS291&gt;0),"Pagado","impago"),""))</f>
        <v>Pagado</v>
      </c>
      <c r="AP293" s="429" t="str">
        <f t="shared" si="9"/>
        <v>Vendido</v>
      </c>
    </row>
    <row r="294" spans="1:42" s="429" customFormat="1" ht="13.9" customHeight="1" x14ac:dyDescent="0.25">
      <c r="A294" s="472" t="s">
        <v>58</v>
      </c>
      <c r="B294" s="475">
        <f>'BOULEVARD 5'!B292</f>
        <v>1801</v>
      </c>
      <c r="C294" s="475" t="s">
        <v>355</v>
      </c>
      <c r="D294" s="475"/>
      <c r="E294" s="475" t="str">
        <f>IF('BOULEVARD 5'!E292="","",'BOULEVARD 5'!E292)</f>
        <v>Jose Franco</v>
      </c>
      <c r="F294" s="476" t="str">
        <f>IF('BOULEVARD 5'!F292="","",'BOULEVARD 5'!F292)</f>
        <v>Luis Arimany Monzón</v>
      </c>
      <c r="G294" s="473">
        <f>IF('BOULEVARD 5'!G292="","",'BOULEVARD 5'!G292)</f>
        <v>45012</v>
      </c>
      <c r="H294" s="666" t="str">
        <f>IF(OR($A294="F&amp;F",$G294=""),"",IF(H$8&gt;$G294,IF(OR(status1B5!I294=1,status1B5!I294=2,'BOULEVARD 5'!K292&gt;0),"Pagado","impago"),""))</f>
        <v/>
      </c>
      <c r="I294" s="666" t="str">
        <f>IF(OR($A294="F&amp;F",$G294=""),"",IF(I$8&gt;$G294,IF(OR(status1B5!J294=1,status1B5!J294=2,'BOULEVARD 5'!L292&gt;0),"Pagado","impago"),""))</f>
        <v/>
      </c>
      <c r="J294" s="666" t="str">
        <f>IF(OR($A294="F&amp;F",$G294=""),"",IF(J$8&gt;$G294,IF(OR(status1B5!K294=1,status1B5!K294=2,'BOULEVARD 5'!M292&gt;0),"Pagado","impago"),""))</f>
        <v/>
      </c>
      <c r="K294" s="666" t="str">
        <f>IF(OR($A294="F&amp;F",$G294=""),"",IF(K$8&gt;$G294,IF(OR(status1B5!L294=1,status1B5!L294=2,'BOULEVARD 5'!N292&gt;0),"Pagado","impago"),""))</f>
        <v/>
      </c>
      <c r="L294" s="666" t="str">
        <f>IF(OR($A294="F&amp;F",$G294=""),"",IF(L$8&gt;$G294,IF(OR(status1B5!M294=1,status1B5!M294=2,'BOULEVARD 5'!O292&gt;0),"Pagado","impago"),""))</f>
        <v/>
      </c>
      <c r="M294" s="666" t="str">
        <f>IF(OR($A294="F&amp;F",$G294=""),"",IF(M$8&gt;$G294,IF(OR(status1B5!N294=1,status1B5!N294=2,'BOULEVARD 5'!P292&gt;0),"Pagado","impago"),""))</f>
        <v/>
      </c>
      <c r="N294" s="666" t="str">
        <f>IF(OR($A294="F&amp;F",$G294=""),"",IF(N$8&gt;$G294,IF(OR(status1B5!O294=1,status1B5!O294=2,'BOULEVARD 5'!Q292&gt;0),"Pagado","impago"),""))</f>
        <v/>
      </c>
      <c r="O294" s="666" t="str">
        <f>IF(OR($A294="F&amp;F",$G294=""),"",IF(O$8&gt;$G294,IF(OR(status1B5!P294=1,status1B5!P294=2,'BOULEVARD 5'!R292&gt;0),"Pagado","impago"),""))</f>
        <v/>
      </c>
      <c r="P294" s="666" t="str">
        <f>IF(OR($A294="F&amp;F",$G294=""),"",IF(P$8&gt;$G294,IF(OR(status1B5!Q294=1,status1B5!Q294=2,'BOULEVARD 5'!S292&gt;0),"Pagado","impago"),""))</f>
        <v/>
      </c>
      <c r="Q294" s="666" t="str">
        <f>IF(OR($A294="F&amp;F",$G294=""),"",IF(Q$8&gt;$G294,IF(OR(status1B5!R294=1,status1B5!R294=2,'BOULEVARD 5'!T292&gt;0),"Pagado","impago"),""))</f>
        <v/>
      </c>
      <c r="R294" s="666" t="str">
        <f>IF(OR($A294="F&amp;F",$G294=""),"",IF(R$8&gt;$G294,IF(OR(status1B5!S294=1,status1B5!S294=2,'BOULEVARD 5'!U292&gt;0),"Pagado","impago"),""))</f>
        <v/>
      </c>
      <c r="S294" s="666" t="str">
        <f>IF(OR($A294="F&amp;F",$G294=""),"",IF(S$8&gt;$G294,IF(OR(status1B5!T294=1,status1B5!T294=2,'BOULEVARD 5'!V292&gt;0),"Pagado","impago"),""))</f>
        <v/>
      </c>
      <c r="T294" s="666" t="str">
        <f>IF(OR($A294="F&amp;F",$G294=""),"",IF(T$8&gt;$G294,IF(OR(status1B5!U294=1,status1B5!U294=2,'BOULEVARD 5'!W292&gt;0),"Pagado","impago"),""))</f>
        <v/>
      </c>
      <c r="U294" s="666" t="str">
        <f>IF(OR($A294="F&amp;F",$G294=""),"",IF(U$8&gt;$G294,IF(OR(status1B5!V294=1,status1B5!V294=2,'BOULEVARD 5'!X292&gt;0),"Pagado","impago"),""))</f>
        <v/>
      </c>
      <c r="V294" s="666" t="str">
        <f>IF(OR($A294="F&amp;F",$G294=""),"",IF(V$8&gt;$G294,IF(OR(status1B5!W294=1,status1B5!W294=2,'BOULEVARD 5'!Y292&gt;0),"Pagado","impago"),""))</f>
        <v/>
      </c>
      <c r="W294" s="666" t="str">
        <f>IF(OR($A294="F&amp;F",$G294=""),"",IF(W$8&gt;$G294,IF(OR(status1B5!X294=1,status1B5!X294=2,'BOULEVARD 5'!Z292&gt;0),"Pagado","impago"),""))</f>
        <v/>
      </c>
      <c r="X294" s="666" t="str">
        <f>IF(OR($A294="F&amp;F",$G294=""),"",IF(X$8&gt;$G294,IF(OR(status1B5!Y294=1,status1B5!Y294=2,'BOULEVARD 5'!AA292&gt;0),"Pagado","impago"),""))</f>
        <v/>
      </c>
      <c r="Y294" s="666" t="str">
        <f>IF(OR($A294="F&amp;F",$G294=""),"",IF(Y$8&gt;$G294,IF(OR(status1B5!Z294=1,status1B5!Z294=2,'BOULEVARD 5'!AB292&gt;0),"Pagado","impago"),""))</f>
        <v/>
      </c>
      <c r="Z294" s="666" t="str">
        <f>IF(OR($A294="F&amp;F",$G294=""),"",IF(Z$8&gt;$G294,IF(OR(status1B5!AA294=1,status1B5!AA294=2,'BOULEVARD 5'!AC292&gt;0),"Pagado","impago"),""))</f>
        <v/>
      </c>
      <c r="AA294" s="666" t="str">
        <f>IF(OR($A294="F&amp;F",$G294=""),"",IF(AA$8&gt;$G294,IF(OR(status1B5!AB294=1,status1B5!AB294=2,'BOULEVARD 5'!AD292&gt;0),"Pagado","impago"),""))</f>
        <v/>
      </c>
      <c r="AB294" s="666" t="str">
        <f>IF(OR($A294="F&amp;F",$G294=""),"",IF(AB$8&gt;$G294,IF(OR(status1B5!AC294=1,status1B5!AC294=2,'BOULEVARD 5'!AE292&gt;0),"Pagado","impago"),""))</f>
        <v/>
      </c>
      <c r="AC294" s="666" t="str">
        <f>IF(OR($A294="F&amp;F",$G294=""),"",IF(AC$8&gt;$G294,IF(OR(status1B5!AD294=1,status1B5!AD294=2,'BOULEVARD 5'!AF292&gt;0),"Pagado","impago"),""))</f>
        <v/>
      </c>
      <c r="AD294" s="666" t="str">
        <f>IF(OR($A294="F&amp;F",$G294=""),"",IF(AD$8&gt;$G294,IF(OR(status1B5!AE294=1,status1B5!AE294=2,'BOULEVARD 5'!AG292&gt;0),"Pagado","impago"),""))</f>
        <v/>
      </c>
      <c r="AE294" s="666" t="str">
        <f>IF(OR($A294="F&amp;F",$G294=""),"",IF(AE$8&gt;$G294,IF(OR(status1B5!AF294=1,status1B5!AF294=2,'BOULEVARD 5'!AH292&gt;0),"Pagado","impago"),""))</f>
        <v/>
      </c>
      <c r="AF294" s="666" t="str">
        <f>IF(OR($A294="F&amp;F",$G294=""),"",IF(AF$8&gt;$G294,IF(OR(status1B5!AG294=1,status1B5!AG294=2,'BOULEVARD 5'!AI292&gt;0),"Pagado","impago"),""))</f>
        <v/>
      </c>
      <c r="AG294" s="666" t="str">
        <f>IF(OR($A294="F&amp;F",$G294=""),"",IF(AG$8&gt;$G294,IF(OR(status1B5!AH294=1,status1B5!AH294=2,'BOULEVARD 5'!AJ292&gt;0),"Pagado","impago"),""))</f>
        <v/>
      </c>
      <c r="AH294" s="666" t="str">
        <f>IF(OR($A294="F&amp;F",$G294=""),"",IF(AH$8&gt;$G294,IF(OR(status1B5!AI294=1,status1B5!AI294=2,'BOULEVARD 5'!AK292&gt;0),"Pagado","impago"),""))</f>
        <v/>
      </c>
      <c r="AI294" s="666" t="str">
        <f>IF(OR($A294="F&amp;F",$G294=""),"",IF(AI$8&gt;$G294,IF(OR(status1B5!AJ294=1,status1B5!AJ294=2,'BOULEVARD 5'!AL292&gt;0),"Pagado","impago"),""))</f>
        <v/>
      </c>
      <c r="AJ294" s="666" t="str">
        <f>IF(OR($A294="F&amp;F",$G294=""),"",IF(AJ$8&gt;$G294,IF(OR(status1B5!AK294=1,status1B5!AK294=2,'BOULEVARD 5'!AM292&gt;0),"Pagado","impago"),""))</f>
        <v/>
      </c>
      <c r="AK294" s="666" t="str">
        <f>IF(OR($A294="F&amp;F",$G294=""),"",IF(AK$8&gt;$G294,IF(OR(status1B5!AL294=1,status1B5!AL294=2,'BOULEVARD 5'!AN292&gt;0),"Pagado","impago"),""))</f>
        <v/>
      </c>
      <c r="AL294" s="666" t="str">
        <f>IF(OR($A294="F&amp;F",$G294=""),"",IF(AL$8&gt;$G294,IF(OR(status1B5!AM294=1,status1B5!AM294=2,'BOULEVARD 5'!AO292&gt;0),"Pagado","impago"),""))</f>
        <v/>
      </c>
      <c r="AM294" s="666" t="str">
        <f>IF(OR($A294="F&amp;F",$G294=""),"",IF(AM$8&gt;$G294,IF(OR(status1B5!AN294=1,status1B5!AN294=2,'BOULEVARD 5'!AP292&gt;0),"Pagado","impago"),""))</f>
        <v/>
      </c>
      <c r="AN294" s="666" t="str">
        <f>IF(OR($A294="F&amp;F",$G294=""),"",IF(AN$8&gt;$G294,IF(OR(status1B5!AO294=1,status1B5!AO294=2,'BOULEVARD 5'!AQ292&gt;0),"Pagado","impago"),""))</f>
        <v/>
      </c>
      <c r="AO294" s="666" t="str">
        <f>IF(OR($A294="F&amp;F",$G294=""),"",IF(AO$8&gt;$G294,IF(OR(status1B5!AP294=1,status1B5!AP294=2,'BOULEVARD 5'!AS292&gt;0),"Pagado","impago"),""))</f>
        <v/>
      </c>
      <c r="AP294" s="429" t="str">
        <f t="shared" si="9"/>
        <v>Vendido</v>
      </c>
    </row>
    <row r="295" spans="1:42" s="429" customFormat="1" ht="13.9" customHeight="1" x14ac:dyDescent="0.25">
      <c r="A295" s="472"/>
      <c r="B295" s="436">
        <f>'BOULEVARD 5'!B293</f>
        <v>1802</v>
      </c>
      <c r="C295" s="436" t="s">
        <v>355</v>
      </c>
      <c r="D295" s="436"/>
      <c r="E295" s="436" t="str">
        <f>IF('BOULEVARD 5'!E293="","",'BOULEVARD 5'!E293)</f>
        <v>Antonio Rada</v>
      </c>
      <c r="F295" s="429" t="str">
        <f>IF('BOULEVARD 5'!F293="","",'BOULEVARD 5'!F293)</f>
        <v>Fredy Rene Velasquez Quevedo</v>
      </c>
      <c r="G295" s="473">
        <f>IF('BOULEVARD 5'!G293="","",'BOULEVARD 5'!G293)</f>
        <v>45064</v>
      </c>
      <c r="H295" s="666" t="str">
        <f>IF(OR($A295="F&amp;F",$G295=""),"",IF(H$8&gt;$G295,IF(OR(status1B5!I295=1,status1B5!I295=2,'BOULEVARD 5'!K293&gt;0),"Pagado","impago"),""))</f>
        <v/>
      </c>
      <c r="I295" s="666" t="str">
        <f>IF(OR($A295="F&amp;F",$G295=""),"",IF(I$8&gt;$G295,IF(OR(status1B5!J295=1,status1B5!J295=2,'BOULEVARD 5'!L293&gt;0),"Pagado","impago"),""))</f>
        <v/>
      </c>
      <c r="J295" s="666" t="str">
        <f>IF(OR($A295="F&amp;F",$G295=""),"",IF(J$8&gt;$G295,IF(OR(status1B5!K295=1,status1B5!K295=2,'BOULEVARD 5'!M293&gt;0),"Pagado","impago"),""))</f>
        <v>Pagado</v>
      </c>
      <c r="K295" s="666" t="str">
        <f>IF(OR($A295="F&amp;F",$G295=""),"",IF(K$8&gt;$G295,IF(OR(status1B5!L295=1,status1B5!L295=2,'BOULEVARD 5'!N293&gt;0),"Pagado","impago"),""))</f>
        <v>Pagado</v>
      </c>
      <c r="L295" s="666" t="str">
        <f>IF(OR($A295="F&amp;F",$G295=""),"",IF(L$8&gt;$G295,IF(OR(status1B5!M295=1,status1B5!M295=2,'BOULEVARD 5'!O293&gt;0),"Pagado","impago"),""))</f>
        <v>Pagado</v>
      </c>
      <c r="M295" s="666" t="str">
        <f>IF(OR($A295="F&amp;F",$G295=""),"",IF(M$8&gt;$G295,IF(OR(status1B5!N295=1,status1B5!N295=2,'BOULEVARD 5'!P293&gt;0),"Pagado","impago"),""))</f>
        <v>Pagado</v>
      </c>
      <c r="N295" s="666" t="str">
        <f>IF(OR($A295="F&amp;F",$G295=""),"",IF(N$8&gt;$G295,IF(OR(status1B5!O295=1,status1B5!O295=2,'BOULEVARD 5'!Q293&gt;0),"Pagado","impago"),""))</f>
        <v>Pagado</v>
      </c>
      <c r="O295" s="666" t="str">
        <f>IF(OR($A295="F&amp;F",$G295=""),"",IF(O$8&gt;$G295,IF(OR(status1B5!P295=1,status1B5!P295=2,'BOULEVARD 5'!R293&gt;0),"Pagado","impago"),""))</f>
        <v>Pagado</v>
      </c>
      <c r="P295" s="666" t="str">
        <f>IF(OR($A295="F&amp;F",$G295=""),"",IF(P$8&gt;$G295,IF(OR(status1B5!Q295=1,status1B5!Q295=2,'BOULEVARD 5'!S293&gt;0),"Pagado","impago"),""))</f>
        <v>Pagado</v>
      </c>
      <c r="Q295" s="666" t="str">
        <f>IF(OR($A295="F&amp;F",$G295=""),"",IF(Q$8&gt;$G295,IF(OR(status1B5!R295=1,status1B5!R295=2,'BOULEVARD 5'!T293&gt;0),"Pagado","impago"),""))</f>
        <v>Pagado</v>
      </c>
      <c r="R295" s="666" t="str">
        <f>IF(OR($A295="F&amp;F",$G295=""),"",IF(R$8&gt;$G295,IF(OR(status1B5!S295=1,status1B5!S295=2,'BOULEVARD 5'!U293&gt;0),"Pagado","impago"),""))</f>
        <v>Pagado</v>
      </c>
      <c r="S295" s="666" t="str">
        <f>IF(OR($A295="F&amp;F",$G295=""),"",IF(S$8&gt;$G295,IF(OR(status1B5!T295=1,status1B5!T295=2,'BOULEVARD 5'!V293&gt;0),"Pagado","impago"),""))</f>
        <v>Pagado</v>
      </c>
      <c r="T295" s="666" t="str">
        <f>IF(OR($A295="F&amp;F",$G295=""),"",IF(T$8&gt;$G295,IF(OR(status1B5!U295=1,status1B5!U295=2,'BOULEVARD 5'!W293&gt;0),"Pagado","impago"),""))</f>
        <v>Pagado</v>
      </c>
      <c r="U295" s="666" t="str">
        <f>IF(OR($A295="F&amp;F",$G295=""),"",IF(U$8&gt;$G295,IF(OR(status1B5!V295=1,status1B5!V295=2,'BOULEVARD 5'!X293&gt;0),"Pagado","impago"),""))</f>
        <v>Pagado</v>
      </c>
      <c r="V295" s="666" t="str">
        <f>IF(OR($A295="F&amp;F",$G295=""),"",IF(V$8&gt;$G295,IF(OR(status1B5!W295=1,status1B5!W295=2,'BOULEVARD 5'!Y293&gt;0),"Pagado","impago"),""))</f>
        <v>Pagado</v>
      </c>
      <c r="W295" s="666" t="str">
        <f>IF(OR($A295="F&amp;F",$G295=""),"",IF(W$8&gt;$G295,IF(OR(status1B5!X295=1,status1B5!X295=2,'BOULEVARD 5'!Z293&gt;0),"Pagado","impago"),""))</f>
        <v>Pagado</v>
      </c>
      <c r="X295" s="666" t="str">
        <f>IF(OR($A295="F&amp;F",$G295=""),"",IF(X$8&gt;$G295,IF(OR(status1B5!Y295=1,status1B5!Y295=2,'BOULEVARD 5'!AA293&gt;0),"Pagado","impago"),""))</f>
        <v>Pagado</v>
      </c>
      <c r="Y295" s="666" t="str">
        <f>IF(OR($A295="F&amp;F",$G295=""),"",IF(Y$8&gt;$G295,IF(OR(status1B5!Z295=1,status1B5!Z295=2,'BOULEVARD 5'!AB293&gt;0),"Pagado","impago"),""))</f>
        <v>Pagado</v>
      </c>
      <c r="Z295" s="666" t="str">
        <f>IF(OR($A295="F&amp;F",$G295=""),"",IF(Z$8&gt;$G295,IF(OR(status1B5!AA295=1,status1B5!AA295=2,'BOULEVARD 5'!AC293&gt;0),"Pagado","impago"),""))</f>
        <v>Pagado</v>
      </c>
      <c r="AA295" s="666" t="str">
        <f>IF(OR($A295="F&amp;F",$G295=""),"",IF(AA$8&gt;$G295,IF(OR(status1B5!AB295=1,status1B5!AB295=2,'BOULEVARD 5'!AD293&gt;0),"Pagado","impago"),""))</f>
        <v>Pagado</v>
      </c>
      <c r="AB295" s="666" t="str">
        <f>IF(OR($A295="F&amp;F",$G295=""),"",IF(AB$8&gt;$G295,IF(OR(status1B5!AC295=1,status1B5!AC295=2,'BOULEVARD 5'!AE293&gt;0),"Pagado","impago"),""))</f>
        <v>Pagado</v>
      </c>
      <c r="AC295" s="666" t="str">
        <f>IF(OR($A295="F&amp;F",$G295=""),"",IF(AC$8&gt;$G295,IF(OR(status1B5!AD295=1,status1B5!AD295=2,'BOULEVARD 5'!AF293&gt;0),"Pagado","impago"),""))</f>
        <v>Pagado</v>
      </c>
      <c r="AD295" s="666" t="str">
        <f>IF(OR($A295="F&amp;F",$G295=""),"",IF(AD$8&gt;$G295,IF(OR(status1B5!AE295=1,status1B5!AE295=2,'BOULEVARD 5'!AG293&gt;0),"Pagado","impago"),""))</f>
        <v>Pagado</v>
      </c>
      <c r="AE295" s="666" t="str">
        <f>IF(OR($A295="F&amp;F",$G295=""),"",IF(AE$8&gt;$G295,IF(OR(status1B5!AF295=1,status1B5!AF295=2,'BOULEVARD 5'!AH293&gt;0),"Pagado","impago"),""))</f>
        <v>Pagado</v>
      </c>
      <c r="AF295" s="666" t="str">
        <f>IF(OR($A295="F&amp;F",$G295=""),"",IF(AF$8&gt;$G295,IF(OR(status1B5!AG295=1,status1B5!AG295=2,'BOULEVARD 5'!AI293&gt;0),"Pagado","impago"),""))</f>
        <v>Pagado</v>
      </c>
      <c r="AG295" s="666" t="str">
        <f>IF(OR($A295="F&amp;F",$G295=""),"",IF(AG$8&gt;$G295,IF(OR(status1B5!AH295=1,status1B5!AH295=2,'BOULEVARD 5'!AJ293&gt;0),"Pagado","impago"),""))</f>
        <v>Pagado</v>
      </c>
      <c r="AH295" s="666" t="str">
        <f>IF(OR($A295="F&amp;F",$G295=""),"",IF(AH$8&gt;$G295,IF(OR(status1B5!AI295=1,status1B5!AI295=2,'BOULEVARD 5'!AK293&gt;0),"Pagado","impago"),""))</f>
        <v>Pagado</v>
      </c>
      <c r="AI295" s="666" t="str">
        <f>IF(OR($A295="F&amp;F",$G295=""),"",IF(AI$8&gt;$G295,IF(OR(status1B5!AJ295=1,status1B5!AJ295=2,'BOULEVARD 5'!AL293&gt;0),"Pagado","impago"),""))</f>
        <v>Pagado</v>
      </c>
      <c r="AJ295" s="666" t="str">
        <f>IF(OR($A295="F&amp;F",$G295=""),"",IF(AJ$8&gt;$G295,IF(OR(status1B5!AK295=1,status1B5!AK295=2,'BOULEVARD 5'!AM293&gt;0),"Pagado","impago"),""))</f>
        <v>Pagado</v>
      </c>
      <c r="AK295" s="666" t="str">
        <f>IF(OR($A295="F&amp;F",$G295=""),"",IF(AK$8&gt;$G295,IF(OR(status1B5!AL295=1,status1B5!AL295=2,'BOULEVARD 5'!AN293&gt;0),"Pagado","impago"),""))</f>
        <v>Pagado</v>
      </c>
      <c r="AL295" s="666" t="str">
        <f>IF(OR($A295="F&amp;F",$G295=""),"",IF(AL$8&gt;$G295,IF(OR(status1B5!AM295=1,status1B5!AM295=2,'BOULEVARD 5'!AO293&gt;0),"Pagado","impago"),""))</f>
        <v>Pagado</v>
      </c>
      <c r="AM295" s="666" t="str">
        <f>IF(OR($A295="F&amp;F",$G295=""),"",IF(AM$8&gt;$G295,IF(OR(status1B5!AN295=1,status1B5!AN295=2,'BOULEVARD 5'!AP293&gt;0),"Pagado","impago"),""))</f>
        <v>Pagado</v>
      </c>
      <c r="AN295" s="666" t="str">
        <f>IF(OR($A295="F&amp;F",$G295=""),"",IF(AN$8&gt;$G295,IF(OR(status1B5!AO295=1,status1B5!AO295=2,'BOULEVARD 5'!AQ293&gt;0),"Pagado","impago"),""))</f>
        <v>Pagado</v>
      </c>
      <c r="AO295" s="666" t="e">
        <f>IF(OR($A295="F&amp;F",$G295=""),"",IF(AO$8&gt;$G295,IF(OR(status1B5!AP295=1,status1B5!AP295=2,'BOULEVARD 5'!#REF!&gt;0),"Pagado","impago"),""))</f>
        <v>#REF!</v>
      </c>
      <c r="AP295" s="429" t="str">
        <f t="shared" si="9"/>
        <v>Vendido</v>
      </c>
    </row>
    <row r="296" spans="1:42" s="429" customFormat="1" ht="13.9" customHeight="1" x14ac:dyDescent="0.25">
      <c r="B296" s="436">
        <f>'BOULEVARD 5'!B294</f>
        <v>1803</v>
      </c>
      <c r="C296" s="436" t="s">
        <v>355</v>
      </c>
      <c r="D296" s="436"/>
      <c r="E296" s="436" t="str">
        <f>IF('BOULEVARD 5'!E294="","",'BOULEVARD 5'!E294)</f>
        <v>Anahi Cisneros</v>
      </c>
      <c r="F296" s="429" t="str">
        <f>IF('BOULEVARD 5'!F294="","",'BOULEVARD 5'!F294)</f>
        <v>Rivabella S.A.</v>
      </c>
      <c r="G296" s="473">
        <f>IF('BOULEVARD 5'!G294="","",'BOULEVARD 5'!G294)</f>
        <v>45976</v>
      </c>
      <c r="H296" s="666" t="str">
        <f>IF(OR($A296="F&amp;F",$G296=""),"",IF(H$8&gt;$G296,IF(OR(status1B5!I296=1,status1B5!I296=2,'BOULEVARD 5'!K294&gt;0),"Pagado","impago"),""))</f>
        <v/>
      </c>
      <c r="I296" s="666" t="str">
        <f>IF(OR($A296="F&amp;F",$G296=""),"",IF(I$8&gt;$G296,IF(OR(status1B5!J296=1,status1B5!J296=2,'BOULEVARD 5'!L294&gt;0),"Pagado","impago"),""))</f>
        <v/>
      </c>
      <c r="J296" s="666" t="str">
        <f>IF(OR($A296="F&amp;F",$G296=""),"",IF(J$8&gt;$G296,IF(OR(status1B5!K296=1,status1B5!K296=2,'BOULEVARD 5'!M294&gt;0),"Pagado","impago"),""))</f>
        <v/>
      </c>
      <c r="K296" s="666" t="str">
        <f>IF(OR($A296="F&amp;F",$G296=""),"",IF(K$8&gt;$G296,IF(OR(status1B5!L296=1,status1B5!L296=2,'BOULEVARD 5'!N294&gt;0),"Pagado","impago"),""))</f>
        <v/>
      </c>
      <c r="L296" s="666" t="str">
        <f>IF(OR($A296="F&amp;F",$G296=""),"",IF(L$8&gt;$G296,IF(OR(status1B5!M296=1,status1B5!M296=2,'BOULEVARD 5'!O294&gt;0),"Pagado","impago"),""))</f>
        <v/>
      </c>
      <c r="M296" s="666" t="str">
        <f>IF(OR($A296="F&amp;F",$G296=""),"",IF(M$8&gt;$G296,IF(OR(status1B5!N296=1,status1B5!N296=2,'BOULEVARD 5'!P294&gt;0),"Pagado","impago"),""))</f>
        <v/>
      </c>
      <c r="N296" s="666" t="str">
        <f>IF(OR($A296="F&amp;F",$G296=""),"",IF(N$8&gt;$G296,IF(OR(status1B5!O296=1,status1B5!O296=2,'BOULEVARD 5'!Q294&gt;0),"Pagado","impago"),""))</f>
        <v/>
      </c>
      <c r="O296" s="666" t="str">
        <f>IF(OR($A296="F&amp;F",$G296=""),"",IF(O$8&gt;$G296,IF(OR(status1B5!P296=1,status1B5!P296=2,'BOULEVARD 5'!R294&gt;0),"Pagado","impago"),""))</f>
        <v/>
      </c>
      <c r="P296" s="666" t="str">
        <f>IF(OR($A296="F&amp;F",$G296=""),"",IF(P$8&gt;$G296,IF(OR(status1B5!Q296=1,status1B5!Q296=2,'BOULEVARD 5'!S294&gt;0),"Pagado","impago"),""))</f>
        <v/>
      </c>
      <c r="Q296" s="666" t="str">
        <f>IF(OR($A296="F&amp;F",$G296=""),"",IF(Q$8&gt;$G296,IF(OR(status1B5!R296=1,status1B5!R296=2,'BOULEVARD 5'!T294&gt;0),"Pagado","impago"),""))</f>
        <v/>
      </c>
      <c r="R296" s="666" t="str">
        <f>IF(OR($A296="F&amp;F",$G296=""),"",IF(R$8&gt;$G296,IF(OR(status1B5!S296=1,status1B5!S296=2,'BOULEVARD 5'!U294&gt;0),"Pagado","impago"),""))</f>
        <v/>
      </c>
      <c r="S296" s="666" t="str">
        <f>IF(OR($A296="F&amp;F",$G296=""),"",IF(S$8&gt;$G296,IF(OR(status1B5!T296=1,status1B5!T296=2,'BOULEVARD 5'!V294&gt;0),"Pagado","impago"),""))</f>
        <v/>
      </c>
      <c r="T296" s="666" t="str">
        <f>IF(OR($A296="F&amp;F",$G296=""),"",IF(T$8&gt;$G296,IF(OR(status1B5!U296=1,status1B5!U296=2,'BOULEVARD 5'!W294&gt;0),"Pagado","impago"),""))</f>
        <v/>
      </c>
      <c r="U296" s="666" t="str">
        <f>IF(OR($A296="F&amp;F",$G296=""),"",IF(U$8&gt;$G296,IF(OR(status1B5!V296=1,status1B5!V296=2,'BOULEVARD 5'!X294&gt;0),"Pagado","impago"),""))</f>
        <v/>
      </c>
      <c r="V296" s="666" t="str">
        <f>IF(OR($A296="F&amp;F",$G296=""),"",IF(V$8&gt;$G296,IF(OR(status1B5!W296=1,status1B5!W296=2,'BOULEVARD 5'!Y294&gt;0),"Pagado","impago"),""))</f>
        <v/>
      </c>
      <c r="W296" s="666" t="str">
        <f>IF(OR($A296="F&amp;F",$G296=""),"",IF(W$8&gt;$G296,IF(OR(status1B5!X296=1,status1B5!X296=2,'BOULEVARD 5'!Z294&gt;0),"Pagado","impago"),""))</f>
        <v/>
      </c>
      <c r="X296" s="666" t="str">
        <f>IF(OR($A296="F&amp;F",$G296=""),"",IF(X$8&gt;$G296,IF(OR(status1B5!Y296=1,status1B5!Y296=2,'BOULEVARD 5'!AA294&gt;0),"Pagado","impago"),""))</f>
        <v/>
      </c>
      <c r="Y296" s="666" t="str">
        <f>IF(OR($A296="F&amp;F",$G296=""),"",IF(Y$8&gt;$G296,IF(OR(status1B5!Z296=1,status1B5!Z296=2,'BOULEVARD 5'!AB294&gt;0),"Pagado","impago"),""))</f>
        <v/>
      </c>
      <c r="Z296" s="666" t="str">
        <f>IF(OR($A296="F&amp;F",$G296=""),"",IF(Z$8&gt;$G296,IF(OR(status1B5!AA296=1,status1B5!AA296=2,'BOULEVARD 5'!AC294&gt;0),"Pagado","impago"),""))</f>
        <v/>
      </c>
      <c r="AA296" s="666" t="str">
        <f>IF(OR($A296="F&amp;F",$G296=""),"",IF(AA$8&gt;$G296,IF(OR(status1B5!AB296=1,status1B5!AB296=2,'BOULEVARD 5'!AD294&gt;0),"Pagado","impago"),""))</f>
        <v/>
      </c>
      <c r="AB296" s="666" t="str">
        <f>IF(OR($A296="F&amp;F",$G296=""),"",IF(AB$8&gt;$G296,IF(OR(status1B5!AC296=1,status1B5!AC296=2,'BOULEVARD 5'!AE294&gt;0),"Pagado","impago"),""))</f>
        <v/>
      </c>
      <c r="AC296" s="666" t="str">
        <f>IF(OR($A296="F&amp;F",$G296=""),"",IF(AC$8&gt;$G296,IF(OR(status1B5!AD296=1,status1B5!AD296=2,'BOULEVARD 5'!AF294&gt;0),"Pagado","impago"),""))</f>
        <v/>
      </c>
      <c r="AD296" s="666" t="str">
        <f>IF(OR($A296="F&amp;F",$G296=""),"",IF(AD$8&gt;$G296,IF(OR(status1B5!AE296=1,status1B5!AE296=2,'BOULEVARD 5'!AG294&gt;0),"Pagado","impago"),""))</f>
        <v/>
      </c>
      <c r="AE296" s="666" t="str">
        <f>IF(OR($A296="F&amp;F",$G296=""),"",IF(AE$8&gt;$G296,IF(OR(status1B5!AF296=1,status1B5!AF296=2,'BOULEVARD 5'!AH294&gt;0),"Pagado","impago"),""))</f>
        <v/>
      </c>
      <c r="AF296" s="666" t="str">
        <f>IF(OR($A296="F&amp;F",$G296=""),"",IF(AF$8&gt;$G296,IF(OR(status1B5!AG296=1,status1B5!AG296=2,'BOULEVARD 5'!AI294&gt;0),"Pagado","impago"),""))</f>
        <v/>
      </c>
      <c r="AG296" s="666" t="str">
        <f>IF(OR($A296="F&amp;F",$G296=""),"",IF(AG$8&gt;$G296,IF(OR(status1B5!AH296=1,status1B5!AH296=2,'BOULEVARD 5'!AJ294&gt;0),"Pagado","impago"),""))</f>
        <v/>
      </c>
      <c r="AH296" s="666" t="str">
        <f>IF(OR($A296="F&amp;F",$G296=""),"",IF(AH$8&gt;$G296,IF(OR(status1B5!AI296=1,status1B5!AI296=2,'BOULEVARD 5'!AK294&gt;0),"Pagado","impago"),""))</f>
        <v/>
      </c>
      <c r="AI296" s="666" t="str">
        <f>IF(OR($A296="F&amp;F",$G296=""),"",IF(AI$8&gt;$G296,IF(OR(status1B5!AJ296=1,status1B5!AJ296=2,'BOULEVARD 5'!AL294&gt;0),"Pagado","impago"),""))</f>
        <v/>
      </c>
      <c r="AJ296" s="666" t="str">
        <f>IF(OR($A296="F&amp;F",$G296=""),"",IF(AJ$8&gt;$G296,IF(OR(status1B5!AK296=1,status1B5!AK296=2,'BOULEVARD 5'!AM294&gt;0),"Pagado","impago"),""))</f>
        <v/>
      </c>
      <c r="AK296" s="666" t="str">
        <f>IF(OR($A296="F&amp;F",$G296=""),"",IF(AK$8&gt;$G296,IF(OR(status1B5!AL296=1,status1B5!AL296=2,'BOULEVARD 5'!AN294&gt;0),"Pagado","impago"),""))</f>
        <v/>
      </c>
      <c r="AL296" s="666" t="str">
        <f>IF(OR($A296="F&amp;F",$G296=""),"",IF(AL$8&gt;$G296,IF(OR(status1B5!AM296=1,status1B5!AM296=2,'BOULEVARD 5'!AO294&gt;0),"Pagado","impago"),""))</f>
        <v/>
      </c>
      <c r="AM296" s="666" t="str">
        <f>IF(OR($A296="F&amp;F",$G296=""),"",IF(AM$8&gt;$G296,IF(OR(status1B5!AN296=1,status1B5!AN296=2,'BOULEVARD 5'!AP294&gt;0),"Pagado","impago"),""))</f>
        <v/>
      </c>
      <c r="AN296" s="666" t="str">
        <f>IF(OR($A296="F&amp;F",$G296=""),"",IF(AN$8&gt;$G296,IF(OR(status1B5!AO296=1,status1B5!AO296=2,'BOULEVARD 5'!AQ294&gt;0),"Pagado","impago"),""))</f>
        <v>Pagado</v>
      </c>
      <c r="AO296" s="666" t="str">
        <f>IF(OR($A296="F&amp;F",$G296=""),"",IF(AO$8&gt;$G296,IF(OR(status1B5!AP296=1,status1B5!AP296=2,'BOULEVARD 5'!AS293&gt;0),"Pagado","impago"),""))</f>
        <v>Pagado</v>
      </c>
      <c r="AP296" s="429" t="str">
        <f t="shared" si="9"/>
        <v>Vendido</v>
      </c>
    </row>
    <row r="297" spans="1:42" s="429" customFormat="1" ht="13.9" customHeight="1" x14ac:dyDescent="0.25">
      <c r="A297" s="472"/>
      <c r="B297" s="436">
        <f>'BOULEVARD 5'!B295</f>
        <v>1804</v>
      </c>
      <c r="C297" s="436" t="s">
        <v>355</v>
      </c>
      <c r="D297" s="436"/>
      <c r="E297" s="436" t="str">
        <f>IF('BOULEVARD 5'!E295="","",'BOULEVARD 5'!E295)</f>
        <v>Brenda Búcaro</v>
      </c>
      <c r="F297" s="429" t="str">
        <f>IF('BOULEVARD 5'!F295="","",'BOULEVARD 5'!F295)</f>
        <v>Juan Pablo Monterroso Arroyo</v>
      </c>
      <c r="G297" s="473">
        <f>IF('BOULEVARD 5'!G295="","",'BOULEVARD 5'!G295)</f>
        <v>44995</v>
      </c>
      <c r="H297" s="666" t="str">
        <f>IF(OR($A297="F&amp;F",$G297=""),"",IF(H$8&gt;$G297,IF(OR(status1B5!I297=1,status1B5!I297=2,'BOULEVARD 5'!K295&gt;0),"Pagado","impago"),""))</f>
        <v>Pagado</v>
      </c>
      <c r="I297" s="666" t="str">
        <f>IF(OR($A297="F&amp;F",$G297=""),"",IF(I$8&gt;$G297,IF(OR(status1B5!J297=1,status1B5!J297=2,'BOULEVARD 5'!L295&gt;0),"Pagado","impago"),""))</f>
        <v>Pagado</v>
      </c>
      <c r="J297" s="666" t="str">
        <f>IF(OR($A297="F&amp;F",$G297=""),"",IF(J$8&gt;$G297,IF(OR(status1B5!K297=1,status1B5!K297=2,'BOULEVARD 5'!M295&gt;0),"Pagado","impago"),""))</f>
        <v>Pagado</v>
      </c>
      <c r="K297" s="666" t="str">
        <f>IF(OR($A297="F&amp;F",$G297=""),"",IF(K$8&gt;$G297,IF(OR(status1B5!L297=1,status1B5!L297=2,'BOULEVARD 5'!N295&gt;0),"Pagado","impago"),""))</f>
        <v>Pagado</v>
      </c>
      <c r="L297" s="666" t="str">
        <f>IF(OR($A297="F&amp;F",$G297=""),"",IF(L$8&gt;$G297,IF(OR(status1B5!M297=1,status1B5!M297=2,'BOULEVARD 5'!O295&gt;0),"Pagado","impago"),""))</f>
        <v>Pagado</v>
      </c>
      <c r="M297" s="666" t="str">
        <f>IF(OR($A297="F&amp;F",$G297=""),"",IF(M$8&gt;$G297,IF(OR(status1B5!N297=1,status1B5!N297=2,'BOULEVARD 5'!P295&gt;0),"Pagado","impago"),""))</f>
        <v>Pagado</v>
      </c>
      <c r="N297" s="666" t="str">
        <f>IF(OR($A297="F&amp;F",$G297=""),"",IF(N$8&gt;$G297,IF(OR(status1B5!O297=1,status1B5!O297=2,'BOULEVARD 5'!Q295&gt;0),"Pagado","impago"),""))</f>
        <v>Pagado</v>
      </c>
      <c r="O297" s="666" t="str">
        <f>IF(OR($A297="F&amp;F",$G297=""),"",IF(O$8&gt;$G297,IF(OR(status1B5!P297=1,status1B5!P297=2,'BOULEVARD 5'!R295&gt;0),"Pagado","impago"),""))</f>
        <v>Pagado</v>
      </c>
      <c r="P297" s="666" t="str">
        <f>IF(OR($A297="F&amp;F",$G297=""),"",IF(P$8&gt;$G297,IF(OR(status1B5!Q297=1,status1B5!Q297=2,'BOULEVARD 5'!S295&gt;0),"Pagado","impago"),""))</f>
        <v>Pagado</v>
      </c>
      <c r="Q297" s="666" t="str">
        <f>IF(OR($A297="F&amp;F",$G297=""),"",IF(Q$8&gt;$G297,IF(OR(status1B5!R297=1,status1B5!R297=2,'BOULEVARD 5'!T295&gt;0),"Pagado","impago"),""))</f>
        <v>Pagado</v>
      </c>
      <c r="R297" s="666" t="str">
        <f>IF(OR($A297="F&amp;F",$G297=""),"",IF(R$8&gt;$G297,IF(OR(status1B5!S297=1,status1B5!S297=2,'BOULEVARD 5'!U295&gt;0),"Pagado","impago"),""))</f>
        <v>Pagado</v>
      </c>
      <c r="S297" s="666" t="str">
        <f>IF(OR($A297="F&amp;F",$G297=""),"",IF(S$8&gt;$G297,IF(OR(status1B5!T297=1,status1B5!T297=2,'BOULEVARD 5'!V295&gt;0),"Pagado","impago"),""))</f>
        <v>Pagado</v>
      </c>
      <c r="T297" s="666" t="str">
        <f>IF(OR($A297="F&amp;F",$G297=""),"",IF(T$8&gt;$G297,IF(OR(status1B5!U297=1,status1B5!U297=2,'BOULEVARD 5'!W295&gt;0),"Pagado","impago"),""))</f>
        <v>Pagado</v>
      </c>
      <c r="U297" s="666" t="str">
        <f>IF(OR($A297="F&amp;F",$G297=""),"",IF(U$8&gt;$G297,IF(OR(status1B5!V297=1,status1B5!V297=2,'BOULEVARD 5'!X295&gt;0),"Pagado","impago"),""))</f>
        <v>Pagado</v>
      </c>
      <c r="V297" s="666" t="str">
        <f>IF(OR($A297="F&amp;F",$G297=""),"",IF(V$8&gt;$G297,IF(OR(status1B5!W297=1,status1B5!W297=2,'BOULEVARD 5'!Y295&gt;0),"Pagado","impago"),""))</f>
        <v>Pagado</v>
      </c>
      <c r="W297" s="666" t="str">
        <f>IF(OR($A297="F&amp;F",$G297=""),"",IF(W$8&gt;$G297,IF(OR(status1B5!X297=1,status1B5!X297=2,'BOULEVARD 5'!Z295&gt;0),"Pagado","impago"),""))</f>
        <v>Pagado</v>
      </c>
      <c r="X297" s="666" t="str">
        <f>IF(OR($A297="F&amp;F",$G297=""),"",IF(X$8&gt;$G297,IF(OR(status1B5!Y297=1,status1B5!Y297=2,'BOULEVARD 5'!AA295&gt;0),"Pagado","impago"),""))</f>
        <v>Pagado</v>
      </c>
      <c r="Y297" s="666" t="str">
        <f>IF(OR($A297="F&amp;F",$G297=""),"",IF(Y$8&gt;$G297,IF(OR(status1B5!Z297=1,status1B5!Z297=2,'BOULEVARD 5'!AB295&gt;0),"Pagado","impago"),""))</f>
        <v>Pagado</v>
      </c>
      <c r="Z297" s="666" t="str">
        <f>IF(OR($A297="F&amp;F",$G297=""),"",IF(Z$8&gt;$G297,IF(OR(status1B5!AA297=1,status1B5!AA297=2,'BOULEVARD 5'!AC295&gt;0),"Pagado","impago"),""))</f>
        <v>Pagado</v>
      </c>
      <c r="AA297" s="666" t="str">
        <f>IF(OR($A297="F&amp;F",$G297=""),"",IF(AA$8&gt;$G297,IF(OR(status1B5!AB297=1,status1B5!AB297=2,'BOULEVARD 5'!AD295&gt;0),"Pagado","impago"),""))</f>
        <v>Pagado</v>
      </c>
      <c r="AB297" s="666" t="str">
        <f>IF(OR($A297="F&amp;F",$G297=""),"",IF(AB$8&gt;$G297,IF(OR(status1B5!AC297=1,status1B5!AC297=2,'BOULEVARD 5'!AE295&gt;0),"Pagado","impago"),""))</f>
        <v>Pagado</v>
      </c>
      <c r="AC297" s="666" t="str">
        <f>IF(OR($A297="F&amp;F",$G297=""),"",IF(AC$8&gt;$G297,IF(OR(status1B5!AD297=1,status1B5!AD297=2,'BOULEVARD 5'!AF295&gt;0),"Pagado","impago"),""))</f>
        <v>Pagado</v>
      </c>
      <c r="AD297" s="666" t="str">
        <f>IF(OR($A297="F&amp;F",$G297=""),"",IF(AD$8&gt;$G297,IF(OR(status1B5!AE297=1,status1B5!AE297=2,'BOULEVARD 5'!AG295&gt;0),"Pagado","impago"),""))</f>
        <v>Pagado</v>
      </c>
      <c r="AE297" s="666" t="str">
        <f>IF(OR($A297="F&amp;F",$G297=""),"",IF(AE$8&gt;$G297,IF(OR(status1B5!AF297=1,status1B5!AF297=2,'BOULEVARD 5'!AH295&gt;0),"Pagado","impago"),""))</f>
        <v>Pagado</v>
      </c>
      <c r="AF297" s="666" t="str">
        <f>IF(OR($A297="F&amp;F",$G297=""),"",IF(AF$8&gt;$G297,IF(OR(status1B5!AG297=1,status1B5!AG297=2,'BOULEVARD 5'!AI295&gt;0),"Pagado","impago"),""))</f>
        <v>Pagado</v>
      </c>
      <c r="AG297" s="666" t="str">
        <f>IF(OR($A297="F&amp;F",$G297=""),"",IF(AG$8&gt;$G297,IF(OR(status1B5!AH297=1,status1B5!AH297=2,'BOULEVARD 5'!AJ295&gt;0),"Pagado","impago"),""))</f>
        <v>Pagado</v>
      </c>
      <c r="AH297" s="666" t="str">
        <f>IF(OR($A297="F&amp;F",$G297=""),"",IF(AH$8&gt;$G297,IF(OR(status1B5!AI297=1,status1B5!AI297=2,'BOULEVARD 5'!AK295&gt;0),"Pagado","impago"),""))</f>
        <v>Pagado</v>
      </c>
      <c r="AI297" s="666" t="str">
        <f>IF(OR($A297="F&amp;F",$G297=""),"",IF(AI$8&gt;$G297,IF(OR(status1B5!AJ297=1,status1B5!AJ297=2,'BOULEVARD 5'!AL295&gt;0),"Pagado","impago"),""))</f>
        <v>Pagado</v>
      </c>
      <c r="AJ297" s="666" t="str">
        <f>IF(OR($A297="F&amp;F",$G297=""),"",IF(AJ$8&gt;$G297,IF(OR(status1B5!AK297=1,status1B5!AK297=2,'BOULEVARD 5'!AM295&gt;0),"Pagado","impago"),""))</f>
        <v>Pagado</v>
      </c>
      <c r="AK297" s="666" t="str">
        <f>IF(OR($A297="F&amp;F",$G297=""),"",IF(AK$8&gt;$G297,IF(OR(status1B5!AL297=1,status1B5!AL297=2,'BOULEVARD 5'!AN295&gt;0),"Pagado","impago"),""))</f>
        <v>Pagado</v>
      </c>
      <c r="AL297" s="666" t="str">
        <f>IF(OR($A297="F&amp;F",$G297=""),"",IF(AL$8&gt;$G297,IF(OR(status1B5!AM297=1,status1B5!AM297=2,'BOULEVARD 5'!AO295&gt;0),"Pagado","impago"),""))</f>
        <v>Pagado</v>
      </c>
      <c r="AM297" s="666" t="str">
        <f>IF(OR($A297="F&amp;F",$G297=""),"",IF(AM$8&gt;$G297,IF(OR(status1B5!AN297=1,status1B5!AN297=2,'BOULEVARD 5'!AP295&gt;0),"Pagado","impago"),""))</f>
        <v>Pagado</v>
      </c>
      <c r="AN297" s="666" t="str">
        <f>IF(OR($A297="F&amp;F",$G297=""),"",IF(AN$8&gt;$G297,IF(OR(status1B5!AO297=1,status1B5!AO297=2,'BOULEVARD 5'!AQ295&gt;0),"Pagado","impago"),""))</f>
        <v>Pagado</v>
      </c>
      <c r="AO297" s="666" t="str">
        <f>IF(OR($A297="F&amp;F",$G297=""),"",IF(AO$8&gt;$G297,IF(OR(status1B5!AP297=1,status1B5!AP297=2,'BOULEVARD 5'!AS295&gt;0),"Pagado","impago"),""))</f>
        <v>Pagado</v>
      </c>
      <c r="AP297" s="429" t="str">
        <f t="shared" si="9"/>
        <v>Vendido</v>
      </c>
    </row>
    <row r="298" spans="1:42" s="429" customFormat="1" ht="13.9" customHeight="1" x14ac:dyDescent="0.25">
      <c r="B298" s="436">
        <f>'BOULEVARD 5'!B296</f>
        <v>1805</v>
      </c>
      <c r="C298" s="436" t="s">
        <v>355</v>
      </c>
      <c r="D298" s="436"/>
      <c r="E298" s="436" t="str">
        <f>IF('BOULEVARD 5'!E296="","",'BOULEVARD 5'!E296)</f>
        <v/>
      </c>
      <c r="F298" s="429" t="str">
        <f>IF('BOULEVARD 5'!F296="","",'BOULEVARD 5'!F296)</f>
        <v>Sergio Rafael Marroquín Sáenz</v>
      </c>
      <c r="G298" s="473">
        <f>IF('BOULEVARD 5'!G296="","",'BOULEVARD 5'!G296)</f>
        <v>45995</v>
      </c>
      <c r="H298" s="666" t="str">
        <f>IF(OR($A298="F&amp;F",$G298=""),"",IF(H$8&gt;$G298,IF(OR(status1B5!I298=1,status1B5!I298=2,'BOULEVARD 5'!K296&gt;0),"Pagado","impago"),""))</f>
        <v/>
      </c>
      <c r="I298" s="666" t="str">
        <f>IF(OR($A298="F&amp;F",$G298=""),"",IF(I$8&gt;$G298,IF(OR(status1B5!J298=1,status1B5!J298=2,'BOULEVARD 5'!L296&gt;0),"Pagado","impago"),""))</f>
        <v/>
      </c>
      <c r="J298" s="666" t="str">
        <f>IF(OR($A298="F&amp;F",$G298=""),"",IF(J$8&gt;$G298,IF(OR(status1B5!K298=1,status1B5!K298=2,'BOULEVARD 5'!M296&gt;0),"Pagado","impago"),""))</f>
        <v/>
      </c>
      <c r="K298" s="666" t="str">
        <f>IF(OR($A298="F&amp;F",$G298=""),"",IF(K$8&gt;$G298,IF(OR(status1B5!L298=1,status1B5!L298=2,'BOULEVARD 5'!N296&gt;0),"Pagado","impago"),""))</f>
        <v/>
      </c>
      <c r="L298" s="666" t="str">
        <f>IF(OR($A298="F&amp;F",$G298=""),"",IF(L$8&gt;$G298,IF(OR(status1B5!M298=1,status1B5!M298=2,'BOULEVARD 5'!O296&gt;0),"Pagado","impago"),""))</f>
        <v/>
      </c>
      <c r="M298" s="666" t="str">
        <f>IF(OR($A298="F&amp;F",$G298=""),"",IF(M$8&gt;$G298,IF(OR(status1B5!N298=1,status1B5!N298=2,'BOULEVARD 5'!P296&gt;0),"Pagado","impago"),""))</f>
        <v/>
      </c>
      <c r="N298" s="666" t="str">
        <f>IF(OR($A298="F&amp;F",$G298=""),"",IF(N$8&gt;$G298,IF(OR(status1B5!O298=1,status1B5!O298=2,'BOULEVARD 5'!Q296&gt;0),"Pagado","impago"),""))</f>
        <v/>
      </c>
      <c r="O298" s="666" t="str">
        <f>IF(OR($A298="F&amp;F",$G298=""),"",IF(O$8&gt;$G298,IF(OR(status1B5!P298=1,status1B5!P298=2,'BOULEVARD 5'!R296&gt;0),"Pagado","impago"),""))</f>
        <v/>
      </c>
      <c r="P298" s="666" t="str">
        <f>IF(OR($A298="F&amp;F",$G298=""),"",IF(P$8&gt;$G298,IF(OR(status1B5!Q298=1,status1B5!Q298=2,'BOULEVARD 5'!S296&gt;0),"Pagado","impago"),""))</f>
        <v/>
      </c>
      <c r="Q298" s="666" t="str">
        <f>IF(OR($A298="F&amp;F",$G298=""),"",IF(Q$8&gt;$G298,IF(OR(status1B5!R298=1,status1B5!R298=2,'BOULEVARD 5'!T296&gt;0),"Pagado","impago"),""))</f>
        <v/>
      </c>
      <c r="R298" s="666" t="str">
        <f>IF(OR($A298="F&amp;F",$G298=""),"",IF(R$8&gt;$G298,IF(OR(status1B5!S298=1,status1B5!S298=2,'BOULEVARD 5'!U296&gt;0),"Pagado","impago"),""))</f>
        <v/>
      </c>
      <c r="S298" s="666" t="str">
        <f>IF(OR($A298="F&amp;F",$G298=""),"",IF(S$8&gt;$G298,IF(OR(status1B5!T298=1,status1B5!T298=2,'BOULEVARD 5'!V296&gt;0),"Pagado","impago"),""))</f>
        <v/>
      </c>
      <c r="T298" s="666" t="str">
        <f>IF(OR($A298="F&amp;F",$G298=""),"",IF(T$8&gt;$G298,IF(OR(status1B5!U298=1,status1B5!U298=2,'BOULEVARD 5'!W296&gt;0),"Pagado","impago"),""))</f>
        <v/>
      </c>
      <c r="U298" s="666" t="str">
        <f>IF(OR($A298="F&amp;F",$G298=""),"",IF(U$8&gt;$G298,IF(OR(status1B5!V298=1,status1B5!V298=2,'BOULEVARD 5'!X296&gt;0),"Pagado","impago"),""))</f>
        <v/>
      </c>
      <c r="V298" s="666" t="str">
        <f>IF(OR($A298="F&amp;F",$G298=""),"",IF(V$8&gt;$G298,IF(OR(status1B5!W298=1,status1B5!W298=2,'BOULEVARD 5'!Y296&gt;0),"Pagado","impago"),""))</f>
        <v/>
      </c>
      <c r="W298" s="666" t="str">
        <f>IF(OR($A298="F&amp;F",$G298=""),"",IF(W$8&gt;$G298,IF(OR(status1B5!X298=1,status1B5!X298=2,'BOULEVARD 5'!Z296&gt;0),"Pagado","impago"),""))</f>
        <v/>
      </c>
      <c r="X298" s="666" t="str">
        <f>IF(OR($A298="F&amp;F",$G298=""),"",IF(X$8&gt;$G298,IF(OR(status1B5!Y298=1,status1B5!Y298=2,'BOULEVARD 5'!AA296&gt;0),"Pagado","impago"),""))</f>
        <v/>
      </c>
      <c r="Y298" s="666" t="str">
        <f>IF(OR($A298="F&amp;F",$G298=""),"",IF(Y$8&gt;$G298,IF(OR(status1B5!Z298=1,status1B5!Z298=2,'BOULEVARD 5'!AB296&gt;0),"Pagado","impago"),""))</f>
        <v/>
      </c>
      <c r="Z298" s="666" t="str">
        <f>IF(OR($A298="F&amp;F",$G298=""),"",IF(Z$8&gt;$G298,IF(OR(status1B5!AA298=1,status1B5!AA298=2,'BOULEVARD 5'!AC296&gt;0),"Pagado","impago"),""))</f>
        <v/>
      </c>
      <c r="AA298" s="666" t="str">
        <f>IF(OR($A298="F&amp;F",$G298=""),"",IF(AA$8&gt;$G298,IF(OR(status1B5!AB298=1,status1B5!AB298=2,'BOULEVARD 5'!AD296&gt;0),"Pagado","impago"),""))</f>
        <v/>
      </c>
      <c r="AB298" s="666" t="str">
        <f>IF(OR($A298="F&amp;F",$G298=""),"",IF(AB$8&gt;$G298,IF(OR(status1B5!AC298=1,status1B5!AC298=2,'BOULEVARD 5'!AE296&gt;0),"Pagado","impago"),""))</f>
        <v/>
      </c>
      <c r="AC298" s="666" t="str">
        <f>IF(OR($A298="F&amp;F",$G298=""),"",IF(AC$8&gt;$G298,IF(OR(status1B5!AD298=1,status1B5!AD298=2,'BOULEVARD 5'!AF296&gt;0),"Pagado","impago"),""))</f>
        <v/>
      </c>
      <c r="AD298" s="666" t="str">
        <f>IF(OR($A298="F&amp;F",$G298=""),"",IF(AD$8&gt;$G298,IF(OR(status1B5!AE298=1,status1B5!AE298=2,'BOULEVARD 5'!AG296&gt;0),"Pagado","impago"),""))</f>
        <v/>
      </c>
      <c r="AE298" s="666" t="str">
        <f>IF(OR($A298="F&amp;F",$G298=""),"",IF(AE$8&gt;$G298,IF(OR(status1B5!AF298=1,status1B5!AF298=2,'BOULEVARD 5'!AH296&gt;0),"Pagado","impago"),""))</f>
        <v/>
      </c>
      <c r="AF298" s="666" t="str">
        <f>IF(OR($A298="F&amp;F",$G298=""),"",IF(AF$8&gt;$G298,IF(OR(status1B5!AG298=1,status1B5!AG298=2,'BOULEVARD 5'!AI296&gt;0),"Pagado","impago"),""))</f>
        <v/>
      </c>
      <c r="AG298" s="666" t="str">
        <f>IF(OR($A298="F&amp;F",$G298=""),"",IF(AG$8&gt;$G298,IF(OR(status1B5!AH298=1,status1B5!AH298=2,'BOULEVARD 5'!AJ296&gt;0),"Pagado","impago"),""))</f>
        <v/>
      </c>
      <c r="AH298" s="666" t="str">
        <f>IF(OR($A298="F&amp;F",$G298=""),"",IF(AH$8&gt;$G298,IF(OR(status1B5!AI298=1,status1B5!AI298=2,'BOULEVARD 5'!AK296&gt;0),"Pagado","impago"),""))</f>
        <v/>
      </c>
      <c r="AI298" s="666" t="str">
        <f>IF(OR($A298="F&amp;F",$G298=""),"",IF(AI$8&gt;$G298,IF(OR(status1B5!AJ298=1,status1B5!AJ298=2,'BOULEVARD 5'!AL296&gt;0),"Pagado","impago"),""))</f>
        <v/>
      </c>
      <c r="AJ298" s="666" t="str">
        <f>IF(OR($A298="F&amp;F",$G298=""),"",IF(AJ$8&gt;$G298,IF(OR(status1B5!AK298=1,status1B5!AK298=2,'BOULEVARD 5'!AM296&gt;0),"Pagado","impago"),""))</f>
        <v/>
      </c>
      <c r="AK298" s="666" t="str">
        <f>IF(OR($A298="F&amp;F",$G298=""),"",IF(AK$8&gt;$G298,IF(OR(status1B5!AL298=1,status1B5!AL298=2,'BOULEVARD 5'!AN296&gt;0),"Pagado","impago"),""))</f>
        <v/>
      </c>
      <c r="AL298" s="666" t="str">
        <f>IF(OR($A298="F&amp;F",$G298=""),"",IF(AL$8&gt;$G298,IF(OR(status1B5!AM298=1,status1B5!AM298=2,'BOULEVARD 5'!AO296&gt;0),"Pagado","impago"),""))</f>
        <v/>
      </c>
      <c r="AM298" s="666" t="str">
        <f>IF(OR($A298="F&amp;F",$G298=""),"",IF(AM$8&gt;$G298,IF(OR(status1B5!AN298=1,status1B5!AN298=2,'BOULEVARD 5'!AP296&gt;0),"Pagado","impago"),""))</f>
        <v/>
      </c>
      <c r="AN298" s="666" t="str">
        <f>IF(OR($A298="F&amp;F",$G298=""),"",IF(AN$8&gt;$G298,IF(OR(status1B5!AO298=1,status1B5!AO298=2,'BOULEVARD 5'!AQ296&gt;0),"Pagado","impago"),""))</f>
        <v/>
      </c>
      <c r="AO298" s="666" t="str">
        <f>IF(OR($A298="F&amp;F",$G298=""),"",IF(AO$8&gt;$G298,IF(OR(status1B5!AP298=1,status1B5!AP298=2,'BOULEVARD 5'!AS296&gt;0),"Pagado","impago"),""))</f>
        <v>Pagado</v>
      </c>
      <c r="AP298" s="429" t="str">
        <f t="shared" si="9"/>
        <v>Vendido</v>
      </c>
    </row>
    <row r="299" spans="1:42" s="429" customFormat="1" ht="13.9" customHeight="1" x14ac:dyDescent="0.25">
      <c r="A299" s="472"/>
      <c r="B299" s="436">
        <f>'BOULEVARD 5'!B297</f>
        <v>1806</v>
      </c>
      <c r="C299" s="436" t="s">
        <v>355</v>
      </c>
      <c r="D299" s="436"/>
      <c r="E299" s="436" t="str">
        <f>IF('BOULEVARD 5'!E297="","",'BOULEVARD 5'!E297)</f>
        <v>Antonio Rada</v>
      </c>
      <c r="F299" s="429" t="str">
        <f>IF('BOULEVARD 5'!F297="","",'BOULEVARD 5'!F297)</f>
        <v>Business View Sociedad Anonima</v>
      </c>
      <c r="G299" s="473">
        <f>IF('BOULEVARD 5'!G297="","",'BOULEVARD 5'!G297)</f>
        <v>45014</v>
      </c>
      <c r="H299" s="666" t="str">
        <f>IF(OR($A299="F&amp;F",$G299=""),"",IF(H$8&gt;$G299,IF(OR(status1B5!I299=1,status1B5!I299=2,'BOULEVARD 5'!K297&gt;0),"Pagado","impago"),""))</f>
        <v>Pagado</v>
      </c>
      <c r="I299" s="666" t="str">
        <f>IF(OR($A299="F&amp;F",$G299=""),"",IF(I$8&gt;$G299,IF(OR(status1B5!J299=1,status1B5!J299=2,'BOULEVARD 5'!L297&gt;0),"Pagado","impago"),""))</f>
        <v>Pagado</v>
      </c>
      <c r="J299" s="666" t="str">
        <f>IF(OR($A299="F&amp;F",$G299=""),"",IF(J$8&gt;$G299,IF(OR(status1B5!K299=1,status1B5!K299=2,'BOULEVARD 5'!M297&gt;0),"Pagado","impago"),""))</f>
        <v>Pagado</v>
      </c>
      <c r="K299" s="666" t="str">
        <f>IF(OR($A299="F&amp;F",$G299=""),"",IF(K$8&gt;$G299,IF(OR(status1B5!L299=1,status1B5!L299=2,'BOULEVARD 5'!N297&gt;0),"Pagado","impago"),""))</f>
        <v>Pagado</v>
      </c>
      <c r="L299" s="666" t="str">
        <f>IF(OR($A299="F&amp;F",$G299=""),"",IF(L$8&gt;$G299,IF(OR(status1B5!M299=1,status1B5!M299=2,'BOULEVARD 5'!O297&gt;0),"Pagado","impago"),""))</f>
        <v>Pagado</v>
      </c>
      <c r="M299" s="666" t="str">
        <f>IF(OR($A299="F&amp;F",$G299=""),"",IF(M$8&gt;$G299,IF(OR(status1B5!N299=1,status1B5!N299=2,'BOULEVARD 5'!P297&gt;0),"Pagado","impago"),""))</f>
        <v>Pagado</v>
      </c>
      <c r="N299" s="666" t="str">
        <f>IF(OR($A299="F&amp;F",$G299=""),"",IF(N$8&gt;$G299,IF(OR(status1B5!O299=1,status1B5!O299=2,'BOULEVARD 5'!Q297&gt;0),"Pagado","impago"),""))</f>
        <v>Pagado</v>
      </c>
      <c r="O299" s="666" t="str">
        <f>IF(OR($A299="F&amp;F",$G299=""),"",IF(O$8&gt;$G299,IF(OR(status1B5!P299=1,status1B5!P299=2,'BOULEVARD 5'!R297&gt;0),"Pagado","impago"),""))</f>
        <v>Pagado</v>
      </c>
      <c r="P299" s="666" t="str">
        <f>IF(OR($A299="F&amp;F",$G299=""),"",IF(P$8&gt;$G299,IF(OR(status1B5!Q299=1,status1B5!Q299=2,'BOULEVARD 5'!S297&gt;0),"Pagado","impago"),""))</f>
        <v>Pagado</v>
      </c>
      <c r="Q299" s="666" t="str">
        <f>IF(OR($A299="F&amp;F",$G299=""),"",IF(Q$8&gt;$G299,IF(OR(status1B5!R299=1,status1B5!R299=2,'BOULEVARD 5'!T297&gt;0),"Pagado","impago"),""))</f>
        <v>Pagado</v>
      </c>
      <c r="R299" s="666" t="str">
        <f>IF(OR($A299="F&amp;F",$G299=""),"",IF(R$8&gt;$G299,IF(OR(status1B5!S299=1,status1B5!S299=2,'BOULEVARD 5'!U297&gt;0),"Pagado","impago"),""))</f>
        <v>Pagado</v>
      </c>
      <c r="S299" s="666" t="str">
        <f>IF(OR($A299="F&amp;F",$G299=""),"",IF(S$8&gt;$G299,IF(OR(status1B5!T299=1,status1B5!T299=2,'BOULEVARD 5'!V297&gt;0),"Pagado","impago"),""))</f>
        <v>Pagado</v>
      </c>
      <c r="T299" s="666" t="str">
        <f>IF(OR($A299="F&amp;F",$G299=""),"",IF(T$8&gt;$G299,IF(OR(status1B5!U299=1,status1B5!U299=2,'BOULEVARD 5'!W297&gt;0),"Pagado","impago"),""))</f>
        <v>Pagado</v>
      </c>
      <c r="U299" s="666" t="str">
        <f>IF(OR($A299="F&amp;F",$G299=""),"",IF(U$8&gt;$G299,IF(OR(status1B5!V299=1,status1B5!V299=2,'BOULEVARD 5'!X297&gt;0),"Pagado","impago"),""))</f>
        <v>Pagado</v>
      </c>
      <c r="V299" s="666" t="str">
        <f>IF(OR($A299="F&amp;F",$G299=""),"",IF(V$8&gt;$G299,IF(OR(status1B5!W299=1,status1B5!W299=2,'BOULEVARD 5'!Y297&gt;0),"Pagado","impago"),""))</f>
        <v>Pagado</v>
      </c>
      <c r="W299" s="666" t="str">
        <f>IF(OR($A299="F&amp;F",$G299=""),"",IF(W$8&gt;$G299,IF(OR(status1B5!X299=1,status1B5!X299=2,'BOULEVARD 5'!Z297&gt;0),"Pagado","impago"),""))</f>
        <v>Pagado</v>
      </c>
      <c r="X299" s="666" t="str">
        <f>IF(OR($A299="F&amp;F",$G299=""),"",IF(X$8&gt;$G299,IF(OR(status1B5!Y299=1,status1B5!Y299=2,'BOULEVARD 5'!AA297&gt;0),"Pagado","impago"),""))</f>
        <v>Pagado</v>
      </c>
      <c r="Y299" s="666" t="str">
        <f>IF(OR($A299="F&amp;F",$G299=""),"",IF(Y$8&gt;$G299,IF(OR(status1B5!Z299=1,status1B5!Z299=2,'BOULEVARD 5'!AB297&gt;0),"Pagado","impago"),""))</f>
        <v>Pagado</v>
      </c>
      <c r="Z299" s="666" t="str">
        <f>IF(OR($A299="F&amp;F",$G299=""),"",IF(Z$8&gt;$G299,IF(OR(status1B5!AA299=1,status1B5!AA299=2,'BOULEVARD 5'!AC297&gt;0),"Pagado","impago"),""))</f>
        <v>Pagado</v>
      </c>
      <c r="AA299" s="666" t="str">
        <f>IF(OR($A299="F&amp;F",$G299=""),"",IF(AA$8&gt;$G299,IF(OR(status1B5!AB299=1,status1B5!AB299=2,'BOULEVARD 5'!AD297&gt;0),"Pagado","impago"),""))</f>
        <v>Pagado</v>
      </c>
      <c r="AB299" s="666" t="str">
        <f>IF(OR($A299="F&amp;F",$G299=""),"",IF(AB$8&gt;$G299,IF(OR(status1B5!AC299=1,status1B5!AC299=2,'BOULEVARD 5'!AE297&gt;0),"Pagado","impago"),""))</f>
        <v>Pagado</v>
      </c>
      <c r="AC299" s="666" t="str">
        <f>IF(OR($A299="F&amp;F",$G299=""),"",IF(AC$8&gt;$G299,IF(OR(status1B5!AD299=1,status1B5!AD299=2,'BOULEVARD 5'!AF297&gt;0),"Pagado","impago"),""))</f>
        <v>Pagado</v>
      </c>
      <c r="AD299" s="666" t="str">
        <f>IF(OR($A299="F&amp;F",$G299=""),"",IF(AD$8&gt;$G299,IF(OR(status1B5!AE299=1,status1B5!AE299=2,'BOULEVARD 5'!AG297&gt;0),"Pagado","impago"),""))</f>
        <v>Pagado</v>
      </c>
      <c r="AE299" s="666" t="str">
        <f>IF(OR($A299="F&amp;F",$G299=""),"",IF(AE$8&gt;$G299,IF(OR(status1B5!AF299=1,status1B5!AF299=2,'BOULEVARD 5'!AH297&gt;0),"Pagado","impago"),""))</f>
        <v>Pagado</v>
      </c>
      <c r="AF299" s="666" t="str">
        <f>IF(OR($A299="F&amp;F",$G299=""),"",IF(AF$8&gt;$G299,IF(OR(status1B5!AG299=1,status1B5!AG299=2,'BOULEVARD 5'!AI297&gt;0),"Pagado","impago"),""))</f>
        <v>Pagado</v>
      </c>
      <c r="AG299" s="666" t="str">
        <f>IF(OR($A299="F&amp;F",$G299=""),"",IF(AG$8&gt;$G299,IF(OR(status1B5!AH299=1,status1B5!AH299=2,'BOULEVARD 5'!AJ297&gt;0),"Pagado","impago"),""))</f>
        <v>Pagado</v>
      </c>
      <c r="AH299" s="666" t="str">
        <f>IF(OR($A299="F&amp;F",$G299=""),"",IF(AH$8&gt;$G299,IF(OR(status1B5!AI299=1,status1B5!AI299=2,'BOULEVARD 5'!AK297&gt;0),"Pagado","impago"),""))</f>
        <v>Pagado</v>
      </c>
      <c r="AI299" s="666" t="str">
        <f>IF(OR($A299="F&amp;F",$G299=""),"",IF(AI$8&gt;$G299,IF(OR(status1B5!AJ299=1,status1B5!AJ299=2,'BOULEVARD 5'!AL297&gt;0),"Pagado","impago"),""))</f>
        <v>Pagado</v>
      </c>
      <c r="AJ299" s="666" t="str">
        <f>IF(OR($A299="F&amp;F",$G299=""),"",IF(AJ$8&gt;$G299,IF(OR(status1B5!AK299=1,status1B5!AK299=2,'BOULEVARD 5'!AM297&gt;0),"Pagado","impago"),""))</f>
        <v>Pagado</v>
      </c>
      <c r="AK299" s="666" t="str">
        <f>IF(OR($A299="F&amp;F",$G299=""),"",IF(AK$8&gt;$G299,IF(OR(status1B5!AL299=1,status1B5!AL299=2,'BOULEVARD 5'!AN297&gt;0),"Pagado","impago"),""))</f>
        <v>Pagado</v>
      </c>
      <c r="AL299" s="666" t="str">
        <f>IF(OR($A299="F&amp;F",$G299=""),"",IF(AL$8&gt;$G299,IF(OR(status1B5!AM299=1,status1B5!AM299=2,'BOULEVARD 5'!AO297&gt;0),"Pagado","impago"),""))</f>
        <v>Pagado</v>
      </c>
      <c r="AM299" s="666" t="str">
        <f>IF(OR($A299="F&amp;F",$G299=""),"",IF(AM$8&gt;$G299,IF(OR(status1B5!AN299=1,status1B5!AN299=2,'BOULEVARD 5'!AP297&gt;0),"Pagado","impago"),""))</f>
        <v>Pagado</v>
      </c>
      <c r="AN299" s="666" t="str">
        <f>IF(OR($A299="F&amp;F",$G299=""),"",IF(AN$8&gt;$G299,IF(OR(status1B5!AO299=1,status1B5!AO299=2,'BOULEVARD 5'!AQ297&gt;0),"Pagado","impago"),""))</f>
        <v>Pagado</v>
      </c>
      <c r="AO299" s="666" t="str">
        <f>IF(OR($A299="F&amp;F",$G299=""),"",IF(AO$8&gt;$G299,IF(OR(status1B5!AP299=1,status1B5!AP299=2,'BOULEVARD 5'!AS297&gt;0),"Pagado","impago"),""))</f>
        <v>Pagado</v>
      </c>
      <c r="AP299" s="429" t="str">
        <f t="shared" si="9"/>
        <v>Vendido</v>
      </c>
    </row>
    <row r="300" spans="1:42" s="429" customFormat="1" ht="13.9" customHeight="1" x14ac:dyDescent="0.25">
      <c r="A300" s="472" t="s">
        <v>58</v>
      </c>
      <c r="B300" s="475">
        <f>'BOULEVARD 5'!B298</f>
        <v>1807</v>
      </c>
      <c r="C300" s="475" t="s">
        <v>355</v>
      </c>
      <c r="D300" s="475"/>
      <c r="E300" s="475" t="str">
        <f>IF('BOULEVARD 5'!E298="","",'BOULEVARD 5'!E298)</f>
        <v>Jose Franco</v>
      </c>
      <c r="F300" s="476" t="str">
        <f>IF('BOULEVARD 5'!F298="","",'BOULEVARD 5'!F298)</f>
        <v>Yuly Marisol Rodríguez Ordoñez De Arimany</v>
      </c>
      <c r="G300" s="473">
        <f>IF('BOULEVARD 5'!G298="","",'BOULEVARD 5'!G298)</f>
        <v>45012</v>
      </c>
      <c r="H300" s="666" t="str">
        <f>IF(OR($A300="F&amp;F",$G300=""),"",IF(H$8&gt;$G300,IF(OR(status1B5!I300=1,status1B5!I300=2,'BOULEVARD 5'!K298&gt;0),"Pagado","impago"),""))</f>
        <v/>
      </c>
      <c r="I300" s="666" t="str">
        <f>IF(OR($A300="F&amp;F",$G300=""),"",IF(I$8&gt;$G300,IF(OR(status1B5!J300=1,status1B5!J300=2,'BOULEVARD 5'!L298&gt;0),"Pagado","impago"),""))</f>
        <v/>
      </c>
      <c r="J300" s="666" t="str">
        <f>IF(OR($A300="F&amp;F",$G300=""),"",IF(J$8&gt;$G300,IF(OR(status1B5!K300=1,status1B5!K300=2,'BOULEVARD 5'!M298&gt;0),"Pagado","impago"),""))</f>
        <v/>
      </c>
      <c r="K300" s="666" t="str">
        <f>IF(OR($A300="F&amp;F",$G300=""),"",IF(K$8&gt;$G300,IF(OR(status1B5!L300=1,status1B5!L300=2,'BOULEVARD 5'!N298&gt;0),"Pagado","impago"),""))</f>
        <v/>
      </c>
      <c r="L300" s="666" t="str">
        <f>IF(OR($A300="F&amp;F",$G300=""),"",IF(L$8&gt;$G300,IF(OR(status1B5!M300=1,status1B5!M300=2,'BOULEVARD 5'!O298&gt;0),"Pagado","impago"),""))</f>
        <v/>
      </c>
      <c r="M300" s="666" t="str">
        <f>IF(OR($A300="F&amp;F",$G300=""),"",IF(M$8&gt;$G300,IF(OR(status1B5!N300=1,status1B5!N300=2,'BOULEVARD 5'!P298&gt;0),"Pagado","impago"),""))</f>
        <v/>
      </c>
      <c r="N300" s="666" t="str">
        <f>IF(OR($A300="F&amp;F",$G300=""),"",IF(N$8&gt;$G300,IF(OR(status1B5!O300=1,status1B5!O300=2,'BOULEVARD 5'!Q298&gt;0),"Pagado","impago"),""))</f>
        <v/>
      </c>
      <c r="O300" s="666" t="str">
        <f>IF(OR($A300="F&amp;F",$G300=""),"",IF(O$8&gt;$G300,IF(OR(status1B5!P300=1,status1B5!P300=2,'BOULEVARD 5'!R298&gt;0),"Pagado","impago"),""))</f>
        <v/>
      </c>
      <c r="P300" s="666" t="str">
        <f>IF(OR($A300="F&amp;F",$G300=""),"",IF(P$8&gt;$G300,IF(OR(status1B5!Q300=1,status1B5!Q300=2,'BOULEVARD 5'!S298&gt;0),"Pagado","impago"),""))</f>
        <v/>
      </c>
      <c r="Q300" s="666" t="str">
        <f>IF(OR($A300="F&amp;F",$G300=""),"",IF(Q$8&gt;$G300,IF(OR(status1B5!R300=1,status1B5!R300=2,'BOULEVARD 5'!T298&gt;0),"Pagado","impago"),""))</f>
        <v/>
      </c>
      <c r="R300" s="666" t="str">
        <f>IF(OR($A300="F&amp;F",$G300=""),"",IF(R$8&gt;$G300,IF(OR(status1B5!S300=1,status1B5!S300=2,'BOULEVARD 5'!U298&gt;0),"Pagado","impago"),""))</f>
        <v/>
      </c>
      <c r="S300" s="666" t="str">
        <f>IF(OR($A300="F&amp;F",$G300=""),"",IF(S$8&gt;$G300,IF(OR(status1B5!T300=1,status1B5!T300=2,'BOULEVARD 5'!V298&gt;0),"Pagado","impago"),""))</f>
        <v/>
      </c>
      <c r="T300" s="666" t="str">
        <f>IF(OR($A300="F&amp;F",$G300=""),"",IF(T$8&gt;$G300,IF(OR(status1B5!U300=1,status1B5!U300=2,'BOULEVARD 5'!W298&gt;0),"Pagado","impago"),""))</f>
        <v/>
      </c>
      <c r="U300" s="666" t="str">
        <f>IF(OR($A300="F&amp;F",$G300=""),"",IF(U$8&gt;$G300,IF(OR(status1B5!V300=1,status1B5!V300=2,'BOULEVARD 5'!X298&gt;0),"Pagado","impago"),""))</f>
        <v/>
      </c>
      <c r="V300" s="666" t="str">
        <f>IF(OR($A300="F&amp;F",$G300=""),"",IF(V$8&gt;$G300,IF(OR(status1B5!W300=1,status1B5!W300=2,'BOULEVARD 5'!Y298&gt;0),"Pagado","impago"),""))</f>
        <v/>
      </c>
      <c r="W300" s="666" t="str">
        <f>IF(OR($A300="F&amp;F",$G300=""),"",IF(W$8&gt;$G300,IF(OR(status1B5!X300=1,status1B5!X300=2,'BOULEVARD 5'!Z298&gt;0),"Pagado","impago"),""))</f>
        <v/>
      </c>
      <c r="X300" s="666" t="str">
        <f>IF(OR($A300="F&amp;F",$G300=""),"",IF(X$8&gt;$G300,IF(OR(status1B5!Y300=1,status1B5!Y300=2,'BOULEVARD 5'!AA298&gt;0),"Pagado","impago"),""))</f>
        <v/>
      </c>
      <c r="Y300" s="666" t="str">
        <f>IF(OR($A300="F&amp;F",$G300=""),"",IF(Y$8&gt;$G300,IF(OR(status1B5!Z300=1,status1B5!Z300=2,'BOULEVARD 5'!AB298&gt;0),"Pagado","impago"),""))</f>
        <v/>
      </c>
      <c r="Z300" s="666" t="str">
        <f>IF(OR($A300="F&amp;F",$G300=""),"",IF(Z$8&gt;$G300,IF(OR(status1B5!AA300=1,status1B5!AA300=2,'BOULEVARD 5'!AC298&gt;0),"Pagado","impago"),""))</f>
        <v/>
      </c>
      <c r="AA300" s="666" t="str">
        <f>IF(OR($A300="F&amp;F",$G300=""),"",IF(AA$8&gt;$G300,IF(OR(status1B5!AB300=1,status1B5!AB300=2,'BOULEVARD 5'!AD298&gt;0),"Pagado","impago"),""))</f>
        <v/>
      </c>
      <c r="AB300" s="666" t="str">
        <f>IF(OR($A300="F&amp;F",$G300=""),"",IF(AB$8&gt;$G300,IF(OR(status1B5!AC300=1,status1B5!AC300=2,'BOULEVARD 5'!AE298&gt;0),"Pagado","impago"),""))</f>
        <v/>
      </c>
      <c r="AC300" s="666" t="str">
        <f>IF(OR($A300="F&amp;F",$G300=""),"",IF(AC$8&gt;$G300,IF(OR(status1B5!AD300=1,status1B5!AD300=2,'BOULEVARD 5'!AF298&gt;0),"Pagado","impago"),""))</f>
        <v/>
      </c>
      <c r="AD300" s="666" t="str">
        <f>IF(OR($A300="F&amp;F",$G300=""),"",IF(AD$8&gt;$G300,IF(OR(status1B5!AE300=1,status1B5!AE300=2,'BOULEVARD 5'!AG298&gt;0),"Pagado","impago"),""))</f>
        <v/>
      </c>
      <c r="AE300" s="666" t="str">
        <f>IF(OR($A300="F&amp;F",$G300=""),"",IF(AE$8&gt;$G300,IF(OR(status1B5!AF300=1,status1B5!AF300=2,'BOULEVARD 5'!AH298&gt;0),"Pagado","impago"),""))</f>
        <v/>
      </c>
      <c r="AF300" s="666" t="str">
        <f>IF(OR($A300="F&amp;F",$G300=""),"",IF(AF$8&gt;$G300,IF(OR(status1B5!AG300=1,status1B5!AG300=2,'BOULEVARD 5'!AI298&gt;0),"Pagado","impago"),""))</f>
        <v/>
      </c>
      <c r="AG300" s="666" t="str">
        <f>IF(OR($A300="F&amp;F",$G300=""),"",IF(AG$8&gt;$G300,IF(OR(status1B5!AH300=1,status1B5!AH300=2,'BOULEVARD 5'!AJ298&gt;0),"Pagado","impago"),""))</f>
        <v/>
      </c>
      <c r="AH300" s="666" t="str">
        <f>IF(OR($A300="F&amp;F",$G300=""),"",IF(AH$8&gt;$G300,IF(OR(status1B5!AI300=1,status1B5!AI300=2,'BOULEVARD 5'!AK298&gt;0),"Pagado","impago"),""))</f>
        <v/>
      </c>
      <c r="AI300" s="666" t="str">
        <f>IF(OR($A300="F&amp;F",$G300=""),"",IF(AI$8&gt;$G300,IF(OR(status1B5!AJ300=1,status1B5!AJ300=2,'BOULEVARD 5'!AL298&gt;0),"Pagado","impago"),""))</f>
        <v/>
      </c>
      <c r="AJ300" s="666" t="str">
        <f>IF(OR($A300="F&amp;F",$G300=""),"",IF(AJ$8&gt;$G300,IF(OR(status1B5!AK300=1,status1B5!AK300=2,'BOULEVARD 5'!AM298&gt;0),"Pagado","impago"),""))</f>
        <v/>
      </c>
      <c r="AK300" s="666" t="str">
        <f>IF(OR($A300="F&amp;F",$G300=""),"",IF(AK$8&gt;$G300,IF(OR(status1B5!AL300=1,status1B5!AL300=2,'BOULEVARD 5'!AN298&gt;0),"Pagado","impago"),""))</f>
        <v/>
      </c>
      <c r="AL300" s="666" t="str">
        <f>IF(OR($A300="F&amp;F",$G300=""),"",IF(AL$8&gt;$G300,IF(OR(status1B5!AM300=1,status1B5!AM300=2,'BOULEVARD 5'!AO298&gt;0),"Pagado","impago"),""))</f>
        <v/>
      </c>
      <c r="AM300" s="666" t="str">
        <f>IF(OR($A300="F&amp;F",$G300=""),"",IF(AM$8&gt;$G300,IF(OR(status1B5!AN300=1,status1B5!AN300=2,'BOULEVARD 5'!AP298&gt;0),"Pagado","impago"),""))</f>
        <v/>
      </c>
      <c r="AN300" s="666" t="str">
        <f>IF(OR($A300="F&amp;F",$G300=""),"",IF(AN$8&gt;$G300,IF(OR(status1B5!AO300=1,status1B5!AO300=2,'BOULEVARD 5'!AQ298&gt;0),"Pagado","impago"),""))</f>
        <v/>
      </c>
      <c r="AO300" s="666" t="str">
        <f>IF(OR($A300="F&amp;F",$G300=""),"",IF(AO$8&gt;$G300,IF(OR(status1B5!AP300=1,status1B5!AP300=2,'BOULEVARD 5'!AS298&gt;0),"Pagado","impago"),""))</f>
        <v/>
      </c>
      <c r="AP300" s="429" t="str">
        <f t="shared" si="9"/>
        <v>Vendido</v>
      </c>
    </row>
    <row r="301" spans="1:42" s="429" customFormat="1" ht="13.9" customHeight="1" x14ac:dyDescent="0.25">
      <c r="A301" s="472"/>
      <c r="B301" s="436">
        <f>'BOULEVARD 5'!B299</f>
        <v>1808</v>
      </c>
      <c r="C301" s="436" t="s">
        <v>355</v>
      </c>
      <c r="D301" s="436"/>
      <c r="E301" s="436" t="str">
        <f>IF('BOULEVARD 5'!E299="","",'BOULEVARD 5'!E299)</f>
        <v>Antonio Rada</v>
      </c>
      <c r="F301" s="429" t="str">
        <f>IF('BOULEVARD 5'!F299="","",'BOULEVARD 5'!F299)</f>
        <v>Monica Cecilia Rodriguez Villalta</v>
      </c>
      <c r="G301" s="473">
        <f>IF('BOULEVARD 5'!G299="","",'BOULEVARD 5'!G299)</f>
        <v>45199</v>
      </c>
      <c r="H301" s="666" t="str">
        <f>IF(OR($A301="F&amp;F",$G301=""),"",IF(H$8&gt;$G301,IF(OR(status1B5!I301=1,status1B5!I301=2,'BOULEVARD 5'!K299&gt;0),"Pagado","impago"),""))</f>
        <v/>
      </c>
      <c r="I301" s="666" t="str">
        <f>IF(OR($A301="F&amp;F",$G301=""),"",IF(I$8&gt;$G301,IF(OR(status1B5!J301=1,status1B5!J301=2,'BOULEVARD 5'!L299&gt;0),"Pagado","impago"),""))</f>
        <v/>
      </c>
      <c r="J301" s="666" t="str">
        <f>IF(OR($A301="F&amp;F",$G301=""),"",IF(J$8&gt;$G301,IF(OR(status1B5!K301=1,status1B5!K301=2,'BOULEVARD 5'!M299&gt;0),"Pagado","impago"),""))</f>
        <v/>
      </c>
      <c r="K301" s="666" t="str">
        <f>IF(OR($A301="F&amp;F",$G301=""),"",IF(K$8&gt;$G301,IF(OR(status1B5!L301=1,status1B5!L301=2,'BOULEVARD 5'!N299&gt;0),"Pagado","impago"),""))</f>
        <v/>
      </c>
      <c r="L301" s="666" t="str">
        <f>IF(OR($A301="F&amp;F",$G301=""),"",IF(L$8&gt;$G301,IF(OR(status1B5!M301=1,status1B5!M301=2,'BOULEVARD 5'!O299&gt;0),"Pagado","impago"),""))</f>
        <v/>
      </c>
      <c r="M301" s="666" t="str">
        <f>IF(OR($A301="F&amp;F",$G301=""),"",IF(M$8&gt;$G301,IF(OR(status1B5!N301=1,status1B5!N301=2,'BOULEVARD 5'!P299&gt;0),"Pagado","impago"),""))</f>
        <v/>
      </c>
      <c r="N301" s="666" t="str">
        <f>IF(OR($A301="F&amp;F",$G301=""),"",IF(N$8&gt;$G301,IF(OR(status1B5!O301=1,status1B5!O301=2,'BOULEVARD 5'!Q299&gt;0),"Pagado","impago"),""))</f>
        <v/>
      </c>
      <c r="O301" s="666" t="str">
        <f>IF(OR($A301="F&amp;F",$G301=""),"",IF(O$8&gt;$G301,IF(OR(status1B5!P301=1,status1B5!P301=2,'BOULEVARD 5'!R299&gt;0),"Pagado","impago"),""))</f>
        <v>Pagado</v>
      </c>
      <c r="P301" s="666" t="str">
        <f>IF(OR($A301="F&amp;F",$G301=""),"",IF(P$8&gt;$G301,IF(OR(status1B5!Q301=1,status1B5!Q301=2,'BOULEVARD 5'!S299&gt;0),"Pagado","impago"),""))</f>
        <v>Pagado</v>
      </c>
      <c r="Q301" s="666" t="str">
        <f>IF(OR($A301="F&amp;F",$G301=""),"",IF(Q$8&gt;$G301,IF(OR(status1B5!R301=1,status1B5!R301=2,'BOULEVARD 5'!T299&gt;0),"Pagado","impago"),""))</f>
        <v>Pagado</v>
      </c>
      <c r="R301" s="666" t="str">
        <f>IF(OR($A301="F&amp;F",$G301=""),"",IF(R$8&gt;$G301,IF(OR(status1B5!S301=1,status1B5!S301=2,'BOULEVARD 5'!U299&gt;0),"Pagado","impago"),""))</f>
        <v>Pagado</v>
      </c>
      <c r="S301" s="666" t="str">
        <f>IF(OR($A301="F&amp;F",$G301=""),"",IF(S$8&gt;$G301,IF(OR(status1B5!T301=1,status1B5!T301=2,'BOULEVARD 5'!V299&gt;0),"Pagado","impago"),""))</f>
        <v>Pagado</v>
      </c>
      <c r="T301" s="666" t="str">
        <f>IF(OR($A301="F&amp;F",$G301=""),"",IF(T$8&gt;$G301,IF(OR(status1B5!U301=1,status1B5!U301=2,'BOULEVARD 5'!W299&gt;0),"Pagado","impago"),""))</f>
        <v>Pagado</v>
      </c>
      <c r="U301" s="666" t="str">
        <f>IF(OR($A301="F&amp;F",$G301=""),"",IF(U$8&gt;$G301,IF(OR(status1B5!V301=1,status1B5!V301=2,'BOULEVARD 5'!X299&gt;0),"Pagado","impago"),""))</f>
        <v>Pagado</v>
      </c>
      <c r="V301" s="666" t="str">
        <f>IF(OR($A301="F&amp;F",$G301=""),"",IF(V$8&gt;$G301,IF(OR(status1B5!W301=1,status1B5!W301=2,'BOULEVARD 5'!Y299&gt;0),"Pagado","impago"),""))</f>
        <v>Pagado</v>
      </c>
      <c r="W301" s="666" t="str">
        <f>IF(OR($A301="F&amp;F",$G301=""),"",IF(W$8&gt;$G301,IF(OR(status1B5!X301=1,status1B5!X301=2,'BOULEVARD 5'!Z299&gt;0),"Pagado","impago"),""))</f>
        <v>Pagado</v>
      </c>
      <c r="X301" s="666" t="str">
        <f>IF(OR($A301="F&amp;F",$G301=""),"",IF(X$8&gt;$G301,IF(OR(status1B5!Y301=1,status1B5!Y301=2,'BOULEVARD 5'!AA299&gt;0),"Pagado","impago"),""))</f>
        <v>Pagado</v>
      </c>
      <c r="Y301" s="666" t="str">
        <f>IF(OR($A301="F&amp;F",$G301=""),"",IF(Y$8&gt;$G301,IF(OR(status1B5!Z301=1,status1B5!Z301=2,'BOULEVARD 5'!AB299&gt;0),"Pagado","impago"),""))</f>
        <v>Pagado</v>
      </c>
      <c r="Z301" s="666" t="str">
        <f>IF(OR($A301="F&amp;F",$G301=""),"",IF(Z$8&gt;$G301,IF(OR(status1B5!AA301=1,status1B5!AA301=2,'BOULEVARD 5'!AC299&gt;0),"Pagado","impago"),""))</f>
        <v>Pagado</v>
      </c>
      <c r="AA301" s="666" t="str">
        <f>IF(OR($A301="F&amp;F",$G301=""),"",IF(AA$8&gt;$G301,IF(OR(status1B5!AB301=1,status1B5!AB301=2,'BOULEVARD 5'!AD299&gt;0),"Pagado","impago"),""))</f>
        <v>Pagado</v>
      </c>
      <c r="AB301" s="666" t="str">
        <f>IF(OR($A301="F&amp;F",$G301=""),"",IF(AB$8&gt;$G301,IF(OR(status1B5!AC301=1,status1B5!AC301=2,'BOULEVARD 5'!AE299&gt;0),"Pagado","impago"),""))</f>
        <v>Pagado</v>
      </c>
      <c r="AC301" s="666" t="str">
        <f>IF(OR($A301="F&amp;F",$G301=""),"",IF(AC$8&gt;$G301,IF(OR(status1B5!AD301=1,status1B5!AD301=2,'BOULEVARD 5'!AF299&gt;0),"Pagado","impago"),""))</f>
        <v>Pagado</v>
      </c>
      <c r="AD301" s="666" t="str">
        <f>IF(OR($A301="F&amp;F",$G301=""),"",IF(AD$8&gt;$G301,IF(OR(status1B5!AE301=1,status1B5!AE301=2,'BOULEVARD 5'!AG299&gt;0),"Pagado","impago"),""))</f>
        <v>Pagado</v>
      </c>
      <c r="AE301" s="666" t="str">
        <f>IF(OR($A301="F&amp;F",$G301=""),"",IF(AE$8&gt;$G301,IF(OR(status1B5!AF301=1,status1B5!AF301=2,'BOULEVARD 5'!AH299&gt;0),"Pagado","impago"),""))</f>
        <v>Pagado</v>
      </c>
      <c r="AF301" s="666" t="str">
        <f>IF(OR($A301="F&amp;F",$G301=""),"",IF(AF$8&gt;$G301,IF(OR(status1B5!AG301=1,status1B5!AG301=2,'BOULEVARD 5'!AI299&gt;0),"Pagado","impago"),""))</f>
        <v>Pagado</v>
      </c>
      <c r="AG301" s="666" t="str">
        <f>IF(OR($A301="F&amp;F",$G301=""),"",IF(AG$8&gt;$G301,IF(OR(status1B5!AH301=1,status1B5!AH301=2,'BOULEVARD 5'!AJ299&gt;0),"Pagado","impago"),""))</f>
        <v>Pagado</v>
      </c>
      <c r="AH301" s="666" t="str">
        <f>IF(OR($A301="F&amp;F",$G301=""),"",IF(AH$8&gt;$G301,IF(OR(status1B5!AI301=1,status1B5!AI301=2,'BOULEVARD 5'!AK299&gt;0),"Pagado","impago"),""))</f>
        <v>Pagado</v>
      </c>
      <c r="AI301" s="666" t="str">
        <f>IF(OR($A301="F&amp;F",$G301=""),"",IF(AI$8&gt;$G301,IF(OR(status1B5!AJ301=1,status1B5!AJ301=2,'BOULEVARD 5'!AL299&gt;0),"Pagado","impago"),""))</f>
        <v>Pagado</v>
      </c>
      <c r="AJ301" s="666" t="str">
        <f>IF(OR($A301="F&amp;F",$G301=""),"",IF(AJ$8&gt;$G301,IF(OR(status1B5!AK301=1,status1B5!AK301=2,'BOULEVARD 5'!AM299&gt;0),"Pagado","impago"),""))</f>
        <v>Pagado</v>
      </c>
      <c r="AK301" s="666" t="str">
        <f>IF(OR($A301="F&amp;F",$G301=""),"",IF(AK$8&gt;$G301,IF(OR(status1B5!AL301=1,status1B5!AL301=2,'BOULEVARD 5'!AN299&gt;0),"Pagado","impago"),""))</f>
        <v>Pagado</v>
      </c>
      <c r="AL301" s="666" t="str">
        <f>IF(OR($A301="F&amp;F",$G301=""),"",IF(AL$8&gt;$G301,IF(OR(status1B5!AM301=1,status1B5!AM301=2,'BOULEVARD 5'!AO299&gt;0),"Pagado","impago"),""))</f>
        <v>Pagado</v>
      </c>
      <c r="AM301" s="666" t="str">
        <f>IF(OR($A301="F&amp;F",$G301=""),"",IF(AM$8&gt;$G301,IF(OR(status1B5!AN301=1,status1B5!AN301=2,'BOULEVARD 5'!AP299&gt;0),"Pagado","impago"),""))</f>
        <v>Pagado</v>
      </c>
      <c r="AN301" s="666" t="str">
        <f>IF(OR($A301="F&amp;F",$G301=""),"",IF(AN$8&gt;$G301,IF(OR(status1B5!AO301=1,status1B5!AO301=2,'BOULEVARD 5'!AQ299&gt;0),"Pagado","impago"),""))</f>
        <v>Pagado</v>
      </c>
      <c r="AO301" s="666" t="str">
        <f>IF(OR($A301="F&amp;F",$G301=""),"",IF(AO$8&gt;$G301,IF(OR(status1B5!AP301=1,status1B5!AP301=2,'BOULEVARD 5'!AS299&gt;0),"Pagado","impago"),""))</f>
        <v>Pagado</v>
      </c>
      <c r="AP301" s="429" t="str">
        <f t="shared" si="9"/>
        <v>Vendido</v>
      </c>
    </row>
    <row r="302" spans="1:42" s="429" customFormat="1" ht="13.9" customHeight="1" x14ac:dyDescent="0.25">
      <c r="A302" s="472" t="s">
        <v>58</v>
      </c>
      <c r="B302" s="475">
        <f>'BOULEVARD 5'!B300</f>
        <v>1901</v>
      </c>
      <c r="C302" s="475" t="s">
        <v>355</v>
      </c>
      <c r="D302" s="475"/>
      <c r="E302" s="475" t="str">
        <f>IF('BOULEVARD 5'!E300="","",'BOULEVARD 5'!E300)</f>
        <v>Ronaldo</v>
      </c>
      <c r="F302" s="476" t="str">
        <f>IF('BOULEVARD 5'!F300="","",'BOULEVARD 5'!F300)</f>
        <v>International Coffee Industry, S.A</v>
      </c>
      <c r="G302" s="473">
        <f>IF('BOULEVARD 5'!G300="","",'BOULEVARD 5'!G300)</f>
        <v>45012</v>
      </c>
      <c r="H302" s="666" t="str">
        <f>IF(OR($A302="F&amp;F",$G302=""),"",IF(H$8&gt;$G302,IF(OR(status1B5!I302=1,status1B5!I302=2,'BOULEVARD 5'!K300&gt;0),"Pagado","impago"),""))</f>
        <v/>
      </c>
      <c r="I302" s="666" t="str">
        <f>IF(OR($A302="F&amp;F",$G302=""),"",IF(I$8&gt;$G302,IF(OR(status1B5!J302=1,status1B5!J302=2,'BOULEVARD 5'!L300&gt;0),"Pagado","impago"),""))</f>
        <v/>
      </c>
      <c r="J302" s="666" t="str">
        <f>IF(OR($A302="F&amp;F",$G302=""),"",IF(J$8&gt;$G302,IF(OR(status1B5!K302=1,status1B5!K302=2,'BOULEVARD 5'!M300&gt;0),"Pagado","impago"),""))</f>
        <v/>
      </c>
      <c r="K302" s="666" t="str">
        <f>IF(OR($A302="F&amp;F",$G302=""),"",IF(K$8&gt;$G302,IF(OR(status1B5!L302=1,status1B5!L302=2,'BOULEVARD 5'!N300&gt;0),"Pagado","impago"),""))</f>
        <v/>
      </c>
      <c r="L302" s="666" t="str">
        <f>IF(OR($A302="F&amp;F",$G302=""),"",IF(L$8&gt;$G302,IF(OR(status1B5!M302=1,status1B5!M302=2,'BOULEVARD 5'!O300&gt;0),"Pagado","impago"),""))</f>
        <v/>
      </c>
      <c r="M302" s="666" t="str">
        <f>IF(OR($A302="F&amp;F",$G302=""),"",IF(M$8&gt;$G302,IF(OR(status1B5!N302=1,status1B5!N302=2,'BOULEVARD 5'!P300&gt;0),"Pagado","impago"),""))</f>
        <v/>
      </c>
      <c r="N302" s="666" t="str">
        <f>IF(OR($A302="F&amp;F",$G302=""),"",IF(N$8&gt;$G302,IF(OR(status1B5!O302=1,status1B5!O302=2,'BOULEVARD 5'!Q300&gt;0),"Pagado","impago"),""))</f>
        <v/>
      </c>
      <c r="O302" s="666" t="str">
        <f>IF(OR($A302="F&amp;F",$G302=""),"",IF(O$8&gt;$G302,IF(OR(status1B5!P302=1,status1B5!P302=2,'BOULEVARD 5'!R300&gt;0),"Pagado","impago"),""))</f>
        <v/>
      </c>
      <c r="P302" s="666" t="str">
        <f>IF(OR($A302="F&amp;F",$G302=""),"",IF(P$8&gt;$G302,IF(OR(status1B5!Q302=1,status1B5!Q302=2,'BOULEVARD 5'!S300&gt;0),"Pagado","impago"),""))</f>
        <v/>
      </c>
      <c r="Q302" s="666" t="str">
        <f>IF(OR($A302="F&amp;F",$G302=""),"",IF(Q$8&gt;$G302,IF(OR(status1B5!R302=1,status1B5!R302=2,'BOULEVARD 5'!T300&gt;0),"Pagado","impago"),""))</f>
        <v/>
      </c>
      <c r="R302" s="666" t="str">
        <f>IF(OR($A302="F&amp;F",$G302=""),"",IF(R$8&gt;$G302,IF(OR(status1B5!S302=1,status1B5!S302=2,'BOULEVARD 5'!U300&gt;0),"Pagado","impago"),""))</f>
        <v/>
      </c>
      <c r="S302" s="666" t="str">
        <f>IF(OR($A302="F&amp;F",$G302=""),"",IF(S$8&gt;$G302,IF(OR(status1B5!T302=1,status1B5!T302=2,'BOULEVARD 5'!V300&gt;0),"Pagado","impago"),""))</f>
        <v/>
      </c>
      <c r="T302" s="666" t="str">
        <f>IF(OR($A302="F&amp;F",$G302=""),"",IF(T$8&gt;$G302,IF(OR(status1B5!U302=1,status1B5!U302=2,'BOULEVARD 5'!W300&gt;0),"Pagado","impago"),""))</f>
        <v/>
      </c>
      <c r="U302" s="666" t="str">
        <f>IF(OR($A302="F&amp;F",$G302=""),"",IF(U$8&gt;$G302,IF(OR(status1B5!V302=1,status1B5!V302=2,'BOULEVARD 5'!X300&gt;0),"Pagado","impago"),""))</f>
        <v/>
      </c>
      <c r="V302" s="666" t="str">
        <f>IF(OR($A302="F&amp;F",$G302=""),"",IF(V$8&gt;$G302,IF(OR(status1B5!W302=1,status1B5!W302=2,'BOULEVARD 5'!Y300&gt;0),"Pagado","impago"),""))</f>
        <v/>
      </c>
      <c r="W302" s="666" t="str">
        <f>IF(OR($A302="F&amp;F",$G302=""),"",IF(W$8&gt;$G302,IF(OR(status1B5!X302=1,status1B5!X302=2,'BOULEVARD 5'!Z300&gt;0),"Pagado","impago"),""))</f>
        <v/>
      </c>
      <c r="X302" s="666" t="str">
        <f>IF(OR($A302="F&amp;F",$G302=""),"",IF(X$8&gt;$G302,IF(OR(status1B5!Y302=1,status1B5!Y302=2,'BOULEVARD 5'!AA300&gt;0),"Pagado","impago"),""))</f>
        <v/>
      </c>
      <c r="Y302" s="666" t="str">
        <f>IF(OR($A302="F&amp;F",$G302=""),"",IF(Y$8&gt;$G302,IF(OR(status1B5!Z302=1,status1B5!Z302=2,'BOULEVARD 5'!AB300&gt;0),"Pagado","impago"),""))</f>
        <v/>
      </c>
      <c r="Z302" s="666" t="str">
        <f>IF(OR($A302="F&amp;F",$G302=""),"",IF(Z$8&gt;$G302,IF(OR(status1B5!AA302=1,status1B5!AA302=2,'BOULEVARD 5'!AC300&gt;0),"Pagado","impago"),""))</f>
        <v/>
      </c>
      <c r="AA302" s="666" t="str">
        <f>IF(OR($A302="F&amp;F",$G302=""),"",IF(AA$8&gt;$G302,IF(OR(status1B5!AB302=1,status1B5!AB302=2,'BOULEVARD 5'!AD300&gt;0),"Pagado","impago"),""))</f>
        <v/>
      </c>
      <c r="AB302" s="666" t="str">
        <f>IF(OR($A302="F&amp;F",$G302=""),"",IF(AB$8&gt;$G302,IF(OR(status1B5!AC302=1,status1B5!AC302=2,'BOULEVARD 5'!AE300&gt;0),"Pagado","impago"),""))</f>
        <v/>
      </c>
      <c r="AC302" s="666" t="str">
        <f>IF(OR($A302="F&amp;F",$G302=""),"",IF(AC$8&gt;$G302,IF(OR(status1B5!AD302=1,status1B5!AD302=2,'BOULEVARD 5'!AF300&gt;0),"Pagado","impago"),""))</f>
        <v/>
      </c>
      <c r="AD302" s="666" t="str">
        <f>IF(OR($A302="F&amp;F",$G302=""),"",IF(AD$8&gt;$G302,IF(OR(status1B5!AE302=1,status1B5!AE302=2,'BOULEVARD 5'!AG300&gt;0),"Pagado","impago"),""))</f>
        <v/>
      </c>
      <c r="AE302" s="666" t="str">
        <f>IF(OR($A302="F&amp;F",$G302=""),"",IF(AE$8&gt;$G302,IF(OR(status1B5!AF302=1,status1B5!AF302=2,'BOULEVARD 5'!AH300&gt;0),"Pagado","impago"),""))</f>
        <v/>
      </c>
      <c r="AF302" s="666" t="str">
        <f>IF(OR($A302="F&amp;F",$G302=""),"",IF(AF$8&gt;$G302,IF(OR(status1B5!AG302=1,status1B5!AG302=2,'BOULEVARD 5'!AI300&gt;0),"Pagado","impago"),""))</f>
        <v/>
      </c>
      <c r="AG302" s="666" t="str">
        <f>IF(OR($A302="F&amp;F",$G302=""),"",IF(AG$8&gt;$G302,IF(OR(status1B5!AH302=1,status1B5!AH302=2,'BOULEVARD 5'!AJ300&gt;0),"Pagado","impago"),""))</f>
        <v/>
      </c>
      <c r="AH302" s="666" t="str">
        <f>IF(OR($A302="F&amp;F",$G302=""),"",IF(AH$8&gt;$G302,IF(OR(status1B5!AI302=1,status1B5!AI302=2,'BOULEVARD 5'!AK300&gt;0),"Pagado","impago"),""))</f>
        <v/>
      </c>
      <c r="AI302" s="666" t="str">
        <f>IF(OR($A302="F&amp;F",$G302=""),"",IF(AI$8&gt;$G302,IF(OR(status1B5!AJ302=1,status1B5!AJ302=2,'BOULEVARD 5'!AL300&gt;0),"Pagado","impago"),""))</f>
        <v/>
      </c>
      <c r="AJ302" s="666" t="str">
        <f>IF(OR($A302="F&amp;F",$G302=""),"",IF(AJ$8&gt;$G302,IF(OR(status1B5!AK302=1,status1B5!AK302=2,'BOULEVARD 5'!AM300&gt;0),"Pagado","impago"),""))</f>
        <v/>
      </c>
      <c r="AK302" s="666" t="str">
        <f>IF(OR($A302="F&amp;F",$G302=""),"",IF(AK$8&gt;$G302,IF(OR(status1B5!AL302=1,status1B5!AL302=2,'BOULEVARD 5'!AN300&gt;0),"Pagado","impago"),""))</f>
        <v/>
      </c>
      <c r="AL302" s="666" t="str">
        <f>IF(OR($A302="F&amp;F",$G302=""),"",IF(AL$8&gt;$G302,IF(OR(status1B5!AM302=1,status1B5!AM302=2,'BOULEVARD 5'!AO300&gt;0),"Pagado","impago"),""))</f>
        <v/>
      </c>
      <c r="AM302" s="666" t="str">
        <f>IF(OR($A302="F&amp;F",$G302=""),"",IF(AM$8&gt;$G302,IF(OR(status1B5!AN302=1,status1B5!AN302=2,'BOULEVARD 5'!AP300&gt;0),"Pagado","impago"),""))</f>
        <v/>
      </c>
      <c r="AN302" s="666" t="str">
        <f>IF(OR($A302="F&amp;F",$G302=""),"",IF(AN$8&gt;$G302,IF(OR(status1B5!AO302=1,status1B5!AO302=2,'BOULEVARD 5'!AQ300&gt;0),"Pagado","impago"),""))</f>
        <v/>
      </c>
      <c r="AO302" s="666" t="str">
        <f>IF(OR($A302="F&amp;F",$G302=""),"",IF(AO$8&gt;$G302,IF(OR(status1B5!AP302=1,status1B5!AP302=2,'BOULEVARD 5'!AS300&gt;0),"Pagado","impago"),""))</f>
        <v/>
      </c>
      <c r="AP302" s="429" t="str">
        <f t="shared" si="9"/>
        <v>Vendido</v>
      </c>
    </row>
    <row r="303" spans="1:42" s="429" customFormat="1" ht="13.9" customHeight="1" x14ac:dyDescent="0.25">
      <c r="A303" s="472" t="s">
        <v>58</v>
      </c>
      <c r="B303" s="475">
        <f>'BOULEVARD 5'!B301</f>
        <v>1902</v>
      </c>
      <c r="C303" s="475" t="s">
        <v>355</v>
      </c>
      <c r="D303" s="475"/>
      <c r="E303" s="475" t="str">
        <f>IF('BOULEVARD 5'!E301="","",'BOULEVARD 5'!E301)</f>
        <v>Ronaldo</v>
      </c>
      <c r="F303" s="476" t="str">
        <f>IF('BOULEVARD 5'!F301="","",'BOULEVARD 5'!F301)</f>
        <v>International Coffee Industry, S.A</v>
      </c>
      <c r="G303" s="473">
        <f>IF('BOULEVARD 5'!G301="","",'BOULEVARD 5'!G301)</f>
        <v>45300</v>
      </c>
      <c r="H303" s="666" t="str">
        <f>IF(OR($A303="F&amp;F",$G303=""),"",IF(H$8&gt;$G303,IF(OR(status1B5!I303=1,status1B5!I303=2,'BOULEVARD 5'!K301&gt;0),"Pagado","impago"),""))</f>
        <v/>
      </c>
      <c r="I303" s="666" t="str">
        <f>IF(OR($A303="F&amp;F",$G303=""),"",IF(I$8&gt;$G303,IF(OR(status1B5!J303=1,status1B5!J303=2,'BOULEVARD 5'!L301&gt;0),"Pagado","impago"),""))</f>
        <v/>
      </c>
      <c r="J303" s="666" t="str">
        <f>IF(OR($A303="F&amp;F",$G303=""),"",IF(J$8&gt;$G303,IF(OR(status1B5!K303=1,status1B5!K303=2,'BOULEVARD 5'!M301&gt;0),"Pagado","impago"),""))</f>
        <v/>
      </c>
      <c r="K303" s="666" t="str">
        <f>IF(OR($A303="F&amp;F",$G303=""),"",IF(K$8&gt;$G303,IF(OR(status1B5!L303=1,status1B5!L303=2,'BOULEVARD 5'!N301&gt;0),"Pagado","impago"),""))</f>
        <v/>
      </c>
      <c r="L303" s="666" t="str">
        <f>IF(OR($A303="F&amp;F",$G303=""),"",IF(L$8&gt;$G303,IF(OR(status1B5!M303=1,status1B5!M303=2,'BOULEVARD 5'!O301&gt;0),"Pagado","impago"),""))</f>
        <v/>
      </c>
      <c r="M303" s="666" t="str">
        <f>IF(OR($A303="F&amp;F",$G303=""),"",IF(M$8&gt;$G303,IF(OR(status1B5!N303=1,status1B5!N303=2,'BOULEVARD 5'!P301&gt;0),"Pagado","impago"),""))</f>
        <v/>
      </c>
      <c r="N303" s="666" t="str">
        <f>IF(OR($A303="F&amp;F",$G303=""),"",IF(N$8&gt;$G303,IF(OR(status1B5!O303=1,status1B5!O303=2,'BOULEVARD 5'!Q301&gt;0),"Pagado","impago"),""))</f>
        <v/>
      </c>
      <c r="O303" s="666" t="str">
        <f>IF(OR($A303="F&amp;F",$G303=""),"",IF(O$8&gt;$G303,IF(OR(status1B5!P303=1,status1B5!P303=2,'BOULEVARD 5'!R301&gt;0),"Pagado","impago"),""))</f>
        <v/>
      </c>
      <c r="P303" s="666" t="str">
        <f>IF(OR($A303="F&amp;F",$G303=""),"",IF(P$8&gt;$G303,IF(OR(status1B5!Q303=1,status1B5!Q303=2,'BOULEVARD 5'!S301&gt;0),"Pagado","impago"),""))</f>
        <v/>
      </c>
      <c r="Q303" s="666" t="str">
        <f>IF(OR($A303="F&amp;F",$G303=""),"",IF(Q$8&gt;$G303,IF(OR(status1B5!R303=1,status1B5!R303=2,'BOULEVARD 5'!T301&gt;0),"Pagado","impago"),""))</f>
        <v/>
      </c>
      <c r="R303" s="666" t="str">
        <f>IF(OR($A303="F&amp;F",$G303=""),"",IF(R$8&gt;$G303,IF(OR(status1B5!S303=1,status1B5!S303=2,'BOULEVARD 5'!U301&gt;0),"Pagado","impago"),""))</f>
        <v/>
      </c>
      <c r="S303" s="666" t="str">
        <f>IF(OR($A303="F&amp;F",$G303=""),"",IF(S$8&gt;$G303,IF(OR(status1B5!T303=1,status1B5!T303=2,'BOULEVARD 5'!V301&gt;0),"Pagado","impago"),""))</f>
        <v/>
      </c>
      <c r="T303" s="666" t="str">
        <f>IF(OR($A303="F&amp;F",$G303=""),"",IF(T$8&gt;$G303,IF(OR(status1B5!U303=1,status1B5!U303=2,'BOULEVARD 5'!W301&gt;0),"Pagado","impago"),""))</f>
        <v/>
      </c>
      <c r="U303" s="666" t="str">
        <f>IF(OR($A303="F&amp;F",$G303=""),"",IF(U$8&gt;$G303,IF(OR(status1B5!V303=1,status1B5!V303=2,'BOULEVARD 5'!X301&gt;0),"Pagado","impago"),""))</f>
        <v/>
      </c>
      <c r="V303" s="666" t="str">
        <f>IF(OR($A303="F&amp;F",$G303=""),"",IF(V$8&gt;$G303,IF(OR(status1B5!W303=1,status1B5!W303=2,'BOULEVARD 5'!Y301&gt;0),"Pagado","impago"),""))</f>
        <v/>
      </c>
      <c r="W303" s="666" t="str">
        <f>IF(OR($A303="F&amp;F",$G303=""),"",IF(W$8&gt;$G303,IF(OR(status1B5!X303=1,status1B5!X303=2,'BOULEVARD 5'!Z301&gt;0),"Pagado","impago"),""))</f>
        <v/>
      </c>
      <c r="X303" s="666" t="str">
        <f>IF(OR($A303="F&amp;F",$G303=""),"",IF(X$8&gt;$G303,IF(OR(status1B5!Y303=1,status1B5!Y303=2,'BOULEVARD 5'!AA301&gt;0),"Pagado","impago"),""))</f>
        <v/>
      </c>
      <c r="Y303" s="666" t="str">
        <f>IF(OR($A303="F&amp;F",$G303=""),"",IF(Y$8&gt;$G303,IF(OR(status1B5!Z303=1,status1B5!Z303=2,'BOULEVARD 5'!AB301&gt;0),"Pagado","impago"),""))</f>
        <v/>
      </c>
      <c r="Z303" s="666" t="str">
        <f>IF(OR($A303="F&amp;F",$G303=""),"",IF(Z$8&gt;$G303,IF(OR(status1B5!AA303=1,status1B5!AA303=2,'BOULEVARD 5'!AC301&gt;0),"Pagado","impago"),""))</f>
        <v/>
      </c>
      <c r="AA303" s="666" t="str">
        <f>IF(OR($A303="F&amp;F",$G303=""),"",IF(AA$8&gt;$G303,IF(OR(status1B5!AB303=1,status1B5!AB303=2,'BOULEVARD 5'!AD301&gt;0),"Pagado","impago"),""))</f>
        <v/>
      </c>
      <c r="AB303" s="666" t="str">
        <f>IF(OR($A303="F&amp;F",$G303=""),"",IF(AB$8&gt;$G303,IF(OR(status1B5!AC303=1,status1B5!AC303=2,'BOULEVARD 5'!AE301&gt;0),"Pagado","impago"),""))</f>
        <v/>
      </c>
      <c r="AC303" s="666" t="str">
        <f>IF(OR($A303="F&amp;F",$G303=""),"",IF(AC$8&gt;$G303,IF(OR(status1B5!AD303=1,status1B5!AD303=2,'BOULEVARD 5'!AF301&gt;0),"Pagado","impago"),""))</f>
        <v/>
      </c>
      <c r="AD303" s="666" t="str">
        <f>IF(OR($A303="F&amp;F",$G303=""),"",IF(AD$8&gt;$G303,IF(OR(status1B5!AE303=1,status1B5!AE303=2,'BOULEVARD 5'!AG301&gt;0),"Pagado","impago"),""))</f>
        <v/>
      </c>
      <c r="AE303" s="666" t="str">
        <f>IF(OR($A303="F&amp;F",$G303=""),"",IF(AE$8&gt;$G303,IF(OR(status1B5!AF303=1,status1B5!AF303=2,'BOULEVARD 5'!AH301&gt;0),"Pagado","impago"),""))</f>
        <v/>
      </c>
      <c r="AF303" s="666" t="str">
        <f>IF(OR($A303="F&amp;F",$G303=""),"",IF(AF$8&gt;$G303,IF(OR(status1B5!AG303=1,status1B5!AG303=2,'BOULEVARD 5'!AI301&gt;0),"Pagado","impago"),""))</f>
        <v/>
      </c>
      <c r="AG303" s="666" t="str">
        <f>IF(OR($A303="F&amp;F",$G303=""),"",IF(AG$8&gt;$G303,IF(OR(status1B5!AH303=1,status1B5!AH303=2,'BOULEVARD 5'!AJ301&gt;0),"Pagado","impago"),""))</f>
        <v/>
      </c>
      <c r="AH303" s="666" t="str">
        <f>IF(OR($A303="F&amp;F",$G303=""),"",IF(AH$8&gt;$G303,IF(OR(status1B5!AI303=1,status1B5!AI303=2,'BOULEVARD 5'!AK301&gt;0),"Pagado","impago"),""))</f>
        <v/>
      </c>
      <c r="AI303" s="666" t="str">
        <f>IF(OR($A303="F&amp;F",$G303=""),"",IF(AI$8&gt;$G303,IF(OR(status1B5!AJ303=1,status1B5!AJ303=2,'BOULEVARD 5'!AL301&gt;0),"Pagado","impago"),""))</f>
        <v/>
      </c>
      <c r="AJ303" s="666" t="str">
        <f>IF(OR($A303="F&amp;F",$G303=""),"",IF(AJ$8&gt;$G303,IF(OR(status1B5!AK303=1,status1B5!AK303=2,'BOULEVARD 5'!AM301&gt;0),"Pagado","impago"),""))</f>
        <v/>
      </c>
      <c r="AK303" s="666" t="str">
        <f>IF(OR($A303="F&amp;F",$G303=""),"",IF(AK$8&gt;$G303,IF(OR(status1B5!AL303=1,status1B5!AL303=2,'BOULEVARD 5'!AN301&gt;0),"Pagado","impago"),""))</f>
        <v/>
      </c>
      <c r="AL303" s="666" t="str">
        <f>IF(OR($A303="F&amp;F",$G303=""),"",IF(AL$8&gt;$G303,IF(OR(status1B5!AM303=1,status1B5!AM303=2,'BOULEVARD 5'!AO301&gt;0),"Pagado","impago"),""))</f>
        <v/>
      </c>
      <c r="AM303" s="666" t="str">
        <f>IF(OR($A303="F&amp;F",$G303=""),"",IF(AM$8&gt;$G303,IF(OR(status1B5!AN303=1,status1B5!AN303=2,'BOULEVARD 5'!AP301&gt;0),"Pagado","impago"),""))</f>
        <v/>
      </c>
      <c r="AN303" s="666" t="str">
        <f>IF(OR($A303="F&amp;F",$G303=""),"",IF(AN$8&gt;$G303,IF(OR(status1B5!AO303=1,status1B5!AO303=2,'BOULEVARD 5'!AQ301&gt;0),"Pagado","impago"),""))</f>
        <v/>
      </c>
      <c r="AO303" s="666" t="str">
        <f>IF(OR($A303="F&amp;F",$G303=""),"",IF(AO$8&gt;$G303,IF(OR(status1B5!AP303=1,status1B5!AP303=2,'BOULEVARD 5'!AS301&gt;0),"Pagado","impago"),""))</f>
        <v/>
      </c>
      <c r="AP303" s="429" t="str">
        <f t="shared" si="9"/>
        <v>Vendido</v>
      </c>
    </row>
    <row r="304" spans="1:42" s="429" customFormat="1" ht="13.9" customHeight="1" x14ac:dyDescent="0.25">
      <c r="A304" s="472" t="s">
        <v>58</v>
      </c>
      <c r="B304" s="475">
        <f>'BOULEVARD 5'!B302</f>
        <v>1903</v>
      </c>
      <c r="C304" s="475" t="s">
        <v>355</v>
      </c>
      <c r="D304" s="475"/>
      <c r="E304" s="475" t="str">
        <f>IF('BOULEVARD 5'!E302="","",'BOULEVARD 5'!E302)</f>
        <v>Ronaldo</v>
      </c>
      <c r="F304" s="476" t="str">
        <f>IF('BOULEVARD 5'!F302="","",'BOULEVARD 5'!F302)</f>
        <v>International Coffee Industry, S.A</v>
      </c>
      <c r="G304" s="473">
        <f>IF('BOULEVARD 5'!G302="","",'BOULEVARD 5'!G302)</f>
        <v>45300</v>
      </c>
      <c r="H304" s="666" t="str">
        <f>IF(OR($A304="F&amp;F",$G304=""),"",IF(H$8&gt;$G304,IF(OR(status1B5!I304=1,status1B5!I304=2,'BOULEVARD 5'!K302&gt;0),"Pagado","impago"),""))</f>
        <v/>
      </c>
      <c r="I304" s="666" t="str">
        <f>IF(OR($A304="F&amp;F",$G304=""),"",IF(I$8&gt;$G304,IF(OR(status1B5!J304=1,status1B5!J304=2,'BOULEVARD 5'!L302&gt;0),"Pagado","impago"),""))</f>
        <v/>
      </c>
      <c r="J304" s="666" t="str">
        <f>IF(OR($A304="F&amp;F",$G304=""),"",IF(J$8&gt;$G304,IF(OR(status1B5!K304=1,status1B5!K304=2,'BOULEVARD 5'!M302&gt;0),"Pagado","impago"),""))</f>
        <v/>
      </c>
      <c r="K304" s="666" t="str">
        <f>IF(OR($A304="F&amp;F",$G304=""),"",IF(K$8&gt;$G304,IF(OR(status1B5!L304=1,status1B5!L304=2,'BOULEVARD 5'!N302&gt;0),"Pagado","impago"),""))</f>
        <v/>
      </c>
      <c r="L304" s="666" t="str">
        <f>IF(OR($A304="F&amp;F",$G304=""),"",IF(L$8&gt;$G304,IF(OR(status1B5!M304=1,status1B5!M304=2,'BOULEVARD 5'!O302&gt;0),"Pagado","impago"),""))</f>
        <v/>
      </c>
      <c r="M304" s="666" t="str">
        <f>IF(OR($A304="F&amp;F",$G304=""),"",IF(M$8&gt;$G304,IF(OR(status1B5!N304=1,status1B5!N304=2,'BOULEVARD 5'!P302&gt;0),"Pagado","impago"),""))</f>
        <v/>
      </c>
      <c r="N304" s="666" t="str">
        <f>IF(OR($A304="F&amp;F",$G304=""),"",IF(N$8&gt;$G304,IF(OR(status1B5!O304=1,status1B5!O304=2,'BOULEVARD 5'!Q302&gt;0),"Pagado","impago"),""))</f>
        <v/>
      </c>
      <c r="O304" s="666" t="str">
        <f>IF(OR($A304="F&amp;F",$G304=""),"",IF(O$8&gt;$G304,IF(OR(status1B5!P304=1,status1B5!P304=2,'BOULEVARD 5'!R302&gt;0),"Pagado","impago"),""))</f>
        <v/>
      </c>
      <c r="P304" s="666" t="str">
        <f>IF(OR($A304="F&amp;F",$G304=""),"",IF(P$8&gt;$G304,IF(OR(status1B5!Q304=1,status1B5!Q304=2,'BOULEVARD 5'!S302&gt;0),"Pagado","impago"),""))</f>
        <v/>
      </c>
      <c r="Q304" s="666" t="str">
        <f>IF(OR($A304="F&amp;F",$G304=""),"",IF(Q$8&gt;$G304,IF(OR(status1B5!R304=1,status1B5!R304=2,'BOULEVARD 5'!T302&gt;0),"Pagado","impago"),""))</f>
        <v/>
      </c>
      <c r="R304" s="666" t="str">
        <f>IF(OR($A304="F&amp;F",$G304=""),"",IF(R$8&gt;$G304,IF(OR(status1B5!S304=1,status1B5!S304=2,'BOULEVARD 5'!U302&gt;0),"Pagado","impago"),""))</f>
        <v/>
      </c>
      <c r="S304" s="666" t="str">
        <f>IF(OR($A304="F&amp;F",$G304=""),"",IF(S$8&gt;$G304,IF(OR(status1B5!T304=1,status1B5!T304=2,'BOULEVARD 5'!V302&gt;0),"Pagado","impago"),""))</f>
        <v/>
      </c>
      <c r="T304" s="666" t="str">
        <f>IF(OR($A304="F&amp;F",$G304=""),"",IF(T$8&gt;$G304,IF(OR(status1B5!U304=1,status1B5!U304=2,'BOULEVARD 5'!W302&gt;0),"Pagado","impago"),""))</f>
        <v/>
      </c>
      <c r="U304" s="666" t="str">
        <f>IF(OR($A304="F&amp;F",$G304=""),"",IF(U$8&gt;$G304,IF(OR(status1B5!V304=1,status1B5!V304=2,'BOULEVARD 5'!X302&gt;0),"Pagado","impago"),""))</f>
        <v/>
      </c>
      <c r="V304" s="666" t="str">
        <f>IF(OR($A304="F&amp;F",$G304=""),"",IF(V$8&gt;$G304,IF(OR(status1B5!W304=1,status1B5!W304=2,'BOULEVARD 5'!Y302&gt;0),"Pagado","impago"),""))</f>
        <v/>
      </c>
      <c r="W304" s="666" t="str">
        <f>IF(OR($A304="F&amp;F",$G304=""),"",IF(W$8&gt;$G304,IF(OR(status1B5!X304=1,status1B5!X304=2,'BOULEVARD 5'!Z302&gt;0),"Pagado","impago"),""))</f>
        <v/>
      </c>
      <c r="X304" s="666" t="str">
        <f>IF(OR($A304="F&amp;F",$G304=""),"",IF(X$8&gt;$G304,IF(OR(status1B5!Y304=1,status1B5!Y304=2,'BOULEVARD 5'!AA302&gt;0),"Pagado","impago"),""))</f>
        <v/>
      </c>
      <c r="Y304" s="666" t="str">
        <f>IF(OR($A304="F&amp;F",$G304=""),"",IF(Y$8&gt;$G304,IF(OR(status1B5!Z304=1,status1B5!Z304=2,'BOULEVARD 5'!AB302&gt;0),"Pagado","impago"),""))</f>
        <v/>
      </c>
      <c r="Z304" s="666" t="str">
        <f>IF(OR($A304="F&amp;F",$G304=""),"",IF(Z$8&gt;$G304,IF(OR(status1B5!AA304=1,status1B5!AA304=2,'BOULEVARD 5'!AC302&gt;0),"Pagado","impago"),""))</f>
        <v/>
      </c>
      <c r="AA304" s="666" t="str">
        <f>IF(OR($A304="F&amp;F",$G304=""),"",IF(AA$8&gt;$G304,IF(OR(status1B5!AB304=1,status1B5!AB304=2,'BOULEVARD 5'!AD302&gt;0),"Pagado","impago"),""))</f>
        <v/>
      </c>
      <c r="AB304" s="666" t="str">
        <f>IF(OR($A304="F&amp;F",$G304=""),"",IF(AB$8&gt;$G304,IF(OR(status1B5!AC304=1,status1B5!AC304=2,'BOULEVARD 5'!AE302&gt;0),"Pagado","impago"),""))</f>
        <v/>
      </c>
      <c r="AC304" s="666" t="str">
        <f>IF(OR($A304="F&amp;F",$G304=""),"",IF(AC$8&gt;$G304,IF(OR(status1B5!AD304=1,status1B5!AD304=2,'BOULEVARD 5'!AF302&gt;0),"Pagado","impago"),""))</f>
        <v/>
      </c>
      <c r="AD304" s="666" t="str">
        <f>IF(OR($A304="F&amp;F",$G304=""),"",IF(AD$8&gt;$G304,IF(OR(status1B5!AE304=1,status1B5!AE304=2,'BOULEVARD 5'!AG302&gt;0),"Pagado","impago"),""))</f>
        <v/>
      </c>
      <c r="AE304" s="666" t="str">
        <f>IF(OR($A304="F&amp;F",$G304=""),"",IF(AE$8&gt;$G304,IF(OR(status1B5!AF304=1,status1B5!AF304=2,'BOULEVARD 5'!AH302&gt;0),"Pagado","impago"),""))</f>
        <v/>
      </c>
      <c r="AF304" s="666" t="str">
        <f>IF(OR($A304="F&amp;F",$G304=""),"",IF(AF$8&gt;$G304,IF(OR(status1B5!AG304=1,status1B5!AG304=2,'BOULEVARD 5'!AI302&gt;0),"Pagado","impago"),""))</f>
        <v/>
      </c>
      <c r="AG304" s="666" t="str">
        <f>IF(OR($A304="F&amp;F",$G304=""),"",IF(AG$8&gt;$G304,IF(OR(status1B5!AH304=1,status1B5!AH304=2,'BOULEVARD 5'!AJ302&gt;0),"Pagado","impago"),""))</f>
        <v/>
      </c>
      <c r="AH304" s="666" t="str">
        <f>IF(OR($A304="F&amp;F",$G304=""),"",IF(AH$8&gt;$G304,IF(OR(status1B5!AI304=1,status1B5!AI304=2,'BOULEVARD 5'!AK302&gt;0),"Pagado","impago"),""))</f>
        <v/>
      </c>
      <c r="AI304" s="666" t="str">
        <f>IF(OR($A304="F&amp;F",$G304=""),"",IF(AI$8&gt;$G304,IF(OR(status1B5!AJ304=1,status1B5!AJ304=2,'BOULEVARD 5'!AL302&gt;0),"Pagado","impago"),""))</f>
        <v/>
      </c>
      <c r="AJ304" s="666" t="str">
        <f>IF(OR($A304="F&amp;F",$G304=""),"",IF(AJ$8&gt;$G304,IF(OR(status1B5!AK304=1,status1B5!AK304=2,'BOULEVARD 5'!AM302&gt;0),"Pagado","impago"),""))</f>
        <v/>
      </c>
      <c r="AK304" s="666" t="str">
        <f>IF(OR($A304="F&amp;F",$G304=""),"",IF(AK$8&gt;$G304,IF(OR(status1B5!AL304=1,status1B5!AL304=2,'BOULEVARD 5'!AN302&gt;0),"Pagado","impago"),""))</f>
        <v/>
      </c>
      <c r="AL304" s="666" t="str">
        <f>IF(OR($A304="F&amp;F",$G304=""),"",IF(AL$8&gt;$G304,IF(OR(status1B5!AM304=1,status1B5!AM304=2,'BOULEVARD 5'!AO302&gt;0),"Pagado","impago"),""))</f>
        <v/>
      </c>
      <c r="AM304" s="666" t="str">
        <f>IF(OR($A304="F&amp;F",$G304=""),"",IF(AM$8&gt;$G304,IF(OR(status1B5!AN304=1,status1B5!AN304=2,'BOULEVARD 5'!AP302&gt;0),"Pagado","impago"),""))</f>
        <v/>
      </c>
      <c r="AN304" s="666" t="str">
        <f>IF(OR($A304="F&amp;F",$G304=""),"",IF(AN$8&gt;$G304,IF(OR(status1B5!AO304=1,status1B5!AO304=2,'BOULEVARD 5'!AQ302&gt;0),"Pagado","impago"),""))</f>
        <v/>
      </c>
      <c r="AO304" s="666" t="str">
        <f>IF(OR($A304="F&amp;F",$G304=""),"",IF(AO$8&gt;$G304,IF(OR(status1B5!AP304=1,status1B5!AP304=2,'BOULEVARD 5'!AS302&gt;0),"Pagado","impago"),""))</f>
        <v/>
      </c>
      <c r="AP304" s="429" t="str">
        <f t="shared" si="9"/>
        <v>Vendido</v>
      </c>
    </row>
    <row r="305" spans="1:42" s="429" customFormat="1" ht="13.9" customHeight="1" x14ac:dyDescent="0.25">
      <c r="A305" s="472" t="s">
        <v>58</v>
      </c>
      <c r="B305" s="475">
        <f>'BOULEVARD 5'!B303</f>
        <v>1904</v>
      </c>
      <c r="C305" s="475" t="s">
        <v>355</v>
      </c>
      <c r="D305" s="475"/>
      <c r="E305" s="475" t="str">
        <f>IF('BOULEVARD 5'!E303="","",'BOULEVARD 5'!E303)</f>
        <v>Ronaldo</v>
      </c>
      <c r="F305" s="476" t="str">
        <f>IF('BOULEVARD 5'!F303="","",'BOULEVARD 5'!F303)</f>
        <v>International Coffee Industry, S.A</v>
      </c>
      <c r="G305" s="473">
        <f>IF('BOULEVARD 5'!G303="","",'BOULEVARD 5'!G303)</f>
        <v>45300</v>
      </c>
      <c r="H305" s="666" t="str">
        <f>IF(OR($A305="F&amp;F",$G305=""),"",IF(H$8&gt;$G305,IF(OR(status1B5!I305=1,status1B5!I305=2,'BOULEVARD 5'!K303&gt;0),"Pagado","impago"),""))</f>
        <v/>
      </c>
      <c r="I305" s="666" t="str">
        <f>IF(OR($A305="F&amp;F",$G305=""),"",IF(I$8&gt;$G305,IF(OR(status1B5!J305=1,status1B5!J305=2,'BOULEVARD 5'!L303&gt;0),"Pagado","impago"),""))</f>
        <v/>
      </c>
      <c r="J305" s="666" t="str">
        <f>IF(OR($A305="F&amp;F",$G305=""),"",IF(J$8&gt;$G305,IF(OR(status1B5!K305=1,status1B5!K305=2,'BOULEVARD 5'!M303&gt;0),"Pagado","impago"),""))</f>
        <v/>
      </c>
      <c r="K305" s="666" t="str">
        <f>IF(OR($A305="F&amp;F",$G305=""),"",IF(K$8&gt;$G305,IF(OR(status1B5!L305=1,status1B5!L305=2,'BOULEVARD 5'!N303&gt;0),"Pagado","impago"),""))</f>
        <v/>
      </c>
      <c r="L305" s="666" t="str">
        <f>IF(OR($A305="F&amp;F",$G305=""),"",IF(L$8&gt;$G305,IF(OR(status1B5!M305=1,status1B5!M305=2,'BOULEVARD 5'!O303&gt;0),"Pagado","impago"),""))</f>
        <v/>
      </c>
      <c r="M305" s="666" t="str">
        <f>IF(OR($A305="F&amp;F",$G305=""),"",IF(M$8&gt;$G305,IF(OR(status1B5!N305=1,status1B5!N305=2,'BOULEVARD 5'!P303&gt;0),"Pagado","impago"),""))</f>
        <v/>
      </c>
      <c r="N305" s="666" t="str">
        <f>IF(OR($A305="F&amp;F",$G305=""),"",IF(N$8&gt;$G305,IF(OR(status1B5!O305=1,status1B5!O305=2,'BOULEVARD 5'!Q303&gt;0),"Pagado","impago"),""))</f>
        <v/>
      </c>
      <c r="O305" s="666" t="str">
        <f>IF(OR($A305="F&amp;F",$G305=""),"",IF(O$8&gt;$G305,IF(OR(status1B5!P305=1,status1B5!P305=2,'BOULEVARD 5'!R303&gt;0),"Pagado","impago"),""))</f>
        <v/>
      </c>
      <c r="P305" s="666" t="str">
        <f>IF(OR($A305="F&amp;F",$G305=""),"",IF(P$8&gt;$G305,IF(OR(status1B5!Q305=1,status1B5!Q305=2,'BOULEVARD 5'!S303&gt;0),"Pagado","impago"),""))</f>
        <v/>
      </c>
      <c r="Q305" s="666" t="str">
        <f>IF(OR($A305="F&amp;F",$G305=""),"",IF(Q$8&gt;$G305,IF(OR(status1B5!R305=1,status1B5!R305=2,'BOULEVARD 5'!T303&gt;0),"Pagado","impago"),""))</f>
        <v/>
      </c>
      <c r="R305" s="666" t="str">
        <f>IF(OR($A305="F&amp;F",$G305=""),"",IF(R$8&gt;$G305,IF(OR(status1B5!S305=1,status1B5!S305=2,'BOULEVARD 5'!U303&gt;0),"Pagado","impago"),""))</f>
        <v/>
      </c>
      <c r="S305" s="666" t="str">
        <f>IF(OR($A305="F&amp;F",$G305=""),"",IF(S$8&gt;$G305,IF(OR(status1B5!T305=1,status1B5!T305=2,'BOULEVARD 5'!V303&gt;0),"Pagado","impago"),""))</f>
        <v/>
      </c>
      <c r="T305" s="666" t="str">
        <f>IF(OR($A305="F&amp;F",$G305=""),"",IF(T$8&gt;$G305,IF(OR(status1B5!U305=1,status1B5!U305=2,'BOULEVARD 5'!W303&gt;0),"Pagado","impago"),""))</f>
        <v/>
      </c>
      <c r="U305" s="666" t="str">
        <f>IF(OR($A305="F&amp;F",$G305=""),"",IF(U$8&gt;$G305,IF(OR(status1B5!V305=1,status1B5!V305=2,'BOULEVARD 5'!X303&gt;0),"Pagado","impago"),""))</f>
        <v/>
      </c>
      <c r="V305" s="666" t="str">
        <f>IF(OR($A305="F&amp;F",$G305=""),"",IF(V$8&gt;$G305,IF(OR(status1B5!W305=1,status1B5!W305=2,'BOULEVARD 5'!Y303&gt;0),"Pagado","impago"),""))</f>
        <v/>
      </c>
      <c r="W305" s="666" t="str">
        <f>IF(OR($A305="F&amp;F",$G305=""),"",IF(W$8&gt;$G305,IF(OR(status1B5!X305=1,status1B5!X305=2,'BOULEVARD 5'!Z303&gt;0),"Pagado","impago"),""))</f>
        <v/>
      </c>
      <c r="X305" s="666" t="str">
        <f>IF(OR($A305="F&amp;F",$G305=""),"",IF(X$8&gt;$G305,IF(OR(status1B5!Y305=1,status1B5!Y305=2,'BOULEVARD 5'!AA303&gt;0),"Pagado","impago"),""))</f>
        <v/>
      </c>
      <c r="Y305" s="666" t="str">
        <f>IF(OR($A305="F&amp;F",$G305=""),"",IF(Y$8&gt;$G305,IF(OR(status1B5!Z305=1,status1B5!Z305=2,'BOULEVARD 5'!AB303&gt;0),"Pagado","impago"),""))</f>
        <v/>
      </c>
      <c r="Z305" s="666" t="str">
        <f>IF(OR($A305="F&amp;F",$G305=""),"",IF(Z$8&gt;$G305,IF(OR(status1B5!AA305=1,status1B5!AA305=2,'BOULEVARD 5'!AC303&gt;0),"Pagado","impago"),""))</f>
        <v/>
      </c>
      <c r="AA305" s="666" t="str">
        <f>IF(OR($A305="F&amp;F",$G305=""),"",IF(AA$8&gt;$G305,IF(OR(status1B5!AB305=1,status1B5!AB305=2,'BOULEVARD 5'!AD303&gt;0),"Pagado","impago"),""))</f>
        <v/>
      </c>
      <c r="AB305" s="666" t="str">
        <f>IF(OR($A305="F&amp;F",$G305=""),"",IF(AB$8&gt;$G305,IF(OR(status1B5!AC305=1,status1B5!AC305=2,'BOULEVARD 5'!AE303&gt;0),"Pagado","impago"),""))</f>
        <v/>
      </c>
      <c r="AC305" s="666" t="str">
        <f>IF(OR($A305="F&amp;F",$G305=""),"",IF(AC$8&gt;$G305,IF(OR(status1B5!AD305=1,status1B5!AD305=2,'BOULEVARD 5'!AF303&gt;0),"Pagado","impago"),""))</f>
        <v/>
      </c>
      <c r="AD305" s="666" t="str">
        <f>IF(OR($A305="F&amp;F",$G305=""),"",IF(AD$8&gt;$G305,IF(OR(status1B5!AE305=1,status1B5!AE305=2,'BOULEVARD 5'!AG303&gt;0),"Pagado","impago"),""))</f>
        <v/>
      </c>
      <c r="AE305" s="666" t="str">
        <f>IF(OR($A305="F&amp;F",$G305=""),"",IF(AE$8&gt;$G305,IF(OR(status1B5!AF305=1,status1B5!AF305=2,'BOULEVARD 5'!AH303&gt;0),"Pagado","impago"),""))</f>
        <v/>
      </c>
      <c r="AF305" s="666" t="str">
        <f>IF(OR($A305="F&amp;F",$G305=""),"",IF(AF$8&gt;$G305,IF(OR(status1B5!AG305=1,status1B5!AG305=2,'BOULEVARD 5'!AI303&gt;0),"Pagado","impago"),""))</f>
        <v/>
      </c>
      <c r="AG305" s="666" t="str">
        <f>IF(OR($A305="F&amp;F",$G305=""),"",IF(AG$8&gt;$G305,IF(OR(status1B5!AH305=1,status1B5!AH305=2,'BOULEVARD 5'!AJ303&gt;0),"Pagado","impago"),""))</f>
        <v/>
      </c>
      <c r="AH305" s="666" t="str">
        <f>IF(OR($A305="F&amp;F",$G305=""),"",IF(AH$8&gt;$G305,IF(OR(status1B5!AI305=1,status1B5!AI305=2,'BOULEVARD 5'!AK303&gt;0),"Pagado","impago"),""))</f>
        <v/>
      </c>
      <c r="AI305" s="666" t="str">
        <f>IF(OR($A305="F&amp;F",$G305=""),"",IF(AI$8&gt;$G305,IF(OR(status1B5!AJ305=1,status1B5!AJ305=2,'BOULEVARD 5'!AL303&gt;0),"Pagado","impago"),""))</f>
        <v/>
      </c>
      <c r="AJ305" s="666" t="str">
        <f>IF(OR($A305="F&amp;F",$G305=""),"",IF(AJ$8&gt;$G305,IF(OR(status1B5!AK305=1,status1B5!AK305=2,'BOULEVARD 5'!AM303&gt;0),"Pagado","impago"),""))</f>
        <v/>
      </c>
      <c r="AK305" s="666" t="str">
        <f>IF(OR($A305="F&amp;F",$G305=""),"",IF(AK$8&gt;$G305,IF(OR(status1B5!AL305=1,status1B5!AL305=2,'BOULEVARD 5'!AN303&gt;0),"Pagado","impago"),""))</f>
        <v/>
      </c>
      <c r="AL305" s="666" t="str">
        <f>IF(OR($A305="F&amp;F",$G305=""),"",IF(AL$8&gt;$G305,IF(OR(status1B5!AM305=1,status1B5!AM305=2,'BOULEVARD 5'!AO303&gt;0),"Pagado","impago"),""))</f>
        <v/>
      </c>
      <c r="AM305" s="666" t="str">
        <f>IF(OR($A305="F&amp;F",$G305=""),"",IF(AM$8&gt;$G305,IF(OR(status1B5!AN305=1,status1B5!AN305=2,'BOULEVARD 5'!AP303&gt;0),"Pagado","impago"),""))</f>
        <v/>
      </c>
      <c r="AN305" s="666" t="str">
        <f>IF(OR($A305="F&amp;F",$G305=""),"",IF(AN$8&gt;$G305,IF(OR(status1B5!AO305=1,status1B5!AO305=2,'BOULEVARD 5'!AQ303&gt;0),"Pagado","impago"),""))</f>
        <v/>
      </c>
      <c r="AO305" s="666" t="str">
        <f>IF(OR($A305="F&amp;F",$G305=""),"",IF(AO$8&gt;$G305,IF(OR(status1B5!AP305=1,status1B5!AP305=2,'BOULEVARD 5'!AS303&gt;0),"Pagado","impago"),""))</f>
        <v/>
      </c>
      <c r="AP305" s="429" t="str">
        <f t="shared" si="9"/>
        <v>Vendido</v>
      </c>
    </row>
    <row r="306" spans="1:42" s="429" customFormat="1" ht="13.9" customHeight="1" x14ac:dyDescent="0.25">
      <c r="A306" s="472" t="s">
        <v>58</v>
      </c>
      <c r="B306" s="475">
        <f>'BOULEVARD 5'!B304</f>
        <v>1905</v>
      </c>
      <c r="C306" s="475" t="s">
        <v>355</v>
      </c>
      <c r="D306" s="475"/>
      <c r="E306" s="475" t="str">
        <f>IF('BOULEVARD 5'!E304="","",'BOULEVARD 5'!E304)</f>
        <v>Ronaldo</v>
      </c>
      <c r="F306" s="476" t="str">
        <f>IF('BOULEVARD 5'!F304="","",'BOULEVARD 5'!F304)</f>
        <v>International Coffee Industry, S.A</v>
      </c>
      <c r="G306" s="473">
        <f>IF('BOULEVARD 5'!G304="","",'BOULEVARD 5'!G304)</f>
        <v>45300</v>
      </c>
      <c r="H306" s="666" t="str">
        <f>IF(OR($A306="F&amp;F",$G306=""),"",IF(H$8&gt;$G306,IF(OR(status1B5!I306=1,status1B5!I306=2,'BOULEVARD 5'!K304&gt;0),"Pagado","impago"),""))</f>
        <v/>
      </c>
      <c r="I306" s="666" t="str">
        <f>IF(OR($A306="F&amp;F",$G306=""),"",IF(I$8&gt;$G306,IF(OR(status1B5!J306=1,status1B5!J306=2,'BOULEVARD 5'!L304&gt;0),"Pagado","impago"),""))</f>
        <v/>
      </c>
      <c r="J306" s="666" t="str">
        <f>IF(OR($A306="F&amp;F",$G306=""),"",IF(J$8&gt;$G306,IF(OR(status1B5!K306=1,status1B5!K306=2,'BOULEVARD 5'!M304&gt;0),"Pagado","impago"),""))</f>
        <v/>
      </c>
      <c r="K306" s="666" t="str">
        <f>IF(OR($A306="F&amp;F",$G306=""),"",IF(K$8&gt;$G306,IF(OR(status1B5!L306=1,status1B5!L306=2,'BOULEVARD 5'!N304&gt;0),"Pagado","impago"),""))</f>
        <v/>
      </c>
      <c r="L306" s="666" t="str">
        <f>IF(OR($A306="F&amp;F",$G306=""),"",IF(L$8&gt;$G306,IF(OR(status1B5!M306=1,status1B5!M306=2,'BOULEVARD 5'!O304&gt;0),"Pagado","impago"),""))</f>
        <v/>
      </c>
      <c r="M306" s="666" t="str">
        <f>IF(OR($A306="F&amp;F",$G306=""),"",IF(M$8&gt;$G306,IF(OR(status1B5!N306=1,status1B5!N306=2,'BOULEVARD 5'!P304&gt;0),"Pagado","impago"),""))</f>
        <v/>
      </c>
      <c r="N306" s="666" t="str">
        <f>IF(OR($A306="F&amp;F",$G306=""),"",IF(N$8&gt;$G306,IF(OR(status1B5!O306=1,status1B5!O306=2,'BOULEVARD 5'!Q304&gt;0),"Pagado","impago"),""))</f>
        <v/>
      </c>
      <c r="O306" s="666" t="str">
        <f>IF(OR($A306="F&amp;F",$G306=""),"",IF(O$8&gt;$G306,IF(OR(status1B5!P306=1,status1B5!P306=2,'BOULEVARD 5'!R304&gt;0),"Pagado","impago"),""))</f>
        <v/>
      </c>
      <c r="P306" s="666" t="str">
        <f>IF(OR($A306="F&amp;F",$G306=""),"",IF(P$8&gt;$G306,IF(OR(status1B5!Q306=1,status1B5!Q306=2,'BOULEVARD 5'!S304&gt;0),"Pagado","impago"),""))</f>
        <v/>
      </c>
      <c r="Q306" s="666" t="str">
        <f>IF(OR($A306="F&amp;F",$G306=""),"",IF(Q$8&gt;$G306,IF(OR(status1B5!R306=1,status1B5!R306=2,'BOULEVARD 5'!T304&gt;0),"Pagado","impago"),""))</f>
        <v/>
      </c>
      <c r="R306" s="666" t="str">
        <f>IF(OR($A306="F&amp;F",$G306=""),"",IF(R$8&gt;$G306,IF(OR(status1B5!S306=1,status1B5!S306=2,'BOULEVARD 5'!U304&gt;0),"Pagado","impago"),""))</f>
        <v/>
      </c>
      <c r="S306" s="666" t="str">
        <f>IF(OR($A306="F&amp;F",$G306=""),"",IF(S$8&gt;$G306,IF(OR(status1B5!T306=1,status1B5!T306=2,'BOULEVARD 5'!V304&gt;0),"Pagado","impago"),""))</f>
        <v/>
      </c>
      <c r="T306" s="666" t="str">
        <f>IF(OR($A306="F&amp;F",$G306=""),"",IF(T$8&gt;$G306,IF(OR(status1B5!U306=1,status1B5!U306=2,'BOULEVARD 5'!W304&gt;0),"Pagado","impago"),""))</f>
        <v/>
      </c>
      <c r="U306" s="666" t="str">
        <f>IF(OR($A306="F&amp;F",$G306=""),"",IF(U$8&gt;$G306,IF(OR(status1B5!V306=1,status1B5!V306=2,'BOULEVARD 5'!X304&gt;0),"Pagado","impago"),""))</f>
        <v/>
      </c>
      <c r="V306" s="666" t="str">
        <f>IF(OR($A306="F&amp;F",$G306=""),"",IF(V$8&gt;$G306,IF(OR(status1B5!W306=1,status1B5!W306=2,'BOULEVARD 5'!Y304&gt;0),"Pagado","impago"),""))</f>
        <v/>
      </c>
      <c r="W306" s="666" t="str">
        <f>IF(OR($A306="F&amp;F",$G306=""),"",IF(W$8&gt;$G306,IF(OR(status1B5!X306=1,status1B5!X306=2,'BOULEVARD 5'!Z304&gt;0),"Pagado","impago"),""))</f>
        <v/>
      </c>
      <c r="X306" s="666" t="str">
        <f>IF(OR($A306="F&amp;F",$G306=""),"",IF(X$8&gt;$G306,IF(OR(status1B5!Y306=1,status1B5!Y306=2,'BOULEVARD 5'!AA304&gt;0),"Pagado","impago"),""))</f>
        <v/>
      </c>
      <c r="Y306" s="666" t="str">
        <f>IF(OR($A306="F&amp;F",$G306=""),"",IF(Y$8&gt;$G306,IF(OR(status1B5!Z306=1,status1B5!Z306=2,'BOULEVARD 5'!AB304&gt;0),"Pagado","impago"),""))</f>
        <v/>
      </c>
      <c r="Z306" s="666" t="str">
        <f>IF(OR($A306="F&amp;F",$G306=""),"",IF(Z$8&gt;$G306,IF(OR(status1B5!AA306=1,status1B5!AA306=2,'BOULEVARD 5'!AC304&gt;0),"Pagado","impago"),""))</f>
        <v/>
      </c>
      <c r="AA306" s="666" t="str">
        <f>IF(OR($A306="F&amp;F",$G306=""),"",IF(AA$8&gt;$G306,IF(OR(status1B5!AB306=1,status1B5!AB306=2,'BOULEVARD 5'!AD304&gt;0),"Pagado","impago"),""))</f>
        <v/>
      </c>
      <c r="AB306" s="666" t="str">
        <f>IF(OR($A306="F&amp;F",$G306=""),"",IF(AB$8&gt;$G306,IF(OR(status1B5!AC306=1,status1B5!AC306=2,'BOULEVARD 5'!AE304&gt;0),"Pagado","impago"),""))</f>
        <v/>
      </c>
      <c r="AC306" s="666" t="str">
        <f>IF(OR($A306="F&amp;F",$G306=""),"",IF(AC$8&gt;$G306,IF(OR(status1B5!AD306=1,status1B5!AD306=2,'BOULEVARD 5'!AF304&gt;0),"Pagado","impago"),""))</f>
        <v/>
      </c>
      <c r="AD306" s="666" t="str">
        <f>IF(OR($A306="F&amp;F",$G306=""),"",IF(AD$8&gt;$G306,IF(OR(status1B5!AE306=1,status1B5!AE306=2,'BOULEVARD 5'!AG304&gt;0),"Pagado","impago"),""))</f>
        <v/>
      </c>
      <c r="AE306" s="666" t="str">
        <f>IF(OR($A306="F&amp;F",$G306=""),"",IF(AE$8&gt;$G306,IF(OR(status1B5!AF306=1,status1B5!AF306=2,'BOULEVARD 5'!AH304&gt;0),"Pagado","impago"),""))</f>
        <v/>
      </c>
      <c r="AF306" s="666" t="str">
        <f>IF(OR($A306="F&amp;F",$G306=""),"",IF(AF$8&gt;$G306,IF(OR(status1B5!AG306=1,status1B5!AG306=2,'BOULEVARD 5'!AI304&gt;0),"Pagado","impago"),""))</f>
        <v/>
      </c>
      <c r="AG306" s="666" t="str">
        <f>IF(OR($A306="F&amp;F",$G306=""),"",IF(AG$8&gt;$G306,IF(OR(status1B5!AH306=1,status1B5!AH306=2,'BOULEVARD 5'!AJ304&gt;0),"Pagado","impago"),""))</f>
        <v/>
      </c>
      <c r="AH306" s="666" t="str">
        <f>IF(OR($A306="F&amp;F",$G306=""),"",IF(AH$8&gt;$G306,IF(OR(status1B5!AI306=1,status1B5!AI306=2,'BOULEVARD 5'!AK304&gt;0),"Pagado","impago"),""))</f>
        <v/>
      </c>
      <c r="AI306" s="666" t="str">
        <f>IF(OR($A306="F&amp;F",$G306=""),"",IF(AI$8&gt;$G306,IF(OR(status1B5!AJ306=1,status1B5!AJ306=2,'BOULEVARD 5'!AL304&gt;0),"Pagado","impago"),""))</f>
        <v/>
      </c>
      <c r="AJ306" s="666" t="str">
        <f>IF(OR($A306="F&amp;F",$G306=""),"",IF(AJ$8&gt;$G306,IF(OR(status1B5!AK306=1,status1B5!AK306=2,'BOULEVARD 5'!AM304&gt;0),"Pagado","impago"),""))</f>
        <v/>
      </c>
      <c r="AK306" s="666" t="str">
        <f>IF(OR($A306="F&amp;F",$G306=""),"",IF(AK$8&gt;$G306,IF(OR(status1B5!AL306=1,status1B5!AL306=2,'BOULEVARD 5'!AN304&gt;0),"Pagado","impago"),""))</f>
        <v/>
      </c>
      <c r="AL306" s="666" t="str">
        <f>IF(OR($A306="F&amp;F",$G306=""),"",IF(AL$8&gt;$G306,IF(OR(status1B5!AM306=1,status1B5!AM306=2,'BOULEVARD 5'!AO304&gt;0),"Pagado","impago"),""))</f>
        <v/>
      </c>
      <c r="AM306" s="666" t="str">
        <f>IF(OR($A306="F&amp;F",$G306=""),"",IF(AM$8&gt;$G306,IF(OR(status1B5!AN306=1,status1B5!AN306=2,'BOULEVARD 5'!AP304&gt;0),"Pagado","impago"),""))</f>
        <v/>
      </c>
      <c r="AN306" s="666" t="str">
        <f>IF(OR($A306="F&amp;F",$G306=""),"",IF(AN$8&gt;$G306,IF(OR(status1B5!AO306=1,status1B5!AO306=2,'BOULEVARD 5'!AQ304&gt;0),"Pagado","impago"),""))</f>
        <v/>
      </c>
      <c r="AO306" s="666" t="str">
        <f>IF(OR($A306="F&amp;F",$G306=""),"",IF(AO$8&gt;$G306,IF(OR(status1B5!AP306=1,status1B5!AP306=2,'BOULEVARD 5'!AS304&gt;0),"Pagado","impago"),""))</f>
        <v/>
      </c>
      <c r="AP306" s="429" t="str">
        <f t="shared" si="9"/>
        <v>Vendido</v>
      </c>
    </row>
  </sheetData>
  <conditionalFormatting sqref="B9:B10">
    <cfRule type="duplicateValues" dxfId="42" priority="1"/>
  </conditionalFormatting>
  <conditionalFormatting sqref="B10:B306">
    <cfRule type="duplicateValues" dxfId="41" priority="2"/>
  </conditionalFormatting>
  <pageMargins left="0.7" right="0.7" top="0.75" bottom="0.75" header="0.3" footer="0.3"/>
  <pageSetup fitToWidth="0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D6EF-D891-495B-ADD1-8CC82465424B}">
  <sheetPr>
    <tabColor rgb="FF92D050"/>
  </sheetPr>
  <dimension ref="A1:BL142"/>
  <sheetViews>
    <sheetView showGridLines="0" zoomScale="90" zoomScaleNormal="90" workbookViewId="0">
      <pane xSplit="9" ySplit="6" topLeftCell="J64" activePane="bottomRight" state="frozen"/>
      <selection pane="topRight"/>
      <selection pane="bottomLeft"/>
      <selection pane="bottomRight" activeCell="G66" sqref="G66"/>
    </sheetView>
  </sheetViews>
  <sheetFormatPr defaultColWidth="11" defaultRowHeight="15" customHeight="1" outlineLevelCol="2" x14ac:dyDescent="0.25"/>
  <cols>
    <col min="1" max="1" width="0.42578125" style="86" customWidth="1"/>
    <col min="2" max="4" width="7.42578125" style="86" customWidth="1"/>
    <col min="5" max="5" width="13.7109375" style="86" customWidth="1"/>
    <col min="6" max="6" width="33.42578125" style="86" customWidth="1"/>
    <col min="7" max="7" width="16" style="86" customWidth="1"/>
    <col min="8" max="8" width="15.42578125" style="86" customWidth="1"/>
    <col min="9" max="9" width="20.7109375" style="88" customWidth="1"/>
    <col min="10" max="10" width="17.7109375" style="88" customWidth="1"/>
    <col min="11" max="11" width="15.7109375" style="88" customWidth="1" outlineLevel="2"/>
    <col min="12" max="16" width="15.7109375" style="86" customWidth="1" outlineLevel="2"/>
    <col min="17" max="17" width="18.140625" style="86" customWidth="1" outlineLevel="2"/>
    <col min="18" max="26" width="15.7109375" style="86" customWidth="1" outlineLevel="2"/>
    <col min="27" max="27" width="13.7109375" style="86" customWidth="1" outlineLevel="2"/>
    <col min="28" max="29" width="15.7109375" style="86" customWidth="1" outlineLevel="2"/>
    <col min="30" max="39" width="18.140625" style="86" customWidth="1" outlineLevel="1"/>
    <col min="40" max="40" width="23.7109375" style="86" customWidth="1"/>
    <col min="41" max="41" width="9.7109375" style="86" customWidth="1"/>
    <col min="42" max="42" width="19.42578125" style="86" customWidth="1"/>
    <col min="43" max="43" width="10.7109375" style="86" customWidth="1"/>
    <col min="44" max="44" width="20.7109375" style="86" customWidth="1"/>
    <col min="45" max="45" width="10.7109375" style="86" customWidth="1"/>
    <col min="46" max="46" width="18" style="86" customWidth="1"/>
    <col min="47" max="47" width="25.28515625" style="86" customWidth="1"/>
    <col min="48" max="48" width="22.7109375" style="86" customWidth="1"/>
    <col min="49" max="50" width="9.140625" style="86" customWidth="1"/>
    <col min="51" max="51" width="11" style="104" customWidth="1"/>
    <col min="52" max="52" width="12.42578125" style="86" customWidth="1"/>
    <col min="53" max="53" width="11" style="86" customWidth="1"/>
    <col min="54" max="54" width="11" style="86"/>
    <col min="55" max="55" width="19.28515625" style="86" customWidth="1"/>
    <col min="56" max="56" width="13" style="86" customWidth="1"/>
    <col min="57" max="57" width="12.7109375" style="86" customWidth="1"/>
    <col min="58" max="58" width="14.28515625" style="86" customWidth="1"/>
    <col min="59" max="59" width="11" style="86"/>
    <col min="60" max="60" width="13.28515625" style="86" customWidth="1"/>
    <col min="61" max="61" width="13.7109375" style="86" bestFit="1" customWidth="1"/>
    <col min="62" max="63" width="11" style="86"/>
    <col min="64" max="64" width="18.5703125" style="86" customWidth="1"/>
    <col min="65" max="16384" width="11" style="86"/>
  </cols>
  <sheetData>
    <row r="1" spans="1:64" x14ac:dyDescent="0.25">
      <c r="B1" s="86">
        <v>1</v>
      </c>
      <c r="C1" s="86">
        <f>+B1+1</f>
        <v>2</v>
      </c>
      <c r="D1" s="86">
        <f t="shared" ref="D1:AI1" si="0">+C1+1</f>
        <v>3</v>
      </c>
      <c r="E1" s="86">
        <f t="shared" si="0"/>
        <v>4</v>
      </c>
      <c r="F1" s="86">
        <f t="shared" si="0"/>
        <v>5</v>
      </c>
      <c r="G1" s="86">
        <f>+F1+1</f>
        <v>6</v>
      </c>
      <c r="H1" s="86">
        <f t="shared" si="0"/>
        <v>7</v>
      </c>
      <c r="I1" s="86">
        <f t="shared" si="0"/>
        <v>8</v>
      </c>
      <c r="J1" s="86">
        <f t="shared" si="0"/>
        <v>9</v>
      </c>
      <c r="K1" s="86">
        <f t="shared" si="0"/>
        <v>10</v>
      </c>
      <c r="L1" s="86">
        <f t="shared" si="0"/>
        <v>11</v>
      </c>
      <c r="M1" s="86">
        <f t="shared" si="0"/>
        <v>12</v>
      </c>
      <c r="N1" s="86">
        <f t="shared" si="0"/>
        <v>13</v>
      </c>
      <c r="O1" s="86">
        <f t="shared" si="0"/>
        <v>14</v>
      </c>
      <c r="P1" s="86">
        <f t="shared" si="0"/>
        <v>15</v>
      </c>
      <c r="Q1" s="86">
        <f t="shared" si="0"/>
        <v>16</v>
      </c>
      <c r="R1" s="86">
        <f t="shared" si="0"/>
        <v>17</v>
      </c>
      <c r="S1" s="86">
        <f t="shared" si="0"/>
        <v>18</v>
      </c>
      <c r="T1" s="86">
        <f t="shared" si="0"/>
        <v>19</v>
      </c>
      <c r="U1" s="86">
        <f t="shared" si="0"/>
        <v>20</v>
      </c>
      <c r="V1" s="86">
        <f t="shared" si="0"/>
        <v>21</v>
      </c>
      <c r="W1" s="86">
        <f t="shared" si="0"/>
        <v>22</v>
      </c>
      <c r="X1" s="86">
        <f t="shared" si="0"/>
        <v>23</v>
      </c>
      <c r="Y1" s="86">
        <f t="shared" si="0"/>
        <v>24</v>
      </c>
      <c r="Z1" s="86">
        <f t="shared" si="0"/>
        <v>25</v>
      </c>
      <c r="AA1" s="86">
        <f t="shared" si="0"/>
        <v>26</v>
      </c>
      <c r="AB1" s="86">
        <f t="shared" si="0"/>
        <v>27</v>
      </c>
      <c r="AC1" s="86">
        <f t="shared" si="0"/>
        <v>28</v>
      </c>
      <c r="AD1" s="86">
        <f t="shared" si="0"/>
        <v>29</v>
      </c>
      <c r="AE1" s="86">
        <f t="shared" si="0"/>
        <v>30</v>
      </c>
      <c r="AF1" s="86">
        <f t="shared" si="0"/>
        <v>31</v>
      </c>
      <c r="AG1" s="86">
        <f t="shared" si="0"/>
        <v>32</v>
      </c>
      <c r="AH1" s="86">
        <f t="shared" si="0"/>
        <v>33</v>
      </c>
      <c r="AI1" s="86">
        <f t="shared" si="0"/>
        <v>34</v>
      </c>
      <c r="AY1" s="86"/>
      <c r="BB1" s="104"/>
      <c r="BC1" s="104"/>
      <c r="BD1" s="104"/>
      <c r="BE1" s="104"/>
      <c r="BF1" s="104"/>
      <c r="BG1" s="104"/>
      <c r="BH1" s="104"/>
      <c r="BI1" s="104"/>
    </row>
    <row r="2" spans="1:64" ht="24" x14ac:dyDescent="0.4">
      <c r="B2" s="87" t="s">
        <v>149</v>
      </c>
      <c r="C2" s="87"/>
      <c r="D2" s="87"/>
      <c r="AY2" s="86"/>
      <c r="BB2" s="104"/>
      <c r="BC2" s="104"/>
      <c r="BD2" s="104"/>
      <c r="BE2" s="104"/>
      <c r="BF2" s="104"/>
      <c r="BG2" s="104"/>
      <c r="BH2" s="104"/>
      <c r="BI2" s="104"/>
    </row>
    <row r="3" spans="1:64" ht="18.75" x14ac:dyDescent="0.3">
      <c r="B3" s="89" t="s">
        <v>904</v>
      </c>
      <c r="C3" s="89"/>
      <c r="D3" s="89"/>
      <c r="AY3" s="86"/>
      <c r="BB3" s="104"/>
      <c r="BC3" s="104"/>
      <c r="BD3" s="104"/>
      <c r="BE3" s="104"/>
      <c r="BF3" s="104"/>
      <c r="BG3" s="104"/>
      <c r="BH3" s="104"/>
      <c r="BI3" s="104"/>
    </row>
    <row r="4" spans="1:64" x14ac:dyDescent="0.25">
      <c r="B4" s="86" t="s">
        <v>905</v>
      </c>
      <c r="AY4" s="86"/>
      <c r="BB4" s="104"/>
      <c r="BC4" s="104"/>
      <c r="BD4" s="104"/>
      <c r="BE4" s="104"/>
      <c r="BF4" s="104"/>
      <c r="BG4" s="104"/>
      <c r="BH4" s="104"/>
      <c r="BI4" s="104"/>
    </row>
    <row r="5" spans="1:64" hidden="1" x14ac:dyDescent="0.25">
      <c r="K5" s="88">
        <v>44</v>
      </c>
      <c r="L5" s="86">
        <v>45</v>
      </c>
      <c r="M5" s="86">
        <f>+L5+1</f>
        <v>46</v>
      </c>
      <c r="N5" s="86">
        <f t="shared" ref="N5:AD5" si="1">+M5+1</f>
        <v>47</v>
      </c>
      <c r="O5" s="86">
        <f t="shared" si="1"/>
        <v>48</v>
      </c>
      <c r="P5" s="86">
        <f t="shared" si="1"/>
        <v>49</v>
      </c>
      <c r="Q5" s="86">
        <f t="shared" si="1"/>
        <v>50</v>
      </c>
      <c r="R5" s="86">
        <f t="shared" si="1"/>
        <v>51</v>
      </c>
      <c r="S5" s="86">
        <f t="shared" si="1"/>
        <v>52</v>
      </c>
      <c r="T5" s="86">
        <f t="shared" si="1"/>
        <v>53</v>
      </c>
      <c r="U5" s="86">
        <f t="shared" si="1"/>
        <v>54</v>
      </c>
      <c r="V5" s="86">
        <f t="shared" si="1"/>
        <v>55</v>
      </c>
      <c r="W5" s="86">
        <f t="shared" si="1"/>
        <v>56</v>
      </c>
      <c r="X5" s="86">
        <f t="shared" si="1"/>
        <v>57</v>
      </c>
      <c r="Y5" s="86">
        <f t="shared" si="1"/>
        <v>58</v>
      </c>
      <c r="Z5" s="86">
        <f t="shared" si="1"/>
        <v>59</v>
      </c>
      <c r="AA5" s="86">
        <f t="shared" si="1"/>
        <v>60</v>
      </c>
      <c r="AB5" s="86">
        <f t="shared" si="1"/>
        <v>61</v>
      </c>
      <c r="AC5" s="86">
        <f t="shared" si="1"/>
        <v>62</v>
      </c>
      <c r="AD5" s="86">
        <f t="shared" si="1"/>
        <v>63</v>
      </c>
      <c r="AT5" s="86" t="s">
        <v>906</v>
      </c>
      <c r="AV5" s="86" t="s">
        <v>906</v>
      </c>
      <c r="AY5" s="86"/>
      <c r="BB5" s="104"/>
      <c r="BC5" s="104"/>
      <c r="BD5" s="104"/>
      <c r="BE5" s="104"/>
      <c r="BF5" s="104"/>
      <c r="BG5" s="104"/>
      <c r="BH5" s="104"/>
      <c r="BI5" s="104"/>
    </row>
    <row r="6" spans="1:64" s="90" customFormat="1" ht="40.15" customHeight="1" x14ac:dyDescent="0.25">
      <c r="B6" s="177" t="s">
        <v>62</v>
      </c>
      <c r="C6" s="177" t="s">
        <v>144</v>
      </c>
      <c r="D6" s="177" t="s">
        <v>63</v>
      </c>
      <c r="E6" s="177" t="s">
        <v>65</v>
      </c>
      <c r="F6" s="177" t="s">
        <v>66</v>
      </c>
      <c r="G6" s="177" t="s">
        <v>67</v>
      </c>
      <c r="H6" s="177" t="s">
        <v>68</v>
      </c>
      <c r="I6" s="177" t="s">
        <v>69</v>
      </c>
      <c r="J6" s="177" t="s">
        <v>70</v>
      </c>
      <c r="K6" s="178">
        <v>45016</v>
      </c>
      <c r="L6" s="178">
        <v>45046</v>
      </c>
      <c r="M6" s="178">
        <v>45077</v>
      </c>
      <c r="N6" s="178">
        <v>45107</v>
      </c>
      <c r="O6" s="178">
        <v>45138</v>
      </c>
      <c r="P6" s="178">
        <v>45169</v>
      </c>
      <c r="Q6" s="178">
        <v>45199</v>
      </c>
      <c r="R6" s="178">
        <v>45230</v>
      </c>
      <c r="S6" s="178">
        <v>45260</v>
      </c>
      <c r="T6" s="178">
        <v>45291</v>
      </c>
      <c r="U6" s="178">
        <v>45322</v>
      </c>
      <c r="V6" s="178">
        <v>45351</v>
      </c>
      <c r="W6" s="178">
        <v>45382</v>
      </c>
      <c r="X6" s="178">
        <v>45412</v>
      </c>
      <c r="Y6" s="178">
        <v>45443</v>
      </c>
      <c r="Z6" s="178">
        <v>45473</v>
      </c>
      <c r="AA6" s="178">
        <v>45504</v>
      </c>
      <c r="AB6" s="178">
        <v>45535</v>
      </c>
      <c r="AC6" s="178">
        <v>45565</v>
      </c>
      <c r="AD6" s="178">
        <v>45596</v>
      </c>
      <c r="AE6" s="178">
        <v>45626</v>
      </c>
      <c r="AF6" s="178">
        <v>45657</v>
      </c>
      <c r="AG6" s="178">
        <v>45688</v>
      </c>
      <c r="AH6" s="178">
        <v>45716</v>
      </c>
      <c r="AI6" s="178">
        <v>45747</v>
      </c>
      <c r="AJ6" s="178">
        <v>45777</v>
      </c>
      <c r="AK6" s="178">
        <v>45808</v>
      </c>
      <c r="AL6" s="178">
        <v>45838</v>
      </c>
      <c r="AM6" s="178">
        <v>45839</v>
      </c>
      <c r="AN6" s="178" t="s">
        <v>101</v>
      </c>
      <c r="AO6" s="178" t="s">
        <v>102</v>
      </c>
      <c r="AP6" s="177" t="s">
        <v>103</v>
      </c>
      <c r="AQ6" s="178" t="s">
        <v>104</v>
      </c>
      <c r="AR6" s="177" t="s">
        <v>105</v>
      </c>
      <c r="AS6" s="178" t="s">
        <v>106</v>
      </c>
      <c r="AT6" s="179" t="s">
        <v>107</v>
      </c>
      <c r="AU6" s="177" t="s">
        <v>108</v>
      </c>
      <c r="AV6" s="177" t="s">
        <v>109</v>
      </c>
      <c r="AW6" s="179" t="s">
        <v>110</v>
      </c>
      <c r="AX6" s="179" t="s">
        <v>111</v>
      </c>
      <c r="AY6" s="179" t="s">
        <v>112</v>
      </c>
      <c r="AZ6" s="179" t="s">
        <v>113</v>
      </c>
      <c r="BA6" s="179" t="s">
        <v>114</v>
      </c>
      <c r="BB6" s="181" t="s">
        <v>115</v>
      </c>
      <c r="BC6" s="181" t="s">
        <v>116</v>
      </c>
      <c r="BD6" s="181" t="s">
        <v>117</v>
      </c>
      <c r="BE6" s="181" t="s">
        <v>118</v>
      </c>
      <c r="BF6" s="213" t="s">
        <v>119</v>
      </c>
      <c r="BG6" s="181" t="s">
        <v>48</v>
      </c>
      <c r="BH6" s="181" t="s">
        <v>120</v>
      </c>
      <c r="BI6" s="220" t="s">
        <v>121</v>
      </c>
      <c r="BJ6" s="180" t="s">
        <v>122</v>
      </c>
      <c r="BK6" s="180" t="s">
        <v>123</v>
      </c>
      <c r="BL6" s="180" t="s">
        <v>124</v>
      </c>
    </row>
    <row r="7" spans="1:64" x14ac:dyDescent="0.25">
      <c r="A7" s="86" t="s">
        <v>907</v>
      </c>
      <c r="B7" s="160">
        <v>101</v>
      </c>
      <c r="C7" s="160" t="s">
        <v>145</v>
      </c>
      <c r="D7" s="160" t="s">
        <v>146</v>
      </c>
      <c r="E7" s="160" t="s">
        <v>908</v>
      </c>
      <c r="F7" s="161" t="s">
        <v>909</v>
      </c>
      <c r="G7" s="162">
        <v>45374</v>
      </c>
      <c r="H7" s="160" t="s">
        <v>128</v>
      </c>
      <c r="I7" s="163">
        <v>477700</v>
      </c>
      <c r="J7" s="163">
        <v>24000</v>
      </c>
      <c r="K7" s="121">
        <v>0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1500</v>
      </c>
      <c r="X7" s="121">
        <v>1071.43</v>
      </c>
      <c r="Y7" s="121">
        <v>1071.43</v>
      </c>
      <c r="Z7" s="121">
        <v>925.33</v>
      </c>
      <c r="AA7" s="121">
        <v>1022.73</v>
      </c>
      <c r="AB7" s="121">
        <v>1022.73</v>
      </c>
      <c r="AC7" s="121">
        <v>1022.73</v>
      </c>
      <c r="AD7" s="121">
        <v>1022.73</v>
      </c>
      <c r="AE7" s="121">
        <f>1022.73+1023.73</f>
        <v>2046.46</v>
      </c>
      <c r="AF7" s="121">
        <v>0</v>
      </c>
      <c r="AG7" s="121">
        <v>1022.73</v>
      </c>
      <c r="AH7" s="121">
        <v>1022.73</v>
      </c>
      <c r="AI7" s="121">
        <f>1022.73+1022.73</f>
        <v>2045.46</v>
      </c>
      <c r="AJ7" s="121">
        <v>0</v>
      </c>
      <c r="AK7" s="202">
        <v>1022.73</v>
      </c>
      <c r="AL7" s="203">
        <v>1022.73</v>
      </c>
      <c r="AM7" s="203">
        <v>1022.73</v>
      </c>
      <c r="AN7" s="784">
        <f>SUM(K7:AM7)</f>
        <v>17864.679999999997</v>
      </c>
      <c r="AO7" s="153">
        <f t="shared" ref="AO7:AO37" si="2">IFERROR((+AN7/J7),0)</f>
        <v>0.74436166666666648</v>
      </c>
      <c r="AP7" s="784">
        <f t="shared" ref="AP7:AP71" si="3">+AN7-AT7</f>
        <v>-6135.3200000000033</v>
      </c>
      <c r="AQ7" s="153">
        <f t="shared" ref="AQ7:AQ37" si="4">+AP7/J7</f>
        <v>-0.25563833333333347</v>
      </c>
      <c r="AR7" s="154">
        <f t="shared" ref="AR7:AR37" si="5">+I7-AN7</f>
        <v>459835.32</v>
      </c>
      <c r="AS7" s="155">
        <f t="shared" ref="AS7:AS37" si="6">+AR7/I7</f>
        <v>0.96260272137324687</v>
      </c>
      <c r="AT7" s="785">
        <f t="shared" ref="AT7:AT37" si="7">IF(AU7="Vendido",J7*1,IF(AU7="Disponible",J7*0,IF(AU7="Enganche Completado",J7*1,IF(AU7="Superávit de Enganche",J7*1,0))))</f>
        <v>24000</v>
      </c>
      <c r="AU7" s="786" t="str">
        <f t="shared" ref="AU7:AU37" si="8">IF(F7=0,"Apartamento Disponible",IF(F7&gt;1,"Vendido",0))</f>
        <v>Vendido</v>
      </c>
      <c r="AV7" s="786" t="str">
        <f>IF(AND(AU7="Vendido",G7&gt;=0,BD7&lt;=AN7,AN7&lt;AT7),"Cliente al día",IF(AND(AU7="Vendido",G7&gt;=0,BD7&lt;=AN7,AN7=AT7),"Enganche Completado",IF(AND(AU7="Vendido",G7&gt;=0,BD7&lt;AN7,AN7&gt;AT7),"Superávit de Enganche",IF(AND(AU7="Apartamento Disponible",G7=0,AP7=0),"Disponible","Cliente Atrasado"))))</f>
        <v>Cliente al día</v>
      </c>
      <c r="AW7" s="174">
        <v>22</v>
      </c>
      <c r="AX7" s="174">
        <f>IF(AW7&gt;1,1,0)</f>
        <v>1</v>
      </c>
      <c r="AY7" s="174">
        <f>+AW7+AX7</f>
        <v>23</v>
      </c>
      <c r="AZ7" s="173">
        <v>1500</v>
      </c>
      <c r="BA7" s="173">
        <v>1022.73</v>
      </c>
      <c r="BB7" s="786">
        <f>COUNTIFS(K7:AL7,"&gt;0.01",K7:AL7,"&lt;" &amp; AZ7)</f>
        <v>11</v>
      </c>
      <c r="BC7" s="787">
        <f t="shared" ref="BC7:BC38" si="9">IF($G7&gt;0,DATEDIF($G7,$AL$6,"M"),0)</f>
        <v>15</v>
      </c>
      <c r="BD7" s="788">
        <f t="shared" ref="BD7:BD37" si="10">(BC7*BA7)+AZ7</f>
        <v>16840.95</v>
      </c>
      <c r="BE7" s="787">
        <f t="shared" ref="BE7:BE37" si="11">SUMIF(K7:AL7,"&lt;=" &amp; BA7,K7:AL7)</f>
        <v>9107.1699999999983</v>
      </c>
      <c r="BF7" s="787">
        <f t="shared" ref="BF7:BF37" si="12">SUMIF(K7:AL7,"&gt;" &amp; BA7,K7:AL7)</f>
        <v>7734.7800000000007</v>
      </c>
      <c r="BG7" s="787">
        <f t="shared" ref="BG7:BG37" si="13">AN7-BE7-BF7</f>
        <v>1022.7299999999977</v>
      </c>
      <c r="BH7" s="787">
        <f t="shared" ref="BH7:BH37" si="14">IF(AN7&gt;BD7,AN7-BD7,0)</f>
        <v>1023.7299999999959</v>
      </c>
      <c r="BI7" s="787">
        <f t="shared" ref="BI7:BI37" si="15">IF(AN7&lt;BD7,BD7-AN7,0)</f>
        <v>0</v>
      </c>
      <c r="BJ7" s="217">
        <f t="shared" ref="BJ7:BJ37" si="16">ROUNDUP(IF(G7&gt;0,BI7/BA7,0),0)</f>
        <v>0</v>
      </c>
      <c r="BK7" s="152"/>
      <c r="BL7" s="200"/>
    </row>
    <row r="8" spans="1:64" x14ac:dyDescent="0.25">
      <c r="A8" s="86" t="s">
        <v>910</v>
      </c>
      <c r="B8" s="135">
        <v>102</v>
      </c>
      <c r="C8" s="135" t="s">
        <v>145</v>
      </c>
      <c r="D8" s="135" t="s">
        <v>146</v>
      </c>
      <c r="E8" s="135" t="s">
        <v>908</v>
      </c>
      <c r="F8" s="137" t="s">
        <v>911</v>
      </c>
      <c r="G8" s="138">
        <v>45453</v>
      </c>
      <c r="H8" s="135" t="s">
        <v>128</v>
      </c>
      <c r="I8" s="121">
        <v>477700</v>
      </c>
      <c r="J8" s="121">
        <v>23900</v>
      </c>
      <c r="K8" s="121">
        <v>0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  <c r="X8" s="121">
        <v>0</v>
      </c>
      <c r="Y8" s="121">
        <v>0</v>
      </c>
      <c r="Z8" s="121">
        <v>1500</v>
      </c>
      <c r="AA8" s="121">
        <v>1244.44</v>
      </c>
      <c r="AB8" s="121">
        <v>1244.44</v>
      </c>
      <c r="AC8" s="121">
        <v>1244.44</v>
      </c>
      <c r="AD8" s="121">
        <v>1244.44</v>
      </c>
      <c r="AE8" s="121">
        <v>0</v>
      </c>
      <c r="AF8" s="121">
        <v>1244.44</v>
      </c>
      <c r="AG8" s="121">
        <v>1244.44</v>
      </c>
      <c r="AH8" s="121">
        <v>0</v>
      </c>
      <c r="AJ8" s="121">
        <f>1244.44+1244.44</f>
        <v>2488.88</v>
      </c>
      <c r="AK8" s="202">
        <v>1244.44</v>
      </c>
      <c r="AL8" s="203">
        <v>1244.44</v>
      </c>
      <c r="AM8" s="203"/>
      <c r="AN8" s="784">
        <f t="shared" ref="AN8:AN70" si="17">SUM(K8:AM8)</f>
        <v>13944.400000000001</v>
      </c>
      <c r="AO8" s="156">
        <f t="shared" si="2"/>
        <v>0.58344769874476998</v>
      </c>
      <c r="AP8" s="784">
        <f t="shared" si="3"/>
        <v>-9955.5999999999985</v>
      </c>
      <c r="AQ8" s="156">
        <f t="shared" si="4"/>
        <v>-0.41655230125523007</v>
      </c>
      <c r="AR8" s="157">
        <f t="shared" si="5"/>
        <v>463755.6</v>
      </c>
      <c r="AS8" s="158">
        <f t="shared" si="6"/>
        <v>0.97080929453631981</v>
      </c>
      <c r="AT8" s="785">
        <f t="shared" si="7"/>
        <v>23900</v>
      </c>
      <c r="AU8" s="786" t="str">
        <f t="shared" si="8"/>
        <v>Vendido</v>
      </c>
      <c r="AV8" s="786" t="str">
        <f t="shared" ref="AV8:AV71" si="18">IF(AND(AU8="Vendido",G8&gt;=0,BD8&lt;=AN8,AN8&lt;AT8),"Cliente al día",IF(AND(AU8="Vendido",G8&gt;=0,BD8&lt;=AN8,AN8=AT8),"Enganche Completado",IF(AND(AU8="Vendido",G8&gt;=0,BD8&lt;AN8,AN8&gt;AT8),"Superávit de Enganche",IF(AND(AU8="Apartamento Disponible",G8=0,AP8=0),"Disponible","Cliente Atrasado"))))</f>
        <v>Cliente Atrasado</v>
      </c>
      <c r="AW8" s="174">
        <v>18</v>
      </c>
      <c r="AX8" s="174">
        <f>IF(AW8&gt;1,1,0)</f>
        <v>1</v>
      </c>
      <c r="AY8" s="174">
        <f>+AW8+AX8</f>
        <v>19</v>
      </c>
      <c r="AZ8" s="173">
        <v>1500</v>
      </c>
      <c r="BA8" s="789">
        <v>1244.44</v>
      </c>
      <c r="BB8" s="786">
        <f t="shared" ref="BB8:BB39" si="19">COUNTIFS(K8:AK8,"&gt;0.01",K8:AK8,"&lt;" &amp; AZ8)</f>
        <v>7</v>
      </c>
      <c r="BC8" s="787">
        <f t="shared" si="9"/>
        <v>12</v>
      </c>
      <c r="BD8" s="788">
        <f t="shared" si="10"/>
        <v>16433.28</v>
      </c>
      <c r="BE8" s="787">
        <f t="shared" si="11"/>
        <v>9955.5200000000023</v>
      </c>
      <c r="BF8" s="787">
        <f t="shared" si="12"/>
        <v>3988.88</v>
      </c>
      <c r="BG8" s="787">
        <f t="shared" si="13"/>
        <v>0</v>
      </c>
      <c r="BH8" s="787">
        <f t="shared" si="14"/>
        <v>0</v>
      </c>
      <c r="BI8" s="787">
        <f t="shared" si="15"/>
        <v>2488.8799999999974</v>
      </c>
      <c r="BJ8" s="217">
        <f t="shared" si="16"/>
        <v>2</v>
      </c>
      <c r="BK8" s="152"/>
      <c r="BL8" s="200"/>
    </row>
    <row r="9" spans="1:64" x14ac:dyDescent="0.25">
      <c r="A9" s="86" t="s">
        <v>912</v>
      </c>
      <c r="B9" s="135">
        <v>109</v>
      </c>
      <c r="C9" s="135" t="s">
        <v>145</v>
      </c>
      <c r="D9" s="135" t="s">
        <v>913</v>
      </c>
      <c r="E9" s="135" t="s">
        <v>914</v>
      </c>
      <c r="F9" s="137" t="s">
        <v>915</v>
      </c>
      <c r="G9" s="138">
        <v>45661</v>
      </c>
      <c r="H9" s="135" t="s">
        <v>128</v>
      </c>
      <c r="I9" s="121">
        <v>477700</v>
      </c>
      <c r="J9" s="121">
        <v>24000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1">
        <v>0</v>
      </c>
      <c r="AA9" s="121">
        <v>0</v>
      </c>
      <c r="AB9" s="121">
        <v>0</v>
      </c>
      <c r="AC9" s="121">
        <v>0</v>
      </c>
      <c r="AD9" s="121">
        <v>0</v>
      </c>
      <c r="AE9" s="121">
        <v>0</v>
      </c>
      <c r="AF9" s="121">
        <v>0</v>
      </c>
      <c r="AG9" s="121">
        <v>1500</v>
      </c>
      <c r="AH9" s="121">
        <v>0</v>
      </c>
      <c r="AI9" s="121">
        <f>1875+1862.5</f>
        <v>3737.5</v>
      </c>
      <c r="AJ9" s="121"/>
      <c r="AK9" s="202">
        <v>1888</v>
      </c>
      <c r="AL9" s="202"/>
      <c r="AM9" s="203">
        <v>5625</v>
      </c>
      <c r="AN9" s="784">
        <f t="shared" si="17"/>
        <v>12750.5</v>
      </c>
      <c r="AO9" s="153">
        <f t="shared" si="2"/>
        <v>0.53127083333333336</v>
      </c>
      <c r="AP9" s="784">
        <f t="shared" si="3"/>
        <v>-11249.5</v>
      </c>
      <c r="AQ9" s="153">
        <f t="shared" si="4"/>
        <v>-0.46872916666666664</v>
      </c>
      <c r="AR9" s="154">
        <f t="shared" si="5"/>
        <v>464949.5</v>
      </c>
      <c r="AS9" s="155">
        <f t="shared" si="6"/>
        <v>0.97330856185890724</v>
      </c>
      <c r="AT9" s="785">
        <f t="shared" si="7"/>
        <v>24000</v>
      </c>
      <c r="AU9" s="786" t="str">
        <f t="shared" si="8"/>
        <v>Vendido</v>
      </c>
      <c r="AV9" s="786" t="str">
        <f t="shared" si="18"/>
        <v>Cliente al día</v>
      </c>
      <c r="AW9" s="174">
        <v>12</v>
      </c>
      <c r="AX9" s="174">
        <f t="shared" ref="AX9:AX73" si="20">IF(AW9&gt;1,1,0)</f>
        <v>1</v>
      </c>
      <c r="AY9" s="174">
        <f t="shared" ref="AY9:AY73" si="21">+AW9+AX9</f>
        <v>13</v>
      </c>
      <c r="AZ9" s="173">
        <v>1500</v>
      </c>
      <c r="BA9" s="789">
        <v>1875</v>
      </c>
      <c r="BB9" s="786">
        <f t="shared" si="19"/>
        <v>0</v>
      </c>
      <c r="BC9" s="787">
        <f t="shared" si="9"/>
        <v>5</v>
      </c>
      <c r="BD9" s="788">
        <f t="shared" si="10"/>
        <v>10875</v>
      </c>
      <c r="BE9" s="787">
        <f t="shared" si="11"/>
        <v>1500</v>
      </c>
      <c r="BF9" s="787">
        <f t="shared" si="12"/>
        <v>5625.5</v>
      </c>
      <c r="BG9" s="787">
        <f t="shared" si="13"/>
        <v>5625</v>
      </c>
      <c r="BH9" s="787">
        <f t="shared" si="14"/>
        <v>1875.5</v>
      </c>
      <c r="BI9" s="787">
        <f t="shared" si="15"/>
        <v>0</v>
      </c>
      <c r="BJ9" s="217">
        <f t="shared" si="16"/>
        <v>0</v>
      </c>
      <c r="BK9" s="152"/>
      <c r="BL9" s="200"/>
    </row>
    <row r="10" spans="1:64" x14ac:dyDescent="0.25">
      <c r="B10" s="135">
        <v>104</v>
      </c>
      <c r="C10" s="135" t="s">
        <v>916</v>
      </c>
      <c r="D10" s="135" t="s">
        <v>913</v>
      </c>
      <c r="E10" s="135" t="s">
        <v>917</v>
      </c>
      <c r="F10" s="137" t="s">
        <v>918</v>
      </c>
      <c r="G10" s="138">
        <v>45858</v>
      </c>
      <c r="H10" s="135" t="s">
        <v>374</v>
      </c>
      <c r="I10" s="121">
        <v>497900</v>
      </c>
      <c r="J10" s="121">
        <v>49800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203">
        <f>1500+1500</f>
        <v>3000</v>
      </c>
      <c r="AN10" s="784">
        <f t="shared" si="17"/>
        <v>3000</v>
      </c>
      <c r="AO10" s="153">
        <f t="shared" si="2"/>
        <v>6.0240963855421686E-2</v>
      </c>
      <c r="AP10" s="784">
        <f t="shared" si="3"/>
        <v>-46800</v>
      </c>
      <c r="AQ10" s="153">
        <f t="shared" si="4"/>
        <v>-0.93975903614457834</v>
      </c>
      <c r="AR10" s="154">
        <f t="shared" si="5"/>
        <v>494900</v>
      </c>
      <c r="AS10" s="155">
        <f t="shared" si="6"/>
        <v>0.99397469371359715</v>
      </c>
      <c r="AT10" s="785">
        <f t="shared" si="7"/>
        <v>49800</v>
      </c>
      <c r="AU10" s="786" t="str">
        <f t="shared" si="8"/>
        <v>Vendido</v>
      </c>
      <c r="AV10" s="786" t="e">
        <f t="shared" si="18"/>
        <v>#NUM!</v>
      </c>
      <c r="AW10" s="174"/>
      <c r="AX10" s="174">
        <f t="shared" si="20"/>
        <v>0</v>
      </c>
      <c r="AY10" s="174">
        <f t="shared" si="21"/>
        <v>0</v>
      </c>
      <c r="AZ10" s="173"/>
      <c r="BA10" s="789"/>
      <c r="BB10" s="786">
        <f t="shared" si="19"/>
        <v>0</v>
      </c>
      <c r="BC10" s="787" t="e">
        <f t="shared" si="9"/>
        <v>#NUM!</v>
      </c>
      <c r="BD10" s="788" t="e">
        <f t="shared" si="10"/>
        <v>#NUM!</v>
      </c>
      <c r="BE10" s="787">
        <f t="shared" si="11"/>
        <v>0</v>
      </c>
      <c r="BF10" s="787">
        <f t="shared" si="12"/>
        <v>0</v>
      </c>
      <c r="BG10" s="787">
        <f t="shared" si="13"/>
        <v>3000</v>
      </c>
      <c r="BH10" s="787" t="e">
        <f t="shared" si="14"/>
        <v>#NUM!</v>
      </c>
      <c r="BI10" s="787" t="e">
        <f t="shared" si="15"/>
        <v>#NUM!</v>
      </c>
      <c r="BJ10" s="217" t="e">
        <f t="shared" si="16"/>
        <v>#NUM!</v>
      </c>
      <c r="BK10" s="152"/>
      <c r="BL10" s="200"/>
    </row>
    <row r="11" spans="1:64" x14ac:dyDescent="0.25">
      <c r="A11" s="86" t="s">
        <v>919</v>
      </c>
      <c r="B11" s="135">
        <v>104</v>
      </c>
      <c r="C11" s="135" t="s">
        <v>145</v>
      </c>
      <c r="D11" s="135" t="s">
        <v>146</v>
      </c>
      <c r="E11" s="135" t="s">
        <v>147</v>
      </c>
      <c r="F11" s="137" t="s">
        <v>148</v>
      </c>
      <c r="G11" s="138">
        <v>45258</v>
      </c>
      <c r="H11" s="135" t="s">
        <v>128</v>
      </c>
      <c r="I11" s="121">
        <v>494900</v>
      </c>
      <c r="J11" s="121">
        <v>23900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1">
        <v>0</v>
      </c>
      <c r="AA11" s="121">
        <v>0</v>
      </c>
      <c r="AB11" s="121">
        <v>0</v>
      </c>
      <c r="AC11" s="121">
        <v>0</v>
      </c>
      <c r="AD11" s="121">
        <v>0</v>
      </c>
      <c r="AE11" s="121">
        <v>300</v>
      </c>
      <c r="AF11" s="121">
        <v>500</v>
      </c>
      <c r="AG11" s="121">
        <v>0</v>
      </c>
      <c r="AH11" s="121">
        <v>0</v>
      </c>
      <c r="AI11" s="121">
        <f>500+500</f>
        <v>1000</v>
      </c>
      <c r="AJ11" s="121"/>
      <c r="AK11" s="121">
        <v>500</v>
      </c>
      <c r="AL11" s="121"/>
      <c r="AM11" s="203">
        <v>500</v>
      </c>
      <c r="AN11" s="784">
        <f t="shared" si="17"/>
        <v>2800</v>
      </c>
      <c r="AO11" s="153">
        <f t="shared" si="2"/>
        <v>0.11715481171548117</v>
      </c>
      <c r="AP11" s="784">
        <f t="shared" si="3"/>
        <v>-21100</v>
      </c>
      <c r="AQ11" s="153">
        <f t="shared" si="4"/>
        <v>-0.88284518828451886</v>
      </c>
      <c r="AR11" s="154">
        <f t="shared" si="5"/>
        <v>492100</v>
      </c>
      <c r="AS11" s="155">
        <f t="shared" si="6"/>
        <v>0.99434229137199437</v>
      </c>
      <c r="AT11" s="785">
        <f t="shared" si="7"/>
        <v>23900</v>
      </c>
      <c r="AU11" s="786" t="str">
        <f t="shared" si="8"/>
        <v>Vendido</v>
      </c>
      <c r="AV11" s="786" t="str">
        <f t="shared" si="18"/>
        <v>Cliente Atrasado</v>
      </c>
      <c r="AW11" s="174">
        <v>13</v>
      </c>
      <c r="AX11" s="174">
        <f t="shared" si="20"/>
        <v>1</v>
      </c>
      <c r="AY11" s="174">
        <f t="shared" si="21"/>
        <v>14</v>
      </c>
      <c r="AZ11" s="173">
        <v>300</v>
      </c>
      <c r="BA11" s="789">
        <v>1815.38</v>
      </c>
      <c r="BB11" s="786">
        <f t="shared" si="19"/>
        <v>0</v>
      </c>
      <c r="BC11" s="787">
        <f t="shared" si="9"/>
        <v>19</v>
      </c>
      <c r="BD11" s="788">
        <f t="shared" si="10"/>
        <v>34792.22</v>
      </c>
      <c r="BE11" s="787">
        <f t="shared" si="11"/>
        <v>2300</v>
      </c>
      <c r="BF11" s="787">
        <f t="shared" si="12"/>
        <v>0</v>
      </c>
      <c r="BG11" s="787">
        <f t="shared" si="13"/>
        <v>500</v>
      </c>
      <c r="BH11" s="787">
        <f t="shared" si="14"/>
        <v>0</v>
      </c>
      <c r="BI11" s="787">
        <f t="shared" si="15"/>
        <v>31992.22</v>
      </c>
      <c r="BJ11" s="217">
        <f t="shared" si="16"/>
        <v>18</v>
      </c>
      <c r="BK11" s="152"/>
      <c r="BL11" s="200"/>
    </row>
    <row r="12" spans="1:64" x14ac:dyDescent="0.25">
      <c r="A12" s="86" t="s">
        <v>920</v>
      </c>
      <c r="B12" s="135">
        <v>106</v>
      </c>
      <c r="C12" s="135" t="s">
        <v>146</v>
      </c>
      <c r="D12" s="135" t="s">
        <v>146</v>
      </c>
      <c r="E12" s="135" t="s">
        <v>921</v>
      </c>
      <c r="F12" s="137" t="s">
        <v>922</v>
      </c>
      <c r="G12" s="138">
        <v>45354</v>
      </c>
      <c r="H12" s="135" t="s">
        <v>128</v>
      </c>
      <c r="I12" s="121">
        <v>477700</v>
      </c>
      <c r="J12" s="121">
        <v>47800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3228.57</v>
      </c>
      <c r="X12" s="121">
        <v>2228.5700000000002</v>
      </c>
      <c r="Y12" s="121">
        <v>2228.5700000000002</v>
      </c>
      <c r="Z12" s="121">
        <v>2228.5700000000002</v>
      </c>
      <c r="AA12" s="121">
        <v>2228.5700000000002</v>
      </c>
      <c r="AB12" s="121">
        <v>2228.5700000000002</v>
      </c>
      <c r="AC12" s="121">
        <v>2228.5700000000002</v>
      </c>
      <c r="AD12" s="121">
        <v>2228.5700000000002</v>
      </c>
      <c r="AE12" s="121">
        <v>0</v>
      </c>
      <c r="AF12" s="121">
        <v>2228.5700000000002</v>
      </c>
      <c r="AG12" s="121">
        <v>2228.5700000000002</v>
      </c>
      <c r="AH12" s="121">
        <v>2228.5700000000002</v>
      </c>
      <c r="AI12" s="121">
        <f>2228.57+2228.57</f>
        <v>4457.1400000000003</v>
      </c>
      <c r="AJ12" s="121"/>
      <c r="AK12" s="202">
        <v>2228.5700000000002</v>
      </c>
      <c r="AL12" s="203">
        <v>2228.5700000000002</v>
      </c>
      <c r="AM12" s="203">
        <v>2228.5700000000002</v>
      </c>
      <c r="AN12" s="784">
        <f t="shared" si="17"/>
        <v>36657.120000000003</v>
      </c>
      <c r="AO12" s="153">
        <f t="shared" si="2"/>
        <v>0.76688535564853566</v>
      </c>
      <c r="AP12" s="784">
        <f t="shared" si="3"/>
        <v>-11142.879999999997</v>
      </c>
      <c r="AQ12" s="153">
        <f t="shared" si="4"/>
        <v>-0.23311464435146437</v>
      </c>
      <c r="AR12" s="154">
        <f t="shared" si="5"/>
        <v>441042.88</v>
      </c>
      <c r="AS12" s="155">
        <f t="shared" si="6"/>
        <v>0.92326330332844886</v>
      </c>
      <c r="AT12" s="785">
        <f t="shared" si="7"/>
        <v>47800</v>
      </c>
      <c r="AU12" s="786" t="str">
        <f t="shared" si="8"/>
        <v>Vendido</v>
      </c>
      <c r="AV12" s="786" t="str">
        <f t="shared" si="18"/>
        <v>Cliente al día</v>
      </c>
      <c r="AW12" s="174">
        <v>21</v>
      </c>
      <c r="AX12" s="174">
        <f t="shared" si="20"/>
        <v>1</v>
      </c>
      <c r="AY12" s="174">
        <f t="shared" si="21"/>
        <v>22</v>
      </c>
      <c r="AZ12" s="173">
        <v>1000</v>
      </c>
      <c r="BA12" s="789">
        <v>2228.5700000000002</v>
      </c>
      <c r="BB12" s="786">
        <f t="shared" si="19"/>
        <v>0</v>
      </c>
      <c r="BC12" s="787">
        <f t="shared" si="9"/>
        <v>15</v>
      </c>
      <c r="BD12" s="788">
        <f t="shared" si="10"/>
        <v>34428.550000000003</v>
      </c>
      <c r="BE12" s="787">
        <f t="shared" si="11"/>
        <v>26742.84</v>
      </c>
      <c r="BF12" s="787">
        <f t="shared" si="12"/>
        <v>7685.7100000000009</v>
      </c>
      <c r="BG12" s="787">
        <f t="shared" si="13"/>
        <v>2228.5700000000015</v>
      </c>
      <c r="BH12" s="787">
        <f t="shared" si="14"/>
        <v>2228.5699999999997</v>
      </c>
      <c r="BI12" s="787">
        <f t="shared" si="15"/>
        <v>0</v>
      </c>
      <c r="BJ12" s="217">
        <f t="shared" si="16"/>
        <v>0</v>
      </c>
      <c r="BK12" s="152"/>
      <c r="BL12" s="200"/>
    </row>
    <row r="13" spans="1:64" x14ac:dyDescent="0.25">
      <c r="A13" s="86" t="s">
        <v>923</v>
      </c>
      <c r="B13" s="135">
        <v>105</v>
      </c>
      <c r="C13" s="135" t="s">
        <v>145</v>
      </c>
      <c r="D13" s="135" t="s">
        <v>145</v>
      </c>
      <c r="E13" s="135" t="s">
        <v>147</v>
      </c>
      <c r="F13" s="137" t="s">
        <v>924</v>
      </c>
      <c r="G13" s="138">
        <v>45201</v>
      </c>
      <c r="H13" s="135" t="s">
        <v>128</v>
      </c>
      <c r="I13" s="121">
        <v>384700</v>
      </c>
      <c r="J13" s="121">
        <v>38500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1000</v>
      </c>
      <c r="S13" s="121">
        <v>1785</v>
      </c>
      <c r="T13" s="121">
        <v>1785</v>
      </c>
      <c r="U13" s="121">
        <v>1785</v>
      </c>
      <c r="V13" s="121">
        <v>1785</v>
      </c>
      <c r="W13" s="121">
        <v>1785</v>
      </c>
      <c r="X13" s="121">
        <v>1785</v>
      </c>
      <c r="Y13" s="121">
        <v>1785</v>
      </c>
      <c r="Z13" s="121">
        <v>1785</v>
      </c>
      <c r="AA13" s="121">
        <v>1785</v>
      </c>
      <c r="AB13" s="121">
        <v>1785</v>
      </c>
      <c r="AC13" s="121">
        <v>1785</v>
      </c>
      <c r="AD13" s="121">
        <v>1785</v>
      </c>
      <c r="AE13" s="121">
        <v>1785</v>
      </c>
      <c r="AF13" s="121">
        <v>1785</v>
      </c>
      <c r="AG13" s="121">
        <v>1785</v>
      </c>
      <c r="AH13" s="121">
        <v>1785</v>
      </c>
      <c r="AI13" s="121">
        <v>1785</v>
      </c>
      <c r="AJ13" s="121">
        <v>1785</v>
      </c>
      <c r="AK13" s="202">
        <v>1785</v>
      </c>
      <c r="AL13" s="203">
        <v>1785</v>
      </c>
      <c r="AM13" s="203">
        <v>1785</v>
      </c>
      <c r="AN13" s="784">
        <f t="shared" si="17"/>
        <v>38485</v>
      </c>
      <c r="AO13" s="153">
        <f t="shared" si="2"/>
        <v>0.99961038961038962</v>
      </c>
      <c r="AP13" s="784">
        <f t="shared" si="3"/>
        <v>-15</v>
      </c>
      <c r="AQ13" s="153">
        <f t="shared" si="4"/>
        <v>-3.8961038961038961E-4</v>
      </c>
      <c r="AR13" s="154">
        <f t="shared" si="5"/>
        <v>346215</v>
      </c>
      <c r="AS13" s="155">
        <f t="shared" si="6"/>
        <v>0.89996100857811279</v>
      </c>
      <c r="AT13" s="785">
        <f t="shared" si="7"/>
        <v>38500</v>
      </c>
      <c r="AU13" s="786" t="str">
        <f t="shared" si="8"/>
        <v>Vendido</v>
      </c>
      <c r="AV13" s="786" t="str">
        <f t="shared" si="18"/>
        <v>Cliente al día</v>
      </c>
      <c r="AW13" s="174">
        <v>21</v>
      </c>
      <c r="AX13" s="174">
        <f t="shared" si="20"/>
        <v>1</v>
      </c>
      <c r="AY13" s="174">
        <f t="shared" si="21"/>
        <v>22</v>
      </c>
      <c r="AZ13" s="173">
        <v>1000</v>
      </c>
      <c r="BA13" s="789">
        <v>1784.29</v>
      </c>
      <c r="BB13" s="786">
        <f t="shared" si="19"/>
        <v>0</v>
      </c>
      <c r="BC13" s="787">
        <f t="shared" si="9"/>
        <v>20</v>
      </c>
      <c r="BD13" s="788">
        <f t="shared" si="10"/>
        <v>36685.800000000003</v>
      </c>
      <c r="BE13" s="787">
        <f t="shared" si="11"/>
        <v>1000</v>
      </c>
      <c r="BF13" s="787">
        <f t="shared" si="12"/>
        <v>35700</v>
      </c>
      <c r="BG13" s="787">
        <f t="shared" si="13"/>
        <v>1785</v>
      </c>
      <c r="BH13" s="787">
        <f t="shared" si="14"/>
        <v>1799.1999999999971</v>
      </c>
      <c r="BI13" s="787">
        <f t="shared" si="15"/>
        <v>0</v>
      </c>
      <c r="BJ13" s="217">
        <f t="shared" si="16"/>
        <v>0</v>
      </c>
      <c r="BK13" s="152"/>
      <c r="BL13" s="200"/>
    </row>
    <row r="14" spans="1:64" x14ac:dyDescent="0.25">
      <c r="A14" s="86" t="s">
        <v>925</v>
      </c>
      <c r="B14" s="279">
        <v>110</v>
      </c>
      <c r="C14" s="135" t="s">
        <v>145</v>
      </c>
      <c r="D14" s="135" t="s">
        <v>146</v>
      </c>
      <c r="E14" s="135"/>
      <c r="F14" s="137"/>
      <c r="G14" s="138"/>
      <c r="H14" s="135" t="s">
        <v>374</v>
      </c>
      <c r="I14" s="121">
        <v>477700</v>
      </c>
      <c r="J14" s="121">
        <v>95600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1">
        <v>0</v>
      </c>
      <c r="AA14" s="121">
        <v>0</v>
      </c>
      <c r="AB14" s="121">
        <v>0</v>
      </c>
      <c r="AC14" s="121">
        <v>0</v>
      </c>
      <c r="AD14" s="121">
        <v>0</v>
      </c>
      <c r="AE14" s="121"/>
      <c r="AF14" s="121">
        <v>0</v>
      </c>
      <c r="AG14" s="121">
        <v>0</v>
      </c>
      <c r="AH14" s="121">
        <v>0</v>
      </c>
      <c r="AI14" s="121">
        <v>0</v>
      </c>
      <c r="AJ14" s="121"/>
      <c r="AK14" s="121"/>
      <c r="AL14" s="121"/>
      <c r="AM14" s="121"/>
      <c r="AN14" s="784">
        <f t="shared" si="17"/>
        <v>0</v>
      </c>
      <c r="AO14" s="153">
        <f t="shared" si="2"/>
        <v>0</v>
      </c>
      <c r="AP14" s="784">
        <f t="shared" si="3"/>
        <v>0</v>
      </c>
      <c r="AQ14" s="153">
        <f t="shared" si="4"/>
        <v>0</v>
      </c>
      <c r="AR14" s="154">
        <f t="shared" si="5"/>
        <v>477700</v>
      </c>
      <c r="AS14" s="155">
        <f t="shared" si="6"/>
        <v>1</v>
      </c>
      <c r="AT14" s="785">
        <f t="shared" si="7"/>
        <v>0</v>
      </c>
      <c r="AU14" s="786" t="str">
        <f t="shared" si="8"/>
        <v>Apartamento Disponible</v>
      </c>
      <c r="AV14" s="786" t="str">
        <f t="shared" si="18"/>
        <v>Disponible</v>
      </c>
      <c r="AW14" s="174">
        <v>13</v>
      </c>
      <c r="AX14" s="174">
        <f t="shared" si="20"/>
        <v>1</v>
      </c>
      <c r="AY14" s="174">
        <f t="shared" si="21"/>
        <v>14</v>
      </c>
      <c r="AZ14" s="173">
        <v>1500</v>
      </c>
      <c r="BA14" s="789">
        <v>7238.46</v>
      </c>
      <c r="BB14" s="786">
        <f t="shared" si="19"/>
        <v>0</v>
      </c>
      <c r="BC14" s="787">
        <f t="shared" si="9"/>
        <v>0</v>
      </c>
      <c r="BD14" s="788">
        <f t="shared" si="10"/>
        <v>1500</v>
      </c>
      <c r="BE14" s="787">
        <f t="shared" si="11"/>
        <v>0</v>
      </c>
      <c r="BF14" s="787">
        <f t="shared" si="12"/>
        <v>0</v>
      </c>
      <c r="BG14" s="787">
        <f t="shared" si="13"/>
        <v>0</v>
      </c>
      <c r="BH14" s="787">
        <f t="shared" si="14"/>
        <v>0</v>
      </c>
      <c r="BI14" s="787">
        <f t="shared" si="15"/>
        <v>1500</v>
      </c>
      <c r="BJ14" s="217">
        <f t="shared" si="16"/>
        <v>0</v>
      </c>
      <c r="BK14" s="152"/>
      <c r="BL14" s="200"/>
    </row>
    <row r="15" spans="1:64" x14ac:dyDescent="0.25">
      <c r="A15" s="86" t="s">
        <v>926</v>
      </c>
      <c r="B15" s="135">
        <v>108</v>
      </c>
      <c r="C15" s="135" t="s">
        <v>145</v>
      </c>
      <c r="D15" s="135" t="s">
        <v>146</v>
      </c>
      <c r="E15" s="135" t="s">
        <v>771</v>
      </c>
      <c r="F15" s="137" t="s">
        <v>927</v>
      </c>
      <c r="G15" s="138">
        <v>45202</v>
      </c>
      <c r="H15" s="135" t="s">
        <v>128</v>
      </c>
      <c r="I15" s="121">
        <v>494900</v>
      </c>
      <c r="J15" s="121">
        <v>49490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425</v>
      </c>
      <c r="S15" s="121">
        <v>2434.7399999999998</v>
      </c>
      <c r="T15" s="121">
        <v>2434.7399999999998</v>
      </c>
      <c r="U15" s="121">
        <v>2434.7399999999998</v>
      </c>
      <c r="V15" s="121">
        <v>2434.7399999999998</v>
      </c>
      <c r="W15" s="121">
        <v>2434.7399999999998</v>
      </c>
      <c r="X15" s="121">
        <v>2434.7399999999998</v>
      </c>
      <c r="Y15" s="121">
        <v>2434.7399999999998</v>
      </c>
      <c r="Z15" s="121">
        <v>2434.7399999999998</v>
      </c>
      <c r="AA15" s="121">
        <v>2434.7399999999998</v>
      </c>
      <c r="AB15" s="121">
        <v>2434.7399999999998</v>
      </c>
      <c r="AC15" s="121">
        <v>2434.7399999999998</v>
      </c>
      <c r="AD15" s="121">
        <v>2434.7399999999998</v>
      </c>
      <c r="AE15" s="121">
        <v>2434.7399999999998</v>
      </c>
      <c r="AF15" s="121">
        <v>2434.7399999999998</v>
      </c>
      <c r="AG15" s="121">
        <v>2434.7399999999998</v>
      </c>
      <c r="AH15" s="121">
        <v>2434.7399999999998</v>
      </c>
      <c r="AI15" s="121">
        <v>2434.7399999999998</v>
      </c>
      <c r="AJ15" s="121">
        <v>2434.7399999999998</v>
      </c>
      <c r="AK15" s="202">
        <v>2434.7399999999998</v>
      </c>
      <c r="AL15" s="202"/>
      <c r="AM15" s="202"/>
      <c r="AN15" s="784">
        <f t="shared" si="17"/>
        <v>46685.059999999976</v>
      </c>
      <c r="AO15" s="153">
        <f t="shared" si="2"/>
        <v>0.94332309557486316</v>
      </c>
      <c r="AP15" s="784">
        <f t="shared" si="3"/>
        <v>-2804.9400000000242</v>
      </c>
      <c r="AQ15" s="153">
        <f t="shared" si="4"/>
        <v>-5.6676904425136877E-2</v>
      </c>
      <c r="AR15" s="154">
        <f t="shared" si="5"/>
        <v>448214.94</v>
      </c>
      <c r="AS15" s="155">
        <f t="shared" si="6"/>
        <v>0.90566769044251361</v>
      </c>
      <c r="AT15" s="785">
        <f t="shared" si="7"/>
        <v>49490</v>
      </c>
      <c r="AU15" s="786" t="str">
        <f t="shared" si="8"/>
        <v>Vendido</v>
      </c>
      <c r="AV15" s="786" t="str">
        <f t="shared" si="18"/>
        <v>Cliente Atrasado</v>
      </c>
      <c r="AW15" s="174">
        <v>19</v>
      </c>
      <c r="AX15" s="174">
        <f t="shared" si="20"/>
        <v>1</v>
      </c>
      <c r="AY15" s="174">
        <f t="shared" si="21"/>
        <v>20</v>
      </c>
      <c r="AZ15" s="173">
        <v>3230</v>
      </c>
      <c r="BA15" s="789">
        <v>2434.7399999999998</v>
      </c>
      <c r="BB15" s="786">
        <f t="shared" si="19"/>
        <v>20</v>
      </c>
      <c r="BC15" s="787">
        <f t="shared" si="9"/>
        <v>20</v>
      </c>
      <c r="BD15" s="788">
        <f t="shared" si="10"/>
        <v>51924.799999999996</v>
      </c>
      <c r="BE15" s="787">
        <f t="shared" si="11"/>
        <v>46685.059999999976</v>
      </c>
      <c r="BF15" s="787">
        <f t="shared" si="12"/>
        <v>0</v>
      </c>
      <c r="BG15" s="787">
        <f t="shared" si="13"/>
        <v>0</v>
      </c>
      <c r="BH15" s="787">
        <f t="shared" si="14"/>
        <v>0</v>
      </c>
      <c r="BI15" s="787">
        <f t="shared" si="15"/>
        <v>5239.7400000000198</v>
      </c>
      <c r="BJ15" s="217">
        <f t="shared" si="16"/>
        <v>3</v>
      </c>
      <c r="BK15" s="152"/>
      <c r="BL15" s="200"/>
    </row>
    <row r="16" spans="1:64" x14ac:dyDescent="0.25">
      <c r="A16" s="86" t="s">
        <v>928</v>
      </c>
      <c r="B16" s="135">
        <v>103</v>
      </c>
      <c r="C16" s="135" t="s">
        <v>145</v>
      </c>
      <c r="D16" s="135" t="s">
        <v>913</v>
      </c>
      <c r="E16" s="135" t="s">
        <v>147</v>
      </c>
      <c r="F16" s="137" t="s">
        <v>929</v>
      </c>
      <c r="G16" s="138">
        <v>45348</v>
      </c>
      <c r="H16" s="135" t="s">
        <v>128</v>
      </c>
      <c r="I16" s="121">
        <v>477700</v>
      </c>
      <c r="J16" s="121">
        <v>24000</v>
      </c>
      <c r="K16" s="121">
        <v>0</v>
      </c>
      <c r="L16" s="121">
        <v>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500</v>
      </c>
      <c r="W16" s="121">
        <v>0</v>
      </c>
      <c r="X16" s="121">
        <v>1545.45</v>
      </c>
      <c r="Y16" s="121">
        <v>1045.45</v>
      </c>
      <c r="Z16" s="121">
        <v>1045.45</v>
      </c>
      <c r="AA16" s="121">
        <v>1045.45</v>
      </c>
      <c r="AB16" s="121">
        <v>1045.45</v>
      </c>
      <c r="AC16" s="121">
        <v>1045.45</v>
      </c>
      <c r="AD16" s="121">
        <v>1045</v>
      </c>
      <c r="AE16" s="121">
        <v>1045.45</v>
      </c>
      <c r="AF16" s="121">
        <v>1045.45</v>
      </c>
      <c r="AG16" s="121">
        <v>1045.45</v>
      </c>
      <c r="AH16" s="121">
        <v>522.72</v>
      </c>
      <c r="AI16" s="121">
        <v>0</v>
      </c>
      <c r="AJ16" s="121">
        <v>2613.6</v>
      </c>
      <c r="AK16" s="202">
        <f>1045.45+1045.45</f>
        <v>2090.9</v>
      </c>
      <c r="AL16" s="202"/>
      <c r="AM16" s="203">
        <f>1045.45+1045.45</f>
        <v>2090.9</v>
      </c>
      <c r="AN16" s="784">
        <f t="shared" si="17"/>
        <v>18772.170000000006</v>
      </c>
      <c r="AO16" s="153">
        <f t="shared" si="2"/>
        <v>0.78217375000000022</v>
      </c>
      <c r="AP16" s="784">
        <f t="shared" si="3"/>
        <v>-5227.8299999999945</v>
      </c>
      <c r="AQ16" s="153">
        <f t="shared" si="4"/>
        <v>-0.21782624999999978</v>
      </c>
      <c r="AR16" s="154">
        <f t="shared" si="5"/>
        <v>458927.83</v>
      </c>
      <c r="AS16" s="155">
        <f t="shared" si="6"/>
        <v>0.96070301444421191</v>
      </c>
      <c r="AT16" s="785">
        <f t="shared" si="7"/>
        <v>24000</v>
      </c>
      <c r="AU16" s="786" t="str">
        <f t="shared" si="8"/>
        <v>Vendido</v>
      </c>
      <c r="AV16" s="786" t="str">
        <f t="shared" si="18"/>
        <v>Cliente al día</v>
      </c>
      <c r="AW16" s="174">
        <v>22</v>
      </c>
      <c r="AX16" s="174">
        <f t="shared" si="20"/>
        <v>1</v>
      </c>
      <c r="AY16" s="174">
        <f t="shared" si="21"/>
        <v>23</v>
      </c>
      <c r="AZ16" s="173">
        <v>500</v>
      </c>
      <c r="BA16" s="789">
        <v>1045.45</v>
      </c>
      <c r="BB16" s="786">
        <f t="shared" si="19"/>
        <v>0</v>
      </c>
      <c r="BC16" s="787">
        <f t="shared" si="9"/>
        <v>16</v>
      </c>
      <c r="BD16" s="788">
        <f t="shared" si="10"/>
        <v>17227.2</v>
      </c>
      <c r="BE16" s="787">
        <f t="shared" si="11"/>
        <v>10431.32</v>
      </c>
      <c r="BF16" s="787">
        <f t="shared" si="12"/>
        <v>6249.9500000000007</v>
      </c>
      <c r="BG16" s="787">
        <f t="shared" si="13"/>
        <v>2090.9000000000051</v>
      </c>
      <c r="BH16" s="787">
        <f t="shared" si="14"/>
        <v>1544.9700000000048</v>
      </c>
      <c r="BI16" s="787">
        <f t="shared" si="15"/>
        <v>0</v>
      </c>
      <c r="BJ16" s="217">
        <f t="shared" si="16"/>
        <v>0</v>
      </c>
      <c r="BK16" s="152"/>
      <c r="BL16" s="200"/>
    </row>
    <row r="17" spans="1:64" x14ac:dyDescent="0.25">
      <c r="B17" s="135">
        <v>111</v>
      </c>
      <c r="C17" s="135" t="s">
        <v>916</v>
      </c>
      <c r="D17" s="135" t="s">
        <v>913</v>
      </c>
      <c r="E17" s="135"/>
      <c r="F17" s="137"/>
      <c r="G17" s="138"/>
      <c r="H17" s="135" t="s">
        <v>374</v>
      </c>
      <c r="I17" s="121">
        <v>477000</v>
      </c>
      <c r="J17" s="121">
        <v>24000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  <c r="Y17" s="121">
        <v>0</v>
      </c>
      <c r="Z17" s="121">
        <v>0</v>
      </c>
      <c r="AA17" s="121">
        <v>0</v>
      </c>
      <c r="AB17" s="121">
        <v>0</v>
      </c>
      <c r="AC17" s="121">
        <v>0</v>
      </c>
      <c r="AD17" s="121">
        <v>0</v>
      </c>
      <c r="AE17" s="121">
        <v>0</v>
      </c>
      <c r="AF17" s="121">
        <v>0</v>
      </c>
      <c r="AG17" s="121">
        <v>0</v>
      </c>
      <c r="AH17" s="121">
        <v>0</v>
      </c>
      <c r="AI17" s="121">
        <v>0</v>
      </c>
      <c r="AJ17" s="121"/>
      <c r="AK17" s="121"/>
      <c r="AL17" s="121"/>
      <c r="AM17" s="121"/>
      <c r="AN17" s="784">
        <f t="shared" si="17"/>
        <v>0</v>
      </c>
      <c r="AO17" s="153">
        <f t="shared" si="2"/>
        <v>0</v>
      </c>
      <c r="AP17" s="784">
        <f t="shared" si="3"/>
        <v>0</v>
      </c>
      <c r="AQ17" s="153">
        <f t="shared" si="4"/>
        <v>0</v>
      </c>
      <c r="AR17" s="154">
        <f t="shared" si="5"/>
        <v>477000</v>
      </c>
      <c r="AS17" s="155">
        <f t="shared" si="6"/>
        <v>1</v>
      </c>
      <c r="AT17" s="785">
        <f t="shared" si="7"/>
        <v>0</v>
      </c>
      <c r="AU17" s="786" t="str">
        <f t="shared" si="8"/>
        <v>Apartamento Disponible</v>
      </c>
      <c r="AV17" s="786" t="str">
        <f t="shared" si="18"/>
        <v>Disponible</v>
      </c>
      <c r="AW17" s="174"/>
      <c r="AX17" s="174">
        <f t="shared" si="20"/>
        <v>0</v>
      </c>
      <c r="AY17" s="174">
        <f t="shared" si="21"/>
        <v>0</v>
      </c>
      <c r="AZ17" s="173"/>
      <c r="BA17" s="789">
        <f t="shared" ref="BA17:BA31" si="22">COUNTIF(L17:AN17,"&gt;=" &amp; AZ17)</f>
        <v>0</v>
      </c>
      <c r="BB17" s="786">
        <f t="shared" si="19"/>
        <v>0</v>
      </c>
      <c r="BC17" s="787">
        <f t="shared" si="9"/>
        <v>0</v>
      </c>
      <c r="BD17" s="788">
        <f t="shared" si="10"/>
        <v>0</v>
      </c>
      <c r="BE17" s="787">
        <f t="shared" si="11"/>
        <v>0</v>
      </c>
      <c r="BF17" s="787">
        <f t="shared" si="12"/>
        <v>0</v>
      </c>
      <c r="BG17" s="787">
        <f t="shared" si="13"/>
        <v>0</v>
      </c>
      <c r="BH17" s="787">
        <f t="shared" si="14"/>
        <v>0</v>
      </c>
      <c r="BI17" s="787">
        <f t="shared" si="15"/>
        <v>0</v>
      </c>
      <c r="BJ17" s="217">
        <f t="shared" si="16"/>
        <v>0</v>
      </c>
      <c r="BK17" s="152"/>
      <c r="BL17" s="200"/>
    </row>
    <row r="18" spans="1:64" x14ac:dyDescent="0.25">
      <c r="B18" s="135">
        <v>112</v>
      </c>
      <c r="C18" s="135" t="s">
        <v>916</v>
      </c>
      <c r="D18" s="135" t="s">
        <v>146</v>
      </c>
      <c r="E18" s="135"/>
      <c r="F18" s="137"/>
      <c r="G18" s="138"/>
      <c r="H18" s="135" t="s">
        <v>374</v>
      </c>
      <c r="I18" s="121">
        <v>477700</v>
      </c>
      <c r="J18" s="121">
        <v>24000</v>
      </c>
      <c r="K18" s="121">
        <v>0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/>
      <c r="X18" s="121">
        <v>0</v>
      </c>
      <c r="Y18" s="121">
        <v>0</v>
      </c>
      <c r="Z18" s="121">
        <v>0</v>
      </c>
      <c r="AA18" s="121">
        <v>0</v>
      </c>
      <c r="AB18" s="121">
        <v>0</v>
      </c>
      <c r="AC18" s="121">
        <v>0</v>
      </c>
      <c r="AD18" s="121">
        <v>0</v>
      </c>
      <c r="AE18" s="121">
        <v>0</v>
      </c>
      <c r="AF18" s="121">
        <v>0</v>
      </c>
      <c r="AG18" s="121">
        <v>0</v>
      </c>
      <c r="AH18" s="121">
        <v>0</v>
      </c>
      <c r="AI18" s="121">
        <v>0</v>
      </c>
      <c r="AJ18" s="121"/>
      <c r="AK18" s="121"/>
      <c r="AL18" s="121"/>
      <c r="AM18" s="121"/>
      <c r="AN18" s="784">
        <f t="shared" si="17"/>
        <v>0</v>
      </c>
      <c r="AO18" s="153">
        <f t="shared" si="2"/>
        <v>0</v>
      </c>
      <c r="AP18" s="784">
        <f t="shared" si="3"/>
        <v>0</v>
      </c>
      <c r="AQ18" s="153">
        <f t="shared" si="4"/>
        <v>0</v>
      </c>
      <c r="AR18" s="154">
        <f t="shared" si="5"/>
        <v>477700</v>
      </c>
      <c r="AS18" s="155">
        <f t="shared" si="6"/>
        <v>1</v>
      </c>
      <c r="AT18" s="785">
        <f t="shared" si="7"/>
        <v>0</v>
      </c>
      <c r="AU18" s="786" t="str">
        <f t="shared" si="8"/>
        <v>Apartamento Disponible</v>
      </c>
      <c r="AV18" s="786" t="str">
        <f t="shared" si="18"/>
        <v>Disponible</v>
      </c>
      <c r="AW18" s="174"/>
      <c r="AX18" s="174">
        <f t="shared" si="20"/>
        <v>0</v>
      </c>
      <c r="AY18" s="174">
        <f t="shared" si="21"/>
        <v>0</v>
      </c>
      <c r="AZ18" s="173"/>
      <c r="BA18" s="789">
        <f t="shared" si="22"/>
        <v>0</v>
      </c>
      <c r="BB18" s="786">
        <f t="shared" si="19"/>
        <v>0</v>
      </c>
      <c r="BC18" s="787">
        <f t="shared" si="9"/>
        <v>0</v>
      </c>
      <c r="BD18" s="788">
        <f t="shared" si="10"/>
        <v>0</v>
      </c>
      <c r="BE18" s="787">
        <f t="shared" si="11"/>
        <v>0</v>
      </c>
      <c r="BF18" s="787">
        <f t="shared" si="12"/>
        <v>0</v>
      </c>
      <c r="BG18" s="787">
        <f t="shared" si="13"/>
        <v>0</v>
      </c>
      <c r="BH18" s="787">
        <f t="shared" si="14"/>
        <v>0</v>
      </c>
      <c r="BI18" s="787">
        <f t="shared" si="15"/>
        <v>0</v>
      </c>
      <c r="BJ18" s="217">
        <f t="shared" si="16"/>
        <v>0</v>
      </c>
      <c r="BK18" s="152"/>
      <c r="BL18" s="200"/>
    </row>
    <row r="19" spans="1:64" x14ac:dyDescent="0.25">
      <c r="B19" s="135">
        <v>113</v>
      </c>
      <c r="C19" s="135" t="s">
        <v>916</v>
      </c>
      <c r="D19" s="135" t="s">
        <v>146</v>
      </c>
      <c r="E19" s="135"/>
      <c r="F19" s="137"/>
      <c r="G19" s="138"/>
      <c r="H19" s="135" t="s">
        <v>374</v>
      </c>
      <c r="I19" s="121">
        <v>477700</v>
      </c>
      <c r="J19" s="121">
        <v>24000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/>
      <c r="X19" s="121">
        <v>0</v>
      </c>
      <c r="Y19" s="121">
        <v>0</v>
      </c>
      <c r="Z19" s="121">
        <v>0</v>
      </c>
      <c r="AA19" s="121">
        <v>0</v>
      </c>
      <c r="AB19" s="121">
        <v>0</v>
      </c>
      <c r="AC19" s="121">
        <v>0</v>
      </c>
      <c r="AD19" s="121">
        <v>0</v>
      </c>
      <c r="AE19" s="121">
        <v>0</v>
      </c>
      <c r="AF19" s="121">
        <v>0</v>
      </c>
      <c r="AG19" s="121">
        <v>0</v>
      </c>
      <c r="AH19" s="121">
        <v>0</v>
      </c>
      <c r="AI19" s="121">
        <v>0</v>
      </c>
      <c r="AJ19" s="121"/>
      <c r="AK19" s="121"/>
      <c r="AL19" s="121"/>
      <c r="AM19" s="121"/>
      <c r="AN19" s="784">
        <f t="shared" si="17"/>
        <v>0</v>
      </c>
      <c r="AO19" s="153">
        <f t="shared" si="2"/>
        <v>0</v>
      </c>
      <c r="AP19" s="784">
        <f t="shared" si="3"/>
        <v>0</v>
      </c>
      <c r="AQ19" s="153">
        <f t="shared" si="4"/>
        <v>0</v>
      </c>
      <c r="AR19" s="154">
        <f t="shared" si="5"/>
        <v>477700</v>
      </c>
      <c r="AS19" s="155">
        <f t="shared" si="6"/>
        <v>1</v>
      </c>
      <c r="AT19" s="785">
        <f t="shared" si="7"/>
        <v>0</v>
      </c>
      <c r="AU19" s="786" t="str">
        <f t="shared" si="8"/>
        <v>Apartamento Disponible</v>
      </c>
      <c r="AV19" s="786" t="str">
        <f t="shared" si="18"/>
        <v>Disponible</v>
      </c>
      <c r="AW19" s="174"/>
      <c r="AX19" s="174">
        <f t="shared" si="20"/>
        <v>0</v>
      </c>
      <c r="AY19" s="174">
        <f t="shared" si="21"/>
        <v>0</v>
      </c>
      <c r="AZ19" s="173"/>
      <c r="BA19" s="789">
        <f t="shared" si="22"/>
        <v>0</v>
      </c>
      <c r="BB19" s="786">
        <f t="shared" si="19"/>
        <v>0</v>
      </c>
      <c r="BC19" s="787">
        <f t="shared" si="9"/>
        <v>0</v>
      </c>
      <c r="BD19" s="788">
        <f t="shared" si="10"/>
        <v>0</v>
      </c>
      <c r="BE19" s="787">
        <f t="shared" si="11"/>
        <v>0</v>
      </c>
      <c r="BF19" s="787">
        <f t="shared" si="12"/>
        <v>0</v>
      </c>
      <c r="BG19" s="787">
        <f t="shared" si="13"/>
        <v>0</v>
      </c>
      <c r="BH19" s="787">
        <f t="shared" si="14"/>
        <v>0</v>
      </c>
      <c r="BI19" s="787">
        <f t="shared" si="15"/>
        <v>0</v>
      </c>
      <c r="BJ19" s="217">
        <f t="shared" si="16"/>
        <v>0</v>
      </c>
      <c r="BK19" s="152"/>
      <c r="BL19" s="200"/>
    </row>
    <row r="20" spans="1:64" x14ac:dyDescent="0.25">
      <c r="A20" s="86" t="s">
        <v>930</v>
      </c>
      <c r="B20" s="135">
        <v>201</v>
      </c>
      <c r="C20" s="135" t="s">
        <v>145</v>
      </c>
      <c r="D20" s="135" t="s">
        <v>146</v>
      </c>
      <c r="E20" s="135" t="s">
        <v>908</v>
      </c>
      <c r="F20" s="137" t="s">
        <v>931</v>
      </c>
      <c r="G20" s="138">
        <v>45389</v>
      </c>
      <c r="H20" s="135" t="s">
        <v>128</v>
      </c>
      <c r="I20" s="121">
        <v>477700</v>
      </c>
      <c r="J20" s="121">
        <v>24000</v>
      </c>
      <c r="K20" s="121">
        <v>0</v>
      </c>
      <c r="L20" s="121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1500</v>
      </c>
      <c r="Y20" s="121">
        <v>546</v>
      </c>
      <c r="Z20" s="121">
        <v>1046</v>
      </c>
      <c r="AA20" s="121">
        <v>1046</v>
      </c>
      <c r="AB20" s="121">
        <v>1046</v>
      </c>
      <c r="AC20" s="121">
        <v>1045</v>
      </c>
      <c r="AD20" s="121">
        <v>1045</v>
      </c>
      <c r="AE20" s="121">
        <v>1046</v>
      </c>
      <c r="AF20" s="121">
        <v>1046</v>
      </c>
      <c r="AG20" s="121">
        <v>1046</v>
      </c>
      <c r="AH20" s="121">
        <v>1046</v>
      </c>
      <c r="AI20" s="121">
        <v>1046</v>
      </c>
      <c r="AJ20" s="121">
        <v>1046</v>
      </c>
      <c r="AK20" s="202">
        <v>1046</v>
      </c>
      <c r="AL20" s="203">
        <v>1046</v>
      </c>
      <c r="AM20" s="203">
        <v>1046</v>
      </c>
      <c r="AN20" s="784">
        <f t="shared" si="17"/>
        <v>16688</v>
      </c>
      <c r="AO20" s="153">
        <f t="shared" si="2"/>
        <v>0.69533333333333336</v>
      </c>
      <c r="AP20" s="784">
        <f t="shared" si="3"/>
        <v>-7312</v>
      </c>
      <c r="AQ20" s="153">
        <f t="shared" si="4"/>
        <v>-0.30466666666666664</v>
      </c>
      <c r="AR20" s="154">
        <f t="shared" si="5"/>
        <v>461012</v>
      </c>
      <c r="AS20" s="155">
        <f t="shared" si="6"/>
        <v>0.96506594096713416</v>
      </c>
      <c r="AT20" s="785">
        <f t="shared" si="7"/>
        <v>24000</v>
      </c>
      <c r="AU20" s="786" t="str">
        <f t="shared" si="8"/>
        <v>Vendido</v>
      </c>
      <c r="AV20" s="786" t="str">
        <f t="shared" si="18"/>
        <v>Cliente al día</v>
      </c>
      <c r="AW20" s="174">
        <v>22</v>
      </c>
      <c r="AX20" s="174">
        <f t="shared" si="20"/>
        <v>1</v>
      </c>
      <c r="AY20" s="174">
        <f t="shared" si="21"/>
        <v>23</v>
      </c>
      <c r="AZ20" s="173">
        <v>1000</v>
      </c>
      <c r="BA20" s="789">
        <v>1045.45</v>
      </c>
      <c r="BB20" s="786">
        <f t="shared" si="19"/>
        <v>1</v>
      </c>
      <c r="BC20" s="787">
        <f t="shared" si="9"/>
        <v>14</v>
      </c>
      <c r="BD20" s="788">
        <f t="shared" si="10"/>
        <v>15636.300000000001</v>
      </c>
      <c r="BE20" s="787">
        <f t="shared" si="11"/>
        <v>2636</v>
      </c>
      <c r="BF20" s="787">
        <f t="shared" si="12"/>
        <v>13006</v>
      </c>
      <c r="BG20" s="787">
        <f t="shared" si="13"/>
        <v>1046</v>
      </c>
      <c r="BH20" s="787">
        <f t="shared" si="14"/>
        <v>1051.6999999999989</v>
      </c>
      <c r="BI20" s="787">
        <f t="shared" si="15"/>
        <v>0</v>
      </c>
      <c r="BJ20" s="217">
        <f t="shared" si="16"/>
        <v>0</v>
      </c>
      <c r="BK20" s="152"/>
      <c r="BL20" s="200"/>
    </row>
    <row r="21" spans="1:64" x14ac:dyDescent="0.25">
      <c r="A21" s="86" t="s">
        <v>932</v>
      </c>
      <c r="B21" s="247">
        <v>210</v>
      </c>
      <c r="C21" s="135" t="s">
        <v>145</v>
      </c>
      <c r="D21" s="135" t="s">
        <v>146</v>
      </c>
      <c r="E21" s="135" t="s">
        <v>196</v>
      </c>
      <c r="F21" s="137" t="s">
        <v>933</v>
      </c>
      <c r="G21" s="138">
        <v>45569</v>
      </c>
      <c r="H21" s="135" t="s">
        <v>128</v>
      </c>
      <c r="I21" s="121">
        <v>477700</v>
      </c>
      <c r="J21" s="121">
        <v>23900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>
        <v>1493.33</v>
      </c>
      <c r="AE21" s="121">
        <v>1493.33</v>
      </c>
      <c r="AF21" s="121">
        <v>0</v>
      </c>
      <c r="AG21" s="121">
        <v>0</v>
      </c>
      <c r="AH21" s="121">
        <v>0</v>
      </c>
      <c r="AI21" s="121">
        <v>1493.33</v>
      </c>
      <c r="AJ21" s="121">
        <v>1493.33</v>
      </c>
      <c r="AK21" s="121"/>
      <c r="AL21" s="121"/>
      <c r="AM21" s="121"/>
      <c r="AN21" s="784">
        <f t="shared" si="17"/>
        <v>5973.32</v>
      </c>
      <c r="AO21" s="153">
        <f t="shared" si="2"/>
        <v>0.24992970711297069</v>
      </c>
      <c r="AP21" s="784">
        <f t="shared" si="3"/>
        <v>-17926.68</v>
      </c>
      <c r="AQ21" s="153">
        <f t="shared" si="4"/>
        <v>-0.75007029288702931</v>
      </c>
      <c r="AR21" s="154">
        <f t="shared" si="5"/>
        <v>471726.68</v>
      </c>
      <c r="AS21" s="155">
        <f t="shared" si="6"/>
        <v>0.9874956667364454</v>
      </c>
      <c r="AT21" s="785">
        <f t="shared" si="7"/>
        <v>23900</v>
      </c>
      <c r="AU21" s="786" t="str">
        <f t="shared" si="8"/>
        <v>Vendido</v>
      </c>
      <c r="AV21" s="786" t="str">
        <f t="shared" si="18"/>
        <v>Cliente Atrasado</v>
      </c>
      <c r="AW21" s="174">
        <v>15</v>
      </c>
      <c r="AX21" s="174">
        <f t="shared" si="20"/>
        <v>1</v>
      </c>
      <c r="AY21" s="174">
        <f t="shared" si="21"/>
        <v>16</v>
      </c>
      <c r="AZ21" s="173">
        <v>1500</v>
      </c>
      <c r="BA21" s="789">
        <v>1493.33</v>
      </c>
      <c r="BB21" s="786">
        <f t="shared" si="19"/>
        <v>4</v>
      </c>
      <c r="BC21" s="787">
        <f t="shared" si="9"/>
        <v>8</v>
      </c>
      <c r="BD21" s="788">
        <f t="shared" si="10"/>
        <v>13446.64</v>
      </c>
      <c r="BE21" s="787">
        <f t="shared" si="11"/>
        <v>5973.32</v>
      </c>
      <c r="BF21" s="787">
        <f t="shared" si="12"/>
        <v>0</v>
      </c>
      <c r="BG21" s="787">
        <f t="shared" si="13"/>
        <v>0</v>
      </c>
      <c r="BH21" s="787">
        <f t="shared" si="14"/>
        <v>0</v>
      </c>
      <c r="BI21" s="787">
        <f t="shared" si="15"/>
        <v>7473.32</v>
      </c>
      <c r="BJ21" s="217">
        <f t="shared" si="16"/>
        <v>6</v>
      </c>
      <c r="BK21" s="152"/>
      <c r="BL21" s="200"/>
    </row>
    <row r="22" spans="1:64" x14ac:dyDescent="0.25">
      <c r="A22" s="86" t="s">
        <v>934</v>
      </c>
      <c r="B22" s="135">
        <v>202</v>
      </c>
      <c r="C22" s="135" t="s">
        <v>145</v>
      </c>
      <c r="D22" s="135" t="s">
        <v>913</v>
      </c>
      <c r="E22" s="135" t="s">
        <v>921</v>
      </c>
      <c r="F22" s="137" t="s">
        <v>935</v>
      </c>
      <c r="G22" s="138">
        <v>45257</v>
      </c>
      <c r="H22" s="135" t="s">
        <v>128</v>
      </c>
      <c r="I22" s="121">
        <v>497900</v>
      </c>
      <c r="J22" s="121">
        <v>49800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500</v>
      </c>
      <c r="T22" s="121">
        <v>2240.91</v>
      </c>
      <c r="U22" s="121">
        <v>2240.91</v>
      </c>
      <c r="V22" s="121">
        <v>2240.91</v>
      </c>
      <c r="W22" s="121">
        <v>2240.91</v>
      </c>
      <c r="X22" s="121">
        <v>2240.91</v>
      </c>
      <c r="Y22" s="121">
        <v>2240.91</v>
      </c>
      <c r="Z22" s="121">
        <v>2240.91</v>
      </c>
      <c r="AA22" s="121">
        <v>2240.91</v>
      </c>
      <c r="AB22" s="121">
        <v>2240.91</v>
      </c>
      <c r="AC22" s="121">
        <v>2240.91</v>
      </c>
      <c r="AD22" s="121">
        <v>2240.91</v>
      </c>
      <c r="AE22" s="121">
        <v>2240.91</v>
      </c>
      <c r="AF22" s="121">
        <v>2240.91</v>
      </c>
      <c r="AG22" s="121">
        <v>2240.91</v>
      </c>
      <c r="AH22" s="121">
        <v>2240.91</v>
      </c>
      <c r="AI22" s="121">
        <v>2240.91</v>
      </c>
      <c r="AJ22" s="121">
        <v>2240.91</v>
      </c>
      <c r="AK22" s="202">
        <v>2240.91</v>
      </c>
      <c r="AL22" s="203">
        <v>2240.91</v>
      </c>
      <c r="AM22" s="203">
        <v>2240.91</v>
      </c>
      <c r="AN22" s="784">
        <f t="shared" si="17"/>
        <v>45318.200000000012</v>
      </c>
      <c r="AO22" s="153">
        <f t="shared" si="2"/>
        <v>0.91000401606425729</v>
      </c>
      <c r="AP22" s="784">
        <f t="shared" si="3"/>
        <v>-4481.7999999999884</v>
      </c>
      <c r="AQ22" s="153">
        <f t="shared" si="4"/>
        <v>-8.9995983935742735E-2</v>
      </c>
      <c r="AR22" s="154">
        <f t="shared" si="5"/>
        <v>452581.8</v>
      </c>
      <c r="AS22" s="155">
        <f t="shared" si="6"/>
        <v>0.90898132155051214</v>
      </c>
      <c r="AT22" s="785">
        <f t="shared" si="7"/>
        <v>49800</v>
      </c>
      <c r="AU22" s="786" t="str">
        <f t="shared" si="8"/>
        <v>Vendido</v>
      </c>
      <c r="AV22" s="786" t="str">
        <f t="shared" si="18"/>
        <v>Cliente al día</v>
      </c>
      <c r="AW22" s="174">
        <v>22</v>
      </c>
      <c r="AX22" s="174">
        <f t="shared" si="20"/>
        <v>1</v>
      </c>
      <c r="AY22" s="174">
        <f t="shared" si="21"/>
        <v>23</v>
      </c>
      <c r="AZ22" s="173">
        <v>500</v>
      </c>
      <c r="BA22" s="789">
        <v>2240.91</v>
      </c>
      <c r="BB22" s="786">
        <f t="shared" si="19"/>
        <v>0</v>
      </c>
      <c r="BC22" s="787">
        <f t="shared" si="9"/>
        <v>19</v>
      </c>
      <c r="BD22" s="788">
        <f t="shared" si="10"/>
        <v>43077.289999999994</v>
      </c>
      <c r="BE22" s="787">
        <f t="shared" si="11"/>
        <v>43077.290000000008</v>
      </c>
      <c r="BF22" s="787">
        <f t="shared" si="12"/>
        <v>0</v>
      </c>
      <c r="BG22" s="787">
        <f t="shared" si="13"/>
        <v>2240.9100000000035</v>
      </c>
      <c r="BH22" s="787">
        <f t="shared" si="14"/>
        <v>2240.910000000018</v>
      </c>
      <c r="BI22" s="787">
        <f t="shared" si="15"/>
        <v>0</v>
      </c>
      <c r="BJ22" s="217">
        <f t="shared" si="16"/>
        <v>0</v>
      </c>
      <c r="BK22" s="152"/>
      <c r="BL22" s="200"/>
    </row>
    <row r="23" spans="1:64" x14ac:dyDescent="0.25">
      <c r="A23" s="86" t="s">
        <v>936</v>
      </c>
      <c r="B23" s="135">
        <v>203</v>
      </c>
      <c r="C23" s="135" t="s">
        <v>145</v>
      </c>
      <c r="D23" s="135" t="s">
        <v>913</v>
      </c>
      <c r="E23" s="135" t="s">
        <v>147</v>
      </c>
      <c r="F23" s="137" t="s">
        <v>937</v>
      </c>
      <c r="G23" s="138">
        <v>45479</v>
      </c>
      <c r="H23" s="135" t="s">
        <v>128</v>
      </c>
      <c r="I23" s="121">
        <v>477000</v>
      </c>
      <c r="J23" s="121">
        <v>24000</v>
      </c>
      <c r="K23" s="121">
        <v>0</v>
      </c>
      <c r="L23" s="121">
        <v>0</v>
      </c>
      <c r="M23" s="121">
        <v>0</v>
      </c>
      <c r="N23" s="121">
        <v>0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  <c r="Y23" s="121">
        <v>0</v>
      </c>
      <c r="Z23" s="121">
        <v>0</v>
      </c>
      <c r="AA23" s="121">
        <v>1500</v>
      </c>
      <c r="AB23" s="121">
        <v>1323.53</v>
      </c>
      <c r="AC23" s="121">
        <v>0</v>
      </c>
      <c r="AD23" s="121">
        <v>0</v>
      </c>
      <c r="AE23" s="121">
        <f>1323.53+1323.53</f>
        <v>2647.06</v>
      </c>
      <c r="AF23" s="121">
        <v>1323.53</v>
      </c>
      <c r="AG23" s="121">
        <v>1323.53</v>
      </c>
      <c r="AH23" s="121">
        <v>0</v>
      </c>
      <c r="AI23" s="121">
        <f>1323.53+1323.53</f>
        <v>2647.06</v>
      </c>
      <c r="AJ23" s="121">
        <v>1323.53</v>
      </c>
      <c r="AK23" s="121"/>
      <c r="AL23" s="203">
        <v>1323.53</v>
      </c>
      <c r="AM23" s="203"/>
      <c r="AN23" s="784">
        <f t="shared" si="17"/>
        <v>13411.77</v>
      </c>
      <c r="AO23" s="153">
        <f t="shared" si="2"/>
        <v>0.55882375000000006</v>
      </c>
      <c r="AP23" s="784">
        <f t="shared" si="3"/>
        <v>-10588.23</v>
      </c>
      <c r="AQ23" s="153">
        <f t="shared" si="4"/>
        <v>-0.44117624999999999</v>
      </c>
      <c r="AR23" s="154">
        <f t="shared" si="5"/>
        <v>463588.23</v>
      </c>
      <c r="AS23" s="155">
        <f t="shared" si="6"/>
        <v>0.97188308176100624</v>
      </c>
      <c r="AT23" s="785">
        <f t="shared" si="7"/>
        <v>24000</v>
      </c>
      <c r="AU23" s="786" t="str">
        <f t="shared" si="8"/>
        <v>Vendido</v>
      </c>
      <c r="AV23" s="786" t="str">
        <f t="shared" si="18"/>
        <v>Cliente Atrasado</v>
      </c>
      <c r="AW23" s="174">
        <v>16</v>
      </c>
      <c r="AX23" s="174">
        <f t="shared" si="20"/>
        <v>1</v>
      </c>
      <c r="AY23" s="174">
        <f t="shared" si="21"/>
        <v>17</v>
      </c>
      <c r="AZ23" s="173">
        <v>1500</v>
      </c>
      <c r="BA23" s="789">
        <v>1323.53</v>
      </c>
      <c r="BB23" s="786">
        <f t="shared" si="19"/>
        <v>4</v>
      </c>
      <c r="BC23" s="787">
        <f t="shared" si="9"/>
        <v>11</v>
      </c>
      <c r="BD23" s="788">
        <f t="shared" si="10"/>
        <v>16058.83</v>
      </c>
      <c r="BE23" s="787">
        <f t="shared" si="11"/>
        <v>6617.65</v>
      </c>
      <c r="BF23" s="787">
        <f t="shared" si="12"/>
        <v>6794.119999999999</v>
      </c>
      <c r="BG23" s="787">
        <f t="shared" si="13"/>
        <v>0</v>
      </c>
      <c r="BH23" s="787">
        <f t="shared" si="14"/>
        <v>0</v>
      </c>
      <c r="BI23" s="787">
        <f t="shared" si="15"/>
        <v>2647.0599999999995</v>
      </c>
      <c r="BJ23" s="217">
        <f t="shared" si="16"/>
        <v>2</v>
      </c>
      <c r="BK23" s="152"/>
      <c r="BL23" s="200"/>
    </row>
    <row r="24" spans="1:64" x14ac:dyDescent="0.25">
      <c r="A24" s="86" t="s">
        <v>938</v>
      </c>
      <c r="B24" s="287">
        <v>204</v>
      </c>
      <c r="C24" s="135" t="s">
        <v>145</v>
      </c>
      <c r="D24" s="135" t="s">
        <v>146</v>
      </c>
      <c r="E24" s="135" t="s">
        <v>147</v>
      </c>
      <c r="F24" s="285" t="s">
        <v>939</v>
      </c>
      <c r="G24" s="138">
        <v>45479</v>
      </c>
      <c r="H24" s="135" t="s">
        <v>128</v>
      </c>
      <c r="I24" s="121">
        <v>477700</v>
      </c>
      <c r="J24" s="121">
        <v>24000</v>
      </c>
      <c r="K24" s="121">
        <v>0</v>
      </c>
      <c r="L24" s="121">
        <v>0</v>
      </c>
      <c r="M24" s="121">
        <v>0</v>
      </c>
      <c r="N24" s="121">
        <v>0</v>
      </c>
      <c r="O24" s="121">
        <v>0</v>
      </c>
      <c r="P24" s="121">
        <v>0</v>
      </c>
      <c r="Q24" s="121">
        <v>0</v>
      </c>
      <c r="R24" s="121">
        <v>0</v>
      </c>
      <c r="S24" s="121">
        <v>0</v>
      </c>
      <c r="T24" s="121">
        <v>0</v>
      </c>
      <c r="U24" s="121">
        <v>0</v>
      </c>
      <c r="V24" s="121">
        <v>0</v>
      </c>
      <c r="W24" s="121">
        <v>0</v>
      </c>
      <c r="X24" s="121">
        <v>0</v>
      </c>
      <c r="Y24" s="121">
        <v>0</v>
      </c>
      <c r="Z24" s="121">
        <v>0</v>
      </c>
      <c r="AA24" s="121">
        <v>1500</v>
      </c>
      <c r="AB24" s="121">
        <v>1323.53</v>
      </c>
      <c r="AC24" s="121">
        <v>1323.53</v>
      </c>
      <c r="AD24" s="121">
        <v>1323.53</v>
      </c>
      <c r="AE24" s="121">
        <v>1323.53</v>
      </c>
      <c r="AF24" s="121">
        <v>1323.53</v>
      </c>
      <c r="AG24" s="121">
        <v>1323.53</v>
      </c>
      <c r="AH24" s="121">
        <v>1323.53</v>
      </c>
      <c r="AI24" s="121">
        <v>1323.53</v>
      </c>
      <c r="AJ24" s="198"/>
      <c r="AK24" s="205">
        <f>1323.53+1323.53</f>
        <v>2647.06</v>
      </c>
      <c r="AL24" s="205"/>
      <c r="AM24" s="203">
        <f>1323.53+1323.53</f>
        <v>2647.06</v>
      </c>
      <c r="AN24" s="784">
        <f t="shared" si="17"/>
        <v>17382.36</v>
      </c>
      <c r="AO24" s="153">
        <f t="shared" si="2"/>
        <v>0.72426500000000005</v>
      </c>
      <c r="AP24" s="784">
        <f t="shared" si="3"/>
        <v>-6617.6399999999994</v>
      </c>
      <c r="AQ24" s="153">
        <f t="shared" si="4"/>
        <v>-0.27573499999999995</v>
      </c>
      <c r="AR24" s="154">
        <f t="shared" si="5"/>
        <v>460317.64</v>
      </c>
      <c r="AS24" s="155">
        <f t="shared" si="6"/>
        <v>0.96361239271509314</v>
      </c>
      <c r="AT24" s="785">
        <f t="shared" si="7"/>
        <v>24000</v>
      </c>
      <c r="AU24" s="786" t="str">
        <f t="shared" si="8"/>
        <v>Vendido</v>
      </c>
      <c r="AV24" s="786" t="str">
        <f t="shared" si="18"/>
        <v>Cliente al día</v>
      </c>
      <c r="AW24" s="174">
        <v>16</v>
      </c>
      <c r="AX24" s="174">
        <f t="shared" si="20"/>
        <v>1</v>
      </c>
      <c r="AY24" s="174">
        <f t="shared" si="21"/>
        <v>17</v>
      </c>
      <c r="AZ24" s="173">
        <v>1500</v>
      </c>
      <c r="BA24" s="789">
        <v>1323.53</v>
      </c>
      <c r="BB24" s="786">
        <f t="shared" si="19"/>
        <v>8</v>
      </c>
      <c r="BC24" s="787">
        <f t="shared" si="9"/>
        <v>11</v>
      </c>
      <c r="BD24" s="788">
        <f t="shared" si="10"/>
        <v>16058.83</v>
      </c>
      <c r="BE24" s="787">
        <f t="shared" si="11"/>
        <v>10588.24</v>
      </c>
      <c r="BF24" s="787">
        <f t="shared" si="12"/>
        <v>4147.0599999999995</v>
      </c>
      <c r="BG24" s="787">
        <f t="shared" si="13"/>
        <v>2647.0600000000013</v>
      </c>
      <c r="BH24" s="787">
        <f t="shared" si="14"/>
        <v>1323.5300000000007</v>
      </c>
      <c r="BI24" s="787">
        <f t="shared" si="15"/>
        <v>0</v>
      </c>
      <c r="BJ24" s="217">
        <f t="shared" si="16"/>
        <v>0</v>
      </c>
      <c r="BK24" s="152"/>
      <c r="BL24" s="200"/>
    </row>
    <row r="25" spans="1:64" x14ac:dyDescent="0.25">
      <c r="A25" s="86" t="s">
        <v>940</v>
      </c>
      <c r="B25" s="135">
        <v>206</v>
      </c>
      <c r="C25" s="135" t="s">
        <v>146</v>
      </c>
      <c r="D25" s="135" t="s">
        <v>146</v>
      </c>
      <c r="E25" s="135" t="s">
        <v>147</v>
      </c>
      <c r="F25" s="137" t="s">
        <v>941</v>
      </c>
      <c r="G25" s="138">
        <v>45430</v>
      </c>
      <c r="H25" s="135" t="s">
        <v>128</v>
      </c>
      <c r="I25" s="121">
        <v>477700</v>
      </c>
      <c r="J25" s="121">
        <v>24000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  <c r="Y25" s="121">
        <v>1500</v>
      </c>
      <c r="Z25" s="121">
        <v>1184.21</v>
      </c>
      <c r="AA25" s="121">
        <v>1184.21</v>
      </c>
      <c r="AB25" s="121">
        <v>1184.21</v>
      </c>
      <c r="AC25" s="121">
        <v>1184.21</v>
      </c>
      <c r="AD25" s="121">
        <v>1184.21</v>
      </c>
      <c r="AE25" s="121">
        <v>1184.21</v>
      </c>
      <c r="AF25" s="121">
        <v>5921.05</v>
      </c>
      <c r="AG25" s="121">
        <v>0</v>
      </c>
      <c r="AH25" s="121">
        <v>0</v>
      </c>
      <c r="AI25" s="121">
        <v>0</v>
      </c>
      <c r="AJ25" s="121"/>
      <c r="AK25" s="202">
        <v>1184.21</v>
      </c>
      <c r="AL25" s="203">
        <v>1184.21</v>
      </c>
      <c r="AM25" s="203">
        <v>1184.21</v>
      </c>
      <c r="AN25" s="784">
        <f t="shared" si="17"/>
        <v>18078.939999999999</v>
      </c>
      <c r="AO25" s="153">
        <f t="shared" si="2"/>
        <v>0.75328916666666657</v>
      </c>
      <c r="AP25" s="784">
        <f t="shared" si="3"/>
        <v>-5921.0600000000013</v>
      </c>
      <c r="AQ25" s="153">
        <f t="shared" si="4"/>
        <v>-0.24671083333333338</v>
      </c>
      <c r="AR25" s="154">
        <f t="shared" si="5"/>
        <v>459621.06</v>
      </c>
      <c r="AS25" s="155">
        <f t="shared" si="6"/>
        <v>0.96215419719489215</v>
      </c>
      <c r="AT25" s="785">
        <f t="shared" si="7"/>
        <v>24000</v>
      </c>
      <c r="AU25" s="786" t="str">
        <f t="shared" si="8"/>
        <v>Vendido</v>
      </c>
      <c r="AV25" s="786" t="str">
        <f t="shared" si="18"/>
        <v>Cliente al día</v>
      </c>
      <c r="AW25" s="174">
        <v>19</v>
      </c>
      <c r="AX25" s="174">
        <f t="shared" si="20"/>
        <v>1</v>
      </c>
      <c r="AY25" s="174">
        <f t="shared" si="21"/>
        <v>20</v>
      </c>
      <c r="AZ25" s="173">
        <v>1500</v>
      </c>
      <c r="BA25" s="789">
        <v>1184.21</v>
      </c>
      <c r="BB25" s="786">
        <f t="shared" si="19"/>
        <v>7</v>
      </c>
      <c r="BC25" s="787">
        <f t="shared" si="9"/>
        <v>13</v>
      </c>
      <c r="BD25" s="788">
        <f t="shared" si="10"/>
        <v>16894.73</v>
      </c>
      <c r="BE25" s="787">
        <f t="shared" si="11"/>
        <v>9473.68</v>
      </c>
      <c r="BF25" s="787">
        <f t="shared" si="12"/>
        <v>7421.05</v>
      </c>
      <c r="BG25" s="787">
        <f t="shared" si="13"/>
        <v>1184.2099999999982</v>
      </c>
      <c r="BH25" s="787">
        <f t="shared" si="14"/>
        <v>1184.2099999999991</v>
      </c>
      <c r="BI25" s="787">
        <f t="shared" si="15"/>
        <v>0</v>
      </c>
      <c r="BJ25" s="217">
        <f t="shared" si="16"/>
        <v>0</v>
      </c>
      <c r="BK25" s="152"/>
      <c r="BL25" s="200"/>
    </row>
    <row r="26" spans="1:64" x14ac:dyDescent="0.25">
      <c r="A26" s="86" t="s">
        <v>942</v>
      </c>
      <c r="B26" s="135">
        <v>205</v>
      </c>
      <c r="C26" s="135" t="s">
        <v>145</v>
      </c>
      <c r="D26" s="135" t="s">
        <v>145</v>
      </c>
      <c r="E26" s="135" t="s">
        <v>147</v>
      </c>
      <c r="F26" s="137" t="s">
        <v>943</v>
      </c>
      <c r="G26" s="138">
        <v>45239</v>
      </c>
      <c r="H26" s="135" t="s">
        <v>128</v>
      </c>
      <c r="I26" s="121">
        <v>384700</v>
      </c>
      <c r="J26" s="121">
        <v>38500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21">
        <v>0</v>
      </c>
      <c r="S26" s="121">
        <v>1000</v>
      </c>
      <c r="T26" s="121">
        <v>1703.18</v>
      </c>
      <c r="U26" s="121">
        <v>1703.18</v>
      </c>
      <c r="V26" s="121">
        <v>1703.18</v>
      </c>
      <c r="W26" s="121">
        <v>1703.18</v>
      </c>
      <c r="X26" s="121">
        <v>1703.18</v>
      </c>
      <c r="Y26" s="121">
        <v>1703.18</v>
      </c>
      <c r="Z26" s="121">
        <v>1703.18</v>
      </c>
      <c r="AA26" s="121">
        <v>1703.18</v>
      </c>
      <c r="AB26" s="121">
        <v>1703.18</v>
      </c>
      <c r="AC26" s="121">
        <v>1703.18</v>
      </c>
      <c r="AD26" s="121">
        <v>1703.18</v>
      </c>
      <c r="AE26" s="121">
        <v>1703.18</v>
      </c>
      <c r="AF26" s="121">
        <v>0</v>
      </c>
      <c r="AG26" s="121">
        <f>1703.18+1703.18</f>
        <v>3406.36</v>
      </c>
      <c r="AH26" s="121">
        <v>1703.18</v>
      </c>
      <c r="AI26" s="121">
        <v>0</v>
      </c>
      <c r="AJ26" s="121">
        <f>1703.18+1703.18</f>
        <v>3406.36</v>
      </c>
      <c r="AK26" s="202">
        <v>1703.18</v>
      </c>
      <c r="AL26" s="202"/>
      <c r="AM26" s="203">
        <f>1703.18+1703.18</f>
        <v>3406.36</v>
      </c>
      <c r="AN26" s="784">
        <f t="shared" si="17"/>
        <v>35063.600000000006</v>
      </c>
      <c r="AO26" s="153">
        <f t="shared" si="2"/>
        <v>0.9107428571428573</v>
      </c>
      <c r="AP26" s="784">
        <f t="shared" si="3"/>
        <v>-3436.3999999999942</v>
      </c>
      <c r="AQ26" s="153">
        <f t="shared" si="4"/>
        <v>-8.9257142857142702E-2</v>
      </c>
      <c r="AR26" s="154">
        <f t="shared" si="5"/>
        <v>349636.4</v>
      </c>
      <c r="AS26" s="155">
        <f t="shared" si="6"/>
        <v>0.90885469196776714</v>
      </c>
      <c r="AT26" s="785">
        <f t="shared" si="7"/>
        <v>38500</v>
      </c>
      <c r="AU26" s="786" t="str">
        <f t="shared" si="8"/>
        <v>Vendido</v>
      </c>
      <c r="AV26" s="786" t="str">
        <f t="shared" si="18"/>
        <v>Cliente al día</v>
      </c>
      <c r="AW26" s="174">
        <v>22</v>
      </c>
      <c r="AX26" s="174">
        <f t="shared" si="20"/>
        <v>1</v>
      </c>
      <c r="AY26" s="174">
        <f t="shared" si="21"/>
        <v>23</v>
      </c>
      <c r="AZ26" s="173">
        <v>1000</v>
      </c>
      <c r="BA26" s="789">
        <v>1704.55</v>
      </c>
      <c r="BB26" s="786">
        <f t="shared" si="19"/>
        <v>0</v>
      </c>
      <c r="BC26" s="787">
        <f t="shared" si="9"/>
        <v>19</v>
      </c>
      <c r="BD26" s="788">
        <f t="shared" si="10"/>
        <v>33386.449999999997</v>
      </c>
      <c r="BE26" s="787">
        <f t="shared" si="11"/>
        <v>24844.520000000004</v>
      </c>
      <c r="BF26" s="787">
        <f t="shared" si="12"/>
        <v>6812.72</v>
      </c>
      <c r="BG26" s="787">
        <f t="shared" si="13"/>
        <v>3406.3600000000015</v>
      </c>
      <c r="BH26" s="787">
        <f t="shared" si="14"/>
        <v>1677.1500000000087</v>
      </c>
      <c r="BI26" s="787">
        <f t="shared" si="15"/>
        <v>0</v>
      </c>
      <c r="BJ26" s="217">
        <f t="shared" si="16"/>
        <v>0</v>
      </c>
      <c r="BK26" s="152"/>
      <c r="BL26" s="200"/>
    </row>
    <row r="27" spans="1:64" x14ac:dyDescent="0.25">
      <c r="A27" s="86" t="s">
        <v>944</v>
      </c>
      <c r="B27" s="135">
        <v>207</v>
      </c>
      <c r="C27" s="135" t="s">
        <v>145</v>
      </c>
      <c r="D27" s="135" t="s">
        <v>146</v>
      </c>
      <c r="E27" s="135" t="s">
        <v>147</v>
      </c>
      <c r="F27" s="137" t="s">
        <v>945</v>
      </c>
      <c r="G27" s="138">
        <v>45224</v>
      </c>
      <c r="H27" s="135" t="s">
        <v>128</v>
      </c>
      <c r="I27" s="121">
        <v>494900</v>
      </c>
      <c r="J27" s="121">
        <v>49500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  <c r="R27" s="121">
        <v>500</v>
      </c>
      <c r="S27" s="121">
        <v>1500</v>
      </c>
      <c r="T27" s="121">
        <v>0</v>
      </c>
      <c r="U27" s="121">
        <v>2374.5</v>
      </c>
      <c r="V27" s="121">
        <v>2374.5</v>
      </c>
      <c r="W27" s="121">
        <v>2374.5</v>
      </c>
      <c r="X27" s="121">
        <v>2374.5</v>
      </c>
      <c r="Y27" s="121">
        <v>2374.5</v>
      </c>
      <c r="Z27" s="121">
        <v>2374.5</v>
      </c>
      <c r="AA27" s="121">
        <v>2374.5</v>
      </c>
      <c r="AB27" s="121">
        <v>2374.5</v>
      </c>
      <c r="AC27" s="121">
        <v>2374.5</v>
      </c>
      <c r="AD27" s="121">
        <v>2374.5</v>
      </c>
      <c r="AE27" s="121">
        <v>2374.5</v>
      </c>
      <c r="AF27" s="121">
        <v>2374.5</v>
      </c>
      <c r="AG27" s="121">
        <v>2374.5</v>
      </c>
      <c r="AH27" s="121">
        <v>2374.5</v>
      </c>
      <c r="AI27" s="121">
        <v>2374.5</v>
      </c>
      <c r="AJ27" s="121"/>
      <c r="AK27" s="202">
        <v>2374.5</v>
      </c>
      <c r="AL27" s="203">
        <v>2374.5</v>
      </c>
      <c r="AM27" s="203">
        <v>2374.5</v>
      </c>
      <c r="AN27" s="784">
        <f t="shared" si="17"/>
        <v>44741</v>
      </c>
      <c r="AO27" s="153">
        <f t="shared" si="2"/>
        <v>0.90385858585858581</v>
      </c>
      <c r="AP27" s="784">
        <f t="shared" si="3"/>
        <v>-4759</v>
      </c>
      <c r="AQ27" s="153">
        <f t="shared" si="4"/>
        <v>-9.6141414141414139E-2</v>
      </c>
      <c r="AR27" s="154">
        <f t="shared" si="5"/>
        <v>450159</v>
      </c>
      <c r="AS27" s="155">
        <f t="shared" si="6"/>
        <v>0.90959587795514241</v>
      </c>
      <c r="AT27" s="785">
        <f t="shared" si="7"/>
        <v>49500</v>
      </c>
      <c r="AU27" s="786" t="str">
        <f t="shared" si="8"/>
        <v>Vendido</v>
      </c>
      <c r="AV27" s="786" t="str">
        <f t="shared" si="18"/>
        <v>Cliente Atrasado</v>
      </c>
      <c r="AW27" s="174">
        <v>22</v>
      </c>
      <c r="AX27" s="174">
        <f t="shared" si="20"/>
        <v>1</v>
      </c>
      <c r="AY27" s="174">
        <f t="shared" si="21"/>
        <v>23</v>
      </c>
      <c r="AZ27" s="173">
        <v>500</v>
      </c>
      <c r="BA27" s="789">
        <v>2374.5</v>
      </c>
      <c r="BB27" s="786">
        <f t="shared" si="19"/>
        <v>0</v>
      </c>
      <c r="BC27" s="787">
        <f t="shared" si="9"/>
        <v>20</v>
      </c>
      <c r="BD27" s="788">
        <f t="shared" si="10"/>
        <v>47990</v>
      </c>
      <c r="BE27" s="787">
        <f t="shared" si="11"/>
        <v>42366.5</v>
      </c>
      <c r="BF27" s="787">
        <f t="shared" si="12"/>
        <v>0</v>
      </c>
      <c r="BG27" s="787">
        <f t="shared" si="13"/>
        <v>2374.5</v>
      </c>
      <c r="BH27" s="787">
        <f t="shared" si="14"/>
        <v>0</v>
      </c>
      <c r="BI27" s="787">
        <f t="shared" si="15"/>
        <v>3249</v>
      </c>
      <c r="BJ27" s="217">
        <f t="shared" si="16"/>
        <v>2</v>
      </c>
      <c r="BK27" s="152"/>
      <c r="BL27" s="200"/>
    </row>
    <row r="28" spans="1:64" x14ac:dyDescent="0.25">
      <c r="B28" s="135">
        <v>209</v>
      </c>
      <c r="C28" s="135" t="s">
        <v>916</v>
      </c>
      <c r="D28" s="135" t="s">
        <v>146</v>
      </c>
      <c r="E28" s="135"/>
      <c r="F28" s="285" t="s">
        <v>946</v>
      </c>
      <c r="G28" s="138">
        <v>45851</v>
      </c>
      <c r="H28" s="135" t="s">
        <v>374</v>
      </c>
      <c r="I28" s="121"/>
      <c r="J28" s="121">
        <v>24000</v>
      </c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203"/>
      <c r="AN28" s="784">
        <f t="shared" si="17"/>
        <v>0</v>
      </c>
      <c r="AO28" s="153">
        <f t="shared" si="2"/>
        <v>0</v>
      </c>
      <c r="AP28" s="784">
        <f t="shared" si="3"/>
        <v>-24000</v>
      </c>
      <c r="AQ28" s="153">
        <f t="shared" si="4"/>
        <v>-1</v>
      </c>
      <c r="AR28" s="154">
        <f t="shared" si="5"/>
        <v>0</v>
      </c>
      <c r="AS28" s="155" t="e">
        <f t="shared" si="6"/>
        <v>#DIV/0!</v>
      </c>
      <c r="AT28" s="785">
        <f t="shared" si="7"/>
        <v>24000</v>
      </c>
      <c r="AU28" s="786" t="str">
        <f t="shared" si="8"/>
        <v>Vendido</v>
      </c>
      <c r="AV28" s="786" t="e">
        <f t="shared" si="18"/>
        <v>#NUM!</v>
      </c>
      <c r="AW28" s="174"/>
      <c r="AX28" s="174">
        <f t="shared" si="20"/>
        <v>0</v>
      </c>
      <c r="AY28" s="174">
        <f t="shared" si="21"/>
        <v>0</v>
      </c>
      <c r="AZ28" s="173"/>
      <c r="BA28" s="789">
        <f t="shared" si="22"/>
        <v>0</v>
      </c>
      <c r="BB28" s="786">
        <f t="shared" si="19"/>
        <v>0</v>
      </c>
      <c r="BC28" s="787" t="e">
        <f t="shared" si="9"/>
        <v>#NUM!</v>
      </c>
      <c r="BD28" s="788" t="e">
        <f t="shared" si="10"/>
        <v>#NUM!</v>
      </c>
      <c r="BE28" s="787">
        <f t="shared" si="11"/>
        <v>0</v>
      </c>
      <c r="BF28" s="787">
        <f t="shared" si="12"/>
        <v>0</v>
      </c>
      <c r="BG28" s="787">
        <f t="shared" si="13"/>
        <v>0</v>
      </c>
      <c r="BH28" s="787" t="e">
        <f t="shared" si="14"/>
        <v>#NUM!</v>
      </c>
      <c r="BI28" s="787" t="e">
        <f t="shared" si="15"/>
        <v>#NUM!</v>
      </c>
      <c r="BJ28" s="217" t="e">
        <f t="shared" si="16"/>
        <v>#NUM!</v>
      </c>
      <c r="BK28" s="152"/>
      <c r="BL28" s="200"/>
    </row>
    <row r="29" spans="1:64" x14ac:dyDescent="0.25">
      <c r="A29" s="86" t="s">
        <v>947</v>
      </c>
      <c r="B29" s="135">
        <v>209</v>
      </c>
      <c r="C29" s="135" t="s">
        <v>145</v>
      </c>
      <c r="D29" s="135" t="s">
        <v>913</v>
      </c>
      <c r="E29" s="135" t="s">
        <v>366</v>
      </c>
      <c r="F29" s="137" t="s">
        <v>948</v>
      </c>
      <c r="G29" s="138">
        <v>45579</v>
      </c>
      <c r="H29" s="135" t="s">
        <v>128</v>
      </c>
      <c r="I29" s="121">
        <v>477000</v>
      </c>
      <c r="J29" s="121">
        <v>23900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21">
        <v>0</v>
      </c>
      <c r="Q29" s="121">
        <v>0</v>
      </c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>
        <v>500</v>
      </c>
      <c r="AE29" s="121">
        <v>1678.57</v>
      </c>
      <c r="AF29" s="121">
        <v>1678.57</v>
      </c>
      <c r="AG29" s="121">
        <v>1678.57</v>
      </c>
      <c r="AH29" s="121">
        <v>1678.57</v>
      </c>
      <c r="AI29" s="121">
        <v>1678.57</v>
      </c>
      <c r="AJ29" s="198">
        <v>1678.57</v>
      </c>
      <c r="AK29" s="205">
        <v>1678.57</v>
      </c>
      <c r="AL29" s="203">
        <v>1678.57</v>
      </c>
      <c r="AM29" s="203">
        <v>1678.57</v>
      </c>
      <c r="AN29" s="784">
        <f t="shared" si="17"/>
        <v>15607.129999999997</v>
      </c>
      <c r="AO29" s="153">
        <f t="shared" si="2"/>
        <v>0.65301799163179908</v>
      </c>
      <c r="AP29" s="784">
        <f t="shared" si="3"/>
        <v>-8292.8700000000026</v>
      </c>
      <c r="AQ29" s="153">
        <f t="shared" si="4"/>
        <v>-0.34698200836820092</v>
      </c>
      <c r="AR29" s="154">
        <f t="shared" si="5"/>
        <v>461392.87</v>
      </c>
      <c r="AS29" s="155">
        <f t="shared" si="6"/>
        <v>0.96728064989517815</v>
      </c>
      <c r="AT29" s="785">
        <f t="shared" si="7"/>
        <v>23900</v>
      </c>
      <c r="AU29" s="786" t="str">
        <f t="shared" si="8"/>
        <v>Vendido</v>
      </c>
      <c r="AV29" s="786" t="str">
        <f t="shared" si="18"/>
        <v>Cliente al día</v>
      </c>
      <c r="AW29" s="174">
        <v>14</v>
      </c>
      <c r="AX29" s="174">
        <v>1</v>
      </c>
      <c r="AY29" s="174">
        <f t="shared" si="21"/>
        <v>15</v>
      </c>
      <c r="AZ29" s="173">
        <v>500</v>
      </c>
      <c r="BA29" s="789">
        <v>1671.43</v>
      </c>
      <c r="BB29" s="786">
        <f t="shared" si="19"/>
        <v>0</v>
      </c>
      <c r="BC29" s="787">
        <f t="shared" si="9"/>
        <v>8</v>
      </c>
      <c r="BD29" s="788">
        <f t="shared" si="10"/>
        <v>13871.44</v>
      </c>
      <c r="BE29" s="787">
        <f t="shared" si="11"/>
        <v>500</v>
      </c>
      <c r="BF29" s="787">
        <f t="shared" si="12"/>
        <v>13428.56</v>
      </c>
      <c r="BG29" s="787">
        <f t="shared" si="13"/>
        <v>1678.5699999999979</v>
      </c>
      <c r="BH29" s="787">
        <f t="shared" si="14"/>
        <v>1735.6899999999969</v>
      </c>
      <c r="BI29" s="787">
        <f t="shared" si="15"/>
        <v>0</v>
      </c>
      <c r="BJ29" s="217">
        <f t="shared" si="16"/>
        <v>0</v>
      </c>
      <c r="BK29" s="152"/>
      <c r="BL29" s="200"/>
    </row>
    <row r="30" spans="1:64" x14ac:dyDescent="0.25">
      <c r="B30" s="135">
        <v>211</v>
      </c>
      <c r="C30" s="135" t="s">
        <v>916</v>
      </c>
      <c r="D30" s="135" t="s">
        <v>913</v>
      </c>
      <c r="E30" s="135"/>
      <c r="F30" s="137"/>
      <c r="G30" s="138"/>
      <c r="H30" s="135" t="s">
        <v>374</v>
      </c>
      <c r="I30" s="121">
        <v>507200</v>
      </c>
      <c r="J30" s="121">
        <v>50720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21">
        <v>0</v>
      </c>
      <c r="R30" s="121">
        <v>0</v>
      </c>
      <c r="S30" s="121">
        <v>0</v>
      </c>
      <c r="T30" s="121">
        <v>0</v>
      </c>
      <c r="U30" s="121">
        <v>0</v>
      </c>
      <c r="V30" s="121">
        <v>0</v>
      </c>
      <c r="W30" s="121">
        <v>0</v>
      </c>
      <c r="X30" s="121"/>
      <c r="Y30" s="121"/>
      <c r="Z30" s="121"/>
      <c r="AA30" s="121"/>
      <c r="AB30" s="121"/>
      <c r="AC30" s="121"/>
      <c r="AD30" s="121">
        <v>0</v>
      </c>
      <c r="AE30" s="121">
        <v>0</v>
      </c>
      <c r="AF30" s="121">
        <v>0</v>
      </c>
      <c r="AG30" s="121">
        <v>0</v>
      </c>
      <c r="AH30" s="121">
        <v>0</v>
      </c>
      <c r="AI30" s="121">
        <v>0</v>
      </c>
      <c r="AJ30" s="121"/>
      <c r="AK30" s="121"/>
      <c r="AL30" s="121"/>
      <c r="AM30" s="121"/>
      <c r="AN30" s="784">
        <f t="shared" si="17"/>
        <v>0</v>
      </c>
      <c r="AO30" s="153">
        <f t="shared" si="2"/>
        <v>0</v>
      </c>
      <c r="AP30" s="784">
        <f t="shared" si="3"/>
        <v>0</v>
      </c>
      <c r="AQ30" s="153">
        <f t="shared" si="4"/>
        <v>0</v>
      </c>
      <c r="AR30" s="154">
        <f t="shared" si="5"/>
        <v>507200</v>
      </c>
      <c r="AS30" s="155">
        <f t="shared" si="6"/>
        <v>1</v>
      </c>
      <c r="AT30" s="785">
        <f t="shared" si="7"/>
        <v>0</v>
      </c>
      <c r="AU30" s="786" t="str">
        <f t="shared" si="8"/>
        <v>Apartamento Disponible</v>
      </c>
      <c r="AV30" s="786" t="str">
        <f t="shared" si="18"/>
        <v>Disponible</v>
      </c>
      <c r="AW30" s="174"/>
      <c r="AX30" s="174">
        <f t="shared" si="20"/>
        <v>0</v>
      </c>
      <c r="AY30" s="174">
        <f t="shared" si="21"/>
        <v>0</v>
      </c>
      <c r="AZ30" s="173"/>
      <c r="BA30" s="789">
        <f t="shared" si="22"/>
        <v>0</v>
      </c>
      <c r="BB30" s="786">
        <f t="shared" si="19"/>
        <v>0</v>
      </c>
      <c r="BC30" s="787">
        <f t="shared" si="9"/>
        <v>0</v>
      </c>
      <c r="BD30" s="788">
        <f t="shared" si="10"/>
        <v>0</v>
      </c>
      <c r="BE30" s="787">
        <f t="shared" si="11"/>
        <v>0</v>
      </c>
      <c r="BF30" s="787">
        <f t="shared" si="12"/>
        <v>0</v>
      </c>
      <c r="BG30" s="787">
        <f t="shared" si="13"/>
        <v>0</v>
      </c>
      <c r="BH30" s="787">
        <f t="shared" si="14"/>
        <v>0</v>
      </c>
      <c r="BI30" s="787">
        <f t="shared" si="15"/>
        <v>0</v>
      </c>
      <c r="BJ30" s="217">
        <f t="shared" si="16"/>
        <v>0</v>
      </c>
      <c r="BK30" s="152"/>
      <c r="BL30" s="200"/>
    </row>
    <row r="31" spans="1:64" x14ac:dyDescent="0.25">
      <c r="B31" s="135">
        <v>212</v>
      </c>
      <c r="C31" s="135" t="s">
        <v>916</v>
      </c>
      <c r="D31" s="135" t="s">
        <v>146</v>
      </c>
      <c r="E31" s="135"/>
      <c r="F31" s="137"/>
      <c r="G31" s="138"/>
      <c r="H31" s="135" t="s">
        <v>374</v>
      </c>
      <c r="I31" s="121">
        <v>507200</v>
      </c>
      <c r="J31" s="121">
        <v>50720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1">
        <v>0</v>
      </c>
      <c r="AC31" s="121">
        <v>0</v>
      </c>
      <c r="AD31" s="121">
        <v>0</v>
      </c>
      <c r="AE31" s="121">
        <v>0</v>
      </c>
      <c r="AF31" s="121">
        <v>0</v>
      </c>
      <c r="AG31" s="121">
        <v>0</v>
      </c>
      <c r="AH31" s="121">
        <v>0</v>
      </c>
      <c r="AI31" s="121">
        <v>0</v>
      </c>
      <c r="AJ31" s="121"/>
      <c r="AK31" s="121"/>
      <c r="AL31" s="121"/>
      <c r="AM31" s="121"/>
      <c r="AN31" s="784">
        <f t="shared" si="17"/>
        <v>0</v>
      </c>
      <c r="AO31" s="153">
        <f t="shared" si="2"/>
        <v>0</v>
      </c>
      <c r="AP31" s="784">
        <f t="shared" si="3"/>
        <v>0</v>
      </c>
      <c r="AQ31" s="153">
        <f t="shared" si="4"/>
        <v>0</v>
      </c>
      <c r="AR31" s="154">
        <f t="shared" si="5"/>
        <v>507200</v>
      </c>
      <c r="AS31" s="155">
        <f t="shared" si="6"/>
        <v>1</v>
      </c>
      <c r="AT31" s="785">
        <f t="shared" si="7"/>
        <v>0</v>
      </c>
      <c r="AU31" s="786" t="str">
        <f t="shared" si="8"/>
        <v>Apartamento Disponible</v>
      </c>
      <c r="AV31" s="786" t="str">
        <f t="shared" si="18"/>
        <v>Disponible</v>
      </c>
      <c r="AW31" s="174"/>
      <c r="AX31" s="174">
        <f t="shared" si="20"/>
        <v>0</v>
      </c>
      <c r="AY31" s="174">
        <f t="shared" si="21"/>
        <v>0</v>
      </c>
      <c r="AZ31" s="173"/>
      <c r="BA31" s="789">
        <f t="shared" si="22"/>
        <v>0</v>
      </c>
      <c r="BB31" s="786">
        <f t="shared" si="19"/>
        <v>0</v>
      </c>
      <c r="BC31" s="787">
        <f t="shared" si="9"/>
        <v>0</v>
      </c>
      <c r="BD31" s="788">
        <f t="shared" si="10"/>
        <v>0</v>
      </c>
      <c r="BE31" s="787">
        <f t="shared" si="11"/>
        <v>0</v>
      </c>
      <c r="BF31" s="787">
        <f t="shared" si="12"/>
        <v>0</v>
      </c>
      <c r="BG31" s="787">
        <f t="shared" si="13"/>
        <v>0</v>
      </c>
      <c r="BH31" s="787">
        <f t="shared" si="14"/>
        <v>0</v>
      </c>
      <c r="BI31" s="787">
        <f t="shared" si="15"/>
        <v>0</v>
      </c>
      <c r="BJ31" s="217">
        <f t="shared" si="16"/>
        <v>0</v>
      </c>
      <c r="BK31" s="152"/>
      <c r="BL31" s="200"/>
    </row>
    <row r="32" spans="1:64" x14ac:dyDescent="0.25">
      <c r="B32" s="286">
        <v>213</v>
      </c>
      <c r="C32" s="287" t="s">
        <v>916</v>
      </c>
      <c r="D32" s="287" t="s">
        <v>146</v>
      </c>
      <c r="E32" s="287" t="s">
        <v>147</v>
      </c>
      <c r="F32" s="285" t="s">
        <v>949</v>
      </c>
      <c r="G32" s="138">
        <v>45372</v>
      </c>
      <c r="H32" s="135" t="s">
        <v>128</v>
      </c>
      <c r="I32" s="121">
        <v>477700</v>
      </c>
      <c r="J32" s="121">
        <v>24000</v>
      </c>
      <c r="K32" s="121">
        <v>0</v>
      </c>
      <c r="L32" s="121">
        <v>0</v>
      </c>
      <c r="M32" s="121">
        <v>0</v>
      </c>
      <c r="N32" s="121">
        <v>0</v>
      </c>
      <c r="O32" s="121">
        <v>0</v>
      </c>
      <c r="P32" s="121">
        <v>0</v>
      </c>
      <c r="Q32" s="121">
        <v>0</v>
      </c>
      <c r="R32" s="121">
        <v>0</v>
      </c>
      <c r="S32" s="121">
        <v>0</v>
      </c>
      <c r="T32" s="121">
        <v>0</v>
      </c>
      <c r="U32" s="121">
        <v>0</v>
      </c>
      <c r="V32" s="121">
        <v>0</v>
      </c>
      <c r="W32" s="121">
        <v>1000</v>
      </c>
      <c r="X32" s="121">
        <v>0</v>
      </c>
      <c r="Y32" s="121">
        <v>0</v>
      </c>
      <c r="Z32" s="121">
        <v>0</v>
      </c>
      <c r="AA32" s="121">
        <v>0</v>
      </c>
      <c r="AB32" s="121">
        <v>0</v>
      </c>
      <c r="AC32" s="121">
        <v>0</v>
      </c>
      <c r="AD32" s="121">
        <v>0</v>
      </c>
      <c r="AE32" s="121">
        <v>0</v>
      </c>
      <c r="AF32" s="121">
        <v>0</v>
      </c>
      <c r="AG32" s="121">
        <v>0</v>
      </c>
      <c r="AH32" s="121">
        <v>0</v>
      </c>
      <c r="AI32" s="121">
        <v>0</v>
      </c>
      <c r="AJ32" s="121"/>
      <c r="AK32" s="121"/>
      <c r="AL32" s="121"/>
      <c r="AM32" s="121"/>
      <c r="AN32" s="784">
        <f t="shared" si="17"/>
        <v>1000</v>
      </c>
      <c r="AO32" s="153">
        <f t="shared" si="2"/>
        <v>4.1666666666666664E-2</v>
      </c>
      <c r="AP32" s="784">
        <f t="shared" si="3"/>
        <v>-23000</v>
      </c>
      <c r="AQ32" s="153">
        <f t="shared" si="4"/>
        <v>-0.95833333333333337</v>
      </c>
      <c r="AR32" s="154">
        <f t="shared" si="5"/>
        <v>476700</v>
      </c>
      <c r="AS32" s="155">
        <f t="shared" si="6"/>
        <v>0.99790663596399409</v>
      </c>
      <c r="AT32" s="785">
        <f t="shared" si="7"/>
        <v>24000</v>
      </c>
      <c r="AU32" s="786" t="str">
        <f t="shared" si="8"/>
        <v>Vendido</v>
      </c>
      <c r="AV32" s="786" t="str">
        <f t="shared" si="18"/>
        <v>Cliente Atrasado</v>
      </c>
      <c r="AW32" s="174">
        <v>19</v>
      </c>
      <c r="AX32" s="174">
        <f t="shared" si="20"/>
        <v>1</v>
      </c>
      <c r="AY32" s="174">
        <f t="shared" si="21"/>
        <v>20</v>
      </c>
      <c r="AZ32" s="173">
        <v>1000</v>
      </c>
      <c r="BA32" s="789">
        <v>1210.53</v>
      </c>
      <c r="BB32" s="786">
        <f t="shared" si="19"/>
        <v>0</v>
      </c>
      <c r="BC32" s="787">
        <f t="shared" si="9"/>
        <v>15</v>
      </c>
      <c r="BD32" s="788">
        <f t="shared" si="10"/>
        <v>19157.95</v>
      </c>
      <c r="BE32" s="787">
        <f t="shared" si="11"/>
        <v>1000</v>
      </c>
      <c r="BF32" s="787">
        <f t="shared" si="12"/>
        <v>0</v>
      </c>
      <c r="BG32" s="787">
        <f t="shared" si="13"/>
        <v>0</v>
      </c>
      <c r="BH32" s="787">
        <f t="shared" si="14"/>
        <v>0</v>
      </c>
      <c r="BI32" s="787">
        <f t="shared" si="15"/>
        <v>18157.95</v>
      </c>
      <c r="BJ32" s="217">
        <f t="shared" si="16"/>
        <v>15</v>
      </c>
      <c r="BK32" s="152"/>
      <c r="BL32" s="200"/>
    </row>
    <row r="33" spans="1:64" x14ac:dyDescent="0.25">
      <c r="A33" s="86" t="s">
        <v>950</v>
      </c>
      <c r="B33" s="231">
        <v>301</v>
      </c>
      <c r="C33" s="135" t="s">
        <v>145</v>
      </c>
      <c r="D33" s="135" t="s">
        <v>146</v>
      </c>
      <c r="E33" s="206" t="s">
        <v>203</v>
      </c>
      <c r="F33" s="137" t="s">
        <v>951</v>
      </c>
      <c r="G33" s="138">
        <v>45807</v>
      </c>
      <c r="H33" s="135" t="s">
        <v>128</v>
      </c>
      <c r="I33" s="121">
        <v>477700</v>
      </c>
      <c r="J33" s="121">
        <v>23900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0</v>
      </c>
      <c r="R33" s="121">
        <v>0</v>
      </c>
      <c r="S33" s="121">
        <v>0</v>
      </c>
      <c r="T33" s="121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121">
        <v>0</v>
      </c>
      <c r="AC33" s="1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0</v>
      </c>
      <c r="AJ33" s="121"/>
      <c r="AK33" s="202">
        <v>1500</v>
      </c>
      <c r="AL33" s="202"/>
      <c r="AM33" s="203">
        <v>1494</v>
      </c>
      <c r="AN33" s="784">
        <f t="shared" si="17"/>
        <v>2994</v>
      </c>
      <c r="AO33" s="153">
        <f t="shared" si="2"/>
        <v>0.12527196652719666</v>
      </c>
      <c r="AP33" s="784">
        <f t="shared" si="3"/>
        <v>-20906</v>
      </c>
      <c r="AQ33" s="153">
        <f t="shared" si="4"/>
        <v>-0.87472803347280337</v>
      </c>
      <c r="AR33" s="154">
        <f t="shared" si="5"/>
        <v>474706</v>
      </c>
      <c r="AS33" s="155">
        <f t="shared" si="6"/>
        <v>0.99373246807619842</v>
      </c>
      <c r="AT33" s="785">
        <f t="shared" si="7"/>
        <v>23900</v>
      </c>
      <c r="AU33" s="786" t="str">
        <f t="shared" si="8"/>
        <v>Vendido</v>
      </c>
      <c r="AV33" s="786" t="str">
        <f t="shared" si="18"/>
        <v>Cliente al día</v>
      </c>
      <c r="AW33" s="174">
        <v>15</v>
      </c>
      <c r="AX33" s="174">
        <f t="shared" si="20"/>
        <v>1</v>
      </c>
      <c r="AY33" s="174">
        <f t="shared" si="21"/>
        <v>16</v>
      </c>
      <c r="AZ33" s="173">
        <v>1500</v>
      </c>
      <c r="BA33" s="789">
        <v>1493.38</v>
      </c>
      <c r="BB33" s="786">
        <f t="shared" si="19"/>
        <v>0</v>
      </c>
      <c r="BC33" s="787">
        <f t="shared" si="9"/>
        <v>1</v>
      </c>
      <c r="BD33" s="788">
        <f t="shared" si="10"/>
        <v>2993.38</v>
      </c>
      <c r="BE33" s="787">
        <f t="shared" si="11"/>
        <v>0</v>
      </c>
      <c r="BF33" s="787">
        <f t="shared" si="12"/>
        <v>1500</v>
      </c>
      <c r="BG33" s="787">
        <f t="shared" si="13"/>
        <v>1494</v>
      </c>
      <c r="BH33" s="787">
        <f t="shared" si="14"/>
        <v>0.61999999999989086</v>
      </c>
      <c r="BI33" s="787">
        <f t="shared" si="15"/>
        <v>0</v>
      </c>
      <c r="BJ33" s="217">
        <f t="shared" si="16"/>
        <v>0</v>
      </c>
      <c r="BK33" s="152"/>
      <c r="BL33" s="200"/>
    </row>
    <row r="34" spans="1:64" x14ac:dyDescent="0.25">
      <c r="A34" s="86" t="s">
        <v>952</v>
      </c>
      <c r="B34" s="231">
        <v>302</v>
      </c>
      <c r="C34" s="135" t="s">
        <v>145</v>
      </c>
      <c r="D34" s="135" t="s">
        <v>913</v>
      </c>
      <c r="E34" s="135" t="s">
        <v>203</v>
      </c>
      <c r="F34" s="137" t="s">
        <v>953</v>
      </c>
      <c r="G34" s="138">
        <v>45803</v>
      </c>
      <c r="H34" s="135" t="s">
        <v>128</v>
      </c>
      <c r="I34" s="121">
        <v>477000</v>
      </c>
      <c r="J34" s="121">
        <v>23900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v>0</v>
      </c>
      <c r="U34" s="121">
        <v>0</v>
      </c>
      <c r="V34" s="121">
        <v>0</v>
      </c>
      <c r="W34" s="121">
        <v>0</v>
      </c>
      <c r="X34" s="121"/>
      <c r="Y34" s="121"/>
      <c r="Z34" s="121">
        <v>0</v>
      </c>
      <c r="AA34" s="121">
        <v>0</v>
      </c>
      <c r="AB34" s="121">
        <v>0</v>
      </c>
      <c r="AC34" s="121">
        <v>0</v>
      </c>
      <c r="AD34" s="121">
        <v>0</v>
      </c>
      <c r="AE34" s="121">
        <v>0</v>
      </c>
      <c r="AF34" s="121">
        <v>0</v>
      </c>
      <c r="AG34" s="121">
        <v>0</v>
      </c>
      <c r="AH34" s="121">
        <v>0</v>
      </c>
      <c r="AI34" s="121">
        <v>0</v>
      </c>
      <c r="AJ34" s="121"/>
      <c r="AK34" s="202">
        <v>1500</v>
      </c>
      <c r="AL34" s="202"/>
      <c r="AM34" s="203">
        <v>1400</v>
      </c>
      <c r="AN34" s="784">
        <f t="shared" si="17"/>
        <v>2900</v>
      </c>
      <c r="AO34" s="153">
        <f t="shared" si="2"/>
        <v>0.12133891213389121</v>
      </c>
      <c r="AP34" s="784">
        <f t="shared" si="3"/>
        <v>-21000</v>
      </c>
      <c r="AQ34" s="153">
        <f t="shared" si="4"/>
        <v>-0.87866108786610875</v>
      </c>
      <c r="AR34" s="154">
        <f t="shared" si="5"/>
        <v>474100</v>
      </c>
      <c r="AS34" s="155">
        <f t="shared" si="6"/>
        <v>0.99392033542976943</v>
      </c>
      <c r="AT34" s="785">
        <f t="shared" si="7"/>
        <v>23900</v>
      </c>
      <c r="AU34" s="786" t="str">
        <f t="shared" si="8"/>
        <v>Vendido</v>
      </c>
      <c r="AV34" s="786" t="str">
        <f t="shared" si="18"/>
        <v>Cliente al día</v>
      </c>
      <c r="AW34" s="174">
        <v>16</v>
      </c>
      <c r="AX34" s="174">
        <f t="shared" si="20"/>
        <v>1</v>
      </c>
      <c r="AY34" s="174">
        <f t="shared" si="21"/>
        <v>17</v>
      </c>
      <c r="AZ34" s="173">
        <v>1500</v>
      </c>
      <c r="BA34" s="789">
        <v>1400</v>
      </c>
      <c r="BB34" s="786">
        <f t="shared" si="19"/>
        <v>0</v>
      </c>
      <c r="BC34" s="787">
        <f t="shared" si="9"/>
        <v>1</v>
      </c>
      <c r="BD34" s="788">
        <f t="shared" si="10"/>
        <v>2900</v>
      </c>
      <c r="BE34" s="787">
        <f t="shared" si="11"/>
        <v>0</v>
      </c>
      <c r="BF34" s="787">
        <f t="shared" si="12"/>
        <v>1500</v>
      </c>
      <c r="BG34" s="787">
        <f t="shared" si="13"/>
        <v>1400</v>
      </c>
      <c r="BH34" s="787">
        <f t="shared" si="14"/>
        <v>0</v>
      </c>
      <c r="BI34" s="787">
        <f t="shared" si="15"/>
        <v>0</v>
      </c>
      <c r="BJ34" s="217">
        <f t="shared" si="16"/>
        <v>0</v>
      </c>
      <c r="BK34" s="152"/>
      <c r="BL34" s="200"/>
    </row>
    <row r="35" spans="1:64" x14ac:dyDescent="0.25">
      <c r="A35" s="86" t="s">
        <v>952</v>
      </c>
      <c r="B35" s="135">
        <v>303</v>
      </c>
      <c r="C35" s="135" t="s">
        <v>145</v>
      </c>
      <c r="D35" s="135" t="s">
        <v>913</v>
      </c>
      <c r="E35" s="135" t="s">
        <v>366</v>
      </c>
      <c r="F35" s="137" t="s">
        <v>954</v>
      </c>
      <c r="G35" s="138">
        <v>45635</v>
      </c>
      <c r="H35" s="135" t="s">
        <v>128</v>
      </c>
      <c r="I35" s="121">
        <v>477000</v>
      </c>
      <c r="J35" s="121">
        <v>23900</v>
      </c>
      <c r="K35" s="121">
        <v>0</v>
      </c>
      <c r="L35" s="121">
        <v>0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21">
        <v>0</v>
      </c>
      <c r="S35" s="121">
        <v>0</v>
      </c>
      <c r="T35" s="121">
        <v>0</v>
      </c>
      <c r="U35" s="121">
        <v>0</v>
      </c>
      <c r="V35" s="121">
        <v>0</v>
      </c>
      <c r="W35" s="121">
        <v>0</v>
      </c>
      <c r="X35" s="121">
        <v>0</v>
      </c>
      <c r="Y35" s="121">
        <v>0</v>
      </c>
      <c r="Z35" s="121">
        <v>0</v>
      </c>
      <c r="AA35" s="121">
        <v>0</v>
      </c>
      <c r="AB35" s="121">
        <v>0</v>
      </c>
      <c r="AC35" s="121">
        <v>0</v>
      </c>
      <c r="AD35" s="121">
        <v>0</v>
      </c>
      <c r="AE35" s="121">
        <v>0</v>
      </c>
      <c r="AF35" s="121">
        <v>1500</v>
      </c>
      <c r="AG35" s="121">
        <v>1723.08</v>
      </c>
      <c r="AH35" s="121">
        <v>1723.08</v>
      </c>
      <c r="AI35" s="121">
        <v>1723.08</v>
      </c>
      <c r="AJ35" s="121">
        <v>1723.08</v>
      </c>
      <c r="AK35" s="202">
        <v>1723.08</v>
      </c>
      <c r="AL35" s="203">
        <v>1723.08</v>
      </c>
      <c r="AM35" s="203">
        <v>1723.08</v>
      </c>
      <c r="AN35" s="784">
        <f t="shared" si="17"/>
        <v>13561.56</v>
      </c>
      <c r="AO35" s="153">
        <f t="shared" si="2"/>
        <v>0.56742928870292886</v>
      </c>
      <c r="AP35" s="784">
        <f t="shared" si="3"/>
        <v>-10338.44</v>
      </c>
      <c r="AQ35" s="153">
        <f t="shared" si="4"/>
        <v>-0.43257071129707114</v>
      </c>
      <c r="AR35" s="154">
        <f t="shared" si="5"/>
        <v>463438.44</v>
      </c>
      <c r="AS35" s="155">
        <f t="shared" si="6"/>
        <v>0.97156905660377357</v>
      </c>
      <c r="AT35" s="785">
        <f t="shared" si="7"/>
        <v>23900</v>
      </c>
      <c r="AU35" s="786" t="str">
        <f t="shared" si="8"/>
        <v>Vendido</v>
      </c>
      <c r="AV35" s="786" t="str">
        <f t="shared" si="18"/>
        <v>Cliente al día</v>
      </c>
      <c r="AW35" s="174">
        <v>13</v>
      </c>
      <c r="AX35" s="174">
        <f t="shared" si="20"/>
        <v>1</v>
      </c>
      <c r="AY35" s="174">
        <f t="shared" si="21"/>
        <v>14</v>
      </c>
      <c r="AZ35" s="173">
        <v>1500</v>
      </c>
      <c r="BA35" s="789">
        <v>1723.08</v>
      </c>
      <c r="BB35" s="786">
        <f t="shared" si="19"/>
        <v>0</v>
      </c>
      <c r="BC35" s="787">
        <f t="shared" si="9"/>
        <v>6</v>
      </c>
      <c r="BD35" s="788">
        <f t="shared" si="10"/>
        <v>11838.48</v>
      </c>
      <c r="BE35" s="787">
        <f t="shared" si="11"/>
        <v>11838.48</v>
      </c>
      <c r="BF35" s="787">
        <f t="shared" si="12"/>
        <v>0</v>
      </c>
      <c r="BG35" s="787">
        <f t="shared" si="13"/>
        <v>1723.08</v>
      </c>
      <c r="BH35" s="787">
        <f t="shared" si="14"/>
        <v>1723.08</v>
      </c>
      <c r="BI35" s="787">
        <f t="shared" si="15"/>
        <v>0</v>
      </c>
      <c r="BJ35" s="217">
        <f t="shared" si="16"/>
        <v>0</v>
      </c>
      <c r="BK35" s="152"/>
      <c r="BL35" s="200"/>
    </row>
    <row r="36" spans="1:64" x14ac:dyDescent="0.25">
      <c r="B36" s="135">
        <v>305</v>
      </c>
      <c r="C36" s="135" t="s">
        <v>146</v>
      </c>
      <c r="D36" s="135" t="s">
        <v>146</v>
      </c>
      <c r="E36" s="135" t="s">
        <v>196</v>
      </c>
      <c r="F36" s="137" t="s">
        <v>955</v>
      </c>
      <c r="G36" s="138">
        <v>45853</v>
      </c>
      <c r="H36" s="135" t="s">
        <v>956</v>
      </c>
      <c r="I36" s="121">
        <v>487700</v>
      </c>
      <c r="J36" s="121">
        <v>24400</v>
      </c>
      <c r="K36" s="121">
        <v>0</v>
      </c>
      <c r="L36" s="121">
        <v>0</v>
      </c>
      <c r="M36" s="121">
        <v>0</v>
      </c>
      <c r="N36" s="121">
        <v>0</v>
      </c>
      <c r="O36" s="121">
        <v>0</v>
      </c>
      <c r="P36" s="121">
        <v>0</v>
      </c>
      <c r="Q36" s="121">
        <v>0</v>
      </c>
      <c r="R36" s="121">
        <v>0</v>
      </c>
      <c r="S36" s="121">
        <v>0</v>
      </c>
      <c r="T36" s="121">
        <v>0</v>
      </c>
      <c r="U36" s="121">
        <v>0</v>
      </c>
      <c r="V36" s="121">
        <v>0</v>
      </c>
      <c r="W36" s="121">
        <v>0</v>
      </c>
      <c r="X36" s="121">
        <v>0</v>
      </c>
      <c r="Y36" s="121">
        <v>0</v>
      </c>
      <c r="Z36" s="121">
        <v>0</v>
      </c>
      <c r="AA36" s="121">
        <v>0</v>
      </c>
      <c r="AB36" s="121">
        <v>0</v>
      </c>
      <c r="AC36" s="121">
        <v>0</v>
      </c>
      <c r="AD36" s="121">
        <v>0</v>
      </c>
      <c r="AE36" s="121">
        <v>0</v>
      </c>
      <c r="AF36" s="121">
        <v>0</v>
      </c>
      <c r="AG36" s="121">
        <v>0</v>
      </c>
      <c r="AH36" s="121">
        <v>0</v>
      </c>
      <c r="AI36" s="121">
        <v>0</v>
      </c>
      <c r="AJ36" s="121"/>
      <c r="AK36" s="121"/>
      <c r="AL36" s="121"/>
      <c r="AM36" s="203">
        <v>1500</v>
      </c>
      <c r="AN36" s="784">
        <f t="shared" si="17"/>
        <v>1500</v>
      </c>
      <c r="AO36" s="153">
        <f t="shared" si="2"/>
        <v>6.1475409836065573E-2</v>
      </c>
      <c r="AP36" s="784">
        <f t="shared" si="3"/>
        <v>-22900</v>
      </c>
      <c r="AQ36" s="153">
        <f t="shared" si="4"/>
        <v>-0.93852459016393441</v>
      </c>
      <c r="AR36" s="154">
        <f t="shared" si="5"/>
        <v>486200</v>
      </c>
      <c r="AS36" s="155">
        <f t="shared" si="6"/>
        <v>0.9969243387328276</v>
      </c>
      <c r="AT36" s="785">
        <f t="shared" si="7"/>
        <v>24400</v>
      </c>
      <c r="AU36" s="786" t="str">
        <f t="shared" si="8"/>
        <v>Vendido</v>
      </c>
      <c r="AV36" s="786" t="e">
        <f>IF(AND(AU36="Vendido",G36&gt;=0,BD36&lt;=AN36,AN36&lt;AT36),"Cliente al día",IF(AND(AU36="Vendido",G36&gt;=0,BD36&lt;=AN36,AN36=AT36),"Enganche Completado",IF(AND(AU36="Vendido",G36&gt;=0,BD36&lt;AN36,AN36&gt;AT36),"Superávit de Enganche",IF(AND(AU36="Apartamento Disponible",G36=0,AP36=0),"Disponible","Cliente Atrasado"))))</f>
        <v>#NUM!</v>
      </c>
      <c r="AW36" s="174">
        <v>18</v>
      </c>
      <c r="AX36" s="174">
        <f>IF(AW36&gt;1,1,0)</f>
        <v>1</v>
      </c>
      <c r="AY36" s="174">
        <f>+AW36+AX36</f>
        <v>19</v>
      </c>
      <c r="AZ36" s="173">
        <v>1500</v>
      </c>
      <c r="BA36" s="789">
        <v>1272.22</v>
      </c>
      <c r="BB36" s="786">
        <f>COUNTIFS(K36:AK36,"&gt;0.01",K36:AK36,"&lt;" &amp; AZ36)</f>
        <v>0</v>
      </c>
      <c r="BC36" s="787" t="e">
        <f>IF($G36&gt;0,DATEDIF($G36,$AL$6,"M"),0)</f>
        <v>#NUM!</v>
      </c>
      <c r="BD36" s="788" t="e">
        <f>(BC36*BA36)+AZ36</f>
        <v>#NUM!</v>
      </c>
      <c r="BE36" s="787">
        <f>SUMIF(K36:AL36,"&lt;=" &amp; BA36,K36:AL36)</f>
        <v>0</v>
      </c>
      <c r="BF36" s="787">
        <f>SUMIF(K36:AL36,"&gt;" &amp; BA36,K36:AL36)</f>
        <v>0</v>
      </c>
      <c r="BG36" s="787">
        <f>AN36-BE36-BF36</f>
        <v>1500</v>
      </c>
      <c r="BH36" s="787" t="e">
        <f>IF(AN36&gt;BD36,AN36-BD36,0)</f>
        <v>#NUM!</v>
      </c>
      <c r="BI36" s="787" t="e">
        <f>IF(AN36&lt;BD36,BD36-AN36,0)</f>
        <v>#NUM!</v>
      </c>
      <c r="BJ36" s="217" t="e">
        <f>ROUNDUP(IF(G36&gt;0,BI36/BA36,0),0)</f>
        <v>#NUM!</v>
      </c>
      <c r="BK36" s="152"/>
      <c r="BL36" s="200"/>
    </row>
    <row r="37" spans="1:64" x14ac:dyDescent="0.25">
      <c r="A37" s="86" t="s">
        <v>957</v>
      </c>
      <c r="B37" s="135">
        <v>304</v>
      </c>
      <c r="C37" s="231" t="s">
        <v>145</v>
      </c>
      <c r="D37" s="135" t="s">
        <v>146</v>
      </c>
      <c r="E37" s="135" t="s">
        <v>196</v>
      </c>
      <c r="F37" s="137" t="s">
        <v>958</v>
      </c>
      <c r="G37" s="138">
        <v>45565</v>
      </c>
      <c r="H37" s="135" t="s">
        <v>128</v>
      </c>
      <c r="I37" s="121">
        <v>477700</v>
      </c>
      <c r="J37" s="121">
        <v>23900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>
        <v>1500</v>
      </c>
      <c r="AD37" s="121">
        <v>1500</v>
      </c>
      <c r="AE37" s="121">
        <v>1500</v>
      </c>
      <c r="AF37" s="121">
        <v>1500</v>
      </c>
      <c r="AG37" s="121">
        <v>0</v>
      </c>
      <c r="AH37" s="121">
        <f>1500+1500</f>
        <v>3000</v>
      </c>
      <c r="AI37" s="121">
        <v>1500</v>
      </c>
      <c r="AJ37" s="121"/>
      <c r="AK37" s="202">
        <v>1500</v>
      </c>
      <c r="AL37" s="203">
        <f>1500+1500</f>
        <v>3000</v>
      </c>
      <c r="AM37" s="203">
        <v>1500</v>
      </c>
      <c r="AN37" s="784">
        <f t="shared" si="17"/>
        <v>16500</v>
      </c>
      <c r="AO37" s="153">
        <f t="shared" si="2"/>
        <v>0.69037656903765687</v>
      </c>
      <c r="AP37" s="784">
        <f t="shared" si="3"/>
        <v>-7400</v>
      </c>
      <c r="AQ37" s="153">
        <f t="shared" si="4"/>
        <v>-0.30962343096234307</v>
      </c>
      <c r="AR37" s="154">
        <f t="shared" si="5"/>
        <v>461200</v>
      </c>
      <c r="AS37" s="155">
        <f t="shared" si="6"/>
        <v>0.96545949340590331</v>
      </c>
      <c r="AT37" s="785">
        <f t="shared" si="7"/>
        <v>23900</v>
      </c>
      <c r="AU37" s="786" t="str">
        <f t="shared" si="8"/>
        <v>Vendido</v>
      </c>
      <c r="AV37" s="786" t="str">
        <f t="shared" si="18"/>
        <v>Cliente al día</v>
      </c>
      <c r="AW37" s="174">
        <v>15</v>
      </c>
      <c r="AX37" s="174">
        <f t="shared" si="20"/>
        <v>1</v>
      </c>
      <c r="AY37" s="174">
        <f t="shared" si="21"/>
        <v>16</v>
      </c>
      <c r="AZ37" s="173">
        <v>1500</v>
      </c>
      <c r="BA37" s="789">
        <v>1493.33</v>
      </c>
      <c r="BB37" s="786">
        <f t="shared" si="19"/>
        <v>0</v>
      </c>
      <c r="BC37" s="787">
        <f t="shared" si="9"/>
        <v>9</v>
      </c>
      <c r="BD37" s="788">
        <f t="shared" si="10"/>
        <v>14939.97</v>
      </c>
      <c r="BE37" s="787">
        <f t="shared" si="11"/>
        <v>0</v>
      </c>
      <c r="BF37" s="787">
        <f t="shared" si="12"/>
        <v>15000</v>
      </c>
      <c r="BG37" s="787">
        <f t="shared" si="13"/>
        <v>1500</v>
      </c>
      <c r="BH37" s="787">
        <f t="shared" si="14"/>
        <v>1560.0300000000007</v>
      </c>
      <c r="BI37" s="787">
        <f t="shared" si="15"/>
        <v>0</v>
      </c>
      <c r="BJ37" s="217">
        <f t="shared" si="16"/>
        <v>0</v>
      </c>
      <c r="BK37" s="152"/>
      <c r="BL37" s="200"/>
    </row>
    <row r="38" spans="1:64" x14ac:dyDescent="0.25">
      <c r="B38" s="287">
        <v>306</v>
      </c>
      <c r="C38" s="287" t="s">
        <v>916</v>
      </c>
      <c r="D38" s="287" t="s">
        <v>145</v>
      </c>
      <c r="E38" s="287" t="s">
        <v>196</v>
      </c>
      <c r="F38" s="285" t="s">
        <v>959</v>
      </c>
      <c r="G38" s="138">
        <v>45767</v>
      </c>
      <c r="H38" s="135" t="s">
        <v>128</v>
      </c>
      <c r="I38" s="121">
        <v>964442</v>
      </c>
      <c r="J38" s="121">
        <v>48242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202"/>
      <c r="AL38" s="203"/>
      <c r="AM38" s="203">
        <v>8400</v>
      </c>
      <c r="AN38" s="784">
        <f t="shared" ref="AN38" si="23">SUM(K38:AM38)</f>
        <v>8400</v>
      </c>
      <c r="AO38" s="153">
        <f t="shared" ref="AO38" si="24">IFERROR((+AN38/J38),0)</f>
        <v>0.17412213423987397</v>
      </c>
      <c r="AP38" s="784">
        <f t="shared" ref="AP38" si="25">+AN38-AT38</f>
        <v>-39842</v>
      </c>
      <c r="AQ38" s="153">
        <f t="shared" ref="AQ38" si="26">+AP38/J38</f>
        <v>-0.82587786576012601</v>
      </c>
      <c r="AR38" s="154">
        <f t="shared" ref="AR38" si="27">+I38-AN38</f>
        <v>956042</v>
      </c>
      <c r="AS38" s="155">
        <f t="shared" ref="AS38" si="28">+AR38/I38</f>
        <v>0.99129030050536993</v>
      </c>
      <c r="AT38" s="785">
        <f t="shared" ref="AT38" si="29">IF(AU38="Vendido",J38*1,IF(AU38="Disponible",J38*0,IF(AU38="Enganche Completado",J38*1,IF(AU38="Superávit de Enganche",J38*1,0))))</f>
        <v>48242</v>
      </c>
      <c r="AU38" s="786" t="str">
        <f t="shared" ref="AU38" si="30">IF(F38=0,"Apartamento Disponible",IF(F38&gt;1,"Vendido",0))</f>
        <v>Vendido</v>
      </c>
      <c r="AV38" s="786" t="str">
        <f t="shared" ref="AV38" si="31">IF(AND(AU38="Vendido",G38&gt;=0,BD38&lt;=AN38,AN38&lt;AT38),"Cliente al día",IF(AND(AU38="Vendido",G38&gt;=0,BD38&lt;=AN38,AN38=AT38),"Enganche Completado",IF(AND(AU38="Vendido",G38&gt;=0,BD38&lt;AN38,AN38&gt;AT38),"Superávit de Enganche",IF(AND(AU38="Apartamento Disponible",G38=0,AP38=0),"Disponible","Cliente Atrasado"))))</f>
        <v>Cliente Atrasado</v>
      </c>
      <c r="AW38" s="174">
        <v>1</v>
      </c>
      <c r="AX38" s="174">
        <f t="shared" si="20"/>
        <v>0</v>
      </c>
      <c r="AY38" s="174">
        <f t="shared" ref="AY38" si="32">+AW38+AX38</f>
        <v>1</v>
      </c>
      <c r="AZ38" s="173">
        <v>5000</v>
      </c>
      <c r="BA38" s="789">
        <v>43242</v>
      </c>
      <c r="BB38" s="786">
        <f t="shared" ref="BB38" si="33">COUNTIFS(K38:AK38,"&gt;0.01",K38:AK38,"&lt;" &amp; AZ38)</f>
        <v>0</v>
      </c>
      <c r="BC38" s="787">
        <f t="shared" si="9"/>
        <v>2</v>
      </c>
      <c r="BD38" s="229">
        <f>+BA38</f>
        <v>43242</v>
      </c>
      <c r="BE38" s="787">
        <f t="shared" ref="BE38" si="34">SUMIF(K38:AL38,"&lt;=" &amp; BA38,K38:AL38)</f>
        <v>0</v>
      </c>
      <c r="BF38" s="787">
        <f t="shared" ref="BF38" si="35">SUMIF(K38:AL38,"&gt;" &amp; BA38,K38:AL38)</f>
        <v>0</v>
      </c>
      <c r="BG38" s="787">
        <f t="shared" ref="BG38" si="36">AN38-BE38-BF38</f>
        <v>8400</v>
      </c>
      <c r="BH38" s="787">
        <f t="shared" ref="BH38" si="37">IF(AN38&gt;BD38,AN38-BD38,0)</f>
        <v>0</v>
      </c>
      <c r="BI38" s="787">
        <f t="shared" ref="BI38" si="38">IF(AN38&lt;BD38,BD38-AN38,0)</f>
        <v>34842</v>
      </c>
      <c r="BJ38" s="217">
        <f t="shared" ref="BJ38" si="39">ROUNDUP(IF(G38&gt;0,BI38/BA38,0),0)</f>
        <v>1</v>
      </c>
      <c r="BK38" s="152"/>
      <c r="BL38" s="200" t="s">
        <v>960</v>
      </c>
    </row>
    <row r="39" spans="1:64" x14ac:dyDescent="0.25">
      <c r="B39" s="231">
        <v>305</v>
      </c>
      <c r="C39" s="135" t="s">
        <v>145</v>
      </c>
      <c r="D39" s="135" t="s">
        <v>145</v>
      </c>
      <c r="E39" s="135" t="s">
        <v>439</v>
      </c>
      <c r="F39" s="137" t="s">
        <v>961</v>
      </c>
      <c r="G39" s="138">
        <v>45814</v>
      </c>
      <c r="H39" s="135" t="s">
        <v>956</v>
      </c>
      <c r="I39" s="121">
        <v>394300</v>
      </c>
      <c r="J39" s="121">
        <v>39430</v>
      </c>
      <c r="K39" s="121">
        <v>0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1">
        <v>0</v>
      </c>
      <c r="R39" s="121">
        <v>0</v>
      </c>
      <c r="S39" s="121">
        <v>0</v>
      </c>
      <c r="T39" s="121">
        <v>0</v>
      </c>
      <c r="U39" s="121">
        <v>0</v>
      </c>
      <c r="V39" s="121">
        <v>0</v>
      </c>
      <c r="W39" s="121">
        <v>0</v>
      </c>
      <c r="X39" s="121">
        <v>0</v>
      </c>
      <c r="Y39" s="121">
        <v>0</v>
      </c>
      <c r="Z39" s="121">
        <v>0</v>
      </c>
      <c r="AA39" s="121">
        <v>0</v>
      </c>
      <c r="AB39" s="121">
        <v>0</v>
      </c>
      <c r="AC39" s="121">
        <v>0</v>
      </c>
      <c r="AD39" s="121">
        <v>0</v>
      </c>
      <c r="AE39" s="121">
        <v>0</v>
      </c>
      <c r="AF39" s="121">
        <v>0</v>
      </c>
      <c r="AG39" s="121">
        <v>0</v>
      </c>
      <c r="AH39" s="121">
        <v>0</v>
      </c>
      <c r="AI39" s="121">
        <v>0</v>
      </c>
      <c r="AJ39" s="121"/>
      <c r="AK39" s="121"/>
      <c r="AL39" s="203">
        <v>1500</v>
      </c>
      <c r="AM39" s="203"/>
      <c r="AN39" s="784">
        <f t="shared" si="17"/>
        <v>1500</v>
      </c>
      <c r="AO39" s="153">
        <f t="shared" ref="AO39:AO71" si="40">IFERROR((+AN39/J39),0)</f>
        <v>3.8042099923915801E-2</v>
      </c>
      <c r="AP39" s="784">
        <f t="shared" si="3"/>
        <v>-37930</v>
      </c>
      <c r="AQ39" s="153">
        <f t="shared" ref="AQ39:AQ71" si="41">+AP39/J39</f>
        <v>-0.96195790007608417</v>
      </c>
      <c r="AR39" s="154">
        <f t="shared" ref="AR39:AR71" si="42">+I39-AN39</f>
        <v>392800</v>
      </c>
      <c r="AS39" s="155">
        <f t="shared" ref="AS39:AS71" si="43">+AR39/I39</f>
        <v>0.99619579000760838</v>
      </c>
      <c r="AT39" s="785">
        <f t="shared" ref="AT39:AT71" si="44">IF(AU39="Vendido",J39*1,IF(AU39="Disponible",J39*0,IF(AU39="Enganche Completado",J39*1,IF(AU39="Superávit de Enganche",J39*1,0))))</f>
        <v>39430</v>
      </c>
      <c r="AU39" s="786" t="str">
        <f t="shared" ref="AU39:AU71" si="45">IF(F39=0,"Apartamento Disponible",IF(F39&gt;1,"Vendido",0))</f>
        <v>Vendido</v>
      </c>
      <c r="AV39" s="786" t="str">
        <f t="shared" si="18"/>
        <v>Cliente al día</v>
      </c>
      <c r="AW39" s="174"/>
      <c r="AX39" s="174">
        <f t="shared" si="20"/>
        <v>0</v>
      </c>
      <c r="AY39" s="174">
        <f t="shared" si="21"/>
        <v>0</v>
      </c>
      <c r="AZ39" s="173">
        <v>1500</v>
      </c>
      <c r="BA39" s="789">
        <f t="shared" ref="BA39:BA71" si="46">COUNTIF(L39:AN39,"&gt;=" &amp; AZ39)</f>
        <v>2</v>
      </c>
      <c r="BB39" s="786">
        <f t="shared" si="19"/>
        <v>0</v>
      </c>
      <c r="BC39" s="787">
        <f t="shared" ref="BC39:BC71" si="47">IF($G39&gt;0,DATEDIF($G39,$AL$6,"M"),0)</f>
        <v>0</v>
      </c>
      <c r="BD39" s="788">
        <f t="shared" ref="BD39:BD71" si="48">(BC39*BA39)+AZ39</f>
        <v>1500</v>
      </c>
      <c r="BE39" s="787">
        <f t="shared" ref="BE39:BE71" si="49">SUMIF(K39:AL39,"&lt;=" &amp; BA39,K39:AL39)</f>
        <v>0</v>
      </c>
      <c r="BF39" s="787">
        <f t="shared" ref="BF39:BF71" si="50">SUMIF(K39:AL39,"&gt;" &amp; BA39,K39:AL39)</f>
        <v>1500</v>
      </c>
      <c r="BG39" s="787">
        <f t="shared" ref="BG39:BG71" si="51">AN39-BE39-BF39</f>
        <v>0</v>
      </c>
      <c r="BH39" s="787">
        <f t="shared" ref="BH39:BH71" si="52">IF(AN39&gt;BD39,AN39-BD39,0)</f>
        <v>0</v>
      </c>
      <c r="BI39" s="787">
        <f t="shared" ref="BI39:BI71" si="53">IF(AN39&lt;BD39,BD39-AN39,0)</f>
        <v>0</v>
      </c>
      <c r="BJ39" s="217">
        <f t="shared" ref="BJ39:BJ71" si="54">ROUNDUP(IF(G39&gt;0,BI39/BA39,0),0)</f>
        <v>0</v>
      </c>
      <c r="BK39" s="152"/>
      <c r="BL39" s="200"/>
    </row>
    <row r="40" spans="1:64" x14ac:dyDescent="0.25">
      <c r="B40" s="287">
        <v>308</v>
      </c>
      <c r="C40" s="287" t="s">
        <v>916</v>
      </c>
      <c r="D40" s="287" t="s">
        <v>146</v>
      </c>
      <c r="E40" s="287" t="s">
        <v>962</v>
      </c>
      <c r="F40" s="285" t="s">
        <v>963</v>
      </c>
      <c r="G40" s="138">
        <v>45844</v>
      </c>
      <c r="H40" s="135" t="s">
        <v>128</v>
      </c>
      <c r="I40" s="121">
        <v>487700</v>
      </c>
      <c r="J40" s="121">
        <v>24400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1">
        <v>0</v>
      </c>
      <c r="AA40" s="121">
        <v>0</v>
      </c>
      <c r="AB40" s="121">
        <v>0</v>
      </c>
      <c r="AC40" s="1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/>
      <c r="AK40" s="121"/>
      <c r="AL40" s="121"/>
      <c r="AM40" s="203">
        <v>750</v>
      </c>
      <c r="AN40" s="784">
        <f t="shared" si="17"/>
        <v>750</v>
      </c>
      <c r="AO40" s="153">
        <f t="shared" si="40"/>
        <v>3.0737704918032786E-2</v>
      </c>
      <c r="AP40" s="784">
        <f t="shared" si="3"/>
        <v>-23650</v>
      </c>
      <c r="AQ40" s="153">
        <f t="shared" si="41"/>
        <v>-0.96926229508196726</v>
      </c>
      <c r="AR40" s="154">
        <f t="shared" si="42"/>
        <v>486950</v>
      </c>
      <c r="AS40" s="155">
        <f t="shared" si="43"/>
        <v>0.99846216936641374</v>
      </c>
      <c r="AT40" s="785">
        <f t="shared" si="44"/>
        <v>24400</v>
      </c>
      <c r="AU40" s="786" t="str">
        <f t="shared" si="45"/>
        <v>Vendido</v>
      </c>
      <c r="AV40" s="786" t="e">
        <f t="shared" si="18"/>
        <v>#NUM!</v>
      </c>
      <c r="AW40" s="174">
        <v>18</v>
      </c>
      <c r="AX40" s="174">
        <f t="shared" si="20"/>
        <v>1</v>
      </c>
      <c r="AY40" s="174">
        <f t="shared" si="21"/>
        <v>19</v>
      </c>
      <c r="AZ40" s="173">
        <v>1500</v>
      </c>
      <c r="BA40" s="789">
        <v>1272.22</v>
      </c>
      <c r="BB40" s="786">
        <f t="shared" ref="BB40:BB72" si="55">COUNTIFS(K40:AK40,"&gt;0.01",K40:AK40,"&lt;" &amp; AZ40)</f>
        <v>0</v>
      </c>
      <c r="BC40" s="787" t="e">
        <f t="shared" si="47"/>
        <v>#NUM!</v>
      </c>
      <c r="BD40" s="788" t="e">
        <f t="shared" si="48"/>
        <v>#NUM!</v>
      </c>
      <c r="BE40" s="787">
        <f t="shared" si="49"/>
        <v>0</v>
      </c>
      <c r="BF40" s="787">
        <f t="shared" si="50"/>
        <v>0</v>
      </c>
      <c r="BG40" s="787">
        <f t="shared" si="51"/>
        <v>750</v>
      </c>
      <c r="BH40" s="787" t="e">
        <f t="shared" si="52"/>
        <v>#NUM!</v>
      </c>
      <c r="BI40" s="787" t="e">
        <f t="shared" si="53"/>
        <v>#NUM!</v>
      </c>
      <c r="BJ40" s="217" t="e">
        <f t="shared" si="54"/>
        <v>#NUM!</v>
      </c>
      <c r="BK40" s="152"/>
      <c r="BL40" s="200"/>
    </row>
    <row r="41" spans="1:64" x14ac:dyDescent="0.25">
      <c r="B41" s="280">
        <v>309</v>
      </c>
      <c r="C41" s="135" t="s">
        <v>145</v>
      </c>
      <c r="D41" s="135" t="s">
        <v>146</v>
      </c>
      <c r="E41" s="135" t="s">
        <v>439</v>
      </c>
      <c r="F41" s="137" t="s">
        <v>964</v>
      </c>
      <c r="G41" s="282">
        <v>45833</v>
      </c>
      <c r="H41" s="135" t="s">
        <v>374</v>
      </c>
      <c r="I41" s="121">
        <v>507200</v>
      </c>
      <c r="J41" s="121">
        <v>50720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121">
        <v>0</v>
      </c>
      <c r="R41" s="121">
        <v>0</v>
      </c>
      <c r="S41" s="121">
        <v>0</v>
      </c>
      <c r="T41" s="121">
        <v>0</v>
      </c>
      <c r="U41" s="121">
        <v>0</v>
      </c>
      <c r="V41" s="121">
        <v>0</v>
      </c>
      <c r="W41" s="121">
        <v>0</v>
      </c>
      <c r="X41" s="121">
        <v>0</v>
      </c>
      <c r="Y41" s="121">
        <v>0</v>
      </c>
      <c r="Z41" s="121">
        <v>0</v>
      </c>
      <c r="AA41" s="121">
        <v>0</v>
      </c>
      <c r="AB41" s="121">
        <v>0</v>
      </c>
      <c r="AC41" s="121">
        <v>0</v>
      </c>
      <c r="AD41" s="121">
        <v>0</v>
      </c>
      <c r="AE41" s="121">
        <v>0</v>
      </c>
      <c r="AF41" s="121">
        <v>0</v>
      </c>
      <c r="AG41" s="121">
        <v>0</v>
      </c>
      <c r="AH41" s="121">
        <v>0</v>
      </c>
      <c r="AI41" s="121">
        <v>0</v>
      </c>
      <c r="AJ41" s="121"/>
      <c r="AK41" s="121"/>
      <c r="AL41" s="203">
        <v>1500</v>
      </c>
      <c r="AM41" s="203"/>
      <c r="AN41" s="784">
        <f t="shared" si="17"/>
        <v>1500</v>
      </c>
      <c r="AO41" s="153">
        <f t="shared" si="40"/>
        <v>2.9574132492113565E-2</v>
      </c>
      <c r="AP41" s="784">
        <f t="shared" si="3"/>
        <v>-49220</v>
      </c>
      <c r="AQ41" s="153">
        <f t="shared" si="41"/>
        <v>-0.9704258675078864</v>
      </c>
      <c r="AR41" s="154">
        <f t="shared" si="42"/>
        <v>505700</v>
      </c>
      <c r="AS41" s="155">
        <f t="shared" si="43"/>
        <v>0.99704258675078861</v>
      </c>
      <c r="AT41" s="785">
        <f t="shared" si="44"/>
        <v>50720</v>
      </c>
      <c r="AU41" s="786" t="str">
        <f t="shared" si="45"/>
        <v>Vendido</v>
      </c>
      <c r="AV41" s="786" t="str">
        <f t="shared" si="18"/>
        <v>Cliente Atrasado</v>
      </c>
      <c r="AW41" s="174"/>
      <c r="AX41" s="174">
        <f t="shared" si="20"/>
        <v>0</v>
      </c>
      <c r="AY41" s="174">
        <f t="shared" si="21"/>
        <v>0</v>
      </c>
      <c r="AZ41" s="173">
        <v>3000</v>
      </c>
      <c r="BA41" s="789">
        <f t="shared" si="46"/>
        <v>0</v>
      </c>
      <c r="BB41" s="786">
        <f t="shared" si="55"/>
        <v>0</v>
      </c>
      <c r="BC41" s="787">
        <f t="shared" si="47"/>
        <v>0</v>
      </c>
      <c r="BD41" s="788">
        <f t="shared" si="48"/>
        <v>3000</v>
      </c>
      <c r="BE41" s="787">
        <f t="shared" si="49"/>
        <v>0</v>
      </c>
      <c r="BF41" s="787">
        <f t="shared" si="50"/>
        <v>1500</v>
      </c>
      <c r="BG41" s="787">
        <f t="shared" si="51"/>
        <v>0</v>
      </c>
      <c r="BH41" s="787">
        <f t="shared" si="52"/>
        <v>0</v>
      </c>
      <c r="BI41" s="787">
        <f t="shared" si="53"/>
        <v>1500</v>
      </c>
      <c r="BJ41" s="217" t="e">
        <f t="shared" si="54"/>
        <v>#DIV/0!</v>
      </c>
      <c r="BK41" s="152"/>
      <c r="BL41" s="200"/>
    </row>
    <row r="42" spans="1:64" x14ac:dyDescent="0.25">
      <c r="B42" s="280">
        <v>306</v>
      </c>
      <c r="C42" s="135" t="s">
        <v>145</v>
      </c>
      <c r="D42" s="135" t="s">
        <v>146</v>
      </c>
      <c r="E42" s="135" t="s">
        <v>439</v>
      </c>
      <c r="F42" s="137" t="s">
        <v>965</v>
      </c>
      <c r="G42" s="282">
        <v>45830</v>
      </c>
      <c r="H42" s="135" t="s">
        <v>374</v>
      </c>
      <c r="I42" s="121">
        <v>507200</v>
      </c>
      <c r="J42" s="121">
        <v>50720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1">
        <v>0</v>
      </c>
      <c r="W42" s="121">
        <v>0</v>
      </c>
      <c r="X42" s="121">
        <v>0</v>
      </c>
      <c r="Y42" s="121">
        <v>0</v>
      </c>
      <c r="Z42" s="121">
        <v>0</v>
      </c>
      <c r="AA42" s="121">
        <v>0</v>
      </c>
      <c r="AB42" s="121">
        <v>0</v>
      </c>
      <c r="AC42" s="121">
        <v>0</v>
      </c>
      <c r="AD42" s="121">
        <v>0</v>
      </c>
      <c r="AE42" s="121">
        <v>0</v>
      </c>
      <c r="AF42" s="121">
        <v>0</v>
      </c>
      <c r="AG42" s="121">
        <v>0</v>
      </c>
      <c r="AH42" s="121">
        <v>0</v>
      </c>
      <c r="AI42" s="121">
        <v>0</v>
      </c>
      <c r="AJ42" s="121"/>
      <c r="AK42" s="121"/>
      <c r="AL42" s="203">
        <v>1500</v>
      </c>
      <c r="AM42" s="203"/>
      <c r="AN42" s="784">
        <f t="shared" si="17"/>
        <v>1500</v>
      </c>
      <c r="AO42" s="153">
        <f t="shared" ref="AO42" si="56">IFERROR((+AN42/J42),0)</f>
        <v>2.9574132492113565E-2</v>
      </c>
      <c r="AP42" s="784">
        <f t="shared" ref="AP42" si="57">+AN42-AT42</f>
        <v>-49220</v>
      </c>
      <c r="AQ42" s="153">
        <f t="shared" ref="AQ42" si="58">+AP42/J42</f>
        <v>-0.9704258675078864</v>
      </c>
      <c r="AR42" s="154">
        <f t="shared" ref="AR42" si="59">+I42-AN42</f>
        <v>505700</v>
      </c>
      <c r="AS42" s="155">
        <f t="shared" ref="AS42" si="60">+AR42/I42</f>
        <v>0.99704258675078861</v>
      </c>
      <c r="AT42" s="785">
        <f t="shared" ref="AT42" si="61">IF(AU42="Vendido",J42*1,IF(AU42="Disponible",J42*0,IF(AU42="Enganche Completado",J42*1,IF(AU42="Superávit de Enganche",J42*1,0))))</f>
        <v>50720</v>
      </c>
      <c r="AU42" s="786" t="str">
        <f t="shared" ref="AU42" si="62">IF(F42=0,"Apartamento Disponible",IF(F42&gt;1,"Vendido",0))</f>
        <v>Vendido</v>
      </c>
      <c r="AV42" s="786" t="str">
        <f t="shared" ref="AV42" si="63">IF(AND(AU42="Vendido",G42&gt;=0,BD42&lt;=AN42,AN42&lt;AT42),"Cliente al día",IF(AND(AU42="Vendido",G42&gt;=0,BD42&lt;=AN42,AN42=AT42),"Enganche Completado",IF(AND(AU42="Vendido",G42&gt;=0,BD42&lt;AN42,AN42&gt;AT42),"Superávit de Enganche",IF(AND(AU42="Apartamento Disponible",G42=0,AP42=0),"Disponible","Cliente Atrasado"))))</f>
        <v>Cliente Atrasado</v>
      </c>
      <c r="AW42" s="174"/>
      <c r="AX42" s="174">
        <f t="shared" ref="AX42" si="64">IF(AW42&gt;1,1,0)</f>
        <v>0</v>
      </c>
      <c r="AY42" s="174">
        <f t="shared" ref="AY42" si="65">+AW42+AX42</f>
        <v>0</v>
      </c>
      <c r="AZ42" s="173">
        <v>3000</v>
      </c>
      <c r="BA42" s="789">
        <f t="shared" ref="BA42" si="66">COUNTIF(L42:AN42,"&gt;=" &amp; AZ42)</f>
        <v>0</v>
      </c>
      <c r="BB42" s="786">
        <f t="shared" ref="BB42" si="67">COUNTIFS(K42:AK42,"&gt;0.01",K42:AK42,"&lt;" &amp; AZ42)</f>
        <v>0</v>
      </c>
      <c r="BC42" s="787">
        <f t="shared" si="47"/>
        <v>0</v>
      </c>
      <c r="BD42" s="788">
        <f t="shared" ref="BD42" si="68">(BC42*BA42)+AZ42</f>
        <v>3000</v>
      </c>
      <c r="BE42" s="787">
        <f t="shared" ref="BE42" si="69">SUMIF(K42:AL42,"&lt;=" &amp; BA42,K42:AL42)</f>
        <v>0</v>
      </c>
      <c r="BF42" s="787">
        <f t="shared" ref="BF42" si="70">SUMIF(K42:AL42,"&gt;" &amp; BA42,K42:AL42)</f>
        <v>1500</v>
      </c>
      <c r="BG42" s="787">
        <f t="shared" ref="BG42" si="71">AN42-BE42-BF42</f>
        <v>0</v>
      </c>
      <c r="BH42" s="787">
        <f t="shared" ref="BH42" si="72">IF(AN42&gt;BD42,AN42-BD42,0)</f>
        <v>0</v>
      </c>
      <c r="BI42" s="787">
        <f t="shared" ref="BI42" si="73">IF(AN42&lt;BD42,BD42-AN42,0)</f>
        <v>1500</v>
      </c>
      <c r="BJ42" s="217" t="e">
        <f t="shared" ref="BJ42" si="74">ROUNDUP(IF(G42&gt;0,BI42/BA42,0),0)</f>
        <v>#DIV/0!</v>
      </c>
      <c r="BK42" s="152"/>
      <c r="BL42" s="200"/>
    </row>
    <row r="43" spans="1:64" x14ac:dyDescent="0.25">
      <c r="A43" s="86" t="s">
        <v>966</v>
      </c>
      <c r="B43" s="135">
        <v>308</v>
      </c>
      <c r="C43" s="135" t="s">
        <v>145</v>
      </c>
      <c r="D43" s="135" t="s">
        <v>913</v>
      </c>
      <c r="E43" s="135" t="s">
        <v>147</v>
      </c>
      <c r="F43" s="137" t="s">
        <v>967</v>
      </c>
      <c r="G43" s="138">
        <v>45390</v>
      </c>
      <c r="H43" s="135" t="s">
        <v>128</v>
      </c>
      <c r="I43" s="121">
        <v>477000</v>
      </c>
      <c r="J43" s="121">
        <v>24000</v>
      </c>
      <c r="K43" s="121">
        <v>0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0</v>
      </c>
      <c r="R43" s="121">
        <v>0</v>
      </c>
      <c r="S43" s="121">
        <v>0</v>
      </c>
      <c r="T43" s="121">
        <v>0</v>
      </c>
      <c r="U43" s="121">
        <v>0</v>
      </c>
      <c r="V43" s="121">
        <v>0</v>
      </c>
      <c r="W43" s="121">
        <v>0</v>
      </c>
      <c r="X43" s="121">
        <v>2700</v>
      </c>
      <c r="Y43" s="121">
        <v>1200</v>
      </c>
      <c r="Z43" s="121">
        <v>0</v>
      </c>
      <c r="AA43" s="121">
        <v>2400</v>
      </c>
      <c r="AB43" s="121">
        <v>0</v>
      </c>
      <c r="AC43" s="121">
        <v>1200</v>
      </c>
      <c r="AD43" s="121">
        <v>1200</v>
      </c>
      <c r="AE43" s="121">
        <v>1200</v>
      </c>
      <c r="AF43" s="121">
        <f>1200+1200</f>
        <v>2400</v>
      </c>
      <c r="AG43" s="121">
        <v>0</v>
      </c>
      <c r="AH43" s="121">
        <f>1200+1200</f>
        <v>2400</v>
      </c>
      <c r="AI43" s="121">
        <v>1200</v>
      </c>
      <c r="AJ43" s="121">
        <v>1200</v>
      </c>
      <c r="AK43" s="121">
        <v>1200</v>
      </c>
      <c r="AL43" s="203">
        <v>1200</v>
      </c>
      <c r="AM43" s="203">
        <v>1200</v>
      </c>
      <c r="AN43" s="784">
        <f t="shared" si="17"/>
        <v>20700</v>
      </c>
      <c r="AO43" s="153">
        <f t="shared" si="40"/>
        <v>0.86250000000000004</v>
      </c>
      <c r="AP43" s="784">
        <f t="shared" si="3"/>
        <v>-3300</v>
      </c>
      <c r="AQ43" s="153">
        <f t="shared" si="41"/>
        <v>-0.13750000000000001</v>
      </c>
      <c r="AR43" s="154">
        <f t="shared" si="42"/>
        <v>456300</v>
      </c>
      <c r="AS43" s="155">
        <f t="shared" si="43"/>
        <v>0.95660377358490567</v>
      </c>
      <c r="AT43" s="785">
        <f t="shared" si="44"/>
        <v>24000</v>
      </c>
      <c r="AU43" s="786" t="str">
        <f t="shared" si="45"/>
        <v>Vendido</v>
      </c>
      <c r="AV43" s="786" t="str">
        <f t="shared" si="18"/>
        <v>Cliente al día</v>
      </c>
      <c r="AW43" s="174">
        <v>20</v>
      </c>
      <c r="AX43" s="174">
        <f t="shared" si="20"/>
        <v>1</v>
      </c>
      <c r="AY43" s="174">
        <f t="shared" si="21"/>
        <v>21</v>
      </c>
      <c r="AZ43" s="173">
        <v>1500</v>
      </c>
      <c r="BA43" s="789">
        <v>1125</v>
      </c>
      <c r="BB43" s="786">
        <f t="shared" si="55"/>
        <v>7</v>
      </c>
      <c r="BC43" s="787">
        <f t="shared" si="47"/>
        <v>14</v>
      </c>
      <c r="BD43" s="788">
        <f t="shared" si="48"/>
        <v>17250</v>
      </c>
      <c r="BE43" s="787">
        <f t="shared" si="49"/>
        <v>0</v>
      </c>
      <c r="BF43" s="787">
        <f t="shared" si="50"/>
        <v>19500</v>
      </c>
      <c r="BG43" s="787">
        <f t="shared" si="51"/>
        <v>1200</v>
      </c>
      <c r="BH43" s="787">
        <f t="shared" si="52"/>
        <v>3450</v>
      </c>
      <c r="BI43" s="787">
        <f t="shared" si="53"/>
        <v>0</v>
      </c>
      <c r="BJ43" s="217">
        <f t="shared" si="54"/>
        <v>0</v>
      </c>
      <c r="BK43" s="152"/>
      <c r="BL43" s="200"/>
    </row>
    <row r="44" spans="1:64" x14ac:dyDescent="0.25">
      <c r="A44" s="86" t="s">
        <v>968</v>
      </c>
      <c r="B44" s="135">
        <v>311</v>
      </c>
      <c r="C44" s="135" t="s">
        <v>146</v>
      </c>
      <c r="D44" s="135" t="s">
        <v>913</v>
      </c>
      <c r="E44" s="135" t="s">
        <v>366</v>
      </c>
      <c r="F44" s="137" t="s">
        <v>969</v>
      </c>
      <c r="G44" s="138">
        <v>45427</v>
      </c>
      <c r="H44" s="135" t="s">
        <v>128</v>
      </c>
      <c r="I44" s="121">
        <v>477000</v>
      </c>
      <c r="J44" s="121">
        <v>23900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1500</v>
      </c>
      <c r="Z44" s="121">
        <v>2000</v>
      </c>
      <c r="AA44" s="121">
        <v>1200</v>
      </c>
      <c r="AB44" s="121">
        <v>1200</v>
      </c>
      <c r="AC44" s="121">
        <v>1200</v>
      </c>
      <c r="AD44" s="121">
        <v>1200</v>
      </c>
      <c r="AE44" s="121">
        <v>1200</v>
      </c>
      <c r="AF44" s="121">
        <v>1200</v>
      </c>
      <c r="AG44" s="121">
        <v>1200</v>
      </c>
      <c r="AH44" s="121">
        <v>1200</v>
      </c>
      <c r="AI44" s="121">
        <v>0</v>
      </c>
      <c r="AJ44" s="121">
        <f>1200+1200</f>
        <v>2400</v>
      </c>
      <c r="AK44" s="202">
        <v>1200</v>
      </c>
      <c r="AL44" s="202"/>
      <c r="AM44" s="203">
        <v>1200</v>
      </c>
      <c r="AN44" s="784">
        <f t="shared" si="17"/>
        <v>17900</v>
      </c>
      <c r="AO44" s="153">
        <f t="shared" si="40"/>
        <v>0.7489539748953975</v>
      </c>
      <c r="AP44" s="784">
        <f t="shared" si="3"/>
        <v>-6000</v>
      </c>
      <c r="AQ44" s="153">
        <f t="shared" si="41"/>
        <v>-0.2510460251046025</v>
      </c>
      <c r="AR44" s="154">
        <f t="shared" si="42"/>
        <v>459100</v>
      </c>
      <c r="AS44" s="155">
        <f t="shared" si="43"/>
        <v>0.96247379454926629</v>
      </c>
      <c r="AT44" s="785">
        <f t="shared" si="44"/>
        <v>23900</v>
      </c>
      <c r="AU44" s="786" t="str">
        <f t="shared" si="45"/>
        <v>Vendido</v>
      </c>
      <c r="AV44" s="786" t="str">
        <f t="shared" si="18"/>
        <v>Cliente al día</v>
      </c>
      <c r="AW44" s="174">
        <v>11</v>
      </c>
      <c r="AX44" s="174">
        <f t="shared" si="20"/>
        <v>1</v>
      </c>
      <c r="AY44" s="174">
        <f t="shared" si="21"/>
        <v>12</v>
      </c>
      <c r="AZ44" s="173">
        <v>1500</v>
      </c>
      <c r="BA44" s="789">
        <v>1178.95</v>
      </c>
      <c r="BB44" s="786">
        <f t="shared" si="55"/>
        <v>9</v>
      </c>
      <c r="BC44" s="787">
        <f t="shared" si="47"/>
        <v>13</v>
      </c>
      <c r="BD44" s="788">
        <f t="shared" si="48"/>
        <v>16826.349999999999</v>
      </c>
      <c r="BE44" s="787">
        <f t="shared" si="49"/>
        <v>0</v>
      </c>
      <c r="BF44" s="787">
        <f t="shared" si="50"/>
        <v>16700</v>
      </c>
      <c r="BG44" s="787">
        <f t="shared" si="51"/>
        <v>1200</v>
      </c>
      <c r="BH44" s="787">
        <f t="shared" si="52"/>
        <v>1073.6500000000015</v>
      </c>
      <c r="BI44" s="787">
        <f t="shared" si="53"/>
        <v>0</v>
      </c>
      <c r="BJ44" s="217">
        <f t="shared" si="54"/>
        <v>0</v>
      </c>
      <c r="BK44" s="152"/>
      <c r="BL44" s="200"/>
    </row>
    <row r="45" spans="1:64" x14ac:dyDescent="0.25">
      <c r="B45" s="135">
        <v>312</v>
      </c>
      <c r="C45" s="135" t="s">
        <v>916</v>
      </c>
      <c r="D45" s="135" t="s">
        <v>146</v>
      </c>
      <c r="E45" s="135"/>
      <c r="F45" s="137"/>
      <c r="G45" s="138"/>
      <c r="H45" s="135" t="s">
        <v>374</v>
      </c>
      <c r="I45" s="121">
        <v>507200</v>
      </c>
      <c r="J45" s="121">
        <v>50720</v>
      </c>
      <c r="K45" s="121">
        <v>0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1">
        <v>0</v>
      </c>
      <c r="R45" s="121">
        <v>0</v>
      </c>
      <c r="S45" s="121">
        <v>0</v>
      </c>
      <c r="T45" s="121">
        <v>0</v>
      </c>
      <c r="U45" s="121">
        <v>0</v>
      </c>
      <c r="V45" s="121">
        <v>0</v>
      </c>
      <c r="W45" s="121">
        <v>0</v>
      </c>
      <c r="X45" s="121">
        <v>0</v>
      </c>
      <c r="Y45" s="121">
        <v>0</v>
      </c>
      <c r="Z45" s="121">
        <v>0</v>
      </c>
      <c r="AA45" s="121">
        <v>0</v>
      </c>
      <c r="AB45" s="121">
        <v>0</v>
      </c>
      <c r="AC45" s="121">
        <v>0</v>
      </c>
      <c r="AD45" s="121">
        <v>0</v>
      </c>
      <c r="AE45" s="121">
        <v>0</v>
      </c>
      <c r="AF45" s="121">
        <v>0</v>
      </c>
      <c r="AG45" s="121">
        <v>0</v>
      </c>
      <c r="AH45" s="121">
        <v>0</v>
      </c>
      <c r="AI45" s="121">
        <v>0</v>
      </c>
      <c r="AJ45" s="121"/>
      <c r="AK45" s="121"/>
      <c r="AL45" s="121"/>
      <c r="AM45" s="121"/>
      <c r="AN45" s="784">
        <f t="shared" si="17"/>
        <v>0</v>
      </c>
      <c r="AO45" s="153">
        <f t="shared" si="40"/>
        <v>0</v>
      </c>
      <c r="AP45" s="784">
        <f t="shared" si="3"/>
        <v>0</v>
      </c>
      <c r="AQ45" s="153">
        <f t="shared" si="41"/>
        <v>0</v>
      </c>
      <c r="AR45" s="154">
        <f t="shared" si="42"/>
        <v>507200</v>
      </c>
      <c r="AS45" s="155">
        <f t="shared" si="43"/>
        <v>1</v>
      </c>
      <c r="AT45" s="785">
        <f t="shared" si="44"/>
        <v>0</v>
      </c>
      <c r="AU45" s="786" t="str">
        <f t="shared" si="45"/>
        <v>Apartamento Disponible</v>
      </c>
      <c r="AV45" s="786" t="str">
        <f t="shared" si="18"/>
        <v>Disponible</v>
      </c>
      <c r="AW45" s="174"/>
      <c r="AX45" s="174">
        <f t="shared" si="20"/>
        <v>0</v>
      </c>
      <c r="AY45" s="174">
        <f t="shared" si="21"/>
        <v>0</v>
      </c>
      <c r="AZ45" s="173"/>
      <c r="BA45" s="789">
        <f t="shared" si="46"/>
        <v>0</v>
      </c>
      <c r="BB45" s="786">
        <f t="shared" si="55"/>
        <v>0</v>
      </c>
      <c r="BC45" s="787">
        <f t="shared" si="47"/>
        <v>0</v>
      </c>
      <c r="BD45" s="788">
        <f t="shared" si="48"/>
        <v>0</v>
      </c>
      <c r="BE45" s="787">
        <f t="shared" si="49"/>
        <v>0</v>
      </c>
      <c r="BF45" s="787">
        <f t="shared" si="50"/>
        <v>0</v>
      </c>
      <c r="BG45" s="787">
        <f t="shared" si="51"/>
        <v>0</v>
      </c>
      <c r="BH45" s="787">
        <f t="shared" si="52"/>
        <v>0</v>
      </c>
      <c r="BI45" s="787">
        <f t="shared" si="53"/>
        <v>0</v>
      </c>
      <c r="BJ45" s="217">
        <f t="shared" si="54"/>
        <v>0</v>
      </c>
      <c r="BK45" s="152"/>
      <c r="BL45" s="200"/>
    </row>
    <row r="46" spans="1:64" x14ac:dyDescent="0.25">
      <c r="B46" s="135">
        <v>313</v>
      </c>
      <c r="C46" s="135" t="s">
        <v>916</v>
      </c>
      <c r="D46" s="135" t="s">
        <v>146</v>
      </c>
      <c r="E46" s="135" t="s">
        <v>439</v>
      </c>
      <c r="F46" s="137" t="s">
        <v>970</v>
      </c>
      <c r="G46" s="138">
        <v>45869</v>
      </c>
      <c r="H46" s="135" t="s">
        <v>956</v>
      </c>
      <c r="I46" s="121">
        <v>507200</v>
      </c>
      <c r="J46" s="121">
        <v>50720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1">
        <v>0</v>
      </c>
      <c r="S46" s="121">
        <v>0</v>
      </c>
      <c r="T46" s="121">
        <v>0</v>
      </c>
      <c r="U46" s="121">
        <v>0</v>
      </c>
      <c r="V46" s="121">
        <v>0</v>
      </c>
      <c r="W46" s="121">
        <v>0</v>
      </c>
      <c r="X46" s="121">
        <v>0</v>
      </c>
      <c r="Y46" s="121">
        <v>0</v>
      </c>
      <c r="Z46" s="121">
        <v>0</v>
      </c>
      <c r="AA46" s="121">
        <v>0</v>
      </c>
      <c r="AB46" s="121">
        <v>0</v>
      </c>
      <c r="AC46" s="121">
        <v>0</v>
      </c>
      <c r="AD46" s="121">
        <v>0</v>
      </c>
      <c r="AE46" s="121">
        <v>0</v>
      </c>
      <c r="AF46" s="121">
        <v>0</v>
      </c>
      <c r="AG46" s="121">
        <v>0</v>
      </c>
      <c r="AH46" s="121">
        <v>0</v>
      </c>
      <c r="AI46" s="121">
        <v>0</v>
      </c>
      <c r="AJ46" s="121"/>
      <c r="AK46" s="121"/>
      <c r="AL46" s="121"/>
      <c r="AM46" s="203">
        <v>1500</v>
      </c>
      <c r="AN46" s="784">
        <f t="shared" si="17"/>
        <v>1500</v>
      </c>
      <c r="AO46" s="153">
        <f t="shared" si="40"/>
        <v>2.9574132492113565E-2</v>
      </c>
      <c r="AP46" s="784">
        <f t="shared" si="3"/>
        <v>-49220</v>
      </c>
      <c r="AQ46" s="153">
        <f t="shared" si="41"/>
        <v>-0.9704258675078864</v>
      </c>
      <c r="AR46" s="154">
        <f t="shared" si="42"/>
        <v>505700</v>
      </c>
      <c r="AS46" s="155">
        <f t="shared" si="43"/>
        <v>0.99704258675078861</v>
      </c>
      <c r="AT46" s="785">
        <f t="shared" si="44"/>
        <v>50720</v>
      </c>
      <c r="AU46" s="786" t="str">
        <f t="shared" si="45"/>
        <v>Vendido</v>
      </c>
      <c r="AV46" s="786" t="e">
        <f t="shared" si="18"/>
        <v>#NUM!</v>
      </c>
      <c r="AW46" s="174"/>
      <c r="AX46" s="174">
        <f t="shared" si="20"/>
        <v>0</v>
      </c>
      <c r="AY46" s="174">
        <f t="shared" si="21"/>
        <v>0</v>
      </c>
      <c r="AZ46" s="173"/>
      <c r="BA46" s="789">
        <f t="shared" si="46"/>
        <v>0</v>
      </c>
      <c r="BB46" s="786">
        <f t="shared" si="55"/>
        <v>0</v>
      </c>
      <c r="BC46" s="787" t="e">
        <f t="shared" si="47"/>
        <v>#NUM!</v>
      </c>
      <c r="BD46" s="788" t="e">
        <f t="shared" si="48"/>
        <v>#NUM!</v>
      </c>
      <c r="BE46" s="787">
        <f t="shared" si="49"/>
        <v>0</v>
      </c>
      <c r="BF46" s="787">
        <f t="shared" si="50"/>
        <v>0</v>
      </c>
      <c r="BG46" s="787">
        <f t="shared" si="51"/>
        <v>1500</v>
      </c>
      <c r="BH46" s="787" t="e">
        <f t="shared" si="52"/>
        <v>#NUM!</v>
      </c>
      <c r="BI46" s="787" t="e">
        <f t="shared" si="53"/>
        <v>#NUM!</v>
      </c>
      <c r="BJ46" s="217" t="e">
        <f t="shared" si="54"/>
        <v>#NUM!</v>
      </c>
      <c r="BK46" s="152"/>
      <c r="BL46" s="200"/>
    </row>
    <row r="47" spans="1:64" x14ac:dyDescent="0.25">
      <c r="A47" s="86" t="s">
        <v>971</v>
      </c>
      <c r="B47" s="135">
        <v>401</v>
      </c>
      <c r="C47" s="135" t="s">
        <v>145</v>
      </c>
      <c r="D47" s="135" t="s">
        <v>146</v>
      </c>
      <c r="E47" s="135" t="s">
        <v>921</v>
      </c>
      <c r="F47" s="137" t="s">
        <v>972</v>
      </c>
      <c r="G47" s="138">
        <v>45262</v>
      </c>
      <c r="H47" s="135" t="s">
        <v>128</v>
      </c>
      <c r="I47" s="121">
        <v>494900</v>
      </c>
      <c r="J47" s="121">
        <v>49500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500</v>
      </c>
      <c r="U47" s="121">
        <v>2333.33</v>
      </c>
      <c r="V47" s="121">
        <v>2333.33</v>
      </c>
      <c r="W47" s="121">
        <v>2333.33</v>
      </c>
      <c r="X47" s="121">
        <v>0</v>
      </c>
      <c r="Y47" s="121">
        <v>2333.33</v>
      </c>
      <c r="Z47" s="121">
        <v>2333.33</v>
      </c>
      <c r="AA47" s="121">
        <v>2333.33</v>
      </c>
      <c r="AB47" s="121">
        <v>4666.66</v>
      </c>
      <c r="AC47" s="121">
        <v>0</v>
      </c>
      <c r="AD47" s="121">
        <v>2333.33</v>
      </c>
      <c r="AE47" s="121">
        <v>2333.33</v>
      </c>
      <c r="AF47" s="121">
        <v>2333.33</v>
      </c>
      <c r="AG47" s="121">
        <v>2333.33</v>
      </c>
      <c r="AH47" s="121">
        <v>2333.33</v>
      </c>
      <c r="AI47" s="121">
        <v>2333.33</v>
      </c>
      <c r="AJ47" s="121">
        <v>2333.33</v>
      </c>
      <c r="AK47" s="202">
        <f>2333.33+2333.33</f>
        <v>4666.66</v>
      </c>
      <c r="AL47" s="202"/>
      <c r="AM47" s="203">
        <v>2333.33</v>
      </c>
      <c r="AN47" s="784">
        <f t="shared" si="17"/>
        <v>42499.940000000017</v>
      </c>
      <c r="AO47" s="153">
        <f t="shared" si="40"/>
        <v>0.85858464646464683</v>
      </c>
      <c r="AP47" s="784">
        <f t="shared" si="3"/>
        <v>-7000.0599999999831</v>
      </c>
      <c r="AQ47" s="153">
        <f t="shared" si="41"/>
        <v>-0.1414153535353532</v>
      </c>
      <c r="AR47" s="154">
        <f t="shared" si="42"/>
        <v>452400.06</v>
      </c>
      <c r="AS47" s="155">
        <f t="shared" si="43"/>
        <v>0.91412418670438467</v>
      </c>
      <c r="AT47" s="785">
        <f t="shared" si="44"/>
        <v>49500</v>
      </c>
      <c r="AU47" s="786" t="str">
        <f t="shared" si="45"/>
        <v>Vendido</v>
      </c>
      <c r="AV47" s="786" t="str">
        <f t="shared" si="18"/>
        <v>Cliente al día</v>
      </c>
      <c r="AW47" s="174">
        <v>22</v>
      </c>
      <c r="AX47" s="174">
        <f t="shared" si="20"/>
        <v>1</v>
      </c>
      <c r="AY47" s="174">
        <f t="shared" si="21"/>
        <v>23</v>
      </c>
      <c r="AZ47" s="173">
        <v>500</v>
      </c>
      <c r="BA47" s="789">
        <v>2333.33</v>
      </c>
      <c r="BB47" s="786">
        <f t="shared" si="55"/>
        <v>0</v>
      </c>
      <c r="BC47" s="787">
        <f t="shared" si="47"/>
        <v>18</v>
      </c>
      <c r="BD47" s="788">
        <f t="shared" si="48"/>
        <v>42499.94</v>
      </c>
      <c r="BE47" s="787">
        <f t="shared" si="49"/>
        <v>30833.290000000008</v>
      </c>
      <c r="BF47" s="787">
        <f t="shared" si="50"/>
        <v>9333.32</v>
      </c>
      <c r="BG47" s="787">
        <f t="shared" si="51"/>
        <v>2333.330000000009</v>
      </c>
      <c r="BH47" s="787">
        <f t="shared" si="52"/>
        <v>0</v>
      </c>
      <c r="BI47" s="787">
        <f t="shared" si="53"/>
        <v>0</v>
      </c>
      <c r="BJ47" s="217">
        <f t="shared" si="54"/>
        <v>0</v>
      </c>
      <c r="BK47" s="152"/>
      <c r="BL47" s="200"/>
    </row>
    <row r="48" spans="1:64" x14ac:dyDescent="0.25">
      <c r="A48" s="86" t="s">
        <v>973</v>
      </c>
      <c r="B48" s="135">
        <v>409</v>
      </c>
      <c r="C48" s="135" t="s">
        <v>145</v>
      </c>
      <c r="D48" s="135" t="s">
        <v>146</v>
      </c>
      <c r="E48" s="135" t="s">
        <v>196</v>
      </c>
      <c r="F48" s="137" t="s">
        <v>974</v>
      </c>
      <c r="G48" s="138">
        <v>45747</v>
      </c>
      <c r="H48" s="135" t="s">
        <v>128</v>
      </c>
      <c r="I48" s="121">
        <v>477700</v>
      </c>
      <c r="J48" s="121">
        <v>23900</v>
      </c>
      <c r="K48" s="121">
        <v>0</v>
      </c>
      <c r="L48" s="121">
        <v>0</v>
      </c>
      <c r="M48" s="121">
        <v>0</v>
      </c>
      <c r="N48" s="121">
        <v>0</v>
      </c>
      <c r="O48" s="121">
        <v>0</v>
      </c>
      <c r="P48" s="121">
        <v>0</v>
      </c>
      <c r="Q48" s="121">
        <v>0</v>
      </c>
      <c r="R48" s="121">
        <v>0</v>
      </c>
      <c r="S48" s="121">
        <v>0</v>
      </c>
      <c r="T48" s="121">
        <v>0</v>
      </c>
      <c r="U48" s="121">
        <v>0</v>
      </c>
      <c r="V48" s="121">
        <v>0</v>
      </c>
      <c r="W48" s="121">
        <v>0</v>
      </c>
      <c r="X48" s="121">
        <v>0</v>
      </c>
      <c r="Y48" s="121">
        <v>0</v>
      </c>
      <c r="Z48" s="121">
        <v>0</v>
      </c>
      <c r="AA48" s="121">
        <v>0</v>
      </c>
      <c r="AB48" s="121">
        <v>0</v>
      </c>
      <c r="AC48" s="121">
        <v>0</v>
      </c>
      <c r="AD48" s="121">
        <v>0</v>
      </c>
      <c r="AE48" s="121">
        <v>0</v>
      </c>
      <c r="AF48" s="121">
        <v>0</v>
      </c>
      <c r="AG48" s="121">
        <v>0</v>
      </c>
      <c r="AH48" s="121">
        <v>0</v>
      </c>
      <c r="AI48" s="121">
        <v>1500</v>
      </c>
      <c r="AJ48" s="121">
        <v>1500</v>
      </c>
      <c r="AK48" s="121"/>
      <c r="AL48" s="203">
        <v>1500</v>
      </c>
      <c r="AM48" s="203">
        <f>1500+1500</f>
        <v>3000</v>
      </c>
      <c r="AN48" s="784">
        <f t="shared" si="17"/>
        <v>7500</v>
      </c>
      <c r="AO48" s="153">
        <f t="shared" si="40"/>
        <v>0.31380753138075312</v>
      </c>
      <c r="AP48" s="784">
        <f t="shared" si="3"/>
        <v>-16400</v>
      </c>
      <c r="AQ48" s="153">
        <f t="shared" si="41"/>
        <v>-0.68619246861924688</v>
      </c>
      <c r="AR48" s="154">
        <f t="shared" si="42"/>
        <v>470200</v>
      </c>
      <c r="AS48" s="155">
        <f t="shared" si="43"/>
        <v>0.98429976972995603</v>
      </c>
      <c r="AT48" s="785">
        <f t="shared" si="44"/>
        <v>23900</v>
      </c>
      <c r="AU48" s="786" t="str">
        <f t="shared" si="45"/>
        <v>Vendido</v>
      </c>
      <c r="AV48" s="786" t="str">
        <f t="shared" si="18"/>
        <v>Cliente al día</v>
      </c>
      <c r="AW48" s="174">
        <v>15</v>
      </c>
      <c r="AX48" s="174">
        <f t="shared" si="20"/>
        <v>1</v>
      </c>
      <c r="AY48" s="174">
        <f t="shared" si="21"/>
        <v>16</v>
      </c>
      <c r="AZ48" s="173">
        <v>1500</v>
      </c>
      <c r="BA48" s="789">
        <v>1493.33</v>
      </c>
      <c r="BB48" s="786">
        <f t="shared" si="55"/>
        <v>0</v>
      </c>
      <c r="BC48" s="787">
        <f t="shared" si="47"/>
        <v>2</v>
      </c>
      <c r="BD48" s="788">
        <f t="shared" si="48"/>
        <v>4486.66</v>
      </c>
      <c r="BE48" s="787">
        <f t="shared" si="49"/>
        <v>0</v>
      </c>
      <c r="BF48" s="787">
        <f t="shared" si="50"/>
        <v>4500</v>
      </c>
      <c r="BG48" s="787">
        <f t="shared" si="51"/>
        <v>3000</v>
      </c>
      <c r="BH48" s="787">
        <f t="shared" si="52"/>
        <v>3013.34</v>
      </c>
      <c r="BI48" s="787">
        <f t="shared" si="53"/>
        <v>0</v>
      </c>
      <c r="BJ48" s="217">
        <f t="shared" si="54"/>
        <v>0</v>
      </c>
      <c r="BK48" s="152"/>
      <c r="BL48" s="200"/>
    </row>
    <row r="49" spans="1:64" x14ac:dyDescent="0.25">
      <c r="A49" s="86" t="s">
        <v>975</v>
      </c>
      <c r="B49" s="135">
        <v>402</v>
      </c>
      <c r="C49" s="135" t="s">
        <v>145</v>
      </c>
      <c r="D49" s="135" t="s">
        <v>913</v>
      </c>
      <c r="E49" s="135" t="s">
        <v>196</v>
      </c>
      <c r="F49" s="137" t="s">
        <v>976</v>
      </c>
      <c r="G49" s="138">
        <v>45625</v>
      </c>
      <c r="H49" s="135" t="s">
        <v>128</v>
      </c>
      <c r="I49" s="121">
        <v>477000</v>
      </c>
      <c r="J49" s="121">
        <v>23900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0</v>
      </c>
      <c r="U49" s="121">
        <v>0</v>
      </c>
      <c r="V49" s="121">
        <v>0</v>
      </c>
      <c r="W49" s="121">
        <v>0</v>
      </c>
      <c r="X49" s="121">
        <v>0</v>
      </c>
      <c r="Y49" s="121">
        <v>1500</v>
      </c>
      <c r="Z49" s="121">
        <v>0</v>
      </c>
      <c r="AA49" s="121">
        <v>0</v>
      </c>
      <c r="AB49" s="121">
        <v>0</v>
      </c>
      <c r="AC49" s="121">
        <v>0</v>
      </c>
      <c r="AD49" s="121">
        <v>0</v>
      </c>
      <c r="AE49" s="121">
        <v>500</v>
      </c>
      <c r="AF49" s="121">
        <v>1800</v>
      </c>
      <c r="AG49" s="121">
        <v>0</v>
      </c>
      <c r="AH49" s="121">
        <v>0</v>
      </c>
      <c r="AI49" s="121">
        <v>0</v>
      </c>
      <c r="AJ49" s="121"/>
      <c r="AK49" s="121"/>
      <c r="AL49" s="121"/>
      <c r="AM49" s="121"/>
      <c r="AN49" s="784">
        <f t="shared" si="17"/>
        <v>3800</v>
      </c>
      <c r="AO49" s="153">
        <f t="shared" si="40"/>
        <v>0.15899581589958159</v>
      </c>
      <c r="AP49" s="784">
        <f t="shared" si="3"/>
        <v>-20100</v>
      </c>
      <c r="AQ49" s="153">
        <f t="shared" si="41"/>
        <v>-0.84100418410041844</v>
      </c>
      <c r="AR49" s="154">
        <f t="shared" si="42"/>
        <v>473200</v>
      </c>
      <c r="AS49" s="155">
        <f t="shared" si="43"/>
        <v>0.99203354297693924</v>
      </c>
      <c r="AT49" s="785">
        <f t="shared" si="44"/>
        <v>23900</v>
      </c>
      <c r="AU49" s="786" t="str">
        <f t="shared" si="45"/>
        <v>Vendido</v>
      </c>
      <c r="AV49" s="786" t="str">
        <f t="shared" si="18"/>
        <v>Cliente Atrasado</v>
      </c>
      <c r="AW49" s="174">
        <v>13</v>
      </c>
      <c r="AX49" s="174">
        <f t="shared" si="20"/>
        <v>1</v>
      </c>
      <c r="AY49" s="174">
        <f t="shared" si="21"/>
        <v>14</v>
      </c>
      <c r="AZ49" s="173">
        <v>500</v>
      </c>
      <c r="BA49" s="789">
        <v>1800</v>
      </c>
      <c r="BB49" s="786">
        <f t="shared" si="55"/>
        <v>0</v>
      </c>
      <c r="BC49" s="787">
        <f t="shared" si="47"/>
        <v>7</v>
      </c>
      <c r="BD49" s="788">
        <f t="shared" si="48"/>
        <v>13100</v>
      </c>
      <c r="BE49" s="787">
        <f t="shared" si="49"/>
        <v>3800</v>
      </c>
      <c r="BF49" s="787">
        <f t="shared" si="50"/>
        <v>0</v>
      </c>
      <c r="BG49" s="787">
        <f t="shared" si="51"/>
        <v>0</v>
      </c>
      <c r="BH49" s="787">
        <f t="shared" si="52"/>
        <v>0</v>
      </c>
      <c r="BI49" s="787">
        <f t="shared" si="53"/>
        <v>9300</v>
      </c>
      <c r="BJ49" s="217">
        <f t="shared" si="54"/>
        <v>6</v>
      </c>
      <c r="BK49" s="152"/>
      <c r="BL49" s="200"/>
    </row>
    <row r="50" spans="1:64" x14ac:dyDescent="0.25">
      <c r="A50" s="86" t="s">
        <v>977</v>
      </c>
      <c r="B50" s="135">
        <v>403</v>
      </c>
      <c r="C50" s="135" t="s">
        <v>145</v>
      </c>
      <c r="D50" s="135" t="s">
        <v>913</v>
      </c>
      <c r="E50" s="135" t="s">
        <v>908</v>
      </c>
      <c r="F50" s="137" t="s">
        <v>978</v>
      </c>
      <c r="G50" s="138">
        <v>45426</v>
      </c>
      <c r="H50" s="135" t="s">
        <v>128</v>
      </c>
      <c r="I50" s="121">
        <v>477000</v>
      </c>
      <c r="J50" s="121">
        <v>23900</v>
      </c>
      <c r="K50" s="121">
        <v>0</v>
      </c>
      <c r="L50" s="121">
        <v>0</v>
      </c>
      <c r="M50" s="121">
        <v>0</v>
      </c>
      <c r="N50" s="121">
        <v>0</v>
      </c>
      <c r="O50" s="121">
        <v>0</v>
      </c>
      <c r="P50" s="121">
        <v>0</v>
      </c>
      <c r="Q50" s="121">
        <v>0</v>
      </c>
      <c r="R50" s="121">
        <v>0</v>
      </c>
      <c r="S50" s="121">
        <v>0</v>
      </c>
      <c r="T50" s="121">
        <v>0</v>
      </c>
      <c r="U50" s="121">
        <v>0</v>
      </c>
      <c r="V50" s="121">
        <v>0</v>
      </c>
      <c r="W50" s="121">
        <v>0</v>
      </c>
      <c r="X50" s="121">
        <v>0</v>
      </c>
      <c r="Y50" s="121">
        <v>1500</v>
      </c>
      <c r="Z50" s="121">
        <v>1179</v>
      </c>
      <c r="AA50" s="121">
        <v>1179</v>
      </c>
      <c r="AB50" s="121">
        <v>1179</v>
      </c>
      <c r="AC50" s="121">
        <v>1179</v>
      </c>
      <c r="AD50" s="121">
        <v>1179</v>
      </c>
      <c r="AE50" s="121">
        <v>0</v>
      </c>
      <c r="AF50" s="121">
        <v>1179</v>
      </c>
      <c r="AG50" s="121">
        <v>0</v>
      </c>
      <c r="AH50" s="121">
        <v>3537</v>
      </c>
      <c r="AI50" s="121">
        <v>0</v>
      </c>
      <c r="AJ50" s="121"/>
      <c r="AK50" s="121"/>
      <c r="AL50" s="203">
        <f>1179+1180</f>
        <v>2359</v>
      </c>
      <c r="AM50" s="203"/>
      <c r="AN50" s="784">
        <f t="shared" si="17"/>
        <v>14470</v>
      </c>
      <c r="AO50" s="153">
        <f t="shared" si="40"/>
        <v>0.60543933054393306</v>
      </c>
      <c r="AP50" s="784">
        <f t="shared" si="3"/>
        <v>-9430</v>
      </c>
      <c r="AQ50" s="153">
        <f t="shared" si="41"/>
        <v>-0.39456066945606694</v>
      </c>
      <c r="AR50" s="154">
        <f t="shared" si="42"/>
        <v>462530</v>
      </c>
      <c r="AS50" s="155">
        <f t="shared" si="43"/>
        <v>0.96966457023060793</v>
      </c>
      <c r="AT50" s="785">
        <f t="shared" si="44"/>
        <v>23900</v>
      </c>
      <c r="AU50" s="786" t="str">
        <f t="shared" si="45"/>
        <v>Vendido</v>
      </c>
      <c r="AV50" s="786" t="str">
        <f t="shared" si="18"/>
        <v>Cliente Atrasado</v>
      </c>
      <c r="AW50" s="174">
        <v>19</v>
      </c>
      <c r="AX50" s="174">
        <f t="shared" si="20"/>
        <v>1</v>
      </c>
      <c r="AY50" s="174">
        <f t="shared" si="21"/>
        <v>20</v>
      </c>
      <c r="AZ50" s="173">
        <v>1500</v>
      </c>
      <c r="BA50" s="789">
        <v>1178.95</v>
      </c>
      <c r="BB50" s="786">
        <f t="shared" si="55"/>
        <v>6</v>
      </c>
      <c r="BC50" s="787">
        <f t="shared" si="47"/>
        <v>13</v>
      </c>
      <c r="BD50" s="788">
        <f t="shared" si="48"/>
        <v>16826.349999999999</v>
      </c>
      <c r="BE50" s="787">
        <f t="shared" si="49"/>
        <v>0</v>
      </c>
      <c r="BF50" s="787">
        <f t="shared" si="50"/>
        <v>14470</v>
      </c>
      <c r="BG50" s="787">
        <f t="shared" si="51"/>
        <v>0</v>
      </c>
      <c r="BH50" s="787">
        <f t="shared" si="52"/>
        <v>0</v>
      </c>
      <c r="BI50" s="787">
        <f t="shared" si="53"/>
        <v>2356.3499999999985</v>
      </c>
      <c r="BJ50" s="217">
        <f t="shared" si="54"/>
        <v>2</v>
      </c>
      <c r="BK50" s="152"/>
      <c r="BL50" s="200"/>
    </row>
    <row r="51" spans="1:64" s="207" customFormat="1" x14ac:dyDescent="0.25">
      <c r="B51" s="247">
        <v>405</v>
      </c>
      <c r="C51" s="247" t="s">
        <v>145</v>
      </c>
      <c r="D51" s="247" t="s">
        <v>145</v>
      </c>
      <c r="E51" s="247" t="s">
        <v>196</v>
      </c>
      <c r="F51" s="273" t="s">
        <v>979</v>
      </c>
      <c r="G51" s="274">
        <v>45838</v>
      </c>
      <c r="H51" s="247" t="s">
        <v>67</v>
      </c>
      <c r="I51" s="197">
        <v>369600</v>
      </c>
      <c r="J51" s="197">
        <v>18500</v>
      </c>
      <c r="K51" s="197">
        <v>0</v>
      </c>
      <c r="L51" s="197">
        <v>0</v>
      </c>
      <c r="M51" s="197">
        <v>0</v>
      </c>
      <c r="N51" s="197">
        <v>0</v>
      </c>
      <c r="O51" s="197">
        <v>0</v>
      </c>
      <c r="P51" s="197">
        <v>0</v>
      </c>
      <c r="Q51" s="197">
        <v>0</v>
      </c>
      <c r="R51" s="197">
        <v>0</v>
      </c>
      <c r="S51" s="197">
        <v>0</v>
      </c>
      <c r="T51" s="197">
        <v>0</v>
      </c>
      <c r="U51" s="197">
        <v>0</v>
      </c>
      <c r="V51" s="197">
        <v>0</v>
      </c>
      <c r="W51" s="197">
        <v>0</v>
      </c>
      <c r="X51" s="197">
        <v>0</v>
      </c>
      <c r="Y51" s="197">
        <v>0</v>
      </c>
      <c r="Z51" s="197">
        <v>0</v>
      </c>
      <c r="AA51" s="197">
        <v>0</v>
      </c>
      <c r="AB51" s="197">
        <v>0</v>
      </c>
      <c r="AC51" s="197">
        <v>0</v>
      </c>
      <c r="AD51" s="197">
        <v>0</v>
      </c>
      <c r="AE51" s="197"/>
      <c r="AF51" s="197"/>
      <c r="AG51" s="197"/>
      <c r="AH51" s="197"/>
      <c r="AI51" s="197"/>
      <c r="AJ51" s="197"/>
      <c r="AK51" s="228"/>
      <c r="AL51" s="204">
        <v>1500</v>
      </c>
      <c r="AM51" s="204">
        <f>1800+1062.5</f>
        <v>2862.5</v>
      </c>
      <c r="AN51" s="784">
        <f t="shared" si="17"/>
        <v>4362.5</v>
      </c>
      <c r="AO51" s="275">
        <f t="shared" si="40"/>
        <v>0.23581081081081082</v>
      </c>
      <c r="AP51" s="208">
        <f t="shared" si="3"/>
        <v>-14137.5</v>
      </c>
      <c r="AQ51" s="275">
        <f t="shared" si="41"/>
        <v>-0.76418918918918921</v>
      </c>
      <c r="AR51" s="208">
        <f t="shared" si="42"/>
        <v>365237.5</v>
      </c>
      <c r="AS51" s="276">
        <f t="shared" si="43"/>
        <v>0.98819669913419916</v>
      </c>
      <c r="AT51" s="277">
        <f t="shared" si="44"/>
        <v>18500</v>
      </c>
      <c r="AU51" s="209" t="str">
        <f t="shared" si="45"/>
        <v>Vendido</v>
      </c>
      <c r="AV51" s="209" t="str">
        <f t="shared" si="18"/>
        <v>Cliente al día</v>
      </c>
      <c r="AW51" s="210">
        <v>16</v>
      </c>
      <c r="AX51" s="210">
        <f t="shared" si="20"/>
        <v>1</v>
      </c>
      <c r="AY51" s="210">
        <f t="shared" si="21"/>
        <v>17</v>
      </c>
      <c r="AZ51" s="211">
        <v>1500</v>
      </c>
      <c r="BA51" s="211">
        <v>1062.5</v>
      </c>
      <c r="BB51" s="209">
        <f t="shared" si="55"/>
        <v>0</v>
      </c>
      <c r="BC51" s="262">
        <f t="shared" si="47"/>
        <v>0</v>
      </c>
      <c r="BD51" s="263">
        <f t="shared" si="48"/>
        <v>1500</v>
      </c>
      <c r="BE51" s="262">
        <f t="shared" si="49"/>
        <v>0</v>
      </c>
      <c r="BF51" s="262">
        <f t="shared" si="50"/>
        <v>1500</v>
      </c>
      <c r="BG51" s="262">
        <f t="shared" si="51"/>
        <v>2862.5</v>
      </c>
      <c r="BH51" s="262">
        <f t="shared" si="52"/>
        <v>2862.5</v>
      </c>
      <c r="BI51" s="262">
        <f t="shared" si="53"/>
        <v>0</v>
      </c>
      <c r="BJ51" s="262">
        <f t="shared" si="54"/>
        <v>0</v>
      </c>
      <c r="BK51" s="209"/>
      <c r="BL51" s="212"/>
    </row>
    <row r="52" spans="1:64" x14ac:dyDescent="0.25">
      <c r="A52" s="86" t="s">
        <v>980</v>
      </c>
      <c r="B52" s="288" t="s">
        <v>981</v>
      </c>
      <c r="C52" s="135"/>
      <c r="D52" s="135" t="s">
        <v>146</v>
      </c>
      <c r="E52" s="135" t="s">
        <v>366</v>
      </c>
      <c r="F52" s="137" t="s">
        <v>982</v>
      </c>
      <c r="G52" s="138">
        <v>45511</v>
      </c>
      <c r="H52" s="135" t="s">
        <v>128</v>
      </c>
      <c r="I52" s="121">
        <v>477700</v>
      </c>
      <c r="J52" s="121">
        <v>23900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21">
        <v>0</v>
      </c>
      <c r="S52" s="121">
        <v>0</v>
      </c>
      <c r="T52" s="121">
        <v>0</v>
      </c>
      <c r="U52" s="121">
        <v>0</v>
      </c>
      <c r="V52" s="121">
        <v>0</v>
      </c>
      <c r="W52" s="121">
        <v>0</v>
      </c>
      <c r="X52" s="121">
        <v>0</v>
      </c>
      <c r="Y52" s="121">
        <v>0</v>
      </c>
      <c r="Z52" s="121">
        <v>0</v>
      </c>
      <c r="AA52" s="121">
        <v>0</v>
      </c>
      <c r="AB52" s="121">
        <v>500</v>
      </c>
      <c r="AC52" s="121">
        <v>1462.5</v>
      </c>
      <c r="AD52" s="121">
        <v>1462.5</v>
      </c>
      <c r="AE52" s="121">
        <v>1462.5</v>
      </c>
      <c r="AF52" s="121">
        <v>1462.5</v>
      </c>
      <c r="AG52" s="121">
        <v>1462.5</v>
      </c>
      <c r="AH52" s="121">
        <v>1462.5</v>
      </c>
      <c r="AI52" s="121">
        <v>1462.5</v>
      </c>
      <c r="AJ52" s="121"/>
      <c r="AK52" s="202">
        <f>1462.5+1462.5</f>
        <v>2925</v>
      </c>
      <c r="AL52" s="202"/>
      <c r="AM52" s="203">
        <v>1462.5</v>
      </c>
      <c r="AN52" s="784">
        <f t="shared" si="17"/>
        <v>15125</v>
      </c>
      <c r="AO52" s="153">
        <f t="shared" si="40"/>
        <v>0.63284518828451886</v>
      </c>
      <c r="AP52" s="784">
        <f t="shared" si="3"/>
        <v>-8775</v>
      </c>
      <c r="AQ52" s="153">
        <f t="shared" si="41"/>
        <v>-0.36715481171548114</v>
      </c>
      <c r="AR52" s="154">
        <f t="shared" si="42"/>
        <v>462575</v>
      </c>
      <c r="AS52" s="155">
        <f t="shared" si="43"/>
        <v>0.9683378689554113</v>
      </c>
      <c r="AT52" s="785">
        <f t="shared" si="44"/>
        <v>23900</v>
      </c>
      <c r="AU52" s="786" t="str">
        <f t="shared" si="45"/>
        <v>Vendido</v>
      </c>
      <c r="AV52" s="786" t="str">
        <f t="shared" si="18"/>
        <v>Cliente al día</v>
      </c>
      <c r="AW52" s="174">
        <v>16</v>
      </c>
      <c r="AX52" s="174">
        <f t="shared" si="20"/>
        <v>1</v>
      </c>
      <c r="AY52" s="174">
        <f t="shared" si="21"/>
        <v>17</v>
      </c>
      <c r="AZ52" s="173">
        <v>500</v>
      </c>
      <c r="BA52" s="789">
        <v>1462.5</v>
      </c>
      <c r="BB52" s="786">
        <f t="shared" si="55"/>
        <v>0</v>
      </c>
      <c r="BC52" s="787">
        <f t="shared" si="47"/>
        <v>10</v>
      </c>
      <c r="BD52" s="788">
        <f t="shared" si="48"/>
        <v>15125</v>
      </c>
      <c r="BE52" s="787">
        <f t="shared" si="49"/>
        <v>10737.5</v>
      </c>
      <c r="BF52" s="787">
        <f t="shared" si="50"/>
        <v>2925</v>
      </c>
      <c r="BG52" s="787">
        <f t="shared" si="51"/>
        <v>1462.5</v>
      </c>
      <c r="BH52" s="787">
        <f t="shared" si="52"/>
        <v>0</v>
      </c>
      <c r="BI52" s="787">
        <f t="shared" si="53"/>
        <v>0</v>
      </c>
      <c r="BJ52" s="217">
        <f t="shared" si="54"/>
        <v>0</v>
      </c>
      <c r="BK52" s="152"/>
      <c r="BL52" s="200"/>
    </row>
    <row r="53" spans="1:64" x14ac:dyDescent="0.25">
      <c r="B53" s="135">
        <v>407</v>
      </c>
      <c r="C53" s="135" t="s">
        <v>916</v>
      </c>
      <c r="D53" s="135" t="s">
        <v>145</v>
      </c>
      <c r="E53" s="135"/>
      <c r="F53" s="137"/>
      <c r="G53" s="138"/>
      <c r="H53" s="135" t="s">
        <v>374</v>
      </c>
      <c r="I53" s="121">
        <v>394300</v>
      </c>
      <c r="J53" s="121">
        <v>39430</v>
      </c>
      <c r="K53" s="121">
        <v>0</v>
      </c>
      <c r="L53" s="121">
        <v>0</v>
      </c>
      <c r="M53" s="121">
        <v>0</v>
      </c>
      <c r="N53" s="121">
        <v>0</v>
      </c>
      <c r="O53" s="121">
        <v>0</v>
      </c>
      <c r="P53" s="121">
        <v>0</v>
      </c>
      <c r="Q53" s="121">
        <v>0</v>
      </c>
      <c r="R53" s="121">
        <v>0</v>
      </c>
      <c r="S53" s="121">
        <v>0</v>
      </c>
      <c r="T53" s="121">
        <v>0</v>
      </c>
      <c r="U53" s="121">
        <v>0</v>
      </c>
      <c r="V53" s="121">
        <v>0</v>
      </c>
      <c r="W53" s="121">
        <v>0</v>
      </c>
      <c r="X53" s="121">
        <v>0</v>
      </c>
      <c r="Y53" s="121">
        <v>0</v>
      </c>
      <c r="Z53" s="121">
        <v>0</v>
      </c>
      <c r="AA53" s="121">
        <v>0</v>
      </c>
      <c r="AB53" s="121">
        <v>0</v>
      </c>
      <c r="AC53" s="121">
        <v>0</v>
      </c>
      <c r="AD53" s="121">
        <v>0</v>
      </c>
      <c r="AE53" s="121">
        <v>0</v>
      </c>
      <c r="AF53" s="121">
        <v>0</v>
      </c>
      <c r="AG53" s="121">
        <v>0</v>
      </c>
      <c r="AH53" s="121">
        <v>0</v>
      </c>
      <c r="AI53" s="121">
        <v>0</v>
      </c>
      <c r="AJ53" s="121"/>
      <c r="AK53" s="121"/>
      <c r="AL53" s="121"/>
      <c r="AM53" s="121"/>
      <c r="AN53" s="784">
        <f t="shared" si="17"/>
        <v>0</v>
      </c>
      <c r="AO53" s="153">
        <f t="shared" si="40"/>
        <v>0</v>
      </c>
      <c r="AP53" s="784">
        <f t="shared" si="3"/>
        <v>0</v>
      </c>
      <c r="AQ53" s="153">
        <f t="shared" si="41"/>
        <v>0</v>
      </c>
      <c r="AR53" s="154">
        <f t="shared" si="42"/>
        <v>394300</v>
      </c>
      <c r="AS53" s="155">
        <f t="shared" si="43"/>
        <v>1</v>
      </c>
      <c r="AT53" s="785">
        <f t="shared" si="44"/>
        <v>0</v>
      </c>
      <c r="AU53" s="786" t="str">
        <f t="shared" si="45"/>
        <v>Apartamento Disponible</v>
      </c>
      <c r="AV53" s="786" t="str">
        <f t="shared" si="18"/>
        <v>Disponible</v>
      </c>
      <c r="AW53" s="174"/>
      <c r="AX53" s="174">
        <f t="shared" si="20"/>
        <v>0</v>
      </c>
      <c r="AY53" s="174">
        <f t="shared" si="21"/>
        <v>0</v>
      </c>
      <c r="AZ53" s="173"/>
      <c r="BA53" s="789">
        <f t="shared" si="46"/>
        <v>0</v>
      </c>
      <c r="BB53" s="786">
        <f t="shared" si="55"/>
        <v>0</v>
      </c>
      <c r="BC53" s="787">
        <f t="shared" si="47"/>
        <v>0</v>
      </c>
      <c r="BD53" s="788">
        <f t="shared" si="48"/>
        <v>0</v>
      </c>
      <c r="BE53" s="787">
        <f t="shared" si="49"/>
        <v>0</v>
      </c>
      <c r="BF53" s="787">
        <f t="shared" si="50"/>
        <v>0</v>
      </c>
      <c r="BG53" s="787">
        <f t="shared" si="51"/>
        <v>0</v>
      </c>
      <c r="BH53" s="787">
        <f t="shared" si="52"/>
        <v>0</v>
      </c>
      <c r="BI53" s="787">
        <f t="shared" si="53"/>
        <v>0</v>
      </c>
      <c r="BJ53" s="217">
        <f t="shared" si="54"/>
        <v>0</v>
      </c>
      <c r="BK53" s="152"/>
      <c r="BL53" s="200"/>
    </row>
    <row r="54" spans="1:64" x14ac:dyDescent="0.25">
      <c r="A54" s="86" t="s">
        <v>983</v>
      </c>
      <c r="B54" s="231">
        <v>407</v>
      </c>
      <c r="C54" s="135" t="s">
        <v>145</v>
      </c>
      <c r="D54" s="135" t="s">
        <v>146</v>
      </c>
      <c r="E54" s="135" t="s">
        <v>203</v>
      </c>
      <c r="F54" s="137" t="s">
        <v>984</v>
      </c>
      <c r="G54" s="138">
        <v>45787</v>
      </c>
      <c r="H54" s="135" t="s">
        <v>67</v>
      </c>
      <c r="I54" s="121">
        <v>47700</v>
      </c>
      <c r="J54" s="121">
        <v>50720</v>
      </c>
      <c r="K54" s="121">
        <v>0</v>
      </c>
      <c r="L54" s="121">
        <v>0</v>
      </c>
      <c r="M54" s="121">
        <v>0</v>
      </c>
      <c r="N54" s="121">
        <v>0</v>
      </c>
      <c r="O54" s="121">
        <v>0</v>
      </c>
      <c r="P54" s="121">
        <v>0</v>
      </c>
      <c r="Q54" s="121">
        <v>0</v>
      </c>
      <c r="R54" s="121">
        <v>0</v>
      </c>
      <c r="S54" s="121">
        <v>0</v>
      </c>
      <c r="T54" s="121">
        <v>0</v>
      </c>
      <c r="U54" s="121">
        <v>0</v>
      </c>
      <c r="V54" s="121">
        <v>0</v>
      </c>
      <c r="W54" s="121">
        <v>0</v>
      </c>
      <c r="X54" s="121">
        <v>0</v>
      </c>
      <c r="Y54" s="121">
        <v>0</v>
      </c>
      <c r="Z54" s="121">
        <v>0</v>
      </c>
      <c r="AA54" s="121">
        <v>0</v>
      </c>
      <c r="AB54" s="121">
        <v>0</v>
      </c>
      <c r="AC54" s="121">
        <v>0</v>
      </c>
      <c r="AD54" s="121">
        <v>0</v>
      </c>
      <c r="AE54" s="121">
        <v>0</v>
      </c>
      <c r="AF54" s="121">
        <v>0</v>
      </c>
      <c r="AG54" s="121">
        <v>0</v>
      </c>
      <c r="AH54" s="121">
        <v>0</v>
      </c>
      <c r="AI54" s="121">
        <v>0</v>
      </c>
      <c r="AJ54" s="121"/>
      <c r="AK54" s="202">
        <v>1500</v>
      </c>
      <c r="AL54" s="203">
        <f>1415+1867</f>
        <v>3282</v>
      </c>
      <c r="AM54" s="203"/>
      <c r="AN54" s="784">
        <f t="shared" si="17"/>
        <v>4782</v>
      </c>
      <c r="AO54" s="153">
        <f t="shared" si="40"/>
        <v>9.4282334384858044E-2</v>
      </c>
      <c r="AP54" s="784">
        <f t="shared" si="3"/>
        <v>-45938</v>
      </c>
      <c r="AQ54" s="153">
        <f t="shared" si="41"/>
        <v>-0.905717665615142</v>
      </c>
      <c r="AR54" s="154">
        <f t="shared" si="42"/>
        <v>42918</v>
      </c>
      <c r="AS54" s="155">
        <f t="shared" si="43"/>
        <v>0.89974842767295593</v>
      </c>
      <c r="AT54" s="785">
        <f t="shared" si="44"/>
        <v>50720</v>
      </c>
      <c r="AU54" s="786" t="str">
        <f t="shared" si="45"/>
        <v>Vendido</v>
      </c>
      <c r="AV54" s="786" t="str">
        <f t="shared" si="18"/>
        <v>Cliente al día</v>
      </c>
      <c r="AW54" s="174">
        <v>12</v>
      </c>
      <c r="AX54" s="174">
        <f t="shared" si="20"/>
        <v>1</v>
      </c>
      <c r="AY54" s="174">
        <f t="shared" si="21"/>
        <v>13</v>
      </c>
      <c r="AZ54" s="173">
        <v>1500</v>
      </c>
      <c r="BA54" s="789">
        <v>1866.67</v>
      </c>
      <c r="BB54" s="786">
        <f t="shared" si="55"/>
        <v>0</v>
      </c>
      <c r="BC54" s="787">
        <f t="shared" si="47"/>
        <v>1</v>
      </c>
      <c r="BD54" s="788">
        <f t="shared" si="48"/>
        <v>3366.67</v>
      </c>
      <c r="BE54" s="787">
        <f t="shared" si="49"/>
        <v>1500</v>
      </c>
      <c r="BF54" s="787">
        <f t="shared" si="50"/>
        <v>3282</v>
      </c>
      <c r="BG54" s="787">
        <f t="shared" si="51"/>
        <v>0</v>
      </c>
      <c r="BH54" s="787">
        <f t="shared" si="52"/>
        <v>1415.33</v>
      </c>
      <c r="BI54" s="787">
        <f t="shared" si="53"/>
        <v>0</v>
      </c>
      <c r="BJ54" s="217">
        <f t="shared" si="54"/>
        <v>0</v>
      </c>
      <c r="BK54" s="152"/>
      <c r="BL54" s="200"/>
    </row>
    <row r="55" spans="1:64" x14ac:dyDescent="0.25">
      <c r="B55" s="135">
        <v>409</v>
      </c>
      <c r="C55" s="135" t="s">
        <v>916</v>
      </c>
      <c r="D55" s="135" t="s">
        <v>146</v>
      </c>
      <c r="E55" s="135" t="s">
        <v>203</v>
      </c>
      <c r="F55" s="137" t="s">
        <v>985</v>
      </c>
      <c r="G55" s="138">
        <v>45841</v>
      </c>
      <c r="H55" s="135" t="s">
        <v>67</v>
      </c>
      <c r="I55" s="121">
        <v>477700</v>
      </c>
      <c r="J55" s="121">
        <v>23900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0</v>
      </c>
      <c r="V55" s="121">
        <v>0</v>
      </c>
      <c r="W55" s="121">
        <v>0</v>
      </c>
      <c r="X55" s="121">
        <v>0</v>
      </c>
      <c r="Y55" s="121">
        <v>0</v>
      </c>
      <c r="Z55" s="121">
        <v>0</v>
      </c>
      <c r="AA55" s="121">
        <v>0</v>
      </c>
      <c r="AB55" s="121">
        <v>0</v>
      </c>
      <c r="AC55" s="121">
        <v>0</v>
      </c>
      <c r="AD55" s="121">
        <v>0</v>
      </c>
      <c r="AE55" s="121">
        <v>0</v>
      </c>
      <c r="AF55" s="121">
        <v>0</v>
      </c>
      <c r="AG55" s="121">
        <v>0</v>
      </c>
      <c r="AH55" s="121">
        <v>0</v>
      </c>
      <c r="AI55" s="121">
        <v>0</v>
      </c>
      <c r="AJ55" s="121"/>
      <c r="AK55" s="121"/>
      <c r="AL55" s="121"/>
      <c r="AM55" s="203">
        <v>1500</v>
      </c>
      <c r="AN55" s="784">
        <f t="shared" si="17"/>
        <v>1500</v>
      </c>
      <c r="AO55" s="153">
        <f t="shared" si="40"/>
        <v>6.2761506276150625E-2</v>
      </c>
      <c r="AP55" s="784">
        <f t="shared" si="3"/>
        <v>-22400</v>
      </c>
      <c r="AQ55" s="153">
        <f t="shared" si="41"/>
        <v>-0.93723849372384938</v>
      </c>
      <c r="AR55" s="154">
        <f t="shared" si="42"/>
        <v>476200</v>
      </c>
      <c r="AS55" s="155">
        <f t="shared" si="43"/>
        <v>0.99685995394599125</v>
      </c>
      <c r="AT55" s="785">
        <f t="shared" si="44"/>
        <v>23900</v>
      </c>
      <c r="AU55" s="786" t="str">
        <f t="shared" si="45"/>
        <v>Vendido</v>
      </c>
      <c r="AV55" s="786" t="e">
        <f t="shared" si="18"/>
        <v>#NUM!</v>
      </c>
      <c r="AW55" s="174">
        <v>16</v>
      </c>
      <c r="AX55" s="174">
        <f t="shared" si="20"/>
        <v>1</v>
      </c>
      <c r="AY55" s="174">
        <f t="shared" si="21"/>
        <v>17</v>
      </c>
      <c r="AZ55" s="173">
        <v>1500</v>
      </c>
      <c r="BA55" s="789">
        <v>1400</v>
      </c>
      <c r="BB55" s="786">
        <f t="shared" si="55"/>
        <v>0</v>
      </c>
      <c r="BC55" s="787" t="e">
        <f t="shared" si="47"/>
        <v>#NUM!</v>
      </c>
      <c r="BD55" s="788" t="e">
        <f t="shared" si="48"/>
        <v>#NUM!</v>
      </c>
      <c r="BE55" s="787">
        <f t="shared" si="49"/>
        <v>0</v>
      </c>
      <c r="BF55" s="787">
        <f t="shared" si="50"/>
        <v>0</v>
      </c>
      <c r="BG55" s="787">
        <f t="shared" si="51"/>
        <v>1500</v>
      </c>
      <c r="BH55" s="787" t="e">
        <f t="shared" si="52"/>
        <v>#NUM!</v>
      </c>
      <c r="BI55" s="787" t="e">
        <f t="shared" si="53"/>
        <v>#NUM!</v>
      </c>
      <c r="BJ55" s="217" t="e">
        <f t="shared" si="54"/>
        <v>#NUM!</v>
      </c>
      <c r="BK55" s="152"/>
      <c r="BL55" s="200"/>
    </row>
    <row r="56" spans="1:64" x14ac:dyDescent="0.25">
      <c r="A56" s="86" t="s">
        <v>986</v>
      </c>
      <c r="B56" s="135">
        <v>510</v>
      </c>
      <c r="C56" s="135" t="s">
        <v>145</v>
      </c>
      <c r="D56" s="135" t="s">
        <v>913</v>
      </c>
      <c r="E56" s="135" t="s">
        <v>366</v>
      </c>
      <c r="F56" s="137" t="s">
        <v>987</v>
      </c>
      <c r="G56" s="138">
        <v>45511</v>
      </c>
      <c r="H56" s="135" t="s">
        <v>128</v>
      </c>
      <c r="I56" s="121">
        <v>477000</v>
      </c>
      <c r="J56" s="121">
        <v>23900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0</v>
      </c>
      <c r="R56" s="121">
        <v>0</v>
      </c>
      <c r="S56" s="121">
        <v>0</v>
      </c>
      <c r="T56" s="121">
        <v>0</v>
      </c>
      <c r="U56" s="121">
        <v>0</v>
      </c>
      <c r="V56" s="121">
        <v>0</v>
      </c>
      <c r="W56" s="121">
        <v>0</v>
      </c>
      <c r="X56" s="121">
        <v>0</v>
      </c>
      <c r="Y56" s="121">
        <v>0</v>
      </c>
      <c r="Z56" s="121">
        <v>0</v>
      </c>
      <c r="AA56" s="121">
        <v>0</v>
      </c>
      <c r="AB56" s="121">
        <v>500</v>
      </c>
      <c r="AC56" s="121">
        <v>1462.5</v>
      </c>
      <c r="AD56" s="121">
        <v>1462.5</v>
      </c>
      <c r="AE56" s="121">
        <v>1462.5</v>
      </c>
      <c r="AF56" s="121">
        <v>1462.5</v>
      </c>
      <c r="AG56" s="121">
        <v>1462.5</v>
      </c>
      <c r="AH56" s="121">
        <v>1462.5</v>
      </c>
      <c r="AI56" s="121">
        <v>1462.5</v>
      </c>
      <c r="AJ56" s="121">
        <v>1462.5</v>
      </c>
      <c r="AK56" s="202">
        <v>1462.5</v>
      </c>
      <c r="AL56" s="203">
        <v>1462.5</v>
      </c>
      <c r="AM56" s="203">
        <v>1462.5</v>
      </c>
      <c r="AN56" s="784">
        <f t="shared" si="17"/>
        <v>16587.5</v>
      </c>
      <c r="AO56" s="153">
        <f t="shared" si="40"/>
        <v>0.69403765690376573</v>
      </c>
      <c r="AP56" s="784">
        <f t="shared" si="3"/>
        <v>-7312.5</v>
      </c>
      <c r="AQ56" s="153">
        <f t="shared" si="41"/>
        <v>-0.30596234309623432</v>
      </c>
      <c r="AR56" s="154">
        <f t="shared" si="42"/>
        <v>460412.5</v>
      </c>
      <c r="AS56" s="155">
        <f t="shared" si="43"/>
        <v>0.96522536687631022</v>
      </c>
      <c r="AT56" s="785">
        <f t="shared" si="44"/>
        <v>23900</v>
      </c>
      <c r="AU56" s="786" t="str">
        <f t="shared" si="45"/>
        <v>Vendido</v>
      </c>
      <c r="AV56" s="786" t="str">
        <f t="shared" si="18"/>
        <v>Cliente al día</v>
      </c>
      <c r="AW56" s="174">
        <v>16</v>
      </c>
      <c r="AX56" s="174">
        <f t="shared" si="20"/>
        <v>1</v>
      </c>
      <c r="AY56" s="174">
        <f t="shared" si="21"/>
        <v>17</v>
      </c>
      <c r="AZ56" s="173">
        <v>500</v>
      </c>
      <c r="BA56" s="789">
        <v>1462.5</v>
      </c>
      <c r="BB56" s="786">
        <f t="shared" si="55"/>
        <v>0</v>
      </c>
      <c r="BC56" s="787">
        <f t="shared" si="47"/>
        <v>10</v>
      </c>
      <c r="BD56" s="788">
        <f t="shared" si="48"/>
        <v>15125</v>
      </c>
      <c r="BE56" s="787">
        <f t="shared" si="49"/>
        <v>15125</v>
      </c>
      <c r="BF56" s="787">
        <f t="shared" si="50"/>
        <v>0</v>
      </c>
      <c r="BG56" s="787">
        <f t="shared" si="51"/>
        <v>1462.5</v>
      </c>
      <c r="BH56" s="787">
        <f t="shared" si="52"/>
        <v>1462.5</v>
      </c>
      <c r="BI56" s="787">
        <f t="shared" si="53"/>
        <v>0</v>
      </c>
      <c r="BJ56" s="217">
        <f t="shared" si="54"/>
        <v>0</v>
      </c>
      <c r="BK56" s="152"/>
      <c r="BL56" s="200"/>
    </row>
    <row r="57" spans="1:64" x14ac:dyDescent="0.25">
      <c r="B57" s="135">
        <v>411</v>
      </c>
      <c r="C57" s="135" t="s">
        <v>916</v>
      </c>
      <c r="D57" s="135" t="s">
        <v>913</v>
      </c>
      <c r="E57" s="135"/>
      <c r="F57" s="137" t="s">
        <v>988</v>
      </c>
      <c r="G57" s="138">
        <v>45858</v>
      </c>
      <c r="H57" s="135" t="s">
        <v>67</v>
      </c>
      <c r="I57" s="121">
        <v>507200</v>
      </c>
      <c r="J57" s="121">
        <v>50720</v>
      </c>
      <c r="K57" s="121">
        <v>0</v>
      </c>
      <c r="L57" s="121">
        <v>0</v>
      </c>
      <c r="M57" s="121">
        <v>0</v>
      </c>
      <c r="N57" s="121">
        <v>0</v>
      </c>
      <c r="O57" s="121">
        <v>0</v>
      </c>
      <c r="P57" s="121">
        <v>0</v>
      </c>
      <c r="Q57" s="121">
        <v>0</v>
      </c>
      <c r="R57" s="121">
        <v>0</v>
      </c>
      <c r="S57" s="121">
        <v>0</v>
      </c>
      <c r="T57" s="121">
        <v>0</v>
      </c>
      <c r="U57" s="121">
        <v>0</v>
      </c>
      <c r="V57" s="121">
        <v>0</v>
      </c>
      <c r="W57" s="121">
        <v>0</v>
      </c>
      <c r="X57" s="121">
        <v>0</v>
      </c>
      <c r="Y57" s="121">
        <v>0</v>
      </c>
      <c r="Z57" s="121">
        <v>0</v>
      </c>
      <c r="AA57" s="121">
        <v>0</v>
      </c>
      <c r="AB57" s="121">
        <v>0</v>
      </c>
      <c r="AC57" s="121">
        <v>0</v>
      </c>
      <c r="AD57" s="121">
        <v>0</v>
      </c>
      <c r="AE57" s="121">
        <v>0</v>
      </c>
      <c r="AF57" s="121">
        <v>0</v>
      </c>
      <c r="AG57" s="121">
        <v>0</v>
      </c>
      <c r="AH57" s="121">
        <v>0</v>
      </c>
      <c r="AI57" s="121">
        <v>0</v>
      </c>
      <c r="AJ57" s="121"/>
      <c r="AK57" s="121"/>
      <c r="AL57" s="121"/>
      <c r="AM57" s="203">
        <v>1500</v>
      </c>
      <c r="AN57" s="784">
        <f t="shared" si="17"/>
        <v>1500</v>
      </c>
      <c r="AO57" s="153">
        <f t="shared" si="40"/>
        <v>2.9574132492113565E-2</v>
      </c>
      <c r="AP57" s="784">
        <f t="shared" si="3"/>
        <v>-49220</v>
      </c>
      <c r="AQ57" s="153">
        <f t="shared" si="41"/>
        <v>-0.9704258675078864</v>
      </c>
      <c r="AR57" s="154">
        <f t="shared" si="42"/>
        <v>505700</v>
      </c>
      <c r="AS57" s="155">
        <f t="shared" si="43"/>
        <v>0.99704258675078861</v>
      </c>
      <c r="AT57" s="785">
        <f t="shared" si="44"/>
        <v>50720</v>
      </c>
      <c r="AU57" s="786" t="str">
        <f t="shared" si="45"/>
        <v>Vendido</v>
      </c>
      <c r="AV57" s="786" t="e">
        <f t="shared" si="18"/>
        <v>#NUM!</v>
      </c>
      <c r="AW57" s="174"/>
      <c r="AX57" s="174">
        <f t="shared" si="20"/>
        <v>0</v>
      </c>
      <c r="AY57" s="174">
        <f t="shared" si="21"/>
        <v>0</v>
      </c>
      <c r="AZ57" s="173"/>
      <c r="BA57" s="789">
        <f t="shared" si="46"/>
        <v>0</v>
      </c>
      <c r="BB57" s="786">
        <f t="shared" si="55"/>
        <v>0</v>
      </c>
      <c r="BC57" s="787" t="e">
        <f t="shared" si="47"/>
        <v>#NUM!</v>
      </c>
      <c r="BD57" s="788" t="e">
        <f t="shared" si="48"/>
        <v>#NUM!</v>
      </c>
      <c r="BE57" s="787">
        <f t="shared" si="49"/>
        <v>0</v>
      </c>
      <c r="BF57" s="787">
        <f t="shared" si="50"/>
        <v>0</v>
      </c>
      <c r="BG57" s="787">
        <f t="shared" si="51"/>
        <v>1500</v>
      </c>
      <c r="BH57" s="787" t="e">
        <f t="shared" si="52"/>
        <v>#NUM!</v>
      </c>
      <c r="BI57" s="787" t="e">
        <f t="shared" si="53"/>
        <v>#NUM!</v>
      </c>
      <c r="BJ57" s="217" t="e">
        <f t="shared" si="54"/>
        <v>#NUM!</v>
      </c>
      <c r="BK57" s="152"/>
      <c r="BL57" s="200"/>
    </row>
    <row r="58" spans="1:64" x14ac:dyDescent="0.25">
      <c r="B58" s="135">
        <v>412</v>
      </c>
      <c r="C58" s="135" t="s">
        <v>916</v>
      </c>
      <c r="D58" s="135" t="s">
        <v>146</v>
      </c>
      <c r="E58" s="135" t="s">
        <v>989</v>
      </c>
      <c r="F58" s="137" t="s">
        <v>990</v>
      </c>
      <c r="G58" s="138">
        <v>45504</v>
      </c>
      <c r="H58" s="135" t="s">
        <v>128</v>
      </c>
      <c r="I58" s="121">
        <v>477700</v>
      </c>
      <c r="J58" s="121">
        <v>24000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0</v>
      </c>
      <c r="R58" s="121">
        <v>0</v>
      </c>
      <c r="S58" s="121">
        <v>0</v>
      </c>
      <c r="T58" s="121">
        <v>0</v>
      </c>
      <c r="U58" s="121">
        <v>0</v>
      </c>
      <c r="V58" s="121">
        <v>0</v>
      </c>
      <c r="W58" s="121">
        <v>0</v>
      </c>
      <c r="X58" s="121">
        <v>0</v>
      </c>
      <c r="Y58" s="121">
        <v>0</v>
      </c>
      <c r="Z58" s="121">
        <v>0</v>
      </c>
      <c r="AA58" s="121">
        <v>1500</v>
      </c>
      <c r="AB58" s="121">
        <v>1323.53</v>
      </c>
      <c r="AC58" s="121">
        <v>1323.53</v>
      </c>
      <c r="AD58" s="121">
        <v>1323.53</v>
      </c>
      <c r="AE58" s="121">
        <v>0</v>
      </c>
      <c r="AF58" s="121">
        <v>0</v>
      </c>
      <c r="AG58" s="121">
        <v>0</v>
      </c>
      <c r="AH58" s="121">
        <v>0</v>
      </c>
      <c r="AI58" s="121">
        <v>0</v>
      </c>
      <c r="AJ58" s="121"/>
      <c r="AK58" s="121"/>
      <c r="AL58" s="121"/>
      <c r="AM58" s="121"/>
      <c r="AN58" s="784">
        <f t="shared" si="17"/>
        <v>5470.5899999999992</v>
      </c>
      <c r="AO58" s="153">
        <f t="shared" si="40"/>
        <v>0.22794124999999996</v>
      </c>
      <c r="AP58" s="784">
        <f t="shared" si="3"/>
        <v>-18529.41</v>
      </c>
      <c r="AQ58" s="153">
        <f t="shared" si="41"/>
        <v>-0.77205875000000002</v>
      </c>
      <c r="AR58" s="154">
        <f t="shared" si="42"/>
        <v>472229.41</v>
      </c>
      <c r="AS58" s="155">
        <f t="shared" si="43"/>
        <v>0.98854806363826664</v>
      </c>
      <c r="AT58" s="785">
        <f t="shared" si="44"/>
        <v>24000</v>
      </c>
      <c r="AU58" s="786" t="str">
        <f t="shared" si="45"/>
        <v>Vendido</v>
      </c>
      <c r="AV58" s="786" t="str">
        <f t="shared" si="18"/>
        <v>Cliente Atrasado</v>
      </c>
      <c r="AW58" s="174">
        <v>17</v>
      </c>
      <c r="AX58" s="174">
        <f t="shared" si="20"/>
        <v>1</v>
      </c>
      <c r="AY58" s="174">
        <f t="shared" si="21"/>
        <v>18</v>
      </c>
      <c r="AZ58" s="173">
        <v>1500</v>
      </c>
      <c r="BA58" s="789">
        <v>1323.53</v>
      </c>
      <c r="BB58" s="786">
        <f t="shared" si="55"/>
        <v>3</v>
      </c>
      <c r="BC58" s="787">
        <f t="shared" si="47"/>
        <v>10</v>
      </c>
      <c r="BD58" s="788">
        <f t="shared" si="48"/>
        <v>14735.3</v>
      </c>
      <c r="BE58" s="787">
        <f t="shared" si="49"/>
        <v>3970.59</v>
      </c>
      <c r="BF58" s="787">
        <f t="shared" si="50"/>
        <v>1500</v>
      </c>
      <c r="BG58" s="787">
        <f t="shared" si="51"/>
        <v>0</v>
      </c>
      <c r="BH58" s="787">
        <f t="shared" si="52"/>
        <v>0</v>
      </c>
      <c r="BI58" s="787">
        <f t="shared" si="53"/>
        <v>9264.7099999999991</v>
      </c>
      <c r="BJ58" s="217">
        <f t="shared" si="54"/>
        <v>7</v>
      </c>
      <c r="BK58" s="152"/>
      <c r="BL58" s="200"/>
    </row>
    <row r="59" spans="1:64" x14ac:dyDescent="0.25">
      <c r="A59" s="86" t="s">
        <v>991</v>
      </c>
      <c r="B59" s="135">
        <v>410</v>
      </c>
      <c r="C59" s="135" t="s">
        <v>145</v>
      </c>
      <c r="D59" s="135" t="s">
        <v>146</v>
      </c>
      <c r="E59" s="135" t="s">
        <v>147</v>
      </c>
      <c r="F59" s="137" t="s">
        <v>992</v>
      </c>
      <c r="G59" s="138">
        <v>45368</v>
      </c>
      <c r="H59" s="135" t="s">
        <v>128</v>
      </c>
      <c r="I59" s="121">
        <v>477700</v>
      </c>
      <c r="J59" s="121">
        <v>24000</v>
      </c>
      <c r="K59" s="121">
        <v>0</v>
      </c>
      <c r="L59" s="121">
        <v>0</v>
      </c>
      <c r="M59" s="121">
        <v>0</v>
      </c>
      <c r="N59" s="121">
        <v>0</v>
      </c>
      <c r="O59" s="121">
        <v>0</v>
      </c>
      <c r="P59" s="121">
        <v>0</v>
      </c>
      <c r="Q59" s="121">
        <v>0</v>
      </c>
      <c r="R59" s="121">
        <v>0</v>
      </c>
      <c r="S59" s="121">
        <v>0</v>
      </c>
      <c r="T59" s="121">
        <v>0</v>
      </c>
      <c r="U59" s="121">
        <v>0</v>
      </c>
      <c r="V59" s="121">
        <v>0</v>
      </c>
      <c r="W59" s="121">
        <v>1000</v>
      </c>
      <c r="X59" s="121">
        <v>0</v>
      </c>
      <c r="Y59" s="121">
        <v>1095</v>
      </c>
      <c r="Z59" s="121">
        <v>1095</v>
      </c>
      <c r="AA59" s="121">
        <v>1095</v>
      </c>
      <c r="AB59" s="121">
        <v>1095</v>
      </c>
      <c r="AC59" s="121">
        <v>1095</v>
      </c>
      <c r="AD59" s="121">
        <v>0</v>
      </c>
      <c r="AE59" s="121">
        <v>0</v>
      </c>
      <c r="AF59" s="121">
        <f>1095+1095</f>
        <v>2190</v>
      </c>
      <c r="AG59" s="121">
        <v>1095</v>
      </c>
      <c r="AH59" s="121">
        <v>0</v>
      </c>
      <c r="AI59" s="121">
        <v>1095</v>
      </c>
      <c r="AJ59" s="121">
        <v>1095</v>
      </c>
      <c r="AK59" s="202">
        <v>1095</v>
      </c>
      <c r="AL59" s="203">
        <v>1095</v>
      </c>
      <c r="AM59" s="203">
        <v>3285</v>
      </c>
      <c r="AN59" s="784">
        <f t="shared" si="17"/>
        <v>17425</v>
      </c>
      <c r="AO59" s="153">
        <f t="shared" si="40"/>
        <v>0.7260416666666667</v>
      </c>
      <c r="AP59" s="784">
        <f t="shared" si="3"/>
        <v>-6575</v>
      </c>
      <c r="AQ59" s="153">
        <f t="shared" si="41"/>
        <v>-0.27395833333333336</v>
      </c>
      <c r="AR59" s="154">
        <f t="shared" si="42"/>
        <v>460275</v>
      </c>
      <c r="AS59" s="155">
        <f t="shared" si="43"/>
        <v>0.96352313167259784</v>
      </c>
      <c r="AT59" s="785">
        <f t="shared" si="44"/>
        <v>24000</v>
      </c>
      <c r="AU59" s="786" t="str">
        <f t="shared" si="45"/>
        <v>Vendido</v>
      </c>
      <c r="AV59" s="786" t="str">
        <f t="shared" si="18"/>
        <v>Cliente Atrasado</v>
      </c>
      <c r="AW59" s="174">
        <v>21</v>
      </c>
      <c r="AX59" s="174">
        <f t="shared" si="20"/>
        <v>1</v>
      </c>
      <c r="AY59" s="174">
        <f t="shared" si="21"/>
        <v>22</v>
      </c>
      <c r="AZ59" s="173">
        <v>1000</v>
      </c>
      <c r="BA59" s="789">
        <v>1095.24</v>
      </c>
      <c r="BB59" s="786">
        <f t="shared" si="55"/>
        <v>0</v>
      </c>
      <c r="BC59" s="787">
        <f t="shared" si="47"/>
        <v>15</v>
      </c>
      <c r="BD59" s="788">
        <f t="shared" si="48"/>
        <v>17428.599999999999</v>
      </c>
      <c r="BE59" s="787">
        <f t="shared" si="49"/>
        <v>11950</v>
      </c>
      <c r="BF59" s="787">
        <f t="shared" si="50"/>
        <v>2190</v>
      </c>
      <c r="BG59" s="787">
        <f t="shared" si="51"/>
        <v>3285</v>
      </c>
      <c r="BH59" s="787">
        <f t="shared" si="52"/>
        <v>0</v>
      </c>
      <c r="BI59" s="787">
        <f t="shared" si="53"/>
        <v>3.5999999999985448</v>
      </c>
      <c r="BJ59" s="217">
        <f t="shared" si="54"/>
        <v>1</v>
      </c>
      <c r="BK59" s="152"/>
      <c r="BL59" s="200"/>
    </row>
    <row r="60" spans="1:64" x14ac:dyDescent="0.25">
      <c r="B60" s="135">
        <v>502</v>
      </c>
      <c r="C60" s="135" t="s">
        <v>145</v>
      </c>
      <c r="D60" s="135" t="s">
        <v>146</v>
      </c>
      <c r="E60" s="135"/>
      <c r="F60" s="137" t="s">
        <v>993</v>
      </c>
      <c r="G60" s="138">
        <v>45836</v>
      </c>
      <c r="H60" s="135" t="s">
        <v>374</v>
      </c>
      <c r="I60" s="121">
        <v>507200</v>
      </c>
      <c r="J60" s="121">
        <v>50720</v>
      </c>
      <c r="K60" s="121">
        <v>0</v>
      </c>
      <c r="L60" s="121">
        <v>0</v>
      </c>
      <c r="M60" s="121">
        <v>0</v>
      </c>
      <c r="N60" s="121">
        <v>0</v>
      </c>
      <c r="O60" s="121">
        <v>0</v>
      </c>
      <c r="P60" s="121">
        <v>0</v>
      </c>
      <c r="Q60" s="121">
        <v>0</v>
      </c>
      <c r="R60" s="121">
        <v>0</v>
      </c>
      <c r="S60" s="121">
        <v>0</v>
      </c>
      <c r="T60" s="121">
        <v>0</v>
      </c>
      <c r="U60" s="121">
        <v>0</v>
      </c>
      <c r="V60" s="121">
        <v>0</v>
      </c>
      <c r="W60" s="121">
        <v>0</v>
      </c>
      <c r="X60" s="121">
        <v>0</v>
      </c>
      <c r="Y60" s="121">
        <v>0</v>
      </c>
      <c r="Z60" s="121">
        <v>0</v>
      </c>
      <c r="AA60" s="121">
        <v>0</v>
      </c>
      <c r="AB60" s="121">
        <v>0</v>
      </c>
      <c r="AC60" s="121">
        <v>0</v>
      </c>
      <c r="AD60" s="121">
        <v>0</v>
      </c>
      <c r="AE60" s="121">
        <v>0</v>
      </c>
      <c r="AF60" s="121">
        <v>0</v>
      </c>
      <c r="AG60" s="121">
        <v>0</v>
      </c>
      <c r="AH60" s="121">
        <v>0</v>
      </c>
      <c r="AI60" s="121">
        <v>0</v>
      </c>
      <c r="AJ60" s="121"/>
      <c r="AK60" s="121"/>
      <c r="AL60" s="203">
        <v>500</v>
      </c>
      <c r="AM60" s="203">
        <v>1462.5</v>
      </c>
      <c r="AN60" s="784">
        <f t="shared" si="17"/>
        <v>1962.5</v>
      </c>
      <c r="AO60" s="153">
        <f t="shared" si="40"/>
        <v>3.8692823343848583E-2</v>
      </c>
      <c r="AP60" s="784">
        <f t="shared" si="3"/>
        <v>-48757.5</v>
      </c>
      <c r="AQ60" s="153">
        <f t="shared" si="41"/>
        <v>-0.9613071766561514</v>
      </c>
      <c r="AR60" s="154">
        <f t="shared" si="42"/>
        <v>505237.5</v>
      </c>
      <c r="AS60" s="155">
        <f t="shared" si="43"/>
        <v>0.99613071766561512</v>
      </c>
      <c r="AT60" s="785">
        <f t="shared" si="44"/>
        <v>50720</v>
      </c>
      <c r="AU60" s="786" t="str">
        <f t="shared" si="45"/>
        <v>Vendido</v>
      </c>
      <c r="AV60" s="786" t="str">
        <f t="shared" si="18"/>
        <v>Cliente al día</v>
      </c>
      <c r="AW60" s="174"/>
      <c r="AX60" s="174">
        <f t="shared" si="20"/>
        <v>0</v>
      </c>
      <c r="AY60" s="174">
        <f t="shared" si="21"/>
        <v>0</v>
      </c>
      <c r="AZ60" s="173"/>
      <c r="BA60" s="789">
        <f t="shared" si="46"/>
        <v>0</v>
      </c>
      <c r="BB60" s="786">
        <f t="shared" si="55"/>
        <v>0</v>
      </c>
      <c r="BC60" s="787">
        <f t="shared" si="47"/>
        <v>0</v>
      </c>
      <c r="BD60" s="788">
        <f t="shared" si="48"/>
        <v>0</v>
      </c>
      <c r="BE60" s="787">
        <f t="shared" si="49"/>
        <v>0</v>
      </c>
      <c r="BF60" s="787">
        <f t="shared" si="50"/>
        <v>500</v>
      </c>
      <c r="BG60" s="787">
        <f t="shared" si="51"/>
        <v>1462.5</v>
      </c>
      <c r="BH60" s="787">
        <f t="shared" si="52"/>
        <v>1962.5</v>
      </c>
      <c r="BI60" s="787">
        <f t="shared" si="53"/>
        <v>0</v>
      </c>
      <c r="BJ60" s="217" t="e">
        <f t="shared" si="54"/>
        <v>#DIV/0!</v>
      </c>
      <c r="BK60" s="152"/>
      <c r="BL60" s="200"/>
    </row>
    <row r="61" spans="1:64" x14ac:dyDescent="0.25">
      <c r="B61" s="135">
        <v>501</v>
      </c>
      <c r="C61" s="135" t="s">
        <v>916</v>
      </c>
      <c r="D61" s="135" t="s">
        <v>146</v>
      </c>
      <c r="E61" s="135" t="s">
        <v>962</v>
      </c>
      <c r="F61" s="137" t="s">
        <v>994</v>
      </c>
      <c r="G61" s="138">
        <v>45851</v>
      </c>
      <c r="H61" s="135" t="s">
        <v>374</v>
      </c>
      <c r="I61" s="121">
        <v>487700</v>
      </c>
      <c r="J61" s="121">
        <v>24400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1">
        <v>0</v>
      </c>
      <c r="AF61" s="121">
        <v>0</v>
      </c>
      <c r="AG61" s="121">
        <v>0</v>
      </c>
      <c r="AH61" s="121">
        <v>0</v>
      </c>
      <c r="AI61" s="121">
        <v>0</v>
      </c>
      <c r="AJ61" s="121"/>
      <c r="AK61" s="121"/>
      <c r="AL61" s="203">
        <v>500</v>
      </c>
      <c r="AM61" s="203"/>
      <c r="AN61" s="784">
        <f>SUM(K61:AM61)</f>
        <v>500</v>
      </c>
      <c r="AO61" s="153">
        <f>IFERROR((+AN61/J61),0)</f>
        <v>2.0491803278688523E-2</v>
      </c>
      <c r="AP61" s="784">
        <f>+AN61-AT61</f>
        <v>-23900</v>
      </c>
      <c r="AQ61" s="153">
        <f>+AP61/J61</f>
        <v>-0.97950819672131151</v>
      </c>
      <c r="AR61" s="154">
        <f>+I61-AN61</f>
        <v>487200</v>
      </c>
      <c r="AS61" s="155">
        <f>+AR61/I61</f>
        <v>0.99897477957760916</v>
      </c>
      <c r="AT61" s="785">
        <f>IF(AU61="Vendido",J61*1,IF(AU61="Disponible",J61*0,IF(AU61="Enganche Completado",J61*1,IF(AU61="Superávit de Enganche",J61*1,0))))</f>
        <v>24400</v>
      </c>
      <c r="AU61" s="786" t="str">
        <f>IF(F61=0,"Apartamento Disponible",IF(F61&gt;1,"Vendido",0))</f>
        <v>Vendido</v>
      </c>
      <c r="AV61" s="786" t="e">
        <f>IF(AND(AU61="Vendido",G61&gt;=0,BD61&lt;=AN61,AN61&lt;AT61),"Cliente al día",IF(AND(AU61="Vendido",G61&gt;=0,BD61&lt;=AN61,AN61=AT61),"Enganche Completado",IF(AND(AU61="Vendido",G61&gt;=0,BD61&lt;AN61,AN61&gt;AT61),"Superávit de Enganche",IF(AND(AU61="Apartamento Disponible",G61=0,AP61=0),"Disponible","Cliente Atrasado"))))</f>
        <v>#NUM!</v>
      </c>
      <c r="AW61" s="174">
        <v>18</v>
      </c>
      <c r="AX61" s="174">
        <f>IF(AW61&gt;1,1,0)</f>
        <v>1</v>
      </c>
      <c r="AY61" s="174">
        <f>+AW61+AX61</f>
        <v>19</v>
      </c>
      <c r="AZ61" s="173">
        <v>1500</v>
      </c>
      <c r="BA61" s="789">
        <v>1272.22</v>
      </c>
      <c r="BB61" s="786">
        <f>COUNTIFS(K61:AK61,"&gt;0.01",K61:AK61,"&lt;" &amp; AZ61)</f>
        <v>0</v>
      </c>
      <c r="BC61" s="787" t="e">
        <f>IF($G61&gt;0,DATEDIF($G61,$AL$6,"M"),0)</f>
        <v>#NUM!</v>
      </c>
      <c r="BD61" s="788" t="e">
        <f>(BC61*BA61)+AZ61</f>
        <v>#NUM!</v>
      </c>
      <c r="BE61" s="787">
        <f>SUMIF(K61:AL61,"&lt;=" &amp; BA61,K61:AL61)</f>
        <v>500</v>
      </c>
      <c r="BF61" s="787">
        <f>SUMIF(K61:AL61,"&gt;" &amp; BA61,K61:AL61)</f>
        <v>0</v>
      </c>
      <c r="BG61" s="787">
        <f>AN61-BE61-BF61</f>
        <v>0</v>
      </c>
      <c r="BH61" s="787" t="e">
        <f>IF(AN61&gt;BD61,AN61-BD61,0)</f>
        <v>#NUM!</v>
      </c>
      <c r="BI61" s="787" t="e">
        <f>IF(AN61&lt;BD61,BD61-AN61,0)</f>
        <v>#NUM!</v>
      </c>
      <c r="BJ61" s="217" t="e">
        <f>ROUNDUP(IF(G61&gt;0,BI61/BA61,0),0)</f>
        <v>#NUM!</v>
      </c>
      <c r="BK61" s="152"/>
      <c r="BL61" s="200"/>
    </row>
    <row r="62" spans="1:64" x14ac:dyDescent="0.25">
      <c r="A62" s="86" t="s">
        <v>995</v>
      </c>
      <c r="B62" s="135">
        <v>502</v>
      </c>
      <c r="C62" s="135" t="s">
        <v>145</v>
      </c>
      <c r="D62" s="135" t="s">
        <v>913</v>
      </c>
      <c r="E62" s="135" t="s">
        <v>921</v>
      </c>
      <c r="F62" s="137" t="s">
        <v>996</v>
      </c>
      <c r="G62" s="138">
        <v>45270</v>
      </c>
      <c r="H62" s="135" t="s">
        <v>128</v>
      </c>
      <c r="I62" s="121">
        <v>497900</v>
      </c>
      <c r="J62" s="121">
        <v>49800</v>
      </c>
      <c r="K62" s="121">
        <v>0</v>
      </c>
      <c r="L62" s="121">
        <v>0</v>
      </c>
      <c r="M62" s="121">
        <v>0</v>
      </c>
      <c r="N62" s="121">
        <v>0</v>
      </c>
      <c r="O62" s="121">
        <v>0</v>
      </c>
      <c r="P62" s="121">
        <v>0</v>
      </c>
      <c r="Q62" s="121">
        <v>0</v>
      </c>
      <c r="R62" s="121">
        <v>0</v>
      </c>
      <c r="S62" s="121">
        <v>0</v>
      </c>
      <c r="T62" s="121">
        <v>1000</v>
      </c>
      <c r="U62" s="121">
        <v>4647.62</v>
      </c>
      <c r="V62" s="121">
        <v>2323.81</v>
      </c>
      <c r="W62" s="121">
        <v>2323.81</v>
      </c>
      <c r="X62" s="121">
        <v>2323.81</v>
      </c>
      <c r="Y62" s="121">
        <v>2323.81</v>
      </c>
      <c r="Z62" s="121">
        <v>0</v>
      </c>
      <c r="AA62" s="121">
        <v>4647.62</v>
      </c>
      <c r="AB62" s="121">
        <v>0</v>
      </c>
      <c r="AC62" s="121">
        <v>2323.81</v>
      </c>
      <c r="AD62" s="121">
        <f>2323.81*2</f>
        <v>4647.62</v>
      </c>
      <c r="AE62" s="121">
        <v>2323.81</v>
      </c>
      <c r="AF62" s="121">
        <v>2323.81</v>
      </c>
      <c r="AG62" s="121">
        <v>2323.81</v>
      </c>
      <c r="AH62" s="121">
        <v>2323.81</v>
      </c>
      <c r="AI62" s="121">
        <v>0</v>
      </c>
      <c r="AJ62" s="121">
        <f>2323.81+2323.81</f>
        <v>4647.62</v>
      </c>
      <c r="AK62" s="121"/>
      <c r="AL62" s="203">
        <v>2323.81</v>
      </c>
      <c r="AM62" s="203">
        <f>2323.81+2323.81</f>
        <v>4647.62</v>
      </c>
      <c r="AN62" s="784">
        <f t="shared" si="17"/>
        <v>47476.200000000004</v>
      </c>
      <c r="AO62" s="153">
        <f t="shared" si="40"/>
        <v>0.95333734939759041</v>
      </c>
      <c r="AP62" s="784">
        <f t="shared" si="3"/>
        <v>-2323.7999999999956</v>
      </c>
      <c r="AQ62" s="153">
        <f t="shared" si="41"/>
        <v>-4.6662650602409553E-2</v>
      </c>
      <c r="AR62" s="154">
        <f t="shared" si="42"/>
        <v>450423.8</v>
      </c>
      <c r="AS62" s="155">
        <f t="shared" si="43"/>
        <v>0.90464711789515961</v>
      </c>
      <c r="AT62" s="785">
        <f t="shared" si="44"/>
        <v>49800</v>
      </c>
      <c r="AU62" s="786" t="str">
        <f t="shared" si="45"/>
        <v>Vendido</v>
      </c>
      <c r="AV62" s="786" t="str">
        <f t="shared" si="18"/>
        <v>Cliente al día</v>
      </c>
      <c r="AW62" s="174">
        <v>22</v>
      </c>
      <c r="AX62" s="174">
        <f t="shared" si="20"/>
        <v>1</v>
      </c>
      <c r="AY62" s="174">
        <f t="shared" si="21"/>
        <v>23</v>
      </c>
      <c r="AZ62" s="173">
        <v>1000</v>
      </c>
      <c r="BA62" s="789">
        <v>2323.81</v>
      </c>
      <c r="BB62" s="786">
        <f t="shared" si="55"/>
        <v>0</v>
      </c>
      <c r="BC62" s="787">
        <f t="shared" si="47"/>
        <v>18</v>
      </c>
      <c r="BD62" s="788">
        <f t="shared" si="48"/>
        <v>42828.58</v>
      </c>
      <c r="BE62" s="787">
        <f t="shared" si="49"/>
        <v>24238.100000000002</v>
      </c>
      <c r="BF62" s="787">
        <f t="shared" si="50"/>
        <v>18590.48</v>
      </c>
      <c r="BG62" s="787">
        <f t="shared" si="51"/>
        <v>4647.6200000000026</v>
      </c>
      <c r="BH62" s="787">
        <f t="shared" si="52"/>
        <v>4647.6200000000026</v>
      </c>
      <c r="BI62" s="787">
        <f t="shared" si="53"/>
        <v>0</v>
      </c>
      <c r="BJ62" s="217">
        <f t="shared" si="54"/>
        <v>0</v>
      </c>
      <c r="BK62" s="152"/>
      <c r="BL62" s="200"/>
    </row>
    <row r="63" spans="1:64" x14ac:dyDescent="0.25">
      <c r="B63" s="135">
        <v>503</v>
      </c>
      <c r="C63" s="135" t="s">
        <v>145</v>
      </c>
      <c r="D63" s="135" t="s">
        <v>145</v>
      </c>
      <c r="E63" s="135" t="s">
        <v>962</v>
      </c>
      <c r="F63" s="137" t="s">
        <v>997</v>
      </c>
      <c r="G63" s="138">
        <v>45835</v>
      </c>
      <c r="H63" s="135" t="s">
        <v>128</v>
      </c>
      <c r="I63" s="121">
        <v>477000</v>
      </c>
      <c r="J63" s="121">
        <v>23900</v>
      </c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203"/>
      <c r="AM63" s="203">
        <f>1500+1400</f>
        <v>2900</v>
      </c>
      <c r="AN63" s="784">
        <f>SUM(K63:AM63)</f>
        <v>2900</v>
      </c>
      <c r="AO63" s="153">
        <f>IFERROR((+AN63/J63),0)</f>
        <v>0.12133891213389121</v>
      </c>
      <c r="AP63" s="784">
        <f>+AN63-AT63</f>
        <v>-21000</v>
      </c>
      <c r="AQ63" s="153">
        <f>+AP63/J63</f>
        <v>-0.87866108786610875</v>
      </c>
      <c r="AR63" s="154">
        <f>+I63-AN63</f>
        <v>474100</v>
      </c>
      <c r="AS63" s="155">
        <f>+AR63/I63</f>
        <v>0.99392033542976943</v>
      </c>
      <c r="AT63" s="785">
        <f>IF(AU63="Vendido",J63*1,IF(AU63="Disponible",J63*0,IF(AU63="Enganche Completado",J63*1,IF(AU63="Superávit de Enganche",J63*1,0))))</f>
        <v>23900</v>
      </c>
      <c r="AU63" s="786" t="str">
        <f>IF(F63=0,"Apartamento Disponible",IF(F63&gt;1,"Vendido",0))</f>
        <v>Vendido</v>
      </c>
      <c r="AV63" s="786" t="str">
        <f>IF(AND(AU63="Vendido",G63&gt;=0,BD63&lt;=AN63,AN63&lt;AT63),"Cliente al día",IF(AND(AU63="Vendido",G63&gt;=0,BD63&lt;=AN63,AN63=AT63),"Enganche Completado",IF(AND(AU63="Vendido",G63&gt;=0,BD63&lt;AN63,AN63&gt;AT63),"Superávit de Enganche",IF(AND(AU63="Apartamento Disponible",G63=0,AP63=0),"Disponible","Cliente Atrasado"))))</f>
        <v>Cliente al día</v>
      </c>
      <c r="AW63" s="174">
        <v>16</v>
      </c>
      <c r="AX63" s="174">
        <f>IF(AW63&gt;1,1,0)</f>
        <v>1</v>
      </c>
      <c r="AY63" s="174">
        <f>+AW63+AX63</f>
        <v>17</v>
      </c>
      <c r="AZ63" s="173">
        <v>1500</v>
      </c>
      <c r="BA63" s="789">
        <v>1400</v>
      </c>
      <c r="BB63" s="786">
        <f>COUNTIFS(K63:AK63,"&gt;0.01",K63:AK63,"&lt;" &amp; AZ63)</f>
        <v>0</v>
      </c>
      <c r="BC63" s="787">
        <f>IF($G63&gt;0,DATEDIF($G63,$AL$6,"M"),0)</f>
        <v>0</v>
      </c>
      <c r="BD63" s="788">
        <f>(BC63*BA63)+AZ63</f>
        <v>1500</v>
      </c>
      <c r="BE63" s="787">
        <f>SUMIF(K63:AL63,"&lt;=" &amp; BA63,K63:AL63)</f>
        <v>0</v>
      </c>
      <c r="BF63" s="787">
        <f>SUMIF(K63:AL63,"&gt;" &amp; BA63,K63:AL63)</f>
        <v>0</v>
      </c>
      <c r="BG63" s="787">
        <f>AN63-BE63-BF63</f>
        <v>2900</v>
      </c>
      <c r="BH63" s="787">
        <f>IF(AN63&gt;BD63,AN63-BD63,0)</f>
        <v>1400</v>
      </c>
      <c r="BI63" s="787">
        <f>IF(AN63&lt;BD63,BD63-AN63,0)</f>
        <v>0</v>
      </c>
      <c r="BJ63" s="217">
        <f>ROUNDUP(IF(G63&gt;0,BI63/BA63,0),0)</f>
        <v>0</v>
      </c>
      <c r="BK63" s="152"/>
      <c r="BL63" s="200"/>
    </row>
    <row r="64" spans="1:64" x14ac:dyDescent="0.25">
      <c r="B64" s="135">
        <v>504</v>
      </c>
      <c r="C64" s="135" t="s">
        <v>145</v>
      </c>
      <c r="D64" s="135" t="s">
        <v>146</v>
      </c>
      <c r="E64" s="135" t="s">
        <v>962</v>
      </c>
      <c r="F64" s="137" t="s">
        <v>998</v>
      </c>
      <c r="G64" s="138">
        <v>45836</v>
      </c>
      <c r="H64" s="135" t="s">
        <v>374</v>
      </c>
      <c r="I64" s="121">
        <v>477700</v>
      </c>
      <c r="J64" s="121">
        <v>23900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1">
        <v>0</v>
      </c>
      <c r="AF64" s="121">
        <v>0</v>
      </c>
      <c r="AG64" s="121">
        <v>0</v>
      </c>
      <c r="AH64" s="121">
        <v>0</v>
      </c>
      <c r="AI64" s="121">
        <v>0</v>
      </c>
      <c r="AJ64" s="121"/>
      <c r="AK64" s="121"/>
      <c r="AL64" s="203">
        <v>1500</v>
      </c>
      <c r="AM64" s="203"/>
      <c r="AN64" s="784">
        <f t="shared" si="17"/>
        <v>1500</v>
      </c>
      <c r="AO64" s="153">
        <f t="shared" si="40"/>
        <v>6.2761506276150625E-2</v>
      </c>
      <c r="AP64" s="784">
        <f t="shared" si="3"/>
        <v>-22400</v>
      </c>
      <c r="AQ64" s="153">
        <f t="shared" si="41"/>
        <v>-0.93723849372384938</v>
      </c>
      <c r="AR64" s="154">
        <f t="shared" si="42"/>
        <v>476200</v>
      </c>
      <c r="AS64" s="155">
        <f t="shared" si="43"/>
        <v>0.99685995394599125</v>
      </c>
      <c r="AT64" s="785">
        <f t="shared" si="44"/>
        <v>23900</v>
      </c>
      <c r="AU64" s="786" t="str">
        <f t="shared" si="45"/>
        <v>Vendido</v>
      </c>
      <c r="AV64" s="786" t="str">
        <f t="shared" si="18"/>
        <v>Cliente al día</v>
      </c>
      <c r="AW64" s="174">
        <v>16</v>
      </c>
      <c r="AX64" s="174">
        <f t="shared" si="20"/>
        <v>1</v>
      </c>
      <c r="AY64" s="174">
        <f t="shared" si="21"/>
        <v>17</v>
      </c>
      <c r="AZ64" s="173">
        <v>1500</v>
      </c>
      <c r="BA64" s="789">
        <v>1400</v>
      </c>
      <c r="BB64" s="786">
        <f t="shared" si="55"/>
        <v>0</v>
      </c>
      <c r="BC64" s="787">
        <f t="shared" si="47"/>
        <v>0</v>
      </c>
      <c r="BD64" s="788">
        <f t="shared" si="48"/>
        <v>1500</v>
      </c>
      <c r="BE64" s="787">
        <f t="shared" si="49"/>
        <v>0</v>
      </c>
      <c r="BF64" s="787">
        <f t="shared" si="50"/>
        <v>1500</v>
      </c>
      <c r="BG64" s="787">
        <f t="shared" si="51"/>
        <v>0</v>
      </c>
      <c r="BH64" s="787">
        <f t="shared" si="52"/>
        <v>0</v>
      </c>
      <c r="BI64" s="787">
        <f t="shared" si="53"/>
        <v>0</v>
      </c>
      <c r="BJ64" s="217">
        <f t="shared" si="54"/>
        <v>0</v>
      </c>
      <c r="BK64" s="152"/>
      <c r="BL64" s="200"/>
    </row>
    <row r="65" spans="1:64" x14ac:dyDescent="0.25">
      <c r="A65" s="86" t="s">
        <v>999</v>
      </c>
      <c r="B65" s="281">
        <v>505</v>
      </c>
      <c r="C65" s="135" t="s">
        <v>145</v>
      </c>
      <c r="D65" s="135" t="s">
        <v>145</v>
      </c>
      <c r="E65" s="135" t="s">
        <v>914</v>
      </c>
      <c r="F65" s="137" t="s">
        <v>1000</v>
      </c>
      <c r="G65" s="138">
        <v>45693</v>
      </c>
      <c r="H65" s="135" t="s">
        <v>128</v>
      </c>
      <c r="I65" s="121">
        <v>369600</v>
      </c>
      <c r="J65" s="121">
        <v>18500</v>
      </c>
      <c r="K65" s="121">
        <v>0</v>
      </c>
      <c r="L65" s="121">
        <v>0</v>
      </c>
      <c r="M65" s="121">
        <v>0</v>
      </c>
      <c r="N65" s="121">
        <v>0</v>
      </c>
      <c r="O65" s="121">
        <v>0</v>
      </c>
      <c r="P65" s="121">
        <v>0</v>
      </c>
      <c r="Q65" s="121">
        <v>0</v>
      </c>
      <c r="R65" s="121">
        <v>0</v>
      </c>
      <c r="S65" s="121">
        <v>0</v>
      </c>
      <c r="T65" s="121">
        <v>0</v>
      </c>
      <c r="U65" s="121">
        <v>0</v>
      </c>
      <c r="V65" s="121">
        <v>0</v>
      </c>
      <c r="W65" s="121">
        <v>0</v>
      </c>
      <c r="X65" s="121">
        <v>0</v>
      </c>
      <c r="Y65" s="121">
        <v>0</v>
      </c>
      <c r="Z65" s="121">
        <v>0</v>
      </c>
      <c r="AA65" s="121">
        <v>0</v>
      </c>
      <c r="AB65" s="121">
        <v>0</v>
      </c>
      <c r="AC65" s="121">
        <v>0</v>
      </c>
      <c r="AD65" s="121">
        <v>0</v>
      </c>
      <c r="AE65" s="121">
        <v>0</v>
      </c>
      <c r="AF65" s="121">
        <v>0</v>
      </c>
      <c r="AG65" s="121">
        <v>0</v>
      </c>
      <c r="AH65" s="121">
        <f>1500+1062.5</f>
        <v>2562.5</v>
      </c>
      <c r="AI65" s="121">
        <v>1100</v>
      </c>
      <c r="AJ65" s="121">
        <v>1100</v>
      </c>
      <c r="AK65" s="121"/>
      <c r="AL65" s="203">
        <v>1100</v>
      </c>
      <c r="AM65" s="203">
        <v>1100</v>
      </c>
      <c r="AN65" s="784">
        <f t="shared" si="17"/>
        <v>6962.5</v>
      </c>
      <c r="AO65" s="153">
        <f t="shared" si="40"/>
        <v>0.37635135135135134</v>
      </c>
      <c r="AP65" s="784">
        <f t="shared" si="3"/>
        <v>-11537.5</v>
      </c>
      <c r="AQ65" s="153">
        <f t="shared" si="41"/>
        <v>-0.62364864864864866</v>
      </c>
      <c r="AR65" s="154">
        <f t="shared" si="42"/>
        <v>362637.5</v>
      </c>
      <c r="AS65" s="155">
        <f t="shared" si="43"/>
        <v>0.9811620670995671</v>
      </c>
      <c r="AT65" s="785">
        <f t="shared" si="44"/>
        <v>18500</v>
      </c>
      <c r="AU65" s="786" t="str">
        <f t="shared" si="45"/>
        <v>Vendido</v>
      </c>
      <c r="AV65" s="786" t="str">
        <f t="shared" si="18"/>
        <v>Cliente al día</v>
      </c>
      <c r="AW65" s="174">
        <v>16</v>
      </c>
      <c r="AX65" s="174">
        <f t="shared" si="20"/>
        <v>1</v>
      </c>
      <c r="AY65" s="174">
        <f t="shared" si="21"/>
        <v>17</v>
      </c>
      <c r="AZ65" s="173">
        <v>1500</v>
      </c>
      <c r="BA65" s="789">
        <v>1062.5</v>
      </c>
      <c r="BB65" s="786">
        <f t="shared" si="55"/>
        <v>2</v>
      </c>
      <c r="BC65" s="787">
        <f t="shared" si="47"/>
        <v>4</v>
      </c>
      <c r="BD65" s="788">
        <f t="shared" si="48"/>
        <v>5750</v>
      </c>
      <c r="BE65" s="787">
        <f t="shared" si="49"/>
        <v>0</v>
      </c>
      <c r="BF65" s="787">
        <f t="shared" si="50"/>
        <v>5862.5</v>
      </c>
      <c r="BG65" s="787">
        <f t="shared" si="51"/>
        <v>1100</v>
      </c>
      <c r="BH65" s="787">
        <f t="shared" si="52"/>
        <v>1212.5</v>
      </c>
      <c r="BI65" s="787">
        <f t="shared" si="53"/>
        <v>0</v>
      </c>
      <c r="BJ65" s="217">
        <f t="shared" si="54"/>
        <v>0</v>
      </c>
      <c r="BK65" s="152"/>
      <c r="BL65" s="200"/>
    </row>
    <row r="66" spans="1:64" x14ac:dyDescent="0.25">
      <c r="B66" s="281">
        <v>507</v>
      </c>
      <c r="C66" s="135" t="s">
        <v>145</v>
      </c>
      <c r="D66" s="135" t="s">
        <v>145</v>
      </c>
      <c r="E66" s="135" t="s">
        <v>203</v>
      </c>
      <c r="F66" s="137" t="s">
        <v>1001</v>
      </c>
      <c r="G66" s="138">
        <v>45836</v>
      </c>
      <c r="H66" s="135" t="s">
        <v>128</v>
      </c>
      <c r="I66" s="283">
        <v>477000</v>
      </c>
      <c r="J66" s="121">
        <v>23900</v>
      </c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203">
        <v>1500</v>
      </c>
      <c r="AM66" s="203"/>
      <c r="AN66" s="784">
        <f t="shared" si="17"/>
        <v>1500</v>
      </c>
      <c r="AO66" s="153">
        <f>IFERROR((+AN66/J66),0)</f>
        <v>6.2761506276150625E-2</v>
      </c>
      <c r="AP66" s="784">
        <f>+AN66-AT66</f>
        <v>-22400</v>
      </c>
      <c r="AQ66" s="153">
        <f>+AP66/J66</f>
        <v>-0.93723849372384938</v>
      </c>
      <c r="AR66" s="154">
        <f>+I66-AN66</f>
        <v>475500</v>
      </c>
      <c r="AS66" s="155">
        <f>+AR66/I66</f>
        <v>0.99685534591194969</v>
      </c>
      <c r="AT66" s="785">
        <f>IF(AU66="Vendido",J66*1,IF(AU66="Disponible",J66*0,IF(AU66="Enganche Completado",J66*1,IF(AU66="Superávit de Enganche",J66*1,0))))</f>
        <v>23900</v>
      </c>
      <c r="AU66" s="786" t="str">
        <f>IF(F66=0,"Apartamento Disponible",IF(F66&gt;1,"Vendido",0))</f>
        <v>Vendido</v>
      </c>
      <c r="AV66" s="786" t="str">
        <f>IF(AND(AU66="Vendido",G66&gt;=0,BD66&lt;=AN66,AN66&lt;AT66),"Cliente al día",IF(AND(AU66="Vendido",G66&gt;=0,BD66&lt;=AN66,AN66=AT66),"Enganche Completado",IF(AND(AU66="Vendido",G66&gt;=0,BD66&lt;AN66,AN66&gt;AT66),"Superávit de Enganche",IF(AND(AU66="Apartamento Disponible",G66=0,AP66=0),"Disponible","Cliente Atrasado"))))</f>
        <v>Cliente al día</v>
      </c>
      <c r="AW66" s="174">
        <v>16</v>
      </c>
      <c r="AX66" s="174">
        <v>1</v>
      </c>
      <c r="AY66" s="174">
        <f>+AW66+AX66</f>
        <v>17</v>
      </c>
      <c r="AZ66" s="173">
        <v>1500</v>
      </c>
      <c r="BA66" s="789">
        <v>1400</v>
      </c>
      <c r="BB66" s="786">
        <f>COUNTIFS(K66:AK66,"&gt;0.01",K66:AK66,"&lt;" &amp; AZ66)</f>
        <v>0</v>
      </c>
      <c r="BC66" s="787">
        <f>IF($G66&gt;0,DATEDIF($G66,$AL$6,"M"),0)</f>
        <v>0</v>
      </c>
      <c r="BD66" s="788"/>
      <c r="BE66" s="787"/>
      <c r="BF66" s="787"/>
      <c r="BG66" s="787"/>
      <c r="BH66" s="787"/>
      <c r="BI66" s="787"/>
      <c r="BJ66" s="217"/>
      <c r="BK66" s="152"/>
      <c r="BL66" s="200"/>
    </row>
    <row r="67" spans="1:64" x14ac:dyDescent="0.25">
      <c r="B67" s="135">
        <v>508</v>
      </c>
      <c r="C67" s="135" t="s">
        <v>145</v>
      </c>
      <c r="D67" s="135" t="s">
        <v>145</v>
      </c>
      <c r="E67" s="135" t="s">
        <v>203</v>
      </c>
      <c r="F67" s="137" t="s">
        <v>1002</v>
      </c>
      <c r="G67" s="138">
        <v>45836</v>
      </c>
      <c r="H67" s="135" t="s">
        <v>374</v>
      </c>
      <c r="I67" s="121">
        <v>477000</v>
      </c>
      <c r="J67" s="121">
        <v>23900</v>
      </c>
      <c r="K67" s="121">
        <v>0</v>
      </c>
      <c r="L67" s="121">
        <v>0</v>
      </c>
      <c r="M67" s="121">
        <v>0</v>
      </c>
      <c r="N67" s="121">
        <v>0</v>
      </c>
      <c r="O67" s="121">
        <v>0</v>
      </c>
      <c r="P67" s="121">
        <v>0</v>
      </c>
      <c r="Q67" s="121">
        <v>0</v>
      </c>
      <c r="R67" s="121">
        <v>0</v>
      </c>
      <c r="S67" s="121">
        <v>0</v>
      </c>
      <c r="T67" s="121">
        <v>0</v>
      </c>
      <c r="U67" s="121">
        <v>0</v>
      </c>
      <c r="V67" s="121">
        <v>0</v>
      </c>
      <c r="W67" s="121">
        <v>0</v>
      </c>
      <c r="X67" s="121">
        <v>0</v>
      </c>
      <c r="Y67" s="121">
        <v>0</v>
      </c>
      <c r="Z67" s="121">
        <v>0</v>
      </c>
      <c r="AA67" s="121">
        <v>0</v>
      </c>
      <c r="AB67" s="121">
        <v>0</v>
      </c>
      <c r="AC67" s="121">
        <v>0</v>
      </c>
      <c r="AD67" s="121">
        <v>0</v>
      </c>
      <c r="AE67" s="121">
        <v>0</v>
      </c>
      <c r="AF67" s="121">
        <v>0</v>
      </c>
      <c r="AG67" s="121">
        <v>0</v>
      </c>
      <c r="AH67" s="121">
        <v>0</v>
      </c>
      <c r="AI67" s="121">
        <v>0</v>
      </c>
      <c r="AJ67" s="121"/>
      <c r="AK67" s="121"/>
      <c r="AL67" s="203">
        <v>1500</v>
      </c>
      <c r="AM67" s="203">
        <v>1400</v>
      </c>
      <c r="AN67" s="784">
        <f t="shared" si="17"/>
        <v>2900</v>
      </c>
      <c r="AO67" s="153">
        <f t="shared" si="40"/>
        <v>0.12133891213389121</v>
      </c>
      <c r="AP67" s="784">
        <f t="shared" si="3"/>
        <v>-21000</v>
      </c>
      <c r="AQ67" s="153">
        <f t="shared" si="41"/>
        <v>-0.87866108786610875</v>
      </c>
      <c r="AR67" s="154">
        <f t="shared" si="42"/>
        <v>474100</v>
      </c>
      <c r="AS67" s="155">
        <f t="shared" si="43"/>
        <v>0.99392033542976943</v>
      </c>
      <c r="AT67" s="785">
        <f t="shared" si="44"/>
        <v>23900</v>
      </c>
      <c r="AU67" s="786" t="str">
        <f t="shared" si="45"/>
        <v>Vendido</v>
      </c>
      <c r="AV67" s="786" t="str">
        <f t="shared" si="18"/>
        <v>Cliente al día</v>
      </c>
      <c r="AW67" s="174">
        <v>16</v>
      </c>
      <c r="AX67" s="174">
        <f t="shared" si="20"/>
        <v>1</v>
      </c>
      <c r="AY67" s="174">
        <f t="shared" si="21"/>
        <v>17</v>
      </c>
      <c r="AZ67" s="173">
        <v>1500</v>
      </c>
      <c r="BA67" s="789">
        <f t="shared" si="46"/>
        <v>2</v>
      </c>
      <c r="BB67" s="786">
        <f t="shared" si="55"/>
        <v>0</v>
      </c>
      <c r="BC67" s="787">
        <f t="shared" si="47"/>
        <v>0</v>
      </c>
      <c r="BD67" s="788">
        <f t="shared" si="48"/>
        <v>1500</v>
      </c>
      <c r="BE67" s="787">
        <f t="shared" si="49"/>
        <v>0</v>
      </c>
      <c r="BF67" s="787">
        <f t="shared" si="50"/>
        <v>1500</v>
      </c>
      <c r="BG67" s="787">
        <f t="shared" si="51"/>
        <v>1400</v>
      </c>
      <c r="BH67" s="787">
        <f t="shared" si="52"/>
        <v>1400</v>
      </c>
      <c r="BI67" s="787">
        <f t="shared" si="53"/>
        <v>0</v>
      </c>
      <c r="BJ67" s="217"/>
      <c r="BK67" s="152"/>
      <c r="BL67" s="200"/>
    </row>
    <row r="68" spans="1:64" x14ac:dyDescent="0.25">
      <c r="B68" s="135">
        <v>508</v>
      </c>
      <c r="C68" s="135" t="s">
        <v>916</v>
      </c>
      <c r="D68" s="135" t="s">
        <v>146</v>
      </c>
      <c r="E68" s="135" t="s">
        <v>203</v>
      </c>
      <c r="F68" s="137" t="s">
        <v>1003</v>
      </c>
      <c r="G68" s="138">
        <v>45850</v>
      </c>
      <c r="H68" s="135" t="s">
        <v>374</v>
      </c>
      <c r="I68" s="121">
        <v>487700</v>
      </c>
      <c r="J68" s="121">
        <v>24400</v>
      </c>
      <c r="K68" s="121">
        <v>0</v>
      </c>
      <c r="L68" s="121">
        <v>0</v>
      </c>
      <c r="M68" s="121">
        <v>0</v>
      </c>
      <c r="N68" s="121">
        <v>0</v>
      </c>
      <c r="O68" s="121">
        <v>0</v>
      </c>
      <c r="P68" s="121">
        <v>0</v>
      </c>
      <c r="Q68" s="121">
        <v>0</v>
      </c>
      <c r="R68" s="121">
        <v>0</v>
      </c>
      <c r="S68" s="121">
        <v>0</v>
      </c>
      <c r="T68" s="121">
        <v>0</v>
      </c>
      <c r="U68" s="121">
        <v>0</v>
      </c>
      <c r="V68" s="121">
        <v>0</v>
      </c>
      <c r="W68" s="121">
        <v>0</v>
      </c>
      <c r="X68" s="121">
        <v>0</v>
      </c>
      <c r="Y68" s="121">
        <v>0</v>
      </c>
      <c r="Z68" s="121">
        <v>0</v>
      </c>
      <c r="AA68" s="121">
        <v>0</v>
      </c>
      <c r="AB68" s="121">
        <v>0</v>
      </c>
      <c r="AC68" s="121">
        <v>0</v>
      </c>
      <c r="AD68" s="121">
        <v>0</v>
      </c>
      <c r="AE68" s="121">
        <v>0</v>
      </c>
      <c r="AF68" s="121">
        <v>0</v>
      </c>
      <c r="AG68" s="121">
        <v>0</v>
      </c>
      <c r="AH68" s="121">
        <v>0</v>
      </c>
      <c r="AI68" s="121">
        <v>0</v>
      </c>
      <c r="AJ68" s="121"/>
      <c r="AK68" s="121"/>
      <c r="AL68" s="121">
        <v>1500</v>
      </c>
      <c r="AM68" s="203">
        <f>1500+1273</f>
        <v>2773</v>
      </c>
      <c r="AN68" s="784">
        <f t="shared" si="17"/>
        <v>4273</v>
      </c>
      <c r="AO68" s="153">
        <f t="shared" si="40"/>
        <v>0.17512295081967214</v>
      </c>
      <c r="AP68" s="784">
        <f t="shared" si="3"/>
        <v>-20127</v>
      </c>
      <c r="AQ68" s="153">
        <f t="shared" si="41"/>
        <v>-0.82487704918032789</v>
      </c>
      <c r="AR68" s="154">
        <f t="shared" si="42"/>
        <v>483427</v>
      </c>
      <c r="AS68" s="155">
        <f t="shared" si="43"/>
        <v>0.99123846627024814</v>
      </c>
      <c r="AT68" s="785">
        <f t="shared" si="44"/>
        <v>24400</v>
      </c>
      <c r="AU68" s="786" t="str">
        <f t="shared" si="45"/>
        <v>Vendido</v>
      </c>
      <c r="AV68" s="786" t="e">
        <f t="shared" si="18"/>
        <v>#NUM!</v>
      </c>
      <c r="AW68" s="174">
        <v>18</v>
      </c>
      <c r="AX68" s="174">
        <f t="shared" si="20"/>
        <v>1</v>
      </c>
      <c r="AY68" s="174">
        <f t="shared" si="21"/>
        <v>19</v>
      </c>
      <c r="AZ68" s="173">
        <v>1500</v>
      </c>
      <c r="BA68" s="789">
        <v>1272.22</v>
      </c>
      <c r="BB68" s="786">
        <f t="shared" si="55"/>
        <v>0</v>
      </c>
      <c r="BC68" s="787" t="e">
        <f t="shared" si="47"/>
        <v>#NUM!</v>
      </c>
      <c r="BD68" s="788" t="e">
        <f t="shared" si="48"/>
        <v>#NUM!</v>
      </c>
      <c r="BE68" s="787">
        <f t="shared" si="49"/>
        <v>0</v>
      </c>
      <c r="BF68" s="787">
        <f t="shared" si="50"/>
        <v>1500</v>
      </c>
      <c r="BG68" s="787">
        <f t="shared" si="51"/>
        <v>2773</v>
      </c>
      <c r="BH68" s="787"/>
      <c r="BI68" s="787"/>
      <c r="BJ68" s="217"/>
      <c r="BK68" s="152"/>
      <c r="BL68" s="200"/>
    </row>
    <row r="69" spans="1:64" x14ac:dyDescent="0.25">
      <c r="B69" s="135">
        <v>510</v>
      </c>
      <c r="C69" s="135" t="s">
        <v>916</v>
      </c>
      <c r="D69" s="135" t="s">
        <v>913</v>
      </c>
      <c r="E69" s="135"/>
      <c r="F69" s="137"/>
      <c r="G69" s="138"/>
      <c r="H69" s="135" t="s">
        <v>374</v>
      </c>
      <c r="I69" s="121">
        <v>507200</v>
      </c>
      <c r="J69" s="121">
        <v>50720</v>
      </c>
      <c r="K69" s="121">
        <v>0</v>
      </c>
      <c r="L69" s="121">
        <v>0</v>
      </c>
      <c r="M69" s="121">
        <v>0</v>
      </c>
      <c r="N69" s="121">
        <v>0</v>
      </c>
      <c r="O69" s="121">
        <v>0</v>
      </c>
      <c r="P69" s="121">
        <v>0</v>
      </c>
      <c r="Q69" s="121">
        <v>0</v>
      </c>
      <c r="R69" s="121">
        <v>0</v>
      </c>
      <c r="S69" s="121">
        <v>0</v>
      </c>
      <c r="T69" s="121">
        <v>0</v>
      </c>
      <c r="U69" s="121">
        <v>0</v>
      </c>
      <c r="V69" s="121">
        <v>0</v>
      </c>
      <c r="W69" s="121">
        <v>0</v>
      </c>
      <c r="X69" s="121">
        <v>0</v>
      </c>
      <c r="Y69" s="121">
        <v>0</v>
      </c>
      <c r="Z69" s="121">
        <v>0</v>
      </c>
      <c r="AA69" s="121">
        <v>0</v>
      </c>
      <c r="AB69" s="121">
        <v>0</v>
      </c>
      <c r="AC69" s="121">
        <v>0</v>
      </c>
      <c r="AD69" s="121">
        <v>0</v>
      </c>
      <c r="AE69" s="121">
        <v>0</v>
      </c>
      <c r="AF69" s="121">
        <v>0</v>
      </c>
      <c r="AG69" s="121">
        <v>0</v>
      </c>
      <c r="AH69" s="121">
        <v>0</v>
      </c>
      <c r="AI69" s="121">
        <v>0</v>
      </c>
      <c r="AJ69" s="121"/>
      <c r="AK69" s="202"/>
      <c r="AL69" s="202"/>
      <c r="AM69" s="202"/>
      <c r="AN69" s="784">
        <f t="shared" si="17"/>
        <v>0</v>
      </c>
      <c r="AO69" s="153">
        <f t="shared" si="40"/>
        <v>0</v>
      </c>
      <c r="AP69" s="784">
        <f t="shared" si="3"/>
        <v>0</v>
      </c>
      <c r="AQ69" s="153">
        <f t="shared" si="41"/>
        <v>0</v>
      </c>
      <c r="AR69" s="154">
        <f t="shared" si="42"/>
        <v>507200</v>
      </c>
      <c r="AS69" s="155">
        <f t="shared" si="43"/>
        <v>1</v>
      </c>
      <c r="AT69" s="785">
        <f t="shared" si="44"/>
        <v>0</v>
      </c>
      <c r="AU69" s="786" t="str">
        <f t="shared" si="45"/>
        <v>Apartamento Disponible</v>
      </c>
      <c r="AV69" s="786" t="str">
        <f t="shared" si="18"/>
        <v>Disponible</v>
      </c>
      <c r="AW69" s="174"/>
      <c r="AX69" s="174">
        <f t="shared" si="20"/>
        <v>0</v>
      </c>
      <c r="AY69" s="174">
        <f t="shared" si="21"/>
        <v>0</v>
      </c>
      <c r="AZ69" s="173"/>
      <c r="BA69" s="789">
        <f t="shared" si="46"/>
        <v>0</v>
      </c>
      <c r="BB69" s="786">
        <f t="shared" si="55"/>
        <v>0</v>
      </c>
      <c r="BC69" s="787">
        <f t="shared" si="47"/>
        <v>0</v>
      </c>
      <c r="BD69" s="788">
        <f t="shared" si="48"/>
        <v>0</v>
      </c>
      <c r="BE69" s="787">
        <f t="shared" si="49"/>
        <v>0</v>
      </c>
      <c r="BF69" s="787">
        <f t="shared" si="50"/>
        <v>0</v>
      </c>
      <c r="BG69" s="787">
        <f t="shared" si="51"/>
        <v>0</v>
      </c>
      <c r="BH69" s="787">
        <f t="shared" si="52"/>
        <v>0</v>
      </c>
      <c r="BI69" s="787">
        <f t="shared" si="53"/>
        <v>0</v>
      </c>
      <c r="BJ69" s="217">
        <f t="shared" si="54"/>
        <v>0</v>
      </c>
      <c r="BK69" s="152"/>
      <c r="BL69" s="200"/>
    </row>
    <row r="70" spans="1:64" x14ac:dyDescent="0.25">
      <c r="B70" s="135">
        <v>511</v>
      </c>
      <c r="C70" s="135" t="s">
        <v>916</v>
      </c>
      <c r="D70" s="135" t="s">
        <v>913</v>
      </c>
      <c r="E70" s="135"/>
      <c r="F70" s="137"/>
      <c r="G70" s="138"/>
      <c r="H70" s="135" t="s">
        <v>374</v>
      </c>
      <c r="I70" s="121">
        <v>507200</v>
      </c>
      <c r="J70" s="121">
        <v>50720</v>
      </c>
      <c r="K70" s="121">
        <v>0</v>
      </c>
      <c r="L70" s="121">
        <v>0</v>
      </c>
      <c r="M70" s="121">
        <v>0</v>
      </c>
      <c r="N70" s="121">
        <v>0</v>
      </c>
      <c r="O70" s="121">
        <v>0</v>
      </c>
      <c r="P70" s="121">
        <v>0</v>
      </c>
      <c r="Q70" s="121">
        <v>0</v>
      </c>
      <c r="R70" s="121">
        <v>0</v>
      </c>
      <c r="S70" s="121">
        <v>0</v>
      </c>
      <c r="T70" s="121">
        <v>0</v>
      </c>
      <c r="U70" s="121">
        <v>0</v>
      </c>
      <c r="V70" s="121">
        <v>0</v>
      </c>
      <c r="W70" s="121">
        <v>0</v>
      </c>
      <c r="X70" s="121">
        <v>0</v>
      </c>
      <c r="Y70" s="121">
        <v>0</v>
      </c>
      <c r="Z70" s="121">
        <v>0</v>
      </c>
      <c r="AA70" s="121">
        <v>0</v>
      </c>
      <c r="AB70" s="121">
        <v>0</v>
      </c>
      <c r="AC70" s="121">
        <v>0</v>
      </c>
      <c r="AD70" s="121">
        <v>0</v>
      </c>
      <c r="AE70" s="121">
        <v>0</v>
      </c>
      <c r="AF70" s="121">
        <v>0</v>
      </c>
      <c r="AG70" s="121">
        <v>0</v>
      </c>
      <c r="AH70" s="121">
        <v>0</v>
      </c>
      <c r="AI70" s="121">
        <v>0</v>
      </c>
      <c r="AJ70" s="121"/>
      <c r="AK70" s="121"/>
      <c r="AL70" s="121"/>
      <c r="AM70" s="121"/>
      <c r="AN70" s="784">
        <f t="shared" si="17"/>
        <v>0</v>
      </c>
      <c r="AO70" s="153">
        <f t="shared" si="40"/>
        <v>0</v>
      </c>
      <c r="AP70" s="784">
        <f t="shared" si="3"/>
        <v>0</v>
      </c>
      <c r="AQ70" s="153">
        <f t="shared" si="41"/>
        <v>0</v>
      </c>
      <c r="AR70" s="154">
        <f t="shared" si="42"/>
        <v>507200</v>
      </c>
      <c r="AS70" s="155">
        <f t="shared" si="43"/>
        <v>1</v>
      </c>
      <c r="AT70" s="785">
        <f t="shared" si="44"/>
        <v>0</v>
      </c>
      <c r="AU70" s="786" t="str">
        <f t="shared" si="45"/>
        <v>Apartamento Disponible</v>
      </c>
      <c r="AV70" s="786" t="str">
        <f t="shared" si="18"/>
        <v>Disponible</v>
      </c>
      <c r="AW70" s="174"/>
      <c r="AX70" s="174">
        <f t="shared" si="20"/>
        <v>0</v>
      </c>
      <c r="AY70" s="174">
        <f t="shared" si="21"/>
        <v>0</v>
      </c>
      <c r="AZ70" s="173"/>
      <c r="BA70" s="789">
        <f t="shared" si="46"/>
        <v>0</v>
      </c>
      <c r="BB70" s="786">
        <f t="shared" si="55"/>
        <v>0</v>
      </c>
      <c r="BC70" s="787">
        <f t="shared" si="47"/>
        <v>0</v>
      </c>
      <c r="BD70" s="788">
        <f t="shared" si="48"/>
        <v>0</v>
      </c>
      <c r="BE70" s="787">
        <f t="shared" si="49"/>
        <v>0</v>
      </c>
      <c r="BF70" s="787">
        <f t="shared" si="50"/>
        <v>0</v>
      </c>
      <c r="BG70" s="787">
        <f t="shared" si="51"/>
        <v>0</v>
      </c>
      <c r="BH70" s="787">
        <f t="shared" si="52"/>
        <v>0</v>
      </c>
      <c r="BI70" s="787">
        <f t="shared" si="53"/>
        <v>0</v>
      </c>
      <c r="BJ70" s="217">
        <f t="shared" si="54"/>
        <v>0</v>
      </c>
      <c r="BK70" s="152"/>
      <c r="BL70" s="200"/>
    </row>
    <row r="71" spans="1:64" x14ac:dyDescent="0.25">
      <c r="B71" s="135">
        <v>512</v>
      </c>
      <c r="C71" s="135" t="s">
        <v>916</v>
      </c>
      <c r="D71" s="135" t="s">
        <v>146</v>
      </c>
      <c r="E71" s="135"/>
      <c r="F71" s="137"/>
      <c r="G71" s="138"/>
      <c r="H71" s="135" t="s">
        <v>374</v>
      </c>
      <c r="I71" s="121">
        <v>507200</v>
      </c>
      <c r="J71" s="121">
        <v>50720</v>
      </c>
      <c r="K71" s="121">
        <v>0</v>
      </c>
      <c r="L71" s="121">
        <v>0</v>
      </c>
      <c r="M71" s="121">
        <v>0</v>
      </c>
      <c r="N71" s="121">
        <v>0</v>
      </c>
      <c r="O71" s="121">
        <v>0</v>
      </c>
      <c r="P71" s="121">
        <v>0</v>
      </c>
      <c r="Q71" s="121">
        <v>0</v>
      </c>
      <c r="R71" s="121">
        <v>0</v>
      </c>
      <c r="S71" s="121">
        <v>0</v>
      </c>
      <c r="T71" s="121">
        <v>0</v>
      </c>
      <c r="U71" s="121">
        <v>0</v>
      </c>
      <c r="V71" s="121">
        <v>0</v>
      </c>
      <c r="W71" s="121">
        <v>0</v>
      </c>
      <c r="X71" s="121">
        <v>0</v>
      </c>
      <c r="Y71" s="121">
        <v>0</v>
      </c>
      <c r="Z71" s="121">
        <v>0</v>
      </c>
      <c r="AA71" s="121">
        <v>0</v>
      </c>
      <c r="AB71" s="121">
        <v>0</v>
      </c>
      <c r="AC71" s="121">
        <v>0</v>
      </c>
      <c r="AD71" s="121">
        <v>0</v>
      </c>
      <c r="AE71" s="121">
        <v>0</v>
      </c>
      <c r="AF71" s="121">
        <v>0</v>
      </c>
      <c r="AG71" s="121">
        <v>0</v>
      </c>
      <c r="AH71" s="121">
        <v>0</v>
      </c>
      <c r="AI71" s="121">
        <v>0</v>
      </c>
      <c r="AJ71" s="121"/>
      <c r="AK71" s="121"/>
      <c r="AL71" s="121"/>
      <c r="AM71" s="121"/>
      <c r="AN71" s="784">
        <f t="shared" ref="AN71:AN86" si="75">SUM(K71:AM71)</f>
        <v>0</v>
      </c>
      <c r="AO71" s="153">
        <f t="shared" si="40"/>
        <v>0</v>
      </c>
      <c r="AP71" s="784">
        <f t="shared" si="3"/>
        <v>0</v>
      </c>
      <c r="AQ71" s="153">
        <f t="shared" si="41"/>
        <v>0</v>
      </c>
      <c r="AR71" s="154">
        <f t="shared" si="42"/>
        <v>507200</v>
      </c>
      <c r="AS71" s="155">
        <f t="shared" si="43"/>
        <v>1</v>
      </c>
      <c r="AT71" s="785">
        <f t="shared" si="44"/>
        <v>0</v>
      </c>
      <c r="AU71" s="786" t="str">
        <f t="shared" si="45"/>
        <v>Apartamento Disponible</v>
      </c>
      <c r="AV71" s="786" t="str">
        <f t="shared" si="18"/>
        <v>Disponible</v>
      </c>
      <c r="AW71" s="174"/>
      <c r="AX71" s="174">
        <f t="shared" si="20"/>
        <v>0</v>
      </c>
      <c r="AY71" s="174">
        <f t="shared" si="21"/>
        <v>0</v>
      </c>
      <c r="AZ71" s="173"/>
      <c r="BA71" s="789">
        <f t="shared" si="46"/>
        <v>0</v>
      </c>
      <c r="BB71" s="786">
        <f t="shared" si="55"/>
        <v>0</v>
      </c>
      <c r="BC71" s="787">
        <f t="shared" si="47"/>
        <v>0</v>
      </c>
      <c r="BD71" s="788">
        <f t="shared" si="48"/>
        <v>0</v>
      </c>
      <c r="BE71" s="787">
        <f t="shared" si="49"/>
        <v>0</v>
      </c>
      <c r="BF71" s="787">
        <f t="shared" si="50"/>
        <v>0</v>
      </c>
      <c r="BG71" s="787">
        <f t="shared" si="51"/>
        <v>0</v>
      </c>
      <c r="BH71" s="787">
        <f t="shared" si="52"/>
        <v>0</v>
      </c>
      <c r="BI71" s="787">
        <f t="shared" si="53"/>
        <v>0</v>
      </c>
      <c r="BJ71" s="217">
        <f t="shared" si="54"/>
        <v>0</v>
      </c>
      <c r="BK71" s="152"/>
      <c r="BL71" s="200"/>
    </row>
    <row r="72" spans="1:64" x14ac:dyDescent="0.25">
      <c r="B72" s="135">
        <v>513</v>
      </c>
      <c r="C72" s="135" t="s">
        <v>916</v>
      </c>
      <c r="D72" s="135" t="s">
        <v>146</v>
      </c>
      <c r="E72" s="135"/>
      <c r="F72" s="137"/>
      <c r="G72" s="138"/>
      <c r="H72" s="135" t="s">
        <v>374</v>
      </c>
      <c r="I72" s="121">
        <v>477000</v>
      </c>
      <c r="J72" s="121">
        <v>24000</v>
      </c>
      <c r="K72" s="121">
        <v>0</v>
      </c>
      <c r="L72" s="121">
        <v>0</v>
      </c>
      <c r="M72" s="121">
        <v>0</v>
      </c>
      <c r="N72" s="121">
        <v>0</v>
      </c>
      <c r="O72" s="121">
        <v>0</v>
      </c>
      <c r="P72" s="121">
        <v>0</v>
      </c>
      <c r="Q72" s="121">
        <v>0</v>
      </c>
      <c r="R72" s="121">
        <v>0</v>
      </c>
      <c r="S72" s="121">
        <v>0</v>
      </c>
      <c r="T72" s="121">
        <v>0</v>
      </c>
      <c r="U72" s="121">
        <v>0</v>
      </c>
      <c r="V72" s="121">
        <v>0</v>
      </c>
      <c r="W72" s="121">
        <v>0</v>
      </c>
      <c r="X72" s="121">
        <v>0</v>
      </c>
      <c r="Y72" s="121">
        <v>0</v>
      </c>
      <c r="Z72" s="121">
        <v>0</v>
      </c>
      <c r="AA72" s="121">
        <v>0</v>
      </c>
      <c r="AB72" s="121">
        <v>0</v>
      </c>
      <c r="AC72" s="121">
        <v>0</v>
      </c>
      <c r="AD72" s="121">
        <v>0</v>
      </c>
      <c r="AE72" s="121">
        <v>0</v>
      </c>
      <c r="AF72" s="121">
        <v>0</v>
      </c>
      <c r="AG72" s="121">
        <v>0</v>
      </c>
      <c r="AH72" s="121">
        <v>0</v>
      </c>
      <c r="AI72" s="121">
        <v>0</v>
      </c>
      <c r="AJ72" s="121"/>
      <c r="AK72" s="121"/>
      <c r="AL72" s="121"/>
      <c r="AM72" s="121"/>
      <c r="AN72" s="784">
        <f t="shared" si="75"/>
        <v>0</v>
      </c>
      <c r="AO72" s="153">
        <f t="shared" ref="AO72:AO86" si="76">IFERROR((+AN72/J72),0)</f>
        <v>0</v>
      </c>
      <c r="AP72" s="784">
        <f t="shared" ref="AP72:AP86" si="77">+AN72-AT72</f>
        <v>0</v>
      </c>
      <c r="AQ72" s="153">
        <f t="shared" ref="AQ72:AQ86" si="78">+AP72/J72</f>
        <v>0</v>
      </c>
      <c r="AR72" s="154">
        <f t="shared" ref="AR72:AR86" si="79">+I72-AN72</f>
        <v>477000</v>
      </c>
      <c r="AS72" s="155">
        <f t="shared" ref="AS72:AS86" si="80">+AR72/I72</f>
        <v>1</v>
      </c>
      <c r="AT72" s="785">
        <f t="shared" ref="AT72:AT86" si="81">IF(AU72="Vendido",J72*1,IF(AU72="Disponible",J72*0,IF(AU72="Enganche Completado",J72*1,IF(AU72="Superávit de Enganche",J72*1,0))))</f>
        <v>0</v>
      </c>
      <c r="AU72" s="786" t="str">
        <f t="shared" ref="AU72:AU83" si="82">IF(F72=0,"Apartamento Disponible",IF(F72&gt;1,"Vendido",0))</f>
        <v>Apartamento Disponible</v>
      </c>
      <c r="AV72" s="786" t="str">
        <f t="shared" ref="AV72:AV86" si="83">IF(AND(AU72="Vendido",G72&gt;=0,BD72&lt;=AN72,AN72&lt;AT72),"Cliente al día",IF(AND(AU72="Vendido",G72&gt;=0,BD72&lt;=AN72,AN72=AT72),"Enganche Completado",IF(AND(AU72="Vendido",G72&gt;=0,BD72&lt;AN72,AN72&gt;AT72),"Superávit de Enganche",IF(AND(AU72="Apartamento Disponible",G72=0,AP72=0),"Disponible","Cliente Atrasado"))))</f>
        <v>Disponible</v>
      </c>
      <c r="AW72" s="174"/>
      <c r="AX72" s="174">
        <f t="shared" si="20"/>
        <v>0</v>
      </c>
      <c r="AY72" s="174">
        <f t="shared" si="21"/>
        <v>0</v>
      </c>
      <c r="AZ72" s="173"/>
      <c r="BA72" s="789">
        <f t="shared" ref="BA72:BA84" si="84">COUNTIF(L72:AN72,"&gt;=" &amp; AZ72)</f>
        <v>0</v>
      </c>
      <c r="BB72" s="786">
        <f t="shared" si="55"/>
        <v>0</v>
      </c>
      <c r="BC72" s="787">
        <f t="shared" ref="BC72:BC86" si="85">IF($G72&gt;0,DATEDIF($G72,$AL$6,"M"),0)</f>
        <v>0</v>
      </c>
      <c r="BD72" s="788">
        <f t="shared" ref="BD72:BD86" si="86">(BC72*BA72)+AZ72</f>
        <v>0</v>
      </c>
      <c r="BE72" s="787">
        <f t="shared" ref="BE72:BE86" si="87">SUMIF(K72:AL72,"&lt;=" &amp; BA72,K72:AL72)</f>
        <v>0</v>
      </c>
      <c r="BF72" s="787">
        <f t="shared" ref="BF72:BF86" si="88">SUMIF(K72:AL72,"&gt;" &amp; BA72,K72:AL72)</f>
        <v>0</v>
      </c>
      <c r="BG72" s="787">
        <f t="shared" ref="BG72:BG86" si="89">AN72-BE72-BF72</f>
        <v>0</v>
      </c>
      <c r="BH72" s="787">
        <f t="shared" ref="BH72:BH86" si="90">IF(AN72&gt;BD72,AN72-BD72,0)</f>
        <v>0</v>
      </c>
      <c r="BI72" s="787">
        <f t="shared" ref="BI72:BI86" si="91">IF(AN72&lt;BD72,BD72-AN72,0)</f>
        <v>0</v>
      </c>
      <c r="BJ72" s="217">
        <f t="shared" ref="BJ72:BJ86" si="92">ROUNDUP(IF(G72&gt;0,BI72/BA72,0),0)</f>
        <v>0</v>
      </c>
      <c r="BK72" s="152"/>
      <c r="BL72" s="200"/>
    </row>
    <row r="73" spans="1:64" x14ac:dyDescent="0.25">
      <c r="B73" s="135">
        <v>601</v>
      </c>
      <c r="C73" s="135" t="s">
        <v>916</v>
      </c>
      <c r="D73" s="135" t="s">
        <v>146</v>
      </c>
      <c r="E73" s="135"/>
      <c r="F73" s="137" t="s">
        <v>1004</v>
      </c>
      <c r="G73" s="138">
        <v>45864</v>
      </c>
      <c r="H73" s="135" t="s">
        <v>67</v>
      </c>
      <c r="I73" s="121">
        <v>477700</v>
      </c>
      <c r="J73" s="121">
        <v>24000</v>
      </c>
      <c r="K73" s="121">
        <v>0</v>
      </c>
      <c r="L73" s="121">
        <v>0</v>
      </c>
      <c r="M73" s="121">
        <v>0</v>
      </c>
      <c r="N73" s="121">
        <v>0</v>
      </c>
      <c r="O73" s="121">
        <v>0</v>
      </c>
      <c r="P73" s="121">
        <v>0</v>
      </c>
      <c r="Q73" s="121">
        <v>0</v>
      </c>
      <c r="R73" s="121">
        <v>0</v>
      </c>
      <c r="S73" s="121">
        <v>0</v>
      </c>
      <c r="T73" s="121">
        <v>0</v>
      </c>
      <c r="U73" s="121">
        <v>0</v>
      </c>
      <c r="V73" s="121">
        <v>0</v>
      </c>
      <c r="W73" s="121">
        <v>0</v>
      </c>
      <c r="X73" s="121">
        <v>0</v>
      </c>
      <c r="Y73" s="121">
        <v>0</v>
      </c>
      <c r="Z73" s="121">
        <v>0</v>
      </c>
      <c r="AA73" s="121">
        <v>0</v>
      </c>
      <c r="AB73" s="121">
        <v>0</v>
      </c>
      <c r="AC73" s="121">
        <v>0</v>
      </c>
      <c r="AD73" s="121">
        <v>0</v>
      </c>
      <c r="AE73" s="121">
        <v>0</v>
      </c>
      <c r="AF73" s="121">
        <v>0</v>
      </c>
      <c r="AG73" s="121">
        <v>0</v>
      </c>
      <c r="AH73" s="121">
        <v>0</v>
      </c>
      <c r="AI73" s="121">
        <v>0</v>
      </c>
      <c r="AJ73" s="121"/>
      <c r="AK73" s="121"/>
      <c r="AL73" s="121"/>
      <c r="AM73" s="203">
        <v>1500</v>
      </c>
      <c r="AN73" s="784">
        <f t="shared" si="75"/>
        <v>1500</v>
      </c>
      <c r="AO73" s="153">
        <f t="shared" si="76"/>
        <v>6.25E-2</v>
      </c>
      <c r="AP73" s="784">
        <f t="shared" si="77"/>
        <v>-22500</v>
      </c>
      <c r="AQ73" s="153">
        <f t="shared" si="78"/>
        <v>-0.9375</v>
      </c>
      <c r="AR73" s="154">
        <f t="shared" si="79"/>
        <v>476200</v>
      </c>
      <c r="AS73" s="155">
        <f t="shared" si="80"/>
        <v>0.99685995394599125</v>
      </c>
      <c r="AT73" s="785">
        <f t="shared" si="81"/>
        <v>24000</v>
      </c>
      <c r="AU73" s="786" t="str">
        <f t="shared" si="82"/>
        <v>Vendido</v>
      </c>
      <c r="AV73" s="786" t="e">
        <f t="shared" si="83"/>
        <v>#NUM!</v>
      </c>
      <c r="AW73" s="174"/>
      <c r="AX73" s="174">
        <f t="shared" si="20"/>
        <v>0</v>
      </c>
      <c r="AY73" s="174">
        <f t="shared" si="21"/>
        <v>0</v>
      </c>
      <c r="AZ73" s="173"/>
      <c r="BA73" s="789">
        <f t="shared" si="84"/>
        <v>0</v>
      </c>
      <c r="BB73" s="786">
        <f t="shared" ref="BB73:BB86" si="93">COUNTIFS(K73:AK73,"&gt;0.01",K73:AK73,"&lt;" &amp; AZ73)</f>
        <v>0</v>
      </c>
      <c r="BC73" s="787" t="e">
        <f t="shared" si="85"/>
        <v>#NUM!</v>
      </c>
      <c r="BD73" s="788" t="e">
        <f t="shared" si="86"/>
        <v>#NUM!</v>
      </c>
      <c r="BE73" s="787">
        <f t="shared" si="87"/>
        <v>0</v>
      </c>
      <c r="BF73" s="787">
        <f t="shared" si="88"/>
        <v>0</v>
      </c>
      <c r="BG73" s="787">
        <f t="shared" si="89"/>
        <v>1500</v>
      </c>
      <c r="BH73" s="787" t="e">
        <f t="shared" si="90"/>
        <v>#NUM!</v>
      </c>
      <c r="BI73" s="787" t="e">
        <f t="shared" si="91"/>
        <v>#NUM!</v>
      </c>
      <c r="BJ73" s="217" t="e">
        <f t="shared" si="92"/>
        <v>#NUM!</v>
      </c>
      <c r="BK73" s="152"/>
      <c r="BL73" s="200"/>
    </row>
    <row r="74" spans="1:64" x14ac:dyDescent="0.25">
      <c r="A74" s="86" t="s">
        <v>1005</v>
      </c>
      <c r="B74" s="135">
        <v>601</v>
      </c>
      <c r="C74" s="135" t="s">
        <v>145</v>
      </c>
      <c r="D74" s="135" t="s">
        <v>146</v>
      </c>
      <c r="E74" s="135" t="s">
        <v>908</v>
      </c>
      <c r="F74" s="137" t="s">
        <v>1006</v>
      </c>
      <c r="G74" s="138">
        <v>45407</v>
      </c>
      <c r="H74" s="135" t="s">
        <v>128</v>
      </c>
      <c r="I74" s="121">
        <v>477700</v>
      </c>
      <c r="J74" s="121">
        <v>23900</v>
      </c>
      <c r="K74" s="121">
        <v>0</v>
      </c>
      <c r="L74" s="121">
        <v>0</v>
      </c>
      <c r="M74" s="121">
        <v>0</v>
      </c>
      <c r="N74" s="121">
        <v>0</v>
      </c>
      <c r="O74" s="121">
        <v>0</v>
      </c>
      <c r="P74" s="121">
        <v>0</v>
      </c>
      <c r="Q74" s="121">
        <v>0</v>
      </c>
      <c r="R74" s="121">
        <v>0</v>
      </c>
      <c r="S74" s="121">
        <v>0</v>
      </c>
      <c r="T74" s="121">
        <v>0</v>
      </c>
      <c r="U74" s="121">
        <v>0</v>
      </c>
      <c r="V74" s="121">
        <v>0</v>
      </c>
      <c r="W74" s="121">
        <v>0</v>
      </c>
      <c r="X74" s="121">
        <v>1500</v>
      </c>
      <c r="Y74" s="121">
        <v>0</v>
      </c>
      <c r="Z74" s="121">
        <v>1000</v>
      </c>
      <c r="AA74" s="121">
        <v>0</v>
      </c>
      <c r="AB74" s="121">
        <v>0</v>
      </c>
      <c r="AC74" s="121">
        <v>1729.5</v>
      </c>
      <c r="AD74" s="121">
        <v>0</v>
      </c>
      <c r="AE74" s="121">
        <v>2459</v>
      </c>
      <c r="AF74" s="121">
        <v>0</v>
      </c>
      <c r="AG74" s="121">
        <v>0</v>
      </c>
      <c r="AH74" s="121">
        <v>0</v>
      </c>
      <c r="AI74" s="121">
        <v>0</v>
      </c>
      <c r="AJ74" s="121"/>
      <c r="AK74" s="121"/>
      <c r="AL74" s="203">
        <v>6147.5</v>
      </c>
      <c r="AM74" s="203">
        <v>4918</v>
      </c>
      <c r="AN74" s="784">
        <f t="shared" si="75"/>
        <v>17754</v>
      </c>
      <c r="AO74" s="153">
        <f t="shared" si="76"/>
        <v>0.74284518828451884</v>
      </c>
      <c r="AP74" s="784">
        <f t="shared" si="77"/>
        <v>-6146</v>
      </c>
      <c r="AQ74" s="153">
        <f t="shared" si="78"/>
        <v>-0.25715481171548116</v>
      </c>
      <c r="AR74" s="154">
        <f t="shared" si="79"/>
        <v>459946</v>
      </c>
      <c r="AS74" s="155">
        <f t="shared" si="80"/>
        <v>0.96283441490475197</v>
      </c>
      <c r="AT74" s="785">
        <f t="shared" si="81"/>
        <v>23900</v>
      </c>
      <c r="AU74" s="786" t="str">
        <f t="shared" si="82"/>
        <v>Vendido</v>
      </c>
      <c r="AV74" s="786" t="str">
        <f t="shared" si="83"/>
        <v>Cliente Atrasado</v>
      </c>
      <c r="AW74" s="174">
        <v>20</v>
      </c>
      <c r="AX74" s="174">
        <f t="shared" ref="AX74:AX86" si="94">IF(AW74&gt;1,1,0)</f>
        <v>1</v>
      </c>
      <c r="AY74" s="174">
        <f t="shared" ref="AY74:AY86" si="95">+AW74+AX74</f>
        <v>21</v>
      </c>
      <c r="AZ74" s="173">
        <v>1500</v>
      </c>
      <c r="BA74" s="789">
        <v>1229.5</v>
      </c>
      <c r="BB74" s="786">
        <f t="shared" si="93"/>
        <v>1</v>
      </c>
      <c r="BC74" s="787">
        <f t="shared" si="85"/>
        <v>14</v>
      </c>
      <c r="BD74" s="788">
        <f t="shared" si="86"/>
        <v>18713</v>
      </c>
      <c r="BE74" s="787">
        <f t="shared" si="87"/>
        <v>1000</v>
      </c>
      <c r="BF74" s="787">
        <f t="shared" si="88"/>
        <v>11836</v>
      </c>
      <c r="BG74" s="787">
        <f t="shared" si="89"/>
        <v>4918</v>
      </c>
      <c r="BH74" s="787">
        <f t="shared" si="90"/>
        <v>0</v>
      </c>
      <c r="BI74" s="787">
        <f t="shared" si="91"/>
        <v>959</v>
      </c>
      <c r="BJ74" s="217">
        <f t="shared" si="92"/>
        <v>1</v>
      </c>
      <c r="BK74" s="152"/>
      <c r="BL74" s="200"/>
    </row>
    <row r="75" spans="1:64" x14ac:dyDescent="0.25">
      <c r="A75" s="86" t="s">
        <v>1007</v>
      </c>
      <c r="B75" s="135">
        <v>602</v>
      </c>
      <c r="C75" s="135" t="s">
        <v>145</v>
      </c>
      <c r="D75" s="135" t="s">
        <v>913</v>
      </c>
      <c r="E75" s="135" t="s">
        <v>147</v>
      </c>
      <c r="F75" s="137" t="s">
        <v>1008</v>
      </c>
      <c r="G75" s="138">
        <v>45257</v>
      </c>
      <c r="H75" s="135" t="s">
        <v>128</v>
      </c>
      <c r="I75" s="121">
        <v>497900</v>
      </c>
      <c r="J75" s="121">
        <v>49800</v>
      </c>
      <c r="K75" s="121">
        <v>0</v>
      </c>
      <c r="L75" s="121">
        <v>0</v>
      </c>
      <c r="M75" s="121">
        <v>0</v>
      </c>
      <c r="N75" s="121">
        <v>0</v>
      </c>
      <c r="O75" s="121">
        <v>0</v>
      </c>
      <c r="P75" s="121">
        <v>0</v>
      </c>
      <c r="Q75" s="121">
        <v>0</v>
      </c>
      <c r="R75" s="121">
        <v>0</v>
      </c>
      <c r="S75" s="121">
        <v>0</v>
      </c>
      <c r="T75" s="121">
        <v>0</v>
      </c>
      <c r="U75" s="121">
        <v>0</v>
      </c>
      <c r="V75" s="121">
        <v>1000</v>
      </c>
      <c r="W75" s="121">
        <v>2436.84</v>
      </c>
      <c r="X75" s="121">
        <v>2437</v>
      </c>
      <c r="Y75" s="121">
        <v>2500</v>
      </c>
      <c r="Z75" s="121">
        <v>0</v>
      </c>
      <c r="AA75" s="121">
        <v>2500</v>
      </c>
      <c r="AB75" s="121">
        <v>0</v>
      </c>
      <c r="AC75" s="121">
        <v>5000</v>
      </c>
      <c r="AD75" s="121">
        <v>2500</v>
      </c>
      <c r="AE75" s="121">
        <v>0</v>
      </c>
      <c r="AF75" s="121">
        <v>0</v>
      </c>
      <c r="AG75" s="121">
        <v>0</v>
      </c>
      <c r="AH75" s="121">
        <v>0</v>
      </c>
      <c r="AI75" s="121">
        <v>0</v>
      </c>
      <c r="AJ75" s="121">
        <v>10000</v>
      </c>
      <c r="AK75" s="202">
        <v>8000</v>
      </c>
      <c r="AL75" s="202"/>
      <c r="AM75" s="202"/>
      <c r="AN75" s="784">
        <f t="shared" si="75"/>
        <v>36373.839999999997</v>
      </c>
      <c r="AO75" s="153">
        <f t="shared" si="76"/>
        <v>0.73039839357429714</v>
      </c>
      <c r="AP75" s="784">
        <f t="shared" si="77"/>
        <v>-13426.160000000003</v>
      </c>
      <c r="AQ75" s="153">
        <f t="shared" si="78"/>
        <v>-0.26960160642570286</v>
      </c>
      <c r="AR75" s="154">
        <f t="shared" si="79"/>
        <v>461526.16000000003</v>
      </c>
      <c r="AS75" s="155">
        <f t="shared" si="80"/>
        <v>0.92694549106246238</v>
      </c>
      <c r="AT75" s="785">
        <f t="shared" si="81"/>
        <v>49800</v>
      </c>
      <c r="AU75" s="786" t="str">
        <f t="shared" si="82"/>
        <v>Vendido</v>
      </c>
      <c r="AV75" s="786" t="str">
        <f t="shared" si="83"/>
        <v>Cliente Atrasado</v>
      </c>
      <c r="AW75" s="174">
        <v>22</v>
      </c>
      <c r="AX75" s="174">
        <f t="shared" si="94"/>
        <v>1</v>
      </c>
      <c r="AY75" s="174">
        <f t="shared" si="95"/>
        <v>23</v>
      </c>
      <c r="AZ75" s="173">
        <v>500</v>
      </c>
      <c r="BA75" s="789">
        <v>2436.84</v>
      </c>
      <c r="BB75" s="786">
        <f t="shared" si="93"/>
        <v>0</v>
      </c>
      <c r="BC75" s="787">
        <f t="shared" si="85"/>
        <v>19</v>
      </c>
      <c r="BD75" s="788">
        <f t="shared" si="86"/>
        <v>46799.960000000006</v>
      </c>
      <c r="BE75" s="787">
        <f t="shared" si="87"/>
        <v>3436.84</v>
      </c>
      <c r="BF75" s="787">
        <f t="shared" si="88"/>
        <v>32937</v>
      </c>
      <c r="BG75" s="787">
        <f t="shared" si="89"/>
        <v>0</v>
      </c>
      <c r="BH75" s="787">
        <f t="shared" si="90"/>
        <v>0</v>
      </c>
      <c r="BI75" s="787">
        <f t="shared" si="91"/>
        <v>10426.12000000001</v>
      </c>
      <c r="BJ75" s="217">
        <f t="shared" si="92"/>
        <v>5</v>
      </c>
      <c r="BK75" s="152"/>
      <c r="BL75" s="200"/>
    </row>
    <row r="76" spans="1:64" x14ac:dyDescent="0.25">
      <c r="B76" s="135">
        <v>604</v>
      </c>
      <c r="C76" s="135" t="s">
        <v>145</v>
      </c>
      <c r="D76" s="135" t="s">
        <v>146</v>
      </c>
      <c r="E76" s="287" t="s">
        <v>439</v>
      </c>
      <c r="F76" s="137" t="s">
        <v>1009</v>
      </c>
      <c r="G76" s="138">
        <v>45837</v>
      </c>
      <c r="H76" s="135" t="s">
        <v>67</v>
      </c>
      <c r="I76" s="121">
        <v>477700</v>
      </c>
      <c r="J76" s="121">
        <v>24000</v>
      </c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202"/>
      <c r="AL76" s="203">
        <v>1500</v>
      </c>
      <c r="AM76" s="203">
        <v>1500</v>
      </c>
      <c r="AN76" s="784">
        <f t="shared" si="75"/>
        <v>3000</v>
      </c>
      <c r="AO76" s="153">
        <f t="shared" si="76"/>
        <v>0.125</v>
      </c>
      <c r="AP76" s="784">
        <f t="shared" si="77"/>
        <v>-21000</v>
      </c>
      <c r="AQ76" s="153">
        <f t="shared" si="78"/>
        <v>-0.875</v>
      </c>
      <c r="AR76" s="154">
        <f t="shared" si="79"/>
        <v>474700</v>
      </c>
      <c r="AS76" s="155">
        <f t="shared" si="80"/>
        <v>0.99371990789198239</v>
      </c>
      <c r="AT76" s="785">
        <f t="shared" si="81"/>
        <v>24000</v>
      </c>
      <c r="AU76" s="786" t="str">
        <f t="shared" si="82"/>
        <v>Vendido</v>
      </c>
      <c r="AV76" s="786" t="str">
        <f t="shared" si="83"/>
        <v>Cliente al día</v>
      </c>
      <c r="AW76" s="174">
        <v>16</v>
      </c>
      <c r="AX76" s="174">
        <f t="shared" si="94"/>
        <v>1</v>
      </c>
      <c r="AY76" s="174">
        <f t="shared" si="95"/>
        <v>17</v>
      </c>
      <c r="AZ76" s="173">
        <v>1500</v>
      </c>
      <c r="BA76" s="789">
        <v>1400</v>
      </c>
      <c r="BB76" s="786">
        <f t="shared" si="93"/>
        <v>0</v>
      </c>
      <c r="BC76" s="787">
        <f t="shared" si="85"/>
        <v>0</v>
      </c>
      <c r="BD76" s="788">
        <f t="shared" si="86"/>
        <v>1500</v>
      </c>
      <c r="BE76" s="787">
        <f t="shared" si="87"/>
        <v>0</v>
      </c>
      <c r="BF76" s="787">
        <f t="shared" si="88"/>
        <v>1500</v>
      </c>
      <c r="BG76" s="787">
        <f t="shared" si="89"/>
        <v>1500</v>
      </c>
      <c r="BH76" s="787">
        <f t="shared" si="90"/>
        <v>1500</v>
      </c>
      <c r="BI76" s="787">
        <f t="shared" si="91"/>
        <v>0</v>
      </c>
      <c r="BJ76" s="217">
        <f t="shared" si="92"/>
        <v>0</v>
      </c>
      <c r="BK76" s="152"/>
      <c r="BL76" s="200"/>
    </row>
    <row r="77" spans="1:64" x14ac:dyDescent="0.25">
      <c r="B77" s="135">
        <v>605</v>
      </c>
      <c r="C77" s="135" t="s">
        <v>916</v>
      </c>
      <c r="D77" s="135" t="s">
        <v>146</v>
      </c>
      <c r="E77" s="135"/>
      <c r="F77" s="137"/>
      <c r="G77" s="138"/>
      <c r="H77" s="135" t="s">
        <v>374</v>
      </c>
      <c r="I77" s="121">
        <v>477700</v>
      </c>
      <c r="J77" s="121">
        <v>23900</v>
      </c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784">
        <f t="shared" si="75"/>
        <v>0</v>
      </c>
      <c r="AO77" s="153">
        <f t="shared" si="76"/>
        <v>0</v>
      </c>
      <c r="AP77" s="784">
        <f t="shared" si="77"/>
        <v>0</v>
      </c>
      <c r="AQ77" s="153">
        <f t="shared" si="78"/>
        <v>0</v>
      </c>
      <c r="AR77" s="154">
        <f t="shared" si="79"/>
        <v>477700</v>
      </c>
      <c r="AS77" s="155">
        <f t="shared" si="80"/>
        <v>1</v>
      </c>
      <c r="AT77" s="785">
        <f t="shared" si="81"/>
        <v>0</v>
      </c>
      <c r="AU77" s="786" t="str">
        <f t="shared" si="82"/>
        <v>Apartamento Disponible</v>
      </c>
      <c r="AV77" s="786" t="str">
        <f t="shared" si="83"/>
        <v>Disponible</v>
      </c>
      <c r="AW77" s="174"/>
      <c r="AX77" s="174">
        <f t="shared" si="94"/>
        <v>0</v>
      </c>
      <c r="AY77" s="174">
        <f t="shared" si="95"/>
        <v>0</v>
      </c>
      <c r="AZ77" s="173">
        <v>0</v>
      </c>
      <c r="BA77" s="789">
        <v>0</v>
      </c>
      <c r="BB77" s="786">
        <f t="shared" si="93"/>
        <v>0</v>
      </c>
      <c r="BC77" s="787">
        <f t="shared" si="85"/>
        <v>0</v>
      </c>
      <c r="BD77" s="788">
        <f t="shared" si="86"/>
        <v>0</v>
      </c>
      <c r="BE77" s="787">
        <f t="shared" si="87"/>
        <v>0</v>
      </c>
      <c r="BF77" s="787">
        <f t="shared" si="88"/>
        <v>0</v>
      </c>
      <c r="BG77" s="787">
        <f t="shared" si="89"/>
        <v>0</v>
      </c>
      <c r="BH77" s="787">
        <f t="shared" si="90"/>
        <v>0</v>
      </c>
      <c r="BI77" s="787">
        <f t="shared" si="91"/>
        <v>0</v>
      </c>
      <c r="BJ77" s="217">
        <f t="shared" si="92"/>
        <v>0</v>
      </c>
      <c r="BK77" s="152"/>
      <c r="BL77" s="200"/>
    </row>
    <row r="78" spans="1:64" x14ac:dyDescent="0.25">
      <c r="A78" s="86" t="s">
        <v>1010</v>
      </c>
      <c r="B78" s="278">
        <v>606</v>
      </c>
      <c r="C78" s="135" t="s">
        <v>916</v>
      </c>
      <c r="D78" s="135" t="s">
        <v>146</v>
      </c>
      <c r="E78" s="135" t="s">
        <v>147</v>
      </c>
      <c r="F78" s="137" t="s">
        <v>1011</v>
      </c>
      <c r="G78" s="138">
        <v>45442</v>
      </c>
      <c r="H78" s="135" t="s">
        <v>128</v>
      </c>
      <c r="I78" s="121">
        <v>477700</v>
      </c>
      <c r="J78" s="121">
        <v>24000</v>
      </c>
      <c r="K78" s="121">
        <v>0</v>
      </c>
      <c r="L78" s="121">
        <v>0</v>
      </c>
      <c r="M78" s="121">
        <v>0</v>
      </c>
      <c r="N78" s="121">
        <v>0</v>
      </c>
      <c r="O78" s="121">
        <v>0</v>
      </c>
      <c r="P78" s="121">
        <v>0</v>
      </c>
      <c r="Q78" s="121">
        <v>0</v>
      </c>
      <c r="R78" s="121">
        <v>0</v>
      </c>
      <c r="S78" s="121">
        <v>0</v>
      </c>
      <c r="T78" s="121">
        <v>0</v>
      </c>
      <c r="U78" s="121">
        <v>0</v>
      </c>
      <c r="V78" s="121">
        <v>0</v>
      </c>
      <c r="W78" s="121">
        <v>0</v>
      </c>
      <c r="X78" s="121">
        <v>0</v>
      </c>
      <c r="Y78" s="121">
        <v>1500</v>
      </c>
      <c r="Z78" s="121">
        <v>0</v>
      </c>
      <c r="AA78" s="121">
        <v>1184.21</v>
      </c>
      <c r="AB78" s="121">
        <v>1184.21</v>
      </c>
      <c r="AC78" s="121">
        <v>1184.21</v>
      </c>
      <c r="AD78" s="121">
        <v>1184.21</v>
      </c>
      <c r="AE78" s="121">
        <v>1184.21</v>
      </c>
      <c r="AF78" s="121">
        <v>1184.21</v>
      </c>
      <c r="AG78" s="121">
        <v>1184.21</v>
      </c>
      <c r="AH78" s="121">
        <v>1184.21</v>
      </c>
      <c r="AI78" s="121">
        <v>1184.21</v>
      </c>
      <c r="AJ78" s="121">
        <v>1184.21</v>
      </c>
      <c r="AK78" s="202">
        <v>1184.21</v>
      </c>
      <c r="AL78" s="203">
        <v>1184.21</v>
      </c>
      <c r="AM78" s="203">
        <v>1184.21</v>
      </c>
      <c r="AN78" s="784">
        <f t="shared" si="75"/>
        <v>16894.729999999996</v>
      </c>
      <c r="AO78" s="153">
        <f t="shared" si="76"/>
        <v>0.70394708333333311</v>
      </c>
      <c r="AP78" s="784">
        <f t="shared" si="77"/>
        <v>-7105.2700000000041</v>
      </c>
      <c r="AQ78" s="153">
        <f t="shared" si="78"/>
        <v>-0.29605291666666683</v>
      </c>
      <c r="AR78" s="154">
        <f t="shared" si="79"/>
        <v>460805.27</v>
      </c>
      <c r="AS78" s="155">
        <f t="shared" si="80"/>
        <v>0.96463317981997077</v>
      </c>
      <c r="AT78" s="785">
        <f t="shared" si="81"/>
        <v>24000</v>
      </c>
      <c r="AU78" s="786" t="str">
        <f t="shared" si="82"/>
        <v>Vendido</v>
      </c>
      <c r="AV78" s="786" t="str">
        <f t="shared" si="83"/>
        <v>Cliente al día</v>
      </c>
      <c r="AW78" s="174">
        <v>19</v>
      </c>
      <c r="AX78" s="174">
        <f t="shared" si="94"/>
        <v>1</v>
      </c>
      <c r="AY78" s="174">
        <f t="shared" si="95"/>
        <v>20</v>
      </c>
      <c r="AZ78" s="173">
        <v>1500</v>
      </c>
      <c r="BA78" s="789">
        <v>1184.21</v>
      </c>
      <c r="BB78" s="786">
        <f t="shared" si="93"/>
        <v>11</v>
      </c>
      <c r="BC78" s="787">
        <f t="shared" si="85"/>
        <v>13</v>
      </c>
      <c r="BD78" s="788">
        <f t="shared" si="86"/>
        <v>16894.73</v>
      </c>
      <c r="BE78" s="787">
        <f t="shared" si="87"/>
        <v>14210.519999999997</v>
      </c>
      <c r="BF78" s="787">
        <f t="shared" si="88"/>
        <v>1500</v>
      </c>
      <c r="BG78" s="787">
        <f t="shared" si="89"/>
        <v>1184.2099999999991</v>
      </c>
      <c r="BH78" s="787">
        <f t="shared" si="90"/>
        <v>0</v>
      </c>
      <c r="BI78" s="787">
        <f t="shared" si="91"/>
        <v>0</v>
      </c>
      <c r="BJ78" s="217">
        <f t="shared" si="92"/>
        <v>0</v>
      </c>
      <c r="BK78" s="152"/>
      <c r="BL78" s="200"/>
    </row>
    <row r="79" spans="1:64" x14ac:dyDescent="0.25">
      <c r="B79" s="278">
        <v>606</v>
      </c>
      <c r="C79" s="135" t="s">
        <v>145</v>
      </c>
      <c r="D79" s="135" t="s">
        <v>145</v>
      </c>
      <c r="E79" s="135"/>
      <c r="F79" s="137" t="s">
        <v>1012</v>
      </c>
      <c r="G79" s="138">
        <v>45838</v>
      </c>
      <c r="H79" s="135" t="s">
        <v>67</v>
      </c>
      <c r="I79" s="283">
        <v>477700</v>
      </c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202"/>
      <c r="AL79" s="203">
        <v>1500</v>
      </c>
      <c r="AM79" s="203">
        <v>1400</v>
      </c>
      <c r="AN79" s="784">
        <f t="shared" si="75"/>
        <v>2900</v>
      </c>
      <c r="AO79" s="153"/>
      <c r="AP79" s="784"/>
      <c r="AQ79" s="153"/>
      <c r="AR79" s="154"/>
      <c r="AS79" s="155"/>
      <c r="AT79" s="785"/>
      <c r="AU79" s="786"/>
      <c r="AV79" s="786"/>
      <c r="AW79" s="174"/>
      <c r="AX79" s="174"/>
      <c r="AY79" s="174"/>
      <c r="AZ79" s="173"/>
      <c r="BA79" s="789"/>
      <c r="BB79" s="786"/>
      <c r="BC79" s="787"/>
      <c r="BD79" s="788"/>
      <c r="BE79" s="787"/>
      <c r="BF79" s="787"/>
      <c r="BG79" s="787"/>
      <c r="BH79" s="787"/>
      <c r="BI79" s="787"/>
      <c r="BJ79" s="217"/>
      <c r="BK79" s="152"/>
      <c r="BL79" s="200"/>
    </row>
    <row r="80" spans="1:64" x14ac:dyDescent="0.25">
      <c r="A80" s="86" t="s">
        <v>1013</v>
      </c>
      <c r="B80" s="135">
        <v>607</v>
      </c>
      <c r="C80" s="135" t="s">
        <v>145</v>
      </c>
      <c r="D80" s="135" t="s">
        <v>145</v>
      </c>
      <c r="E80" s="135" t="s">
        <v>147</v>
      </c>
      <c r="F80" s="137" t="s">
        <v>1014</v>
      </c>
      <c r="G80" s="138">
        <v>45419</v>
      </c>
      <c r="H80" s="135" t="s">
        <v>128</v>
      </c>
      <c r="I80" s="121">
        <v>369600</v>
      </c>
      <c r="J80" s="121">
        <v>18500</v>
      </c>
      <c r="K80" s="121">
        <v>0</v>
      </c>
      <c r="L80" s="121">
        <v>0</v>
      </c>
      <c r="M80" s="121">
        <v>0</v>
      </c>
      <c r="N80" s="121">
        <v>0</v>
      </c>
      <c r="O80" s="121">
        <v>0</v>
      </c>
      <c r="P80" s="121">
        <v>0</v>
      </c>
      <c r="Q80" s="121">
        <v>0</v>
      </c>
      <c r="R80" s="121">
        <v>0</v>
      </c>
      <c r="S80" s="121">
        <v>0</v>
      </c>
      <c r="T80" s="121">
        <v>0</v>
      </c>
      <c r="U80" s="121">
        <v>0</v>
      </c>
      <c r="V80" s="121">
        <v>0</v>
      </c>
      <c r="W80" s="121">
        <v>0</v>
      </c>
      <c r="X80" s="121">
        <v>0</v>
      </c>
      <c r="Y80" s="121">
        <v>2394.7399999999998</v>
      </c>
      <c r="Z80" s="121">
        <v>894.74</v>
      </c>
      <c r="AA80" s="121">
        <v>0</v>
      </c>
      <c r="AB80" s="121">
        <v>1789.48</v>
      </c>
      <c r="AC80" s="121">
        <v>0</v>
      </c>
      <c r="AD80" s="121">
        <v>0</v>
      </c>
      <c r="AE80" s="121">
        <v>894.74</v>
      </c>
      <c r="AF80" s="121">
        <v>894.74</v>
      </c>
      <c r="AG80" s="121">
        <v>894.74</v>
      </c>
      <c r="AH80" s="121">
        <v>894.74</v>
      </c>
      <c r="AI80" s="121">
        <v>894.74</v>
      </c>
      <c r="AJ80" s="121">
        <v>894.74</v>
      </c>
      <c r="AK80" s="202">
        <v>894.74</v>
      </c>
      <c r="AL80" s="203">
        <v>894.74</v>
      </c>
      <c r="AM80" s="203">
        <v>894.74</v>
      </c>
      <c r="AN80" s="784">
        <f t="shared" si="75"/>
        <v>13131.619999999997</v>
      </c>
      <c r="AO80" s="153">
        <f t="shared" si="76"/>
        <v>0.70981729729729715</v>
      </c>
      <c r="AP80" s="784">
        <f t="shared" si="77"/>
        <v>-5368.3800000000028</v>
      </c>
      <c r="AQ80" s="153">
        <f t="shared" si="78"/>
        <v>-0.29018270270270285</v>
      </c>
      <c r="AR80" s="154">
        <f t="shared" si="79"/>
        <v>356468.38</v>
      </c>
      <c r="AS80" s="155">
        <f t="shared" si="80"/>
        <v>0.96447072510822507</v>
      </c>
      <c r="AT80" s="785">
        <f t="shared" si="81"/>
        <v>18500</v>
      </c>
      <c r="AU80" s="786" t="str">
        <f t="shared" si="82"/>
        <v>Vendido</v>
      </c>
      <c r="AV80" s="786" t="str">
        <f t="shared" si="83"/>
        <v>Cliente al día</v>
      </c>
      <c r="AW80" s="174">
        <v>19</v>
      </c>
      <c r="AX80" s="174">
        <f t="shared" si="94"/>
        <v>1</v>
      </c>
      <c r="AY80" s="174">
        <f t="shared" si="95"/>
        <v>20</v>
      </c>
      <c r="AZ80" s="173">
        <v>1500</v>
      </c>
      <c r="BA80" s="789">
        <v>894.74</v>
      </c>
      <c r="BB80" s="786">
        <f t="shared" si="93"/>
        <v>8</v>
      </c>
      <c r="BC80" s="787">
        <f t="shared" si="85"/>
        <v>13</v>
      </c>
      <c r="BD80" s="788">
        <f t="shared" si="86"/>
        <v>13131.62</v>
      </c>
      <c r="BE80" s="787">
        <f t="shared" si="87"/>
        <v>8052.6599999999989</v>
      </c>
      <c r="BF80" s="787">
        <f t="shared" si="88"/>
        <v>4184.2199999999993</v>
      </c>
      <c r="BG80" s="787">
        <f t="shared" si="89"/>
        <v>894.73999999999887</v>
      </c>
      <c r="BH80" s="787">
        <f t="shared" si="90"/>
        <v>0</v>
      </c>
      <c r="BI80" s="787">
        <f t="shared" si="91"/>
        <v>0</v>
      </c>
      <c r="BJ80" s="217">
        <f t="shared" si="92"/>
        <v>0</v>
      </c>
      <c r="BK80" s="152"/>
      <c r="BL80" s="200"/>
    </row>
    <row r="81" spans="1:64" x14ac:dyDescent="0.25">
      <c r="B81" s="135">
        <v>608</v>
      </c>
      <c r="C81" s="135" t="s">
        <v>916</v>
      </c>
      <c r="D81" s="135" t="s">
        <v>146</v>
      </c>
      <c r="E81" s="135"/>
      <c r="F81" s="137"/>
      <c r="G81" s="138"/>
      <c r="H81" s="135" t="s">
        <v>374</v>
      </c>
      <c r="I81" s="121">
        <v>477700</v>
      </c>
      <c r="J81" s="121">
        <v>23900</v>
      </c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784">
        <f t="shared" si="75"/>
        <v>0</v>
      </c>
      <c r="AO81" s="153">
        <f t="shared" si="76"/>
        <v>0</v>
      </c>
      <c r="AP81" s="784">
        <f t="shared" si="77"/>
        <v>0</v>
      </c>
      <c r="AQ81" s="153">
        <f t="shared" si="78"/>
        <v>0</v>
      </c>
      <c r="AR81" s="154">
        <f t="shared" si="79"/>
        <v>477700</v>
      </c>
      <c r="AS81" s="155">
        <f t="shared" si="80"/>
        <v>1</v>
      </c>
      <c r="AT81" s="785">
        <f t="shared" si="81"/>
        <v>0</v>
      </c>
      <c r="AU81" s="786" t="str">
        <f t="shared" si="82"/>
        <v>Apartamento Disponible</v>
      </c>
      <c r="AV81" s="786" t="str">
        <f t="shared" si="83"/>
        <v>Disponible</v>
      </c>
      <c r="AW81" s="174"/>
      <c r="AX81" s="174">
        <f t="shared" si="94"/>
        <v>0</v>
      </c>
      <c r="AY81" s="174">
        <f t="shared" si="95"/>
        <v>0</v>
      </c>
      <c r="AZ81" s="173">
        <v>0</v>
      </c>
      <c r="BA81" s="789">
        <v>0</v>
      </c>
      <c r="BB81" s="786">
        <f t="shared" si="93"/>
        <v>0</v>
      </c>
      <c r="BC81" s="787">
        <f t="shared" si="85"/>
        <v>0</v>
      </c>
      <c r="BD81" s="788">
        <f t="shared" si="86"/>
        <v>0</v>
      </c>
      <c r="BE81" s="787">
        <f t="shared" si="87"/>
        <v>0</v>
      </c>
      <c r="BF81" s="787">
        <f t="shared" si="88"/>
        <v>0</v>
      </c>
      <c r="BG81" s="787">
        <f t="shared" si="89"/>
        <v>0</v>
      </c>
      <c r="BH81" s="787">
        <f t="shared" si="90"/>
        <v>0</v>
      </c>
      <c r="BI81" s="787">
        <f t="shared" si="91"/>
        <v>0</v>
      </c>
      <c r="BJ81" s="217">
        <f t="shared" si="92"/>
        <v>0</v>
      </c>
      <c r="BK81" s="152"/>
      <c r="BL81" s="200"/>
    </row>
    <row r="82" spans="1:64" x14ac:dyDescent="0.25">
      <c r="B82" s="135">
        <v>609</v>
      </c>
      <c r="C82" s="135" t="s">
        <v>916</v>
      </c>
      <c r="D82" s="135" t="s">
        <v>146</v>
      </c>
      <c r="E82" s="135"/>
      <c r="F82" s="137"/>
      <c r="G82" s="138"/>
      <c r="H82" s="135" t="s">
        <v>374</v>
      </c>
      <c r="I82" s="121">
        <v>507200</v>
      </c>
      <c r="J82" s="121">
        <v>50720</v>
      </c>
      <c r="K82" s="121">
        <v>0</v>
      </c>
      <c r="L82" s="121">
        <v>0</v>
      </c>
      <c r="M82" s="121">
        <v>0</v>
      </c>
      <c r="N82" s="121">
        <v>0</v>
      </c>
      <c r="O82" s="121">
        <v>0</v>
      </c>
      <c r="P82" s="121">
        <v>0</v>
      </c>
      <c r="Q82" s="121">
        <v>0</v>
      </c>
      <c r="R82" s="121">
        <v>0</v>
      </c>
      <c r="S82" s="121">
        <v>0</v>
      </c>
      <c r="T82" s="121">
        <v>0</v>
      </c>
      <c r="U82" s="121">
        <v>0</v>
      </c>
      <c r="V82" s="121">
        <v>0</v>
      </c>
      <c r="W82" s="121">
        <v>0</v>
      </c>
      <c r="X82" s="121">
        <v>0</v>
      </c>
      <c r="Y82" s="121">
        <v>0</v>
      </c>
      <c r="Z82" s="121">
        <v>0</v>
      </c>
      <c r="AA82" s="121">
        <v>0</v>
      </c>
      <c r="AB82" s="121">
        <v>0</v>
      </c>
      <c r="AC82" s="121">
        <v>0</v>
      </c>
      <c r="AD82" s="121">
        <v>0</v>
      </c>
      <c r="AE82" s="121">
        <v>0</v>
      </c>
      <c r="AF82" s="121">
        <v>0</v>
      </c>
      <c r="AG82" s="121">
        <v>0</v>
      </c>
      <c r="AH82" s="121">
        <v>0</v>
      </c>
      <c r="AI82" s="121">
        <v>0</v>
      </c>
      <c r="AJ82" s="121"/>
      <c r="AK82" s="121"/>
      <c r="AL82" s="121"/>
      <c r="AM82" s="121"/>
      <c r="AN82" s="784">
        <f t="shared" si="75"/>
        <v>0</v>
      </c>
      <c r="AO82" s="153">
        <f t="shared" si="76"/>
        <v>0</v>
      </c>
      <c r="AP82" s="784">
        <f t="shared" si="77"/>
        <v>0</v>
      </c>
      <c r="AQ82" s="153">
        <f t="shared" si="78"/>
        <v>0</v>
      </c>
      <c r="AR82" s="154">
        <f t="shared" si="79"/>
        <v>507200</v>
      </c>
      <c r="AS82" s="155">
        <f t="shared" si="80"/>
        <v>1</v>
      </c>
      <c r="AT82" s="785">
        <f t="shared" si="81"/>
        <v>0</v>
      </c>
      <c r="AU82" s="786" t="str">
        <f t="shared" si="82"/>
        <v>Apartamento Disponible</v>
      </c>
      <c r="AV82" s="786" t="str">
        <f t="shared" si="83"/>
        <v>Disponible</v>
      </c>
      <c r="AW82" s="174"/>
      <c r="AX82" s="174">
        <f t="shared" si="94"/>
        <v>0</v>
      </c>
      <c r="AY82" s="174">
        <f t="shared" si="95"/>
        <v>0</v>
      </c>
      <c r="AZ82" s="173"/>
      <c r="BA82" s="789">
        <f t="shared" si="84"/>
        <v>0</v>
      </c>
      <c r="BB82" s="786">
        <f t="shared" si="93"/>
        <v>0</v>
      </c>
      <c r="BC82" s="787">
        <f t="shared" si="85"/>
        <v>0</v>
      </c>
      <c r="BD82" s="788">
        <f t="shared" si="86"/>
        <v>0</v>
      </c>
      <c r="BE82" s="787">
        <f t="shared" si="87"/>
        <v>0</v>
      </c>
      <c r="BF82" s="787">
        <f t="shared" si="88"/>
        <v>0</v>
      </c>
      <c r="BG82" s="787">
        <f t="shared" si="89"/>
        <v>0</v>
      </c>
      <c r="BH82" s="787">
        <f t="shared" si="90"/>
        <v>0</v>
      </c>
      <c r="BI82" s="787">
        <f t="shared" si="91"/>
        <v>0</v>
      </c>
      <c r="BJ82" s="217">
        <f t="shared" si="92"/>
        <v>0</v>
      </c>
      <c r="BK82" s="152"/>
      <c r="BL82" s="200"/>
    </row>
    <row r="83" spans="1:64" x14ac:dyDescent="0.25">
      <c r="A83" s="86" t="s">
        <v>1015</v>
      </c>
      <c r="B83" s="135">
        <v>608</v>
      </c>
      <c r="C83" s="135" t="s">
        <v>145</v>
      </c>
      <c r="D83" s="135" t="s">
        <v>913</v>
      </c>
      <c r="E83" s="135" t="s">
        <v>147</v>
      </c>
      <c r="F83" s="137" t="s">
        <v>1016</v>
      </c>
      <c r="G83" s="138">
        <v>45410</v>
      </c>
      <c r="H83" s="135" t="s">
        <v>128</v>
      </c>
      <c r="I83" s="121">
        <v>477000</v>
      </c>
      <c r="J83" s="121">
        <v>24000</v>
      </c>
      <c r="K83" s="121">
        <v>0</v>
      </c>
      <c r="L83" s="121">
        <v>0</v>
      </c>
      <c r="M83" s="121">
        <v>0</v>
      </c>
      <c r="N83" s="121">
        <v>0</v>
      </c>
      <c r="O83" s="121">
        <v>0</v>
      </c>
      <c r="P83" s="121">
        <v>0</v>
      </c>
      <c r="Q83" s="121">
        <v>0</v>
      </c>
      <c r="R83" s="121">
        <v>0</v>
      </c>
      <c r="S83" s="121">
        <v>0</v>
      </c>
      <c r="T83" s="121">
        <v>0</v>
      </c>
      <c r="U83" s="121">
        <v>0</v>
      </c>
      <c r="V83" s="121">
        <v>0</v>
      </c>
      <c r="W83" s="121">
        <v>0</v>
      </c>
      <c r="X83" s="121">
        <v>1500</v>
      </c>
      <c r="Y83" s="121">
        <v>1125</v>
      </c>
      <c r="Z83" s="121">
        <v>1125</v>
      </c>
      <c r="AA83" s="121">
        <v>0</v>
      </c>
      <c r="AB83" s="121">
        <v>2250</v>
      </c>
      <c r="AC83" s="121">
        <v>0</v>
      </c>
      <c r="AD83" s="121">
        <v>1125</v>
      </c>
      <c r="AE83" s="121">
        <v>1125</v>
      </c>
      <c r="AF83" s="121">
        <f>1125+1125</f>
        <v>2250</v>
      </c>
      <c r="AG83" s="121">
        <v>0</v>
      </c>
      <c r="AH83" s="121">
        <v>1125</v>
      </c>
      <c r="AI83" s="121">
        <f>1125+1125</f>
        <v>2250</v>
      </c>
      <c r="AJ83" s="121">
        <v>1125</v>
      </c>
      <c r="AK83" s="202">
        <v>1125</v>
      </c>
      <c r="AL83" s="203">
        <v>1125</v>
      </c>
      <c r="AM83" s="203">
        <v>1125</v>
      </c>
      <c r="AN83" s="784">
        <f t="shared" si="75"/>
        <v>18375</v>
      </c>
      <c r="AO83" s="153">
        <f t="shared" si="76"/>
        <v>0.765625</v>
      </c>
      <c r="AP83" s="784">
        <f t="shared" si="77"/>
        <v>-5625</v>
      </c>
      <c r="AQ83" s="153">
        <f>+AP83/J83</f>
        <v>-0.234375</v>
      </c>
      <c r="AR83" s="154">
        <f t="shared" si="79"/>
        <v>458625</v>
      </c>
      <c r="AS83" s="155">
        <f t="shared" si="80"/>
        <v>0.96147798742138368</v>
      </c>
      <c r="AT83" s="785">
        <f t="shared" si="81"/>
        <v>24000</v>
      </c>
      <c r="AU83" s="786" t="str">
        <f t="shared" si="82"/>
        <v>Vendido</v>
      </c>
      <c r="AV83" s="786" t="str">
        <f t="shared" si="83"/>
        <v>Cliente al día</v>
      </c>
      <c r="AW83" s="174">
        <v>20</v>
      </c>
      <c r="AX83" s="174">
        <f t="shared" si="94"/>
        <v>1</v>
      </c>
      <c r="AY83" s="174">
        <f t="shared" si="95"/>
        <v>21</v>
      </c>
      <c r="AZ83" s="173">
        <v>1500</v>
      </c>
      <c r="BA83" s="789">
        <v>1125</v>
      </c>
      <c r="BB83" s="786">
        <f t="shared" si="93"/>
        <v>7</v>
      </c>
      <c r="BC83" s="787">
        <f t="shared" si="85"/>
        <v>14</v>
      </c>
      <c r="BD83" s="788">
        <f t="shared" si="86"/>
        <v>17250</v>
      </c>
      <c r="BE83" s="787">
        <f t="shared" si="87"/>
        <v>9000</v>
      </c>
      <c r="BF83" s="787">
        <f t="shared" si="88"/>
        <v>8250</v>
      </c>
      <c r="BG83" s="787">
        <f t="shared" si="89"/>
        <v>1125</v>
      </c>
      <c r="BH83" s="787">
        <f t="shared" si="90"/>
        <v>1125</v>
      </c>
      <c r="BI83" s="787">
        <f t="shared" si="91"/>
        <v>0</v>
      </c>
      <c r="BJ83" s="217">
        <f t="shared" si="92"/>
        <v>0</v>
      </c>
      <c r="BK83" s="152"/>
      <c r="BL83" s="200"/>
    </row>
    <row r="84" spans="1:64" x14ac:dyDescent="0.25">
      <c r="B84" s="135">
        <v>611</v>
      </c>
      <c r="C84" s="135" t="s">
        <v>916</v>
      </c>
      <c r="D84" s="135" t="s">
        <v>913</v>
      </c>
      <c r="E84" s="135"/>
      <c r="F84" s="137"/>
      <c r="G84" s="138"/>
      <c r="H84" s="135" t="s">
        <v>374</v>
      </c>
      <c r="I84" s="121">
        <v>507200</v>
      </c>
      <c r="J84" s="121">
        <v>50720</v>
      </c>
      <c r="K84" s="121">
        <v>0</v>
      </c>
      <c r="L84" s="121">
        <v>0</v>
      </c>
      <c r="M84" s="121">
        <v>0</v>
      </c>
      <c r="N84" s="121">
        <v>0</v>
      </c>
      <c r="O84" s="121">
        <v>0</v>
      </c>
      <c r="P84" s="121">
        <v>0</v>
      </c>
      <c r="Q84" s="121">
        <v>0</v>
      </c>
      <c r="R84" s="121">
        <v>0</v>
      </c>
      <c r="S84" s="121">
        <v>0</v>
      </c>
      <c r="T84" s="121">
        <v>0</v>
      </c>
      <c r="U84" s="121">
        <v>0</v>
      </c>
      <c r="V84" s="121">
        <v>0</v>
      </c>
      <c r="W84" s="121">
        <v>0</v>
      </c>
      <c r="X84" s="121">
        <v>0</v>
      </c>
      <c r="Y84" s="121">
        <v>0</v>
      </c>
      <c r="Z84" s="121">
        <v>0</v>
      </c>
      <c r="AA84" s="121">
        <v>0</v>
      </c>
      <c r="AB84" s="121">
        <v>0</v>
      </c>
      <c r="AC84" s="121">
        <v>0</v>
      </c>
      <c r="AD84" s="121">
        <v>0</v>
      </c>
      <c r="AE84" s="121">
        <v>0</v>
      </c>
      <c r="AF84" s="121">
        <v>0</v>
      </c>
      <c r="AG84" s="121">
        <v>0</v>
      </c>
      <c r="AH84" s="121">
        <v>0</v>
      </c>
      <c r="AI84" s="121">
        <v>0</v>
      </c>
      <c r="AJ84" s="121"/>
      <c r="AK84" s="121"/>
      <c r="AL84" s="121"/>
      <c r="AM84" s="121"/>
      <c r="AN84" s="784">
        <f t="shared" si="75"/>
        <v>0</v>
      </c>
      <c r="AO84" s="153">
        <f t="shared" si="76"/>
        <v>0</v>
      </c>
      <c r="AP84" s="784">
        <f t="shared" si="77"/>
        <v>0</v>
      </c>
      <c r="AQ84" s="153">
        <f t="shared" si="78"/>
        <v>0</v>
      </c>
      <c r="AR84" s="154">
        <f t="shared" si="79"/>
        <v>507200</v>
      </c>
      <c r="AS84" s="155">
        <f t="shared" si="80"/>
        <v>1</v>
      </c>
      <c r="AT84" s="785">
        <f t="shared" si="81"/>
        <v>0</v>
      </c>
      <c r="AU84" s="786" t="str">
        <f t="shared" ref="AU84:AU86" si="96">IF(F84=0,"Apartamento Disponible",IF(F84&gt;1,"Vendido",0))</f>
        <v>Apartamento Disponible</v>
      </c>
      <c r="AV84" s="786" t="str">
        <f t="shared" si="83"/>
        <v>Disponible</v>
      </c>
      <c r="AW84" s="174"/>
      <c r="AX84" s="174">
        <f t="shared" si="94"/>
        <v>0</v>
      </c>
      <c r="AY84" s="174">
        <f t="shared" si="95"/>
        <v>0</v>
      </c>
      <c r="AZ84" s="173"/>
      <c r="BA84" s="789">
        <f t="shared" si="84"/>
        <v>0</v>
      </c>
      <c r="BB84" s="786">
        <f t="shared" si="93"/>
        <v>0</v>
      </c>
      <c r="BC84" s="787">
        <f t="shared" si="85"/>
        <v>0</v>
      </c>
      <c r="BD84" s="788">
        <f t="shared" si="86"/>
        <v>0</v>
      </c>
      <c r="BE84" s="787">
        <f t="shared" si="87"/>
        <v>0</v>
      </c>
      <c r="BF84" s="787">
        <f t="shared" si="88"/>
        <v>0</v>
      </c>
      <c r="BG84" s="787">
        <f t="shared" si="89"/>
        <v>0</v>
      </c>
      <c r="BH84" s="787">
        <f t="shared" si="90"/>
        <v>0</v>
      </c>
      <c r="BI84" s="787">
        <f t="shared" si="91"/>
        <v>0</v>
      </c>
      <c r="BJ84" s="217">
        <f t="shared" si="92"/>
        <v>0</v>
      </c>
      <c r="BK84" s="152"/>
      <c r="BL84" s="200"/>
    </row>
    <row r="85" spans="1:64" x14ac:dyDescent="0.25">
      <c r="A85" s="86" t="s">
        <v>1017</v>
      </c>
      <c r="B85" s="135">
        <v>610</v>
      </c>
      <c r="C85" s="135" t="s">
        <v>145</v>
      </c>
      <c r="D85" s="135" t="s">
        <v>146</v>
      </c>
      <c r="E85" s="135" t="s">
        <v>147</v>
      </c>
      <c r="F85" s="137" t="s">
        <v>1018</v>
      </c>
      <c r="G85" s="138">
        <v>45349</v>
      </c>
      <c r="H85" s="135" t="s">
        <v>128</v>
      </c>
      <c r="I85" s="121">
        <v>477700</v>
      </c>
      <c r="J85" s="121">
        <v>24000</v>
      </c>
      <c r="K85" s="121">
        <v>0</v>
      </c>
      <c r="L85" s="121">
        <v>0</v>
      </c>
      <c r="M85" s="121">
        <v>0</v>
      </c>
      <c r="N85" s="121">
        <v>0</v>
      </c>
      <c r="O85" s="121">
        <v>0</v>
      </c>
      <c r="P85" s="121">
        <v>0</v>
      </c>
      <c r="Q85" s="121">
        <v>0</v>
      </c>
      <c r="R85" s="121">
        <v>0</v>
      </c>
      <c r="S85" s="121">
        <v>0</v>
      </c>
      <c r="T85" s="121">
        <v>0</v>
      </c>
      <c r="U85" s="121">
        <v>0</v>
      </c>
      <c r="V85" s="121">
        <v>1000</v>
      </c>
      <c r="W85" s="121">
        <v>0</v>
      </c>
      <c r="X85" s="121">
        <v>1045.45</v>
      </c>
      <c r="Y85" s="121">
        <v>1045.45</v>
      </c>
      <c r="Z85" s="121">
        <v>1045.45</v>
      </c>
      <c r="AA85" s="121">
        <v>1045.45</v>
      </c>
      <c r="AB85" s="121">
        <v>1045.45</v>
      </c>
      <c r="AC85" s="121">
        <v>1045</v>
      </c>
      <c r="AD85" s="121">
        <v>1045.45</v>
      </c>
      <c r="AE85" s="121">
        <v>1045.45</v>
      </c>
      <c r="AF85" s="121">
        <v>1045.45</v>
      </c>
      <c r="AG85" s="121">
        <v>1045.45</v>
      </c>
      <c r="AH85" s="121">
        <v>1045.45</v>
      </c>
      <c r="AI85" s="121">
        <v>1045.45</v>
      </c>
      <c r="AJ85" s="198">
        <v>1045.45</v>
      </c>
      <c r="AK85" s="205">
        <v>1045.45</v>
      </c>
      <c r="AL85" s="203">
        <f>1045.45</f>
        <v>1045.45</v>
      </c>
      <c r="AM85" s="203">
        <v>1045.45</v>
      </c>
      <c r="AN85" s="784">
        <f t="shared" si="75"/>
        <v>17726.750000000007</v>
      </c>
      <c r="AO85" s="153">
        <f t="shared" si="76"/>
        <v>0.73861458333333363</v>
      </c>
      <c r="AP85" s="784">
        <f t="shared" si="77"/>
        <v>-6273.2499999999927</v>
      </c>
      <c r="AQ85" s="153">
        <f t="shared" si="78"/>
        <v>-0.26138541666666637</v>
      </c>
      <c r="AR85" s="154">
        <f t="shared" si="79"/>
        <v>459973.25</v>
      </c>
      <c r="AS85" s="155">
        <f t="shared" si="80"/>
        <v>0.96289145907473306</v>
      </c>
      <c r="AT85" s="785">
        <f t="shared" si="81"/>
        <v>24000</v>
      </c>
      <c r="AU85" s="786" t="str">
        <f t="shared" si="96"/>
        <v>Vendido</v>
      </c>
      <c r="AV85" s="786" t="str">
        <f t="shared" si="83"/>
        <v>Cliente Atrasado</v>
      </c>
      <c r="AW85" s="174">
        <v>22</v>
      </c>
      <c r="AX85" s="174">
        <f t="shared" si="94"/>
        <v>1</v>
      </c>
      <c r="AY85" s="174">
        <f t="shared" si="95"/>
        <v>23</v>
      </c>
      <c r="AZ85" s="173">
        <v>1000</v>
      </c>
      <c r="BA85" s="789">
        <v>1045.45</v>
      </c>
      <c r="BB85" s="786">
        <f t="shared" si="93"/>
        <v>0</v>
      </c>
      <c r="BC85" s="787">
        <f t="shared" si="85"/>
        <v>16</v>
      </c>
      <c r="BD85" s="788">
        <f t="shared" si="86"/>
        <v>17727.2</v>
      </c>
      <c r="BE85" s="787">
        <f t="shared" si="87"/>
        <v>16681.300000000007</v>
      </c>
      <c r="BF85" s="787">
        <f t="shared" si="88"/>
        <v>0</v>
      </c>
      <c r="BG85" s="787">
        <f t="shared" si="89"/>
        <v>1045.4500000000007</v>
      </c>
      <c r="BH85" s="787">
        <f t="shared" si="90"/>
        <v>0</v>
      </c>
      <c r="BI85" s="787">
        <f t="shared" si="91"/>
        <v>0.44999999999345164</v>
      </c>
      <c r="BJ85" s="217">
        <f t="shared" si="92"/>
        <v>1</v>
      </c>
      <c r="BK85" s="152"/>
      <c r="BL85" s="200"/>
    </row>
    <row r="86" spans="1:64" x14ac:dyDescent="0.25">
      <c r="A86" s="86" t="s">
        <v>1019</v>
      </c>
      <c r="B86" s="135">
        <v>613</v>
      </c>
      <c r="C86" s="135" t="s">
        <v>146</v>
      </c>
      <c r="D86" s="135" t="s">
        <v>146</v>
      </c>
      <c r="E86" s="135" t="s">
        <v>147</v>
      </c>
      <c r="F86" s="137" t="s">
        <v>1020</v>
      </c>
      <c r="G86" s="138">
        <v>45340</v>
      </c>
      <c r="H86" s="135" t="s">
        <v>128</v>
      </c>
      <c r="I86" s="121">
        <v>477700</v>
      </c>
      <c r="J86" s="121">
        <v>24000</v>
      </c>
      <c r="K86" s="121">
        <v>0</v>
      </c>
      <c r="L86" s="121">
        <v>0</v>
      </c>
      <c r="M86" s="121">
        <v>0</v>
      </c>
      <c r="N86" s="121">
        <v>0</v>
      </c>
      <c r="O86" s="121">
        <v>0</v>
      </c>
      <c r="P86" s="121">
        <v>0</v>
      </c>
      <c r="Q86" s="121">
        <v>0</v>
      </c>
      <c r="R86" s="121">
        <v>0</v>
      </c>
      <c r="S86" s="121">
        <v>0</v>
      </c>
      <c r="T86" s="121">
        <v>0</v>
      </c>
      <c r="U86" s="121">
        <v>0</v>
      </c>
      <c r="V86" s="121">
        <v>1000</v>
      </c>
      <c r="W86" s="121">
        <v>0</v>
      </c>
      <c r="X86" s="121">
        <v>1045.45</v>
      </c>
      <c r="Y86" s="121">
        <v>1045.45</v>
      </c>
      <c r="Z86" s="121">
        <v>1045.45</v>
      </c>
      <c r="AA86" s="121">
        <v>1045.45</v>
      </c>
      <c r="AB86" s="121">
        <v>1045.45</v>
      </c>
      <c r="AC86" s="121">
        <v>1045.45</v>
      </c>
      <c r="AD86" s="121">
        <v>1045.45</v>
      </c>
      <c r="AE86" s="121">
        <v>1045.45</v>
      </c>
      <c r="AF86" s="121">
        <v>1045.45</v>
      </c>
      <c r="AG86" s="121">
        <v>1045.45</v>
      </c>
      <c r="AH86" s="121">
        <v>1045.45</v>
      </c>
      <c r="AI86" s="121">
        <v>1045.45</v>
      </c>
      <c r="AJ86" s="121">
        <v>1045.45</v>
      </c>
      <c r="AK86" s="202">
        <v>1045.45</v>
      </c>
      <c r="AL86" s="203">
        <v>1045.45</v>
      </c>
      <c r="AM86" s="203">
        <v>1045.45</v>
      </c>
      <c r="AN86" s="784">
        <f t="shared" si="75"/>
        <v>17727.200000000004</v>
      </c>
      <c r="AO86" s="153">
        <f t="shared" si="76"/>
        <v>0.73863333333333347</v>
      </c>
      <c r="AP86" s="784">
        <f t="shared" si="77"/>
        <v>-6272.7999999999956</v>
      </c>
      <c r="AQ86" s="153">
        <f t="shared" si="78"/>
        <v>-0.26136666666666647</v>
      </c>
      <c r="AR86" s="154">
        <f t="shared" si="79"/>
        <v>459972.8</v>
      </c>
      <c r="AS86" s="155">
        <f t="shared" si="80"/>
        <v>0.96289051706091688</v>
      </c>
      <c r="AT86" s="785">
        <f t="shared" si="81"/>
        <v>24000</v>
      </c>
      <c r="AU86" s="786" t="str">
        <f t="shared" si="96"/>
        <v>Vendido</v>
      </c>
      <c r="AV86" s="786" t="str">
        <f t="shared" si="83"/>
        <v>Cliente al día</v>
      </c>
      <c r="AW86" s="174">
        <v>22</v>
      </c>
      <c r="AX86" s="174">
        <f t="shared" si="94"/>
        <v>1</v>
      </c>
      <c r="AY86" s="174">
        <f t="shared" si="95"/>
        <v>23</v>
      </c>
      <c r="AZ86" s="173">
        <v>1000</v>
      </c>
      <c r="BA86" s="789">
        <v>1045.45</v>
      </c>
      <c r="BB86" s="786">
        <f t="shared" si="93"/>
        <v>0</v>
      </c>
      <c r="BC86" s="787">
        <f t="shared" si="85"/>
        <v>16</v>
      </c>
      <c r="BD86" s="788">
        <f t="shared" si="86"/>
        <v>17727.2</v>
      </c>
      <c r="BE86" s="787">
        <f t="shared" si="87"/>
        <v>16681.750000000004</v>
      </c>
      <c r="BF86" s="787">
        <f t="shared" si="88"/>
        <v>0</v>
      </c>
      <c r="BG86" s="787">
        <f t="shared" si="89"/>
        <v>1045.4500000000007</v>
      </c>
      <c r="BH86" s="787">
        <f t="shared" si="90"/>
        <v>0</v>
      </c>
      <c r="BI86" s="787">
        <f t="shared" si="91"/>
        <v>0</v>
      </c>
      <c r="BJ86" s="217">
        <f t="shared" si="92"/>
        <v>0</v>
      </c>
      <c r="BK86" s="152"/>
      <c r="BL86" s="200"/>
    </row>
    <row r="87" spans="1:64" x14ac:dyDescent="0.25">
      <c r="I87" s="187">
        <f t="shared" ref="I87:AN87" si="97">SUM(I7:I86)</f>
        <v>37680542</v>
      </c>
      <c r="J87" s="187">
        <f t="shared" si="97"/>
        <v>2612172</v>
      </c>
      <c r="K87" s="236">
        <f t="shared" si="97"/>
        <v>0</v>
      </c>
      <c r="L87" s="236">
        <f t="shared" si="97"/>
        <v>0</v>
      </c>
      <c r="M87" s="236">
        <f t="shared" si="97"/>
        <v>0</v>
      </c>
      <c r="N87" s="236">
        <f t="shared" si="97"/>
        <v>0</v>
      </c>
      <c r="O87" s="236">
        <f t="shared" si="97"/>
        <v>0</v>
      </c>
      <c r="P87" s="236">
        <f t="shared" si="97"/>
        <v>0</v>
      </c>
      <c r="Q87" s="236">
        <f t="shared" si="97"/>
        <v>0</v>
      </c>
      <c r="R87" s="236">
        <f t="shared" si="97"/>
        <v>1925</v>
      </c>
      <c r="S87" s="236">
        <f t="shared" si="97"/>
        <v>7219.74</v>
      </c>
      <c r="T87" s="236">
        <f t="shared" si="97"/>
        <v>9663.83</v>
      </c>
      <c r="U87" s="236">
        <f t="shared" si="97"/>
        <v>17519.28</v>
      </c>
      <c r="V87" s="236">
        <f t="shared" si="97"/>
        <v>18695.47</v>
      </c>
      <c r="W87" s="236">
        <f t="shared" si="97"/>
        <v>24360.880000000001</v>
      </c>
      <c r="X87" s="236">
        <f t="shared" si="97"/>
        <v>29435.49</v>
      </c>
      <c r="Y87" s="236">
        <f t="shared" si="97"/>
        <v>37992.559999999998</v>
      </c>
      <c r="Z87" s="236">
        <f t="shared" si="97"/>
        <v>30185.860000000004</v>
      </c>
      <c r="AA87" s="236">
        <f t="shared" si="97"/>
        <v>41439.789999999994</v>
      </c>
      <c r="AB87" s="236">
        <f t="shared" si="97"/>
        <v>38735.569999999992</v>
      </c>
      <c r="AC87" s="236">
        <f t="shared" si="97"/>
        <v>42382.76</v>
      </c>
      <c r="AD87" s="236">
        <f t="shared" si="97"/>
        <v>44833.729999999996</v>
      </c>
      <c r="AE87" s="236">
        <f t="shared" si="97"/>
        <v>43038.929999999986</v>
      </c>
      <c r="AF87" s="236">
        <f t="shared" si="97"/>
        <v>50917.279999999992</v>
      </c>
      <c r="AG87" s="236">
        <f t="shared" si="97"/>
        <v>40424.399999999994</v>
      </c>
      <c r="AH87" s="236">
        <f t="shared" si="97"/>
        <v>45660.01999999999</v>
      </c>
      <c r="AI87" s="236">
        <f t="shared" si="97"/>
        <v>48059.999999999993</v>
      </c>
      <c r="AJ87" s="236">
        <f t="shared" si="97"/>
        <v>53267.299999999996</v>
      </c>
      <c r="AK87" s="236">
        <f t="shared" si="97"/>
        <v>59635.899999999994</v>
      </c>
      <c r="AL87" s="236">
        <f t="shared" si="97"/>
        <v>62616.19999999999</v>
      </c>
      <c r="AM87" s="236">
        <f t="shared" si="97"/>
        <v>97798.69</v>
      </c>
      <c r="AN87" s="236">
        <f t="shared" si="97"/>
        <v>845808.67999999982</v>
      </c>
      <c r="AO87" s="188">
        <f>+AN87/AN90</f>
        <v>0.99221707656808267</v>
      </c>
      <c r="AP87" s="187">
        <f>SUM(AP7:AP86)</f>
        <v>-1084673.32</v>
      </c>
      <c r="AQ87" s="185"/>
      <c r="AR87" s="187">
        <f>SUM(AR7:AR86)</f>
        <v>36359933.319999993</v>
      </c>
      <c r="AS87" s="96"/>
      <c r="AT87" s="187">
        <f>SUM(AT7:AT86)</f>
        <v>1927582</v>
      </c>
      <c r="AU87" s="171"/>
      <c r="BD87" s="221" t="e">
        <f t="shared" ref="BD87:BI87" si="98">SUM(BD7:BD86)</f>
        <v>#NUM!</v>
      </c>
      <c r="BE87" s="221">
        <f t="shared" si="98"/>
        <v>438355.14</v>
      </c>
      <c r="BF87" s="221">
        <f t="shared" si="98"/>
        <v>306654.84999999998</v>
      </c>
      <c r="BG87" s="214">
        <f t="shared" si="98"/>
        <v>96398.690000000017</v>
      </c>
      <c r="BH87" s="221" t="e">
        <f t="shared" si="98"/>
        <v>#NUM!</v>
      </c>
      <c r="BI87" s="218" t="e">
        <f t="shared" si="98"/>
        <v>#NUM!</v>
      </c>
    </row>
    <row r="88" spans="1:64" x14ac:dyDescent="0.25">
      <c r="H88" s="86" t="s">
        <v>708</v>
      </c>
      <c r="I88" s="43"/>
      <c r="J88" s="43"/>
      <c r="K88" s="237">
        <f t="shared" ref="K88:AL88" si="99">+K118</f>
        <v>0</v>
      </c>
      <c r="L88" s="237">
        <f t="shared" si="99"/>
        <v>0</v>
      </c>
      <c r="M88" s="237">
        <f t="shared" si="99"/>
        <v>0</v>
      </c>
      <c r="N88" s="237">
        <f t="shared" si="99"/>
        <v>0</v>
      </c>
      <c r="O88" s="237">
        <f t="shared" si="99"/>
        <v>0</v>
      </c>
      <c r="P88" s="237">
        <f t="shared" si="99"/>
        <v>0</v>
      </c>
      <c r="Q88" s="237">
        <f t="shared" si="99"/>
        <v>0</v>
      </c>
      <c r="R88" s="237">
        <f t="shared" si="99"/>
        <v>3323.33</v>
      </c>
      <c r="S88" s="237">
        <f t="shared" si="99"/>
        <v>2823.33</v>
      </c>
      <c r="T88" s="237">
        <f t="shared" si="99"/>
        <v>5550.6</v>
      </c>
      <c r="U88" s="237">
        <f t="shared" si="99"/>
        <v>6860.12</v>
      </c>
      <c r="V88" s="237">
        <f t="shared" si="99"/>
        <v>3309.52</v>
      </c>
      <c r="W88" s="237">
        <f t="shared" si="99"/>
        <v>9860.119999999999</v>
      </c>
      <c r="X88" s="237">
        <f t="shared" si="99"/>
        <v>10229.450000000001</v>
      </c>
      <c r="Y88" s="237">
        <f t="shared" si="99"/>
        <v>4869.33</v>
      </c>
      <c r="Z88" s="237">
        <f t="shared" si="99"/>
        <v>1045</v>
      </c>
      <c r="AA88" s="237">
        <f t="shared" si="99"/>
        <v>9186.66</v>
      </c>
      <c r="AB88" s="237">
        <f t="shared" si="99"/>
        <v>6363.33</v>
      </c>
      <c r="AC88" s="237">
        <f t="shared" si="99"/>
        <v>3045</v>
      </c>
      <c r="AD88" s="237">
        <f t="shared" si="99"/>
        <v>3368.7799999999997</v>
      </c>
      <c r="AE88" s="237">
        <f t="shared" si="99"/>
        <v>4845</v>
      </c>
      <c r="AF88" s="237">
        <f t="shared" si="99"/>
        <v>7996.66</v>
      </c>
      <c r="AG88" s="237">
        <f t="shared" si="99"/>
        <v>1050</v>
      </c>
      <c r="AH88" s="237">
        <f t="shared" si="99"/>
        <v>6650</v>
      </c>
      <c r="AI88" s="237">
        <f t="shared" si="99"/>
        <v>2845</v>
      </c>
      <c r="AJ88" s="237">
        <f t="shared" si="99"/>
        <v>1045</v>
      </c>
      <c r="AK88" s="237">
        <f t="shared" si="99"/>
        <v>4350</v>
      </c>
      <c r="AL88" s="237">
        <f t="shared" si="99"/>
        <v>1800</v>
      </c>
      <c r="AM88" s="237">
        <f t="shared" ref="AM88" si="100">+AM118</f>
        <v>0</v>
      </c>
      <c r="AN88" s="237">
        <f>SUM(K88:AL88)</f>
        <v>100416.23000000001</v>
      </c>
      <c r="AO88" s="219"/>
      <c r="AP88" s="43"/>
      <c r="AQ88" s="185"/>
      <c r="AR88" s="43"/>
      <c r="AS88" s="96"/>
      <c r="AT88" s="43"/>
      <c r="AU88" s="171"/>
      <c r="BI88" s="222">
        <f>SUMIF(BK7:BK86,"F&amp;F",BI7:BI86)</f>
        <v>0</v>
      </c>
      <c r="BJ88" s="183" t="s">
        <v>709</v>
      </c>
    </row>
    <row r="89" spans="1:64" x14ac:dyDescent="0.25">
      <c r="H89" s="183" t="s">
        <v>710</v>
      </c>
      <c r="I89" s="43"/>
      <c r="J89" s="43"/>
      <c r="K89" s="238">
        <f t="shared" ref="K89:AN89" si="101">SUM(K87:K88)</f>
        <v>0</v>
      </c>
      <c r="L89" s="238">
        <f t="shared" si="101"/>
        <v>0</v>
      </c>
      <c r="M89" s="238">
        <f t="shared" si="101"/>
        <v>0</v>
      </c>
      <c r="N89" s="238">
        <f t="shared" si="101"/>
        <v>0</v>
      </c>
      <c r="O89" s="238">
        <f t="shared" si="101"/>
        <v>0</v>
      </c>
      <c r="P89" s="238">
        <f t="shared" si="101"/>
        <v>0</v>
      </c>
      <c r="Q89" s="238">
        <f t="shared" si="101"/>
        <v>0</v>
      </c>
      <c r="R89" s="238">
        <f t="shared" si="101"/>
        <v>5248.33</v>
      </c>
      <c r="S89" s="238">
        <f t="shared" si="101"/>
        <v>10043.07</v>
      </c>
      <c r="T89" s="238">
        <f t="shared" si="101"/>
        <v>15214.43</v>
      </c>
      <c r="U89" s="238">
        <f t="shared" si="101"/>
        <v>24379.399999999998</v>
      </c>
      <c r="V89" s="238">
        <f t="shared" si="101"/>
        <v>22004.99</v>
      </c>
      <c r="W89" s="238">
        <f t="shared" si="101"/>
        <v>34221</v>
      </c>
      <c r="X89" s="238">
        <f t="shared" si="101"/>
        <v>39664.94</v>
      </c>
      <c r="Y89" s="238">
        <f t="shared" si="101"/>
        <v>42861.89</v>
      </c>
      <c r="Z89" s="238">
        <f t="shared" si="101"/>
        <v>31230.860000000004</v>
      </c>
      <c r="AA89" s="238">
        <f t="shared" si="101"/>
        <v>50626.45</v>
      </c>
      <c r="AB89" s="238">
        <f t="shared" si="101"/>
        <v>45098.899999999994</v>
      </c>
      <c r="AC89" s="238">
        <f t="shared" si="101"/>
        <v>45427.76</v>
      </c>
      <c r="AD89" s="238">
        <f t="shared" si="101"/>
        <v>48202.509999999995</v>
      </c>
      <c r="AE89" s="238">
        <f t="shared" si="101"/>
        <v>47883.929999999986</v>
      </c>
      <c r="AF89" s="238">
        <f t="shared" si="101"/>
        <v>58913.939999999988</v>
      </c>
      <c r="AG89" s="238">
        <f t="shared" si="101"/>
        <v>41474.399999999994</v>
      </c>
      <c r="AH89" s="238">
        <f t="shared" si="101"/>
        <v>52310.01999999999</v>
      </c>
      <c r="AI89" s="238">
        <f t="shared" si="101"/>
        <v>50904.999999999993</v>
      </c>
      <c r="AJ89" s="238">
        <f t="shared" si="101"/>
        <v>54312.299999999996</v>
      </c>
      <c r="AK89" s="238">
        <f t="shared" si="101"/>
        <v>63985.899999999994</v>
      </c>
      <c r="AL89" s="238">
        <f t="shared" si="101"/>
        <v>64416.19999999999</v>
      </c>
      <c r="AM89" s="238">
        <f t="shared" ref="AM89" si="102">SUM(AM87:AM88)</f>
        <v>97798.69</v>
      </c>
      <c r="AN89" s="238">
        <f t="shared" si="101"/>
        <v>946224.9099999998</v>
      </c>
      <c r="AO89" s="219"/>
      <c r="AP89" s="43"/>
      <c r="AQ89" s="185"/>
      <c r="AR89" s="43"/>
      <c r="AS89" s="96"/>
      <c r="AT89" s="43"/>
      <c r="AU89" s="171"/>
    </row>
    <row r="90" spans="1:64" s="183" customFormat="1" x14ac:dyDescent="0.25">
      <c r="H90" s="183" t="s">
        <v>1021</v>
      </c>
      <c r="I90" s="184"/>
      <c r="J90" s="184"/>
      <c r="K90" s="223">
        <v>0</v>
      </c>
      <c r="L90" s="223">
        <v>0</v>
      </c>
      <c r="M90" s="223">
        <v>0</v>
      </c>
      <c r="N90" s="223">
        <v>0</v>
      </c>
      <c r="O90" s="223">
        <f>+'BENESTARE PPTO'!C115</f>
        <v>1000</v>
      </c>
      <c r="P90" s="223">
        <f>+'BENESTARE PPTO'!H115</f>
        <v>1095.24</v>
      </c>
      <c r="Q90" s="223">
        <f>+'BENESTARE PPTO'!I115</f>
        <v>1095.24</v>
      </c>
      <c r="R90" s="223">
        <f>+'BENESTARE PPTO'!J115</f>
        <v>1595.24</v>
      </c>
      <c r="S90" s="223">
        <f>+'BENESTARE PPTO'!K115</f>
        <v>9999.74</v>
      </c>
      <c r="T90" s="223">
        <f>+'BENESTARE PPTO'!L115</f>
        <v>17886.449999999997</v>
      </c>
      <c r="U90" s="223">
        <f>+'BENESTARE PPTO'!M115</f>
        <v>22343.59</v>
      </c>
      <c r="V90" s="223">
        <f>+'BENESTARE PPTO'!N115</f>
        <v>23843.59</v>
      </c>
      <c r="W90" s="223">
        <f>+'BENESTARE PPTO'!O115</f>
        <v>26434.490000000005</v>
      </c>
      <c r="X90" s="223">
        <f>+'BENESTARE PPTO'!P115</f>
        <v>34873.590000000004</v>
      </c>
      <c r="Y90" s="223">
        <f>+'BENESTARE PPTO'!Q115</f>
        <v>37921.270000000004</v>
      </c>
      <c r="Z90" s="223">
        <f>+'BENESTARE PPTO'!R115</f>
        <v>38468.640000000007</v>
      </c>
      <c r="AA90" s="223">
        <f>+'BENESTARE PPTO'!S115</f>
        <v>41213.079999999994</v>
      </c>
      <c r="AB90" s="223">
        <f>+'BENESTARE PPTO'!T115</f>
        <v>41360.14</v>
      </c>
      <c r="AC90" s="223">
        <f>+'BENESTARE PPTO'!U115</f>
        <v>43822.639999999992</v>
      </c>
      <c r="AD90" s="223">
        <f>+'BENESTARE PPTO'!V115</f>
        <v>45315.969999999994</v>
      </c>
      <c r="AE90" s="223">
        <f>+'BENESTARE PPTO'!W115</f>
        <v>45809.299999999996</v>
      </c>
      <c r="AF90" s="223">
        <f>+'BENESTARE PPTO'!X115</f>
        <v>48609.299999999996</v>
      </c>
      <c r="AG90" s="223">
        <f>+'BENESTARE PPTO'!Y115</f>
        <v>47421.760000000002</v>
      </c>
      <c r="AH90" s="223">
        <f>+'BENESTARE PPTO'!Z115</f>
        <v>47496.76</v>
      </c>
      <c r="AI90" s="223">
        <f>+'BENESTARE PPTO'!AA115</f>
        <v>48559.26</v>
      </c>
      <c r="AJ90" s="223">
        <f>+'BENESTARE PPTO'!AB115</f>
        <v>55052.590000000004</v>
      </c>
      <c r="AK90" s="223">
        <f>+'BENESTARE PPTO'!AC113</f>
        <v>100566.81000000001</v>
      </c>
      <c r="AL90" s="223">
        <f>+'BENESTARE PPTO'!AD113</f>
        <v>70658.489999999991</v>
      </c>
      <c r="AM90" s="223">
        <f>+'BENESTARE PPTO'!AE113</f>
        <v>105339.09000000001</v>
      </c>
      <c r="AN90" s="224">
        <f>SUM(K90:AL90)</f>
        <v>852443.17999999993</v>
      </c>
      <c r="AO90" s="185">
        <v>1</v>
      </c>
      <c r="AP90" s="185"/>
      <c r="AQ90" s="185"/>
      <c r="AW90" s="183">
        <f>COUNTIF(AV:AV,"Cliente al día")</f>
        <v>36</v>
      </c>
      <c r="AY90" s="186"/>
      <c r="BI90" s="186" t="e">
        <f>+BI87-BI88</f>
        <v>#NUM!</v>
      </c>
      <c r="BJ90" s="183" t="s">
        <v>713</v>
      </c>
    </row>
    <row r="91" spans="1:64" x14ac:dyDescent="0.25">
      <c r="H91" s="86" t="s">
        <v>714</v>
      </c>
      <c r="J91" s="95"/>
      <c r="K91" s="104">
        <f t="shared" ref="K91:AM91" si="103">+K89-K90</f>
        <v>0</v>
      </c>
      <c r="L91" s="104">
        <f t="shared" si="103"/>
        <v>0</v>
      </c>
      <c r="M91" s="104">
        <f t="shared" si="103"/>
        <v>0</v>
      </c>
      <c r="N91" s="104">
        <f t="shared" si="103"/>
        <v>0</v>
      </c>
      <c r="O91" s="104">
        <f t="shared" si="103"/>
        <v>-1000</v>
      </c>
      <c r="P91" s="104">
        <f t="shared" si="103"/>
        <v>-1095.24</v>
      </c>
      <c r="Q91" s="104">
        <f t="shared" si="103"/>
        <v>-1095.24</v>
      </c>
      <c r="R91" s="104">
        <f t="shared" si="103"/>
        <v>3653.09</v>
      </c>
      <c r="S91" s="104">
        <f t="shared" si="103"/>
        <v>43.329999999999927</v>
      </c>
      <c r="T91" s="104">
        <f t="shared" si="103"/>
        <v>-2672.0199999999968</v>
      </c>
      <c r="U91" s="104">
        <f t="shared" si="103"/>
        <v>2035.8099999999977</v>
      </c>
      <c r="V91" s="104">
        <f t="shared" si="103"/>
        <v>-1838.5999999999985</v>
      </c>
      <c r="W91" s="104">
        <f t="shared" si="103"/>
        <v>7786.5099999999948</v>
      </c>
      <c r="X91" s="104">
        <f t="shared" si="103"/>
        <v>4791.3499999999985</v>
      </c>
      <c r="Y91" s="104">
        <f t="shared" si="103"/>
        <v>4940.6199999999953</v>
      </c>
      <c r="Z91" s="104">
        <f t="shared" si="103"/>
        <v>-7237.7800000000025</v>
      </c>
      <c r="AA91" s="104">
        <f t="shared" si="103"/>
        <v>9413.3700000000026</v>
      </c>
      <c r="AB91" s="104">
        <f t="shared" si="103"/>
        <v>3738.7599999999948</v>
      </c>
      <c r="AC91" s="104">
        <f t="shared" si="103"/>
        <v>1605.1200000000099</v>
      </c>
      <c r="AD91" s="104">
        <f t="shared" si="103"/>
        <v>2886.5400000000009</v>
      </c>
      <c r="AE91" s="104">
        <f t="shared" si="103"/>
        <v>2074.6299999999901</v>
      </c>
      <c r="AF91" s="104">
        <f t="shared" si="103"/>
        <v>10304.639999999992</v>
      </c>
      <c r="AG91" s="104">
        <f t="shared" si="103"/>
        <v>-5947.3600000000079</v>
      </c>
      <c r="AH91" s="104">
        <f t="shared" si="103"/>
        <v>4813.2599999999875</v>
      </c>
      <c r="AI91" s="104">
        <f t="shared" si="103"/>
        <v>2345.7399999999907</v>
      </c>
      <c r="AJ91" s="104">
        <f t="shared" si="103"/>
        <v>-740.29000000000815</v>
      </c>
      <c r="AK91" s="104">
        <f t="shared" si="103"/>
        <v>-36580.910000000018</v>
      </c>
      <c r="AL91" s="104">
        <f t="shared" si="103"/>
        <v>-6242.2900000000009</v>
      </c>
      <c r="AM91" s="104">
        <f t="shared" si="103"/>
        <v>-7540.4000000000087</v>
      </c>
      <c r="AN91" s="104">
        <f>+AN87-AN90</f>
        <v>-6634.5000000001164</v>
      </c>
      <c r="AO91" s="185">
        <f>-AN91/AN90</f>
        <v>7.7829234319173237E-3</v>
      </c>
      <c r="AP91" s="88"/>
      <c r="AQ91" s="88"/>
      <c r="AR91" s="96"/>
      <c r="AW91" s="86">
        <f>COUNTIF(AV7:AV86,"Cliente atrasado")</f>
        <v>17</v>
      </c>
    </row>
    <row r="92" spans="1:64" x14ac:dyDescent="0.25"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W92" s="86">
        <f>COUNTIF(AV7:AV86,"Disponible")</f>
        <v>16</v>
      </c>
      <c r="BI92" s="176">
        <v>21658000</v>
      </c>
      <c r="BJ92" s="86" t="s">
        <v>1022</v>
      </c>
    </row>
    <row r="93" spans="1:64" x14ac:dyDescent="0.25">
      <c r="AD93" s="96"/>
      <c r="AE93" s="96"/>
      <c r="AF93" s="96"/>
      <c r="AG93" s="96"/>
      <c r="AH93" s="96"/>
      <c r="AI93" s="96"/>
      <c r="AJ93" s="96"/>
      <c r="AK93" s="96"/>
      <c r="AL93" s="96"/>
      <c r="AM93" s="96"/>
    </row>
    <row r="94" spans="1:64" x14ac:dyDescent="0.25">
      <c r="AJ94" s="199"/>
      <c r="AK94" s="225"/>
      <c r="AL94" s="225">
        <f>+AL93-AL87</f>
        <v>-62616.19999999999</v>
      </c>
      <c r="AM94" s="225"/>
      <c r="BI94" s="284" t="e">
        <f>+BI90/BI92</f>
        <v>#NUM!</v>
      </c>
    </row>
    <row r="95" spans="1:64" x14ac:dyDescent="0.25">
      <c r="AJ95" s="199"/>
      <c r="AK95" s="199"/>
      <c r="AL95" s="52">
        <v>3046.3</v>
      </c>
      <c r="AM95" s="52"/>
    </row>
    <row r="96" spans="1:64" x14ac:dyDescent="0.25">
      <c r="AD96" s="96"/>
      <c r="AE96" s="96"/>
      <c r="AF96" s="96"/>
      <c r="AG96" s="96"/>
      <c r="AH96" s="96"/>
      <c r="AI96" s="96"/>
      <c r="AJ96" s="96"/>
      <c r="AK96" s="96"/>
      <c r="AL96" s="96">
        <f>+AL94-AL95</f>
        <v>-65662.499999999985</v>
      </c>
      <c r="AM96" s="96"/>
    </row>
    <row r="97" spans="2:63" x14ac:dyDescent="0.25">
      <c r="B97" s="103" t="s">
        <v>719</v>
      </c>
    </row>
    <row r="98" spans="2:63" x14ac:dyDescent="0.25">
      <c r="B98" s="192" t="s">
        <v>721</v>
      </c>
      <c r="C98" s="192" t="s">
        <v>722</v>
      </c>
      <c r="D98" s="192" t="s">
        <v>1023</v>
      </c>
      <c r="E98" s="192" t="s">
        <v>1024</v>
      </c>
      <c r="F98" s="192" t="s">
        <v>724</v>
      </c>
      <c r="G98" s="192" t="s">
        <v>725</v>
      </c>
      <c r="H98" s="192" t="s">
        <v>1025</v>
      </c>
      <c r="I98" s="191" t="s">
        <v>727</v>
      </c>
      <c r="J98" s="191" t="s">
        <v>767</v>
      </c>
    </row>
    <row r="99" spans="2:63" x14ac:dyDescent="0.25">
      <c r="B99" s="195">
        <v>105</v>
      </c>
      <c r="C99" s="189" t="s">
        <v>916</v>
      </c>
      <c r="D99" s="189" t="s">
        <v>146</v>
      </c>
      <c r="E99" s="189" t="s">
        <v>147</v>
      </c>
      <c r="F99" s="159" t="s">
        <v>1026</v>
      </c>
      <c r="G99" s="190">
        <v>45258</v>
      </c>
      <c r="H99" s="189" t="s">
        <v>128</v>
      </c>
      <c r="I99" s="93">
        <v>477700</v>
      </c>
      <c r="J99" s="93">
        <v>23900</v>
      </c>
      <c r="K99" s="93">
        <v>0</v>
      </c>
      <c r="L99" s="93">
        <v>0</v>
      </c>
      <c r="M99" s="93">
        <v>0</v>
      </c>
      <c r="N99" s="93">
        <v>0</v>
      </c>
      <c r="O99" s="93">
        <v>0</v>
      </c>
      <c r="P99" s="93">
        <v>0</v>
      </c>
      <c r="Q99" s="93">
        <v>0</v>
      </c>
      <c r="R99" s="93">
        <v>0</v>
      </c>
      <c r="S99" s="93">
        <v>500</v>
      </c>
      <c r="T99" s="93">
        <v>2227.27</v>
      </c>
      <c r="U99" s="93">
        <v>2227.27</v>
      </c>
      <c r="V99" s="93">
        <v>0</v>
      </c>
      <c r="W99" s="93">
        <v>2227.27</v>
      </c>
      <c r="X99" s="93">
        <v>2227.27</v>
      </c>
      <c r="Y99" s="93">
        <v>0</v>
      </c>
      <c r="Z99" s="93">
        <v>0</v>
      </c>
      <c r="AA99" s="93">
        <v>0</v>
      </c>
      <c r="AB99" s="93">
        <v>0</v>
      </c>
      <c r="AC99" s="93">
        <v>0</v>
      </c>
      <c r="AD99" s="93">
        <v>0</v>
      </c>
      <c r="AE99" s="93">
        <v>300</v>
      </c>
      <c r="AF99" s="93">
        <v>500</v>
      </c>
      <c r="AG99" s="93">
        <v>0</v>
      </c>
      <c r="AH99" s="93">
        <v>0</v>
      </c>
      <c r="AI99" s="93">
        <v>0</v>
      </c>
      <c r="AJ99" s="93">
        <v>0</v>
      </c>
      <c r="AK99" s="93"/>
      <c r="AL99" s="93"/>
      <c r="AM99" s="93"/>
      <c r="AN99" s="93">
        <f>SUM(K99:AJ99)</f>
        <v>10209.08</v>
      </c>
    </row>
    <row r="100" spans="2:63" x14ac:dyDescent="0.25">
      <c r="B100" s="195">
        <v>108</v>
      </c>
      <c r="C100" s="189" t="s">
        <v>916</v>
      </c>
      <c r="D100" s="189" t="s">
        <v>146</v>
      </c>
      <c r="E100" s="189" t="s">
        <v>921</v>
      </c>
      <c r="F100" s="159" t="s">
        <v>1027</v>
      </c>
      <c r="G100" s="190">
        <v>45517</v>
      </c>
      <c r="H100" s="189" t="s">
        <v>128</v>
      </c>
      <c r="I100" s="93">
        <v>494900</v>
      </c>
      <c r="J100" s="93">
        <v>49500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0</v>
      </c>
      <c r="T100" s="93">
        <v>1000</v>
      </c>
      <c r="U100" s="93">
        <v>2309.52</v>
      </c>
      <c r="V100" s="93">
        <v>2309.52</v>
      </c>
      <c r="W100" s="93">
        <v>2309.52</v>
      </c>
      <c r="X100" s="93">
        <v>2309.52</v>
      </c>
      <c r="Y100" s="93">
        <v>0</v>
      </c>
      <c r="Z100" s="93">
        <v>0</v>
      </c>
      <c r="AA100" s="93">
        <v>0</v>
      </c>
      <c r="AB100" s="93">
        <v>1500</v>
      </c>
      <c r="AC100" s="93">
        <v>0</v>
      </c>
      <c r="AD100" s="93">
        <v>0</v>
      </c>
      <c r="AE100" s="93">
        <v>1500</v>
      </c>
      <c r="AF100" s="93">
        <v>0</v>
      </c>
      <c r="AG100" s="93">
        <v>0</v>
      </c>
      <c r="AH100" s="93">
        <v>0</v>
      </c>
      <c r="AI100" s="93">
        <v>0</v>
      </c>
      <c r="AJ100" s="93">
        <v>0</v>
      </c>
      <c r="AK100" s="93"/>
      <c r="AL100" s="93"/>
      <c r="AM100" s="93"/>
      <c r="AN100" s="93">
        <f t="shared" ref="AN100:AN104" si="104">SUM(K100:AJ100)</f>
        <v>13238.08</v>
      </c>
    </row>
    <row r="101" spans="2:63" x14ac:dyDescent="0.25">
      <c r="B101" s="195">
        <v>111</v>
      </c>
      <c r="C101" s="189" t="s">
        <v>916</v>
      </c>
      <c r="D101" s="189" t="s">
        <v>913</v>
      </c>
      <c r="E101" s="189" t="s">
        <v>196</v>
      </c>
      <c r="F101" s="159" t="s">
        <v>1028</v>
      </c>
      <c r="G101" s="190">
        <v>45714</v>
      </c>
      <c r="H101" s="189" t="s">
        <v>956</v>
      </c>
      <c r="I101" s="93">
        <v>477000</v>
      </c>
      <c r="J101" s="93">
        <v>24000</v>
      </c>
      <c r="K101" s="93">
        <v>0</v>
      </c>
      <c r="L101" s="93">
        <v>0</v>
      </c>
      <c r="M101" s="93">
        <v>0</v>
      </c>
      <c r="N101" s="93">
        <v>0</v>
      </c>
      <c r="O101" s="93">
        <v>0</v>
      </c>
      <c r="P101" s="93">
        <v>0</v>
      </c>
      <c r="Q101" s="93">
        <v>0</v>
      </c>
      <c r="R101" s="93">
        <v>0</v>
      </c>
      <c r="S101" s="93">
        <v>0</v>
      </c>
      <c r="T101" s="93">
        <v>0</v>
      </c>
      <c r="U101" s="93">
        <v>0</v>
      </c>
      <c r="V101" s="93">
        <v>0</v>
      </c>
      <c r="W101" s="93">
        <v>0</v>
      </c>
      <c r="X101" s="93">
        <v>0</v>
      </c>
      <c r="Y101" s="93">
        <v>0</v>
      </c>
      <c r="Z101" s="93">
        <v>0</v>
      </c>
      <c r="AA101" s="93">
        <v>0</v>
      </c>
      <c r="AB101" s="93">
        <v>0</v>
      </c>
      <c r="AC101" s="93">
        <v>0</v>
      </c>
      <c r="AD101" s="93">
        <v>0</v>
      </c>
      <c r="AE101" s="93">
        <v>0</v>
      </c>
      <c r="AF101" s="93">
        <v>0</v>
      </c>
      <c r="AG101" s="93">
        <v>0</v>
      </c>
      <c r="AH101" s="93">
        <v>500</v>
      </c>
      <c r="AI101" s="93">
        <v>0</v>
      </c>
      <c r="AJ101" s="93">
        <v>0</v>
      </c>
      <c r="AK101" s="93"/>
      <c r="AL101" s="93"/>
      <c r="AM101" s="93"/>
      <c r="AN101" s="93">
        <f t="shared" si="104"/>
        <v>500</v>
      </c>
    </row>
    <row r="102" spans="2:63" x14ac:dyDescent="0.25">
      <c r="B102" s="195">
        <v>112</v>
      </c>
      <c r="C102" s="189" t="s">
        <v>916</v>
      </c>
      <c r="D102" s="189" t="s">
        <v>146</v>
      </c>
      <c r="E102" s="189" t="s">
        <v>147</v>
      </c>
      <c r="F102" s="159" t="s">
        <v>949</v>
      </c>
      <c r="G102" s="190">
        <v>45372</v>
      </c>
      <c r="H102" s="189" t="s">
        <v>128</v>
      </c>
      <c r="I102" s="93">
        <v>477700</v>
      </c>
      <c r="J102" s="93">
        <v>24000</v>
      </c>
      <c r="K102" s="93">
        <v>0</v>
      </c>
      <c r="L102" s="93">
        <v>0</v>
      </c>
      <c r="M102" s="93">
        <v>0</v>
      </c>
      <c r="N102" s="93">
        <v>0</v>
      </c>
      <c r="O102" s="93">
        <v>0</v>
      </c>
      <c r="P102" s="93">
        <v>0</v>
      </c>
      <c r="Q102" s="93">
        <v>0</v>
      </c>
      <c r="R102" s="93">
        <v>0</v>
      </c>
      <c r="S102" s="93">
        <v>0</v>
      </c>
      <c r="T102" s="93">
        <v>0</v>
      </c>
      <c r="U102" s="93">
        <v>0</v>
      </c>
      <c r="V102" s="93">
        <v>0</v>
      </c>
      <c r="W102" s="93">
        <v>1000</v>
      </c>
      <c r="X102" s="93">
        <v>0</v>
      </c>
      <c r="Y102" s="93">
        <v>0</v>
      </c>
      <c r="Z102" s="93">
        <v>0</v>
      </c>
      <c r="AA102" s="93">
        <v>0</v>
      </c>
      <c r="AB102" s="93">
        <v>0</v>
      </c>
      <c r="AC102" s="93">
        <v>0</v>
      </c>
      <c r="AD102" s="93">
        <v>0</v>
      </c>
      <c r="AE102" s="93">
        <v>0</v>
      </c>
      <c r="AF102" s="93">
        <v>0</v>
      </c>
      <c r="AG102" s="93">
        <v>0</v>
      </c>
      <c r="AH102" s="93">
        <v>0</v>
      </c>
      <c r="AI102" s="93">
        <v>0</v>
      </c>
      <c r="AJ102" s="93">
        <v>0</v>
      </c>
      <c r="AK102" s="93"/>
      <c r="AL102" s="93"/>
      <c r="AM102" s="93"/>
      <c r="AN102" s="93">
        <f t="shared" si="104"/>
        <v>1000</v>
      </c>
    </row>
    <row r="103" spans="2:63" x14ac:dyDescent="0.25">
      <c r="B103" s="195">
        <v>113</v>
      </c>
      <c r="C103" s="189" t="s">
        <v>916</v>
      </c>
      <c r="D103" s="189" t="s">
        <v>146</v>
      </c>
      <c r="E103" s="189" t="s">
        <v>147</v>
      </c>
      <c r="F103" s="159" t="s">
        <v>1029</v>
      </c>
      <c r="G103" s="190">
        <v>45372</v>
      </c>
      <c r="H103" s="189" t="s">
        <v>128</v>
      </c>
      <c r="I103" s="93">
        <v>477700</v>
      </c>
      <c r="J103" s="93">
        <v>24000</v>
      </c>
      <c r="K103" s="93">
        <v>0</v>
      </c>
      <c r="L103" s="93">
        <v>0</v>
      </c>
      <c r="M103" s="93">
        <v>0</v>
      </c>
      <c r="N103" s="93">
        <v>0</v>
      </c>
      <c r="O103" s="93">
        <v>0</v>
      </c>
      <c r="P103" s="93">
        <v>0</v>
      </c>
      <c r="Q103" s="93">
        <v>0</v>
      </c>
      <c r="R103" s="93">
        <v>0</v>
      </c>
      <c r="S103" s="93">
        <v>0</v>
      </c>
      <c r="T103" s="93">
        <v>0</v>
      </c>
      <c r="U103" s="93">
        <v>0</v>
      </c>
      <c r="V103" s="93">
        <v>0</v>
      </c>
      <c r="W103" s="93">
        <v>1000</v>
      </c>
      <c r="X103" s="93">
        <v>0</v>
      </c>
      <c r="Y103" s="93">
        <v>0</v>
      </c>
      <c r="Z103" s="93">
        <v>0</v>
      </c>
      <c r="AA103" s="93">
        <v>0</v>
      </c>
      <c r="AB103" s="93">
        <v>0</v>
      </c>
      <c r="AC103" s="93">
        <v>0</v>
      </c>
      <c r="AD103" s="93">
        <v>0</v>
      </c>
      <c r="AE103" s="93">
        <v>0</v>
      </c>
      <c r="AF103" s="93">
        <v>0</v>
      </c>
      <c r="AG103" s="93">
        <v>0</v>
      </c>
      <c r="AH103" s="93">
        <v>0</v>
      </c>
      <c r="AI103" s="93">
        <v>0</v>
      </c>
      <c r="AJ103" s="93">
        <v>0</v>
      </c>
      <c r="AK103" s="93"/>
      <c r="AL103" s="93"/>
      <c r="AM103" s="93"/>
      <c r="AN103" s="93">
        <f t="shared" si="104"/>
        <v>1000</v>
      </c>
    </row>
    <row r="104" spans="2:63" x14ac:dyDescent="0.25">
      <c r="B104" s="195">
        <v>212</v>
      </c>
      <c r="C104" s="189" t="s">
        <v>916</v>
      </c>
      <c r="D104" s="189" t="s">
        <v>146</v>
      </c>
      <c r="E104" s="189" t="s">
        <v>366</v>
      </c>
      <c r="F104" s="159" t="s">
        <v>1030</v>
      </c>
      <c r="G104" s="190">
        <v>45539</v>
      </c>
      <c r="H104" s="189" t="s">
        <v>956</v>
      </c>
      <c r="I104" s="93">
        <v>507200</v>
      </c>
      <c r="J104" s="93">
        <v>50720</v>
      </c>
      <c r="K104" s="93">
        <v>0</v>
      </c>
      <c r="L104" s="93">
        <v>0</v>
      </c>
      <c r="M104" s="93">
        <v>0</v>
      </c>
      <c r="N104" s="93">
        <v>0</v>
      </c>
      <c r="O104" s="93">
        <v>0</v>
      </c>
      <c r="P104" s="93">
        <v>0</v>
      </c>
      <c r="Q104" s="93">
        <v>0</v>
      </c>
      <c r="R104" s="93">
        <v>0</v>
      </c>
      <c r="S104" s="93">
        <v>0</v>
      </c>
      <c r="T104" s="93">
        <v>0</v>
      </c>
      <c r="U104" s="93">
        <v>0</v>
      </c>
      <c r="V104" s="93">
        <v>0</v>
      </c>
      <c r="W104" s="93">
        <v>0</v>
      </c>
      <c r="X104" s="93">
        <v>0</v>
      </c>
      <c r="Y104" s="93">
        <v>0</v>
      </c>
      <c r="Z104" s="93">
        <v>0</v>
      </c>
      <c r="AA104" s="93">
        <v>0</v>
      </c>
      <c r="AB104" s="93">
        <v>0</v>
      </c>
      <c r="AC104" s="93">
        <v>500</v>
      </c>
      <c r="AD104" s="93">
        <v>0</v>
      </c>
      <c r="AE104" s="93">
        <v>0</v>
      </c>
      <c r="AF104" s="93">
        <v>0</v>
      </c>
      <c r="AG104" s="93">
        <v>0</v>
      </c>
      <c r="AH104" s="93">
        <v>0</v>
      </c>
      <c r="AI104" s="93">
        <v>0</v>
      </c>
      <c r="AJ104" s="93">
        <v>0</v>
      </c>
      <c r="AK104" s="93"/>
      <c r="AL104" s="93"/>
      <c r="AM104" s="93"/>
      <c r="AN104" s="93">
        <f t="shared" si="104"/>
        <v>500</v>
      </c>
    </row>
    <row r="105" spans="2:63" x14ac:dyDescent="0.25">
      <c r="B105" s="195">
        <v>501</v>
      </c>
      <c r="C105" s="189" t="s">
        <v>916</v>
      </c>
      <c r="D105" s="189" t="s">
        <v>146</v>
      </c>
      <c r="E105" s="189" t="s">
        <v>196</v>
      </c>
      <c r="F105" s="159" t="s">
        <v>1031</v>
      </c>
      <c r="G105" s="190">
        <v>45534</v>
      </c>
      <c r="H105" s="189" t="s">
        <v>956</v>
      </c>
      <c r="I105" s="93">
        <v>507200</v>
      </c>
      <c r="J105" s="93">
        <v>50720</v>
      </c>
      <c r="K105" s="93">
        <v>0</v>
      </c>
      <c r="L105" s="93">
        <v>0</v>
      </c>
      <c r="M105" s="93">
        <v>0</v>
      </c>
      <c r="N105" s="93">
        <v>0</v>
      </c>
      <c r="O105" s="93">
        <v>0</v>
      </c>
      <c r="P105" s="93">
        <v>0</v>
      </c>
      <c r="Q105" s="93">
        <v>0</v>
      </c>
      <c r="R105" s="93">
        <v>0</v>
      </c>
      <c r="S105" s="93">
        <v>0</v>
      </c>
      <c r="T105" s="93">
        <v>0</v>
      </c>
      <c r="U105" s="93">
        <v>0</v>
      </c>
      <c r="V105" s="93">
        <v>0</v>
      </c>
      <c r="W105" s="93">
        <v>0</v>
      </c>
      <c r="X105" s="93">
        <v>0</v>
      </c>
      <c r="Y105" s="93">
        <v>0</v>
      </c>
      <c r="Z105" s="93">
        <v>0</v>
      </c>
      <c r="AA105" s="93">
        <v>0</v>
      </c>
      <c r="AB105" s="93">
        <v>300</v>
      </c>
      <c r="AC105" s="93">
        <v>1500</v>
      </c>
      <c r="AD105" s="93">
        <v>0</v>
      </c>
      <c r="AE105" s="93">
        <v>0</v>
      </c>
      <c r="AF105" s="93">
        <v>0</v>
      </c>
      <c r="AG105" s="93">
        <v>0</v>
      </c>
      <c r="AH105" s="93">
        <v>0</v>
      </c>
      <c r="AI105" s="93">
        <v>0</v>
      </c>
      <c r="AJ105" s="93">
        <v>0</v>
      </c>
      <c r="AK105" s="93"/>
      <c r="AL105" s="93"/>
      <c r="AM105" s="93"/>
      <c r="AN105" s="93">
        <f>SUM(K105:AJ105)</f>
        <v>1800</v>
      </c>
      <c r="AO105" s="93"/>
      <c r="AP105" s="93"/>
    </row>
    <row r="106" spans="2:63" x14ac:dyDescent="0.25">
      <c r="B106" s="164">
        <v>209</v>
      </c>
      <c r="C106" s="164" t="s">
        <v>916</v>
      </c>
      <c r="D106" s="164" t="s">
        <v>146</v>
      </c>
      <c r="E106" s="189"/>
      <c r="F106" s="159" t="s">
        <v>1032</v>
      </c>
      <c r="G106" s="190">
        <v>45430</v>
      </c>
      <c r="H106" s="189"/>
      <c r="I106" s="93">
        <v>477700</v>
      </c>
      <c r="J106" s="260">
        <v>24000</v>
      </c>
      <c r="K106" s="93">
        <v>0</v>
      </c>
      <c r="L106" s="93">
        <v>0</v>
      </c>
      <c r="M106" s="93">
        <v>0</v>
      </c>
      <c r="N106" s="93">
        <v>0</v>
      </c>
      <c r="O106" s="93">
        <v>0</v>
      </c>
      <c r="P106" s="93">
        <v>0</v>
      </c>
      <c r="Q106" s="93">
        <v>0</v>
      </c>
      <c r="R106" s="93">
        <v>0</v>
      </c>
      <c r="S106" s="93">
        <v>0</v>
      </c>
      <c r="T106" s="93">
        <v>0</v>
      </c>
      <c r="U106" s="93">
        <v>0</v>
      </c>
      <c r="V106" s="93">
        <v>0</v>
      </c>
      <c r="W106" s="93">
        <v>0</v>
      </c>
      <c r="X106" s="93">
        <v>0</v>
      </c>
      <c r="Y106" s="93">
        <v>0</v>
      </c>
      <c r="Z106" s="93">
        <v>0</v>
      </c>
      <c r="AA106" s="93">
        <v>0</v>
      </c>
      <c r="AB106" s="93">
        <v>0</v>
      </c>
      <c r="AC106" s="93">
        <v>0</v>
      </c>
      <c r="AD106" s="93">
        <v>0</v>
      </c>
      <c r="AE106" s="93">
        <v>0</v>
      </c>
      <c r="AF106" s="93">
        <v>0</v>
      </c>
      <c r="AG106" s="93">
        <v>0</v>
      </c>
      <c r="AH106" s="93">
        <v>1500</v>
      </c>
      <c r="AI106" s="93">
        <v>0</v>
      </c>
      <c r="AJ106" s="93"/>
      <c r="AK106" s="93"/>
      <c r="AL106" s="93"/>
      <c r="AM106" s="93"/>
      <c r="AN106" s="93">
        <f t="shared" ref="AN106" si="105">SUM(K106:AL106)</f>
        <v>1500</v>
      </c>
      <c r="AY106" s="86"/>
    </row>
    <row r="107" spans="2:63" x14ac:dyDescent="0.25">
      <c r="B107" s="164">
        <v>104</v>
      </c>
      <c r="C107" s="164" t="s">
        <v>916</v>
      </c>
      <c r="D107" s="164" t="s">
        <v>913</v>
      </c>
      <c r="E107" s="189" t="s">
        <v>921</v>
      </c>
      <c r="F107" s="159" t="s">
        <v>1033</v>
      </c>
      <c r="G107" s="190">
        <v>45230</v>
      </c>
      <c r="H107" s="189" t="s">
        <v>128</v>
      </c>
      <c r="I107" s="93">
        <v>497900</v>
      </c>
      <c r="J107" s="260">
        <v>49800</v>
      </c>
      <c r="K107" s="93">
        <v>0</v>
      </c>
      <c r="L107" s="93">
        <v>0</v>
      </c>
      <c r="M107" s="93">
        <v>0</v>
      </c>
      <c r="N107" s="93">
        <v>0</v>
      </c>
      <c r="O107" s="93">
        <v>0</v>
      </c>
      <c r="P107" s="93">
        <v>0</v>
      </c>
      <c r="Q107" s="93">
        <v>0</v>
      </c>
      <c r="R107" s="93">
        <v>3323.33</v>
      </c>
      <c r="S107" s="93">
        <v>2323.33</v>
      </c>
      <c r="T107" s="93">
        <v>2323.33</v>
      </c>
      <c r="U107" s="93">
        <v>2323.33</v>
      </c>
      <c r="V107" s="93">
        <v>0</v>
      </c>
      <c r="W107" s="93">
        <v>2323.33</v>
      </c>
      <c r="X107" s="93">
        <v>4646.66</v>
      </c>
      <c r="Y107" s="93">
        <v>2323.33</v>
      </c>
      <c r="Z107" s="93">
        <v>0</v>
      </c>
      <c r="AA107" s="93">
        <v>4646.66</v>
      </c>
      <c r="AB107" s="93">
        <v>2323.33</v>
      </c>
      <c r="AC107" s="93">
        <v>0</v>
      </c>
      <c r="AD107" s="93">
        <v>2323.33</v>
      </c>
      <c r="AE107" s="93">
        <v>0</v>
      </c>
      <c r="AF107" s="93">
        <v>4646.66</v>
      </c>
      <c r="AG107" s="93">
        <v>0</v>
      </c>
      <c r="AH107" s="93">
        <v>0</v>
      </c>
      <c r="AI107" s="93">
        <v>0</v>
      </c>
      <c r="AJ107" s="93"/>
      <c r="AK107" s="93"/>
      <c r="AL107" s="93"/>
      <c r="AM107" s="93"/>
      <c r="AN107" s="93">
        <f t="shared" ref="AN107" si="106">SUM(K107:AL107)</f>
        <v>33526.619999999995</v>
      </c>
      <c r="AO107" s="93"/>
      <c r="AP107" s="93"/>
      <c r="AQ107" s="253"/>
      <c r="AR107" s="254"/>
      <c r="AS107" s="255"/>
      <c r="AT107" s="790"/>
      <c r="AU107" s="779"/>
      <c r="AV107" s="779"/>
      <c r="AW107" s="258"/>
      <c r="AX107" s="258"/>
      <c r="AY107" s="258"/>
      <c r="AZ107" s="259"/>
      <c r="BA107" s="790"/>
      <c r="BB107" s="779"/>
      <c r="BC107" s="782"/>
      <c r="BD107" s="782"/>
      <c r="BE107" s="782"/>
      <c r="BF107" s="782"/>
      <c r="BG107" s="782"/>
      <c r="BH107" s="782"/>
      <c r="BI107" s="782"/>
      <c r="BJ107" s="267"/>
      <c r="BK107" s="159"/>
    </row>
    <row r="108" spans="2:63" ht="15" customHeight="1" x14ac:dyDescent="0.25">
      <c r="B108" s="164">
        <v>510</v>
      </c>
      <c r="C108" s="164" t="s">
        <v>146</v>
      </c>
      <c r="D108" s="164" t="s">
        <v>913</v>
      </c>
      <c r="E108" s="189" t="s">
        <v>203</v>
      </c>
      <c r="F108" s="159" t="s">
        <v>1034</v>
      </c>
      <c r="G108" s="190">
        <v>45783</v>
      </c>
      <c r="H108" s="189" t="s">
        <v>67</v>
      </c>
      <c r="I108" s="93">
        <v>507200</v>
      </c>
      <c r="J108" s="260">
        <v>50720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  <c r="Z108" s="93">
        <v>0</v>
      </c>
      <c r="AA108" s="93">
        <v>0</v>
      </c>
      <c r="AB108" s="93">
        <v>0</v>
      </c>
      <c r="AC108" s="93">
        <v>0</v>
      </c>
      <c r="AD108" s="93">
        <v>0</v>
      </c>
      <c r="AE108" s="93">
        <v>0</v>
      </c>
      <c r="AF108" s="93">
        <v>0</v>
      </c>
      <c r="AG108" s="93">
        <v>0</v>
      </c>
      <c r="AH108" s="93">
        <v>0</v>
      </c>
      <c r="AI108" s="93">
        <v>0</v>
      </c>
      <c r="AJ108" s="93"/>
      <c r="AK108" s="93">
        <v>1500</v>
      </c>
      <c r="AL108" s="93"/>
      <c r="AM108" s="93"/>
      <c r="AN108" s="93">
        <f t="shared" ref="AN108" si="107">SUM(K108:AL108)</f>
        <v>1500</v>
      </c>
      <c r="AO108" s="93"/>
      <c r="AP108" s="93"/>
      <c r="AQ108" s="253"/>
      <c r="AR108" s="254"/>
      <c r="AS108" s="255"/>
      <c r="AT108" s="790"/>
      <c r="AU108" s="779"/>
      <c r="AV108" s="779"/>
      <c r="AW108" s="258"/>
      <c r="AX108" s="258"/>
      <c r="AY108" s="258"/>
      <c r="AZ108" s="259"/>
      <c r="BA108" s="790"/>
      <c r="BB108" s="779"/>
      <c r="BC108" s="782"/>
      <c r="BD108" s="782"/>
      <c r="BE108" s="782"/>
      <c r="BF108" s="782"/>
      <c r="BG108" s="782"/>
      <c r="BH108" s="782"/>
      <c r="BI108" s="782"/>
      <c r="BJ108" s="267"/>
      <c r="BK108" s="159"/>
    </row>
    <row r="109" spans="2:63" ht="15" customHeight="1" x14ac:dyDescent="0.25">
      <c r="B109" s="164">
        <v>601</v>
      </c>
      <c r="C109" s="164" t="s">
        <v>916</v>
      </c>
      <c r="D109" s="164" t="s">
        <v>146</v>
      </c>
      <c r="E109" s="189"/>
      <c r="F109" s="159"/>
      <c r="G109" s="190"/>
      <c r="H109" s="189" t="s">
        <v>374</v>
      </c>
      <c r="I109" s="93">
        <v>477700</v>
      </c>
      <c r="J109" s="260">
        <f>+I109*0.07</f>
        <v>33439</v>
      </c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>
        <v>1000</v>
      </c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253"/>
      <c r="AR109" s="254"/>
      <c r="AS109" s="255"/>
      <c r="AT109" s="790"/>
      <c r="AU109" s="779"/>
      <c r="AV109" s="779"/>
      <c r="AW109" s="258"/>
      <c r="AX109" s="258"/>
      <c r="AY109" s="258"/>
      <c r="AZ109" s="259"/>
      <c r="BA109" s="790"/>
      <c r="BB109" s="779"/>
      <c r="BC109" s="782"/>
      <c r="BD109" s="782"/>
      <c r="BE109" s="782"/>
      <c r="BF109" s="782"/>
      <c r="BG109" s="782"/>
      <c r="BH109" s="782"/>
      <c r="BI109" s="782"/>
      <c r="BJ109" s="267"/>
      <c r="BK109" s="159"/>
    </row>
    <row r="110" spans="2:63" x14ac:dyDescent="0.25">
      <c r="B110" s="164">
        <v>605</v>
      </c>
      <c r="C110" s="164" t="s">
        <v>146</v>
      </c>
      <c r="D110" s="164" t="s">
        <v>146</v>
      </c>
      <c r="E110" s="189" t="s">
        <v>908</v>
      </c>
      <c r="F110" s="159" t="s">
        <v>1035</v>
      </c>
      <c r="G110" s="190">
        <v>45442</v>
      </c>
      <c r="H110" s="189" t="s">
        <v>128</v>
      </c>
      <c r="I110" s="93">
        <v>477700</v>
      </c>
      <c r="J110" s="260">
        <v>23900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3">
        <v>0</v>
      </c>
      <c r="U110" s="93">
        <v>0</v>
      </c>
      <c r="V110" s="93">
        <v>0</v>
      </c>
      <c r="W110" s="93">
        <v>0</v>
      </c>
      <c r="X110" s="93">
        <v>0</v>
      </c>
      <c r="Y110" s="93">
        <v>1500</v>
      </c>
      <c r="Z110" s="93">
        <v>0</v>
      </c>
      <c r="AA110" s="93">
        <v>2000</v>
      </c>
      <c r="AB110" s="93">
        <v>0</v>
      </c>
      <c r="AC110" s="93">
        <v>0</v>
      </c>
      <c r="AD110" s="93">
        <v>0</v>
      </c>
      <c r="AE110" s="93">
        <v>0</v>
      </c>
      <c r="AF110" s="93">
        <v>0</v>
      </c>
      <c r="AG110" s="93">
        <v>0</v>
      </c>
      <c r="AH110" s="93">
        <v>0</v>
      </c>
      <c r="AI110" s="93">
        <v>0</v>
      </c>
      <c r="AJ110" s="93"/>
      <c r="AK110" s="93"/>
      <c r="AL110" s="93"/>
      <c r="AM110" s="93"/>
      <c r="AN110" s="93">
        <f t="shared" ref="AN110" si="108">SUM(K110:AL110)</f>
        <v>3500</v>
      </c>
      <c r="AO110" s="93"/>
      <c r="AP110" s="93"/>
      <c r="AQ110" s="253"/>
      <c r="AR110" s="254"/>
      <c r="AS110" s="255"/>
      <c r="AT110" s="790"/>
      <c r="AU110" s="779"/>
      <c r="AV110" s="779"/>
      <c r="AW110" s="258"/>
      <c r="AX110" s="258"/>
      <c r="AY110" s="258"/>
      <c r="AZ110" s="259"/>
      <c r="BA110" s="790"/>
      <c r="BB110" s="779"/>
      <c r="BC110" s="782"/>
      <c r="BD110" s="782"/>
      <c r="BE110" s="782"/>
      <c r="BF110" s="782"/>
      <c r="BG110" s="782"/>
      <c r="BH110" s="782"/>
      <c r="BI110" s="782"/>
      <c r="BJ110" s="267"/>
      <c r="BK110" s="159"/>
    </row>
    <row r="111" spans="2:63" x14ac:dyDescent="0.25">
      <c r="B111" s="164">
        <v>608</v>
      </c>
      <c r="C111" s="164" t="s">
        <v>146</v>
      </c>
      <c r="D111" s="164" t="s">
        <v>146</v>
      </c>
      <c r="E111" s="189" t="s">
        <v>908</v>
      </c>
      <c r="F111" s="159" t="s">
        <v>1036</v>
      </c>
      <c r="G111" s="190">
        <v>45477</v>
      </c>
      <c r="H111" s="189" t="s">
        <v>128</v>
      </c>
      <c r="I111" s="93">
        <v>477700</v>
      </c>
      <c r="J111" s="260">
        <v>23900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3">
        <v>0</v>
      </c>
      <c r="S111" s="93">
        <v>0</v>
      </c>
      <c r="T111" s="93">
        <v>0</v>
      </c>
      <c r="U111" s="93">
        <v>0</v>
      </c>
      <c r="V111" s="93">
        <v>0</v>
      </c>
      <c r="W111" s="93">
        <v>0</v>
      </c>
      <c r="X111" s="93">
        <v>0</v>
      </c>
      <c r="Y111" s="93">
        <v>0</v>
      </c>
      <c r="Z111" s="93">
        <v>0</v>
      </c>
      <c r="AA111" s="93">
        <v>1500</v>
      </c>
      <c r="AB111" s="93">
        <v>1200</v>
      </c>
      <c r="AC111" s="93">
        <v>0</v>
      </c>
      <c r="AD111" s="93">
        <v>0</v>
      </c>
      <c r="AE111" s="93">
        <v>0</v>
      </c>
      <c r="AF111" s="93">
        <v>0</v>
      </c>
      <c r="AG111" s="93">
        <v>0</v>
      </c>
      <c r="AH111" s="93">
        <v>0</v>
      </c>
      <c r="AI111" s="93">
        <v>0</v>
      </c>
      <c r="AJ111" s="93"/>
      <c r="AK111" s="93"/>
      <c r="AL111" s="93"/>
      <c r="AM111" s="93"/>
      <c r="AN111" s="93">
        <f>SUM(K111:AL111)</f>
        <v>2700</v>
      </c>
      <c r="AO111" s="93"/>
      <c r="AP111" s="93"/>
      <c r="AQ111" s="253"/>
      <c r="AR111" s="254"/>
      <c r="AS111" s="255"/>
      <c r="AT111" s="790"/>
      <c r="AU111" s="779"/>
      <c r="AV111" s="779"/>
      <c r="AW111" s="258"/>
      <c r="AX111" s="258"/>
      <c r="AY111" s="258"/>
      <c r="AZ111" s="259"/>
      <c r="BA111" s="790"/>
      <c r="BB111" s="779"/>
      <c r="BC111" s="782"/>
      <c r="BD111" s="782"/>
      <c r="BE111" s="782"/>
      <c r="BF111" s="782"/>
      <c r="BG111" s="782"/>
      <c r="BH111" s="782"/>
      <c r="BI111" s="782"/>
      <c r="BJ111" s="267"/>
      <c r="BK111" s="159"/>
    </row>
    <row r="112" spans="2:63" ht="15" customHeight="1" x14ac:dyDescent="0.25">
      <c r="B112" s="164">
        <v>604</v>
      </c>
      <c r="C112" s="164" t="s">
        <v>916</v>
      </c>
      <c r="D112" s="164" t="s">
        <v>913</v>
      </c>
      <c r="E112" s="189" t="s">
        <v>147</v>
      </c>
      <c r="F112" s="159" t="s">
        <v>1037</v>
      </c>
      <c r="G112" s="190">
        <v>45339</v>
      </c>
      <c r="H112" s="189" t="s">
        <v>128</v>
      </c>
      <c r="I112" s="93">
        <v>477700</v>
      </c>
      <c r="J112" s="260">
        <v>24000</v>
      </c>
      <c r="K112" s="93">
        <v>0</v>
      </c>
      <c r="L112" s="93">
        <v>0</v>
      </c>
      <c r="M112" s="93">
        <v>0</v>
      </c>
      <c r="N112" s="93">
        <v>0</v>
      </c>
      <c r="O112" s="93">
        <v>0</v>
      </c>
      <c r="P112" s="93">
        <v>0</v>
      </c>
      <c r="Q112" s="93">
        <v>0</v>
      </c>
      <c r="R112" s="93">
        <v>0</v>
      </c>
      <c r="S112" s="93">
        <v>0</v>
      </c>
      <c r="T112" s="93">
        <v>0</v>
      </c>
      <c r="U112" s="93">
        <v>0</v>
      </c>
      <c r="V112" s="93">
        <v>1000</v>
      </c>
      <c r="W112" s="93">
        <v>0</v>
      </c>
      <c r="X112" s="93">
        <v>1046</v>
      </c>
      <c r="Y112" s="93">
        <v>1046</v>
      </c>
      <c r="Z112" s="93">
        <v>1045</v>
      </c>
      <c r="AA112" s="93">
        <v>1040</v>
      </c>
      <c r="AB112" s="93">
        <v>1040</v>
      </c>
      <c r="AC112" s="93">
        <v>1045</v>
      </c>
      <c r="AD112" s="93">
        <v>1045.45</v>
      </c>
      <c r="AE112" s="93">
        <v>1045</v>
      </c>
      <c r="AF112" s="93">
        <v>1050</v>
      </c>
      <c r="AG112" s="93">
        <v>1050</v>
      </c>
      <c r="AH112" s="93">
        <v>1050</v>
      </c>
      <c r="AI112" s="93">
        <v>1045</v>
      </c>
      <c r="AJ112" s="93">
        <v>1045</v>
      </c>
      <c r="AK112" s="93">
        <v>1050</v>
      </c>
      <c r="AL112" s="93"/>
      <c r="AM112" s="93"/>
      <c r="AN112" s="93">
        <f t="shared" ref="AN112" si="109">SUM(K112:AL112)</f>
        <v>15642.45</v>
      </c>
      <c r="AO112" s="93"/>
      <c r="AP112" s="93"/>
      <c r="AQ112" s="253"/>
      <c r="AR112" s="254"/>
      <c r="AS112" s="255"/>
      <c r="AT112" s="790"/>
      <c r="AU112" s="779"/>
      <c r="AV112" s="779"/>
      <c r="AW112" s="258"/>
      <c r="AX112" s="258"/>
      <c r="AY112" s="258"/>
      <c r="AZ112" s="259"/>
      <c r="BA112" s="790"/>
      <c r="BB112" s="779"/>
      <c r="BC112" s="782"/>
      <c r="BD112" s="782"/>
      <c r="BE112" s="782"/>
      <c r="BF112" s="782"/>
      <c r="BG112" s="782"/>
      <c r="BH112" s="782"/>
      <c r="BI112" s="782"/>
      <c r="BJ112" s="267"/>
      <c r="BK112" s="159"/>
    </row>
    <row r="113" spans="2:64" ht="15" customHeight="1" x14ac:dyDescent="0.25">
      <c r="B113" s="164">
        <v>405</v>
      </c>
      <c r="C113" s="164" t="s">
        <v>916</v>
      </c>
      <c r="D113" s="164" t="s">
        <v>146</v>
      </c>
      <c r="E113" s="189" t="s">
        <v>196</v>
      </c>
      <c r="F113" s="159" t="s">
        <v>1038</v>
      </c>
      <c r="G113" s="190">
        <v>45626</v>
      </c>
      <c r="H113" s="189" t="s">
        <v>67</v>
      </c>
      <c r="I113" s="88">
        <v>477000</v>
      </c>
      <c r="J113" s="268">
        <v>100000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  <c r="X113" s="88">
        <v>0</v>
      </c>
      <c r="Y113" s="88">
        <v>0</v>
      </c>
      <c r="Z113" s="88">
        <v>0</v>
      </c>
      <c r="AA113" s="88">
        <v>0</v>
      </c>
      <c r="AB113" s="88">
        <v>0</v>
      </c>
      <c r="AC113" s="88">
        <v>0</v>
      </c>
      <c r="AD113" s="88">
        <v>0</v>
      </c>
      <c r="AE113" s="88">
        <v>500</v>
      </c>
      <c r="AF113" s="88">
        <v>1800</v>
      </c>
      <c r="AG113" s="88">
        <v>0</v>
      </c>
      <c r="AH113" s="88">
        <f>1800+1800</f>
        <v>3600</v>
      </c>
      <c r="AI113" s="88">
        <v>1800</v>
      </c>
      <c r="AJ113" s="88"/>
      <c r="AK113" s="88">
        <v>1800</v>
      </c>
      <c r="AL113" s="88">
        <v>1800</v>
      </c>
      <c r="AM113" s="88"/>
      <c r="AN113" s="88">
        <f>SUM(K113:AL113)</f>
        <v>11300</v>
      </c>
      <c r="AO113" s="88"/>
      <c r="AP113" s="88"/>
      <c r="AQ113" s="269"/>
      <c r="AR113" s="254"/>
      <c r="AS113" s="270"/>
      <c r="AT113" s="791"/>
      <c r="AU113" s="779"/>
      <c r="AV113" s="779"/>
      <c r="AW113" s="271"/>
      <c r="AX113" s="271"/>
      <c r="AY113" s="271"/>
      <c r="AZ113" s="272"/>
      <c r="BA113" s="791"/>
      <c r="BB113" s="779"/>
      <c r="BC113" s="782"/>
      <c r="BD113" s="782"/>
      <c r="BE113" s="782"/>
      <c r="BF113" s="782"/>
      <c r="BG113" s="782"/>
      <c r="BH113" s="782"/>
      <c r="BI113" s="782"/>
      <c r="BJ113" s="267"/>
      <c r="BK113" s="159"/>
      <c r="BL113" s="86" t="s">
        <v>1039</v>
      </c>
    </row>
    <row r="114" spans="2:64" ht="15" customHeight="1" x14ac:dyDescent="0.25">
      <c r="B114" s="164">
        <v>209</v>
      </c>
      <c r="C114" s="164" t="s">
        <v>916</v>
      </c>
      <c r="D114" s="164" t="s">
        <v>146</v>
      </c>
      <c r="E114" s="189"/>
      <c r="F114" s="159" t="s">
        <v>1040</v>
      </c>
      <c r="G114" s="190">
        <v>45851</v>
      </c>
      <c r="H114" s="189" t="s">
        <v>374</v>
      </c>
      <c r="I114" s="88">
        <v>477700</v>
      </c>
      <c r="J114" s="268">
        <v>24000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  <c r="X114" s="88">
        <v>0</v>
      </c>
      <c r="Y114" s="88">
        <v>0</v>
      </c>
      <c r="Z114" s="88">
        <v>0</v>
      </c>
      <c r="AA114" s="88">
        <v>0</v>
      </c>
      <c r="AB114" s="88">
        <v>0</v>
      </c>
      <c r="AC114" s="88">
        <v>0</v>
      </c>
      <c r="AD114" s="88">
        <v>0</v>
      </c>
      <c r="AE114" s="88">
        <v>0</v>
      </c>
      <c r="AF114" s="88">
        <v>0</v>
      </c>
      <c r="AG114" s="88">
        <v>0</v>
      </c>
      <c r="AH114" s="88"/>
      <c r="AI114" s="88">
        <v>0</v>
      </c>
      <c r="AJ114" s="88"/>
      <c r="AK114" s="88"/>
      <c r="AL114" s="88"/>
      <c r="AM114" s="88">
        <v>400</v>
      </c>
      <c r="AN114" s="88">
        <f t="shared" ref="AN114:AN115" si="110">SUM(K114:AM114)</f>
        <v>400</v>
      </c>
      <c r="AO114" s="88"/>
      <c r="AP114" s="88"/>
      <c r="AQ114" s="269"/>
      <c r="AR114" s="254"/>
      <c r="AS114" s="270"/>
      <c r="AT114" s="791"/>
      <c r="AU114" s="779"/>
      <c r="AV114" s="779"/>
      <c r="AW114" s="271"/>
      <c r="AX114" s="271"/>
      <c r="AY114" s="271"/>
      <c r="AZ114" s="272"/>
      <c r="BA114" s="791"/>
      <c r="BB114" s="779"/>
      <c r="BC114" s="782"/>
      <c r="BD114" s="782"/>
      <c r="BE114" s="782"/>
      <c r="BF114" s="782"/>
      <c r="BG114" s="782"/>
      <c r="BH114" s="782"/>
      <c r="BI114" s="782"/>
      <c r="BJ114" s="267"/>
      <c r="BK114" s="159"/>
    </row>
    <row r="115" spans="2:64" ht="15" customHeight="1" x14ac:dyDescent="0.25">
      <c r="B115" s="164">
        <v>108</v>
      </c>
      <c r="C115" s="164" t="s">
        <v>916</v>
      </c>
      <c r="D115" s="164" t="s">
        <v>146</v>
      </c>
      <c r="E115" s="189" t="s">
        <v>921</v>
      </c>
      <c r="F115" s="159" t="s">
        <v>1041</v>
      </c>
      <c r="G115" s="190">
        <v>45649</v>
      </c>
      <c r="H115" s="189" t="s">
        <v>128</v>
      </c>
      <c r="I115" s="88">
        <v>477700</v>
      </c>
      <c r="J115" s="268">
        <v>95600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  <c r="X115" s="88">
        <v>0</v>
      </c>
      <c r="Y115" s="88">
        <v>0</v>
      </c>
      <c r="Z115" s="88">
        <v>0</v>
      </c>
      <c r="AA115" s="88">
        <v>0</v>
      </c>
      <c r="AB115" s="88">
        <v>0</v>
      </c>
      <c r="AC115" s="88">
        <v>0</v>
      </c>
      <c r="AD115" s="88">
        <v>0</v>
      </c>
      <c r="AE115" s="88">
        <v>1500</v>
      </c>
      <c r="AF115" s="88">
        <v>0</v>
      </c>
      <c r="AG115" s="88">
        <v>0</v>
      </c>
      <c r="AH115" s="88">
        <v>0</v>
      </c>
      <c r="AI115" s="88">
        <v>0</v>
      </c>
      <c r="AJ115" s="88"/>
      <c r="AK115" s="88"/>
      <c r="AL115" s="88"/>
      <c r="AM115" s="88"/>
      <c r="AN115" s="88">
        <f t="shared" si="110"/>
        <v>1500</v>
      </c>
      <c r="AO115" s="88"/>
      <c r="AP115" s="88"/>
      <c r="AQ115" s="269"/>
      <c r="AR115" s="254"/>
      <c r="AS115" s="270"/>
      <c r="AT115" s="791"/>
      <c r="AU115" s="779"/>
      <c r="AV115" s="779"/>
      <c r="AW115" s="271"/>
      <c r="AX115" s="271"/>
      <c r="AY115" s="271"/>
      <c r="AZ115" s="272"/>
      <c r="BA115" s="791"/>
      <c r="BB115" s="779"/>
      <c r="BC115" s="782"/>
      <c r="BD115" s="782"/>
      <c r="BE115" s="782"/>
      <c r="BF115" s="782"/>
      <c r="BG115" s="782"/>
      <c r="BH115" s="782"/>
      <c r="BI115" s="782"/>
      <c r="BJ115" s="267"/>
      <c r="BK115" s="159"/>
    </row>
    <row r="116" spans="2:64" ht="15" customHeight="1" x14ac:dyDescent="0.25">
      <c r="B116" s="164"/>
      <c r="C116" s="164"/>
      <c r="D116" s="164"/>
      <c r="E116" s="189"/>
      <c r="F116" s="159"/>
      <c r="G116" s="190"/>
      <c r="H116" s="189"/>
      <c r="I116" s="93"/>
      <c r="J116" s="260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253"/>
      <c r="AR116" s="254"/>
      <c r="AS116" s="255"/>
      <c r="AT116" s="790"/>
      <c r="AU116" s="779"/>
      <c r="AV116" s="779"/>
      <c r="AW116" s="258"/>
      <c r="AX116" s="258"/>
      <c r="AY116" s="258"/>
      <c r="AZ116" s="259"/>
      <c r="BA116" s="790"/>
      <c r="BB116" s="779"/>
      <c r="BC116" s="782"/>
      <c r="BD116" s="782"/>
      <c r="BE116" s="782"/>
      <c r="BF116" s="782"/>
      <c r="BG116" s="782"/>
      <c r="BH116" s="782"/>
      <c r="BI116" s="782"/>
      <c r="BJ116" s="267"/>
      <c r="BK116" s="159"/>
    </row>
    <row r="117" spans="2:64" ht="15" customHeight="1" x14ac:dyDescent="0.25">
      <c r="B117" s="164"/>
      <c r="C117" s="164"/>
      <c r="D117" s="164"/>
      <c r="E117" s="189"/>
      <c r="F117" s="159"/>
      <c r="G117" s="190"/>
      <c r="H117" s="189"/>
      <c r="I117" s="93"/>
      <c r="J117" s="260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253"/>
      <c r="AR117" s="254"/>
      <c r="AS117" s="255"/>
      <c r="AT117" s="790"/>
      <c r="AU117" s="779"/>
      <c r="AV117" s="779"/>
      <c r="AW117" s="258"/>
      <c r="AX117" s="258"/>
      <c r="AY117" s="258"/>
      <c r="AZ117" s="259"/>
      <c r="BA117" s="790"/>
      <c r="BB117" s="779"/>
      <c r="BC117" s="782"/>
      <c r="BD117" s="782"/>
      <c r="BE117" s="782"/>
      <c r="BF117" s="782"/>
      <c r="BG117" s="782"/>
      <c r="BH117" s="782"/>
      <c r="BI117" s="782"/>
      <c r="BJ117" s="267"/>
      <c r="BK117" s="159"/>
    </row>
    <row r="118" spans="2:64" x14ac:dyDescent="0.25">
      <c r="F118" s="159"/>
      <c r="G118" s="190"/>
      <c r="K118" s="261">
        <f t="shared" ref="K118:AN118" si="111">SUM(K98:K117)</f>
        <v>0</v>
      </c>
      <c r="L118" s="261">
        <f t="shared" si="111"/>
        <v>0</v>
      </c>
      <c r="M118" s="261">
        <f t="shared" si="111"/>
        <v>0</v>
      </c>
      <c r="N118" s="261">
        <f t="shared" si="111"/>
        <v>0</v>
      </c>
      <c r="O118" s="261">
        <f t="shared" si="111"/>
        <v>0</v>
      </c>
      <c r="P118" s="261">
        <f t="shared" si="111"/>
        <v>0</v>
      </c>
      <c r="Q118" s="261">
        <f t="shared" si="111"/>
        <v>0</v>
      </c>
      <c r="R118" s="261">
        <f t="shared" si="111"/>
        <v>3323.33</v>
      </c>
      <c r="S118" s="261">
        <f t="shared" si="111"/>
        <v>2823.33</v>
      </c>
      <c r="T118" s="261">
        <f t="shared" si="111"/>
        <v>5550.6</v>
      </c>
      <c r="U118" s="261">
        <f t="shared" si="111"/>
        <v>6860.12</v>
      </c>
      <c r="V118" s="261">
        <f t="shared" si="111"/>
        <v>3309.52</v>
      </c>
      <c r="W118" s="261">
        <f t="shared" si="111"/>
        <v>9860.119999999999</v>
      </c>
      <c r="X118" s="261">
        <f t="shared" si="111"/>
        <v>10229.450000000001</v>
      </c>
      <c r="Y118" s="261">
        <f t="shared" si="111"/>
        <v>4869.33</v>
      </c>
      <c r="Z118" s="261">
        <f t="shared" si="111"/>
        <v>1045</v>
      </c>
      <c r="AA118" s="261">
        <f t="shared" si="111"/>
        <v>9186.66</v>
      </c>
      <c r="AB118" s="261">
        <f t="shared" si="111"/>
        <v>6363.33</v>
      </c>
      <c r="AC118" s="261">
        <f t="shared" si="111"/>
        <v>3045</v>
      </c>
      <c r="AD118" s="261">
        <f t="shared" si="111"/>
        <v>3368.7799999999997</v>
      </c>
      <c r="AE118" s="261">
        <f t="shared" si="111"/>
        <v>4845</v>
      </c>
      <c r="AF118" s="261">
        <f t="shared" si="111"/>
        <v>7996.66</v>
      </c>
      <c r="AG118" s="261">
        <f t="shared" si="111"/>
        <v>1050</v>
      </c>
      <c r="AH118" s="261">
        <f t="shared" si="111"/>
        <v>6650</v>
      </c>
      <c r="AI118" s="261">
        <f t="shared" si="111"/>
        <v>2845</v>
      </c>
      <c r="AJ118" s="261">
        <f t="shared" si="111"/>
        <v>1045</v>
      </c>
      <c r="AK118" s="261">
        <f t="shared" si="111"/>
        <v>4350</v>
      </c>
      <c r="AL118" s="261">
        <f t="shared" si="111"/>
        <v>1800</v>
      </c>
      <c r="AM118" s="261"/>
      <c r="AN118" s="261">
        <f t="shared" si="111"/>
        <v>99816.23</v>
      </c>
    </row>
    <row r="119" spans="2:64" x14ac:dyDescent="0.25"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</row>
    <row r="120" spans="2:64" x14ac:dyDescent="0.25"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</row>
    <row r="121" spans="2:64" x14ac:dyDescent="0.25"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</row>
    <row r="122" spans="2:64" x14ac:dyDescent="0.25"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</row>
    <row r="123" spans="2:64" x14ac:dyDescent="0.25"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</row>
    <row r="125" spans="2:64" x14ac:dyDescent="0.25">
      <c r="B125" s="193" t="s">
        <v>765</v>
      </c>
    </row>
    <row r="126" spans="2:64" x14ac:dyDescent="0.25">
      <c r="B126" s="192" t="s">
        <v>721</v>
      </c>
      <c r="C126" s="192" t="s">
        <v>722</v>
      </c>
      <c r="D126" s="192" t="s">
        <v>1023</v>
      </c>
      <c r="E126" s="192" t="s">
        <v>1024</v>
      </c>
      <c r="F126" s="192" t="s">
        <v>724</v>
      </c>
      <c r="G126" s="192" t="s">
        <v>725</v>
      </c>
      <c r="H126" s="192" t="s">
        <v>766</v>
      </c>
      <c r="I126" s="191" t="s">
        <v>727</v>
      </c>
      <c r="J126" s="191" t="s">
        <v>767</v>
      </c>
    </row>
    <row r="127" spans="2:64" x14ac:dyDescent="0.25">
      <c r="B127" s="90">
        <v>101</v>
      </c>
      <c r="C127" s="189"/>
      <c r="D127" s="189"/>
      <c r="E127" s="86" t="s">
        <v>921</v>
      </c>
      <c r="F127" s="86" t="s">
        <v>1042</v>
      </c>
      <c r="G127" s="196">
        <v>45250</v>
      </c>
      <c r="H127" s="196">
        <v>45250</v>
      </c>
      <c r="I127" s="88">
        <v>494900</v>
      </c>
      <c r="J127" s="194">
        <v>22</v>
      </c>
    </row>
    <row r="128" spans="2:64" x14ac:dyDescent="0.25">
      <c r="B128" s="90">
        <v>102</v>
      </c>
      <c r="C128" s="189"/>
      <c r="D128" s="189"/>
      <c r="E128" s="86" t="s">
        <v>1043</v>
      </c>
      <c r="F128" s="86" t="s">
        <v>1044</v>
      </c>
      <c r="G128" s="196">
        <v>45270</v>
      </c>
      <c r="H128" s="196">
        <v>45270</v>
      </c>
      <c r="I128" s="88">
        <v>494900</v>
      </c>
      <c r="J128" s="194">
        <v>32</v>
      </c>
    </row>
    <row r="129" spans="2:40" x14ac:dyDescent="0.25">
      <c r="B129" s="90">
        <v>102</v>
      </c>
      <c r="C129" s="189"/>
      <c r="D129" s="189"/>
      <c r="E129" s="86" t="s">
        <v>1043</v>
      </c>
      <c r="F129" s="86" t="s">
        <v>1045</v>
      </c>
      <c r="G129" s="196">
        <v>45417</v>
      </c>
      <c r="H129" s="196">
        <v>45417</v>
      </c>
      <c r="I129" s="88">
        <v>477700</v>
      </c>
      <c r="J129" s="194">
        <v>118</v>
      </c>
    </row>
    <row r="130" spans="2:40" x14ac:dyDescent="0.25">
      <c r="B130" s="90">
        <v>103</v>
      </c>
      <c r="C130" s="189"/>
      <c r="D130" s="189"/>
      <c r="E130" s="86" t="s">
        <v>1043</v>
      </c>
      <c r="F130" s="86" t="s">
        <v>1046</v>
      </c>
      <c r="G130" s="196">
        <v>45323</v>
      </c>
      <c r="H130" s="196">
        <v>45323</v>
      </c>
      <c r="I130" s="88">
        <v>477000</v>
      </c>
      <c r="J130" s="194">
        <v>53</v>
      </c>
    </row>
    <row r="131" spans="2:40" x14ac:dyDescent="0.25">
      <c r="B131" s="90">
        <v>106</v>
      </c>
      <c r="C131" s="189"/>
      <c r="D131" s="189"/>
      <c r="E131" s="86" t="s">
        <v>921</v>
      </c>
      <c r="F131" s="86" t="s">
        <v>1047</v>
      </c>
      <c r="G131" s="196">
        <v>45249</v>
      </c>
      <c r="H131" s="196">
        <v>45250</v>
      </c>
      <c r="I131" s="88">
        <v>494900</v>
      </c>
      <c r="J131" s="194">
        <v>23</v>
      </c>
    </row>
    <row r="132" spans="2:40" x14ac:dyDescent="0.25">
      <c r="B132" s="90">
        <v>108</v>
      </c>
      <c r="C132" s="189"/>
      <c r="D132" s="189"/>
      <c r="E132" s="86" t="s">
        <v>196</v>
      </c>
      <c r="F132" s="86" t="s">
        <v>1048</v>
      </c>
      <c r="G132" s="196">
        <v>45517</v>
      </c>
      <c r="H132" s="196">
        <v>45517</v>
      </c>
      <c r="I132" s="88">
        <v>477700</v>
      </c>
      <c r="J132" s="194">
        <v>221</v>
      </c>
    </row>
    <row r="133" spans="2:40" x14ac:dyDescent="0.25">
      <c r="B133" s="90">
        <v>111</v>
      </c>
      <c r="C133" s="189"/>
      <c r="D133" s="189"/>
      <c r="E133" s="86" t="s">
        <v>1043</v>
      </c>
      <c r="F133" s="86" t="s">
        <v>949</v>
      </c>
      <c r="G133" s="196">
        <v>45372</v>
      </c>
      <c r="H133" s="196">
        <v>45372</v>
      </c>
      <c r="I133" s="88">
        <v>477000</v>
      </c>
      <c r="J133" s="194">
        <v>78</v>
      </c>
    </row>
    <row r="134" spans="2:40" x14ac:dyDescent="0.25">
      <c r="B134" s="90">
        <v>209</v>
      </c>
      <c r="C134" s="189"/>
      <c r="D134" s="189"/>
      <c r="E134" s="86" t="s">
        <v>1043</v>
      </c>
      <c r="F134" s="86" t="s">
        <v>1032</v>
      </c>
      <c r="G134" s="196">
        <v>45430</v>
      </c>
      <c r="H134" s="196">
        <v>45430</v>
      </c>
      <c r="I134" s="88">
        <v>477700</v>
      </c>
      <c r="J134" s="194">
        <v>133</v>
      </c>
    </row>
    <row r="135" spans="2:40" x14ac:dyDescent="0.25">
      <c r="B135" s="90">
        <v>303</v>
      </c>
      <c r="C135" s="189"/>
      <c r="D135" s="189"/>
      <c r="E135" s="86" t="s">
        <v>921</v>
      </c>
      <c r="F135" s="86" t="s">
        <v>1049</v>
      </c>
      <c r="G135" s="196">
        <v>45276</v>
      </c>
      <c r="H135" s="196" t="s">
        <v>1050</v>
      </c>
      <c r="I135" s="88">
        <v>497900</v>
      </c>
      <c r="J135" s="194">
        <v>36</v>
      </c>
    </row>
    <row r="136" spans="2:40" x14ac:dyDescent="0.25">
      <c r="B136" s="90">
        <v>308</v>
      </c>
      <c r="C136" s="189"/>
      <c r="D136" s="189"/>
      <c r="E136" s="86" t="s">
        <v>1051</v>
      </c>
      <c r="F136" s="86" t="s">
        <v>1052</v>
      </c>
      <c r="G136" s="196">
        <v>45144</v>
      </c>
      <c r="H136" s="196">
        <v>45144</v>
      </c>
      <c r="I136" s="88">
        <v>494800</v>
      </c>
      <c r="J136" s="194">
        <v>4</v>
      </c>
    </row>
    <row r="137" spans="2:40" x14ac:dyDescent="0.25">
      <c r="B137" s="90">
        <v>403</v>
      </c>
      <c r="C137" s="189"/>
      <c r="D137" s="189"/>
      <c r="E137" s="86" t="s">
        <v>921</v>
      </c>
      <c r="F137" s="86" t="s">
        <v>1053</v>
      </c>
      <c r="G137" s="196">
        <v>45343</v>
      </c>
      <c r="H137" s="196">
        <v>45343</v>
      </c>
      <c r="I137" s="88">
        <v>477000</v>
      </c>
      <c r="J137" s="194">
        <v>63</v>
      </c>
    </row>
    <row r="138" spans="2:40" x14ac:dyDescent="0.25">
      <c r="B138" s="90">
        <v>403</v>
      </c>
      <c r="C138" s="189"/>
      <c r="D138" s="189"/>
      <c r="E138" s="86" t="s">
        <v>366</v>
      </c>
      <c r="F138" s="86" t="s">
        <v>1054</v>
      </c>
      <c r="G138" s="196">
        <v>45434</v>
      </c>
      <c r="H138" s="196">
        <v>45434</v>
      </c>
      <c r="I138" s="88">
        <v>477000</v>
      </c>
      <c r="J138" s="194">
        <v>140</v>
      </c>
    </row>
    <row r="139" spans="2:40" x14ac:dyDescent="0.25">
      <c r="B139" s="90">
        <v>404</v>
      </c>
      <c r="C139" s="189"/>
      <c r="D139" s="189"/>
      <c r="E139" s="86" t="s">
        <v>1043</v>
      </c>
      <c r="F139" s="86" t="s">
        <v>1055</v>
      </c>
      <c r="G139" s="196">
        <v>45283</v>
      </c>
      <c r="H139" s="196">
        <v>45283</v>
      </c>
      <c r="I139" s="88">
        <v>497900</v>
      </c>
      <c r="J139" s="194">
        <v>38</v>
      </c>
    </row>
    <row r="140" spans="2:40" x14ac:dyDescent="0.25">
      <c r="B140" s="90">
        <v>501</v>
      </c>
      <c r="C140" s="189"/>
      <c r="D140" s="189"/>
      <c r="E140" s="86" t="s">
        <v>196</v>
      </c>
      <c r="F140" s="86" t="s">
        <v>1056</v>
      </c>
      <c r="G140" s="196">
        <v>45534</v>
      </c>
      <c r="H140" s="196">
        <v>45534</v>
      </c>
      <c r="I140" s="88">
        <v>477000</v>
      </c>
      <c r="J140" s="194">
        <v>236</v>
      </c>
    </row>
    <row r="141" spans="2:40" x14ac:dyDescent="0.25">
      <c r="B141" s="90">
        <v>601</v>
      </c>
      <c r="C141" s="189"/>
      <c r="D141" s="189"/>
      <c r="E141" s="86" t="s">
        <v>1043</v>
      </c>
      <c r="F141" s="86" t="s">
        <v>992</v>
      </c>
      <c r="G141" s="196">
        <v>45368</v>
      </c>
      <c r="H141" s="196">
        <v>45368</v>
      </c>
      <c r="I141" s="88">
        <v>477700</v>
      </c>
      <c r="J141" s="194">
        <v>75</v>
      </c>
    </row>
    <row r="142" spans="2:40" x14ac:dyDescent="0.25">
      <c r="B142" s="90">
        <v>604</v>
      </c>
      <c r="C142" s="189" t="s">
        <v>916</v>
      </c>
      <c r="D142" s="189" t="s">
        <v>913</v>
      </c>
      <c r="E142" s="86" t="s">
        <v>147</v>
      </c>
      <c r="F142" s="86" t="s">
        <v>1037</v>
      </c>
      <c r="G142" s="196">
        <v>45339</v>
      </c>
      <c r="H142" s="196" t="s">
        <v>128</v>
      </c>
      <c r="I142" s="88">
        <v>477700</v>
      </c>
      <c r="J142" s="194">
        <v>24000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1000</v>
      </c>
      <c r="W142" s="88">
        <v>0</v>
      </c>
      <c r="X142" s="88">
        <v>1046</v>
      </c>
      <c r="Y142" s="88">
        <v>1046</v>
      </c>
      <c r="Z142" s="88">
        <v>1045</v>
      </c>
      <c r="AA142" s="88">
        <v>1040</v>
      </c>
      <c r="AB142" s="88">
        <v>1040</v>
      </c>
      <c r="AC142" s="88">
        <v>1045</v>
      </c>
      <c r="AD142" s="88">
        <v>1045.45</v>
      </c>
      <c r="AE142" s="88">
        <v>1045</v>
      </c>
      <c r="AF142" s="88">
        <v>1050</v>
      </c>
      <c r="AG142" s="88">
        <v>1050</v>
      </c>
      <c r="AH142" s="88">
        <v>1050</v>
      </c>
      <c r="AI142" s="88">
        <v>1045</v>
      </c>
      <c r="AJ142" s="88">
        <v>1045</v>
      </c>
      <c r="AK142" s="88">
        <v>1050</v>
      </c>
      <c r="AL142" s="88"/>
      <c r="AM142" s="88"/>
      <c r="AN142" s="88">
        <f t="shared" ref="AN142" si="112">SUM(K142:AL142)</f>
        <v>15642.45</v>
      </c>
    </row>
  </sheetData>
  <autoFilter ref="B6:BL91" xr:uid="{2169D6EF-D891-495B-ADD1-8CC82465424B}"/>
  <conditionalFormatting sqref="K7:AM7 K8:AH8 AJ8:AM8 K9:AM86">
    <cfRule type="cellIs" dxfId="40" priority="94" operator="lessThan">
      <formula>0.01</formula>
    </cfRule>
  </conditionalFormatting>
  <conditionalFormatting sqref="K91:AN91">
    <cfRule type="cellIs" dxfId="39" priority="78" operator="lessThan">
      <formula>0.01</formula>
    </cfRule>
    <cfRule type="cellIs" dxfId="38" priority="79" operator="greaterThan">
      <formula>0.01</formula>
    </cfRule>
  </conditionalFormatting>
  <conditionalFormatting sqref="AN7:AN86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{7392FD5C-F9EA-4E2B-BDB5-C5C5B0E61F46}</x14:id>
        </ext>
      </extLst>
    </cfRule>
  </conditionalFormatting>
  <conditionalFormatting sqref="AP7:AP86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{EF328059-4716-4D36-9395-5B77E287DC5F}</x14:id>
        </ext>
      </extLst>
    </cfRule>
  </conditionalFormatting>
  <conditionalFormatting sqref="AV7:AV86">
    <cfRule type="containsText" dxfId="37" priority="80" operator="containsText" text="Cliente al día">
      <formula>NOT(ISERROR(SEARCH("Cliente al día",AV7)))</formula>
    </cfRule>
    <cfRule type="containsText" dxfId="36" priority="81" operator="containsText" text="Superávit de Enganche">
      <formula>NOT(ISERROR(SEARCH("Superávit de Enganche",AV7)))</formula>
    </cfRule>
    <cfRule type="containsText" dxfId="35" priority="82" operator="containsText" text="Enganche Completado">
      <formula>NOT(ISERROR(SEARCH("Enganche Completado",AV7)))</formula>
    </cfRule>
    <cfRule type="containsText" dxfId="34" priority="83" operator="containsText" text="Cliente Atrasado">
      <formula>NOT(ISERROR(SEARCH("Cliente Atrasado",AV7)))</formula>
    </cfRule>
  </conditionalFormatting>
  <conditionalFormatting sqref="AV107:AV117">
    <cfRule type="containsText" dxfId="33" priority="1" operator="containsText" text="Cliente al día">
      <formula>NOT(ISERROR(SEARCH("Cliente al día",AV107)))</formula>
    </cfRule>
    <cfRule type="containsText" dxfId="32" priority="2" operator="containsText" text="Superávit de Enganche">
      <formula>NOT(ISERROR(SEARCH("Superávit de Enganche",AV107)))</formula>
    </cfRule>
    <cfRule type="containsText" dxfId="31" priority="3" operator="containsText" text="Enganche Completado">
      <formula>NOT(ISERROR(SEARCH("Enganche Completado",AV107)))</formula>
    </cfRule>
    <cfRule type="containsText" dxfId="30" priority="4" operator="containsText" text="Cliente Atrasado">
      <formula>NOT(ISERROR(SEARCH("Cliente Atrasado",AV107)))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92FD5C-F9EA-4E2B-BDB5-C5C5B0E61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AN7:AN86</xm:sqref>
        </x14:conditionalFormatting>
        <x14:conditionalFormatting xmlns:xm="http://schemas.microsoft.com/office/excel/2006/main">
          <x14:cfRule type="dataBar" id="{EF328059-4716-4D36-9395-5B77E287DC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AP7:AP86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EFF6-C9CF-497F-9530-9F1C3C558EC6}">
  <sheetPr>
    <tabColor rgb="FFC00000"/>
  </sheetPr>
  <dimension ref="A2:BC339"/>
  <sheetViews>
    <sheetView showGridLines="0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I23" sqref="I23"/>
    </sheetView>
  </sheetViews>
  <sheetFormatPr defaultColWidth="11" defaultRowHeight="15" outlineLevelCol="2" x14ac:dyDescent="0.25"/>
  <cols>
    <col min="1" max="1" width="0.7109375" style="88" customWidth="1"/>
    <col min="2" max="2" width="7.42578125" style="86" customWidth="1"/>
    <col min="3" max="3" width="13.7109375" style="86" customWidth="1"/>
    <col min="4" max="4" width="61.5703125" style="86" bestFit="1" customWidth="1"/>
    <col min="5" max="5" width="17.7109375" style="86" bestFit="1" customWidth="1"/>
    <col min="6" max="6" width="12.42578125" style="86" bestFit="1" customWidth="1"/>
    <col min="7" max="7" width="14.7109375" style="86" bestFit="1" customWidth="1"/>
    <col min="8" max="8" width="16.7109375" style="88" bestFit="1" customWidth="1"/>
    <col min="9" max="9" width="16.7109375" style="88" customWidth="1"/>
    <col min="10" max="10" width="14.42578125" style="88" customWidth="1" outlineLevel="2"/>
    <col min="11" max="11" width="13.7109375" style="86" customWidth="1" outlineLevel="2"/>
    <col min="12" max="12" width="14.5703125" style="86" customWidth="1" outlineLevel="2"/>
    <col min="13" max="13" width="13.5703125" style="86" customWidth="1" outlineLevel="2"/>
    <col min="14" max="14" width="13" style="86" customWidth="1" outlineLevel="2"/>
    <col min="15" max="15" width="14.140625" style="86" customWidth="1" outlineLevel="2"/>
    <col min="16" max="16" width="13.7109375" style="86" customWidth="1" outlineLevel="2"/>
    <col min="17" max="17" width="13.5703125" style="86" customWidth="1" outlineLevel="2"/>
    <col min="18" max="18" width="14.28515625" style="86" customWidth="1" outlineLevel="2"/>
    <col min="19" max="19" width="13.28515625" style="86" customWidth="1" outlineLevel="2"/>
    <col min="20" max="20" width="13.5703125" style="86" customWidth="1" outlineLevel="2"/>
    <col min="21" max="21" width="13.42578125" style="86" customWidth="1" outlineLevel="2"/>
    <col min="22" max="22" width="14.42578125" style="86" customWidth="1" outlineLevel="2"/>
    <col min="23" max="23" width="13.7109375" style="86" customWidth="1" outlineLevel="2"/>
    <col min="24" max="24" width="14.5703125" style="86" customWidth="1" outlineLevel="2"/>
    <col min="25" max="25" width="13.5703125" style="86" customWidth="1" outlineLevel="2"/>
    <col min="26" max="26" width="13" style="86" customWidth="1" outlineLevel="2"/>
    <col min="27" max="27" width="14.140625" style="86" customWidth="1" outlineLevel="2"/>
    <col min="28" max="28" width="13.5703125" style="86" customWidth="1" outlineLevel="2"/>
    <col min="29" max="29" width="16" style="86" customWidth="1" outlineLevel="1"/>
    <col min="30" max="30" width="14.28515625" style="86" customWidth="1" outlineLevel="1"/>
    <col min="31" max="31" width="16" style="86" customWidth="1" outlineLevel="1"/>
    <col min="32" max="32" width="13.7109375" style="86" customWidth="1" outlineLevel="1"/>
    <col min="33" max="35" width="19.140625" style="86" customWidth="1" outlineLevel="1"/>
    <col min="36" max="36" width="29.140625" style="86" bestFit="1" customWidth="1"/>
    <col min="37" max="37" width="14.28515625" style="86" customWidth="1" outlineLevel="1"/>
    <col min="38" max="38" width="30.42578125" style="86" customWidth="1" outlineLevel="1"/>
    <col min="39" max="39" width="16.85546875" style="86" customWidth="1" outlineLevel="1"/>
    <col min="40" max="40" width="25.28515625" style="86" customWidth="1" outlineLevel="1"/>
    <col min="41" max="41" width="16.7109375" style="86" customWidth="1" outlineLevel="1"/>
    <col min="42" max="42" width="19.7109375" style="86" bestFit="1" customWidth="1"/>
    <col min="43" max="43" width="24.7109375" style="86" bestFit="1" customWidth="1"/>
    <col min="44" max="44" width="24.7109375" style="86" customWidth="1"/>
    <col min="45" max="45" width="29.7109375" style="86" bestFit="1" customWidth="1"/>
    <col min="46" max="47" width="1.7109375" style="86" customWidth="1"/>
    <col min="48" max="48" width="13.7109375" style="86" customWidth="1"/>
    <col min="49" max="49" width="11.28515625" style="86" customWidth="1"/>
    <col min="50" max="50" width="8.28515625" style="104" customWidth="1"/>
    <col min="51" max="51" width="15" style="104" customWidth="1"/>
    <col min="52" max="52" width="11" style="86"/>
    <col min="53" max="53" width="25.42578125" style="86" customWidth="1"/>
    <col min="54" max="16384" width="11" style="86"/>
  </cols>
  <sheetData>
    <row r="2" spans="1:53" ht="22.5" customHeight="1" x14ac:dyDescent="0.4">
      <c r="B2" s="87" t="s">
        <v>1057</v>
      </c>
      <c r="C2" s="87"/>
    </row>
    <row r="3" spans="1:53" ht="16.5" customHeight="1" x14ac:dyDescent="0.3">
      <c r="A3" s="100"/>
      <c r="B3" s="89" t="s">
        <v>342</v>
      </c>
    </row>
    <row r="4" spans="1:53" ht="15" customHeight="1" x14ac:dyDescent="0.3">
      <c r="A4" s="101"/>
      <c r="B4" s="86" t="s">
        <v>1058</v>
      </c>
    </row>
    <row r="5" spans="1:53" ht="12.75" customHeight="1" x14ac:dyDescent="0.3">
      <c r="A5" s="101"/>
      <c r="B5" s="86">
        <v>1</v>
      </c>
      <c r="C5" s="86">
        <f>+B5+1</f>
        <v>2</v>
      </c>
      <c r="D5" s="86">
        <f t="shared" ref="D5:AD5" si="0">+C5+1</f>
        <v>3</v>
      </c>
      <c r="E5" s="86">
        <f>+D5+1</f>
        <v>4</v>
      </c>
      <c r="F5" s="86">
        <f t="shared" si="0"/>
        <v>5</v>
      </c>
      <c r="G5" s="86">
        <f t="shared" si="0"/>
        <v>6</v>
      </c>
      <c r="H5" s="86">
        <f t="shared" si="0"/>
        <v>7</v>
      </c>
      <c r="I5" s="86">
        <f t="shared" si="0"/>
        <v>8</v>
      </c>
      <c r="J5" s="86">
        <f t="shared" si="0"/>
        <v>9</v>
      </c>
      <c r="K5" s="86">
        <f t="shared" si="0"/>
        <v>10</v>
      </c>
      <c r="L5" s="86">
        <f t="shared" si="0"/>
        <v>11</v>
      </c>
      <c r="M5" s="86">
        <f t="shared" si="0"/>
        <v>12</v>
      </c>
      <c r="N5" s="86">
        <f t="shared" si="0"/>
        <v>13</v>
      </c>
      <c r="O5" s="86">
        <f t="shared" si="0"/>
        <v>14</v>
      </c>
      <c r="P5" s="86">
        <f t="shared" si="0"/>
        <v>15</v>
      </c>
      <c r="Q5" s="86">
        <f t="shared" si="0"/>
        <v>16</v>
      </c>
      <c r="R5" s="86">
        <f t="shared" si="0"/>
        <v>17</v>
      </c>
      <c r="S5" s="86">
        <f t="shared" si="0"/>
        <v>18</v>
      </c>
      <c r="T5" s="86">
        <f t="shared" si="0"/>
        <v>19</v>
      </c>
      <c r="U5" s="86">
        <f t="shared" si="0"/>
        <v>20</v>
      </c>
      <c r="V5" s="86">
        <f t="shared" si="0"/>
        <v>21</v>
      </c>
      <c r="W5" s="86">
        <f t="shared" si="0"/>
        <v>22</v>
      </c>
      <c r="X5" s="86">
        <f t="shared" si="0"/>
        <v>23</v>
      </c>
      <c r="Y5" s="86">
        <f t="shared" si="0"/>
        <v>24</v>
      </c>
      <c r="Z5" s="86">
        <f t="shared" si="0"/>
        <v>25</v>
      </c>
      <c r="AA5" s="86">
        <f t="shared" si="0"/>
        <v>26</v>
      </c>
      <c r="AB5" s="86">
        <f t="shared" si="0"/>
        <v>27</v>
      </c>
      <c r="AC5" s="86">
        <f t="shared" si="0"/>
        <v>28</v>
      </c>
      <c r="AD5" s="86">
        <f t="shared" si="0"/>
        <v>29</v>
      </c>
      <c r="AE5" s="86">
        <f>+AD5+1</f>
        <v>30</v>
      </c>
      <c r="AF5" s="86">
        <f>+AE5+1</f>
        <v>31</v>
      </c>
      <c r="AG5" s="86">
        <f t="shared" ref="AG5:AH5" si="1">+AF5+1</f>
        <v>32</v>
      </c>
      <c r="AH5" s="86">
        <f t="shared" si="1"/>
        <v>33</v>
      </c>
    </row>
    <row r="6" spans="1:53" ht="40.9" customHeight="1" x14ac:dyDescent="0.25">
      <c r="B6" s="177" t="s">
        <v>62</v>
      </c>
      <c r="C6" s="177" t="s">
        <v>65</v>
      </c>
      <c r="D6" s="177" t="s">
        <v>66</v>
      </c>
      <c r="E6" s="177" t="s">
        <v>67</v>
      </c>
      <c r="F6" s="177" t="s">
        <v>63</v>
      </c>
      <c r="G6" s="177" t="s">
        <v>68</v>
      </c>
      <c r="H6" s="177" t="s">
        <v>69</v>
      </c>
      <c r="I6" s="177" t="s">
        <v>70</v>
      </c>
      <c r="J6" s="178">
        <v>45016</v>
      </c>
      <c r="K6" s="178">
        <v>45046</v>
      </c>
      <c r="L6" s="178">
        <v>45077</v>
      </c>
      <c r="M6" s="178">
        <v>45107</v>
      </c>
      <c r="N6" s="178">
        <v>45138</v>
      </c>
      <c r="O6" s="178">
        <v>45169</v>
      </c>
      <c r="P6" s="178">
        <v>45199</v>
      </c>
      <c r="Q6" s="178">
        <v>45230</v>
      </c>
      <c r="R6" s="178">
        <v>45260</v>
      </c>
      <c r="S6" s="178">
        <v>45291</v>
      </c>
      <c r="T6" s="178">
        <v>45322</v>
      </c>
      <c r="U6" s="178">
        <v>45351</v>
      </c>
      <c r="V6" s="178">
        <v>45382</v>
      </c>
      <c r="W6" s="178">
        <v>45412</v>
      </c>
      <c r="X6" s="178">
        <v>45443</v>
      </c>
      <c r="Y6" s="178">
        <v>45473</v>
      </c>
      <c r="Z6" s="178">
        <v>45504</v>
      </c>
      <c r="AA6" s="178">
        <v>45535</v>
      </c>
      <c r="AB6" s="178">
        <v>45565</v>
      </c>
      <c r="AC6" s="178">
        <v>45596</v>
      </c>
      <c r="AD6" s="178">
        <v>45626</v>
      </c>
      <c r="AE6" s="178">
        <v>45657</v>
      </c>
      <c r="AF6" s="178">
        <v>45688</v>
      </c>
      <c r="AG6" s="178">
        <v>45716</v>
      </c>
      <c r="AH6" s="178">
        <v>45747</v>
      </c>
      <c r="AI6" s="178">
        <v>45777</v>
      </c>
      <c r="AJ6" s="177" t="s">
        <v>101</v>
      </c>
      <c r="AK6" s="177" t="s">
        <v>102</v>
      </c>
      <c r="AL6" s="177" t="s">
        <v>103</v>
      </c>
      <c r="AM6" s="177" t="s">
        <v>104</v>
      </c>
      <c r="AN6" s="177" t="s">
        <v>105</v>
      </c>
      <c r="AO6" s="177" t="s">
        <v>106</v>
      </c>
      <c r="AP6" s="179" t="s">
        <v>107</v>
      </c>
      <c r="AQ6" s="177" t="s">
        <v>1059</v>
      </c>
      <c r="AR6" s="177" t="s">
        <v>108</v>
      </c>
      <c r="AS6" s="178" t="s">
        <v>109</v>
      </c>
      <c r="AT6" s="179" t="s">
        <v>110</v>
      </c>
      <c r="AU6" s="179" t="s">
        <v>111</v>
      </c>
      <c r="AV6" s="179" t="s">
        <v>112</v>
      </c>
      <c r="AW6" s="179" t="s">
        <v>114</v>
      </c>
      <c r="AX6" s="181" t="s">
        <v>115</v>
      </c>
      <c r="AY6" s="181" t="s">
        <v>116</v>
      </c>
      <c r="AZ6" s="181"/>
      <c r="BA6" s="180" t="s">
        <v>1060</v>
      </c>
    </row>
    <row r="7" spans="1:53" ht="15.75" customHeight="1" x14ac:dyDescent="0.25">
      <c r="A7" s="93"/>
      <c r="B7" s="164">
        <v>101</v>
      </c>
      <c r="C7" s="164" t="s">
        <v>356</v>
      </c>
      <c r="D7" s="165" t="s">
        <v>357</v>
      </c>
      <c r="E7" s="166">
        <v>45012</v>
      </c>
      <c r="F7" s="164" t="s">
        <v>355</v>
      </c>
      <c r="G7" s="164" t="s">
        <v>128</v>
      </c>
      <c r="H7" s="167">
        <v>644800</v>
      </c>
      <c r="I7" s="167">
        <v>64500</v>
      </c>
      <c r="J7" s="121">
        <v>6000</v>
      </c>
      <c r="K7" s="121">
        <v>1670</v>
      </c>
      <c r="L7" s="121">
        <v>1670</v>
      </c>
      <c r="M7" s="121">
        <v>1670</v>
      </c>
      <c r="N7" s="121">
        <v>1700</v>
      </c>
      <c r="O7" s="121">
        <v>1670</v>
      </c>
      <c r="P7" s="121">
        <v>1670</v>
      </c>
      <c r="Q7" s="121">
        <v>1670</v>
      </c>
      <c r="R7" s="121">
        <v>1670</v>
      </c>
      <c r="S7" s="121">
        <v>1670</v>
      </c>
      <c r="T7" s="121">
        <v>1670</v>
      </c>
      <c r="U7" s="121">
        <v>1670</v>
      </c>
      <c r="V7" s="121">
        <v>1670</v>
      </c>
      <c r="W7" s="121">
        <v>1670</v>
      </c>
      <c r="X7" s="121">
        <v>1670</v>
      </c>
      <c r="Y7" s="121">
        <v>1670</v>
      </c>
      <c r="Z7" s="121">
        <v>1670</v>
      </c>
      <c r="AA7" s="121">
        <v>1670</v>
      </c>
      <c r="AB7" s="121">
        <v>1670</v>
      </c>
      <c r="AC7" s="121">
        <v>1670</v>
      </c>
      <c r="AD7" s="121">
        <v>1670</v>
      </c>
      <c r="AE7" s="121">
        <v>1670</v>
      </c>
      <c r="AF7" s="121">
        <v>1670</v>
      </c>
      <c r="AG7" s="121">
        <v>1670</v>
      </c>
      <c r="AH7" s="167">
        <v>1670</v>
      </c>
      <c r="AI7" s="121">
        <v>0</v>
      </c>
      <c r="AJ7" s="784">
        <f>SUM(J7:AI7)</f>
        <v>46110</v>
      </c>
      <c r="AK7" s="149">
        <f t="shared" ref="AK7:AK70" si="2">IFERROR((+AJ7/I7),0)</f>
        <v>0.71488372093023256</v>
      </c>
      <c r="AL7" s="150">
        <f>+AJ7-AP7</f>
        <v>-18390</v>
      </c>
      <c r="AM7" s="149">
        <f t="shared" ref="AM7:AM70" si="3">+AL7/I7</f>
        <v>-0.28511627906976744</v>
      </c>
      <c r="AN7" s="150">
        <f t="shared" ref="AN7:AN70" si="4">+H7-AJ7</f>
        <v>598690</v>
      </c>
      <c r="AO7" s="151">
        <f t="shared" ref="AO7:AO70" si="5">+AN7/H7</f>
        <v>0.92848945409429284</v>
      </c>
      <c r="AP7" s="154">
        <f>IF(AR7="Vendido",I7*1,IF(AR7="Disponible",I7*0,IF(AR7="Enganche Completado",I7*1,IF(AR7="Superávit de Enganche",I7*1,0))))</f>
        <v>64500</v>
      </c>
      <c r="AQ7" s="154"/>
      <c r="AR7" s="786" t="str">
        <f>IF(D7=0,"Apartamento Disponible",IF(D7&gt;1,"Vendido",0))</f>
        <v>Vendido</v>
      </c>
      <c r="AS7" s="786" t="str">
        <f>IF(AND(AR7="Vendido",E7&gt;=0,AL7=0),"Enganche Completado",IF(AND(AR7="Vendido",E7&gt;=0,AL7&gt;0),"Superávit de Enganche",IF(AND(AR7="Apartamento Disponible",E7=0,AL7=0),"Disponible","Cliente Atrasado")))</f>
        <v>Cliente Atrasado</v>
      </c>
      <c r="AT7" s="174">
        <v>35</v>
      </c>
      <c r="AU7" s="174">
        <f>IF(AT7&gt;1,1,0)</f>
        <v>1</v>
      </c>
      <c r="AV7" s="174">
        <f>+AT7+AU7</f>
        <v>36</v>
      </c>
      <c r="AW7" s="173">
        <v>1670</v>
      </c>
      <c r="AX7" s="786">
        <f t="shared" ref="AX7:AX70" si="6">COUNTIF(J7:AI7,AW7)</f>
        <v>23</v>
      </c>
      <c r="AY7" s="787">
        <f>DATEDIF($E7,$AI$6,"M")+1</f>
        <v>26</v>
      </c>
      <c r="AZ7" s="152"/>
      <c r="BA7" s="152"/>
    </row>
    <row r="8" spans="1:53" x14ac:dyDescent="0.25">
      <c r="A8" s="86"/>
      <c r="B8" s="164">
        <v>102</v>
      </c>
      <c r="C8" s="164"/>
      <c r="D8" s="165"/>
      <c r="E8" s="166"/>
      <c r="F8" s="164" t="s">
        <v>358</v>
      </c>
      <c r="G8" s="164" t="s">
        <v>374</v>
      </c>
      <c r="H8" s="167">
        <v>1228914.9782408699</v>
      </c>
      <c r="I8" s="167">
        <f>+H8*0.1</f>
        <v>122891.497824087</v>
      </c>
      <c r="J8" s="121">
        <v>0</v>
      </c>
      <c r="K8" s="121">
        <v>0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  <c r="X8" s="121">
        <v>0</v>
      </c>
      <c r="Y8" s="121">
        <v>0</v>
      </c>
      <c r="Z8" s="121">
        <v>0</v>
      </c>
      <c r="AA8" s="121">
        <v>0</v>
      </c>
      <c r="AB8" s="121">
        <v>0</v>
      </c>
      <c r="AC8" s="121">
        <v>0</v>
      </c>
      <c r="AD8" s="121">
        <v>0</v>
      </c>
      <c r="AE8" s="121">
        <v>0</v>
      </c>
      <c r="AF8" s="121">
        <v>0</v>
      </c>
      <c r="AG8" s="121">
        <v>0</v>
      </c>
      <c r="AH8" s="121">
        <v>0</v>
      </c>
      <c r="AI8" s="121">
        <v>0</v>
      </c>
      <c r="AJ8" s="784">
        <f t="shared" ref="AJ8:AJ71" si="7">SUM(J8:AI8)</f>
        <v>0</v>
      </c>
      <c r="AK8" s="149">
        <f t="shared" si="2"/>
        <v>0</v>
      </c>
      <c r="AL8" s="150">
        <f t="shared" ref="AL8:AL71" si="8">+AJ8-AP8</f>
        <v>0</v>
      </c>
      <c r="AM8" s="149">
        <f t="shared" si="3"/>
        <v>0</v>
      </c>
      <c r="AN8" s="150">
        <f t="shared" si="4"/>
        <v>1228914.9782408699</v>
      </c>
      <c r="AO8" s="151">
        <f t="shared" si="5"/>
        <v>1</v>
      </c>
      <c r="AP8" s="154">
        <f t="shared" ref="AP8:AP71" si="9">IF(AR8="Vendido",I8*1,IF(AR8="Disponible",I8*0,IF(AR8="Enganche Completado",I8*1,IF(AR8="Superávit de Enganche",I8*1,0))))</f>
        <v>0</v>
      </c>
      <c r="AQ8" s="154"/>
      <c r="AR8" s="786" t="str">
        <f>IF(D8=0,"Apartamento Disponible",IF(D8&gt;1,"Vendido",0))</f>
        <v>Apartamento Disponible</v>
      </c>
      <c r="AS8" s="786" t="str">
        <f t="shared" ref="AS8:AS71" si="10">IF(AND(AR8="Vendido",E8&gt;=0,AL8=0),"Enganche Completado",IF(AND(AR8="Vendido",E8&gt;=0,AL8&gt;0),"Superávit de Enganche",IF(AND(AR8="Apartamento Disponible",E8=0,AL8=0),"Disponible","Cliente Atrasado")))</f>
        <v>Disponible</v>
      </c>
      <c r="AT8" s="175"/>
      <c r="AU8" s="174">
        <f t="shared" ref="AU8:AU71" si="11">IF(AT8&gt;1,1,0)</f>
        <v>0</v>
      </c>
      <c r="AV8" s="174">
        <f t="shared" ref="AV8:AV71" si="12">+AT8+AU8</f>
        <v>0</v>
      </c>
      <c r="AW8" s="173"/>
      <c r="AX8" s="786">
        <f t="shared" si="6"/>
        <v>26</v>
      </c>
      <c r="AY8" s="787">
        <f>DATEDIF($E8,$AI$6,"M")</f>
        <v>1503</v>
      </c>
      <c r="AZ8" s="152"/>
      <c r="BA8" s="152"/>
    </row>
    <row r="9" spans="1:53" x14ac:dyDescent="0.25">
      <c r="A9" s="93"/>
      <c r="B9" s="164">
        <v>103</v>
      </c>
      <c r="C9" s="164" t="s">
        <v>363</v>
      </c>
      <c r="D9" s="165" t="s">
        <v>364</v>
      </c>
      <c r="E9" s="166">
        <v>45300</v>
      </c>
      <c r="F9" s="164" t="s">
        <v>362</v>
      </c>
      <c r="G9" s="164" t="s">
        <v>128</v>
      </c>
      <c r="H9" s="167">
        <v>1533200</v>
      </c>
      <c r="I9" s="167">
        <f>+H9*0.1</f>
        <v>153320</v>
      </c>
      <c r="J9" s="121">
        <v>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1">
        <v>0</v>
      </c>
      <c r="AA9" s="121">
        <v>0</v>
      </c>
      <c r="AB9" s="121">
        <v>0</v>
      </c>
      <c r="AC9" s="121">
        <v>0</v>
      </c>
      <c r="AD9" s="121">
        <v>0</v>
      </c>
      <c r="AE9" s="121">
        <v>0</v>
      </c>
      <c r="AF9" s="121">
        <v>0</v>
      </c>
      <c r="AG9" s="121">
        <v>0</v>
      </c>
      <c r="AH9" s="121">
        <v>0</v>
      </c>
      <c r="AI9" s="121">
        <v>0</v>
      </c>
      <c r="AJ9" s="784">
        <f t="shared" si="7"/>
        <v>0</v>
      </c>
      <c r="AK9" s="149">
        <f t="shared" si="2"/>
        <v>0</v>
      </c>
      <c r="AL9" s="150">
        <f t="shared" si="8"/>
        <v>-153320</v>
      </c>
      <c r="AM9" s="149">
        <f t="shared" si="3"/>
        <v>-1</v>
      </c>
      <c r="AN9" s="150">
        <f t="shared" si="4"/>
        <v>1533200</v>
      </c>
      <c r="AO9" s="151">
        <f t="shared" si="5"/>
        <v>1</v>
      </c>
      <c r="AP9" s="154">
        <f t="shared" si="9"/>
        <v>153320</v>
      </c>
      <c r="AQ9" s="154"/>
      <c r="AR9" s="786" t="str">
        <f t="shared" ref="AR9:AR71" si="13">IF(D9=0,"Apartamento Disponible",IF(D9&gt;1,"Vendido",0))</f>
        <v>Vendido</v>
      </c>
      <c r="AS9" s="786" t="str">
        <f t="shared" si="10"/>
        <v>Cliente Atrasado</v>
      </c>
      <c r="AT9" s="174"/>
      <c r="AU9" s="174">
        <f t="shared" si="11"/>
        <v>0</v>
      </c>
      <c r="AV9" s="174">
        <f t="shared" si="12"/>
        <v>0</v>
      </c>
      <c r="AW9" s="173"/>
      <c r="AX9" s="786">
        <f t="shared" si="6"/>
        <v>26</v>
      </c>
      <c r="AY9" s="787">
        <f>IFERROR(DATEDIF($E9,$AI$6,"M"),0)</f>
        <v>15</v>
      </c>
      <c r="AZ9" s="152"/>
      <c r="BA9" s="152"/>
    </row>
    <row r="10" spans="1:53" x14ac:dyDescent="0.25">
      <c r="A10" s="93"/>
      <c r="B10" s="164">
        <v>104</v>
      </c>
      <c r="C10" s="164" t="s">
        <v>366</v>
      </c>
      <c r="D10" s="165" t="s">
        <v>367</v>
      </c>
      <c r="E10" s="166">
        <v>45140</v>
      </c>
      <c r="F10" s="164" t="s">
        <v>365</v>
      </c>
      <c r="G10" s="164" t="s">
        <v>128</v>
      </c>
      <c r="H10" s="167">
        <v>727800</v>
      </c>
      <c r="I10" s="167">
        <v>145600</v>
      </c>
      <c r="J10" s="121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6000</v>
      </c>
      <c r="P10" s="121">
        <v>94000</v>
      </c>
      <c r="Q10" s="121">
        <v>1824</v>
      </c>
      <c r="R10" s="121">
        <v>1824</v>
      </c>
      <c r="S10" s="121">
        <v>1824</v>
      </c>
      <c r="T10" s="121">
        <v>1824</v>
      </c>
      <c r="U10" s="121">
        <v>1824</v>
      </c>
      <c r="V10" s="121">
        <v>1824</v>
      </c>
      <c r="W10" s="121">
        <v>1824</v>
      </c>
      <c r="X10" s="121">
        <v>1824</v>
      </c>
      <c r="Y10" s="121">
        <v>1824</v>
      </c>
      <c r="Z10" s="121">
        <v>1824</v>
      </c>
      <c r="AA10" s="121">
        <v>1824</v>
      </c>
      <c r="AB10" s="121">
        <v>1824</v>
      </c>
      <c r="AC10" s="121">
        <v>1824</v>
      </c>
      <c r="AD10" s="121">
        <v>1824</v>
      </c>
      <c r="AE10" s="121">
        <v>1824</v>
      </c>
      <c r="AF10" s="121">
        <v>1824</v>
      </c>
      <c r="AG10" s="121">
        <v>1824</v>
      </c>
      <c r="AH10" s="121">
        <v>1824</v>
      </c>
      <c r="AI10" s="121">
        <v>0</v>
      </c>
      <c r="AJ10" s="784">
        <f t="shared" si="7"/>
        <v>132832</v>
      </c>
      <c r="AK10" s="149">
        <f t="shared" si="2"/>
        <v>0.91230769230769226</v>
      </c>
      <c r="AL10" s="150">
        <f t="shared" si="8"/>
        <v>-12768</v>
      </c>
      <c r="AM10" s="149">
        <f t="shared" si="3"/>
        <v>-8.7692307692307694E-2</v>
      </c>
      <c r="AN10" s="150">
        <f t="shared" si="4"/>
        <v>594968</v>
      </c>
      <c r="AO10" s="151">
        <f t="shared" si="5"/>
        <v>0.81748832096729873</v>
      </c>
      <c r="AP10" s="154">
        <f t="shared" si="9"/>
        <v>145600</v>
      </c>
      <c r="AQ10" s="154"/>
      <c r="AR10" s="786" t="str">
        <f t="shared" si="13"/>
        <v>Vendido</v>
      </c>
      <c r="AS10" s="786" t="str">
        <f t="shared" si="10"/>
        <v>Cliente Atrasado</v>
      </c>
      <c r="AT10" s="174">
        <v>25</v>
      </c>
      <c r="AU10" s="174">
        <f t="shared" si="11"/>
        <v>1</v>
      </c>
      <c r="AV10" s="174">
        <f t="shared" si="12"/>
        <v>26</v>
      </c>
      <c r="AW10" s="173">
        <v>1824</v>
      </c>
      <c r="AX10" s="786">
        <f t="shared" si="6"/>
        <v>18</v>
      </c>
      <c r="AY10" s="787">
        <f>IFERROR(DATEDIF($E10,$AI$6,"M"),0)</f>
        <v>20</v>
      </c>
      <c r="AZ10" s="152"/>
      <c r="BA10" s="152"/>
    </row>
    <row r="11" spans="1:53" x14ac:dyDescent="0.25">
      <c r="A11" s="93"/>
      <c r="B11" s="164">
        <v>105</v>
      </c>
      <c r="C11" s="164"/>
      <c r="D11" s="165"/>
      <c r="E11" s="166"/>
      <c r="F11" s="164" t="s">
        <v>369</v>
      </c>
      <c r="G11" s="164" t="s">
        <v>374</v>
      </c>
      <c r="H11" s="167">
        <v>1184603.4211337201</v>
      </c>
      <c r="I11" s="167">
        <f>+H11*0.1</f>
        <v>118460.34211337201</v>
      </c>
      <c r="J11" s="121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1">
        <v>0</v>
      </c>
      <c r="AA11" s="121">
        <v>0</v>
      </c>
      <c r="AB11" s="121">
        <v>0</v>
      </c>
      <c r="AC11" s="121">
        <v>0</v>
      </c>
      <c r="AD11" s="121">
        <v>0</v>
      </c>
      <c r="AE11" s="121">
        <v>0</v>
      </c>
      <c r="AF11" s="121">
        <v>0</v>
      </c>
      <c r="AG11" s="121">
        <v>0</v>
      </c>
      <c r="AH11" s="121">
        <v>0</v>
      </c>
      <c r="AI11" s="121">
        <v>0</v>
      </c>
      <c r="AJ11" s="784">
        <f t="shared" si="7"/>
        <v>0</v>
      </c>
      <c r="AK11" s="149">
        <f t="shared" si="2"/>
        <v>0</v>
      </c>
      <c r="AL11" s="150">
        <f t="shared" si="8"/>
        <v>0</v>
      </c>
      <c r="AM11" s="149">
        <f t="shared" si="3"/>
        <v>0</v>
      </c>
      <c r="AN11" s="150">
        <f t="shared" si="4"/>
        <v>1184603.4211337201</v>
      </c>
      <c r="AO11" s="151">
        <f t="shared" si="5"/>
        <v>1</v>
      </c>
      <c r="AP11" s="154">
        <f t="shared" si="9"/>
        <v>0</v>
      </c>
      <c r="AQ11" s="154"/>
      <c r="AR11" s="786" t="str">
        <f t="shared" si="13"/>
        <v>Apartamento Disponible</v>
      </c>
      <c r="AS11" s="786" t="str">
        <f t="shared" si="10"/>
        <v>Disponible</v>
      </c>
      <c r="AT11" s="174"/>
      <c r="AU11" s="174">
        <f t="shared" si="11"/>
        <v>0</v>
      </c>
      <c r="AV11" s="174">
        <f t="shared" si="12"/>
        <v>0</v>
      </c>
      <c r="AW11" s="173"/>
      <c r="AX11" s="786">
        <f t="shared" si="6"/>
        <v>26</v>
      </c>
      <c r="AY11" s="787">
        <f t="shared" ref="AY11:AY74" si="14">IFERROR(DATEDIF($E11,$AI$6,"M"),0)</f>
        <v>1503</v>
      </c>
      <c r="AZ11" s="152"/>
      <c r="BA11" s="152"/>
    </row>
    <row r="12" spans="1:53" x14ac:dyDescent="0.25">
      <c r="A12" s="93"/>
      <c r="B12" s="164">
        <v>106</v>
      </c>
      <c r="C12" s="164"/>
      <c r="D12" s="165"/>
      <c r="E12" s="166"/>
      <c r="F12" s="164" t="s">
        <v>371</v>
      </c>
      <c r="G12" s="164" t="s">
        <v>374</v>
      </c>
      <c r="H12" s="167">
        <v>1382310.1310761899</v>
      </c>
      <c r="I12" s="167">
        <f>+H12*0.1</f>
        <v>138231.01310761899</v>
      </c>
      <c r="J12" s="121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  <c r="X12" s="121">
        <v>0</v>
      </c>
      <c r="Y12" s="121">
        <v>0</v>
      </c>
      <c r="Z12" s="121">
        <v>0</v>
      </c>
      <c r="AA12" s="121">
        <v>0</v>
      </c>
      <c r="AB12" s="121">
        <v>0</v>
      </c>
      <c r="AC12" s="121">
        <v>0</v>
      </c>
      <c r="AD12" s="121">
        <v>0</v>
      </c>
      <c r="AE12" s="121">
        <v>0</v>
      </c>
      <c r="AF12" s="121">
        <v>0</v>
      </c>
      <c r="AG12" s="121">
        <v>0</v>
      </c>
      <c r="AH12" s="121">
        <v>0</v>
      </c>
      <c r="AI12" s="121">
        <v>0</v>
      </c>
      <c r="AJ12" s="784">
        <f t="shared" si="7"/>
        <v>0</v>
      </c>
      <c r="AK12" s="149">
        <f t="shared" si="2"/>
        <v>0</v>
      </c>
      <c r="AL12" s="150">
        <f t="shared" si="8"/>
        <v>0</v>
      </c>
      <c r="AM12" s="149">
        <f t="shared" si="3"/>
        <v>0</v>
      </c>
      <c r="AN12" s="150">
        <f t="shared" si="4"/>
        <v>1382310.1310761899</v>
      </c>
      <c r="AO12" s="151">
        <f t="shared" si="5"/>
        <v>1</v>
      </c>
      <c r="AP12" s="154">
        <f t="shared" si="9"/>
        <v>0</v>
      </c>
      <c r="AQ12" s="154"/>
      <c r="AR12" s="786" t="str">
        <f t="shared" si="13"/>
        <v>Apartamento Disponible</v>
      </c>
      <c r="AS12" s="786" t="str">
        <f t="shared" si="10"/>
        <v>Disponible</v>
      </c>
      <c r="AT12" s="174"/>
      <c r="AU12" s="174">
        <f t="shared" si="11"/>
        <v>0</v>
      </c>
      <c r="AV12" s="174">
        <f t="shared" si="12"/>
        <v>0</v>
      </c>
      <c r="AW12" s="173"/>
      <c r="AX12" s="786">
        <f t="shared" si="6"/>
        <v>26</v>
      </c>
      <c r="AY12" s="787">
        <f t="shared" si="14"/>
        <v>1503</v>
      </c>
      <c r="AZ12" s="152"/>
      <c r="BA12" s="152"/>
    </row>
    <row r="13" spans="1:53" x14ac:dyDescent="0.25">
      <c r="A13" s="93"/>
      <c r="B13" s="164">
        <v>107</v>
      </c>
      <c r="C13" s="164"/>
      <c r="D13" s="165"/>
      <c r="E13" s="166"/>
      <c r="F13" s="164" t="s">
        <v>373</v>
      </c>
      <c r="G13" s="164" t="s">
        <v>374</v>
      </c>
      <c r="H13" s="167">
        <v>1131172.33512325</v>
      </c>
      <c r="I13" s="167">
        <f>+H13*0.1</f>
        <v>113117.23351232501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  <c r="Y13" s="121">
        <v>0</v>
      </c>
      <c r="Z13" s="121">
        <v>0</v>
      </c>
      <c r="AA13" s="121">
        <v>0</v>
      </c>
      <c r="AB13" s="121">
        <v>0</v>
      </c>
      <c r="AC13" s="121">
        <v>0</v>
      </c>
      <c r="AD13" s="121">
        <v>0</v>
      </c>
      <c r="AE13" s="121">
        <v>0</v>
      </c>
      <c r="AF13" s="121">
        <v>0</v>
      </c>
      <c r="AG13" s="121">
        <v>0</v>
      </c>
      <c r="AH13" s="121">
        <v>0</v>
      </c>
      <c r="AI13" s="121">
        <v>0</v>
      </c>
      <c r="AJ13" s="784">
        <f t="shared" si="7"/>
        <v>0</v>
      </c>
      <c r="AK13" s="149">
        <f t="shared" si="2"/>
        <v>0</v>
      </c>
      <c r="AL13" s="150">
        <f t="shared" si="8"/>
        <v>0</v>
      </c>
      <c r="AM13" s="149">
        <f t="shared" si="3"/>
        <v>0</v>
      </c>
      <c r="AN13" s="150">
        <f t="shared" si="4"/>
        <v>1131172.33512325</v>
      </c>
      <c r="AO13" s="151">
        <f t="shared" si="5"/>
        <v>1</v>
      </c>
      <c r="AP13" s="154">
        <f t="shared" si="9"/>
        <v>0</v>
      </c>
      <c r="AQ13" s="154"/>
      <c r="AR13" s="786" t="str">
        <f t="shared" si="13"/>
        <v>Apartamento Disponible</v>
      </c>
      <c r="AS13" s="786" t="str">
        <f t="shared" si="10"/>
        <v>Disponible</v>
      </c>
      <c r="AT13" s="174"/>
      <c r="AU13" s="174">
        <f t="shared" si="11"/>
        <v>0</v>
      </c>
      <c r="AV13" s="174">
        <f t="shared" si="12"/>
        <v>0</v>
      </c>
      <c r="AW13" s="173"/>
      <c r="AX13" s="786">
        <f t="shared" si="6"/>
        <v>26</v>
      </c>
      <c r="AY13" s="787">
        <f t="shared" si="14"/>
        <v>1503</v>
      </c>
      <c r="AZ13" s="152"/>
      <c r="BA13" s="152"/>
    </row>
    <row r="14" spans="1:53" x14ac:dyDescent="0.25">
      <c r="A14" s="93"/>
      <c r="B14" s="164">
        <v>108</v>
      </c>
      <c r="C14" s="164"/>
      <c r="D14" s="165"/>
      <c r="E14" s="166"/>
      <c r="F14" s="164" t="s">
        <v>375</v>
      </c>
      <c r="G14" s="164" t="s">
        <v>374</v>
      </c>
      <c r="H14" s="167">
        <v>1315199.7517107399</v>
      </c>
      <c r="I14" s="167">
        <f>+H14*0.1</f>
        <v>131519.97517107401</v>
      </c>
      <c r="J14" s="121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1">
        <v>0</v>
      </c>
      <c r="AA14" s="121">
        <v>0</v>
      </c>
      <c r="AB14" s="121">
        <v>0</v>
      </c>
      <c r="AC14" s="121">
        <v>0</v>
      </c>
      <c r="AD14" s="121">
        <v>0</v>
      </c>
      <c r="AE14" s="121">
        <v>0</v>
      </c>
      <c r="AF14" s="121">
        <v>0</v>
      </c>
      <c r="AG14" s="121">
        <v>0</v>
      </c>
      <c r="AH14" s="121">
        <v>0</v>
      </c>
      <c r="AI14" s="121">
        <v>0</v>
      </c>
      <c r="AJ14" s="784">
        <f t="shared" si="7"/>
        <v>0</v>
      </c>
      <c r="AK14" s="149">
        <f t="shared" si="2"/>
        <v>0</v>
      </c>
      <c r="AL14" s="150">
        <f t="shared" si="8"/>
        <v>0</v>
      </c>
      <c r="AM14" s="149">
        <f t="shared" si="3"/>
        <v>0</v>
      </c>
      <c r="AN14" s="150">
        <f t="shared" si="4"/>
        <v>1315199.7517107399</v>
      </c>
      <c r="AO14" s="151">
        <f t="shared" si="5"/>
        <v>1</v>
      </c>
      <c r="AP14" s="154">
        <f t="shared" si="9"/>
        <v>0</v>
      </c>
      <c r="AQ14" s="154"/>
      <c r="AR14" s="786" t="str">
        <f t="shared" si="13"/>
        <v>Apartamento Disponible</v>
      </c>
      <c r="AS14" s="786" t="str">
        <f t="shared" si="10"/>
        <v>Disponible</v>
      </c>
      <c r="AT14" s="174"/>
      <c r="AU14" s="174">
        <f t="shared" si="11"/>
        <v>0</v>
      </c>
      <c r="AV14" s="174">
        <f t="shared" si="12"/>
        <v>0</v>
      </c>
      <c r="AW14" s="173"/>
      <c r="AX14" s="786">
        <f t="shared" si="6"/>
        <v>26</v>
      </c>
      <c r="AY14" s="787">
        <f t="shared" si="14"/>
        <v>1503</v>
      </c>
      <c r="AZ14" s="152"/>
      <c r="BA14" s="152"/>
    </row>
    <row r="15" spans="1:53" ht="15" customHeight="1" x14ac:dyDescent="0.25">
      <c r="A15" s="93"/>
      <c r="B15" s="164">
        <v>109</v>
      </c>
      <c r="C15" s="164" t="s">
        <v>366</v>
      </c>
      <c r="D15" s="165" t="s">
        <v>377</v>
      </c>
      <c r="E15" s="166">
        <v>45471</v>
      </c>
      <c r="F15" s="164" t="s">
        <v>376</v>
      </c>
      <c r="G15" s="164" t="s">
        <v>128</v>
      </c>
      <c r="H15" s="167">
        <v>1486576</v>
      </c>
      <c r="I15" s="167">
        <v>148676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  <c r="Y15" s="121">
        <v>5000</v>
      </c>
      <c r="Z15" s="121">
        <v>5000</v>
      </c>
      <c r="AA15" s="121">
        <v>7704</v>
      </c>
      <c r="AB15" s="121">
        <v>7704</v>
      </c>
      <c r="AC15" s="121">
        <v>7704</v>
      </c>
      <c r="AD15" s="121">
        <v>7704</v>
      </c>
      <c r="AE15" s="121">
        <v>7704</v>
      </c>
      <c r="AF15" s="121">
        <v>7704</v>
      </c>
      <c r="AG15" s="121">
        <v>7704</v>
      </c>
      <c r="AH15" s="121">
        <v>7704</v>
      </c>
      <c r="AI15" s="121">
        <v>7704</v>
      </c>
      <c r="AJ15" s="784">
        <f t="shared" si="7"/>
        <v>79336</v>
      </c>
      <c r="AK15" s="149">
        <f t="shared" si="2"/>
        <v>0.53361672361376411</v>
      </c>
      <c r="AL15" s="150">
        <f t="shared" si="8"/>
        <v>-69340</v>
      </c>
      <c r="AM15" s="149">
        <f t="shared" si="3"/>
        <v>-0.46638327638623583</v>
      </c>
      <c r="AN15" s="150">
        <f t="shared" si="4"/>
        <v>1407240</v>
      </c>
      <c r="AO15" s="151">
        <f t="shared" si="5"/>
        <v>0.94663172283152697</v>
      </c>
      <c r="AP15" s="154">
        <f t="shared" si="9"/>
        <v>148676</v>
      </c>
      <c r="AQ15" s="154"/>
      <c r="AR15" s="786" t="str">
        <f t="shared" si="13"/>
        <v>Vendido</v>
      </c>
      <c r="AS15" s="786" t="str">
        <f t="shared" si="10"/>
        <v>Cliente Atrasado</v>
      </c>
      <c r="AT15" s="174">
        <v>18</v>
      </c>
      <c r="AU15" s="174">
        <f t="shared" si="11"/>
        <v>1</v>
      </c>
      <c r="AV15" s="174">
        <f t="shared" si="12"/>
        <v>19</v>
      </c>
      <c r="AW15" s="173">
        <v>7704</v>
      </c>
      <c r="AX15" s="786">
        <f t="shared" si="6"/>
        <v>9</v>
      </c>
      <c r="AY15" s="787">
        <f t="shared" si="14"/>
        <v>10</v>
      </c>
      <c r="AZ15" s="152"/>
      <c r="BA15" s="152"/>
    </row>
    <row r="16" spans="1:53" ht="15" customHeight="1" x14ac:dyDescent="0.25">
      <c r="A16" s="93"/>
      <c r="B16" s="164">
        <v>110</v>
      </c>
      <c r="C16" s="164" t="s">
        <v>366</v>
      </c>
      <c r="D16" s="165" t="s">
        <v>379</v>
      </c>
      <c r="E16" s="166">
        <v>45088</v>
      </c>
      <c r="F16" s="164" t="s">
        <v>378</v>
      </c>
      <c r="G16" s="164" t="s">
        <v>128</v>
      </c>
      <c r="H16" s="167">
        <v>680900</v>
      </c>
      <c r="I16" s="167">
        <v>68100</v>
      </c>
      <c r="J16" s="121">
        <v>0</v>
      </c>
      <c r="K16" s="121">
        <v>0</v>
      </c>
      <c r="L16" s="121">
        <v>0</v>
      </c>
      <c r="M16" s="121">
        <v>6000</v>
      </c>
      <c r="N16" s="121">
        <v>0</v>
      </c>
      <c r="O16" s="121">
        <v>2388</v>
      </c>
      <c r="P16" s="121">
        <v>2388</v>
      </c>
      <c r="Q16" s="121">
        <v>2388</v>
      </c>
      <c r="R16" s="121">
        <v>2388</v>
      </c>
      <c r="S16" s="121">
        <v>2388</v>
      </c>
      <c r="T16" s="121">
        <v>2388</v>
      </c>
      <c r="U16" s="121">
        <v>2388</v>
      </c>
      <c r="V16" s="121">
        <v>2388</v>
      </c>
      <c r="W16" s="121">
        <v>2388</v>
      </c>
      <c r="X16" s="121">
        <v>2388</v>
      </c>
      <c r="Y16" s="121">
        <v>2388</v>
      </c>
      <c r="Z16" s="121">
        <v>2388</v>
      </c>
      <c r="AA16" s="121">
        <v>2388</v>
      </c>
      <c r="AB16" s="121">
        <v>2388</v>
      </c>
      <c r="AC16" s="121">
        <v>2388</v>
      </c>
      <c r="AD16" s="121">
        <v>2388</v>
      </c>
      <c r="AE16" s="121">
        <v>2388</v>
      </c>
      <c r="AF16" s="121">
        <v>2388</v>
      </c>
      <c r="AG16" s="121">
        <v>2388</v>
      </c>
      <c r="AH16" s="121">
        <v>2388</v>
      </c>
      <c r="AI16" s="121">
        <v>0</v>
      </c>
      <c r="AJ16" s="784">
        <f t="shared" si="7"/>
        <v>53760</v>
      </c>
      <c r="AK16" s="149">
        <f t="shared" si="2"/>
        <v>0.7894273127753304</v>
      </c>
      <c r="AL16" s="150">
        <f t="shared" si="8"/>
        <v>-14340</v>
      </c>
      <c r="AM16" s="149">
        <f t="shared" si="3"/>
        <v>-0.2105726872246696</v>
      </c>
      <c r="AN16" s="150">
        <f t="shared" si="4"/>
        <v>627140</v>
      </c>
      <c r="AO16" s="151">
        <f t="shared" si="5"/>
        <v>0.92104567484212074</v>
      </c>
      <c r="AP16" s="154">
        <f t="shared" si="9"/>
        <v>68100</v>
      </c>
      <c r="AQ16" s="154"/>
      <c r="AR16" s="786" t="str">
        <f t="shared" si="13"/>
        <v>Vendido</v>
      </c>
      <c r="AS16" s="786" t="str">
        <f t="shared" si="10"/>
        <v>Cliente Atrasado</v>
      </c>
      <c r="AT16" s="174">
        <v>26</v>
      </c>
      <c r="AU16" s="174">
        <f t="shared" si="11"/>
        <v>1</v>
      </c>
      <c r="AV16" s="174">
        <f t="shared" si="12"/>
        <v>27</v>
      </c>
      <c r="AW16" s="173">
        <v>2388</v>
      </c>
      <c r="AX16" s="786">
        <f t="shared" si="6"/>
        <v>20</v>
      </c>
      <c r="AY16" s="787">
        <f t="shared" si="14"/>
        <v>22</v>
      </c>
      <c r="AZ16" s="152"/>
      <c r="BA16" s="152"/>
    </row>
    <row r="17" spans="1:53" ht="15" customHeight="1" x14ac:dyDescent="0.25">
      <c r="A17" s="93"/>
      <c r="B17" s="164">
        <v>111</v>
      </c>
      <c r="C17" s="164" t="s">
        <v>356</v>
      </c>
      <c r="D17" s="165" t="s">
        <v>381</v>
      </c>
      <c r="E17" s="166">
        <v>45012</v>
      </c>
      <c r="F17" s="164" t="s">
        <v>380</v>
      </c>
      <c r="G17" s="164" t="s">
        <v>128</v>
      </c>
      <c r="H17" s="167">
        <v>696700</v>
      </c>
      <c r="I17" s="167">
        <v>69700</v>
      </c>
      <c r="J17" s="121">
        <v>6000</v>
      </c>
      <c r="K17" s="121">
        <v>0</v>
      </c>
      <c r="L17" s="121">
        <v>2820</v>
      </c>
      <c r="M17" s="121">
        <v>1820</v>
      </c>
      <c r="N17" s="121">
        <v>1820</v>
      </c>
      <c r="O17" s="121">
        <v>1820</v>
      </c>
      <c r="P17" s="121">
        <v>1820</v>
      </c>
      <c r="Q17" s="121">
        <v>1820</v>
      </c>
      <c r="R17" s="121">
        <v>1820</v>
      </c>
      <c r="S17" s="121">
        <v>1820</v>
      </c>
      <c r="T17" s="121">
        <v>1820</v>
      </c>
      <c r="U17" s="121">
        <v>1820</v>
      </c>
      <c r="V17" s="121">
        <v>1820</v>
      </c>
      <c r="W17" s="121">
        <v>1820</v>
      </c>
      <c r="X17" s="121">
        <v>1820</v>
      </c>
      <c r="Y17" s="121">
        <v>1820</v>
      </c>
      <c r="Z17" s="121">
        <v>1820</v>
      </c>
      <c r="AA17" s="121">
        <v>1820</v>
      </c>
      <c r="AB17" s="121">
        <v>1820</v>
      </c>
      <c r="AC17" s="121">
        <v>1820</v>
      </c>
      <c r="AD17" s="121">
        <v>1820</v>
      </c>
      <c r="AE17" s="121">
        <v>1820</v>
      </c>
      <c r="AF17" s="121">
        <v>1820</v>
      </c>
      <c r="AG17" s="121">
        <v>1820</v>
      </c>
      <c r="AH17" s="121">
        <v>1820</v>
      </c>
      <c r="AI17" s="121">
        <v>1820</v>
      </c>
      <c r="AJ17" s="784">
        <f t="shared" si="7"/>
        <v>50680</v>
      </c>
      <c r="AK17" s="149">
        <f t="shared" si="2"/>
        <v>0.72711621233859403</v>
      </c>
      <c r="AL17" s="150">
        <f t="shared" si="8"/>
        <v>-19020</v>
      </c>
      <c r="AM17" s="149">
        <f t="shared" si="3"/>
        <v>-0.27288378766140603</v>
      </c>
      <c r="AN17" s="150">
        <f t="shared" si="4"/>
        <v>646020</v>
      </c>
      <c r="AO17" s="151">
        <f t="shared" si="5"/>
        <v>0.92725706903975891</v>
      </c>
      <c r="AP17" s="154">
        <f t="shared" si="9"/>
        <v>69700</v>
      </c>
      <c r="AQ17" s="154"/>
      <c r="AR17" s="786" t="str">
        <f t="shared" si="13"/>
        <v>Vendido</v>
      </c>
      <c r="AS17" s="786" t="str">
        <f t="shared" si="10"/>
        <v>Cliente Atrasado</v>
      </c>
      <c r="AT17" s="174">
        <v>35</v>
      </c>
      <c r="AU17" s="174">
        <f t="shared" si="11"/>
        <v>1</v>
      </c>
      <c r="AV17" s="174">
        <f t="shared" si="12"/>
        <v>36</v>
      </c>
      <c r="AW17" s="173">
        <v>1820</v>
      </c>
      <c r="AX17" s="786">
        <f t="shared" si="6"/>
        <v>23</v>
      </c>
      <c r="AY17" s="787">
        <f t="shared" si="14"/>
        <v>25</v>
      </c>
      <c r="AZ17" s="152"/>
      <c r="BA17" s="152"/>
    </row>
    <row r="18" spans="1:53" x14ac:dyDescent="0.25">
      <c r="A18" s="93"/>
      <c r="B18" s="164">
        <v>112</v>
      </c>
      <c r="C18" s="164" t="s">
        <v>383</v>
      </c>
      <c r="D18" s="165" t="s">
        <v>384</v>
      </c>
      <c r="E18" s="166">
        <v>45006</v>
      </c>
      <c r="F18" s="164" t="s">
        <v>382</v>
      </c>
      <c r="G18" s="164" t="s">
        <v>128</v>
      </c>
      <c r="H18" s="167">
        <v>698900</v>
      </c>
      <c r="I18" s="167">
        <v>69900</v>
      </c>
      <c r="J18" s="121">
        <v>6000</v>
      </c>
      <c r="K18" s="121">
        <v>1826</v>
      </c>
      <c r="L18" s="121">
        <v>1826</v>
      </c>
      <c r="M18" s="121">
        <v>1826</v>
      </c>
      <c r="N18" s="121">
        <v>1826</v>
      </c>
      <c r="O18" s="121">
        <v>1826</v>
      </c>
      <c r="P18" s="121">
        <v>1826</v>
      </c>
      <c r="Q18" s="121">
        <v>1826</v>
      </c>
      <c r="R18" s="121">
        <v>1826</v>
      </c>
      <c r="S18" s="121">
        <v>1826</v>
      </c>
      <c r="T18" s="121">
        <v>1826</v>
      </c>
      <c r="U18" s="121">
        <v>1826</v>
      </c>
      <c r="V18" s="121">
        <v>1826</v>
      </c>
      <c r="W18" s="121">
        <v>1826</v>
      </c>
      <c r="X18" s="121">
        <v>1826</v>
      </c>
      <c r="Y18" s="121">
        <v>1826</v>
      </c>
      <c r="Z18" s="121">
        <v>1826</v>
      </c>
      <c r="AA18" s="121">
        <v>1826</v>
      </c>
      <c r="AB18" s="121">
        <v>1826</v>
      </c>
      <c r="AC18" s="121">
        <v>1826</v>
      </c>
      <c r="AD18" s="121">
        <v>1826</v>
      </c>
      <c r="AE18" s="121">
        <v>1826</v>
      </c>
      <c r="AF18" s="121">
        <f>1826+150</f>
        <v>1976</v>
      </c>
      <c r="AG18" s="121">
        <f>1676+1826</f>
        <v>3502</v>
      </c>
      <c r="AH18" s="121">
        <v>0</v>
      </c>
      <c r="AI18" s="121">
        <v>1826</v>
      </c>
      <c r="AJ18" s="784">
        <f t="shared" si="7"/>
        <v>51650</v>
      </c>
      <c r="AK18" s="149">
        <f t="shared" si="2"/>
        <v>0.73891273247496425</v>
      </c>
      <c r="AL18" s="150">
        <f t="shared" si="8"/>
        <v>-18250</v>
      </c>
      <c r="AM18" s="149">
        <f t="shared" si="3"/>
        <v>-0.26108726752503575</v>
      </c>
      <c r="AN18" s="150">
        <f t="shared" si="4"/>
        <v>647250</v>
      </c>
      <c r="AO18" s="151">
        <f t="shared" si="5"/>
        <v>0.92609815424238084</v>
      </c>
      <c r="AP18" s="154">
        <f t="shared" si="9"/>
        <v>69900</v>
      </c>
      <c r="AQ18" s="154"/>
      <c r="AR18" s="786" t="str">
        <f t="shared" si="13"/>
        <v>Vendido</v>
      </c>
      <c r="AS18" s="786" t="str">
        <f t="shared" si="10"/>
        <v>Cliente Atrasado</v>
      </c>
      <c r="AT18" s="174">
        <v>35</v>
      </c>
      <c r="AU18" s="174">
        <f t="shared" si="11"/>
        <v>1</v>
      </c>
      <c r="AV18" s="174">
        <f t="shared" si="12"/>
        <v>36</v>
      </c>
      <c r="AW18" s="173">
        <v>1826</v>
      </c>
      <c r="AX18" s="786">
        <f t="shared" si="6"/>
        <v>22</v>
      </c>
      <c r="AY18" s="787">
        <f t="shared" si="14"/>
        <v>25</v>
      </c>
      <c r="AZ18" s="152"/>
      <c r="BA18" s="152"/>
    </row>
    <row r="19" spans="1:53" x14ac:dyDescent="0.25">
      <c r="A19" s="93"/>
      <c r="B19" s="164">
        <v>113</v>
      </c>
      <c r="C19" s="164" t="s">
        <v>366</v>
      </c>
      <c r="D19" s="165" t="s">
        <v>387</v>
      </c>
      <c r="E19" s="166">
        <v>45616</v>
      </c>
      <c r="F19" s="164" t="s">
        <v>385</v>
      </c>
      <c r="G19" s="164" t="s">
        <v>128</v>
      </c>
      <c r="H19" s="167">
        <f>922656.85+363649.19</f>
        <v>1286306.04</v>
      </c>
      <c r="I19" s="167">
        <v>480006.04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  <c r="Y19" s="121">
        <v>0</v>
      </c>
      <c r="Z19" s="121">
        <v>0</v>
      </c>
      <c r="AA19" s="121">
        <v>0</v>
      </c>
      <c r="AB19" s="121">
        <v>0</v>
      </c>
      <c r="AC19" s="121">
        <v>0</v>
      </c>
      <c r="AD19" s="121">
        <v>10000</v>
      </c>
      <c r="AE19" s="121">
        <f>20000+450000</f>
        <v>470000</v>
      </c>
      <c r="AF19" s="121">
        <v>0</v>
      </c>
      <c r="AG19" s="121">
        <v>0</v>
      </c>
      <c r="AH19" s="121">
        <v>0</v>
      </c>
      <c r="AI19" s="121">
        <v>0</v>
      </c>
      <c r="AJ19" s="784">
        <f t="shared" si="7"/>
        <v>480000</v>
      </c>
      <c r="AK19" s="149">
        <f t="shared" si="2"/>
        <v>0.99998741682500503</v>
      </c>
      <c r="AL19" s="150">
        <f t="shared" si="8"/>
        <v>-6.0399999999790452</v>
      </c>
      <c r="AM19" s="149">
        <f t="shared" si="3"/>
        <v>-1.2583174995004325E-5</v>
      </c>
      <c r="AN19" s="150">
        <f t="shared" si="4"/>
        <v>806306.04</v>
      </c>
      <c r="AO19" s="151">
        <f t="shared" si="5"/>
        <v>0.62683841552979103</v>
      </c>
      <c r="AP19" s="154">
        <f t="shared" si="9"/>
        <v>480006.04</v>
      </c>
      <c r="AQ19" s="154"/>
      <c r="AR19" s="786" t="str">
        <f t="shared" si="13"/>
        <v>Vendido</v>
      </c>
      <c r="AS19" s="786" t="str">
        <f t="shared" si="10"/>
        <v>Cliente Atrasado</v>
      </c>
      <c r="AT19" s="174"/>
      <c r="AU19" s="174">
        <f t="shared" si="11"/>
        <v>0</v>
      </c>
      <c r="AV19" s="174">
        <f t="shared" si="12"/>
        <v>0</v>
      </c>
      <c r="AW19" s="173"/>
      <c r="AX19" s="786">
        <f t="shared" si="6"/>
        <v>24</v>
      </c>
      <c r="AY19" s="787">
        <f t="shared" si="14"/>
        <v>5</v>
      </c>
      <c r="AZ19" s="152"/>
      <c r="BA19" s="152"/>
    </row>
    <row r="20" spans="1:53" x14ac:dyDescent="0.25">
      <c r="A20" s="93"/>
      <c r="B20" s="164">
        <v>114</v>
      </c>
      <c r="C20" s="164" t="s">
        <v>366</v>
      </c>
      <c r="D20" s="165" t="s">
        <v>390</v>
      </c>
      <c r="E20" s="166">
        <v>45012</v>
      </c>
      <c r="F20" s="164" t="s">
        <v>389</v>
      </c>
      <c r="G20" s="164" t="s">
        <v>128</v>
      </c>
      <c r="H20" s="167">
        <v>993625.74667999998</v>
      </c>
      <c r="I20" s="167">
        <v>99425.75</v>
      </c>
      <c r="J20" s="121">
        <v>6000</v>
      </c>
      <c r="K20" s="121">
        <v>2669</v>
      </c>
      <c r="L20" s="121">
        <v>2669</v>
      </c>
      <c r="M20" s="121">
        <v>2669</v>
      </c>
      <c r="N20" s="121">
        <v>2669</v>
      </c>
      <c r="O20" s="121">
        <v>2669</v>
      </c>
      <c r="P20" s="121">
        <v>2669</v>
      </c>
      <c r="Q20" s="121">
        <v>2669</v>
      </c>
      <c r="R20" s="121">
        <v>2669</v>
      </c>
      <c r="S20" s="121">
        <v>2669</v>
      </c>
      <c r="T20" s="121">
        <v>2669</v>
      </c>
      <c r="U20" s="121">
        <v>2669</v>
      </c>
      <c r="V20" s="121">
        <v>2669</v>
      </c>
      <c r="W20" s="121">
        <v>2669</v>
      </c>
      <c r="X20" s="121">
        <v>2669</v>
      </c>
      <c r="Y20" s="121">
        <v>2669</v>
      </c>
      <c r="Z20" s="121">
        <v>2669</v>
      </c>
      <c r="AA20" s="121">
        <v>2669</v>
      </c>
      <c r="AB20" s="121">
        <v>5338</v>
      </c>
      <c r="AC20" s="121">
        <v>0</v>
      </c>
      <c r="AD20" s="121">
        <v>2669</v>
      </c>
      <c r="AE20" s="121">
        <v>2669</v>
      </c>
      <c r="AF20" s="121">
        <v>2669</v>
      </c>
      <c r="AG20" s="121">
        <v>0</v>
      </c>
      <c r="AH20" s="121">
        <v>0</v>
      </c>
      <c r="AI20" s="121">
        <v>0</v>
      </c>
      <c r="AJ20" s="784">
        <f t="shared" si="7"/>
        <v>64718</v>
      </c>
      <c r="AK20" s="149">
        <f t="shared" si="2"/>
        <v>0.65091789601788275</v>
      </c>
      <c r="AL20" s="150">
        <f t="shared" si="8"/>
        <v>-34707.75</v>
      </c>
      <c r="AM20" s="149">
        <f t="shared" si="3"/>
        <v>-0.34908210398211731</v>
      </c>
      <c r="AN20" s="150">
        <f t="shared" si="4"/>
        <v>928907.74667999998</v>
      </c>
      <c r="AO20" s="151">
        <f t="shared" si="5"/>
        <v>0.93486682464072401</v>
      </c>
      <c r="AP20" s="154">
        <f t="shared" si="9"/>
        <v>99425.75</v>
      </c>
      <c r="AQ20" s="154"/>
      <c r="AR20" s="786" t="str">
        <f t="shared" si="13"/>
        <v>Vendido</v>
      </c>
      <c r="AS20" s="786" t="str">
        <f t="shared" si="10"/>
        <v>Cliente Atrasado</v>
      </c>
      <c r="AT20" s="174">
        <v>35</v>
      </c>
      <c r="AU20" s="174">
        <f t="shared" si="11"/>
        <v>1</v>
      </c>
      <c r="AV20" s="174">
        <f t="shared" si="12"/>
        <v>36</v>
      </c>
      <c r="AW20" s="173">
        <v>2669</v>
      </c>
      <c r="AX20" s="786">
        <f t="shared" si="6"/>
        <v>20</v>
      </c>
      <c r="AY20" s="787">
        <f t="shared" si="14"/>
        <v>25</v>
      </c>
      <c r="AZ20" s="152"/>
      <c r="BA20" s="152"/>
    </row>
    <row r="21" spans="1:53" x14ac:dyDescent="0.25">
      <c r="A21" s="93"/>
      <c r="B21" s="164">
        <v>201</v>
      </c>
      <c r="C21" s="164"/>
      <c r="D21" s="165"/>
      <c r="E21" s="166"/>
      <c r="F21" s="164" t="s">
        <v>391</v>
      </c>
      <c r="G21" s="164" t="s">
        <v>374</v>
      </c>
      <c r="H21" s="167">
        <v>1329931.2984007201</v>
      </c>
      <c r="I21" s="167">
        <f t="shared" ref="I21:I31" si="15">+H21*0.1</f>
        <v>132993.12984007201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  <c r="Y21" s="121">
        <v>0</v>
      </c>
      <c r="Z21" s="121">
        <v>0</v>
      </c>
      <c r="AA21" s="121">
        <v>0</v>
      </c>
      <c r="AB21" s="121">
        <v>0</v>
      </c>
      <c r="AC21" s="121">
        <v>0</v>
      </c>
      <c r="AD21" s="121">
        <v>0</v>
      </c>
      <c r="AE21" s="121">
        <v>0</v>
      </c>
      <c r="AF21" s="121">
        <v>0</v>
      </c>
      <c r="AG21" s="121">
        <v>0</v>
      </c>
      <c r="AH21" s="121">
        <v>0</v>
      </c>
      <c r="AI21" s="121">
        <v>0</v>
      </c>
      <c r="AJ21" s="784">
        <f t="shared" si="7"/>
        <v>0</v>
      </c>
      <c r="AK21" s="149">
        <f t="shared" si="2"/>
        <v>0</v>
      </c>
      <c r="AL21" s="150">
        <f t="shared" si="8"/>
        <v>0</v>
      </c>
      <c r="AM21" s="149">
        <f t="shared" si="3"/>
        <v>0</v>
      </c>
      <c r="AN21" s="150">
        <f t="shared" si="4"/>
        <v>1329931.2984007201</v>
      </c>
      <c r="AO21" s="151">
        <f t="shared" si="5"/>
        <v>1</v>
      </c>
      <c r="AP21" s="154">
        <f t="shared" si="9"/>
        <v>0</v>
      </c>
      <c r="AQ21" s="154"/>
      <c r="AR21" s="786" t="str">
        <f t="shared" si="13"/>
        <v>Apartamento Disponible</v>
      </c>
      <c r="AS21" s="786" t="str">
        <f t="shared" si="10"/>
        <v>Disponible</v>
      </c>
      <c r="AT21" s="174"/>
      <c r="AU21" s="174">
        <f t="shared" si="11"/>
        <v>0</v>
      </c>
      <c r="AV21" s="174">
        <f t="shared" si="12"/>
        <v>0</v>
      </c>
      <c r="AW21" s="173"/>
      <c r="AX21" s="786">
        <f t="shared" si="6"/>
        <v>26</v>
      </c>
      <c r="AY21" s="787">
        <f t="shared" si="14"/>
        <v>1503</v>
      </c>
      <c r="AZ21" s="152"/>
      <c r="BA21" s="152"/>
    </row>
    <row r="22" spans="1:53" x14ac:dyDescent="0.25">
      <c r="A22" s="93"/>
      <c r="B22" s="164">
        <v>202</v>
      </c>
      <c r="C22" s="164" t="s">
        <v>366</v>
      </c>
      <c r="D22" s="165" t="s">
        <v>392</v>
      </c>
      <c r="E22" s="166">
        <v>45736</v>
      </c>
      <c r="F22" s="164" t="s">
        <v>194</v>
      </c>
      <c r="G22" s="164" t="s">
        <v>137</v>
      </c>
      <c r="H22" s="167">
        <v>1321630.18875795</v>
      </c>
      <c r="I22" s="167">
        <v>132230.19</v>
      </c>
      <c r="J22" s="121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  <c r="X22" s="121">
        <v>0</v>
      </c>
      <c r="Y22" s="121">
        <v>0</v>
      </c>
      <c r="Z22" s="121">
        <v>0</v>
      </c>
      <c r="AA22" s="121">
        <v>0</v>
      </c>
      <c r="AB22" s="121">
        <v>0</v>
      </c>
      <c r="AC22" s="121">
        <v>0</v>
      </c>
      <c r="AD22" s="121">
        <v>0</v>
      </c>
      <c r="AE22" s="121">
        <v>0</v>
      </c>
      <c r="AF22" s="121">
        <v>0</v>
      </c>
      <c r="AG22" s="121">
        <v>0</v>
      </c>
      <c r="AH22" s="121">
        <v>10000</v>
      </c>
      <c r="AI22" s="121">
        <v>0</v>
      </c>
      <c r="AJ22" s="784">
        <f t="shared" si="7"/>
        <v>10000</v>
      </c>
      <c r="AK22" s="149">
        <f t="shared" si="2"/>
        <v>7.5625694858337575E-2</v>
      </c>
      <c r="AL22" s="150">
        <f t="shared" si="8"/>
        <v>-122230.19</v>
      </c>
      <c r="AM22" s="149">
        <f t="shared" si="3"/>
        <v>-0.92437430514166241</v>
      </c>
      <c r="AN22" s="150">
        <f t="shared" si="4"/>
        <v>1311630.18875795</v>
      </c>
      <c r="AO22" s="151">
        <f t="shared" si="5"/>
        <v>0.99243358688000471</v>
      </c>
      <c r="AP22" s="154">
        <f t="shared" si="9"/>
        <v>132230.19</v>
      </c>
      <c r="AQ22" s="154"/>
      <c r="AR22" s="786" t="str">
        <f t="shared" si="13"/>
        <v>Vendido</v>
      </c>
      <c r="AS22" s="786" t="str">
        <f t="shared" si="10"/>
        <v>Cliente Atrasado</v>
      </c>
      <c r="AT22" s="174"/>
      <c r="AU22" s="174">
        <f t="shared" si="11"/>
        <v>0</v>
      </c>
      <c r="AV22" s="174">
        <f t="shared" si="12"/>
        <v>0</v>
      </c>
      <c r="AW22" s="173"/>
      <c r="AX22" s="786">
        <f t="shared" si="6"/>
        <v>25</v>
      </c>
      <c r="AY22" s="787">
        <f t="shared" si="14"/>
        <v>1</v>
      </c>
      <c r="AZ22" s="152"/>
      <c r="BA22" s="152"/>
    </row>
    <row r="23" spans="1:53" x14ac:dyDescent="0.25">
      <c r="A23" s="93"/>
      <c r="B23" s="164">
        <v>203</v>
      </c>
      <c r="C23" s="164"/>
      <c r="D23" s="165"/>
      <c r="E23" s="166"/>
      <c r="F23" s="164" t="s">
        <v>393</v>
      </c>
      <c r="G23" s="164" t="s">
        <v>374</v>
      </c>
      <c r="H23" s="167">
        <v>1273928.0375713599</v>
      </c>
      <c r="I23" s="167">
        <f t="shared" si="15"/>
        <v>127392.80375713599</v>
      </c>
      <c r="J23" s="121">
        <v>0</v>
      </c>
      <c r="K23" s="121">
        <v>0</v>
      </c>
      <c r="L23" s="121">
        <v>0</v>
      </c>
      <c r="M23" s="121">
        <v>0</v>
      </c>
      <c r="N23" s="121">
        <v>0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  <c r="Y23" s="121">
        <v>0</v>
      </c>
      <c r="Z23" s="121">
        <v>0</v>
      </c>
      <c r="AA23" s="121">
        <v>0</v>
      </c>
      <c r="AB23" s="121">
        <v>0</v>
      </c>
      <c r="AC23" s="121">
        <v>0</v>
      </c>
      <c r="AD23" s="121">
        <v>0</v>
      </c>
      <c r="AE23" s="121">
        <v>0</v>
      </c>
      <c r="AF23" s="121">
        <v>0</v>
      </c>
      <c r="AG23" s="121">
        <v>0</v>
      </c>
      <c r="AH23" s="121">
        <v>0</v>
      </c>
      <c r="AI23" s="121">
        <v>0</v>
      </c>
      <c r="AJ23" s="784">
        <f t="shared" si="7"/>
        <v>0</v>
      </c>
      <c r="AK23" s="149">
        <f t="shared" si="2"/>
        <v>0</v>
      </c>
      <c r="AL23" s="150">
        <f t="shared" si="8"/>
        <v>0</v>
      </c>
      <c r="AM23" s="149">
        <f t="shared" si="3"/>
        <v>0</v>
      </c>
      <c r="AN23" s="150">
        <f t="shared" si="4"/>
        <v>1273928.0375713599</v>
      </c>
      <c r="AO23" s="151">
        <f t="shared" si="5"/>
        <v>1</v>
      </c>
      <c r="AP23" s="154">
        <f t="shared" si="9"/>
        <v>0</v>
      </c>
      <c r="AQ23" s="154"/>
      <c r="AR23" s="786" t="str">
        <f t="shared" si="13"/>
        <v>Apartamento Disponible</v>
      </c>
      <c r="AS23" s="786" t="str">
        <f t="shared" si="10"/>
        <v>Disponible</v>
      </c>
      <c r="AT23" s="174"/>
      <c r="AU23" s="174">
        <f t="shared" si="11"/>
        <v>0</v>
      </c>
      <c r="AV23" s="174">
        <f t="shared" si="12"/>
        <v>0</v>
      </c>
      <c r="AW23" s="173"/>
      <c r="AX23" s="786">
        <f t="shared" si="6"/>
        <v>26</v>
      </c>
      <c r="AY23" s="787">
        <f t="shared" si="14"/>
        <v>1503</v>
      </c>
      <c r="AZ23" s="152"/>
      <c r="BA23" s="152"/>
    </row>
    <row r="24" spans="1:53" x14ac:dyDescent="0.25">
      <c r="A24" s="93"/>
      <c r="B24" s="164">
        <v>204</v>
      </c>
      <c r="C24" s="168" t="s">
        <v>366</v>
      </c>
      <c r="D24" s="165" t="s">
        <v>394</v>
      </c>
      <c r="E24" s="166">
        <v>45596</v>
      </c>
      <c r="F24" s="164" t="s">
        <v>172</v>
      </c>
      <c r="G24" s="164" t="s">
        <v>128</v>
      </c>
      <c r="H24" s="167">
        <f>728621.48+287173.52</f>
        <v>1015795</v>
      </c>
      <c r="I24" s="167">
        <v>101595</v>
      </c>
      <c r="J24" s="121">
        <v>0</v>
      </c>
      <c r="K24" s="121">
        <v>0</v>
      </c>
      <c r="L24" s="121">
        <v>0</v>
      </c>
      <c r="M24" s="121">
        <v>0</v>
      </c>
      <c r="N24" s="121">
        <v>0</v>
      </c>
      <c r="O24" s="121">
        <v>0</v>
      </c>
      <c r="P24" s="121">
        <v>0</v>
      </c>
      <c r="Q24" s="121">
        <v>0</v>
      </c>
      <c r="R24" s="121">
        <v>0</v>
      </c>
      <c r="S24" s="121">
        <v>0</v>
      </c>
      <c r="T24" s="121">
        <v>0</v>
      </c>
      <c r="U24" s="121">
        <v>0</v>
      </c>
      <c r="V24" s="121">
        <v>0</v>
      </c>
      <c r="W24" s="121">
        <v>0</v>
      </c>
      <c r="X24" s="121">
        <v>0</v>
      </c>
      <c r="Y24" s="121">
        <v>0</v>
      </c>
      <c r="Z24" s="121">
        <v>0</v>
      </c>
      <c r="AA24" s="121">
        <v>0</v>
      </c>
      <c r="AB24" s="121">
        <v>0</v>
      </c>
      <c r="AC24" s="121">
        <v>5000</v>
      </c>
      <c r="AD24" s="121">
        <v>0</v>
      </c>
      <c r="AE24" s="121">
        <f>5000+10000</f>
        <v>15000</v>
      </c>
      <c r="AF24" s="121">
        <v>7500</v>
      </c>
      <c r="AG24" s="121">
        <v>5000</v>
      </c>
      <c r="AH24" s="121">
        <v>10000</v>
      </c>
      <c r="AI24" s="121">
        <v>0</v>
      </c>
      <c r="AJ24" s="784">
        <f t="shared" si="7"/>
        <v>42500</v>
      </c>
      <c r="AK24" s="149">
        <f t="shared" si="2"/>
        <v>0.41832767360598455</v>
      </c>
      <c r="AL24" s="150">
        <f t="shared" si="8"/>
        <v>-59095</v>
      </c>
      <c r="AM24" s="149">
        <f t="shared" si="3"/>
        <v>-0.58167232639401545</v>
      </c>
      <c r="AN24" s="150">
        <f t="shared" si="4"/>
        <v>973295</v>
      </c>
      <c r="AO24" s="151">
        <f t="shared" si="5"/>
        <v>0.95816084938398005</v>
      </c>
      <c r="AP24" s="154">
        <f t="shared" si="9"/>
        <v>101595</v>
      </c>
      <c r="AQ24" s="154"/>
      <c r="AR24" s="786" t="str">
        <f t="shared" si="13"/>
        <v>Vendido</v>
      </c>
      <c r="AS24" s="786" t="str">
        <f t="shared" si="10"/>
        <v>Cliente Atrasado</v>
      </c>
      <c r="AT24" s="174"/>
      <c r="AU24" s="174">
        <f t="shared" si="11"/>
        <v>0</v>
      </c>
      <c r="AV24" s="174">
        <f t="shared" si="12"/>
        <v>0</v>
      </c>
      <c r="AW24" s="173"/>
      <c r="AX24" s="786">
        <f t="shared" si="6"/>
        <v>21</v>
      </c>
      <c r="AY24" s="787">
        <f t="shared" si="14"/>
        <v>5</v>
      </c>
      <c r="AZ24" s="152"/>
      <c r="BA24" s="152"/>
    </row>
    <row r="25" spans="1:53" x14ac:dyDescent="0.25">
      <c r="A25" s="86"/>
      <c r="B25" s="164">
        <v>205</v>
      </c>
      <c r="C25" s="164" t="s">
        <v>126</v>
      </c>
      <c r="D25" s="165" t="s">
        <v>396</v>
      </c>
      <c r="E25" s="166">
        <v>45706</v>
      </c>
      <c r="F25" s="164" t="s">
        <v>395</v>
      </c>
      <c r="G25" s="164" t="s">
        <v>137</v>
      </c>
      <c r="H25" s="167">
        <v>1364055.8232212199</v>
      </c>
      <c r="I25" s="167">
        <v>136455.82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  <c r="Y25" s="121">
        <v>0</v>
      </c>
      <c r="Z25" s="121">
        <v>0</v>
      </c>
      <c r="AA25" s="121">
        <v>0</v>
      </c>
      <c r="AB25" s="121">
        <v>0</v>
      </c>
      <c r="AC25" s="121">
        <v>0</v>
      </c>
      <c r="AD25" s="121">
        <v>0</v>
      </c>
      <c r="AE25" s="121">
        <v>0</v>
      </c>
      <c r="AF25" s="121">
        <v>0</v>
      </c>
      <c r="AG25" s="121">
        <v>10000</v>
      </c>
      <c r="AH25" s="121">
        <v>7903</v>
      </c>
      <c r="AI25" s="121">
        <v>7903</v>
      </c>
      <c r="AJ25" s="784">
        <f t="shared" si="7"/>
        <v>25806</v>
      </c>
      <c r="AK25" s="149">
        <f t="shared" si="2"/>
        <v>0.18911615495769984</v>
      </c>
      <c r="AL25" s="150">
        <f t="shared" si="8"/>
        <v>-110649.82</v>
      </c>
      <c r="AM25" s="149">
        <f t="shared" si="3"/>
        <v>-0.81088384504230016</v>
      </c>
      <c r="AN25" s="150">
        <f t="shared" si="4"/>
        <v>1338249.8232212199</v>
      </c>
      <c r="AO25" s="151">
        <f t="shared" si="5"/>
        <v>0.98108141942529958</v>
      </c>
      <c r="AP25" s="154">
        <f t="shared" si="9"/>
        <v>136455.82</v>
      </c>
      <c r="AQ25" s="154"/>
      <c r="AR25" s="786" t="str">
        <f t="shared" si="13"/>
        <v>Vendido</v>
      </c>
      <c r="AS25" s="786" t="str">
        <f t="shared" si="10"/>
        <v>Cliente Atrasado</v>
      </c>
      <c r="AT25" s="174"/>
      <c r="AU25" s="174">
        <f t="shared" si="11"/>
        <v>0</v>
      </c>
      <c r="AV25" s="174">
        <f t="shared" si="12"/>
        <v>0</v>
      </c>
      <c r="AW25" s="173"/>
      <c r="AX25" s="786">
        <f t="shared" si="6"/>
        <v>23</v>
      </c>
      <c r="AY25" s="787">
        <f t="shared" si="14"/>
        <v>2</v>
      </c>
      <c r="AZ25" s="152"/>
      <c r="BA25" s="152"/>
    </row>
    <row r="26" spans="1:53" x14ac:dyDescent="0.25">
      <c r="A26" s="93"/>
      <c r="B26" s="164">
        <v>206</v>
      </c>
      <c r="C26" s="164"/>
      <c r="D26" s="165"/>
      <c r="E26" s="166"/>
      <c r="F26" s="164" t="s">
        <v>397</v>
      </c>
      <c r="G26" s="164" t="s">
        <v>374</v>
      </c>
      <c r="H26" s="167">
        <v>1021234.48252095</v>
      </c>
      <c r="I26" s="167">
        <f t="shared" si="15"/>
        <v>102123.44825209501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21">
        <v>0</v>
      </c>
      <c r="S26" s="121">
        <v>0</v>
      </c>
      <c r="T26" s="121">
        <v>0</v>
      </c>
      <c r="U26" s="121">
        <v>0</v>
      </c>
      <c r="V26" s="121">
        <v>0</v>
      </c>
      <c r="W26" s="121">
        <v>0</v>
      </c>
      <c r="X26" s="121">
        <v>0</v>
      </c>
      <c r="Y26" s="121">
        <v>0</v>
      </c>
      <c r="Z26" s="121">
        <v>0</v>
      </c>
      <c r="AA26" s="121">
        <v>0</v>
      </c>
      <c r="AB26" s="121">
        <v>0</v>
      </c>
      <c r="AC26" s="121">
        <v>0</v>
      </c>
      <c r="AD26" s="121">
        <v>0</v>
      </c>
      <c r="AE26" s="121">
        <v>0</v>
      </c>
      <c r="AF26" s="121">
        <v>0</v>
      </c>
      <c r="AG26" s="121">
        <v>0</v>
      </c>
      <c r="AH26" s="121">
        <v>0</v>
      </c>
      <c r="AI26" s="121">
        <v>0</v>
      </c>
      <c r="AJ26" s="784">
        <f t="shared" si="7"/>
        <v>0</v>
      </c>
      <c r="AK26" s="149">
        <f t="shared" si="2"/>
        <v>0</v>
      </c>
      <c r="AL26" s="150">
        <f t="shared" si="8"/>
        <v>0</v>
      </c>
      <c r="AM26" s="149">
        <f t="shared" si="3"/>
        <v>0</v>
      </c>
      <c r="AN26" s="150">
        <f t="shared" si="4"/>
        <v>1021234.48252095</v>
      </c>
      <c r="AO26" s="151">
        <f t="shared" si="5"/>
        <v>1</v>
      </c>
      <c r="AP26" s="154">
        <f t="shared" si="9"/>
        <v>0</v>
      </c>
      <c r="AQ26" s="154"/>
      <c r="AR26" s="786" t="str">
        <f t="shared" si="13"/>
        <v>Apartamento Disponible</v>
      </c>
      <c r="AS26" s="786" t="str">
        <f t="shared" si="10"/>
        <v>Disponible</v>
      </c>
      <c r="AT26" s="174"/>
      <c r="AU26" s="174">
        <f t="shared" si="11"/>
        <v>0</v>
      </c>
      <c r="AV26" s="174">
        <f t="shared" si="12"/>
        <v>0</v>
      </c>
      <c r="AW26" s="173"/>
      <c r="AX26" s="786">
        <f t="shared" si="6"/>
        <v>26</v>
      </c>
      <c r="AY26" s="787">
        <f t="shared" si="14"/>
        <v>1503</v>
      </c>
      <c r="AZ26" s="152"/>
      <c r="BA26" s="152"/>
    </row>
    <row r="27" spans="1:53" x14ac:dyDescent="0.25">
      <c r="A27" s="93"/>
      <c r="B27" s="164">
        <v>207</v>
      </c>
      <c r="C27" s="164"/>
      <c r="D27" s="165"/>
      <c r="E27" s="166"/>
      <c r="F27" s="164" t="s">
        <v>398</v>
      </c>
      <c r="G27" s="164" t="s">
        <v>374</v>
      </c>
      <c r="H27" s="167">
        <v>1414228.48223781</v>
      </c>
      <c r="I27" s="167">
        <f t="shared" si="15"/>
        <v>141422.84822378101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  <c r="R27" s="121">
        <v>0</v>
      </c>
      <c r="S27" s="121">
        <v>0</v>
      </c>
      <c r="T27" s="121">
        <v>0</v>
      </c>
      <c r="U27" s="121">
        <v>0</v>
      </c>
      <c r="V27" s="121">
        <v>0</v>
      </c>
      <c r="W27" s="121">
        <v>0</v>
      </c>
      <c r="X27" s="121">
        <v>0</v>
      </c>
      <c r="Y27" s="121">
        <v>0</v>
      </c>
      <c r="Z27" s="121">
        <v>0</v>
      </c>
      <c r="AA27" s="121">
        <v>0</v>
      </c>
      <c r="AB27" s="121">
        <v>0</v>
      </c>
      <c r="AC27" s="121">
        <v>0</v>
      </c>
      <c r="AD27" s="121">
        <v>0</v>
      </c>
      <c r="AE27" s="121">
        <v>0</v>
      </c>
      <c r="AF27" s="121">
        <v>0</v>
      </c>
      <c r="AG27" s="121">
        <v>0</v>
      </c>
      <c r="AH27" s="121">
        <v>0</v>
      </c>
      <c r="AI27" s="121">
        <v>0</v>
      </c>
      <c r="AJ27" s="784">
        <f t="shared" si="7"/>
        <v>0</v>
      </c>
      <c r="AK27" s="149">
        <f t="shared" si="2"/>
        <v>0</v>
      </c>
      <c r="AL27" s="150">
        <f t="shared" si="8"/>
        <v>0</v>
      </c>
      <c r="AM27" s="149">
        <f t="shared" si="3"/>
        <v>0</v>
      </c>
      <c r="AN27" s="150">
        <f t="shared" si="4"/>
        <v>1414228.48223781</v>
      </c>
      <c r="AO27" s="151">
        <f t="shared" si="5"/>
        <v>1</v>
      </c>
      <c r="AP27" s="154">
        <f t="shared" si="9"/>
        <v>0</v>
      </c>
      <c r="AQ27" s="154"/>
      <c r="AR27" s="786" t="str">
        <f t="shared" si="13"/>
        <v>Apartamento Disponible</v>
      </c>
      <c r="AS27" s="786" t="str">
        <f t="shared" si="10"/>
        <v>Disponible</v>
      </c>
      <c r="AT27" s="174"/>
      <c r="AU27" s="174">
        <f t="shared" si="11"/>
        <v>0</v>
      </c>
      <c r="AV27" s="174">
        <f t="shared" si="12"/>
        <v>0</v>
      </c>
      <c r="AW27" s="173"/>
      <c r="AX27" s="786">
        <f t="shared" si="6"/>
        <v>26</v>
      </c>
      <c r="AY27" s="787">
        <f t="shared" si="14"/>
        <v>1503</v>
      </c>
      <c r="AZ27" s="152"/>
      <c r="BA27" s="152"/>
    </row>
    <row r="28" spans="1:53" x14ac:dyDescent="0.25">
      <c r="A28" s="93"/>
      <c r="B28" s="164">
        <v>208</v>
      </c>
      <c r="C28" s="164"/>
      <c r="D28" s="165"/>
      <c r="E28" s="166"/>
      <c r="F28" s="164" t="s">
        <v>399</v>
      </c>
      <c r="G28" s="164" t="s">
        <v>374</v>
      </c>
      <c r="H28" s="167">
        <v>1414462.31631225</v>
      </c>
      <c r="I28" s="167">
        <f t="shared" si="15"/>
        <v>141446.231631225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21">
        <v>0</v>
      </c>
      <c r="S28" s="121">
        <v>0</v>
      </c>
      <c r="T28" s="121">
        <v>0</v>
      </c>
      <c r="U28" s="121">
        <v>0</v>
      </c>
      <c r="V28" s="121">
        <v>0</v>
      </c>
      <c r="W28" s="121">
        <v>0</v>
      </c>
      <c r="X28" s="121">
        <v>0</v>
      </c>
      <c r="Y28" s="121">
        <v>0</v>
      </c>
      <c r="Z28" s="121">
        <v>0</v>
      </c>
      <c r="AA28" s="121">
        <v>0</v>
      </c>
      <c r="AB28" s="121">
        <v>0</v>
      </c>
      <c r="AC28" s="121">
        <v>0</v>
      </c>
      <c r="AD28" s="121">
        <v>0</v>
      </c>
      <c r="AE28" s="121">
        <v>0</v>
      </c>
      <c r="AF28" s="121">
        <v>0</v>
      </c>
      <c r="AG28" s="121">
        <v>0</v>
      </c>
      <c r="AH28" s="121">
        <v>0</v>
      </c>
      <c r="AI28" s="121">
        <v>0</v>
      </c>
      <c r="AJ28" s="784">
        <f t="shared" si="7"/>
        <v>0</v>
      </c>
      <c r="AK28" s="149">
        <f t="shared" si="2"/>
        <v>0</v>
      </c>
      <c r="AL28" s="150">
        <f t="shared" si="8"/>
        <v>0</v>
      </c>
      <c r="AM28" s="149">
        <f t="shared" si="3"/>
        <v>0</v>
      </c>
      <c r="AN28" s="150">
        <f t="shared" si="4"/>
        <v>1414462.31631225</v>
      </c>
      <c r="AO28" s="151">
        <f t="shared" si="5"/>
        <v>1</v>
      </c>
      <c r="AP28" s="154">
        <f t="shared" si="9"/>
        <v>0</v>
      </c>
      <c r="AQ28" s="154"/>
      <c r="AR28" s="786" t="str">
        <f t="shared" si="13"/>
        <v>Apartamento Disponible</v>
      </c>
      <c r="AS28" s="786" t="str">
        <f t="shared" si="10"/>
        <v>Disponible</v>
      </c>
      <c r="AT28" s="174"/>
      <c r="AU28" s="174">
        <f t="shared" si="11"/>
        <v>0</v>
      </c>
      <c r="AV28" s="174">
        <f t="shared" si="12"/>
        <v>0</v>
      </c>
      <c r="AW28" s="173"/>
      <c r="AX28" s="786">
        <f t="shared" si="6"/>
        <v>26</v>
      </c>
      <c r="AY28" s="787">
        <f t="shared" si="14"/>
        <v>1503</v>
      </c>
      <c r="AZ28" s="152"/>
      <c r="BA28" s="152"/>
    </row>
    <row r="29" spans="1:53" x14ac:dyDescent="0.25">
      <c r="A29" s="93"/>
      <c r="B29" s="164">
        <v>209</v>
      </c>
      <c r="C29" s="164"/>
      <c r="D29" s="165"/>
      <c r="E29" s="166"/>
      <c r="F29" s="164" t="s">
        <v>400</v>
      </c>
      <c r="G29" s="164" t="s">
        <v>374</v>
      </c>
      <c r="H29" s="167">
        <v>1282411.1311242401</v>
      </c>
      <c r="I29" s="167">
        <f t="shared" si="15"/>
        <v>128241.11311242402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21">
        <v>0</v>
      </c>
      <c r="Q29" s="121">
        <v>0</v>
      </c>
      <c r="R29" s="121">
        <v>0</v>
      </c>
      <c r="S29" s="121">
        <v>0</v>
      </c>
      <c r="T29" s="121">
        <v>0</v>
      </c>
      <c r="U29" s="121">
        <v>0</v>
      </c>
      <c r="V29" s="121">
        <v>0</v>
      </c>
      <c r="W29" s="121">
        <v>0</v>
      </c>
      <c r="X29" s="121">
        <v>0</v>
      </c>
      <c r="Y29" s="121">
        <v>0</v>
      </c>
      <c r="Z29" s="121">
        <v>0</v>
      </c>
      <c r="AA29" s="121">
        <v>0</v>
      </c>
      <c r="AB29" s="121">
        <v>0</v>
      </c>
      <c r="AC29" s="121">
        <v>0</v>
      </c>
      <c r="AD29" s="121">
        <v>0</v>
      </c>
      <c r="AE29" s="121">
        <v>0</v>
      </c>
      <c r="AF29" s="121">
        <v>0</v>
      </c>
      <c r="AG29" s="121">
        <v>0</v>
      </c>
      <c r="AH29" s="121">
        <v>0</v>
      </c>
      <c r="AI29" s="121">
        <v>0</v>
      </c>
      <c r="AJ29" s="784">
        <f t="shared" si="7"/>
        <v>0</v>
      </c>
      <c r="AK29" s="149">
        <f t="shared" si="2"/>
        <v>0</v>
      </c>
      <c r="AL29" s="150">
        <f t="shared" si="8"/>
        <v>0</v>
      </c>
      <c r="AM29" s="149">
        <f t="shared" si="3"/>
        <v>0</v>
      </c>
      <c r="AN29" s="150">
        <f t="shared" si="4"/>
        <v>1282411.1311242401</v>
      </c>
      <c r="AO29" s="151">
        <f t="shared" si="5"/>
        <v>1</v>
      </c>
      <c r="AP29" s="154">
        <f t="shared" si="9"/>
        <v>0</v>
      </c>
      <c r="AQ29" s="154"/>
      <c r="AR29" s="786" t="str">
        <f t="shared" si="13"/>
        <v>Apartamento Disponible</v>
      </c>
      <c r="AS29" s="786" t="str">
        <f t="shared" si="10"/>
        <v>Disponible</v>
      </c>
      <c r="AT29" s="174"/>
      <c r="AU29" s="174">
        <f t="shared" si="11"/>
        <v>0</v>
      </c>
      <c r="AV29" s="174">
        <f t="shared" si="12"/>
        <v>0</v>
      </c>
      <c r="AW29" s="173"/>
      <c r="AX29" s="786">
        <f t="shared" si="6"/>
        <v>26</v>
      </c>
      <c r="AY29" s="787">
        <f t="shared" si="14"/>
        <v>1503</v>
      </c>
      <c r="AZ29" s="152"/>
      <c r="BA29" s="152"/>
    </row>
    <row r="30" spans="1:53" x14ac:dyDescent="0.25">
      <c r="A30" s="93"/>
      <c r="B30" s="164">
        <v>210</v>
      </c>
      <c r="C30" s="164"/>
      <c r="D30" s="165"/>
      <c r="E30" s="166"/>
      <c r="F30" s="164" t="s">
        <v>175</v>
      </c>
      <c r="G30" s="164" t="s">
        <v>374</v>
      </c>
      <c r="H30" s="167">
        <v>1037521.78830839</v>
      </c>
      <c r="I30" s="167">
        <f t="shared" si="15"/>
        <v>103752.178830839</v>
      </c>
      <c r="J30" s="121">
        <v>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21">
        <v>0</v>
      </c>
      <c r="R30" s="121">
        <v>0</v>
      </c>
      <c r="S30" s="121">
        <v>0</v>
      </c>
      <c r="T30" s="121">
        <v>0</v>
      </c>
      <c r="U30" s="121">
        <v>0</v>
      </c>
      <c r="V30" s="121">
        <v>0</v>
      </c>
      <c r="W30" s="121">
        <v>0</v>
      </c>
      <c r="X30" s="121">
        <v>0</v>
      </c>
      <c r="Y30" s="121">
        <v>0</v>
      </c>
      <c r="Z30" s="121">
        <v>0</v>
      </c>
      <c r="AA30" s="121">
        <v>0</v>
      </c>
      <c r="AB30" s="121">
        <v>0</v>
      </c>
      <c r="AC30" s="121">
        <v>0</v>
      </c>
      <c r="AD30" s="121">
        <v>0</v>
      </c>
      <c r="AE30" s="121">
        <v>0</v>
      </c>
      <c r="AF30" s="121">
        <v>0</v>
      </c>
      <c r="AG30" s="121">
        <v>0</v>
      </c>
      <c r="AH30" s="121">
        <v>0</v>
      </c>
      <c r="AI30" s="121">
        <v>0</v>
      </c>
      <c r="AJ30" s="784">
        <f t="shared" si="7"/>
        <v>0</v>
      </c>
      <c r="AK30" s="149">
        <f t="shared" si="2"/>
        <v>0</v>
      </c>
      <c r="AL30" s="150">
        <f t="shared" si="8"/>
        <v>0</v>
      </c>
      <c r="AM30" s="149">
        <f t="shared" si="3"/>
        <v>0</v>
      </c>
      <c r="AN30" s="150">
        <f t="shared" si="4"/>
        <v>1037521.78830839</v>
      </c>
      <c r="AO30" s="151">
        <f t="shared" si="5"/>
        <v>1</v>
      </c>
      <c r="AP30" s="154">
        <f t="shared" si="9"/>
        <v>0</v>
      </c>
      <c r="AQ30" s="154"/>
      <c r="AR30" s="786" t="str">
        <f t="shared" si="13"/>
        <v>Apartamento Disponible</v>
      </c>
      <c r="AS30" s="786" t="str">
        <f t="shared" si="10"/>
        <v>Disponible</v>
      </c>
      <c r="AT30" s="174"/>
      <c r="AU30" s="174">
        <f t="shared" si="11"/>
        <v>0</v>
      </c>
      <c r="AV30" s="174">
        <f t="shared" si="12"/>
        <v>0</v>
      </c>
      <c r="AW30" s="173"/>
      <c r="AX30" s="786">
        <f t="shared" si="6"/>
        <v>26</v>
      </c>
      <c r="AY30" s="787">
        <f t="shared" si="14"/>
        <v>1503</v>
      </c>
      <c r="AZ30" s="152"/>
      <c r="BA30" s="152"/>
    </row>
    <row r="31" spans="1:53" x14ac:dyDescent="0.25">
      <c r="A31" s="93"/>
      <c r="B31" s="164">
        <v>211</v>
      </c>
      <c r="C31" s="164"/>
      <c r="D31" s="165"/>
      <c r="E31" s="166"/>
      <c r="F31" s="164" t="s">
        <v>125</v>
      </c>
      <c r="G31" s="164" t="s">
        <v>374</v>
      </c>
      <c r="H31" s="167">
        <v>1543626.9723517401</v>
      </c>
      <c r="I31" s="167">
        <f t="shared" si="15"/>
        <v>154362.69723517401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1">
        <v>0</v>
      </c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1">
        <v>0</v>
      </c>
      <c r="AC31" s="121">
        <v>0</v>
      </c>
      <c r="AD31" s="121">
        <v>0</v>
      </c>
      <c r="AE31" s="121">
        <v>0</v>
      </c>
      <c r="AF31" s="121">
        <v>0</v>
      </c>
      <c r="AG31" s="121">
        <v>0</v>
      </c>
      <c r="AH31" s="121">
        <v>0</v>
      </c>
      <c r="AI31" s="121">
        <v>0</v>
      </c>
      <c r="AJ31" s="784">
        <f t="shared" si="7"/>
        <v>0</v>
      </c>
      <c r="AK31" s="149">
        <f t="shared" si="2"/>
        <v>0</v>
      </c>
      <c r="AL31" s="150">
        <f t="shared" si="8"/>
        <v>0</v>
      </c>
      <c r="AM31" s="149">
        <f t="shared" si="3"/>
        <v>0</v>
      </c>
      <c r="AN31" s="150">
        <f t="shared" si="4"/>
        <v>1543626.9723517401</v>
      </c>
      <c r="AO31" s="151">
        <f t="shared" si="5"/>
        <v>1</v>
      </c>
      <c r="AP31" s="154">
        <f t="shared" si="9"/>
        <v>0</v>
      </c>
      <c r="AQ31" s="154"/>
      <c r="AR31" s="786" t="str">
        <f t="shared" si="13"/>
        <v>Apartamento Disponible</v>
      </c>
      <c r="AS31" s="786" t="str">
        <f t="shared" si="10"/>
        <v>Disponible</v>
      </c>
      <c r="AT31" s="174"/>
      <c r="AU31" s="174">
        <f t="shared" si="11"/>
        <v>0</v>
      </c>
      <c r="AV31" s="174">
        <f t="shared" si="12"/>
        <v>0</v>
      </c>
      <c r="AW31" s="173"/>
      <c r="AX31" s="786">
        <f t="shared" si="6"/>
        <v>26</v>
      </c>
      <c r="AY31" s="787">
        <f t="shared" si="14"/>
        <v>1503</v>
      </c>
      <c r="AZ31" s="152"/>
      <c r="BA31" s="152"/>
    </row>
    <row r="32" spans="1:53" ht="15" customHeight="1" x14ac:dyDescent="0.25">
      <c r="A32" s="93"/>
      <c r="B32" s="164">
        <v>212</v>
      </c>
      <c r="C32" s="164" t="s">
        <v>366</v>
      </c>
      <c r="D32" s="165" t="s">
        <v>405</v>
      </c>
      <c r="E32" s="166">
        <v>45244</v>
      </c>
      <c r="F32" s="164" t="s">
        <v>178</v>
      </c>
      <c r="G32" s="164" t="s">
        <v>128</v>
      </c>
      <c r="H32" s="167">
        <v>714937.5</v>
      </c>
      <c r="I32" s="167">
        <v>71537.5</v>
      </c>
      <c r="J32" s="121">
        <v>0</v>
      </c>
      <c r="K32" s="121">
        <v>0</v>
      </c>
      <c r="L32" s="121">
        <v>0</v>
      </c>
      <c r="M32" s="121">
        <v>0</v>
      </c>
      <c r="N32" s="121">
        <v>0</v>
      </c>
      <c r="O32" s="121">
        <v>0</v>
      </c>
      <c r="P32" s="121">
        <v>0</v>
      </c>
      <c r="Q32" s="121">
        <v>0</v>
      </c>
      <c r="R32" s="121">
        <v>8000</v>
      </c>
      <c r="S32" s="121">
        <v>2888</v>
      </c>
      <c r="T32" s="121">
        <v>2888</v>
      </c>
      <c r="U32" s="121">
        <v>2888</v>
      </c>
      <c r="V32" s="121">
        <v>2888</v>
      </c>
      <c r="W32" s="121">
        <v>2888</v>
      </c>
      <c r="X32" s="121">
        <v>2888</v>
      </c>
      <c r="Y32" s="121">
        <v>2888</v>
      </c>
      <c r="Z32" s="121">
        <v>2888</v>
      </c>
      <c r="AA32" s="121">
        <v>2888</v>
      </c>
      <c r="AB32" s="121">
        <v>2888</v>
      </c>
      <c r="AC32" s="121">
        <v>2888</v>
      </c>
      <c r="AD32" s="121">
        <v>2888</v>
      </c>
      <c r="AE32" s="121">
        <v>2888</v>
      </c>
      <c r="AF32" s="121">
        <v>2888</v>
      </c>
      <c r="AG32" s="121">
        <v>2888</v>
      </c>
      <c r="AH32" s="121">
        <v>2888</v>
      </c>
      <c r="AI32" s="121">
        <v>0</v>
      </c>
      <c r="AJ32" s="784">
        <f t="shared" si="7"/>
        <v>54208</v>
      </c>
      <c r="AK32" s="149">
        <f t="shared" si="2"/>
        <v>0.75775642145727762</v>
      </c>
      <c r="AL32" s="150">
        <f t="shared" si="8"/>
        <v>-17329.5</v>
      </c>
      <c r="AM32" s="149">
        <f t="shared" si="3"/>
        <v>-0.24224357854272235</v>
      </c>
      <c r="AN32" s="150">
        <f t="shared" si="4"/>
        <v>660729.5</v>
      </c>
      <c r="AO32" s="151">
        <f t="shared" si="5"/>
        <v>0.92417798758632752</v>
      </c>
      <c r="AP32" s="154">
        <f t="shared" si="9"/>
        <v>71537.5</v>
      </c>
      <c r="AQ32" s="154"/>
      <c r="AR32" s="786" t="str">
        <f t="shared" si="13"/>
        <v>Vendido</v>
      </c>
      <c r="AS32" s="786" t="str">
        <f t="shared" si="10"/>
        <v>Cliente Atrasado</v>
      </c>
      <c r="AT32" s="174">
        <v>22</v>
      </c>
      <c r="AU32" s="174">
        <f t="shared" si="11"/>
        <v>1</v>
      </c>
      <c r="AV32" s="174">
        <f t="shared" si="12"/>
        <v>23</v>
      </c>
      <c r="AW32" s="173">
        <v>2888</v>
      </c>
      <c r="AX32" s="786">
        <f t="shared" si="6"/>
        <v>16</v>
      </c>
      <c r="AY32" s="787">
        <f t="shared" si="14"/>
        <v>17</v>
      </c>
      <c r="AZ32" s="152"/>
      <c r="BA32" s="152"/>
    </row>
    <row r="33" spans="1:53" x14ac:dyDescent="0.25">
      <c r="A33" s="86"/>
      <c r="B33" s="164">
        <v>213</v>
      </c>
      <c r="C33" s="164" t="s">
        <v>126</v>
      </c>
      <c r="D33" s="165" t="s">
        <v>407</v>
      </c>
      <c r="E33" s="166">
        <v>45695</v>
      </c>
      <c r="F33" s="164" t="s">
        <v>406</v>
      </c>
      <c r="G33" s="164" t="s">
        <v>137</v>
      </c>
      <c r="H33" s="167">
        <v>806418.74335333402</v>
      </c>
      <c r="I33" s="167">
        <v>80718.740000000005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0</v>
      </c>
      <c r="R33" s="121">
        <v>0</v>
      </c>
      <c r="S33" s="121">
        <v>0</v>
      </c>
      <c r="T33" s="121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121">
        <v>0</v>
      </c>
      <c r="AC33" s="121">
        <v>0</v>
      </c>
      <c r="AD33" s="121">
        <v>0</v>
      </c>
      <c r="AE33" s="121">
        <v>0</v>
      </c>
      <c r="AF33" s="121">
        <v>0</v>
      </c>
      <c r="AG33" s="121">
        <v>10000</v>
      </c>
      <c r="AH33" s="121">
        <v>0</v>
      </c>
      <c r="AI33" s="121">
        <v>0</v>
      </c>
      <c r="AJ33" s="784">
        <f t="shared" si="7"/>
        <v>10000</v>
      </c>
      <c r="AK33" s="149">
        <f t="shared" si="2"/>
        <v>0.12388696850322489</v>
      </c>
      <c r="AL33" s="150">
        <f t="shared" si="8"/>
        <v>-70718.740000000005</v>
      </c>
      <c r="AM33" s="149">
        <f t="shared" si="3"/>
        <v>-0.87611303149677511</v>
      </c>
      <c r="AN33" s="150">
        <f t="shared" si="4"/>
        <v>796418.74335333402</v>
      </c>
      <c r="AO33" s="151">
        <f t="shared" si="5"/>
        <v>0.98759949457720075</v>
      </c>
      <c r="AP33" s="154">
        <f t="shared" si="9"/>
        <v>80718.740000000005</v>
      </c>
      <c r="AQ33" s="154"/>
      <c r="AR33" s="786" t="str">
        <f t="shared" si="13"/>
        <v>Vendido</v>
      </c>
      <c r="AS33" s="786" t="str">
        <f t="shared" si="10"/>
        <v>Cliente Atrasado</v>
      </c>
      <c r="AT33" s="174"/>
      <c r="AU33" s="174">
        <f t="shared" si="11"/>
        <v>0</v>
      </c>
      <c r="AV33" s="174">
        <f t="shared" si="12"/>
        <v>0</v>
      </c>
      <c r="AW33" s="173"/>
      <c r="AX33" s="786">
        <f t="shared" si="6"/>
        <v>25</v>
      </c>
      <c r="AY33" s="787">
        <f t="shared" si="14"/>
        <v>2</v>
      </c>
      <c r="AZ33" s="152"/>
      <c r="BA33" s="152"/>
    </row>
    <row r="34" spans="1:53" x14ac:dyDescent="0.25">
      <c r="A34" s="93"/>
      <c r="B34" s="164">
        <v>214</v>
      </c>
      <c r="C34" s="164" t="s">
        <v>366</v>
      </c>
      <c r="D34" s="165" t="s">
        <v>408</v>
      </c>
      <c r="E34" s="166">
        <v>45259</v>
      </c>
      <c r="F34" s="164" t="s">
        <v>200</v>
      </c>
      <c r="G34" s="164" t="s">
        <v>128</v>
      </c>
      <c r="H34" s="167">
        <v>720472.5</v>
      </c>
      <c r="I34" s="167">
        <v>72072.5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21">
        <v>5500</v>
      </c>
      <c r="S34" s="121">
        <v>3025</v>
      </c>
      <c r="T34" s="121">
        <v>3025</v>
      </c>
      <c r="U34" s="121">
        <v>0</v>
      </c>
      <c r="V34" s="121">
        <v>0</v>
      </c>
      <c r="W34" s="121">
        <v>0</v>
      </c>
      <c r="X34" s="121">
        <v>0</v>
      </c>
      <c r="Y34" s="121">
        <v>6050</v>
      </c>
      <c r="Z34" s="121">
        <v>0</v>
      </c>
      <c r="AA34" s="121">
        <v>0</v>
      </c>
      <c r="AB34" s="121">
        <v>15130</v>
      </c>
      <c r="AC34" s="121">
        <v>0</v>
      </c>
      <c r="AD34" s="121">
        <v>9078</v>
      </c>
      <c r="AE34" s="121">
        <v>0</v>
      </c>
      <c r="AF34" s="121">
        <v>0</v>
      </c>
      <c r="AG34" s="121">
        <v>9078</v>
      </c>
      <c r="AH34" s="121">
        <v>0</v>
      </c>
      <c r="AI34" s="121">
        <v>0</v>
      </c>
      <c r="AJ34" s="784">
        <f t="shared" si="7"/>
        <v>50886</v>
      </c>
      <c r="AK34" s="149">
        <f t="shared" si="2"/>
        <v>0.70603905789309374</v>
      </c>
      <c r="AL34" s="150">
        <f t="shared" si="8"/>
        <v>-21186.5</v>
      </c>
      <c r="AM34" s="149">
        <f t="shared" si="3"/>
        <v>-0.29396094210690626</v>
      </c>
      <c r="AN34" s="150">
        <f t="shared" si="4"/>
        <v>669586.5</v>
      </c>
      <c r="AO34" s="151">
        <f t="shared" si="5"/>
        <v>0.92937135005152871</v>
      </c>
      <c r="AP34" s="154">
        <f t="shared" si="9"/>
        <v>72072.5</v>
      </c>
      <c r="AQ34" s="154"/>
      <c r="AR34" s="786" t="str">
        <f t="shared" si="13"/>
        <v>Vendido</v>
      </c>
      <c r="AS34" s="786" t="str">
        <f t="shared" si="10"/>
        <v>Cliente Atrasado</v>
      </c>
      <c r="AT34" s="174">
        <v>22</v>
      </c>
      <c r="AU34" s="174">
        <f t="shared" si="11"/>
        <v>1</v>
      </c>
      <c r="AV34" s="174">
        <f t="shared" si="12"/>
        <v>23</v>
      </c>
      <c r="AW34" s="173">
        <v>3026</v>
      </c>
      <c r="AX34" s="786">
        <f t="shared" si="6"/>
        <v>0</v>
      </c>
      <c r="AY34" s="787">
        <f t="shared" si="14"/>
        <v>17</v>
      </c>
      <c r="AZ34" s="152"/>
      <c r="BA34" s="152"/>
    </row>
    <row r="35" spans="1:53" x14ac:dyDescent="0.25">
      <c r="A35" s="93"/>
      <c r="B35" s="164">
        <v>215</v>
      </c>
      <c r="C35" s="164" t="s">
        <v>366</v>
      </c>
      <c r="D35" s="165" t="s">
        <v>410</v>
      </c>
      <c r="E35" s="166">
        <v>45353</v>
      </c>
      <c r="F35" s="164" t="s">
        <v>409</v>
      </c>
      <c r="G35" s="164" t="s">
        <v>128</v>
      </c>
      <c r="H35" s="167">
        <v>965900</v>
      </c>
      <c r="I35" s="167">
        <v>96600</v>
      </c>
      <c r="J35" s="121">
        <v>0</v>
      </c>
      <c r="K35" s="121">
        <v>0</v>
      </c>
      <c r="L35" s="121">
        <v>0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21">
        <v>0</v>
      </c>
      <c r="S35" s="121">
        <v>0</v>
      </c>
      <c r="T35" s="121">
        <v>0</v>
      </c>
      <c r="U35" s="121">
        <v>0</v>
      </c>
      <c r="V35" s="121">
        <v>8000</v>
      </c>
      <c r="W35" s="121">
        <v>5000</v>
      </c>
      <c r="X35" s="121">
        <v>5000</v>
      </c>
      <c r="Y35" s="121">
        <v>5000</v>
      </c>
      <c r="Z35" s="121">
        <v>5000</v>
      </c>
      <c r="AA35" s="121">
        <v>5000</v>
      </c>
      <c r="AB35" s="121">
        <v>5000</v>
      </c>
      <c r="AC35" s="121">
        <f>2500+2000</f>
        <v>4500</v>
      </c>
      <c r="AD35" s="121">
        <f>500+5000</f>
        <v>5500</v>
      </c>
      <c r="AE35" s="121">
        <v>5000</v>
      </c>
      <c r="AF35" s="121">
        <v>5000</v>
      </c>
      <c r="AG35" s="121">
        <v>5000</v>
      </c>
      <c r="AH35" s="121">
        <v>5000</v>
      </c>
      <c r="AI35" s="121">
        <v>0</v>
      </c>
      <c r="AJ35" s="784">
        <f t="shared" si="7"/>
        <v>68000</v>
      </c>
      <c r="AK35" s="149">
        <f t="shared" si="2"/>
        <v>0.70393374741200831</v>
      </c>
      <c r="AL35" s="150">
        <f t="shared" si="8"/>
        <v>-28600</v>
      </c>
      <c r="AM35" s="149">
        <f t="shared" si="3"/>
        <v>-0.29606625258799174</v>
      </c>
      <c r="AN35" s="150">
        <f t="shared" si="4"/>
        <v>897900</v>
      </c>
      <c r="AO35" s="151">
        <f t="shared" si="5"/>
        <v>0.92959933740552847</v>
      </c>
      <c r="AP35" s="154">
        <f t="shared" si="9"/>
        <v>96600</v>
      </c>
      <c r="AQ35" s="154"/>
      <c r="AR35" s="786" t="str">
        <f t="shared" si="13"/>
        <v>Vendido</v>
      </c>
      <c r="AS35" s="786" t="str">
        <f t="shared" si="10"/>
        <v>Cliente Atrasado</v>
      </c>
      <c r="AT35" s="174">
        <v>18</v>
      </c>
      <c r="AU35" s="174">
        <f t="shared" si="11"/>
        <v>1</v>
      </c>
      <c r="AV35" s="174">
        <f t="shared" si="12"/>
        <v>19</v>
      </c>
      <c r="AW35" s="173">
        <v>4922</v>
      </c>
      <c r="AX35" s="786">
        <f t="shared" si="6"/>
        <v>0</v>
      </c>
      <c r="AY35" s="787">
        <f t="shared" si="14"/>
        <v>13</v>
      </c>
      <c r="AZ35" s="152"/>
      <c r="BA35" s="152"/>
    </row>
    <row r="36" spans="1:53" x14ac:dyDescent="0.25">
      <c r="A36" s="93"/>
      <c r="B36" s="164">
        <v>216</v>
      </c>
      <c r="C36" s="164" t="s">
        <v>366</v>
      </c>
      <c r="D36" s="165" t="s">
        <v>411</v>
      </c>
      <c r="E36" s="166">
        <v>45360</v>
      </c>
      <c r="F36" s="164" t="s">
        <v>184</v>
      </c>
      <c r="G36" s="164" t="s">
        <v>128</v>
      </c>
      <c r="H36" s="167">
        <v>980700</v>
      </c>
      <c r="I36" s="167">
        <v>98100</v>
      </c>
      <c r="J36" s="121">
        <v>0</v>
      </c>
      <c r="K36" s="121">
        <v>0</v>
      </c>
      <c r="L36" s="121">
        <v>0</v>
      </c>
      <c r="M36" s="121">
        <v>0</v>
      </c>
      <c r="N36" s="121">
        <v>0</v>
      </c>
      <c r="O36" s="121">
        <v>0</v>
      </c>
      <c r="P36" s="121">
        <v>0</v>
      </c>
      <c r="Q36" s="121">
        <v>0</v>
      </c>
      <c r="R36" s="121">
        <v>0</v>
      </c>
      <c r="S36" s="121">
        <v>0</v>
      </c>
      <c r="T36" s="121">
        <v>0</v>
      </c>
      <c r="U36" s="121">
        <v>0</v>
      </c>
      <c r="V36" s="121">
        <v>8000</v>
      </c>
      <c r="W36" s="121">
        <v>5006</v>
      </c>
      <c r="X36" s="121">
        <v>5006</v>
      </c>
      <c r="Y36" s="121">
        <v>5006</v>
      </c>
      <c r="Z36" s="121">
        <v>10012</v>
      </c>
      <c r="AA36" s="121">
        <v>15018</v>
      </c>
      <c r="AB36" s="121">
        <v>20024</v>
      </c>
      <c r="AC36" s="121">
        <v>25030</v>
      </c>
      <c r="AD36" s="121">
        <v>30000</v>
      </c>
      <c r="AE36" s="121">
        <v>35000</v>
      </c>
      <c r="AF36" s="121">
        <v>40000</v>
      </c>
      <c r="AG36" s="121">
        <v>40000</v>
      </c>
      <c r="AH36" s="121">
        <v>40000</v>
      </c>
      <c r="AI36" s="121">
        <v>0</v>
      </c>
      <c r="AJ36" s="784">
        <f t="shared" si="7"/>
        <v>278102</v>
      </c>
      <c r="AK36" s="149">
        <f t="shared" si="2"/>
        <v>2.8348827726809378</v>
      </c>
      <c r="AL36" s="150">
        <f t="shared" si="8"/>
        <v>180002</v>
      </c>
      <c r="AM36" s="149">
        <f t="shared" si="3"/>
        <v>1.8348827726809378</v>
      </c>
      <c r="AN36" s="150">
        <f t="shared" si="4"/>
        <v>702598</v>
      </c>
      <c r="AO36" s="151">
        <f t="shared" si="5"/>
        <v>0.7164250025491995</v>
      </c>
      <c r="AP36" s="154">
        <f t="shared" si="9"/>
        <v>98100</v>
      </c>
      <c r="AQ36" s="154"/>
      <c r="AR36" s="786" t="str">
        <f t="shared" si="13"/>
        <v>Vendido</v>
      </c>
      <c r="AS36" s="786" t="str">
        <f t="shared" si="10"/>
        <v>Superávit de Enganche</v>
      </c>
      <c r="AT36" s="174">
        <v>18</v>
      </c>
      <c r="AU36" s="174">
        <f t="shared" si="11"/>
        <v>1</v>
      </c>
      <c r="AV36" s="174">
        <f t="shared" si="12"/>
        <v>19</v>
      </c>
      <c r="AW36" s="173">
        <v>5006</v>
      </c>
      <c r="AX36" s="786">
        <f t="shared" si="6"/>
        <v>3</v>
      </c>
      <c r="AY36" s="787">
        <f t="shared" si="14"/>
        <v>13</v>
      </c>
      <c r="AZ36" s="152"/>
      <c r="BA36" s="152"/>
    </row>
    <row r="37" spans="1:53" ht="15" customHeight="1" x14ac:dyDescent="0.25">
      <c r="A37" s="93"/>
      <c r="B37" s="164">
        <v>301</v>
      </c>
      <c r="C37" s="164" t="s">
        <v>366</v>
      </c>
      <c r="D37" s="165" t="s">
        <v>413</v>
      </c>
      <c r="E37" s="166">
        <v>45494</v>
      </c>
      <c r="F37" s="164" t="s">
        <v>412</v>
      </c>
      <c r="G37" s="164" t="s">
        <v>128</v>
      </c>
      <c r="H37" s="167">
        <v>1273000</v>
      </c>
      <c r="I37" s="167">
        <f t="shared" ref="I37:I43" si="16">+H37*0.1</f>
        <v>127300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v>0</v>
      </c>
      <c r="U37" s="121">
        <v>0</v>
      </c>
      <c r="V37" s="121">
        <v>0</v>
      </c>
      <c r="W37" s="121">
        <v>0</v>
      </c>
      <c r="X37" s="121">
        <v>0</v>
      </c>
      <c r="Y37" s="121">
        <v>0</v>
      </c>
      <c r="Z37" s="121">
        <v>10000</v>
      </c>
      <c r="AA37" s="121">
        <v>13800</v>
      </c>
      <c r="AB37" s="121">
        <v>6900</v>
      </c>
      <c r="AC37" s="121">
        <v>0</v>
      </c>
      <c r="AD37" s="121">
        <v>6900</v>
      </c>
      <c r="AE37" s="121">
        <v>6900</v>
      </c>
      <c r="AF37" s="121">
        <v>6900</v>
      </c>
      <c r="AG37" s="121">
        <v>6900</v>
      </c>
      <c r="AH37" s="121">
        <v>6900</v>
      </c>
      <c r="AI37" s="121">
        <v>6900</v>
      </c>
      <c r="AJ37" s="784">
        <f t="shared" si="7"/>
        <v>72100</v>
      </c>
      <c r="AK37" s="149">
        <f t="shared" si="2"/>
        <v>0.56637863315003922</v>
      </c>
      <c r="AL37" s="150">
        <f t="shared" si="8"/>
        <v>-55200</v>
      </c>
      <c r="AM37" s="149">
        <f t="shared" si="3"/>
        <v>-0.43362136684996072</v>
      </c>
      <c r="AN37" s="150">
        <f t="shared" si="4"/>
        <v>1200900</v>
      </c>
      <c r="AO37" s="151">
        <f t="shared" si="5"/>
        <v>0.94336213668499602</v>
      </c>
      <c r="AP37" s="154">
        <f t="shared" si="9"/>
        <v>127300</v>
      </c>
      <c r="AQ37" s="154"/>
      <c r="AR37" s="786" t="str">
        <f t="shared" si="13"/>
        <v>Vendido</v>
      </c>
      <c r="AS37" s="786" t="str">
        <f t="shared" si="10"/>
        <v>Cliente Atrasado</v>
      </c>
      <c r="AT37" s="174">
        <v>17</v>
      </c>
      <c r="AU37" s="174">
        <f t="shared" si="11"/>
        <v>1</v>
      </c>
      <c r="AV37" s="174">
        <f t="shared" si="12"/>
        <v>18</v>
      </c>
      <c r="AW37" s="173">
        <v>6900</v>
      </c>
      <c r="AX37" s="786">
        <f t="shared" si="6"/>
        <v>7</v>
      </c>
      <c r="AY37" s="787">
        <f t="shared" si="14"/>
        <v>9</v>
      </c>
      <c r="AZ37" s="152"/>
      <c r="BA37" s="152"/>
    </row>
    <row r="38" spans="1:53" x14ac:dyDescent="0.25">
      <c r="A38" s="93"/>
      <c r="B38" s="164">
        <v>302</v>
      </c>
      <c r="C38" s="164"/>
      <c r="D38" s="165"/>
      <c r="E38" s="166"/>
      <c r="F38" s="164" t="s">
        <v>186</v>
      </c>
      <c r="G38" s="164" t="s">
        <v>374</v>
      </c>
      <c r="H38" s="167">
        <v>1373424.4362473199</v>
      </c>
      <c r="I38" s="167">
        <f t="shared" si="16"/>
        <v>137342.443624732</v>
      </c>
      <c r="J38" s="121">
        <v>0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21">
        <v>0</v>
      </c>
      <c r="S38" s="121">
        <v>0</v>
      </c>
      <c r="T38" s="121">
        <v>0</v>
      </c>
      <c r="U38" s="121">
        <v>0</v>
      </c>
      <c r="V38" s="121">
        <v>0</v>
      </c>
      <c r="W38" s="121">
        <v>0</v>
      </c>
      <c r="X38" s="121">
        <v>0</v>
      </c>
      <c r="Y38" s="121">
        <v>0</v>
      </c>
      <c r="Z38" s="121">
        <v>0</v>
      </c>
      <c r="AA38" s="121">
        <v>0</v>
      </c>
      <c r="AB38" s="121">
        <v>0</v>
      </c>
      <c r="AC38" s="121">
        <v>0</v>
      </c>
      <c r="AD38" s="121">
        <v>0</v>
      </c>
      <c r="AE38" s="121">
        <v>0</v>
      </c>
      <c r="AF38" s="121">
        <v>0</v>
      </c>
      <c r="AG38" s="121">
        <v>0</v>
      </c>
      <c r="AH38" s="121">
        <v>0</v>
      </c>
      <c r="AI38" s="121">
        <v>0</v>
      </c>
      <c r="AJ38" s="784">
        <f t="shared" si="7"/>
        <v>0</v>
      </c>
      <c r="AK38" s="149">
        <f t="shared" si="2"/>
        <v>0</v>
      </c>
      <c r="AL38" s="150">
        <f t="shared" si="8"/>
        <v>0</v>
      </c>
      <c r="AM38" s="149">
        <f t="shared" si="3"/>
        <v>0</v>
      </c>
      <c r="AN38" s="150">
        <f t="shared" si="4"/>
        <v>1373424.4362473199</v>
      </c>
      <c r="AO38" s="151">
        <f t="shared" si="5"/>
        <v>1</v>
      </c>
      <c r="AP38" s="154">
        <f t="shared" si="9"/>
        <v>0</v>
      </c>
      <c r="AQ38" s="154"/>
      <c r="AR38" s="786" t="str">
        <f t="shared" si="13"/>
        <v>Apartamento Disponible</v>
      </c>
      <c r="AS38" s="786" t="str">
        <f t="shared" si="10"/>
        <v>Disponible</v>
      </c>
      <c r="AT38" s="174"/>
      <c r="AU38" s="174">
        <f t="shared" si="11"/>
        <v>0</v>
      </c>
      <c r="AV38" s="174">
        <f t="shared" si="12"/>
        <v>0</v>
      </c>
      <c r="AW38" s="173"/>
      <c r="AX38" s="786">
        <f t="shared" si="6"/>
        <v>26</v>
      </c>
      <c r="AY38" s="787">
        <f t="shared" si="14"/>
        <v>1503</v>
      </c>
      <c r="AZ38" s="152"/>
      <c r="BA38" s="152"/>
    </row>
    <row r="39" spans="1:53" ht="15" customHeight="1" x14ac:dyDescent="0.25">
      <c r="A39" s="86"/>
      <c r="B39" s="164">
        <v>303</v>
      </c>
      <c r="C39" s="164" t="s">
        <v>366</v>
      </c>
      <c r="D39" s="165" t="s">
        <v>612</v>
      </c>
      <c r="E39" s="166">
        <v>45693</v>
      </c>
      <c r="F39" s="164" t="s">
        <v>192</v>
      </c>
      <c r="G39" s="164" t="s">
        <v>128</v>
      </c>
      <c r="H39" s="167">
        <v>934918.44645199704</v>
      </c>
      <c r="I39" s="167">
        <f t="shared" si="16"/>
        <v>93491.844645199715</v>
      </c>
      <c r="J39" s="121">
        <v>0</v>
      </c>
      <c r="K39" s="121">
        <v>0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1">
        <v>0</v>
      </c>
      <c r="R39" s="121">
        <v>0</v>
      </c>
      <c r="S39" s="121">
        <v>0</v>
      </c>
      <c r="T39" s="121">
        <v>0</v>
      </c>
      <c r="U39" s="121">
        <v>0</v>
      </c>
      <c r="V39" s="121">
        <v>0</v>
      </c>
      <c r="W39" s="121">
        <v>0</v>
      </c>
      <c r="X39" s="121">
        <v>0</v>
      </c>
      <c r="Y39" s="121">
        <v>0</v>
      </c>
      <c r="Z39" s="121">
        <v>0</v>
      </c>
      <c r="AA39" s="121">
        <v>0</v>
      </c>
      <c r="AB39" s="121">
        <v>0</v>
      </c>
      <c r="AC39" s="121">
        <v>0</v>
      </c>
      <c r="AD39" s="121">
        <v>0</v>
      </c>
      <c r="AE39" s="121">
        <v>0</v>
      </c>
      <c r="AF39" s="121">
        <v>0</v>
      </c>
      <c r="AG39" s="121">
        <v>5000</v>
      </c>
      <c r="AH39" s="121">
        <v>4316</v>
      </c>
      <c r="AI39" s="121">
        <v>0</v>
      </c>
      <c r="AJ39" s="784">
        <f t="shared" si="7"/>
        <v>9316</v>
      </c>
      <c r="AK39" s="149">
        <f t="shared" si="2"/>
        <v>9.9645054981577205E-2</v>
      </c>
      <c r="AL39" s="150">
        <f t="shared" si="8"/>
        <v>-84175.844645199715</v>
      </c>
      <c r="AM39" s="149">
        <f t="shared" si="3"/>
        <v>-0.90035494501842284</v>
      </c>
      <c r="AN39" s="150">
        <f t="shared" si="4"/>
        <v>925602.44645199704</v>
      </c>
      <c r="AO39" s="151">
        <f t="shared" si="5"/>
        <v>0.99003549450184225</v>
      </c>
      <c r="AP39" s="154">
        <f t="shared" si="9"/>
        <v>93491.844645199715</v>
      </c>
      <c r="AQ39" s="154"/>
      <c r="AR39" s="786" t="str">
        <f t="shared" si="13"/>
        <v>Vendido</v>
      </c>
      <c r="AS39" s="786" t="str">
        <f t="shared" si="10"/>
        <v>Cliente Atrasado</v>
      </c>
      <c r="AT39" s="174"/>
      <c r="AU39" s="174">
        <f t="shared" si="11"/>
        <v>0</v>
      </c>
      <c r="AV39" s="174">
        <f t="shared" si="12"/>
        <v>0</v>
      </c>
      <c r="AW39" s="173"/>
      <c r="AX39" s="786">
        <f t="shared" si="6"/>
        <v>24</v>
      </c>
      <c r="AY39" s="787">
        <f t="shared" si="14"/>
        <v>2</v>
      </c>
      <c r="AZ39" s="152"/>
      <c r="BA39" s="152"/>
    </row>
    <row r="40" spans="1:53" x14ac:dyDescent="0.25">
      <c r="A40" s="93"/>
      <c r="B40" s="164">
        <v>304</v>
      </c>
      <c r="C40" s="164" t="s">
        <v>366</v>
      </c>
      <c r="D40" s="165" t="s">
        <v>417</v>
      </c>
      <c r="E40" s="166">
        <v>45719</v>
      </c>
      <c r="F40" s="164" t="s">
        <v>198</v>
      </c>
      <c r="G40" s="164" t="s">
        <v>137</v>
      </c>
      <c r="H40" s="167">
        <v>833815.20101665298</v>
      </c>
      <c r="I40" s="167">
        <v>83415.199999999997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v>0</v>
      </c>
      <c r="U40" s="121">
        <v>0</v>
      </c>
      <c r="V40" s="121">
        <v>0</v>
      </c>
      <c r="W40" s="121">
        <v>0</v>
      </c>
      <c r="X40" s="121">
        <v>0</v>
      </c>
      <c r="Y40" s="121">
        <v>0</v>
      </c>
      <c r="Z40" s="121">
        <v>0</v>
      </c>
      <c r="AA40" s="121">
        <v>0</v>
      </c>
      <c r="AB40" s="121">
        <v>0</v>
      </c>
      <c r="AC40" s="1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10000</v>
      </c>
      <c r="AI40" s="121">
        <v>0</v>
      </c>
      <c r="AJ40" s="784">
        <f t="shared" si="7"/>
        <v>10000</v>
      </c>
      <c r="AK40" s="149">
        <f t="shared" si="2"/>
        <v>0.119882227699508</v>
      </c>
      <c r="AL40" s="150">
        <f t="shared" si="8"/>
        <v>-73415.199999999997</v>
      </c>
      <c r="AM40" s="149">
        <f t="shared" si="3"/>
        <v>-0.88011777230049204</v>
      </c>
      <c r="AN40" s="150">
        <f t="shared" si="4"/>
        <v>823815.20101665298</v>
      </c>
      <c r="AO40" s="151">
        <f t="shared" si="5"/>
        <v>0.98800693488460367</v>
      </c>
      <c r="AP40" s="154">
        <f t="shared" si="9"/>
        <v>83415.199999999997</v>
      </c>
      <c r="AQ40" s="154"/>
      <c r="AR40" s="786" t="str">
        <f t="shared" si="13"/>
        <v>Vendido</v>
      </c>
      <c r="AS40" s="786" t="str">
        <f t="shared" si="10"/>
        <v>Cliente Atrasado</v>
      </c>
      <c r="AT40" s="174"/>
      <c r="AU40" s="174">
        <f t="shared" si="11"/>
        <v>0</v>
      </c>
      <c r="AV40" s="174">
        <f t="shared" si="12"/>
        <v>0</v>
      </c>
      <c r="AW40" s="173"/>
      <c r="AX40" s="786">
        <f t="shared" si="6"/>
        <v>25</v>
      </c>
      <c r="AY40" s="787">
        <f t="shared" si="14"/>
        <v>1</v>
      </c>
      <c r="AZ40" s="152"/>
      <c r="BA40" s="152"/>
    </row>
    <row r="41" spans="1:53" x14ac:dyDescent="0.25">
      <c r="A41" s="93"/>
      <c r="B41" s="172">
        <v>305</v>
      </c>
      <c r="C41" s="164" t="s">
        <v>366</v>
      </c>
      <c r="D41" s="165" t="s">
        <v>418</v>
      </c>
      <c r="E41" s="166">
        <v>45748</v>
      </c>
      <c r="F41" s="164" t="s">
        <v>391</v>
      </c>
      <c r="G41" s="164" t="s">
        <v>137</v>
      </c>
      <c r="H41" s="167">
        <v>1112465.60916772</v>
      </c>
      <c r="I41" s="167">
        <f t="shared" si="16"/>
        <v>111246.560916772</v>
      </c>
      <c r="J41" s="121">
        <v>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121">
        <v>0</v>
      </c>
      <c r="R41" s="121">
        <v>0</v>
      </c>
      <c r="S41" s="121">
        <v>0</v>
      </c>
      <c r="T41" s="121">
        <v>0</v>
      </c>
      <c r="U41" s="121">
        <v>0</v>
      </c>
      <c r="V41" s="121">
        <v>0</v>
      </c>
      <c r="W41" s="121">
        <v>0</v>
      </c>
      <c r="X41" s="121">
        <v>0</v>
      </c>
      <c r="Y41" s="121">
        <v>0</v>
      </c>
      <c r="Z41" s="121">
        <v>0</v>
      </c>
      <c r="AA41" s="121">
        <v>0</v>
      </c>
      <c r="AB41" s="121">
        <v>0</v>
      </c>
      <c r="AC41" s="121">
        <v>0</v>
      </c>
      <c r="AD41" s="121">
        <v>0</v>
      </c>
      <c r="AE41" s="121">
        <v>0</v>
      </c>
      <c r="AF41" s="121">
        <v>0</v>
      </c>
      <c r="AG41" s="121">
        <v>0</v>
      </c>
      <c r="AH41" s="121">
        <v>0</v>
      </c>
      <c r="AI41" s="121">
        <v>0</v>
      </c>
      <c r="AJ41" s="784">
        <f t="shared" si="7"/>
        <v>0</v>
      </c>
      <c r="AK41" s="149">
        <f t="shared" si="2"/>
        <v>0</v>
      </c>
      <c r="AL41" s="150">
        <f t="shared" si="8"/>
        <v>-111246.560916772</v>
      </c>
      <c r="AM41" s="149">
        <f t="shared" si="3"/>
        <v>-1</v>
      </c>
      <c r="AN41" s="150">
        <f t="shared" si="4"/>
        <v>1112465.60916772</v>
      </c>
      <c r="AO41" s="151">
        <f t="shared" si="5"/>
        <v>1</v>
      </c>
      <c r="AP41" s="154">
        <f t="shared" si="9"/>
        <v>111246.560916772</v>
      </c>
      <c r="AQ41" s="154"/>
      <c r="AR41" s="786" t="str">
        <f t="shared" si="13"/>
        <v>Vendido</v>
      </c>
      <c r="AS41" s="786" t="str">
        <f t="shared" si="10"/>
        <v>Cliente Atrasado</v>
      </c>
      <c r="AT41" s="174"/>
      <c r="AU41" s="174">
        <f t="shared" si="11"/>
        <v>0</v>
      </c>
      <c r="AV41" s="174">
        <f t="shared" si="12"/>
        <v>0</v>
      </c>
      <c r="AW41" s="173"/>
      <c r="AX41" s="786">
        <f t="shared" si="6"/>
        <v>26</v>
      </c>
      <c r="AY41" s="787">
        <f t="shared" si="14"/>
        <v>0</v>
      </c>
      <c r="AZ41" s="152"/>
      <c r="BA41" s="152"/>
    </row>
    <row r="42" spans="1:53" x14ac:dyDescent="0.25">
      <c r="A42" s="93"/>
      <c r="B42" s="164">
        <v>306</v>
      </c>
      <c r="C42" s="164"/>
      <c r="D42" s="165"/>
      <c r="E42" s="166"/>
      <c r="F42" s="164" t="s">
        <v>194</v>
      </c>
      <c r="G42" s="164" t="s">
        <v>374</v>
      </c>
      <c r="H42" s="167">
        <v>1104047.5824877301</v>
      </c>
      <c r="I42" s="167">
        <f t="shared" si="16"/>
        <v>110404.75824877301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v>0</v>
      </c>
      <c r="U42" s="121">
        <v>0</v>
      </c>
      <c r="V42" s="121">
        <v>0</v>
      </c>
      <c r="W42" s="121">
        <v>0</v>
      </c>
      <c r="X42" s="121">
        <v>0</v>
      </c>
      <c r="Y42" s="121">
        <v>0</v>
      </c>
      <c r="Z42" s="121">
        <v>0</v>
      </c>
      <c r="AA42" s="121">
        <v>0</v>
      </c>
      <c r="AB42" s="121">
        <v>0</v>
      </c>
      <c r="AC42" s="121">
        <v>0</v>
      </c>
      <c r="AD42" s="121">
        <v>0</v>
      </c>
      <c r="AE42" s="121">
        <v>0</v>
      </c>
      <c r="AF42" s="121">
        <v>0</v>
      </c>
      <c r="AG42" s="121">
        <v>0</v>
      </c>
      <c r="AH42" s="121">
        <v>0</v>
      </c>
      <c r="AI42" s="121">
        <v>0</v>
      </c>
      <c r="AJ42" s="784">
        <f t="shared" si="7"/>
        <v>0</v>
      </c>
      <c r="AK42" s="149">
        <f t="shared" si="2"/>
        <v>0</v>
      </c>
      <c r="AL42" s="150">
        <f t="shared" si="8"/>
        <v>0</v>
      </c>
      <c r="AM42" s="149">
        <f t="shared" si="3"/>
        <v>0</v>
      </c>
      <c r="AN42" s="150">
        <f t="shared" si="4"/>
        <v>1104047.5824877301</v>
      </c>
      <c r="AO42" s="151">
        <f t="shared" si="5"/>
        <v>1</v>
      </c>
      <c r="AP42" s="154">
        <f t="shared" si="9"/>
        <v>0</v>
      </c>
      <c r="AQ42" s="154"/>
      <c r="AR42" s="786" t="str">
        <f t="shared" si="13"/>
        <v>Apartamento Disponible</v>
      </c>
      <c r="AS42" s="786" t="str">
        <f t="shared" si="10"/>
        <v>Disponible</v>
      </c>
      <c r="AT42" s="174"/>
      <c r="AU42" s="174">
        <f t="shared" si="11"/>
        <v>0</v>
      </c>
      <c r="AV42" s="174">
        <f t="shared" si="12"/>
        <v>0</v>
      </c>
      <c r="AW42" s="173"/>
      <c r="AX42" s="786">
        <f t="shared" si="6"/>
        <v>26</v>
      </c>
      <c r="AY42" s="787">
        <f t="shared" si="14"/>
        <v>1503</v>
      </c>
      <c r="AZ42" s="152"/>
      <c r="BA42" s="152"/>
    </row>
    <row r="43" spans="1:53" x14ac:dyDescent="0.25">
      <c r="A43" s="93"/>
      <c r="B43" s="164">
        <v>307</v>
      </c>
      <c r="C43" s="164"/>
      <c r="D43" s="165"/>
      <c r="E43" s="166"/>
      <c r="F43" s="164" t="s">
        <v>393</v>
      </c>
      <c r="G43" s="164" t="s">
        <v>374</v>
      </c>
      <c r="H43" s="167">
        <v>1056462.34833836</v>
      </c>
      <c r="I43" s="167">
        <f t="shared" si="16"/>
        <v>105646.234833836</v>
      </c>
      <c r="J43" s="121">
        <v>0</v>
      </c>
      <c r="K43" s="121">
        <v>0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0</v>
      </c>
      <c r="R43" s="121">
        <v>0</v>
      </c>
      <c r="S43" s="121">
        <v>0</v>
      </c>
      <c r="T43" s="121">
        <v>0</v>
      </c>
      <c r="U43" s="121">
        <v>0</v>
      </c>
      <c r="V43" s="121">
        <v>0</v>
      </c>
      <c r="W43" s="121">
        <v>0</v>
      </c>
      <c r="X43" s="121">
        <v>0</v>
      </c>
      <c r="Y43" s="121">
        <v>0</v>
      </c>
      <c r="Z43" s="121">
        <v>0</v>
      </c>
      <c r="AA43" s="121">
        <v>0</v>
      </c>
      <c r="AB43" s="121">
        <v>0</v>
      </c>
      <c r="AC43" s="121">
        <v>0</v>
      </c>
      <c r="AD43" s="121">
        <v>0</v>
      </c>
      <c r="AE43" s="121">
        <v>0</v>
      </c>
      <c r="AF43" s="121">
        <v>0</v>
      </c>
      <c r="AG43" s="121">
        <v>0</v>
      </c>
      <c r="AH43" s="121">
        <v>0</v>
      </c>
      <c r="AI43" s="121">
        <v>0</v>
      </c>
      <c r="AJ43" s="784">
        <f t="shared" si="7"/>
        <v>0</v>
      </c>
      <c r="AK43" s="149">
        <f t="shared" si="2"/>
        <v>0</v>
      </c>
      <c r="AL43" s="150">
        <f t="shared" si="8"/>
        <v>0</v>
      </c>
      <c r="AM43" s="149">
        <f t="shared" si="3"/>
        <v>0</v>
      </c>
      <c r="AN43" s="150">
        <f t="shared" si="4"/>
        <v>1056462.34833836</v>
      </c>
      <c r="AO43" s="151">
        <f t="shared" si="5"/>
        <v>1</v>
      </c>
      <c r="AP43" s="154">
        <f t="shared" si="9"/>
        <v>0</v>
      </c>
      <c r="AQ43" s="154"/>
      <c r="AR43" s="786" t="str">
        <f t="shared" si="13"/>
        <v>Apartamento Disponible</v>
      </c>
      <c r="AS43" s="786" t="str">
        <f t="shared" si="10"/>
        <v>Disponible</v>
      </c>
      <c r="AT43" s="174"/>
      <c r="AU43" s="174">
        <f t="shared" si="11"/>
        <v>0</v>
      </c>
      <c r="AV43" s="174">
        <f t="shared" si="12"/>
        <v>0</v>
      </c>
      <c r="AW43" s="173"/>
      <c r="AX43" s="786">
        <f t="shared" si="6"/>
        <v>26</v>
      </c>
      <c r="AY43" s="787">
        <f t="shared" si="14"/>
        <v>1503</v>
      </c>
      <c r="AZ43" s="152"/>
      <c r="BA43" s="152"/>
    </row>
    <row r="44" spans="1:53" x14ac:dyDescent="0.25">
      <c r="A44" s="93"/>
      <c r="B44" s="164">
        <v>308</v>
      </c>
      <c r="C44" s="164" t="s">
        <v>366</v>
      </c>
      <c r="D44" s="165" t="s">
        <v>417</v>
      </c>
      <c r="E44" s="166">
        <v>45719</v>
      </c>
      <c r="F44" s="164" t="s">
        <v>172</v>
      </c>
      <c r="G44" s="164" t="s">
        <v>137</v>
      </c>
      <c r="H44" s="167">
        <v>1032728.18978229</v>
      </c>
      <c r="I44" s="167">
        <v>103328.19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1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1">
        <v>0</v>
      </c>
      <c r="AC44" s="121">
        <v>0</v>
      </c>
      <c r="AD44" s="121">
        <v>0</v>
      </c>
      <c r="AE44" s="121">
        <v>0</v>
      </c>
      <c r="AF44" s="121">
        <v>0</v>
      </c>
      <c r="AG44" s="121">
        <v>0</v>
      </c>
      <c r="AH44" s="121">
        <v>10000</v>
      </c>
      <c r="AI44" s="121">
        <v>0</v>
      </c>
      <c r="AJ44" s="784">
        <f t="shared" si="7"/>
        <v>10000</v>
      </c>
      <c r="AK44" s="149">
        <f t="shared" si="2"/>
        <v>9.6779010645594396E-2</v>
      </c>
      <c r="AL44" s="150">
        <f t="shared" si="8"/>
        <v>-93328.19</v>
      </c>
      <c r="AM44" s="149">
        <f t="shared" si="3"/>
        <v>-0.90322098935440565</v>
      </c>
      <c r="AN44" s="150">
        <f t="shared" si="4"/>
        <v>1022728.18978229</v>
      </c>
      <c r="AO44" s="151">
        <f t="shared" si="5"/>
        <v>0.99031691000697086</v>
      </c>
      <c r="AP44" s="154">
        <f t="shared" si="9"/>
        <v>103328.19</v>
      </c>
      <c r="AQ44" s="154"/>
      <c r="AR44" s="786" t="str">
        <f t="shared" si="13"/>
        <v>Vendido</v>
      </c>
      <c r="AS44" s="786" t="str">
        <f t="shared" si="10"/>
        <v>Cliente Atrasado</v>
      </c>
      <c r="AT44" s="174"/>
      <c r="AU44" s="174">
        <f t="shared" si="11"/>
        <v>0</v>
      </c>
      <c r="AV44" s="174">
        <f t="shared" si="12"/>
        <v>0</v>
      </c>
      <c r="AW44" s="173"/>
      <c r="AX44" s="786">
        <f t="shared" si="6"/>
        <v>25</v>
      </c>
      <c r="AY44" s="787">
        <f t="shared" si="14"/>
        <v>1</v>
      </c>
      <c r="AZ44" s="152"/>
      <c r="BA44" s="152"/>
    </row>
    <row r="45" spans="1:53" x14ac:dyDescent="0.25">
      <c r="A45" s="93"/>
      <c r="B45" s="164">
        <v>309</v>
      </c>
      <c r="C45" s="164" t="s">
        <v>366</v>
      </c>
      <c r="D45" s="165" t="s">
        <v>421</v>
      </c>
      <c r="E45" s="166">
        <v>45516</v>
      </c>
      <c r="F45" s="164" t="s">
        <v>395</v>
      </c>
      <c r="G45" s="164" t="s">
        <v>128</v>
      </c>
      <c r="H45" s="167">
        <v>1341690</v>
      </c>
      <c r="I45" s="167">
        <v>135090</v>
      </c>
      <c r="J45" s="121">
        <v>0</v>
      </c>
      <c r="K45" s="121">
        <v>0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1">
        <v>0</v>
      </c>
      <c r="R45" s="121">
        <v>0</v>
      </c>
      <c r="S45" s="121">
        <v>0</v>
      </c>
      <c r="T45" s="121">
        <v>0</v>
      </c>
      <c r="U45" s="121">
        <v>0</v>
      </c>
      <c r="V45" s="121">
        <v>0</v>
      </c>
      <c r="W45" s="121">
        <v>0</v>
      </c>
      <c r="X45" s="121">
        <v>0</v>
      </c>
      <c r="Y45" s="121">
        <v>0</v>
      </c>
      <c r="Z45" s="121">
        <v>0</v>
      </c>
      <c r="AA45" s="121">
        <v>5000</v>
      </c>
      <c r="AB45" s="121">
        <v>2500</v>
      </c>
      <c r="AC45" s="121">
        <v>2500</v>
      </c>
      <c r="AD45" s="121">
        <v>2500</v>
      </c>
      <c r="AE45" s="121">
        <v>2500</v>
      </c>
      <c r="AF45" s="121">
        <v>0</v>
      </c>
      <c r="AG45" s="121">
        <v>2500</v>
      </c>
      <c r="AH45" s="121">
        <v>0</v>
      </c>
      <c r="AI45" s="121">
        <v>0</v>
      </c>
      <c r="AJ45" s="784">
        <f t="shared" si="7"/>
        <v>17500</v>
      </c>
      <c r="AK45" s="149">
        <f t="shared" si="2"/>
        <v>0.12954326745132874</v>
      </c>
      <c r="AL45" s="150">
        <f t="shared" si="8"/>
        <v>-117590</v>
      </c>
      <c r="AM45" s="149">
        <f t="shared" si="3"/>
        <v>-0.87045673254867129</v>
      </c>
      <c r="AN45" s="150">
        <f t="shared" si="4"/>
        <v>1324190</v>
      </c>
      <c r="AO45" s="151">
        <f t="shared" si="5"/>
        <v>0.98695674857828564</v>
      </c>
      <c r="AP45" s="154">
        <f t="shared" si="9"/>
        <v>135090</v>
      </c>
      <c r="AQ45" s="154"/>
      <c r="AR45" s="786" t="str">
        <f t="shared" si="13"/>
        <v>Vendido</v>
      </c>
      <c r="AS45" s="786" t="str">
        <f t="shared" si="10"/>
        <v>Cliente Atrasado</v>
      </c>
      <c r="AT45" s="174">
        <v>16</v>
      </c>
      <c r="AU45" s="174">
        <f t="shared" si="11"/>
        <v>1</v>
      </c>
      <c r="AV45" s="174">
        <f t="shared" si="12"/>
        <v>17</v>
      </c>
      <c r="AW45" s="173">
        <v>2500</v>
      </c>
      <c r="AX45" s="786">
        <f t="shared" si="6"/>
        <v>5</v>
      </c>
      <c r="AY45" s="787">
        <f t="shared" si="14"/>
        <v>8</v>
      </c>
      <c r="AZ45" s="152"/>
      <c r="BA45" s="152"/>
    </row>
    <row r="46" spans="1:53" x14ac:dyDescent="0.25">
      <c r="A46" s="93"/>
      <c r="B46" s="164">
        <v>310</v>
      </c>
      <c r="C46" s="164"/>
      <c r="D46" s="165"/>
      <c r="E46" s="166"/>
      <c r="F46" s="164" t="s">
        <v>397</v>
      </c>
      <c r="G46" s="164" t="s">
        <v>374</v>
      </c>
      <c r="H46" s="167">
        <v>1021234.48252095</v>
      </c>
      <c r="I46" s="167">
        <f>+H46*0.1</f>
        <v>102123.44825209501</v>
      </c>
      <c r="J46" s="12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1">
        <v>0</v>
      </c>
      <c r="S46" s="121">
        <v>0</v>
      </c>
      <c r="T46" s="121">
        <v>0</v>
      </c>
      <c r="U46" s="121">
        <v>0</v>
      </c>
      <c r="V46" s="121">
        <v>0</v>
      </c>
      <c r="W46" s="121">
        <v>0</v>
      </c>
      <c r="X46" s="121">
        <v>0</v>
      </c>
      <c r="Y46" s="121">
        <v>0</v>
      </c>
      <c r="Z46" s="121">
        <v>0</v>
      </c>
      <c r="AA46" s="121">
        <v>0</v>
      </c>
      <c r="AB46" s="121">
        <v>0</v>
      </c>
      <c r="AC46" s="121">
        <v>0</v>
      </c>
      <c r="AD46" s="121">
        <v>0</v>
      </c>
      <c r="AE46" s="121">
        <v>0</v>
      </c>
      <c r="AF46" s="121">
        <v>0</v>
      </c>
      <c r="AG46" s="121">
        <v>0</v>
      </c>
      <c r="AH46" s="121">
        <v>0</v>
      </c>
      <c r="AI46" s="121">
        <v>0</v>
      </c>
      <c r="AJ46" s="784">
        <f t="shared" si="7"/>
        <v>0</v>
      </c>
      <c r="AK46" s="149">
        <f t="shared" si="2"/>
        <v>0</v>
      </c>
      <c r="AL46" s="150">
        <f t="shared" si="8"/>
        <v>0</v>
      </c>
      <c r="AM46" s="149">
        <f t="shared" si="3"/>
        <v>0</v>
      </c>
      <c r="AN46" s="150">
        <f t="shared" si="4"/>
        <v>1021234.48252095</v>
      </c>
      <c r="AO46" s="151">
        <f t="shared" si="5"/>
        <v>1</v>
      </c>
      <c r="AP46" s="154">
        <f t="shared" si="9"/>
        <v>0</v>
      </c>
      <c r="AQ46" s="154"/>
      <c r="AR46" s="786" t="str">
        <f t="shared" si="13"/>
        <v>Apartamento Disponible</v>
      </c>
      <c r="AS46" s="786" t="str">
        <f t="shared" si="10"/>
        <v>Disponible</v>
      </c>
      <c r="AT46" s="174"/>
      <c r="AU46" s="174">
        <f t="shared" si="11"/>
        <v>0</v>
      </c>
      <c r="AV46" s="174">
        <f t="shared" si="12"/>
        <v>0</v>
      </c>
      <c r="AW46" s="173"/>
      <c r="AX46" s="786">
        <f t="shared" si="6"/>
        <v>26</v>
      </c>
      <c r="AY46" s="787">
        <f t="shared" si="14"/>
        <v>1503</v>
      </c>
      <c r="AZ46" s="152"/>
      <c r="BA46" s="152"/>
    </row>
    <row r="47" spans="1:53" ht="15" customHeight="1" x14ac:dyDescent="0.25">
      <c r="A47" s="93"/>
      <c r="B47" s="164">
        <v>311</v>
      </c>
      <c r="C47" s="164" t="s">
        <v>423</v>
      </c>
      <c r="D47" s="165" t="s">
        <v>424</v>
      </c>
      <c r="E47" s="166">
        <v>45562</v>
      </c>
      <c r="F47" s="164" t="s">
        <v>398</v>
      </c>
      <c r="G47" s="164" t="s">
        <v>128</v>
      </c>
      <c r="H47" s="167">
        <v>1391040</v>
      </c>
      <c r="I47" s="167">
        <v>139140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21">
        <v>0</v>
      </c>
      <c r="S47" s="121">
        <v>0</v>
      </c>
      <c r="T47" s="121">
        <v>0</v>
      </c>
      <c r="U47" s="121">
        <v>0</v>
      </c>
      <c r="V47" s="121">
        <v>0</v>
      </c>
      <c r="W47" s="121">
        <v>0</v>
      </c>
      <c r="X47" s="121">
        <v>0</v>
      </c>
      <c r="Y47" s="121">
        <v>0</v>
      </c>
      <c r="Z47" s="121">
        <v>0</v>
      </c>
      <c r="AA47" s="121">
        <v>0</v>
      </c>
      <c r="AB47" s="121">
        <v>0</v>
      </c>
      <c r="AC47" s="121">
        <v>10000</v>
      </c>
      <c r="AD47" s="121">
        <v>129140</v>
      </c>
      <c r="AE47" s="121">
        <v>0</v>
      </c>
      <c r="AF47" s="121">
        <v>0</v>
      </c>
      <c r="AG47" s="121">
        <v>0</v>
      </c>
      <c r="AH47" s="121">
        <v>0</v>
      </c>
      <c r="AI47" s="121">
        <v>0</v>
      </c>
      <c r="AJ47" s="784">
        <f t="shared" si="7"/>
        <v>139140</v>
      </c>
      <c r="AK47" s="149">
        <f t="shared" si="2"/>
        <v>1</v>
      </c>
      <c r="AL47" s="150">
        <f t="shared" si="8"/>
        <v>0</v>
      </c>
      <c r="AM47" s="149">
        <f t="shared" si="3"/>
        <v>0</v>
      </c>
      <c r="AN47" s="150">
        <f t="shared" si="4"/>
        <v>1251900</v>
      </c>
      <c r="AO47" s="151">
        <f t="shared" si="5"/>
        <v>0.89997412008281574</v>
      </c>
      <c r="AP47" s="154">
        <f t="shared" si="9"/>
        <v>139140</v>
      </c>
      <c r="AQ47" s="154"/>
      <c r="AR47" s="786" t="str">
        <f t="shared" si="13"/>
        <v>Vendido</v>
      </c>
      <c r="AS47" s="786" t="str">
        <f t="shared" si="10"/>
        <v>Enganche Completado</v>
      </c>
      <c r="AT47" s="174">
        <v>1</v>
      </c>
      <c r="AU47" s="174">
        <f t="shared" si="11"/>
        <v>0</v>
      </c>
      <c r="AV47" s="174">
        <f t="shared" si="12"/>
        <v>1</v>
      </c>
      <c r="AW47" s="173">
        <v>139140</v>
      </c>
      <c r="AX47" s="786">
        <f t="shared" si="6"/>
        <v>0</v>
      </c>
      <c r="AY47" s="787">
        <f t="shared" si="14"/>
        <v>7</v>
      </c>
      <c r="AZ47" s="152"/>
      <c r="BA47" s="152"/>
    </row>
    <row r="48" spans="1:53" ht="15" customHeight="1" x14ac:dyDescent="0.25">
      <c r="A48" s="93"/>
      <c r="B48" s="164">
        <v>312</v>
      </c>
      <c r="C48" s="164" t="s">
        <v>366</v>
      </c>
      <c r="D48" s="165" t="s">
        <v>425</v>
      </c>
      <c r="E48" s="166">
        <v>45650</v>
      </c>
      <c r="F48" s="164" t="s">
        <v>399</v>
      </c>
      <c r="G48" s="164" t="s">
        <v>128</v>
      </c>
      <c r="H48" s="167">
        <v>1414462.31631225</v>
      </c>
      <c r="I48" s="167">
        <v>141462.32</v>
      </c>
      <c r="J48" s="121">
        <v>0</v>
      </c>
      <c r="K48" s="121">
        <v>0</v>
      </c>
      <c r="L48" s="121">
        <v>0</v>
      </c>
      <c r="M48" s="121">
        <v>0</v>
      </c>
      <c r="N48" s="121">
        <v>0</v>
      </c>
      <c r="O48" s="121">
        <v>0</v>
      </c>
      <c r="P48" s="121">
        <v>0</v>
      </c>
      <c r="Q48" s="121">
        <v>0</v>
      </c>
      <c r="R48" s="121">
        <v>0</v>
      </c>
      <c r="S48" s="121">
        <v>0</v>
      </c>
      <c r="T48" s="121">
        <v>0</v>
      </c>
      <c r="U48" s="121">
        <v>0</v>
      </c>
      <c r="V48" s="121">
        <v>0</v>
      </c>
      <c r="W48" s="121">
        <v>0</v>
      </c>
      <c r="X48" s="121">
        <v>0</v>
      </c>
      <c r="Y48" s="121">
        <v>0</v>
      </c>
      <c r="Z48" s="121">
        <v>0</v>
      </c>
      <c r="AA48" s="121">
        <v>0</v>
      </c>
      <c r="AB48" s="121">
        <v>0</v>
      </c>
      <c r="AC48" s="121">
        <v>0</v>
      </c>
      <c r="AD48" s="121">
        <v>0</v>
      </c>
      <c r="AE48" s="121">
        <v>8000</v>
      </c>
      <c r="AF48" s="121">
        <v>0</v>
      </c>
      <c r="AG48" s="121">
        <v>7851</v>
      </c>
      <c r="AH48" s="121">
        <v>7851</v>
      </c>
      <c r="AI48" s="121">
        <v>0</v>
      </c>
      <c r="AJ48" s="784">
        <f t="shared" si="7"/>
        <v>23702</v>
      </c>
      <c r="AK48" s="149">
        <f t="shared" si="2"/>
        <v>0.16754991717935913</v>
      </c>
      <c r="AL48" s="150">
        <f t="shared" si="8"/>
        <v>-117760.32000000001</v>
      </c>
      <c r="AM48" s="149">
        <f t="shared" si="3"/>
        <v>-0.83245008282064092</v>
      </c>
      <c r="AN48" s="150">
        <f t="shared" si="4"/>
        <v>1390760.31631225</v>
      </c>
      <c r="AO48" s="151">
        <f t="shared" si="5"/>
        <v>0.98324310253680336</v>
      </c>
      <c r="AP48" s="154">
        <f t="shared" si="9"/>
        <v>141462.32</v>
      </c>
      <c r="AQ48" s="154"/>
      <c r="AR48" s="786" t="str">
        <f t="shared" si="13"/>
        <v>Vendido</v>
      </c>
      <c r="AS48" s="786" t="str">
        <f t="shared" si="10"/>
        <v>Cliente Atrasado</v>
      </c>
      <c r="AT48" s="174"/>
      <c r="AU48" s="174">
        <f t="shared" si="11"/>
        <v>0</v>
      </c>
      <c r="AV48" s="174">
        <f t="shared" si="12"/>
        <v>0</v>
      </c>
      <c r="AW48" s="173"/>
      <c r="AX48" s="786">
        <f t="shared" si="6"/>
        <v>23</v>
      </c>
      <c r="AY48" s="787">
        <f t="shared" si="14"/>
        <v>4</v>
      </c>
      <c r="AZ48" s="152"/>
      <c r="BA48" s="152"/>
    </row>
    <row r="49" spans="1:53" ht="15" customHeight="1" x14ac:dyDescent="0.25">
      <c r="A49" s="93"/>
      <c r="B49" s="164">
        <v>313</v>
      </c>
      <c r="C49" s="164" t="s">
        <v>366</v>
      </c>
      <c r="D49" s="165" t="s">
        <v>427</v>
      </c>
      <c r="E49" s="166">
        <v>45419</v>
      </c>
      <c r="F49" s="164" t="s">
        <v>400</v>
      </c>
      <c r="G49" s="164" t="s">
        <v>128</v>
      </c>
      <c r="H49" s="167">
        <v>1087400</v>
      </c>
      <c r="I49" s="167">
        <v>108800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0</v>
      </c>
      <c r="U49" s="121">
        <v>0</v>
      </c>
      <c r="V49" s="121">
        <v>0</v>
      </c>
      <c r="W49" s="121">
        <v>0</v>
      </c>
      <c r="X49" s="121">
        <v>8000</v>
      </c>
      <c r="Y49" s="121">
        <v>4253</v>
      </c>
      <c r="Z49" s="121">
        <v>24253</v>
      </c>
      <c r="AA49" s="121">
        <v>4253</v>
      </c>
      <c r="AB49" s="121">
        <v>4253</v>
      </c>
      <c r="AC49" s="121">
        <f>4253+4253</f>
        <v>8506</v>
      </c>
      <c r="AD49" s="121">
        <v>0</v>
      </c>
      <c r="AE49" s="121">
        <v>4253</v>
      </c>
      <c r="AF49" s="121">
        <v>4253</v>
      </c>
      <c r="AG49" s="121">
        <v>4253</v>
      </c>
      <c r="AH49" s="121">
        <v>4253</v>
      </c>
      <c r="AI49" s="121">
        <v>4253</v>
      </c>
      <c r="AJ49" s="784">
        <f t="shared" si="7"/>
        <v>74783</v>
      </c>
      <c r="AK49" s="149">
        <f t="shared" si="2"/>
        <v>0.68734375000000003</v>
      </c>
      <c r="AL49" s="150">
        <f t="shared" si="8"/>
        <v>-34017</v>
      </c>
      <c r="AM49" s="149">
        <f t="shared" si="3"/>
        <v>-0.31265625000000002</v>
      </c>
      <c r="AN49" s="150">
        <f t="shared" si="4"/>
        <v>1012617</v>
      </c>
      <c r="AO49" s="151">
        <f t="shared" si="5"/>
        <v>0.93122769909876768</v>
      </c>
      <c r="AP49" s="154">
        <f t="shared" si="9"/>
        <v>108800</v>
      </c>
      <c r="AQ49" s="154"/>
      <c r="AR49" s="786" t="str">
        <f t="shared" si="13"/>
        <v>Vendido</v>
      </c>
      <c r="AS49" s="786" t="str">
        <f t="shared" si="10"/>
        <v>Cliente Atrasado</v>
      </c>
      <c r="AT49" s="174">
        <v>16</v>
      </c>
      <c r="AU49" s="174">
        <f t="shared" si="11"/>
        <v>1</v>
      </c>
      <c r="AV49" s="174">
        <f t="shared" si="12"/>
        <v>17</v>
      </c>
      <c r="AW49" s="173">
        <v>4253</v>
      </c>
      <c r="AX49" s="786">
        <f t="shared" si="6"/>
        <v>8</v>
      </c>
      <c r="AY49" s="787">
        <f t="shared" si="14"/>
        <v>11</v>
      </c>
      <c r="AZ49" s="152"/>
      <c r="BA49" s="152"/>
    </row>
    <row r="50" spans="1:53" x14ac:dyDescent="0.25">
      <c r="A50" s="93"/>
      <c r="B50" s="164">
        <v>314</v>
      </c>
      <c r="C50" s="164"/>
      <c r="D50" s="165"/>
      <c r="E50" s="166"/>
      <c r="F50" s="164" t="s">
        <v>175</v>
      </c>
      <c r="G50" s="164" t="s">
        <v>374</v>
      </c>
      <c r="H50" s="167">
        <v>1037521.78830839</v>
      </c>
      <c r="I50" s="167">
        <f>+H50*0.1</f>
        <v>103752.178830839</v>
      </c>
      <c r="J50" s="121">
        <v>0</v>
      </c>
      <c r="K50" s="121">
        <v>0</v>
      </c>
      <c r="L50" s="121">
        <v>0</v>
      </c>
      <c r="M50" s="121">
        <v>0</v>
      </c>
      <c r="N50" s="121">
        <v>0</v>
      </c>
      <c r="O50" s="121">
        <v>0</v>
      </c>
      <c r="P50" s="121">
        <v>0</v>
      </c>
      <c r="Q50" s="121">
        <v>0</v>
      </c>
      <c r="R50" s="121">
        <v>0</v>
      </c>
      <c r="S50" s="121">
        <v>0</v>
      </c>
      <c r="T50" s="121">
        <v>0</v>
      </c>
      <c r="U50" s="121">
        <v>0</v>
      </c>
      <c r="V50" s="121">
        <v>0</v>
      </c>
      <c r="W50" s="121">
        <v>0</v>
      </c>
      <c r="X50" s="121">
        <v>0</v>
      </c>
      <c r="Y50" s="121">
        <v>0</v>
      </c>
      <c r="Z50" s="121">
        <v>0</v>
      </c>
      <c r="AA50" s="121">
        <v>0</v>
      </c>
      <c r="AB50" s="121">
        <v>0</v>
      </c>
      <c r="AC50" s="121">
        <v>0</v>
      </c>
      <c r="AD50" s="121">
        <v>0</v>
      </c>
      <c r="AE50" s="121">
        <v>0</v>
      </c>
      <c r="AF50" s="121">
        <v>0</v>
      </c>
      <c r="AG50" s="121">
        <v>0</v>
      </c>
      <c r="AH50" s="121">
        <v>0</v>
      </c>
      <c r="AI50" s="121">
        <v>0</v>
      </c>
      <c r="AJ50" s="784">
        <f t="shared" si="7"/>
        <v>0</v>
      </c>
      <c r="AK50" s="149">
        <f t="shared" si="2"/>
        <v>0</v>
      </c>
      <c r="AL50" s="150">
        <f t="shared" si="8"/>
        <v>0</v>
      </c>
      <c r="AM50" s="149">
        <f t="shared" si="3"/>
        <v>0</v>
      </c>
      <c r="AN50" s="150">
        <f t="shared" si="4"/>
        <v>1037521.78830839</v>
      </c>
      <c r="AO50" s="151">
        <f t="shared" si="5"/>
        <v>1</v>
      </c>
      <c r="AP50" s="154">
        <f t="shared" si="9"/>
        <v>0</v>
      </c>
      <c r="AQ50" s="154"/>
      <c r="AR50" s="786" t="str">
        <f t="shared" si="13"/>
        <v>Apartamento Disponible</v>
      </c>
      <c r="AS50" s="786" t="str">
        <f t="shared" si="10"/>
        <v>Disponible</v>
      </c>
      <c r="AT50" s="174"/>
      <c r="AU50" s="174">
        <f t="shared" si="11"/>
        <v>0</v>
      </c>
      <c r="AV50" s="174">
        <f t="shared" si="12"/>
        <v>0</v>
      </c>
      <c r="AW50" s="173"/>
      <c r="AX50" s="786">
        <f t="shared" si="6"/>
        <v>26</v>
      </c>
      <c r="AY50" s="787">
        <f t="shared" si="14"/>
        <v>1503</v>
      </c>
      <c r="AZ50" s="152"/>
      <c r="BA50" s="152"/>
    </row>
    <row r="51" spans="1:53" x14ac:dyDescent="0.25">
      <c r="A51" s="93"/>
      <c r="B51" s="172">
        <v>315</v>
      </c>
      <c r="C51" s="164" t="s">
        <v>126</v>
      </c>
      <c r="D51" s="165" t="s">
        <v>127</v>
      </c>
      <c r="E51" s="166">
        <v>45752</v>
      </c>
      <c r="F51" s="164" t="s">
        <v>125</v>
      </c>
      <c r="G51" s="164" t="s">
        <v>137</v>
      </c>
      <c r="H51" s="167">
        <v>1543626.9723517401</v>
      </c>
      <c r="I51" s="167">
        <f>+H51*0.1</f>
        <v>154362.69723517401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1">
        <v>0</v>
      </c>
      <c r="S51" s="121">
        <v>0</v>
      </c>
      <c r="T51" s="121">
        <v>0</v>
      </c>
      <c r="U51" s="121">
        <v>0</v>
      </c>
      <c r="V51" s="121">
        <v>0</v>
      </c>
      <c r="W51" s="121">
        <v>0</v>
      </c>
      <c r="X51" s="121">
        <v>0</v>
      </c>
      <c r="Y51" s="121">
        <v>0</v>
      </c>
      <c r="Z51" s="121">
        <v>0</v>
      </c>
      <c r="AA51" s="121">
        <v>0</v>
      </c>
      <c r="AB51" s="121">
        <v>0</v>
      </c>
      <c r="AC51" s="121">
        <v>0</v>
      </c>
      <c r="AD51" s="121">
        <v>0</v>
      </c>
      <c r="AE51" s="121">
        <v>0</v>
      </c>
      <c r="AF51" s="121">
        <v>0</v>
      </c>
      <c r="AG51" s="121">
        <v>0</v>
      </c>
      <c r="AH51" s="121">
        <v>0</v>
      </c>
      <c r="AI51" s="121">
        <v>0</v>
      </c>
      <c r="AJ51" s="784">
        <f t="shared" si="7"/>
        <v>0</v>
      </c>
      <c r="AK51" s="149">
        <f t="shared" si="2"/>
        <v>0</v>
      </c>
      <c r="AL51" s="150">
        <f t="shared" si="8"/>
        <v>-154362.69723517401</v>
      </c>
      <c r="AM51" s="149">
        <f t="shared" si="3"/>
        <v>-1</v>
      </c>
      <c r="AN51" s="150">
        <f t="shared" si="4"/>
        <v>1543626.9723517401</v>
      </c>
      <c r="AO51" s="151">
        <f t="shared" si="5"/>
        <v>1</v>
      </c>
      <c r="AP51" s="154">
        <f t="shared" si="9"/>
        <v>154362.69723517401</v>
      </c>
      <c r="AQ51" s="154"/>
      <c r="AR51" s="786" t="str">
        <f t="shared" si="13"/>
        <v>Vendido</v>
      </c>
      <c r="AS51" s="786" t="str">
        <f t="shared" si="10"/>
        <v>Cliente Atrasado</v>
      </c>
      <c r="AT51" s="174"/>
      <c r="AU51" s="174">
        <f t="shared" si="11"/>
        <v>0</v>
      </c>
      <c r="AV51" s="174">
        <f t="shared" si="12"/>
        <v>0</v>
      </c>
      <c r="AW51" s="173"/>
      <c r="AX51" s="786">
        <f t="shared" si="6"/>
        <v>26</v>
      </c>
      <c r="AY51" s="787">
        <f t="shared" si="14"/>
        <v>0</v>
      </c>
      <c r="AZ51" s="152"/>
      <c r="BA51" s="152"/>
    </row>
    <row r="52" spans="1:53" ht="15" customHeight="1" x14ac:dyDescent="0.25">
      <c r="A52" s="93"/>
      <c r="B52" s="164">
        <v>316</v>
      </c>
      <c r="C52" s="164" t="s">
        <v>366</v>
      </c>
      <c r="D52" s="165" t="s">
        <v>429</v>
      </c>
      <c r="E52" s="166">
        <v>45228</v>
      </c>
      <c r="F52" s="164" t="s">
        <v>178</v>
      </c>
      <c r="G52" s="164" t="s">
        <v>128</v>
      </c>
      <c r="H52" s="167">
        <v>708396.44</v>
      </c>
      <c r="I52" s="167">
        <v>70896.44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8000</v>
      </c>
      <c r="R52" s="121">
        <v>2735</v>
      </c>
      <c r="S52" s="121">
        <v>2735</v>
      </c>
      <c r="T52" s="121">
        <v>2735</v>
      </c>
      <c r="U52" s="121">
        <v>2735</v>
      </c>
      <c r="V52" s="121">
        <v>2735</v>
      </c>
      <c r="W52" s="121">
        <v>2735</v>
      </c>
      <c r="X52" s="121">
        <v>5470</v>
      </c>
      <c r="Y52" s="121">
        <v>2735</v>
      </c>
      <c r="Z52" s="121">
        <v>0</v>
      </c>
      <c r="AA52" s="121">
        <v>2735</v>
      </c>
      <c r="AB52" s="121">
        <v>2735</v>
      </c>
      <c r="AC52" s="121">
        <v>2735</v>
      </c>
      <c r="AD52" s="121">
        <v>2735</v>
      </c>
      <c r="AE52" s="121">
        <v>2735</v>
      </c>
      <c r="AF52" s="121">
        <v>2735</v>
      </c>
      <c r="AG52" s="121">
        <v>2735</v>
      </c>
      <c r="AH52" s="121">
        <v>2735</v>
      </c>
      <c r="AI52" s="121">
        <v>0</v>
      </c>
      <c r="AJ52" s="784">
        <f t="shared" si="7"/>
        <v>54495</v>
      </c>
      <c r="AK52" s="149">
        <f t="shared" si="2"/>
        <v>0.76865636694874939</v>
      </c>
      <c r="AL52" s="150">
        <f t="shared" si="8"/>
        <v>-16401.440000000002</v>
      </c>
      <c r="AM52" s="149">
        <f t="shared" si="3"/>
        <v>-0.23134363305125055</v>
      </c>
      <c r="AN52" s="150">
        <f t="shared" si="4"/>
        <v>653901.43999999994</v>
      </c>
      <c r="AO52" s="151">
        <f t="shared" si="5"/>
        <v>0.92307273593865036</v>
      </c>
      <c r="AP52" s="154">
        <f t="shared" si="9"/>
        <v>70896.44</v>
      </c>
      <c r="AQ52" s="154"/>
      <c r="AR52" s="786" t="str">
        <f t="shared" si="13"/>
        <v>Vendido</v>
      </c>
      <c r="AS52" s="786" t="str">
        <f t="shared" si="10"/>
        <v>Cliente Atrasado</v>
      </c>
      <c r="AT52" s="174">
        <v>23</v>
      </c>
      <c r="AU52" s="174">
        <f t="shared" si="11"/>
        <v>1</v>
      </c>
      <c r="AV52" s="174">
        <f t="shared" si="12"/>
        <v>24</v>
      </c>
      <c r="AW52" s="173">
        <v>2735</v>
      </c>
      <c r="AX52" s="786">
        <f t="shared" si="6"/>
        <v>15</v>
      </c>
      <c r="AY52" s="787">
        <f t="shared" si="14"/>
        <v>18</v>
      </c>
      <c r="AZ52" s="152"/>
      <c r="BA52" s="152"/>
    </row>
    <row r="53" spans="1:53" ht="15" customHeight="1" x14ac:dyDescent="0.25">
      <c r="A53" s="93"/>
      <c r="B53" s="164">
        <v>317</v>
      </c>
      <c r="C53" s="164" t="s">
        <v>366</v>
      </c>
      <c r="D53" s="165" t="s">
        <v>430</v>
      </c>
      <c r="E53" s="166">
        <v>45258</v>
      </c>
      <c r="F53" s="164" t="s">
        <v>406</v>
      </c>
      <c r="G53" s="164" t="s">
        <v>128</v>
      </c>
      <c r="H53" s="167">
        <v>721087.5</v>
      </c>
      <c r="I53" s="167">
        <v>72187.5</v>
      </c>
      <c r="J53" s="121">
        <v>0</v>
      </c>
      <c r="K53" s="121">
        <v>0</v>
      </c>
      <c r="L53" s="121">
        <v>0</v>
      </c>
      <c r="M53" s="121">
        <v>0</v>
      </c>
      <c r="N53" s="121">
        <v>0</v>
      </c>
      <c r="O53" s="121">
        <v>0</v>
      </c>
      <c r="P53" s="121">
        <v>0</v>
      </c>
      <c r="Q53" s="121">
        <v>0</v>
      </c>
      <c r="R53" s="121">
        <v>5500</v>
      </c>
      <c r="S53" s="121">
        <v>3031</v>
      </c>
      <c r="T53" s="121">
        <v>3031</v>
      </c>
      <c r="U53" s="121">
        <v>3031</v>
      </c>
      <c r="V53" s="121">
        <v>3031</v>
      </c>
      <c r="W53" s="121">
        <v>3031</v>
      </c>
      <c r="X53" s="121">
        <v>3031</v>
      </c>
      <c r="Y53" s="121">
        <v>3031</v>
      </c>
      <c r="Z53" s="121">
        <v>3031</v>
      </c>
      <c r="AA53" s="121">
        <v>3031</v>
      </c>
      <c r="AB53" s="121">
        <v>3031</v>
      </c>
      <c r="AC53" s="121">
        <v>3031</v>
      </c>
      <c r="AD53" s="121">
        <v>3031</v>
      </c>
      <c r="AE53" s="121">
        <v>3031</v>
      </c>
      <c r="AF53" s="121">
        <v>3031</v>
      </c>
      <c r="AG53" s="121">
        <v>3031</v>
      </c>
      <c r="AH53" s="121">
        <v>3031</v>
      </c>
      <c r="AI53" s="121">
        <v>0</v>
      </c>
      <c r="AJ53" s="784">
        <f t="shared" si="7"/>
        <v>53996</v>
      </c>
      <c r="AK53" s="149">
        <f t="shared" si="2"/>
        <v>0.74799653679653677</v>
      </c>
      <c r="AL53" s="150">
        <f t="shared" si="8"/>
        <v>-18191.5</v>
      </c>
      <c r="AM53" s="149">
        <f t="shared" si="3"/>
        <v>-0.25200346320346323</v>
      </c>
      <c r="AN53" s="150">
        <f t="shared" si="4"/>
        <v>667091.5</v>
      </c>
      <c r="AO53" s="151">
        <f t="shared" si="5"/>
        <v>0.92511865758316436</v>
      </c>
      <c r="AP53" s="154">
        <f t="shared" si="9"/>
        <v>72187.5</v>
      </c>
      <c r="AQ53" s="154"/>
      <c r="AR53" s="786" t="str">
        <f t="shared" si="13"/>
        <v>Vendido</v>
      </c>
      <c r="AS53" s="786" t="str">
        <f t="shared" si="10"/>
        <v>Cliente Atrasado</v>
      </c>
      <c r="AT53" s="174">
        <v>22</v>
      </c>
      <c r="AU53" s="174">
        <f t="shared" si="11"/>
        <v>1</v>
      </c>
      <c r="AV53" s="174">
        <f t="shared" si="12"/>
        <v>23</v>
      </c>
      <c r="AW53" s="173">
        <v>3031</v>
      </c>
      <c r="AX53" s="786">
        <f t="shared" si="6"/>
        <v>16</v>
      </c>
      <c r="AY53" s="787">
        <f t="shared" si="14"/>
        <v>17</v>
      </c>
      <c r="AZ53" s="152"/>
      <c r="BA53" s="152"/>
    </row>
    <row r="54" spans="1:53" ht="15" customHeight="1" x14ac:dyDescent="0.25">
      <c r="A54" s="93"/>
      <c r="B54" s="164">
        <v>318</v>
      </c>
      <c r="C54" s="164" t="s">
        <v>366</v>
      </c>
      <c r="D54" s="165" t="s">
        <v>431</v>
      </c>
      <c r="E54" s="166">
        <v>45242</v>
      </c>
      <c r="F54" s="164" t="s">
        <v>200</v>
      </c>
      <c r="G54" s="164" t="s">
        <v>128</v>
      </c>
      <c r="H54" s="167">
        <v>720472.5</v>
      </c>
      <c r="I54" s="167">
        <v>72072.5</v>
      </c>
      <c r="J54" s="121">
        <v>0</v>
      </c>
      <c r="K54" s="121">
        <v>0</v>
      </c>
      <c r="L54" s="121">
        <v>0</v>
      </c>
      <c r="M54" s="121">
        <v>0</v>
      </c>
      <c r="N54" s="121">
        <v>0</v>
      </c>
      <c r="O54" s="121">
        <v>0</v>
      </c>
      <c r="P54" s="121">
        <v>0</v>
      </c>
      <c r="Q54" s="121">
        <v>0</v>
      </c>
      <c r="R54" s="121">
        <v>5500</v>
      </c>
      <c r="S54" s="121">
        <v>3026</v>
      </c>
      <c r="T54" s="121">
        <v>3026</v>
      </c>
      <c r="U54" s="121">
        <v>3026</v>
      </c>
      <c r="V54" s="121">
        <v>3026</v>
      </c>
      <c r="W54" s="121">
        <v>3026</v>
      </c>
      <c r="X54" s="121">
        <v>3026</v>
      </c>
      <c r="Y54" s="121">
        <v>3026</v>
      </c>
      <c r="Z54" s="121">
        <v>3026</v>
      </c>
      <c r="AA54" s="121">
        <v>3026</v>
      </c>
      <c r="AB54" s="121">
        <v>3026</v>
      </c>
      <c r="AC54" s="121">
        <v>3026</v>
      </c>
      <c r="AD54" s="121">
        <v>3026</v>
      </c>
      <c r="AE54" s="121">
        <v>3026</v>
      </c>
      <c r="AF54" s="121">
        <v>3026</v>
      </c>
      <c r="AG54" s="121">
        <v>3026</v>
      </c>
      <c r="AH54" s="121">
        <v>3026</v>
      </c>
      <c r="AI54" s="121">
        <v>0</v>
      </c>
      <c r="AJ54" s="784">
        <f t="shared" si="7"/>
        <v>53916</v>
      </c>
      <c r="AK54" s="149">
        <f t="shared" si="2"/>
        <v>0.74808005827465396</v>
      </c>
      <c r="AL54" s="150">
        <f t="shared" si="8"/>
        <v>-18156.5</v>
      </c>
      <c r="AM54" s="149">
        <f t="shared" si="3"/>
        <v>-0.25191994172534599</v>
      </c>
      <c r="AN54" s="150">
        <f t="shared" si="4"/>
        <v>666556.5</v>
      </c>
      <c r="AO54" s="151">
        <f t="shared" si="5"/>
        <v>0.92516577662575605</v>
      </c>
      <c r="AP54" s="154">
        <f t="shared" si="9"/>
        <v>72072.5</v>
      </c>
      <c r="AQ54" s="154"/>
      <c r="AR54" s="786" t="str">
        <f t="shared" si="13"/>
        <v>Vendido</v>
      </c>
      <c r="AS54" s="786" t="str">
        <f t="shared" si="10"/>
        <v>Cliente Atrasado</v>
      </c>
      <c r="AT54" s="174">
        <v>22</v>
      </c>
      <c r="AU54" s="174">
        <f t="shared" si="11"/>
        <v>1</v>
      </c>
      <c r="AV54" s="174">
        <f t="shared" si="12"/>
        <v>23</v>
      </c>
      <c r="AW54" s="173">
        <v>3026</v>
      </c>
      <c r="AX54" s="786">
        <f t="shared" si="6"/>
        <v>16</v>
      </c>
      <c r="AY54" s="787">
        <f t="shared" si="14"/>
        <v>17</v>
      </c>
      <c r="AZ54" s="152"/>
      <c r="BA54" s="152"/>
    </row>
    <row r="55" spans="1:53" x14ac:dyDescent="0.25">
      <c r="A55" s="93"/>
      <c r="B55" s="164">
        <v>319</v>
      </c>
      <c r="C55" s="164" t="s">
        <v>366</v>
      </c>
      <c r="D55" s="165" t="s">
        <v>432</v>
      </c>
      <c r="E55" s="166">
        <v>45340</v>
      </c>
      <c r="F55" s="164" t="s">
        <v>409</v>
      </c>
      <c r="G55" s="164" t="s">
        <v>128</v>
      </c>
      <c r="H55" s="167">
        <v>965900</v>
      </c>
      <c r="I55" s="167">
        <v>96600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21">
        <v>0</v>
      </c>
      <c r="S55" s="121">
        <v>0</v>
      </c>
      <c r="T55" s="121">
        <v>0</v>
      </c>
      <c r="U55" s="121">
        <v>8000</v>
      </c>
      <c r="V55" s="121">
        <v>7000</v>
      </c>
      <c r="W55" s="121">
        <v>7000</v>
      </c>
      <c r="X55" s="121">
        <v>7000</v>
      </c>
      <c r="Y55" s="121">
        <v>7000</v>
      </c>
      <c r="Z55" s="121">
        <v>14000</v>
      </c>
      <c r="AA55" s="121">
        <v>7000</v>
      </c>
      <c r="AB55" s="121">
        <v>7000</v>
      </c>
      <c r="AC55" s="121">
        <v>7000</v>
      </c>
      <c r="AD55" s="121">
        <v>7000</v>
      </c>
      <c r="AE55" s="121">
        <v>7000</v>
      </c>
      <c r="AF55" s="121">
        <f>7000+10000</f>
        <v>17000</v>
      </c>
      <c r="AG55" s="121">
        <v>7000</v>
      </c>
      <c r="AH55" s="121">
        <v>7000</v>
      </c>
      <c r="AI55" s="121">
        <v>7000</v>
      </c>
      <c r="AJ55" s="784">
        <f t="shared" si="7"/>
        <v>123000</v>
      </c>
      <c r="AK55" s="149">
        <f t="shared" si="2"/>
        <v>1.2732919254658386</v>
      </c>
      <c r="AL55" s="150">
        <f t="shared" si="8"/>
        <v>26400</v>
      </c>
      <c r="AM55" s="149">
        <f t="shared" si="3"/>
        <v>0.27329192546583853</v>
      </c>
      <c r="AN55" s="150">
        <f t="shared" si="4"/>
        <v>842900</v>
      </c>
      <c r="AO55" s="151">
        <f t="shared" si="5"/>
        <v>0.87265762501294131</v>
      </c>
      <c r="AP55" s="154">
        <f t="shared" si="9"/>
        <v>96600</v>
      </c>
      <c r="AQ55" s="154"/>
      <c r="AR55" s="786" t="str">
        <f t="shared" si="13"/>
        <v>Vendido</v>
      </c>
      <c r="AS55" s="786" t="str">
        <f t="shared" si="10"/>
        <v>Superávit de Enganche</v>
      </c>
      <c r="AT55" s="174">
        <v>19</v>
      </c>
      <c r="AU55" s="174">
        <f t="shared" si="11"/>
        <v>1</v>
      </c>
      <c r="AV55" s="174">
        <f t="shared" si="12"/>
        <v>20</v>
      </c>
      <c r="AW55" s="173">
        <v>4663</v>
      </c>
      <c r="AX55" s="786">
        <f t="shared" si="6"/>
        <v>0</v>
      </c>
      <c r="AY55" s="787">
        <f t="shared" si="14"/>
        <v>14</v>
      </c>
      <c r="AZ55" s="152"/>
      <c r="BA55" s="152"/>
    </row>
    <row r="56" spans="1:53" ht="15" customHeight="1" x14ac:dyDescent="0.25">
      <c r="A56" s="93"/>
      <c r="B56" s="164">
        <v>320</v>
      </c>
      <c r="C56" s="164" t="s">
        <v>366</v>
      </c>
      <c r="D56" s="165" t="s">
        <v>433</v>
      </c>
      <c r="E56" s="166">
        <v>45150</v>
      </c>
      <c r="F56" s="164" t="s">
        <v>184</v>
      </c>
      <c r="G56" s="164" t="s">
        <v>128</v>
      </c>
      <c r="H56" s="167">
        <v>980700</v>
      </c>
      <c r="I56" s="167">
        <v>98100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6000</v>
      </c>
      <c r="P56" s="121">
        <v>3684</v>
      </c>
      <c r="Q56" s="121">
        <v>3684</v>
      </c>
      <c r="R56" s="121">
        <v>3684</v>
      </c>
      <c r="S56" s="121">
        <v>3684</v>
      </c>
      <c r="T56" s="121">
        <v>3684</v>
      </c>
      <c r="U56" s="121">
        <v>3684</v>
      </c>
      <c r="V56" s="121">
        <v>3684</v>
      </c>
      <c r="W56" s="121">
        <v>3684</v>
      </c>
      <c r="X56" s="121">
        <v>3684</v>
      </c>
      <c r="Y56" s="121">
        <v>3684</v>
      </c>
      <c r="Z56" s="121">
        <v>3684</v>
      </c>
      <c r="AA56" s="121">
        <v>3684</v>
      </c>
      <c r="AB56" s="121">
        <v>3684</v>
      </c>
      <c r="AC56" s="121">
        <v>3684</v>
      </c>
      <c r="AD56" s="121">
        <v>3684</v>
      </c>
      <c r="AE56" s="121">
        <v>3684</v>
      </c>
      <c r="AF56" s="121">
        <v>3684</v>
      </c>
      <c r="AG56" s="121">
        <v>3684</v>
      </c>
      <c r="AH56" s="121">
        <v>3684</v>
      </c>
      <c r="AI56" s="121">
        <v>0</v>
      </c>
      <c r="AJ56" s="784">
        <f t="shared" si="7"/>
        <v>75996</v>
      </c>
      <c r="AK56" s="149">
        <f t="shared" si="2"/>
        <v>0.77467889908256882</v>
      </c>
      <c r="AL56" s="150">
        <f t="shared" si="8"/>
        <v>-22104</v>
      </c>
      <c r="AM56" s="149">
        <f t="shared" si="3"/>
        <v>-0.22532110091743118</v>
      </c>
      <c r="AN56" s="150">
        <f t="shared" si="4"/>
        <v>904704</v>
      </c>
      <c r="AO56" s="151">
        <f t="shared" si="5"/>
        <v>0.92250841235851944</v>
      </c>
      <c r="AP56" s="154">
        <f t="shared" si="9"/>
        <v>98100</v>
      </c>
      <c r="AQ56" s="154"/>
      <c r="AR56" s="786" t="str">
        <f t="shared" si="13"/>
        <v>Vendido</v>
      </c>
      <c r="AS56" s="786" t="str">
        <f t="shared" si="10"/>
        <v>Cliente Atrasado</v>
      </c>
      <c r="AT56" s="174">
        <v>25</v>
      </c>
      <c r="AU56" s="174">
        <f t="shared" si="11"/>
        <v>1</v>
      </c>
      <c r="AV56" s="174">
        <f t="shared" si="12"/>
        <v>26</v>
      </c>
      <c r="AW56" s="173">
        <v>3684</v>
      </c>
      <c r="AX56" s="786">
        <f t="shared" si="6"/>
        <v>19</v>
      </c>
      <c r="AY56" s="787">
        <f t="shared" si="14"/>
        <v>20</v>
      </c>
      <c r="AZ56" s="152"/>
      <c r="BA56" s="152"/>
    </row>
    <row r="57" spans="1:53" ht="15" customHeight="1" x14ac:dyDescent="0.25">
      <c r="A57" s="93"/>
      <c r="B57" s="164">
        <v>401</v>
      </c>
      <c r="C57" s="164" t="s">
        <v>366</v>
      </c>
      <c r="D57" s="165" t="s">
        <v>434</v>
      </c>
      <c r="E57" s="166">
        <v>45320</v>
      </c>
      <c r="F57" s="164" t="s">
        <v>412</v>
      </c>
      <c r="G57" s="164" t="s">
        <v>128</v>
      </c>
      <c r="H57" s="167">
        <v>1153800</v>
      </c>
      <c r="I57" s="167">
        <v>115400</v>
      </c>
      <c r="J57" s="121">
        <v>0</v>
      </c>
      <c r="K57" s="121">
        <v>0</v>
      </c>
      <c r="L57" s="121">
        <v>0</v>
      </c>
      <c r="M57" s="121">
        <v>0</v>
      </c>
      <c r="N57" s="121">
        <v>0</v>
      </c>
      <c r="O57" s="121">
        <v>0</v>
      </c>
      <c r="P57" s="121">
        <v>0</v>
      </c>
      <c r="Q57" s="121">
        <v>0</v>
      </c>
      <c r="R57" s="121">
        <v>0</v>
      </c>
      <c r="S57" s="121">
        <v>0</v>
      </c>
      <c r="T57" s="121">
        <v>8000</v>
      </c>
      <c r="U57" s="121">
        <v>5370</v>
      </c>
      <c r="V57" s="121">
        <v>5370</v>
      </c>
      <c r="W57" s="121">
        <v>10740</v>
      </c>
      <c r="X57" s="121">
        <v>0</v>
      </c>
      <c r="Y57" s="121">
        <v>5370</v>
      </c>
      <c r="Z57" s="121">
        <v>5370</v>
      </c>
      <c r="AA57" s="121">
        <v>5370</v>
      </c>
      <c r="AB57" s="121">
        <v>5370</v>
      </c>
      <c r="AC57" s="121">
        <v>5370</v>
      </c>
      <c r="AD57" s="121">
        <v>5370</v>
      </c>
      <c r="AE57" s="121">
        <v>5370</v>
      </c>
      <c r="AF57" s="121">
        <v>5370</v>
      </c>
      <c r="AG57" s="121">
        <v>5370</v>
      </c>
      <c r="AH57" s="121">
        <v>5370</v>
      </c>
      <c r="AI57" s="121">
        <v>5370</v>
      </c>
      <c r="AJ57" s="784">
        <f t="shared" si="7"/>
        <v>88550</v>
      </c>
      <c r="AK57" s="149">
        <f t="shared" si="2"/>
        <v>0.76733102253032925</v>
      </c>
      <c r="AL57" s="150">
        <f t="shared" si="8"/>
        <v>-26850</v>
      </c>
      <c r="AM57" s="149">
        <f t="shared" si="3"/>
        <v>-0.23266897746967072</v>
      </c>
      <c r="AN57" s="150">
        <f t="shared" si="4"/>
        <v>1065250</v>
      </c>
      <c r="AO57" s="151">
        <f t="shared" si="5"/>
        <v>0.92325359681053909</v>
      </c>
      <c r="AP57" s="154">
        <f t="shared" si="9"/>
        <v>115400</v>
      </c>
      <c r="AQ57" s="154"/>
      <c r="AR57" s="786" t="str">
        <f t="shared" si="13"/>
        <v>Vendido</v>
      </c>
      <c r="AS57" s="786" t="str">
        <f t="shared" si="10"/>
        <v>Cliente Atrasado</v>
      </c>
      <c r="AT57" s="174">
        <v>20</v>
      </c>
      <c r="AU57" s="174">
        <f t="shared" si="11"/>
        <v>1</v>
      </c>
      <c r="AV57" s="174">
        <f t="shared" si="12"/>
        <v>21</v>
      </c>
      <c r="AW57" s="173">
        <v>5370</v>
      </c>
      <c r="AX57" s="786">
        <f t="shared" si="6"/>
        <v>13</v>
      </c>
      <c r="AY57" s="787">
        <f t="shared" si="14"/>
        <v>15</v>
      </c>
      <c r="AZ57" s="152"/>
      <c r="BA57" s="152"/>
    </row>
    <row r="58" spans="1:53" ht="15" customHeight="1" x14ac:dyDescent="0.25">
      <c r="A58" s="93"/>
      <c r="B58" s="164">
        <v>402</v>
      </c>
      <c r="C58" s="164" t="s">
        <v>366</v>
      </c>
      <c r="D58" s="165" t="s">
        <v>435</v>
      </c>
      <c r="E58" s="166">
        <v>45263</v>
      </c>
      <c r="F58" s="164" t="s">
        <v>186</v>
      </c>
      <c r="G58" s="164" t="s">
        <v>128</v>
      </c>
      <c r="H58" s="167">
        <v>1151071.45</v>
      </c>
      <c r="I58" s="167">
        <v>115171.45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0</v>
      </c>
      <c r="R58" s="121">
        <v>0</v>
      </c>
      <c r="S58" s="121">
        <v>5500</v>
      </c>
      <c r="T58" s="121">
        <v>5219</v>
      </c>
      <c r="U58" s="121">
        <v>5225</v>
      </c>
      <c r="V58" s="121">
        <v>5222</v>
      </c>
      <c r="W58" s="121">
        <v>5222</v>
      </c>
      <c r="X58" s="121">
        <v>5222</v>
      </c>
      <c r="Y58" s="121">
        <v>5222</v>
      </c>
      <c r="Z58" s="121">
        <v>5222</v>
      </c>
      <c r="AA58" s="121">
        <v>5222</v>
      </c>
      <c r="AB58" s="121">
        <v>5222</v>
      </c>
      <c r="AC58" s="121">
        <v>5222</v>
      </c>
      <c r="AD58" s="121">
        <v>5222</v>
      </c>
      <c r="AE58" s="121">
        <v>5222</v>
      </c>
      <c r="AF58" s="121">
        <v>5222</v>
      </c>
      <c r="AG58" s="121">
        <v>5222</v>
      </c>
      <c r="AH58" s="121">
        <v>5222</v>
      </c>
      <c r="AI58" s="121">
        <v>0</v>
      </c>
      <c r="AJ58" s="784">
        <f t="shared" si="7"/>
        <v>83830</v>
      </c>
      <c r="AK58" s="149">
        <f t="shared" si="2"/>
        <v>0.7278713604803968</v>
      </c>
      <c r="AL58" s="150">
        <f t="shared" si="8"/>
        <v>-31341.449999999997</v>
      </c>
      <c r="AM58" s="149">
        <f t="shared" si="3"/>
        <v>-0.27212863951960314</v>
      </c>
      <c r="AN58" s="150">
        <f t="shared" si="4"/>
        <v>1067241.45</v>
      </c>
      <c r="AO58" s="151">
        <f t="shared" si="5"/>
        <v>0.92717220116961463</v>
      </c>
      <c r="AP58" s="154">
        <f t="shared" si="9"/>
        <v>115171.45</v>
      </c>
      <c r="AQ58" s="154"/>
      <c r="AR58" s="786" t="str">
        <f t="shared" si="13"/>
        <v>Vendido</v>
      </c>
      <c r="AS58" s="786" t="str">
        <f t="shared" si="10"/>
        <v>Cliente Atrasado</v>
      </c>
      <c r="AT58" s="174">
        <v>21</v>
      </c>
      <c r="AU58" s="174">
        <f t="shared" si="11"/>
        <v>1</v>
      </c>
      <c r="AV58" s="174">
        <f t="shared" si="12"/>
        <v>22</v>
      </c>
      <c r="AW58" s="173">
        <v>5222</v>
      </c>
      <c r="AX58" s="786">
        <f t="shared" si="6"/>
        <v>13</v>
      </c>
      <c r="AY58" s="787">
        <f t="shared" si="14"/>
        <v>16</v>
      </c>
      <c r="AZ58" s="152"/>
      <c r="BA58" s="152"/>
    </row>
    <row r="59" spans="1:53" x14ac:dyDescent="0.25">
      <c r="A59" s="93"/>
      <c r="B59" s="164">
        <v>403</v>
      </c>
      <c r="C59" s="164" t="s">
        <v>366</v>
      </c>
      <c r="D59" s="165" t="s">
        <v>436</v>
      </c>
      <c r="E59" s="166">
        <v>45158</v>
      </c>
      <c r="F59" s="164" t="s">
        <v>192</v>
      </c>
      <c r="G59" s="164" t="s">
        <v>128</v>
      </c>
      <c r="H59" s="167">
        <v>699700</v>
      </c>
      <c r="I59" s="167">
        <v>70000</v>
      </c>
      <c r="J59" s="121">
        <v>0</v>
      </c>
      <c r="K59" s="121">
        <v>0</v>
      </c>
      <c r="L59" s="121">
        <v>0</v>
      </c>
      <c r="M59" s="121">
        <v>0</v>
      </c>
      <c r="N59" s="121">
        <v>0</v>
      </c>
      <c r="O59" s="121">
        <v>6000</v>
      </c>
      <c r="P59" s="121">
        <v>2560</v>
      </c>
      <c r="Q59" s="121">
        <v>2560</v>
      </c>
      <c r="R59" s="121">
        <v>2560</v>
      </c>
      <c r="S59" s="121">
        <v>2560</v>
      </c>
      <c r="T59" s="121">
        <v>2560</v>
      </c>
      <c r="U59" s="121">
        <v>2560</v>
      </c>
      <c r="V59" s="121">
        <v>2560</v>
      </c>
      <c r="W59" s="121">
        <v>2560</v>
      </c>
      <c r="X59" s="121">
        <v>2560</v>
      </c>
      <c r="Y59" s="121">
        <v>2560</v>
      </c>
      <c r="Z59" s="121">
        <v>2560</v>
      </c>
      <c r="AA59" s="121">
        <v>2560</v>
      </c>
      <c r="AB59" s="121">
        <v>2560</v>
      </c>
      <c r="AC59" s="121">
        <v>2560</v>
      </c>
      <c r="AD59" s="121">
        <v>2560</v>
      </c>
      <c r="AE59" s="121">
        <v>2560</v>
      </c>
      <c r="AF59" s="121">
        <v>2560</v>
      </c>
      <c r="AG59" s="121">
        <v>2560</v>
      </c>
      <c r="AH59" s="121">
        <v>2560</v>
      </c>
      <c r="AI59" s="121">
        <v>0</v>
      </c>
      <c r="AJ59" s="784">
        <f t="shared" si="7"/>
        <v>54640</v>
      </c>
      <c r="AK59" s="149">
        <f t="shared" si="2"/>
        <v>0.78057142857142858</v>
      </c>
      <c r="AL59" s="150">
        <f t="shared" si="8"/>
        <v>-15360</v>
      </c>
      <c r="AM59" s="149">
        <f t="shared" si="3"/>
        <v>-0.21942857142857142</v>
      </c>
      <c r="AN59" s="150">
        <f t="shared" si="4"/>
        <v>645060</v>
      </c>
      <c r="AO59" s="151">
        <f t="shared" si="5"/>
        <v>0.92190938973845937</v>
      </c>
      <c r="AP59" s="154">
        <f t="shared" si="9"/>
        <v>70000</v>
      </c>
      <c r="AQ59" s="154"/>
      <c r="AR59" s="786" t="str">
        <f t="shared" si="13"/>
        <v>Vendido</v>
      </c>
      <c r="AS59" s="786" t="str">
        <f t="shared" si="10"/>
        <v>Cliente Atrasado</v>
      </c>
      <c r="AT59" s="174">
        <v>25</v>
      </c>
      <c r="AU59" s="174">
        <f t="shared" si="11"/>
        <v>1</v>
      </c>
      <c r="AV59" s="174">
        <f t="shared" si="12"/>
        <v>26</v>
      </c>
      <c r="AW59" s="173">
        <v>2560</v>
      </c>
      <c r="AX59" s="786">
        <f t="shared" si="6"/>
        <v>19</v>
      </c>
      <c r="AY59" s="787">
        <f t="shared" si="14"/>
        <v>20</v>
      </c>
      <c r="AZ59" s="152"/>
      <c r="BA59" s="152"/>
    </row>
    <row r="60" spans="1:53" x14ac:dyDescent="0.25">
      <c r="A60" s="93"/>
      <c r="B60" s="164">
        <v>404</v>
      </c>
      <c r="C60" s="164" t="s">
        <v>383</v>
      </c>
      <c r="D60" s="165" t="s">
        <v>437</v>
      </c>
      <c r="E60" s="166">
        <v>45230</v>
      </c>
      <c r="F60" s="164" t="s">
        <v>198</v>
      </c>
      <c r="G60" s="164" t="s">
        <v>128</v>
      </c>
      <c r="H60" s="167">
        <v>721100</v>
      </c>
      <c r="I60" s="167">
        <v>72200</v>
      </c>
      <c r="J60" s="121">
        <v>0</v>
      </c>
      <c r="K60" s="121">
        <v>0</v>
      </c>
      <c r="L60" s="121">
        <v>0</v>
      </c>
      <c r="M60" s="121">
        <v>0</v>
      </c>
      <c r="N60" s="121">
        <v>0</v>
      </c>
      <c r="O60" s="121">
        <v>0</v>
      </c>
      <c r="P60" s="121">
        <v>0</v>
      </c>
      <c r="Q60" s="121">
        <v>8000</v>
      </c>
      <c r="R60" s="121">
        <v>2791</v>
      </c>
      <c r="S60" s="121">
        <v>2791</v>
      </c>
      <c r="T60" s="121">
        <v>2791</v>
      </c>
      <c r="U60" s="121">
        <v>2791</v>
      </c>
      <c r="V60" s="121">
        <v>2791</v>
      </c>
      <c r="W60" s="121">
        <v>5582</v>
      </c>
      <c r="X60" s="121">
        <v>0</v>
      </c>
      <c r="Y60" s="121">
        <v>2791</v>
      </c>
      <c r="Z60" s="121">
        <v>2791</v>
      </c>
      <c r="AA60" s="121">
        <v>5582</v>
      </c>
      <c r="AB60" s="121">
        <v>0</v>
      </c>
      <c r="AC60" s="121">
        <v>2791</v>
      </c>
      <c r="AD60" s="121">
        <v>2791</v>
      </c>
      <c r="AE60" s="121">
        <v>0</v>
      </c>
      <c r="AF60" s="121">
        <v>2791</v>
      </c>
      <c r="AG60" s="121">
        <v>2791</v>
      </c>
      <c r="AH60" s="121">
        <v>2791</v>
      </c>
      <c r="AI60" s="121">
        <v>2791</v>
      </c>
      <c r="AJ60" s="784">
        <f t="shared" si="7"/>
        <v>55447</v>
      </c>
      <c r="AK60" s="149">
        <f t="shared" si="2"/>
        <v>0.76796398891966755</v>
      </c>
      <c r="AL60" s="150">
        <f t="shared" si="8"/>
        <v>-16753</v>
      </c>
      <c r="AM60" s="149">
        <f t="shared" si="3"/>
        <v>-0.23203601108033242</v>
      </c>
      <c r="AN60" s="150">
        <f t="shared" si="4"/>
        <v>665653</v>
      </c>
      <c r="AO60" s="151">
        <f t="shared" si="5"/>
        <v>0.92310775204548601</v>
      </c>
      <c r="AP60" s="154">
        <f t="shared" si="9"/>
        <v>72200</v>
      </c>
      <c r="AQ60" s="154"/>
      <c r="AR60" s="786" t="str">
        <f t="shared" si="13"/>
        <v>Vendido</v>
      </c>
      <c r="AS60" s="786" t="str">
        <f t="shared" si="10"/>
        <v>Cliente Atrasado</v>
      </c>
      <c r="AT60" s="174">
        <v>23</v>
      </c>
      <c r="AU60" s="174">
        <f t="shared" si="11"/>
        <v>1</v>
      </c>
      <c r="AV60" s="174">
        <f t="shared" si="12"/>
        <v>24</v>
      </c>
      <c r="AW60" s="173">
        <v>2791</v>
      </c>
      <c r="AX60" s="786">
        <f t="shared" si="6"/>
        <v>13</v>
      </c>
      <c r="AY60" s="787">
        <f t="shared" si="14"/>
        <v>17</v>
      </c>
      <c r="AZ60" s="152"/>
      <c r="BA60" s="152"/>
    </row>
    <row r="61" spans="1:53" x14ac:dyDescent="0.25">
      <c r="A61" s="93"/>
      <c r="B61" s="164">
        <v>405</v>
      </c>
      <c r="C61" s="164" t="s">
        <v>366</v>
      </c>
      <c r="D61" s="165" t="s">
        <v>750</v>
      </c>
      <c r="E61" s="166">
        <v>45731</v>
      </c>
      <c r="F61" s="164" t="s">
        <v>391</v>
      </c>
      <c r="G61" s="164" t="s">
        <v>137</v>
      </c>
      <c r="H61" s="167">
        <v>1112465.60916772</v>
      </c>
      <c r="I61" s="167">
        <v>111265.61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v>0</v>
      </c>
      <c r="U61" s="121">
        <v>0</v>
      </c>
      <c r="V61" s="121">
        <v>0</v>
      </c>
      <c r="W61" s="121">
        <v>0</v>
      </c>
      <c r="X61" s="121">
        <v>0</v>
      </c>
      <c r="Y61" s="121">
        <v>0</v>
      </c>
      <c r="Z61" s="121">
        <v>0</v>
      </c>
      <c r="AA61" s="121">
        <v>0</v>
      </c>
      <c r="AB61" s="121">
        <v>0</v>
      </c>
      <c r="AC61" s="121">
        <v>0</v>
      </c>
      <c r="AD61" s="121">
        <v>0</v>
      </c>
      <c r="AE61" s="121">
        <v>0</v>
      </c>
      <c r="AF61" s="121">
        <v>0</v>
      </c>
      <c r="AG61" s="121">
        <v>0</v>
      </c>
      <c r="AH61" s="121">
        <v>10000</v>
      </c>
      <c r="AI61" s="121">
        <v>0</v>
      </c>
      <c r="AJ61" s="784">
        <f t="shared" si="7"/>
        <v>10000</v>
      </c>
      <c r="AK61" s="149">
        <f t="shared" si="2"/>
        <v>8.9875029669994166E-2</v>
      </c>
      <c r="AL61" s="150">
        <f t="shared" si="8"/>
        <v>-101265.61</v>
      </c>
      <c r="AM61" s="149">
        <f t="shared" si="3"/>
        <v>-0.91012497033000583</v>
      </c>
      <c r="AN61" s="150">
        <f t="shared" si="4"/>
        <v>1102465.60916772</v>
      </c>
      <c r="AO61" s="151">
        <f t="shared" si="5"/>
        <v>0.99101095807583539</v>
      </c>
      <c r="AP61" s="154">
        <f t="shared" si="9"/>
        <v>111265.61</v>
      </c>
      <c r="AQ61" s="154"/>
      <c r="AR61" s="786" t="str">
        <f t="shared" si="13"/>
        <v>Vendido</v>
      </c>
      <c r="AS61" s="786" t="str">
        <f t="shared" si="10"/>
        <v>Cliente Atrasado</v>
      </c>
      <c r="AT61" s="174"/>
      <c r="AU61" s="174">
        <f t="shared" si="11"/>
        <v>0</v>
      </c>
      <c r="AV61" s="174">
        <f t="shared" si="12"/>
        <v>0</v>
      </c>
      <c r="AW61" s="173"/>
      <c r="AX61" s="786">
        <f t="shared" si="6"/>
        <v>25</v>
      </c>
      <c r="AY61" s="787">
        <f t="shared" si="14"/>
        <v>1</v>
      </c>
      <c r="AZ61" s="152"/>
      <c r="BA61" s="152"/>
    </row>
    <row r="62" spans="1:53" x14ac:dyDescent="0.25">
      <c r="A62" s="93"/>
      <c r="B62" s="164">
        <v>406</v>
      </c>
      <c r="C62" s="164"/>
      <c r="D62" s="165"/>
      <c r="E62" s="166"/>
      <c r="F62" s="164" t="s">
        <v>194</v>
      </c>
      <c r="G62" s="164" t="s">
        <v>374</v>
      </c>
      <c r="H62" s="167">
        <v>1104047.5824877301</v>
      </c>
      <c r="I62" s="167">
        <f>+H62*0.1</f>
        <v>110404.75824877301</v>
      </c>
      <c r="J62" s="121">
        <v>0</v>
      </c>
      <c r="K62" s="121">
        <v>0</v>
      </c>
      <c r="L62" s="121">
        <v>0</v>
      </c>
      <c r="M62" s="121">
        <v>0</v>
      </c>
      <c r="N62" s="121">
        <v>0</v>
      </c>
      <c r="O62" s="121">
        <v>0</v>
      </c>
      <c r="P62" s="121">
        <v>0</v>
      </c>
      <c r="Q62" s="121">
        <v>0</v>
      </c>
      <c r="R62" s="121">
        <v>0</v>
      </c>
      <c r="S62" s="121">
        <v>0</v>
      </c>
      <c r="T62" s="121">
        <v>0</v>
      </c>
      <c r="U62" s="121">
        <v>0</v>
      </c>
      <c r="V62" s="121">
        <v>0</v>
      </c>
      <c r="W62" s="121">
        <v>0</v>
      </c>
      <c r="X62" s="121">
        <v>0</v>
      </c>
      <c r="Y62" s="121">
        <v>0</v>
      </c>
      <c r="Z62" s="121">
        <v>0</v>
      </c>
      <c r="AA62" s="121">
        <v>0</v>
      </c>
      <c r="AB62" s="121">
        <v>0</v>
      </c>
      <c r="AC62" s="121">
        <v>0</v>
      </c>
      <c r="AD62" s="121">
        <v>0</v>
      </c>
      <c r="AE62" s="121">
        <v>0</v>
      </c>
      <c r="AF62" s="121">
        <v>0</v>
      </c>
      <c r="AG62" s="121">
        <v>0</v>
      </c>
      <c r="AH62" s="121">
        <v>0</v>
      </c>
      <c r="AI62" s="121">
        <v>0</v>
      </c>
      <c r="AJ62" s="784">
        <f t="shared" si="7"/>
        <v>0</v>
      </c>
      <c r="AK62" s="149">
        <f t="shared" si="2"/>
        <v>0</v>
      </c>
      <c r="AL62" s="150">
        <f t="shared" si="8"/>
        <v>0</v>
      </c>
      <c r="AM62" s="149">
        <f t="shared" si="3"/>
        <v>0</v>
      </c>
      <c r="AN62" s="150">
        <f t="shared" si="4"/>
        <v>1104047.5824877301</v>
      </c>
      <c r="AO62" s="151">
        <f t="shared" si="5"/>
        <v>1</v>
      </c>
      <c r="AP62" s="154">
        <f t="shared" si="9"/>
        <v>0</v>
      </c>
      <c r="AQ62" s="154"/>
      <c r="AR62" s="786" t="str">
        <f t="shared" si="13"/>
        <v>Apartamento Disponible</v>
      </c>
      <c r="AS62" s="786" t="str">
        <f t="shared" si="10"/>
        <v>Disponible</v>
      </c>
      <c r="AT62" s="174"/>
      <c r="AU62" s="174">
        <f t="shared" si="11"/>
        <v>0</v>
      </c>
      <c r="AV62" s="174">
        <f t="shared" si="12"/>
        <v>0</v>
      </c>
      <c r="AW62" s="173"/>
      <c r="AX62" s="786">
        <f t="shared" si="6"/>
        <v>26</v>
      </c>
      <c r="AY62" s="787">
        <f t="shared" si="14"/>
        <v>1503</v>
      </c>
      <c r="AZ62" s="152"/>
      <c r="BA62" s="152"/>
    </row>
    <row r="63" spans="1:53" x14ac:dyDescent="0.25">
      <c r="A63" s="93"/>
      <c r="B63" s="164">
        <v>407</v>
      </c>
      <c r="C63" s="164"/>
      <c r="D63" s="165"/>
      <c r="E63" s="166"/>
      <c r="F63" s="164" t="s">
        <v>393</v>
      </c>
      <c r="G63" s="164" t="s">
        <v>374</v>
      </c>
      <c r="H63" s="167">
        <v>1056462.34833836</v>
      </c>
      <c r="I63" s="167">
        <f>+H63*0.1</f>
        <v>105646.234833836</v>
      </c>
      <c r="J63" s="121">
        <v>0</v>
      </c>
      <c r="K63" s="121">
        <v>0</v>
      </c>
      <c r="L63" s="121">
        <v>0</v>
      </c>
      <c r="M63" s="121">
        <v>0</v>
      </c>
      <c r="N63" s="121">
        <v>0</v>
      </c>
      <c r="O63" s="121">
        <v>0</v>
      </c>
      <c r="P63" s="121">
        <v>0</v>
      </c>
      <c r="Q63" s="121">
        <v>0</v>
      </c>
      <c r="R63" s="121">
        <v>0</v>
      </c>
      <c r="S63" s="121">
        <v>0</v>
      </c>
      <c r="T63" s="121">
        <v>0</v>
      </c>
      <c r="U63" s="121">
        <v>0</v>
      </c>
      <c r="V63" s="121">
        <v>0</v>
      </c>
      <c r="W63" s="121">
        <v>0</v>
      </c>
      <c r="X63" s="121">
        <v>0</v>
      </c>
      <c r="Y63" s="121">
        <v>0</v>
      </c>
      <c r="Z63" s="121">
        <v>0</v>
      </c>
      <c r="AA63" s="121">
        <v>0</v>
      </c>
      <c r="AB63" s="121">
        <v>0</v>
      </c>
      <c r="AC63" s="121">
        <v>0</v>
      </c>
      <c r="AD63" s="121">
        <v>0</v>
      </c>
      <c r="AE63" s="121">
        <v>0</v>
      </c>
      <c r="AF63" s="121">
        <v>0</v>
      </c>
      <c r="AG63" s="121">
        <v>0</v>
      </c>
      <c r="AH63" s="121">
        <v>0</v>
      </c>
      <c r="AI63" s="121">
        <v>0</v>
      </c>
      <c r="AJ63" s="784">
        <f t="shared" si="7"/>
        <v>0</v>
      </c>
      <c r="AK63" s="149">
        <f t="shared" si="2"/>
        <v>0</v>
      </c>
      <c r="AL63" s="150">
        <f t="shared" si="8"/>
        <v>0</v>
      </c>
      <c r="AM63" s="149">
        <f t="shared" si="3"/>
        <v>0</v>
      </c>
      <c r="AN63" s="150">
        <f t="shared" si="4"/>
        <v>1056462.34833836</v>
      </c>
      <c r="AO63" s="151">
        <f t="shared" si="5"/>
        <v>1</v>
      </c>
      <c r="AP63" s="154">
        <f t="shared" si="9"/>
        <v>0</v>
      </c>
      <c r="AQ63" s="154"/>
      <c r="AR63" s="786" t="str">
        <f t="shared" si="13"/>
        <v>Apartamento Disponible</v>
      </c>
      <c r="AS63" s="786" t="str">
        <f t="shared" si="10"/>
        <v>Disponible</v>
      </c>
      <c r="AT63" s="174"/>
      <c r="AU63" s="174">
        <f t="shared" si="11"/>
        <v>0</v>
      </c>
      <c r="AV63" s="174">
        <f t="shared" si="12"/>
        <v>0</v>
      </c>
      <c r="AW63" s="173"/>
      <c r="AX63" s="786">
        <f t="shared" si="6"/>
        <v>26</v>
      </c>
      <c r="AY63" s="787">
        <f t="shared" si="14"/>
        <v>1503</v>
      </c>
      <c r="AZ63" s="152"/>
      <c r="BA63" s="152"/>
    </row>
    <row r="64" spans="1:53" x14ac:dyDescent="0.25">
      <c r="A64" s="93"/>
      <c r="B64" s="164">
        <v>408</v>
      </c>
      <c r="C64" s="164" t="s">
        <v>366</v>
      </c>
      <c r="D64" s="165" t="s">
        <v>442</v>
      </c>
      <c r="E64" s="166">
        <v>45335</v>
      </c>
      <c r="F64" s="164" t="s">
        <v>172</v>
      </c>
      <c r="G64" s="164" t="s">
        <v>128</v>
      </c>
      <c r="H64" s="167">
        <v>883300</v>
      </c>
      <c r="I64" s="167">
        <v>88400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21">
        <v>0</v>
      </c>
      <c r="Q64" s="121">
        <v>0</v>
      </c>
      <c r="R64" s="121">
        <v>0</v>
      </c>
      <c r="S64" s="121">
        <v>0</v>
      </c>
      <c r="T64" s="121">
        <v>0</v>
      </c>
      <c r="U64" s="121">
        <v>8000</v>
      </c>
      <c r="V64" s="121">
        <v>0</v>
      </c>
      <c r="W64" s="121">
        <v>0</v>
      </c>
      <c r="X64" s="121">
        <v>0</v>
      </c>
      <c r="Y64" s="121">
        <v>0</v>
      </c>
      <c r="Z64" s="121">
        <v>0</v>
      </c>
      <c r="AA64" s="121">
        <v>0</v>
      </c>
      <c r="AB64" s="121">
        <v>0</v>
      </c>
      <c r="AC64" s="121">
        <v>0</v>
      </c>
      <c r="AD64" s="121">
        <v>0</v>
      </c>
      <c r="AE64" s="121">
        <v>0</v>
      </c>
      <c r="AF64" s="121">
        <v>0</v>
      </c>
      <c r="AG64" s="121">
        <v>0</v>
      </c>
      <c r="AH64" s="121">
        <v>0</v>
      </c>
      <c r="AI64" s="121">
        <v>0</v>
      </c>
      <c r="AJ64" s="784">
        <f t="shared" si="7"/>
        <v>8000</v>
      </c>
      <c r="AK64" s="149">
        <f t="shared" si="2"/>
        <v>9.0497737556561084E-2</v>
      </c>
      <c r="AL64" s="150">
        <f t="shared" si="8"/>
        <v>-80400</v>
      </c>
      <c r="AM64" s="149">
        <f t="shared" si="3"/>
        <v>-0.9095022624434389</v>
      </c>
      <c r="AN64" s="150">
        <f t="shared" si="4"/>
        <v>875300</v>
      </c>
      <c r="AO64" s="151">
        <f t="shared" si="5"/>
        <v>0.99094305445488506</v>
      </c>
      <c r="AP64" s="154">
        <f t="shared" si="9"/>
        <v>88400</v>
      </c>
      <c r="AQ64" s="154"/>
      <c r="AR64" s="786" t="str">
        <f t="shared" si="13"/>
        <v>Vendido</v>
      </c>
      <c r="AS64" s="786" t="str">
        <f t="shared" si="10"/>
        <v>Cliente Atrasado</v>
      </c>
      <c r="AT64" s="174">
        <v>19</v>
      </c>
      <c r="AU64" s="174">
        <f t="shared" si="11"/>
        <v>1</v>
      </c>
      <c r="AV64" s="174">
        <f t="shared" si="12"/>
        <v>20</v>
      </c>
      <c r="AW64" s="173">
        <v>4232</v>
      </c>
      <c r="AX64" s="786">
        <f t="shared" si="6"/>
        <v>0</v>
      </c>
      <c r="AY64" s="787">
        <f t="shared" si="14"/>
        <v>14</v>
      </c>
      <c r="AZ64" s="152"/>
      <c r="BA64" s="152"/>
    </row>
    <row r="65" spans="1:53" x14ac:dyDescent="0.25">
      <c r="A65" s="93"/>
      <c r="B65" s="164">
        <v>409</v>
      </c>
      <c r="C65" s="164" t="s">
        <v>366</v>
      </c>
      <c r="D65" s="165" t="s">
        <v>444</v>
      </c>
      <c r="E65" s="166">
        <v>45512</v>
      </c>
      <c r="F65" s="164" t="s">
        <v>395</v>
      </c>
      <c r="G65" s="164" t="s">
        <v>128</v>
      </c>
      <c r="H65" s="167">
        <v>1341690</v>
      </c>
      <c r="I65" s="167">
        <v>134190</v>
      </c>
      <c r="J65" s="121">
        <v>0</v>
      </c>
      <c r="K65" s="121">
        <v>0</v>
      </c>
      <c r="L65" s="121">
        <v>0</v>
      </c>
      <c r="M65" s="121">
        <v>0</v>
      </c>
      <c r="N65" s="121">
        <v>0</v>
      </c>
      <c r="O65" s="121">
        <v>0</v>
      </c>
      <c r="P65" s="121">
        <v>0</v>
      </c>
      <c r="Q65" s="121">
        <v>0</v>
      </c>
      <c r="R65" s="121">
        <v>0</v>
      </c>
      <c r="S65" s="121">
        <v>0</v>
      </c>
      <c r="T65" s="121">
        <v>0</v>
      </c>
      <c r="U65" s="121">
        <v>0</v>
      </c>
      <c r="V65" s="121">
        <v>0</v>
      </c>
      <c r="W65" s="121">
        <v>0</v>
      </c>
      <c r="X65" s="121">
        <v>0</v>
      </c>
      <c r="Y65" s="121">
        <v>0</v>
      </c>
      <c r="Z65" s="121">
        <v>0</v>
      </c>
      <c r="AA65" s="121">
        <v>10000</v>
      </c>
      <c r="AB65" s="121">
        <v>7800</v>
      </c>
      <c r="AC65" s="121">
        <v>8000</v>
      </c>
      <c r="AD65" s="121">
        <v>8200</v>
      </c>
      <c r="AE65" s="121">
        <f>8000+8000</f>
        <v>16000</v>
      </c>
      <c r="AF65" s="121">
        <v>0</v>
      </c>
      <c r="AG65" s="121">
        <v>8000</v>
      </c>
      <c r="AH65" s="121">
        <v>8000</v>
      </c>
      <c r="AI65" s="121">
        <v>0</v>
      </c>
      <c r="AJ65" s="784">
        <f t="shared" si="7"/>
        <v>66000</v>
      </c>
      <c r="AK65" s="149">
        <f t="shared" si="2"/>
        <v>0.49183992845964675</v>
      </c>
      <c r="AL65" s="150">
        <f t="shared" si="8"/>
        <v>-68190</v>
      </c>
      <c r="AM65" s="149">
        <f t="shared" si="3"/>
        <v>-0.50816007154035325</v>
      </c>
      <c r="AN65" s="150">
        <f t="shared" si="4"/>
        <v>1275690</v>
      </c>
      <c r="AO65" s="151">
        <f t="shared" si="5"/>
        <v>0.95080830892381996</v>
      </c>
      <c r="AP65" s="154">
        <f t="shared" si="9"/>
        <v>134190</v>
      </c>
      <c r="AQ65" s="154"/>
      <c r="AR65" s="786" t="str">
        <f t="shared" si="13"/>
        <v>Vendido</v>
      </c>
      <c r="AS65" s="786" t="str">
        <f t="shared" si="10"/>
        <v>Cliente Atrasado</v>
      </c>
      <c r="AT65" s="174">
        <v>16</v>
      </c>
      <c r="AU65" s="174">
        <f t="shared" si="11"/>
        <v>1</v>
      </c>
      <c r="AV65" s="174">
        <f t="shared" si="12"/>
        <v>17</v>
      </c>
      <c r="AW65" s="173">
        <v>7800</v>
      </c>
      <c r="AX65" s="786">
        <f t="shared" si="6"/>
        <v>1</v>
      </c>
      <c r="AY65" s="787">
        <f t="shared" si="14"/>
        <v>8</v>
      </c>
      <c r="AZ65" s="152"/>
      <c r="BA65" s="152"/>
    </row>
    <row r="66" spans="1:53" x14ac:dyDescent="0.25">
      <c r="A66" s="93"/>
      <c r="B66" s="164">
        <v>410</v>
      </c>
      <c r="C66" s="164"/>
      <c r="D66" s="165"/>
      <c r="E66" s="166"/>
      <c r="F66" s="164" t="s">
        <v>397</v>
      </c>
      <c r="G66" s="164" t="s">
        <v>374</v>
      </c>
      <c r="H66" s="167">
        <v>1021234.48252095</v>
      </c>
      <c r="I66" s="167">
        <f>+H66*0.1</f>
        <v>102123.44825209501</v>
      </c>
      <c r="J66" s="121">
        <v>0</v>
      </c>
      <c r="K66" s="121">
        <v>0</v>
      </c>
      <c r="L66" s="121">
        <v>0</v>
      </c>
      <c r="M66" s="121">
        <v>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v>0</v>
      </c>
      <c r="U66" s="121">
        <v>0</v>
      </c>
      <c r="V66" s="121">
        <v>0</v>
      </c>
      <c r="W66" s="121">
        <v>0</v>
      </c>
      <c r="X66" s="121">
        <v>0</v>
      </c>
      <c r="Y66" s="121">
        <v>0</v>
      </c>
      <c r="Z66" s="121">
        <v>0</v>
      </c>
      <c r="AA66" s="121">
        <v>0</v>
      </c>
      <c r="AB66" s="121">
        <v>0</v>
      </c>
      <c r="AC66" s="121">
        <v>0</v>
      </c>
      <c r="AD66" s="121">
        <v>0</v>
      </c>
      <c r="AE66" s="121">
        <v>0</v>
      </c>
      <c r="AF66" s="121">
        <v>0</v>
      </c>
      <c r="AG66" s="121">
        <v>0</v>
      </c>
      <c r="AH66" s="121">
        <v>0</v>
      </c>
      <c r="AI66" s="121">
        <v>0</v>
      </c>
      <c r="AJ66" s="784">
        <f t="shared" si="7"/>
        <v>0</v>
      </c>
      <c r="AK66" s="149">
        <f t="shared" si="2"/>
        <v>0</v>
      </c>
      <c r="AL66" s="150">
        <f t="shared" si="8"/>
        <v>0</v>
      </c>
      <c r="AM66" s="149">
        <f t="shared" si="3"/>
        <v>0</v>
      </c>
      <c r="AN66" s="150">
        <f t="shared" si="4"/>
        <v>1021234.48252095</v>
      </c>
      <c r="AO66" s="151">
        <f t="shared" si="5"/>
        <v>1</v>
      </c>
      <c r="AP66" s="154">
        <f t="shared" si="9"/>
        <v>0</v>
      </c>
      <c r="AQ66" s="154"/>
      <c r="AR66" s="786" t="str">
        <f t="shared" si="13"/>
        <v>Apartamento Disponible</v>
      </c>
      <c r="AS66" s="786" t="str">
        <f t="shared" si="10"/>
        <v>Disponible</v>
      </c>
      <c r="AT66" s="174"/>
      <c r="AU66" s="174">
        <f t="shared" si="11"/>
        <v>0</v>
      </c>
      <c r="AV66" s="174">
        <f t="shared" si="12"/>
        <v>0</v>
      </c>
      <c r="AW66" s="173"/>
      <c r="AX66" s="786">
        <f t="shared" si="6"/>
        <v>26</v>
      </c>
      <c r="AY66" s="787">
        <f t="shared" si="14"/>
        <v>1503</v>
      </c>
      <c r="AZ66" s="152"/>
      <c r="BA66" s="152"/>
    </row>
    <row r="67" spans="1:53" x14ac:dyDescent="0.25">
      <c r="A67" s="93"/>
      <c r="B67" s="164">
        <v>411</v>
      </c>
      <c r="C67" s="164"/>
      <c r="D67" s="165"/>
      <c r="E67" s="166"/>
      <c r="F67" s="164" t="s">
        <v>398</v>
      </c>
      <c r="G67" s="164" t="s">
        <v>374</v>
      </c>
      <c r="H67" s="167">
        <v>1414228.48223781</v>
      </c>
      <c r="I67" s="167">
        <f>+H67*0.1</f>
        <v>141422.84822378101</v>
      </c>
      <c r="J67" s="121">
        <v>0</v>
      </c>
      <c r="K67" s="121">
        <v>0</v>
      </c>
      <c r="L67" s="121">
        <v>0</v>
      </c>
      <c r="M67" s="121">
        <v>0</v>
      </c>
      <c r="N67" s="121">
        <v>0</v>
      </c>
      <c r="O67" s="121">
        <v>0</v>
      </c>
      <c r="P67" s="121">
        <v>0</v>
      </c>
      <c r="Q67" s="121">
        <v>0</v>
      </c>
      <c r="R67" s="121">
        <v>0</v>
      </c>
      <c r="S67" s="121">
        <v>0</v>
      </c>
      <c r="T67" s="121">
        <v>0</v>
      </c>
      <c r="U67" s="121">
        <v>0</v>
      </c>
      <c r="V67" s="121">
        <v>0</v>
      </c>
      <c r="W67" s="121">
        <v>0</v>
      </c>
      <c r="X67" s="121">
        <v>0</v>
      </c>
      <c r="Y67" s="121">
        <v>0</v>
      </c>
      <c r="Z67" s="121">
        <v>0</v>
      </c>
      <c r="AA67" s="121">
        <v>0</v>
      </c>
      <c r="AB67" s="121">
        <v>0</v>
      </c>
      <c r="AC67" s="121">
        <v>0</v>
      </c>
      <c r="AD67" s="121">
        <v>0</v>
      </c>
      <c r="AE67" s="121">
        <v>0</v>
      </c>
      <c r="AF67" s="121">
        <v>0</v>
      </c>
      <c r="AG67" s="121">
        <v>0</v>
      </c>
      <c r="AH67" s="121">
        <v>0</v>
      </c>
      <c r="AI67" s="121">
        <v>0</v>
      </c>
      <c r="AJ67" s="784">
        <f t="shared" si="7"/>
        <v>0</v>
      </c>
      <c r="AK67" s="149">
        <f t="shared" si="2"/>
        <v>0</v>
      </c>
      <c r="AL67" s="150">
        <f t="shared" si="8"/>
        <v>0</v>
      </c>
      <c r="AM67" s="149">
        <f t="shared" si="3"/>
        <v>0</v>
      </c>
      <c r="AN67" s="150">
        <f t="shared" si="4"/>
        <v>1414228.48223781</v>
      </c>
      <c r="AO67" s="151">
        <f t="shared" si="5"/>
        <v>1</v>
      </c>
      <c r="AP67" s="154">
        <f t="shared" si="9"/>
        <v>0</v>
      </c>
      <c r="AQ67" s="154"/>
      <c r="AR67" s="786" t="str">
        <f t="shared" si="13"/>
        <v>Apartamento Disponible</v>
      </c>
      <c r="AS67" s="786" t="str">
        <f t="shared" si="10"/>
        <v>Disponible</v>
      </c>
      <c r="AT67" s="174"/>
      <c r="AU67" s="174">
        <f t="shared" si="11"/>
        <v>0</v>
      </c>
      <c r="AV67" s="174">
        <f t="shared" si="12"/>
        <v>0</v>
      </c>
      <c r="AW67" s="173"/>
      <c r="AX67" s="786">
        <f t="shared" si="6"/>
        <v>26</v>
      </c>
      <c r="AY67" s="787">
        <f t="shared" si="14"/>
        <v>1503</v>
      </c>
      <c r="AZ67" s="152"/>
      <c r="BA67" s="152"/>
    </row>
    <row r="68" spans="1:53" x14ac:dyDescent="0.25">
      <c r="A68" s="93"/>
      <c r="B68" s="164">
        <v>412</v>
      </c>
      <c r="C68" s="164"/>
      <c r="D68" s="165"/>
      <c r="E68" s="166"/>
      <c r="F68" s="164" t="s">
        <v>399</v>
      </c>
      <c r="G68" s="164" t="s">
        <v>374</v>
      </c>
      <c r="H68" s="167">
        <v>1414462.31631225</v>
      </c>
      <c r="I68" s="167">
        <f>+H68*0.1</f>
        <v>141446.231631225</v>
      </c>
      <c r="J68" s="121">
        <v>0</v>
      </c>
      <c r="K68" s="121">
        <v>0</v>
      </c>
      <c r="L68" s="121">
        <v>0</v>
      </c>
      <c r="M68" s="121">
        <v>0</v>
      </c>
      <c r="N68" s="121">
        <v>0</v>
      </c>
      <c r="O68" s="121">
        <v>0</v>
      </c>
      <c r="P68" s="121">
        <v>0</v>
      </c>
      <c r="Q68" s="121">
        <v>0</v>
      </c>
      <c r="R68" s="121">
        <v>0</v>
      </c>
      <c r="S68" s="121">
        <v>0</v>
      </c>
      <c r="T68" s="121">
        <v>0</v>
      </c>
      <c r="U68" s="121">
        <v>0</v>
      </c>
      <c r="V68" s="121">
        <v>0</v>
      </c>
      <c r="W68" s="121">
        <v>0</v>
      </c>
      <c r="X68" s="121">
        <v>0</v>
      </c>
      <c r="Y68" s="121">
        <v>0</v>
      </c>
      <c r="Z68" s="121">
        <v>0</v>
      </c>
      <c r="AA68" s="121">
        <v>0</v>
      </c>
      <c r="AB68" s="121">
        <v>0</v>
      </c>
      <c r="AC68" s="121">
        <v>0</v>
      </c>
      <c r="AD68" s="121">
        <v>0</v>
      </c>
      <c r="AE68" s="121">
        <v>0</v>
      </c>
      <c r="AF68" s="121">
        <v>0</v>
      </c>
      <c r="AG68" s="121">
        <v>0</v>
      </c>
      <c r="AH68" s="121">
        <v>0</v>
      </c>
      <c r="AI68" s="121">
        <v>0</v>
      </c>
      <c r="AJ68" s="784">
        <f t="shared" si="7"/>
        <v>0</v>
      </c>
      <c r="AK68" s="149">
        <f t="shared" si="2"/>
        <v>0</v>
      </c>
      <c r="AL68" s="150">
        <f t="shared" si="8"/>
        <v>0</v>
      </c>
      <c r="AM68" s="149">
        <f t="shared" si="3"/>
        <v>0</v>
      </c>
      <c r="AN68" s="150">
        <f t="shared" si="4"/>
        <v>1414462.31631225</v>
      </c>
      <c r="AO68" s="151">
        <f t="shared" si="5"/>
        <v>1</v>
      </c>
      <c r="AP68" s="154">
        <f t="shared" si="9"/>
        <v>0</v>
      </c>
      <c r="AQ68" s="154"/>
      <c r="AR68" s="786" t="str">
        <f t="shared" si="13"/>
        <v>Apartamento Disponible</v>
      </c>
      <c r="AS68" s="786" t="str">
        <f t="shared" si="10"/>
        <v>Disponible</v>
      </c>
      <c r="AT68" s="174"/>
      <c r="AU68" s="174">
        <f t="shared" si="11"/>
        <v>0</v>
      </c>
      <c r="AV68" s="174">
        <f t="shared" si="12"/>
        <v>0</v>
      </c>
      <c r="AW68" s="173"/>
      <c r="AX68" s="786">
        <f t="shared" si="6"/>
        <v>26</v>
      </c>
      <c r="AY68" s="787">
        <f t="shared" si="14"/>
        <v>1503</v>
      </c>
      <c r="AZ68" s="152"/>
      <c r="BA68" s="152"/>
    </row>
    <row r="69" spans="1:53" ht="15" customHeight="1" x14ac:dyDescent="0.25">
      <c r="A69" s="86"/>
      <c r="B69" s="164">
        <v>413</v>
      </c>
      <c r="C69" s="164" t="s">
        <v>126</v>
      </c>
      <c r="D69" s="165" t="s">
        <v>448</v>
      </c>
      <c r="E69" s="166">
        <v>45688</v>
      </c>
      <c r="F69" s="164" t="s">
        <v>400</v>
      </c>
      <c r="G69" s="164" t="s">
        <v>128</v>
      </c>
      <c r="H69" s="167">
        <v>1063054.43589791</v>
      </c>
      <c r="I69" s="167">
        <v>106354.43</v>
      </c>
      <c r="J69" s="121">
        <v>0</v>
      </c>
      <c r="K69" s="121">
        <v>0</v>
      </c>
      <c r="L69" s="121">
        <v>0</v>
      </c>
      <c r="M69" s="121">
        <v>0</v>
      </c>
      <c r="N69" s="121">
        <v>0</v>
      </c>
      <c r="O69" s="121">
        <v>0</v>
      </c>
      <c r="P69" s="121">
        <v>0</v>
      </c>
      <c r="Q69" s="121">
        <v>0</v>
      </c>
      <c r="R69" s="121">
        <v>0</v>
      </c>
      <c r="S69" s="121">
        <v>0</v>
      </c>
      <c r="T69" s="121">
        <v>0</v>
      </c>
      <c r="U69" s="121">
        <v>0</v>
      </c>
      <c r="V69" s="121">
        <v>0</v>
      </c>
      <c r="W69" s="121">
        <v>0</v>
      </c>
      <c r="X69" s="121">
        <v>0</v>
      </c>
      <c r="Y69" s="121">
        <v>0</v>
      </c>
      <c r="Z69" s="121">
        <v>0</v>
      </c>
      <c r="AA69" s="121">
        <v>0</v>
      </c>
      <c r="AB69" s="121">
        <v>0</v>
      </c>
      <c r="AC69" s="121">
        <v>0</v>
      </c>
      <c r="AD69" s="121">
        <v>0</v>
      </c>
      <c r="AE69" s="121">
        <v>0</v>
      </c>
      <c r="AF69" s="121">
        <v>10000</v>
      </c>
      <c r="AG69" s="121">
        <v>6022</v>
      </c>
      <c r="AH69" s="121">
        <v>6022</v>
      </c>
      <c r="AI69" s="121">
        <v>6022</v>
      </c>
      <c r="AJ69" s="784">
        <f t="shared" si="7"/>
        <v>28066</v>
      </c>
      <c r="AK69" s="149">
        <f t="shared" si="2"/>
        <v>0.26389121731929738</v>
      </c>
      <c r="AL69" s="150">
        <f t="shared" si="8"/>
        <v>-78288.429999999993</v>
      </c>
      <c r="AM69" s="149">
        <f t="shared" si="3"/>
        <v>-0.73610878268070257</v>
      </c>
      <c r="AN69" s="150">
        <f t="shared" si="4"/>
        <v>1034988.43589791</v>
      </c>
      <c r="AO69" s="151">
        <f t="shared" si="5"/>
        <v>0.97359871794684338</v>
      </c>
      <c r="AP69" s="154">
        <f t="shared" si="9"/>
        <v>106354.43</v>
      </c>
      <c r="AQ69" s="154"/>
      <c r="AR69" s="786" t="str">
        <f t="shared" si="13"/>
        <v>Vendido</v>
      </c>
      <c r="AS69" s="786" t="str">
        <f t="shared" si="10"/>
        <v>Cliente Atrasado</v>
      </c>
      <c r="AT69" s="174"/>
      <c r="AU69" s="174">
        <f t="shared" si="11"/>
        <v>0</v>
      </c>
      <c r="AV69" s="174">
        <f t="shared" si="12"/>
        <v>0</v>
      </c>
      <c r="AW69" s="173"/>
      <c r="AX69" s="786">
        <f t="shared" si="6"/>
        <v>22</v>
      </c>
      <c r="AY69" s="787">
        <f t="shared" si="14"/>
        <v>2</v>
      </c>
      <c r="AZ69" s="152"/>
      <c r="BA69" s="152"/>
    </row>
    <row r="70" spans="1:53" ht="15" customHeight="1" x14ac:dyDescent="0.25">
      <c r="A70" s="93"/>
      <c r="B70" s="164">
        <v>414</v>
      </c>
      <c r="C70" s="164" t="s">
        <v>366</v>
      </c>
      <c r="D70" s="165" t="s">
        <v>450</v>
      </c>
      <c r="E70" s="166">
        <v>45439</v>
      </c>
      <c r="F70" s="164" t="s">
        <v>175</v>
      </c>
      <c r="G70" s="164" t="s">
        <v>128</v>
      </c>
      <c r="H70" s="167">
        <v>887400</v>
      </c>
      <c r="I70" s="167">
        <v>88800</v>
      </c>
      <c r="J70" s="121">
        <v>0</v>
      </c>
      <c r="K70" s="121">
        <v>0</v>
      </c>
      <c r="L70" s="121">
        <v>0</v>
      </c>
      <c r="M70" s="121">
        <v>0</v>
      </c>
      <c r="N70" s="121">
        <v>0</v>
      </c>
      <c r="O70" s="121">
        <v>0</v>
      </c>
      <c r="P70" s="121">
        <v>0</v>
      </c>
      <c r="Q70" s="121">
        <v>0</v>
      </c>
      <c r="R70" s="121">
        <v>0</v>
      </c>
      <c r="S70" s="121">
        <v>0</v>
      </c>
      <c r="T70" s="121">
        <v>0</v>
      </c>
      <c r="U70" s="121">
        <v>0</v>
      </c>
      <c r="V70" s="121">
        <v>0</v>
      </c>
      <c r="W70" s="121">
        <v>0</v>
      </c>
      <c r="X70" s="121">
        <v>10000</v>
      </c>
      <c r="Y70" s="121">
        <v>4147</v>
      </c>
      <c r="Z70" s="121">
        <v>4147</v>
      </c>
      <c r="AA70" s="121">
        <v>4147</v>
      </c>
      <c r="AB70" s="121">
        <v>4147</v>
      </c>
      <c r="AC70" s="121">
        <v>4147</v>
      </c>
      <c r="AD70" s="121">
        <v>4147</v>
      </c>
      <c r="AE70" s="121">
        <v>4147</v>
      </c>
      <c r="AF70" s="121">
        <v>4147</v>
      </c>
      <c r="AG70" s="121">
        <v>4147</v>
      </c>
      <c r="AH70" s="121">
        <v>4147</v>
      </c>
      <c r="AI70" s="121">
        <v>0</v>
      </c>
      <c r="AJ70" s="784">
        <f t="shared" si="7"/>
        <v>51470</v>
      </c>
      <c r="AK70" s="149">
        <f t="shared" si="2"/>
        <v>0.57961711711711716</v>
      </c>
      <c r="AL70" s="150">
        <f t="shared" si="8"/>
        <v>-37330</v>
      </c>
      <c r="AM70" s="149">
        <f t="shared" si="3"/>
        <v>-0.42038288288288289</v>
      </c>
      <c r="AN70" s="150">
        <f t="shared" si="4"/>
        <v>835930</v>
      </c>
      <c r="AO70" s="151">
        <f t="shared" si="5"/>
        <v>0.94199909848997065</v>
      </c>
      <c r="AP70" s="154">
        <f t="shared" si="9"/>
        <v>88800</v>
      </c>
      <c r="AQ70" s="154"/>
      <c r="AR70" s="786" t="str">
        <f t="shared" si="13"/>
        <v>Vendido</v>
      </c>
      <c r="AS70" s="786" t="str">
        <f t="shared" si="10"/>
        <v>Cliente Atrasado</v>
      </c>
      <c r="AT70" s="174">
        <v>16</v>
      </c>
      <c r="AU70" s="174">
        <f t="shared" si="11"/>
        <v>1</v>
      </c>
      <c r="AV70" s="174">
        <f t="shared" si="12"/>
        <v>17</v>
      </c>
      <c r="AW70" s="173">
        <v>4147</v>
      </c>
      <c r="AX70" s="786">
        <f t="shared" si="6"/>
        <v>10</v>
      </c>
      <c r="AY70" s="787">
        <f t="shared" si="14"/>
        <v>11</v>
      </c>
      <c r="AZ70" s="152"/>
      <c r="BA70" s="152"/>
    </row>
    <row r="71" spans="1:53" x14ac:dyDescent="0.25">
      <c r="A71" s="93"/>
      <c r="B71" s="164">
        <v>415</v>
      </c>
      <c r="C71" s="164"/>
      <c r="D71" s="165"/>
      <c r="E71" s="166"/>
      <c r="F71" s="164" t="s">
        <v>125</v>
      </c>
      <c r="G71" s="164" t="s">
        <v>374</v>
      </c>
      <c r="H71" s="167">
        <v>1543626.9723517401</v>
      </c>
      <c r="I71" s="167">
        <f>+H71*0.1</f>
        <v>154362.69723517401</v>
      </c>
      <c r="J71" s="121">
        <v>0</v>
      </c>
      <c r="K71" s="121">
        <v>0</v>
      </c>
      <c r="L71" s="121">
        <v>0</v>
      </c>
      <c r="M71" s="121">
        <v>0</v>
      </c>
      <c r="N71" s="121">
        <v>0</v>
      </c>
      <c r="O71" s="121">
        <v>0</v>
      </c>
      <c r="P71" s="121">
        <v>0</v>
      </c>
      <c r="Q71" s="121">
        <v>0</v>
      </c>
      <c r="R71" s="121">
        <v>0</v>
      </c>
      <c r="S71" s="121">
        <v>0</v>
      </c>
      <c r="T71" s="121">
        <v>0</v>
      </c>
      <c r="U71" s="121">
        <v>0</v>
      </c>
      <c r="V71" s="121">
        <v>0</v>
      </c>
      <c r="W71" s="121">
        <v>0</v>
      </c>
      <c r="X71" s="121">
        <v>0</v>
      </c>
      <c r="Y71" s="121">
        <v>0</v>
      </c>
      <c r="Z71" s="121">
        <v>0</v>
      </c>
      <c r="AA71" s="121">
        <v>0</v>
      </c>
      <c r="AB71" s="121">
        <v>0</v>
      </c>
      <c r="AC71" s="121">
        <v>0</v>
      </c>
      <c r="AD71" s="121">
        <v>0</v>
      </c>
      <c r="AE71" s="121">
        <v>0</v>
      </c>
      <c r="AF71" s="121">
        <v>0</v>
      </c>
      <c r="AG71" s="121">
        <v>0</v>
      </c>
      <c r="AH71" s="121">
        <v>0</v>
      </c>
      <c r="AI71" s="121">
        <v>0</v>
      </c>
      <c r="AJ71" s="784">
        <f t="shared" si="7"/>
        <v>0</v>
      </c>
      <c r="AK71" s="149">
        <f t="shared" ref="AK71:AK134" si="17">IFERROR((+AJ71/I71),0)</f>
        <v>0</v>
      </c>
      <c r="AL71" s="150">
        <f t="shared" si="8"/>
        <v>0</v>
      </c>
      <c r="AM71" s="149">
        <f t="shared" ref="AM71:AM134" si="18">+AL71/I71</f>
        <v>0</v>
      </c>
      <c r="AN71" s="150">
        <f t="shared" ref="AN71:AN134" si="19">+H71-AJ71</f>
        <v>1543626.9723517401</v>
      </c>
      <c r="AO71" s="151">
        <f t="shared" ref="AO71:AO134" si="20">+AN71/H71</f>
        <v>1</v>
      </c>
      <c r="AP71" s="154">
        <f t="shared" si="9"/>
        <v>0</v>
      </c>
      <c r="AQ71" s="154"/>
      <c r="AR71" s="786" t="str">
        <f t="shared" si="13"/>
        <v>Apartamento Disponible</v>
      </c>
      <c r="AS71" s="786" t="str">
        <f t="shared" si="10"/>
        <v>Disponible</v>
      </c>
      <c r="AT71" s="174"/>
      <c r="AU71" s="174">
        <f t="shared" si="11"/>
        <v>0</v>
      </c>
      <c r="AV71" s="174">
        <f t="shared" si="12"/>
        <v>0</v>
      </c>
      <c r="AW71" s="173"/>
      <c r="AX71" s="786">
        <f t="shared" ref="AX71:AX134" si="21">COUNTIF(J71:AI71,AW71)</f>
        <v>26</v>
      </c>
      <c r="AY71" s="787">
        <f t="shared" si="14"/>
        <v>1503</v>
      </c>
      <c r="AZ71" s="152"/>
      <c r="BA71" s="152"/>
    </row>
    <row r="72" spans="1:53" x14ac:dyDescent="0.25">
      <c r="A72" s="86"/>
      <c r="B72" s="164">
        <v>416</v>
      </c>
      <c r="C72" s="164" t="s">
        <v>126</v>
      </c>
      <c r="D72" s="165" t="s">
        <v>407</v>
      </c>
      <c r="E72" s="166">
        <v>45695</v>
      </c>
      <c r="F72" s="164" t="s">
        <v>178</v>
      </c>
      <c r="G72" s="164" t="s">
        <v>137</v>
      </c>
      <c r="H72" s="167">
        <v>798331.19</v>
      </c>
      <c r="I72" s="167">
        <v>79931.179999999993</v>
      </c>
      <c r="J72" s="121">
        <v>0</v>
      </c>
      <c r="K72" s="121">
        <v>0</v>
      </c>
      <c r="L72" s="121">
        <v>0</v>
      </c>
      <c r="M72" s="121">
        <v>0</v>
      </c>
      <c r="N72" s="121">
        <v>0</v>
      </c>
      <c r="O72" s="121">
        <v>0</v>
      </c>
      <c r="P72" s="121">
        <v>0</v>
      </c>
      <c r="Q72" s="121">
        <v>0</v>
      </c>
      <c r="R72" s="121">
        <v>0</v>
      </c>
      <c r="S72" s="121">
        <v>0</v>
      </c>
      <c r="T72" s="121">
        <v>0</v>
      </c>
      <c r="U72" s="121">
        <v>0</v>
      </c>
      <c r="V72" s="121">
        <v>0</v>
      </c>
      <c r="W72" s="121">
        <v>0</v>
      </c>
      <c r="X72" s="121">
        <v>0</v>
      </c>
      <c r="Y72" s="121">
        <v>0</v>
      </c>
      <c r="Z72" s="121">
        <v>0</v>
      </c>
      <c r="AA72" s="121">
        <v>0</v>
      </c>
      <c r="AB72" s="121">
        <v>0</v>
      </c>
      <c r="AC72" s="121">
        <v>0</v>
      </c>
      <c r="AD72" s="121">
        <v>0</v>
      </c>
      <c r="AE72" s="121">
        <v>0</v>
      </c>
      <c r="AF72" s="121">
        <v>0</v>
      </c>
      <c r="AG72" s="121">
        <v>10000</v>
      </c>
      <c r="AH72" s="121">
        <v>0</v>
      </c>
      <c r="AI72" s="121">
        <v>0</v>
      </c>
      <c r="AJ72" s="784">
        <f t="shared" ref="AJ72:AJ135" si="22">SUM(J72:AI72)</f>
        <v>10000</v>
      </c>
      <c r="AK72" s="149">
        <f t="shared" si="17"/>
        <v>0.12510762383340271</v>
      </c>
      <c r="AL72" s="150">
        <f t="shared" ref="AL72:AL135" si="23">+AJ72-AP72</f>
        <v>-69931.179999999993</v>
      </c>
      <c r="AM72" s="149">
        <f t="shared" si="18"/>
        <v>-0.87489237616659732</v>
      </c>
      <c r="AN72" s="150">
        <f t="shared" si="19"/>
        <v>788331.19</v>
      </c>
      <c r="AO72" s="151">
        <f t="shared" si="20"/>
        <v>0.98747387033694622</v>
      </c>
      <c r="AP72" s="154">
        <f t="shared" ref="AP72:AP135" si="24">IF(AR72="Vendido",I72*1,IF(AR72="Disponible",I72*0,IF(AR72="Enganche Completado",I72*1,IF(AR72="Superávit de Enganche",I72*1,0))))</f>
        <v>79931.179999999993</v>
      </c>
      <c r="AQ72" s="154"/>
      <c r="AR72" s="786" t="str">
        <f t="shared" ref="AR72:AR135" si="25">IF(D72=0,"Apartamento Disponible",IF(D72&gt;1,"Vendido",0))</f>
        <v>Vendido</v>
      </c>
      <c r="AS72" s="786" t="str">
        <f t="shared" ref="AS72:AS135" si="26">IF(AND(AR72="Vendido",E72&gt;=0,AL72=0),"Enganche Completado",IF(AND(AR72="Vendido",E72&gt;=0,AL72&gt;0),"Superávit de Enganche",IF(AND(AR72="Apartamento Disponible",E72=0,AL72=0),"Disponible","Cliente Atrasado")))</f>
        <v>Cliente Atrasado</v>
      </c>
      <c r="AT72" s="174"/>
      <c r="AU72" s="174">
        <f t="shared" ref="AU72:AU135" si="27">IF(AT72&gt;1,1,0)</f>
        <v>0</v>
      </c>
      <c r="AV72" s="174">
        <f t="shared" ref="AV72:AV135" si="28">+AT72+AU72</f>
        <v>0</v>
      </c>
      <c r="AW72" s="173"/>
      <c r="AX72" s="786">
        <f t="shared" si="21"/>
        <v>25</v>
      </c>
      <c r="AY72" s="787">
        <f t="shared" si="14"/>
        <v>2</v>
      </c>
      <c r="AZ72" s="152"/>
      <c r="BA72" s="152"/>
    </row>
    <row r="73" spans="1:53" ht="15" customHeight="1" x14ac:dyDescent="0.25">
      <c r="A73" s="93"/>
      <c r="B73" s="164">
        <v>417</v>
      </c>
      <c r="C73" s="164" t="s">
        <v>366</v>
      </c>
      <c r="D73" s="165" t="s">
        <v>452</v>
      </c>
      <c r="E73" s="166">
        <v>45249</v>
      </c>
      <c r="F73" s="164" t="s">
        <v>406</v>
      </c>
      <c r="G73" s="164" t="s">
        <v>128</v>
      </c>
      <c r="H73" s="167">
        <v>721087.5</v>
      </c>
      <c r="I73" s="167">
        <v>72187.5</v>
      </c>
      <c r="J73" s="121">
        <v>0</v>
      </c>
      <c r="K73" s="121">
        <v>0</v>
      </c>
      <c r="L73" s="121">
        <v>0</v>
      </c>
      <c r="M73" s="121">
        <v>0</v>
      </c>
      <c r="N73" s="121">
        <v>0</v>
      </c>
      <c r="O73" s="121">
        <v>0</v>
      </c>
      <c r="P73" s="121">
        <v>0</v>
      </c>
      <c r="Q73" s="121">
        <v>0</v>
      </c>
      <c r="R73" s="121">
        <v>5500</v>
      </c>
      <c r="S73" s="121">
        <v>3031</v>
      </c>
      <c r="T73" s="121">
        <v>3031</v>
      </c>
      <c r="U73" s="121">
        <v>3031</v>
      </c>
      <c r="V73" s="121">
        <v>3031</v>
      </c>
      <c r="W73" s="121">
        <v>3031</v>
      </c>
      <c r="X73" s="121">
        <v>3031</v>
      </c>
      <c r="Y73" s="121">
        <v>3031</v>
      </c>
      <c r="Z73" s="121">
        <v>3031</v>
      </c>
      <c r="AA73" s="121">
        <v>3031</v>
      </c>
      <c r="AB73" s="121">
        <v>3031</v>
      </c>
      <c r="AC73" s="121">
        <v>3031</v>
      </c>
      <c r="AD73" s="121">
        <v>3031</v>
      </c>
      <c r="AE73" s="121">
        <v>3031</v>
      </c>
      <c r="AF73" s="121">
        <v>3031</v>
      </c>
      <c r="AG73" s="121">
        <v>3031</v>
      </c>
      <c r="AH73" s="121">
        <v>3031</v>
      </c>
      <c r="AI73" s="121">
        <v>0</v>
      </c>
      <c r="AJ73" s="784">
        <f t="shared" si="22"/>
        <v>53996</v>
      </c>
      <c r="AK73" s="149">
        <f t="shared" si="17"/>
        <v>0.74799653679653677</v>
      </c>
      <c r="AL73" s="150">
        <f t="shared" si="23"/>
        <v>-18191.5</v>
      </c>
      <c r="AM73" s="149">
        <f t="shared" si="18"/>
        <v>-0.25200346320346323</v>
      </c>
      <c r="AN73" s="150">
        <f t="shared" si="19"/>
        <v>667091.5</v>
      </c>
      <c r="AO73" s="151">
        <f t="shared" si="20"/>
        <v>0.92511865758316436</v>
      </c>
      <c r="AP73" s="154">
        <f t="shared" si="24"/>
        <v>72187.5</v>
      </c>
      <c r="AQ73" s="154"/>
      <c r="AR73" s="786" t="str">
        <f t="shared" si="25"/>
        <v>Vendido</v>
      </c>
      <c r="AS73" s="786" t="str">
        <f t="shared" si="26"/>
        <v>Cliente Atrasado</v>
      </c>
      <c r="AT73" s="174">
        <v>22</v>
      </c>
      <c r="AU73" s="174">
        <f t="shared" si="27"/>
        <v>1</v>
      </c>
      <c r="AV73" s="174">
        <f t="shared" si="28"/>
        <v>23</v>
      </c>
      <c r="AW73" s="173">
        <v>3031</v>
      </c>
      <c r="AX73" s="786">
        <f t="shared" si="21"/>
        <v>16</v>
      </c>
      <c r="AY73" s="787">
        <f t="shared" si="14"/>
        <v>17</v>
      </c>
      <c r="AZ73" s="152"/>
      <c r="BA73" s="152"/>
    </row>
    <row r="74" spans="1:53" ht="15" customHeight="1" x14ac:dyDescent="0.25">
      <c r="A74" s="93"/>
      <c r="B74" s="164">
        <v>418</v>
      </c>
      <c r="C74" s="164" t="s">
        <v>366</v>
      </c>
      <c r="D74" s="165" t="s">
        <v>742</v>
      </c>
      <c r="E74" s="166">
        <v>45240</v>
      </c>
      <c r="F74" s="164" t="s">
        <v>200</v>
      </c>
      <c r="G74" s="164" t="s">
        <v>128</v>
      </c>
      <c r="H74" s="167">
        <v>720472.5</v>
      </c>
      <c r="I74" s="167">
        <v>72072.5</v>
      </c>
      <c r="J74" s="121">
        <v>0</v>
      </c>
      <c r="K74" s="121">
        <v>0</v>
      </c>
      <c r="L74" s="121">
        <v>0</v>
      </c>
      <c r="M74" s="121">
        <v>0</v>
      </c>
      <c r="N74" s="121">
        <v>0</v>
      </c>
      <c r="O74" s="121">
        <v>0</v>
      </c>
      <c r="P74" s="121">
        <v>0</v>
      </c>
      <c r="Q74" s="121">
        <v>0</v>
      </c>
      <c r="R74" s="121">
        <v>5500</v>
      </c>
      <c r="S74" s="121">
        <v>3026</v>
      </c>
      <c r="T74" s="121">
        <v>6052</v>
      </c>
      <c r="U74" s="121">
        <v>0</v>
      </c>
      <c r="V74" s="121">
        <v>3026</v>
      </c>
      <c r="W74" s="121">
        <v>3026</v>
      </c>
      <c r="X74" s="121">
        <v>0</v>
      </c>
      <c r="Y74" s="121">
        <v>3026</v>
      </c>
      <c r="Z74" s="121">
        <v>6052</v>
      </c>
      <c r="AA74" s="121">
        <v>3026</v>
      </c>
      <c r="AB74" s="121">
        <v>0</v>
      </c>
      <c r="AC74" s="121">
        <v>0</v>
      </c>
      <c r="AD74" s="121">
        <v>0</v>
      </c>
      <c r="AE74" s="121">
        <f>3026+3026</f>
        <v>6052</v>
      </c>
      <c r="AF74" s="121">
        <v>0</v>
      </c>
      <c r="AG74" s="121">
        <v>0</v>
      </c>
      <c r="AH74" s="121">
        <v>0</v>
      </c>
      <c r="AI74" s="121">
        <v>0</v>
      </c>
      <c r="AJ74" s="784">
        <f t="shared" si="22"/>
        <v>38786</v>
      </c>
      <c r="AK74" s="149">
        <f t="shared" si="17"/>
        <v>0.53815255471920631</v>
      </c>
      <c r="AL74" s="150">
        <f t="shared" si="23"/>
        <v>-33286.5</v>
      </c>
      <c r="AM74" s="149">
        <f t="shared" si="18"/>
        <v>-0.46184744528079363</v>
      </c>
      <c r="AN74" s="150">
        <f t="shared" si="19"/>
        <v>681686.5</v>
      </c>
      <c r="AO74" s="151">
        <f t="shared" si="20"/>
        <v>0.94616588419405323</v>
      </c>
      <c r="AP74" s="154">
        <f t="shared" si="24"/>
        <v>72072.5</v>
      </c>
      <c r="AQ74" s="154"/>
      <c r="AR74" s="786" t="str">
        <f t="shared" si="25"/>
        <v>Vendido</v>
      </c>
      <c r="AS74" s="786" t="str">
        <f t="shared" si="26"/>
        <v>Cliente Atrasado</v>
      </c>
      <c r="AT74" s="174">
        <v>22</v>
      </c>
      <c r="AU74" s="174">
        <f t="shared" si="27"/>
        <v>1</v>
      </c>
      <c r="AV74" s="174">
        <f t="shared" si="28"/>
        <v>23</v>
      </c>
      <c r="AW74" s="173">
        <v>3026</v>
      </c>
      <c r="AX74" s="786">
        <f t="shared" si="21"/>
        <v>5</v>
      </c>
      <c r="AY74" s="787">
        <f t="shared" si="14"/>
        <v>17</v>
      </c>
      <c r="AZ74" s="152"/>
      <c r="BA74" s="152"/>
    </row>
    <row r="75" spans="1:53" ht="15" customHeight="1" x14ac:dyDescent="0.25">
      <c r="A75" s="93"/>
      <c r="B75" s="164">
        <v>419</v>
      </c>
      <c r="C75" s="164" t="s">
        <v>366</v>
      </c>
      <c r="D75" s="165" t="s">
        <v>454</v>
      </c>
      <c r="E75" s="166">
        <v>45231</v>
      </c>
      <c r="F75" s="164" t="s">
        <v>409</v>
      </c>
      <c r="G75" s="164" t="s">
        <v>128</v>
      </c>
      <c r="H75" s="167">
        <v>965900</v>
      </c>
      <c r="I75" s="167">
        <v>96600</v>
      </c>
      <c r="J75" s="121">
        <v>0</v>
      </c>
      <c r="K75" s="121">
        <v>0</v>
      </c>
      <c r="L75" s="121">
        <v>0</v>
      </c>
      <c r="M75" s="121">
        <v>0</v>
      </c>
      <c r="N75" s="121">
        <v>0</v>
      </c>
      <c r="O75" s="121">
        <v>0</v>
      </c>
      <c r="P75" s="121">
        <v>0</v>
      </c>
      <c r="Q75" s="121">
        <v>0</v>
      </c>
      <c r="R75" s="121">
        <v>8000</v>
      </c>
      <c r="S75" s="121">
        <v>4027</v>
      </c>
      <c r="T75" s="121">
        <v>4027</v>
      </c>
      <c r="U75" s="121">
        <v>4027</v>
      </c>
      <c r="V75" s="121">
        <v>4027</v>
      </c>
      <c r="W75" s="121">
        <v>4027</v>
      </c>
      <c r="X75" s="121">
        <v>4027</v>
      </c>
      <c r="Y75" s="121">
        <v>4027</v>
      </c>
      <c r="Z75" s="121">
        <v>4027</v>
      </c>
      <c r="AA75" s="121">
        <v>4027</v>
      </c>
      <c r="AB75" s="121">
        <v>4027</v>
      </c>
      <c r="AC75" s="121">
        <v>4027</v>
      </c>
      <c r="AD75" s="121">
        <v>4027</v>
      </c>
      <c r="AE75" s="121">
        <v>4027</v>
      </c>
      <c r="AF75" s="121">
        <v>4027</v>
      </c>
      <c r="AG75" s="121">
        <v>4027</v>
      </c>
      <c r="AH75" s="121">
        <v>4027</v>
      </c>
      <c r="AI75" s="121">
        <v>0</v>
      </c>
      <c r="AJ75" s="784">
        <f t="shared" si="22"/>
        <v>72432</v>
      </c>
      <c r="AK75" s="149">
        <f t="shared" si="17"/>
        <v>0.7498136645962733</v>
      </c>
      <c r="AL75" s="150">
        <f t="shared" si="23"/>
        <v>-24168</v>
      </c>
      <c r="AM75" s="149">
        <f t="shared" si="18"/>
        <v>-0.2501863354037267</v>
      </c>
      <c r="AN75" s="150">
        <f t="shared" si="19"/>
        <v>893468</v>
      </c>
      <c r="AO75" s="151">
        <f t="shared" si="20"/>
        <v>0.92501087069054766</v>
      </c>
      <c r="AP75" s="154">
        <f t="shared" si="24"/>
        <v>96600</v>
      </c>
      <c r="AQ75" s="154"/>
      <c r="AR75" s="786" t="str">
        <f t="shared" si="25"/>
        <v>Vendido</v>
      </c>
      <c r="AS75" s="786" t="str">
        <f t="shared" si="26"/>
        <v>Cliente Atrasado</v>
      </c>
      <c r="AT75" s="174">
        <v>22</v>
      </c>
      <c r="AU75" s="174">
        <f t="shared" si="27"/>
        <v>1</v>
      </c>
      <c r="AV75" s="174">
        <f t="shared" si="28"/>
        <v>23</v>
      </c>
      <c r="AW75" s="173">
        <v>4027</v>
      </c>
      <c r="AX75" s="786">
        <f t="shared" si="21"/>
        <v>16</v>
      </c>
      <c r="AY75" s="787">
        <f t="shared" ref="AY75:AY138" si="29">IFERROR(DATEDIF($E75,$AI$6,"M"),0)</f>
        <v>17</v>
      </c>
      <c r="AZ75" s="152"/>
      <c r="BA75" s="152"/>
    </row>
    <row r="76" spans="1:53" ht="15" customHeight="1" x14ac:dyDescent="0.25">
      <c r="A76" s="93"/>
      <c r="B76" s="164">
        <v>420</v>
      </c>
      <c r="C76" s="164" t="s">
        <v>366</v>
      </c>
      <c r="D76" s="165" t="s">
        <v>455</v>
      </c>
      <c r="E76" s="166">
        <v>45490</v>
      </c>
      <c r="F76" s="164" t="s">
        <v>184</v>
      </c>
      <c r="G76" s="164" t="s">
        <v>128</v>
      </c>
      <c r="H76" s="167">
        <v>1166800</v>
      </c>
      <c r="I76" s="167">
        <v>116700</v>
      </c>
      <c r="J76" s="121">
        <v>0</v>
      </c>
      <c r="K76" s="121">
        <v>0</v>
      </c>
      <c r="L76" s="121">
        <v>0</v>
      </c>
      <c r="M76" s="121">
        <v>0</v>
      </c>
      <c r="N76" s="121">
        <v>0</v>
      </c>
      <c r="O76" s="121">
        <v>0</v>
      </c>
      <c r="P76" s="121">
        <v>0</v>
      </c>
      <c r="Q76" s="121">
        <v>0</v>
      </c>
      <c r="R76" s="121">
        <v>0</v>
      </c>
      <c r="S76" s="121">
        <v>0</v>
      </c>
      <c r="T76" s="121">
        <v>0</v>
      </c>
      <c r="U76" s="121">
        <v>0</v>
      </c>
      <c r="V76" s="121">
        <v>0</v>
      </c>
      <c r="W76" s="121">
        <v>0</v>
      </c>
      <c r="X76" s="121">
        <v>0</v>
      </c>
      <c r="Y76" s="121">
        <v>0</v>
      </c>
      <c r="Z76" s="121">
        <v>10000</v>
      </c>
      <c r="AA76" s="121">
        <v>6276</v>
      </c>
      <c r="AB76" s="121">
        <v>6276</v>
      </c>
      <c r="AC76" s="121">
        <v>6276</v>
      </c>
      <c r="AD76" s="121">
        <v>6276</v>
      </c>
      <c r="AE76" s="121">
        <v>6276</v>
      </c>
      <c r="AF76" s="121">
        <v>6276</v>
      </c>
      <c r="AG76" s="121">
        <v>6276</v>
      </c>
      <c r="AH76" s="121">
        <v>6276</v>
      </c>
      <c r="AI76" s="121">
        <v>6276</v>
      </c>
      <c r="AJ76" s="784">
        <f t="shared" si="22"/>
        <v>66484</v>
      </c>
      <c r="AK76" s="149">
        <f t="shared" si="17"/>
        <v>0.5697000856898029</v>
      </c>
      <c r="AL76" s="150">
        <f t="shared" si="23"/>
        <v>-50216</v>
      </c>
      <c r="AM76" s="149">
        <f t="shared" si="18"/>
        <v>-0.4302999143101971</v>
      </c>
      <c r="AN76" s="150">
        <f t="shared" si="19"/>
        <v>1100316</v>
      </c>
      <c r="AO76" s="151">
        <f t="shared" si="20"/>
        <v>0.94302022625985604</v>
      </c>
      <c r="AP76" s="154">
        <f t="shared" si="24"/>
        <v>116700</v>
      </c>
      <c r="AQ76" s="154"/>
      <c r="AR76" s="786" t="str">
        <f t="shared" si="25"/>
        <v>Vendido</v>
      </c>
      <c r="AS76" s="786" t="str">
        <f t="shared" si="26"/>
        <v>Cliente Atrasado</v>
      </c>
      <c r="AT76" s="174">
        <v>17</v>
      </c>
      <c r="AU76" s="174">
        <f t="shared" si="27"/>
        <v>1</v>
      </c>
      <c r="AV76" s="174">
        <f t="shared" si="28"/>
        <v>18</v>
      </c>
      <c r="AW76" s="173">
        <v>6276</v>
      </c>
      <c r="AX76" s="786">
        <f t="shared" si="21"/>
        <v>9</v>
      </c>
      <c r="AY76" s="787">
        <f t="shared" si="29"/>
        <v>9</v>
      </c>
      <c r="AZ76" s="152"/>
      <c r="BA76" s="152"/>
    </row>
    <row r="77" spans="1:53" ht="15" customHeight="1" x14ac:dyDescent="0.25">
      <c r="A77" s="86"/>
      <c r="B77" s="164">
        <v>501</v>
      </c>
      <c r="C77" s="164" t="s">
        <v>126</v>
      </c>
      <c r="D77" s="165" t="s">
        <v>457</v>
      </c>
      <c r="E77" s="166">
        <v>45681</v>
      </c>
      <c r="F77" s="164" t="s">
        <v>456</v>
      </c>
      <c r="G77" s="164" t="s">
        <v>128</v>
      </c>
      <c r="H77" s="167">
        <v>1502549.44216114</v>
      </c>
      <c r="I77" s="167">
        <v>150349.44</v>
      </c>
      <c r="J77" s="121">
        <v>0</v>
      </c>
      <c r="K77" s="121">
        <v>0</v>
      </c>
      <c r="L77" s="121">
        <v>0</v>
      </c>
      <c r="M77" s="121">
        <v>0</v>
      </c>
      <c r="N77" s="121">
        <v>0</v>
      </c>
      <c r="O77" s="121">
        <v>0</v>
      </c>
      <c r="P77" s="121">
        <v>0</v>
      </c>
      <c r="Q77" s="121">
        <v>0</v>
      </c>
      <c r="R77" s="121">
        <v>0</v>
      </c>
      <c r="S77" s="121">
        <v>0</v>
      </c>
      <c r="T77" s="121">
        <v>0</v>
      </c>
      <c r="U77" s="121">
        <v>0</v>
      </c>
      <c r="V77" s="121">
        <v>0</v>
      </c>
      <c r="W77" s="121">
        <v>0</v>
      </c>
      <c r="X77" s="121">
        <v>0</v>
      </c>
      <c r="Y77" s="121">
        <v>0</v>
      </c>
      <c r="Z77" s="121">
        <v>0</v>
      </c>
      <c r="AA77" s="121">
        <v>0</v>
      </c>
      <c r="AB77" s="121">
        <v>0</v>
      </c>
      <c r="AC77" s="121">
        <v>0</v>
      </c>
      <c r="AD77" s="121">
        <v>0</v>
      </c>
      <c r="AE77" s="121">
        <v>0</v>
      </c>
      <c r="AF77" s="121">
        <v>10000</v>
      </c>
      <c r="AG77" s="121">
        <v>8772</v>
      </c>
      <c r="AH77" s="121">
        <v>8772</v>
      </c>
      <c r="AI77" s="121">
        <v>0</v>
      </c>
      <c r="AJ77" s="784">
        <f t="shared" si="22"/>
        <v>27544</v>
      </c>
      <c r="AK77" s="149">
        <f t="shared" si="17"/>
        <v>0.18319988421639616</v>
      </c>
      <c r="AL77" s="150">
        <f t="shared" si="23"/>
        <v>-122805.44</v>
      </c>
      <c r="AM77" s="149">
        <f t="shared" si="18"/>
        <v>-0.8168001157836039</v>
      </c>
      <c r="AN77" s="150">
        <f t="shared" si="19"/>
        <v>1475005.44216114</v>
      </c>
      <c r="AO77" s="151">
        <f t="shared" si="20"/>
        <v>0.98166849008284007</v>
      </c>
      <c r="AP77" s="154">
        <f t="shared" si="24"/>
        <v>150349.44</v>
      </c>
      <c r="AQ77" s="154"/>
      <c r="AR77" s="786" t="str">
        <f t="shared" si="25"/>
        <v>Vendido</v>
      </c>
      <c r="AS77" s="786" t="str">
        <f t="shared" si="26"/>
        <v>Cliente Atrasado</v>
      </c>
      <c r="AT77" s="174"/>
      <c r="AU77" s="174">
        <f t="shared" si="27"/>
        <v>0</v>
      </c>
      <c r="AV77" s="174">
        <f t="shared" si="28"/>
        <v>0</v>
      </c>
      <c r="AW77" s="173"/>
      <c r="AX77" s="786">
        <f t="shared" si="21"/>
        <v>23</v>
      </c>
      <c r="AY77" s="787">
        <f t="shared" si="29"/>
        <v>3</v>
      </c>
      <c r="AZ77" s="152"/>
      <c r="BA77" s="152"/>
    </row>
    <row r="78" spans="1:53" x14ac:dyDescent="0.25">
      <c r="A78" s="93"/>
      <c r="B78" s="164">
        <v>502</v>
      </c>
      <c r="C78" s="164"/>
      <c r="D78" s="165"/>
      <c r="E78" s="166"/>
      <c r="F78" s="164" t="s">
        <v>134</v>
      </c>
      <c r="G78" s="164" t="s">
        <v>374</v>
      </c>
      <c r="H78" s="167">
        <v>1529194.3266091</v>
      </c>
      <c r="I78" s="167">
        <f>+H78*0.1</f>
        <v>152919.43266091001</v>
      </c>
      <c r="J78" s="121">
        <v>0</v>
      </c>
      <c r="K78" s="121">
        <v>0</v>
      </c>
      <c r="L78" s="121">
        <v>0</v>
      </c>
      <c r="M78" s="121">
        <v>0</v>
      </c>
      <c r="N78" s="121">
        <v>0</v>
      </c>
      <c r="O78" s="121">
        <v>0</v>
      </c>
      <c r="P78" s="121">
        <v>0</v>
      </c>
      <c r="Q78" s="121">
        <v>0</v>
      </c>
      <c r="R78" s="121">
        <v>0</v>
      </c>
      <c r="S78" s="121">
        <v>0</v>
      </c>
      <c r="T78" s="121">
        <v>0</v>
      </c>
      <c r="U78" s="121">
        <v>0</v>
      </c>
      <c r="V78" s="121">
        <v>0</v>
      </c>
      <c r="W78" s="121">
        <v>0</v>
      </c>
      <c r="X78" s="121">
        <v>0</v>
      </c>
      <c r="Y78" s="121">
        <v>0</v>
      </c>
      <c r="Z78" s="121">
        <v>0</v>
      </c>
      <c r="AA78" s="121">
        <v>0</v>
      </c>
      <c r="AB78" s="121">
        <v>0</v>
      </c>
      <c r="AC78" s="121">
        <v>0</v>
      </c>
      <c r="AD78" s="121">
        <v>0</v>
      </c>
      <c r="AE78" s="121">
        <v>0</v>
      </c>
      <c r="AF78" s="121">
        <v>0</v>
      </c>
      <c r="AG78" s="121">
        <v>0</v>
      </c>
      <c r="AH78" s="121">
        <v>0</v>
      </c>
      <c r="AI78" s="121">
        <v>0</v>
      </c>
      <c r="AJ78" s="784">
        <f t="shared" si="22"/>
        <v>0</v>
      </c>
      <c r="AK78" s="149">
        <f t="shared" si="17"/>
        <v>0</v>
      </c>
      <c r="AL78" s="150">
        <f t="shared" si="23"/>
        <v>0</v>
      </c>
      <c r="AM78" s="149">
        <f t="shared" si="18"/>
        <v>0</v>
      </c>
      <c r="AN78" s="150">
        <f t="shared" si="19"/>
        <v>1529194.3266091</v>
      </c>
      <c r="AO78" s="151">
        <f t="shared" si="20"/>
        <v>1</v>
      </c>
      <c r="AP78" s="154">
        <f t="shared" si="24"/>
        <v>0</v>
      </c>
      <c r="AQ78" s="154"/>
      <c r="AR78" s="786" t="str">
        <f t="shared" si="25"/>
        <v>Apartamento Disponible</v>
      </c>
      <c r="AS78" s="786" t="str">
        <f t="shared" si="26"/>
        <v>Disponible</v>
      </c>
      <c r="AT78" s="174"/>
      <c r="AU78" s="174">
        <f t="shared" si="27"/>
        <v>0</v>
      </c>
      <c r="AV78" s="174">
        <f t="shared" si="28"/>
        <v>0</v>
      </c>
      <c r="AW78" s="173"/>
      <c r="AX78" s="786">
        <f t="shared" si="21"/>
        <v>26</v>
      </c>
      <c r="AY78" s="787">
        <f t="shared" si="29"/>
        <v>1503</v>
      </c>
      <c r="AZ78" s="152"/>
      <c r="BA78" s="152"/>
    </row>
    <row r="79" spans="1:53" x14ac:dyDescent="0.25">
      <c r="A79" s="93"/>
      <c r="B79" s="164">
        <v>503</v>
      </c>
      <c r="C79" s="164" t="s">
        <v>366</v>
      </c>
      <c r="D79" s="165" t="s">
        <v>743</v>
      </c>
      <c r="E79" s="166">
        <v>45565</v>
      </c>
      <c r="F79" s="164" t="s">
        <v>400</v>
      </c>
      <c r="G79" s="164" t="s">
        <v>128</v>
      </c>
      <c r="H79" s="167">
        <v>1036610</v>
      </c>
      <c r="I79" s="167">
        <v>103710</v>
      </c>
      <c r="J79" s="121">
        <v>0</v>
      </c>
      <c r="K79" s="121">
        <v>0</v>
      </c>
      <c r="L79" s="121">
        <v>0</v>
      </c>
      <c r="M79" s="121">
        <v>0</v>
      </c>
      <c r="N79" s="121">
        <v>0</v>
      </c>
      <c r="O79" s="121">
        <v>0</v>
      </c>
      <c r="P79" s="121">
        <v>0</v>
      </c>
      <c r="Q79" s="121">
        <v>0</v>
      </c>
      <c r="R79" s="121">
        <v>0</v>
      </c>
      <c r="S79" s="121">
        <v>0</v>
      </c>
      <c r="T79" s="121">
        <v>0</v>
      </c>
      <c r="U79" s="121">
        <v>0</v>
      </c>
      <c r="V79" s="121">
        <v>0</v>
      </c>
      <c r="W79" s="121">
        <v>0</v>
      </c>
      <c r="X79" s="121">
        <v>0</v>
      </c>
      <c r="Y79" s="121">
        <v>0</v>
      </c>
      <c r="Z79" s="121">
        <v>0</v>
      </c>
      <c r="AA79" s="121">
        <v>0</v>
      </c>
      <c r="AB79" s="121">
        <v>7000</v>
      </c>
      <c r="AC79" s="121">
        <v>6447</v>
      </c>
      <c r="AD79" s="121">
        <v>6447</v>
      </c>
      <c r="AE79" s="121">
        <v>6447</v>
      </c>
      <c r="AF79" s="121">
        <v>0</v>
      </c>
      <c r="AG79" s="121">
        <v>0</v>
      </c>
      <c r="AH79" s="121">
        <v>0</v>
      </c>
      <c r="AI79" s="121">
        <v>0</v>
      </c>
      <c r="AJ79" s="784">
        <f t="shared" si="22"/>
        <v>26341</v>
      </c>
      <c r="AK79" s="149">
        <f t="shared" si="17"/>
        <v>0.25398707935589626</v>
      </c>
      <c r="AL79" s="150">
        <f t="shared" si="23"/>
        <v>-77369</v>
      </c>
      <c r="AM79" s="149">
        <f t="shared" si="18"/>
        <v>-0.74601292064410374</v>
      </c>
      <c r="AN79" s="150">
        <f t="shared" si="19"/>
        <v>1010269</v>
      </c>
      <c r="AO79" s="151">
        <f t="shared" si="20"/>
        <v>0.97458928623108021</v>
      </c>
      <c r="AP79" s="154">
        <f t="shared" si="24"/>
        <v>103710</v>
      </c>
      <c r="AQ79" s="154"/>
      <c r="AR79" s="786" t="str">
        <f t="shared" si="25"/>
        <v>Vendido</v>
      </c>
      <c r="AS79" s="786" t="str">
        <f t="shared" si="26"/>
        <v>Cliente Atrasado</v>
      </c>
      <c r="AT79" s="174">
        <v>15</v>
      </c>
      <c r="AU79" s="174">
        <f t="shared" si="27"/>
        <v>1</v>
      </c>
      <c r="AV79" s="174">
        <f t="shared" si="28"/>
        <v>16</v>
      </c>
      <c r="AW79" s="173">
        <v>6447</v>
      </c>
      <c r="AX79" s="786">
        <f t="shared" si="21"/>
        <v>3</v>
      </c>
      <c r="AY79" s="787">
        <f t="shared" si="29"/>
        <v>7</v>
      </c>
      <c r="AZ79" s="152"/>
      <c r="BA79" s="152"/>
    </row>
    <row r="80" spans="1:53" x14ac:dyDescent="0.25">
      <c r="A80" s="93"/>
      <c r="B80" s="164">
        <v>504</v>
      </c>
      <c r="C80" s="164" t="s">
        <v>366</v>
      </c>
      <c r="D80" s="165" t="s">
        <v>745</v>
      </c>
      <c r="E80" s="166">
        <v>45420</v>
      </c>
      <c r="F80" s="164" t="s">
        <v>175</v>
      </c>
      <c r="G80" s="164" t="s">
        <v>128</v>
      </c>
      <c r="H80" s="167">
        <v>887400</v>
      </c>
      <c r="I80" s="167">
        <v>88800</v>
      </c>
      <c r="J80" s="121">
        <v>0</v>
      </c>
      <c r="K80" s="121">
        <v>0</v>
      </c>
      <c r="L80" s="121">
        <v>0</v>
      </c>
      <c r="M80" s="121">
        <v>0</v>
      </c>
      <c r="N80" s="121">
        <v>0</v>
      </c>
      <c r="O80" s="121">
        <v>0</v>
      </c>
      <c r="P80" s="121">
        <v>0</v>
      </c>
      <c r="Q80" s="121">
        <v>0</v>
      </c>
      <c r="R80" s="121">
        <v>0</v>
      </c>
      <c r="S80" s="121">
        <v>0</v>
      </c>
      <c r="T80" s="121">
        <v>0</v>
      </c>
      <c r="U80" s="121">
        <v>0</v>
      </c>
      <c r="V80" s="121">
        <v>0</v>
      </c>
      <c r="W80" s="121">
        <v>0</v>
      </c>
      <c r="X80" s="121">
        <v>8000</v>
      </c>
      <c r="Y80" s="121">
        <v>4253</v>
      </c>
      <c r="Z80" s="121">
        <v>4253</v>
      </c>
      <c r="AA80" s="121">
        <v>4253</v>
      </c>
      <c r="AB80" s="121">
        <v>0</v>
      </c>
      <c r="AC80" s="121">
        <v>0</v>
      </c>
      <c r="AD80" s="121">
        <v>0</v>
      </c>
      <c r="AE80" s="121">
        <v>0</v>
      </c>
      <c r="AF80" s="121">
        <v>0</v>
      </c>
      <c r="AG80" s="121">
        <v>0</v>
      </c>
      <c r="AH80" s="121">
        <v>0</v>
      </c>
      <c r="AI80" s="121">
        <v>0</v>
      </c>
      <c r="AJ80" s="784">
        <f t="shared" si="22"/>
        <v>20759</v>
      </c>
      <c r="AK80" s="149">
        <f t="shared" si="17"/>
        <v>0.23377252252252254</v>
      </c>
      <c r="AL80" s="150">
        <f t="shared" si="23"/>
        <v>-68041</v>
      </c>
      <c r="AM80" s="149">
        <f t="shared" si="18"/>
        <v>-0.76622747747747744</v>
      </c>
      <c r="AN80" s="150">
        <f t="shared" si="19"/>
        <v>866641</v>
      </c>
      <c r="AO80" s="151">
        <f t="shared" si="20"/>
        <v>0.97660694162722561</v>
      </c>
      <c r="AP80" s="154">
        <f t="shared" si="24"/>
        <v>88800</v>
      </c>
      <c r="AQ80" s="154"/>
      <c r="AR80" s="786" t="str">
        <f t="shared" si="25"/>
        <v>Vendido</v>
      </c>
      <c r="AS80" s="786" t="str">
        <f t="shared" si="26"/>
        <v>Cliente Atrasado</v>
      </c>
      <c r="AT80" s="174">
        <v>16</v>
      </c>
      <c r="AU80" s="174">
        <f t="shared" si="27"/>
        <v>1</v>
      </c>
      <c r="AV80" s="174">
        <f t="shared" si="28"/>
        <v>17</v>
      </c>
      <c r="AW80" s="173">
        <v>4253</v>
      </c>
      <c r="AX80" s="786">
        <f t="shared" si="21"/>
        <v>3</v>
      </c>
      <c r="AY80" s="787">
        <f t="shared" si="29"/>
        <v>11</v>
      </c>
      <c r="AZ80" s="152"/>
      <c r="BA80" s="152"/>
    </row>
    <row r="81" spans="1:53" ht="15" customHeight="1" x14ac:dyDescent="0.25">
      <c r="A81" s="93"/>
      <c r="B81" s="164">
        <v>505</v>
      </c>
      <c r="C81" s="164" t="s">
        <v>366</v>
      </c>
      <c r="D81" s="165" t="s">
        <v>462</v>
      </c>
      <c r="E81" s="166">
        <v>45503</v>
      </c>
      <c r="F81" s="164" t="s">
        <v>461</v>
      </c>
      <c r="G81" s="164" t="s">
        <v>128</v>
      </c>
      <c r="H81" s="167">
        <v>1399667</v>
      </c>
      <c r="I81" s="167">
        <v>139967</v>
      </c>
      <c r="J81" s="121">
        <v>0</v>
      </c>
      <c r="K81" s="121">
        <v>0</v>
      </c>
      <c r="L81" s="121">
        <v>0</v>
      </c>
      <c r="M81" s="121">
        <v>0</v>
      </c>
      <c r="N81" s="121">
        <v>0</v>
      </c>
      <c r="O81" s="121">
        <v>0</v>
      </c>
      <c r="P81" s="121">
        <v>0</v>
      </c>
      <c r="Q81" s="121">
        <v>0</v>
      </c>
      <c r="R81" s="121">
        <v>0</v>
      </c>
      <c r="S81" s="121">
        <v>0</v>
      </c>
      <c r="T81" s="121">
        <v>0</v>
      </c>
      <c r="U81" s="121">
        <v>0</v>
      </c>
      <c r="V81" s="121">
        <v>0</v>
      </c>
      <c r="W81" s="121">
        <v>0</v>
      </c>
      <c r="X81" s="121">
        <v>0</v>
      </c>
      <c r="Y81" s="121">
        <v>0</v>
      </c>
      <c r="Z81" s="121">
        <v>10000</v>
      </c>
      <c r="AA81" s="121">
        <v>7645</v>
      </c>
      <c r="AB81" s="121">
        <v>7645</v>
      </c>
      <c r="AC81" s="121">
        <v>7645</v>
      </c>
      <c r="AD81" s="121">
        <v>7645</v>
      </c>
      <c r="AE81" s="121">
        <v>7645</v>
      </c>
      <c r="AF81" s="121">
        <v>7645</v>
      </c>
      <c r="AG81" s="121">
        <v>7645</v>
      </c>
      <c r="AH81" s="121">
        <v>7645</v>
      </c>
      <c r="AI81" s="121">
        <v>0</v>
      </c>
      <c r="AJ81" s="784">
        <f t="shared" si="22"/>
        <v>71160</v>
      </c>
      <c r="AK81" s="149">
        <f t="shared" si="17"/>
        <v>0.50840555273743093</v>
      </c>
      <c r="AL81" s="150">
        <f t="shared" si="23"/>
        <v>-68807</v>
      </c>
      <c r="AM81" s="149">
        <f t="shared" si="18"/>
        <v>-0.49159444726256901</v>
      </c>
      <c r="AN81" s="150">
        <f t="shared" si="19"/>
        <v>1328507</v>
      </c>
      <c r="AO81" s="151">
        <f t="shared" si="20"/>
        <v>0.94915933575629063</v>
      </c>
      <c r="AP81" s="154">
        <f t="shared" si="24"/>
        <v>139967</v>
      </c>
      <c r="AQ81" s="154"/>
      <c r="AR81" s="786" t="str">
        <f t="shared" si="25"/>
        <v>Vendido</v>
      </c>
      <c r="AS81" s="786" t="str">
        <f t="shared" si="26"/>
        <v>Cliente Atrasado</v>
      </c>
      <c r="AT81" s="174">
        <v>17</v>
      </c>
      <c r="AU81" s="174">
        <f t="shared" si="27"/>
        <v>1</v>
      </c>
      <c r="AV81" s="174">
        <f t="shared" si="28"/>
        <v>18</v>
      </c>
      <c r="AW81" s="173">
        <v>7645</v>
      </c>
      <c r="AX81" s="786">
        <f t="shared" si="21"/>
        <v>8</v>
      </c>
      <c r="AY81" s="787">
        <f t="shared" si="29"/>
        <v>9</v>
      </c>
      <c r="AZ81" s="152"/>
      <c r="BA81" s="152"/>
    </row>
    <row r="82" spans="1:53" x14ac:dyDescent="0.25">
      <c r="A82" s="93"/>
      <c r="B82" s="164">
        <v>506</v>
      </c>
      <c r="C82" s="164" t="s">
        <v>366</v>
      </c>
      <c r="D82" s="165" t="s">
        <v>464</v>
      </c>
      <c r="E82" s="166">
        <v>45422</v>
      </c>
      <c r="F82" s="164" t="s">
        <v>463</v>
      </c>
      <c r="G82" s="164" t="s">
        <v>128</v>
      </c>
      <c r="H82" s="167">
        <v>1379595</v>
      </c>
      <c r="I82" s="167">
        <v>138595</v>
      </c>
      <c r="J82" s="121">
        <v>0</v>
      </c>
      <c r="K82" s="121">
        <v>0</v>
      </c>
      <c r="L82" s="121">
        <v>0</v>
      </c>
      <c r="M82" s="121">
        <v>0</v>
      </c>
      <c r="N82" s="121">
        <v>0</v>
      </c>
      <c r="O82" s="121">
        <v>0</v>
      </c>
      <c r="P82" s="121">
        <v>0</v>
      </c>
      <c r="Q82" s="121">
        <v>0</v>
      </c>
      <c r="R82" s="121">
        <v>0</v>
      </c>
      <c r="S82" s="121">
        <v>0</v>
      </c>
      <c r="T82" s="121">
        <v>0</v>
      </c>
      <c r="U82" s="121">
        <v>0</v>
      </c>
      <c r="V82" s="121">
        <v>0</v>
      </c>
      <c r="W82" s="121">
        <v>0</v>
      </c>
      <c r="X82" s="121">
        <v>0</v>
      </c>
      <c r="Y82" s="121">
        <v>0</v>
      </c>
      <c r="Z82" s="121">
        <v>0</v>
      </c>
      <c r="AA82" s="121">
        <v>0</v>
      </c>
      <c r="AB82" s="121">
        <v>0</v>
      </c>
      <c r="AC82" s="121">
        <v>10000</v>
      </c>
      <c r="AD82" s="121">
        <v>9140</v>
      </c>
      <c r="AE82" s="121">
        <v>9140</v>
      </c>
      <c r="AF82" s="121">
        <v>0</v>
      </c>
      <c r="AG82" s="121">
        <f>9140+9140</f>
        <v>18280</v>
      </c>
      <c r="AH82" s="121">
        <v>9140</v>
      </c>
      <c r="AI82" s="121">
        <v>0</v>
      </c>
      <c r="AJ82" s="784">
        <f t="shared" si="22"/>
        <v>55700</v>
      </c>
      <c r="AK82" s="149">
        <f t="shared" si="17"/>
        <v>0.40189040008658322</v>
      </c>
      <c r="AL82" s="150">
        <f t="shared" si="23"/>
        <v>-82895</v>
      </c>
      <c r="AM82" s="149">
        <f t="shared" si="18"/>
        <v>-0.59810959991341683</v>
      </c>
      <c r="AN82" s="150">
        <f t="shared" si="19"/>
        <v>1323895</v>
      </c>
      <c r="AO82" s="151">
        <f t="shared" si="20"/>
        <v>0.95962583221887587</v>
      </c>
      <c r="AP82" s="154">
        <f t="shared" si="24"/>
        <v>138595</v>
      </c>
      <c r="AQ82" s="154"/>
      <c r="AR82" s="786" t="str">
        <f t="shared" si="25"/>
        <v>Vendido</v>
      </c>
      <c r="AS82" s="786" t="str">
        <f t="shared" si="26"/>
        <v>Cliente Atrasado</v>
      </c>
      <c r="AT82" s="174"/>
      <c r="AU82" s="174">
        <f t="shared" si="27"/>
        <v>0</v>
      </c>
      <c r="AV82" s="174">
        <f t="shared" si="28"/>
        <v>0</v>
      </c>
      <c r="AW82" s="173"/>
      <c r="AX82" s="786">
        <f t="shared" si="21"/>
        <v>21</v>
      </c>
      <c r="AY82" s="787">
        <f t="shared" si="29"/>
        <v>11</v>
      </c>
      <c r="AZ82" s="152"/>
      <c r="BA82" s="152"/>
    </row>
    <row r="83" spans="1:53" x14ac:dyDescent="0.25">
      <c r="A83" s="93"/>
      <c r="B83" s="164">
        <v>507</v>
      </c>
      <c r="C83" s="164" t="s">
        <v>366</v>
      </c>
      <c r="D83" s="165" t="s">
        <v>466</v>
      </c>
      <c r="E83" s="166">
        <v>45155</v>
      </c>
      <c r="F83" s="164" t="s">
        <v>465</v>
      </c>
      <c r="G83" s="164" t="s">
        <v>128</v>
      </c>
      <c r="H83" s="167">
        <v>722900</v>
      </c>
      <c r="I83" s="167">
        <v>72300</v>
      </c>
      <c r="J83" s="121">
        <v>0</v>
      </c>
      <c r="K83" s="121">
        <v>0</v>
      </c>
      <c r="L83" s="121">
        <v>0</v>
      </c>
      <c r="M83" s="121">
        <v>0</v>
      </c>
      <c r="N83" s="121">
        <v>0</v>
      </c>
      <c r="O83" s="121">
        <v>6000</v>
      </c>
      <c r="P83" s="121">
        <v>2652</v>
      </c>
      <c r="Q83" s="121">
        <v>2652</v>
      </c>
      <c r="R83" s="121">
        <v>2652</v>
      </c>
      <c r="S83" s="121">
        <v>10252</v>
      </c>
      <c r="T83" s="121">
        <v>0</v>
      </c>
      <c r="U83" s="121">
        <v>2652</v>
      </c>
      <c r="V83" s="121">
        <v>2652</v>
      </c>
      <c r="W83" s="121">
        <v>2652</v>
      </c>
      <c r="X83" s="121">
        <v>2652</v>
      </c>
      <c r="Y83" s="121">
        <v>2652</v>
      </c>
      <c r="Z83" s="121">
        <v>2652</v>
      </c>
      <c r="AA83" s="121">
        <v>2652</v>
      </c>
      <c r="AB83" s="121">
        <v>2652</v>
      </c>
      <c r="AC83" s="121">
        <v>2652</v>
      </c>
      <c r="AD83" s="121">
        <v>2652</v>
      </c>
      <c r="AE83" s="121">
        <v>2652</v>
      </c>
      <c r="AF83" s="121">
        <v>2652</v>
      </c>
      <c r="AG83" s="121">
        <v>2652</v>
      </c>
      <c r="AH83" s="121">
        <v>2652</v>
      </c>
      <c r="AI83" s="121">
        <v>2652</v>
      </c>
      <c r="AJ83" s="784">
        <f t="shared" si="22"/>
        <v>63988</v>
      </c>
      <c r="AK83" s="149">
        <f t="shared" si="17"/>
        <v>0.88503457814661135</v>
      </c>
      <c r="AL83" s="150">
        <f t="shared" si="23"/>
        <v>-8312</v>
      </c>
      <c r="AM83" s="149">
        <f t="shared" si="18"/>
        <v>-0.11496542185338866</v>
      </c>
      <c r="AN83" s="150">
        <f t="shared" si="19"/>
        <v>658912</v>
      </c>
      <c r="AO83" s="151">
        <f t="shared" si="20"/>
        <v>0.91148429934984088</v>
      </c>
      <c r="AP83" s="154">
        <f t="shared" si="24"/>
        <v>72300</v>
      </c>
      <c r="AQ83" s="154"/>
      <c r="AR83" s="786" t="str">
        <f t="shared" si="25"/>
        <v>Vendido</v>
      </c>
      <c r="AS83" s="786" t="str">
        <f t="shared" si="26"/>
        <v>Cliente Atrasado</v>
      </c>
      <c r="AT83" s="174">
        <v>25</v>
      </c>
      <c r="AU83" s="174">
        <f t="shared" si="27"/>
        <v>1</v>
      </c>
      <c r="AV83" s="174">
        <f t="shared" si="28"/>
        <v>26</v>
      </c>
      <c r="AW83" s="173">
        <v>2652</v>
      </c>
      <c r="AX83" s="786">
        <f t="shared" si="21"/>
        <v>18</v>
      </c>
      <c r="AY83" s="787">
        <f t="shared" si="29"/>
        <v>20</v>
      </c>
      <c r="AZ83" s="152"/>
      <c r="BA83" s="152"/>
    </row>
    <row r="84" spans="1:53" x14ac:dyDescent="0.25">
      <c r="A84" s="93"/>
      <c r="B84" s="164">
        <v>508</v>
      </c>
      <c r="C84" s="164" t="s">
        <v>366</v>
      </c>
      <c r="D84" s="165" t="s">
        <v>468</v>
      </c>
      <c r="E84" s="166">
        <v>45394</v>
      </c>
      <c r="F84" s="164" t="s">
        <v>467</v>
      </c>
      <c r="G84" s="164" t="s">
        <v>128</v>
      </c>
      <c r="H84" s="167">
        <v>1183693</v>
      </c>
      <c r="I84" s="167">
        <v>118393</v>
      </c>
      <c r="J84" s="121">
        <v>0</v>
      </c>
      <c r="K84" s="121">
        <v>0</v>
      </c>
      <c r="L84" s="121">
        <v>0</v>
      </c>
      <c r="M84" s="121">
        <v>0</v>
      </c>
      <c r="N84" s="121">
        <v>0</v>
      </c>
      <c r="O84" s="121">
        <v>0</v>
      </c>
      <c r="P84" s="121">
        <v>0</v>
      </c>
      <c r="Q84" s="121">
        <v>0</v>
      </c>
      <c r="R84" s="121">
        <v>0</v>
      </c>
      <c r="S84" s="121">
        <v>0</v>
      </c>
      <c r="T84" s="121">
        <v>0</v>
      </c>
      <c r="U84" s="121">
        <v>0</v>
      </c>
      <c r="V84" s="121">
        <v>0</v>
      </c>
      <c r="W84" s="121">
        <v>8000</v>
      </c>
      <c r="X84" s="121">
        <v>6500</v>
      </c>
      <c r="Y84" s="121">
        <v>6500</v>
      </c>
      <c r="Z84" s="121">
        <v>6500</v>
      </c>
      <c r="AA84" s="121">
        <v>6500</v>
      </c>
      <c r="AB84" s="121">
        <v>13000</v>
      </c>
      <c r="AC84" s="121">
        <v>0</v>
      </c>
      <c r="AD84" s="121">
        <v>6500</v>
      </c>
      <c r="AE84" s="121">
        <f>6500+6500</f>
        <v>13000</v>
      </c>
      <c r="AF84" s="121">
        <v>0</v>
      </c>
      <c r="AG84" s="121">
        <v>6500</v>
      </c>
      <c r="AH84" s="121">
        <v>6500</v>
      </c>
      <c r="AI84" s="121">
        <v>6500</v>
      </c>
      <c r="AJ84" s="784">
        <f t="shared" si="22"/>
        <v>86000</v>
      </c>
      <c r="AK84" s="149">
        <f t="shared" si="17"/>
        <v>0.72639429696012436</v>
      </c>
      <c r="AL84" s="150">
        <f t="shared" si="23"/>
        <v>-32393</v>
      </c>
      <c r="AM84" s="149">
        <f t="shared" si="18"/>
        <v>-0.27360570303987569</v>
      </c>
      <c r="AN84" s="150">
        <f t="shared" si="19"/>
        <v>1097693</v>
      </c>
      <c r="AO84" s="151">
        <f t="shared" si="20"/>
        <v>0.92734602637677166</v>
      </c>
      <c r="AP84" s="154">
        <f t="shared" si="24"/>
        <v>118393</v>
      </c>
      <c r="AQ84" s="154"/>
      <c r="AR84" s="786" t="str">
        <f t="shared" si="25"/>
        <v>Vendido</v>
      </c>
      <c r="AS84" s="786" t="str">
        <f t="shared" si="26"/>
        <v>Cliente Atrasado</v>
      </c>
      <c r="AT84" s="174">
        <v>17</v>
      </c>
      <c r="AU84" s="174">
        <f t="shared" si="27"/>
        <v>1</v>
      </c>
      <c r="AV84" s="174">
        <f t="shared" si="28"/>
        <v>18</v>
      </c>
      <c r="AW84" s="173">
        <v>6494</v>
      </c>
      <c r="AX84" s="786">
        <f t="shared" si="21"/>
        <v>0</v>
      </c>
      <c r="AY84" s="787">
        <f t="shared" si="29"/>
        <v>12</v>
      </c>
      <c r="AZ84" s="152"/>
      <c r="BA84" s="152"/>
    </row>
    <row r="85" spans="1:53" x14ac:dyDescent="0.25">
      <c r="A85" s="93"/>
      <c r="B85" s="164">
        <v>509</v>
      </c>
      <c r="C85" s="164" t="s">
        <v>366</v>
      </c>
      <c r="D85" s="165" t="s">
        <v>470</v>
      </c>
      <c r="E85" s="166">
        <v>45473</v>
      </c>
      <c r="F85" s="164" t="s">
        <v>469</v>
      </c>
      <c r="G85" s="164" t="s">
        <v>128</v>
      </c>
      <c r="H85" s="167">
        <v>1181561.5</v>
      </c>
      <c r="I85" s="167">
        <v>118161.5</v>
      </c>
      <c r="J85" s="121">
        <v>0</v>
      </c>
      <c r="K85" s="121">
        <v>0</v>
      </c>
      <c r="L85" s="121">
        <v>0</v>
      </c>
      <c r="M85" s="121">
        <v>0</v>
      </c>
      <c r="N85" s="121">
        <v>0</v>
      </c>
      <c r="O85" s="121">
        <v>0</v>
      </c>
      <c r="P85" s="121">
        <v>0</v>
      </c>
      <c r="Q85" s="121">
        <v>0</v>
      </c>
      <c r="R85" s="121">
        <v>0</v>
      </c>
      <c r="S85" s="121">
        <v>0</v>
      </c>
      <c r="T85" s="121">
        <v>0</v>
      </c>
      <c r="U85" s="121">
        <v>0</v>
      </c>
      <c r="V85" s="121">
        <v>0</v>
      </c>
      <c r="W85" s="121">
        <v>0</v>
      </c>
      <c r="X85" s="121">
        <v>0</v>
      </c>
      <c r="Y85" s="121">
        <v>10000</v>
      </c>
      <c r="Z85" s="121">
        <v>0</v>
      </c>
      <c r="AA85" s="121">
        <v>6009</v>
      </c>
      <c r="AB85" s="121">
        <v>6009</v>
      </c>
      <c r="AC85" s="121">
        <v>0</v>
      </c>
      <c r="AD85" s="121">
        <v>6009</v>
      </c>
      <c r="AE85" s="121">
        <v>12018</v>
      </c>
      <c r="AF85" s="121">
        <f>6009+6009</f>
        <v>12018</v>
      </c>
      <c r="AG85" s="121">
        <v>0</v>
      </c>
      <c r="AH85" s="121">
        <v>6009</v>
      </c>
      <c r="AI85" s="121">
        <v>0</v>
      </c>
      <c r="AJ85" s="784">
        <f t="shared" si="22"/>
        <v>58072</v>
      </c>
      <c r="AK85" s="149">
        <f t="shared" si="17"/>
        <v>0.49146295536194107</v>
      </c>
      <c r="AL85" s="150">
        <f t="shared" si="23"/>
        <v>-60089.5</v>
      </c>
      <c r="AM85" s="149">
        <f t="shared" si="18"/>
        <v>-0.50853704463805893</v>
      </c>
      <c r="AN85" s="150">
        <f t="shared" si="19"/>
        <v>1123489.5</v>
      </c>
      <c r="AO85" s="151">
        <f t="shared" si="20"/>
        <v>0.95085147916549417</v>
      </c>
      <c r="AP85" s="154">
        <f t="shared" si="24"/>
        <v>118161.5</v>
      </c>
      <c r="AQ85" s="154"/>
      <c r="AR85" s="786" t="str">
        <f t="shared" si="25"/>
        <v>Vendido</v>
      </c>
      <c r="AS85" s="786" t="str">
        <f t="shared" si="26"/>
        <v>Cliente Atrasado</v>
      </c>
      <c r="AT85" s="174">
        <v>18</v>
      </c>
      <c r="AU85" s="174">
        <f t="shared" si="27"/>
        <v>1</v>
      </c>
      <c r="AV85" s="174">
        <f t="shared" si="28"/>
        <v>19</v>
      </c>
      <c r="AW85" s="173">
        <v>6009</v>
      </c>
      <c r="AX85" s="786">
        <f t="shared" si="21"/>
        <v>4</v>
      </c>
      <c r="AY85" s="787">
        <f t="shared" si="29"/>
        <v>10</v>
      </c>
      <c r="AZ85" s="152"/>
      <c r="BA85" s="152"/>
    </row>
    <row r="86" spans="1:53" x14ac:dyDescent="0.25">
      <c r="A86" s="93"/>
      <c r="B86" s="164">
        <v>510</v>
      </c>
      <c r="C86" s="164" t="s">
        <v>366</v>
      </c>
      <c r="D86" s="165" t="s">
        <v>472</v>
      </c>
      <c r="E86" s="166">
        <v>45352</v>
      </c>
      <c r="F86" s="164" t="s">
        <v>467</v>
      </c>
      <c r="G86" s="164" t="s">
        <v>128</v>
      </c>
      <c r="H86" s="167">
        <v>1183693</v>
      </c>
      <c r="I86" s="167">
        <v>118393</v>
      </c>
      <c r="J86" s="121">
        <v>0</v>
      </c>
      <c r="K86" s="121">
        <v>0</v>
      </c>
      <c r="L86" s="121">
        <v>0</v>
      </c>
      <c r="M86" s="121">
        <v>0</v>
      </c>
      <c r="N86" s="121">
        <v>0</v>
      </c>
      <c r="O86" s="121">
        <v>0</v>
      </c>
      <c r="P86" s="121">
        <v>0</v>
      </c>
      <c r="Q86" s="121">
        <v>0</v>
      </c>
      <c r="R86" s="121">
        <v>0</v>
      </c>
      <c r="S86" s="121">
        <v>0</v>
      </c>
      <c r="T86" s="121">
        <v>0</v>
      </c>
      <c r="U86" s="121">
        <v>0</v>
      </c>
      <c r="V86" s="121">
        <v>8000</v>
      </c>
      <c r="W86" s="121">
        <v>6133</v>
      </c>
      <c r="X86" s="121">
        <v>6133</v>
      </c>
      <c r="Y86" s="121">
        <v>6133</v>
      </c>
      <c r="Z86" s="121">
        <v>6133</v>
      </c>
      <c r="AA86" s="121">
        <v>6133</v>
      </c>
      <c r="AB86" s="121">
        <v>6133</v>
      </c>
      <c r="AC86" s="121">
        <v>6133</v>
      </c>
      <c r="AD86" s="121">
        <v>6133.33</v>
      </c>
      <c r="AE86" s="121">
        <v>6133.33</v>
      </c>
      <c r="AF86" s="121">
        <v>6133.33</v>
      </c>
      <c r="AG86" s="121">
        <v>6133.33</v>
      </c>
      <c r="AH86" s="121">
        <v>6133.33</v>
      </c>
      <c r="AI86" s="121">
        <v>0</v>
      </c>
      <c r="AJ86" s="784">
        <f t="shared" si="22"/>
        <v>81597.650000000009</v>
      </c>
      <c r="AK86" s="149">
        <f t="shared" si="17"/>
        <v>0.68921008843428255</v>
      </c>
      <c r="AL86" s="150">
        <f t="shared" si="23"/>
        <v>-36795.349999999991</v>
      </c>
      <c r="AM86" s="149">
        <f t="shared" si="18"/>
        <v>-0.3107899115657175</v>
      </c>
      <c r="AN86" s="150">
        <f t="shared" si="19"/>
        <v>1102095.3500000001</v>
      </c>
      <c r="AO86" s="151">
        <f t="shared" si="20"/>
        <v>0.93106519173468127</v>
      </c>
      <c r="AP86" s="154">
        <f t="shared" si="24"/>
        <v>118393</v>
      </c>
      <c r="AQ86" s="154"/>
      <c r="AR86" s="786" t="str">
        <f t="shared" si="25"/>
        <v>Vendido</v>
      </c>
      <c r="AS86" s="786" t="str">
        <f t="shared" si="26"/>
        <v>Cliente Atrasado</v>
      </c>
      <c r="AT86" s="174">
        <v>18</v>
      </c>
      <c r="AU86" s="174">
        <f t="shared" si="27"/>
        <v>1</v>
      </c>
      <c r="AV86" s="174">
        <f t="shared" si="28"/>
        <v>19</v>
      </c>
      <c r="AW86" s="173">
        <v>6133</v>
      </c>
      <c r="AX86" s="786">
        <f t="shared" si="21"/>
        <v>7</v>
      </c>
      <c r="AY86" s="787">
        <f t="shared" si="29"/>
        <v>13</v>
      </c>
      <c r="AZ86" s="152"/>
      <c r="BA86" s="152"/>
    </row>
    <row r="87" spans="1:53" x14ac:dyDescent="0.25">
      <c r="A87" s="93"/>
      <c r="B87" s="164">
        <v>511</v>
      </c>
      <c r="C87" s="164" t="s">
        <v>366</v>
      </c>
      <c r="D87" s="165" t="s">
        <v>473</v>
      </c>
      <c r="E87" s="166">
        <v>45470</v>
      </c>
      <c r="F87" s="164" t="s">
        <v>469</v>
      </c>
      <c r="G87" s="164" t="s">
        <v>128</v>
      </c>
      <c r="H87" s="167">
        <v>1181561.5</v>
      </c>
      <c r="I87" s="167">
        <v>118161.5</v>
      </c>
      <c r="J87" s="121">
        <v>0</v>
      </c>
      <c r="K87" s="121">
        <v>0</v>
      </c>
      <c r="L87" s="121">
        <v>0</v>
      </c>
      <c r="M87" s="121">
        <v>0</v>
      </c>
      <c r="N87" s="121">
        <v>0</v>
      </c>
      <c r="O87" s="121">
        <v>0</v>
      </c>
      <c r="P87" s="121">
        <v>0</v>
      </c>
      <c r="Q87" s="121">
        <v>0</v>
      </c>
      <c r="R87" s="121">
        <v>0</v>
      </c>
      <c r="S87" s="121">
        <v>0</v>
      </c>
      <c r="T87" s="121">
        <v>0</v>
      </c>
      <c r="U87" s="121">
        <v>0</v>
      </c>
      <c r="V87" s="121">
        <v>0</v>
      </c>
      <c r="W87" s="121">
        <v>0</v>
      </c>
      <c r="X87" s="121">
        <v>0</v>
      </c>
      <c r="Y87" s="121">
        <v>5000</v>
      </c>
      <c r="Z87" s="121">
        <v>15000</v>
      </c>
      <c r="AA87" s="121">
        <v>6009</v>
      </c>
      <c r="AB87" s="121">
        <v>16009</v>
      </c>
      <c r="AC87" s="121">
        <v>6009</v>
      </c>
      <c r="AD87" s="121">
        <v>10000</v>
      </c>
      <c r="AE87" s="121">
        <v>0</v>
      </c>
      <c r="AF87" s="121">
        <f>15000+10000</f>
        <v>25000</v>
      </c>
      <c r="AG87" s="121">
        <v>7500</v>
      </c>
      <c r="AH87" s="121">
        <v>10000</v>
      </c>
      <c r="AI87" s="121">
        <v>0</v>
      </c>
      <c r="AJ87" s="784">
        <f t="shared" si="22"/>
        <v>100527</v>
      </c>
      <c r="AK87" s="149">
        <f t="shared" si="17"/>
        <v>0.85075934208688953</v>
      </c>
      <c r="AL87" s="150">
        <f t="shared" si="23"/>
        <v>-17634.5</v>
      </c>
      <c r="AM87" s="149">
        <f t="shared" si="18"/>
        <v>-0.14924065791311045</v>
      </c>
      <c r="AN87" s="150">
        <f t="shared" si="19"/>
        <v>1081034.5</v>
      </c>
      <c r="AO87" s="151">
        <f t="shared" si="20"/>
        <v>0.91492021363255316</v>
      </c>
      <c r="AP87" s="154">
        <f t="shared" si="24"/>
        <v>118161.5</v>
      </c>
      <c r="AQ87" s="154"/>
      <c r="AR87" s="786" t="str">
        <f t="shared" si="25"/>
        <v>Vendido</v>
      </c>
      <c r="AS87" s="786" t="str">
        <f t="shared" si="26"/>
        <v>Cliente Atrasado</v>
      </c>
      <c r="AT87" s="174">
        <v>18</v>
      </c>
      <c r="AU87" s="174">
        <f t="shared" si="27"/>
        <v>1</v>
      </c>
      <c r="AV87" s="174">
        <f t="shared" si="28"/>
        <v>19</v>
      </c>
      <c r="AW87" s="173">
        <v>6009</v>
      </c>
      <c r="AX87" s="786">
        <f t="shared" si="21"/>
        <v>2</v>
      </c>
      <c r="AY87" s="787">
        <f t="shared" si="29"/>
        <v>10</v>
      </c>
      <c r="AZ87" s="152"/>
      <c r="BA87" s="152"/>
    </row>
    <row r="88" spans="1:53" x14ac:dyDescent="0.25">
      <c r="A88" s="93"/>
      <c r="B88" s="164">
        <v>512</v>
      </c>
      <c r="C88" s="164" t="s">
        <v>366</v>
      </c>
      <c r="D88" s="165" t="s">
        <v>474</v>
      </c>
      <c r="E88" s="166">
        <v>45125</v>
      </c>
      <c r="F88" s="164" t="s">
        <v>406</v>
      </c>
      <c r="G88" s="164" t="s">
        <v>128</v>
      </c>
      <c r="H88" s="167">
        <v>703500</v>
      </c>
      <c r="I88" s="167">
        <v>70400</v>
      </c>
      <c r="J88" s="121">
        <v>0</v>
      </c>
      <c r="K88" s="121">
        <v>0</v>
      </c>
      <c r="L88" s="121">
        <v>0</v>
      </c>
      <c r="M88" s="121">
        <v>0</v>
      </c>
      <c r="N88" s="121">
        <v>6000</v>
      </c>
      <c r="O88" s="121">
        <v>2477</v>
      </c>
      <c r="P88" s="121">
        <v>2477</v>
      </c>
      <c r="Q88" s="121">
        <v>2477</v>
      </c>
      <c r="R88" s="121">
        <v>2477</v>
      </c>
      <c r="S88" s="121">
        <v>0</v>
      </c>
      <c r="T88" s="121">
        <v>4954</v>
      </c>
      <c r="U88" s="121">
        <v>2477</v>
      </c>
      <c r="V88" s="121">
        <v>2477</v>
      </c>
      <c r="W88" s="121">
        <v>2477</v>
      </c>
      <c r="X88" s="121">
        <v>2477</v>
      </c>
      <c r="Y88" s="121">
        <v>2477</v>
      </c>
      <c r="Z88" s="121">
        <v>2477</v>
      </c>
      <c r="AA88" s="121">
        <v>2477</v>
      </c>
      <c r="AB88" s="121">
        <v>0</v>
      </c>
      <c r="AC88" s="121">
        <v>2477</v>
      </c>
      <c r="AD88" s="121">
        <v>2477</v>
      </c>
      <c r="AE88" s="121">
        <v>0</v>
      </c>
      <c r="AF88" s="121">
        <v>0</v>
      </c>
      <c r="AG88" s="121">
        <f>4954+4954</f>
        <v>9908</v>
      </c>
      <c r="AH88" s="121">
        <v>0</v>
      </c>
      <c r="AI88" s="121">
        <v>0</v>
      </c>
      <c r="AJ88" s="784">
        <f t="shared" si="22"/>
        <v>53063</v>
      </c>
      <c r="AK88" s="149">
        <f t="shared" si="17"/>
        <v>0.7537357954545455</v>
      </c>
      <c r="AL88" s="150">
        <f t="shared" si="23"/>
        <v>-17337</v>
      </c>
      <c r="AM88" s="149">
        <f t="shared" si="18"/>
        <v>-0.24626420454545456</v>
      </c>
      <c r="AN88" s="150">
        <f t="shared" si="19"/>
        <v>650437</v>
      </c>
      <c r="AO88" s="151">
        <f t="shared" si="20"/>
        <v>0.92457285003553658</v>
      </c>
      <c r="AP88" s="154">
        <f t="shared" si="24"/>
        <v>70400</v>
      </c>
      <c r="AQ88" s="154"/>
      <c r="AR88" s="786" t="str">
        <f t="shared" si="25"/>
        <v>Vendido</v>
      </c>
      <c r="AS88" s="786" t="str">
        <f t="shared" si="26"/>
        <v>Cliente Atrasado</v>
      </c>
      <c r="AT88" s="174">
        <v>26</v>
      </c>
      <c r="AU88" s="174">
        <f t="shared" si="27"/>
        <v>1</v>
      </c>
      <c r="AV88" s="174">
        <f t="shared" si="28"/>
        <v>27</v>
      </c>
      <c r="AW88" s="173">
        <v>2477</v>
      </c>
      <c r="AX88" s="786">
        <f t="shared" si="21"/>
        <v>13</v>
      </c>
      <c r="AY88" s="787">
        <f t="shared" si="29"/>
        <v>21</v>
      </c>
      <c r="AZ88" s="152"/>
      <c r="BA88" s="152"/>
    </row>
    <row r="89" spans="1:53" ht="15" customHeight="1" x14ac:dyDescent="0.25">
      <c r="A89" s="93"/>
      <c r="B89" s="164">
        <v>513</v>
      </c>
      <c r="C89" s="164" t="s">
        <v>366</v>
      </c>
      <c r="D89" s="165" t="s">
        <v>475</v>
      </c>
      <c r="E89" s="166">
        <v>45123</v>
      </c>
      <c r="F89" s="164" t="s">
        <v>181</v>
      </c>
      <c r="G89" s="164" t="s">
        <v>128</v>
      </c>
      <c r="H89" s="167">
        <v>687500</v>
      </c>
      <c r="I89" s="167">
        <v>68800</v>
      </c>
      <c r="J89" s="121">
        <v>0</v>
      </c>
      <c r="K89" s="121">
        <v>0</v>
      </c>
      <c r="L89" s="121">
        <v>0</v>
      </c>
      <c r="M89" s="121">
        <v>0</v>
      </c>
      <c r="N89" s="121">
        <v>6000</v>
      </c>
      <c r="O89" s="121">
        <v>0</v>
      </c>
      <c r="P89" s="121">
        <v>7245</v>
      </c>
      <c r="Q89" s="121">
        <v>2415</v>
      </c>
      <c r="R89" s="121">
        <v>0</v>
      </c>
      <c r="S89" s="121">
        <v>0</v>
      </c>
      <c r="T89" s="121">
        <v>4830</v>
      </c>
      <c r="U89" s="121">
        <v>2415</v>
      </c>
      <c r="V89" s="121">
        <v>0</v>
      </c>
      <c r="W89" s="121">
        <v>7245</v>
      </c>
      <c r="X89" s="121">
        <v>2415</v>
      </c>
      <c r="Y89" s="121">
        <v>0</v>
      </c>
      <c r="Z89" s="121">
        <f>2415+2415</f>
        <v>4830</v>
      </c>
      <c r="AA89" s="121">
        <v>0</v>
      </c>
      <c r="AB89" s="121">
        <f>2415+2415</f>
        <v>4830</v>
      </c>
      <c r="AC89" s="121">
        <v>2415</v>
      </c>
      <c r="AD89" s="121">
        <v>2415</v>
      </c>
      <c r="AE89" s="121">
        <v>2415</v>
      </c>
      <c r="AF89" s="121">
        <v>2415</v>
      </c>
      <c r="AG89" s="121">
        <v>2415</v>
      </c>
      <c r="AH89" s="121">
        <v>0</v>
      </c>
      <c r="AI89" s="121">
        <v>2415</v>
      </c>
      <c r="AJ89" s="784">
        <f t="shared" si="22"/>
        <v>56715</v>
      </c>
      <c r="AK89" s="149">
        <f t="shared" si="17"/>
        <v>0.82434593023255809</v>
      </c>
      <c r="AL89" s="150">
        <f t="shared" si="23"/>
        <v>-12085</v>
      </c>
      <c r="AM89" s="149">
        <f t="shared" si="18"/>
        <v>-0.17565406976744186</v>
      </c>
      <c r="AN89" s="150">
        <f t="shared" si="19"/>
        <v>630785</v>
      </c>
      <c r="AO89" s="151">
        <f t="shared" si="20"/>
        <v>0.91750545454545451</v>
      </c>
      <c r="AP89" s="154">
        <f t="shared" si="24"/>
        <v>68800</v>
      </c>
      <c r="AQ89" s="154"/>
      <c r="AR89" s="786" t="str">
        <f t="shared" si="25"/>
        <v>Vendido</v>
      </c>
      <c r="AS89" s="786" t="str">
        <f t="shared" si="26"/>
        <v>Cliente Atrasado</v>
      </c>
      <c r="AT89" s="174">
        <v>26</v>
      </c>
      <c r="AU89" s="174">
        <f t="shared" si="27"/>
        <v>1</v>
      </c>
      <c r="AV89" s="174">
        <f t="shared" si="28"/>
        <v>27</v>
      </c>
      <c r="AW89" s="173">
        <v>2415</v>
      </c>
      <c r="AX89" s="786">
        <f t="shared" si="21"/>
        <v>9</v>
      </c>
      <c r="AY89" s="787">
        <f t="shared" si="29"/>
        <v>21</v>
      </c>
      <c r="AZ89" s="152"/>
      <c r="BA89" s="152"/>
    </row>
    <row r="90" spans="1:53" x14ac:dyDescent="0.25">
      <c r="A90" s="93"/>
      <c r="B90" s="164">
        <v>514</v>
      </c>
      <c r="C90" s="164" t="s">
        <v>366</v>
      </c>
      <c r="D90" s="165" t="s">
        <v>477</v>
      </c>
      <c r="E90" s="166">
        <v>45741</v>
      </c>
      <c r="F90" s="164" t="s">
        <v>476</v>
      </c>
      <c r="G90" s="164" t="s">
        <v>137</v>
      </c>
      <c r="H90" s="167">
        <v>1535078.4052580199</v>
      </c>
      <c r="I90" s="167">
        <f>+H90*0.1</f>
        <v>153507.84052580199</v>
      </c>
      <c r="J90" s="121">
        <v>0</v>
      </c>
      <c r="K90" s="121">
        <v>0</v>
      </c>
      <c r="L90" s="121">
        <v>0</v>
      </c>
      <c r="M90" s="121">
        <v>0</v>
      </c>
      <c r="N90" s="121">
        <v>0</v>
      </c>
      <c r="O90" s="121">
        <v>0</v>
      </c>
      <c r="P90" s="121">
        <v>0</v>
      </c>
      <c r="Q90" s="121">
        <v>0</v>
      </c>
      <c r="R90" s="121">
        <v>0</v>
      </c>
      <c r="S90" s="121">
        <v>0</v>
      </c>
      <c r="T90" s="121">
        <v>0</v>
      </c>
      <c r="U90" s="121">
        <v>0</v>
      </c>
      <c r="V90" s="121">
        <v>0</v>
      </c>
      <c r="W90" s="121">
        <v>0</v>
      </c>
      <c r="X90" s="121">
        <v>0</v>
      </c>
      <c r="Y90" s="121">
        <v>0</v>
      </c>
      <c r="Z90" s="121">
        <v>0</v>
      </c>
      <c r="AA90" s="121">
        <v>0</v>
      </c>
      <c r="AB90" s="121">
        <v>0</v>
      </c>
      <c r="AC90" s="121">
        <v>0</v>
      </c>
      <c r="AD90" s="121">
        <v>0</v>
      </c>
      <c r="AE90" s="121">
        <v>0</v>
      </c>
      <c r="AF90" s="121">
        <v>0</v>
      </c>
      <c r="AG90" s="121">
        <v>0</v>
      </c>
      <c r="AH90" s="121">
        <v>10000</v>
      </c>
      <c r="AI90" s="121">
        <v>0</v>
      </c>
      <c r="AJ90" s="784">
        <f t="shared" si="22"/>
        <v>10000</v>
      </c>
      <c r="AK90" s="149">
        <f t="shared" si="17"/>
        <v>6.5143252395106002E-2</v>
      </c>
      <c r="AL90" s="150">
        <f t="shared" si="23"/>
        <v>-143507.84052580199</v>
      </c>
      <c r="AM90" s="149">
        <f t="shared" si="18"/>
        <v>-0.93485674760489401</v>
      </c>
      <c r="AN90" s="150">
        <f t="shared" si="19"/>
        <v>1525078.4052580199</v>
      </c>
      <c r="AO90" s="151">
        <f t="shared" si="20"/>
        <v>0.99348567476048943</v>
      </c>
      <c r="AP90" s="154">
        <f t="shared" si="24"/>
        <v>153507.84052580199</v>
      </c>
      <c r="AQ90" s="154"/>
      <c r="AR90" s="786" t="str">
        <f t="shared" si="25"/>
        <v>Vendido</v>
      </c>
      <c r="AS90" s="786" t="str">
        <f t="shared" si="26"/>
        <v>Cliente Atrasado</v>
      </c>
      <c r="AT90" s="174"/>
      <c r="AU90" s="174">
        <f t="shared" si="27"/>
        <v>0</v>
      </c>
      <c r="AV90" s="174">
        <f t="shared" si="28"/>
        <v>0</v>
      </c>
      <c r="AW90" s="173"/>
      <c r="AX90" s="786">
        <f t="shared" si="21"/>
        <v>25</v>
      </c>
      <c r="AY90" s="787">
        <f t="shared" si="29"/>
        <v>1</v>
      </c>
      <c r="AZ90" s="152"/>
      <c r="BA90" s="152"/>
    </row>
    <row r="91" spans="1:53" ht="15" customHeight="1" x14ac:dyDescent="0.25">
      <c r="A91" s="93"/>
      <c r="B91" s="164">
        <v>515</v>
      </c>
      <c r="C91" s="164" t="s">
        <v>356</v>
      </c>
      <c r="D91" s="165" t="s">
        <v>478</v>
      </c>
      <c r="E91" s="166">
        <v>45012</v>
      </c>
      <c r="F91" s="164" t="s">
        <v>189</v>
      </c>
      <c r="G91" s="164" t="s">
        <v>128</v>
      </c>
      <c r="H91" s="167">
        <v>611949.49679780402</v>
      </c>
      <c r="I91" s="167">
        <v>61249.5</v>
      </c>
      <c r="J91" s="121">
        <v>7570</v>
      </c>
      <c r="K91" s="121">
        <v>1570</v>
      </c>
      <c r="L91" s="121">
        <v>1570</v>
      </c>
      <c r="M91" s="121">
        <v>1570</v>
      </c>
      <c r="N91" s="121">
        <v>1570</v>
      </c>
      <c r="O91" s="121">
        <v>1570</v>
      </c>
      <c r="P91" s="121">
        <v>1570</v>
      </c>
      <c r="Q91" s="121">
        <v>1570</v>
      </c>
      <c r="R91" s="121">
        <v>1570</v>
      </c>
      <c r="S91" s="121">
        <v>1570</v>
      </c>
      <c r="T91" s="121">
        <v>1570</v>
      </c>
      <c r="U91" s="121">
        <v>1570</v>
      </c>
      <c r="V91" s="121">
        <v>1570</v>
      </c>
      <c r="W91" s="121">
        <v>1570</v>
      </c>
      <c r="X91" s="121">
        <v>1570</v>
      </c>
      <c r="Y91" s="121">
        <v>1570</v>
      </c>
      <c r="Z91" s="121">
        <v>1570</v>
      </c>
      <c r="AA91" s="121">
        <v>1570</v>
      </c>
      <c r="AB91" s="121">
        <v>1570</v>
      </c>
      <c r="AC91" s="121">
        <v>1570</v>
      </c>
      <c r="AD91" s="121">
        <v>1570</v>
      </c>
      <c r="AE91" s="121">
        <v>1570</v>
      </c>
      <c r="AF91" s="121">
        <v>1570</v>
      </c>
      <c r="AG91" s="121">
        <v>1570</v>
      </c>
      <c r="AH91" s="121">
        <v>1570</v>
      </c>
      <c r="AI91" s="121">
        <v>0</v>
      </c>
      <c r="AJ91" s="784">
        <f t="shared" si="22"/>
        <v>45250</v>
      </c>
      <c r="AK91" s="149">
        <f t="shared" si="17"/>
        <v>0.73878154107380467</v>
      </c>
      <c r="AL91" s="150">
        <f t="shared" si="23"/>
        <v>-15999.5</v>
      </c>
      <c r="AM91" s="149">
        <f t="shared" si="18"/>
        <v>-0.26121845892619533</v>
      </c>
      <c r="AN91" s="150">
        <f t="shared" si="19"/>
        <v>566699.49679780402</v>
      </c>
      <c r="AO91" s="151">
        <f t="shared" si="20"/>
        <v>0.92605598952726786</v>
      </c>
      <c r="AP91" s="154">
        <f t="shared" si="24"/>
        <v>61249.5</v>
      </c>
      <c r="AQ91" s="154"/>
      <c r="AR91" s="786" t="str">
        <f t="shared" si="25"/>
        <v>Vendido</v>
      </c>
      <c r="AS91" s="786" t="str">
        <f t="shared" si="26"/>
        <v>Cliente Atrasado</v>
      </c>
      <c r="AT91" s="174">
        <v>35</v>
      </c>
      <c r="AU91" s="174">
        <f t="shared" si="27"/>
        <v>1</v>
      </c>
      <c r="AV91" s="174">
        <f t="shared" si="28"/>
        <v>36</v>
      </c>
      <c r="AW91" s="173">
        <v>1570</v>
      </c>
      <c r="AX91" s="786">
        <f t="shared" si="21"/>
        <v>24</v>
      </c>
      <c r="AY91" s="787">
        <f t="shared" si="29"/>
        <v>25</v>
      </c>
      <c r="AZ91" s="152"/>
      <c r="BA91" s="152"/>
    </row>
    <row r="92" spans="1:53" x14ac:dyDescent="0.25">
      <c r="A92" s="93"/>
      <c r="B92" s="164">
        <v>516</v>
      </c>
      <c r="C92" s="164" t="s">
        <v>423</v>
      </c>
      <c r="D92" s="165" t="s">
        <v>479</v>
      </c>
      <c r="E92" s="166">
        <v>45557</v>
      </c>
      <c r="F92" s="164" t="s">
        <v>400</v>
      </c>
      <c r="G92" s="164" t="s">
        <v>128</v>
      </c>
      <c r="H92" s="167">
        <v>1036610</v>
      </c>
      <c r="I92" s="167">
        <v>103710</v>
      </c>
      <c r="J92" s="121">
        <v>0</v>
      </c>
      <c r="K92" s="121">
        <v>0</v>
      </c>
      <c r="L92" s="121">
        <v>0</v>
      </c>
      <c r="M92" s="121">
        <v>0</v>
      </c>
      <c r="N92" s="121">
        <v>0</v>
      </c>
      <c r="O92" s="121">
        <v>0</v>
      </c>
      <c r="P92" s="121">
        <v>0</v>
      </c>
      <c r="Q92" s="121">
        <v>0</v>
      </c>
      <c r="R92" s="121">
        <v>0</v>
      </c>
      <c r="S92" s="121">
        <v>0</v>
      </c>
      <c r="T92" s="121">
        <v>0</v>
      </c>
      <c r="U92" s="121">
        <v>0</v>
      </c>
      <c r="V92" s="121">
        <v>0</v>
      </c>
      <c r="W92" s="121">
        <v>0</v>
      </c>
      <c r="X92" s="121">
        <v>0</v>
      </c>
      <c r="Y92" s="121">
        <v>0</v>
      </c>
      <c r="Z92" s="121">
        <v>0</v>
      </c>
      <c r="AA92" s="121">
        <v>0</v>
      </c>
      <c r="AB92" s="121">
        <v>10000</v>
      </c>
      <c r="AC92" s="121">
        <v>6247</v>
      </c>
      <c r="AD92" s="121">
        <v>6247</v>
      </c>
      <c r="AE92" s="121">
        <v>6247</v>
      </c>
      <c r="AF92" s="121">
        <v>6247</v>
      </c>
      <c r="AG92" s="121">
        <v>6247</v>
      </c>
      <c r="AH92" s="121">
        <v>6247</v>
      </c>
      <c r="AI92" s="121">
        <v>0</v>
      </c>
      <c r="AJ92" s="784">
        <f t="shared" si="22"/>
        <v>47482</v>
      </c>
      <c r="AK92" s="149">
        <f t="shared" si="17"/>
        <v>0.45783434577186383</v>
      </c>
      <c r="AL92" s="150">
        <f t="shared" si="23"/>
        <v>-56228</v>
      </c>
      <c r="AM92" s="149">
        <f t="shared" si="18"/>
        <v>-0.54216565422813612</v>
      </c>
      <c r="AN92" s="150">
        <f t="shared" si="19"/>
        <v>989128</v>
      </c>
      <c r="AO92" s="151">
        <f t="shared" si="20"/>
        <v>0.95419492383828053</v>
      </c>
      <c r="AP92" s="154">
        <f t="shared" si="24"/>
        <v>103710</v>
      </c>
      <c r="AQ92" s="154"/>
      <c r="AR92" s="786" t="str">
        <f t="shared" si="25"/>
        <v>Vendido</v>
      </c>
      <c r="AS92" s="786" t="str">
        <f t="shared" si="26"/>
        <v>Cliente Atrasado</v>
      </c>
      <c r="AT92" s="174">
        <v>15</v>
      </c>
      <c r="AU92" s="174">
        <f t="shared" si="27"/>
        <v>1</v>
      </c>
      <c r="AV92" s="174">
        <f t="shared" si="28"/>
        <v>16</v>
      </c>
      <c r="AW92" s="173">
        <v>6247</v>
      </c>
      <c r="AX92" s="786">
        <f t="shared" si="21"/>
        <v>6</v>
      </c>
      <c r="AY92" s="787">
        <f t="shared" si="29"/>
        <v>7</v>
      </c>
      <c r="AZ92" s="152"/>
      <c r="BA92" s="152"/>
    </row>
    <row r="93" spans="1:53" x14ac:dyDescent="0.25">
      <c r="A93" s="93"/>
      <c r="B93" s="164">
        <v>517</v>
      </c>
      <c r="C93" s="164" t="s">
        <v>366</v>
      </c>
      <c r="D93" s="165" t="s">
        <v>1061</v>
      </c>
      <c r="E93" s="166">
        <v>45425</v>
      </c>
      <c r="F93" s="164" t="s">
        <v>175</v>
      </c>
      <c r="G93" s="164" t="s">
        <v>128</v>
      </c>
      <c r="H93" s="167">
        <v>871162.12</v>
      </c>
      <c r="I93" s="167">
        <v>87162.12</v>
      </c>
      <c r="J93" s="121">
        <v>0</v>
      </c>
      <c r="K93" s="121">
        <v>0</v>
      </c>
      <c r="L93" s="121">
        <v>0</v>
      </c>
      <c r="M93" s="121">
        <v>0</v>
      </c>
      <c r="N93" s="121">
        <v>0</v>
      </c>
      <c r="O93" s="121">
        <v>0</v>
      </c>
      <c r="P93" s="121">
        <v>0</v>
      </c>
      <c r="Q93" s="121">
        <v>0</v>
      </c>
      <c r="R93" s="121">
        <v>0</v>
      </c>
      <c r="S93" s="121">
        <v>0</v>
      </c>
      <c r="T93" s="121">
        <v>0</v>
      </c>
      <c r="U93" s="121">
        <v>0</v>
      </c>
      <c r="V93" s="121">
        <v>0</v>
      </c>
      <c r="W93" s="121">
        <v>0</v>
      </c>
      <c r="X93" s="121">
        <v>8000</v>
      </c>
      <c r="Y93" s="121">
        <v>4040</v>
      </c>
      <c r="Z93" s="121">
        <v>4166</v>
      </c>
      <c r="AA93" s="121">
        <v>4166</v>
      </c>
      <c r="AB93" s="121">
        <v>4166</v>
      </c>
      <c r="AC93" s="121">
        <v>4166</v>
      </c>
      <c r="AD93" s="121">
        <f>4166+4166</f>
        <v>8332</v>
      </c>
      <c r="AE93" s="121">
        <v>4166</v>
      </c>
      <c r="AF93" s="121">
        <v>0</v>
      </c>
      <c r="AG93" s="121">
        <v>4166</v>
      </c>
      <c r="AH93" s="121">
        <v>4166</v>
      </c>
      <c r="AI93" s="121">
        <v>4166</v>
      </c>
      <c r="AJ93" s="784">
        <f t="shared" si="22"/>
        <v>53700</v>
      </c>
      <c r="AK93" s="149">
        <f t="shared" si="17"/>
        <v>0.6160933212730485</v>
      </c>
      <c r="AL93" s="150">
        <f t="shared" si="23"/>
        <v>-33462.119999999995</v>
      </c>
      <c r="AM93" s="149">
        <f t="shared" si="18"/>
        <v>-0.38390667872695156</v>
      </c>
      <c r="AN93" s="150">
        <f t="shared" si="19"/>
        <v>817462.12</v>
      </c>
      <c r="AO93" s="151">
        <f t="shared" si="20"/>
        <v>0.93835820134144488</v>
      </c>
      <c r="AP93" s="154">
        <f t="shared" si="24"/>
        <v>87162.12</v>
      </c>
      <c r="AQ93" s="154"/>
      <c r="AR93" s="786" t="str">
        <f t="shared" si="25"/>
        <v>Vendido</v>
      </c>
      <c r="AS93" s="786" t="str">
        <f t="shared" si="26"/>
        <v>Cliente Atrasado</v>
      </c>
      <c r="AT93" s="174">
        <v>16</v>
      </c>
      <c r="AU93" s="174">
        <f t="shared" si="27"/>
        <v>1</v>
      </c>
      <c r="AV93" s="174">
        <f t="shared" si="28"/>
        <v>17</v>
      </c>
      <c r="AW93" s="173">
        <v>4166</v>
      </c>
      <c r="AX93" s="786">
        <f t="shared" si="21"/>
        <v>8</v>
      </c>
      <c r="AY93" s="787">
        <f t="shared" si="29"/>
        <v>11</v>
      </c>
      <c r="AZ93" s="152"/>
      <c r="BA93" s="152"/>
    </row>
    <row r="94" spans="1:53" x14ac:dyDescent="0.25">
      <c r="A94" s="93"/>
      <c r="B94" s="164">
        <v>518</v>
      </c>
      <c r="C94" s="164" t="s">
        <v>423</v>
      </c>
      <c r="D94" s="165" t="s">
        <v>481</v>
      </c>
      <c r="E94" s="166">
        <v>45594</v>
      </c>
      <c r="F94" s="164" t="s">
        <v>456</v>
      </c>
      <c r="G94" s="164" t="s">
        <v>128</v>
      </c>
      <c r="H94" s="167">
        <f>1077766.48+424782.96</f>
        <v>1502549.44</v>
      </c>
      <c r="I94" s="167">
        <v>150549.44</v>
      </c>
      <c r="J94" s="121">
        <v>0</v>
      </c>
      <c r="K94" s="121">
        <v>0</v>
      </c>
      <c r="L94" s="121">
        <v>0</v>
      </c>
      <c r="M94" s="121">
        <v>0</v>
      </c>
      <c r="N94" s="121">
        <v>0</v>
      </c>
      <c r="O94" s="121">
        <v>0</v>
      </c>
      <c r="P94" s="121">
        <v>0</v>
      </c>
      <c r="Q94" s="121">
        <v>0</v>
      </c>
      <c r="R94" s="121">
        <v>0</v>
      </c>
      <c r="S94" s="121">
        <v>0</v>
      </c>
      <c r="T94" s="121">
        <v>0</v>
      </c>
      <c r="U94" s="121">
        <v>0</v>
      </c>
      <c r="V94" s="121">
        <v>0</v>
      </c>
      <c r="W94" s="121">
        <v>0</v>
      </c>
      <c r="X94" s="121">
        <v>0</v>
      </c>
      <c r="Y94" s="121">
        <v>0</v>
      </c>
      <c r="Z94" s="121">
        <v>0</v>
      </c>
      <c r="AA94" s="121">
        <v>0</v>
      </c>
      <c r="AB94" s="121">
        <v>0</v>
      </c>
      <c r="AC94" s="121">
        <v>10000</v>
      </c>
      <c r="AD94" s="121">
        <v>0</v>
      </c>
      <c r="AE94" s="121">
        <v>35000</v>
      </c>
      <c r="AF94" s="121">
        <v>0</v>
      </c>
      <c r="AG94" s="121">
        <v>35000</v>
      </c>
      <c r="AH94" s="121">
        <v>0</v>
      </c>
      <c r="AI94" s="121">
        <v>0</v>
      </c>
      <c r="AJ94" s="784">
        <f t="shared" si="22"/>
        <v>80000</v>
      </c>
      <c r="AK94" s="149">
        <f t="shared" si="17"/>
        <v>0.53138689854973886</v>
      </c>
      <c r="AL94" s="150">
        <f t="shared" si="23"/>
        <v>-70549.440000000002</v>
      </c>
      <c r="AM94" s="149">
        <f t="shared" si="18"/>
        <v>-0.46861310145026114</v>
      </c>
      <c r="AN94" s="150">
        <f t="shared" si="19"/>
        <v>1422549.44</v>
      </c>
      <c r="AO94" s="151">
        <f t="shared" si="20"/>
        <v>0.94675715961798901</v>
      </c>
      <c r="AP94" s="154">
        <f t="shared" si="24"/>
        <v>150549.44</v>
      </c>
      <c r="AQ94" s="154"/>
      <c r="AR94" s="786" t="str">
        <f t="shared" si="25"/>
        <v>Vendido</v>
      </c>
      <c r="AS94" s="786" t="str">
        <f t="shared" si="26"/>
        <v>Cliente Atrasado</v>
      </c>
      <c r="AT94" s="174"/>
      <c r="AU94" s="174">
        <f t="shared" si="27"/>
        <v>0</v>
      </c>
      <c r="AV94" s="174">
        <f t="shared" si="28"/>
        <v>0</v>
      </c>
      <c r="AW94" s="173"/>
      <c r="AX94" s="786">
        <f t="shared" si="21"/>
        <v>23</v>
      </c>
      <c r="AY94" s="787">
        <f t="shared" si="29"/>
        <v>6</v>
      </c>
      <c r="AZ94" s="152"/>
      <c r="BA94" s="152"/>
    </row>
    <row r="95" spans="1:53" x14ac:dyDescent="0.25">
      <c r="A95" s="93"/>
      <c r="B95" s="164">
        <v>519</v>
      </c>
      <c r="C95" s="164"/>
      <c r="D95" s="165"/>
      <c r="E95" s="166"/>
      <c r="F95" s="164" t="s">
        <v>134</v>
      </c>
      <c r="G95" s="164" t="s">
        <v>374</v>
      </c>
      <c r="H95" s="167">
        <v>1529194.3266091</v>
      </c>
      <c r="I95" s="167">
        <f>+H95*0.1</f>
        <v>152919.43266091001</v>
      </c>
      <c r="J95" s="121">
        <v>0</v>
      </c>
      <c r="K95" s="121">
        <v>0</v>
      </c>
      <c r="L95" s="121">
        <v>0</v>
      </c>
      <c r="M95" s="121">
        <v>0</v>
      </c>
      <c r="N95" s="121">
        <v>0</v>
      </c>
      <c r="O95" s="121">
        <v>0</v>
      </c>
      <c r="P95" s="121">
        <v>0</v>
      </c>
      <c r="Q95" s="121">
        <v>0</v>
      </c>
      <c r="R95" s="121">
        <v>0</v>
      </c>
      <c r="S95" s="121">
        <v>0</v>
      </c>
      <c r="T95" s="121">
        <v>0</v>
      </c>
      <c r="U95" s="121">
        <v>0</v>
      </c>
      <c r="V95" s="121">
        <v>0</v>
      </c>
      <c r="W95" s="121">
        <v>0</v>
      </c>
      <c r="X95" s="121">
        <v>0</v>
      </c>
      <c r="Y95" s="121">
        <v>0</v>
      </c>
      <c r="Z95" s="121">
        <v>0</v>
      </c>
      <c r="AA95" s="121">
        <v>0</v>
      </c>
      <c r="AB95" s="121">
        <v>0</v>
      </c>
      <c r="AC95" s="121">
        <v>0</v>
      </c>
      <c r="AD95" s="121">
        <v>0</v>
      </c>
      <c r="AE95" s="121">
        <v>0</v>
      </c>
      <c r="AF95" s="121">
        <v>0</v>
      </c>
      <c r="AG95" s="121">
        <v>0</v>
      </c>
      <c r="AH95" s="121">
        <v>0</v>
      </c>
      <c r="AI95" s="121">
        <v>0</v>
      </c>
      <c r="AJ95" s="784">
        <f t="shared" si="22"/>
        <v>0</v>
      </c>
      <c r="AK95" s="149">
        <f t="shared" si="17"/>
        <v>0</v>
      </c>
      <c r="AL95" s="150">
        <f t="shared" si="23"/>
        <v>0</v>
      </c>
      <c r="AM95" s="149">
        <f t="shared" si="18"/>
        <v>0</v>
      </c>
      <c r="AN95" s="150">
        <f t="shared" si="19"/>
        <v>1529194.3266091</v>
      </c>
      <c r="AO95" s="151">
        <f t="shared" si="20"/>
        <v>1</v>
      </c>
      <c r="AP95" s="154">
        <f t="shared" si="24"/>
        <v>0</v>
      </c>
      <c r="AQ95" s="154"/>
      <c r="AR95" s="786" t="str">
        <f t="shared" si="25"/>
        <v>Apartamento Disponible</v>
      </c>
      <c r="AS95" s="786" t="str">
        <f t="shared" si="26"/>
        <v>Disponible</v>
      </c>
      <c r="AT95" s="174"/>
      <c r="AU95" s="174">
        <f t="shared" si="27"/>
        <v>0</v>
      </c>
      <c r="AV95" s="174">
        <f t="shared" si="28"/>
        <v>0</v>
      </c>
      <c r="AW95" s="173"/>
      <c r="AX95" s="786">
        <f t="shared" si="21"/>
        <v>26</v>
      </c>
      <c r="AY95" s="787">
        <f t="shared" si="29"/>
        <v>1503</v>
      </c>
      <c r="AZ95" s="152"/>
      <c r="BA95" s="152"/>
    </row>
    <row r="96" spans="1:53" x14ac:dyDescent="0.25">
      <c r="A96" s="93"/>
      <c r="B96" s="164">
        <v>601</v>
      </c>
      <c r="C96" s="168" t="s">
        <v>423</v>
      </c>
      <c r="D96" s="165" t="s">
        <v>483</v>
      </c>
      <c r="E96" s="166">
        <v>45580</v>
      </c>
      <c r="F96" s="164" t="s">
        <v>456</v>
      </c>
      <c r="G96" s="164" t="s">
        <v>128</v>
      </c>
      <c r="H96" s="167">
        <v>1477912.8</v>
      </c>
      <c r="I96" s="167">
        <v>147912.79999999999</v>
      </c>
      <c r="J96" s="121">
        <v>0</v>
      </c>
      <c r="K96" s="121">
        <v>0</v>
      </c>
      <c r="L96" s="121">
        <v>0</v>
      </c>
      <c r="M96" s="121">
        <v>0</v>
      </c>
      <c r="N96" s="121">
        <v>0</v>
      </c>
      <c r="O96" s="121">
        <v>0</v>
      </c>
      <c r="P96" s="121">
        <v>0</v>
      </c>
      <c r="Q96" s="121">
        <v>0</v>
      </c>
      <c r="R96" s="121">
        <v>0</v>
      </c>
      <c r="S96" s="121">
        <v>0</v>
      </c>
      <c r="T96" s="121">
        <v>0</v>
      </c>
      <c r="U96" s="121">
        <v>0</v>
      </c>
      <c r="V96" s="121">
        <v>0</v>
      </c>
      <c r="W96" s="121">
        <v>0</v>
      </c>
      <c r="X96" s="121">
        <v>0</v>
      </c>
      <c r="Y96" s="121">
        <v>0</v>
      </c>
      <c r="Z96" s="121">
        <v>0</v>
      </c>
      <c r="AA96" s="121">
        <v>0</v>
      </c>
      <c r="AB96" s="121">
        <v>0</v>
      </c>
      <c r="AC96" s="121">
        <v>10000</v>
      </c>
      <c r="AD96" s="121">
        <v>10000</v>
      </c>
      <c r="AE96" s="121">
        <v>50000</v>
      </c>
      <c r="AF96" s="121">
        <v>10000</v>
      </c>
      <c r="AG96" s="121">
        <v>10000</v>
      </c>
      <c r="AH96" s="121">
        <v>10000</v>
      </c>
      <c r="AI96" s="121">
        <v>0</v>
      </c>
      <c r="AJ96" s="784">
        <f t="shared" si="22"/>
        <v>100000</v>
      </c>
      <c r="AK96" s="149">
        <f t="shared" si="17"/>
        <v>0.67607401117415133</v>
      </c>
      <c r="AL96" s="150">
        <f t="shared" si="23"/>
        <v>-47912.799999999988</v>
      </c>
      <c r="AM96" s="149">
        <f t="shared" si="18"/>
        <v>-0.32392598882584867</v>
      </c>
      <c r="AN96" s="150">
        <f t="shared" si="19"/>
        <v>1377912.8</v>
      </c>
      <c r="AO96" s="151">
        <f t="shared" si="20"/>
        <v>0.93233700932829056</v>
      </c>
      <c r="AP96" s="154">
        <f t="shared" si="24"/>
        <v>147912.79999999999</v>
      </c>
      <c r="AQ96" s="154"/>
      <c r="AR96" s="786" t="str">
        <f t="shared" si="25"/>
        <v>Vendido</v>
      </c>
      <c r="AS96" s="786" t="str">
        <f t="shared" si="26"/>
        <v>Cliente Atrasado</v>
      </c>
      <c r="AT96" s="174"/>
      <c r="AU96" s="174">
        <f t="shared" si="27"/>
        <v>0</v>
      </c>
      <c r="AV96" s="174">
        <f t="shared" si="28"/>
        <v>0</v>
      </c>
      <c r="AW96" s="173"/>
      <c r="AX96" s="786">
        <f t="shared" si="21"/>
        <v>20</v>
      </c>
      <c r="AY96" s="787">
        <f t="shared" si="29"/>
        <v>6</v>
      </c>
      <c r="AZ96" s="152"/>
      <c r="BA96" s="152"/>
    </row>
    <row r="97" spans="1:55" x14ac:dyDescent="0.25">
      <c r="A97" s="93"/>
      <c r="B97" s="164">
        <v>602</v>
      </c>
      <c r="C97" s="164" t="s">
        <v>366</v>
      </c>
      <c r="D97" s="165" t="s">
        <v>746</v>
      </c>
      <c r="E97" s="166">
        <v>45610</v>
      </c>
      <c r="F97" s="164" t="s">
        <v>134</v>
      </c>
      <c r="G97" s="164" t="s">
        <v>137</v>
      </c>
      <c r="H97" s="167">
        <v>1529194.3266091</v>
      </c>
      <c r="I97" s="167">
        <f>+H97*0.1</f>
        <v>152919.43266091001</v>
      </c>
      <c r="J97" s="121">
        <v>0</v>
      </c>
      <c r="K97" s="121">
        <v>0</v>
      </c>
      <c r="L97" s="121">
        <v>0</v>
      </c>
      <c r="M97" s="121">
        <v>0</v>
      </c>
      <c r="N97" s="121">
        <v>0</v>
      </c>
      <c r="O97" s="121">
        <v>0</v>
      </c>
      <c r="P97" s="121">
        <v>0</v>
      </c>
      <c r="Q97" s="121">
        <v>0</v>
      </c>
      <c r="R97" s="121">
        <v>0</v>
      </c>
      <c r="S97" s="121">
        <v>0</v>
      </c>
      <c r="T97" s="121">
        <v>0</v>
      </c>
      <c r="U97" s="121">
        <v>0</v>
      </c>
      <c r="V97" s="121">
        <v>0</v>
      </c>
      <c r="W97" s="121">
        <v>0</v>
      </c>
      <c r="X97" s="121">
        <v>0</v>
      </c>
      <c r="Y97" s="121">
        <v>0</v>
      </c>
      <c r="Z97" s="121">
        <v>0</v>
      </c>
      <c r="AA97" s="121">
        <v>0</v>
      </c>
      <c r="AB97" s="121">
        <v>0</v>
      </c>
      <c r="AC97" s="121">
        <v>0</v>
      </c>
      <c r="AD97" s="121">
        <v>5000</v>
      </c>
      <c r="AE97" s="121">
        <v>0</v>
      </c>
      <c r="AF97" s="121">
        <v>0</v>
      </c>
      <c r="AG97" s="121">
        <v>0</v>
      </c>
      <c r="AH97" s="121">
        <v>0</v>
      </c>
      <c r="AI97" s="121">
        <v>0</v>
      </c>
      <c r="AJ97" s="784">
        <f t="shared" si="22"/>
        <v>5000</v>
      </c>
      <c r="AK97" s="149">
        <f t="shared" si="17"/>
        <v>3.2696956253344275E-2</v>
      </c>
      <c r="AL97" s="150">
        <f t="shared" si="23"/>
        <v>-147919.43266091001</v>
      </c>
      <c r="AM97" s="149">
        <f t="shared" si="18"/>
        <v>-0.96730304374665577</v>
      </c>
      <c r="AN97" s="150">
        <f t="shared" si="19"/>
        <v>1524194.3266091</v>
      </c>
      <c r="AO97" s="151">
        <f t="shared" si="20"/>
        <v>0.99673030437466559</v>
      </c>
      <c r="AP97" s="154">
        <f t="shared" si="24"/>
        <v>152919.43266091001</v>
      </c>
      <c r="AQ97" s="154"/>
      <c r="AR97" s="786" t="str">
        <f t="shared" si="25"/>
        <v>Vendido</v>
      </c>
      <c r="AS97" s="786" t="str">
        <f t="shared" si="26"/>
        <v>Cliente Atrasado</v>
      </c>
      <c r="AT97" s="174"/>
      <c r="AU97" s="174">
        <f t="shared" si="27"/>
        <v>0</v>
      </c>
      <c r="AV97" s="174">
        <f t="shared" si="28"/>
        <v>0</v>
      </c>
      <c r="AW97" s="173"/>
      <c r="AX97" s="786">
        <f t="shared" si="21"/>
        <v>25</v>
      </c>
      <c r="AY97" s="787">
        <f t="shared" si="29"/>
        <v>5</v>
      </c>
      <c r="AZ97" s="152"/>
      <c r="BA97" s="152"/>
    </row>
    <row r="98" spans="1:55" ht="15" customHeight="1" x14ac:dyDescent="0.25">
      <c r="A98" s="93"/>
      <c r="B98" s="164">
        <v>603</v>
      </c>
      <c r="C98" s="164" t="s">
        <v>366</v>
      </c>
      <c r="D98" s="165" t="s">
        <v>485</v>
      </c>
      <c r="E98" s="166">
        <v>45384</v>
      </c>
      <c r="F98" s="164" t="s">
        <v>400</v>
      </c>
      <c r="G98" s="164" t="s">
        <v>128</v>
      </c>
      <c r="H98" s="167">
        <v>901400</v>
      </c>
      <c r="I98" s="167">
        <v>90200</v>
      </c>
      <c r="J98" s="121">
        <v>0</v>
      </c>
      <c r="K98" s="121">
        <v>0</v>
      </c>
      <c r="L98" s="121">
        <v>0</v>
      </c>
      <c r="M98" s="121">
        <v>0</v>
      </c>
      <c r="N98" s="121">
        <v>0</v>
      </c>
      <c r="O98" s="121">
        <v>0</v>
      </c>
      <c r="P98" s="121">
        <v>0</v>
      </c>
      <c r="Q98" s="121">
        <v>0</v>
      </c>
      <c r="R98" s="121">
        <v>0</v>
      </c>
      <c r="S98" s="121">
        <v>0</v>
      </c>
      <c r="T98" s="121">
        <v>0</v>
      </c>
      <c r="U98" s="121">
        <v>0</v>
      </c>
      <c r="V98" s="121">
        <v>0</v>
      </c>
      <c r="W98" s="121">
        <v>8000</v>
      </c>
      <c r="X98" s="121">
        <v>4835</v>
      </c>
      <c r="Y98" s="121">
        <v>4835</v>
      </c>
      <c r="Z98" s="121">
        <v>4835</v>
      </c>
      <c r="AA98" s="121">
        <v>4835</v>
      </c>
      <c r="AB98" s="121">
        <v>4835</v>
      </c>
      <c r="AC98" s="121">
        <f>2417.5+2417.5</f>
        <v>4835</v>
      </c>
      <c r="AD98" s="121">
        <f>2417.5+2417.5</f>
        <v>4835</v>
      </c>
      <c r="AE98" s="121">
        <f>2417.5+2417.5</f>
        <v>4835</v>
      </c>
      <c r="AF98" s="121">
        <f>2417.5+2417.5</f>
        <v>4835</v>
      </c>
      <c r="AG98" s="121">
        <v>0</v>
      </c>
      <c r="AH98" s="121">
        <f>2417.5+2417.5+4835</f>
        <v>9670</v>
      </c>
      <c r="AI98" s="121">
        <v>0</v>
      </c>
      <c r="AJ98" s="784">
        <f t="shared" si="22"/>
        <v>61185</v>
      </c>
      <c r="AK98" s="149">
        <f t="shared" si="17"/>
        <v>0.67832594235033261</v>
      </c>
      <c r="AL98" s="150">
        <f t="shared" si="23"/>
        <v>-29015</v>
      </c>
      <c r="AM98" s="149">
        <f t="shared" si="18"/>
        <v>-0.32167405764966739</v>
      </c>
      <c r="AN98" s="150">
        <f t="shared" si="19"/>
        <v>840215</v>
      </c>
      <c r="AO98" s="151">
        <f t="shared" si="20"/>
        <v>0.93212225427113382</v>
      </c>
      <c r="AP98" s="154">
        <f t="shared" si="24"/>
        <v>90200</v>
      </c>
      <c r="AQ98" s="154"/>
      <c r="AR98" s="786" t="str">
        <f t="shared" si="25"/>
        <v>Vendido</v>
      </c>
      <c r="AS98" s="786" t="str">
        <f t="shared" si="26"/>
        <v>Cliente Atrasado</v>
      </c>
      <c r="AT98" s="174">
        <v>17</v>
      </c>
      <c r="AU98" s="174">
        <f t="shared" si="27"/>
        <v>1</v>
      </c>
      <c r="AV98" s="174">
        <f t="shared" si="28"/>
        <v>18</v>
      </c>
      <c r="AW98" s="173">
        <v>4835</v>
      </c>
      <c r="AX98" s="786">
        <f t="shared" si="21"/>
        <v>9</v>
      </c>
      <c r="AY98" s="787">
        <f t="shared" si="29"/>
        <v>12</v>
      </c>
      <c r="AZ98" s="152"/>
      <c r="BA98" s="152"/>
    </row>
    <row r="99" spans="1:55" x14ac:dyDescent="0.25">
      <c r="A99" s="93"/>
      <c r="B99" s="164">
        <v>604</v>
      </c>
      <c r="C99" s="164" t="s">
        <v>366</v>
      </c>
      <c r="D99" s="165" t="s">
        <v>486</v>
      </c>
      <c r="E99" s="166">
        <v>45411</v>
      </c>
      <c r="F99" s="164" t="s">
        <v>175</v>
      </c>
      <c r="G99" s="164" t="s">
        <v>128</v>
      </c>
      <c r="H99" s="167">
        <v>887400</v>
      </c>
      <c r="I99" s="167">
        <v>88800</v>
      </c>
      <c r="J99" s="121">
        <v>0</v>
      </c>
      <c r="K99" s="121">
        <v>0</v>
      </c>
      <c r="L99" s="121">
        <v>0</v>
      </c>
      <c r="M99" s="121">
        <v>0</v>
      </c>
      <c r="N99" s="121">
        <v>0</v>
      </c>
      <c r="O99" s="121">
        <v>0</v>
      </c>
      <c r="P99" s="121">
        <v>0</v>
      </c>
      <c r="Q99" s="121">
        <v>0</v>
      </c>
      <c r="R99" s="121">
        <v>0</v>
      </c>
      <c r="S99" s="121">
        <v>0</v>
      </c>
      <c r="T99" s="121">
        <v>0</v>
      </c>
      <c r="U99" s="121">
        <v>0</v>
      </c>
      <c r="V99" s="121">
        <v>0</v>
      </c>
      <c r="W99" s="121">
        <v>8000</v>
      </c>
      <c r="X99" s="121">
        <v>4753</v>
      </c>
      <c r="Y99" s="121">
        <v>4753</v>
      </c>
      <c r="Z99" s="121">
        <v>4753</v>
      </c>
      <c r="AA99" s="121">
        <v>4753</v>
      </c>
      <c r="AB99" s="121">
        <v>4753</v>
      </c>
      <c r="AC99" s="121">
        <v>4753</v>
      </c>
      <c r="AD99" s="121">
        <v>4753</v>
      </c>
      <c r="AE99" s="121">
        <v>4753</v>
      </c>
      <c r="AF99" s="121">
        <v>4753</v>
      </c>
      <c r="AG99" s="121">
        <v>4753</v>
      </c>
      <c r="AH99" s="121">
        <v>4753</v>
      </c>
      <c r="AI99" s="121">
        <v>0</v>
      </c>
      <c r="AJ99" s="784">
        <f t="shared" si="22"/>
        <v>60283</v>
      </c>
      <c r="AK99" s="149">
        <f t="shared" si="17"/>
        <v>0.6788626126126126</v>
      </c>
      <c r="AL99" s="150">
        <f t="shared" si="23"/>
        <v>-28517</v>
      </c>
      <c r="AM99" s="149">
        <f t="shared" si="18"/>
        <v>-0.3211373873873874</v>
      </c>
      <c r="AN99" s="150">
        <f t="shared" si="19"/>
        <v>827117</v>
      </c>
      <c r="AO99" s="151">
        <f t="shared" si="20"/>
        <v>0.93206783862970477</v>
      </c>
      <c r="AP99" s="154">
        <f t="shared" si="24"/>
        <v>88800</v>
      </c>
      <c r="AQ99" s="154"/>
      <c r="AR99" s="786" t="str">
        <f t="shared" si="25"/>
        <v>Vendido</v>
      </c>
      <c r="AS99" s="786" t="str">
        <f t="shared" si="26"/>
        <v>Cliente Atrasado</v>
      </c>
      <c r="AT99" s="174">
        <v>17</v>
      </c>
      <c r="AU99" s="174">
        <f t="shared" si="27"/>
        <v>1</v>
      </c>
      <c r="AV99" s="174">
        <f t="shared" si="28"/>
        <v>18</v>
      </c>
      <c r="AW99" s="173">
        <v>4753</v>
      </c>
      <c r="AX99" s="786">
        <f t="shared" si="21"/>
        <v>11</v>
      </c>
      <c r="AY99" s="787">
        <f t="shared" si="29"/>
        <v>12</v>
      </c>
      <c r="AZ99" s="152"/>
      <c r="BA99" s="152"/>
    </row>
    <row r="100" spans="1:55" ht="15" customHeight="1" x14ac:dyDescent="0.25">
      <c r="A100" s="93"/>
      <c r="B100" s="164">
        <v>605</v>
      </c>
      <c r="C100" s="164" t="s">
        <v>366</v>
      </c>
      <c r="D100" s="165" t="s">
        <v>487</v>
      </c>
      <c r="E100" s="166">
        <v>45553</v>
      </c>
      <c r="F100" s="164" t="s">
        <v>461</v>
      </c>
      <c r="G100" s="164" t="s">
        <v>128</v>
      </c>
      <c r="H100" s="167">
        <v>1373505</v>
      </c>
      <c r="I100" s="167">
        <v>137405</v>
      </c>
      <c r="J100" s="121">
        <v>0</v>
      </c>
      <c r="K100" s="121">
        <v>0</v>
      </c>
      <c r="L100" s="121">
        <v>0</v>
      </c>
      <c r="M100" s="121">
        <v>0</v>
      </c>
      <c r="N100" s="121">
        <v>0</v>
      </c>
      <c r="O100" s="121">
        <v>0</v>
      </c>
      <c r="P100" s="121">
        <v>0</v>
      </c>
      <c r="Q100" s="121">
        <v>0</v>
      </c>
      <c r="R100" s="121">
        <v>0</v>
      </c>
      <c r="S100" s="121">
        <v>0</v>
      </c>
      <c r="T100" s="121">
        <v>0</v>
      </c>
      <c r="U100" s="121">
        <v>0</v>
      </c>
      <c r="V100" s="121">
        <v>0</v>
      </c>
      <c r="W100" s="121">
        <v>0</v>
      </c>
      <c r="X100" s="121">
        <v>0</v>
      </c>
      <c r="Y100" s="121">
        <v>0</v>
      </c>
      <c r="Z100" s="121">
        <v>0</v>
      </c>
      <c r="AA100" s="121">
        <v>0</v>
      </c>
      <c r="AB100" s="121">
        <v>10000</v>
      </c>
      <c r="AC100" s="121">
        <v>8494</v>
      </c>
      <c r="AD100" s="121">
        <v>8494</v>
      </c>
      <c r="AE100" s="121">
        <v>8494</v>
      </c>
      <c r="AF100" s="121">
        <v>8494</v>
      </c>
      <c r="AG100" s="121">
        <v>8494</v>
      </c>
      <c r="AH100" s="121">
        <v>8494</v>
      </c>
      <c r="AI100" s="121">
        <v>0</v>
      </c>
      <c r="AJ100" s="784">
        <f t="shared" si="22"/>
        <v>60964</v>
      </c>
      <c r="AK100" s="149">
        <f t="shared" si="17"/>
        <v>0.44368108875222884</v>
      </c>
      <c r="AL100" s="150">
        <f t="shared" si="23"/>
        <v>-76441</v>
      </c>
      <c r="AM100" s="149">
        <f t="shared" si="18"/>
        <v>-0.55631891124777122</v>
      </c>
      <c r="AN100" s="150">
        <f t="shared" si="19"/>
        <v>1312541</v>
      </c>
      <c r="AO100" s="151">
        <f t="shared" si="20"/>
        <v>0.95561428607831789</v>
      </c>
      <c r="AP100" s="154">
        <f t="shared" si="24"/>
        <v>137405</v>
      </c>
      <c r="AQ100" s="154"/>
      <c r="AR100" s="786" t="str">
        <f t="shared" si="25"/>
        <v>Vendido</v>
      </c>
      <c r="AS100" s="786" t="str">
        <f t="shared" si="26"/>
        <v>Cliente Atrasado</v>
      </c>
      <c r="AT100" s="174">
        <v>15</v>
      </c>
      <c r="AU100" s="174">
        <f t="shared" si="27"/>
        <v>1</v>
      </c>
      <c r="AV100" s="174">
        <f t="shared" si="28"/>
        <v>16</v>
      </c>
      <c r="AW100" s="173">
        <v>8494</v>
      </c>
      <c r="AX100" s="786">
        <f t="shared" si="21"/>
        <v>6</v>
      </c>
      <c r="AY100" s="787">
        <f t="shared" si="29"/>
        <v>7</v>
      </c>
      <c r="AZ100" s="152"/>
      <c r="BA100" s="152"/>
    </row>
    <row r="101" spans="1:55" ht="15" customHeight="1" x14ac:dyDescent="0.25">
      <c r="A101" s="93"/>
      <c r="B101" s="164">
        <v>606</v>
      </c>
      <c r="C101" s="164" t="s">
        <v>366</v>
      </c>
      <c r="D101" s="165" t="s">
        <v>488</v>
      </c>
      <c r="E101" s="166">
        <v>45533</v>
      </c>
      <c r="F101" s="164" t="s">
        <v>463</v>
      </c>
      <c r="G101" s="164" t="s">
        <v>128</v>
      </c>
      <c r="H101" s="167">
        <v>1379595</v>
      </c>
      <c r="I101" s="167">
        <v>137995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21">
        <v>0</v>
      </c>
      <c r="P101" s="121">
        <v>0</v>
      </c>
      <c r="Q101" s="121">
        <v>0</v>
      </c>
      <c r="R101" s="121">
        <v>0</v>
      </c>
      <c r="S101" s="121">
        <v>0</v>
      </c>
      <c r="T101" s="121">
        <v>0</v>
      </c>
      <c r="U101" s="121">
        <v>0</v>
      </c>
      <c r="V101" s="121">
        <v>0</v>
      </c>
      <c r="W101" s="121">
        <v>0</v>
      </c>
      <c r="X101" s="121">
        <v>0</v>
      </c>
      <c r="Y101" s="121">
        <v>0</v>
      </c>
      <c r="Z101" s="121">
        <v>0</v>
      </c>
      <c r="AA101" s="121">
        <v>10000</v>
      </c>
      <c r="AB101" s="121">
        <v>8000</v>
      </c>
      <c r="AC101" s="121">
        <v>8000</v>
      </c>
      <c r="AD101" s="121">
        <v>8000</v>
      </c>
      <c r="AE101" s="121">
        <v>8000</v>
      </c>
      <c r="AF101" s="121">
        <v>8000</v>
      </c>
      <c r="AG101" s="121">
        <v>8000</v>
      </c>
      <c r="AH101" s="121">
        <v>8000</v>
      </c>
      <c r="AI101" s="121">
        <v>0</v>
      </c>
      <c r="AJ101" s="784">
        <f t="shared" si="22"/>
        <v>66000</v>
      </c>
      <c r="AK101" s="149">
        <f t="shared" si="17"/>
        <v>0.47827819848545239</v>
      </c>
      <c r="AL101" s="150">
        <f t="shared" si="23"/>
        <v>-71995</v>
      </c>
      <c r="AM101" s="149">
        <f t="shared" si="18"/>
        <v>-0.52172180151454761</v>
      </c>
      <c r="AN101" s="150">
        <f t="shared" si="19"/>
        <v>1313595</v>
      </c>
      <c r="AO101" s="151">
        <f t="shared" si="20"/>
        <v>0.9521598730062083</v>
      </c>
      <c r="AP101" s="154">
        <f t="shared" si="24"/>
        <v>137995</v>
      </c>
      <c r="AQ101" s="154"/>
      <c r="AR101" s="786" t="str">
        <f t="shared" si="25"/>
        <v>Vendido</v>
      </c>
      <c r="AS101" s="786" t="str">
        <f t="shared" si="26"/>
        <v>Cliente Atrasado</v>
      </c>
      <c r="AT101" s="174">
        <v>16</v>
      </c>
      <c r="AU101" s="174">
        <f t="shared" si="27"/>
        <v>1</v>
      </c>
      <c r="AV101" s="174">
        <f t="shared" si="28"/>
        <v>17</v>
      </c>
      <c r="AW101" s="173">
        <v>8000</v>
      </c>
      <c r="AX101" s="786">
        <f t="shared" si="21"/>
        <v>7</v>
      </c>
      <c r="AY101" s="787">
        <f t="shared" si="29"/>
        <v>8</v>
      </c>
      <c r="AZ101" s="152"/>
      <c r="BA101" s="152"/>
    </row>
    <row r="102" spans="1:55" x14ac:dyDescent="0.25">
      <c r="A102" s="93"/>
      <c r="B102" s="164">
        <v>607</v>
      </c>
      <c r="C102" s="164" t="s">
        <v>366</v>
      </c>
      <c r="D102" s="165" t="s">
        <v>1062</v>
      </c>
      <c r="E102" s="166">
        <v>45152</v>
      </c>
      <c r="F102" s="164" t="s">
        <v>465</v>
      </c>
      <c r="G102" s="164" t="s">
        <v>128</v>
      </c>
      <c r="H102" s="167">
        <v>722900</v>
      </c>
      <c r="I102" s="167">
        <v>72300</v>
      </c>
      <c r="J102" s="121">
        <v>0</v>
      </c>
      <c r="K102" s="121">
        <v>0</v>
      </c>
      <c r="L102" s="121">
        <v>0</v>
      </c>
      <c r="M102" s="121">
        <v>0</v>
      </c>
      <c r="N102" s="121">
        <v>0</v>
      </c>
      <c r="O102" s="121">
        <v>6000</v>
      </c>
      <c r="P102" s="121">
        <v>2652</v>
      </c>
      <c r="Q102" s="121">
        <v>2652</v>
      </c>
      <c r="R102" s="121">
        <v>2652</v>
      </c>
      <c r="S102" s="121">
        <v>2652</v>
      </c>
      <c r="T102" s="121">
        <v>2652</v>
      </c>
      <c r="U102" s="121">
        <v>2652</v>
      </c>
      <c r="V102" s="121">
        <v>2652</v>
      </c>
      <c r="W102" s="121">
        <v>2652</v>
      </c>
      <c r="X102" s="121">
        <v>2652</v>
      </c>
      <c r="Y102" s="121">
        <v>0</v>
      </c>
      <c r="Z102" s="121">
        <v>5304</v>
      </c>
      <c r="AA102" s="121">
        <v>2652</v>
      </c>
      <c r="AB102" s="121">
        <v>0</v>
      </c>
      <c r="AC102" s="121">
        <v>2652</v>
      </c>
      <c r="AD102" s="121">
        <v>0</v>
      </c>
      <c r="AE102" s="121">
        <v>0</v>
      </c>
      <c r="AF102" s="121">
        <v>0</v>
      </c>
      <c r="AG102" s="121">
        <v>0</v>
      </c>
      <c r="AH102" s="121">
        <v>0</v>
      </c>
      <c r="AI102" s="121">
        <v>0</v>
      </c>
      <c r="AJ102" s="784">
        <f t="shared" si="22"/>
        <v>40476</v>
      </c>
      <c r="AK102" s="149">
        <f t="shared" si="17"/>
        <v>0.55983402489626555</v>
      </c>
      <c r="AL102" s="150">
        <f t="shared" si="23"/>
        <v>-31824</v>
      </c>
      <c r="AM102" s="149">
        <f t="shared" si="18"/>
        <v>-0.44016597510373445</v>
      </c>
      <c r="AN102" s="150">
        <f t="shared" si="19"/>
        <v>682424</v>
      </c>
      <c r="AO102" s="151">
        <f t="shared" si="20"/>
        <v>0.94400885323004569</v>
      </c>
      <c r="AP102" s="154">
        <f t="shared" si="24"/>
        <v>72300</v>
      </c>
      <c r="AQ102" s="154"/>
      <c r="AR102" s="786" t="str">
        <f t="shared" si="25"/>
        <v>Vendido</v>
      </c>
      <c r="AS102" s="786" t="str">
        <f t="shared" si="26"/>
        <v>Cliente Atrasado</v>
      </c>
      <c r="AT102" s="174">
        <v>25</v>
      </c>
      <c r="AU102" s="174">
        <f t="shared" si="27"/>
        <v>1</v>
      </c>
      <c r="AV102" s="174">
        <f t="shared" si="28"/>
        <v>26</v>
      </c>
      <c r="AW102" s="173">
        <v>2652</v>
      </c>
      <c r="AX102" s="786">
        <f t="shared" si="21"/>
        <v>11</v>
      </c>
      <c r="AY102" s="787">
        <f t="shared" si="29"/>
        <v>20</v>
      </c>
      <c r="AZ102" s="152"/>
      <c r="BA102" s="152"/>
    </row>
    <row r="103" spans="1:55" x14ac:dyDescent="0.25">
      <c r="A103" s="93"/>
      <c r="B103" s="164">
        <v>608</v>
      </c>
      <c r="C103" s="164" t="s">
        <v>366</v>
      </c>
      <c r="D103" s="165" t="s">
        <v>337</v>
      </c>
      <c r="E103" s="166">
        <v>45324</v>
      </c>
      <c r="F103" s="164" t="s">
        <v>467</v>
      </c>
      <c r="G103" s="164" t="s">
        <v>128</v>
      </c>
      <c r="H103" s="167">
        <v>1183693</v>
      </c>
      <c r="I103" s="167">
        <v>118393</v>
      </c>
      <c r="J103" s="121">
        <v>0</v>
      </c>
      <c r="K103" s="121">
        <v>0</v>
      </c>
      <c r="L103" s="121">
        <v>0</v>
      </c>
      <c r="M103" s="121">
        <v>0</v>
      </c>
      <c r="N103" s="121">
        <v>0</v>
      </c>
      <c r="O103" s="121">
        <v>0</v>
      </c>
      <c r="P103" s="121">
        <v>0</v>
      </c>
      <c r="Q103" s="121">
        <v>0</v>
      </c>
      <c r="R103" s="121">
        <v>0</v>
      </c>
      <c r="S103" s="121">
        <v>0</v>
      </c>
      <c r="T103" s="121">
        <v>0</v>
      </c>
      <c r="U103" s="121">
        <v>12000</v>
      </c>
      <c r="V103" s="121">
        <v>0</v>
      </c>
      <c r="W103" s="121">
        <v>15000</v>
      </c>
      <c r="X103" s="121">
        <v>0</v>
      </c>
      <c r="Y103" s="121">
        <v>0</v>
      </c>
      <c r="Z103" s="121">
        <v>0</v>
      </c>
      <c r="AA103" s="121">
        <v>19000</v>
      </c>
      <c r="AB103" s="121">
        <v>0</v>
      </c>
      <c r="AC103" s="121">
        <v>0</v>
      </c>
      <c r="AD103" s="121">
        <v>0</v>
      </c>
      <c r="AE103" s="121">
        <v>0</v>
      </c>
      <c r="AF103" s="121">
        <v>0</v>
      </c>
      <c r="AG103" s="121">
        <v>0</v>
      </c>
      <c r="AH103" s="121">
        <v>0</v>
      </c>
      <c r="AI103" s="121">
        <v>0</v>
      </c>
      <c r="AJ103" s="784">
        <f t="shared" si="22"/>
        <v>46000</v>
      </c>
      <c r="AK103" s="149">
        <f t="shared" si="17"/>
        <v>0.38853648442053162</v>
      </c>
      <c r="AL103" s="150">
        <f t="shared" si="23"/>
        <v>-72393</v>
      </c>
      <c r="AM103" s="149">
        <f t="shared" si="18"/>
        <v>-0.61146351557946843</v>
      </c>
      <c r="AN103" s="150">
        <f t="shared" si="19"/>
        <v>1137693</v>
      </c>
      <c r="AO103" s="151">
        <f t="shared" si="20"/>
        <v>0.96113857224804067</v>
      </c>
      <c r="AP103" s="154">
        <f t="shared" si="24"/>
        <v>118393</v>
      </c>
      <c r="AQ103" s="154"/>
      <c r="AR103" s="786" t="str">
        <f t="shared" si="25"/>
        <v>Vendido</v>
      </c>
      <c r="AS103" s="786" t="str">
        <f t="shared" si="26"/>
        <v>Cliente Atrasado</v>
      </c>
      <c r="AT103" s="174">
        <v>6</v>
      </c>
      <c r="AU103" s="174">
        <f t="shared" si="27"/>
        <v>1</v>
      </c>
      <c r="AV103" s="174">
        <f t="shared" si="28"/>
        <v>7</v>
      </c>
      <c r="AW103" s="173">
        <v>19000</v>
      </c>
      <c r="AX103" s="786">
        <f t="shared" si="21"/>
        <v>1</v>
      </c>
      <c r="AY103" s="787">
        <f t="shared" si="29"/>
        <v>14</v>
      </c>
      <c r="AZ103" s="152"/>
      <c r="BA103" s="152"/>
    </row>
    <row r="104" spans="1:55" ht="15" customHeight="1" x14ac:dyDescent="0.25">
      <c r="A104" s="93"/>
      <c r="B104" s="164">
        <v>609</v>
      </c>
      <c r="C104" s="164" t="s">
        <v>366</v>
      </c>
      <c r="D104" s="165" t="s">
        <v>491</v>
      </c>
      <c r="E104" s="166">
        <v>45434</v>
      </c>
      <c r="F104" s="164" t="s">
        <v>469</v>
      </c>
      <c r="G104" s="164" t="s">
        <v>128</v>
      </c>
      <c r="H104" s="167">
        <v>1181561.5</v>
      </c>
      <c r="I104" s="167">
        <v>118161.5</v>
      </c>
      <c r="J104" s="121">
        <v>0</v>
      </c>
      <c r="K104" s="121">
        <v>0</v>
      </c>
      <c r="L104" s="121">
        <v>0</v>
      </c>
      <c r="M104" s="121">
        <v>0</v>
      </c>
      <c r="N104" s="121">
        <v>0</v>
      </c>
      <c r="O104" s="121">
        <v>0</v>
      </c>
      <c r="P104" s="121">
        <v>0</v>
      </c>
      <c r="Q104" s="121">
        <v>0</v>
      </c>
      <c r="R104" s="121">
        <v>0</v>
      </c>
      <c r="S104" s="121">
        <v>0</v>
      </c>
      <c r="T104" s="121">
        <v>0</v>
      </c>
      <c r="U104" s="121">
        <v>0</v>
      </c>
      <c r="V104" s="121">
        <v>0</v>
      </c>
      <c r="W104" s="121">
        <v>0</v>
      </c>
      <c r="X104" s="121">
        <v>10000</v>
      </c>
      <c r="Y104" s="121">
        <v>5693</v>
      </c>
      <c r="Z104" s="121">
        <v>5693</v>
      </c>
      <c r="AA104" s="121">
        <v>5693</v>
      </c>
      <c r="AB104" s="121">
        <v>11386</v>
      </c>
      <c r="AC104" s="121">
        <v>0</v>
      </c>
      <c r="AD104" s="121">
        <v>5693</v>
      </c>
      <c r="AE104" s="121">
        <v>5693</v>
      </c>
      <c r="AF104" s="121">
        <v>5693</v>
      </c>
      <c r="AG104" s="121">
        <v>5693</v>
      </c>
      <c r="AH104" s="121">
        <v>5693</v>
      </c>
      <c r="AI104" s="121">
        <v>5693</v>
      </c>
      <c r="AJ104" s="784">
        <f t="shared" si="22"/>
        <v>72623</v>
      </c>
      <c r="AK104" s="149">
        <f t="shared" si="17"/>
        <v>0.61460797298612491</v>
      </c>
      <c r="AL104" s="150">
        <f t="shared" si="23"/>
        <v>-45538.5</v>
      </c>
      <c r="AM104" s="149">
        <f t="shared" si="18"/>
        <v>-0.38539202701387509</v>
      </c>
      <c r="AN104" s="150">
        <f t="shared" si="19"/>
        <v>1108938.5</v>
      </c>
      <c r="AO104" s="151">
        <f t="shared" si="20"/>
        <v>0.93853641981394964</v>
      </c>
      <c r="AP104" s="154">
        <f t="shared" si="24"/>
        <v>118161.5</v>
      </c>
      <c r="AQ104" s="154"/>
      <c r="AR104" s="786" t="str">
        <f t="shared" si="25"/>
        <v>Vendido</v>
      </c>
      <c r="AS104" s="786" t="str">
        <f t="shared" si="26"/>
        <v>Cliente Atrasado</v>
      </c>
      <c r="AT104" s="174">
        <v>16</v>
      </c>
      <c r="AU104" s="174">
        <f t="shared" si="27"/>
        <v>1</v>
      </c>
      <c r="AV104" s="174">
        <f t="shared" si="28"/>
        <v>17</v>
      </c>
      <c r="AW104" s="173">
        <v>5693</v>
      </c>
      <c r="AX104" s="786">
        <f t="shared" si="21"/>
        <v>9</v>
      </c>
      <c r="AY104" s="787">
        <f t="shared" si="29"/>
        <v>11</v>
      </c>
      <c r="AZ104" s="152"/>
      <c r="BA104" s="152"/>
    </row>
    <row r="105" spans="1:55" ht="15" customHeight="1" x14ac:dyDescent="0.25">
      <c r="A105" s="93"/>
      <c r="B105" s="164">
        <v>610</v>
      </c>
      <c r="C105" s="164" t="s">
        <v>366</v>
      </c>
      <c r="D105" s="165" t="s">
        <v>492</v>
      </c>
      <c r="E105" s="166">
        <v>45351</v>
      </c>
      <c r="F105" s="164" t="s">
        <v>467</v>
      </c>
      <c r="G105" s="164" t="s">
        <v>128</v>
      </c>
      <c r="H105" s="167">
        <v>1183693</v>
      </c>
      <c r="I105" s="167">
        <v>118393</v>
      </c>
      <c r="J105" s="121">
        <v>0</v>
      </c>
      <c r="K105" s="121">
        <v>0</v>
      </c>
      <c r="L105" s="121">
        <v>0</v>
      </c>
      <c r="M105" s="121">
        <v>0</v>
      </c>
      <c r="N105" s="121">
        <v>0</v>
      </c>
      <c r="O105" s="121">
        <v>0</v>
      </c>
      <c r="P105" s="121">
        <v>0</v>
      </c>
      <c r="Q105" s="121">
        <v>0</v>
      </c>
      <c r="R105" s="121">
        <v>0</v>
      </c>
      <c r="S105" s="121">
        <v>0</v>
      </c>
      <c r="T105" s="121">
        <v>0</v>
      </c>
      <c r="U105" s="121">
        <v>8000</v>
      </c>
      <c r="V105" s="121">
        <v>5810</v>
      </c>
      <c r="W105" s="121">
        <v>5810</v>
      </c>
      <c r="X105" s="121">
        <v>5810</v>
      </c>
      <c r="Y105" s="121">
        <v>5810</v>
      </c>
      <c r="Z105" s="121">
        <v>5810</v>
      </c>
      <c r="AA105" s="121">
        <v>5810</v>
      </c>
      <c r="AB105" s="121">
        <v>5810</v>
      </c>
      <c r="AC105" s="121">
        <v>5810</v>
      </c>
      <c r="AD105" s="121">
        <v>5810</v>
      </c>
      <c r="AE105" s="121">
        <v>5810</v>
      </c>
      <c r="AF105" s="121">
        <v>5810</v>
      </c>
      <c r="AG105" s="121">
        <v>5810</v>
      </c>
      <c r="AH105" s="121">
        <v>5810</v>
      </c>
      <c r="AI105" s="121">
        <v>0</v>
      </c>
      <c r="AJ105" s="784">
        <f t="shared" si="22"/>
        <v>83530</v>
      </c>
      <c r="AK105" s="149">
        <f t="shared" si="17"/>
        <v>0.70553157703580449</v>
      </c>
      <c r="AL105" s="150">
        <f t="shared" si="23"/>
        <v>-34863</v>
      </c>
      <c r="AM105" s="149">
        <f t="shared" si="18"/>
        <v>-0.29446842296419551</v>
      </c>
      <c r="AN105" s="150">
        <f t="shared" si="19"/>
        <v>1100163</v>
      </c>
      <c r="AO105" s="151">
        <f t="shared" si="20"/>
        <v>0.92943271608432254</v>
      </c>
      <c r="AP105" s="154">
        <f t="shared" si="24"/>
        <v>118393</v>
      </c>
      <c r="AQ105" s="154"/>
      <c r="AR105" s="786" t="str">
        <f t="shared" si="25"/>
        <v>Vendido</v>
      </c>
      <c r="AS105" s="786" t="str">
        <f t="shared" si="26"/>
        <v>Cliente Atrasado</v>
      </c>
      <c r="AT105" s="174">
        <v>19</v>
      </c>
      <c r="AU105" s="174">
        <f t="shared" si="27"/>
        <v>1</v>
      </c>
      <c r="AV105" s="174">
        <f t="shared" si="28"/>
        <v>20</v>
      </c>
      <c r="AW105" s="173">
        <v>5810</v>
      </c>
      <c r="AX105" s="786">
        <f t="shared" si="21"/>
        <v>13</v>
      </c>
      <c r="AY105" s="787">
        <f t="shared" si="29"/>
        <v>14</v>
      </c>
      <c r="AZ105" s="152"/>
      <c r="BA105" s="152"/>
    </row>
    <row r="106" spans="1:55" x14ac:dyDescent="0.25">
      <c r="A106" s="86"/>
      <c r="B106" s="164">
        <v>611</v>
      </c>
      <c r="C106" s="164" t="s">
        <v>366</v>
      </c>
      <c r="D106" s="165" t="s">
        <v>493</v>
      </c>
      <c r="E106" s="166">
        <v>45715</v>
      </c>
      <c r="F106" s="164" t="s">
        <v>469</v>
      </c>
      <c r="G106" s="164" t="s">
        <v>137</v>
      </c>
      <c r="H106" s="167">
        <v>1381446.6987563099</v>
      </c>
      <c r="I106" s="167">
        <f>+H106*0.1</f>
        <v>138144.66987563099</v>
      </c>
      <c r="J106" s="121">
        <v>0</v>
      </c>
      <c r="K106" s="121">
        <v>0</v>
      </c>
      <c r="L106" s="121">
        <v>0</v>
      </c>
      <c r="M106" s="121">
        <v>0</v>
      </c>
      <c r="N106" s="121">
        <v>0</v>
      </c>
      <c r="O106" s="121">
        <v>0</v>
      </c>
      <c r="P106" s="121">
        <v>0</v>
      </c>
      <c r="Q106" s="121">
        <v>0</v>
      </c>
      <c r="R106" s="121">
        <v>0</v>
      </c>
      <c r="S106" s="121">
        <v>0</v>
      </c>
      <c r="T106" s="121">
        <v>0</v>
      </c>
      <c r="U106" s="121">
        <v>0</v>
      </c>
      <c r="V106" s="121">
        <v>0</v>
      </c>
      <c r="W106" s="121">
        <v>0</v>
      </c>
      <c r="X106" s="121">
        <v>0</v>
      </c>
      <c r="Y106" s="121">
        <v>0</v>
      </c>
      <c r="Z106" s="121">
        <v>0</v>
      </c>
      <c r="AA106" s="121">
        <v>0</v>
      </c>
      <c r="AB106" s="121">
        <v>0</v>
      </c>
      <c r="AC106" s="121">
        <v>0</v>
      </c>
      <c r="AD106" s="121">
        <v>0</v>
      </c>
      <c r="AE106" s="121">
        <v>0</v>
      </c>
      <c r="AF106" s="121">
        <v>0</v>
      </c>
      <c r="AG106" s="121">
        <v>10000</v>
      </c>
      <c r="AH106" s="121">
        <v>10000</v>
      </c>
      <c r="AI106" s="121">
        <v>0</v>
      </c>
      <c r="AJ106" s="784">
        <f t="shared" si="22"/>
        <v>20000</v>
      </c>
      <c r="AK106" s="149">
        <f t="shared" si="17"/>
        <v>0.14477576310403881</v>
      </c>
      <c r="AL106" s="150">
        <f t="shared" si="23"/>
        <v>-118144.66987563099</v>
      </c>
      <c r="AM106" s="149">
        <f t="shared" si="18"/>
        <v>-0.85522423689596117</v>
      </c>
      <c r="AN106" s="150">
        <f t="shared" si="19"/>
        <v>1361446.6987563099</v>
      </c>
      <c r="AO106" s="151">
        <f t="shared" si="20"/>
        <v>0.98552242368959608</v>
      </c>
      <c r="AP106" s="154">
        <f t="shared" si="24"/>
        <v>138144.66987563099</v>
      </c>
      <c r="AQ106" s="154"/>
      <c r="AR106" s="786" t="str">
        <f t="shared" si="25"/>
        <v>Vendido</v>
      </c>
      <c r="AS106" s="786" t="str">
        <f t="shared" si="26"/>
        <v>Cliente Atrasado</v>
      </c>
      <c r="AT106" s="174"/>
      <c r="AU106" s="174">
        <f t="shared" si="27"/>
        <v>0</v>
      </c>
      <c r="AV106" s="174">
        <f t="shared" si="28"/>
        <v>0</v>
      </c>
      <c r="AW106" s="173"/>
      <c r="AX106" s="786">
        <f t="shared" si="21"/>
        <v>24</v>
      </c>
      <c r="AY106" s="787">
        <f t="shared" si="29"/>
        <v>2</v>
      </c>
      <c r="AZ106" s="152"/>
      <c r="BA106" s="152"/>
      <c r="BC106" s="86" t="s">
        <v>1063</v>
      </c>
    </row>
    <row r="107" spans="1:55" x14ac:dyDescent="0.25">
      <c r="A107" s="93"/>
      <c r="B107" s="164">
        <v>612</v>
      </c>
      <c r="C107" s="164" t="s">
        <v>366</v>
      </c>
      <c r="D107" s="165" t="s">
        <v>760</v>
      </c>
      <c r="E107" s="166">
        <v>45126</v>
      </c>
      <c r="F107" s="164" t="s">
        <v>406</v>
      </c>
      <c r="G107" s="164" t="s">
        <v>128</v>
      </c>
      <c r="H107" s="167">
        <v>703500</v>
      </c>
      <c r="I107" s="167">
        <v>70400</v>
      </c>
      <c r="J107" s="121">
        <v>0</v>
      </c>
      <c r="K107" s="121">
        <v>0</v>
      </c>
      <c r="L107" s="121">
        <v>0</v>
      </c>
      <c r="M107" s="121">
        <v>0</v>
      </c>
      <c r="N107" s="121">
        <v>6000</v>
      </c>
      <c r="O107" s="121">
        <v>2477</v>
      </c>
      <c r="P107" s="121">
        <v>2477</v>
      </c>
      <c r="Q107" s="121">
        <v>2477</v>
      </c>
      <c r="R107" s="121">
        <v>2477</v>
      </c>
      <c r="S107" s="121">
        <v>2477</v>
      </c>
      <c r="T107" s="121">
        <v>2477</v>
      </c>
      <c r="U107" s="121">
        <v>2477</v>
      </c>
      <c r="V107" s="121">
        <v>2477</v>
      </c>
      <c r="W107" s="121">
        <v>2477</v>
      </c>
      <c r="X107" s="121">
        <v>2477</v>
      </c>
      <c r="Y107" s="121">
        <v>2477</v>
      </c>
      <c r="Z107" s="121">
        <v>2477</v>
      </c>
      <c r="AA107" s="121">
        <v>2477</v>
      </c>
      <c r="AB107" s="121">
        <v>0</v>
      </c>
      <c r="AC107" s="121">
        <v>2477</v>
      </c>
      <c r="AD107" s="121">
        <v>2477</v>
      </c>
      <c r="AE107" s="121">
        <v>2477</v>
      </c>
      <c r="AF107" s="121">
        <v>2477</v>
      </c>
      <c r="AG107" s="121">
        <v>0</v>
      </c>
      <c r="AH107" s="121">
        <v>0</v>
      </c>
      <c r="AI107" s="121">
        <v>0</v>
      </c>
      <c r="AJ107" s="784">
        <f t="shared" si="22"/>
        <v>48109</v>
      </c>
      <c r="AK107" s="149">
        <f t="shared" si="17"/>
        <v>0.68336647727272726</v>
      </c>
      <c r="AL107" s="150">
        <f t="shared" si="23"/>
        <v>-22291</v>
      </c>
      <c r="AM107" s="149">
        <f t="shared" si="18"/>
        <v>-0.31663352272727274</v>
      </c>
      <c r="AN107" s="150">
        <f t="shared" si="19"/>
        <v>655391</v>
      </c>
      <c r="AO107" s="151">
        <f t="shared" si="20"/>
        <v>0.93161478322672353</v>
      </c>
      <c r="AP107" s="154">
        <f t="shared" si="24"/>
        <v>70400</v>
      </c>
      <c r="AQ107" s="154"/>
      <c r="AR107" s="786" t="str">
        <f t="shared" si="25"/>
        <v>Vendido</v>
      </c>
      <c r="AS107" s="786" t="str">
        <f t="shared" si="26"/>
        <v>Cliente Atrasado</v>
      </c>
      <c r="AT107" s="174">
        <v>26</v>
      </c>
      <c r="AU107" s="174">
        <f t="shared" si="27"/>
        <v>1</v>
      </c>
      <c r="AV107" s="174">
        <f t="shared" si="28"/>
        <v>27</v>
      </c>
      <c r="AW107" s="173">
        <v>2477</v>
      </c>
      <c r="AX107" s="786">
        <f t="shared" si="21"/>
        <v>17</v>
      </c>
      <c r="AY107" s="787">
        <f t="shared" si="29"/>
        <v>21</v>
      </c>
      <c r="AZ107" s="152"/>
      <c r="BA107" s="152"/>
    </row>
    <row r="108" spans="1:55" x14ac:dyDescent="0.25">
      <c r="A108" s="93"/>
      <c r="B108" s="164">
        <v>613</v>
      </c>
      <c r="C108" s="164" t="s">
        <v>366</v>
      </c>
      <c r="D108" s="165" t="s">
        <v>496</v>
      </c>
      <c r="E108" s="166">
        <v>45126</v>
      </c>
      <c r="F108" s="164" t="s">
        <v>181</v>
      </c>
      <c r="G108" s="164" t="s">
        <v>128</v>
      </c>
      <c r="H108" s="167">
        <v>687500</v>
      </c>
      <c r="I108" s="167">
        <v>68800</v>
      </c>
      <c r="J108" s="121">
        <v>0</v>
      </c>
      <c r="K108" s="121">
        <v>0</v>
      </c>
      <c r="L108" s="121">
        <v>0</v>
      </c>
      <c r="M108" s="121">
        <v>0</v>
      </c>
      <c r="N108" s="121">
        <v>6000</v>
      </c>
      <c r="O108" s="121">
        <v>2415</v>
      </c>
      <c r="P108" s="121">
        <v>2415</v>
      </c>
      <c r="Q108" s="121">
        <v>2415</v>
      </c>
      <c r="R108" s="121">
        <v>2415</v>
      </c>
      <c r="S108" s="121">
        <v>2415</v>
      </c>
      <c r="T108" s="121">
        <v>2415</v>
      </c>
      <c r="U108" s="121">
        <v>2415</v>
      </c>
      <c r="V108" s="121">
        <v>2425</v>
      </c>
      <c r="W108" s="121">
        <v>2415</v>
      </c>
      <c r="X108" s="121">
        <v>2415</v>
      </c>
      <c r="Y108" s="121">
        <v>2415</v>
      </c>
      <c r="Z108" s="121">
        <v>2415</v>
      </c>
      <c r="AA108" s="121">
        <v>2415</v>
      </c>
      <c r="AB108" s="121">
        <v>2415</v>
      </c>
      <c r="AC108" s="121">
        <v>2415</v>
      </c>
      <c r="AD108" s="121">
        <v>0</v>
      </c>
      <c r="AE108" s="121">
        <v>2415</v>
      </c>
      <c r="AF108" s="121">
        <v>2415</v>
      </c>
      <c r="AG108" s="121">
        <v>2415</v>
      </c>
      <c r="AH108" s="121">
        <v>2415</v>
      </c>
      <c r="AI108" s="121">
        <v>0</v>
      </c>
      <c r="AJ108" s="784">
        <f t="shared" si="22"/>
        <v>51895</v>
      </c>
      <c r="AK108" s="149">
        <f t="shared" si="17"/>
        <v>0.75428779069767438</v>
      </c>
      <c r="AL108" s="150">
        <f t="shared" si="23"/>
        <v>-16905</v>
      </c>
      <c r="AM108" s="149">
        <f t="shared" si="18"/>
        <v>-0.24571220930232557</v>
      </c>
      <c r="AN108" s="150">
        <f t="shared" si="19"/>
        <v>635605</v>
      </c>
      <c r="AO108" s="151">
        <f t="shared" si="20"/>
        <v>0.92451636363636369</v>
      </c>
      <c r="AP108" s="154">
        <f t="shared" si="24"/>
        <v>68800</v>
      </c>
      <c r="AQ108" s="154"/>
      <c r="AR108" s="786" t="str">
        <f t="shared" si="25"/>
        <v>Vendido</v>
      </c>
      <c r="AS108" s="786" t="str">
        <f t="shared" si="26"/>
        <v>Cliente Atrasado</v>
      </c>
      <c r="AT108" s="174">
        <v>26</v>
      </c>
      <c r="AU108" s="174">
        <f t="shared" si="27"/>
        <v>1</v>
      </c>
      <c r="AV108" s="174">
        <f t="shared" si="28"/>
        <v>27</v>
      </c>
      <c r="AW108" s="173">
        <v>2415</v>
      </c>
      <c r="AX108" s="786">
        <f t="shared" si="21"/>
        <v>18</v>
      </c>
      <c r="AY108" s="787">
        <f t="shared" si="29"/>
        <v>21</v>
      </c>
      <c r="AZ108" s="152"/>
      <c r="BA108" s="152"/>
    </row>
    <row r="109" spans="1:55" x14ac:dyDescent="0.25">
      <c r="A109" s="93"/>
      <c r="B109" s="164">
        <v>614</v>
      </c>
      <c r="C109" s="164" t="s">
        <v>423</v>
      </c>
      <c r="D109" s="165" t="s">
        <v>757</v>
      </c>
      <c r="E109" s="166">
        <v>45580</v>
      </c>
      <c r="F109" s="164" t="s">
        <v>476</v>
      </c>
      <c r="G109" s="164" t="s">
        <v>128</v>
      </c>
      <c r="H109" s="167">
        <v>1509908.4</v>
      </c>
      <c r="I109" s="167">
        <v>151908.4</v>
      </c>
      <c r="J109" s="121">
        <v>0</v>
      </c>
      <c r="K109" s="121">
        <v>0</v>
      </c>
      <c r="L109" s="121">
        <v>0</v>
      </c>
      <c r="M109" s="121">
        <v>0</v>
      </c>
      <c r="N109" s="121">
        <v>0</v>
      </c>
      <c r="O109" s="121">
        <v>0</v>
      </c>
      <c r="P109" s="121">
        <v>0</v>
      </c>
      <c r="Q109" s="121">
        <v>0</v>
      </c>
      <c r="R109" s="121">
        <v>0</v>
      </c>
      <c r="S109" s="121">
        <v>0</v>
      </c>
      <c r="T109" s="121">
        <v>0</v>
      </c>
      <c r="U109" s="121">
        <v>0</v>
      </c>
      <c r="V109" s="121">
        <v>0</v>
      </c>
      <c r="W109" s="121">
        <v>0</v>
      </c>
      <c r="X109" s="121">
        <v>0</v>
      </c>
      <c r="Y109" s="121">
        <v>0</v>
      </c>
      <c r="Z109" s="121">
        <v>0</v>
      </c>
      <c r="AA109" s="121">
        <v>0</v>
      </c>
      <c r="AB109" s="121">
        <v>0</v>
      </c>
      <c r="AC109" s="121">
        <v>5000</v>
      </c>
      <c r="AD109" s="121">
        <v>5000</v>
      </c>
      <c r="AE109" s="121">
        <v>0</v>
      </c>
      <c r="AF109" s="121">
        <v>0</v>
      </c>
      <c r="AG109" s="121">
        <v>0</v>
      </c>
      <c r="AH109" s="121">
        <v>0</v>
      </c>
      <c r="AI109" s="121">
        <v>0</v>
      </c>
      <c r="AJ109" s="784">
        <f t="shared" si="22"/>
        <v>10000</v>
      </c>
      <c r="AK109" s="149">
        <f t="shared" si="17"/>
        <v>6.5829144405444337E-2</v>
      </c>
      <c r="AL109" s="150">
        <f t="shared" si="23"/>
        <v>-141908.4</v>
      </c>
      <c r="AM109" s="149">
        <f t="shared" si="18"/>
        <v>-0.9341708555945557</v>
      </c>
      <c r="AN109" s="150">
        <f t="shared" si="19"/>
        <v>1499908.4</v>
      </c>
      <c r="AO109" s="151">
        <f t="shared" si="20"/>
        <v>0.99337708168257099</v>
      </c>
      <c r="AP109" s="154">
        <f t="shared" si="24"/>
        <v>151908.4</v>
      </c>
      <c r="AQ109" s="154"/>
      <c r="AR109" s="786" t="str">
        <f t="shared" si="25"/>
        <v>Vendido</v>
      </c>
      <c r="AS109" s="786" t="str">
        <f t="shared" si="26"/>
        <v>Cliente Atrasado</v>
      </c>
      <c r="AT109" s="174"/>
      <c r="AU109" s="174">
        <f t="shared" si="27"/>
        <v>0</v>
      </c>
      <c r="AV109" s="174">
        <f t="shared" si="28"/>
        <v>0</v>
      </c>
      <c r="AW109" s="173"/>
      <c r="AX109" s="786">
        <f t="shared" si="21"/>
        <v>24</v>
      </c>
      <c r="AY109" s="787">
        <f t="shared" si="29"/>
        <v>6</v>
      </c>
      <c r="AZ109" s="152"/>
      <c r="BA109" s="152"/>
    </row>
    <row r="110" spans="1:55" x14ac:dyDescent="0.25">
      <c r="A110" s="93"/>
      <c r="B110" s="164">
        <v>615</v>
      </c>
      <c r="C110" s="164" t="s">
        <v>366</v>
      </c>
      <c r="D110" s="165" t="s">
        <v>499</v>
      </c>
      <c r="E110" s="166">
        <v>45040</v>
      </c>
      <c r="F110" s="164" t="s">
        <v>189</v>
      </c>
      <c r="G110" s="164" t="s">
        <v>128</v>
      </c>
      <c r="H110" s="167">
        <v>611950.009005</v>
      </c>
      <c r="I110" s="167">
        <v>61250.01</v>
      </c>
      <c r="J110" s="121">
        <v>0</v>
      </c>
      <c r="K110" s="121">
        <v>6500</v>
      </c>
      <c r="L110" s="121">
        <v>0</v>
      </c>
      <c r="M110" s="121">
        <v>0</v>
      </c>
      <c r="N110" s="121">
        <v>0</v>
      </c>
      <c r="O110" s="121">
        <v>0</v>
      </c>
      <c r="P110" s="121">
        <v>0</v>
      </c>
      <c r="Q110" s="121">
        <v>0</v>
      </c>
      <c r="R110" s="121">
        <v>0</v>
      </c>
      <c r="S110" s="121">
        <v>0</v>
      </c>
      <c r="T110" s="121">
        <v>1500</v>
      </c>
      <c r="U110" s="121">
        <v>1500</v>
      </c>
      <c r="V110" s="121">
        <v>3000</v>
      </c>
      <c r="W110" s="121">
        <v>0</v>
      </c>
      <c r="X110" s="121">
        <v>1500</v>
      </c>
      <c r="Y110" s="121">
        <v>0</v>
      </c>
      <c r="Z110" s="121">
        <v>0</v>
      </c>
      <c r="AA110" s="121">
        <v>0</v>
      </c>
      <c r="AB110" s="121">
        <v>0</v>
      </c>
      <c r="AC110" s="121">
        <v>0</v>
      </c>
      <c r="AD110" s="121">
        <v>0</v>
      </c>
      <c r="AE110" s="121">
        <v>0</v>
      </c>
      <c r="AF110" s="121">
        <v>0</v>
      </c>
      <c r="AG110" s="121">
        <v>0</v>
      </c>
      <c r="AH110" s="121">
        <v>0</v>
      </c>
      <c r="AI110" s="121">
        <v>0</v>
      </c>
      <c r="AJ110" s="784">
        <f t="shared" si="22"/>
        <v>14000</v>
      </c>
      <c r="AK110" s="149">
        <f t="shared" si="17"/>
        <v>0.22857139125365039</v>
      </c>
      <c r="AL110" s="150">
        <f t="shared" si="23"/>
        <v>-47250.01</v>
      </c>
      <c r="AM110" s="149">
        <f t="shared" si="18"/>
        <v>-0.77142860874634955</v>
      </c>
      <c r="AN110" s="150">
        <f t="shared" si="19"/>
        <v>597950.009005</v>
      </c>
      <c r="AO110" s="151">
        <f t="shared" si="20"/>
        <v>0.97712231425118645</v>
      </c>
      <c r="AP110" s="154">
        <f t="shared" si="24"/>
        <v>61250.01</v>
      </c>
      <c r="AQ110" s="154"/>
      <c r="AR110" s="786" t="str">
        <f t="shared" si="25"/>
        <v>Vendido</v>
      </c>
      <c r="AS110" s="786" t="str">
        <f t="shared" si="26"/>
        <v>Cliente Atrasado</v>
      </c>
      <c r="AT110" s="174">
        <v>29</v>
      </c>
      <c r="AU110" s="174">
        <f t="shared" si="27"/>
        <v>1</v>
      </c>
      <c r="AV110" s="174">
        <f t="shared" si="28"/>
        <v>30</v>
      </c>
      <c r="AW110" s="173">
        <v>1000</v>
      </c>
      <c r="AX110" s="786">
        <f t="shared" si="21"/>
        <v>0</v>
      </c>
      <c r="AY110" s="787">
        <f t="shared" si="29"/>
        <v>24</v>
      </c>
      <c r="AZ110" s="152"/>
      <c r="BA110" s="152"/>
    </row>
    <row r="111" spans="1:55" x14ac:dyDescent="0.25">
      <c r="A111" s="93"/>
      <c r="B111" s="164">
        <v>616</v>
      </c>
      <c r="C111" s="164" t="s">
        <v>366</v>
      </c>
      <c r="D111" s="165" t="s">
        <v>500</v>
      </c>
      <c r="E111" s="166">
        <v>45359</v>
      </c>
      <c r="F111" s="164" t="s">
        <v>400</v>
      </c>
      <c r="G111" s="164" t="s">
        <v>128</v>
      </c>
      <c r="H111" s="167">
        <v>901400</v>
      </c>
      <c r="I111" s="167">
        <v>90200</v>
      </c>
      <c r="J111" s="121">
        <v>0</v>
      </c>
      <c r="K111" s="121">
        <v>0</v>
      </c>
      <c r="L111" s="121">
        <v>0</v>
      </c>
      <c r="M111" s="121">
        <v>0</v>
      </c>
      <c r="N111" s="121">
        <v>0</v>
      </c>
      <c r="O111" s="121">
        <v>0</v>
      </c>
      <c r="P111" s="121">
        <v>0</v>
      </c>
      <c r="Q111" s="121">
        <v>0</v>
      </c>
      <c r="R111" s="121">
        <v>0</v>
      </c>
      <c r="S111" s="121">
        <v>0</v>
      </c>
      <c r="T111" s="121">
        <v>0</v>
      </c>
      <c r="U111" s="121">
        <v>0</v>
      </c>
      <c r="V111" s="121">
        <v>8000</v>
      </c>
      <c r="W111" s="121">
        <v>10000</v>
      </c>
      <c r="X111" s="121">
        <v>0</v>
      </c>
      <c r="Y111" s="121">
        <v>5000</v>
      </c>
      <c r="Z111" s="121">
        <v>5000</v>
      </c>
      <c r="AA111" s="121">
        <v>5000</v>
      </c>
      <c r="AB111" s="121">
        <v>5000</v>
      </c>
      <c r="AC111" s="121">
        <v>5000</v>
      </c>
      <c r="AD111" s="121">
        <v>0</v>
      </c>
      <c r="AE111" s="121">
        <f>5000+5000</f>
        <v>10000</v>
      </c>
      <c r="AF111" s="121">
        <v>5000</v>
      </c>
      <c r="AG111" s="121">
        <v>0</v>
      </c>
      <c r="AH111" s="121">
        <f>5000+5000</f>
        <v>10000</v>
      </c>
      <c r="AI111" s="121">
        <v>0</v>
      </c>
      <c r="AJ111" s="784">
        <f t="shared" si="22"/>
        <v>68000</v>
      </c>
      <c r="AK111" s="149">
        <f t="shared" si="17"/>
        <v>0.75388026607538805</v>
      </c>
      <c r="AL111" s="150">
        <f t="shared" si="23"/>
        <v>-22200</v>
      </c>
      <c r="AM111" s="149">
        <f t="shared" si="18"/>
        <v>-0.24611973392461198</v>
      </c>
      <c r="AN111" s="150">
        <f t="shared" si="19"/>
        <v>833400</v>
      </c>
      <c r="AO111" s="151">
        <f t="shared" si="20"/>
        <v>0.92456179276680717</v>
      </c>
      <c r="AP111" s="154">
        <f t="shared" si="24"/>
        <v>90200</v>
      </c>
      <c r="AQ111" s="154"/>
      <c r="AR111" s="786" t="str">
        <f t="shared" si="25"/>
        <v>Vendido</v>
      </c>
      <c r="AS111" s="786" t="str">
        <f t="shared" si="26"/>
        <v>Cliente Atrasado</v>
      </c>
      <c r="AT111" s="174">
        <v>18</v>
      </c>
      <c r="AU111" s="174">
        <f t="shared" si="27"/>
        <v>1</v>
      </c>
      <c r="AV111" s="174">
        <f t="shared" si="28"/>
        <v>19</v>
      </c>
      <c r="AW111" s="173">
        <v>4567</v>
      </c>
      <c r="AX111" s="786">
        <f t="shared" si="21"/>
        <v>0</v>
      </c>
      <c r="AY111" s="787">
        <f t="shared" si="29"/>
        <v>13</v>
      </c>
      <c r="AZ111" s="152"/>
      <c r="BA111" s="152"/>
    </row>
    <row r="112" spans="1:55" x14ac:dyDescent="0.25">
      <c r="A112" s="93"/>
      <c r="B112" s="164">
        <v>617</v>
      </c>
      <c r="C112" s="164" t="s">
        <v>366</v>
      </c>
      <c r="D112" s="165" t="s">
        <v>502</v>
      </c>
      <c r="E112" s="166">
        <v>45419</v>
      </c>
      <c r="F112" s="164" t="s">
        <v>175</v>
      </c>
      <c r="G112" s="164" t="s">
        <v>128</v>
      </c>
      <c r="H112" s="167">
        <v>887400</v>
      </c>
      <c r="I112" s="167">
        <v>88800</v>
      </c>
      <c r="J112" s="121">
        <v>0</v>
      </c>
      <c r="K112" s="121">
        <v>0</v>
      </c>
      <c r="L112" s="121">
        <v>0</v>
      </c>
      <c r="M112" s="121">
        <v>0</v>
      </c>
      <c r="N112" s="121">
        <v>0</v>
      </c>
      <c r="O112" s="121">
        <v>0</v>
      </c>
      <c r="P112" s="121">
        <v>0</v>
      </c>
      <c r="Q112" s="121">
        <v>0</v>
      </c>
      <c r="R112" s="121">
        <v>0</v>
      </c>
      <c r="S112" s="121">
        <v>0</v>
      </c>
      <c r="T112" s="121">
        <v>0</v>
      </c>
      <c r="U112" s="121">
        <v>0</v>
      </c>
      <c r="V112" s="121">
        <v>0</v>
      </c>
      <c r="W112" s="121">
        <v>0</v>
      </c>
      <c r="X112" s="121">
        <v>12800</v>
      </c>
      <c r="Y112" s="121">
        <v>4000</v>
      </c>
      <c r="Z112" s="121">
        <v>4000</v>
      </c>
      <c r="AA112" s="121">
        <v>4000</v>
      </c>
      <c r="AB112" s="121">
        <v>4000</v>
      </c>
      <c r="AC112" s="121">
        <v>0</v>
      </c>
      <c r="AD112" s="121">
        <v>4000</v>
      </c>
      <c r="AE112" s="121">
        <f>4000+4000</f>
        <v>8000</v>
      </c>
      <c r="AF112" s="121">
        <v>0</v>
      </c>
      <c r="AG112" s="121">
        <f>4000+4000</f>
        <v>8000</v>
      </c>
      <c r="AH112" s="121">
        <v>4000</v>
      </c>
      <c r="AI112" s="121">
        <v>0</v>
      </c>
      <c r="AJ112" s="784">
        <f t="shared" si="22"/>
        <v>52800</v>
      </c>
      <c r="AK112" s="149">
        <f t="shared" si="17"/>
        <v>0.59459459459459463</v>
      </c>
      <c r="AL112" s="150">
        <f t="shared" si="23"/>
        <v>-36000</v>
      </c>
      <c r="AM112" s="149">
        <f t="shared" si="18"/>
        <v>-0.40540540540540543</v>
      </c>
      <c r="AN112" s="150">
        <f t="shared" si="19"/>
        <v>834600</v>
      </c>
      <c r="AO112" s="151">
        <f t="shared" si="20"/>
        <v>0.94050033806626099</v>
      </c>
      <c r="AP112" s="154">
        <f t="shared" si="24"/>
        <v>88800</v>
      </c>
      <c r="AQ112" s="154"/>
      <c r="AR112" s="786" t="str">
        <f t="shared" si="25"/>
        <v>Vendido</v>
      </c>
      <c r="AS112" s="786" t="str">
        <f t="shared" si="26"/>
        <v>Cliente Atrasado</v>
      </c>
      <c r="AT112" s="174">
        <v>16</v>
      </c>
      <c r="AU112" s="174">
        <f t="shared" si="27"/>
        <v>1</v>
      </c>
      <c r="AV112" s="174">
        <f t="shared" si="28"/>
        <v>17</v>
      </c>
      <c r="AW112" s="173">
        <v>4000</v>
      </c>
      <c r="AX112" s="786">
        <f t="shared" si="21"/>
        <v>6</v>
      </c>
      <c r="AY112" s="787">
        <f t="shared" si="29"/>
        <v>11</v>
      </c>
      <c r="AZ112" s="152"/>
      <c r="BA112" s="152"/>
    </row>
    <row r="113" spans="1:53" x14ac:dyDescent="0.25">
      <c r="A113" s="93"/>
      <c r="B113" s="164">
        <v>618</v>
      </c>
      <c r="C113" s="164"/>
      <c r="D113" s="165"/>
      <c r="E113" s="166"/>
      <c r="F113" s="164" t="s">
        <v>456</v>
      </c>
      <c r="G113" s="164" t="s">
        <v>374</v>
      </c>
      <c r="H113" s="167">
        <v>1502549.44216114</v>
      </c>
      <c r="I113" s="167">
        <f>+H113*0.1</f>
        <v>150254.944216114</v>
      </c>
      <c r="J113" s="121">
        <v>0</v>
      </c>
      <c r="K113" s="121">
        <v>0</v>
      </c>
      <c r="L113" s="121">
        <v>0</v>
      </c>
      <c r="M113" s="121">
        <v>0</v>
      </c>
      <c r="N113" s="121">
        <v>0</v>
      </c>
      <c r="O113" s="121">
        <v>0</v>
      </c>
      <c r="P113" s="121">
        <v>0</v>
      </c>
      <c r="Q113" s="121">
        <v>0</v>
      </c>
      <c r="R113" s="121">
        <v>0</v>
      </c>
      <c r="S113" s="121">
        <v>0</v>
      </c>
      <c r="T113" s="121">
        <v>0</v>
      </c>
      <c r="U113" s="121">
        <v>0</v>
      </c>
      <c r="V113" s="121">
        <v>0</v>
      </c>
      <c r="W113" s="121">
        <v>0</v>
      </c>
      <c r="X113" s="121">
        <v>0</v>
      </c>
      <c r="Y113" s="121">
        <v>0</v>
      </c>
      <c r="Z113" s="121">
        <v>0</v>
      </c>
      <c r="AA113" s="121">
        <v>0</v>
      </c>
      <c r="AB113" s="121">
        <v>0</v>
      </c>
      <c r="AC113" s="121">
        <v>0</v>
      </c>
      <c r="AD113" s="121">
        <v>0</v>
      </c>
      <c r="AE113" s="121">
        <v>0</v>
      </c>
      <c r="AF113" s="121">
        <v>0</v>
      </c>
      <c r="AG113" s="121">
        <v>0</v>
      </c>
      <c r="AH113" s="121">
        <v>0</v>
      </c>
      <c r="AI113" s="121">
        <v>0</v>
      </c>
      <c r="AJ113" s="784">
        <f t="shared" si="22"/>
        <v>0</v>
      </c>
      <c r="AK113" s="149">
        <f t="shared" si="17"/>
        <v>0</v>
      </c>
      <c r="AL113" s="150">
        <f t="shared" si="23"/>
        <v>0</v>
      </c>
      <c r="AM113" s="149">
        <f t="shared" si="18"/>
        <v>0</v>
      </c>
      <c r="AN113" s="150">
        <f t="shared" si="19"/>
        <v>1502549.44216114</v>
      </c>
      <c r="AO113" s="151">
        <f t="shared" si="20"/>
        <v>1</v>
      </c>
      <c r="AP113" s="154">
        <f t="shared" si="24"/>
        <v>0</v>
      </c>
      <c r="AQ113" s="154"/>
      <c r="AR113" s="786" t="str">
        <f t="shared" si="25"/>
        <v>Apartamento Disponible</v>
      </c>
      <c r="AS113" s="786" t="str">
        <f t="shared" si="26"/>
        <v>Disponible</v>
      </c>
      <c r="AT113" s="174"/>
      <c r="AU113" s="174">
        <f t="shared" si="27"/>
        <v>0</v>
      </c>
      <c r="AV113" s="174">
        <f t="shared" si="28"/>
        <v>0</v>
      </c>
      <c r="AW113" s="173"/>
      <c r="AX113" s="786">
        <f t="shared" si="21"/>
        <v>26</v>
      </c>
      <c r="AY113" s="787">
        <f t="shared" si="29"/>
        <v>1503</v>
      </c>
      <c r="AZ113" s="152"/>
      <c r="BA113" s="152"/>
    </row>
    <row r="114" spans="1:53" x14ac:dyDescent="0.25">
      <c r="A114" s="93"/>
      <c r="B114" s="164">
        <v>619</v>
      </c>
      <c r="C114" s="164" t="s">
        <v>126</v>
      </c>
      <c r="D114" s="165" t="s">
        <v>505</v>
      </c>
      <c r="E114" s="166">
        <v>45724</v>
      </c>
      <c r="F114" s="164" t="s">
        <v>134</v>
      </c>
      <c r="G114" s="164" t="s">
        <v>137</v>
      </c>
      <c r="H114" s="167">
        <v>1529194.3266091</v>
      </c>
      <c r="I114" s="167">
        <f>+H114*0.1</f>
        <v>152919.43266091001</v>
      </c>
      <c r="J114" s="121">
        <v>0</v>
      </c>
      <c r="K114" s="121">
        <v>0</v>
      </c>
      <c r="L114" s="121">
        <v>0</v>
      </c>
      <c r="M114" s="121">
        <v>0</v>
      </c>
      <c r="N114" s="121">
        <v>0</v>
      </c>
      <c r="O114" s="121">
        <v>0</v>
      </c>
      <c r="P114" s="121">
        <v>0</v>
      </c>
      <c r="Q114" s="121">
        <v>0</v>
      </c>
      <c r="R114" s="121">
        <v>0</v>
      </c>
      <c r="S114" s="121">
        <v>0</v>
      </c>
      <c r="T114" s="121">
        <v>0</v>
      </c>
      <c r="U114" s="121">
        <v>0</v>
      </c>
      <c r="V114" s="121">
        <v>0</v>
      </c>
      <c r="W114" s="121">
        <v>0</v>
      </c>
      <c r="X114" s="121">
        <v>0</v>
      </c>
      <c r="Y114" s="121">
        <v>0</v>
      </c>
      <c r="Z114" s="121">
        <v>0</v>
      </c>
      <c r="AA114" s="121">
        <v>0</v>
      </c>
      <c r="AB114" s="121">
        <v>0</v>
      </c>
      <c r="AC114" s="121">
        <v>0</v>
      </c>
      <c r="AD114" s="121">
        <v>0</v>
      </c>
      <c r="AE114" s="121">
        <v>0</v>
      </c>
      <c r="AF114" s="121">
        <v>0</v>
      </c>
      <c r="AG114" s="121">
        <v>0</v>
      </c>
      <c r="AH114" s="121">
        <v>10000</v>
      </c>
      <c r="AI114" s="121">
        <v>0</v>
      </c>
      <c r="AJ114" s="784">
        <f t="shared" si="22"/>
        <v>10000</v>
      </c>
      <c r="AK114" s="149">
        <f t="shared" si="17"/>
        <v>6.5393912506688551E-2</v>
      </c>
      <c r="AL114" s="150">
        <f t="shared" si="23"/>
        <v>-142919.43266091001</v>
      </c>
      <c r="AM114" s="149">
        <f t="shared" si="18"/>
        <v>-0.93460608749331142</v>
      </c>
      <c r="AN114" s="150">
        <f t="shared" si="19"/>
        <v>1519194.3266091</v>
      </c>
      <c r="AO114" s="151">
        <f t="shared" si="20"/>
        <v>0.99346060874933118</v>
      </c>
      <c r="AP114" s="154">
        <f t="shared" si="24"/>
        <v>152919.43266091001</v>
      </c>
      <c r="AQ114" s="154"/>
      <c r="AR114" s="786" t="str">
        <f t="shared" si="25"/>
        <v>Vendido</v>
      </c>
      <c r="AS114" s="786" t="str">
        <f t="shared" si="26"/>
        <v>Cliente Atrasado</v>
      </c>
      <c r="AT114" s="174"/>
      <c r="AU114" s="174">
        <f t="shared" si="27"/>
        <v>0</v>
      </c>
      <c r="AV114" s="174">
        <f t="shared" si="28"/>
        <v>0</v>
      </c>
      <c r="AW114" s="173"/>
      <c r="AX114" s="786">
        <f t="shared" si="21"/>
        <v>25</v>
      </c>
      <c r="AY114" s="787">
        <f t="shared" si="29"/>
        <v>1</v>
      </c>
      <c r="AZ114" s="152"/>
      <c r="BA114" s="152"/>
    </row>
    <row r="115" spans="1:53" ht="15" customHeight="1" x14ac:dyDescent="0.25">
      <c r="A115" s="93"/>
      <c r="B115" s="164">
        <v>701</v>
      </c>
      <c r="C115" s="164" t="s">
        <v>366</v>
      </c>
      <c r="D115" s="165" t="s">
        <v>506</v>
      </c>
      <c r="E115" s="166">
        <v>45006</v>
      </c>
      <c r="F115" s="164" t="s">
        <v>456</v>
      </c>
      <c r="G115" s="164" t="s">
        <v>128</v>
      </c>
      <c r="H115" s="167">
        <v>1320300</v>
      </c>
      <c r="I115" s="167">
        <v>132100</v>
      </c>
      <c r="J115" s="121">
        <v>6000</v>
      </c>
      <c r="K115" s="121">
        <v>3700</v>
      </c>
      <c r="L115" s="121">
        <v>3506</v>
      </c>
      <c r="M115" s="121">
        <v>3603</v>
      </c>
      <c r="N115" s="121">
        <v>3603</v>
      </c>
      <c r="O115" s="121">
        <v>3603</v>
      </c>
      <c r="P115" s="121">
        <v>3603</v>
      </c>
      <c r="Q115" s="121">
        <v>3603</v>
      </c>
      <c r="R115" s="121">
        <v>3603</v>
      </c>
      <c r="S115" s="121">
        <v>3603</v>
      </c>
      <c r="T115" s="121">
        <v>3603</v>
      </c>
      <c r="U115" s="121">
        <v>3603</v>
      </c>
      <c r="V115" s="121">
        <v>3603</v>
      </c>
      <c r="W115" s="121">
        <v>3603</v>
      </c>
      <c r="X115" s="121">
        <v>3603</v>
      </c>
      <c r="Y115" s="121">
        <v>3603</v>
      </c>
      <c r="Z115" s="121">
        <v>3603</v>
      </c>
      <c r="AA115" s="121">
        <v>3603</v>
      </c>
      <c r="AB115" s="121">
        <v>3603</v>
      </c>
      <c r="AC115" s="121">
        <v>3603</v>
      </c>
      <c r="AD115" s="121">
        <v>3603</v>
      </c>
      <c r="AE115" s="121">
        <v>3603</v>
      </c>
      <c r="AF115" s="121">
        <v>3603</v>
      </c>
      <c r="AG115" s="121">
        <v>3603</v>
      </c>
      <c r="AH115" s="121">
        <v>3603</v>
      </c>
      <c r="AI115" s="121">
        <v>3603</v>
      </c>
      <c r="AJ115" s="784">
        <f t="shared" si="22"/>
        <v>96075</v>
      </c>
      <c r="AK115" s="149">
        <f t="shared" si="17"/>
        <v>0.72728993186979563</v>
      </c>
      <c r="AL115" s="150">
        <f t="shared" si="23"/>
        <v>-36025</v>
      </c>
      <c r="AM115" s="149">
        <f t="shared" si="18"/>
        <v>-0.27271006813020437</v>
      </c>
      <c r="AN115" s="150">
        <f t="shared" si="19"/>
        <v>1224225</v>
      </c>
      <c r="AO115" s="151">
        <f t="shared" si="20"/>
        <v>0.92723244717109743</v>
      </c>
      <c r="AP115" s="154">
        <f t="shared" si="24"/>
        <v>132100</v>
      </c>
      <c r="AQ115" s="154"/>
      <c r="AR115" s="786" t="str">
        <f t="shared" si="25"/>
        <v>Vendido</v>
      </c>
      <c r="AS115" s="786" t="str">
        <f t="shared" si="26"/>
        <v>Cliente Atrasado</v>
      </c>
      <c r="AT115" s="174">
        <v>35</v>
      </c>
      <c r="AU115" s="174">
        <f t="shared" si="27"/>
        <v>1</v>
      </c>
      <c r="AV115" s="174">
        <f t="shared" si="28"/>
        <v>36</v>
      </c>
      <c r="AW115" s="173">
        <v>3603</v>
      </c>
      <c r="AX115" s="786">
        <f t="shared" si="21"/>
        <v>23</v>
      </c>
      <c r="AY115" s="787">
        <f t="shared" si="29"/>
        <v>25</v>
      </c>
      <c r="AZ115" s="152"/>
      <c r="BA115" s="152"/>
    </row>
    <row r="116" spans="1:53" x14ac:dyDescent="0.25">
      <c r="A116" s="93"/>
      <c r="B116" s="164">
        <v>702</v>
      </c>
      <c r="C116" s="164" t="s">
        <v>366</v>
      </c>
      <c r="D116" s="165" t="s">
        <v>1064</v>
      </c>
      <c r="E116" s="166">
        <v>45030</v>
      </c>
      <c r="F116" s="164" t="s">
        <v>134</v>
      </c>
      <c r="G116" s="164" t="s">
        <v>128</v>
      </c>
      <c r="H116" s="167">
        <v>1343800</v>
      </c>
      <c r="I116" s="167">
        <v>134400</v>
      </c>
      <c r="J116" s="121">
        <v>0</v>
      </c>
      <c r="K116" s="121">
        <v>6000</v>
      </c>
      <c r="L116" s="121">
        <v>4428</v>
      </c>
      <c r="M116" s="121">
        <v>4428</v>
      </c>
      <c r="N116" s="121">
        <v>4427</v>
      </c>
      <c r="O116" s="121">
        <v>4429</v>
      </c>
      <c r="P116" s="121">
        <v>4428</v>
      </c>
      <c r="Q116" s="121">
        <v>4428</v>
      </c>
      <c r="R116" s="121">
        <v>4428</v>
      </c>
      <c r="S116" s="121">
        <v>4428</v>
      </c>
      <c r="T116" s="121">
        <v>4428</v>
      </c>
      <c r="U116" s="121">
        <v>4428</v>
      </c>
      <c r="V116" s="121">
        <v>4428</v>
      </c>
      <c r="W116" s="121">
        <v>0</v>
      </c>
      <c r="X116" s="121">
        <v>4428</v>
      </c>
      <c r="Y116" s="121">
        <v>4428</v>
      </c>
      <c r="Z116" s="121">
        <v>4428</v>
      </c>
      <c r="AA116" s="121">
        <v>4428</v>
      </c>
      <c r="AB116" s="121">
        <v>0</v>
      </c>
      <c r="AC116" s="121">
        <v>4428</v>
      </c>
      <c r="AD116" s="121">
        <v>4428</v>
      </c>
      <c r="AE116" s="121">
        <v>4428</v>
      </c>
      <c r="AF116" s="121">
        <v>0</v>
      </c>
      <c r="AG116" s="121">
        <v>4428</v>
      </c>
      <c r="AH116" s="121">
        <v>0</v>
      </c>
      <c r="AI116" s="121">
        <v>4428</v>
      </c>
      <c r="AJ116" s="784">
        <f t="shared" si="22"/>
        <v>94560</v>
      </c>
      <c r="AK116" s="149">
        <f t="shared" si="17"/>
        <v>0.70357142857142863</v>
      </c>
      <c r="AL116" s="150">
        <f t="shared" si="23"/>
        <v>-39840</v>
      </c>
      <c r="AM116" s="149">
        <f t="shared" si="18"/>
        <v>-0.29642857142857143</v>
      </c>
      <c r="AN116" s="150">
        <f t="shared" si="19"/>
        <v>1249240</v>
      </c>
      <c r="AO116" s="151">
        <f t="shared" si="20"/>
        <v>0.92963238577169227</v>
      </c>
      <c r="AP116" s="154">
        <f t="shared" si="24"/>
        <v>134400</v>
      </c>
      <c r="AQ116" s="154"/>
      <c r="AR116" s="786" t="str">
        <f t="shared" si="25"/>
        <v>Vendido</v>
      </c>
      <c r="AS116" s="786" t="str">
        <f t="shared" si="26"/>
        <v>Cliente Atrasado</v>
      </c>
      <c r="AT116" s="174">
        <v>29</v>
      </c>
      <c r="AU116" s="174">
        <f t="shared" si="27"/>
        <v>1</v>
      </c>
      <c r="AV116" s="174">
        <f t="shared" si="28"/>
        <v>30</v>
      </c>
      <c r="AW116" s="173">
        <v>4428</v>
      </c>
      <c r="AX116" s="786">
        <f t="shared" si="21"/>
        <v>18</v>
      </c>
      <c r="AY116" s="787">
        <f t="shared" si="29"/>
        <v>24</v>
      </c>
      <c r="AZ116" s="152"/>
      <c r="BA116" s="152"/>
    </row>
    <row r="117" spans="1:53" x14ac:dyDescent="0.25">
      <c r="A117" s="93"/>
      <c r="B117" s="164">
        <v>703</v>
      </c>
      <c r="C117" s="164" t="s">
        <v>366</v>
      </c>
      <c r="D117" s="165" t="s">
        <v>509</v>
      </c>
      <c r="E117" s="166">
        <v>45358</v>
      </c>
      <c r="F117" s="164" t="s">
        <v>400</v>
      </c>
      <c r="G117" s="164" t="s">
        <v>128</v>
      </c>
      <c r="H117" s="167">
        <v>901400</v>
      </c>
      <c r="I117" s="167">
        <v>90200</v>
      </c>
      <c r="J117" s="121">
        <v>0</v>
      </c>
      <c r="K117" s="121">
        <v>0</v>
      </c>
      <c r="L117" s="121">
        <v>0</v>
      </c>
      <c r="M117" s="121">
        <v>0</v>
      </c>
      <c r="N117" s="121">
        <v>0</v>
      </c>
      <c r="O117" s="121">
        <v>0</v>
      </c>
      <c r="P117" s="121">
        <v>0</v>
      </c>
      <c r="Q117" s="121">
        <v>0</v>
      </c>
      <c r="R117" s="121">
        <v>0</v>
      </c>
      <c r="S117" s="121">
        <v>0</v>
      </c>
      <c r="T117" s="121">
        <v>0</v>
      </c>
      <c r="U117" s="121">
        <v>0</v>
      </c>
      <c r="V117" s="121">
        <v>8000</v>
      </c>
      <c r="W117" s="121">
        <v>4567</v>
      </c>
      <c r="X117" s="121">
        <v>4567</v>
      </c>
      <c r="Y117" s="121">
        <v>4567</v>
      </c>
      <c r="Z117" s="121">
        <v>4567</v>
      </c>
      <c r="AA117" s="121">
        <v>9134</v>
      </c>
      <c r="AB117" s="121">
        <v>4567</v>
      </c>
      <c r="AC117" s="121">
        <v>4567</v>
      </c>
      <c r="AD117" s="121">
        <v>4567</v>
      </c>
      <c r="AE117" s="121">
        <v>0</v>
      </c>
      <c r="AF117" s="121">
        <v>4567</v>
      </c>
      <c r="AG117" s="121">
        <v>4567</v>
      </c>
      <c r="AH117" s="121">
        <v>2000</v>
      </c>
      <c r="AI117" s="121">
        <v>2000</v>
      </c>
      <c r="AJ117" s="784">
        <f t="shared" si="22"/>
        <v>62237</v>
      </c>
      <c r="AK117" s="149">
        <f t="shared" si="17"/>
        <v>0.68998891352549885</v>
      </c>
      <c r="AL117" s="150">
        <f t="shared" si="23"/>
        <v>-27963</v>
      </c>
      <c r="AM117" s="149">
        <f t="shared" si="18"/>
        <v>-0.3100110864745011</v>
      </c>
      <c r="AN117" s="150">
        <f t="shared" si="19"/>
        <v>839163</v>
      </c>
      <c r="AO117" s="151">
        <f t="shared" si="20"/>
        <v>0.93095518082982032</v>
      </c>
      <c r="AP117" s="154">
        <f t="shared" si="24"/>
        <v>90200</v>
      </c>
      <c r="AQ117" s="154"/>
      <c r="AR117" s="786" t="str">
        <f t="shared" si="25"/>
        <v>Vendido</v>
      </c>
      <c r="AS117" s="786" t="str">
        <f t="shared" si="26"/>
        <v>Cliente Atrasado</v>
      </c>
      <c r="AT117" s="174">
        <v>18</v>
      </c>
      <c r="AU117" s="174">
        <f t="shared" si="27"/>
        <v>1</v>
      </c>
      <c r="AV117" s="174">
        <f t="shared" si="28"/>
        <v>19</v>
      </c>
      <c r="AW117" s="173">
        <v>4567</v>
      </c>
      <c r="AX117" s="786">
        <f t="shared" si="21"/>
        <v>9</v>
      </c>
      <c r="AY117" s="787">
        <f t="shared" si="29"/>
        <v>13</v>
      </c>
      <c r="AZ117" s="152"/>
      <c r="BA117" s="152"/>
    </row>
    <row r="118" spans="1:53" ht="15" customHeight="1" x14ac:dyDescent="0.25">
      <c r="A118" s="93"/>
      <c r="B118" s="164">
        <v>704</v>
      </c>
      <c r="C118" s="164" t="s">
        <v>366</v>
      </c>
      <c r="D118" s="165" t="s">
        <v>510</v>
      </c>
      <c r="E118" s="166">
        <v>45397</v>
      </c>
      <c r="F118" s="164" t="s">
        <v>175</v>
      </c>
      <c r="G118" s="164" t="s">
        <v>128</v>
      </c>
      <c r="H118" s="167">
        <v>887400</v>
      </c>
      <c r="I118" s="167">
        <v>88800</v>
      </c>
      <c r="J118" s="121">
        <v>0</v>
      </c>
      <c r="K118" s="121">
        <v>0</v>
      </c>
      <c r="L118" s="121">
        <v>0</v>
      </c>
      <c r="M118" s="121">
        <v>0</v>
      </c>
      <c r="N118" s="121">
        <v>0</v>
      </c>
      <c r="O118" s="121">
        <v>0</v>
      </c>
      <c r="P118" s="121">
        <v>0</v>
      </c>
      <c r="Q118" s="121">
        <v>0</v>
      </c>
      <c r="R118" s="121">
        <v>0</v>
      </c>
      <c r="S118" s="121">
        <v>0</v>
      </c>
      <c r="T118" s="121">
        <v>0</v>
      </c>
      <c r="U118" s="121">
        <v>0</v>
      </c>
      <c r="V118" s="121">
        <v>0</v>
      </c>
      <c r="W118" s="121">
        <v>8000</v>
      </c>
      <c r="X118" s="121">
        <v>4753</v>
      </c>
      <c r="Y118" s="121">
        <v>4753</v>
      </c>
      <c r="Z118" s="121">
        <v>4753</v>
      </c>
      <c r="AA118" s="121">
        <v>4753</v>
      </c>
      <c r="AB118" s="121">
        <v>4753</v>
      </c>
      <c r="AC118" s="121">
        <f>4753+4753</f>
        <v>9506</v>
      </c>
      <c r="AD118" s="121">
        <v>0</v>
      </c>
      <c r="AE118" s="121">
        <f>4753+4753</f>
        <v>9506</v>
      </c>
      <c r="AF118" s="121">
        <v>0</v>
      </c>
      <c r="AG118" s="121">
        <f>4753+4753</f>
        <v>9506</v>
      </c>
      <c r="AH118" s="121">
        <v>4753</v>
      </c>
      <c r="AI118" s="121">
        <v>0</v>
      </c>
      <c r="AJ118" s="784">
        <f t="shared" si="22"/>
        <v>65036</v>
      </c>
      <c r="AK118" s="149">
        <f t="shared" si="17"/>
        <v>0.7323873873873874</v>
      </c>
      <c r="AL118" s="150">
        <f t="shared" si="23"/>
        <v>-23764</v>
      </c>
      <c r="AM118" s="149">
        <f t="shared" si="18"/>
        <v>-0.2676126126126126</v>
      </c>
      <c r="AN118" s="150">
        <f t="shared" si="19"/>
        <v>822364</v>
      </c>
      <c r="AO118" s="151">
        <f t="shared" si="20"/>
        <v>0.92671174216813157</v>
      </c>
      <c r="AP118" s="154">
        <f t="shared" si="24"/>
        <v>88800</v>
      </c>
      <c r="AQ118" s="154"/>
      <c r="AR118" s="786" t="str">
        <f t="shared" si="25"/>
        <v>Vendido</v>
      </c>
      <c r="AS118" s="786" t="str">
        <f t="shared" si="26"/>
        <v>Cliente Atrasado</v>
      </c>
      <c r="AT118" s="174">
        <v>17</v>
      </c>
      <c r="AU118" s="174">
        <f t="shared" si="27"/>
        <v>1</v>
      </c>
      <c r="AV118" s="174">
        <f t="shared" si="28"/>
        <v>18</v>
      </c>
      <c r="AW118" s="173">
        <v>4753</v>
      </c>
      <c r="AX118" s="786">
        <f t="shared" si="21"/>
        <v>6</v>
      </c>
      <c r="AY118" s="787">
        <f t="shared" si="29"/>
        <v>12</v>
      </c>
      <c r="AZ118" s="152"/>
      <c r="BA118" s="152"/>
    </row>
    <row r="119" spans="1:53" x14ac:dyDescent="0.25">
      <c r="A119" s="93"/>
      <c r="B119" s="164">
        <v>705</v>
      </c>
      <c r="C119" s="164" t="s">
        <v>366</v>
      </c>
      <c r="D119" s="165" t="s">
        <v>511</v>
      </c>
      <c r="E119" s="166">
        <v>45699</v>
      </c>
      <c r="F119" s="164" t="s">
        <v>461</v>
      </c>
      <c r="G119" s="164" t="s">
        <v>137</v>
      </c>
      <c r="H119" s="167">
        <v>1396401.17573617</v>
      </c>
      <c r="I119" s="167">
        <v>139701.18</v>
      </c>
      <c r="J119" s="121">
        <v>0</v>
      </c>
      <c r="K119" s="121">
        <v>0</v>
      </c>
      <c r="L119" s="121">
        <v>0</v>
      </c>
      <c r="M119" s="121">
        <v>0</v>
      </c>
      <c r="N119" s="121">
        <v>0</v>
      </c>
      <c r="O119" s="121">
        <v>0</v>
      </c>
      <c r="P119" s="121">
        <v>0</v>
      </c>
      <c r="Q119" s="121">
        <v>0</v>
      </c>
      <c r="R119" s="121">
        <v>0</v>
      </c>
      <c r="S119" s="121">
        <v>0</v>
      </c>
      <c r="T119" s="121">
        <v>0</v>
      </c>
      <c r="U119" s="121">
        <v>0</v>
      </c>
      <c r="V119" s="121">
        <v>0</v>
      </c>
      <c r="W119" s="121">
        <v>0</v>
      </c>
      <c r="X119" s="121">
        <v>0</v>
      </c>
      <c r="Y119" s="121">
        <v>0</v>
      </c>
      <c r="Z119" s="121">
        <v>0</v>
      </c>
      <c r="AA119" s="121">
        <v>0</v>
      </c>
      <c r="AB119" s="121">
        <v>0</v>
      </c>
      <c r="AC119" s="121">
        <v>0</v>
      </c>
      <c r="AD119" s="121">
        <v>0</v>
      </c>
      <c r="AE119" s="121">
        <v>0</v>
      </c>
      <c r="AF119" s="121">
        <v>0</v>
      </c>
      <c r="AG119" s="121">
        <v>10000</v>
      </c>
      <c r="AH119" s="121">
        <v>0</v>
      </c>
      <c r="AI119" s="121">
        <v>0</v>
      </c>
      <c r="AJ119" s="784">
        <f t="shared" si="22"/>
        <v>10000</v>
      </c>
      <c r="AK119" s="149">
        <f t="shared" si="17"/>
        <v>7.1581356721539507E-2</v>
      </c>
      <c r="AL119" s="150">
        <f t="shared" si="23"/>
        <v>-129701.18</v>
      </c>
      <c r="AM119" s="149">
        <f t="shared" si="18"/>
        <v>-0.92841864327846046</v>
      </c>
      <c r="AN119" s="150">
        <f t="shared" si="19"/>
        <v>1386401.17573617</v>
      </c>
      <c r="AO119" s="151">
        <f t="shared" si="20"/>
        <v>0.99283873418773938</v>
      </c>
      <c r="AP119" s="154">
        <f t="shared" si="24"/>
        <v>139701.18</v>
      </c>
      <c r="AQ119" s="154"/>
      <c r="AR119" s="786" t="str">
        <f t="shared" si="25"/>
        <v>Vendido</v>
      </c>
      <c r="AS119" s="786" t="str">
        <f t="shared" si="26"/>
        <v>Cliente Atrasado</v>
      </c>
      <c r="AT119" s="174"/>
      <c r="AU119" s="174">
        <f t="shared" si="27"/>
        <v>0</v>
      </c>
      <c r="AV119" s="174">
        <f t="shared" si="28"/>
        <v>0</v>
      </c>
      <c r="AW119" s="173"/>
      <c r="AX119" s="786">
        <f t="shared" si="21"/>
        <v>25</v>
      </c>
      <c r="AY119" s="787">
        <f t="shared" si="29"/>
        <v>2</v>
      </c>
      <c r="AZ119" s="152"/>
      <c r="BA119" s="152"/>
    </row>
    <row r="120" spans="1:53" x14ac:dyDescent="0.25">
      <c r="A120" s="93"/>
      <c r="B120" s="164">
        <v>706</v>
      </c>
      <c r="C120" s="164" t="s">
        <v>366</v>
      </c>
      <c r="D120" s="165" t="s">
        <v>512</v>
      </c>
      <c r="E120" s="166">
        <v>45728</v>
      </c>
      <c r="F120" s="164" t="s">
        <v>463</v>
      </c>
      <c r="G120" s="164" t="s">
        <v>137</v>
      </c>
      <c r="H120" s="167">
        <v>1402592.6953594901</v>
      </c>
      <c r="I120" s="167">
        <v>140292.70000000001</v>
      </c>
      <c r="J120" s="121">
        <v>0</v>
      </c>
      <c r="K120" s="121">
        <v>0</v>
      </c>
      <c r="L120" s="121">
        <v>0</v>
      </c>
      <c r="M120" s="121">
        <v>0</v>
      </c>
      <c r="N120" s="121">
        <v>0</v>
      </c>
      <c r="O120" s="121">
        <v>0</v>
      </c>
      <c r="P120" s="121">
        <v>0</v>
      </c>
      <c r="Q120" s="121">
        <v>0</v>
      </c>
      <c r="R120" s="121">
        <v>0</v>
      </c>
      <c r="S120" s="121">
        <v>0</v>
      </c>
      <c r="T120" s="121">
        <v>0</v>
      </c>
      <c r="U120" s="121">
        <v>0</v>
      </c>
      <c r="V120" s="121">
        <v>0</v>
      </c>
      <c r="W120" s="121">
        <v>0</v>
      </c>
      <c r="X120" s="121">
        <v>0</v>
      </c>
      <c r="Y120" s="121">
        <v>0</v>
      </c>
      <c r="Z120" s="121">
        <v>0</v>
      </c>
      <c r="AA120" s="121">
        <v>0</v>
      </c>
      <c r="AB120" s="121">
        <v>0</v>
      </c>
      <c r="AC120" s="121">
        <v>0</v>
      </c>
      <c r="AD120" s="121">
        <v>0</v>
      </c>
      <c r="AE120" s="121">
        <v>0</v>
      </c>
      <c r="AF120" s="121">
        <v>0</v>
      </c>
      <c r="AG120" s="121">
        <v>0</v>
      </c>
      <c r="AH120" s="121">
        <v>10000</v>
      </c>
      <c r="AI120" s="121">
        <v>0</v>
      </c>
      <c r="AJ120" s="784">
        <f t="shared" si="22"/>
        <v>10000</v>
      </c>
      <c r="AK120" s="149">
        <f t="shared" si="17"/>
        <v>7.127954626292031E-2</v>
      </c>
      <c r="AL120" s="150">
        <f t="shared" si="23"/>
        <v>-130292.70000000001</v>
      </c>
      <c r="AM120" s="149">
        <f t="shared" si="18"/>
        <v>-0.92872045373707968</v>
      </c>
      <c r="AN120" s="150">
        <f t="shared" si="19"/>
        <v>1392592.6953594901</v>
      </c>
      <c r="AO120" s="151">
        <f t="shared" si="20"/>
        <v>0.99287034644263783</v>
      </c>
      <c r="AP120" s="154">
        <f t="shared" si="24"/>
        <v>140292.70000000001</v>
      </c>
      <c r="AQ120" s="154"/>
      <c r="AR120" s="786" t="str">
        <f t="shared" si="25"/>
        <v>Vendido</v>
      </c>
      <c r="AS120" s="786" t="str">
        <f t="shared" si="26"/>
        <v>Cliente Atrasado</v>
      </c>
      <c r="AT120" s="174"/>
      <c r="AU120" s="174">
        <f t="shared" si="27"/>
        <v>0</v>
      </c>
      <c r="AV120" s="174">
        <f t="shared" si="28"/>
        <v>0</v>
      </c>
      <c r="AW120" s="173"/>
      <c r="AX120" s="786">
        <f t="shared" si="21"/>
        <v>25</v>
      </c>
      <c r="AY120" s="787">
        <f t="shared" si="29"/>
        <v>1</v>
      </c>
      <c r="AZ120" s="152"/>
      <c r="BA120" s="152"/>
    </row>
    <row r="121" spans="1:53" x14ac:dyDescent="0.25">
      <c r="A121" s="93"/>
      <c r="B121" s="172">
        <v>707</v>
      </c>
      <c r="C121" s="164" t="s">
        <v>366</v>
      </c>
      <c r="D121" s="165" t="s">
        <v>1065</v>
      </c>
      <c r="E121" s="166">
        <v>45751</v>
      </c>
      <c r="F121" s="164" t="s">
        <v>465</v>
      </c>
      <c r="G121" s="164" t="s">
        <v>137</v>
      </c>
      <c r="H121" s="167">
        <v>789045</v>
      </c>
      <c r="I121" s="167">
        <v>72300</v>
      </c>
      <c r="J121" s="121">
        <v>0</v>
      </c>
      <c r="K121" s="121">
        <v>0</v>
      </c>
      <c r="L121" s="121">
        <v>0</v>
      </c>
      <c r="M121" s="121">
        <v>0</v>
      </c>
      <c r="N121" s="121">
        <v>0</v>
      </c>
      <c r="O121" s="121">
        <v>0</v>
      </c>
      <c r="P121" s="121">
        <v>0</v>
      </c>
      <c r="Q121" s="121">
        <v>0</v>
      </c>
      <c r="R121" s="121">
        <v>0</v>
      </c>
      <c r="S121" s="121">
        <v>0</v>
      </c>
      <c r="T121" s="121">
        <v>0</v>
      </c>
      <c r="U121" s="121">
        <v>0</v>
      </c>
      <c r="V121" s="121">
        <v>0</v>
      </c>
      <c r="W121" s="121">
        <v>0</v>
      </c>
      <c r="X121" s="121">
        <v>0</v>
      </c>
      <c r="Y121" s="121">
        <v>0</v>
      </c>
      <c r="Z121" s="121">
        <v>0</v>
      </c>
      <c r="AA121" s="121">
        <v>0</v>
      </c>
      <c r="AB121" s="121">
        <v>0</v>
      </c>
      <c r="AC121" s="121">
        <v>0</v>
      </c>
      <c r="AD121" s="121">
        <v>0</v>
      </c>
      <c r="AE121" s="121">
        <v>0</v>
      </c>
      <c r="AF121" s="121">
        <v>0</v>
      </c>
      <c r="AG121" s="121">
        <v>0</v>
      </c>
      <c r="AH121" s="121">
        <v>0</v>
      </c>
      <c r="AI121" s="121">
        <v>0</v>
      </c>
      <c r="AJ121" s="784">
        <f t="shared" si="22"/>
        <v>0</v>
      </c>
      <c r="AK121" s="149">
        <f t="shared" si="17"/>
        <v>0</v>
      </c>
      <c r="AL121" s="150">
        <f t="shared" si="23"/>
        <v>-72300</v>
      </c>
      <c r="AM121" s="149">
        <f t="shared" si="18"/>
        <v>-1</v>
      </c>
      <c r="AN121" s="150">
        <f t="shared" si="19"/>
        <v>789045</v>
      </c>
      <c r="AO121" s="151">
        <f t="shared" si="20"/>
        <v>1</v>
      </c>
      <c r="AP121" s="154">
        <f t="shared" si="24"/>
        <v>72300</v>
      </c>
      <c r="AQ121" s="154"/>
      <c r="AR121" s="786" t="str">
        <f t="shared" si="25"/>
        <v>Vendido</v>
      </c>
      <c r="AS121" s="786" t="str">
        <f t="shared" si="26"/>
        <v>Cliente Atrasado</v>
      </c>
      <c r="AT121" s="174"/>
      <c r="AU121" s="174">
        <f t="shared" si="27"/>
        <v>0</v>
      </c>
      <c r="AV121" s="174">
        <f t="shared" si="28"/>
        <v>0</v>
      </c>
      <c r="AW121" s="173"/>
      <c r="AX121" s="786">
        <f t="shared" si="21"/>
        <v>26</v>
      </c>
      <c r="AY121" s="787">
        <f t="shared" si="29"/>
        <v>0</v>
      </c>
      <c r="AZ121" s="152"/>
      <c r="BA121" s="152"/>
    </row>
    <row r="122" spans="1:53" x14ac:dyDescent="0.25">
      <c r="A122" s="93"/>
      <c r="B122" s="164">
        <v>708</v>
      </c>
      <c r="C122" s="164" t="s">
        <v>366</v>
      </c>
      <c r="D122" s="165" t="s">
        <v>338</v>
      </c>
      <c r="E122" s="166">
        <v>45321</v>
      </c>
      <c r="F122" s="164" t="s">
        <v>467</v>
      </c>
      <c r="G122" s="164" t="s">
        <v>128</v>
      </c>
      <c r="H122" s="167">
        <v>1183693</v>
      </c>
      <c r="I122" s="167">
        <v>118393</v>
      </c>
      <c r="J122" s="121">
        <v>0</v>
      </c>
      <c r="K122" s="121">
        <v>0</v>
      </c>
      <c r="L122" s="121">
        <v>0</v>
      </c>
      <c r="M122" s="121">
        <v>0</v>
      </c>
      <c r="N122" s="121">
        <v>0</v>
      </c>
      <c r="O122" s="121">
        <v>0</v>
      </c>
      <c r="P122" s="121">
        <v>0</v>
      </c>
      <c r="Q122" s="121">
        <v>0</v>
      </c>
      <c r="R122" s="121">
        <v>0</v>
      </c>
      <c r="S122" s="121">
        <v>0</v>
      </c>
      <c r="T122" s="121">
        <v>7600</v>
      </c>
      <c r="U122" s="121">
        <v>4000</v>
      </c>
      <c r="V122" s="121">
        <v>0</v>
      </c>
      <c r="W122" s="121">
        <v>15000</v>
      </c>
      <c r="X122" s="121">
        <v>0</v>
      </c>
      <c r="Y122" s="121">
        <v>0</v>
      </c>
      <c r="Z122" s="121">
        <v>0</v>
      </c>
      <c r="AA122" s="121">
        <v>19000</v>
      </c>
      <c r="AB122" s="121">
        <v>0</v>
      </c>
      <c r="AC122" s="121">
        <v>0</v>
      </c>
      <c r="AD122" s="121">
        <v>0</v>
      </c>
      <c r="AE122" s="121">
        <v>0</v>
      </c>
      <c r="AF122" s="121">
        <v>0</v>
      </c>
      <c r="AG122" s="121">
        <v>0</v>
      </c>
      <c r="AH122" s="121">
        <v>0</v>
      </c>
      <c r="AI122" s="121">
        <v>0</v>
      </c>
      <c r="AJ122" s="784">
        <f t="shared" si="22"/>
        <v>45600</v>
      </c>
      <c r="AK122" s="149">
        <f t="shared" si="17"/>
        <v>0.38515790629513569</v>
      </c>
      <c r="AL122" s="150">
        <f t="shared" si="23"/>
        <v>-72793</v>
      </c>
      <c r="AM122" s="149">
        <f t="shared" si="18"/>
        <v>-0.61484209370486431</v>
      </c>
      <c r="AN122" s="150">
        <f t="shared" si="19"/>
        <v>1138093</v>
      </c>
      <c r="AO122" s="151">
        <f t="shared" si="20"/>
        <v>0.96147649770675336</v>
      </c>
      <c r="AP122" s="154">
        <f t="shared" si="24"/>
        <v>118393</v>
      </c>
      <c r="AQ122" s="154"/>
      <c r="AR122" s="786" t="str">
        <f t="shared" si="25"/>
        <v>Vendido</v>
      </c>
      <c r="AS122" s="786" t="str">
        <f t="shared" si="26"/>
        <v>Cliente Atrasado</v>
      </c>
      <c r="AT122" s="174">
        <v>6</v>
      </c>
      <c r="AU122" s="174">
        <f t="shared" si="27"/>
        <v>1</v>
      </c>
      <c r="AV122" s="174">
        <f t="shared" si="28"/>
        <v>7</v>
      </c>
      <c r="AW122" s="173">
        <v>19000</v>
      </c>
      <c r="AX122" s="786">
        <f t="shared" si="21"/>
        <v>1</v>
      </c>
      <c r="AY122" s="787">
        <f t="shared" si="29"/>
        <v>15</v>
      </c>
      <c r="AZ122" s="152"/>
      <c r="BA122" s="152"/>
    </row>
    <row r="123" spans="1:53" x14ac:dyDescent="0.25">
      <c r="A123" s="93"/>
      <c r="B123" s="164">
        <v>709</v>
      </c>
      <c r="C123" s="164"/>
      <c r="D123" s="165"/>
      <c r="E123" s="166"/>
      <c r="F123" s="164" t="s">
        <v>469</v>
      </c>
      <c r="G123" s="164" t="s">
        <v>374</v>
      </c>
      <c r="H123" s="167">
        <v>1381446.6987563099</v>
      </c>
      <c r="I123" s="167">
        <f>+H123*0.1</f>
        <v>138144.66987563099</v>
      </c>
      <c r="J123" s="121">
        <v>0</v>
      </c>
      <c r="K123" s="121">
        <v>0</v>
      </c>
      <c r="L123" s="121">
        <v>0</v>
      </c>
      <c r="M123" s="121">
        <v>0</v>
      </c>
      <c r="N123" s="121">
        <v>0</v>
      </c>
      <c r="O123" s="121">
        <v>0</v>
      </c>
      <c r="P123" s="121">
        <v>0</v>
      </c>
      <c r="Q123" s="121">
        <v>0</v>
      </c>
      <c r="R123" s="121">
        <v>0</v>
      </c>
      <c r="S123" s="121">
        <v>0</v>
      </c>
      <c r="T123" s="121">
        <v>0</v>
      </c>
      <c r="U123" s="121">
        <v>0</v>
      </c>
      <c r="V123" s="121">
        <v>0</v>
      </c>
      <c r="W123" s="121">
        <v>0</v>
      </c>
      <c r="X123" s="121">
        <v>0</v>
      </c>
      <c r="Y123" s="121">
        <v>0</v>
      </c>
      <c r="Z123" s="121">
        <v>0</v>
      </c>
      <c r="AA123" s="121">
        <v>0</v>
      </c>
      <c r="AB123" s="121">
        <v>0</v>
      </c>
      <c r="AC123" s="121">
        <v>0</v>
      </c>
      <c r="AD123" s="121">
        <v>0</v>
      </c>
      <c r="AE123" s="121">
        <v>0</v>
      </c>
      <c r="AF123" s="121">
        <v>0</v>
      </c>
      <c r="AG123" s="121">
        <v>0</v>
      </c>
      <c r="AH123" s="121">
        <v>0</v>
      </c>
      <c r="AI123" s="121">
        <v>0</v>
      </c>
      <c r="AJ123" s="784">
        <f t="shared" si="22"/>
        <v>0</v>
      </c>
      <c r="AK123" s="149">
        <f t="shared" si="17"/>
        <v>0</v>
      </c>
      <c r="AL123" s="150">
        <f t="shared" si="23"/>
        <v>0</v>
      </c>
      <c r="AM123" s="149">
        <f t="shared" si="18"/>
        <v>0</v>
      </c>
      <c r="AN123" s="150">
        <f t="shared" si="19"/>
        <v>1381446.6987563099</v>
      </c>
      <c r="AO123" s="151">
        <f t="shared" si="20"/>
        <v>1</v>
      </c>
      <c r="AP123" s="154">
        <f t="shared" si="24"/>
        <v>0</v>
      </c>
      <c r="AQ123" s="154"/>
      <c r="AR123" s="786" t="str">
        <f t="shared" si="25"/>
        <v>Apartamento Disponible</v>
      </c>
      <c r="AS123" s="786" t="str">
        <f t="shared" si="26"/>
        <v>Disponible</v>
      </c>
      <c r="AT123" s="174"/>
      <c r="AU123" s="174">
        <f t="shared" si="27"/>
        <v>0</v>
      </c>
      <c r="AV123" s="174">
        <f t="shared" si="28"/>
        <v>0</v>
      </c>
      <c r="AW123" s="173"/>
      <c r="AX123" s="786">
        <f t="shared" si="21"/>
        <v>26</v>
      </c>
      <c r="AY123" s="787">
        <f t="shared" si="29"/>
        <v>1503</v>
      </c>
      <c r="AZ123" s="152"/>
      <c r="BA123" s="152"/>
    </row>
    <row r="124" spans="1:53" x14ac:dyDescent="0.25">
      <c r="A124" s="93"/>
      <c r="B124" s="164">
        <v>710</v>
      </c>
      <c r="C124" s="164"/>
      <c r="D124" s="165"/>
      <c r="E124" s="166"/>
      <c r="F124" s="164" t="s">
        <v>467</v>
      </c>
      <c r="G124" s="164" t="s">
        <v>374</v>
      </c>
      <c r="H124" s="167">
        <v>1185640.42442039</v>
      </c>
      <c r="I124" s="167">
        <f>+H124*0.1</f>
        <v>118564.042442039</v>
      </c>
      <c r="J124" s="121">
        <v>0</v>
      </c>
      <c r="K124" s="121">
        <v>0</v>
      </c>
      <c r="L124" s="121">
        <v>0</v>
      </c>
      <c r="M124" s="121">
        <v>0</v>
      </c>
      <c r="N124" s="121">
        <v>0</v>
      </c>
      <c r="O124" s="121">
        <v>0</v>
      </c>
      <c r="P124" s="121">
        <v>0</v>
      </c>
      <c r="Q124" s="121">
        <v>0</v>
      </c>
      <c r="R124" s="121">
        <v>0</v>
      </c>
      <c r="S124" s="121">
        <v>0</v>
      </c>
      <c r="T124" s="121">
        <v>0</v>
      </c>
      <c r="U124" s="121">
        <v>0</v>
      </c>
      <c r="V124" s="121">
        <v>0</v>
      </c>
      <c r="W124" s="121">
        <v>0</v>
      </c>
      <c r="X124" s="121">
        <v>0</v>
      </c>
      <c r="Y124" s="121">
        <v>0</v>
      </c>
      <c r="Z124" s="121">
        <v>0</v>
      </c>
      <c r="AA124" s="121">
        <v>0</v>
      </c>
      <c r="AB124" s="121">
        <v>0</v>
      </c>
      <c r="AC124" s="121">
        <v>0</v>
      </c>
      <c r="AD124" s="121">
        <v>0</v>
      </c>
      <c r="AE124" s="121">
        <v>0</v>
      </c>
      <c r="AF124" s="121">
        <v>0</v>
      </c>
      <c r="AG124" s="121">
        <v>0</v>
      </c>
      <c r="AH124" s="121">
        <v>0</v>
      </c>
      <c r="AI124" s="121">
        <v>0</v>
      </c>
      <c r="AJ124" s="784">
        <f t="shared" si="22"/>
        <v>0</v>
      </c>
      <c r="AK124" s="149">
        <f t="shared" si="17"/>
        <v>0</v>
      </c>
      <c r="AL124" s="150">
        <f t="shared" si="23"/>
        <v>0</v>
      </c>
      <c r="AM124" s="149">
        <f t="shared" si="18"/>
        <v>0</v>
      </c>
      <c r="AN124" s="150">
        <f t="shared" si="19"/>
        <v>1185640.42442039</v>
      </c>
      <c r="AO124" s="151">
        <f t="shared" si="20"/>
        <v>1</v>
      </c>
      <c r="AP124" s="154">
        <f t="shared" si="24"/>
        <v>0</v>
      </c>
      <c r="AQ124" s="154"/>
      <c r="AR124" s="786" t="str">
        <f t="shared" si="25"/>
        <v>Apartamento Disponible</v>
      </c>
      <c r="AS124" s="786" t="str">
        <f t="shared" si="26"/>
        <v>Disponible</v>
      </c>
      <c r="AT124" s="174"/>
      <c r="AU124" s="174">
        <f t="shared" si="27"/>
        <v>0</v>
      </c>
      <c r="AV124" s="174">
        <f t="shared" si="28"/>
        <v>0</v>
      </c>
      <c r="AW124" s="173"/>
      <c r="AX124" s="786">
        <f t="shared" si="21"/>
        <v>26</v>
      </c>
      <c r="AY124" s="787">
        <f t="shared" si="29"/>
        <v>1503</v>
      </c>
      <c r="AZ124" s="152"/>
      <c r="BA124" s="152"/>
    </row>
    <row r="125" spans="1:53" x14ac:dyDescent="0.25">
      <c r="A125" s="93"/>
      <c r="B125" s="164">
        <v>711</v>
      </c>
      <c r="C125" s="164" t="s">
        <v>423</v>
      </c>
      <c r="D125" s="165" t="s">
        <v>518</v>
      </c>
      <c r="E125" s="166">
        <v>45626</v>
      </c>
      <c r="F125" s="164" t="s">
        <v>469</v>
      </c>
      <c r="G125" s="164" t="s">
        <v>128</v>
      </c>
      <c r="H125" s="167">
        <v>1181561.5</v>
      </c>
      <c r="I125" s="167">
        <v>118161.5</v>
      </c>
      <c r="J125" s="121">
        <v>0</v>
      </c>
      <c r="K125" s="121">
        <v>0</v>
      </c>
      <c r="L125" s="121">
        <v>0</v>
      </c>
      <c r="M125" s="121">
        <v>0</v>
      </c>
      <c r="N125" s="121">
        <v>0</v>
      </c>
      <c r="O125" s="121">
        <v>0</v>
      </c>
      <c r="P125" s="121">
        <v>0</v>
      </c>
      <c r="Q125" s="121">
        <v>0</v>
      </c>
      <c r="R125" s="121">
        <v>0</v>
      </c>
      <c r="S125" s="121">
        <v>0</v>
      </c>
      <c r="T125" s="121">
        <v>0</v>
      </c>
      <c r="U125" s="121">
        <v>0</v>
      </c>
      <c r="V125" s="121">
        <v>0</v>
      </c>
      <c r="W125" s="121">
        <v>0</v>
      </c>
      <c r="X125" s="121">
        <v>0</v>
      </c>
      <c r="Y125" s="121">
        <v>0</v>
      </c>
      <c r="Z125" s="121">
        <v>0</v>
      </c>
      <c r="AA125" s="121">
        <v>0</v>
      </c>
      <c r="AB125" s="121">
        <v>0</v>
      </c>
      <c r="AC125" s="121">
        <v>0</v>
      </c>
      <c r="AD125" s="121">
        <v>10000</v>
      </c>
      <c r="AE125" s="121">
        <v>0</v>
      </c>
      <c r="AF125" s="121">
        <v>0</v>
      </c>
      <c r="AG125" s="121">
        <v>0</v>
      </c>
      <c r="AH125" s="121">
        <v>50000</v>
      </c>
      <c r="AI125" s="121">
        <v>0</v>
      </c>
      <c r="AJ125" s="784">
        <f t="shared" si="22"/>
        <v>60000</v>
      </c>
      <c r="AK125" s="149">
        <f t="shared" si="17"/>
        <v>0.50777960672469458</v>
      </c>
      <c r="AL125" s="150">
        <f t="shared" si="23"/>
        <v>-58161.5</v>
      </c>
      <c r="AM125" s="149">
        <f t="shared" si="18"/>
        <v>-0.49222039327530542</v>
      </c>
      <c r="AN125" s="150">
        <f t="shared" si="19"/>
        <v>1121561.5</v>
      </c>
      <c r="AO125" s="151">
        <f t="shared" si="20"/>
        <v>0.94921974014894694</v>
      </c>
      <c r="AP125" s="154">
        <f t="shared" si="24"/>
        <v>118161.5</v>
      </c>
      <c r="AQ125" s="154"/>
      <c r="AR125" s="786" t="str">
        <f t="shared" si="25"/>
        <v>Vendido</v>
      </c>
      <c r="AS125" s="786" t="str">
        <f t="shared" si="26"/>
        <v>Cliente Atrasado</v>
      </c>
      <c r="AT125" s="174"/>
      <c r="AU125" s="174">
        <f t="shared" si="27"/>
        <v>0</v>
      </c>
      <c r="AV125" s="174">
        <f t="shared" si="28"/>
        <v>0</v>
      </c>
      <c r="AW125" s="173"/>
      <c r="AX125" s="786">
        <f t="shared" si="21"/>
        <v>24</v>
      </c>
      <c r="AY125" s="787">
        <f t="shared" si="29"/>
        <v>5</v>
      </c>
      <c r="AZ125" s="152"/>
      <c r="BA125" s="152"/>
    </row>
    <row r="126" spans="1:53" ht="15" customHeight="1" x14ac:dyDescent="0.25">
      <c r="A126" s="93"/>
      <c r="B126" s="164">
        <v>712</v>
      </c>
      <c r="C126" s="164" t="s">
        <v>366</v>
      </c>
      <c r="D126" s="165" t="s">
        <v>520</v>
      </c>
      <c r="E126" s="166">
        <v>45085</v>
      </c>
      <c r="F126" s="164" t="s">
        <v>406</v>
      </c>
      <c r="G126" s="164" t="s">
        <v>128</v>
      </c>
      <c r="H126" s="167">
        <v>703500</v>
      </c>
      <c r="I126" s="167">
        <v>70400</v>
      </c>
      <c r="J126" s="121">
        <v>0</v>
      </c>
      <c r="K126" s="121">
        <v>0</v>
      </c>
      <c r="L126" s="121">
        <v>0</v>
      </c>
      <c r="M126" s="121">
        <v>6000</v>
      </c>
      <c r="N126" s="121">
        <v>2385</v>
      </c>
      <c r="O126" s="121">
        <v>2385</v>
      </c>
      <c r="P126" s="121">
        <v>2385</v>
      </c>
      <c r="Q126" s="121">
        <v>2385</v>
      </c>
      <c r="R126" s="121">
        <v>2385</v>
      </c>
      <c r="S126" s="121">
        <v>2385</v>
      </c>
      <c r="T126" s="121">
        <v>2385</v>
      </c>
      <c r="U126" s="121">
        <v>2385</v>
      </c>
      <c r="V126" s="121">
        <v>2385</v>
      </c>
      <c r="W126" s="121">
        <v>2385</v>
      </c>
      <c r="X126" s="121">
        <v>2385</v>
      </c>
      <c r="Y126" s="121">
        <v>2385</v>
      </c>
      <c r="Z126" s="121">
        <v>2385</v>
      </c>
      <c r="AA126" s="121">
        <v>2385</v>
      </c>
      <c r="AB126" s="121">
        <v>2385</v>
      </c>
      <c r="AC126" s="121">
        <v>2385</v>
      </c>
      <c r="AD126" s="121">
        <v>2385</v>
      </c>
      <c r="AE126" s="121">
        <v>2385</v>
      </c>
      <c r="AF126" s="121">
        <v>2385</v>
      </c>
      <c r="AG126" s="121">
        <v>2385</v>
      </c>
      <c r="AH126" s="121">
        <v>2385</v>
      </c>
      <c r="AI126" s="121">
        <v>2385</v>
      </c>
      <c r="AJ126" s="784">
        <f t="shared" si="22"/>
        <v>58470</v>
      </c>
      <c r="AK126" s="149">
        <f t="shared" si="17"/>
        <v>0.83053977272727275</v>
      </c>
      <c r="AL126" s="150">
        <f t="shared" si="23"/>
        <v>-11930</v>
      </c>
      <c r="AM126" s="149">
        <f t="shared" si="18"/>
        <v>-0.16946022727272728</v>
      </c>
      <c r="AN126" s="150">
        <f t="shared" si="19"/>
        <v>645030</v>
      </c>
      <c r="AO126" s="151">
        <f t="shared" si="20"/>
        <v>0.91688699360341153</v>
      </c>
      <c r="AP126" s="154">
        <f t="shared" si="24"/>
        <v>70400</v>
      </c>
      <c r="AQ126" s="154"/>
      <c r="AR126" s="786" t="str">
        <f t="shared" si="25"/>
        <v>Vendido</v>
      </c>
      <c r="AS126" s="786" t="str">
        <f t="shared" si="26"/>
        <v>Cliente Atrasado</v>
      </c>
      <c r="AT126" s="174">
        <v>27</v>
      </c>
      <c r="AU126" s="174">
        <f t="shared" si="27"/>
        <v>1</v>
      </c>
      <c r="AV126" s="174">
        <f t="shared" si="28"/>
        <v>28</v>
      </c>
      <c r="AW126" s="173">
        <v>2383</v>
      </c>
      <c r="AX126" s="786">
        <f t="shared" si="21"/>
        <v>0</v>
      </c>
      <c r="AY126" s="787">
        <f t="shared" si="29"/>
        <v>22</v>
      </c>
      <c r="AZ126" s="152"/>
      <c r="BA126" s="152"/>
    </row>
    <row r="127" spans="1:53" x14ac:dyDescent="0.25">
      <c r="A127" s="93"/>
      <c r="B127" s="164">
        <v>713</v>
      </c>
      <c r="C127" s="164" t="s">
        <v>366</v>
      </c>
      <c r="D127" s="165" t="s">
        <v>521</v>
      </c>
      <c r="E127" s="166">
        <v>45087</v>
      </c>
      <c r="F127" s="164" t="s">
        <v>181</v>
      </c>
      <c r="G127" s="164" t="s">
        <v>128</v>
      </c>
      <c r="H127" s="167">
        <v>687500</v>
      </c>
      <c r="I127" s="167">
        <v>68800</v>
      </c>
      <c r="J127" s="121">
        <v>0</v>
      </c>
      <c r="K127" s="121">
        <v>0</v>
      </c>
      <c r="L127" s="121">
        <v>0</v>
      </c>
      <c r="M127" s="121">
        <v>6000</v>
      </c>
      <c r="N127" s="121">
        <v>2326</v>
      </c>
      <c r="O127" s="121">
        <v>2326</v>
      </c>
      <c r="P127" s="121">
        <v>2326</v>
      </c>
      <c r="Q127" s="121">
        <v>2326</v>
      </c>
      <c r="R127" s="121">
        <v>2326</v>
      </c>
      <c r="S127" s="121">
        <v>2326</v>
      </c>
      <c r="T127" s="121">
        <v>2326</v>
      </c>
      <c r="U127" s="121">
        <v>1163</v>
      </c>
      <c r="V127" s="121">
        <v>3488</v>
      </c>
      <c r="W127" s="121">
        <v>0</v>
      </c>
      <c r="X127" s="121">
        <v>2324</v>
      </c>
      <c r="Y127" s="121">
        <v>2324</v>
      </c>
      <c r="Z127" s="121">
        <v>2324</v>
      </c>
      <c r="AA127" s="121">
        <v>2324</v>
      </c>
      <c r="AB127" s="121">
        <v>2324</v>
      </c>
      <c r="AC127" s="121">
        <v>2324</v>
      </c>
      <c r="AD127" s="121">
        <v>0</v>
      </c>
      <c r="AE127" s="121">
        <v>3424</v>
      </c>
      <c r="AF127" s="121">
        <v>2324</v>
      </c>
      <c r="AG127" s="121">
        <v>0</v>
      </c>
      <c r="AH127" s="121">
        <v>2334</v>
      </c>
      <c r="AI127" s="121">
        <v>0</v>
      </c>
      <c r="AJ127" s="784">
        <f t="shared" si="22"/>
        <v>48959</v>
      </c>
      <c r="AK127" s="149">
        <f t="shared" si="17"/>
        <v>0.71161337209302322</v>
      </c>
      <c r="AL127" s="150">
        <f t="shared" si="23"/>
        <v>-19841</v>
      </c>
      <c r="AM127" s="149">
        <f t="shared" si="18"/>
        <v>-0.28838662790697672</v>
      </c>
      <c r="AN127" s="150">
        <f t="shared" si="19"/>
        <v>638541</v>
      </c>
      <c r="AO127" s="151">
        <f t="shared" si="20"/>
        <v>0.92878690909090911</v>
      </c>
      <c r="AP127" s="154">
        <f t="shared" si="24"/>
        <v>68800</v>
      </c>
      <c r="AQ127" s="154"/>
      <c r="AR127" s="786" t="str">
        <f t="shared" si="25"/>
        <v>Vendido</v>
      </c>
      <c r="AS127" s="786" t="str">
        <f t="shared" si="26"/>
        <v>Cliente Atrasado</v>
      </c>
      <c r="AT127" s="174">
        <v>27</v>
      </c>
      <c r="AU127" s="174">
        <f t="shared" si="27"/>
        <v>1</v>
      </c>
      <c r="AV127" s="174">
        <f t="shared" si="28"/>
        <v>28</v>
      </c>
      <c r="AW127" s="173">
        <v>2324</v>
      </c>
      <c r="AX127" s="786">
        <f t="shared" si="21"/>
        <v>7</v>
      </c>
      <c r="AY127" s="787">
        <f t="shared" si="29"/>
        <v>22</v>
      </c>
      <c r="AZ127" s="152"/>
      <c r="BA127" s="152"/>
    </row>
    <row r="128" spans="1:53" x14ac:dyDescent="0.25">
      <c r="A128" s="93"/>
      <c r="B128" s="164">
        <v>714</v>
      </c>
      <c r="C128" s="164" t="s">
        <v>366</v>
      </c>
      <c r="D128" s="165" t="s">
        <v>522</v>
      </c>
      <c r="E128" s="166">
        <v>45393</v>
      </c>
      <c r="F128" s="164" t="s">
        <v>476</v>
      </c>
      <c r="G128" s="164" t="s">
        <v>128</v>
      </c>
      <c r="H128" s="167">
        <v>1438008</v>
      </c>
      <c r="I128" s="167">
        <v>143808</v>
      </c>
      <c r="J128" s="121">
        <v>0</v>
      </c>
      <c r="K128" s="121">
        <v>0</v>
      </c>
      <c r="L128" s="121">
        <v>0</v>
      </c>
      <c r="M128" s="121">
        <v>0</v>
      </c>
      <c r="N128" s="121">
        <v>0</v>
      </c>
      <c r="O128" s="121">
        <v>0</v>
      </c>
      <c r="P128" s="121">
        <v>0</v>
      </c>
      <c r="Q128" s="121">
        <v>0</v>
      </c>
      <c r="R128" s="121">
        <v>0</v>
      </c>
      <c r="S128" s="121">
        <v>0</v>
      </c>
      <c r="T128" s="121">
        <v>0</v>
      </c>
      <c r="U128" s="121">
        <v>0</v>
      </c>
      <c r="V128" s="121">
        <v>0</v>
      </c>
      <c r="W128" s="121">
        <v>8000</v>
      </c>
      <c r="X128" s="121">
        <v>10000</v>
      </c>
      <c r="Y128" s="121">
        <v>10000</v>
      </c>
      <c r="Z128" s="121">
        <v>10000</v>
      </c>
      <c r="AA128" s="121">
        <v>10000</v>
      </c>
      <c r="AB128" s="121">
        <v>10000</v>
      </c>
      <c r="AC128" s="121">
        <v>10000</v>
      </c>
      <c r="AD128" s="121">
        <f>10000+10000</f>
        <v>20000</v>
      </c>
      <c r="AE128" s="121">
        <v>0</v>
      </c>
      <c r="AF128" s="121">
        <v>10000</v>
      </c>
      <c r="AG128" s="121">
        <v>10000</v>
      </c>
      <c r="AH128" s="121">
        <f>10000+15000</f>
        <v>25000</v>
      </c>
      <c r="AI128" s="121">
        <v>0</v>
      </c>
      <c r="AJ128" s="784">
        <f t="shared" si="22"/>
        <v>133000</v>
      </c>
      <c r="AK128" s="149">
        <f t="shared" si="17"/>
        <v>0.92484423676012462</v>
      </c>
      <c r="AL128" s="150">
        <f t="shared" si="23"/>
        <v>-10808</v>
      </c>
      <c r="AM128" s="149">
        <f t="shared" si="18"/>
        <v>-7.5155763239875384E-2</v>
      </c>
      <c r="AN128" s="150">
        <f t="shared" si="19"/>
        <v>1305008</v>
      </c>
      <c r="AO128" s="151">
        <f t="shared" si="20"/>
        <v>0.90751094569710322</v>
      </c>
      <c r="AP128" s="154">
        <f t="shared" si="24"/>
        <v>143808</v>
      </c>
      <c r="AQ128" s="154"/>
      <c r="AR128" s="786" t="str">
        <f t="shared" si="25"/>
        <v>Vendido</v>
      </c>
      <c r="AS128" s="786" t="str">
        <f t="shared" si="26"/>
        <v>Cliente Atrasado</v>
      </c>
      <c r="AT128" s="174">
        <v>17</v>
      </c>
      <c r="AU128" s="174">
        <f t="shared" si="27"/>
        <v>1</v>
      </c>
      <c r="AV128" s="174">
        <f t="shared" si="28"/>
        <v>18</v>
      </c>
      <c r="AW128" s="173">
        <v>7989</v>
      </c>
      <c r="AX128" s="786">
        <f t="shared" si="21"/>
        <v>0</v>
      </c>
      <c r="AY128" s="787">
        <f t="shared" si="29"/>
        <v>12</v>
      </c>
      <c r="AZ128" s="152"/>
      <c r="BA128" s="152"/>
    </row>
    <row r="129" spans="1:53" x14ac:dyDescent="0.25">
      <c r="A129" s="93"/>
      <c r="B129" s="164">
        <v>715</v>
      </c>
      <c r="C129" s="164" t="s">
        <v>383</v>
      </c>
      <c r="D129" s="165" t="s">
        <v>523</v>
      </c>
      <c r="E129" s="166">
        <v>44995</v>
      </c>
      <c r="F129" s="164" t="s">
        <v>189</v>
      </c>
      <c r="G129" s="164" t="s">
        <v>128</v>
      </c>
      <c r="H129" s="167">
        <v>617600</v>
      </c>
      <c r="I129" s="167">
        <v>62000</v>
      </c>
      <c r="J129" s="121">
        <v>6000</v>
      </c>
      <c r="K129" s="121">
        <v>1600</v>
      </c>
      <c r="L129" s="121">
        <v>1600</v>
      </c>
      <c r="M129" s="121">
        <v>1600</v>
      </c>
      <c r="N129" s="121">
        <v>1600</v>
      </c>
      <c r="O129" s="121">
        <v>0</v>
      </c>
      <c r="P129" s="121">
        <v>1600</v>
      </c>
      <c r="Q129" s="121">
        <v>3200</v>
      </c>
      <c r="R129" s="121">
        <v>1600</v>
      </c>
      <c r="S129" s="121">
        <v>1600</v>
      </c>
      <c r="T129" s="121">
        <v>1600</v>
      </c>
      <c r="U129" s="121">
        <v>1600</v>
      </c>
      <c r="V129" s="121">
        <v>1600</v>
      </c>
      <c r="W129" s="121">
        <v>1600</v>
      </c>
      <c r="X129" s="121">
        <v>1600</v>
      </c>
      <c r="Y129" s="121">
        <v>1600</v>
      </c>
      <c r="Z129" s="121">
        <v>1600</v>
      </c>
      <c r="AA129" s="121">
        <v>1600</v>
      </c>
      <c r="AB129" s="121">
        <v>1600</v>
      </c>
      <c r="AC129" s="121">
        <v>1600</v>
      </c>
      <c r="AD129" s="121">
        <v>1600</v>
      </c>
      <c r="AE129" s="121">
        <v>1600</v>
      </c>
      <c r="AF129" s="121">
        <v>0</v>
      </c>
      <c r="AG129" s="121">
        <v>3200</v>
      </c>
      <c r="AH129" s="121">
        <v>1600</v>
      </c>
      <c r="AI129" s="121">
        <v>0</v>
      </c>
      <c r="AJ129" s="784">
        <f t="shared" si="22"/>
        <v>44400</v>
      </c>
      <c r="AK129" s="149">
        <f t="shared" si="17"/>
        <v>0.71612903225806457</v>
      </c>
      <c r="AL129" s="150">
        <f t="shared" si="23"/>
        <v>-17600</v>
      </c>
      <c r="AM129" s="149">
        <f t="shared" si="18"/>
        <v>-0.28387096774193549</v>
      </c>
      <c r="AN129" s="150">
        <f t="shared" si="19"/>
        <v>573200</v>
      </c>
      <c r="AO129" s="151">
        <f t="shared" si="20"/>
        <v>0.92810880829015541</v>
      </c>
      <c r="AP129" s="154">
        <f t="shared" si="24"/>
        <v>62000</v>
      </c>
      <c r="AQ129" s="154"/>
      <c r="AR129" s="786" t="str">
        <f t="shared" si="25"/>
        <v>Vendido</v>
      </c>
      <c r="AS129" s="786" t="str">
        <f t="shared" si="26"/>
        <v>Cliente Atrasado</v>
      </c>
      <c r="AT129" s="174">
        <v>35</v>
      </c>
      <c r="AU129" s="174">
        <f t="shared" si="27"/>
        <v>1</v>
      </c>
      <c r="AV129" s="174">
        <f t="shared" si="28"/>
        <v>36</v>
      </c>
      <c r="AW129" s="173">
        <v>1600</v>
      </c>
      <c r="AX129" s="786">
        <f t="shared" si="21"/>
        <v>20</v>
      </c>
      <c r="AY129" s="787">
        <f t="shared" si="29"/>
        <v>25</v>
      </c>
      <c r="AZ129" s="152"/>
      <c r="BA129" s="152"/>
    </row>
    <row r="130" spans="1:53" x14ac:dyDescent="0.25">
      <c r="A130" s="93"/>
      <c r="B130" s="164">
        <v>716</v>
      </c>
      <c r="C130" s="164" t="s">
        <v>366</v>
      </c>
      <c r="D130" s="165" t="s">
        <v>524</v>
      </c>
      <c r="E130" s="166">
        <v>45306</v>
      </c>
      <c r="F130" s="164" t="s">
        <v>400</v>
      </c>
      <c r="G130" s="164" t="s">
        <v>128</v>
      </c>
      <c r="H130" s="167">
        <v>901400</v>
      </c>
      <c r="I130" s="167">
        <v>90200</v>
      </c>
      <c r="J130" s="121">
        <v>0</v>
      </c>
      <c r="K130" s="121">
        <v>0</v>
      </c>
      <c r="L130" s="121">
        <v>0</v>
      </c>
      <c r="M130" s="121">
        <v>0</v>
      </c>
      <c r="N130" s="121">
        <v>0</v>
      </c>
      <c r="O130" s="121">
        <v>0</v>
      </c>
      <c r="P130" s="121">
        <v>0</v>
      </c>
      <c r="Q130" s="121">
        <v>0</v>
      </c>
      <c r="R130" s="121">
        <v>0</v>
      </c>
      <c r="S130" s="121">
        <v>0</v>
      </c>
      <c r="T130" s="121">
        <v>8000</v>
      </c>
      <c r="U130" s="121">
        <v>4110</v>
      </c>
      <c r="V130" s="121">
        <v>4110</v>
      </c>
      <c r="W130" s="121">
        <v>4110</v>
      </c>
      <c r="X130" s="121">
        <v>4110</v>
      </c>
      <c r="Y130" s="121">
        <v>4110</v>
      </c>
      <c r="Z130" s="121">
        <v>4100</v>
      </c>
      <c r="AA130" s="121">
        <v>4100</v>
      </c>
      <c r="AB130" s="121">
        <v>4100</v>
      </c>
      <c r="AC130" s="121">
        <v>4100</v>
      </c>
      <c r="AD130" s="121">
        <v>4100</v>
      </c>
      <c r="AE130" s="121">
        <v>0</v>
      </c>
      <c r="AF130" s="121">
        <v>4100</v>
      </c>
      <c r="AG130" s="121">
        <v>4100</v>
      </c>
      <c r="AH130" s="121">
        <f>4100+4100</f>
        <v>8200</v>
      </c>
      <c r="AI130" s="121">
        <v>0</v>
      </c>
      <c r="AJ130" s="784">
        <f t="shared" si="22"/>
        <v>65450</v>
      </c>
      <c r="AK130" s="149">
        <f t="shared" si="17"/>
        <v>0.72560975609756095</v>
      </c>
      <c r="AL130" s="150">
        <f t="shared" si="23"/>
        <v>-24750</v>
      </c>
      <c r="AM130" s="149">
        <f t="shared" si="18"/>
        <v>-0.27439024390243905</v>
      </c>
      <c r="AN130" s="150">
        <f t="shared" si="19"/>
        <v>835950</v>
      </c>
      <c r="AO130" s="151">
        <f t="shared" si="20"/>
        <v>0.92739072553805191</v>
      </c>
      <c r="AP130" s="154">
        <f t="shared" si="24"/>
        <v>90200</v>
      </c>
      <c r="AQ130" s="154"/>
      <c r="AR130" s="786" t="str">
        <f t="shared" si="25"/>
        <v>Vendido</v>
      </c>
      <c r="AS130" s="786" t="str">
        <f t="shared" si="26"/>
        <v>Cliente Atrasado</v>
      </c>
      <c r="AT130" s="174">
        <v>20</v>
      </c>
      <c r="AU130" s="174">
        <f t="shared" si="27"/>
        <v>1</v>
      </c>
      <c r="AV130" s="174">
        <f t="shared" si="28"/>
        <v>21</v>
      </c>
      <c r="AW130" s="173">
        <v>4110</v>
      </c>
      <c r="AX130" s="786">
        <f t="shared" si="21"/>
        <v>5</v>
      </c>
      <c r="AY130" s="787">
        <f t="shared" si="29"/>
        <v>15</v>
      </c>
      <c r="AZ130" s="152"/>
      <c r="BA130" s="152"/>
    </row>
    <row r="131" spans="1:53" x14ac:dyDescent="0.25">
      <c r="A131" s="93"/>
      <c r="B131" s="164">
        <v>717</v>
      </c>
      <c r="C131" s="164" t="s">
        <v>366</v>
      </c>
      <c r="D131" s="165" t="s">
        <v>480</v>
      </c>
      <c r="E131" s="166">
        <v>45412</v>
      </c>
      <c r="F131" s="164" t="s">
        <v>175</v>
      </c>
      <c r="G131" s="164" t="s">
        <v>128</v>
      </c>
      <c r="H131" s="167">
        <v>887400</v>
      </c>
      <c r="I131" s="167">
        <v>88800</v>
      </c>
      <c r="J131" s="121">
        <v>0</v>
      </c>
      <c r="K131" s="121">
        <v>0</v>
      </c>
      <c r="L131" s="121">
        <v>0</v>
      </c>
      <c r="M131" s="121">
        <v>0</v>
      </c>
      <c r="N131" s="121">
        <v>0</v>
      </c>
      <c r="O131" s="121">
        <v>0</v>
      </c>
      <c r="P131" s="121">
        <v>0</v>
      </c>
      <c r="Q131" s="121">
        <v>0</v>
      </c>
      <c r="R131" s="121">
        <v>0</v>
      </c>
      <c r="S131" s="121">
        <v>0</v>
      </c>
      <c r="T131" s="121">
        <v>0</v>
      </c>
      <c r="U131" s="121">
        <v>0</v>
      </c>
      <c r="V131" s="121">
        <v>0</v>
      </c>
      <c r="W131" s="121">
        <v>8000</v>
      </c>
      <c r="X131" s="121">
        <v>0</v>
      </c>
      <c r="Y131" s="121">
        <v>0</v>
      </c>
      <c r="Z131" s="121">
        <v>4040</v>
      </c>
      <c r="AA131" s="121">
        <v>4040</v>
      </c>
      <c r="AB131" s="121">
        <v>4040</v>
      </c>
      <c r="AC131" s="121">
        <v>4040</v>
      </c>
      <c r="AD131" s="121">
        <v>4040</v>
      </c>
      <c r="AE131" s="121">
        <v>4040</v>
      </c>
      <c r="AF131" s="121">
        <v>4040</v>
      </c>
      <c r="AG131" s="121">
        <v>4040</v>
      </c>
      <c r="AH131" s="121">
        <v>4040</v>
      </c>
      <c r="AI131" s="121">
        <v>0</v>
      </c>
      <c r="AJ131" s="784">
        <f t="shared" si="22"/>
        <v>44360</v>
      </c>
      <c r="AK131" s="149">
        <f t="shared" si="17"/>
        <v>0.49954954954954955</v>
      </c>
      <c r="AL131" s="150">
        <f t="shared" si="23"/>
        <v>-44440</v>
      </c>
      <c r="AM131" s="149">
        <f t="shared" si="18"/>
        <v>-0.50045045045045045</v>
      </c>
      <c r="AN131" s="150">
        <f t="shared" si="19"/>
        <v>843040</v>
      </c>
      <c r="AO131" s="151">
        <f t="shared" si="20"/>
        <v>0.95001126887536624</v>
      </c>
      <c r="AP131" s="154">
        <f t="shared" si="24"/>
        <v>88800</v>
      </c>
      <c r="AQ131" s="154"/>
      <c r="AR131" s="786" t="str">
        <f t="shared" si="25"/>
        <v>Vendido</v>
      </c>
      <c r="AS131" s="786" t="str">
        <f t="shared" si="26"/>
        <v>Cliente Atrasado</v>
      </c>
      <c r="AT131" s="174">
        <v>17</v>
      </c>
      <c r="AU131" s="174">
        <f t="shared" si="27"/>
        <v>1</v>
      </c>
      <c r="AV131" s="174">
        <f t="shared" si="28"/>
        <v>18</v>
      </c>
      <c r="AW131" s="173">
        <v>4040</v>
      </c>
      <c r="AX131" s="786">
        <f t="shared" si="21"/>
        <v>9</v>
      </c>
      <c r="AY131" s="787">
        <f t="shared" si="29"/>
        <v>12</v>
      </c>
      <c r="AZ131" s="152"/>
      <c r="BA131" s="152"/>
    </row>
    <row r="132" spans="1:53" x14ac:dyDescent="0.25">
      <c r="A132" s="93"/>
      <c r="B132" s="164">
        <v>718</v>
      </c>
      <c r="C132" s="164"/>
      <c r="D132" s="165"/>
      <c r="E132" s="166"/>
      <c r="F132" s="164" t="s">
        <v>456</v>
      </c>
      <c r="G132" s="164" t="s">
        <v>374</v>
      </c>
      <c r="H132" s="167">
        <v>1502549.44216114</v>
      </c>
      <c r="I132" s="167">
        <f>+H132*0.1</f>
        <v>150254.944216114</v>
      </c>
      <c r="J132" s="121">
        <v>0</v>
      </c>
      <c r="K132" s="121">
        <v>0</v>
      </c>
      <c r="L132" s="121">
        <v>0</v>
      </c>
      <c r="M132" s="121">
        <v>0</v>
      </c>
      <c r="N132" s="121">
        <v>0</v>
      </c>
      <c r="O132" s="121">
        <v>0</v>
      </c>
      <c r="P132" s="121">
        <v>0</v>
      </c>
      <c r="Q132" s="121">
        <v>0</v>
      </c>
      <c r="R132" s="121">
        <v>0</v>
      </c>
      <c r="S132" s="121">
        <v>0</v>
      </c>
      <c r="T132" s="121">
        <v>0</v>
      </c>
      <c r="U132" s="121">
        <v>0</v>
      </c>
      <c r="V132" s="121">
        <v>0</v>
      </c>
      <c r="W132" s="121">
        <v>0</v>
      </c>
      <c r="X132" s="121">
        <v>0</v>
      </c>
      <c r="Y132" s="121">
        <v>0</v>
      </c>
      <c r="Z132" s="121">
        <v>0</v>
      </c>
      <c r="AA132" s="121">
        <v>0</v>
      </c>
      <c r="AB132" s="121">
        <v>0</v>
      </c>
      <c r="AC132" s="121">
        <v>0</v>
      </c>
      <c r="AD132" s="121">
        <v>0</v>
      </c>
      <c r="AE132" s="121">
        <v>0</v>
      </c>
      <c r="AF132" s="121">
        <v>0</v>
      </c>
      <c r="AG132" s="121">
        <v>0</v>
      </c>
      <c r="AH132" s="121">
        <v>0</v>
      </c>
      <c r="AI132" s="121">
        <v>0</v>
      </c>
      <c r="AJ132" s="784">
        <f t="shared" si="22"/>
        <v>0</v>
      </c>
      <c r="AK132" s="149">
        <f t="shared" si="17"/>
        <v>0</v>
      </c>
      <c r="AL132" s="150">
        <f t="shared" si="23"/>
        <v>0</v>
      </c>
      <c r="AM132" s="149">
        <f t="shared" si="18"/>
        <v>0</v>
      </c>
      <c r="AN132" s="150">
        <f t="shared" si="19"/>
        <v>1502549.44216114</v>
      </c>
      <c r="AO132" s="151">
        <f t="shared" si="20"/>
        <v>1</v>
      </c>
      <c r="AP132" s="154">
        <f t="shared" si="24"/>
        <v>0</v>
      </c>
      <c r="AQ132" s="154"/>
      <c r="AR132" s="786" t="str">
        <f t="shared" si="25"/>
        <v>Apartamento Disponible</v>
      </c>
      <c r="AS132" s="786" t="str">
        <f t="shared" si="26"/>
        <v>Disponible</v>
      </c>
      <c r="AT132" s="174"/>
      <c r="AU132" s="174">
        <f t="shared" si="27"/>
        <v>0</v>
      </c>
      <c r="AV132" s="174">
        <f t="shared" si="28"/>
        <v>0</v>
      </c>
      <c r="AW132" s="173"/>
      <c r="AX132" s="786">
        <f t="shared" si="21"/>
        <v>26</v>
      </c>
      <c r="AY132" s="787">
        <f t="shared" si="29"/>
        <v>1503</v>
      </c>
      <c r="AZ132" s="152"/>
      <c r="BA132" s="152"/>
    </row>
    <row r="133" spans="1:53" x14ac:dyDescent="0.25">
      <c r="A133" s="93"/>
      <c r="B133" s="164">
        <v>719</v>
      </c>
      <c r="C133" s="164"/>
      <c r="D133" s="165"/>
      <c r="E133" s="166"/>
      <c r="F133" s="164" t="s">
        <v>134</v>
      </c>
      <c r="G133" s="164" t="s">
        <v>374</v>
      </c>
      <c r="H133" s="167">
        <v>1456375.54915152</v>
      </c>
      <c r="I133" s="167">
        <f>+H133*0.1</f>
        <v>145637.554915152</v>
      </c>
      <c r="J133" s="121">
        <v>0</v>
      </c>
      <c r="K133" s="121">
        <v>0</v>
      </c>
      <c r="L133" s="121">
        <v>0</v>
      </c>
      <c r="M133" s="121">
        <v>0</v>
      </c>
      <c r="N133" s="121">
        <v>0</v>
      </c>
      <c r="O133" s="121">
        <v>0</v>
      </c>
      <c r="P133" s="121">
        <v>0</v>
      </c>
      <c r="Q133" s="121">
        <v>0</v>
      </c>
      <c r="R133" s="121">
        <v>0</v>
      </c>
      <c r="S133" s="121">
        <v>0</v>
      </c>
      <c r="T133" s="121">
        <v>0</v>
      </c>
      <c r="U133" s="121">
        <v>0</v>
      </c>
      <c r="V133" s="121">
        <v>0</v>
      </c>
      <c r="W133" s="121">
        <v>0</v>
      </c>
      <c r="X133" s="121">
        <v>0</v>
      </c>
      <c r="Y133" s="121">
        <v>0</v>
      </c>
      <c r="Z133" s="121">
        <v>0</v>
      </c>
      <c r="AA133" s="121">
        <v>0</v>
      </c>
      <c r="AB133" s="121">
        <v>0</v>
      </c>
      <c r="AC133" s="121">
        <v>0</v>
      </c>
      <c r="AD133" s="121">
        <v>0</v>
      </c>
      <c r="AE133" s="121">
        <v>0</v>
      </c>
      <c r="AF133" s="121">
        <v>0</v>
      </c>
      <c r="AG133" s="121">
        <v>0</v>
      </c>
      <c r="AH133" s="121">
        <v>0</v>
      </c>
      <c r="AI133" s="121">
        <v>0</v>
      </c>
      <c r="AJ133" s="784">
        <f t="shared" si="22"/>
        <v>0</v>
      </c>
      <c r="AK133" s="149">
        <f t="shared" si="17"/>
        <v>0</v>
      </c>
      <c r="AL133" s="150">
        <f t="shared" si="23"/>
        <v>0</v>
      </c>
      <c r="AM133" s="149">
        <f t="shared" si="18"/>
        <v>0</v>
      </c>
      <c r="AN133" s="150">
        <f t="shared" si="19"/>
        <v>1456375.54915152</v>
      </c>
      <c r="AO133" s="151">
        <f t="shared" si="20"/>
        <v>1</v>
      </c>
      <c r="AP133" s="154">
        <f t="shared" si="24"/>
        <v>0</v>
      </c>
      <c r="AQ133" s="154"/>
      <c r="AR133" s="786" t="str">
        <f t="shared" si="25"/>
        <v>Apartamento Disponible</v>
      </c>
      <c r="AS133" s="786" t="str">
        <f t="shared" si="26"/>
        <v>Disponible</v>
      </c>
      <c r="AT133" s="174"/>
      <c r="AU133" s="174">
        <f t="shared" si="27"/>
        <v>0</v>
      </c>
      <c r="AV133" s="174">
        <f t="shared" si="28"/>
        <v>0</v>
      </c>
      <c r="AW133" s="173"/>
      <c r="AX133" s="786">
        <f t="shared" si="21"/>
        <v>26</v>
      </c>
      <c r="AY133" s="787">
        <f t="shared" si="29"/>
        <v>1503</v>
      </c>
      <c r="AZ133" s="152"/>
      <c r="BA133" s="152"/>
    </row>
    <row r="134" spans="1:53" x14ac:dyDescent="0.25">
      <c r="A134" s="93"/>
      <c r="B134" s="164">
        <v>801</v>
      </c>
      <c r="C134" s="164" t="s">
        <v>366</v>
      </c>
      <c r="D134" s="165" t="s">
        <v>530</v>
      </c>
      <c r="E134" s="166">
        <v>45132</v>
      </c>
      <c r="F134" s="164" t="s">
        <v>409</v>
      </c>
      <c r="G134" s="164" t="s">
        <v>128</v>
      </c>
      <c r="H134" s="167">
        <v>1152000</v>
      </c>
      <c r="I134" s="167">
        <f>+H134*0.1</f>
        <v>115200</v>
      </c>
      <c r="J134" s="121">
        <v>0</v>
      </c>
      <c r="K134" s="121">
        <v>0</v>
      </c>
      <c r="L134" s="121">
        <v>0</v>
      </c>
      <c r="M134" s="121">
        <v>0</v>
      </c>
      <c r="N134" s="121">
        <v>6000</v>
      </c>
      <c r="O134" s="121">
        <v>4200</v>
      </c>
      <c r="P134" s="121">
        <v>4200</v>
      </c>
      <c r="Q134" s="121">
        <v>4200</v>
      </c>
      <c r="R134" s="121">
        <v>4200</v>
      </c>
      <c r="S134" s="121">
        <v>4200</v>
      </c>
      <c r="T134" s="121">
        <v>4200</v>
      </c>
      <c r="U134" s="121">
        <v>8400</v>
      </c>
      <c r="V134" s="121">
        <v>0</v>
      </c>
      <c r="W134" s="121">
        <v>4200</v>
      </c>
      <c r="X134" s="121">
        <v>4200</v>
      </c>
      <c r="Y134" s="121">
        <v>0</v>
      </c>
      <c r="Z134" s="121">
        <v>4200</v>
      </c>
      <c r="AA134" s="121">
        <v>8400</v>
      </c>
      <c r="AB134" s="121">
        <v>0</v>
      </c>
      <c r="AC134" s="121">
        <f>4200+4200</f>
        <v>8400</v>
      </c>
      <c r="AD134" s="121">
        <v>4200</v>
      </c>
      <c r="AE134" s="121">
        <v>0</v>
      </c>
      <c r="AF134" s="121">
        <v>4200</v>
      </c>
      <c r="AG134" s="121">
        <f>4200+4200</f>
        <v>8400</v>
      </c>
      <c r="AH134" s="121">
        <f>4200+4200</f>
        <v>8400</v>
      </c>
      <c r="AI134" s="121">
        <v>0</v>
      </c>
      <c r="AJ134" s="784">
        <f t="shared" si="22"/>
        <v>94200</v>
      </c>
      <c r="AK134" s="149">
        <f t="shared" si="17"/>
        <v>0.81770833333333337</v>
      </c>
      <c r="AL134" s="150">
        <f t="shared" si="23"/>
        <v>-21000</v>
      </c>
      <c r="AM134" s="149">
        <f t="shared" si="18"/>
        <v>-0.18229166666666666</v>
      </c>
      <c r="AN134" s="150">
        <f t="shared" si="19"/>
        <v>1057800</v>
      </c>
      <c r="AO134" s="151">
        <f t="shared" si="20"/>
        <v>0.91822916666666665</v>
      </c>
      <c r="AP134" s="154">
        <f t="shared" si="24"/>
        <v>115200</v>
      </c>
      <c r="AQ134" s="154"/>
      <c r="AR134" s="786" t="str">
        <f t="shared" si="25"/>
        <v>Vendido</v>
      </c>
      <c r="AS134" s="786" t="str">
        <f t="shared" si="26"/>
        <v>Cliente Atrasado</v>
      </c>
      <c r="AT134" s="174">
        <v>26</v>
      </c>
      <c r="AU134" s="174">
        <f t="shared" si="27"/>
        <v>1</v>
      </c>
      <c r="AV134" s="174">
        <f t="shared" si="28"/>
        <v>27</v>
      </c>
      <c r="AW134" s="173">
        <v>4200</v>
      </c>
      <c r="AX134" s="786">
        <f t="shared" si="21"/>
        <v>11</v>
      </c>
      <c r="AY134" s="787">
        <f t="shared" si="29"/>
        <v>21</v>
      </c>
      <c r="AZ134" s="152"/>
      <c r="BA134" s="152"/>
    </row>
    <row r="135" spans="1:53" ht="15" customHeight="1" x14ac:dyDescent="0.25">
      <c r="A135" s="93"/>
      <c r="B135" s="164">
        <v>802</v>
      </c>
      <c r="C135" s="164" t="s">
        <v>383</v>
      </c>
      <c r="D135" s="165" t="s">
        <v>531</v>
      </c>
      <c r="E135" s="166">
        <v>45087</v>
      </c>
      <c r="F135" s="164" t="s">
        <v>184</v>
      </c>
      <c r="G135" s="164" t="s">
        <v>128</v>
      </c>
      <c r="H135" s="167">
        <v>1166800</v>
      </c>
      <c r="I135" s="167">
        <v>116700</v>
      </c>
      <c r="J135" s="121">
        <v>0</v>
      </c>
      <c r="K135" s="121">
        <v>0</v>
      </c>
      <c r="L135" s="121">
        <v>0</v>
      </c>
      <c r="M135" s="121">
        <v>6000</v>
      </c>
      <c r="N135" s="121">
        <v>0</v>
      </c>
      <c r="O135" s="121">
        <v>8200</v>
      </c>
      <c r="P135" s="121">
        <v>4100</v>
      </c>
      <c r="Q135" s="121">
        <v>4100</v>
      </c>
      <c r="R135" s="121">
        <v>4100</v>
      </c>
      <c r="S135" s="121">
        <v>4100</v>
      </c>
      <c r="T135" s="121">
        <v>4100</v>
      </c>
      <c r="U135" s="121">
        <v>4100</v>
      </c>
      <c r="V135" s="121">
        <v>4100</v>
      </c>
      <c r="W135" s="121">
        <v>4100</v>
      </c>
      <c r="X135" s="121">
        <v>4100</v>
      </c>
      <c r="Y135" s="121">
        <v>4100</v>
      </c>
      <c r="Z135" s="121">
        <v>4100</v>
      </c>
      <c r="AA135" s="121">
        <v>4100</v>
      </c>
      <c r="AB135" s="121">
        <v>4100</v>
      </c>
      <c r="AC135" s="121">
        <v>4100</v>
      </c>
      <c r="AD135" s="121">
        <v>4100</v>
      </c>
      <c r="AE135" s="121">
        <v>4100</v>
      </c>
      <c r="AF135" s="121">
        <v>4100</v>
      </c>
      <c r="AG135" s="121">
        <v>4100</v>
      </c>
      <c r="AH135" s="121">
        <v>4100</v>
      </c>
      <c r="AI135" s="121">
        <v>0</v>
      </c>
      <c r="AJ135" s="784">
        <f t="shared" si="22"/>
        <v>92100</v>
      </c>
      <c r="AK135" s="149">
        <f t="shared" ref="AK135:AK198" si="30">IFERROR((+AJ135/I135),0)</f>
        <v>0.78920308483290491</v>
      </c>
      <c r="AL135" s="150">
        <f t="shared" si="23"/>
        <v>-24600</v>
      </c>
      <c r="AM135" s="149">
        <f t="shared" ref="AM135:AM198" si="31">+AL135/I135</f>
        <v>-0.21079691516709512</v>
      </c>
      <c r="AN135" s="150">
        <f t="shared" ref="AN135:AN198" si="32">+H135-AJ135</f>
        <v>1074700</v>
      </c>
      <c r="AO135" s="151">
        <f t="shared" ref="AO135:AO198" si="33">+AN135/H135</f>
        <v>0.92106616386698659</v>
      </c>
      <c r="AP135" s="154">
        <f t="shared" si="24"/>
        <v>116700</v>
      </c>
      <c r="AQ135" s="154"/>
      <c r="AR135" s="786" t="str">
        <f t="shared" si="25"/>
        <v>Vendido</v>
      </c>
      <c r="AS135" s="786" t="str">
        <f t="shared" si="26"/>
        <v>Cliente Atrasado</v>
      </c>
      <c r="AT135" s="174">
        <v>27</v>
      </c>
      <c r="AU135" s="174">
        <f t="shared" si="27"/>
        <v>1</v>
      </c>
      <c r="AV135" s="174">
        <f t="shared" si="28"/>
        <v>28</v>
      </c>
      <c r="AW135" s="173">
        <v>4100</v>
      </c>
      <c r="AX135" s="786">
        <f t="shared" ref="AX135:AX198" si="34">COUNTIF(J135:AI135,AW135)</f>
        <v>19</v>
      </c>
      <c r="AY135" s="787">
        <f t="shared" si="29"/>
        <v>22</v>
      </c>
      <c r="AZ135" s="152"/>
      <c r="BA135" s="152"/>
    </row>
    <row r="136" spans="1:53" x14ac:dyDescent="0.25">
      <c r="A136" s="93"/>
      <c r="B136" s="164">
        <v>803</v>
      </c>
      <c r="C136" s="164" t="s">
        <v>383</v>
      </c>
      <c r="D136" s="165" t="s">
        <v>532</v>
      </c>
      <c r="E136" s="166">
        <v>45007</v>
      </c>
      <c r="F136" s="164" t="s">
        <v>406</v>
      </c>
      <c r="G136" s="164" t="s">
        <v>128</v>
      </c>
      <c r="H136" s="167">
        <v>660700</v>
      </c>
      <c r="I136" s="167">
        <v>66100</v>
      </c>
      <c r="J136" s="121">
        <v>6000</v>
      </c>
      <c r="K136" s="121">
        <v>1725</v>
      </c>
      <c r="L136" s="121">
        <v>1725</v>
      </c>
      <c r="M136" s="121">
        <v>1725</v>
      </c>
      <c r="N136" s="121">
        <v>1700</v>
      </c>
      <c r="O136" s="121">
        <v>1700</v>
      </c>
      <c r="P136" s="121">
        <v>1700</v>
      </c>
      <c r="Q136" s="121">
        <v>1700</v>
      </c>
      <c r="R136" s="121">
        <v>1700</v>
      </c>
      <c r="S136" s="121">
        <v>1700</v>
      </c>
      <c r="T136" s="121">
        <v>1700</v>
      </c>
      <c r="U136" s="121">
        <v>1700</v>
      </c>
      <c r="V136" s="121">
        <v>1700</v>
      </c>
      <c r="W136" s="121">
        <v>1700</v>
      </c>
      <c r="X136" s="121">
        <v>0</v>
      </c>
      <c r="Y136" s="121">
        <v>1700</v>
      </c>
      <c r="Z136" s="121">
        <v>3400</v>
      </c>
      <c r="AA136" s="121">
        <v>1700</v>
      </c>
      <c r="AB136" s="121">
        <v>1700</v>
      </c>
      <c r="AC136" s="121">
        <v>1700</v>
      </c>
      <c r="AD136" s="121">
        <v>1700</v>
      </c>
      <c r="AE136" s="121">
        <v>0</v>
      </c>
      <c r="AF136" s="121">
        <v>1700</v>
      </c>
      <c r="AG136" s="121">
        <v>1700</v>
      </c>
      <c r="AH136" s="121">
        <v>3400</v>
      </c>
      <c r="AI136" s="121">
        <v>0</v>
      </c>
      <c r="AJ136" s="784">
        <f t="shared" ref="AJ136:AJ199" si="35">SUM(J136:AI136)</f>
        <v>46875</v>
      </c>
      <c r="AK136" s="149">
        <f t="shared" si="30"/>
        <v>0.7091527987897126</v>
      </c>
      <c r="AL136" s="150">
        <f t="shared" ref="AL136:AL199" si="36">+AJ136-AP136</f>
        <v>-19225</v>
      </c>
      <c r="AM136" s="149">
        <f t="shared" si="31"/>
        <v>-0.29084720121028745</v>
      </c>
      <c r="AN136" s="150">
        <f t="shared" si="32"/>
        <v>613825</v>
      </c>
      <c r="AO136" s="151">
        <f t="shared" si="33"/>
        <v>0.92905252005448768</v>
      </c>
      <c r="AP136" s="154">
        <f t="shared" ref="AP136:AP199" si="37">IF(AR136="Vendido",I136*1,IF(AR136="Disponible",I136*0,IF(AR136="Enganche Completado",I136*1,IF(AR136="Superávit de Enganche",I136*1,0))))</f>
        <v>66100</v>
      </c>
      <c r="AQ136" s="154"/>
      <c r="AR136" s="786" t="str">
        <f t="shared" ref="AR136:AR199" si="38">IF(D136=0,"Apartamento Disponible",IF(D136&gt;1,"Vendido",0))</f>
        <v>Vendido</v>
      </c>
      <c r="AS136" s="786" t="str">
        <f t="shared" ref="AS136:AS199" si="39">IF(AND(AR136="Vendido",E136&gt;=0,AL136=0),"Enganche Completado",IF(AND(AR136="Vendido",E136&gt;=0,AL136&gt;0),"Superávit de Enganche",IF(AND(AR136="Apartamento Disponible",E136=0,AL136=0),"Disponible","Cliente Atrasado")))</f>
        <v>Cliente Atrasado</v>
      </c>
      <c r="AT136" s="174">
        <v>35</v>
      </c>
      <c r="AU136" s="174">
        <f t="shared" ref="AU136:AU199" si="40">IF(AT136&gt;1,1,0)</f>
        <v>1</v>
      </c>
      <c r="AV136" s="174">
        <f t="shared" ref="AV136:AV199" si="41">+AT136+AU136</f>
        <v>36</v>
      </c>
      <c r="AW136" s="173">
        <v>1700</v>
      </c>
      <c r="AX136" s="786">
        <f t="shared" si="34"/>
        <v>17</v>
      </c>
      <c r="AY136" s="787">
        <f t="shared" si="29"/>
        <v>25</v>
      </c>
      <c r="AZ136" s="152"/>
      <c r="BA136" s="152"/>
    </row>
    <row r="137" spans="1:53" ht="15" customHeight="1" x14ac:dyDescent="0.25">
      <c r="A137" s="93"/>
      <c r="B137" s="164">
        <v>804</v>
      </c>
      <c r="C137" s="164" t="s">
        <v>383</v>
      </c>
      <c r="D137" s="165" t="s">
        <v>533</v>
      </c>
      <c r="E137" s="166">
        <v>45090</v>
      </c>
      <c r="F137" s="164" t="s">
        <v>200</v>
      </c>
      <c r="G137" s="164" t="s">
        <v>128</v>
      </c>
      <c r="H137" s="167">
        <v>702900</v>
      </c>
      <c r="I137" s="167">
        <v>70300</v>
      </c>
      <c r="J137" s="121">
        <v>0</v>
      </c>
      <c r="K137" s="121">
        <v>0</v>
      </c>
      <c r="L137" s="121">
        <v>0</v>
      </c>
      <c r="M137" s="121">
        <v>6000</v>
      </c>
      <c r="N137" s="121">
        <v>1500</v>
      </c>
      <c r="O137" s="121">
        <v>1500</v>
      </c>
      <c r="P137" s="121">
        <v>1500</v>
      </c>
      <c r="Q137" s="121">
        <v>1500</v>
      </c>
      <c r="R137" s="121">
        <v>0</v>
      </c>
      <c r="S137" s="121">
        <v>1500</v>
      </c>
      <c r="T137" s="121">
        <v>1500</v>
      </c>
      <c r="U137" s="121">
        <v>1500</v>
      </c>
      <c r="V137" s="121">
        <v>1500</v>
      </c>
      <c r="W137" s="121">
        <v>1500</v>
      </c>
      <c r="X137" s="121">
        <v>3000</v>
      </c>
      <c r="Y137" s="121">
        <v>0</v>
      </c>
      <c r="Z137" s="121">
        <v>1500</v>
      </c>
      <c r="AA137" s="121">
        <v>3000</v>
      </c>
      <c r="AB137" s="121">
        <v>1500</v>
      </c>
      <c r="AC137" s="121">
        <v>1500</v>
      </c>
      <c r="AD137" s="121">
        <v>1500</v>
      </c>
      <c r="AE137" s="121">
        <v>1500</v>
      </c>
      <c r="AF137" s="121">
        <v>1500</v>
      </c>
      <c r="AG137" s="121">
        <v>1500</v>
      </c>
      <c r="AH137" s="121">
        <v>1500</v>
      </c>
      <c r="AI137" s="121">
        <v>0</v>
      </c>
      <c r="AJ137" s="784">
        <f t="shared" si="35"/>
        <v>37500</v>
      </c>
      <c r="AK137" s="149">
        <f t="shared" si="30"/>
        <v>0.53342816500711232</v>
      </c>
      <c r="AL137" s="150">
        <f t="shared" si="36"/>
        <v>-32800</v>
      </c>
      <c r="AM137" s="149">
        <f t="shared" si="31"/>
        <v>-0.46657183499288762</v>
      </c>
      <c r="AN137" s="150">
        <f t="shared" si="32"/>
        <v>665400</v>
      </c>
      <c r="AO137" s="151">
        <f t="shared" si="33"/>
        <v>0.94664959453691844</v>
      </c>
      <c r="AP137" s="154">
        <f t="shared" si="37"/>
        <v>70300</v>
      </c>
      <c r="AQ137" s="154"/>
      <c r="AR137" s="786" t="str">
        <f t="shared" si="38"/>
        <v>Vendido</v>
      </c>
      <c r="AS137" s="786" t="str">
        <f t="shared" si="39"/>
        <v>Cliente Atrasado</v>
      </c>
      <c r="AT137" s="174">
        <v>27</v>
      </c>
      <c r="AU137" s="174">
        <f t="shared" si="40"/>
        <v>1</v>
      </c>
      <c r="AV137" s="174">
        <f t="shared" si="41"/>
        <v>28</v>
      </c>
      <c r="AW137" s="173">
        <v>1500</v>
      </c>
      <c r="AX137" s="786">
        <f t="shared" si="34"/>
        <v>17</v>
      </c>
      <c r="AY137" s="787">
        <f t="shared" si="29"/>
        <v>22</v>
      </c>
      <c r="AZ137" s="152"/>
      <c r="BA137" s="152"/>
    </row>
    <row r="138" spans="1:53" x14ac:dyDescent="0.25">
      <c r="A138" s="93"/>
      <c r="B138" s="164">
        <v>805</v>
      </c>
      <c r="C138" s="164" t="s">
        <v>366</v>
      </c>
      <c r="D138" s="165" t="s">
        <v>535</v>
      </c>
      <c r="E138" s="166">
        <v>45420</v>
      </c>
      <c r="F138" s="164" t="s">
        <v>534</v>
      </c>
      <c r="G138" s="164" t="s">
        <v>128</v>
      </c>
      <c r="H138" s="167">
        <v>941800</v>
      </c>
      <c r="I138" s="167">
        <v>94200</v>
      </c>
      <c r="J138" s="121">
        <v>0</v>
      </c>
      <c r="K138" s="121">
        <v>0</v>
      </c>
      <c r="L138" s="121">
        <v>0</v>
      </c>
      <c r="M138" s="121">
        <v>0</v>
      </c>
      <c r="N138" s="121">
        <v>0</v>
      </c>
      <c r="O138" s="121">
        <v>0</v>
      </c>
      <c r="P138" s="121">
        <v>0</v>
      </c>
      <c r="Q138" s="121">
        <v>0</v>
      </c>
      <c r="R138" s="121">
        <v>0</v>
      </c>
      <c r="S138" s="121">
        <v>0</v>
      </c>
      <c r="T138" s="121">
        <v>0</v>
      </c>
      <c r="U138" s="121">
        <v>0</v>
      </c>
      <c r="V138" s="121">
        <v>0</v>
      </c>
      <c r="W138" s="121">
        <v>0</v>
      </c>
      <c r="X138" s="121">
        <v>8000</v>
      </c>
      <c r="Y138" s="121">
        <v>4537</v>
      </c>
      <c r="Z138" s="121">
        <v>0</v>
      </c>
      <c r="AA138" s="121">
        <v>79113.05</v>
      </c>
      <c r="AB138" s="121">
        <v>0</v>
      </c>
      <c r="AC138" s="121">
        <v>0</v>
      </c>
      <c r="AD138" s="121">
        <v>0</v>
      </c>
      <c r="AE138" s="121">
        <v>0</v>
      </c>
      <c r="AF138" s="121">
        <v>0</v>
      </c>
      <c r="AG138" s="121">
        <v>0</v>
      </c>
      <c r="AH138" s="121">
        <v>0</v>
      </c>
      <c r="AI138" s="121">
        <v>0</v>
      </c>
      <c r="AJ138" s="784">
        <f t="shared" si="35"/>
        <v>91650.05</v>
      </c>
      <c r="AK138" s="149">
        <f t="shared" si="30"/>
        <v>0.97293046709129516</v>
      </c>
      <c r="AL138" s="150">
        <f t="shared" si="36"/>
        <v>-2549.9499999999971</v>
      </c>
      <c r="AM138" s="149">
        <f t="shared" si="31"/>
        <v>-2.7069532908704851E-2</v>
      </c>
      <c r="AN138" s="150">
        <f t="shared" si="32"/>
        <v>850149.95</v>
      </c>
      <c r="AO138" s="151">
        <f t="shared" si="33"/>
        <v>0.90268629220641317</v>
      </c>
      <c r="AP138" s="154">
        <f t="shared" si="37"/>
        <v>94200</v>
      </c>
      <c r="AQ138" s="154"/>
      <c r="AR138" s="786" t="str">
        <f t="shared" si="38"/>
        <v>Vendido</v>
      </c>
      <c r="AS138" s="786" t="str">
        <f t="shared" si="39"/>
        <v>Cliente Atrasado</v>
      </c>
      <c r="AT138" s="174">
        <v>16</v>
      </c>
      <c r="AU138" s="174">
        <f t="shared" si="40"/>
        <v>1</v>
      </c>
      <c r="AV138" s="174">
        <f t="shared" si="41"/>
        <v>17</v>
      </c>
      <c r="AW138" s="173">
        <v>4537</v>
      </c>
      <c r="AX138" s="786">
        <f t="shared" si="34"/>
        <v>1</v>
      </c>
      <c r="AY138" s="787">
        <f t="shared" si="29"/>
        <v>11</v>
      </c>
      <c r="AZ138" s="152"/>
      <c r="BA138" s="152"/>
    </row>
    <row r="139" spans="1:53" ht="15" customHeight="1" x14ac:dyDescent="0.25">
      <c r="A139" s="93"/>
      <c r="B139" s="164">
        <v>806</v>
      </c>
      <c r="C139" s="164" t="s">
        <v>366</v>
      </c>
      <c r="D139" s="165" t="s">
        <v>537</v>
      </c>
      <c r="E139" s="166">
        <v>45547</v>
      </c>
      <c r="F139" s="164" t="s">
        <v>536</v>
      </c>
      <c r="G139" s="164" t="s">
        <v>128</v>
      </c>
      <c r="H139" s="167">
        <v>1084565</v>
      </c>
      <c r="I139" s="167">
        <v>108465</v>
      </c>
      <c r="J139" s="121">
        <v>0</v>
      </c>
      <c r="K139" s="121">
        <v>0</v>
      </c>
      <c r="L139" s="121">
        <v>0</v>
      </c>
      <c r="M139" s="121">
        <v>0</v>
      </c>
      <c r="N139" s="121">
        <v>0</v>
      </c>
      <c r="O139" s="121">
        <v>0</v>
      </c>
      <c r="P139" s="121">
        <v>0</v>
      </c>
      <c r="Q139" s="121">
        <v>0</v>
      </c>
      <c r="R139" s="121">
        <v>0</v>
      </c>
      <c r="S139" s="121">
        <v>0</v>
      </c>
      <c r="T139" s="121">
        <v>0</v>
      </c>
      <c r="U139" s="121">
        <v>0</v>
      </c>
      <c r="V139" s="121">
        <v>0</v>
      </c>
      <c r="W139" s="121">
        <v>0</v>
      </c>
      <c r="X139" s="121">
        <v>0</v>
      </c>
      <c r="Y139" s="121">
        <v>0</v>
      </c>
      <c r="Z139" s="121">
        <v>0</v>
      </c>
      <c r="AA139" s="121">
        <v>0</v>
      </c>
      <c r="AB139" s="121">
        <v>10000</v>
      </c>
      <c r="AC139" s="121">
        <v>6564</v>
      </c>
      <c r="AD139" s="121">
        <v>6564</v>
      </c>
      <c r="AE139" s="121">
        <v>6564</v>
      </c>
      <c r="AF139" s="121">
        <v>6564</v>
      </c>
      <c r="AG139" s="121">
        <v>6564</v>
      </c>
      <c r="AH139" s="121">
        <v>6564</v>
      </c>
      <c r="AI139" s="121">
        <v>0</v>
      </c>
      <c r="AJ139" s="784">
        <f t="shared" si="35"/>
        <v>49384</v>
      </c>
      <c r="AK139" s="149">
        <f t="shared" si="30"/>
        <v>0.45529894435993179</v>
      </c>
      <c r="AL139" s="150">
        <f t="shared" si="36"/>
        <v>-59081</v>
      </c>
      <c r="AM139" s="149">
        <f t="shared" si="31"/>
        <v>-0.54470105564006821</v>
      </c>
      <c r="AN139" s="150">
        <f t="shared" si="32"/>
        <v>1035181</v>
      </c>
      <c r="AO139" s="151">
        <f t="shared" si="33"/>
        <v>0.95446653727531316</v>
      </c>
      <c r="AP139" s="154">
        <f t="shared" si="37"/>
        <v>108465</v>
      </c>
      <c r="AQ139" s="154"/>
      <c r="AR139" s="786" t="str">
        <f t="shared" si="38"/>
        <v>Vendido</v>
      </c>
      <c r="AS139" s="786" t="str">
        <f t="shared" si="39"/>
        <v>Cliente Atrasado</v>
      </c>
      <c r="AT139" s="174">
        <v>15</v>
      </c>
      <c r="AU139" s="174">
        <f t="shared" si="40"/>
        <v>1</v>
      </c>
      <c r="AV139" s="174">
        <f t="shared" si="41"/>
        <v>16</v>
      </c>
      <c r="AW139" s="173">
        <v>6564</v>
      </c>
      <c r="AX139" s="786">
        <f t="shared" si="34"/>
        <v>6</v>
      </c>
      <c r="AY139" s="787">
        <f t="shared" ref="AY139:AY202" si="42">IFERROR(DATEDIF($E139,$AI$6,"M"),0)</f>
        <v>7</v>
      </c>
      <c r="AZ139" s="152"/>
      <c r="BA139" s="152"/>
    </row>
    <row r="140" spans="1:53" x14ac:dyDescent="0.25">
      <c r="A140" s="93"/>
      <c r="B140" s="164">
        <v>807</v>
      </c>
      <c r="C140" s="164" t="s">
        <v>366</v>
      </c>
      <c r="D140" s="165" t="s">
        <v>538</v>
      </c>
      <c r="E140" s="166">
        <v>45260</v>
      </c>
      <c r="F140" s="164" t="s">
        <v>400</v>
      </c>
      <c r="G140" s="164" t="s">
        <v>128</v>
      </c>
      <c r="H140" s="167">
        <v>901400</v>
      </c>
      <c r="I140" s="167">
        <v>90200</v>
      </c>
      <c r="J140" s="121">
        <v>0</v>
      </c>
      <c r="K140" s="121">
        <v>0</v>
      </c>
      <c r="L140" s="121">
        <v>0</v>
      </c>
      <c r="M140" s="121">
        <v>0</v>
      </c>
      <c r="N140" s="121">
        <v>0</v>
      </c>
      <c r="O140" s="121">
        <v>0</v>
      </c>
      <c r="P140" s="121">
        <v>0</v>
      </c>
      <c r="Q140" s="121">
        <v>0</v>
      </c>
      <c r="R140" s="121">
        <v>5500</v>
      </c>
      <c r="S140" s="121">
        <v>0</v>
      </c>
      <c r="T140" s="121">
        <v>5000</v>
      </c>
      <c r="U140" s="121">
        <v>2500</v>
      </c>
      <c r="V140" s="121">
        <v>0</v>
      </c>
      <c r="W140" s="121">
        <v>5000</v>
      </c>
      <c r="X140" s="121">
        <v>2500</v>
      </c>
      <c r="Y140" s="121">
        <v>0</v>
      </c>
      <c r="Z140" s="121">
        <v>14500</v>
      </c>
      <c r="AA140" s="121">
        <v>2500</v>
      </c>
      <c r="AB140" s="121">
        <v>2500</v>
      </c>
      <c r="AC140" s="121">
        <v>2500</v>
      </c>
      <c r="AD140" s="121">
        <v>2500</v>
      </c>
      <c r="AE140" s="121">
        <v>0</v>
      </c>
      <c r="AF140" s="121">
        <v>12000</v>
      </c>
      <c r="AG140" s="121">
        <v>0</v>
      </c>
      <c r="AH140" s="121">
        <v>2500</v>
      </c>
      <c r="AI140" s="121">
        <v>2500</v>
      </c>
      <c r="AJ140" s="784">
        <f t="shared" si="35"/>
        <v>62000</v>
      </c>
      <c r="AK140" s="149">
        <f t="shared" si="30"/>
        <v>0.68736141906873616</v>
      </c>
      <c r="AL140" s="150">
        <f t="shared" si="36"/>
        <v>-28200</v>
      </c>
      <c r="AM140" s="149">
        <f t="shared" si="31"/>
        <v>-0.31263858093126384</v>
      </c>
      <c r="AN140" s="150">
        <f t="shared" si="32"/>
        <v>839400</v>
      </c>
      <c r="AO140" s="151">
        <f t="shared" si="33"/>
        <v>0.93121810516973602</v>
      </c>
      <c r="AP140" s="154">
        <f t="shared" si="37"/>
        <v>90200</v>
      </c>
      <c r="AQ140" s="154"/>
      <c r="AR140" s="786" t="str">
        <f t="shared" si="38"/>
        <v>Vendido</v>
      </c>
      <c r="AS140" s="786" t="str">
        <f t="shared" si="39"/>
        <v>Cliente Atrasado</v>
      </c>
      <c r="AT140" s="174">
        <v>22</v>
      </c>
      <c r="AU140" s="174">
        <f t="shared" si="40"/>
        <v>1</v>
      </c>
      <c r="AV140" s="174">
        <f t="shared" si="41"/>
        <v>23</v>
      </c>
      <c r="AW140" s="173">
        <v>2500</v>
      </c>
      <c r="AX140" s="786">
        <f t="shared" si="34"/>
        <v>8</v>
      </c>
      <c r="AY140" s="787">
        <f t="shared" si="42"/>
        <v>17</v>
      </c>
      <c r="AZ140" s="152"/>
      <c r="BA140" s="152"/>
    </row>
    <row r="141" spans="1:53" x14ac:dyDescent="0.25">
      <c r="A141" s="93"/>
      <c r="B141" s="164">
        <v>808</v>
      </c>
      <c r="C141" s="164" t="s">
        <v>366</v>
      </c>
      <c r="D141" s="165" t="s">
        <v>539</v>
      </c>
      <c r="E141" s="166">
        <v>45356</v>
      </c>
      <c r="F141" s="164" t="s">
        <v>175</v>
      </c>
      <c r="G141" s="164" t="s">
        <v>128</v>
      </c>
      <c r="H141" s="167">
        <v>887400</v>
      </c>
      <c r="I141" s="167">
        <v>88800</v>
      </c>
      <c r="J141" s="121">
        <v>0</v>
      </c>
      <c r="K141" s="121">
        <v>0</v>
      </c>
      <c r="L141" s="121">
        <v>0</v>
      </c>
      <c r="M141" s="121">
        <v>0</v>
      </c>
      <c r="N141" s="121">
        <v>0</v>
      </c>
      <c r="O141" s="121">
        <v>0</v>
      </c>
      <c r="P141" s="121">
        <v>0</v>
      </c>
      <c r="Q141" s="121">
        <v>0</v>
      </c>
      <c r="R141" s="121">
        <v>0</v>
      </c>
      <c r="S141" s="121">
        <v>0</v>
      </c>
      <c r="T141" s="121">
        <v>0</v>
      </c>
      <c r="U141" s="121">
        <v>0</v>
      </c>
      <c r="V141" s="121">
        <v>8000</v>
      </c>
      <c r="W141" s="121">
        <v>4486</v>
      </c>
      <c r="X141" s="121">
        <v>4486</v>
      </c>
      <c r="Y141" s="121">
        <v>4486</v>
      </c>
      <c r="Z141" s="121">
        <v>4486</v>
      </c>
      <c r="AA141" s="121">
        <v>4486</v>
      </c>
      <c r="AB141" s="121">
        <v>4486</v>
      </c>
      <c r="AC141" s="121">
        <v>4486</v>
      </c>
      <c r="AD141" s="121">
        <v>4486</v>
      </c>
      <c r="AE141" s="121">
        <v>4486</v>
      </c>
      <c r="AF141" s="121">
        <v>4485.5600000000004</v>
      </c>
      <c r="AG141" s="121">
        <v>4486</v>
      </c>
      <c r="AH141" s="121">
        <v>4486</v>
      </c>
      <c r="AI141" s="121">
        <v>4486</v>
      </c>
      <c r="AJ141" s="784">
        <f t="shared" si="35"/>
        <v>66317.56</v>
      </c>
      <c r="AK141" s="149">
        <f t="shared" si="30"/>
        <v>0.74681936936936932</v>
      </c>
      <c r="AL141" s="150">
        <f t="shared" si="36"/>
        <v>-22482.440000000002</v>
      </c>
      <c r="AM141" s="149">
        <f t="shared" si="31"/>
        <v>-0.25318063063063068</v>
      </c>
      <c r="AN141" s="150">
        <f t="shared" si="32"/>
        <v>821082.44</v>
      </c>
      <c r="AO141" s="151">
        <f t="shared" si="33"/>
        <v>0.92526756817669586</v>
      </c>
      <c r="AP141" s="154">
        <f t="shared" si="37"/>
        <v>88800</v>
      </c>
      <c r="AQ141" s="154"/>
      <c r="AR141" s="786" t="str">
        <f t="shared" si="38"/>
        <v>Vendido</v>
      </c>
      <c r="AS141" s="786" t="str">
        <f t="shared" si="39"/>
        <v>Cliente Atrasado</v>
      </c>
      <c r="AT141" s="174">
        <v>18</v>
      </c>
      <c r="AU141" s="174">
        <f t="shared" si="40"/>
        <v>1</v>
      </c>
      <c r="AV141" s="174">
        <f t="shared" si="41"/>
        <v>19</v>
      </c>
      <c r="AW141" s="173">
        <v>4489</v>
      </c>
      <c r="AX141" s="786">
        <f t="shared" si="34"/>
        <v>0</v>
      </c>
      <c r="AY141" s="787">
        <f t="shared" si="42"/>
        <v>13</v>
      </c>
      <c r="AZ141" s="152"/>
      <c r="BA141" s="152"/>
    </row>
    <row r="142" spans="1:53" ht="15" customHeight="1" x14ac:dyDescent="0.25">
      <c r="A142" s="93"/>
      <c r="B142" s="164">
        <v>809</v>
      </c>
      <c r="C142" s="164" t="s">
        <v>366</v>
      </c>
      <c r="D142" s="165" t="s">
        <v>540</v>
      </c>
      <c r="E142" s="166">
        <v>45353</v>
      </c>
      <c r="F142" s="164" t="s">
        <v>125</v>
      </c>
      <c r="G142" s="164" t="s">
        <v>128</v>
      </c>
      <c r="H142" s="167">
        <v>1390400</v>
      </c>
      <c r="I142" s="167">
        <v>139100</v>
      </c>
      <c r="J142" s="121">
        <v>0</v>
      </c>
      <c r="K142" s="121">
        <v>0</v>
      </c>
      <c r="L142" s="121">
        <v>0</v>
      </c>
      <c r="M142" s="121">
        <v>0</v>
      </c>
      <c r="N142" s="121">
        <v>0</v>
      </c>
      <c r="O142" s="121">
        <v>0</v>
      </c>
      <c r="P142" s="121">
        <v>0</v>
      </c>
      <c r="Q142" s="121">
        <v>0</v>
      </c>
      <c r="R142" s="121">
        <v>0</v>
      </c>
      <c r="S142" s="121">
        <v>0</v>
      </c>
      <c r="T142" s="121">
        <v>0</v>
      </c>
      <c r="U142" s="121">
        <v>0</v>
      </c>
      <c r="V142" s="121">
        <v>8000</v>
      </c>
      <c r="W142" s="121">
        <v>7283</v>
      </c>
      <c r="X142" s="121">
        <v>7283</v>
      </c>
      <c r="Y142" s="121">
        <v>7283</v>
      </c>
      <c r="Z142" s="121">
        <v>7283</v>
      </c>
      <c r="AA142" s="121">
        <v>7283</v>
      </c>
      <c r="AB142" s="121">
        <v>7283</v>
      </c>
      <c r="AC142" s="121">
        <v>7283</v>
      </c>
      <c r="AD142" s="121">
        <v>7283</v>
      </c>
      <c r="AE142" s="121">
        <v>7283</v>
      </c>
      <c r="AF142" s="121">
        <v>7283</v>
      </c>
      <c r="AG142" s="121">
        <v>0</v>
      </c>
      <c r="AH142" s="121">
        <v>14566</v>
      </c>
      <c r="AI142" s="121">
        <v>0</v>
      </c>
      <c r="AJ142" s="784">
        <f t="shared" si="35"/>
        <v>95396</v>
      </c>
      <c r="AK142" s="149">
        <f t="shared" si="30"/>
        <v>0.6858087706685837</v>
      </c>
      <c r="AL142" s="150">
        <f t="shared" si="36"/>
        <v>-43704</v>
      </c>
      <c r="AM142" s="149">
        <f t="shared" si="31"/>
        <v>-0.31419122933141624</v>
      </c>
      <c r="AN142" s="150">
        <f t="shared" si="32"/>
        <v>1295004</v>
      </c>
      <c r="AO142" s="151">
        <f t="shared" si="33"/>
        <v>0.93138952819332566</v>
      </c>
      <c r="AP142" s="154">
        <f t="shared" si="37"/>
        <v>139100</v>
      </c>
      <c r="AQ142" s="154"/>
      <c r="AR142" s="786" t="str">
        <f t="shared" si="38"/>
        <v>Vendido</v>
      </c>
      <c r="AS142" s="786" t="str">
        <f t="shared" si="39"/>
        <v>Cliente Atrasado</v>
      </c>
      <c r="AT142" s="174">
        <v>18</v>
      </c>
      <c r="AU142" s="174">
        <f t="shared" si="40"/>
        <v>1</v>
      </c>
      <c r="AV142" s="174">
        <f t="shared" si="41"/>
        <v>19</v>
      </c>
      <c r="AW142" s="173">
        <v>7283</v>
      </c>
      <c r="AX142" s="786">
        <f t="shared" si="34"/>
        <v>10</v>
      </c>
      <c r="AY142" s="787">
        <f t="shared" si="42"/>
        <v>13</v>
      </c>
      <c r="AZ142" s="152"/>
      <c r="BA142" s="152"/>
    </row>
    <row r="143" spans="1:53" x14ac:dyDescent="0.25">
      <c r="A143" s="93"/>
      <c r="B143" s="164">
        <v>810</v>
      </c>
      <c r="C143" s="164" t="s">
        <v>383</v>
      </c>
      <c r="D143" s="165" t="s">
        <v>541</v>
      </c>
      <c r="E143" s="166">
        <v>45099</v>
      </c>
      <c r="F143" s="164" t="s">
        <v>178</v>
      </c>
      <c r="G143" s="164" t="s">
        <v>128</v>
      </c>
      <c r="H143" s="167">
        <v>697500</v>
      </c>
      <c r="I143" s="167">
        <v>70000</v>
      </c>
      <c r="J143" s="121">
        <v>0</v>
      </c>
      <c r="K143" s="121">
        <v>0</v>
      </c>
      <c r="L143" s="121">
        <v>0</v>
      </c>
      <c r="M143" s="121">
        <v>6000</v>
      </c>
      <c r="N143" s="121">
        <v>1600</v>
      </c>
      <c r="O143" s="121">
        <v>1600</v>
      </c>
      <c r="P143" s="121">
        <v>1600</v>
      </c>
      <c r="Q143" s="121">
        <v>1600</v>
      </c>
      <c r="R143" s="121">
        <v>1600</v>
      </c>
      <c r="S143" s="121">
        <v>0</v>
      </c>
      <c r="T143" s="121">
        <v>6000</v>
      </c>
      <c r="U143" s="121">
        <v>0</v>
      </c>
      <c r="V143" s="121">
        <v>0</v>
      </c>
      <c r="W143" s="121">
        <v>3200</v>
      </c>
      <c r="X143" s="121">
        <v>1600</v>
      </c>
      <c r="Y143" s="121">
        <v>0</v>
      </c>
      <c r="Z143" s="121">
        <v>6000</v>
      </c>
      <c r="AA143" s="121">
        <v>1600</v>
      </c>
      <c r="AB143" s="121">
        <v>1600</v>
      </c>
      <c r="AC143" s="121">
        <v>0</v>
      </c>
      <c r="AD143" s="121">
        <v>1600</v>
      </c>
      <c r="AE143" s="121">
        <v>0</v>
      </c>
      <c r="AF143" s="121">
        <v>0</v>
      </c>
      <c r="AG143" s="121">
        <f>1600+1600</f>
        <v>3200</v>
      </c>
      <c r="AH143" s="121">
        <v>1600</v>
      </c>
      <c r="AI143" s="121">
        <v>0</v>
      </c>
      <c r="AJ143" s="784">
        <f t="shared" si="35"/>
        <v>40400</v>
      </c>
      <c r="AK143" s="149">
        <f t="shared" si="30"/>
        <v>0.57714285714285718</v>
      </c>
      <c r="AL143" s="150">
        <f t="shared" si="36"/>
        <v>-29600</v>
      </c>
      <c r="AM143" s="149">
        <f t="shared" si="31"/>
        <v>-0.42285714285714288</v>
      </c>
      <c r="AN143" s="150">
        <f t="shared" si="32"/>
        <v>657100</v>
      </c>
      <c r="AO143" s="151">
        <f t="shared" si="33"/>
        <v>0.942078853046595</v>
      </c>
      <c r="AP143" s="154">
        <f t="shared" si="37"/>
        <v>70000</v>
      </c>
      <c r="AQ143" s="154"/>
      <c r="AR143" s="786" t="str">
        <f t="shared" si="38"/>
        <v>Vendido</v>
      </c>
      <c r="AS143" s="786" t="str">
        <f t="shared" si="39"/>
        <v>Cliente Atrasado</v>
      </c>
      <c r="AT143" s="174">
        <v>27</v>
      </c>
      <c r="AU143" s="174">
        <f t="shared" si="40"/>
        <v>1</v>
      </c>
      <c r="AV143" s="174">
        <f t="shared" si="41"/>
        <v>28</v>
      </c>
      <c r="AW143" s="173">
        <v>1600</v>
      </c>
      <c r="AX143" s="786">
        <f t="shared" si="34"/>
        <v>10</v>
      </c>
      <c r="AY143" s="787">
        <f t="shared" si="42"/>
        <v>22</v>
      </c>
      <c r="AZ143" s="152"/>
      <c r="BA143" s="152"/>
    </row>
    <row r="144" spans="1:53" ht="15" customHeight="1" x14ac:dyDescent="0.25">
      <c r="A144" s="93"/>
      <c r="B144" s="164">
        <v>811</v>
      </c>
      <c r="C144" s="164" t="s">
        <v>366</v>
      </c>
      <c r="D144" s="165" t="s">
        <v>542</v>
      </c>
      <c r="E144" s="166">
        <v>45485</v>
      </c>
      <c r="F144" s="164" t="s">
        <v>391</v>
      </c>
      <c r="G144" s="164" t="s">
        <v>128</v>
      </c>
      <c r="H144" s="167">
        <v>864446.02</v>
      </c>
      <c r="I144" s="167">
        <v>864446.02</v>
      </c>
      <c r="J144" s="121">
        <v>0</v>
      </c>
      <c r="K144" s="121">
        <v>0</v>
      </c>
      <c r="L144" s="121">
        <v>0</v>
      </c>
      <c r="M144" s="121">
        <v>0</v>
      </c>
      <c r="N144" s="121">
        <v>0</v>
      </c>
      <c r="O144" s="121">
        <v>0</v>
      </c>
      <c r="P144" s="121">
        <v>0</v>
      </c>
      <c r="Q144" s="121">
        <v>0</v>
      </c>
      <c r="R144" s="121">
        <v>0</v>
      </c>
      <c r="S144" s="121">
        <v>0</v>
      </c>
      <c r="T144" s="121">
        <v>0</v>
      </c>
      <c r="U144" s="121">
        <v>0</v>
      </c>
      <c r="V144" s="121">
        <v>0</v>
      </c>
      <c r="W144" s="121">
        <v>0</v>
      </c>
      <c r="X144" s="121">
        <v>0</v>
      </c>
      <c r="Y144" s="121">
        <v>0</v>
      </c>
      <c r="Z144" s="121">
        <v>10000</v>
      </c>
      <c r="AA144" s="121">
        <v>0</v>
      </c>
      <c r="AB144" s="121">
        <v>0</v>
      </c>
      <c r="AC144" s="121">
        <v>854446.02</v>
      </c>
      <c r="AD144" s="121">
        <v>0</v>
      </c>
      <c r="AE144" s="121">
        <v>0</v>
      </c>
      <c r="AF144" s="121">
        <v>0</v>
      </c>
      <c r="AG144" s="121">
        <v>0</v>
      </c>
      <c r="AH144" s="121">
        <v>0</v>
      </c>
      <c r="AI144" s="121">
        <v>0</v>
      </c>
      <c r="AJ144" s="784">
        <f t="shared" si="35"/>
        <v>864446.02</v>
      </c>
      <c r="AK144" s="149">
        <f t="shared" si="30"/>
        <v>1</v>
      </c>
      <c r="AL144" s="150">
        <f t="shared" si="36"/>
        <v>0</v>
      </c>
      <c r="AM144" s="149">
        <f t="shared" si="31"/>
        <v>0</v>
      </c>
      <c r="AN144" s="150">
        <f t="shared" si="32"/>
        <v>0</v>
      </c>
      <c r="AO144" s="151">
        <f t="shared" si="33"/>
        <v>0</v>
      </c>
      <c r="AP144" s="154">
        <f t="shared" si="37"/>
        <v>864446.02</v>
      </c>
      <c r="AQ144" s="154"/>
      <c r="AR144" s="786" t="str">
        <f t="shared" si="38"/>
        <v>Vendido</v>
      </c>
      <c r="AS144" s="786" t="str">
        <f t="shared" si="39"/>
        <v>Enganche Completado</v>
      </c>
      <c r="AT144" s="174">
        <v>1</v>
      </c>
      <c r="AU144" s="174">
        <f t="shared" si="40"/>
        <v>0</v>
      </c>
      <c r="AV144" s="174">
        <f t="shared" si="41"/>
        <v>1</v>
      </c>
      <c r="AW144" s="173">
        <v>864446.02</v>
      </c>
      <c r="AX144" s="786">
        <f t="shared" si="34"/>
        <v>0</v>
      </c>
      <c r="AY144" s="787">
        <f t="shared" si="42"/>
        <v>9</v>
      </c>
      <c r="AZ144" s="152"/>
      <c r="BA144" s="152"/>
    </row>
    <row r="145" spans="1:53" x14ac:dyDescent="0.25">
      <c r="A145" s="93"/>
      <c r="B145" s="164">
        <v>812</v>
      </c>
      <c r="C145" s="164" t="s">
        <v>366</v>
      </c>
      <c r="D145" s="165" t="s">
        <v>544</v>
      </c>
      <c r="E145" s="166">
        <v>45503</v>
      </c>
      <c r="F145" s="164" t="s">
        <v>194</v>
      </c>
      <c r="G145" s="164" t="s">
        <v>128</v>
      </c>
      <c r="H145" s="167">
        <v>941467.1</v>
      </c>
      <c r="I145" s="167">
        <v>94167.1</v>
      </c>
      <c r="J145" s="121">
        <v>0</v>
      </c>
      <c r="K145" s="121">
        <v>0</v>
      </c>
      <c r="L145" s="121">
        <v>0</v>
      </c>
      <c r="M145" s="121">
        <v>0</v>
      </c>
      <c r="N145" s="121">
        <v>0</v>
      </c>
      <c r="O145" s="121">
        <v>0</v>
      </c>
      <c r="P145" s="121">
        <v>0</v>
      </c>
      <c r="Q145" s="121">
        <v>0</v>
      </c>
      <c r="R145" s="121">
        <v>0</v>
      </c>
      <c r="S145" s="121">
        <v>0</v>
      </c>
      <c r="T145" s="121">
        <v>0</v>
      </c>
      <c r="U145" s="121">
        <v>0</v>
      </c>
      <c r="V145" s="121">
        <v>0</v>
      </c>
      <c r="W145" s="121">
        <v>0</v>
      </c>
      <c r="X145" s="121">
        <v>0</v>
      </c>
      <c r="Y145" s="121">
        <v>0</v>
      </c>
      <c r="Z145" s="121">
        <v>10000</v>
      </c>
      <c r="AA145" s="121">
        <v>0</v>
      </c>
      <c r="AB145" s="121">
        <v>84146.71</v>
      </c>
      <c r="AC145" s="121">
        <v>0</v>
      </c>
      <c r="AD145" s="121">
        <v>0</v>
      </c>
      <c r="AE145" s="121">
        <v>0</v>
      </c>
      <c r="AF145" s="121">
        <v>0</v>
      </c>
      <c r="AG145" s="121">
        <v>0</v>
      </c>
      <c r="AH145" s="121">
        <v>0</v>
      </c>
      <c r="AI145" s="121">
        <v>0</v>
      </c>
      <c r="AJ145" s="784">
        <f t="shared" si="35"/>
        <v>94146.71</v>
      </c>
      <c r="AK145" s="149">
        <f t="shared" si="30"/>
        <v>0.99978347002296986</v>
      </c>
      <c r="AL145" s="150">
        <f t="shared" si="36"/>
        <v>-20.389999999999418</v>
      </c>
      <c r="AM145" s="149">
        <f t="shared" si="31"/>
        <v>-2.1652997703018801E-4</v>
      </c>
      <c r="AN145" s="150">
        <f t="shared" si="32"/>
        <v>847320.39</v>
      </c>
      <c r="AO145" s="151">
        <f t="shared" si="33"/>
        <v>0.9</v>
      </c>
      <c r="AP145" s="154">
        <f t="shared" si="37"/>
        <v>94167.1</v>
      </c>
      <c r="AQ145" s="154"/>
      <c r="AR145" s="786" t="str">
        <f t="shared" si="38"/>
        <v>Vendido</v>
      </c>
      <c r="AS145" s="786" t="str">
        <f t="shared" si="39"/>
        <v>Cliente Atrasado</v>
      </c>
      <c r="AT145" s="174">
        <v>1</v>
      </c>
      <c r="AU145" s="174">
        <f t="shared" si="40"/>
        <v>0</v>
      </c>
      <c r="AV145" s="174">
        <f t="shared" si="41"/>
        <v>1</v>
      </c>
      <c r="AW145" s="173">
        <v>94167.1</v>
      </c>
      <c r="AX145" s="786">
        <f t="shared" si="34"/>
        <v>0</v>
      </c>
      <c r="AY145" s="787">
        <f t="shared" si="42"/>
        <v>9</v>
      </c>
      <c r="AZ145" s="152"/>
      <c r="BA145" s="152"/>
    </row>
    <row r="146" spans="1:53" x14ac:dyDescent="0.25">
      <c r="A146" s="93"/>
      <c r="B146" s="164">
        <v>813</v>
      </c>
      <c r="C146" s="164" t="s">
        <v>366</v>
      </c>
      <c r="D146" s="165" t="s">
        <v>1066</v>
      </c>
      <c r="E146" s="166">
        <v>45426</v>
      </c>
      <c r="F146" s="164" t="s">
        <v>393</v>
      </c>
      <c r="G146" s="164" t="s">
        <v>128</v>
      </c>
      <c r="H146" s="167">
        <v>895332.85</v>
      </c>
      <c r="I146" s="167">
        <v>89632.85</v>
      </c>
      <c r="J146" s="121">
        <v>0</v>
      </c>
      <c r="K146" s="121">
        <v>0</v>
      </c>
      <c r="L146" s="121">
        <v>0</v>
      </c>
      <c r="M146" s="121">
        <v>0</v>
      </c>
      <c r="N146" s="121">
        <v>0</v>
      </c>
      <c r="O146" s="121">
        <v>0</v>
      </c>
      <c r="P146" s="121">
        <v>0</v>
      </c>
      <c r="Q146" s="121">
        <v>0</v>
      </c>
      <c r="R146" s="121">
        <v>0</v>
      </c>
      <c r="S146" s="121">
        <v>0</v>
      </c>
      <c r="T146" s="121">
        <v>0</v>
      </c>
      <c r="U146" s="121">
        <v>0</v>
      </c>
      <c r="V146" s="121">
        <v>0</v>
      </c>
      <c r="W146" s="121">
        <v>0</v>
      </c>
      <c r="X146" s="121">
        <v>8000</v>
      </c>
      <c r="Y146" s="121">
        <v>0</v>
      </c>
      <c r="Z146" s="121">
        <v>0</v>
      </c>
      <c r="AA146" s="121">
        <v>12246</v>
      </c>
      <c r="AB146" s="121">
        <v>0</v>
      </c>
      <c r="AC146" s="121">
        <v>8164</v>
      </c>
      <c r="AD146" s="121">
        <v>0</v>
      </c>
      <c r="AE146" s="121">
        <v>0</v>
      </c>
      <c r="AF146" s="121">
        <v>8164</v>
      </c>
      <c r="AG146" s="121">
        <v>0</v>
      </c>
      <c r="AH146" s="121">
        <v>8164</v>
      </c>
      <c r="AI146" s="121">
        <v>0</v>
      </c>
      <c r="AJ146" s="784">
        <f t="shared" si="35"/>
        <v>44738</v>
      </c>
      <c r="AK146" s="149">
        <f t="shared" si="30"/>
        <v>0.49912504176761086</v>
      </c>
      <c r="AL146" s="150">
        <f t="shared" si="36"/>
        <v>-44894.850000000006</v>
      </c>
      <c r="AM146" s="149">
        <f t="shared" si="31"/>
        <v>-0.50087495823238914</v>
      </c>
      <c r="AN146" s="150">
        <f t="shared" si="32"/>
        <v>850594.85</v>
      </c>
      <c r="AO146" s="151">
        <f t="shared" si="33"/>
        <v>0.95003199089589974</v>
      </c>
      <c r="AP146" s="154">
        <f t="shared" si="37"/>
        <v>89632.85</v>
      </c>
      <c r="AQ146" s="154"/>
      <c r="AR146" s="786" t="str">
        <f t="shared" si="38"/>
        <v>Vendido</v>
      </c>
      <c r="AS146" s="786" t="str">
        <f t="shared" si="39"/>
        <v>Cliente Atrasado</v>
      </c>
      <c r="AT146" s="174"/>
      <c r="AU146" s="174">
        <f t="shared" si="40"/>
        <v>0</v>
      </c>
      <c r="AV146" s="174">
        <f t="shared" si="41"/>
        <v>0</v>
      </c>
      <c r="AW146" s="173"/>
      <c r="AX146" s="786">
        <f t="shared" si="34"/>
        <v>21</v>
      </c>
      <c r="AY146" s="787">
        <f t="shared" si="42"/>
        <v>11</v>
      </c>
      <c r="AZ146" s="152"/>
      <c r="BA146" s="152"/>
    </row>
    <row r="147" spans="1:53" x14ac:dyDescent="0.25">
      <c r="A147" s="93"/>
      <c r="B147" s="164">
        <v>814</v>
      </c>
      <c r="C147" s="164" t="s">
        <v>366</v>
      </c>
      <c r="D147" s="165" t="s">
        <v>546</v>
      </c>
      <c r="E147" s="166">
        <v>45250</v>
      </c>
      <c r="F147" s="164" t="s">
        <v>172</v>
      </c>
      <c r="G147" s="164" t="s">
        <v>128</v>
      </c>
      <c r="H147" s="167">
        <v>883300</v>
      </c>
      <c r="I147" s="167">
        <v>88400</v>
      </c>
      <c r="J147" s="121">
        <v>0</v>
      </c>
      <c r="K147" s="121">
        <v>0</v>
      </c>
      <c r="L147" s="121">
        <v>0</v>
      </c>
      <c r="M147" s="121">
        <v>0</v>
      </c>
      <c r="N147" s="121">
        <v>0</v>
      </c>
      <c r="O147" s="121">
        <v>0</v>
      </c>
      <c r="P147" s="121">
        <v>0</v>
      </c>
      <c r="Q147" s="121">
        <v>0</v>
      </c>
      <c r="R147" s="121">
        <v>5500</v>
      </c>
      <c r="S147" s="121">
        <v>3765</v>
      </c>
      <c r="T147" s="121">
        <v>3765</v>
      </c>
      <c r="U147" s="121">
        <v>3765</v>
      </c>
      <c r="V147" s="121">
        <v>3765</v>
      </c>
      <c r="W147" s="121">
        <v>3765</v>
      </c>
      <c r="X147" s="121">
        <v>3765</v>
      </c>
      <c r="Y147" s="121">
        <v>3765</v>
      </c>
      <c r="Z147" s="121">
        <v>3765</v>
      </c>
      <c r="AA147" s="121">
        <v>3765</v>
      </c>
      <c r="AB147" s="121">
        <v>3765</v>
      </c>
      <c r="AC147" s="121">
        <v>0</v>
      </c>
      <c r="AD147" s="121">
        <v>3765</v>
      </c>
      <c r="AE147" s="121">
        <v>3765</v>
      </c>
      <c r="AF147" s="121">
        <v>3765</v>
      </c>
      <c r="AG147" s="121">
        <v>3765</v>
      </c>
      <c r="AH147" s="121">
        <v>3765</v>
      </c>
      <c r="AI147" s="121">
        <v>3765</v>
      </c>
      <c r="AJ147" s="784">
        <f t="shared" si="35"/>
        <v>65740</v>
      </c>
      <c r="AK147" s="149">
        <f t="shared" si="30"/>
        <v>0.74366515837104075</v>
      </c>
      <c r="AL147" s="150">
        <f t="shared" si="36"/>
        <v>-22660</v>
      </c>
      <c r="AM147" s="149">
        <f t="shared" si="31"/>
        <v>-0.25633484162895925</v>
      </c>
      <c r="AN147" s="150">
        <f t="shared" si="32"/>
        <v>817560</v>
      </c>
      <c r="AO147" s="151">
        <f t="shared" si="33"/>
        <v>0.92557454998301825</v>
      </c>
      <c r="AP147" s="154">
        <f t="shared" si="37"/>
        <v>88400</v>
      </c>
      <c r="AQ147" s="154"/>
      <c r="AR147" s="786" t="str">
        <f t="shared" si="38"/>
        <v>Vendido</v>
      </c>
      <c r="AS147" s="786" t="str">
        <f t="shared" si="39"/>
        <v>Cliente Atrasado</v>
      </c>
      <c r="AT147" s="174">
        <v>22</v>
      </c>
      <c r="AU147" s="174">
        <f t="shared" si="40"/>
        <v>1</v>
      </c>
      <c r="AV147" s="174">
        <f t="shared" si="41"/>
        <v>23</v>
      </c>
      <c r="AW147" s="173">
        <v>3768</v>
      </c>
      <c r="AX147" s="786">
        <f t="shared" si="34"/>
        <v>0</v>
      </c>
      <c r="AY147" s="787">
        <f t="shared" si="42"/>
        <v>17</v>
      </c>
      <c r="AZ147" s="152"/>
      <c r="BA147" s="152"/>
    </row>
    <row r="148" spans="1:53" ht="15" customHeight="1" x14ac:dyDescent="0.25">
      <c r="A148" s="93"/>
      <c r="B148" s="164">
        <v>815</v>
      </c>
      <c r="C148" s="164" t="s">
        <v>366</v>
      </c>
      <c r="D148" s="165" t="s">
        <v>548</v>
      </c>
      <c r="E148" s="166">
        <v>45342</v>
      </c>
      <c r="F148" s="164" t="s">
        <v>547</v>
      </c>
      <c r="G148" s="164" t="s">
        <v>128</v>
      </c>
      <c r="H148" s="167">
        <v>1463600</v>
      </c>
      <c r="I148" s="167">
        <v>146400</v>
      </c>
      <c r="J148" s="121">
        <v>0</v>
      </c>
      <c r="K148" s="121">
        <v>0</v>
      </c>
      <c r="L148" s="121">
        <v>0</v>
      </c>
      <c r="M148" s="121">
        <v>0</v>
      </c>
      <c r="N148" s="121">
        <v>0</v>
      </c>
      <c r="O148" s="121">
        <v>0</v>
      </c>
      <c r="P148" s="121">
        <v>0</v>
      </c>
      <c r="Q148" s="121">
        <v>0</v>
      </c>
      <c r="R148" s="121">
        <v>0</v>
      </c>
      <c r="S148" s="121">
        <v>0</v>
      </c>
      <c r="T148" s="121">
        <v>0</v>
      </c>
      <c r="U148" s="121">
        <v>8000</v>
      </c>
      <c r="V148" s="121">
        <v>7284</v>
      </c>
      <c r="W148" s="121">
        <v>7284</v>
      </c>
      <c r="X148" s="121">
        <v>7284</v>
      </c>
      <c r="Y148" s="121">
        <v>7284</v>
      </c>
      <c r="Z148" s="121">
        <v>7284</v>
      </c>
      <c r="AA148" s="121">
        <v>7284</v>
      </c>
      <c r="AB148" s="121">
        <v>7284</v>
      </c>
      <c r="AC148" s="121">
        <v>7284</v>
      </c>
      <c r="AD148" s="121">
        <v>7284</v>
      </c>
      <c r="AE148" s="121">
        <v>7284</v>
      </c>
      <c r="AF148" s="121">
        <v>7284</v>
      </c>
      <c r="AG148" s="121">
        <v>7284</v>
      </c>
      <c r="AH148" s="121">
        <v>7284</v>
      </c>
      <c r="AI148" s="121">
        <v>0</v>
      </c>
      <c r="AJ148" s="784">
        <f t="shared" si="35"/>
        <v>102692</v>
      </c>
      <c r="AK148" s="149">
        <f t="shared" si="30"/>
        <v>0.70144808743169396</v>
      </c>
      <c r="AL148" s="150">
        <f t="shared" si="36"/>
        <v>-43708</v>
      </c>
      <c r="AM148" s="149">
        <f t="shared" si="31"/>
        <v>-0.29855191256830599</v>
      </c>
      <c r="AN148" s="150">
        <f t="shared" si="32"/>
        <v>1360908</v>
      </c>
      <c r="AO148" s="151">
        <f t="shared" si="33"/>
        <v>0.92983602077070238</v>
      </c>
      <c r="AP148" s="154">
        <f t="shared" si="37"/>
        <v>146400</v>
      </c>
      <c r="AQ148" s="154"/>
      <c r="AR148" s="786" t="str">
        <f t="shared" si="38"/>
        <v>Vendido</v>
      </c>
      <c r="AS148" s="786" t="str">
        <f t="shared" si="39"/>
        <v>Cliente Atrasado</v>
      </c>
      <c r="AT148" s="174"/>
      <c r="AU148" s="174">
        <f t="shared" si="40"/>
        <v>0</v>
      </c>
      <c r="AV148" s="174">
        <f t="shared" si="41"/>
        <v>0</v>
      </c>
      <c r="AW148" s="173"/>
      <c r="AX148" s="786">
        <f t="shared" si="34"/>
        <v>12</v>
      </c>
      <c r="AY148" s="787">
        <f t="shared" si="42"/>
        <v>14</v>
      </c>
      <c r="AZ148" s="152"/>
      <c r="BA148" s="152"/>
    </row>
    <row r="149" spans="1:53" ht="15" customHeight="1" x14ac:dyDescent="0.25">
      <c r="A149" s="93"/>
      <c r="B149" s="164">
        <v>816</v>
      </c>
      <c r="C149" s="164" t="s">
        <v>383</v>
      </c>
      <c r="D149" s="165" t="s">
        <v>549</v>
      </c>
      <c r="E149" s="166">
        <v>45016</v>
      </c>
      <c r="F149" s="164" t="s">
        <v>181</v>
      </c>
      <c r="G149" s="164" t="s">
        <v>128</v>
      </c>
      <c r="H149" s="167">
        <v>651600</v>
      </c>
      <c r="I149" s="167">
        <v>65200</v>
      </c>
      <c r="J149" s="121">
        <v>6000</v>
      </c>
      <c r="K149" s="121">
        <v>1700</v>
      </c>
      <c r="L149" s="121">
        <v>1700</v>
      </c>
      <c r="M149" s="121">
        <v>1700</v>
      </c>
      <c r="N149" s="121">
        <v>1700</v>
      </c>
      <c r="O149" s="121">
        <v>1700</v>
      </c>
      <c r="P149" s="121">
        <v>1700</v>
      </c>
      <c r="Q149" s="121">
        <v>1700</v>
      </c>
      <c r="R149" s="121">
        <v>1700</v>
      </c>
      <c r="S149" s="121">
        <v>1700</v>
      </c>
      <c r="T149" s="121">
        <v>1700</v>
      </c>
      <c r="U149" s="121">
        <v>1700</v>
      </c>
      <c r="V149" s="121">
        <v>1700</v>
      </c>
      <c r="W149" s="121">
        <v>1700</v>
      </c>
      <c r="X149" s="121">
        <v>1700</v>
      </c>
      <c r="Y149" s="121">
        <v>1700</v>
      </c>
      <c r="Z149" s="121">
        <v>1700</v>
      </c>
      <c r="AA149" s="121">
        <v>1700</v>
      </c>
      <c r="AB149" s="121">
        <v>1700</v>
      </c>
      <c r="AC149" s="121">
        <v>1700</v>
      </c>
      <c r="AD149" s="121">
        <v>1700</v>
      </c>
      <c r="AE149" s="121">
        <v>1700</v>
      </c>
      <c r="AF149" s="121">
        <v>1700</v>
      </c>
      <c r="AG149" s="121">
        <v>1700</v>
      </c>
      <c r="AH149" s="121">
        <v>1700</v>
      </c>
      <c r="AI149" s="121">
        <v>1700</v>
      </c>
      <c r="AJ149" s="784">
        <f t="shared" si="35"/>
        <v>48500</v>
      </c>
      <c r="AK149" s="149">
        <f t="shared" si="30"/>
        <v>0.74386503067484666</v>
      </c>
      <c r="AL149" s="150">
        <f t="shared" si="36"/>
        <v>-16700</v>
      </c>
      <c r="AM149" s="149">
        <f t="shared" si="31"/>
        <v>-0.25613496932515339</v>
      </c>
      <c r="AN149" s="150">
        <f t="shared" si="32"/>
        <v>603100</v>
      </c>
      <c r="AO149" s="151">
        <f t="shared" si="33"/>
        <v>0.92556783302639656</v>
      </c>
      <c r="AP149" s="154">
        <f t="shared" si="37"/>
        <v>65200</v>
      </c>
      <c r="AQ149" s="154"/>
      <c r="AR149" s="786" t="str">
        <f t="shared" si="38"/>
        <v>Vendido</v>
      </c>
      <c r="AS149" s="786" t="str">
        <f t="shared" si="39"/>
        <v>Cliente Atrasado</v>
      </c>
      <c r="AT149" s="174">
        <v>35</v>
      </c>
      <c r="AU149" s="174">
        <f t="shared" si="40"/>
        <v>1</v>
      </c>
      <c r="AV149" s="174">
        <f t="shared" si="41"/>
        <v>36</v>
      </c>
      <c r="AW149" s="173">
        <v>1700</v>
      </c>
      <c r="AX149" s="786">
        <f t="shared" si="34"/>
        <v>25</v>
      </c>
      <c r="AY149" s="787">
        <f t="shared" si="42"/>
        <v>24</v>
      </c>
      <c r="AZ149" s="152"/>
      <c r="BA149" s="152"/>
    </row>
    <row r="150" spans="1:53" x14ac:dyDescent="0.25">
      <c r="A150" s="93"/>
      <c r="B150" s="164">
        <v>817</v>
      </c>
      <c r="C150" s="164" t="s">
        <v>383</v>
      </c>
      <c r="D150" s="165" t="s">
        <v>550</v>
      </c>
      <c r="E150" s="166">
        <v>45027</v>
      </c>
      <c r="F150" s="164" t="s">
        <v>192</v>
      </c>
      <c r="G150" s="164" t="s">
        <v>128</v>
      </c>
      <c r="H150" s="167">
        <v>657132.30000000005</v>
      </c>
      <c r="I150" s="167">
        <v>65732.3</v>
      </c>
      <c r="J150" s="121">
        <v>0</v>
      </c>
      <c r="K150" s="121">
        <v>6000</v>
      </c>
      <c r="L150" s="121">
        <v>0</v>
      </c>
      <c r="M150" s="121">
        <v>1500</v>
      </c>
      <c r="N150" s="121">
        <v>3000</v>
      </c>
      <c r="O150" s="121">
        <v>1500</v>
      </c>
      <c r="P150" s="121">
        <v>1500</v>
      </c>
      <c r="Q150" s="121">
        <v>1500</v>
      </c>
      <c r="R150" s="121">
        <v>0</v>
      </c>
      <c r="S150" s="121">
        <v>4500</v>
      </c>
      <c r="T150" s="121">
        <v>0</v>
      </c>
      <c r="U150" s="121">
        <v>1500</v>
      </c>
      <c r="V150" s="121">
        <v>1500</v>
      </c>
      <c r="W150" s="121">
        <v>3000</v>
      </c>
      <c r="X150" s="121">
        <v>1500</v>
      </c>
      <c r="Y150" s="121">
        <v>0</v>
      </c>
      <c r="Z150" s="121">
        <v>1500</v>
      </c>
      <c r="AA150" s="121">
        <v>1500</v>
      </c>
      <c r="AB150" s="121">
        <v>1500</v>
      </c>
      <c r="AC150" s="121">
        <v>0</v>
      </c>
      <c r="AD150" s="121">
        <v>1500</v>
      </c>
      <c r="AE150" s="121">
        <v>1500</v>
      </c>
      <c r="AF150" s="121">
        <v>1500</v>
      </c>
      <c r="AG150" s="121">
        <v>1500</v>
      </c>
      <c r="AH150" s="121">
        <v>1500</v>
      </c>
      <c r="AI150" s="121">
        <v>0</v>
      </c>
      <c r="AJ150" s="784">
        <f t="shared" si="35"/>
        <v>39000</v>
      </c>
      <c r="AK150" s="149">
        <f t="shared" si="30"/>
        <v>0.59331561500206131</v>
      </c>
      <c r="AL150" s="150">
        <f t="shared" si="36"/>
        <v>-26732.300000000003</v>
      </c>
      <c r="AM150" s="149">
        <f t="shared" si="31"/>
        <v>-0.40668438499793863</v>
      </c>
      <c r="AN150" s="150">
        <f t="shared" si="32"/>
        <v>618132.30000000005</v>
      </c>
      <c r="AO150" s="151">
        <f t="shared" si="33"/>
        <v>0.94065122046199834</v>
      </c>
      <c r="AP150" s="154">
        <f t="shared" si="37"/>
        <v>65732.3</v>
      </c>
      <c r="AQ150" s="154"/>
      <c r="AR150" s="786" t="str">
        <f t="shared" si="38"/>
        <v>Vendido</v>
      </c>
      <c r="AS150" s="786" t="str">
        <f t="shared" si="39"/>
        <v>Cliente Atrasado</v>
      </c>
      <c r="AT150" s="174">
        <v>34</v>
      </c>
      <c r="AU150" s="174">
        <f t="shared" si="40"/>
        <v>1</v>
      </c>
      <c r="AV150" s="174">
        <f t="shared" si="41"/>
        <v>35</v>
      </c>
      <c r="AW150" s="173">
        <v>1500</v>
      </c>
      <c r="AX150" s="786">
        <f t="shared" si="34"/>
        <v>15</v>
      </c>
      <c r="AY150" s="787">
        <f t="shared" si="42"/>
        <v>24</v>
      </c>
      <c r="AZ150" s="152"/>
      <c r="BA150" s="152"/>
    </row>
    <row r="151" spans="1:53" ht="15" customHeight="1" x14ac:dyDescent="0.25">
      <c r="A151" s="93"/>
      <c r="B151" s="164">
        <v>818</v>
      </c>
      <c r="C151" s="164" t="s">
        <v>383</v>
      </c>
      <c r="D151" s="165" t="s">
        <v>551</v>
      </c>
      <c r="E151" s="166">
        <v>45125</v>
      </c>
      <c r="F151" s="164" t="s">
        <v>198</v>
      </c>
      <c r="G151" s="164" t="s">
        <v>128</v>
      </c>
      <c r="H151" s="167">
        <v>703500</v>
      </c>
      <c r="I151" s="167">
        <v>70400</v>
      </c>
      <c r="J151" s="121">
        <v>0</v>
      </c>
      <c r="K151" s="121">
        <v>0</v>
      </c>
      <c r="L151" s="121">
        <v>0</v>
      </c>
      <c r="M151" s="121">
        <v>0</v>
      </c>
      <c r="N151" s="121">
        <v>6000</v>
      </c>
      <c r="O151" s="121">
        <v>2477</v>
      </c>
      <c r="P151" s="121">
        <v>2477</v>
      </c>
      <c r="Q151" s="121">
        <v>2477</v>
      </c>
      <c r="R151" s="121">
        <v>2477</v>
      </c>
      <c r="S151" s="121">
        <v>2477</v>
      </c>
      <c r="T151" s="121">
        <v>2477</v>
      </c>
      <c r="U151" s="121">
        <v>2477</v>
      </c>
      <c r="V151" s="121">
        <v>2477</v>
      </c>
      <c r="W151" s="121">
        <v>2477</v>
      </c>
      <c r="X151" s="121">
        <v>2477</v>
      </c>
      <c r="Y151" s="121">
        <v>2477</v>
      </c>
      <c r="Z151" s="121">
        <v>2477</v>
      </c>
      <c r="AA151" s="121">
        <v>2477</v>
      </c>
      <c r="AB151" s="121">
        <v>2477</v>
      </c>
      <c r="AC151" s="121">
        <v>2477</v>
      </c>
      <c r="AD151" s="121">
        <v>2477</v>
      </c>
      <c r="AE151" s="121">
        <v>2477</v>
      </c>
      <c r="AF151" s="121">
        <v>2477</v>
      </c>
      <c r="AG151" s="121">
        <v>2477</v>
      </c>
      <c r="AH151" s="121">
        <v>2477</v>
      </c>
      <c r="AI151" s="121">
        <v>0</v>
      </c>
      <c r="AJ151" s="784">
        <f t="shared" si="35"/>
        <v>55540</v>
      </c>
      <c r="AK151" s="149">
        <f t="shared" si="30"/>
        <v>0.78892045454545456</v>
      </c>
      <c r="AL151" s="150">
        <f t="shared" si="36"/>
        <v>-14860</v>
      </c>
      <c r="AM151" s="149">
        <f t="shared" si="31"/>
        <v>-0.21107954545454546</v>
      </c>
      <c r="AN151" s="150">
        <f t="shared" si="32"/>
        <v>647960</v>
      </c>
      <c r="AO151" s="151">
        <f t="shared" si="33"/>
        <v>0.92105188343994315</v>
      </c>
      <c r="AP151" s="154">
        <f t="shared" si="37"/>
        <v>70400</v>
      </c>
      <c r="AQ151" s="154"/>
      <c r="AR151" s="786" t="str">
        <f t="shared" si="38"/>
        <v>Vendido</v>
      </c>
      <c r="AS151" s="786" t="str">
        <f t="shared" si="39"/>
        <v>Cliente Atrasado</v>
      </c>
      <c r="AT151" s="174">
        <v>26</v>
      </c>
      <c r="AU151" s="174">
        <f t="shared" si="40"/>
        <v>1</v>
      </c>
      <c r="AV151" s="174">
        <f t="shared" si="41"/>
        <v>27</v>
      </c>
      <c r="AW151" s="173">
        <v>2477</v>
      </c>
      <c r="AX151" s="786">
        <f t="shared" si="34"/>
        <v>20</v>
      </c>
      <c r="AY151" s="787">
        <f t="shared" si="42"/>
        <v>21</v>
      </c>
      <c r="AZ151" s="152"/>
      <c r="BA151" s="152"/>
    </row>
    <row r="152" spans="1:53" ht="15" customHeight="1" x14ac:dyDescent="0.25">
      <c r="A152" s="93"/>
      <c r="B152" s="164">
        <v>819</v>
      </c>
      <c r="C152" s="164" t="s">
        <v>383</v>
      </c>
      <c r="D152" s="165" t="s">
        <v>552</v>
      </c>
      <c r="E152" s="166">
        <v>45075</v>
      </c>
      <c r="F152" s="164" t="s">
        <v>412</v>
      </c>
      <c r="G152" s="164" t="s">
        <v>128</v>
      </c>
      <c r="H152" s="167">
        <v>967700</v>
      </c>
      <c r="I152" s="167">
        <v>96800</v>
      </c>
      <c r="J152" s="121">
        <v>0</v>
      </c>
      <c r="K152" s="121">
        <v>0</v>
      </c>
      <c r="L152" s="121">
        <v>6000</v>
      </c>
      <c r="M152" s="121">
        <v>0</v>
      </c>
      <c r="N152" s="121">
        <v>6400</v>
      </c>
      <c r="O152" s="121">
        <v>3200</v>
      </c>
      <c r="P152" s="121">
        <v>3200</v>
      </c>
      <c r="Q152" s="121">
        <v>3200</v>
      </c>
      <c r="R152" s="121">
        <v>3200</v>
      </c>
      <c r="S152" s="121">
        <v>3200</v>
      </c>
      <c r="T152" s="121">
        <v>3200</v>
      </c>
      <c r="U152" s="121">
        <v>3200</v>
      </c>
      <c r="V152" s="121">
        <v>3200</v>
      </c>
      <c r="W152" s="121">
        <v>3200</v>
      </c>
      <c r="X152" s="121">
        <v>3200</v>
      </c>
      <c r="Y152" s="121">
        <v>3200</v>
      </c>
      <c r="Z152" s="121">
        <v>3200</v>
      </c>
      <c r="AA152" s="121">
        <v>3200</v>
      </c>
      <c r="AB152" s="121">
        <v>3200</v>
      </c>
      <c r="AC152" s="121">
        <v>3200</v>
      </c>
      <c r="AD152" s="121">
        <v>3200</v>
      </c>
      <c r="AE152" s="121">
        <v>3200</v>
      </c>
      <c r="AF152" s="121">
        <v>3200</v>
      </c>
      <c r="AG152" s="121">
        <v>3200</v>
      </c>
      <c r="AH152" s="121">
        <v>3200</v>
      </c>
      <c r="AI152" s="121">
        <v>0</v>
      </c>
      <c r="AJ152" s="784">
        <f t="shared" si="35"/>
        <v>76400</v>
      </c>
      <c r="AK152" s="149">
        <f t="shared" si="30"/>
        <v>0.78925619834710747</v>
      </c>
      <c r="AL152" s="150">
        <f t="shared" si="36"/>
        <v>-20400</v>
      </c>
      <c r="AM152" s="149">
        <f t="shared" si="31"/>
        <v>-0.21074380165289255</v>
      </c>
      <c r="AN152" s="150">
        <f t="shared" si="32"/>
        <v>891300</v>
      </c>
      <c r="AO152" s="151">
        <f t="shared" si="33"/>
        <v>0.92104991216286036</v>
      </c>
      <c r="AP152" s="154">
        <f t="shared" si="37"/>
        <v>96800</v>
      </c>
      <c r="AQ152" s="154"/>
      <c r="AR152" s="786" t="str">
        <f t="shared" si="38"/>
        <v>Vendido</v>
      </c>
      <c r="AS152" s="786" t="str">
        <f t="shared" si="39"/>
        <v>Cliente Atrasado</v>
      </c>
      <c r="AT152" s="174">
        <v>28</v>
      </c>
      <c r="AU152" s="174">
        <f t="shared" si="40"/>
        <v>1</v>
      </c>
      <c r="AV152" s="174">
        <f t="shared" si="41"/>
        <v>29</v>
      </c>
      <c r="AW152" s="173">
        <v>3200</v>
      </c>
      <c r="AX152" s="786">
        <f t="shared" si="34"/>
        <v>20</v>
      </c>
      <c r="AY152" s="787">
        <f t="shared" si="42"/>
        <v>23</v>
      </c>
      <c r="AZ152" s="152"/>
      <c r="BA152" s="152"/>
    </row>
    <row r="153" spans="1:53" ht="15" customHeight="1" x14ac:dyDescent="0.25">
      <c r="A153" s="93"/>
      <c r="B153" s="164">
        <v>820</v>
      </c>
      <c r="C153" s="164" t="s">
        <v>366</v>
      </c>
      <c r="D153" s="165" t="s">
        <v>553</v>
      </c>
      <c r="E153" s="166">
        <v>45304</v>
      </c>
      <c r="F153" s="164" t="s">
        <v>186</v>
      </c>
      <c r="G153" s="164" t="s">
        <v>128</v>
      </c>
      <c r="H153" s="167">
        <v>990132.5</v>
      </c>
      <c r="I153" s="167">
        <v>99132.5</v>
      </c>
      <c r="J153" s="121">
        <v>0</v>
      </c>
      <c r="K153" s="121">
        <v>0</v>
      </c>
      <c r="L153" s="121">
        <v>0</v>
      </c>
      <c r="M153" s="121">
        <v>0</v>
      </c>
      <c r="N153" s="121">
        <v>0</v>
      </c>
      <c r="O153" s="121">
        <v>0</v>
      </c>
      <c r="P153" s="121">
        <v>0</v>
      </c>
      <c r="Q153" s="121">
        <v>0</v>
      </c>
      <c r="R153" s="121">
        <v>0</v>
      </c>
      <c r="S153" s="121">
        <v>0</v>
      </c>
      <c r="T153" s="121">
        <v>8000</v>
      </c>
      <c r="U153" s="121">
        <v>4557</v>
      </c>
      <c r="V153" s="121">
        <v>4557</v>
      </c>
      <c r="W153" s="121">
        <v>4557</v>
      </c>
      <c r="X153" s="121">
        <v>4557</v>
      </c>
      <c r="Y153" s="121">
        <v>4557</v>
      </c>
      <c r="Z153" s="121">
        <v>4557</v>
      </c>
      <c r="AA153" s="121">
        <v>4557</v>
      </c>
      <c r="AB153" s="121">
        <v>4557</v>
      </c>
      <c r="AC153" s="121">
        <v>4557</v>
      </c>
      <c r="AD153" s="121">
        <v>4557</v>
      </c>
      <c r="AE153" s="121">
        <v>4557</v>
      </c>
      <c r="AF153" s="121">
        <v>4557</v>
      </c>
      <c r="AG153" s="121">
        <v>4557</v>
      </c>
      <c r="AH153" s="121">
        <v>4557</v>
      </c>
      <c r="AI153" s="121">
        <v>0</v>
      </c>
      <c r="AJ153" s="784">
        <f t="shared" si="35"/>
        <v>71798</v>
      </c>
      <c r="AK153" s="149">
        <f t="shared" si="30"/>
        <v>0.7242629813633269</v>
      </c>
      <c r="AL153" s="150">
        <f t="shared" si="36"/>
        <v>-27334.5</v>
      </c>
      <c r="AM153" s="149">
        <f t="shared" si="31"/>
        <v>-0.27573701863667316</v>
      </c>
      <c r="AN153" s="150">
        <f t="shared" si="32"/>
        <v>918334.5</v>
      </c>
      <c r="AO153" s="151">
        <f t="shared" si="33"/>
        <v>0.92748647277005858</v>
      </c>
      <c r="AP153" s="154">
        <f t="shared" si="37"/>
        <v>99132.5</v>
      </c>
      <c r="AQ153" s="154"/>
      <c r="AR153" s="786" t="str">
        <f t="shared" si="38"/>
        <v>Vendido</v>
      </c>
      <c r="AS153" s="786" t="str">
        <f t="shared" si="39"/>
        <v>Cliente Atrasado</v>
      </c>
      <c r="AT153" s="174">
        <v>20</v>
      </c>
      <c r="AU153" s="174">
        <f t="shared" si="40"/>
        <v>1</v>
      </c>
      <c r="AV153" s="174">
        <f t="shared" si="41"/>
        <v>21</v>
      </c>
      <c r="AW153" s="173">
        <v>4557</v>
      </c>
      <c r="AX153" s="786">
        <f t="shared" si="34"/>
        <v>14</v>
      </c>
      <c r="AY153" s="787">
        <f t="shared" si="42"/>
        <v>15</v>
      </c>
      <c r="AZ153" s="152"/>
      <c r="BA153" s="152"/>
    </row>
    <row r="154" spans="1:53" x14ac:dyDescent="0.25">
      <c r="A154" s="93"/>
      <c r="B154" s="164">
        <v>901</v>
      </c>
      <c r="C154" s="164" t="s">
        <v>366</v>
      </c>
      <c r="D154" s="165" t="s">
        <v>1067</v>
      </c>
      <c r="E154" s="166">
        <v>45012</v>
      </c>
      <c r="F154" s="164" t="s">
        <v>409</v>
      </c>
      <c r="G154" s="164" t="s">
        <v>128</v>
      </c>
      <c r="H154" s="167">
        <v>1087062.8421799999</v>
      </c>
      <c r="I154" s="167">
        <v>108762.84</v>
      </c>
      <c r="J154" s="121">
        <v>6000</v>
      </c>
      <c r="K154" s="121">
        <v>2936</v>
      </c>
      <c r="L154" s="121">
        <v>2936</v>
      </c>
      <c r="M154" s="121">
        <v>2936</v>
      </c>
      <c r="N154" s="121">
        <v>2936</v>
      </c>
      <c r="O154" s="121">
        <v>2936</v>
      </c>
      <c r="P154" s="121">
        <v>2936</v>
      </c>
      <c r="Q154" s="121">
        <v>2936</v>
      </c>
      <c r="R154" s="121">
        <v>2936</v>
      </c>
      <c r="S154" s="121">
        <v>2936</v>
      </c>
      <c r="T154" s="121">
        <v>2936</v>
      </c>
      <c r="U154" s="121">
        <v>2936</v>
      </c>
      <c r="V154" s="121">
        <v>2551</v>
      </c>
      <c r="W154" s="121">
        <v>3321</v>
      </c>
      <c r="X154" s="121">
        <v>2936</v>
      </c>
      <c r="Y154" s="121">
        <v>2936</v>
      </c>
      <c r="Z154" s="121">
        <v>2936</v>
      </c>
      <c r="AA154" s="121">
        <v>2936</v>
      </c>
      <c r="AB154" s="121">
        <v>2936</v>
      </c>
      <c r="AC154" s="121">
        <v>2936</v>
      </c>
      <c r="AD154" s="121">
        <v>2936</v>
      </c>
      <c r="AE154" s="121">
        <v>2936</v>
      </c>
      <c r="AF154" s="121">
        <v>2936</v>
      </c>
      <c r="AG154" s="121">
        <v>0</v>
      </c>
      <c r="AH154" s="121">
        <f>2600+336</f>
        <v>2936</v>
      </c>
      <c r="AI154" s="121">
        <v>0</v>
      </c>
      <c r="AJ154" s="784">
        <f t="shared" si="35"/>
        <v>73528</v>
      </c>
      <c r="AK154" s="149">
        <f t="shared" si="30"/>
        <v>0.67603972091938758</v>
      </c>
      <c r="AL154" s="150">
        <f t="shared" si="36"/>
        <v>-35234.839999999997</v>
      </c>
      <c r="AM154" s="149">
        <f t="shared" si="31"/>
        <v>-0.32396027908061242</v>
      </c>
      <c r="AN154" s="150">
        <f t="shared" si="32"/>
        <v>1013534.8421799999</v>
      </c>
      <c r="AO154" s="151">
        <f t="shared" si="33"/>
        <v>0.93236085610971053</v>
      </c>
      <c r="AP154" s="154">
        <f t="shared" si="37"/>
        <v>108762.84</v>
      </c>
      <c r="AQ154" s="154"/>
      <c r="AR154" s="786" t="str">
        <f t="shared" si="38"/>
        <v>Vendido</v>
      </c>
      <c r="AS154" s="786" t="str">
        <f t="shared" si="39"/>
        <v>Cliente Atrasado</v>
      </c>
      <c r="AT154" s="174">
        <v>35</v>
      </c>
      <c r="AU154" s="174">
        <f t="shared" si="40"/>
        <v>1</v>
      </c>
      <c r="AV154" s="174">
        <f t="shared" si="41"/>
        <v>36</v>
      </c>
      <c r="AW154" s="173">
        <v>2936</v>
      </c>
      <c r="AX154" s="786">
        <f t="shared" si="34"/>
        <v>21</v>
      </c>
      <c r="AY154" s="787">
        <f t="shared" si="42"/>
        <v>25</v>
      </c>
      <c r="AZ154" s="152"/>
      <c r="BA154" s="152"/>
    </row>
    <row r="155" spans="1:53" x14ac:dyDescent="0.25">
      <c r="A155" s="93"/>
      <c r="B155" s="164">
        <v>902</v>
      </c>
      <c r="C155" s="164" t="s">
        <v>366</v>
      </c>
      <c r="D155" s="165" t="s">
        <v>555</v>
      </c>
      <c r="E155" s="166">
        <v>45306</v>
      </c>
      <c r="F155" s="164" t="s">
        <v>184</v>
      </c>
      <c r="G155" s="164" t="s">
        <v>128</v>
      </c>
      <c r="H155" s="167">
        <v>1195970</v>
      </c>
      <c r="I155" s="167">
        <v>119670</v>
      </c>
      <c r="J155" s="121">
        <v>0</v>
      </c>
      <c r="K155" s="121">
        <v>0</v>
      </c>
      <c r="L155" s="121">
        <v>0</v>
      </c>
      <c r="M155" s="121">
        <v>0</v>
      </c>
      <c r="N155" s="121">
        <v>0</v>
      </c>
      <c r="O155" s="121">
        <v>0</v>
      </c>
      <c r="P155" s="121">
        <v>0</v>
      </c>
      <c r="Q155" s="121">
        <v>0</v>
      </c>
      <c r="R155" s="121">
        <v>0</v>
      </c>
      <c r="S155" s="121">
        <v>0</v>
      </c>
      <c r="T155" s="121">
        <v>8000</v>
      </c>
      <c r="U155" s="121">
        <v>10000</v>
      </c>
      <c r="V155" s="121">
        <v>10000</v>
      </c>
      <c r="W155" s="121">
        <v>7000</v>
      </c>
      <c r="X155" s="121">
        <v>10000</v>
      </c>
      <c r="Y155" s="121">
        <v>10000</v>
      </c>
      <c r="Z155" s="121">
        <v>10000</v>
      </c>
      <c r="AA155" s="121">
        <v>10000</v>
      </c>
      <c r="AB155" s="121">
        <v>5000</v>
      </c>
      <c r="AC155" s="121">
        <v>10000</v>
      </c>
      <c r="AD155" s="121">
        <v>5000</v>
      </c>
      <c r="AE155" s="121">
        <v>5000</v>
      </c>
      <c r="AF155" s="121">
        <v>5000</v>
      </c>
      <c r="AG155" s="121">
        <v>5000</v>
      </c>
      <c r="AH155" s="121">
        <v>5000</v>
      </c>
      <c r="AI155" s="121">
        <v>0</v>
      </c>
      <c r="AJ155" s="784">
        <f t="shared" si="35"/>
        <v>115000</v>
      </c>
      <c r="AK155" s="149">
        <f t="shared" si="30"/>
        <v>0.96097601738113148</v>
      </c>
      <c r="AL155" s="150">
        <f t="shared" si="36"/>
        <v>-4670</v>
      </c>
      <c r="AM155" s="149">
        <f t="shared" si="31"/>
        <v>-3.9023982618868552E-2</v>
      </c>
      <c r="AN155" s="150">
        <f t="shared" si="32"/>
        <v>1080970</v>
      </c>
      <c r="AO155" s="151">
        <f t="shared" si="33"/>
        <v>0.90384374189988048</v>
      </c>
      <c r="AP155" s="154">
        <f t="shared" si="37"/>
        <v>119670</v>
      </c>
      <c r="AQ155" s="154"/>
      <c r="AR155" s="786" t="str">
        <f t="shared" si="38"/>
        <v>Vendido</v>
      </c>
      <c r="AS155" s="786" t="str">
        <f t="shared" si="39"/>
        <v>Cliente Atrasado</v>
      </c>
      <c r="AT155" s="174">
        <v>20</v>
      </c>
      <c r="AU155" s="174">
        <f t="shared" si="40"/>
        <v>1</v>
      </c>
      <c r="AV155" s="174">
        <f t="shared" si="41"/>
        <v>21</v>
      </c>
      <c r="AW155" s="173">
        <v>5584</v>
      </c>
      <c r="AX155" s="786">
        <f t="shared" si="34"/>
        <v>0</v>
      </c>
      <c r="AY155" s="787">
        <f t="shared" si="42"/>
        <v>15</v>
      </c>
      <c r="AZ155" s="152"/>
      <c r="BA155" s="152"/>
    </row>
    <row r="156" spans="1:53" x14ac:dyDescent="0.25">
      <c r="A156" s="93"/>
      <c r="B156" s="164">
        <v>903</v>
      </c>
      <c r="C156" s="164" t="s">
        <v>356</v>
      </c>
      <c r="D156" s="165" t="s">
        <v>556</v>
      </c>
      <c r="E156" s="166">
        <v>45065</v>
      </c>
      <c r="F156" s="164" t="s">
        <v>406</v>
      </c>
      <c r="G156" s="164" t="s">
        <v>128</v>
      </c>
      <c r="H156" s="167">
        <v>703500</v>
      </c>
      <c r="I156" s="167">
        <v>70400</v>
      </c>
      <c r="J156" s="121">
        <v>0</v>
      </c>
      <c r="K156" s="121">
        <v>0</v>
      </c>
      <c r="L156" s="121">
        <v>6000</v>
      </c>
      <c r="M156" s="121">
        <v>2300</v>
      </c>
      <c r="N156" s="121">
        <v>2300</v>
      </c>
      <c r="O156" s="121">
        <v>2300</v>
      </c>
      <c r="P156" s="121">
        <v>2300</v>
      </c>
      <c r="Q156" s="121">
        <v>2300</v>
      </c>
      <c r="R156" s="121">
        <v>2300</v>
      </c>
      <c r="S156" s="121">
        <v>4600</v>
      </c>
      <c r="T156" s="121">
        <v>0</v>
      </c>
      <c r="U156" s="121">
        <v>4600</v>
      </c>
      <c r="V156" s="121">
        <v>0</v>
      </c>
      <c r="W156" s="121">
        <v>4600</v>
      </c>
      <c r="X156" s="121">
        <v>0</v>
      </c>
      <c r="Y156" s="121">
        <v>0</v>
      </c>
      <c r="Z156" s="121">
        <v>4600</v>
      </c>
      <c r="AA156" s="121">
        <v>4600</v>
      </c>
      <c r="AB156" s="121">
        <v>0</v>
      </c>
      <c r="AC156" s="121">
        <v>0</v>
      </c>
      <c r="AD156" s="121">
        <v>4600</v>
      </c>
      <c r="AE156" s="121">
        <v>0</v>
      </c>
      <c r="AF156" s="121">
        <v>4600</v>
      </c>
      <c r="AG156" s="121">
        <v>2300</v>
      </c>
      <c r="AH156" s="121">
        <v>0</v>
      </c>
      <c r="AI156" s="121">
        <v>0</v>
      </c>
      <c r="AJ156" s="784">
        <f t="shared" si="35"/>
        <v>54300</v>
      </c>
      <c r="AK156" s="149">
        <f t="shared" si="30"/>
        <v>0.77130681818181823</v>
      </c>
      <c r="AL156" s="150">
        <f t="shared" si="36"/>
        <v>-16100</v>
      </c>
      <c r="AM156" s="149">
        <f t="shared" si="31"/>
        <v>-0.22869318181818182</v>
      </c>
      <c r="AN156" s="150">
        <f t="shared" si="32"/>
        <v>649200</v>
      </c>
      <c r="AO156" s="151">
        <f t="shared" si="33"/>
        <v>0.92281449893390188</v>
      </c>
      <c r="AP156" s="154">
        <f t="shared" si="37"/>
        <v>70400</v>
      </c>
      <c r="AQ156" s="154"/>
      <c r="AR156" s="786" t="str">
        <f t="shared" si="38"/>
        <v>Vendido</v>
      </c>
      <c r="AS156" s="786" t="str">
        <f t="shared" si="39"/>
        <v>Cliente Atrasado</v>
      </c>
      <c r="AT156" s="174">
        <v>28</v>
      </c>
      <c r="AU156" s="174">
        <f t="shared" si="40"/>
        <v>1</v>
      </c>
      <c r="AV156" s="174">
        <f t="shared" si="41"/>
        <v>29</v>
      </c>
      <c r="AW156" s="173">
        <v>2300</v>
      </c>
      <c r="AX156" s="786">
        <f t="shared" si="34"/>
        <v>7</v>
      </c>
      <c r="AY156" s="787">
        <f t="shared" si="42"/>
        <v>23</v>
      </c>
      <c r="AZ156" s="152"/>
      <c r="BA156" s="152"/>
    </row>
    <row r="157" spans="1:53" ht="15.75" customHeight="1" x14ac:dyDescent="0.25">
      <c r="A157" s="93"/>
      <c r="B157" s="164">
        <v>904</v>
      </c>
      <c r="C157" s="164" t="s">
        <v>356</v>
      </c>
      <c r="D157" s="165" t="s">
        <v>557</v>
      </c>
      <c r="E157" s="166">
        <v>45062</v>
      </c>
      <c r="F157" s="164" t="s">
        <v>200</v>
      </c>
      <c r="G157" s="164" t="s">
        <v>128</v>
      </c>
      <c r="H157" s="167">
        <v>696469.08</v>
      </c>
      <c r="I157" s="167">
        <v>69669.08</v>
      </c>
      <c r="J157" s="121">
        <v>0</v>
      </c>
      <c r="K157" s="121">
        <v>0</v>
      </c>
      <c r="L157" s="121">
        <v>6000</v>
      </c>
      <c r="M157" s="121">
        <v>2296</v>
      </c>
      <c r="N157" s="121">
        <v>2274</v>
      </c>
      <c r="O157" s="121">
        <v>2274</v>
      </c>
      <c r="P157" s="121">
        <v>2274</v>
      </c>
      <c r="Q157" s="121">
        <v>2274</v>
      </c>
      <c r="R157" s="121">
        <v>2274</v>
      </c>
      <c r="S157" s="121">
        <v>2294</v>
      </c>
      <c r="T157" s="121">
        <v>2294</v>
      </c>
      <c r="U157" s="121">
        <v>2274</v>
      </c>
      <c r="V157" s="121">
        <v>2274</v>
      </c>
      <c r="W157" s="121">
        <v>2274</v>
      </c>
      <c r="X157" s="121">
        <v>2274</v>
      </c>
      <c r="Y157" s="121">
        <v>2274</v>
      </c>
      <c r="Z157" s="121">
        <v>2274</v>
      </c>
      <c r="AA157" s="121">
        <v>2274</v>
      </c>
      <c r="AB157" s="121">
        <v>2274</v>
      </c>
      <c r="AC157" s="121">
        <v>2274</v>
      </c>
      <c r="AD157" s="121">
        <v>2274</v>
      </c>
      <c r="AE157" s="121">
        <v>2274</v>
      </c>
      <c r="AF157" s="121">
        <v>2274</v>
      </c>
      <c r="AG157" s="121">
        <v>2274</v>
      </c>
      <c r="AH157" s="121">
        <v>2274</v>
      </c>
      <c r="AI157" s="121">
        <v>0</v>
      </c>
      <c r="AJ157" s="784">
        <f t="shared" si="35"/>
        <v>56090</v>
      </c>
      <c r="AK157" s="149">
        <f t="shared" si="30"/>
        <v>0.80509172792291783</v>
      </c>
      <c r="AL157" s="150">
        <f t="shared" si="36"/>
        <v>-13579.080000000002</v>
      </c>
      <c r="AM157" s="149">
        <f t="shared" si="31"/>
        <v>-0.19490827207708214</v>
      </c>
      <c r="AN157" s="150">
        <f t="shared" si="32"/>
        <v>640379.07999999996</v>
      </c>
      <c r="AO157" s="151">
        <f t="shared" si="33"/>
        <v>0.91946519722024123</v>
      </c>
      <c r="AP157" s="154">
        <f t="shared" si="37"/>
        <v>69669.08</v>
      </c>
      <c r="AQ157" s="154"/>
      <c r="AR157" s="786" t="str">
        <f t="shared" si="38"/>
        <v>Vendido</v>
      </c>
      <c r="AS157" s="786" t="str">
        <f t="shared" si="39"/>
        <v>Cliente Atrasado</v>
      </c>
      <c r="AT157" s="174">
        <v>28</v>
      </c>
      <c r="AU157" s="174">
        <f t="shared" si="40"/>
        <v>1</v>
      </c>
      <c r="AV157" s="174">
        <f t="shared" si="41"/>
        <v>29</v>
      </c>
      <c r="AW157" s="173">
        <v>2274</v>
      </c>
      <c r="AX157" s="786">
        <f t="shared" si="34"/>
        <v>19</v>
      </c>
      <c r="AY157" s="787">
        <f t="shared" si="42"/>
        <v>23</v>
      </c>
      <c r="AZ157" s="152"/>
      <c r="BA157" s="152"/>
    </row>
    <row r="158" spans="1:53" x14ac:dyDescent="0.25">
      <c r="A158" s="93"/>
      <c r="B158" s="164">
        <v>905</v>
      </c>
      <c r="C158" s="164" t="s">
        <v>366</v>
      </c>
      <c r="D158" s="165" t="s">
        <v>558</v>
      </c>
      <c r="E158" s="166">
        <v>45473</v>
      </c>
      <c r="F158" s="164" t="s">
        <v>534</v>
      </c>
      <c r="G158" s="164" t="s">
        <v>128</v>
      </c>
      <c r="H158" s="167">
        <v>941800</v>
      </c>
      <c r="I158" s="167">
        <v>94200</v>
      </c>
      <c r="J158" s="121">
        <v>0</v>
      </c>
      <c r="K158" s="121">
        <v>0</v>
      </c>
      <c r="L158" s="121">
        <v>0</v>
      </c>
      <c r="M158" s="121">
        <v>0</v>
      </c>
      <c r="N158" s="121">
        <v>0</v>
      </c>
      <c r="O158" s="121">
        <v>0</v>
      </c>
      <c r="P158" s="121">
        <v>0</v>
      </c>
      <c r="Q158" s="121">
        <v>0</v>
      </c>
      <c r="R158" s="121">
        <v>0</v>
      </c>
      <c r="S158" s="121">
        <v>0</v>
      </c>
      <c r="T158" s="121">
        <v>0</v>
      </c>
      <c r="U158" s="121">
        <v>0</v>
      </c>
      <c r="V158" s="121">
        <v>0</v>
      </c>
      <c r="W158" s="121">
        <v>0</v>
      </c>
      <c r="X158" s="121">
        <v>0</v>
      </c>
      <c r="Y158" s="121">
        <v>5000</v>
      </c>
      <c r="Z158" s="121">
        <v>5000</v>
      </c>
      <c r="AA158" s="121">
        <v>3776</v>
      </c>
      <c r="AB158" s="121">
        <v>3776</v>
      </c>
      <c r="AC158" s="121">
        <v>3776</v>
      </c>
      <c r="AD158" s="121">
        <v>3776</v>
      </c>
      <c r="AE158" s="121">
        <v>3775</v>
      </c>
      <c r="AF158" s="121">
        <v>3775</v>
      </c>
      <c r="AG158" s="121">
        <v>3775</v>
      </c>
      <c r="AH158" s="121">
        <v>3775</v>
      </c>
      <c r="AI158" s="121">
        <v>0</v>
      </c>
      <c r="AJ158" s="784">
        <f t="shared" si="35"/>
        <v>40204</v>
      </c>
      <c r="AK158" s="149">
        <f t="shared" si="30"/>
        <v>0.4267940552016985</v>
      </c>
      <c r="AL158" s="150">
        <f t="shared" si="36"/>
        <v>-53996</v>
      </c>
      <c r="AM158" s="149">
        <f t="shared" si="31"/>
        <v>-0.57320594479830145</v>
      </c>
      <c r="AN158" s="150">
        <f t="shared" si="32"/>
        <v>901596</v>
      </c>
      <c r="AO158" s="151">
        <f t="shared" si="33"/>
        <v>0.95731153111063916</v>
      </c>
      <c r="AP158" s="154">
        <f t="shared" si="37"/>
        <v>94200</v>
      </c>
      <c r="AQ158" s="154"/>
      <c r="AR158" s="786" t="str">
        <f t="shared" si="38"/>
        <v>Vendido</v>
      </c>
      <c r="AS158" s="786" t="str">
        <f t="shared" si="39"/>
        <v>Cliente Atrasado</v>
      </c>
      <c r="AT158" s="174">
        <v>18</v>
      </c>
      <c r="AU158" s="174">
        <f t="shared" si="40"/>
        <v>1</v>
      </c>
      <c r="AV158" s="174">
        <f t="shared" si="41"/>
        <v>19</v>
      </c>
      <c r="AW158" s="173">
        <v>3776</v>
      </c>
      <c r="AX158" s="786">
        <f t="shared" si="34"/>
        <v>4</v>
      </c>
      <c r="AY158" s="787">
        <f t="shared" si="42"/>
        <v>10</v>
      </c>
      <c r="AZ158" s="152"/>
      <c r="BA158" s="152"/>
    </row>
    <row r="159" spans="1:53" x14ac:dyDescent="0.25">
      <c r="A159" s="93"/>
      <c r="B159" s="164">
        <v>906</v>
      </c>
      <c r="C159" s="164" t="s">
        <v>366</v>
      </c>
      <c r="D159" s="165" t="s">
        <v>762</v>
      </c>
      <c r="E159" s="166">
        <v>45645</v>
      </c>
      <c r="F159" s="164" t="s">
        <v>536</v>
      </c>
      <c r="G159" s="164" t="s">
        <v>128</v>
      </c>
      <c r="H159" s="167">
        <v>1102644.5780410699</v>
      </c>
      <c r="I159" s="167">
        <v>110344.58</v>
      </c>
      <c r="J159" s="121">
        <v>0</v>
      </c>
      <c r="K159" s="121">
        <v>0</v>
      </c>
      <c r="L159" s="121">
        <v>0</v>
      </c>
      <c r="M159" s="121">
        <v>0</v>
      </c>
      <c r="N159" s="121">
        <v>0</v>
      </c>
      <c r="O159" s="121">
        <v>0</v>
      </c>
      <c r="P159" s="121">
        <v>0</v>
      </c>
      <c r="Q159" s="121">
        <v>0</v>
      </c>
      <c r="R159" s="121">
        <v>0</v>
      </c>
      <c r="S159" s="121">
        <v>0</v>
      </c>
      <c r="T159" s="121">
        <v>0</v>
      </c>
      <c r="U159" s="121">
        <v>0</v>
      </c>
      <c r="V159" s="121">
        <v>0</v>
      </c>
      <c r="W159" s="121">
        <v>0</v>
      </c>
      <c r="X159" s="121">
        <v>0</v>
      </c>
      <c r="Y159" s="121">
        <v>0</v>
      </c>
      <c r="Z159" s="121">
        <v>0</v>
      </c>
      <c r="AA159" s="121">
        <v>0</v>
      </c>
      <c r="AB159" s="121">
        <v>0</v>
      </c>
      <c r="AC159" s="121">
        <v>0</v>
      </c>
      <c r="AD159" s="121">
        <v>0</v>
      </c>
      <c r="AE159" s="121">
        <v>8000</v>
      </c>
      <c r="AF159" s="121">
        <v>0</v>
      </c>
      <c r="AG159" s="121">
        <f>6020+6020</f>
        <v>12040</v>
      </c>
      <c r="AH159" s="121">
        <v>6020</v>
      </c>
      <c r="AI159" s="121">
        <v>0</v>
      </c>
      <c r="AJ159" s="784">
        <f t="shared" si="35"/>
        <v>26060</v>
      </c>
      <c r="AK159" s="149">
        <f t="shared" si="30"/>
        <v>0.23616927990482178</v>
      </c>
      <c r="AL159" s="150">
        <f t="shared" si="36"/>
        <v>-84284.58</v>
      </c>
      <c r="AM159" s="149">
        <f t="shared" si="31"/>
        <v>-0.76383072009517827</v>
      </c>
      <c r="AN159" s="150">
        <f t="shared" si="32"/>
        <v>1076584.5780410699</v>
      </c>
      <c r="AO159" s="151">
        <f t="shared" si="33"/>
        <v>0.97636591108415227</v>
      </c>
      <c r="AP159" s="154">
        <f t="shared" si="37"/>
        <v>110344.58</v>
      </c>
      <c r="AQ159" s="154"/>
      <c r="AR159" s="786" t="str">
        <f t="shared" si="38"/>
        <v>Vendido</v>
      </c>
      <c r="AS159" s="786" t="str">
        <f t="shared" si="39"/>
        <v>Cliente Atrasado</v>
      </c>
      <c r="AT159" s="174"/>
      <c r="AU159" s="174">
        <f t="shared" si="40"/>
        <v>0</v>
      </c>
      <c r="AV159" s="174">
        <f t="shared" si="41"/>
        <v>0</v>
      </c>
      <c r="AW159" s="173"/>
      <c r="AX159" s="786">
        <f t="shared" si="34"/>
        <v>23</v>
      </c>
      <c r="AY159" s="787">
        <f t="shared" si="42"/>
        <v>4</v>
      </c>
      <c r="AZ159" s="152"/>
      <c r="BA159" s="152"/>
    </row>
    <row r="160" spans="1:53" x14ac:dyDescent="0.25">
      <c r="A160" s="93"/>
      <c r="B160" s="164">
        <v>907</v>
      </c>
      <c r="C160" s="164" t="s">
        <v>383</v>
      </c>
      <c r="D160" s="165" t="s">
        <v>560</v>
      </c>
      <c r="E160" s="166">
        <v>45169</v>
      </c>
      <c r="F160" s="164" t="s">
        <v>400</v>
      </c>
      <c r="G160" s="164" t="s">
        <v>128</v>
      </c>
      <c r="H160" s="167">
        <v>901400</v>
      </c>
      <c r="I160" s="167">
        <v>90200</v>
      </c>
      <c r="J160" s="121">
        <v>0</v>
      </c>
      <c r="K160" s="121">
        <v>0</v>
      </c>
      <c r="L160" s="121">
        <v>0</v>
      </c>
      <c r="M160" s="121">
        <v>0</v>
      </c>
      <c r="N160" s="121">
        <v>0</v>
      </c>
      <c r="O160" s="121">
        <v>10000</v>
      </c>
      <c r="P160" s="121">
        <v>0</v>
      </c>
      <c r="Q160" s="121">
        <v>0</v>
      </c>
      <c r="R160" s="121">
        <v>0</v>
      </c>
      <c r="S160" s="121">
        <v>0</v>
      </c>
      <c r="T160" s="121">
        <v>0</v>
      </c>
      <c r="U160" s="121">
        <v>20500</v>
      </c>
      <c r="V160" s="121">
        <v>0</v>
      </c>
      <c r="W160" s="121">
        <v>0</v>
      </c>
      <c r="X160" s="121">
        <v>0</v>
      </c>
      <c r="Y160" s="121">
        <v>0</v>
      </c>
      <c r="Z160" s="121">
        <v>0</v>
      </c>
      <c r="AA160" s="121">
        <v>0</v>
      </c>
      <c r="AB160" s="121">
        <v>20500</v>
      </c>
      <c r="AC160" s="121">
        <v>0</v>
      </c>
      <c r="AD160" s="121">
        <v>0</v>
      </c>
      <c r="AE160" s="121">
        <v>0</v>
      </c>
      <c r="AF160" s="121">
        <v>0</v>
      </c>
      <c r="AG160" s="121">
        <v>20500</v>
      </c>
      <c r="AH160" s="121">
        <v>0</v>
      </c>
      <c r="AI160" s="121">
        <v>0</v>
      </c>
      <c r="AJ160" s="784">
        <f t="shared" si="35"/>
        <v>71500</v>
      </c>
      <c r="AK160" s="149">
        <f t="shared" si="30"/>
        <v>0.79268292682926833</v>
      </c>
      <c r="AL160" s="150">
        <f t="shared" si="36"/>
        <v>-18700</v>
      </c>
      <c r="AM160" s="149">
        <f t="shared" si="31"/>
        <v>-0.2073170731707317</v>
      </c>
      <c r="AN160" s="150">
        <f t="shared" si="32"/>
        <v>829900</v>
      </c>
      <c r="AO160" s="151">
        <f t="shared" si="33"/>
        <v>0.92067894386509874</v>
      </c>
      <c r="AP160" s="154">
        <f t="shared" si="37"/>
        <v>90200</v>
      </c>
      <c r="AQ160" s="154"/>
      <c r="AR160" s="786" t="str">
        <f t="shared" si="38"/>
        <v>Vendido</v>
      </c>
      <c r="AS160" s="786" t="str">
        <f t="shared" si="39"/>
        <v>Cliente Atrasado</v>
      </c>
      <c r="AT160" s="174">
        <v>4</v>
      </c>
      <c r="AU160" s="174">
        <f t="shared" si="40"/>
        <v>1</v>
      </c>
      <c r="AV160" s="174">
        <f t="shared" si="41"/>
        <v>5</v>
      </c>
      <c r="AW160" s="173">
        <v>20050</v>
      </c>
      <c r="AX160" s="786">
        <f t="shared" si="34"/>
        <v>0</v>
      </c>
      <c r="AY160" s="787">
        <f t="shared" si="42"/>
        <v>19</v>
      </c>
      <c r="AZ160" s="152"/>
      <c r="BA160" s="152"/>
    </row>
    <row r="161" spans="1:53" x14ac:dyDescent="0.25">
      <c r="A161" s="93"/>
      <c r="B161" s="164">
        <v>908</v>
      </c>
      <c r="C161" s="164" t="s">
        <v>366</v>
      </c>
      <c r="D161" s="165" t="s">
        <v>562</v>
      </c>
      <c r="E161" s="166">
        <v>45316</v>
      </c>
      <c r="F161" s="164" t="s">
        <v>175</v>
      </c>
      <c r="G161" s="164" t="s">
        <v>128</v>
      </c>
      <c r="H161" s="167">
        <v>887400</v>
      </c>
      <c r="I161" s="167">
        <v>88800</v>
      </c>
      <c r="J161" s="121">
        <v>0</v>
      </c>
      <c r="K161" s="121">
        <v>0</v>
      </c>
      <c r="L161" s="121">
        <v>0</v>
      </c>
      <c r="M161" s="121">
        <v>0</v>
      </c>
      <c r="N161" s="121">
        <v>0</v>
      </c>
      <c r="O161" s="121">
        <v>0</v>
      </c>
      <c r="P161" s="121">
        <v>0</v>
      </c>
      <c r="Q161" s="121">
        <v>0</v>
      </c>
      <c r="R161" s="121">
        <v>0</v>
      </c>
      <c r="S161" s="121">
        <v>0</v>
      </c>
      <c r="T161" s="121">
        <v>8000</v>
      </c>
      <c r="U161" s="121">
        <v>4040</v>
      </c>
      <c r="V161" s="121">
        <v>0</v>
      </c>
      <c r="W161" s="121">
        <v>8080</v>
      </c>
      <c r="X161" s="121">
        <v>4040</v>
      </c>
      <c r="Y161" s="121">
        <v>4040</v>
      </c>
      <c r="Z161" s="121">
        <v>0</v>
      </c>
      <c r="AA161" s="121">
        <v>8080</v>
      </c>
      <c r="AB161" s="121">
        <v>0</v>
      </c>
      <c r="AC161" s="121">
        <v>8080</v>
      </c>
      <c r="AD161" s="121">
        <v>0</v>
      </c>
      <c r="AE161" s="121">
        <v>4040</v>
      </c>
      <c r="AF161" s="121">
        <v>0</v>
      </c>
      <c r="AG161" s="121">
        <v>4040</v>
      </c>
      <c r="AH161" s="121">
        <v>8080</v>
      </c>
      <c r="AI161" s="121">
        <v>0</v>
      </c>
      <c r="AJ161" s="784">
        <f t="shared" si="35"/>
        <v>60520</v>
      </c>
      <c r="AK161" s="149">
        <f t="shared" si="30"/>
        <v>0.68153153153153156</v>
      </c>
      <c r="AL161" s="150">
        <f t="shared" si="36"/>
        <v>-28280</v>
      </c>
      <c r="AM161" s="149">
        <f t="shared" si="31"/>
        <v>-0.31846846846846849</v>
      </c>
      <c r="AN161" s="150">
        <f t="shared" si="32"/>
        <v>826880</v>
      </c>
      <c r="AO161" s="151">
        <f t="shared" si="33"/>
        <v>0.93180076628352493</v>
      </c>
      <c r="AP161" s="154">
        <f t="shared" si="37"/>
        <v>88800</v>
      </c>
      <c r="AQ161" s="154"/>
      <c r="AR161" s="786" t="str">
        <f t="shared" si="38"/>
        <v>Vendido</v>
      </c>
      <c r="AS161" s="786" t="str">
        <f t="shared" si="39"/>
        <v>Cliente Atrasado</v>
      </c>
      <c r="AT161" s="174">
        <v>20</v>
      </c>
      <c r="AU161" s="174">
        <f t="shared" si="40"/>
        <v>1</v>
      </c>
      <c r="AV161" s="174">
        <f t="shared" si="41"/>
        <v>21</v>
      </c>
      <c r="AW161" s="173">
        <v>4040</v>
      </c>
      <c r="AX161" s="786">
        <f t="shared" si="34"/>
        <v>5</v>
      </c>
      <c r="AY161" s="787">
        <f t="shared" si="42"/>
        <v>15</v>
      </c>
      <c r="AZ161" s="152"/>
      <c r="BA161" s="152"/>
    </row>
    <row r="162" spans="1:53" x14ac:dyDescent="0.25">
      <c r="A162" s="93"/>
      <c r="B162" s="164">
        <v>909</v>
      </c>
      <c r="C162" s="164" t="s">
        <v>383</v>
      </c>
      <c r="D162" s="165" t="s">
        <v>564</v>
      </c>
      <c r="E162" s="166">
        <v>45118</v>
      </c>
      <c r="F162" s="164" t="s">
        <v>563</v>
      </c>
      <c r="G162" s="164" t="s">
        <v>128</v>
      </c>
      <c r="H162" s="167">
        <v>1382700</v>
      </c>
      <c r="I162" s="167">
        <v>138300</v>
      </c>
      <c r="J162" s="121">
        <v>0</v>
      </c>
      <c r="K162" s="121">
        <v>0</v>
      </c>
      <c r="L162" s="121">
        <v>0</v>
      </c>
      <c r="M162" s="121">
        <v>0</v>
      </c>
      <c r="N162" s="121">
        <v>6000</v>
      </c>
      <c r="O162" s="121">
        <v>0</v>
      </c>
      <c r="P162" s="121">
        <v>10000</v>
      </c>
      <c r="Q162" s="121">
        <v>5000</v>
      </c>
      <c r="R162" s="121">
        <v>0</v>
      </c>
      <c r="S162" s="121">
        <v>10000</v>
      </c>
      <c r="T162" s="121">
        <v>5000</v>
      </c>
      <c r="U162" s="121">
        <v>5000</v>
      </c>
      <c r="V162" s="121">
        <v>5000</v>
      </c>
      <c r="W162" s="121">
        <v>5000</v>
      </c>
      <c r="X162" s="121">
        <v>5000</v>
      </c>
      <c r="Y162" s="121">
        <v>5000</v>
      </c>
      <c r="Z162" s="121">
        <v>0</v>
      </c>
      <c r="AA162" s="121">
        <v>10000</v>
      </c>
      <c r="AB162" s="121">
        <v>0</v>
      </c>
      <c r="AC162" s="121">
        <v>10000</v>
      </c>
      <c r="AD162" s="121">
        <v>0</v>
      </c>
      <c r="AE162" s="121">
        <v>0</v>
      </c>
      <c r="AF162" s="121">
        <v>5000</v>
      </c>
      <c r="AG162" s="121">
        <v>10000</v>
      </c>
      <c r="AH162" s="121">
        <v>0</v>
      </c>
      <c r="AI162" s="121">
        <v>5000</v>
      </c>
      <c r="AJ162" s="784">
        <f t="shared" si="35"/>
        <v>101000</v>
      </c>
      <c r="AK162" s="149">
        <f t="shared" si="30"/>
        <v>0.73029645697758494</v>
      </c>
      <c r="AL162" s="150">
        <f t="shared" si="36"/>
        <v>-37300</v>
      </c>
      <c r="AM162" s="149">
        <f t="shared" si="31"/>
        <v>-0.26970354302241506</v>
      </c>
      <c r="AN162" s="150">
        <f t="shared" si="32"/>
        <v>1281700</v>
      </c>
      <c r="AO162" s="151">
        <f t="shared" si="33"/>
        <v>0.92695450929341139</v>
      </c>
      <c r="AP162" s="154">
        <f t="shared" si="37"/>
        <v>138300</v>
      </c>
      <c r="AQ162" s="154"/>
      <c r="AR162" s="786" t="str">
        <f t="shared" si="38"/>
        <v>Vendido</v>
      </c>
      <c r="AS162" s="786" t="str">
        <f t="shared" si="39"/>
        <v>Cliente Atrasado</v>
      </c>
      <c r="AT162" s="174">
        <v>26</v>
      </c>
      <c r="AU162" s="174">
        <f t="shared" si="40"/>
        <v>1</v>
      </c>
      <c r="AV162" s="174">
        <f t="shared" si="41"/>
        <v>27</v>
      </c>
      <c r="AW162" s="173">
        <v>5000</v>
      </c>
      <c r="AX162" s="786">
        <f t="shared" si="34"/>
        <v>9</v>
      </c>
      <c r="AY162" s="787">
        <f t="shared" si="42"/>
        <v>21</v>
      </c>
      <c r="AZ162" s="152"/>
      <c r="BA162" s="152"/>
    </row>
    <row r="163" spans="1:53" x14ac:dyDescent="0.25">
      <c r="A163" s="93"/>
      <c r="B163" s="164">
        <v>910</v>
      </c>
      <c r="C163" s="164"/>
      <c r="D163" s="165"/>
      <c r="E163" s="166"/>
      <c r="F163" s="164" t="s">
        <v>565</v>
      </c>
      <c r="G163" s="164" t="s">
        <v>374</v>
      </c>
      <c r="H163" s="167">
        <v>982583.641688128</v>
      </c>
      <c r="I163" s="167">
        <f>+H163*0.1</f>
        <v>98258.364168812812</v>
      </c>
      <c r="J163" s="121">
        <v>0</v>
      </c>
      <c r="K163" s="121">
        <v>0</v>
      </c>
      <c r="L163" s="121">
        <v>0</v>
      </c>
      <c r="M163" s="121">
        <v>0</v>
      </c>
      <c r="N163" s="121">
        <v>0</v>
      </c>
      <c r="O163" s="121">
        <v>0</v>
      </c>
      <c r="P163" s="121">
        <v>0</v>
      </c>
      <c r="Q163" s="121">
        <v>0</v>
      </c>
      <c r="R163" s="121">
        <v>0</v>
      </c>
      <c r="S163" s="121">
        <v>0</v>
      </c>
      <c r="T163" s="121">
        <v>0</v>
      </c>
      <c r="U163" s="121">
        <v>0</v>
      </c>
      <c r="V163" s="121">
        <v>0</v>
      </c>
      <c r="W163" s="121">
        <v>0</v>
      </c>
      <c r="X163" s="121">
        <v>0</v>
      </c>
      <c r="Y163" s="121">
        <v>0</v>
      </c>
      <c r="Z163" s="121">
        <v>0</v>
      </c>
      <c r="AA163" s="121">
        <v>0</v>
      </c>
      <c r="AB163" s="121">
        <v>0</v>
      </c>
      <c r="AC163" s="121">
        <v>0</v>
      </c>
      <c r="AD163" s="121">
        <v>0</v>
      </c>
      <c r="AE163" s="121">
        <v>0</v>
      </c>
      <c r="AF163" s="121">
        <v>0</v>
      </c>
      <c r="AG163" s="121">
        <v>0</v>
      </c>
      <c r="AH163" s="121">
        <v>0</v>
      </c>
      <c r="AI163" s="121">
        <v>0</v>
      </c>
      <c r="AJ163" s="784">
        <f t="shared" si="35"/>
        <v>0</v>
      </c>
      <c r="AK163" s="149">
        <f t="shared" si="30"/>
        <v>0</v>
      </c>
      <c r="AL163" s="150">
        <f t="shared" si="36"/>
        <v>0</v>
      </c>
      <c r="AM163" s="149">
        <f t="shared" si="31"/>
        <v>0</v>
      </c>
      <c r="AN163" s="150">
        <f t="shared" si="32"/>
        <v>982583.641688128</v>
      </c>
      <c r="AO163" s="151">
        <f t="shared" si="33"/>
        <v>1</v>
      </c>
      <c r="AP163" s="154">
        <f t="shared" si="37"/>
        <v>0</v>
      </c>
      <c r="AQ163" s="154"/>
      <c r="AR163" s="786" t="str">
        <f t="shared" si="38"/>
        <v>Apartamento Disponible</v>
      </c>
      <c r="AS163" s="786" t="str">
        <f t="shared" si="39"/>
        <v>Disponible</v>
      </c>
      <c r="AT163" s="174"/>
      <c r="AU163" s="174">
        <f t="shared" si="40"/>
        <v>0</v>
      </c>
      <c r="AV163" s="174">
        <f t="shared" si="41"/>
        <v>0</v>
      </c>
      <c r="AW163" s="173"/>
      <c r="AX163" s="786">
        <f t="shared" si="34"/>
        <v>26</v>
      </c>
      <c r="AY163" s="787">
        <f t="shared" si="42"/>
        <v>1503</v>
      </c>
      <c r="AZ163" s="152"/>
      <c r="BA163" s="152"/>
    </row>
    <row r="164" spans="1:53" x14ac:dyDescent="0.25">
      <c r="A164" s="93"/>
      <c r="B164" s="164">
        <v>911</v>
      </c>
      <c r="C164" s="164" t="s">
        <v>383</v>
      </c>
      <c r="D164" s="165" t="s">
        <v>567</v>
      </c>
      <c r="E164" s="166">
        <v>45185</v>
      </c>
      <c r="F164" s="164" t="s">
        <v>566</v>
      </c>
      <c r="G164" s="164" t="s">
        <v>128</v>
      </c>
      <c r="H164" s="167">
        <v>1052367.5</v>
      </c>
      <c r="I164" s="167">
        <v>105267.5</v>
      </c>
      <c r="J164" s="121">
        <v>0</v>
      </c>
      <c r="K164" s="121">
        <v>0</v>
      </c>
      <c r="L164" s="121">
        <v>0</v>
      </c>
      <c r="M164" s="121">
        <v>0</v>
      </c>
      <c r="N164" s="121">
        <v>0</v>
      </c>
      <c r="O164" s="121">
        <v>0</v>
      </c>
      <c r="P164" s="121">
        <v>8000</v>
      </c>
      <c r="Q164" s="121">
        <v>4053</v>
      </c>
      <c r="R164" s="121">
        <v>4053</v>
      </c>
      <c r="S164" s="121">
        <v>4053</v>
      </c>
      <c r="T164" s="121">
        <v>4053</v>
      </c>
      <c r="U164" s="121">
        <v>4053</v>
      </c>
      <c r="V164" s="121">
        <v>4053</v>
      </c>
      <c r="W164" s="121">
        <v>4053</v>
      </c>
      <c r="X164" s="121">
        <v>4053</v>
      </c>
      <c r="Y164" s="121">
        <v>4053</v>
      </c>
      <c r="Z164" s="121">
        <v>4053</v>
      </c>
      <c r="AA164" s="121">
        <v>4053</v>
      </c>
      <c r="AB164" s="121">
        <v>4053</v>
      </c>
      <c r="AC164" s="121">
        <v>4053</v>
      </c>
      <c r="AD164" s="121">
        <v>4053</v>
      </c>
      <c r="AE164" s="121">
        <v>4053</v>
      </c>
      <c r="AF164" s="121">
        <v>4053</v>
      </c>
      <c r="AG164" s="121">
        <v>4053</v>
      </c>
      <c r="AH164" s="121">
        <v>4054</v>
      </c>
      <c r="AI164" s="121">
        <v>4053</v>
      </c>
      <c r="AJ164" s="784">
        <f t="shared" si="35"/>
        <v>85008</v>
      </c>
      <c r="AK164" s="149">
        <f t="shared" si="30"/>
        <v>0.80754268886408431</v>
      </c>
      <c r="AL164" s="150">
        <f t="shared" si="36"/>
        <v>-20259.5</v>
      </c>
      <c r="AM164" s="149">
        <f t="shared" si="31"/>
        <v>-0.19245731113591563</v>
      </c>
      <c r="AN164" s="150">
        <f t="shared" si="32"/>
        <v>967359.5</v>
      </c>
      <c r="AO164" s="151">
        <f t="shared" si="33"/>
        <v>0.91922213485308124</v>
      </c>
      <c r="AP164" s="154">
        <f t="shared" si="37"/>
        <v>105267.5</v>
      </c>
      <c r="AQ164" s="154"/>
      <c r="AR164" s="786" t="str">
        <f t="shared" si="38"/>
        <v>Vendido</v>
      </c>
      <c r="AS164" s="786" t="str">
        <f t="shared" si="39"/>
        <v>Cliente Atrasado</v>
      </c>
      <c r="AT164" s="174"/>
      <c r="AU164" s="174">
        <f t="shared" si="40"/>
        <v>0</v>
      </c>
      <c r="AV164" s="174">
        <f t="shared" si="41"/>
        <v>0</v>
      </c>
      <c r="AW164" s="173"/>
      <c r="AX164" s="786">
        <f t="shared" si="34"/>
        <v>6</v>
      </c>
      <c r="AY164" s="787">
        <f t="shared" si="42"/>
        <v>19</v>
      </c>
      <c r="AZ164" s="152"/>
      <c r="BA164" s="152"/>
    </row>
    <row r="165" spans="1:53" x14ac:dyDescent="0.25">
      <c r="A165" s="93"/>
      <c r="B165" s="164">
        <v>912</v>
      </c>
      <c r="C165" s="164" t="s">
        <v>363</v>
      </c>
      <c r="D165" s="165" t="s">
        <v>1068</v>
      </c>
      <c r="E165" s="166">
        <v>45300</v>
      </c>
      <c r="F165" s="164" t="s">
        <v>568</v>
      </c>
      <c r="G165" s="164" t="s">
        <v>128</v>
      </c>
      <c r="H165" s="167">
        <v>973800</v>
      </c>
      <c r="I165" s="167">
        <v>97380</v>
      </c>
      <c r="J165" s="121">
        <v>0</v>
      </c>
      <c r="K165" s="121">
        <v>0</v>
      </c>
      <c r="L165" s="121">
        <v>0</v>
      </c>
      <c r="M165" s="121">
        <v>0</v>
      </c>
      <c r="N165" s="121">
        <v>0</v>
      </c>
      <c r="O165" s="121">
        <v>0</v>
      </c>
      <c r="P165" s="121">
        <v>0</v>
      </c>
      <c r="Q165" s="121">
        <v>0</v>
      </c>
      <c r="R165" s="121">
        <v>0</v>
      </c>
      <c r="S165" s="121">
        <v>0</v>
      </c>
      <c r="T165" s="121">
        <v>0</v>
      </c>
      <c r="U165" s="121">
        <v>0</v>
      </c>
      <c r="V165" s="121">
        <v>0</v>
      </c>
      <c r="W165" s="121">
        <v>0</v>
      </c>
      <c r="X165" s="121">
        <v>0</v>
      </c>
      <c r="Y165" s="121">
        <v>0</v>
      </c>
      <c r="Z165" s="121">
        <v>0</v>
      </c>
      <c r="AA165" s="121">
        <v>0</v>
      </c>
      <c r="AB165" s="121">
        <v>0</v>
      </c>
      <c r="AC165" s="121">
        <v>0</v>
      </c>
      <c r="AD165" s="121">
        <v>0</v>
      </c>
      <c r="AE165" s="121">
        <v>0</v>
      </c>
      <c r="AF165" s="121">
        <v>0</v>
      </c>
      <c r="AG165" s="121">
        <v>0</v>
      </c>
      <c r="AH165" s="121">
        <v>0</v>
      </c>
      <c r="AI165" s="121">
        <v>0</v>
      </c>
      <c r="AJ165" s="784">
        <f t="shared" si="35"/>
        <v>0</v>
      </c>
      <c r="AK165" s="149">
        <f t="shared" si="30"/>
        <v>0</v>
      </c>
      <c r="AL165" s="150">
        <f t="shared" si="36"/>
        <v>-97380</v>
      </c>
      <c r="AM165" s="149">
        <f t="shared" si="31"/>
        <v>-1</v>
      </c>
      <c r="AN165" s="150">
        <f t="shared" si="32"/>
        <v>973800</v>
      </c>
      <c r="AO165" s="151">
        <f t="shared" si="33"/>
        <v>1</v>
      </c>
      <c r="AP165" s="154">
        <f t="shared" si="37"/>
        <v>97380</v>
      </c>
      <c r="AQ165" s="154"/>
      <c r="AR165" s="786" t="str">
        <f t="shared" si="38"/>
        <v>Vendido</v>
      </c>
      <c r="AS165" s="786" t="str">
        <f t="shared" si="39"/>
        <v>Cliente Atrasado</v>
      </c>
      <c r="AT165" s="174"/>
      <c r="AU165" s="174">
        <f t="shared" si="40"/>
        <v>0</v>
      </c>
      <c r="AV165" s="174">
        <f t="shared" si="41"/>
        <v>0</v>
      </c>
      <c r="AW165" s="173"/>
      <c r="AX165" s="786">
        <f t="shared" si="34"/>
        <v>26</v>
      </c>
      <c r="AY165" s="787">
        <f t="shared" si="42"/>
        <v>15</v>
      </c>
      <c r="AZ165" s="152"/>
      <c r="BA165" s="152"/>
    </row>
    <row r="166" spans="1:53" x14ac:dyDescent="0.25">
      <c r="A166" s="93"/>
      <c r="B166" s="164">
        <v>913</v>
      </c>
      <c r="C166" s="164" t="s">
        <v>366</v>
      </c>
      <c r="D166" s="165" t="s">
        <v>570</v>
      </c>
      <c r="E166" s="166">
        <v>45404</v>
      </c>
      <c r="F166" s="164" t="s">
        <v>393</v>
      </c>
      <c r="G166" s="164" t="s">
        <v>128</v>
      </c>
      <c r="H166" s="167">
        <v>903600</v>
      </c>
      <c r="I166" s="167">
        <v>90400</v>
      </c>
      <c r="J166" s="121">
        <v>0</v>
      </c>
      <c r="K166" s="121">
        <v>0</v>
      </c>
      <c r="L166" s="121">
        <v>0</v>
      </c>
      <c r="M166" s="121">
        <v>0</v>
      </c>
      <c r="N166" s="121">
        <v>0</v>
      </c>
      <c r="O166" s="121">
        <v>0</v>
      </c>
      <c r="P166" s="121">
        <v>0</v>
      </c>
      <c r="Q166" s="121">
        <v>0</v>
      </c>
      <c r="R166" s="121">
        <v>0</v>
      </c>
      <c r="S166" s="121">
        <v>0</v>
      </c>
      <c r="T166" s="121">
        <v>0</v>
      </c>
      <c r="U166" s="121">
        <v>0</v>
      </c>
      <c r="V166" s="121">
        <v>0</v>
      </c>
      <c r="W166" s="121">
        <v>8000</v>
      </c>
      <c r="X166" s="121">
        <v>4845</v>
      </c>
      <c r="Y166" s="121">
        <v>4845</v>
      </c>
      <c r="Z166" s="121">
        <v>4845</v>
      </c>
      <c r="AA166" s="121">
        <v>4845</v>
      </c>
      <c r="AB166" s="121">
        <v>4845</v>
      </c>
      <c r="AC166" s="121">
        <v>4845</v>
      </c>
      <c r="AD166" s="121">
        <v>4845</v>
      </c>
      <c r="AE166" s="121">
        <v>4845</v>
      </c>
      <c r="AF166" s="121">
        <v>4845</v>
      </c>
      <c r="AG166" s="121">
        <v>4845</v>
      </c>
      <c r="AH166" s="121">
        <v>4845</v>
      </c>
      <c r="AI166" s="121">
        <v>4845</v>
      </c>
      <c r="AJ166" s="784">
        <f t="shared" si="35"/>
        <v>66140</v>
      </c>
      <c r="AK166" s="149">
        <f t="shared" si="30"/>
        <v>0.73163716814159296</v>
      </c>
      <c r="AL166" s="150">
        <f t="shared" si="36"/>
        <v>-24260</v>
      </c>
      <c r="AM166" s="149">
        <f t="shared" si="31"/>
        <v>-0.26836283185840709</v>
      </c>
      <c r="AN166" s="150">
        <f t="shared" si="32"/>
        <v>837460</v>
      </c>
      <c r="AO166" s="151">
        <f t="shared" si="33"/>
        <v>0.92680389552899511</v>
      </c>
      <c r="AP166" s="154">
        <f t="shared" si="37"/>
        <v>90400</v>
      </c>
      <c r="AQ166" s="154"/>
      <c r="AR166" s="786" t="str">
        <f t="shared" si="38"/>
        <v>Vendido</v>
      </c>
      <c r="AS166" s="786" t="str">
        <f t="shared" si="39"/>
        <v>Cliente Atrasado</v>
      </c>
      <c r="AT166" s="174">
        <v>17</v>
      </c>
      <c r="AU166" s="174">
        <f t="shared" si="40"/>
        <v>1</v>
      </c>
      <c r="AV166" s="174">
        <f t="shared" si="41"/>
        <v>18</v>
      </c>
      <c r="AW166" s="173">
        <v>4847</v>
      </c>
      <c r="AX166" s="786">
        <f t="shared" si="34"/>
        <v>0</v>
      </c>
      <c r="AY166" s="787">
        <f t="shared" si="42"/>
        <v>12</v>
      </c>
      <c r="AZ166" s="152"/>
      <c r="BA166" s="152"/>
    </row>
    <row r="167" spans="1:53" x14ac:dyDescent="0.25">
      <c r="A167" s="93"/>
      <c r="B167" s="164">
        <v>914</v>
      </c>
      <c r="C167" s="164" t="s">
        <v>366</v>
      </c>
      <c r="D167" s="165" t="s">
        <v>571</v>
      </c>
      <c r="E167" s="166">
        <v>45320</v>
      </c>
      <c r="F167" s="164" t="s">
        <v>172</v>
      </c>
      <c r="G167" s="164" t="s">
        <v>128</v>
      </c>
      <c r="H167" s="167">
        <v>883300</v>
      </c>
      <c r="I167" s="167">
        <v>88400</v>
      </c>
      <c r="J167" s="121">
        <v>0</v>
      </c>
      <c r="K167" s="121">
        <v>0</v>
      </c>
      <c r="L167" s="121">
        <v>0</v>
      </c>
      <c r="M167" s="121">
        <v>0</v>
      </c>
      <c r="N167" s="121">
        <v>6000</v>
      </c>
      <c r="O167" s="121">
        <v>0</v>
      </c>
      <c r="P167" s="121">
        <v>0</v>
      </c>
      <c r="Q167" s="121">
        <v>0</v>
      </c>
      <c r="R167" s="121">
        <v>0</v>
      </c>
      <c r="S167" s="121">
        <v>0</v>
      </c>
      <c r="T167" s="121">
        <v>8000</v>
      </c>
      <c r="U167" s="121">
        <v>4020</v>
      </c>
      <c r="V167" s="121">
        <v>0</v>
      </c>
      <c r="W167" s="121">
        <v>8040</v>
      </c>
      <c r="X167" s="121">
        <v>4020</v>
      </c>
      <c r="Y167" s="121">
        <v>4020</v>
      </c>
      <c r="Z167" s="121">
        <v>0</v>
      </c>
      <c r="AA167" s="121">
        <v>8040</v>
      </c>
      <c r="AB167" s="121">
        <v>0</v>
      </c>
      <c r="AC167" s="121">
        <v>8040</v>
      </c>
      <c r="AD167" s="121">
        <v>0</v>
      </c>
      <c r="AE167" s="121">
        <v>4020</v>
      </c>
      <c r="AF167" s="121">
        <v>0</v>
      </c>
      <c r="AG167" s="121">
        <v>4040</v>
      </c>
      <c r="AH167" s="121">
        <v>8040</v>
      </c>
      <c r="AI167" s="121">
        <v>0</v>
      </c>
      <c r="AJ167" s="784">
        <f t="shared" si="35"/>
        <v>66280</v>
      </c>
      <c r="AK167" s="149">
        <f t="shared" si="30"/>
        <v>0.7497737556561086</v>
      </c>
      <c r="AL167" s="150">
        <f t="shared" si="36"/>
        <v>-22120</v>
      </c>
      <c r="AM167" s="149">
        <f t="shared" si="31"/>
        <v>-0.2502262443438914</v>
      </c>
      <c r="AN167" s="150">
        <f t="shared" si="32"/>
        <v>817020</v>
      </c>
      <c r="AO167" s="151">
        <f t="shared" si="33"/>
        <v>0.92496320615872296</v>
      </c>
      <c r="AP167" s="154">
        <f t="shared" si="37"/>
        <v>88400</v>
      </c>
      <c r="AQ167" s="154"/>
      <c r="AR167" s="786" t="str">
        <f t="shared" si="38"/>
        <v>Vendido</v>
      </c>
      <c r="AS167" s="786" t="str">
        <f t="shared" si="39"/>
        <v>Cliente Atrasado</v>
      </c>
      <c r="AT167" s="174">
        <v>20</v>
      </c>
      <c r="AU167" s="174">
        <f t="shared" si="40"/>
        <v>1</v>
      </c>
      <c r="AV167" s="174">
        <f t="shared" si="41"/>
        <v>21</v>
      </c>
      <c r="AW167" s="173">
        <v>4020</v>
      </c>
      <c r="AX167" s="786">
        <f t="shared" si="34"/>
        <v>4</v>
      </c>
      <c r="AY167" s="787">
        <f t="shared" si="42"/>
        <v>15</v>
      </c>
      <c r="AZ167" s="152"/>
      <c r="BA167" s="152"/>
    </row>
    <row r="168" spans="1:53" x14ac:dyDescent="0.25">
      <c r="A168" s="93"/>
      <c r="B168" s="164">
        <v>915</v>
      </c>
      <c r="C168" s="164" t="s">
        <v>383</v>
      </c>
      <c r="D168" s="165" t="s">
        <v>572</v>
      </c>
      <c r="E168" s="166">
        <v>45166</v>
      </c>
      <c r="F168" s="164" t="s">
        <v>547</v>
      </c>
      <c r="G168" s="164" t="s">
        <v>128</v>
      </c>
      <c r="H168" s="167">
        <v>1309197.44</v>
      </c>
      <c r="I168" s="167">
        <v>130997.44</v>
      </c>
      <c r="J168" s="121">
        <v>0</v>
      </c>
      <c r="K168" s="121">
        <v>0</v>
      </c>
      <c r="L168" s="121">
        <v>0</v>
      </c>
      <c r="M168" s="121">
        <v>0</v>
      </c>
      <c r="N168" s="121">
        <v>0</v>
      </c>
      <c r="O168" s="121">
        <v>6000</v>
      </c>
      <c r="P168" s="121">
        <v>0</v>
      </c>
      <c r="Q168" s="121">
        <v>5208</v>
      </c>
      <c r="R168" s="121">
        <v>5208</v>
      </c>
      <c r="S168" s="121">
        <v>5208</v>
      </c>
      <c r="T168" s="121">
        <v>5208</v>
      </c>
      <c r="U168" s="121">
        <v>5208</v>
      </c>
      <c r="V168" s="121">
        <v>5208</v>
      </c>
      <c r="W168" s="121">
        <v>5208</v>
      </c>
      <c r="X168" s="121">
        <v>0</v>
      </c>
      <c r="Y168" s="121">
        <v>10416</v>
      </c>
      <c r="Z168" s="121">
        <v>5208</v>
      </c>
      <c r="AA168" s="121">
        <v>5208</v>
      </c>
      <c r="AB168" s="121">
        <v>5208</v>
      </c>
      <c r="AC168" s="121">
        <v>0</v>
      </c>
      <c r="AD168" s="121">
        <v>5208</v>
      </c>
      <c r="AE168" s="121">
        <f>5208+5208</f>
        <v>10416</v>
      </c>
      <c r="AF168" s="121">
        <v>0</v>
      </c>
      <c r="AG168" s="121">
        <v>5208</v>
      </c>
      <c r="AH168" s="121">
        <f>5208+5208</f>
        <v>10416</v>
      </c>
      <c r="AI168" s="121">
        <v>0</v>
      </c>
      <c r="AJ168" s="784">
        <f t="shared" si="35"/>
        <v>99744</v>
      </c>
      <c r="AK168" s="149">
        <f t="shared" si="30"/>
        <v>0.76141945980013048</v>
      </c>
      <c r="AL168" s="150">
        <f t="shared" si="36"/>
        <v>-31253.440000000002</v>
      </c>
      <c r="AM168" s="149">
        <f t="shared" si="31"/>
        <v>-0.23858054019986957</v>
      </c>
      <c r="AN168" s="150">
        <f t="shared" si="32"/>
        <v>1209453.44</v>
      </c>
      <c r="AO168" s="151">
        <f t="shared" si="33"/>
        <v>0.92381286660627748</v>
      </c>
      <c r="AP168" s="154">
        <f t="shared" si="37"/>
        <v>130997.44</v>
      </c>
      <c r="AQ168" s="154"/>
      <c r="AR168" s="786" t="str">
        <f t="shared" si="38"/>
        <v>Vendido</v>
      </c>
      <c r="AS168" s="786" t="str">
        <f t="shared" si="39"/>
        <v>Cliente Atrasado</v>
      </c>
      <c r="AT168" s="174">
        <v>24</v>
      </c>
      <c r="AU168" s="174">
        <f t="shared" si="40"/>
        <v>1</v>
      </c>
      <c r="AV168" s="174">
        <f t="shared" si="41"/>
        <v>25</v>
      </c>
      <c r="AW168" s="173">
        <v>5208</v>
      </c>
      <c r="AX168" s="786">
        <f t="shared" si="34"/>
        <v>12</v>
      </c>
      <c r="AY168" s="787">
        <f t="shared" si="42"/>
        <v>20</v>
      </c>
      <c r="AZ168" s="152"/>
      <c r="BA168" s="152"/>
    </row>
    <row r="169" spans="1:53" x14ac:dyDescent="0.25">
      <c r="A169" s="93"/>
      <c r="B169" s="164">
        <v>916</v>
      </c>
      <c r="C169" s="164" t="s">
        <v>383</v>
      </c>
      <c r="D169" s="165" t="s">
        <v>573</v>
      </c>
      <c r="E169" s="166">
        <v>45049</v>
      </c>
      <c r="F169" s="164" t="s">
        <v>181</v>
      </c>
      <c r="G169" s="164" t="s">
        <v>128</v>
      </c>
      <c r="H169" s="167">
        <v>687500</v>
      </c>
      <c r="I169" s="167">
        <v>68800</v>
      </c>
      <c r="J169" s="121">
        <v>0</v>
      </c>
      <c r="K169" s="121">
        <v>0</v>
      </c>
      <c r="L169" s="121">
        <v>8250</v>
      </c>
      <c r="M169" s="121">
        <v>0</v>
      </c>
      <c r="N169" s="121">
        <v>2250</v>
      </c>
      <c r="O169" s="121">
        <v>2250</v>
      </c>
      <c r="P169" s="121">
        <v>2250</v>
      </c>
      <c r="Q169" s="121">
        <v>2250</v>
      </c>
      <c r="R169" s="121">
        <v>2250</v>
      </c>
      <c r="S169" s="121">
        <v>2250</v>
      </c>
      <c r="T169" s="121">
        <v>2250</v>
      </c>
      <c r="U169" s="121">
        <v>2250</v>
      </c>
      <c r="V169" s="121">
        <v>2250</v>
      </c>
      <c r="W169" s="121">
        <v>2250</v>
      </c>
      <c r="X169" s="121">
        <v>2250</v>
      </c>
      <c r="Y169" s="121">
        <v>2250</v>
      </c>
      <c r="Z169" s="121">
        <v>0</v>
      </c>
      <c r="AA169" s="121">
        <v>4500</v>
      </c>
      <c r="AB169" s="121">
        <v>2250</v>
      </c>
      <c r="AC169" s="121">
        <v>2250</v>
      </c>
      <c r="AD169" s="121">
        <v>2250</v>
      </c>
      <c r="AE169" s="121">
        <v>2250</v>
      </c>
      <c r="AF169" s="121">
        <v>2250</v>
      </c>
      <c r="AG169" s="121">
        <v>0</v>
      </c>
      <c r="AH169" s="121">
        <f>2250+2250</f>
        <v>4500</v>
      </c>
      <c r="AI169" s="121">
        <v>0</v>
      </c>
      <c r="AJ169" s="784">
        <f t="shared" si="35"/>
        <v>55500</v>
      </c>
      <c r="AK169" s="149">
        <f t="shared" si="30"/>
        <v>0.8066860465116279</v>
      </c>
      <c r="AL169" s="150">
        <f t="shared" si="36"/>
        <v>-13300</v>
      </c>
      <c r="AM169" s="149">
        <f t="shared" si="31"/>
        <v>-0.1933139534883721</v>
      </c>
      <c r="AN169" s="150">
        <f t="shared" si="32"/>
        <v>632000</v>
      </c>
      <c r="AO169" s="151">
        <f t="shared" si="33"/>
        <v>0.91927272727272724</v>
      </c>
      <c r="AP169" s="154">
        <f t="shared" si="37"/>
        <v>68800</v>
      </c>
      <c r="AQ169" s="154"/>
      <c r="AR169" s="786" t="str">
        <f t="shared" si="38"/>
        <v>Vendido</v>
      </c>
      <c r="AS169" s="786" t="str">
        <f t="shared" si="39"/>
        <v>Cliente Atrasado</v>
      </c>
      <c r="AT169" s="174">
        <v>28</v>
      </c>
      <c r="AU169" s="174">
        <f t="shared" si="40"/>
        <v>1</v>
      </c>
      <c r="AV169" s="174">
        <f t="shared" si="41"/>
        <v>29</v>
      </c>
      <c r="AW169" s="173">
        <v>2250</v>
      </c>
      <c r="AX169" s="786">
        <f t="shared" si="34"/>
        <v>17</v>
      </c>
      <c r="AY169" s="787">
        <f t="shared" si="42"/>
        <v>23</v>
      </c>
      <c r="AZ169" s="152"/>
      <c r="BA169" s="152"/>
    </row>
    <row r="170" spans="1:53" ht="15" customHeight="1" x14ac:dyDescent="0.25">
      <c r="A170" s="93"/>
      <c r="B170" s="164">
        <v>917</v>
      </c>
      <c r="C170" s="164" t="s">
        <v>383</v>
      </c>
      <c r="D170" s="165" t="s">
        <v>574</v>
      </c>
      <c r="E170" s="166">
        <v>45068</v>
      </c>
      <c r="F170" s="164" t="s">
        <v>192</v>
      </c>
      <c r="G170" s="164" t="s">
        <v>128</v>
      </c>
      <c r="H170" s="167">
        <v>699700</v>
      </c>
      <c r="I170" s="167">
        <v>70000</v>
      </c>
      <c r="J170" s="121">
        <v>0</v>
      </c>
      <c r="K170" s="121">
        <v>0</v>
      </c>
      <c r="L170" s="121">
        <v>6000</v>
      </c>
      <c r="M170" s="121">
        <v>2250</v>
      </c>
      <c r="N170" s="121">
        <v>2250</v>
      </c>
      <c r="O170" s="121">
        <v>2250</v>
      </c>
      <c r="P170" s="121">
        <v>2250</v>
      </c>
      <c r="Q170" s="121">
        <v>2250</v>
      </c>
      <c r="R170" s="121">
        <v>2250</v>
      </c>
      <c r="S170" s="121">
        <v>2250</v>
      </c>
      <c r="T170" s="121">
        <v>2250</v>
      </c>
      <c r="U170" s="121">
        <v>2250</v>
      </c>
      <c r="V170" s="121">
        <v>2250</v>
      </c>
      <c r="W170" s="121">
        <v>2250</v>
      </c>
      <c r="X170" s="121">
        <v>2250</v>
      </c>
      <c r="Y170" s="121">
        <v>2250</v>
      </c>
      <c r="Z170" s="121">
        <v>2250</v>
      </c>
      <c r="AA170" s="121">
        <v>2250</v>
      </c>
      <c r="AB170" s="121">
        <v>2250</v>
      </c>
      <c r="AC170" s="121">
        <v>2250</v>
      </c>
      <c r="AD170" s="121">
        <v>2250</v>
      </c>
      <c r="AE170" s="121">
        <v>2250</v>
      </c>
      <c r="AF170" s="121">
        <v>2250</v>
      </c>
      <c r="AG170" s="121">
        <v>2250</v>
      </c>
      <c r="AH170" s="121">
        <v>2250</v>
      </c>
      <c r="AI170" s="121">
        <v>0</v>
      </c>
      <c r="AJ170" s="784">
        <f t="shared" si="35"/>
        <v>55500</v>
      </c>
      <c r="AK170" s="149">
        <f t="shared" si="30"/>
        <v>0.79285714285714282</v>
      </c>
      <c r="AL170" s="150">
        <f t="shared" si="36"/>
        <v>-14500</v>
      </c>
      <c r="AM170" s="149">
        <f t="shared" si="31"/>
        <v>-0.20714285714285716</v>
      </c>
      <c r="AN170" s="150">
        <f t="shared" si="32"/>
        <v>644200</v>
      </c>
      <c r="AO170" s="151">
        <f t="shared" si="33"/>
        <v>0.92068029155352293</v>
      </c>
      <c r="AP170" s="154">
        <f t="shared" si="37"/>
        <v>70000</v>
      </c>
      <c r="AQ170" s="154"/>
      <c r="AR170" s="786" t="str">
        <f t="shared" si="38"/>
        <v>Vendido</v>
      </c>
      <c r="AS170" s="786" t="str">
        <f t="shared" si="39"/>
        <v>Cliente Atrasado</v>
      </c>
      <c r="AT170" s="174">
        <v>28</v>
      </c>
      <c r="AU170" s="174">
        <f t="shared" si="40"/>
        <v>1</v>
      </c>
      <c r="AV170" s="174">
        <f t="shared" si="41"/>
        <v>29</v>
      </c>
      <c r="AW170" s="173">
        <v>2250</v>
      </c>
      <c r="AX170" s="786">
        <f t="shared" si="34"/>
        <v>22</v>
      </c>
      <c r="AY170" s="787">
        <f t="shared" si="42"/>
        <v>23</v>
      </c>
      <c r="AZ170" s="152"/>
      <c r="BA170" s="152"/>
    </row>
    <row r="171" spans="1:53" x14ac:dyDescent="0.25">
      <c r="A171" s="93"/>
      <c r="B171" s="164">
        <v>918</v>
      </c>
      <c r="C171" s="164" t="s">
        <v>366</v>
      </c>
      <c r="D171" s="165" t="s">
        <v>575</v>
      </c>
      <c r="E171" s="166">
        <v>45098</v>
      </c>
      <c r="F171" s="164" t="s">
        <v>198</v>
      </c>
      <c r="G171" s="164" t="s">
        <v>128</v>
      </c>
      <c r="H171" s="167">
        <v>703500</v>
      </c>
      <c r="I171" s="167">
        <v>70400</v>
      </c>
      <c r="J171" s="121">
        <v>0</v>
      </c>
      <c r="K171" s="121">
        <v>0</v>
      </c>
      <c r="L171" s="121">
        <v>0</v>
      </c>
      <c r="M171" s="121">
        <v>6000</v>
      </c>
      <c r="N171" s="121">
        <v>0</v>
      </c>
      <c r="O171" s="121">
        <v>2477</v>
      </c>
      <c r="P171" s="121">
        <v>2477</v>
      </c>
      <c r="Q171" s="121">
        <v>2477</v>
      </c>
      <c r="R171" s="121">
        <v>2477</v>
      </c>
      <c r="S171" s="121">
        <v>4954</v>
      </c>
      <c r="T171" s="121">
        <v>0</v>
      </c>
      <c r="U171" s="121">
        <v>2477</v>
      </c>
      <c r="V171" s="121">
        <v>2477</v>
      </c>
      <c r="W171" s="121">
        <v>2477</v>
      </c>
      <c r="X171" s="121">
        <v>4954</v>
      </c>
      <c r="Y171" s="121">
        <v>0</v>
      </c>
      <c r="Z171" s="121">
        <v>2477</v>
      </c>
      <c r="AA171" s="121">
        <v>2477</v>
      </c>
      <c r="AB171" s="121">
        <v>2477</v>
      </c>
      <c r="AC171" s="121">
        <v>2477</v>
      </c>
      <c r="AD171" s="121">
        <v>2477</v>
      </c>
      <c r="AE171" s="121">
        <v>2477</v>
      </c>
      <c r="AF171" s="121">
        <v>2477</v>
      </c>
      <c r="AG171" s="121">
        <v>2477</v>
      </c>
      <c r="AH171" s="121">
        <v>0</v>
      </c>
      <c r="AI171" s="121">
        <v>2477</v>
      </c>
      <c r="AJ171" s="784">
        <f t="shared" si="35"/>
        <v>55540</v>
      </c>
      <c r="AK171" s="149">
        <f t="shared" si="30"/>
        <v>0.78892045454545456</v>
      </c>
      <c r="AL171" s="150">
        <f t="shared" si="36"/>
        <v>-14860</v>
      </c>
      <c r="AM171" s="149">
        <f t="shared" si="31"/>
        <v>-0.21107954545454546</v>
      </c>
      <c r="AN171" s="150">
        <f t="shared" si="32"/>
        <v>647960</v>
      </c>
      <c r="AO171" s="151">
        <f t="shared" si="33"/>
        <v>0.92105188343994315</v>
      </c>
      <c r="AP171" s="154">
        <f t="shared" si="37"/>
        <v>70400</v>
      </c>
      <c r="AQ171" s="154"/>
      <c r="AR171" s="786" t="str">
        <f t="shared" si="38"/>
        <v>Vendido</v>
      </c>
      <c r="AS171" s="786" t="str">
        <f t="shared" si="39"/>
        <v>Cliente Atrasado</v>
      </c>
      <c r="AT171" s="174">
        <v>26</v>
      </c>
      <c r="AU171" s="174">
        <f t="shared" si="40"/>
        <v>1</v>
      </c>
      <c r="AV171" s="174">
        <f t="shared" si="41"/>
        <v>27</v>
      </c>
      <c r="AW171" s="173">
        <v>2477</v>
      </c>
      <c r="AX171" s="786">
        <f t="shared" si="34"/>
        <v>16</v>
      </c>
      <c r="AY171" s="787">
        <f t="shared" si="42"/>
        <v>22</v>
      </c>
      <c r="AZ171" s="152"/>
      <c r="BA171" s="152"/>
    </row>
    <row r="172" spans="1:53" ht="15" customHeight="1" x14ac:dyDescent="0.25">
      <c r="A172" s="93"/>
      <c r="B172" s="164">
        <v>919</v>
      </c>
      <c r="C172" s="164" t="s">
        <v>383</v>
      </c>
      <c r="D172" s="165" t="s">
        <v>576</v>
      </c>
      <c r="E172" s="166">
        <v>45016</v>
      </c>
      <c r="F172" s="164" t="s">
        <v>412</v>
      </c>
      <c r="G172" s="164" t="s">
        <v>128</v>
      </c>
      <c r="H172" s="167">
        <v>921600</v>
      </c>
      <c r="I172" s="167">
        <v>92200</v>
      </c>
      <c r="J172" s="121">
        <v>6000</v>
      </c>
      <c r="K172" s="121">
        <v>2465</v>
      </c>
      <c r="L172" s="121">
        <v>0</v>
      </c>
      <c r="M172" s="121">
        <v>4930</v>
      </c>
      <c r="N172" s="121">
        <v>2465</v>
      </c>
      <c r="O172" s="121">
        <v>2465</v>
      </c>
      <c r="P172" s="121">
        <v>2465</v>
      </c>
      <c r="Q172" s="121">
        <v>2465</v>
      </c>
      <c r="R172" s="121">
        <v>0</v>
      </c>
      <c r="S172" s="121">
        <v>2465</v>
      </c>
      <c r="T172" s="121">
        <v>0</v>
      </c>
      <c r="U172" s="121">
        <v>2465</v>
      </c>
      <c r="V172" s="121">
        <v>4930</v>
      </c>
      <c r="W172" s="121">
        <v>4930</v>
      </c>
      <c r="X172" s="121">
        <v>2465</v>
      </c>
      <c r="Y172" s="121">
        <v>0</v>
      </c>
      <c r="Z172" s="121">
        <v>2465</v>
      </c>
      <c r="AA172" s="121">
        <v>4930</v>
      </c>
      <c r="AB172" s="121">
        <v>0</v>
      </c>
      <c r="AC172" s="121">
        <f>2465</f>
        <v>2465</v>
      </c>
      <c r="AD172" s="121">
        <v>0</v>
      </c>
      <c r="AE172" s="121">
        <v>0</v>
      </c>
      <c r="AF172" s="121">
        <v>0</v>
      </c>
      <c r="AG172" s="121">
        <v>14790</v>
      </c>
      <c r="AH172" s="121">
        <v>0</v>
      </c>
      <c r="AI172" s="121">
        <v>0</v>
      </c>
      <c r="AJ172" s="784">
        <f t="shared" si="35"/>
        <v>65160</v>
      </c>
      <c r="AK172" s="149">
        <f t="shared" si="30"/>
        <v>0.70672451193058572</v>
      </c>
      <c r="AL172" s="150">
        <f t="shared" si="36"/>
        <v>-27040</v>
      </c>
      <c r="AM172" s="149">
        <f t="shared" si="31"/>
        <v>-0.29327548806941434</v>
      </c>
      <c r="AN172" s="150">
        <f t="shared" si="32"/>
        <v>856440</v>
      </c>
      <c r="AO172" s="151">
        <f t="shared" si="33"/>
        <v>0.92929687500000002</v>
      </c>
      <c r="AP172" s="154">
        <f t="shared" si="37"/>
        <v>92200</v>
      </c>
      <c r="AQ172" s="154"/>
      <c r="AR172" s="786" t="str">
        <f t="shared" si="38"/>
        <v>Vendido</v>
      </c>
      <c r="AS172" s="786" t="str">
        <f t="shared" si="39"/>
        <v>Cliente Atrasado</v>
      </c>
      <c r="AT172" s="174">
        <v>35</v>
      </c>
      <c r="AU172" s="174">
        <f t="shared" si="40"/>
        <v>1</v>
      </c>
      <c r="AV172" s="174">
        <f t="shared" si="41"/>
        <v>36</v>
      </c>
      <c r="AW172" s="173">
        <v>2465</v>
      </c>
      <c r="AX172" s="786">
        <f t="shared" si="34"/>
        <v>10</v>
      </c>
      <c r="AY172" s="787">
        <f t="shared" si="42"/>
        <v>24</v>
      </c>
      <c r="AZ172" s="152"/>
      <c r="BA172" s="152"/>
    </row>
    <row r="173" spans="1:53" x14ac:dyDescent="0.25">
      <c r="A173" s="93"/>
      <c r="B173" s="164">
        <v>920</v>
      </c>
      <c r="C173" s="164" t="s">
        <v>363</v>
      </c>
      <c r="D173" s="165" t="s">
        <v>569</v>
      </c>
      <c r="E173" s="166">
        <v>45300</v>
      </c>
      <c r="F173" s="164" t="s">
        <v>186</v>
      </c>
      <c r="G173" s="164" t="s">
        <v>128</v>
      </c>
      <c r="H173" s="167">
        <v>929000</v>
      </c>
      <c r="I173" s="167">
        <f>+H173*0.1</f>
        <v>92900</v>
      </c>
      <c r="J173" s="121">
        <v>0</v>
      </c>
      <c r="K173" s="121">
        <v>0</v>
      </c>
      <c r="L173" s="121">
        <v>0</v>
      </c>
      <c r="M173" s="121">
        <v>0</v>
      </c>
      <c r="N173" s="121">
        <v>0</v>
      </c>
      <c r="O173" s="121">
        <v>0</v>
      </c>
      <c r="P173" s="121">
        <v>0</v>
      </c>
      <c r="Q173" s="121">
        <v>0</v>
      </c>
      <c r="R173" s="121">
        <v>0</v>
      </c>
      <c r="S173" s="121">
        <v>0</v>
      </c>
      <c r="T173" s="121">
        <v>0</v>
      </c>
      <c r="U173" s="121">
        <v>0</v>
      </c>
      <c r="V173" s="121">
        <v>0</v>
      </c>
      <c r="W173" s="121">
        <v>0</v>
      </c>
      <c r="X173" s="121">
        <v>0</v>
      </c>
      <c r="Y173" s="121">
        <v>0</v>
      </c>
      <c r="Z173" s="121">
        <v>0</v>
      </c>
      <c r="AA173" s="121">
        <v>0</v>
      </c>
      <c r="AB173" s="121">
        <v>0</v>
      </c>
      <c r="AC173" s="121">
        <v>0</v>
      </c>
      <c r="AD173" s="121">
        <v>0</v>
      </c>
      <c r="AE173" s="121">
        <v>0</v>
      </c>
      <c r="AF173" s="121">
        <v>0</v>
      </c>
      <c r="AG173" s="121">
        <v>0</v>
      </c>
      <c r="AH173" s="121">
        <v>0</v>
      </c>
      <c r="AI173" s="121">
        <v>0</v>
      </c>
      <c r="AJ173" s="784">
        <f t="shared" si="35"/>
        <v>0</v>
      </c>
      <c r="AK173" s="149">
        <f t="shared" si="30"/>
        <v>0</v>
      </c>
      <c r="AL173" s="150">
        <f t="shared" si="36"/>
        <v>-92900</v>
      </c>
      <c r="AM173" s="149">
        <f t="shared" si="31"/>
        <v>-1</v>
      </c>
      <c r="AN173" s="150">
        <f t="shared" si="32"/>
        <v>929000</v>
      </c>
      <c r="AO173" s="151">
        <f t="shared" si="33"/>
        <v>1</v>
      </c>
      <c r="AP173" s="154">
        <f t="shared" si="37"/>
        <v>92900</v>
      </c>
      <c r="AQ173" s="154"/>
      <c r="AR173" s="786" t="str">
        <f t="shared" si="38"/>
        <v>Vendido</v>
      </c>
      <c r="AS173" s="786" t="str">
        <f t="shared" si="39"/>
        <v>Cliente Atrasado</v>
      </c>
      <c r="AT173" s="174"/>
      <c r="AU173" s="174">
        <f t="shared" si="40"/>
        <v>0</v>
      </c>
      <c r="AV173" s="174">
        <f t="shared" si="41"/>
        <v>0</v>
      </c>
      <c r="AW173" s="173"/>
      <c r="AX173" s="786">
        <f t="shared" si="34"/>
        <v>26</v>
      </c>
      <c r="AY173" s="787">
        <f t="shared" si="42"/>
        <v>15</v>
      </c>
      <c r="AZ173" s="152"/>
      <c r="BA173" s="152"/>
    </row>
    <row r="174" spans="1:53" ht="15" customHeight="1" x14ac:dyDescent="0.25">
      <c r="A174" s="93"/>
      <c r="B174" s="164">
        <v>1001</v>
      </c>
      <c r="C174" s="164" t="s">
        <v>366</v>
      </c>
      <c r="D174" s="165" t="s">
        <v>577</v>
      </c>
      <c r="E174" s="166">
        <v>45027</v>
      </c>
      <c r="F174" s="164" t="s">
        <v>409</v>
      </c>
      <c r="G174" s="164" t="s">
        <v>128</v>
      </c>
      <c r="H174" s="167">
        <v>1097100</v>
      </c>
      <c r="I174" s="167">
        <v>109800</v>
      </c>
      <c r="J174" s="121">
        <v>0</v>
      </c>
      <c r="K174" s="121">
        <v>6000</v>
      </c>
      <c r="L174" s="121">
        <v>3579</v>
      </c>
      <c r="M174" s="121">
        <v>3579</v>
      </c>
      <c r="N174" s="121">
        <v>3579</v>
      </c>
      <c r="O174" s="121">
        <v>3579</v>
      </c>
      <c r="P174" s="121">
        <v>3579</v>
      </c>
      <c r="Q174" s="121">
        <v>3579</v>
      </c>
      <c r="R174" s="121">
        <v>3579</v>
      </c>
      <c r="S174" s="121">
        <v>3579</v>
      </c>
      <c r="T174" s="121">
        <v>3579</v>
      </c>
      <c r="U174" s="121">
        <v>3579</v>
      </c>
      <c r="V174" s="121">
        <v>3579</v>
      </c>
      <c r="W174" s="121">
        <v>3579</v>
      </c>
      <c r="X174" s="121">
        <v>3579</v>
      </c>
      <c r="Y174" s="121">
        <v>3579</v>
      </c>
      <c r="Z174" s="121">
        <v>3579</v>
      </c>
      <c r="AA174" s="121">
        <v>3579</v>
      </c>
      <c r="AB174" s="121">
        <v>3579</v>
      </c>
      <c r="AC174" s="121">
        <v>3579</v>
      </c>
      <c r="AD174" s="121">
        <v>3579</v>
      </c>
      <c r="AE174" s="121">
        <v>3579</v>
      </c>
      <c r="AF174" s="121">
        <v>3579</v>
      </c>
      <c r="AG174" s="121">
        <v>3579</v>
      </c>
      <c r="AH174" s="121">
        <v>3579</v>
      </c>
      <c r="AI174" s="121">
        <v>0</v>
      </c>
      <c r="AJ174" s="784">
        <f t="shared" si="35"/>
        <v>88317</v>
      </c>
      <c r="AK174" s="149">
        <f t="shared" si="30"/>
        <v>0.80434426229508194</v>
      </c>
      <c r="AL174" s="150">
        <f t="shared" si="36"/>
        <v>-21483</v>
      </c>
      <c r="AM174" s="149">
        <f t="shared" si="31"/>
        <v>-0.19565573770491804</v>
      </c>
      <c r="AN174" s="150">
        <f t="shared" si="32"/>
        <v>1008783</v>
      </c>
      <c r="AO174" s="151">
        <f t="shared" si="33"/>
        <v>0.91949958982772761</v>
      </c>
      <c r="AP174" s="154">
        <f t="shared" si="37"/>
        <v>109800</v>
      </c>
      <c r="AQ174" s="154"/>
      <c r="AR174" s="786" t="str">
        <f t="shared" si="38"/>
        <v>Vendido</v>
      </c>
      <c r="AS174" s="786" t="str">
        <f t="shared" si="39"/>
        <v>Cliente Atrasado</v>
      </c>
      <c r="AT174" s="174">
        <v>29</v>
      </c>
      <c r="AU174" s="174">
        <f t="shared" si="40"/>
        <v>1</v>
      </c>
      <c r="AV174" s="174">
        <f t="shared" si="41"/>
        <v>30</v>
      </c>
      <c r="AW174" s="173">
        <v>3579</v>
      </c>
      <c r="AX174" s="786">
        <f t="shared" si="34"/>
        <v>23</v>
      </c>
      <c r="AY174" s="787">
        <f t="shared" si="42"/>
        <v>24</v>
      </c>
      <c r="AZ174" s="152"/>
      <c r="BA174" s="152"/>
    </row>
    <row r="175" spans="1:53" x14ac:dyDescent="0.25">
      <c r="A175" s="93"/>
      <c r="B175" s="164">
        <v>1002</v>
      </c>
      <c r="C175" s="164" t="s">
        <v>366</v>
      </c>
      <c r="D175" s="165" t="s">
        <v>578</v>
      </c>
      <c r="E175" s="166">
        <v>45008</v>
      </c>
      <c r="F175" s="164" t="s">
        <v>184</v>
      </c>
      <c r="G175" s="164" t="s">
        <v>128</v>
      </c>
      <c r="H175" s="167">
        <v>1111200</v>
      </c>
      <c r="I175" s="167">
        <v>216000</v>
      </c>
      <c r="J175" s="121">
        <v>6000</v>
      </c>
      <c r="K175" s="121">
        <v>0</v>
      </c>
      <c r="L175" s="121">
        <v>12000</v>
      </c>
      <c r="M175" s="121">
        <v>6000</v>
      </c>
      <c r="N175" s="121">
        <v>6000</v>
      </c>
      <c r="O175" s="121">
        <v>6000</v>
      </c>
      <c r="P175" s="121">
        <v>6000</v>
      </c>
      <c r="Q175" s="121">
        <v>6000</v>
      </c>
      <c r="R175" s="121">
        <v>6000</v>
      </c>
      <c r="S175" s="121">
        <v>6000</v>
      </c>
      <c r="T175" s="121">
        <v>6000</v>
      </c>
      <c r="U175" s="121">
        <v>6000</v>
      </c>
      <c r="V175" s="121">
        <v>0</v>
      </c>
      <c r="W175" s="121">
        <v>0</v>
      </c>
      <c r="X175" s="121">
        <v>18000</v>
      </c>
      <c r="Y175" s="121">
        <v>6000</v>
      </c>
      <c r="Z175" s="121">
        <v>0</v>
      </c>
      <c r="AA175" s="121">
        <v>6000</v>
      </c>
      <c r="AB175" s="121">
        <v>6000</v>
      </c>
      <c r="AC175" s="121">
        <v>6000</v>
      </c>
      <c r="AD175" s="121">
        <v>6000</v>
      </c>
      <c r="AE175" s="121">
        <v>6000</v>
      </c>
      <c r="AF175" s="121">
        <v>6000</v>
      </c>
      <c r="AG175" s="121">
        <v>6000</v>
      </c>
      <c r="AH175" s="121">
        <v>6000</v>
      </c>
      <c r="AI175" s="121">
        <v>0</v>
      </c>
      <c r="AJ175" s="784">
        <f t="shared" si="35"/>
        <v>144000</v>
      </c>
      <c r="AK175" s="149">
        <f t="shared" si="30"/>
        <v>0.66666666666666663</v>
      </c>
      <c r="AL175" s="150">
        <f t="shared" si="36"/>
        <v>-72000</v>
      </c>
      <c r="AM175" s="149">
        <f t="shared" si="31"/>
        <v>-0.33333333333333331</v>
      </c>
      <c r="AN175" s="150">
        <f t="shared" si="32"/>
        <v>967200</v>
      </c>
      <c r="AO175" s="151">
        <f t="shared" si="33"/>
        <v>0.87041036717062636</v>
      </c>
      <c r="AP175" s="154">
        <f t="shared" si="37"/>
        <v>216000</v>
      </c>
      <c r="AQ175" s="154"/>
      <c r="AR175" s="786" t="str">
        <f t="shared" si="38"/>
        <v>Vendido</v>
      </c>
      <c r="AS175" s="786" t="str">
        <f t="shared" si="39"/>
        <v>Cliente Atrasado</v>
      </c>
      <c r="AT175" s="174">
        <v>35</v>
      </c>
      <c r="AU175" s="174">
        <f t="shared" si="40"/>
        <v>1</v>
      </c>
      <c r="AV175" s="174">
        <f t="shared" si="41"/>
        <v>36</v>
      </c>
      <c r="AW175" s="173">
        <v>6000</v>
      </c>
      <c r="AX175" s="786">
        <f t="shared" si="34"/>
        <v>19</v>
      </c>
      <c r="AY175" s="787">
        <f t="shared" si="42"/>
        <v>25</v>
      </c>
      <c r="AZ175" s="152"/>
      <c r="BA175" s="152"/>
    </row>
    <row r="176" spans="1:53" x14ac:dyDescent="0.25">
      <c r="A176" s="93"/>
      <c r="B176" s="164">
        <v>1003</v>
      </c>
      <c r="C176" s="164" t="s">
        <v>366</v>
      </c>
      <c r="D176" s="165" t="s">
        <v>579</v>
      </c>
      <c r="E176" s="166">
        <v>45042</v>
      </c>
      <c r="F176" s="164" t="s">
        <v>406</v>
      </c>
      <c r="G176" s="164" t="s">
        <v>128</v>
      </c>
      <c r="H176" s="167">
        <v>703500</v>
      </c>
      <c r="I176" s="167">
        <v>70400</v>
      </c>
      <c r="J176" s="121">
        <v>0</v>
      </c>
      <c r="K176" s="121">
        <v>6000</v>
      </c>
      <c r="L176" s="121">
        <v>0</v>
      </c>
      <c r="M176" s="121">
        <v>2300</v>
      </c>
      <c r="N176" s="121">
        <v>2300</v>
      </c>
      <c r="O176" s="121">
        <v>2300</v>
      </c>
      <c r="P176" s="121">
        <v>2300</v>
      </c>
      <c r="Q176" s="121">
        <v>2300</v>
      </c>
      <c r="R176" s="121">
        <v>0</v>
      </c>
      <c r="S176" s="121">
        <v>2300</v>
      </c>
      <c r="T176" s="121">
        <v>4600</v>
      </c>
      <c r="U176" s="121">
        <v>0</v>
      </c>
      <c r="V176" s="121">
        <v>4600</v>
      </c>
      <c r="W176" s="121">
        <v>2300</v>
      </c>
      <c r="X176" s="121">
        <v>0</v>
      </c>
      <c r="Y176" s="121">
        <v>2300</v>
      </c>
      <c r="Z176" s="121">
        <v>2300</v>
      </c>
      <c r="AA176" s="121">
        <v>4600</v>
      </c>
      <c r="AB176" s="121">
        <v>0</v>
      </c>
      <c r="AC176" s="121">
        <v>4600</v>
      </c>
      <c r="AD176" s="121">
        <v>0</v>
      </c>
      <c r="AE176" s="121">
        <v>0</v>
      </c>
      <c r="AF176" s="121">
        <v>0</v>
      </c>
      <c r="AG176" s="121">
        <v>9600</v>
      </c>
      <c r="AH176" s="121">
        <v>0</v>
      </c>
      <c r="AI176" s="121">
        <v>0</v>
      </c>
      <c r="AJ176" s="784">
        <f t="shared" si="35"/>
        <v>54700</v>
      </c>
      <c r="AK176" s="149">
        <f t="shared" si="30"/>
        <v>0.77698863636363635</v>
      </c>
      <c r="AL176" s="150">
        <f t="shared" si="36"/>
        <v>-15700</v>
      </c>
      <c r="AM176" s="149">
        <f t="shared" si="31"/>
        <v>-0.22301136363636365</v>
      </c>
      <c r="AN176" s="150">
        <f t="shared" si="32"/>
        <v>648800</v>
      </c>
      <c r="AO176" s="151">
        <f t="shared" si="33"/>
        <v>0.92224591329068939</v>
      </c>
      <c r="AP176" s="154">
        <f t="shared" si="37"/>
        <v>70400</v>
      </c>
      <c r="AQ176" s="154"/>
      <c r="AR176" s="786" t="str">
        <f t="shared" si="38"/>
        <v>Vendido</v>
      </c>
      <c r="AS176" s="786" t="str">
        <f t="shared" si="39"/>
        <v>Cliente Atrasado</v>
      </c>
      <c r="AT176" s="174">
        <v>28</v>
      </c>
      <c r="AU176" s="174">
        <f t="shared" si="40"/>
        <v>1</v>
      </c>
      <c r="AV176" s="174">
        <f t="shared" si="41"/>
        <v>29</v>
      </c>
      <c r="AW176" s="173">
        <v>2300</v>
      </c>
      <c r="AX176" s="786">
        <f t="shared" si="34"/>
        <v>9</v>
      </c>
      <c r="AY176" s="787">
        <f t="shared" si="42"/>
        <v>24</v>
      </c>
      <c r="AZ176" s="152"/>
      <c r="BA176" s="152"/>
    </row>
    <row r="177" spans="1:53" ht="15.75" customHeight="1" x14ac:dyDescent="0.25">
      <c r="A177" s="93"/>
      <c r="B177" s="164">
        <v>1004</v>
      </c>
      <c r="C177" s="164" t="s">
        <v>356</v>
      </c>
      <c r="D177" s="165" t="s">
        <v>580</v>
      </c>
      <c r="E177" s="166">
        <v>45062</v>
      </c>
      <c r="F177" s="164" t="s">
        <v>200</v>
      </c>
      <c r="G177" s="164" t="s">
        <v>128</v>
      </c>
      <c r="H177" s="167">
        <v>696469.08</v>
      </c>
      <c r="I177" s="167">
        <v>69669.08</v>
      </c>
      <c r="J177" s="121">
        <v>0</v>
      </c>
      <c r="K177" s="121">
        <v>0</v>
      </c>
      <c r="L177" s="121">
        <v>6000</v>
      </c>
      <c r="M177" s="121">
        <v>2275</v>
      </c>
      <c r="N177" s="121">
        <v>2274</v>
      </c>
      <c r="O177" s="121">
        <v>2274</v>
      </c>
      <c r="P177" s="121">
        <v>2274</v>
      </c>
      <c r="Q177" s="121">
        <v>2274</v>
      </c>
      <c r="R177" s="121">
        <v>2274</v>
      </c>
      <c r="S177" s="121">
        <v>2274</v>
      </c>
      <c r="T177" s="121">
        <v>2274</v>
      </c>
      <c r="U177" s="121">
        <v>2274</v>
      </c>
      <c r="V177" s="121">
        <v>2274</v>
      </c>
      <c r="W177" s="121">
        <v>2274</v>
      </c>
      <c r="X177" s="121">
        <v>2274</v>
      </c>
      <c r="Y177" s="121">
        <v>2274</v>
      </c>
      <c r="Z177" s="121">
        <v>2274</v>
      </c>
      <c r="AA177" s="121">
        <v>2274</v>
      </c>
      <c r="AB177" s="121">
        <v>2274</v>
      </c>
      <c r="AC177" s="121">
        <v>2274</v>
      </c>
      <c r="AD177" s="121">
        <v>2274</v>
      </c>
      <c r="AE177" s="121">
        <v>2274</v>
      </c>
      <c r="AF177" s="121">
        <v>2274</v>
      </c>
      <c r="AG177" s="121">
        <v>2274</v>
      </c>
      <c r="AH177" s="121">
        <v>2274</v>
      </c>
      <c r="AI177" s="121">
        <v>0</v>
      </c>
      <c r="AJ177" s="784">
        <f t="shared" si="35"/>
        <v>56029</v>
      </c>
      <c r="AK177" s="149">
        <f t="shared" si="30"/>
        <v>0.804216160167466</v>
      </c>
      <c r="AL177" s="150">
        <f t="shared" si="36"/>
        <v>-13640.080000000002</v>
      </c>
      <c r="AM177" s="149">
        <f t="shared" si="31"/>
        <v>-0.19578383983253406</v>
      </c>
      <c r="AN177" s="150">
        <f t="shared" si="32"/>
        <v>640440.07999999996</v>
      </c>
      <c r="AO177" s="151">
        <f t="shared" si="33"/>
        <v>0.91955278186936884</v>
      </c>
      <c r="AP177" s="154">
        <f t="shared" si="37"/>
        <v>69669.08</v>
      </c>
      <c r="AQ177" s="154"/>
      <c r="AR177" s="786" t="str">
        <f t="shared" si="38"/>
        <v>Vendido</v>
      </c>
      <c r="AS177" s="786" t="str">
        <f t="shared" si="39"/>
        <v>Cliente Atrasado</v>
      </c>
      <c r="AT177" s="174">
        <v>28</v>
      </c>
      <c r="AU177" s="174">
        <f t="shared" si="40"/>
        <v>1</v>
      </c>
      <c r="AV177" s="174">
        <f t="shared" si="41"/>
        <v>29</v>
      </c>
      <c r="AW177" s="173">
        <v>2274</v>
      </c>
      <c r="AX177" s="786">
        <f t="shared" si="34"/>
        <v>21</v>
      </c>
      <c r="AY177" s="787">
        <f t="shared" si="42"/>
        <v>23</v>
      </c>
      <c r="AZ177" s="152"/>
      <c r="BA177" s="152"/>
    </row>
    <row r="178" spans="1:53" x14ac:dyDescent="0.25">
      <c r="A178" s="93"/>
      <c r="B178" s="164">
        <v>1005</v>
      </c>
      <c r="C178" s="164" t="s">
        <v>383</v>
      </c>
      <c r="D178" s="165" t="s">
        <v>581</v>
      </c>
      <c r="E178" s="166">
        <v>45113</v>
      </c>
      <c r="F178" s="164" t="s">
        <v>534</v>
      </c>
      <c r="G178" s="164" t="s">
        <v>128</v>
      </c>
      <c r="H178" s="167">
        <v>941800</v>
      </c>
      <c r="I178" s="167">
        <v>94200</v>
      </c>
      <c r="J178" s="121">
        <v>0</v>
      </c>
      <c r="K178" s="121">
        <v>0</v>
      </c>
      <c r="L178" s="121">
        <v>0</v>
      </c>
      <c r="M178" s="121">
        <v>0</v>
      </c>
      <c r="N178" s="121">
        <v>6000</v>
      </c>
      <c r="O178" s="121">
        <v>3267</v>
      </c>
      <c r="P178" s="121">
        <v>3267</v>
      </c>
      <c r="Q178" s="121">
        <v>3267</v>
      </c>
      <c r="R178" s="121">
        <v>3267</v>
      </c>
      <c r="S178" s="121">
        <v>3267</v>
      </c>
      <c r="T178" s="121">
        <v>3267</v>
      </c>
      <c r="U178" s="121">
        <v>3267</v>
      </c>
      <c r="V178" s="121">
        <v>3267</v>
      </c>
      <c r="W178" s="121">
        <v>3267</v>
      </c>
      <c r="X178" s="121">
        <v>3267</v>
      </c>
      <c r="Y178" s="121">
        <v>3267</v>
      </c>
      <c r="Z178" s="121">
        <v>3267</v>
      </c>
      <c r="AA178" s="121">
        <v>3267</v>
      </c>
      <c r="AB178" s="121">
        <v>3267</v>
      </c>
      <c r="AC178" s="121">
        <v>3267</v>
      </c>
      <c r="AD178" s="121">
        <v>3267</v>
      </c>
      <c r="AE178" s="121">
        <v>3267</v>
      </c>
      <c r="AF178" s="121">
        <v>3267</v>
      </c>
      <c r="AG178" s="121">
        <v>3267</v>
      </c>
      <c r="AH178" s="121">
        <v>3267</v>
      </c>
      <c r="AI178" s="121">
        <v>0</v>
      </c>
      <c r="AJ178" s="784">
        <f t="shared" si="35"/>
        <v>71340</v>
      </c>
      <c r="AK178" s="149">
        <f t="shared" si="30"/>
        <v>0.75732484076433126</v>
      </c>
      <c r="AL178" s="150">
        <f t="shared" si="36"/>
        <v>-22860</v>
      </c>
      <c r="AM178" s="149">
        <f t="shared" si="31"/>
        <v>-0.24267515923566879</v>
      </c>
      <c r="AN178" s="150">
        <f t="shared" si="32"/>
        <v>870460</v>
      </c>
      <c r="AO178" s="151">
        <f t="shared" si="33"/>
        <v>0.92425143342535565</v>
      </c>
      <c r="AP178" s="154">
        <f t="shared" si="37"/>
        <v>94200</v>
      </c>
      <c r="AQ178" s="154"/>
      <c r="AR178" s="786" t="str">
        <f t="shared" si="38"/>
        <v>Vendido</v>
      </c>
      <c r="AS178" s="786" t="str">
        <f t="shared" si="39"/>
        <v>Cliente Atrasado</v>
      </c>
      <c r="AT178" s="174">
        <v>26</v>
      </c>
      <c r="AU178" s="174">
        <f t="shared" si="40"/>
        <v>1</v>
      </c>
      <c r="AV178" s="174">
        <f t="shared" si="41"/>
        <v>27</v>
      </c>
      <c r="AW178" s="173">
        <v>3267</v>
      </c>
      <c r="AX178" s="786">
        <f t="shared" si="34"/>
        <v>20</v>
      </c>
      <c r="AY178" s="787">
        <f t="shared" si="42"/>
        <v>21</v>
      </c>
      <c r="AZ178" s="152"/>
      <c r="BA178" s="152"/>
    </row>
    <row r="179" spans="1:53" x14ac:dyDescent="0.25">
      <c r="A179" s="93"/>
      <c r="B179" s="164">
        <v>1006</v>
      </c>
      <c r="C179" s="164" t="s">
        <v>366</v>
      </c>
      <c r="D179" s="165" t="s">
        <v>582</v>
      </c>
      <c r="E179" s="166">
        <v>45343</v>
      </c>
      <c r="F179" s="164" t="s">
        <v>536</v>
      </c>
      <c r="G179" s="164" t="s">
        <v>128</v>
      </c>
      <c r="H179" s="167">
        <v>943100</v>
      </c>
      <c r="I179" s="167">
        <v>94400</v>
      </c>
      <c r="J179" s="121">
        <v>0</v>
      </c>
      <c r="K179" s="121">
        <v>0</v>
      </c>
      <c r="L179" s="121">
        <v>0</v>
      </c>
      <c r="M179" s="121">
        <v>0</v>
      </c>
      <c r="N179" s="121">
        <v>0</v>
      </c>
      <c r="O179" s="121">
        <v>0</v>
      </c>
      <c r="P179" s="121">
        <v>0</v>
      </c>
      <c r="Q179" s="121">
        <v>0</v>
      </c>
      <c r="R179" s="121">
        <v>0</v>
      </c>
      <c r="S179" s="121">
        <v>0</v>
      </c>
      <c r="T179" s="121">
        <v>0</v>
      </c>
      <c r="U179" s="121">
        <v>8000</v>
      </c>
      <c r="V179" s="121">
        <v>0</v>
      </c>
      <c r="W179" s="121">
        <v>9094</v>
      </c>
      <c r="X179" s="121">
        <v>0</v>
      </c>
      <c r="Y179" s="121">
        <v>0</v>
      </c>
      <c r="Z179" s="121">
        <v>13641</v>
      </c>
      <c r="AA179" s="121">
        <v>0</v>
      </c>
      <c r="AB179" s="121">
        <v>0</v>
      </c>
      <c r="AC179" s="121">
        <v>0</v>
      </c>
      <c r="AD179" s="121">
        <v>0</v>
      </c>
      <c r="AE179" s="121">
        <v>18188</v>
      </c>
      <c r="AF179" s="121">
        <v>0</v>
      </c>
      <c r="AG179" s="121">
        <v>0</v>
      </c>
      <c r="AH179" s="121">
        <v>0</v>
      </c>
      <c r="AI179" s="121">
        <v>0</v>
      </c>
      <c r="AJ179" s="784">
        <f t="shared" si="35"/>
        <v>48923</v>
      </c>
      <c r="AK179" s="149">
        <f t="shared" si="30"/>
        <v>0.51825211864406784</v>
      </c>
      <c r="AL179" s="150">
        <f t="shared" si="36"/>
        <v>-45477</v>
      </c>
      <c r="AM179" s="149">
        <f t="shared" si="31"/>
        <v>-0.48174788135593222</v>
      </c>
      <c r="AN179" s="150">
        <f t="shared" si="32"/>
        <v>894177</v>
      </c>
      <c r="AO179" s="151">
        <f t="shared" si="33"/>
        <v>0.9481253313540452</v>
      </c>
      <c r="AP179" s="154">
        <f t="shared" si="37"/>
        <v>94400</v>
      </c>
      <c r="AQ179" s="154"/>
      <c r="AR179" s="786" t="str">
        <f t="shared" si="38"/>
        <v>Vendido</v>
      </c>
      <c r="AS179" s="786" t="str">
        <f t="shared" si="39"/>
        <v>Cliente Atrasado</v>
      </c>
      <c r="AT179" s="174">
        <v>19</v>
      </c>
      <c r="AU179" s="174">
        <f t="shared" si="40"/>
        <v>1</v>
      </c>
      <c r="AV179" s="174">
        <f t="shared" si="41"/>
        <v>20</v>
      </c>
      <c r="AW179" s="173">
        <v>4547</v>
      </c>
      <c r="AX179" s="786">
        <f t="shared" si="34"/>
        <v>0</v>
      </c>
      <c r="AY179" s="787">
        <f t="shared" si="42"/>
        <v>14</v>
      </c>
      <c r="AZ179" s="152"/>
      <c r="BA179" s="152"/>
    </row>
    <row r="180" spans="1:53" x14ac:dyDescent="0.25">
      <c r="A180" s="93"/>
      <c r="B180" s="164">
        <v>1007</v>
      </c>
      <c r="C180" s="164" t="s">
        <v>383</v>
      </c>
      <c r="D180" s="165" t="s">
        <v>572</v>
      </c>
      <c r="E180" s="166">
        <v>45173</v>
      </c>
      <c r="F180" s="164" t="s">
        <v>400</v>
      </c>
      <c r="G180" s="164" t="s">
        <v>128</v>
      </c>
      <c r="H180" s="167">
        <v>901400</v>
      </c>
      <c r="I180" s="167">
        <v>90200</v>
      </c>
      <c r="J180" s="121">
        <v>0</v>
      </c>
      <c r="K180" s="121">
        <v>0</v>
      </c>
      <c r="L180" s="121">
        <v>0</v>
      </c>
      <c r="M180" s="121">
        <v>0</v>
      </c>
      <c r="N180" s="121">
        <v>0</v>
      </c>
      <c r="O180" s="121">
        <v>0</v>
      </c>
      <c r="P180" s="121">
        <v>6000</v>
      </c>
      <c r="Q180" s="121">
        <v>3368</v>
      </c>
      <c r="R180" s="121">
        <v>3368</v>
      </c>
      <c r="S180" s="121">
        <v>3368</v>
      </c>
      <c r="T180" s="121">
        <v>3368</v>
      </c>
      <c r="U180" s="121">
        <v>3368</v>
      </c>
      <c r="V180" s="121">
        <v>3368</v>
      </c>
      <c r="W180" s="121">
        <v>3368</v>
      </c>
      <c r="X180" s="121">
        <v>0</v>
      </c>
      <c r="Y180" s="121">
        <v>6736</v>
      </c>
      <c r="Z180" s="121">
        <v>0</v>
      </c>
      <c r="AA180" s="121">
        <v>6736</v>
      </c>
      <c r="AB180" s="121">
        <v>3368</v>
      </c>
      <c r="AC180" s="121">
        <v>0</v>
      </c>
      <c r="AD180" s="121">
        <v>3368</v>
      </c>
      <c r="AE180" s="121">
        <f>3368+3368</f>
        <v>6736</v>
      </c>
      <c r="AF180" s="121">
        <v>0</v>
      </c>
      <c r="AG180" s="121">
        <v>3368</v>
      </c>
      <c r="AH180" s="121">
        <v>3368</v>
      </c>
      <c r="AI180" s="121">
        <v>0</v>
      </c>
      <c r="AJ180" s="784">
        <f t="shared" si="35"/>
        <v>63256</v>
      </c>
      <c r="AK180" s="149">
        <f t="shared" si="30"/>
        <v>0.70128603104212861</v>
      </c>
      <c r="AL180" s="150">
        <f t="shared" si="36"/>
        <v>-26944</v>
      </c>
      <c r="AM180" s="149">
        <f t="shared" si="31"/>
        <v>-0.29871396895787139</v>
      </c>
      <c r="AN180" s="150">
        <f t="shared" si="32"/>
        <v>838144</v>
      </c>
      <c r="AO180" s="151">
        <f t="shared" si="33"/>
        <v>0.92982471710672288</v>
      </c>
      <c r="AP180" s="154">
        <f t="shared" si="37"/>
        <v>90200</v>
      </c>
      <c r="AQ180" s="154"/>
      <c r="AR180" s="786" t="str">
        <f t="shared" si="38"/>
        <v>Vendido</v>
      </c>
      <c r="AS180" s="786" t="str">
        <f t="shared" si="39"/>
        <v>Cliente Atrasado</v>
      </c>
      <c r="AT180" s="174">
        <v>24</v>
      </c>
      <c r="AU180" s="174">
        <f t="shared" si="40"/>
        <v>1</v>
      </c>
      <c r="AV180" s="174">
        <f t="shared" si="41"/>
        <v>25</v>
      </c>
      <c r="AW180" s="173">
        <v>3368</v>
      </c>
      <c r="AX180" s="786">
        <f t="shared" si="34"/>
        <v>11</v>
      </c>
      <c r="AY180" s="787">
        <f t="shared" si="42"/>
        <v>19</v>
      </c>
      <c r="AZ180" s="152"/>
      <c r="BA180" s="152"/>
    </row>
    <row r="181" spans="1:53" x14ac:dyDescent="0.25">
      <c r="A181" s="93"/>
      <c r="B181" s="164">
        <v>1008</v>
      </c>
      <c r="C181" s="164" t="s">
        <v>366</v>
      </c>
      <c r="D181" s="165" t="s">
        <v>583</v>
      </c>
      <c r="E181" s="166">
        <v>45401</v>
      </c>
      <c r="F181" s="164" t="s">
        <v>175</v>
      </c>
      <c r="G181" s="164" t="s">
        <v>128</v>
      </c>
      <c r="H181" s="167">
        <v>845100</v>
      </c>
      <c r="I181" s="167">
        <f>+H181*0.1</f>
        <v>84510</v>
      </c>
      <c r="J181" s="121">
        <v>0</v>
      </c>
      <c r="K181" s="121">
        <v>0</v>
      </c>
      <c r="L181" s="121">
        <v>0</v>
      </c>
      <c r="M181" s="121">
        <v>0</v>
      </c>
      <c r="N181" s="121">
        <v>0</v>
      </c>
      <c r="O181" s="121">
        <v>0</v>
      </c>
      <c r="P181" s="121">
        <v>0</v>
      </c>
      <c r="Q181" s="121">
        <v>0</v>
      </c>
      <c r="R181" s="121">
        <v>0</v>
      </c>
      <c r="S181" s="121">
        <v>0</v>
      </c>
      <c r="T181" s="121">
        <v>0</v>
      </c>
      <c r="U181" s="121">
        <v>0</v>
      </c>
      <c r="V181" s="121">
        <v>0</v>
      </c>
      <c r="W181" s="121">
        <v>8000</v>
      </c>
      <c r="X181" s="121">
        <v>0</v>
      </c>
      <c r="Y181" s="121">
        <v>0</v>
      </c>
      <c r="Z181" s="121">
        <v>0</v>
      </c>
      <c r="AA181" s="121">
        <v>0</v>
      </c>
      <c r="AB181" s="121">
        <v>0</v>
      </c>
      <c r="AC181" s="121">
        <v>0</v>
      </c>
      <c r="AD181" s="121">
        <v>0</v>
      </c>
      <c r="AE181" s="121">
        <v>0</v>
      </c>
      <c r="AF181" s="121">
        <v>0</v>
      </c>
      <c r="AG181" s="121">
        <v>0</v>
      </c>
      <c r="AH181" s="121">
        <v>0</v>
      </c>
      <c r="AI181" s="121">
        <v>0</v>
      </c>
      <c r="AJ181" s="784">
        <f t="shared" si="35"/>
        <v>8000</v>
      </c>
      <c r="AK181" s="149">
        <f t="shared" si="30"/>
        <v>9.4663353449295939E-2</v>
      </c>
      <c r="AL181" s="150">
        <f t="shared" si="36"/>
        <v>-76510</v>
      </c>
      <c r="AM181" s="149">
        <f t="shared" si="31"/>
        <v>-0.90533664655070401</v>
      </c>
      <c r="AN181" s="150">
        <f t="shared" si="32"/>
        <v>837100</v>
      </c>
      <c r="AO181" s="151">
        <f t="shared" si="33"/>
        <v>0.99053366465507042</v>
      </c>
      <c r="AP181" s="154">
        <f t="shared" si="37"/>
        <v>84510</v>
      </c>
      <c r="AQ181" s="154"/>
      <c r="AR181" s="786" t="str">
        <f t="shared" si="38"/>
        <v>Vendido</v>
      </c>
      <c r="AS181" s="786" t="str">
        <f t="shared" si="39"/>
        <v>Cliente Atrasado</v>
      </c>
      <c r="AT181" s="174"/>
      <c r="AU181" s="174">
        <f t="shared" si="40"/>
        <v>0</v>
      </c>
      <c r="AV181" s="174">
        <f t="shared" si="41"/>
        <v>0</v>
      </c>
      <c r="AW181" s="173"/>
      <c r="AX181" s="786">
        <f t="shared" si="34"/>
        <v>25</v>
      </c>
      <c r="AY181" s="787">
        <f t="shared" si="42"/>
        <v>12</v>
      </c>
      <c r="AZ181" s="152"/>
      <c r="BA181" s="152"/>
    </row>
    <row r="182" spans="1:53" x14ac:dyDescent="0.25">
      <c r="A182" s="93"/>
      <c r="B182" s="164">
        <v>1009</v>
      </c>
      <c r="C182" s="168" t="s">
        <v>423</v>
      </c>
      <c r="D182" s="165" t="s">
        <v>584</v>
      </c>
      <c r="E182" s="166">
        <v>45602</v>
      </c>
      <c r="F182" s="164" t="s">
        <v>563</v>
      </c>
      <c r="G182" s="164" t="s">
        <v>128</v>
      </c>
      <c r="H182" s="167">
        <v>1515084.48</v>
      </c>
      <c r="I182" s="167">
        <v>152084.48000000001</v>
      </c>
      <c r="J182" s="121">
        <v>0</v>
      </c>
      <c r="K182" s="121">
        <v>0</v>
      </c>
      <c r="L182" s="121">
        <v>0</v>
      </c>
      <c r="M182" s="121">
        <v>0</v>
      </c>
      <c r="N182" s="121">
        <v>0</v>
      </c>
      <c r="O182" s="121">
        <v>0</v>
      </c>
      <c r="P182" s="121">
        <v>0</v>
      </c>
      <c r="Q182" s="121">
        <v>0</v>
      </c>
      <c r="R182" s="121">
        <v>0</v>
      </c>
      <c r="S182" s="121">
        <v>0</v>
      </c>
      <c r="T182" s="121">
        <v>0</v>
      </c>
      <c r="U182" s="121">
        <v>0</v>
      </c>
      <c r="V182" s="121">
        <v>0</v>
      </c>
      <c r="W182" s="121">
        <v>0</v>
      </c>
      <c r="X182" s="121">
        <v>0</v>
      </c>
      <c r="Y182" s="121">
        <v>0</v>
      </c>
      <c r="Z182" s="121">
        <v>0</v>
      </c>
      <c r="AA182" s="121">
        <v>0</v>
      </c>
      <c r="AB182" s="121">
        <v>0</v>
      </c>
      <c r="AC182" s="121">
        <v>0</v>
      </c>
      <c r="AD182" s="121">
        <v>10000</v>
      </c>
      <c r="AE182" s="121">
        <v>8000</v>
      </c>
      <c r="AF182" s="121">
        <v>8000</v>
      </c>
      <c r="AG182" s="121">
        <v>8000</v>
      </c>
      <c r="AH182" s="121">
        <v>8000</v>
      </c>
      <c r="AI182" s="121">
        <v>8000</v>
      </c>
      <c r="AJ182" s="784">
        <f t="shared" si="35"/>
        <v>50000</v>
      </c>
      <c r="AK182" s="149">
        <f t="shared" si="30"/>
        <v>0.32876464449232423</v>
      </c>
      <c r="AL182" s="150">
        <f t="shared" si="36"/>
        <v>-102084.48000000001</v>
      </c>
      <c r="AM182" s="149">
        <f t="shared" si="31"/>
        <v>-0.67123535550767577</v>
      </c>
      <c r="AN182" s="150">
        <f t="shared" si="32"/>
        <v>1465084.48</v>
      </c>
      <c r="AO182" s="151">
        <f t="shared" si="33"/>
        <v>0.96699853990980089</v>
      </c>
      <c r="AP182" s="154">
        <f t="shared" si="37"/>
        <v>152084.48000000001</v>
      </c>
      <c r="AQ182" s="154"/>
      <c r="AR182" s="786" t="str">
        <f t="shared" si="38"/>
        <v>Vendido</v>
      </c>
      <c r="AS182" s="786" t="str">
        <f t="shared" si="39"/>
        <v>Cliente Atrasado</v>
      </c>
      <c r="AT182" s="174"/>
      <c r="AU182" s="174">
        <f t="shared" si="40"/>
        <v>0</v>
      </c>
      <c r="AV182" s="174">
        <f t="shared" si="41"/>
        <v>0</v>
      </c>
      <c r="AW182" s="173"/>
      <c r="AX182" s="786">
        <f t="shared" si="34"/>
        <v>20</v>
      </c>
      <c r="AY182" s="787">
        <f t="shared" si="42"/>
        <v>5</v>
      </c>
      <c r="AZ182" s="152"/>
      <c r="BA182" s="152"/>
    </row>
    <row r="183" spans="1:53" x14ac:dyDescent="0.25">
      <c r="A183" s="93"/>
      <c r="B183" s="164">
        <v>1010</v>
      </c>
      <c r="C183" s="164" t="s">
        <v>366</v>
      </c>
      <c r="D183" s="165" t="s">
        <v>1069</v>
      </c>
      <c r="E183" s="166">
        <v>45165</v>
      </c>
      <c r="F183" s="164" t="s">
        <v>565</v>
      </c>
      <c r="G183" s="164" t="s">
        <v>128</v>
      </c>
      <c r="H183" s="167">
        <v>848900</v>
      </c>
      <c r="I183" s="167">
        <v>84900</v>
      </c>
      <c r="J183" s="121">
        <v>0</v>
      </c>
      <c r="K183" s="121">
        <v>0</v>
      </c>
      <c r="L183" s="121">
        <v>0</v>
      </c>
      <c r="M183" s="121">
        <v>0</v>
      </c>
      <c r="N183" s="121">
        <v>0</v>
      </c>
      <c r="O183" s="121">
        <v>6000</v>
      </c>
      <c r="P183" s="121">
        <v>3156</v>
      </c>
      <c r="Q183" s="121">
        <v>3156</v>
      </c>
      <c r="R183" s="121">
        <v>3156</v>
      </c>
      <c r="S183" s="121">
        <v>3156</v>
      </c>
      <c r="T183" s="121">
        <v>3156</v>
      </c>
      <c r="U183" s="121">
        <v>3156</v>
      </c>
      <c r="V183" s="121">
        <v>3156</v>
      </c>
      <c r="W183" s="121">
        <v>3156</v>
      </c>
      <c r="X183" s="121">
        <v>3156</v>
      </c>
      <c r="Y183" s="121">
        <v>3500</v>
      </c>
      <c r="Z183" s="121">
        <v>5000</v>
      </c>
      <c r="AA183" s="121">
        <v>3156</v>
      </c>
      <c r="AB183" s="121">
        <v>4000</v>
      </c>
      <c r="AC183" s="121">
        <v>5000</v>
      </c>
      <c r="AD183" s="121">
        <v>3200</v>
      </c>
      <c r="AE183" s="121">
        <v>5240</v>
      </c>
      <c r="AF183" s="121">
        <v>4500</v>
      </c>
      <c r="AG183" s="121">
        <v>5000</v>
      </c>
      <c r="AH183" s="121">
        <v>5000</v>
      </c>
      <c r="AI183" s="121">
        <v>3200</v>
      </c>
      <c r="AJ183" s="784">
        <f t="shared" si="35"/>
        <v>81200</v>
      </c>
      <c r="AK183" s="149">
        <f t="shared" si="30"/>
        <v>0.95641931684334514</v>
      </c>
      <c r="AL183" s="150">
        <f t="shared" si="36"/>
        <v>-3700</v>
      </c>
      <c r="AM183" s="149">
        <f t="shared" si="31"/>
        <v>-4.3580683156654886E-2</v>
      </c>
      <c r="AN183" s="150">
        <f t="shared" si="32"/>
        <v>767700</v>
      </c>
      <c r="AO183" s="151">
        <f t="shared" si="33"/>
        <v>0.90434680174343263</v>
      </c>
      <c r="AP183" s="154">
        <f t="shared" si="37"/>
        <v>84900</v>
      </c>
      <c r="AQ183" s="154"/>
      <c r="AR183" s="786" t="str">
        <f t="shared" si="38"/>
        <v>Vendido</v>
      </c>
      <c r="AS183" s="786" t="str">
        <f t="shared" si="39"/>
        <v>Cliente Atrasado</v>
      </c>
      <c r="AT183" s="174">
        <v>25</v>
      </c>
      <c r="AU183" s="174">
        <f t="shared" si="40"/>
        <v>1</v>
      </c>
      <c r="AV183" s="174">
        <f t="shared" si="41"/>
        <v>26</v>
      </c>
      <c r="AW183" s="173">
        <v>3156</v>
      </c>
      <c r="AX183" s="786">
        <f t="shared" si="34"/>
        <v>10</v>
      </c>
      <c r="AY183" s="787">
        <f t="shared" si="42"/>
        <v>20</v>
      </c>
      <c r="AZ183" s="152"/>
      <c r="BA183" s="152"/>
    </row>
    <row r="184" spans="1:53" x14ac:dyDescent="0.25">
      <c r="A184" s="93"/>
      <c r="B184" s="164">
        <v>1011</v>
      </c>
      <c r="C184" s="164" t="s">
        <v>383</v>
      </c>
      <c r="D184" s="165" t="s">
        <v>586</v>
      </c>
      <c r="E184" s="166">
        <v>45016</v>
      </c>
      <c r="F184" s="164" t="s">
        <v>566</v>
      </c>
      <c r="G184" s="164" t="s">
        <v>128</v>
      </c>
      <c r="H184" s="167">
        <v>1131525</v>
      </c>
      <c r="I184" s="167">
        <v>113225</v>
      </c>
      <c r="J184" s="121">
        <v>6000</v>
      </c>
      <c r="K184" s="121">
        <v>3055</v>
      </c>
      <c r="L184" s="121">
        <v>3055</v>
      </c>
      <c r="M184" s="121">
        <v>3055</v>
      </c>
      <c r="N184" s="121">
        <v>3055</v>
      </c>
      <c r="O184" s="121">
        <v>3055</v>
      </c>
      <c r="P184" s="121">
        <v>3055</v>
      </c>
      <c r="Q184" s="121">
        <v>3055</v>
      </c>
      <c r="R184" s="121">
        <v>3055</v>
      </c>
      <c r="S184" s="121">
        <v>3055</v>
      </c>
      <c r="T184" s="121">
        <v>3055</v>
      </c>
      <c r="U184" s="121">
        <v>3055</v>
      </c>
      <c r="V184" s="121">
        <v>3055</v>
      </c>
      <c r="W184" s="121">
        <v>3055</v>
      </c>
      <c r="X184" s="121">
        <v>3055</v>
      </c>
      <c r="Y184" s="121">
        <v>3055</v>
      </c>
      <c r="Z184" s="121">
        <v>3055</v>
      </c>
      <c r="AA184" s="121">
        <v>3055</v>
      </c>
      <c r="AB184" s="121">
        <v>3055</v>
      </c>
      <c r="AC184" s="121">
        <v>3055</v>
      </c>
      <c r="AD184" s="121">
        <v>0</v>
      </c>
      <c r="AE184" s="121">
        <v>3055</v>
      </c>
      <c r="AF184" s="121">
        <v>3055</v>
      </c>
      <c r="AG184" s="121">
        <v>3055</v>
      </c>
      <c r="AH184" s="121">
        <v>3055</v>
      </c>
      <c r="AI184" s="121">
        <v>3055</v>
      </c>
      <c r="AJ184" s="784">
        <f t="shared" si="35"/>
        <v>79320</v>
      </c>
      <c r="AK184" s="149">
        <f t="shared" si="30"/>
        <v>0.7005519982336057</v>
      </c>
      <c r="AL184" s="150">
        <f t="shared" si="36"/>
        <v>-33905</v>
      </c>
      <c r="AM184" s="149">
        <f t="shared" si="31"/>
        <v>-0.29944800176639436</v>
      </c>
      <c r="AN184" s="150">
        <f t="shared" si="32"/>
        <v>1052205</v>
      </c>
      <c r="AO184" s="151">
        <f t="shared" si="33"/>
        <v>0.92989991383310133</v>
      </c>
      <c r="AP184" s="154">
        <f t="shared" si="37"/>
        <v>113225</v>
      </c>
      <c r="AQ184" s="154"/>
      <c r="AR184" s="786" t="str">
        <f t="shared" si="38"/>
        <v>Vendido</v>
      </c>
      <c r="AS184" s="786" t="str">
        <f t="shared" si="39"/>
        <v>Cliente Atrasado</v>
      </c>
      <c r="AT184" s="174">
        <v>35</v>
      </c>
      <c r="AU184" s="174">
        <f t="shared" si="40"/>
        <v>1</v>
      </c>
      <c r="AV184" s="174">
        <f t="shared" si="41"/>
        <v>36</v>
      </c>
      <c r="AW184" s="173">
        <v>3055</v>
      </c>
      <c r="AX184" s="786">
        <f t="shared" si="34"/>
        <v>24</v>
      </c>
      <c r="AY184" s="787">
        <f t="shared" si="42"/>
        <v>24</v>
      </c>
      <c r="AZ184" s="152"/>
      <c r="BA184" s="152"/>
    </row>
    <row r="185" spans="1:53" x14ac:dyDescent="0.25">
      <c r="A185" s="93"/>
      <c r="B185" s="164">
        <v>1012</v>
      </c>
      <c r="C185" s="164" t="s">
        <v>363</v>
      </c>
      <c r="D185" s="165" t="s">
        <v>569</v>
      </c>
      <c r="E185" s="166">
        <v>45300</v>
      </c>
      <c r="F185" s="164" t="s">
        <v>568</v>
      </c>
      <c r="G185" s="164" t="s">
        <v>128</v>
      </c>
      <c r="H185" s="167">
        <v>973800</v>
      </c>
      <c r="I185" s="167">
        <f>+H185*0.1</f>
        <v>97380</v>
      </c>
      <c r="J185" s="121">
        <v>0</v>
      </c>
      <c r="K185" s="121">
        <v>0</v>
      </c>
      <c r="L185" s="121">
        <v>0</v>
      </c>
      <c r="M185" s="121">
        <v>0</v>
      </c>
      <c r="N185" s="121">
        <v>0</v>
      </c>
      <c r="O185" s="121">
        <v>0</v>
      </c>
      <c r="P185" s="121">
        <v>0</v>
      </c>
      <c r="Q185" s="121">
        <v>0</v>
      </c>
      <c r="R185" s="121">
        <v>0</v>
      </c>
      <c r="S185" s="121">
        <v>0</v>
      </c>
      <c r="T185" s="121">
        <v>0</v>
      </c>
      <c r="U185" s="121">
        <v>0</v>
      </c>
      <c r="V185" s="121">
        <v>0</v>
      </c>
      <c r="W185" s="121">
        <v>0</v>
      </c>
      <c r="X185" s="121">
        <v>0</v>
      </c>
      <c r="Y185" s="121">
        <v>0</v>
      </c>
      <c r="Z185" s="121">
        <v>0</v>
      </c>
      <c r="AA185" s="121">
        <v>0</v>
      </c>
      <c r="AB185" s="121">
        <v>0</v>
      </c>
      <c r="AC185" s="121">
        <v>0</v>
      </c>
      <c r="AD185" s="121">
        <v>0</v>
      </c>
      <c r="AE185" s="121">
        <v>0</v>
      </c>
      <c r="AF185" s="121">
        <v>0</v>
      </c>
      <c r="AG185" s="121">
        <v>0</v>
      </c>
      <c r="AH185" s="121">
        <v>0</v>
      </c>
      <c r="AI185" s="121">
        <v>0</v>
      </c>
      <c r="AJ185" s="784">
        <f t="shared" si="35"/>
        <v>0</v>
      </c>
      <c r="AK185" s="149">
        <f t="shared" si="30"/>
        <v>0</v>
      </c>
      <c r="AL185" s="150">
        <f t="shared" si="36"/>
        <v>-97380</v>
      </c>
      <c r="AM185" s="149">
        <f t="shared" si="31"/>
        <v>-1</v>
      </c>
      <c r="AN185" s="150">
        <f t="shared" si="32"/>
        <v>973800</v>
      </c>
      <c r="AO185" s="151">
        <f t="shared" si="33"/>
        <v>1</v>
      </c>
      <c r="AP185" s="154">
        <f t="shared" si="37"/>
        <v>97380</v>
      </c>
      <c r="AQ185" s="154"/>
      <c r="AR185" s="786" t="str">
        <f t="shared" si="38"/>
        <v>Vendido</v>
      </c>
      <c r="AS185" s="786" t="str">
        <f t="shared" si="39"/>
        <v>Cliente Atrasado</v>
      </c>
      <c r="AT185" s="174"/>
      <c r="AU185" s="174">
        <f t="shared" si="40"/>
        <v>0</v>
      </c>
      <c r="AV185" s="174">
        <f t="shared" si="41"/>
        <v>0</v>
      </c>
      <c r="AW185" s="173"/>
      <c r="AX185" s="786">
        <f t="shared" si="34"/>
        <v>26</v>
      </c>
      <c r="AY185" s="787">
        <f t="shared" si="42"/>
        <v>15</v>
      </c>
      <c r="AZ185" s="152"/>
      <c r="BA185" s="152"/>
    </row>
    <row r="186" spans="1:53" x14ac:dyDescent="0.25">
      <c r="A186" s="93"/>
      <c r="B186" s="164">
        <v>1013</v>
      </c>
      <c r="C186" s="164" t="s">
        <v>383</v>
      </c>
      <c r="D186" s="165" t="s">
        <v>587</v>
      </c>
      <c r="E186" s="166">
        <v>45181</v>
      </c>
      <c r="F186" s="164" t="s">
        <v>393</v>
      </c>
      <c r="G186" s="164" t="s">
        <v>128</v>
      </c>
      <c r="H186" s="167">
        <v>903600</v>
      </c>
      <c r="I186" s="167">
        <v>90400</v>
      </c>
      <c r="J186" s="121">
        <v>0</v>
      </c>
      <c r="K186" s="121">
        <v>0</v>
      </c>
      <c r="L186" s="121">
        <v>0</v>
      </c>
      <c r="M186" s="121">
        <v>0</v>
      </c>
      <c r="N186" s="121">
        <v>0</v>
      </c>
      <c r="O186" s="121">
        <v>0</v>
      </c>
      <c r="P186" s="121">
        <v>6000</v>
      </c>
      <c r="Q186" s="121">
        <v>3517</v>
      </c>
      <c r="R186" s="121">
        <v>0</v>
      </c>
      <c r="S186" s="121">
        <v>3517</v>
      </c>
      <c r="T186" s="121">
        <v>0</v>
      </c>
      <c r="U186" s="121">
        <v>3517</v>
      </c>
      <c r="V186" s="121">
        <v>0</v>
      </c>
      <c r="W186" s="121">
        <v>3517</v>
      </c>
      <c r="X186" s="121">
        <v>7034</v>
      </c>
      <c r="Y186" s="121">
        <v>3517</v>
      </c>
      <c r="Z186" s="121">
        <v>7034</v>
      </c>
      <c r="AA186" s="121">
        <v>0</v>
      </c>
      <c r="AB186" s="121">
        <v>3517</v>
      </c>
      <c r="AC186" s="121">
        <v>3517</v>
      </c>
      <c r="AD186" s="121">
        <v>3517</v>
      </c>
      <c r="AE186" s="121">
        <v>3517</v>
      </c>
      <c r="AF186" s="121">
        <v>0</v>
      </c>
      <c r="AG186" s="121">
        <v>0</v>
      </c>
      <c r="AH186" s="121">
        <f>3517+3517</f>
        <v>7034</v>
      </c>
      <c r="AI186" s="121">
        <v>0</v>
      </c>
      <c r="AJ186" s="784">
        <f t="shared" si="35"/>
        <v>58755</v>
      </c>
      <c r="AK186" s="149">
        <f t="shared" si="30"/>
        <v>0.64994469026548674</v>
      </c>
      <c r="AL186" s="150">
        <f t="shared" si="36"/>
        <v>-31645</v>
      </c>
      <c r="AM186" s="149">
        <f t="shared" si="31"/>
        <v>-0.35005530973451326</v>
      </c>
      <c r="AN186" s="150">
        <f t="shared" si="32"/>
        <v>844845</v>
      </c>
      <c r="AO186" s="151">
        <f t="shared" si="33"/>
        <v>0.93497675962815407</v>
      </c>
      <c r="AP186" s="154">
        <f t="shared" si="37"/>
        <v>90400</v>
      </c>
      <c r="AQ186" s="154"/>
      <c r="AR186" s="786" t="str">
        <f t="shared" si="38"/>
        <v>Vendido</v>
      </c>
      <c r="AS186" s="786" t="str">
        <f t="shared" si="39"/>
        <v>Cliente Atrasado</v>
      </c>
      <c r="AT186" s="174">
        <v>24</v>
      </c>
      <c r="AU186" s="174">
        <f t="shared" si="40"/>
        <v>1</v>
      </c>
      <c r="AV186" s="174">
        <f t="shared" si="41"/>
        <v>25</v>
      </c>
      <c r="AW186" s="173">
        <v>3517</v>
      </c>
      <c r="AX186" s="786">
        <f t="shared" si="34"/>
        <v>9</v>
      </c>
      <c r="AY186" s="787">
        <f t="shared" si="42"/>
        <v>19</v>
      </c>
      <c r="AZ186" s="152"/>
      <c r="BA186" s="152"/>
    </row>
    <row r="187" spans="1:53" x14ac:dyDescent="0.25">
      <c r="A187" s="93"/>
      <c r="B187" s="164">
        <v>1014</v>
      </c>
      <c r="C187" s="164" t="s">
        <v>366</v>
      </c>
      <c r="D187" s="165" t="s">
        <v>588</v>
      </c>
      <c r="E187" s="166">
        <v>45088</v>
      </c>
      <c r="F187" s="164" t="s">
        <v>172</v>
      </c>
      <c r="G187" s="164" t="s">
        <v>128</v>
      </c>
      <c r="H187" s="167">
        <v>883300</v>
      </c>
      <c r="I187" s="167">
        <v>88400</v>
      </c>
      <c r="J187" s="121">
        <v>0</v>
      </c>
      <c r="K187" s="121">
        <v>0</v>
      </c>
      <c r="L187" s="121">
        <v>0</v>
      </c>
      <c r="M187" s="121">
        <v>6000</v>
      </c>
      <c r="N187" s="121">
        <v>3052</v>
      </c>
      <c r="O187" s="121">
        <v>3052</v>
      </c>
      <c r="P187" s="121">
        <v>3052</v>
      </c>
      <c r="Q187" s="121">
        <v>3052</v>
      </c>
      <c r="R187" s="121">
        <v>0</v>
      </c>
      <c r="S187" s="121">
        <v>3052</v>
      </c>
      <c r="T187" s="121">
        <v>3052</v>
      </c>
      <c r="U187" s="121">
        <v>3052</v>
      </c>
      <c r="V187" s="121">
        <v>0</v>
      </c>
      <c r="W187" s="121">
        <v>6104</v>
      </c>
      <c r="X187" s="121">
        <v>0</v>
      </c>
      <c r="Y187" s="121">
        <v>3052</v>
      </c>
      <c r="Z187" s="121">
        <v>6104</v>
      </c>
      <c r="AA187" s="121">
        <v>0</v>
      </c>
      <c r="AB187" s="121">
        <v>3052</v>
      </c>
      <c r="AC187" s="121">
        <f>3052+3052</f>
        <v>6104</v>
      </c>
      <c r="AD187" s="121">
        <v>3052</v>
      </c>
      <c r="AE187" s="121">
        <v>0</v>
      </c>
      <c r="AF187" s="121">
        <v>3052</v>
      </c>
      <c r="AG187" s="121">
        <v>0</v>
      </c>
      <c r="AH187" s="121">
        <v>3052</v>
      </c>
      <c r="AI187" s="121">
        <v>6104</v>
      </c>
      <c r="AJ187" s="784">
        <f t="shared" si="35"/>
        <v>67040</v>
      </c>
      <c r="AK187" s="149">
        <f t="shared" si="30"/>
        <v>0.75837104072398187</v>
      </c>
      <c r="AL187" s="150">
        <f t="shared" si="36"/>
        <v>-21360</v>
      </c>
      <c r="AM187" s="149">
        <f t="shared" si="31"/>
        <v>-0.2416289592760181</v>
      </c>
      <c r="AN187" s="150">
        <f t="shared" si="32"/>
        <v>816260</v>
      </c>
      <c r="AO187" s="151">
        <f t="shared" si="33"/>
        <v>0.92410279633193704</v>
      </c>
      <c r="AP187" s="154">
        <f t="shared" si="37"/>
        <v>88400</v>
      </c>
      <c r="AQ187" s="154"/>
      <c r="AR187" s="786" t="str">
        <f t="shared" si="38"/>
        <v>Vendido</v>
      </c>
      <c r="AS187" s="786" t="str">
        <f t="shared" si="39"/>
        <v>Cliente Atrasado</v>
      </c>
      <c r="AT187" s="174">
        <v>27</v>
      </c>
      <c r="AU187" s="174">
        <f t="shared" si="40"/>
        <v>1</v>
      </c>
      <c r="AV187" s="174">
        <f t="shared" si="41"/>
        <v>28</v>
      </c>
      <c r="AW187" s="173">
        <v>3049</v>
      </c>
      <c r="AX187" s="786">
        <f t="shared" si="34"/>
        <v>0</v>
      </c>
      <c r="AY187" s="787">
        <f t="shared" si="42"/>
        <v>22</v>
      </c>
      <c r="AZ187" s="152"/>
      <c r="BA187" s="152"/>
    </row>
    <row r="188" spans="1:53" ht="15" customHeight="1" x14ac:dyDescent="0.25">
      <c r="A188" s="93"/>
      <c r="B188" s="164">
        <v>1015</v>
      </c>
      <c r="C188" s="164" t="s">
        <v>366</v>
      </c>
      <c r="D188" s="165" t="s">
        <v>589</v>
      </c>
      <c r="E188" s="166">
        <v>45035</v>
      </c>
      <c r="F188" s="164" t="s">
        <v>547</v>
      </c>
      <c r="G188" s="164" t="s">
        <v>128</v>
      </c>
      <c r="H188" s="167">
        <v>1333600</v>
      </c>
      <c r="I188" s="167">
        <f>+H188*0.1</f>
        <v>133360</v>
      </c>
      <c r="J188" s="121">
        <v>0</v>
      </c>
      <c r="K188" s="121">
        <v>6000</v>
      </c>
      <c r="L188" s="121">
        <v>4393</v>
      </c>
      <c r="M188" s="121">
        <v>4393</v>
      </c>
      <c r="N188" s="121">
        <v>4393</v>
      </c>
      <c r="O188" s="121">
        <v>4393</v>
      </c>
      <c r="P188" s="121">
        <v>4393</v>
      </c>
      <c r="Q188" s="121">
        <v>4393</v>
      </c>
      <c r="R188" s="121">
        <v>4393</v>
      </c>
      <c r="S188" s="121">
        <v>4393</v>
      </c>
      <c r="T188" s="121">
        <v>4393</v>
      </c>
      <c r="U188" s="121">
        <v>4393</v>
      </c>
      <c r="V188" s="121">
        <v>4393</v>
      </c>
      <c r="W188" s="121">
        <v>4393</v>
      </c>
      <c r="X188" s="121">
        <v>4393</v>
      </c>
      <c r="Y188" s="121">
        <v>4393</v>
      </c>
      <c r="Z188" s="121">
        <v>4393</v>
      </c>
      <c r="AA188" s="121">
        <v>4393</v>
      </c>
      <c r="AB188" s="121">
        <v>4393</v>
      </c>
      <c r="AC188" s="121">
        <v>4393</v>
      </c>
      <c r="AD188" s="121">
        <v>4393</v>
      </c>
      <c r="AE188" s="121">
        <v>4393</v>
      </c>
      <c r="AF188" s="121">
        <v>4393</v>
      </c>
      <c r="AG188" s="121">
        <v>4393</v>
      </c>
      <c r="AH188" s="121">
        <v>4393</v>
      </c>
      <c r="AI188" s="121">
        <v>0</v>
      </c>
      <c r="AJ188" s="784">
        <f t="shared" si="35"/>
        <v>107039</v>
      </c>
      <c r="AK188" s="149">
        <f t="shared" si="30"/>
        <v>0.80263197360527894</v>
      </c>
      <c r="AL188" s="150">
        <f t="shared" si="36"/>
        <v>-26321</v>
      </c>
      <c r="AM188" s="149">
        <f t="shared" si="31"/>
        <v>-0.19736802639472106</v>
      </c>
      <c r="AN188" s="150">
        <f t="shared" si="32"/>
        <v>1226561</v>
      </c>
      <c r="AO188" s="151">
        <f t="shared" si="33"/>
        <v>0.91973680263947211</v>
      </c>
      <c r="AP188" s="154">
        <f t="shared" si="37"/>
        <v>133360</v>
      </c>
      <c r="AQ188" s="154"/>
      <c r="AR188" s="786" t="str">
        <f t="shared" si="38"/>
        <v>Vendido</v>
      </c>
      <c r="AS188" s="786" t="str">
        <f t="shared" si="39"/>
        <v>Cliente Atrasado</v>
      </c>
      <c r="AT188" s="174">
        <v>29</v>
      </c>
      <c r="AU188" s="174">
        <f t="shared" si="40"/>
        <v>1</v>
      </c>
      <c r="AV188" s="174">
        <f t="shared" si="41"/>
        <v>30</v>
      </c>
      <c r="AW188" s="173">
        <v>4393</v>
      </c>
      <c r="AX188" s="786">
        <f t="shared" si="34"/>
        <v>23</v>
      </c>
      <c r="AY188" s="787">
        <f t="shared" si="42"/>
        <v>24</v>
      </c>
      <c r="AZ188" s="152"/>
      <c r="BA188" s="152"/>
    </row>
    <row r="189" spans="1:53" x14ac:dyDescent="0.25">
      <c r="A189" s="93"/>
      <c r="B189" s="164">
        <v>1016</v>
      </c>
      <c r="C189" s="164" t="s">
        <v>383</v>
      </c>
      <c r="D189" s="165" t="s">
        <v>590</v>
      </c>
      <c r="E189" s="166">
        <v>45032</v>
      </c>
      <c r="F189" s="164" t="s">
        <v>181</v>
      </c>
      <c r="G189" s="164" t="s">
        <v>128</v>
      </c>
      <c r="H189" s="167">
        <v>651600</v>
      </c>
      <c r="I189" s="167">
        <v>65200</v>
      </c>
      <c r="J189" s="121">
        <v>0</v>
      </c>
      <c r="K189" s="121">
        <v>6000</v>
      </c>
      <c r="L189" s="121">
        <v>0</v>
      </c>
      <c r="M189" s="121">
        <v>0</v>
      </c>
      <c r="N189" s="121">
        <v>2000</v>
      </c>
      <c r="O189" s="121">
        <v>2000</v>
      </c>
      <c r="P189" s="121">
        <v>0</v>
      </c>
      <c r="Q189" s="121">
        <v>0</v>
      </c>
      <c r="R189" s="121">
        <v>0</v>
      </c>
      <c r="S189" s="121">
        <v>0</v>
      </c>
      <c r="T189" s="121">
        <v>6000</v>
      </c>
      <c r="U189" s="121">
        <v>2000</v>
      </c>
      <c r="V189" s="121">
        <v>0</v>
      </c>
      <c r="W189" s="121">
        <v>4000</v>
      </c>
      <c r="X189" s="121">
        <v>4000</v>
      </c>
      <c r="Y189" s="121">
        <v>0</v>
      </c>
      <c r="Z189" s="121">
        <v>2000</v>
      </c>
      <c r="AA189" s="121">
        <v>2000</v>
      </c>
      <c r="AB189" s="121">
        <v>0</v>
      </c>
      <c r="AC189" s="121">
        <v>2000</v>
      </c>
      <c r="AD189" s="121">
        <v>0</v>
      </c>
      <c r="AE189" s="121">
        <v>0</v>
      </c>
      <c r="AF189" s="121">
        <v>2000</v>
      </c>
      <c r="AG189" s="121">
        <v>2000</v>
      </c>
      <c r="AH189" s="121">
        <v>5000</v>
      </c>
      <c r="AI189" s="121">
        <v>0</v>
      </c>
      <c r="AJ189" s="784">
        <f t="shared" si="35"/>
        <v>41000</v>
      </c>
      <c r="AK189" s="149">
        <f t="shared" si="30"/>
        <v>0.62883435582822089</v>
      </c>
      <c r="AL189" s="150">
        <f t="shared" si="36"/>
        <v>-24200</v>
      </c>
      <c r="AM189" s="149">
        <f t="shared" si="31"/>
        <v>-0.37116564417177916</v>
      </c>
      <c r="AN189" s="150">
        <f t="shared" si="32"/>
        <v>610600</v>
      </c>
      <c r="AO189" s="151">
        <f t="shared" si="33"/>
        <v>0.93707796193984039</v>
      </c>
      <c r="AP189" s="154">
        <f t="shared" si="37"/>
        <v>65200</v>
      </c>
      <c r="AQ189" s="154"/>
      <c r="AR189" s="786" t="str">
        <f t="shared" si="38"/>
        <v>Vendido</v>
      </c>
      <c r="AS189" s="786" t="str">
        <f t="shared" si="39"/>
        <v>Cliente Atrasado</v>
      </c>
      <c r="AT189" s="174">
        <v>29</v>
      </c>
      <c r="AU189" s="174">
        <f t="shared" si="40"/>
        <v>1</v>
      </c>
      <c r="AV189" s="174">
        <f t="shared" si="41"/>
        <v>30</v>
      </c>
      <c r="AW189" s="173">
        <v>2000</v>
      </c>
      <c r="AX189" s="786">
        <f t="shared" si="34"/>
        <v>8</v>
      </c>
      <c r="AY189" s="787">
        <f t="shared" si="42"/>
        <v>24</v>
      </c>
      <c r="AZ189" s="152"/>
      <c r="BA189" s="152"/>
    </row>
    <row r="190" spans="1:53" x14ac:dyDescent="0.25">
      <c r="A190" s="93"/>
      <c r="B190" s="164">
        <v>1017</v>
      </c>
      <c r="C190" s="164" t="s">
        <v>383</v>
      </c>
      <c r="D190" s="165" t="s">
        <v>592</v>
      </c>
      <c r="E190" s="166">
        <v>45032</v>
      </c>
      <c r="F190" s="164" t="s">
        <v>192</v>
      </c>
      <c r="G190" s="164" t="s">
        <v>128</v>
      </c>
      <c r="H190" s="167">
        <v>663200</v>
      </c>
      <c r="I190" s="167">
        <v>66400</v>
      </c>
      <c r="J190" s="121">
        <v>0</v>
      </c>
      <c r="K190" s="121">
        <v>6000</v>
      </c>
      <c r="L190" s="121">
        <v>0</v>
      </c>
      <c r="M190" s="121">
        <v>0</v>
      </c>
      <c r="N190" s="121">
        <v>4000</v>
      </c>
      <c r="O190" s="121">
        <v>0</v>
      </c>
      <c r="P190" s="121">
        <v>0</v>
      </c>
      <c r="Q190" s="121">
        <v>0</v>
      </c>
      <c r="R190" s="121">
        <v>2000</v>
      </c>
      <c r="S190" s="121">
        <v>2000</v>
      </c>
      <c r="T190" s="121">
        <v>2000</v>
      </c>
      <c r="U190" s="121">
        <v>0</v>
      </c>
      <c r="V190" s="121">
        <v>0</v>
      </c>
      <c r="W190" s="121">
        <v>2000</v>
      </c>
      <c r="X190" s="121">
        <v>2000</v>
      </c>
      <c r="Y190" s="121">
        <v>2000</v>
      </c>
      <c r="Z190" s="121">
        <v>6000</v>
      </c>
      <c r="AA190" s="121">
        <v>2000</v>
      </c>
      <c r="AB190" s="121">
        <v>0</v>
      </c>
      <c r="AC190" s="121">
        <v>2000</v>
      </c>
      <c r="AD190" s="121">
        <v>0</v>
      </c>
      <c r="AE190" s="121">
        <v>0</v>
      </c>
      <c r="AF190" s="121">
        <v>2000</v>
      </c>
      <c r="AG190" s="121">
        <v>2000</v>
      </c>
      <c r="AH190" s="121">
        <v>0</v>
      </c>
      <c r="AI190" s="121">
        <v>4000</v>
      </c>
      <c r="AJ190" s="784">
        <f t="shared" si="35"/>
        <v>40000</v>
      </c>
      <c r="AK190" s="149">
        <f t="shared" si="30"/>
        <v>0.60240963855421692</v>
      </c>
      <c r="AL190" s="150">
        <f t="shared" si="36"/>
        <v>-26400</v>
      </c>
      <c r="AM190" s="149">
        <f t="shared" si="31"/>
        <v>-0.39759036144578314</v>
      </c>
      <c r="AN190" s="150">
        <f t="shared" si="32"/>
        <v>623200</v>
      </c>
      <c r="AO190" s="151">
        <f t="shared" si="33"/>
        <v>0.93968636911942094</v>
      </c>
      <c r="AP190" s="154">
        <f t="shared" si="37"/>
        <v>66400</v>
      </c>
      <c r="AQ190" s="154"/>
      <c r="AR190" s="786" t="str">
        <f t="shared" si="38"/>
        <v>Vendido</v>
      </c>
      <c r="AS190" s="786" t="str">
        <f t="shared" si="39"/>
        <v>Cliente Atrasado</v>
      </c>
      <c r="AT190" s="174">
        <v>29</v>
      </c>
      <c r="AU190" s="174">
        <f t="shared" si="40"/>
        <v>1</v>
      </c>
      <c r="AV190" s="174">
        <f t="shared" si="41"/>
        <v>30</v>
      </c>
      <c r="AW190" s="173">
        <v>2000</v>
      </c>
      <c r="AX190" s="786">
        <f t="shared" si="34"/>
        <v>10</v>
      </c>
      <c r="AY190" s="787">
        <f t="shared" si="42"/>
        <v>24</v>
      </c>
      <c r="AZ190" s="152"/>
      <c r="BA190" s="152"/>
    </row>
    <row r="191" spans="1:53" ht="15" customHeight="1" x14ac:dyDescent="0.25">
      <c r="A191" s="93"/>
      <c r="B191" s="164">
        <v>1018</v>
      </c>
      <c r="C191" s="164" t="s">
        <v>366</v>
      </c>
      <c r="D191" s="165" t="s">
        <v>594</v>
      </c>
      <c r="E191" s="166">
        <v>45141</v>
      </c>
      <c r="F191" s="164" t="s">
        <v>198</v>
      </c>
      <c r="G191" s="164" t="s">
        <v>128</v>
      </c>
      <c r="H191" s="167">
        <v>690627.17</v>
      </c>
      <c r="I191" s="167">
        <v>69127.17</v>
      </c>
      <c r="J191" s="121">
        <v>0</v>
      </c>
      <c r="K191" s="121">
        <v>0</v>
      </c>
      <c r="L191" s="121">
        <v>0</v>
      </c>
      <c r="M191" s="121">
        <v>0</v>
      </c>
      <c r="N191" s="121">
        <v>0</v>
      </c>
      <c r="O191" s="121">
        <v>6000</v>
      </c>
      <c r="P191" s="121">
        <v>63127.17</v>
      </c>
      <c r="Q191" s="121">
        <v>0</v>
      </c>
      <c r="R191" s="121">
        <v>0</v>
      </c>
      <c r="S191" s="121">
        <v>0</v>
      </c>
      <c r="T191" s="121">
        <v>0</v>
      </c>
      <c r="U191" s="121">
        <v>0</v>
      </c>
      <c r="V191" s="121">
        <v>0</v>
      </c>
      <c r="W191" s="121">
        <v>0</v>
      </c>
      <c r="X191" s="121">
        <v>0</v>
      </c>
      <c r="Y191" s="121">
        <v>0</v>
      </c>
      <c r="Z191" s="121">
        <v>0</v>
      </c>
      <c r="AA191" s="121">
        <v>0</v>
      </c>
      <c r="AB191" s="121">
        <v>0</v>
      </c>
      <c r="AC191" s="121">
        <v>0</v>
      </c>
      <c r="AD191" s="121">
        <v>0</v>
      </c>
      <c r="AE191" s="121">
        <v>0</v>
      </c>
      <c r="AF191" s="121">
        <v>0</v>
      </c>
      <c r="AG191" s="121">
        <v>0</v>
      </c>
      <c r="AH191" s="121">
        <v>0</v>
      </c>
      <c r="AI191" s="121">
        <v>0</v>
      </c>
      <c r="AJ191" s="784">
        <f t="shared" si="35"/>
        <v>69127.17</v>
      </c>
      <c r="AK191" s="149">
        <f t="shared" si="30"/>
        <v>1</v>
      </c>
      <c r="AL191" s="150">
        <f t="shared" si="36"/>
        <v>0</v>
      </c>
      <c r="AM191" s="149">
        <f t="shared" si="31"/>
        <v>0</v>
      </c>
      <c r="AN191" s="150">
        <f t="shared" si="32"/>
        <v>621500</v>
      </c>
      <c r="AO191" s="151">
        <f t="shared" si="33"/>
        <v>0.89990667468237595</v>
      </c>
      <c r="AP191" s="154">
        <f t="shared" si="37"/>
        <v>69127.17</v>
      </c>
      <c r="AQ191" s="154"/>
      <c r="AR191" s="786" t="str">
        <f t="shared" si="38"/>
        <v>Vendido</v>
      </c>
      <c r="AS191" s="786" t="str">
        <f t="shared" si="39"/>
        <v>Enganche Completado</v>
      </c>
      <c r="AT191" s="174">
        <v>1</v>
      </c>
      <c r="AU191" s="174">
        <f t="shared" si="40"/>
        <v>0</v>
      </c>
      <c r="AV191" s="174">
        <f t="shared" si="41"/>
        <v>1</v>
      </c>
      <c r="AW191" s="173">
        <v>69127.17</v>
      </c>
      <c r="AX191" s="786">
        <f t="shared" si="34"/>
        <v>0</v>
      </c>
      <c r="AY191" s="787">
        <f t="shared" si="42"/>
        <v>20</v>
      </c>
      <c r="AZ191" s="152"/>
      <c r="BA191" s="152"/>
    </row>
    <row r="192" spans="1:53" x14ac:dyDescent="0.25">
      <c r="A192" s="93"/>
      <c r="B192" s="164">
        <v>1019</v>
      </c>
      <c r="C192" s="164" t="s">
        <v>366</v>
      </c>
      <c r="D192" s="165" t="s">
        <v>755</v>
      </c>
      <c r="E192" s="166">
        <v>45016</v>
      </c>
      <c r="F192" s="164" t="s">
        <v>412</v>
      </c>
      <c r="G192" s="164" t="s">
        <v>128</v>
      </c>
      <c r="H192" s="167">
        <v>913168.92461999995</v>
      </c>
      <c r="I192" s="167">
        <v>154568.92000000001</v>
      </c>
      <c r="J192" s="121">
        <v>6000</v>
      </c>
      <c r="K192" s="121">
        <v>0</v>
      </c>
      <c r="L192" s="121">
        <v>0</v>
      </c>
      <c r="M192" s="121">
        <v>0</v>
      </c>
      <c r="N192" s="121">
        <v>0</v>
      </c>
      <c r="O192" s="121">
        <v>0</v>
      </c>
      <c r="P192" s="121">
        <v>0</v>
      </c>
      <c r="Q192" s="121">
        <v>0</v>
      </c>
      <c r="R192" s="121">
        <v>0</v>
      </c>
      <c r="S192" s="121">
        <v>0</v>
      </c>
      <c r="T192" s="121">
        <v>0</v>
      </c>
      <c r="U192" s="121">
        <v>0</v>
      </c>
      <c r="V192" s="121">
        <v>0</v>
      </c>
      <c r="W192" s="121">
        <v>0</v>
      </c>
      <c r="X192" s="121">
        <v>0</v>
      </c>
      <c r="Y192" s="121">
        <v>0</v>
      </c>
      <c r="Z192" s="121">
        <v>0</v>
      </c>
      <c r="AA192" s="121">
        <v>0</v>
      </c>
      <c r="AB192" s="121">
        <v>0</v>
      </c>
      <c r="AC192" s="121">
        <v>0</v>
      </c>
      <c r="AD192" s="121">
        <v>0</v>
      </c>
      <c r="AE192" s="121">
        <v>0</v>
      </c>
      <c r="AF192" s="121">
        <v>0</v>
      </c>
      <c r="AG192" s="121">
        <v>0</v>
      </c>
      <c r="AH192" s="121">
        <v>0</v>
      </c>
      <c r="AI192" s="121">
        <v>0</v>
      </c>
      <c r="AJ192" s="784">
        <f t="shared" si="35"/>
        <v>6000</v>
      </c>
      <c r="AK192" s="149">
        <f t="shared" si="30"/>
        <v>3.8817635524657862E-2</v>
      </c>
      <c r="AL192" s="150">
        <f t="shared" si="36"/>
        <v>-148568.92000000001</v>
      </c>
      <c r="AM192" s="149">
        <f t="shared" si="31"/>
        <v>-0.96118236447534211</v>
      </c>
      <c r="AN192" s="150">
        <f t="shared" si="32"/>
        <v>907168.92461999995</v>
      </c>
      <c r="AO192" s="151">
        <f t="shared" si="33"/>
        <v>0.99342947417697469</v>
      </c>
      <c r="AP192" s="154">
        <f t="shared" si="37"/>
        <v>154568.92000000001</v>
      </c>
      <c r="AQ192" s="154"/>
      <c r="AR192" s="786" t="str">
        <f t="shared" si="38"/>
        <v>Vendido</v>
      </c>
      <c r="AS192" s="786" t="str">
        <f t="shared" si="39"/>
        <v>Cliente Atrasado</v>
      </c>
      <c r="AT192" s="174">
        <v>29</v>
      </c>
      <c r="AU192" s="174">
        <f t="shared" si="40"/>
        <v>1</v>
      </c>
      <c r="AV192" s="174">
        <f t="shared" si="41"/>
        <v>30</v>
      </c>
      <c r="AW192" s="173">
        <v>5121</v>
      </c>
      <c r="AX192" s="786">
        <f t="shared" si="34"/>
        <v>0</v>
      </c>
      <c r="AY192" s="787">
        <f t="shared" si="42"/>
        <v>24</v>
      </c>
      <c r="AZ192" s="152"/>
      <c r="BA192" s="152"/>
    </row>
    <row r="193" spans="1:53" x14ac:dyDescent="0.25">
      <c r="A193" s="93"/>
      <c r="B193" s="164">
        <v>1020</v>
      </c>
      <c r="C193" s="164" t="s">
        <v>366</v>
      </c>
      <c r="D193" s="165" t="s">
        <v>753</v>
      </c>
      <c r="E193" s="166">
        <v>45714</v>
      </c>
      <c r="F193" s="164" t="s">
        <v>186</v>
      </c>
      <c r="G193" s="164" t="s">
        <v>137</v>
      </c>
      <c r="H193" s="167">
        <f>903785.86+356211.52</f>
        <v>1259997.3799999999</v>
      </c>
      <c r="I193" s="167">
        <v>125997.37</v>
      </c>
      <c r="J193" s="121">
        <v>0</v>
      </c>
      <c r="K193" s="121">
        <v>0</v>
      </c>
      <c r="L193" s="121">
        <v>0</v>
      </c>
      <c r="M193" s="121">
        <v>0</v>
      </c>
      <c r="N193" s="121">
        <v>0</v>
      </c>
      <c r="O193" s="121">
        <v>0</v>
      </c>
      <c r="P193" s="121">
        <v>0</v>
      </c>
      <c r="Q193" s="121">
        <v>0</v>
      </c>
      <c r="R193" s="121">
        <v>0</v>
      </c>
      <c r="S193" s="121">
        <v>0</v>
      </c>
      <c r="T193" s="121">
        <v>0</v>
      </c>
      <c r="U193" s="121">
        <v>0</v>
      </c>
      <c r="V193" s="121">
        <v>0</v>
      </c>
      <c r="W193" s="121">
        <v>0</v>
      </c>
      <c r="X193" s="121">
        <v>0</v>
      </c>
      <c r="Y193" s="121">
        <v>0</v>
      </c>
      <c r="Z193" s="121">
        <v>0</v>
      </c>
      <c r="AA193" s="121">
        <v>0</v>
      </c>
      <c r="AB193" s="121">
        <v>0</v>
      </c>
      <c r="AC193" s="121">
        <v>0</v>
      </c>
      <c r="AD193" s="121">
        <v>0</v>
      </c>
      <c r="AE193" s="121">
        <v>0</v>
      </c>
      <c r="AF193" s="121">
        <v>0</v>
      </c>
      <c r="AG193" s="121">
        <v>3000</v>
      </c>
      <c r="AH193" s="121">
        <v>7000</v>
      </c>
      <c r="AI193" s="121">
        <v>0</v>
      </c>
      <c r="AJ193" s="784">
        <f t="shared" si="35"/>
        <v>10000</v>
      </c>
      <c r="AK193" s="149">
        <f t="shared" si="30"/>
        <v>7.9366735988219445E-2</v>
      </c>
      <c r="AL193" s="150">
        <f t="shared" si="36"/>
        <v>-115997.37</v>
      </c>
      <c r="AM193" s="149">
        <f t="shared" si="31"/>
        <v>-0.92063326401178058</v>
      </c>
      <c r="AN193" s="150">
        <f t="shared" si="32"/>
        <v>1249997.3799999999</v>
      </c>
      <c r="AO193" s="151">
        <f t="shared" si="33"/>
        <v>0.99206347556056029</v>
      </c>
      <c r="AP193" s="154">
        <f t="shared" si="37"/>
        <v>125997.37</v>
      </c>
      <c r="AQ193" s="154"/>
      <c r="AR193" s="786" t="str">
        <f t="shared" si="38"/>
        <v>Vendido</v>
      </c>
      <c r="AS193" s="786" t="str">
        <f t="shared" si="39"/>
        <v>Cliente Atrasado</v>
      </c>
      <c r="AT193" s="174"/>
      <c r="AU193" s="174">
        <f t="shared" si="40"/>
        <v>0</v>
      </c>
      <c r="AV193" s="174">
        <f t="shared" si="41"/>
        <v>0</v>
      </c>
      <c r="AW193" s="173"/>
      <c r="AX193" s="786">
        <f t="shared" si="34"/>
        <v>24</v>
      </c>
      <c r="AY193" s="787">
        <f t="shared" si="42"/>
        <v>2</v>
      </c>
      <c r="AZ193" s="152"/>
      <c r="BA193" s="152"/>
    </row>
    <row r="194" spans="1:53" ht="15" customHeight="1" x14ac:dyDescent="0.25">
      <c r="A194" s="93"/>
      <c r="B194" s="164">
        <v>1101</v>
      </c>
      <c r="C194" s="164" t="s">
        <v>366</v>
      </c>
      <c r="D194" s="165" t="s">
        <v>598</v>
      </c>
      <c r="E194" s="166">
        <v>45374</v>
      </c>
      <c r="F194" s="164" t="s">
        <v>597</v>
      </c>
      <c r="G194" s="164" t="s">
        <v>128</v>
      </c>
      <c r="H194" s="167">
        <v>1176700</v>
      </c>
      <c r="I194" s="167">
        <v>117700</v>
      </c>
      <c r="J194" s="121">
        <v>0</v>
      </c>
      <c r="K194" s="121">
        <v>0</v>
      </c>
      <c r="L194" s="121">
        <v>0</v>
      </c>
      <c r="M194" s="121">
        <v>0</v>
      </c>
      <c r="N194" s="121">
        <v>0</v>
      </c>
      <c r="O194" s="121">
        <v>0</v>
      </c>
      <c r="P194" s="121">
        <v>0</v>
      </c>
      <c r="Q194" s="121">
        <v>0</v>
      </c>
      <c r="R194" s="121">
        <v>0</v>
      </c>
      <c r="S194" s="121">
        <v>0</v>
      </c>
      <c r="T194" s="121">
        <v>0</v>
      </c>
      <c r="U194" s="121">
        <v>0</v>
      </c>
      <c r="V194" s="121">
        <v>8000</v>
      </c>
      <c r="W194" s="121">
        <v>6094</v>
      </c>
      <c r="X194" s="121">
        <v>6094</v>
      </c>
      <c r="Y194" s="121">
        <v>6094</v>
      </c>
      <c r="Z194" s="121">
        <v>6094</v>
      </c>
      <c r="AA194" s="121">
        <v>6094</v>
      </c>
      <c r="AB194" s="121">
        <v>6094</v>
      </c>
      <c r="AC194" s="121">
        <v>6094</v>
      </c>
      <c r="AD194" s="121">
        <v>6094</v>
      </c>
      <c r="AE194" s="121">
        <v>6094</v>
      </c>
      <c r="AF194" s="121">
        <v>6094</v>
      </c>
      <c r="AG194" s="121">
        <v>6094</v>
      </c>
      <c r="AH194" s="121">
        <v>6094</v>
      </c>
      <c r="AI194" s="121">
        <v>0</v>
      </c>
      <c r="AJ194" s="784">
        <f t="shared" si="35"/>
        <v>81128</v>
      </c>
      <c r="AK194" s="149">
        <f t="shared" si="30"/>
        <v>0.68927782497875956</v>
      </c>
      <c r="AL194" s="150">
        <f t="shared" si="36"/>
        <v>-36572</v>
      </c>
      <c r="AM194" s="149">
        <f t="shared" si="31"/>
        <v>-0.31072217502124044</v>
      </c>
      <c r="AN194" s="150">
        <f t="shared" si="32"/>
        <v>1095572</v>
      </c>
      <c r="AO194" s="151">
        <f t="shared" si="33"/>
        <v>0.93105464434435281</v>
      </c>
      <c r="AP194" s="154">
        <f t="shared" si="37"/>
        <v>117700</v>
      </c>
      <c r="AQ194" s="154"/>
      <c r="AR194" s="786" t="str">
        <f t="shared" si="38"/>
        <v>Vendido</v>
      </c>
      <c r="AS194" s="786" t="str">
        <f t="shared" si="39"/>
        <v>Cliente Atrasado</v>
      </c>
      <c r="AT194" s="174">
        <v>18</v>
      </c>
      <c r="AU194" s="174">
        <f t="shared" si="40"/>
        <v>1</v>
      </c>
      <c r="AV194" s="174">
        <f t="shared" si="41"/>
        <v>19</v>
      </c>
      <c r="AW194" s="173">
        <v>6094</v>
      </c>
      <c r="AX194" s="786">
        <f t="shared" si="34"/>
        <v>12</v>
      </c>
      <c r="AY194" s="787">
        <f t="shared" si="42"/>
        <v>13</v>
      </c>
      <c r="AZ194" s="152"/>
      <c r="BA194" s="152"/>
    </row>
    <row r="195" spans="1:53" ht="15" customHeight="1" x14ac:dyDescent="0.25">
      <c r="A195" s="93"/>
      <c r="B195" s="164">
        <v>1102</v>
      </c>
      <c r="C195" s="164" t="s">
        <v>366</v>
      </c>
      <c r="D195" s="165" t="s">
        <v>600</v>
      </c>
      <c r="E195" s="166">
        <v>45016</v>
      </c>
      <c r="F195" s="164" t="s">
        <v>599</v>
      </c>
      <c r="G195" s="164" t="s">
        <v>128</v>
      </c>
      <c r="H195" s="167">
        <v>1152100</v>
      </c>
      <c r="I195" s="167">
        <v>115300</v>
      </c>
      <c r="J195" s="121">
        <v>6000</v>
      </c>
      <c r="K195" s="121">
        <v>0</v>
      </c>
      <c r="L195" s="121">
        <v>3215</v>
      </c>
      <c r="M195" s="121">
        <v>3215</v>
      </c>
      <c r="N195" s="121">
        <v>3215</v>
      </c>
      <c r="O195" s="121">
        <v>3215</v>
      </c>
      <c r="P195" s="121">
        <v>3215</v>
      </c>
      <c r="Q195" s="121">
        <v>3215</v>
      </c>
      <c r="R195" s="121">
        <v>3215</v>
      </c>
      <c r="S195" s="121">
        <v>3215</v>
      </c>
      <c r="T195" s="121">
        <v>3215</v>
      </c>
      <c r="U195" s="121">
        <v>3215</v>
      </c>
      <c r="V195" s="121">
        <v>3215</v>
      </c>
      <c r="W195" s="121">
        <v>3215</v>
      </c>
      <c r="X195" s="121">
        <v>3215</v>
      </c>
      <c r="Y195" s="121">
        <v>3215</v>
      </c>
      <c r="Z195" s="121">
        <v>3215</v>
      </c>
      <c r="AA195" s="121">
        <v>3215</v>
      </c>
      <c r="AB195" s="121">
        <v>3215</v>
      </c>
      <c r="AC195" s="121">
        <v>3215</v>
      </c>
      <c r="AD195" s="121">
        <v>3215</v>
      </c>
      <c r="AE195" s="121">
        <v>3215</v>
      </c>
      <c r="AF195" s="121">
        <v>3215</v>
      </c>
      <c r="AG195" s="121">
        <v>3215</v>
      </c>
      <c r="AH195" s="121">
        <v>3215</v>
      </c>
      <c r="AI195" s="121">
        <v>0</v>
      </c>
      <c r="AJ195" s="784">
        <f t="shared" si="35"/>
        <v>79945</v>
      </c>
      <c r="AK195" s="149">
        <f t="shared" si="30"/>
        <v>0.69336513443191672</v>
      </c>
      <c r="AL195" s="150">
        <f t="shared" si="36"/>
        <v>-35355</v>
      </c>
      <c r="AM195" s="149">
        <f t="shared" si="31"/>
        <v>-0.30663486556808328</v>
      </c>
      <c r="AN195" s="150">
        <f t="shared" si="32"/>
        <v>1072155</v>
      </c>
      <c r="AO195" s="151">
        <f t="shared" si="33"/>
        <v>0.93060932210745595</v>
      </c>
      <c r="AP195" s="154">
        <f t="shared" si="37"/>
        <v>115300</v>
      </c>
      <c r="AQ195" s="154"/>
      <c r="AR195" s="786" t="str">
        <f t="shared" si="38"/>
        <v>Vendido</v>
      </c>
      <c r="AS195" s="786" t="str">
        <f t="shared" si="39"/>
        <v>Cliente Atrasado</v>
      </c>
      <c r="AT195" s="174">
        <v>34</v>
      </c>
      <c r="AU195" s="174">
        <f t="shared" si="40"/>
        <v>1</v>
      </c>
      <c r="AV195" s="174">
        <f t="shared" si="41"/>
        <v>35</v>
      </c>
      <c r="AW195" s="173">
        <v>3215</v>
      </c>
      <c r="AX195" s="786">
        <f t="shared" si="34"/>
        <v>23</v>
      </c>
      <c r="AY195" s="787">
        <f t="shared" si="42"/>
        <v>24</v>
      </c>
      <c r="AZ195" s="152"/>
      <c r="BA195" s="152"/>
    </row>
    <row r="196" spans="1:53" ht="15" customHeight="1" x14ac:dyDescent="0.25">
      <c r="A196" s="93"/>
      <c r="B196" s="164">
        <v>1103</v>
      </c>
      <c r="C196" s="164" t="s">
        <v>366</v>
      </c>
      <c r="D196" s="165" t="s">
        <v>601</v>
      </c>
      <c r="E196" s="166">
        <v>45041</v>
      </c>
      <c r="F196" s="164" t="s">
        <v>400</v>
      </c>
      <c r="G196" s="164" t="s">
        <v>128</v>
      </c>
      <c r="H196" s="167">
        <v>901400</v>
      </c>
      <c r="I196" s="167">
        <v>180300</v>
      </c>
      <c r="J196" s="121">
        <v>0</v>
      </c>
      <c r="K196" s="121">
        <v>6000</v>
      </c>
      <c r="L196" s="121">
        <v>0</v>
      </c>
      <c r="M196" s="121">
        <v>6225</v>
      </c>
      <c r="N196" s="121">
        <v>6225</v>
      </c>
      <c r="O196" s="121">
        <v>6225</v>
      </c>
      <c r="P196" s="121">
        <v>6225</v>
      </c>
      <c r="Q196" s="121">
        <v>6225</v>
      </c>
      <c r="R196" s="121">
        <v>6225</v>
      </c>
      <c r="S196" s="121">
        <v>6225</v>
      </c>
      <c r="T196" s="121">
        <v>6225</v>
      </c>
      <c r="U196" s="121">
        <v>6225</v>
      </c>
      <c r="V196" s="121">
        <v>6225</v>
      </c>
      <c r="W196" s="121">
        <v>6225</v>
      </c>
      <c r="X196" s="121">
        <v>6225</v>
      </c>
      <c r="Y196" s="121">
        <v>6225</v>
      </c>
      <c r="Z196" s="121">
        <v>6225</v>
      </c>
      <c r="AA196" s="121">
        <v>6225</v>
      </c>
      <c r="AB196" s="121">
        <v>6225</v>
      </c>
      <c r="AC196" s="121">
        <v>6225</v>
      </c>
      <c r="AD196" s="121">
        <v>6225</v>
      </c>
      <c r="AE196" s="121">
        <v>6225</v>
      </c>
      <c r="AF196" s="121">
        <v>6225</v>
      </c>
      <c r="AG196" s="121">
        <v>6225</v>
      </c>
      <c r="AH196" s="121">
        <v>6225</v>
      </c>
      <c r="AI196" s="121">
        <v>0</v>
      </c>
      <c r="AJ196" s="784">
        <f t="shared" si="35"/>
        <v>142950</v>
      </c>
      <c r="AK196" s="149">
        <f t="shared" si="30"/>
        <v>0.79284525790349414</v>
      </c>
      <c r="AL196" s="150">
        <f t="shared" si="36"/>
        <v>-37350</v>
      </c>
      <c r="AM196" s="149">
        <f t="shared" si="31"/>
        <v>-0.20715474209650583</v>
      </c>
      <c r="AN196" s="150">
        <f t="shared" si="32"/>
        <v>758450</v>
      </c>
      <c r="AO196" s="151">
        <f t="shared" si="33"/>
        <v>0.84141335700022191</v>
      </c>
      <c r="AP196" s="154">
        <f t="shared" si="37"/>
        <v>180300</v>
      </c>
      <c r="AQ196" s="154"/>
      <c r="AR196" s="786" t="str">
        <f t="shared" si="38"/>
        <v>Vendido</v>
      </c>
      <c r="AS196" s="786" t="str">
        <f t="shared" si="39"/>
        <v>Cliente Atrasado</v>
      </c>
      <c r="AT196" s="174">
        <v>28</v>
      </c>
      <c r="AU196" s="174">
        <f t="shared" si="40"/>
        <v>1</v>
      </c>
      <c r="AV196" s="174">
        <f t="shared" si="41"/>
        <v>29</v>
      </c>
      <c r="AW196" s="173">
        <v>6225</v>
      </c>
      <c r="AX196" s="786">
        <f t="shared" si="34"/>
        <v>22</v>
      </c>
      <c r="AY196" s="787">
        <f t="shared" si="42"/>
        <v>24</v>
      </c>
      <c r="AZ196" s="152"/>
      <c r="BA196" s="152"/>
    </row>
    <row r="197" spans="1:53" ht="15" customHeight="1" x14ac:dyDescent="0.25">
      <c r="A197" s="93"/>
      <c r="B197" s="164">
        <v>1104</v>
      </c>
      <c r="C197" s="164" t="s">
        <v>366</v>
      </c>
      <c r="D197" s="165" t="s">
        <v>602</v>
      </c>
      <c r="E197" s="166">
        <v>45343</v>
      </c>
      <c r="F197" s="164" t="s">
        <v>175</v>
      </c>
      <c r="G197" s="164" t="s">
        <v>128</v>
      </c>
      <c r="H197" s="167">
        <v>887400</v>
      </c>
      <c r="I197" s="167">
        <v>88800</v>
      </c>
      <c r="J197" s="121">
        <v>0</v>
      </c>
      <c r="K197" s="121">
        <v>0</v>
      </c>
      <c r="L197" s="121">
        <v>0</v>
      </c>
      <c r="M197" s="121">
        <v>0</v>
      </c>
      <c r="N197" s="121">
        <v>0</v>
      </c>
      <c r="O197" s="121">
        <v>0</v>
      </c>
      <c r="P197" s="121">
        <v>0</v>
      </c>
      <c r="Q197" s="121">
        <v>0</v>
      </c>
      <c r="R197" s="121">
        <v>0</v>
      </c>
      <c r="S197" s="121">
        <v>0</v>
      </c>
      <c r="T197" s="121">
        <v>0</v>
      </c>
      <c r="U197" s="121">
        <v>8000</v>
      </c>
      <c r="V197" s="121">
        <v>4253</v>
      </c>
      <c r="W197" s="121">
        <v>4253</v>
      </c>
      <c r="X197" s="121">
        <v>4253</v>
      </c>
      <c r="Y197" s="121">
        <v>4253</v>
      </c>
      <c r="Z197" s="121">
        <v>4253</v>
      </c>
      <c r="AA197" s="121">
        <v>4253</v>
      </c>
      <c r="AB197" s="121">
        <v>4253</v>
      </c>
      <c r="AC197" s="121">
        <v>4253</v>
      </c>
      <c r="AD197" s="121">
        <v>4253</v>
      </c>
      <c r="AE197" s="121">
        <v>4253</v>
      </c>
      <c r="AF197" s="121">
        <v>4253</v>
      </c>
      <c r="AG197" s="121">
        <v>4253</v>
      </c>
      <c r="AH197" s="121">
        <v>4253</v>
      </c>
      <c r="AI197" s="121">
        <v>4253</v>
      </c>
      <c r="AJ197" s="784">
        <f t="shared" si="35"/>
        <v>67542</v>
      </c>
      <c r="AK197" s="149">
        <f t="shared" si="30"/>
        <v>0.76060810810810808</v>
      </c>
      <c r="AL197" s="150">
        <f t="shared" si="36"/>
        <v>-21258</v>
      </c>
      <c r="AM197" s="149">
        <f t="shared" si="31"/>
        <v>-0.23939189189189189</v>
      </c>
      <c r="AN197" s="150">
        <f t="shared" si="32"/>
        <v>819858</v>
      </c>
      <c r="AO197" s="151">
        <f t="shared" si="33"/>
        <v>0.92388776200135225</v>
      </c>
      <c r="AP197" s="154">
        <f t="shared" si="37"/>
        <v>88800</v>
      </c>
      <c r="AQ197" s="154"/>
      <c r="AR197" s="786" t="str">
        <f t="shared" si="38"/>
        <v>Vendido</v>
      </c>
      <c r="AS197" s="786" t="str">
        <f t="shared" si="39"/>
        <v>Cliente Atrasado</v>
      </c>
      <c r="AT197" s="174">
        <v>19</v>
      </c>
      <c r="AU197" s="174">
        <f t="shared" si="40"/>
        <v>1</v>
      </c>
      <c r="AV197" s="174">
        <f t="shared" si="41"/>
        <v>20</v>
      </c>
      <c r="AW197" s="173">
        <v>4253</v>
      </c>
      <c r="AX197" s="786">
        <f t="shared" si="34"/>
        <v>14</v>
      </c>
      <c r="AY197" s="787">
        <f t="shared" si="42"/>
        <v>14</v>
      </c>
      <c r="AZ197" s="152"/>
      <c r="BA197" s="152"/>
    </row>
    <row r="198" spans="1:53" x14ac:dyDescent="0.25">
      <c r="A198" s="93"/>
      <c r="B198" s="164">
        <v>1105</v>
      </c>
      <c r="C198" s="164" t="s">
        <v>383</v>
      </c>
      <c r="D198" s="165" t="s">
        <v>1070</v>
      </c>
      <c r="E198" s="166">
        <v>45012</v>
      </c>
      <c r="F198" s="164" t="s">
        <v>192</v>
      </c>
      <c r="G198" s="164" t="s">
        <v>128</v>
      </c>
      <c r="H198" s="167">
        <v>657892.69999999995</v>
      </c>
      <c r="I198" s="167">
        <v>65892.7</v>
      </c>
      <c r="J198" s="121">
        <v>15000</v>
      </c>
      <c r="K198" s="121">
        <v>1000</v>
      </c>
      <c r="L198" s="121">
        <v>1000</v>
      </c>
      <c r="M198" s="121">
        <v>0</v>
      </c>
      <c r="N198" s="121">
        <v>2000</v>
      </c>
      <c r="O198" s="121">
        <v>2000</v>
      </c>
      <c r="P198" s="121">
        <v>1000</v>
      </c>
      <c r="Q198" s="121">
        <v>1000</v>
      </c>
      <c r="R198" s="121">
        <v>1000</v>
      </c>
      <c r="S198" s="121">
        <v>1000</v>
      </c>
      <c r="T198" s="121">
        <v>0</v>
      </c>
      <c r="U198" s="121">
        <v>1000</v>
      </c>
      <c r="V198" s="121">
        <v>0</v>
      </c>
      <c r="W198" s="121">
        <v>2000</v>
      </c>
      <c r="X198" s="121">
        <v>0</v>
      </c>
      <c r="Y198" s="121">
        <v>1000</v>
      </c>
      <c r="Z198" s="121">
        <v>1000</v>
      </c>
      <c r="AA198" s="121">
        <v>1000</v>
      </c>
      <c r="AB198" s="121">
        <v>1000</v>
      </c>
      <c r="AC198" s="121">
        <v>1000</v>
      </c>
      <c r="AD198" s="121">
        <v>1000</v>
      </c>
      <c r="AE198" s="121">
        <v>1000</v>
      </c>
      <c r="AF198" s="121">
        <v>1000</v>
      </c>
      <c r="AG198" s="121">
        <v>1000</v>
      </c>
      <c r="AH198" s="121">
        <v>1000</v>
      </c>
      <c r="AI198" s="121">
        <v>1500</v>
      </c>
      <c r="AJ198" s="784">
        <f t="shared" si="35"/>
        <v>39500</v>
      </c>
      <c r="AK198" s="149">
        <f t="shared" si="30"/>
        <v>0.59945942418507669</v>
      </c>
      <c r="AL198" s="150">
        <f t="shared" si="36"/>
        <v>-26392.699999999997</v>
      </c>
      <c r="AM198" s="149">
        <f t="shared" si="31"/>
        <v>-0.40054057581492331</v>
      </c>
      <c r="AN198" s="150">
        <f t="shared" si="32"/>
        <v>618392.69999999995</v>
      </c>
      <c r="AO198" s="151">
        <f t="shared" si="33"/>
        <v>0.93995981411558449</v>
      </c>
      <c r="AP198" s="154">
        <f t="shared" si="37"/>
        <v>65892.7</v>
      </c>
      <c r="AQ198" s="154"/>
      <c r="AR198" s="786" t="str">
        <f t="shared" si="38"/>
        <v>Vendido</v>
      </c>
      <c r="AS198" s="786" t="str">
        <f t="shared" si="39"/>
        <v>Cliente Atrasado</v>
      </c>
      <c r="AT198" s="174">
        <v>35</v>
      </c>
      <c r="AU198" s="174">
        <f t="shared" si="40"/>
        <v>1</v>
      </c>
      <c r="AV198" s="174">
        <f t="shared" si="41"/>
        <v>36</v>
      </c>
      <c r="AW198" s="173">
        <v>1000</v>
      </c>
      <c r="AX198" s="786">
        <f t="shared" si="34"/>
        <v>17</v>
      </c>
      <c r="AY198" s="787">
        <f t="shared" si="42"/>
        <v>25</v>
      </c>
      <c r="AZ198" s="152"/>
      <c r="BA198" s="152"/>
    </row>
    <row r="199" spans="1:53" ht="15" customHeight="1" x14ac:dyDescent="0.25">
      <c r="A199" s="93"/>
      <c r="B199" s="164">
        <v>1106</v>
      </c>
      <c r="C199" s="164" t="s">
        <v>366</v>
      </c>
      <c r="D199" s="165" t="s">
        <v>604</v>
      </c>
      <c r="E199" s="166">
        <v>45043</v>
      </c>
      <c r="F199" s="164" t="s">
        <v>178</v>
      </c>
      <c r="G199" s="164" t="s">
        <v>128</v>
      </c>
      <c r="H199" s="167">
        <v>661100</v>
      </c>
      <c r="I199" s="167">
        <v>66200</v>
      </c>
      <c r="J199" s="121">
        <v>0</v>
      </c>
      <c r="K199" s="121">
        <v>12000</v>
      </c>
      <c r="L199" s="121">
        <v>1869</v>
      </c>
      <c r="M199" s="121">
        <v>1869</v>
      </c>
      <c r="N199" s="121">
        <v>1869</v>
      </c>
      <c r="O199" s="121">
        <v>1869</v>
      </c>
      <c r="P199" s="121">
        <v>1869</v>
      </c>
      <c r="Q199" s="121">
        <v>1869</v>
      </c>
      <c r="R199" s="121">
        <v>1869</v>
      </c>
      <c r="S199" s="121">
        <v>1869</v>
      </c>
      <c r="T199" s="121">
        <v>1869</v>
      </c>
      <c r="U199" s="121">
        <v>1869</v>
      </c>
      <c r="V199" s="121">
        <v>1869</v>
      </c>
      <c r="W199" s="121">
        <v>1869</v>
      </c>
      <c r="X199" s="121">
        <v>1869</v>
      </c>
      <c r="Y199" s="121">
        <v>1869</v>
      </c>
      <c r="Z199" s="121">
        <v>1869</v>
      </c>
      <c r="AA199" s="121">
        <v>1869</v>
      </c>
      <c r="AB199" s="121">
        <v>1869</v>
      </c>
      <c r="AC199" s="121">
        <v>1869</v>
      </c>
      <c r="AD199" s="121">
        <v>1869</v>
      </c>
      <c r="AE199" s="121">
        <v>1869</v>
      </c>
      <c r="AF199" s="121">
        <v>0</v>
      </c>
      <c r="AG199" s="121">
        <v>3738</v>
      </c>
      <c r="AH199" s="121">
        <v>1869</v>
      </c>
      <c r="AI199" s="121">
        <v>0</v>
      </c>
      <c r="AJ199" s="784">
        <f t="shared" si="35"/>
        <v>54987</v>
      </c>
      <c r="AK199" s="149">
        <f t="shared" ref="AK199:AK262" si="43">IFERROR((+AJ199/I199),0)</f>
        <v>0.83061933534743204</v>
      </c>
      <c r="AL199" s="150">
        <f t="shared" si="36"/>
        <v>-11213</v>
      </c>
      <c r="AM199" s="149">
        <f t="shared" ref="AM199:AM262" si="44">+AL199/I199</f>
        <v>-0.16938066465256799</v>
      </c>
      <c r="AN199" s="150">
        <f t="shared" ref="AN199:AN262" si="45">+H199-AJ199</f>
        <v>606113</v>
      </c>
      <c r="AO199" s="151">
        <f t="shared" ref="AO199:AO262" si="46">+AN199/H199</f>
        <v>0.91682498865527151</v>
      </c>
      <c r="AP199" s="154">
        <f t="shared" si="37"/>
        <v>66200</v>
      </c>
      <c r="AQ199" s="154"/>
      <c r="AR199" s="786" t="str">
        <f t="shared" si="38"/>
        <v>Vendido</v>
      </c>
      <c r="AS199" s="786" t="str">
        <f t="shared" si="39"/>
        <v>Cliente Atrasado</v>
      </c>
      <c r="AT199" s="174">
        <v>29</v>
      </c>
      <c r="AU199" s="174">
        <f t="shared" si="40"/>
        <v>1</v>
      </c>
      <c r="AV199" s="174">
        <f t="shared" si="41"/>
        <v>30</v>
      </c>
      <c r="AW199" s="173">
        <v>1869</v>
      </c>
      <c r="AX199" s="786">
        <f t="shared" ref="AX199:AX262" si="47">COUNTIF(J199:AI199,AW199)</f>
        <v>21</v>
      </c>
      <c r="AY199" s="787">
        <f t="shared" si="42"/>
        <v>24</v>
      </c>
      <c r="AZ199" s="152"/>
      <c r="BA199" s="152"/>
    </row>
    <row r="200" spans="1:53" x14ac:dyDescent="0.25">
      <c r="A200" s="93"/>
      <c r="B200" s="164">
        <v>1107</v>
      </c>
      <c r="C200" s="164" t="s">
        <v>363</v>
      </c>
      <c r="D200" s="165" t="s">
        <v>364</v>
      </c>
      <c r="E200" s="166">
        <v>45300</v>
      </c>
      <c r="F200" s="164" t="s">
        <v>465</v>
      </c>
      <c r="G200" s="164" t="s">
        <v>128</v>
      </c>
      <c r="H200" s="167">
        <v>685200</v>
      </c>
      <c r="I200" s="167">
        <v>68520</v>
      </c>
      <c r="J200" s="121">
        <v>0</v>
      </c>
      <c r="K200" s="121">
        <v>0</v>
      </c>
      <c r="L200" s="121">
        <v>0</v>
      </c>
      <c r="M200" s="121">
        <v>0</v>
      </c>
      <c r="N200" s="121">
        <v>0</v>
      </c>
      <c r="O200" s="121">
        <v>0</v>
      </c>
      <c r="P200" s="121">
        <v>0</v>
      </c>
      <c r="Q200" s="121">
        <v>0</v>
      </c>
      <c r="R200" s="121">
        <v>0</v>
      </c>
      <c r="S200" s="121">
        <v>0</v>
      </c>
      <c r="T200" s="121">
        <v>0</v>
      </c>
      <c r="U200" s="121">
        <v>0</v>
      </c>
      <c r="V200" s="121">
        <v>0</v>
      </c>
      <c r="W200" s="121">
        <v>0</v>
      </c>
      <c r="X200" s="121">
        <v>0</v>
      </c>
      <c r="Y200" s="121">
        <v>0</v>
      </c>
      <c r="Z200" s="121">
        <v>0</v>
      </c>
      <c r="AA200" s="121">
        <v>0</v>
      </c>
      <c r="AB200" s="121">
        <v>0</v>
      </c>
      <c r="AC200" s="121">
        <v>0</v>
      </c>
      <c r="AD200" s="121">
        <v>0</v>
      </c>
      <c r="AE200" s="121">
        <v>0</v>
      </c>
      <c r="AF200" s="121">
        <v>0</v>
      </c>
      <c r="AG200" s="121">
        <v>0</v>
      </c>
      <c r="AH200" s="121">
        <v>0</v>
      </c>
      <c r="AI200" s="121">
        <v>0</v>
      </c>
      <c r="AJ200" s="784">
        <f t="shared" ref="AJ200:AJ263" si="48">SUM(J200:AI200)</f>
        <v>0</v>
      </c>
      <c r="AK200" s="149">
        <f t="shared" si="43"/>
        <v>0</v>
      </c>
      <c r="AL200" s="150">
        <f t="shared" ref="AL200:AL263" si="49">+AJ200-AP200</f>
        <v>-68520</v>
      </c>
      <c r="AM200" s="149">
        <f t="shared" si="44"/>
        <v>-1</v>
      </c>
      <c r="AN200" s="150">
        <f t="shared" si="45"/>
        <v>685200</v>
      </c>
      <c r="AO200" s="151">
        <f t="shared" si="46"/>
        <v>1</v>
      </c>
      <c r="AP200" s="154">
        <f t="shared" ref="AP200:AP263" si="50">IF(AR200="Vendido",I200*1,IF(AR200="Disponible",I200*0,IF(AR200="Enganche Completado",I200*1,IF(AR200="Superávit de Enganche",I200*1,0))))</f>
        <v>68520</v>
      </c>
      <c r="AQ200" s="154"/>
      <c r="AR200" s="786" t="str">
        <f t="shared" ref="AR200:AR263" si="51">IF(D200=0,"Apartamento Disponible",IF(D200&gt;1,"Vendido",0))</f>
        <v>Vendido</v>
      </c>
      <c r="AS200" s="786" t="str">
        <f t="shared" ref="AS200:AS263" si="52">IF(AND(AR200="Vendido",E200&gt;=0,AL200=0),"Enganche Completado",IF(AND(AR200="Vendido",E200&gt;=0,AL200&gt;0),"Superávit de Enganche",IF(AND(AR200="Apartamento Disponible",E200=0,AL200=0),"Disponible","Cliente Atrasado")))</f>
        <v>Cliente Atrasado</v>
      </c>
      <c r="AT200" s="174"/>
      <c r="AU200" s="174">
        <f t="shared" ref="AU200:AU263" si="53">IF(AT200&gt;1,1,0)</f>
        <v>0</v>
      </c>
      <c r="AV200" s="174">
        <f t="shared" ref="AV200:AV263" si="54">+AT200+AU200</f>
        <v>0</v>
      </c>
      <c r="AW200" s="173"/>
      <c r="AX200" s="786">
        <f t="shared" si="47"/>
        <v>26</v>
      </c>
      <c r="AY200" s="787">
        <f t="shared" si="42"/>
        <v>15</v>
      </c>
      <c r="AZ200" s="152"/>
      <c r="BA200" s="152"/>
    </row>
    <row r="201" spans="1:53" x14ac:dyDescent="0.25">
      <c r="A201" s="93"/>
      <c r="B201" s="164">
        <v>1108</v>
      </c>
      <c r="C201" s="164" t="s">
        <v>383</v>
      </c>
      <c r="D201" s="165" t="s">
        <v>605</v>
      </c>
      <c r="E201" s="166">
        <v>45013</v>
      </c>
      <c r="F201" s="164" t="s">
        <v>467</v>
      </c>
      <c r="G201" s="164" t="s">
        <v>128</v>
      </c>
      <c r="H201" s="167">
        <v>1100438.98</v>
      </c>
      <c r="I201" s="167">
        <v>110138.98</v>
      </c>
      <c r="J201" s="121">
        <v>6000</v>
      </c>
      <c r="K201" s="121">
        <v>0</v>
      </c>
      <c r="L201" s="121">
        <v>0</v>
      </c>
      <c r="M201" s="121">
        <v>0</v>
      </c>
      <c r="N201" s="121">
        <v>0</v>
      </c>
      <c r="O201" s="121">
        <v>0</v>
      </c>
      <c r="P201" s="121">
        <v>0</v>
      </c>
      <c r="Q201" s="121">
        <v>0</v>
      </c>
      <c r="R201" s="121">
        <v>0</v>
      </c>
      <c r="S201" s="121">
        <v>0</v>
      </c>
      <c r="T201" s="121">
        <v>0</v>
      </c>
      <c r="U201" s="121">
        <v>0</v>
      </c>
      <c r="V201" s="121">
        <v>0</v>
      </c>
      <c r="W201" s="121">
        <v>0</v>
      </c>
      <c r="X201" s="121">
        <v>15000</v>
      </c>
      <c r="Y201" s="121">
        <v>0</v>
      </c>
      <c r="Z201" s="121">
        <v>0</v>
      </c>
      <c r="AA201" s="121">
        <v>0</v>
      </c>
      <c r="AB201" s="121">
        <v>0</v>
      </c>
      <c r="AC201" s="121">
        <v>0</v>
      </c>
      <c r="AD201" s="121">
        <v>0</v>
      </c>
      <c r="AE201" s="121">
        <v>0</v>
      </c>
      <c r="AF201" s="121">
        <v>0</v>
      </c>
      <c r="AG201" s="121">
        <v>0</v>
      </c>
      <c r="AH201" s="121">
        <v>0</v>
      </c>
      <c r="AI201" s="121">
        <v>0</v>
      </c>
      <c r="AJ201" s="784">
        <f t="shared" si="48"/>
        <v>21000</v>
      </c>
      <c r="AK201" s="149">
        <f t="shared" si="43"/>
        <v>0.19066819031736085</v>
      </c>
      <c r="AL201" s="150">
        <f t="shared" si="49"/>
        <v>-89138.98</v>
      </c>
      <c r="AM201" s="149">
        <f t="shared" si="44"/>
        <v>-0.80933180968263918</v>
      </c>
      <c r="AN201" s="150">
        <f t="shared" si="45"/>
        <v>1079438.98</v>
      </c>
      <c r="AO201" s="151">
        <f t="shared" si="46"/>
        <v>0.98091670653106089</v>
      </c>
      <c r="AP201" s="154">
        <f t="shared" si="50"/>
        <v>110138.98</v>
      </c>
      <c r="AQ201" s="154"/>
      <c r="AR201" s="786" t="str">
        <f t="shared" si="51"/>
        <v>Vendido</v>
      </c>
      <c r="AS201" s="786" t="str">
        <f t="shared" si="52"/>
        <v>Cliente Atrasado</v>
      </c>
      <c r="AT201" s="174">
        <v>35</v>
      </c>
      <c r="AU201" s="174">
        <f t="shared" si="53"/>
        <v>1</v>
      </c>
      <c r="AV201" s="174">
        <f t="shared" si="54"/>
        <v>36</v>
      </c>
      <c r="AW201" s="173" t="s">
        <v>1071</v>
      </c>
      <c r="AX201" s="786">
        <f t="shared" si="47"/>
        <v>0</v>
      </c>
      <c r="AY201" s="787">
        <f t="shared" si="42"/>
        <v>25</v>
      </c>
      <c r="AZ201" s="152"/>
      <c r="BA201" s="152"/>
    </row>
    <row r="202" spans="1:53" x14ac:dyDescent="0.25">
      <c r="A202" s="93"/>
      <c r="B202" s="164">
        <v>1109</v>
      </c>
      <c r="C202" s="164" t="s">
        <v>366</v>
      </c>
      <c r="D202" s="165" t="s">
        <v>606</v>
      </c>
      <c r="E202" s="166">
        <v>45263</v>
      </c>
      <c r="F202" s="164" t="s">
        <v>469</v>
      </c>
      <c r="G202" s="164" t="s">
        <v>128</v>
      </c>
      <c r="H202" s="167">
        <v>1182285.73</v>
      </c>
      <c r="I202" s="167">
        <v>118285.73</v>
      </c>
      <c r="J202" s="121">
        <v>0</v>
      </c>
      <c r="K202" s="121">
        <v>0</v>
      </c>
      <c r="L202" s="121">
        <v>0</v>
      </c>
      <c r="M202" s="121">
        <v>0</v>
      </c>
      <c r="N202" s="121">
        <v>0</v>
      </c>
      <c r="O202" s="121">
        <v>0</v>
      </c>
      <c r="P202" s="121">
        <v>0</v>
      </c>
      <c r="Q202" s="121">
        <v>0</v>
      </c>
      <c r="R202" s="121">
        <v>0</v>
      </c>
      <c r="S202" s="121">
        <v>5500</v>
      </c>
      <c r="T202" s="121">
        <v>5371</v>
      </c>
      <c r="U202" s="121">
        <v>5371</v>
      </c>
      <c r="V202" s="121">
        <v>5371</v>
      </c>
      <c r="W202" s="121">
        <v>5371</v>
      </c>
      <c r="X202" s="121">
        <v>5371</v>
      </c>
      <c r="Y202" s="121">
        <v>5371</v>
      </c>
      <c r="Z202" s="121">
        <v>5371</v>
      </c>
      <c r="AA202" s="121">
        <v>5371</v>
      </c>
      <c r="AB202" s="121">
        <v>5371</v>
      </c>
      <c r="AC202" s="121">
        <v>5371</v>
      </c>
      <c r="AD202" s="121">
        <v>5371</v>
      </c>
      <c r="AE202" s="121">
        <v>5371</v>
      </c>
      <c r="AF202" s="121">
        <v>5371</v>
      </c>
      <c r="AG202" s="121">
        <v>5371</v>
      </c>
      <c r="AH202" s="121">
        <v>5371</v>
      </c>
      <c r="AI202" s="121">
        <v>0</v>
      </c>
      <c r="AJ202" s="784">
        <f t="shared" si="48"/>
        <v>86065</v>
      </c>
      <c r="AK202" s="149">
        <f t="shared" si="43"/>
        <v>0.72760256034265502</v>
      </c>
      <c r="AL202" s="150">
        <f t="shared" si="49"/>
        <v>-32220.729999999996</v>
      </c>
      <c r="AM202" s="149">
        <f t="shared" si="44"/>
        <v>-0.27239743965734498</v>
      </c>
      <c r="AN202" s="150">
        <f t="shared" si="45"/>
        <v>1096220.73</v>
      </c>
      <c r="AO202" s="151">
        <f t="shared" si="46"/>
        <v>0.92720456839143273</v>
      </c>
      <c r="AP202" s="154">
        <f t="shared" si="50"/>
        <v>118285.73</v>
      </c>
      <c r="AQ202" s="154"/>
      <c r="AR202" s="786" t="str">
        <f t="shared" si="51"/>
        <v>Vendido</v>
      </c>
      <c r="AS202" s="786" t="str">
        <f t="shared" si="52"/>
        <v>Cliente Atrasado</v>
      </c>
      <c r="AT202" s="174">
        <v>21</v>
      </c>
      <c r="AU202" s="174">
        <f t="shared" si="53"/>
        <v>1</v>
      </c>
      <c r="AV202" s="174">
        <f t="shared" si="54"/>
        <v>22</v>
      </c>
      <c r="AW202" s="173">
        <v>5371</v>
      </c>
      <c r="AX202" s="786">
        <f t="shared" si="47"/>
        <v>15</v>
      </c>
      <c r="AY202" s="787">
        <f t="shared" si="42"/>
        <v>16</v>
      </c>
      <c r="AZ202" s="152"/>
      <c r="BA202" s="152"/>
    </row>
    <row r="203" spans="1:53" x14ac:dyDescent="0.25">
      <c r="A203" s="93"/>
      <c r="B203" s="164">
        <v>1110</v>
      </c>
      <c r="C203" s="164" t="s">
        <v>366</v>
      </c>
      <c r="D203" s="165" t="s">
        <v>607</v>
      </c>
      <c r="E203" s="166">
        <v>45082</v>
      </c>
      <c r="F203" s="164" t="s">
        <v>467</v>
      </c>
      <c r="G203" s="164" t="s">
        <v>128</v>
      </c>
      <c r="H203" s="167">
        <v>1166200</v>
      </c>
      <c r="I203" s="167">
        <v>116700</v>
      </c>
      <c r="J203" s="121">
        <v>0</v>
      </c>
      <c r="K203" s="121">
        <v>0</v>
      </c>
      <c r="L203" s="121">
        <v>0</v>
      </c>
      <c r="M203" s="121">
        <v>6000</v>
      </c>
      <c r="N203" s="121">
        <v>0</v>
      </c>
      <c r="O203" s="121">
        <v>0</v>
      </c>
      <c r="P203" s="121">
        <v>3954</v>
      </c>
      <c r="Q203" s="121">
        <v>3954</v>
      </c>
      <c r="R203" s="121">
        <v>3954</v>
      </c>
      <c r="S203" s="121">
        <v>3954</v>
      </c>
      <c r="T203" s="121">
        <v>3954</v>
      </c>
      <c r="U203" s="121">
        <v>3954</v>
      </c>
      <c r="V203" s="121">
        <v>3954</v>
      </c>
      <c r="W203" s="121">
        <v>0</v>
      </c>
      <c r="X203" s="121">
        <v>3954</v>
      </c>
      <c r="Y203" s="121">
        <v>3954</v>
      </c>
      <c r="Z203" s="121">
        <v>3954</v>
      </c>
      <c r="AA203" s="121">
        <v>7908</v>
      </c>
      <c r="AB203" s="121">
        <v>0</v>
      </c>
      <c r="AC203" s="121">
        <v>3954</v>
      </c>
      <c r="AD203" s="121">
        <v>0</v>
      </c>
      <c r="AE203" s="121">
        <v>3954</v>
      </c>
      <c r="AF203" s="121">
        <v>0</v>
      </c>
      <c r="AG203" s="121">
        <v>15816</v>
      </c>
      <c r="AH203" s="121">
        <v>0</v>
      </c>
      <c r="AI203" s="121">
        <v>0</v>
      </c>
      <c r="AJ203" s="784">
        <f t="shared" si="48"/>
        <v>77172</v>
      </c>
      <c r="AK203" s="149">
        <f t="shared" si="43"/>
        <v>0.66128534704370179</v>
      </c>
      <c r="AL203" s="150">
        <f t="shared" si="49"/>
        <v>-39528</v>
      </c>
      <c r="AM203" s="149">
        <f t="shared" si="44"/>
        <v>-0.33871465295629821</v>
      </c>
      <c r="AN203" s="150">
        <f t="shared" si="45"/>
        <v>1089028</v>
      </c>
      <c r="AO203" s="151">
        <f t="shared" si="46"/>
        <v>0.93382610186931914</v>
      </c>
      <c r="AP203" s="154">
        <f t="shared" si="50"/>
        <v>116700</v>
      </c>
      <c r="AQ203" s="154"/>
      <c r="AR203" s="786" t="str">
        <f t="shared" si="51"/>
        <v>Vendido</v>
      </c>
      <c r="AS203" s="786" t="str">
        <f t="shared" si="52"/>
        <v>Cliente Atrasado</v>
      </c>
      <c r="AT203" s="174">
        <v>28</v>
      </c>
      <c r="AU203" s="174">
        <f t="shared" si="53"/>
        <v>1</v>
      </c>
      <c r="AV203" s="174">
        <f t="shared" si="54"/>
        <v>29</v>
      </c>
      <c r="AW203" s="173">
        <v>3954</v>
      </c>
      <c r="AX203" s="786">
        <f t="shared" si="47"/>
        <v>12</v>
      </c>
      <c r="AY203" s="787">
        <f t="shared" ref="AY203:AY266" si="55">IFERROR(DATEDIF($E203,$AI$6,"M"),0)</f>
        <v>22</v>
      </c>
      <c r="AZ203" s="152"/>
      <c r="BA203" s="152"/>
    </row>
    <row r="204" spans="1:53" x14ac:dyDescent="0.25">
      <c r="A204" s="93"/>
      <c r="B204" s="164">
        <v>1111</v>
      </c>
      <c r="C204" s="164" t="s">
        <v>366</v>
      </c>
      <c r="D204" s="165" t="s">
        <v>608</v>
      </c>
      <c r="E204" s="166">
        <v>45329</v>
      </c>
      <c r="F204" s="164" t="s">
        <v>469</v>
      </c>
      <c r="G204" s="164" t="s">
        <v>128</v>
      </c>
      <c r="H204" s="167">
        <v>1193202.5</v>
      </c>
      <c r="I204" s="167">
        <v>119402.5</v>
      </c>
      <c r="J204" s="121">
        <v>0</v>
      </c>
      <c r="K204" s="121">
        <v>0</v>
      </c>
      <c r="L204" s="121">
        <v>0</v>
      </c>
      <c r="M204" s="121">
        <v>0</v>
      </c>
      <c r="N204" s="121">
        <v>0</v>
      </c>
      <c r="O204" s="121">
        <v>0</v>
      </c>
      <c r="P204" s="121">
        <v>0</v>
      </c>
      <c r="Q204" s="121">
        <v>0</v>
      </c>
      <c r="R204" s="121">
        <v>0</v>
      </c>
      <c r="S204" s="121">
        <v>0</v>
      </c>
      <c r="T204" s="121">
        <v>0</v>
      </c>
      <c r="U204" s="121">
        <v>8000</v>
      </c>
      <c r="V204" s="121">
        <v>5859</v>
      </c>
      <c r="W204" s="121">
        <v>5859</v>
      </c>
      <c r="X204" s="121">
        <v>5859</v>
      </c>
      <c r="Y204" s="121">
        <v>5859</v>
      </c>
      <c r="Z204" s="121">
        <v>5859</v>
      </c>
      <c r="AA204" s="121">
        <v>5859</v>
      </c>
      <c r="AB204" s="121">
        <v>5859</v>
      </c>
      <c r="AC204" s="121">
        <v>5859</v>
      </c>
      <c r="AD204" s="121">
        <v>5859</v>
      </c>
      <c r="AE204" s="121">
        <v>5859</v>
      </c>
      <c r="AF204" s="121">
        <v>5859</v>
      </c>
      <c r="AG204" s="121">
        <v>5859</v>
      </c>
      <c r="AH204" s="121">
        <v>5859</v>
      </c>
      <c r="AI204" s="121">
        <v>5859</v>
      </c>
      <c r="AJ204" s="784">
        <f t="shared" si="48"/>
        <v>90026</v>
      </c>
      <c r="AK204" s="149">
        <f t="shared" si="43"/>
        <v>0.75397081300642788</v>
      </c>
      <c r="AL204" s="150">
        <f t="shared" si="49"/>
        <v>-29376.5</v>
      </c>
      <c r="AM204" s="149">
        <f t="shared" si="44"/>
        <v>-0.24602918699357215</v>
      </c>
      <c r="AN204" s="150">
        <f t="shared" si="45"/>
        <v>1103176.5</v>
      </c>
      <c r="AO204" s="151">
        <f t="shared" si="46"/>
        <v>0.9245509458788429</v>
      </c>
      <c r="AP204" s="154">
        <f t="shared" si="50"/>
        <v>119402.5</v>
      </c>
      <c r="AQ204" s="154"/>
      <c r="AR204" s="786" t="str">
        <f t="shared" si="51"/>
        <v>Vendido</v>
      </c>
      <c r="AS204" s="786" t="str">
        <f t="shared" si="52"/>
        <v>Cliente Atrasado</v>
      </c>
      <c r="AT204" s="174">
        <v>19</v>
      </c>
      <c r="AU204" s="174">
        <f t="shared" si="53"/>
        <v>1</v>
      </c>
      <c r="AV204" s="174">
        <f t="shared" si="54"/>
        <v>20</v>
      </c>
      <c r="AW204" s="173">
        <v>5863</v>
      </c>
      <c r="AX204" s="786">
        <f t="shared" si="47"/>
        <v>0</v>
      </c>
      <c r="AY204" s="787">
        <f t="shared" si="55"/>
        <v>14</v>
      </c>
      <c r="AZ204" s="152"/>
      <c r="BA204" s="152"/>
    </row>
    <row r="205" spans="1:53" x14ac:dyDescent="0.25">
      <c r="A205" s="93"/>
      <c r="B205" s="164">
        <v>1112</v>
      </c>
      <c r="C205" s="164" t="s">
        <v>366</v>
      </c>
      <c r="D205" s="165" t="s">
        <v>609</v>
      </c>
      <c r="E205" s="166">
        <v>45083</v>
      </c>
      <c r="F205" s="164" t="s">
        <v>406</v>
      </c>
      <c r="G205" s="164" t="s">
        <v>128</v>
      </c>
      <c r="H205" s="167">
        <v>690627.17</v>
      </c>
      <c r="I205" s="167">
        <v>690627.17</v>
      </c>
      <c r="J205" s="121">
        <v>0</v>
      </c>
      <c r="K205" s="121">
        <v>0</v>
      </c>
      <c r="L205" s="121">
        <v>0</v>
      </c>
      <c r="M205" s="121">
        <v>75062.720000000001</v>
      </c>
      <c r="N205" s="121">
        <v>22799</v>
      </c>
      <c r="O205" s="121">
        <v>22799</v>
      </c>
      <c r="P205" s="121">
        <v>22799</v>
      </c>
      <c r="Q205" s="121">
        <v>22799</v>
      </c>
      <c r="R205" s="121">
        <v>22799</v>
      </c>
      <c r="S205" s="121">
        <v>22799</v>
      </c>
      <c r="T205" s="121">
        <v>22799</v>
      </c>
      <c r="U205" s="121">
        <v>22799</v>
      </c>
      <c r="V205" s="121">
        <v>22799</v>
      </c>
      <c r="W205" s="121">
        <v>0</v>
      </c>
      <c r="X205" s="121">
        <v>0</v>
      </c>
      <c r="Y205" s="121">
        <v>45598</v>
      </c>
      <c r="Z205" s="121">
        <v>22799</v>
      </c>
      <c r="AA205" s="121">
        <v>22799</v>
      </c>
      <c r="AB205" s="121">
        <v>22799</v>
      </c>
      <c r="AC205" s="121">
        <v>22799</v>
      </c>
      <c r="AD205" s="121">
        <v>22799</v>
      </c>
      <c r="AE205" s="121">
        <v>22799</v>
      </c>
      <c r="AF205" s="121">
        <v>22799</v>
      </c>
      <c r="AG205" s="121">
        <v>22799</v>
      </c>
      <c r="AH205" s="121">
        <v>0</v>
      </c>
      <c r="AI205" s="121">
        <v>0</v>
      </c>
      <c r="AJ205" s="784">
        <f t="shared" si="48"/>
        <v>508243.72</v>
      </c>
      <c r="AK205" s="149">
        <f t="shared" si="43"/>
        <v>0.73591619628865734</v>
      </c>
      <c r="AL205" s="150">
        <f t="shared" si="49"/>
        <v>-182383.45000000007</v>
      </c>
      <c r="AM205" s="149">
        <f t="shared" si="44"/>
        <v>-0.26408380371134266</v>
      </c>
      <c r="AN205" s="150">
        <f t="shared" si="45"/>
        <v>182383.45000000007</v>
      </c>
      <c r="AO205" s="151">
        <f t="shared" si="46"/>
        <v>0.26408380371134266</v>
      </c>
      <c r="AP205" s="154">
        <f t="shared" si="50"/>
        <v>690627.17</v>
      </c>
      <c r="AQ205" s="154"/>
      <c r="AR205" s="786" t="str">
        <f t="shared" si="51"/>
        <v>Vendido</v>
      </c>
      <c r="AS205" s="786" t="str">
        <f t="shared" si="52"/>
        <v>Cliente Atrasado</v>
      </c>
      <c r="AT205" s="174">
        <v>27</v>
      </c>
      <c r="AU205" s="174">
        <f t="shared" si="53"/>
        <v>1</v>
      </c>
      <c r="AV205" s="174">
        <f t="shared" si="54"/>
        <v>28</v>
      </c>
      <c r="AW205" s="173">
        <v>22799</v>
      </c>
      <c r="AX205" s="786">
        <f t="shared" si="47"/>
        <v>17</v>
      </c>
      <c r="AY205" s="787">
        <f t="shared" si="55"/>
        <v>22</v>
      </c>
      <c r="AZ205" s="152"/>
      <c r="BA205" s="152"/>
    </row>
    <row r="206" spans="1:53" x14ac:dyDescent="0.25">
      <c r="A206" s="93"/>
      <c r="B206" s="164">
        <v>1113</v>
      </c>
      <c r="C206" s="164" t="s">
        <v>356</v>
      </c>
      <c r="D206" s="165" t="s">
        <v>610</v>
      </c>
      <c r="E206" s="166">
        <v>45021</v>
      </c>
      <c r="F206" s="164" t="s">
        <v>181</v>
      </c>
      <c r="G206" s="164" t="s">
        <v>128</v>
      </c>
      <c r="H206" s="167">
        <v>645639</v>
      </c>
      <c r="I206" s="167">
        <v>64639</v>
      </c>
      <c r="J206" s="121">
        <v>0</v>
      </c>
      <c r="K206" s="121">
        <v>6000</v>
      </c>
      <c r="L206" s="121">
        <v>2000</v>
      </c>
      <c r="M206" s="121">
        <v>2000</v>
      </c>
      <c r="N206" s="121">
        <v>2000</v>
      </c>
      <c r="O206" s="121">
        <v>2000</v>
      </c>
      <c r="P206" s="121">
        <v>2000</v>
      </c>
      <c r="Q206" s="121">
        <v>2000</v>
      </c>
      <c r="R206" s="121">
        <v>2000</v>
      </c>
      <c r="S206" s="121">
        <v>2000</v>
      </c>
      <c r="T206" s="121">
        <v>2000</v>
      </c>
      <c r="U206" s="121">
        <v>2000</v>
      </c>
      <c r="V206" s="121">
        <v>2000</v>
      </c>
      <c r="W206" s="121">
        <v>2000</v>
      </c>
      <c r="X206" s="121">
        <v>2000</v>
      </c>
      <c r="Y206" s="121">
        <v>2000</v>
      </c>
      <c r="Z206" s="121">
        <v>2000</v>
      </c>
      <c r="AA206" s="121">
        <v>0</v>
      </c>
      <c r="AB206" s="121">
        <v>4000</v>
      </c>
      <c r="AC206" s="121">
        <v>2000</v>
      </c>
      <c r="AD206" s="121">
        <v>2000</v>
      </c>
      <c r="AE206" s="121">
        <v>2000</v>
      </c>
      <c r="AF206" s="121">
        <v>0</v>
      </c>
      <c r="AG206" s="121">
        <f>2000+2000</f>
        <v>4000</v>
      </c>
      <c r="AH206" s="121">
        <v>2000</v>
      </c>
      <c r="AI206" s="121">
        <v>0</v>
      </c>
      <c r="AJ206" s="784">
        <f t="shared" si="48"/>
        <v>52000</v>
      </c>
      <c r="AK206" s="149">
        <f t="shared" si="43"/>
        <v>0.80446789090177762</v>
      </c>
      <c r="AL206" s="150">
        <f t="shared" si="49"/>
        <v>-12639</v>
      </c>
      <c r="AM206" s="149">
        <f t="shared" si="44"/>
        <v>-0.19553210909822244</v>
      </c>
      <c r="AN206" s="150">
        <f t="shared" si="45"/>
        <v>593639</v>
      </c>
      <c r="AO206" s="151">
        <f t="shared" si="46"/>
        <v>0.91945963611244053</v>
      </c>
      <c r="AP206" s="154">
        <f t="shared" si="50"/>
        <v>64639</v>
      </c>
      <c r="AQ206" s="154"/>
      <c r="AR206" s="786" t="str">
        <f t="shared" si="51"/>
        <v>Vendido</v>
      </c>
      <c r="AS206" s="786" t="str">
        <f t="shared" si="52"/>
        <v>Cliente Atrasado</v>
      </c>
      <c r="AT206" s="174">
        <v>29</v>
      </c>
      <c r="AU206" s="174">
        <f t="shared" si="53"/>
        <v>1</v>
      </c>
      <c r="AV206" s="174">
        <f t="shared" si="54"/>
        <v>30</v>
      </c>
      <c r="AW206" s="173">
        <v>2000</v>
      </c>
      <c r="AX206" s="786">
        <f t="shared" si="47"/>
        <v>19</v>
      </c>
      <c r="AY206" s="787">
        <f t="shared" si="55"/>
        <v>24</v>
      </c>
      <c r="AZ206" s="152"/>
      <c r="BA206" s="152"/>
    </row>
    <row r="207" spans="1:53" x14ac:dyDescent="0.25">
      <c r="A207" s="93"/>
      <c r="B207" s="164">
        <v>1114</v>
      </c>
      <c r="C207" s="164" t="s">
        <v>366</v>
      </c>
      <c r="D207" s="165" t="s">
        <v>612</v>
      </c>
      <c r="E207" s="166">
        <v>45440</v>
      </c>
      <c r="F207" s="164" t="s">
        <v>611</v>
      </c>
      <c r="G207" s="164" t="s">
        <v>128</v>
      </c>
      <c r="H207" s="167">
        <v>801793.67</v>
      </c>
      <c r="I207" s="167">
        <v>77986.52</v>
      </c>
      <c r="J207" s="121">
        <v>0</v>
      </c>
      <c r="K207" s="121">
        <v>0</v>
      </c>
      <c r="L207" s="121">
        <v>0</v>
      </c>
      <c r="M207" s="121">
        <v>0</v>
      </c>
      <c r="N207" s="121">
        <v>0</v>
      </c>
      <c r="O207" s="121">
        <v>0</v>
      </c>
      <c r="P207" s="121">
        <v>0</v>
      </c>
      <c r="Q207" s="121">
        <v>0</v>
      </c>
      <c r="R207" s="121">
        <v>0</v>
      </c>
      <c r="S207" s="121">
        <v>0</v>
      </c>
      <c r="T207" s="121">
        <v>0</v>
      </c>
      <c r="U207" s="121">
        <v>0</v>
      </c>
      <c r="V207" s="121">
        <v>0</v>
      </c>
      <c r="W207" s="121">
        <v>0</v>
      </c>
      <c r="X207" s="121">
        <v>8000</v>
      </c>
      <c r="Y207" s="121">
        <v>0</v>
      </c>
      <c r="Z207" s="121">
        <v>7368</v>
      </c>
      <c r="AA207" s="121">
        <v>7368</v>
      </c>
      <c r="AB207" s="121">
        <v>0</v>
      </c>
      <c r="AC207" s="121">
        <v>3684</v>
      </c>
      <c r="AD207" s="121">
        <v>7368</v>
      </c>
      <c r="AE207" s="121">
        <v>0</v>
      </c>
      <c r="AF207" s="121">
        <v>7368</v>
      </c>
      <c r="AG207" s="121">
        <v>0</v>
      </c>
      <c r="AH207" s="121">
        <v>3684</v>
      </c>
      <c r="AI207" s="121">
        <v>0</v>
      </c>
      <c r="AJ207" s="784">
        <f t="shared" si="48"/>
        <v>44840</v>
      </c>
      <c r="AK207" s="149">
        <f t="shared" si="43"/>
        <v>0.57497116168281392</v>
      </c>
      <c r="AL207" s="150">
        <f t="shared" si="49"/>
        <v>-33146.520000000004</v>
      </c>
      <c r="AM207" s="149">
        <f t="shared" si="44"/>
        <v>-0.42502883831718613</v>
      </c>
      <c r="AN207" s="150">
        <f t="shared" si="45"/>
        <v>756953.67</v>
      </c>
      <c r="AO207" s="151">
        <f t="shared" si="46"/>
        <v>0.94407538787379053</v>
      </c>
      <c r="AP207" s="154">
        <f t="shared" si="50"/>
        <v>77986.52</v>
      </c>
      <c r="AQ207" s="154"/>
      <c r="AR207" s="786" t="str">
        <f t="shared" si="51"/>
        <v>Vendido</v>
      </c>
      <c r="AS207" s="786" t="str">
        <f t="shared" si="52"/>
        <v>Cliente Atrasado</v>
      </c>
      <c r="AT207" s="174">
        <v>16</v>
      </c>
      <c r="AU207" s="174">
        <f t="shared" si="53"/>
        <v>1</v>
      </c>
      <c r="AV207" s="174">
        <f t="shared" si="54"/>
        <v>17</v>
      </c>
      <c r="AW207" s="173">
        <v>3684</v>
      </c>
      <c r="AX207" s="786">
        <f t="shared" si="47"/>
        <v>2</v>
      </c>
      <c r="AY207" s="787">
        <f t="shared" si="55"/>
        <v>11</v>
      </c>
      <c r="AZ207" s="152"/>
      <c r="BA207" s="152"/>
    </row>
    <row r="208" spans="1:53" x14ac:dyDescent="0.25">
      <c r="A208" s="93"/>
      <c r="B208" s="164">
        <v>1115</v>
      </c>
      <c r="C208" s="164"/>
      <c r="D208" s="165"/>
      <c r="E208" s="166"/>
      <c r="F208" s="164" t="s">
        <v>400</v>
      </c>
      <c r="G208" s="164" t="s">
        <v>374</v>
      </c>
      <c r="H208" s="167">
        <v>1142630.20477101</v>
      </c>
      <c r="I208" s="167">
        <f>+H208*0.1</f>
        <v>114263.020477101</v>
      </c>
      <c r="J208" s="121">
        <v>0</v>
      </c>
      <c r="K208" s="121">
        <v>0</v>
      </c>
      <c r="L208" s="121">
        <v>0</v>
      </c>
      <c r="M208" s="121">
        <v>0</v>
      </c>
      <c r="N208" s="121">
        <v>0</v>
      </c>
      <c r="O208" s="121">
        <v>0</v>
      </c>
      <c r="P208" s="121">
        <v>0</v>
      </c>
      <c r="Q208" s="121">
        <v>0</v>
      </c>
      <c r="R208" s="121">
        <v>0</v>
      </c>
      <c r="S208" s="121">
        <v>0</v>
      </c>
      <c r="T208" s="121">
        <v>0</v>
      </c>
      <c r="U208" s="121">
        <v>0</v>
      </c>
      <c r="V208" s="121">
        <v>0</v>
      </c>
      <c r="W208" s="121">
        <v>0</v>
      </c>
      <c r="X208" s="121">
        <v>0</v>
      </c>
      <c r="Y208" s="121">
        <v>0</v>
      </c>
      <c r="Z208" s="121">
        <v>0</v>
      </c>
      <c r="AA208" s="121">
        <v>0</v>
      </c>
      <c r="AB208" s="121">
        <v>0</v>
      </c>
      <c r="AC208" s="121">
        <v>0</v>
      </c>
      <c r="AD208" s="121">
        <v>0</v>
      </c>
      <c r="AE208" s="121">
        <v>0</v>
      </c>
      <c r="AF208" s="121">
        <v>0</v>
      </c>
      <c r="AG208" s="121">
        <v>0</v>
      </c>
      <c r="AH208" s="121">
        <v>0</v>
      </c>
      <c r="AI208" s="121">
        <v>0</v>
      </c>
      <c r="AJ208" s="784">
        <f t="shared" si="48"/>
        <v>0</v>
      </c>
      <c r="AK208" s="149">
        <f t="shared" si="43"/>
        <v>0</v>
      </c>
      <c r="AL208" s="150">
        <f t="shared" si="49"/>
        <v>0</v>
      </c>
      <c r="AM208" s="149">
        <f t="shared" si="44"/>
        <v>0</v>
      </c>
      <c r="AN208" s="150">
        <f t="shared" si="45"/>
        <v>1142630.20477101</v>
      </c>
      <c r="AO208" s="151">
        <f t="shared" si="46"/>
        <v>1</v>
      </c>
      <c r="AP208" s="154">
        <f t="shared" si="50"/>
        <v>0</v>
      </c>
      <c r="AQ208" s="154"/>
      <c r="AR208" s="786" t="str">
        <f t="shared" si="51"/>
        <v>Apartamento Disponible</v>
      </c>
      <c r="AS208" s="786" t="str">
        <f t="shared" si="52"/>
        <v>Disponible</v>
      </c>
      <c r="AT208" s="174"/>
      <c r="AU208" s="174">
        <f t="shared" si="53"/>
        <v>0</v>
      </c>
      <c r="AV208" s="174">
        <f t="shared" si="54"/>
        <v>0</v>
      </c>
      <c r="AW208" s="173"/>
      <c r="AX208" s="786">
        <f t="shared" si="47"/>
        <v>26</v>
      </c>
      <c r="AY208" s="787">
        <f t="shared" si="55"/>
        <v>1503</v>
      </c>
      <c r="AZ208" s="152"/>
      <c r="BA208" s="152"/>
    </row>
    <row r="209" spans="1:53" x14ac:dyDescent="0.25">
      <c r="A209" s="93"/>
      <c r="B209" s="164">
        <v>1116</v>
      </c>
      <c r="C209" s="164" t="s">
        <v>366</v>
      </c>
      <c r="D209" s="165" t="s">
        <v>614</v>
      </c>
      <c r="E209" s="166">
        <v>45337</v>
      </c>
      <c r="F209" s="164" t="s">
        <v>175</v>
      </c>
      <c r="G209" s="164" t="s">
        <v>128</v>
      </c>
      <c r="H209" s="167">
        <v>887400</v>
      </c>
      <c r="I209" s="167">
        <v>88800</v>
      </c>
      <c r="J209" s="121">
        <v>0</v>
      </c>
      <c r="K209" s="121">
        <v>0</v>
      </c>
      <c r="L209" s="121">
        <v>0</v>
      </c>
      <c r="M209" s="121">
        <v>0</v>
      </c>
      <c r="N209" s="121">
        <v>0</v>
      </c>
      <c r="O209" s="121">
        <v>0</v>
      </c>
      <c r="P209" s="121">
        <v>0</v>
      </c>
      <c r="Q209" s="121">
        <v>0</v>
      </c>
      <c r="R209" s="121">
        <v>0</v>
      </c>
      <c r="S209" s="121">
        <v>0</v>
      </c>
      <c r="T209" s="121">
        <v>0</v>
      </c>
      <c r="U209" s="121">
        <v>8000</v>
      </c>
      <c r="V209" s="121">
        <v>4253</v>
      </c>
      <c r="W209" s="121">
        <v>4253</v>
      </c>
      <c r="X209" s="121">
        <v>4253</v>
      </c>
      <c r="Y209" s="121">
        <v>4253</v>
      </c>
      <c r="Z209" s="121">
        <v>4253</v>
      </c>
      <c r="AA209" s="121">
        <v>4253</v>
      </c>
      <c r="AB209" s="121">
        <v>0</v>
      </c>
      <c r="AC209" s="121">
        <v>0</v>
      </c>
      <c r="AD209" s="121">
        <v>0</v>
      </c>
      <c r="AE209" s="121">
        <v>0</v>
      </c>
      <c r="AF209" s="121">
        <v>0</v>
      </c>
      <c r="AG209" s="121">
        <v>0</v>
      </c>
      <c r="AH209" s="121">
        <v>10000</v>
      </c>
      <c r="AI209" s="121">
        <v>0</v>
      </c>
      <c r="AJ209" s="784">
        <f t="shared" si="48"/>
        <v>43518</v>
      </c>
      <c r="AK209" s="149">
        <f t="shared" si="43"/>
        <v>0.49006756756756759</v>
      </c>
      <c r="AL209" s="150">
        <f t="shared" si="49"/>
        <v>-45282</v>
      </c>
      <c r="AM209" s="149">
        <f t="shared" si="44"/>
        <v>-0.50993243243243247</v>
      </c>
      <c r="AN209" s="150">
        <f t="shared" si="45"/>
        <v>843882</v>
      </c>
      <c r="AO209" s="151">
        <f t="shared" si="46"/>
        <v>0.95096010818120347</v>
      </c>
      <c r="AP209" s="154">
        <f t="shared" si="50"/>
        <v>88800</v>
      </c>
      <c r="AQ209" s="154"/>
      <c r="AR209" s="786" t="str">
        <f t="shared" si="51"/>
        <v>Vendido</v>
      </c>
      <c r="AS209" s="786" t="str">
        <f t="shared" si="52"/>
        <v>Cliente Atrasado</v>
      </c>
      <c r="AT209" s="174">
        <v>19</v>
      </c>
      <c r="AU209" s="174">
        <f t="shared" si="53"/>
        <v>1</v>
      </c>
      <c r="AV209" s="174">
        <f t="shared" si="54"/>
        <v>20</v>
      </c>
      <c r="AW209" s="173">
        <v>4253</v>
      </c>
      <c r="AX209" s="786">
        <f t="shared" si="47"/>
        <v>6</v>
      </c>
      <c r="AY209" s="787">
        <f t="shared" si="55"/>
        <v>14</v>
      </c>
      <c r="AZ209" s="152"/>
      <c r="BA209" s="152"/>
    </row>
    <row r="210" spans="1:53" ht="15" customHeight="1" x14ac:dyDescent="0.25">
      <c r="A210" s="93"/>
      <c r="B210" s="164">
        <v>1117</v>
      </c>
      <c r="C210" s="164" t="s">
        <v>366</v>
      </c>
      <c r="D210" s="165" t="s">
        <v>615</v>
      </c>
      <c r="E210" s="166">
        <v>45274</v>
      </c>
      <c r="F210" s="164" t="s">
        <v>597</v>
      </c>
      <c r="G210" s="164" t="s">
        <v>128</v>
      </c>
      <c r="H210" s="167">
        <v>1165934.22</v>
      </c>
      <c r="I210" s="167">
        <v>116634.22</v>
      </c>
      <c r="J210" s="121">
        <v>0</v>
      </c>
      <c r="K210" s="121">
        <v>0</v>
      </c>
      <c r="L210" s="121">
        <v>0</v>
      </c>
      <c r="M210" s="121">
        <v>0</v>
      </c>
      <c r="N210" s="121">
        <v>0</v>
      </c>
      <c r="O210" s="121">
        <v>0</v>
      </c>
      <c r="P210" s="121">
        <v>0</v>
      </c>
      <c r="Q210" s="121">
        <v>0</v>
      </c>
      <c r="R210" s="121">
        <v>0</v>
      </c>
      <c r="S210" s="121">
        <v>5500</v>
      </c>
      <c r="T210" s="121">
        <v>5292</v>
      </c>
      <c r="U210" s="121">
        <v>5292</v>
      </c>
      <c r="V210" s="121">
        <v>5292</v>
      </c>
      <c r="W210" s="121">
        <v>5292</v>
      </c>
      <c r="X210" s="121">
        <v>5292</v>
      </c>
      <c r="Y210" s="121">
        <v>0</v>
      </c>
      <c r="Z210" s="121">
        <v>10584</v>
      </c>
      <c r="AA210" s="121">
        <v>5292</v>
      </c>
      <c r="AB210" s="121">
        <v>5292</v>
      </c>
      <c r="AC210" s="121">
        <v>5292</v>
      </c>
      <c r="AD210" s="121">
        <v>0</v>
      </c>
      <c r="AE210" s="121">
        <f>5292+5292</f>
        <v>10584</v>
      </c>
      <c r="AF210" s="121">
        <v>5292</v>
      </c>
      <c r="AG210" s="121">
        <v>0</v>
      </c>
      <c r="AH210" s="121">
        <f>5292+5292</f>
        <v>10584</v>
      </c>
      <c r="AI210" s="121">
        <v>0</v>
      </c>
      <c r="AJ210" s="784">
        <f t="shared" si="48"/>
        <v>84880</v>
      </c>
      <c r="AK210" s="149">
        <f t="shared" si="43"/>
        <v>0.72774525349421459</v>
      </c>
      <c r="AL210" s="150">
        <f t="shared" si="49"/>
        <v>-31754.22</v>
      </c>
      <c r="AM210" s="149">
        <f t="shared" si="44"/>
        <v>-0.27225474650578535</v>
      </c>
      <c r="AN210" s="150">
        <f t="shared" si="45"/>
        <v>1081054.22</v>
      </c>
      <c r="AO210" s="151">
        <f t="shared" si="46"/>
        <v>0.92720000961975368</v>
      </c>
      <c r="AP210" s="154">
        <f t="shared" si="50"/>
        <v>116634.22</v>
      </c>
      <c r="AQ210" s="154"/>
      <c r="AR210" s="786" t="str">
        <f t="shared" si="51"/>
        <v>Vendido</v>
      </c>
      <c r="AS210" s="786" t="str">
        <f t="shared" si="52"/>
        <v>Cliente Atrasado</v>
      </c>
      <c r="AT210" s="174">
        <v>21</v>
      </c>
      <c r="AU210" s="174">
        <f t="shared" si="53"/>
        <v>1</v>
      </c>
      <c r="AV210" s="174">
        <f t="shared" si="54"/>
        <v>22</v>
      </c>
      <c r="AW210" s="173">
        <v>5292</v>
      </c>
      <c r="AX210" s="786">
        <f t="shared" si="47"/>
        <v>9</v>
      </c>
      <c r="AY210" s="787">
        <f t="shared" si="55"/>
        <v>16</v>
      </c>
      <c r="AZ210" s="152"/>
      <c r="BA210" s="152"/>
    </row>
    <row r="211" spans="1:53" ht="15" customHeight="1" x14ac:dyDescent="0.25">
      <c r="A211" s="93"/>
      <c r="B211" s="164">
        <v>1118</v>
      </c>
      <c r="C211" s="164" t="s">
        <v>366</v>
      </c>
      <c r="D211" s="165" t="s">
        <v>1072</v>
      </c>
      <c r="E211" s="166">
        <v>45463</v>
      </c>
      <c r="F211" s="164" t="s">
        <v>599</v>
      </c>
      <c r="G211" s="164" t="s">
        <v>128</v>
      </c>
      <c r="H211" s="167">
        <v>1181000</v>
      </c>
      <c r="I211" s="167">
        <v>118100</v>
      </c>
      <c r="J211" s="121">
        <v>0</v>
      </c>
      <c r="K211" s="121">
        <v>0</v>
      </c>
      <c r="L211" s="121">
        <v>0</v>
      </c>
      <c r="M211" s="121">
        <v>0</v>
      </c>
      <c r="N211" s="121">
        <v>0</v>
      </c>
      <c r="O211" s="121">
        <v>0</v>
      </c>
      <c r="P211" s="121">
        <v>0</v>
      </c>
      <c r="Q211" s="121">
        <v>0</v>
      </c>
      <c r="R211" s="121">
        <v>0</v>
      </c>
      <c r="S211" s="121">
        <v>0</v>
      </c>
      <c r="T211" s="121">
        <v>0</v>
      </c>
      <c r="U211" s="121">
        <v>0</v>
      </c>
      <c r="V211" s="121">
        <v>0</v>
      </c>
      <c r="W211" s="121">
        <v>0</v>
      </c>
      <c r="X211" s="121">
        <v>0</v>
      </c>
      <c r="Y211" s="121">
        <v>10000</v>
      </c>
      <c r="Z211" s="121">
        <v>6006</v>
      </c>
      <c r="AA211" s="121">
        <v>6006</v>
      </c>
      <c r="AB211" s="121">
        <v>6006</v>
      </c>
      <c r="AC211" s="121">
        <v>6006</v>
      </c>
      <c r="AD211" s="121">
        <v>6006</v>
      </c>
      <c r="AE211" s="121">
        <v>6006</v>
      </c>
      <c r="AF211" s="121">
        <v>6006</v>
      </c>
      <c r="AG211" s="121">
        <v>6006</v>
      </c>
      <c r="AH211" s="121">
        <v>6006</v>
      </c>
      <c r="AI211" s="121">
        <v>0</v>
      </c>
      <c r="AJ211" s="784">
        <f t="shared" si="48"/>
        <v>64054</v>
      </c>
      <c r="AK211" s="149">
        <f t="shared" si="43"/>
        <v>0.54237087214225232</v>
      </c>
      <c r="AL211" s="150">
        <f t="shared" si="49"/>
        <v>-54046</v>
      </c>
      <c r="AM211" s="149">
        <f t="shared" si="44"/>
        <v>-0.45762912785774768</v>
      </c>
      <c r="AN211" s="150">
        <f t="shared" si="45"/>
        <v>1116946</v>
      </c>
      <c r="AO211" s="151">
        <f t="shared" si="46"/>
        <v>0.94576291278577473</v>
      </c>
      <c r="AP211" s="154">
        <f t="shared" si="50"/>
        <v>118100</v>
      </c>
      <c r="AQ211" s="154"/>
      <c r="AR211" s="786" t="str">
        <f t="shared" si="51"/>
        <v>Vendido</v>
      </c>
      <c r="AS211" s="786" t="str">
        <f t="shared" si="52"/>
        <v>Cliente Atrasado</v>
      </c>
      <c r="AT211" s="174">
        <v>18</v>
      </c>
      <c r="AU211" s="174">
        <f t="shared" si="53"/>
        <v>1</v>
      </c>
      <c r="AV211" s="174">
        <f t="shared" si="54"/>
        <v>19</v>
      </c>
      <c r="AW211" s="173">
        <v>6006</v>
      </c>
      <c r="AX211" s="786">
        <f t="shared" si="47"/>
        <v>9</v>
      </c>
      <c r="AY211" s="787">
        <f t="shared" si="55"/>
        <v>10</v>
      </c>
      <c r="AZ211" s="152"/>
      <c r="BA211" s="152"/>
    </row>
    <row r="212" spans="1:53" x14ac:dyDescent="0.25">
      <c r="A212" s="93"/>
      <c r="B212" s="164">
        <v>1201</v>
      </c>
      <c r="C212" s="164" t="s">
        <v>366</v>
      </c>
      <c r="D212" s="165" t="s">
        <v>618</v>
      </c>
      <c r="E212" s="166">
        <v>45461</v>
      </c>
      <c r="F212" s="164" t="s">
        <v>617</v>
      </c>
      <c r="G212" s="164" t="s">
        <v>128</v>
      </c>
      <c r="H212" s="167">
        <v>1253700</v>
      </c>
      <c r="I212" s="167">
        <v>125400</v>
      </c>
      <c r="J212" s="121">
        <v>0</v>
      </c>
      <c r="K212" s="121">
        <v>0</v>
      </c>
      <c r="L212" s="121">
        <v>0</v>
      </c>
      <c r="M212" s="121">
        <v>0</v>
      </c>
      <c r="N212" s="121">
        <v>0</v>
      </c>
      <c r="O212" s="121">
        <v>0</v>
      </c>
      <c r="P212" s="121">
        <v>0</v>
      </c>
      <c r="Q212" s="121">
        <v>0</v>
      </c>
      <c r="R212" s="121">
        <v>0</v>
      </c>
      <c r="S212" s="121">
        <v>0</v>
      </c>
      <c r="T212" s="121">
        <v>0</v>
      </c>
      <c r="U212" s="121">
        <v>0</v>
      </c>
      <c r="V212" s="121">
        <v>0</v>
      </c>
      <c r="W212" s="121">
        <v>0</v>
      </c>
      <c r="X212" s="121">
        <v>0</v>
      </c>
      <c r="Y212" s="121">
        <v>10000</v>
      </c>
      <c r="Z212" s="121">
        <v>6500</v>
      </c>
      <c r="AA212" s="121">
        <v>6500</v>
      </c>
      <c r="AB212" s="121">
        <v>6500</v>
      </c>
      <c r="AC212" s="121">
        <v>6500</v>
      </c>
      <c r="AD212" s="121">
        <v>0</v>
      </c>
      <c r="AE212" s="121">
        <v>6500</v>
      </c>
      <c r="AF212" s="121">
        <v>6500</v>
      </c>
      <c r="AG212" s="121">
        <v>6500</v>
      </c>
      <c r="AH212" s="121">
        <v>0</v>
      </c>
      <c r="AI212" s="121">
        <v>0</v>
      </c>
      <c r="AJ212" s="784">
        <f t="shared" si="48"/>
        <v>55500</v>
      </c>
      <c r="AK212" s="149">
        <f t="shared" si="43"/>
        <v>0.44258373205741625</v>
      </c>
      <c r="AL212" s="150">
        <f t="shared" si="49"/>
        <v>-69900</v>
      </c>
      <c r="AM212" s="149">
        <f t="shared" si="44"/>
        <v>-0.5574162679425837</v>
      </c>
      <c r="AN212" s="150">
        <f t="shared" si="45"/>
        <v>1198200</v>
      </c>
      <c r="AO212" s="151">
        <f t="shared" si="46"/>
        <v>0.95573103613304622</v>
      </c>
      <c r="AP212" s="154">
        <f t="shared" si="50"/>
        <v>125400</v>
      </c>
      <c r="AQ212" s="154"/>
      <c r="AR212" s="786" t="str">
        <f t="shared" si="51"/>
        <v>Vendido</v>
      </c>
      <c r="AS212" s="786" t="str">
        <f t="shared" si="52"/>
        <v>Cliente Atrasado</v>
      </c>
      <c r="AT212" s="174">
        <v>18</v>
      </c>
      <c r="AU212" s="174">
        <f t="shared" si="53"/>
        <v>1</v>
      </c>
      <c r="AV212" s="174">
        <f t="shared" si="54"/>
        <v>19</v>
      </c>
      <c r="AW212" s="173">
        <v>6500</v>
      </c>
      <c r="AX212" s="786">
        <f t="shared" si="47"/>
        <v>7</v>
      </c>
      <c r="AY212" s="787">
        <f t="shared" si="55"/>
        <v>10</v>
      </c>
      <c r="AZ212" s="152"/>
      <c r="BA212" s="152"/>
    </row>
    <row r="213" spans="1:53" ht="15" customHeight="1" x14ac:dyDescent="0.25">
      <c r="A213" s="93"/>
      <c r="B213" s="164">
        <v>1202</v>
      </c>
      <c r="C213" s="164" t="s">
        <v>366</v>
      </c>
      <c r="D213" s="165" t="s">
        <v>620</v>
      </c>
      <c r="E213" s="166">
        <v>45350</v>
      </c>
      <c r="F213" s="164" t="s">
        <v>619</v>
      </c>
      <c r="G213" s="164" t="s">
        <v>128</v>
      </c>
      <c r="H213" s="167">
        <v>1265500</v>
      </c>
      <c r="I213" s="167">
        <v>126600</v>
      </c>
      <c r="J213" s="121">
        <v>0</v>
      </c>
      <c r="K213" s="121">
        <v>0</v>
      </c>
      <c r="L213" s="121">
        <v>0</v>
      </c>
      <c r="M213" s="121">
        <v>0</v>
      </c>
      <c r="N213" s="121">
        <v>0</v>
      </c>
      <c r="O213" s="121">
        <v>0</v>
      </c>
      <c r="P213" s="121">
        <v>0</v>
      </c>
      <c r="Q213" s="121">
        <v>0</v>
      </c>
      <c r="R213" s="121">
        <v>0</v>
      </c>
      <c r="S213" s="121">
        <v>0</v>
      </c>
      <c r="T213" s="121">
        <v>0</v>
      </c>
      <c r="U213" s="121">
        <v>8000</v>
      </c>
      <c r="V213" s="121">
        <v>6242</v>
      </c>
      <c r="W213" s="121">
        <v>6242</v>
      </c>
      <c r="X213" s="121">
        <v>6242</v>
      </c>
      <c r="Y213" s="121">
        <v>6242</v>
      </c>
      <c r="Z213" s="121">
        <v>6242</v>
      </c>
      <c r="AA213" s="121">
        <v>6242</v>
      </c>
      <c r="AB213" s="121">
        <v>6242</v>
      </c>
      <c r="AC213" s="121">
        <v>6242</v>
      </c>
      <c r="AD213" s="121">
        <v>6242</v>
      </c>
      <c r="AE213" s="121">
        <v>6242</v>
      </c>
      <c r="AF213" s="121">
        <v>6242</v>
      </c>
      <c r="AG213" s="121">
        <v>6242</v>
      </c>
      <c r="AH213" s="121">
        <v>6242</v>
      </c>
      <c r="AI213" s="121">
        <v>0</v>
      </c>
      <c r="AJ213" s="784">
        <f t="shared" si="48"/>
        <v>89146</v>
      </c>
      <c r="AK213" s="149">
        <f t="shared" si="43"/>
        <v>0.70415481832543447</v>
      </c>
      <c r="AL213" s="150">
        <f t="shared" si="49"/>
        <v>-37454</v>
      </c>
      <c r="AM213" s="149">
        <f t="shared" si="44"/>
        <v>-0.29584518167456558</v>
      </c>
      <c r="AN213" s="150">
        <f t="shared" si="45"/>
        <v>1176354</v>
      </c>
      <c r="AO213" s="151">
        <f t="shared" si="46"/>
        <v>0.92955669695772425</v>
      </c>
      <c r="AP213" s="154">
        <f t="shared" si="50"/>
        <v>126600</v>
      </c>
      <c r="AQ213" s="154"/>
      <c r="AR213" s="786" t="str">
        <f t="shared" si="51"/>
        <v>Vendido</v>
      </c>
      <c r="AS213" s="786" t="str">
        <f t="shared" si="52"/>
        <v>Cliente Atrasado</v>
      </c>
      <c r="AT213" s="174">
        <v>19</v>
      </c>
      <c r="AU213" s="174">
        <f t="shared" si="53"/>
        <v>1</v>
      </c>
      <c r="AV213" s="174">
        <f t="shared" si="54"/>
        <v>20</v>
      </c>
      <c r="AW213" s="173">
        <v>6242</v>
      </c>
      <c r="AX213" s="786">
        <f t="shared" si="47"/>
        <v>13</v>
      </c>
      <c r="AY213" s="787">
        <f t="shared" si="55"/>
        <v>14</v>
      </c>
      <c r="AZ213" s="152"/>
      <c r="BA213" s="152"/>
    </row>
    <row r="214" spans="1:53" x14ac:dyDescent="0.25">
      <c r="A214" s="93"/>
      <c r="B214" s="164">
        <v>1203</v>
      </c>
      <c r="C214" s="164" t="s">
        <v>366</v>
      </c>
      <c r="D214" s="165" t="s">
        <v>621</v>
      </c>
      <c r="E214" s="166">
        <v>45165</v>
      </c>
      <c r="F214" s="164" t="s">
        <v>400</v>
      </c>
      <c r="G214" s="164" t="s">
        <v>128</v>
      </c>
      <c r="H214" s="167">
        <v>901400</v>
      </c>
      <c r="I214" s="167">
        <v>90200</v>
      </c>
      <c r="J214" s="121">
        <v>0</v>
      </c>
      <c r="K214" s="121">
        <v>0</v>
      </c>
      <c r="L214" s="121">
        <v>0</v>
      </c>
      <c r="M214" s="121">
        <v>0</v>
      </c>
      <c r="N214" s="121">
        <v>0</v>
      </c>
      <c r="O214" s="121">
        <v>6000</v>
      </c>
      <c r="P214" s="121">
        <v>3630</v>
      </c>
      <c r="Q214" s="121">
        <v>3630</v>
      </c>
      <c r="R214" s="121">
        <v>0</v>
      </c>
      <c r="S214" s="121">
        <v>7260</v>
      </c>
      <c r="T214" s="121">
        <v>3630</v>
      </c>
      <c r="U214" s="121">
        <v>0</v>
      </c>
      <c r="V214" s="121">
        <v>3630</v>
      </c>
      <c r="W214" s="121">
        <v>7260</v>
      </c>
      <c r="X214" s="121">
        <v>0</v>
      </c>
      <c r="Y214" s="121">
        <v>7260</v>
      </c>
      <c r="Z214" s="121">
        <v>0</v>
      </c>
      <c r="AA214" s="121">
        <v>0</v>
      </c>
      <c r="AB214" s="121">
        <v>3630</v>
      </c>
      <c r="AC214" s="121">
        <v>3630</v>
      </c>
      <c r="AD214" s="121">
        <f>3630+3630</f>
        <v>7260</v>
      </c>
      <c r="AE214" s="121">
        <v>0</v>
      </c>
      <c r="AF214" s="121">
        <v>0</v>
      </c>
      <c r="AG214" s="121">
        <f>3630+3630+3630</f>
        <v>10890</v>
      </c>
      <c r="AH214" s="121">
        <v>0</v>
      </c>
      <c r="AI214" s="121">
        <v>0</v>
      </c>
      <c r="AJ214" s="784">
        <f t="shared" si="48"/>
        <v>67710</v>
      </c>
      <c r="AK214" s="149">
        <f t="shared" si="43"/>
        <v>0.75066518847006647</v>
      </c>
      <c r="AL214" s="150">
        <f t="shared" si="49"/>
        <v>-22490</v>
      </c>
      <c r="AM214" s="149">
        <f t="shared" si="44"/>
        <v>-0.24933481152993348</v>
      </c>
      <c r="AN214" s="150">
        <f t="shared" si="45"/>
        <v>833690</v>
      </c>
      <c r="AO214" s="151">
        <f t="shared" si="46"/>
        <v>0.9248835145329487</v>
      </c>
      <c r="AP214" s="154">
        <f t="shared" si="50"/>
        <v>90200</v>
      </c>
      <c r="AQ214" s="154"/>
      <c r="AR214" s="786" t="str">
        <f t="shared" si="51"/>
        <v>Vendido</v>
      </c>
      <c r="AS214" s="786" t="str">
        <f t="shared" si="52"/>
        <v>Cliente Atrasado</v>
      </c>
      <c r="AT214" s="174">
        <v>25</v>
      </c>
      <c r="AU214" s="174">
        <f t="shared" si="53"/>
        <v>1</v>
      </c>
      <c r="AV214" s="174">
        <f t="shared" si="54"/>
        <v>26</v>
      </c>
      <c r="AW214" s="173">
        <v>3368</v>
      </c>
      <c r="AX214" s="786">
        <f t="shared" si="47"/>
        <v>0</v>
      </c>
      <c r="AY214" s="787">
        <f t="shared" si="55"/>
        <v>20</v>
      </c>
      <c r="AZ214" s="152"/>
      <c r="BA214" s="152"/>
    </row>
    <row r="215" spans="1:53" ht="15" customHeight="1" x14ac:dyDescent="0.25">
      <c r="A215" s="93"/>
      <c r="B215" s="164">
        <v>1204</v>
      </c>
      <c r="C215" s="164" t="s">
        <v>366</v>
      </c>
      <c r="D215" s="165" t="s">
        <v>622</v>
      </c>
      <c r="E215" s="166">
        <v>45336</v>
      </c>
      <c r="F215" s="164" t="s">
        <v>175</v>
      </c>
      <c r="G215" s="164" t="s">
        <v>128</v>
      </c>
      <c r="H215" s="167">
        <v>887400</v>
      </c>
      <c r="I215" s="167">
        <v>88800</v>
      </c>
      <c r="J215" s="121">
        <v>0</v>
      </c>
      <c r="K215" s="121">
        <v>0</v>
      </c>
      <c r="L215" s="121">
        <v>0</v>
      </c>
      <c r="M215" s="121">
        <v>0</v>
      </c>
      <c r="N215" s="121">
        <v>0</v>
      </c>
      <c r="O215" s="121">
        <v>0</v>
      </c>
      <c r="P215" s="121">
        <v>0</v>
      </c>
      <c r="Q215" s="121">
        <v>0</v>
      </c>
      <c r="R215" s="121">
        <v>0</v>
      </c>
      <c r="S215" s="121">
        <v>0</v>
      </c>
      <c r="T215" s="121">
        <v>0</v>
      </c>
      <c r="U215" s="121">
        <v>8000</v>
      </c>
      <c r="V215" s="121">
        <v>4253</v>
      </c>
      <c r="W215" s="121">
        <v>4253</v>
      </c>
      <c r="X215" s="121">
        <v>4253</v>
      </c>
      <c r="Y215" s="121">
        <v>4253</v>
      </c>
      <c r="Z215" s="121">
        <v>4253</v>
      </c>
      <c r="AA215" s="121">
        <v>4253</v>
      </c>
      <c r="AB215" s="121">
        <v>4253</v>
      </c>
      <c r="AC215" s="121">
        <v>4253</v>
      </c>
      <c r="AD215" s="121">
        <v>4253</v>
      </c>
      <c r="AE215" s="121">
        <v>4253</v>
      </c>
      <c r="AF215" s="121">
        <v>4253</v>
      </c>
      <c r="AG215" s="121">
        <v>4253</v>
      </c>
      <c r="AH215" s="121">
        <v>4253</v>
      </c>
      <c r="AI215" s="121">
        <v>0</v>
      </c>
      <c r="AJ215" s="784">
        <f t="shared" si="48"/>
        <v>63289</v>
      </c>
      <c r="AK215" s="149">
        <f t="shared" si="43"/>
        <v>0.71271396396396391</v>
      </c>
      <c r="AL215" s="150">
        <f t="shared" si="49"/>
        <v>-25511</v>
      </c>
      <c r="AM215" s="149">
        <f t="shared" si="44"/>
        <v>-0.28728603603603603</v>
      </c>
      <c r="AN215" s="150">
        <f t="shared" si="45"/>
        <v>824111</v>
      </c>
      <c r="AO215" s="151">
        <f t="shared" si="46"/>
        <v>0.92868041469461349</v>
      </c>
      <c r="AP215" s="154">
        <f t="shared" si="50"/>
        <v>88800</v>
      </c>
      <c r="AQ215" s="154"/>
      <c r="AR215" s="786" t="str">
        <f t="shared" si="51"/>
        <v>Vendido</v>
      </c>
      <c r="AS215" s="786" t="str">
        <f t="shared" si="52"/>
        <v>Cliente Atrasado</v>
      </c>
      <c r="AT215" s="174">
        <v>19</v>
      </c>
      <c r="AU215" s="174">
        <f t="shared" si="53"/>
        <v>1</v>
      </c>
      <c r="AV215" s="174">
        <f t="shared" si="54"/>
        <v>20</v>
      </c>
      <c r="AW215" s="173">
        <v>4253</v>
      </c>
      <c r="AX215" s="786">
        <f t="shared" si="47"/>
        <v>13</v>
      </c>
      <c r="AY215" s="787">
        <f t="shared" si="55"/>
        <v>14</v>
      </c>
      <c r="AZ215" s="152"/>
      <c r="BA215" s="152"/>
    </row>
    <row r="216" spans="1:53" x14ac:dyDescent="0.25">
      <c r="A216" s="93"/>
      <c r="B216" s="164">
        <v>1205</v>
      </c>
      <c r="C216" s="164" t="s">
        <v>366</v>
      </c>
      <c r="D216" s="165" t="s">
        <v>623</v>
      </c>
      <c r="E216" s="166">
        <v>45010</v>
      </c>
      <c r="F216" s="164" t="s">
        <v>192</v>
      </c>
      <c r="G216" s="164" t="s">
        <v>128</v>
      </c>
      <c r="H216" s="167">
        <v>663200</v>
      </c>
      <c r="I216" s="167">
        <v>66400</v>
      </c>
      <c r="J216" s="121">
        <v>6000</v>
      </c>
      <c r="K216" s="121">
        <v>1726</v>
      </c>
      <c r="L216" s="121">
        <v>1726</v>
      </c>
      <c r="M216" s="121">
        <v>1726</v>
      </c>
      <c r="N216" s="121">
        <v>1726</v>
      </c>
      <c r="O216" s="121">
        <v>1726</v>
      </c>
      <c r="P216" s="121">
        <v>1726</v>
      </c>
      <c r="Q216" s="121">
        <v>1730</v>
      </c>
      <c r="R216" s="121">
        <v>1730</v>
      </c>
      <c r="S216" s="121">
        <v>0</v>
      </c>
      <c r="T216" s="121">
        <v>3450</v>
      </c>
      <c r="U216" s="121">
        <v>0</v>
      </c>
      <c r="V216" s="121">
        <v>3500</v>
      </c>
      <c r="W216" s="121">
        <v>2500</v>
      </c>
      <c r="X216" s="121">
        <v>1800</v>
      </c>
      <c r="Y216" s="121">
        <v>1800</v>
      </c>
      <c r="Z216" s="121">
        <v>1800</v>
      </c>
      <c r="AA216" s="121">
        <v>1900</v>
      </c>
      <c r="AB216" s="121">
        <v>1800</v>
      </c>
      <c r="AC216" s="121">
        <v>0</v>
      </c>
      <c r="AD216" s="121">
        <v>1800</v>
      </c>
      <c r="AE216" s="121">
        <f>1800+1800</f>
        <v>3600</v>
      </c>
      <c r="AF216" s="121">
        <v>0</v>
      </c>
      <c r="AG216" s="121">
        <v>1800</v>
      </c>
      <c r="AH216" s="121">
        <v>1800</v>
      </c>
      <c r="AI216" s="121">
        <v>0</v>
      </c>
      <c r="AJ216" s="784">
        <f t="shared" si="48"/>
        <v>47366</v>
      </c>
      <c r="AK216" s="149">
        <f t="shared" si="43"/>
        <v>0.71334337349397592</v>
      </c>
      <c r="AL216" s="150">
        <f t="shared" si="49"/>
        <v>-19034</v>
      </c>
      <c r="AM216" s="149">
        <f t="shared" si="44"/>
        <v>-0.28665662650602408</v>
      </c>
      <c r="AN216" s="150">
        <f t="shared" si="45"/>
        <v>615834</v>
      </c>
      <c r="AO216" s="151">
        <f t="shared" si="46"/>
        <v>0.92857961399276234</v>
      </c>
      <c r="AP216" s="154">
        <f t="shared" si="50"/>
        <v>66400</v>
      </c>
      <c r="AQ216" s="154"/>
      <c r="AR216" s="786" t="str">
        <f t="shared" si="51"/>
        <v>Vendido</v>
      </c>
      <c r="AS216" s="786" t="str">
        <f t="shared" si="52"/>
        <v>Cliente Atrasado</v>
      </c>
      <c r="AT216" s="174">
        <v>35</v>
      </c>
      <c r="AU216" s="174">
        <f t="shared" si="53"/>
        <v>1</v>
      </c>
      <c r="AV216" s="174">
        <f t="shared" si="54"/>
        <v>36</v>
      </c>
      <c r="AW216" s="173">
        <v>1726</v>
      </c>
      <c r="AX216" s="786">
        <f t="shared" si="47"/>
        <v>6</v>
      </c>
      <c r="AY216" s="787">
        <f t="shared" si="55"/>
        <v>25</v>
      </c>
      <c r="AZ216" s="152"/>
      <c r="BA216" s="152"/>
    </row>
    <row r="217" spans="1:53" ht="15" customHeight="1" x14ac:dyDescent="0.25">
      <c r="A217" s="93"/>
      <c r="B217" s="164">
        <v>1206</v>
      </c>
      <c r="C217" s="164" t="s">
        <v>356</v>
      </c>
      <c r="D217" s="165" t="s">
        <v>557</v>
      </c>
      <c r="E217" s="166">
        <v>45062</v>
      </c>
      <c r="F217" s="164" t="s">
        <v>178</v>
      </c>
      <c r="G217" s="164" t="s">
        <v>128</v>
      </c>
      <c r="H217" s="167">
        <v>691118.49</v>
      </c>
      <c r="I217" s="167">
        <v>69118.490000000005</v>
      </c>
      <c r="J217" s="121">
        <v>0</v>
      </c>
      <c r="K217" s="121">
        <v>0</v>
      </c>
      <c r="L217" s="121">
        <v>6000</v>
      </c>
      <c r="M217" s="121">
        <v>2254</v>
      </c>
      <c r="N217" s="121">
        <v>2254</v>
      </c>
      <c r="O217" s="121">
        <v>2254</v>
      </c>
      <c r="P217" s="121">
        <v>2254</v>
      </c>
      <c r="Q217" s="121">
        <v>2254</v>
      </c>
      <c r="R217" s="121">
        <v>2254</v>
      </c>
      <c r="S217" s="121">
        <v>2254</v>
      </c>
      <c r="T217" s="121">
        <v>2254</v>
      </c>
      <c r="U217" s="121">
        <v>2254</v>
      </c>
      <c r="V217" s="121">
        <v>2254</v>
      </c>
      <c r="W217" s="121">
        <v>2254</v>
      </c>
      <c r="X217" s="121">
        <v>2254</v>
      </c>
      <c r="Y217" s="121">
        <v>2254</v>
      </c>
      <c r="Z217" s="121">
        <v>2254</v>
      </c>
      <c r="AA217" s="121">
        <v>2254</v>
      </c>
      <c r="AB217" s="121">
        <v>2254</v>
      </c>
      <c r="AC217" s="121">
        <v>2254</v>
      </c>
      <c r="AD217" s="121">
        <v>2254</v>
      </c>
      <c r="AE217" s="121">
        <v>2254</v>
      </c>
      <c r="AF217" s="121">
        <v>2254</v>
      </c>
      <c r="AG217" s="121">
        <v>2254</v>
      </c>
      <c r="AH217" s="121">
        <v>2254</v>
      </c>
      <c r="AI217" s="121">
        <v>0</v>
      </c>
      <c r="AJ217" s="784">
        <f t="shared" si="48"/>
        <v>55588</v>
      </c>
      <c r="AK217" s="149">
        <f t="shared" si="43"/>
        <v>0.80424210656222372</v>
      </c>
      <c r="AL217" s="150">
        <f t="shared" si="49"/>
        <v>-13530.490000000005</v>
      </c>
      <c r="AM217" s="149">
        <f t="shared" si="44"/>
        <v>-0.19575789343777628</v>
      </c>
      <c r="AN217" s="150">
        <f t="shared" si="45"/>
        <v>635530.49</v>
      </c>
      <c r="AO217" s="151">
        <f t="shared" si="46"/>
        <v>0.91956806133200109</v>
      </c>
      <c r="AP217" s="154">
        <f t="shared" si="50"/>
        <v>69118.490000000005</v>
      </c>
      <c r="AQ217" s="154"/>
      <c r="AR217" s="786" t="str">
        <f t="shared" si="51"/>
        <v>Vendido</v>
      </c>
      <c r="AS217" s="786" t="str">
        <f t="shared" si="52"/>
        <v>Cliente Atrasado</v>
      </c>
      <c r="AT217" s="174">
        <v>28</v>
      </c>
      <c r="AU217" s="174">
        <f t="shared" si="53"/>
        <v>1</v>
      </c>
      <c r="AV217" s="174">
        <f t="shared" si="54"/>
        <v>29</v>
      </c>
      <c r="AW217" s="173">
        <v>2254</v>
      </c>
      <c r="AX217" s="786">
        <f t="shared" si="47"/>
        <v>22</v>
      </c>
      <c r="AY217" s="787">
        <f t="shared" si="55"/>
        <v>23</v>
      </c>
      <c r="AZ217" s="152"/>
      <c r="BA217" s="152"/>
    </row>
    <row r="218" spans="1:53" x14ac:dyDescent="0.25">
      <c r="A218" s="93"/>
      <c r="B218" s="164">
        <v>1207</v>
      </c>
      <c r="C218" s="164" t="s">
        <v>356</v>
      </c>
      <c r="D218" s="165" t="s">
        <v>1073</v>
      </c>
      <c r="E218" s="166">
        <v>45012</v>
      </c>
      <c r="F218" s="164" t="s">
        <v>465</v>
      </c>
      <c r="G218" s="164" t="s">
        <v>128</v>
      </c>
      <c r="H218" s="167">
        <v>678932</v>
      </c>
      <c r="I218" s="167">
        <v>67932</v>
      </c>
      <c r="J218" s="121">
        <v>6000</v>
      </c>
      <c r="K218" s="121">
        <v>1500</v>
      </c>
      <c r="L218" s="121">
        <v>1500</v>
      </c>
      <c r="M218" s="121">
        <v>0</v>
      </c>
      <c r="N218" s="121">
        <v>0</v>
      </c>
      <c r="O218" s="121">
        <v>0</v>
      </c>
      <c r="P218" s="121">
        <v>3000</v>
      </c>
      <c r="Q218" s="121">
        <v>1500</v>
      </c>
      <c r="R218" s="121">
        <v>1500</v>
      </c>
      <c r="S218" s="121">
        <v>0</v>
      </c>
      <c r="T218" s="121">
        <v>6000</v>
      </c>
      <c r="U218" s="121">
        <v>0</v>
      </c>
      <c r="V218" s="121">
        <v>1500</v>
      </c>
      <c r="W218" s="121">
        <v>3000</v>
      </c>
      <c r="X218" s="121">
        <v>0</v>
      </c>
      <c r="Y218" s="121">
        <v>3000</v>
      </c>
      <c r="Z218" s="121">
        <v>0</v>
      </c>
      <c r="AA218" s="121">
        <v>1500</v>
      </c>
      <c r="AB218" s="121">
        <v>0</v>
      </c>
      <c r="AC218" s="121">
        <v>0</v>
      </c>
      <c r="AD218" s="121">
        <v>1500</v>
      </c>
      <c r="AE218" s="121">
        <v>0</v>
      </c>
      <c r="AF218" s="121">
        <v>0</v>
      </c>
      <c r="AG218" s="121">
        <v>0</v>
      </c>
      <c r="AH218" s="121">
        <v>0</v>
      </c>
      <c r="AI218" s="121">
        <v>0</v>
      </c>
      <c r="AJ218" s="784">
        <f t="shared" si="48"/>
        <v>31500</v>
      </c>
      <c r="AK218" s="149">
        <f t="shared" si="43"/>
        <v>0.4636989931107578</v>
      </c>
      <c r="AL218" s="150">
        <f t="shared" si="49"/>
        <v>-36432</v>
      </c>
      <c r="AM218" s="149">
        <f t="shared" si="44"/>
        <v>-0.5363010068892422</v>
      </c>
      <c r="AN218" s="150">
        <f t="shared" si="45"/>
        <v>647432</v>
      </c>
      <c r="AO218" s="151">
        <f t="shared" si="46"/>
        <v>0.95360360094972696</v>
      </c>
      <c r="AP218" s="154">
        <f t="shared" si="50"/>
        <v>67932</v>
      </c>
      <c r="AQ218" s="154"/>
      <c r="AR218" s="786" t="str">
        <f t="shared" si="51"/>
        <v>Vendido</v>
      </c>
      <c r="AS218" s="786" t="str">
        <f t="shared" si="52"/>
        <v>Cliente Atrasado</v>
      </c>
      <c r="AT218" s="174">
        <v>35</v>
      </c>
      <c r="AU218" s="174">
        <f t="shared" si="53"/>
        <v>1</v>
      </c>
      <c r="AV218" s="174">
        <f t="shared" si="54"/>
        <v>36</v>
      </c>
      <c r="AW218" s="173">
        <v>1500</v>
      </c>
      <c r="AX218" s="786">
        <f t="shared" si="47"/>
        <v>7</v>
      </c>
      <c r="AY218" s="787">
        <f t="shared" si="55"/>
        <v>25</v>
      </c>
      <c r="AZ218" s="152"/>
      <c r="BA218" s="152"/>
    </row>
    <row r="219" spans="1:53" ht="15" customHeight="1" x14ac:dyDescent="0.25">
      <c r="A219" s="93"/>
      <c r="B219" s="164">
        <v>1208</v>
      </c>
      <c r="C219" s="164" t="s">
        <v>366</v>
      </c>
      <c r="D219" s="165" t="s">
        <v>625</v>
      </c>
      <c r="E219" s="166">
        <v>45031</v>
      </c>
      <c r="F219" s="164" t="s">
        <v>467</v>
      </c>
      <c r="G219" s="164" t="s">
        <v>128</v>
      </c>
      <c r="H219" s="167">
        <v>1110600</v>
      </c>
      <c r="I219" s="167">
        <v>111100</v>
      </c>
      <c r="J219" s="121">
        <v>0</v>
      </c>
      <c r="K219" s="121">
        <v>6000</v>
      </c>
      <c r="L219" s="121">
        <v>3624</v>
      </c>
      <c r="M219" s="121">
        <v>3624</v>
      </c>
      <c r="N219" s="121">
        <v>3624</v>
      </c>
      <c r="O219" s="121">
        <v>3624</v>
      </c>
      <c r="P219" s="121">
        <v>3624</v>
      </c>
      <c r="Q219" s="121">
        <v>3624</v>
      </c>
      <c r="R219" s="121">
        <v>3624</v>
      </c>
      <c r="S219" s="121">
        <v>3624</v>
      </c>
      <c r="T219" s="121">
        <v>3624</v>
      </c>
      <c r="U219" s="121">
        <v>3624</v>
      </c>
      <c r="V219" s="121">
        <v>3624</v>
      </c>
      <c r="W219" s="121">
        <v>3624</v>
      </c>
      <c r="X219" s="121">
        <v>3624</v>
      </c>
      <c r="Y219" s="121">
        <v>0</v>
      </c>
      <c r="Z219" s="121">
        <v>7248</v>
      </c>
      <c r="AA219" s="121">
        <v>0</v>
      </c>
      <c r="AB219" s="121">
        <v>0</v>
      </c>
      <c r="AC219" s="121">
        <v>7248</v>
      </c>
      <c r="AD219" s="121">
        <v>7248</v>
      </c>
      <c r="AE219" s="121">
        <v>3624</v>
      </c>
      <c r="AF219" s="121">
        <v>3624</v>
      </c>
      <c r="AG219" s="121">
        <v>3624</v>
      </c>
      <c r="AH219" s="121">
        <v>3624</v>
      </c>
      <c r="AI219" s="121">
        <v>0</v>
      </c>
      <c r="AJ219" s="784">
        <f t="shared" si="48"/>
        <v>89352</v>
      </c>
      <c r="AK219" s="149">
        <f t="shared" si="43"/>
        <v>0.80424842484248427</v>
      </c>
      <c r="AL219" s="150">
        <f t="shared" si="49"/>
        <v>-21748</v>
      </c>
      <c r="AM219" s="149">
        <f t="shared" si="44"/>
        <v>-0.19575157515751576</v>
      </c>
      <c r="AN219" s="150">
        <f t="shared" si="45"/>
        <v>1021248</v>
      </c>
      <c r="AO219" s="151">
        <f t="shared" si="46"/>
        <v>0.9195461912479741</v>
      </c>
      <c r="AP219" s="154">
        <f t="shared" si="50"/>
        <v>111100</v>
      </c>
      <c r="AQ219" s="154"/>
      <c r="AR219" s="786" t="str">
        <f t="shared" si="51"/>
        <v>Vendido</v>
      </c>
      <c r="AS219" s="786" t="str">
        <f t="shared" si="52"/>
        <v>Cliente Atrasado</v>
      </c>
      <c r="AT219" s="174">
        <v>29</v>
      </c>
      <c r="AU219" s="174">
        <f t="shared" si="53"/>
        <v>1</v>
      </c>
      <c r="AV219" s="174">
        <f t="shared" si="54"/>
        <v>30</v>
      </c>
      <c r="AW219" s="173">
        <v>3624</v>
      </c>
      <c r="AX219" s="786">
        <f t="shared" si="47"/>
        <v>17</v>
      </c>
      <c r="AY219" s="787">
        <f t="shared" si="55"/>
        <v>24</v>
      </c>
      <c r="AZ219" s="152"/>
      <c r="BA219" s="152"/>
    </row>
    <row r="220" spans="1:53" ht="15" customHeight="1" x14ac:dyDescent="0.25">
      <c r="A220" s="93"/>
      <c r="B220" s="164">
        <v>1209</v>
      </c>
      <c r="C220" s="164" t="s">
        <v>366</v>
      </c>
      <c r="D220" s="165" t="s">
        <v>626</v>
      </c>
      <c r="E220" s="166">
        <v>45013</v>
      </c>
      <c r="F220" s="164" t="s">
        <v>469</v>
      </c>
      <c r="G220" s="164" t="s">
        <v>128</v>
      </c>
      <c r="H220" s="167">
        <v>1108600</v>
      </c>
      <c r="I220" s="167">
        <v>110900</v>
      </c>
      <c r="J220" s="121">
        <v>6000</v>
      </c>
      <c r="K220" s="121">
        <v>2997</v>
      </c>
      <c r="L220" s="121">
        <v>2997</v>
      </c>
      <c r="M220" s="121">
        <v>2997</v>
      </c>
      <c r="N220" s="121">
        <v>2997</v>
      </c>
      <c r="O220" s="121">
        <v>2997</v>
      </c>
      <c r="P220" s="121">
        <v>2997</v>
      </c>
      <c r="Q220" s="121">
        <v>2997</v>
      </c>
      <c r="R220" s="121">
        <v>2997</v>
      </c>
      <c r="S220" s="121">
        <v>2997</v>
      </c>
      <c r="T220" s="121">
        <v>2997</v>
      </c>
      <c r="U220" s="121">
        <v>2997</v>
      </c>
      <c r="V220" s="121">
        <v>2997</v>
      </c>
      <c r="W220" s="121">
        <v>2997</v>
      </c>
      <c r="X220" s="121">
        <v>2997</v>
      </c>
      <c r="Y220" s="121">
        <v>2997</v>
      </c>
      <c r="Z220" s="121">
        <v>2997</v>
      </c>
      <c r="AA220" s="121">
        <v>2997</v>
      </c>
      <c r="AB220" s="121">
        <v>2997</v>
      </c>
      <c r="AC220" s="121">
        <v>2997</v>
      </c>
      <c r="AD220" s="121">
        <v>2997</v>
      </c>
      <c r="AE220" s="121">
        <v>2997</v>
      </c>
      <c r="AF220" s="121">
        <v>2997</v>
      </c>
      <c r="AG220" s="121">
        <v>2997</v>
      </c>
      <c r="AH220" s="121">
        <v>2997</v>
      </c>
      <c r="AI220" s="121">
        <v>0</v>
      </c>
      <c r="AJ220" s="784">
        <f t="shared" si="48"/>
        <v>77928</v>
      </c>
      <c r="AK220" s="149">
        <f t="shared" si="43"/>
        <v>0.70268710550045088</v>
      </c>
      <c r="AL220" s="150">
        <f t="shared" si="49"/>
        <v>-32972</v>
      </c>
      <c r="AM220" s="149">
        <f t="shared" si="44"/>
        <v>-0.29731289449954912</v>
      </c>
      <c r="AN220" s="150">
        <f t="shared" si="45"/>
        <v>1030672</v>
      </c>
      <c r="AO220" s="151">
        <f t="shared" si="46"/>
        <v>0.92970593541403568</v>
      </c>
      <c r="AP220" s="154">
        <f t="shared" si="50"/>
        <v>110900</v>
      </c>
      <c r="AQ220" s="154"/>
      <c r="AR220" s="786" t="str">
        <f t="shared" si="51"/>
        <v>Vendido</v>
      </c>
      <c r="AS220" s="786" t="str">
        <f t="shared" si="52"/>
        <v>Cliente Atrasado</v>
      </c>
      <c r="AT220" s="174">
        <v>35</v>
      </c>
      <c r="AU220" s="174">
        <f t="shared" si="53"/>
        <v>1</v>
      </c>
      <c r="AV220" s="174">
        <f t="shared" si="54"/>
        <v>36</v>
      </c>
      <c r="AW220" s="173">
        <v>2997</v>
      </c>
      <c r="AX220" s="786">
        <f t="shared" si="47"/>
        <v>24</v>
      </c>
      <c r="AY220" s="787">
        <f t="shared" si="55"/>
        <v>25</v>
      </c>
      <c r="AZ220" s="152"/>
      <c r="BA220" s="152"/>
    </row>
    <row r="221" spans="1:53" ht="15" customHeight="1" x14ac:dyDescent="0.25">
      <c r="A221" s="93"/>
      <c r="B221" s="164">
        <v>1210</v>
      </c>
      <c r="C221" s="164" t="s">
        <v>366</v>
      </c>
      <c r="D221" s="165" t="s">
        <v>625</v>
      </c>
      <c r="E221" s="166">
        <v>45031</v>
      </c>
      <c r="F221" s="164" t="s">
        <v>467</v>
      </c>
      <c r="G221" s="164" t="s">
        <v>128</v>
      </c>
      <c r="H221" s="167">
        <v>1110600</v>
      </c>
      <c r="I221" s="167">
        <v>111100</v>
      </c>
      <c r="J221" s="121">
        <v>0</v>
      </c>
      <c r="K221" s="121">
        <v>6000</v>
      </c>
      <c r="L221" s="121">
        <v>3624</v>
      </c>
      <c r="M221" s="121">
        <v>3624</v>
      </c>
      <c r="N221" s="121">
        <v>3624</v>
      </c>
      <c r="O221" s="121">
        <v>3624</v>
      </c>
      <c r="P221" s="121">
        <v>3624</v>
      </c>
      <c r="Q221" s="121">
        <v>3624</v>
      </c>
      <c r="R221" s="121">
        <v>3624</v>
      </c>
      <c r="S221" s="121">
        <v>3624</v>
      </c>
      <c r="T221" s="121">
        <v>3624</v>
      </c>
      <c r="U221" s="121">
        <v>3624</v>
      </c>
      <c r="V221" s="121">
        <v>3624</v>
      </c>
      <c r="W221" s="121">
        <v>3624</v>
      </c>
      <c r="X221" s="121">
        <v>3624</v>
      </c>
      <c r="Y221" s="121">
        <v>0</v>
      </c>
      <c r="Z221" s="121">
        <v>7248</v>
      </c>
      <c r="AA221" s="121">
        <v>0</v>
      </c>
      <c r="AB221" s="121">
        <v>0</v>
      </c>
      <c r="AC221" s="121">
        <v>7248</v>
      </c>
      <c r="AD221" s="121">
        <v>7248</v>
      </c>
      <c r="AE221" s="121">
        <v>3624</v>
      </c>
      <c r="AF221" s="121">
        <v>3624</v>
      </c>
      <c r="AG221" s="121">
        <v>3624</v>
      </c>
      <c r="AH221" s="121">
        <v>3624</v>
      </c>
      <c r="AI221" s="121">
        <v>0</v>
      </c>
      <c r="AJ221" s="784">
        <f t="shared" si="48"/>
        <v>89352</v>
      </c>
      <c r="AK221" s="149">
        <f t="shared" si="43"/>
        <v>0.80424842484248427</v>
      </c>
      <c r="AL221" s="150">
        <f t="shared" si="49"/>
        <v>-21748</v>
      </c>
      <c r="AM221" s="149">
        <f t="shared" si="44"/>
        <v>-0.19575157515751576</v>
      </c>
      <c r="AN221" s="150">
        <f t="shared" si="45"/>
        <v>1021248</v>
      </c>
      <c r="AO221" s="151">
        <f t="shared" si="46"/>
        <v>0.9195461912479741</v>
      </c>
      <c r="AP221" s="154">
        <f t="shared" si="50"/>
        <v>111100</v>
      </c>
      <c r="AQ221" s="154"/>
      <c r="AR221" s="786" t="str">
        <f t="shared" si="51"/>
        <v>Vendido</v>
      </c>
      <c r="AS221" s="786" t="str">
        <f t="shared" si="52"/>
        <v>Cliente Atrasado</v>
      </c>
      <c r="AT221" s="174">
        <v>29</v>
      </c>
      <c r="AU221" s="174">
        <f t="shared" si="53"/>
        <v>1</v>
      </c>
      <c r="AV221" s="174">
        <f t="shared" si="54"/>
        <v>30</v>
      </c>
      <c r="AW221" s="173">
        <v>3624</v>
      </c>
      <c r="AX221" s="786">
        <f t="shared" si="47"/>
        <v>17</v>
      </c>
      <c r="AY221" s="787">
        <f t="shared" si="55"/>
        <v>24</v>
      </c>
      <c r="AZ221" s="152"/>
      <c r="BA221" s="152"/>
    </row>
    <row r="222" spans="1:53" x14ac:dyDescent="0.25">
      <c r="A222" s="93"/>
      <c r="B222" s="164">
        <v>1211</v>
      </c>
      <c r="C222" s="164" t="s">
        <v>366</v>
      </c>
      <c r="D222" s="165" t="s">
        <v>408</v>
      </c>
      <c r="E222" s="166">
        <v>45258</v>
      </c>
      <c r="F222" s="164" t="s">
        <v>469</v>
      </c>
      <c r="G222" s="164" t="s">
        <v>128</v>
      </c>
      <c r="H222" s="167">
        <v>1193202.5</v>
      </c>
      <c r="I222" s="167">
        <v>119402.5</v>
      </c>
      <c r="J222" s="121">
        <v>0</v>
      </c>
      <c r="K222" s="121">
        <v>0</v>
      </c>
      <c r="L222" s="121">
        <v>0</v>
      </c>
      <c r="M222" s="121">
        <v>0</v>
      </c>
      <c r="N222" s="121">
        <v>0</v>
      </c>
      <c r="O222" s="121">
        <v>0</v>
      </c>
      <c r="P222" s="121">
        <v>0</v>
      </c>
      <c r="Q222" s="121">
        <v>0</v>
      </c>
      <c r="R222" s="121">
        <v>5500</v>
      </c>
      <c r="S222" s="121">
        <v>5174</v>
      </c>
      <c r="T222" s="121">
        <v>5174</v>
      </c>
      <c r="U222" s="121">
        <v>0</v>
      </c>
      <c r="V222" s="121">
        <v>0</v>
      </c>
      <c r="W222" s="121">
        <v>0</v>
      </c>
      <c r="X222" s="121">
        <v>0</v>
      </c>
      <c r="Y222" s="121">
        <v>10348</v>
      </c>
      <c r="Z222" s="121">
        <v>0</v>
      </c>
      <c r="AA222" s="121">
        <v>0</v>
      </c>
      <c r="AB222" s="121">
        <v>10354</v>
      </c>
      <c r="AC222" s="121">
        <v>0</v>
      </c>
      <c r="AD222" s="121">
        <v>10354</v>
      </c>
      <c r="AE222" s="121">
        <v>0</v>
      </c>
      <c r="AF222" s="121">
        <v>0</v>
      </c>
      <c r="AG222" s="121">
        <f>35819+420</f>
        <v>36239</v>
      </c>
      <c r="AH222" s="121">
        <v>0</v>
      </c>
      <c r="AI222" s="121">
        <v>0</v>
      </c>
      <c r="AJ222" s="784">
        <f t="shared" si="48"/>
        <v>83143</v>
      </c>
      <c r="AK222" s="149">
        <f t="shared" si="43"/>
        <v>0.69632545382215616</v>
      </c>
      <c r="AL222" s="150">
        <f t="shared" si="49"/>
        <v>-36259.5</v>
      </c>
      <c r="AM222" s="149">
        <f t="shared" si="44"/>
        <v>-0.30367454617784384</v>
      </c>
      <c r="AN222" s="150">
        <f t="shared" si="45"/>
        <v>1110059.5</v>
      </c>
      <c r="AO222" s="151">
        <f t="shared" si="46"/>
        <v>0.93031945541515371</v>
      </c>
      <c r="AP222" s="154">
        <f t="shared" si="50"/>
        <v>119402.5</v>
      </c>
      <c r="AQ222" s="154"/>
      <c r="AR222" s="786" t="str">
        <f t="shared" si="51"/>
        <v>Vendido</v>
      </c>
      <c r="AS222" s="786" t="str">
        <f t="shared" si="52"/>
        <v>Cliente Atrasado</v>
      </c>
      <c r="AT222" s="174">
        <v>22</v>
      </c>
      <c r="AU222" s="174">
        <f t="shared" si="53"/>
        <v>1</v>
      </c>
      <c r="AV222" s="174">
        <f t="shared" si="54"/>
        <v>23</v>
      </c>
      <c r="AW222" s="173">
        <v>5177</v>
      </c>
      <c r="AX222" s="786">
        <f t="shared" si="47"/>
        <v>0</v>
      </c>
      <c r="AY222" s="787">
        <f t="shared" si="55"/>
        <v>17</v>
      </c>
      <c r="AZ222" s="152"/>
      <c r="BA222" s="152"/>
    </row>
    <row r="223" spans="1:53" x14ac:dyDescent="0.25">
      <c r="A223" s="93"/>
      <c r="B223" s="164">
        <v>1212</v>
      </c>
      <c r="C223" s="164" t="s">
        <v>383</v>
      </c>
      <c r="D223" s="165" t="s">
        <v>590</v>
      </c>
      <c r="E223" s="166">
        <v>45032</v>
      </c>
      <c r="F223" s="164" t="s">
        <v>406</v>
      </c>
      <c r="G223" s="164" t="s">
        <v>128</v>
      </c>
      <c r="H223" s="167">
        <v>666800</v>
      </c>
      <c r="I223" s="167">
        <v>66700</v>
      </c>
      <c r="J223" s="121">
        <v>0</v>
      </c>
      <c r="K223" s="121">
        <v>6000</v>
      </c>
      <c r="L223" s="121">
        <v>0</v>
      </c>
      <c r="M223" s="121">
        <v>0</v>
      </c>
      <c r="N223" s="121">
        <v>2000</v>
      </c>
      <c r="O223" s="121">
        <v>2000</v>
      </c>
      <c r="P223" s="121">
        <v>0</v>
      </c>
      <c r="Q223" s="121">
        <v>4000</v>
      </c>
      <c r="R223" s="121">
        <v>0</v>
      </c>
      <c r="S223" s="121">
        <v>0</v>
      </c>
      <c r="T223" s="121">
        <v>2000</v>
      </c>
      <c r="U223" s="121">
        <v>2000</v>
      </c>
      <c r="V223" s="121">
        <v>0</v>
      </c>
      <c r="W223" s="121">
        <v>4000</v>
      </c>
      <c r="X223" s="121">
        <v>4000</v>
      </c>
      <c r="Y223" s="121">
        <v>0</v>
      </c>
      <c r="Z223" s="121">
        <v>2000</v>
      </c>
      <c r="AA223" s="121">
        <v>2000</v>
      </c>
      <c r="AB223" s="121">
        <v>0</v>
      </c>
      <c r="AC223" s="121">
        <v>2000</v>
      </c>
      <c r="AD223" s="121">
        <v>0</v>
      </c>
      <c r="AE223" s="121">
        <v>0</v>
      </c>
      <c r="AF223" s="121">
        <v>2000</v>
      </c>
      <c r="AG223" s="121">
        <v>2000</v>
      </c>
      <c r="AH223" s="121">
        <v>5000</v>
      </c>
      <c r="AI223" s="121">
        <v>0</v>
      </c>
      <c r="AJ223" s="784">
        <f t="shared" si="48"/>
        <v>41000</v>
      </c>
      <c r="AK223" s="149">
        <f t="shared" si="43"/>
        <v>0.61469265367316339</v>
      </c>
      <c r="AL223" s="150">
        <f t="shared" si="49"/>
        <v>-25700</v>
      </c>
      <c r="AM223" s="149">
        <f t="shared" si="44"/>
        <v>-0.38530734632683661</v>
      </c>
      <c r="AN223" s="150">
        <f t="shared" si="45"/>
        <v>625800</v>
      </c>
      <c r="AO223" s="151">
        <f t="shared" si="46"/>
        <v>0.93851229754049192</v>
      </c>
      <c r="AP223" s="154">
        <f t="shared" si="50"/>
        <v>66700</v>
      </c>
      <c r="AQ223" s="154"/>
      <c r="AR223" s="786" t="str">
        <f t="shared" si="51"/>
        <v>Vendido</v>
      </c>
      <c r="AS223" s="786" t="str">
        <f t="shared" si="52"/>
        <v>Cliente Atrasado</v>
      </c>
      <c r="AT223" s="174">
        <v>29</v>
      </c>
      <c r="AU223" s="174">
        <f t="shared" si="53"/>
        <v>1</v>
      </c>
      <c r="AV223" s="174">
        <f t="shared" si="54"/>
        <v>30</v>
      </c>
      <c r="AW223" s="173">
        <v>2000</v>
      </c>
      <c r="AX223" s="786">
        <f t="shared" si="47"/>
        <v>9</v>
      </c>
      <c r="AY223" s="787">
        <f t="shared" si="55"/>
        <v>24</v>
      </c>
      <c r="AZ223" s="152"/>
      <c r="BA223" s="152"/>
    </row>
    <row r="224" spans="1:53" x14ac:dyDescent="0.25">
      <c r="A224" s="93"/>
      <c r="B224" s="164">
        <v>1213</v>
      </c>
      <c r="C224" s="164" t="s">
        <v>356</v>
      </c>
      <c r="D224" s="165" t="s">
        <v>610</v>
      </c>
      <c r="E224" s="166">
        <v>45021</v>
      </c>
      <c r="F224" s="164" t="s">
        <v>181</v>
      </c>
      <c r="G224" s="164" t="s">
        <v>128</v>
      </c>
      <c r="H224" s="167">
        <v>645639</v>
      </c>
      <c r="I224" s="167">
        <v>64639</v>
      </c>
      <c r="J224" s="121">
        <v>0</v>
      </c>
      <c r="K224" s="121">
        <v>6000</v>
      </c>
      <c r="L224" s="121">
        <v>2000</v>
      </c>
      <c r="M224" s="121">
        <v>2000</v>
      </c>
      <c r="N224" s="121">
        <v>2000</v>
      </c>
      <c r="O224" s="121">
        <v>2000</v>
      </c>
      <c r="P224" s="121">
        <v>2000</v>
      </c>
      <c r="Q224" s="121">
        <v>2000</v>
      </c>
      <c r="R224" s="121">
        <v>2000</v>
      </c>
      <c r="S224" s="121">
        <v>2000</v>
      </c>
      <c r="T224" s="121">
        <v>2000</v>
      </c>
      <c r="U224" s="121">
        <v>2000</v>
      </c>
      <c r="V224" s="121">
        <v>2000</v>
      </c>
      <c r="W224" s="121">
        <v>2000</v>
      </c>
      <c r="X224" s="121">
        <v>2000</v>
      </c>
      <c r="Y224" s="121">
        <v>2000</v>
      </c>
      <c r="Z224" s="121">
        <v>2000</v>
      </c>
      <c r="AA224" s="121">
        <v>0</v>
      </c>
      <c r="AB224" s="121">
        <v>4000</v>
      </c>
      <c r="AC224" s="121">
        <v>2000</v>
      </c>
      <c r="AD224" s="121">
        <v>2000</v>
      </c>
      <c r="AE224" s="121">
        <v>2000</v>
      </c>
      <c r="AF224" s="121">
        <v>0</v>
      </c>
      <c r="AG224" s="121">
        <f>2000+2000</f>
        <v>4000</v>
      </c>
      <c r="AH224" s="121">
        <v>2000</v>
      </c>
      <c r="AI224" s="121">
        <v>0</v>
      </c>
      <c r="AJ224" s="784">
        <f t="shared" si="48"/>
        <v>52000</v>
      </c>
      <c r="AK224" s="149">
        <f t="shared" si="43"/>
        <v>0.80446789090177762</v>
      </c>
      <c r="AL224" s="150">
        <f t="shared" si="49"/>
        <v>-12639</v>
      </c>
      <c r="AM224" s="149">
        <f t="shared" si="44"/>
        <v>-0.19553210909822244</v>
      </c>
      <c r="AN224" s="150">
        <f t="shared" si="45"/>
        <v>593639</v>
      </c>
      <c r="AO224" s="151">
        <f t="shared" si="46"/>
        <v>0.91945963611244053</v>
      </c>
      <c r="AP224" s="154">
        <f t="shared" si="50"/>
        <v>64639</v>
      </c>
      <c r="AQ224" s="154"/>
      <c r="AR224" s="786" t="str">
        <f t="shared" si="51"/>
        <v>Vendido</v>
      </c>
      <c r="AS224" s="786" t="str">
        <f t="shared" si="52"/>
        <v>Cliente Atrasado</v>
      </c>
      <c r="AT224" s="174">
        <v>29</v>
      </c>
      <c r="AU224" s="174">
        <f t="shared" si="53"/>
        <v>1</v>
      </c>
      <c r="AV224" s="174">
        <f t="shared" si="54"/>
        <v>30</v>
      </c>
      <c r="AW224" s="173">
        <v>2000</v>
      </c>
      <c r="AX224" s="786">
        <f t="shared" si="47"/>
        <v>19</v>
      </c>
      <c r="AY224" s="787">
        <f t="shared" si="55"/>
        <v>24</v>
      </c>
      <c r="AZ224" s="152"/>
      <c r="BA224" s="152"/>
    </row>
    <row r="225" spans="1:53" ht="15.75" customHeight="1" x14ac:dyDescent="0.25">
      <c r="A225" s="93"/>
      <c r="B225" s="164">
        <v>1214</v>
      </c>
      <c r="C225" s="164" t="s">
        <v>356</v>
      </c>
      <c r="D225" s="165" t="s">
        <v>627</v>
      </c>
      <c r="E225" s="166">
        <v>45082</v>
      </c>
      <c r="F225" s="164" t="s">
        <v>611</v>
      </c>
      <c r="G225" s="164" t="s">
        <v>128</v>
      </c>
      <c r="H225" s="167">
        <v>786200</v>
      </c>
      <c r="I225" s="167">
        <v>78700</v>
      </c>
      <c r="J225" s="121">
        <v>0</v>
      </c>
      <c r="K225" s="121">
        <v>0</v>
      </c>
      <c r="L225" s="121">
        <v>0</v>
      </c>
      <c r="M225" s="121">
        <v>6000</v>
      </c>
      <c r="N225" s="121">
        <v>2700</v>
      </c>
      <c r="O225" s="121">
        <v>2700</v>
      </c>
      <c r="P225" s="121">
        <v>2700</v>
      </c>
      <c r="Q225" s="121">
        <v>2700</v>
      </c>
      <c r="R225" s="121">
        <v>2700</v>
      </c>
      <c r="S225" s="121">
        <v>2700</v>
      </c>
      <c r="T225" s="121">
        <v>2700</v>
      </c>
      <c r="U225" s="121">
        <v>2700</v>
      </c>
      <c r="V225" s="121">
        <v>2700</v>
      </c>
      <c r="W225" s="121">
        <v>2700</v>
      </c>
      <c r="X225" s="121">
        <v>2700</v>
      </c>
      <c r="Y225" s="121">
        <v>2700</v>
      </c>
      <c r="Z225" s="121">
        <v>2700</v>
      </c>
      <c r="AA225" s="121">
        <v>2700</v>
      </c>
      <c r="AB225" s="121">
        <v>2700</v>
      </c>
      <c r="AC225" s="121">
        <v>2700</v>
      </c>
      <c r="AD225" s="121">
        <v>2700</v>
      </c>
      <c r="AE225" s="121">
        <v>2700</v>
      </c>
      <c r="AF225" s="121">
        <v>2700</v>
      </c>
      <c r="AG225" s="121">
        <v>2700</v>
      </c>
      <c r="AH225" s="121">
        <v>2700</v>
      </c>
      <c r="AI225" s="121">
        <v>0</v>
      </c>
      <c r="AJ225" s="784">
        <f t="shared" si="48"/>
        <v>62700</v>
      </c>
      <c r="AK225" s="149">
        <f t="shared" si="43"/>
        <v>0.7966963151207116</v>
      </c>
      <c r="AL225" s="150">
        <f t="shared" si="49"/>
        <v>-16000</v>
      </c>
      <c r="AM225" s="149">
        <f t="shared" si="44"/>
        <v>-0.20330368487928843</v>
      </c>
      <c r="AN225" s="150">
        <f t="shared" si="45"/>
        <v>723500</v>
      </c>
      <c r="AO225" s="151">
        <f t="shared" si="46"/>
        <v>0.92024930043245989</v>
      </c>
      <c r="AP225" s="154">
        <f t="shared" si="50"/>
        <v>78700</v>
      </c>
      <c r="AQ225" s="154"/>
      <c r="AR225" s="786" t="str">
        <f t="shared" si="51"/>
        <v>Vendido</v>
      </c>
      <c r="AS225" s="786" t="str">
        <f t="shared" si="52"/>
        <v>Cliente Atrasado</v>
      </c>
      <c r="AT225" s="174">
        <v>27</v>
      </c>
      <c r="AU225" s="174">
        <f t="shared" si="53"/>
        <v>1</v>
      </c>
      <c r="AV225" s="174">
        <f t="shared" si="54"/>
        <v>28</v>
      </c>
      <c r="AW225" s="173">
        <v>2693</v>
      </c>
      <c r="AX225" s="786">
        <f t="shared" si="47"/>
        <v>0</v>
      </c>
      <c r="AY225" s="787">
        <f t="shared" si="55"/>
        <v>22</v>
      </c>
      <c r="AZ225" s="152"/>
      <c r="BA225" s="152"/>
    </row>
    <row r="226" spans="1:53" x14ac:dyDescent="0.25">
      <c r="A226" s="93"/>
      <c r="B226" s="164">
        <v>1215</v>
      </c>
      <c r="C226" s="164" t="s">
        <v>366</v>
      </c>
      <c r="D226" s="165" t="s">
        <v>628</v>
      </c>
      <c r="E226" s="166">
        <v>45027</v>
      </c>
      <c r="F226" s="164" t="s">
        <v>400</v>
      </c>
      <c r="G226" s="164" t="s">
        <v>128</v>
      </c>
      <c r="H226" s="167">
        <v>858400</v>
      </c>
      <c r="I226" s="167">
        <v>85900</v>
      </c>
      <c r="J226" s="121">
        <v>0</v>
      </c>
      <c r="K226" s="121">
        <v>6000</v>
      </c>
      <c r="L226" s="121">
        <v>2755</v>
      </c>
      <c r="M226" s="121">
        <v>2755</v>
      </c>
      <c r="N226" s="121">
        <v>2755</v>
      </c>
      <c r="O226" s="121">
        <v>2755</v>
      </c>
      <c r="P226" s="121">
        <v>2755</v>
      </c>
      <c r="Q226" s="121">
        <v>2755</v>
      </c>
      <c r="R226" s="121">
        <v>2755</v>
      </c>
      <c r="S226" s="121">
        <v>2755</v>
      </c>
      <c r="T226" s="121">
        <v>2755</v>
      </c>
      <c r="U226" s="121">
        <v>2755</v>
      </c>
      <c r="V226" s="121">
        <v>2755</v>
      </c>
      <c r="W226" s="121">
        <v>2755</v>
      </c>
      <c r="X226" s="121">
        <v>2755</v>
      </c>
      <c r="Y226" s="121">
        <v>2755</v>
      </c>
      <c r="Z226" s="121">
        <v>26755</v>
      </c>
      <c r="AA226" s="121">
        <v>3500</v>
      </c>
      <c r="AB226" s="121">
        <v>3500</v>
      </c>
      <c r="AC226" s="121">
        <v>3500</v>
      </c>
      <c r="AD226" s="121">
        <v>3500</v>
      </c>
      <c r="AE226" s="121">
        <v>3500</v>
      </c>
      <c r="AF226" s="121">
        <v>3500</v>
      </c>
      <c r="AG226" s="121">
        <v>3500</v>
      </c>
      <c r="AH226" s="121">
        <v>3500</v>
      </c>
      <c r="AI226" s="121">
        <v>3500</v>
      </c>
      <c r="AJ226" s="784">
        <f t="shared" si="48"/>
        <v>102825</v>
      </c>
      <c r="AK226" s="149">
        <f t="shared" si="43"/>
        <v>1.1970314318975552</v>
      </c>
      <c r="AL226" s="150">
        <f t="shared" si="49"/>
        <v>16925</v>
      </c>
      <c r="AM226" s="149">
        <f t="shared" si="44"/>
        <v>0.19703143189755529</v>
      </c>
      <c r="AN226" s="150">
        <f t="shared" si="45"/>
        <v>755575</v>
      </c>
      <c r="AO226" s="151">
        <f t="shared" si="46"/>
        <v>0.88021318732525633</v>
      </c>
      <c r="AP226" s="154">
        <f t="shared" si="50"/>
        <v>85900</v>
      </c>
      <c r="AQ226" s="154"/>
      <c r="AR226" s="786" t="str">
        <f t="shared" si="51"/>
        <v>Vendido</v>
      </c>
      <c r="AS226" s="786" t="str">
        <f t="shared" si="52"/>
        <v>Superávit de Enganche</v>
      </c>
      <c r="AT226" s="174">
        <v>29</v>
      </c>
      <c r="AU226" s="174">
        <f t="shared" si="53"/>
        <v>1</v>
      </c>
      <c r="AV226" s="174">
        <f t="shared" si="54"/>
        <v>30</v>
      </c>
      <c r="AW226" s="173">
        <v>2755</v>
      </c>
      <c r="AX226" s="786">
        <f t="shared" si="47"/>
        <v>14</v>
      </c>
      <c r="AY226" s="787">
        <f t="shared" si="55"/>
        <v>24</v>
      </c>
      <c r="AZ226" s="152"/>
      <c r="BA226" s="152"/>
    </row>
    <row r="227" spans="1:53" x14ac:dyDescent="0.25">
      <c r="A227" s="86"/>
      <c r="B227" s="164">
        <v>1216</v>
      </c>
      <c r="C227" s="164"/>
      <c r="D227" s="165"/>
      <c r="E227" s="166"/>
      <c r="F227" s="164" t="s">
        <v>175</v>
      </c>
      <c r="G227" s="164" t="s">
        <v>374</v>
      </c>
      <c r="H227" s="167">
        <v>1126261.8195599201</v>
      </c>
      <c r="I227" s="167">
        <f>+H227*0.1</f>
        <v>112626.18195599201</v>
      </c>
      <c r="J227" s="121">
        <v>0</v>
      </c>
      <c r="K227" s="121">
        <v>0</v>
      </c>
      <c r="L227" s="121">
        <v>0</v>
      </c>
      <c r="M227" s="121">
        <v>0</v>
      </c>
      <c r="N227" s="121">
        <v>0</v>
      </c>
      <c r="O227" s="121">
        <v>0</v>
      </c>
      <c r="P227" s="121">
        <v>0</v>
      </c>
      <c r="Q227" s="121">
        <v>0</v>
      </c>
      <c r="R227" s="121">
        <v>0</v>
      </c>
      <c r="S227" s="121">
        <v>0</v>
      </c>
      <c r="T227" s="121">
        <v>0</v>
      </c>
      <c r="U227" s="121">
        <v>0</v>
      </c>
      <c r="V227" s="121">
        <v>0</v>
      </c>
      <c r="W227" s="121">
        <v>0</v>
      </c>
      <c r="X227" s="121">
        <v>0</v>
      </c>
      <c r="Y227" s="121">
        <v>0</v>
      </c>
      <c r="Z227" s="121">
        <v>0</v>
      </c>
      <c r="AA227" s="121">
        <v>0</v>
      </c>
      <c r="AB227" s="121">
        <v>0</v>
      </c>
      <c r="AC227" s="121">
        <v>0</v>
      </c>
      <c r="AD227" s="121">
        <v>0</v>
      </c>
      <c r="AE227" s="121">
        <v>0</v>
      </c>
      <c r="AF227" s="121">
        <v>0</v>
      </c>
      <c r="AG227" s="121">
        <v>0</v>
      </c>
      <c r="AH227" s="121">
        <v>0</v>
      </c>
      <c r="AI227" s="121">
        <v>0</v>
      </c>
      <c r="AJ227" s="784">
        <f t="shared" si="48"/>
        <v>0</v>
      </c>
      <c r="AK227" s="149">
        <f t="shared" si="43"/>
        <v>0</v>
      </c>
      <c r="AL227" s="150">
        <f t="shared" si="49"/>
        <v>0</v>
      </c>
      <c r="AM227" s="149">
        <f t="shared" si="44"/>
        <v>0</v>
      </c>
      <c r="AN227" s="150">
        <f t="shared" si="45"/>
        <v>1126261.8195599201</v>
      </c>
      <c r="AO227" s="151">
        <f t="shared" si="46"/>
        <v>1</v>
      </c>
      <c r="AP227" s="154">
        <f t="shared" si="50"/>
        <v>0</v>
      </c>
      <c r="AQ227" s="154"/>
      <c r="AR227" s="786" t="str">
        <f t="shared" si="51"/>
        <v>Apartamento Disponible</v>
      </c>
      <c r="AS227" s="786" t="str">
        <f t="shared" si="52"/>
        <v>Disponible</v>
      </c>
      <c r="AT227" s="174"/>
      <c r="AU227" s="174">
        <f t="shared" si="53"/>
        <v>0</v>
      </c>
      <c r="AV227" s="174">
        <f t="shared" si="54"/>
        <v>0</v>
      </c>
      <c r="AW227" s="173"/>
      <c r="AX227" s="786">
        <f t="shared" si="47"/>
        <v>26</v>
      </c>
      <c r="AY227" s="787">
        <f t="shared" si="55"/>
        <v>1503</v>
      </c>
      <c r="AZ227" s="152"/>
      <c r="BA227" s="152"/>
    </row>
    <row r="228" spans="1:53" x14ac:dyDescent="0.25">
      <c r="A228" s="93"/>
      <c r="B228" s="164">
        <v>1217</v>
      </c>
      <c r="C228" s="164" t="s">
        <v>366</v>
      </c>
      <c r="D228" s="165" t="s">
        <v>630</v>
      </c>
      <c r="E228" s="166">
        <v>45391</v>
      </c>
      <c r="F228" s="164" t="s">
        <v>617</v>
      </c>
      <c r="G228" s="164" t="s">
        <v>128</v>
      </c>
      <c r="H228" s="167">
        <v>1253700</v>
      </c>
      <c r="I228" s="167">
        <v>125400</v>
      </c>
      <c r="J228" s="121">
        <v>0</v>
      </c>
      <c r="K228" s="121">
        <v>0</v>
      </c>
      <c r="L228" s="121">
        <v>0</v>
      </c>
      <c r="M228" s="121">
        <v>0</v>
      </c>
      <c r="N228" s="121">
        <v>0</v>
      </c>
      <c r="O228" s="121">
        <v>0</v>
      </c>
      <c r="P228" s="121">
        <v>0</v>
      </c>
      <c r="Q228" s="121">
        <v>0</v>
      </c>
      <c r="R228" s="121">
        <v>0</v>
      </c>
      <c r="S228" s="121">
        <v>0</v>
      </c>
      <c r="T228" s="121">
        <v>0</v>
      </c>
      <c r="U228" s="121">
        <v>0</v>
      </c>
      <c r="V228" s="121">
        <v>0</v>
      </c>
      <c r="W228" s="121">
        <v>8000</v>
      </c>
      <c r="X228" s="121">
        <v>6904</v>
      </c>
      <c r="Y228" s="121">
        <v>6904</v>
      </c>
      <c r="Z228" s="121">
        <v>6904</v>
      </c>
      <c r="AA228" s="121">
        <v>6904</v>
      </c>
      <c r="AB228" s="121">
        <v>6904</v>
      </c>
      <c r="AC228" s="121">
        <v>6904</v>
      </c>
      <c r="AD228" s="121">
        <v>6904</v>
      </c>
      <c r="AE228" s="121">
        <v>6904</v>
      </c>
      <c r="AF228" s="121">
        <v>6904</v>
      </c>
      <c r="AG228" s="121">
        <v>6904</v>
      </c>
      <c r="AH228" s="121">
        <v>6904</v>
      </c>
      <c r="AI228" s="121">
        <v>0</v>
      </c>
      <c r="AJ228" s="784">
        <f t="shared" si="48"/>
        <v>83944</v>
      </c>
      <c r="AK228" s="149">
        <f t="shared" si="43"/>
        <v>0.66940988835725679</v>
      </c>
      <c r="AL228" s="150">
        <f t="shared" si="49"/>
        <v>-41456</v>
      </c>
      <c r="AM228" s="149">
        <f t="shared" si="44"/>
        <v>-0.33059011164274321</v>
      </c>
      <c r="AN228" s="150">
        <f t="shared" si="45"/>
        <v>1169756</v>
      </c>
      <c r="AO228" s="151">
        <f t="shared" si="46"/>
        <v>0.93304299274148517</v>
      </c>
      <c r="AP228" s="154">
        <f t="shared" si="50"/>
        <v>125400</v>
      </c>
      <c r="AQ228" s="154"/>
      <c r="AR228" s="786" t="str">
        <f t="shared" si="51"/>
        <v>Vendido</v>
      </c>
      <c r="AS228" s="786" t="str">
        <f t="shared" si="52"/>
        <v>Cliente Atrasado</v>
      </c>
      <c r="AT228" s="174">
        <v>17</v>
      </c>
      <c r="AU228" s="174">
        <f t="shared" si="53"/>
        <v>1</v>
      </c>
      <c r="AV228" s="174">
        <f t="shared" si="54"/>
        <v>18</v>
      </c>
      <c r="AW228" s="173">
        <v>6906</v>
      </c>
      <c r="AX228" s="786">
        <f t="shared" si="47"/>
        <v>0</v>
      </c>
      <c r="AY228" s="787">
        <f t="shared" si="55"/>
        <v>12</v>
      </c>
      <c r="AZ228" s="152"/>
      <c r="BA228" s="152"/>
    </row>
    <row r="229" spans="1:53" x14ac:dyDescent="0.25">
      <c r="A229" s="93"/>
      <c r="B229" s="164">
        <v>1218</v>
      </c>
      <c r="C229" s="164" t="s">
        <v>423</v>
      </c>
      <c r="D229" s="165" t="s">
        <v>631</v>
      </c>
      <c r="E229" s="166">
        <v>45614</v>
      </c>
      <c r="F229" s="164" t="s">
        <v>619</v>
      </c>
      <c r="G229" s="164" t="s">
        <v>137</v>
      </c>
      <c r="H229" s="167">
        <f>969007.88+381917.65</f>
        <v>1350925.53</v>
      </c>
      <c r="I229" s="167">
        <v>135092.54999999999</v>
      </c>
      <c r="J229" s="121">
        <v>0</v>
      </c>
      <c r="K229" s="121">
        <v>0</v>
      </c>
      <c r="L229" s="121">
        <v>0</v>
      </c>
      <c r="M229" s="121">
        <v>0</v>
      </c>
      <c r="N229" s="121">
        <v>0</v>
      </c>
      <c r="O229" s="121">
        <v>0</v>
      </c>
      <c r="P229" s="121">
        <v>0</v>
      </c>
      <c r="Q229" s="121">
        <v>0</v>
      </c>
      <c r="R229" s="121">
        <v>0</v>
      </c>
      <c r="S229" s="121">
        <v>0</v>
      </c>
      <c r="T229" s="121">
        <v>0</v>
      </c>
      <c r="U229" s="121">
        <v>0</v>
      </c>
      <c r="V229" s="121">
        <v>0</v>
      </c>
      <c r="W229" s="121">
        <v>0</v>
      </c>
      <c r="X229" s="121">
        <v>0</v>
      </c>
      <c r="Y229" s="121">
        <v>0</v>
      </c>
      <c r="Z229" s="121">
        <v>0</v>
      </c>
      <c r="AA229" s="121">
        <v>0</v>
      </c>
      <c r="AB229" s="121">
        <v>0</v>
      </c>
      <c r="AC229" s="121">
        <v>0</v>
      </c>
      <c r="AD229" s="121">
        <v>10000</v>
      </c>
      <c r="AE229" s="121">
        <v>0</v>
      </c>
      <c r="AF229" s="121">
        <v>0</v>
      </c>
      <c r="AG229" s="121">
        <v>0</v>
      </c>
      <c r="AH229" s="121">
        <v>34750</v>
      </c>
      <c r="AI229" s="121">
        <v>0</v>
      </c>
      <c r="AJ229" s="784">
        <f t="shared" si="48"/>
        <v>44750</v>
      </c>
      <c r="AK229" s="149">
        <f t="shared" si="43"/>
        <v>0.33125438819535202</v>
      </c>
      <c r="AL229" s="150">
        <f t="shared" si="49"/>
        <v>-90342.549999999988</v>
      </c>
      <c r="AM229" s="149">
        <f t="shared" si="44"/>
        <v>-0.66874561180464798</v>
      </c>
      <c r="AN229" s="150">
        <f t="shared" si="45"/>
        <v>1306175.53</v>
      </c>
      <c r="AO229" s="151">
        <f t="shared" si="46"/>
        <v>0.96687456191608134</v>
      </c>
      <c r="AP229" s="154">
        <f t="shared" si="50"/>
        <v>135092.54999999999</v>
      </c>
      <c r="AQ229" s="154"/>
      <c r="AR229" s="786" t="str">
        <f t="shared" si="51"/>
        <v>Vendido</v>
      </c>
      <c r="AS229" s="786" t="str">
        <f t="shared" si="52"/>
        <v>Cliente Atrasado</v>
      </c>
      <c r="AT229" s="174">
        <v>18</v>
      </c>
      <c r="AU229" s="174">
        <f t="shared" si="53"/>
        <v>1</v>
      </c>
      <c r="AV229" s="174">
        <f t="shared" si="54"/>
        <v>19</v>
      </c>
      <c r="AW229" s="173"/>
      <c r="AX229" s="786">
        <f t="shared" si="47"/>
        <v>24</v>
      </c>
      <c r="AY229" s="787">
        <f t="shared" si="55"/>
        <v>5</v>
      </c>
      <c r="AZ229" s="152"/>
      <c r="BA229" s="152"/>
    </row>
    <row r="230" spans="1:53" ht="15" customHeight="1" x14ac:dyDescent="0.25">
      <c r="A230" s="93"/>
      <c r="B230" s="164">
        <v>1301</v>
      </c>
      <c r="C230" s="164" t="s">
        <v>366</v>
      </c>
      <c r="D230" s="165" t="s">
        <v>1074</v>
      </c>
      <c r="E230" s="166">
        <v>45456</v>
      </c>
      <c r="F230" s="164" t="s">
        <v>617</v>
      </c>
      <c r="G230" s="164" t="s">
        <v>128</v>
      </c>
      <c r="H230" s="167">
        <v>1253700</v>
      </c>
      <c r="I230" s="167">
        <v>125400</v>
      </c>
      <c r="J230" s="121">
        <v>0</v>
      </c>
      <c r="K230" s="121">
        <v>0</v>
      </c>
      <c r="L230" s="121">
        <v>0</v>
      </c>
      <c r="M230" s="121">
        <v>0</v>
      </c>
      <c r="N230" s="121">
        <v>0</v>
      </c>
      <c r="O230" s="121">
        <v>0</v>
      </c>
      <c r="P230" s="121">
        <v>0</v>
      </c>
      <c r="Q230" s="121">
        <v>0</v>
      </c>
      <c r="R230" s="121">
        <v>0</v>
      </c>
      <c r="S230" s="121">
        <v>0</v>
      </c>
      <c r="T230" s="121">
        <v>0</v>
      </c>
      <c r="U230" s="121">
        <v>0</v>
      </c>
      <c r="V230" s="121">
        <v>0</v>
      </c>
      <c r="W230" s="121">
        <v>0</v>
      </c>
      <c r="X230" s="121">
        <v>0</v>
      </c>
      <c r="Y230" s="121">
        <v>10000</v>
      </c>
      <c r="Z230" s="121">
        <v>6411</v>
      </c>
      <c r="AA230" s="121">
        <v>6411</v>
      </c>
      <c r="AB230" s="121">
        <v>6411</v>
      </c>
      <c r="AC230" s="121">
        <v>6411</v>
      </c>
      <c r="AD230" s="121">
        <v>6411</v>
      </c>
      <c r="AE230" s="121">
        <v>6411</v>
      </c>
      <c r="AF230" s="121">
        <v>6411</v>
      </c>
      <c r="AG230" s="121">
        <v>6411</v>
      </c>
      <c r="AH230" s="121">
        <v>6411</v>
      </c>
      <c r="AI230" s="121">
        <v>0</v>
      </c>
      <c r="AJ230" s="784">
        <f t="shared" si="48"/>
        <v>67699</v>
      </c>
      <c r="AK230" s="149">
        <f t="shared" si="43"/>
        <v>0.53986443381180227</v>
      </c>
      <c r="AL230" s="150">
        <f t="shared" si="49"/>
        <v>-57701</v>
      </c>
      <c r="AM230" s="149">
        <f t="shared" si="44"/>
        <v>-0.46013556618819779</v>
      </c>
      <c r="AN230" s="150">
        <f t="shared" si="45"/>
        <v>1186001</v>
      </c>
      <c r="AO230" s="151">
        <f t="shared" si="46"/>
        <v>0.94600063811119084</v>
      </c>
      <c r="AP230" s="154">
        <f t="shared" si="50"/>
        <v>125400</v>
      </c>
      <c r="AQ230" s="154"/>
      <c r="AR230" s="786" t="str">
        <f t="shared" si="51"/>
        <v>Vendido</v>
      </c>
      <c r="AS230" s="786" t="str">
        <f t="shared" si="52"/>
        <v>Cliente Atrasado</v>
      </c>
      <c r="AT230" s="174">
        <v>18</v>
      </c>
      <c r="AU230" s="174">
        <f t="shared" si="53"/>
        <v>1</v>
      </c>
      <c r="AV230" s="174">
        <f t="shared" si="54"/>
        <v>19</v>
      </c>
      <c r="AW230" s="173">
        <v>6411</v>
      </c>
      <c r="AX230" s="786">
        <f t="shared" si="47"/>
        <v>9</v>
      </c>
      <c r="AY230" s="787">
        <f t="shared" si="55"/>
        <v>10</v>
      </c>
      <c r="AZ230" s="152"/>
      <c r="BA230" s="152"/>
    </row>
    <row r="231" spans="1:53" x14ac:dyDescent="0.25">
      <c r="A231" s="93"/>
      <c r="B231" s="164">
        <v>1302</v>
      </c>
      <c r="C231" s="164" t="s">
        <v>366</v>
      </c>
      <c r="D231" s="165" t="s">
        <v>633</v>
      </c>
      <c r="E231" s="166">
        <v>45609</v>
      </c>
      <c r="F231" s="164" t="s">
        <v>619</v>
      </c>
      <c r="G231" s="164" t="s">
        <v>128</v>
      </c>
      <c r="H231" s="167">
        <f>969007.88+381917.65</f>
        <v>1350925.53</v>
      </c>
      <c r="I231" s="167">
        <v>135125.53</v>
      </c>
      <c r="J231" s="121">
        <v>0</v>
      </c>
      <c r="K231" s="121">
        <v>0</v>
      </c>
      <c r="L231" s="121">
        <v>0</v>
      </c>
      <c r="M231" s="121">
        <v>0</v>
      </c>
      <c r="N231" s="121">
        <v>0</v>
      </c>
      <c r="O231" s="121">
        <v>0</v>
      </c>
      <c r="P231" s="121">
        <v>0</v>
      </c>
      <c r="Q231" s="121">
        <v>0</v>
      </c>
      <c r="R231" s="121">
        <v>0</v>
      </c>
      <c r="S231" s="121">
        <v>0</v>
      </c>
      <c r="T231" s="121">
        <v>0</v>
      </c>
      <c r="U231" s="121">
        <v>0</v>
      </c>
      <c r="V231" s="121">
        <v>0</v>
      </c>
      <c r="W231" s="121">
        <v>0</v>
      </c>
      <c r="X231" s="121">
        <v>0</v>
      </c>
      <c r="Y231" s="121">
        <v>0</v>
      </c>
      <c r="Z231" s="121">
        <v>0</v>
      </c>
      <c r="AA231" s="121">
        <v>0</v>
      </c>
      <c r="AB231" s="121">
        <v>0</v>
      </c>
      <c r="AC231" s="121">
        <v>0</v>
      </c>
      <c r="AD231" s="121">
        <f>2000+8000</f>
        <v>10000</v>
      </c>
      <c r="AE231" s="121">
        <v>0</v>
      </c>
      <c r="AF231" s="121">
        <v>0</v>
      </c>
      <c r="AG231" s="121">
        <v>6951</v>
      </c>
      <c r="AH231" s="121">
        <v>6950</v>
      </c>
      <c r="AI231" s="121">
        <v>0</v>
      </c>
      <c r="AJ231" s="784">
        <f t="shared" si="48"/>
        <v>23901</v>
      </c>
      <c r="AK231" s="149">
        <f t="shared" si="43"/>
        <v>0.17687997227466934</v>
      </c>
      <c r="AL231" s="150">
        <f t="shared" si="49"/>
        <v>-111224.53</v>
      </c>
      <c r="AM231" s="149">
        <f t="shared" si="44"/>
        <v>-0.82312002772533066</v>
      </c>
      <c r="AN231" s="150">
        <f t="shared" si="45"/>
        <v>1327024.53</v>
      </c>
      <c r="AO231" s="151">
        <f t="shared" si="46"/>
        <v>0.9823076850135477</v>
      </c>
      <c r="AP231" s="154">
        <f t="shared" si="50"/>
        <v>135125.53</v>
      </c>
      <c r="AQ231" s="154"/>
      <c r="AR231" s="786" t="str">
        <f t="shared" si="51"/>
        <v>Vendido</v>
      </c>
      <c r="AS231" s="786" t="str">
        <f t="shared" si="52"/>
        <v>Cliente Atrasado</v>
      </c>
      <c r="AT231" s="174">
        <v>18</v>
      </c>
      <c r="AU231" s="174">
        <f t="shared" si="53"/>
        <v>1</v>
      </c>
      <c r="AV231" s="174">
        <f t="shared" si="54"/>
        <v>19</v>
      </c>
      <c r="AW231" s="173"/>
      <c r="AX231" s="786">
        <f t="shared" si="47"/>
        <v>23</v>
      </c>
      <c r="AY231" s="787">
        <f t="shared" si="55"/>
        <v>5</v>
      </c>
      <c r="AZ231" s="152"/>
      <c r="BA231" s="152"/>
    </row>
    <row r="232" spans="1:53" x14ac:dyDescent="0.25">
      <c r="A232" s="93"/>
      <c r="B232" s="164">
        <v>1303</v>
      </c>
      <c r="C232" s="164" t="s">
        <v>366</v>
      </c>
      <c r="D232" s="165" t="s">
        <v>634</v>
      </c>
      <c r="E232" s="166">
        <v>45144</v>
      </c>
      <c r="F232" s="164" t="s">
        <v>400</v>
      </c>
      <c r="G232" s="164" t="s">
        <v>128</v>
      </c>
      <c r="H232" s="167">
        <v>901400</v>
      </c>
      <c r="I232" s="167">
        <v>90200</v>
      </c>
      <c r="J232" s="121">
        <v>0</v>
      </c>
      <c r="K232" s="121">
        <v>0</v>
      </c>
      <c r="L232" s="121">
        <v>0</v>
      </c>
      <c r="M232" s="121">
        <v>0</v>
      </c>
      <c r="N232" s="121">
        <v>0</v>
      </c>
      <c r="O232" s="121">
        <v>6000</v>
      </c>
      <c r="P232" s="121">
        <v>3368</v>
      </c>
      <c r="Q232" s="121">
        <v>3368</v>
      </c>
      <c r="R232" s="121">
        <v>3368</v>
      </c>
      <c r="S232" s="121">
        <v>3368</v>
      </c>
      <c r="T232" s="121">
        <v>3368</v>
      </c>
      <c r="U232" s="121">
        <v>3368</v>
      </c>
      <c r="V232" s="121">
        <v>3368</v>
      </c>
      <c r="W232" s="121">
        <v>3368</v>
      </c>
      <c r="X232" s="121">
        <v>3368</v>
      </c>
      <c r="Y232" s="121">
        <v>3368</v>
      </c>
      <c r="Z232" s="121">
        <v>3368</v>
      </c>
      <c r="AA232" s="121">
        <v>3368</v>
      </c>
      <c r="AB232" s="121">
        <v>3368</v>
      </c>
      <c r="AC232" s="121">
        <v>3368</v>
      </c>
      <c r="AD232" s="121">
        <v>3368</v>
      </c>
      <c r="AE232" s="121">
        <v>3368</v>
      </c>
      <c r="AF232" s="121">
        <f>3368</f>
        <v>3368</v>
      </c>
      <c r="AG232" s="121">
        <v>3368</v>
      </c>
      <c r="AH232" s="121">
        <v>3368</v>
      </c>
      <c r="AI232" s="121">
        <v>0</v>
      </c>
      <c r="AJ232" s="784">
        <f t="shared" si="48"/>
        <v>69992</v>
      </c>
      <c r="AK232" s="149">
        <f t="shared" si="43"/>
        <v>0.77596452328159649</v>
      </c>
      <c r="AL232" s="150">
        <f t="shared" si="49"/>
        <v>-20208</v>
      </c>
      <c r="AM232" s="149">
        <f t="shared" si="44"/>
        <v>-0.22403547671840354</v>
      </c>
      <c r="AN232" s="150">
        <f t="shared" si="45"/>
        <v>831408</v>
      </c>
      <c r="AO232" s="151">
        <f t="shared" si="46"/>
        <v>0.92235189704903486</v>
      </c>
      <c r="AP232" s="154">
        <f t="shared" si="50"/>
        <v>90200</v>
      </c>
      <c r="AQ232" s="154"/>
      <c r="AR232" s="786" t="str">
        <f t="shared" si="51"/>
        <v>Vendido</v>
      </c>
      <c r="AS232" s="786" t="str">
        <f t="shared" si="52"/>
        <v>Cliente Atrasado</v>
      </c>
      <c r="AT232" s="174">
        <v>25</v>
      </c>
      <c r="AU232" s="174">
        <f t="shared" si="53"/>
        <v>1</v>
      </c>
      <c r="AV232" s="174">
        <f t="shared" si="54"/>
        <v>26</v>
      </c>
      <c r="AW232" s="173">
        <v>3368</v>
      </c>
      <c r="AX232" s="786">
        <f t="shared" si="47"/>
        <v>19</v>
      </c>
      <c r="AY232" s="787">
        <f t="shared" si="55"/>
        <v>20</v>
      </c>
      <c r="AZ232" s="152"/>
      <c r="BA232" s="152"/>
    </row>
    <row r="233" spans="1:53" x14ac:dyDescent="0.25">
      <c r="A233" s="93"/>
      <c r="B233" s="164">
        <v>1304</v>
      </c>
      <c r="C233" s="164" t="s">
        <v>366</v>
      </c>
      <c r="D233" s="165" t="s">
        <v>635</v>
      </c>
      <c r="E233" s="166">
        <v>45223</v>
      </c>
      <c r="F233" s="164" t="s">
        <v>175</v>
      </c>
      <c r="G233" s="164" t="s">
        <v>128</v>
      </c>
      <c r="H233" s="167">
        <v>879281.06</v>
      </c>
      <c r="I233" s="167">
        <v>87981.06</v>
      </c>
      <c r="J233" s="121">
        <v>0</v>
      </c>
      <c r="K233" s="121">
        <v>0</v>
      </c>
      <c r="L233" s="121">
        <v>0</v>
      </c>
      <c r="M233" s="121">
        <v>0</v>
      </c>
      <c r="N233" s="121">
        <v>0</v>
      </c>
      <c r="O233" s="121">
        <v>0</v>
      </c>
      <c r="P233" s="121">
        <v>0</v>
      </c>
      <c r="Q233" s="121">
        <v>4000</v>
      </c>
      <c r="R233" s="121">
        <v>3651</v>
      </c>
      <c r="S233" s="121">
        <v>3651</v>
      </c>
      <c r="T233" s="121">
        <v>3651</v>
      </c>
      <c r="U233" s="121">
        <v>3651</v>
      </c>
      <c r="V233" s="121">
        <v>0</v>
      </c>
      <c r="W233" s="121">
        <v>7302</v>
      </c>
      <c r="X233" s="121">
        <v>0</v>
      </c>
      <c r="Y233" s="121">
        <v>3651</v>
      </c>
      <c r="Z233" s="121">
        <v>7302</v>
      </c>
      <c r="AA233" s="121">
        <v>3651</v>
      </c>
      <c r="AB233" s="121">
        <v>3651</v>
      </c>
      <c r="AC233" s="121">
        <v>3651</v>
      </c>
      <c r="AD233" s="121">
        <v>3651</v>
      </c>
      <c r="AE233" s="121">
        <v>3651</v>
      </c>
      <c r="AF233" s="121">
        <v>0</v>
      </c>
      <c r="AG233" s="121">
        <f>3651+3651</f>
        <v>7302</v>
      </c>
      <c r="AH233" s="121">
        <v>3651</v>
      </c>
      <c r="AI233" s="121">
        <v>0</v>
      </c>
      <c r="AJ233" s="784">
        <f t="shared" si="48"/>
        <v>66067</v>
      </c>
      <c r="AK233" s="149">
        <f t="shared" si="43"/>
        <v>0.75092298274196745</v>
      </c>
      <c r="AL233" s="150">
        <f t="shared" si="49"/>
        <v>-21914.059999999998</v>
      </c>
      <c r="AM233" s="149">
        <f t="shared" si="44"/>
        <v>-0.24907701725803255</v>
      </c>
      <c r="AN233" s="150">
        <f t="shared" si="45"/>
        <v>813214.06</v>
      </c>
      <c r="AO233" s="151">
        <f t="shared" si="46"/>
        <v>0.92486247798855126</v>
      </c>
      <c r="AP233" s="154">
        <f t="shared" si="50"/>
        <v>87981.06</v>
      </c>
      <c r="AQ233" s="154"/>
      <c r="AR233" s="786" t="str">
        <f t="shared" si="51"/>
        <v>Vendido</v>
      </c>
      <c r="AS233" s="786" t="str">
        <f t="shared" si="52"/>
        <v>Cliente Atrasado</v>
      </c>
      <c r="AT233" s="174">
        <v>23</v>
      </c>
      <c r="AU233" s="174">
        <f t="shared" si="53"/>
        <v>1</v>
      </c>
      <c r="AV233" s="174">
        <f t="shared" si="54"/>
        <v>24</v>
      </c>
      <c r="AW233" s="173">
        <v>3651</v>
      </c>
      <c r="AX233" s="786">
        <f t="shared" si="47"/>
        <v>11</v>
      </c>
      <c r="AY233" s="787">
        <f t="shared" si="55"/>
        <v>18</v>
      </c>
      <c r="AZ233" s="152"/>
      <c r="BA233" s="152"/>
    </row>
    <row r="234" spans="1:53" x14ac:dyDescent="0.25">
      <c r="A234" s="93"/>
      <c r="B234" s="164">
        <v>1305</v>
      </c>
      <c r="C234" s="164" t="s">
        <v>366</v>
      </c>
      <c r="D234" s="165" t="s">
        <v>747</v>
      </c>
      <c r="E234" s="166">
        <v>45008</v>
      </c>
      <c r="F234" s="164" t="s">
        <v>192</v>
      </c>
      <c r="G234" s="164" t="s">
        <v>128</v>
      </c>
      <c r="H234" s="167">
        <v>663200</v>
      </c>
      <c r="I234" s="167">
        <v>66400</v>
      </c>
      <c r="J234" s="121">
        <v>4400</v>
      </c>
      <c r="K234" s="121">
        <v>1600</v>
      </c>
      <c r="L234" s="121">
        <v>1723</v>
      </c>
      <c r="M234" s="121">
        <v>0</v>
      </c>
      <c r="N234" s="121">
        <v>3446</v>
      </c>
      <c r="O234" s="121">
        <v>1723</v>
      </c>
      <c r="P234" s="121">
        <v>1723</v>
      </c>
      <c r="Q234" s="121">
        <v>1723</v>
      </c>
      <c r="R234" s="121">
        <v>1723</v>
      </c>
      <c r="S234" s="121">
        <v>0</v>
      </c>
      <c r="T234" s="121">
        <v>3446</v>
      </c>
      <c r="U234" s="121">
        <v>1723</v>
      </c>
      <c r="V234" s="121">
        <v>1723</v>
      </c>
      <c r="W234" s="121">
        <v>0</v>
      </c>
      <c r="X234" s="121">
        <v>1723</v>
      </c>
      <c r="Y234" s="121">
        <v>1723</v>
      </c>
      <c r="Z234" s="121">
        <v>0</v>
      </c>
      <c r="AA234" s="121">
        <v>0</v>
      </c>
      <c r="AB234" s="121">
        <v>0</v>
      </c>
      <c r="AC234" s="121">
        <v>0</v>
      </c>
      <c r="AD234" s="121">
        <v>3446</v>
      </c>
      <c r="AE234" s="121">
        <v>0</v>
      </c>
      <c r="AF234" s="121">
        <v>0</v>
      </c>
      <c r="AG234" s="121">
        <v>0</v>
      </c>
      <c r="AH234" s="121">
        <v>0</v>
      </c>
      <c r="AI234" s="121">
        <v>0</v>
      </c>
      <c r="AJ234" s="784">
        <f t="shared" si="48"/>
        <v>31845</v>
      </c>
      <c r="AK234" s="149">
        <f t="shared" si="43"/>
        <v>0.47959337349397591</v>
      </c>
      <c r="AL234" s="150">
        <f t="shared" si="49"/>
        <v>-34555</v>
      </c>
      <c r="AM234" s="149">
        <f t="shared" si="44"/>
        <v>-0.52040662650602409</v>
      </c>
      <c r="AN234" s="150">
        <f t="shared" si="45"/>
        <v>631355</v>
      </c>
      <c r="AO234" s="151">
        <f t="shared" si="46"/>
        <v>0.95198281061519907</v>
      </c>
      <c r="AP234" s="154">
        <f t="shared" si="50"/>
        <v>66400</v>
      </c>
      <c r="AQ234" s="154"/>
      <c r="AR234" s="786" t="str">
        <f t="shared" si="51"/>
        <v>Vendido</v>
      </c>
      <c r="AS234" s="786" t="str">
        <f t="shared" si="52"/>
        <v>Cliente Atrasado</v>
      </c>
      <c r="AT234" s="174"/>
      <c r="AU234" s="174">
        <f t="shared" si="53"/>
        <v>0</v>
      </c>
      <c r="AV234" s="174">
        <f t="shared" si="54"/>
        <v>0</v>
      </c>
      <c r="AW234" s="173"/>
      <c r="AX234" s="786">
        <f t="shared" si="47"/>
        <v>12</v>
      </c>
      <c r="AY234" s="787">
        <f t="shared" si="55"/>
        <v>25</v>
      </c>
      <c r="AZ234" s="152"/>
      <c r="BA234" s="152"/>
    </row>
    <row r="235" spans="1:53" ht="15" customHeight="1" x14ac:dyDescent="0.25">
      <c r="A235" s="93"/>
      <c r="B235" s="164">
        <v>1306</v>
      </c>
      <c r="C235" s="164" t="s">
        <v>383</v>
      </c>
      <c r="D235" s="165" t="s">
        <v>637</v>
      </c>
      <c r="E235" s="166">
        <v>45054</v>
      </c>
      <c r="F235" s="164" t="s">
        <v>178</v>
      </c>
      <c r="G235" s="164" t="s">
        <v>128</v>
      </c>
      <c r="H235" s="167">
        <v>697500</v>
      </c>
      <c r="I235" s="167">
        <v>69800</v>
      </c>
      <c r="J235" s="121">
        <v>0</v>
      </c>
      <c r="K235" s="121">
        <v>0</v>
      </c>
      <c r="L235" s="121">
        <v>6000</v>
      </c>
      <c r="M235" s="121">
        <v>2250</v>
      </c>
      <c r="N235" s="121">
        <v>2250</v>
      </c>
      <c r="O235" s="121">
        <v>2250</v>
      </c>
      <c r="P235" s="121">
        <v>2250</v>
      </c>
      <c r="Q235" s="121">
        <v>0</v>
      </c>
      <c r="R235" s="121">
        <v>2250</v>
      </c>
      <c r="S235" s="121">
        <v>2250</v>
      </c>
      <c r="T235" s="121">
        <v>2250</v>
      </c>
      <c r="U235" s="121">
        <v>2250</v>
      </c>
      <c r="V235" s="121">
        <v>2250</v>
      </c>
      <c r="W235" s="121">
        <v>2250</v>
      </c>
      <c r="X235" s="121">
        <v>4500</v>
      </c>
      <c r="Y235" s="121">
        <v>0</v>
      </c>
      <c r="Z235" s="121">
        <v>2250</v>
      </c>
      <c r="AA235" s="121">
        <v>2250</v>
      </c>
      <c r="AB235" s="121">
        <v>2250</v>
      </c>
      <c r="AC235" s="121">
        <v>2250</v>
      </c>
      <c r="AD235" s="121">
        <v>2250</v>
      </c>
      <c r="AE235" s="121">
        <v>2250</v>
      </c>
      <c r="AF235" s="121">
        <v>2250</v>
      </c>
      <c r="AG235" s="121">
        <f>2250+2250</f>
        <v>4500</v>
      </c>
      <c r="AH235" s="121">
        <v>2250</v>
      </c>
      <c r="AI235" s="121">
        <v>0</v>
      </c>
      <c r="AJ235" s="784">
        <f t="shared" si="48"/>
        <v>55500</v>
      </c>
      <c r="AK235" s="149">
        <f t="shared" si="43"/>
        <v>0.79512893982808019</v>
      </c>
      <c r="AL235" s="150">
        <f t="shared" si="49"/>
        <v>-14300</v>
      </c>
      <c r="AM235" s="149">
        <f t="shared" si="44"/>
        <v>-0.20487106017191978</v>
      </c>
      <c r="AN235" s="150">
        <f t="shared" si="45"/>
        <v>642000</v>
      </c>
      <c r="AO235" s="151">
        <f t="shared" si="46"/>
        <v>0.9204301075268817</v>
      </c>
      <c r="AP235" s="154">
        <f t="shared" si="50"/>
        <v>69800</v>
      </c>
      <c r="AQ235" s="154"/>
      <c r="AR235" s="786" t="str">
        <f t="shared" si="51"/>
        <v>Vendido</v>
      </c>
      <c r="AS235" s="786" t="str">
        <f t="shared" si="52"/>
        <v>Cliente Atrasado</v>
      </c>
      <c r="AT235" s="174">
        <v>28</v>
      </c>
      <c r="AU235" s="174">
        <f t="shared" si="53"/>
        <v>1</v>
      </c>
      <c r="AV235" s="174">
        <f t="shared" si="54"/>
        <v>29</v>
      </c>
      <c r="AW235" s="173">
        <v>2250</v>
      </c>
      <c r="AX235" s="786">
        <f t="shared" si="47"/>
        <v>18</v>
      </c>
      <c r="AY235" s="787">
        <f t="shared" si="55"/>
        <v>23</v>
      </c>
      <c r="AZ235" s="152"/>
      <c r="BA235" s="152"/>
    </row>
    <row r="236" spans="1:53" x14ac:dyDescent="0.25">
      <c r="A236" s="93"/>
      <c r="B236" s="164">
        <v>1307</v>
      </c>
      <c r="C236" s="164" t="s">
        <v>356</v>
      </c>
      <c r="D236" s="165" t="s">
        <v>638</v>
      </c>
      <c r="E236" s="166">
        <v>45016</v>
      </c>
      <c r="F236" s="164" t="s">
        <v>465</v>
      </c>
      <c r="G236" s="164" t="s">
        <v>128</v>
      </c>
      <c r="H236" s="167">
        <v>678932</v>
      </c>
      <c r="I236" s="167">
        <v>67932</v>
      </c>
      <c r="J236" s="121">
        <v>6000</v>
      </c>
      <c r="K236" s="121">
        <v>0</v>
      </c>
      <c r="L236" s="121">
        <v>0</v>
      </c>
      <c r="M236" s="121">
        <v>0</v>
      </c>
      <c r="N236" s="121">
        <v>0</v>
      </c>
      <c r="O236" s="121">
        <v>0</v>
      </c>
      <c r="P236" s="121">
        <v>0</v>
      </c>
      <c r="Q236" s="121">
        <v>0</v>
      </c>
      <c r="R236" s="121">
        <v>2800</v>
      </c>
      <c r="S236" s="121">
        <v>0</v>
      </c>
      <c r="T236" s="121">
        <v>0</v>
      </c>
      <c r="U236" s="121">
        <v>0</v>
      </c>
      <c r="V236" s="121">
        <v>0</v>
      </c>
      <c r="W236" s="121">
        <v>0</v>
      </c>
      <c r="X236" s="121">
        <v>0</v>
      </c>
      <c r="Y236" s="121">
        <v>0</v>
      </c>
      <c r="Z236" s="121">
        <v>0</v>
      </c>
      <c r="AA236" s="121">
        <v>0</v>
      </c>
      <c r="AB236" s="121">
        <v>0</v>
      </c>
      <c r="AC236" s="121">
        <v>0</v>
      </c>
      <c r="AD236" s="121">
        <v>0</v>
      </c>
      <c r="AE236" s="121">
        <v>0</v>
      </c>
      <c r="AF236" s="121">
        <v>0</v>
      </c>
      <c r="AG236" s="121">
        <v>0</v>
      </c>
      <c r="AH236" s="121">
        <v>0</v>
      </c>
      <c r="AI236" s="121">
        <v>0</v>
      </c>
      <c r="AJ236" s="784">
        <f t="shared" si="48"/>
        <v>8800</v>
      </c>
      <c r="AK236" s="149">
        <f t="shared" si="43"/>
        <v>0.12954130601189426</v>
      </c>
      <c r="AL236" s="150">
        <f t="shared" si="49"/>
        <v>-59132</v>
      </c>
      <c r="AM236" s="149">
        <f t="shared" si="44"/>
        <v>-0.87045869398810571</v>
      </c>
      <c r="AN236" s="150">
        <f t="shared" si="45"/>
        <v>670132</v>
      </c>
      <c r="AO236" s="151">
        <f t="shared" si="46"/>
        <v>0.9870384662970666</v>
      </c>
      <c r="AP236" s="154">
        <f t="shared" si="50"/>
        <v>67932</v>
      </c>
      <c r="AQ236" s="154"/>
      <c r="AR236" s="786" t="str">
        <f t="shared" si="51"/>
        <v>Vendido</v>
      </c>
      <c r="AS236" s="786" t="str">
        <f t="shared" si="52"/>
        <v>Cliente Atrasado</v>
      </c>
      <c r="AT236" s="174"/>
      <c r="AU236" s="174">
        <f t="shared" si="53"/>
        <v>0</v>
      </c>
      <c r="AV236" s="174">
        <f t="shared" si="54"/>
        <v>0</v>
      </c>
      <c r="AW236" s="173"/>
      <c r="AX236" s="786">
        <f t="shared" si="47"/>
        <v>24</v>
      </c>
      <c r="AY236" s="787">
        <f t="shared" si="55"/>
        <v>24</v>
      </c>
      <c r="AZ236" s="152"/>
      <c r="BA236" s="152"/>
    </row>
    <row r="237" spans="1:53" ht="15" customHeight="1" x14ac:dyDescent="0.25">
      <c r="A237" s="93"/>
      <c r="B237" s="164">
        <v>1308</v>
      </c>
      <c r="C237" s="164" t="s">
        <v>366</v>
      </c>
      <c r="D237" s="165" t="s">
        <v>639</v>
      </c>
      <c r="E237" s="166">
        <v>45230</v>
      </c>
      <c r="F237" s="164" t="s">
        <v>467</v>
      </c>
      <c r="G237" s="164" t="s">
        <v>128</v>
      </c>
      <c r="H237" s="167">
        <v>1183693</v>
      </c>
      <c r="I237" s="167">
        <v>118393</v>
      </c>
      <c r="J237" s="121">
        <v>0</v>
      </c>
      <c r="K237" s="121">
        <v>0</v>
      </c>
      <c r="L237" s="121">
        <v>0</v>
      </c>
      <c r="M237" s="121">
        <v>0</v>
      </c>
      <c r="N237" s="121">
        <v>0</v>
      </c>
      <c r="O237" s="121">
        <v>0</v>
      </c>
      <c r="P237" s="121">
        <v>0</v>
      </c>
      <c r="Q237" s="121">
        <v>8000</v>
      </c>
      <c r="R237" s="121">
        <v>4800</v>
      </c>
      <c r="S237" s="121">
        <v>4800</v>
      </c>
      <c r="T237" s="121">
        <v>4800</v>
      </c>
      <c r="U237" s="121">
        <v>4800</v>
      </c>
      <c r="V237" s="121">
        <v>4800</v>
      </c>
      <c r="W237" s="121">
        <v>4800</v>
      </c>
      <c r="X237" s="121">
        <v>4800</v>
      </c>
      <c r="Y237" s="121">
        <v>4800</v>
      </c>
      <c r="Z237" s="121">
        <v>4800</v>
      </c>
      <c r="AA237" s="121">
        <v>4800</v>
      </c>
      <c r="AB237" s="121">
        <v>4800</v>
      </c>
      <c r="AC237" s="121">
        <v>4800</v>
      </c>
      <c r="AD237" s="121">
        <v>4800</v>
      </c>
      <c r="AE237" s="121">
        <v>0</v>
      </c>
      <c r="AF237" s="121">
        <f>4800+4800</f>
        <v>9600</v>
      </c>
      <c r="AG237" s="121">
        <v>4800</v>
      </c>
      <c r="AH237" s="121">
        <v>4800</v>
      </c>
      <c r="AI237" s="121">
        <v>0</v>
      </c>
      <c r="AJ237" s="784">
        <f t="shared" si="48"/>
        <v>89600</v>
      </c>
      <c r="AK237" s="149">
        <f t="shared" si="43"/>
        <v>0.75680150008868763</v>
      </c>
      <c r="AL237" s="150">
        <f t="shared" si="49"/>
        <v>-28793</v>
      </c>
      <c r="AM237" s="149">
        <f t="shared" si="44"/>
        <v>-0.24319849991131232</v>
      </c>
      <c r="AN237" s="150">
        <f t="shared" si="45"/>
        <v>1094093</v>
      </c>
      <c r="AO237" s="151">
        <f t="shared" si="46"/>
        <v>0.92430469724835751</v>
      </c>
      <c r="AP237" s="154">
        <f t="shared" si="50"/>
        <v>118393</v>
      </c>
      <c r="AQ237" s="154"/>
      <c r="AR237" s="786" t="str">
        <f t="shared" si="51"/>
        <v>Vendido</v>
      </c>
      <c r="AS237" s="786" t="str">
        <f t="shared" si="52"/>
        <v>Cliente Atrasado</v>
      </c>
      <c r="AT237" s="174">
        <v>23</v>
      </c>
      <c r="AU237" s="174">
        <f t="shared" si="53"/>
        <v>1</v>
      </c>
      <c r="AV237" s="174">
        <f t="shared" si="54"/>
        <v>24</v>
      </c>
      <c r="AW237" s="173">
        <v>4800</v>
      </c>
      <c r="AX237" s="786">
        <f t="shared" si="47"/>
        <v>15</v>
      </c>
      <c r="AY237" s="787">
        <f t="shared" si="55"/>
        <v>17</v>
      </c>
      <c r="AZ237" s="152"/>
      <c r="BA237" s="152"/>
    </row>
    <row r="238" spans="1:53" ht="15.75" customHeight="1" x14ac:dyDescent="0.25">
      <c r="A238" s="86"/>
      <c r="B238" s="164">
        <v>1309</v>
      </c>
      <c r="C238" s="164"/>
      <c r="D238" s="165"/>
      <c r="E238" s="166"/>
      <c r="F238" s="164" t="s">
        <v>469</v>
      </c>
      <c r="G238" s="164" t="s">
        <v>374</v>
      </c>
      <c r="H238" s="167">
        <v>1422277.6356653599</v>
      </c>
      <c r="I238" s="167">
        <f>+H238*0.1</f>
        <v>142227.76356653598</v>
      </c>
      <c r="J238" s="121">
        <v>0</v>
      </c>
      <c r="K238" s="121">
        <v>0</v>
      </c>
      <c r="L238" s="121">
        <v>0</v>
      </c>
      <c r="M238" s="121">
        <v>0</v>
      </c>
      <c r="N238" s="121">
        <v>0</v>
      </c>
      <c r="O238" s="121">
        <v>0</v>
      </c>
      <c r="P238" s="121">
        <v>0</v>
      </c>
      <c r="Q238" s="121">
        <v>0</v>
      </c>
      <c r="R238" s="121">
        <v>0</v>
      </c>
      <c r="S238" s="121">
        <v>0</v>
      </c>
      <c r="T238" s="121">
        <v>0</v>
      </c>
      <c r="U238" s="121">
        <v>0</v>
      </c>
      <c r="V238" s="121">
        <v>0</v>
      </c>
      <c r="W238" s="121">
        <v>0</v>
      </c>
      <c r="X238" s="121">
        <v>0</v>
      </c>
      <c r="Y238" s="121">
        <v>0</v>
      </c>
      <c r="Z238" s="121">
        <v>0</v>
      </c>
      <c r="AA238" s="121">
        <v>0</v>
      </c>
      <c r="AB238" s="121">
        <v>0</v>
      </c>
      <c r="AC238" s="121">
        <v>0</v>
      </c>
      <c r="AD238" s="121">
        <v>0</v>
      </c>
      <c r="AE238" s="121">
        <v>0</v>
      </c>
      <c r="AF238" s="121">
        <v>0</v>
      </c>
      <c r="AG238" s="121">
        <v>0</v>
      </c>
      <c r="AH238" s="121">
        <v>0</v>
      </c>
      <c r="AI238" s="121">
        <v>0</v>
      </c>
      <c r="AJ238" s="784">
        <f t="shared" si="48"/>
        <v>0</v>
      </c>
      <c r="AK238" s="149">
        <f t="shared" si="43"/>
        <v>0</v>
      </c>
      <c r="AL238" s="150">
        <f t="shared" si="49"/>
        <v>0</v>
      </c>
      <c r="AM238" s="149">
        <f t="shared" si="44"/>
        <v>0</v>
      </c>
      <c r="AN238" s="150">
        <f t="shared" si="45"/>
        <v>1422277.6356653599</v>
      </c>
      <c r="AO238" s="151">
        <f t="shared" si="46"/>
        <v>1</v>
      </c>
      <c r="AP238" s="154">
        <f t="shared" si="50"/>
        <v>0</v>
      </c>
      <c r="AQ238" s="154"/>
      <c r="AR238" s="786" t="str">
        <f t="shared" si="51"/>
        <v>Apartamento Disponible</v>
      </c>
      <c r="AS238" s="786" t="str">
        <f t="shared" si="52"/>
        <v>Disponible</v>
      </c>
      <c r="AT238" s="174"/>
      <c r="AU238" s="174">
        <f t="shared" si="53"/>
        <v>0</v>
      </c>
      <c r="AV238" s="174">
        <f t="shared" si="54"/>
        <v>0</v>
      </c>
      <c r="AW238" s="173"/>
      <c r="AX238" s="786">
        <f t="shared" si="47"/>
        <v>26</v>
      </c>
      <c r="AY238" s="787">
        <f t="shared" si="55"/>
        <v>1503</v>
      </c>
      <c r="AZ238" s="152"/>
      <c r="BA238" s="152"/>
    </row>
    <row r="239" spans="1:53" ht="15" customHeight="1" x14ac:dyDescent="0.25">
      <c r="A239" s="93"/>
      <c r="B239" s="164">
        <v>1310</v>
      </c>
      <c r="C239" s="164" t="s">
        <v>356</v>
      </c>
      <c r="D239" s="165" t="s">
        <v>640</v>
      </c>
      <c r="E239" s="166">
        <v>45012</v>
      </c>
      <c r="F239" s="164" t="s">
        <v>467</v>
      </c>
      <c r="G239" s="164" t="s">
        <v>128</v>
      </c>
      <c r="H239" s="167">
        <v>1166200</v>
      </c>
      <c r="I239" s="167">
        <v>111100</v>
      </c>
      <c r="J239" s="121">
        <v>6000</v>
      </c>
      <c r="K239" s="121">
        <v>3000</v>
      </c>
      <c r="L239" s="121">
        <v>3000</v>
      </c>
      <c r="M239" s="121">
        <v>3000</v>
      </c>
      <c r="N239" s="121">
        <v>3000</v>
      </c>
      <c r="O239" s="121">
        <v>3000</v>
      </c>
      <c r="P239" s="121">
        <v>3000</v>
      </c>
      <c r="Q239" s="121">
        <v>3000</v>
      </c>
      <c r="R239" s="121">
        <v>3000</v>
      </c>
      <c r="S239" s="121">
        <v>3000</v>
      </c>
      <c r="T239" s="121">
        <v>3000</v>
      </c>
      <c r="U239" s="121">
        <v>3000</v>
      </c>
      <c r="V239" s="121">
        <v>3000</v>
      </c>
      <c r="W239" s="121">
        <v>3000</v>
      </c>
      <c r="X239" s="121">
        <v>3000</v>
      </c>
      <c r="Y239" s="121">
        <v>3000</v>
      </c>
      <c r="Z239" s="121">
        <v>3000</v>
      </c>
      <c r="AA239" s="121">
        <v>3000</v>
      </c>
      <c r="AB239" s="121">
        <v>3000</v>
      </c>
      <c r="AC239" s="121">
        <v>3000</v>
      </c>
      <c r="AD239" s="121">
        <v>3000</v>
      </c>
      <c r="AE239" s="121">
        <v>3000</v>
      </c>
      <c r="AF239" s="121">
        <v>3000</v>
      </c>
      <c r="AG239" s="121">
        <v>3000</v>
      </c>
      <c r="AH239" s="121">
        <v>3000</v>
      </c>
      <c r="AI239" s="121">
        <v>0</v>
      </c>
      <c r="AJ239" s="784">
        <f t="shared" si="48"/>
        <v>78000</v>
      </c>
      <c r="AK239" s="149">
        <f t="shared" si="43"/>
        <v>0.70207020702070211</v>
      </c>
      <c r="AL239" s="150">
        <f t="shared" si="49"/>
        <v>-33100</v>
      </c>
      <c r="AM239" s="149">
        <f t="shared" si="44"/>
        <v>-0.29792979297929795</v>
      </c>
      <c r="AN239" s="150">
        <f t="shared" si="45"/>
        <v>1088200</v>
      </c>
      <c r="AO239" s="151">
        <f t="shared" si="46"/>
        <v>0.93311610358429087</v>
      </c>
      <c r="AP239" s="154">
        <f t="shared" si="50"/>
        <v>111100</v>
      </c>
      <c r="AQ239" s="154"/>
      <c r="AR239" s="786" t="str">
        <f t="shared" si="51"/>
        <v>Vendido</v>
      </c>
      <c r="AS239" s="786" t="str">
        <f t="shared" si="52"/>
        <v>Cliente Atrasado</v>
      </c>
      <c r="AT239" s="174">
        <v>35</v>
      </c>
      <c r="AU239" s="174">
        <f t="shared" si="53"/>
        <v>1</v>
      </c>
      <c r="AV239" s="174">
        <f t="shared" si="54"/>
        <v>36</v>
      </c>
      <c r="AW239" s="173">
        <v>3000</v>
      </c>
      <c r="AX239" s="786">
        <f t="shared" si="47"/>
        <v>24</v>
      </c>
      <c r="AY239" s="787">
        <f t="shared" si="55"/>
        <v>25</v>
      </c>
      <c r="AZ239" s="152"/>
      <c r="BA239" s="152"/>
    </row>
    <row r="240" spans="1:53" x14ac:dyDescent="0.25">
      <c r="A240" s="93"/>
      <c r="B240" s="164">
        <v>1311</v>
      </c>
      <c r="C240" s="164" t="s">
        <v>366</v>
      </c>
      <c r="D240" s="165" t="s">
        <v>641</v>
      </c>
      <c r="E240" s="166">
        <v>45202</v>
      </c>
      <c r="F240" s="164" t="s">
        <v>469</v>
      </c>
      <c r="G240" s="164" t="s">
        <v>128</v>
      </c>
      <c r="H240" s="167">
        <v>1022010</v>
      </c>
      <c r="I240" s="167">
        <f>+H240*0.1</f>
        <v>102201</v>
      </c>
      <c r="J240" s="121">
        <v>0</v>
      </c>
      <c r="K240" s="121">
        <v>0</v>
      </c>
      <c r="L240" s="121">
        <v>0</v>
      </c>
      <c r="M240" s="121">
        <v>0</v>
      </c>
      <c r="N240" s="121">
        <v>0</v>
      </c>
      <c r="O240" s="121">
        <v>0</v>
      </c>
      <c r="P240" s="121">
        <v>0</v>
      </c>
      <c r="Q240" s="121">
        <v>8000</v>
      </c>
      <c r="R240" s="121">
        <v>4096</v>
      </c>
      <c r="S240" s="121">
        <v>4096</v>
      </c>
      <c r="T240" s="121">
        <v>4096</v>
      </c>
      <c r="U240" s="121">
        <v>4096</v>
      </c>
      <c r="V240" s="121">
        <v>0</v>
      </c>
      <c r="W240" s="121">
        <v>8192</v>
      </c>
      <c r="X240" s="121">
        <v>4096</v>
      </c>
      <c r="Y240" s="121">
        <v>4096</v>
      </c>
      <c r="Z240" s="121">
        <v>0</v>
      </c>
      <c r="AA240" s="121">
        <v>8192</v>
      </c>
      <c r="AB240" s="121">
        <v>0</v>
      </c>
      <c r="AC240" s="121">
        <v>8192</v>
      </c>
      <c r="AD240" s="121">
        <v>4096</v>
      </c>
      <c r="AE240" s="121">
        <v>4096</v>
      </c>
      <c r="AF240" s="121">
        <v>0</v>
      </c>
      <c r="AG240" s="121">
        <f>4096+4096</f>
        <v>8192</v>
      </c>
      <c r="AH240" s="121">
        <v>0</v>
      </c>
      <c r="AI240" s="121">
        <v>0</v>
      </c>
      <c r="AJ240" s="784">
        <f t="shared" si="48"/>
        <v>73536</v>
      </c>
      <c r="AK240" s="149">
        <f t="shared" si="43"/>
        <v>0.71952329233569146</v>
      </c>
      <c r="AL240" s="150">
        <f t="shared" si="49"/>
        <v>-28665</v>
      </c>
      <c r="AM240" s="149">
        <f t="shared" si="44"/>
        <v>-0.28047670766430854</v>
      </c>
      <c r="AN240" s="150">
        <f t="shared" si="45"/>
        <v>948474</v>
      </c>
      <c r="AO240" s="151">
        <f t="shared" si="46"/>
        <v>0.92804767076643091</v>
      </c>
      <c r="AP240" s="154">
        <f t="shared" si="50"/>
        <v>102201</v>
      </c>
      <c r="AQ240" s="154"/>
      <c r="AR240" s="786" t="str">
        <f t="shared" si="51"/>
        <v>Vendido</v>
      </c>
      <c r="AS240" s="786" t="str">
        <f t="shared" si="52"/>
        <v>Cliente Atrasado</v>
      </c>
      <c r="AT240" s="174">
        <v>23</v>
      </c>
      <c r="AU240" s="174">
        <f t="shared" si="53"/>
        <v>1</v>
      </c>
      <c r="AV240" s="174">
        <f t="shared" si="54"/>
        <v>24</v>
      </c>
      <c r="AW240" s="173">
        <v>4096</v>
      </c>
      <c r="AX240" s="786">
        <f t="shared" si="47"/>
        <v>8</v>
      </c>
      <c r="AY240" s="787">
        <f t="shared" si="55"/>
        <v>18</v>
      </c>
      <c r="AZ240" s="152"/>
      <c r="BA240" s="152"/>
    </row>
    <row r="241" spans="1:53" ht="15" customHeight="1" x14ac:dyDescent="0.25">
      <c r="A241" s="93"/>
      <c r="B241" s="164">
        <v>1312</v>
      </c>
      <c r="C241" s="164" t="s">
        <v>383</v>
      </c>
      <c r="D241" s="165" t="s">
        <v>642</v>
      </c>
      <c r="E241" s="166">
        <v>45034</v>
      </c>
      <c r="F241" s="164" t="s">
        <v>406</v>
      </c>
      <c r="G241" s="164" t="s">
        <v>128</v>
      </c>
      <c r="H241" s="167">
        <v>703500</v>
      </c>
      <c r="I241" s="167">
        <v>66700</v>
      </c>
      <c r="J241" s="121">
        <v>0</v>
      </c>
      <c r="K241" s="121">
        <v>6000</v>
      </c>
      <c r="L241" s="121">
        <v>2000</v>
      </c>
      <c r="M241" s="121">
        <v>2000</v>
      </c>
      <c r="N241" s="121">
        <v>2000</v>
      </c>
      <c r="O241" s="121">
        <v>2000</v>
      </c>
      <c r="P241" s="121">
        <v>2000</v>
      </c>
      <c r="Q241" s="121">
        <v>2000</v>
      </c>
      <c r="R241" s="121">
        <v>0</v>
      </c>
      <c r="S241" s="121">
        <v>0</v>
      </c>
      <c r="T241" s="121">
        <v>0</v>
      </c>
      <c r="U241" s="121">
        <v>2000</v>
      </c>
      <c r="V241" s="121">
        <v>0</v>
      </c>
      <c r="W241" s="121">
        <v>2000</v>
      </c>
      <c r="X241" s="121">
        <v>2000</v>
      </c>
      <c r="Y241" s="121">
        <v>4000</v>
      </c>
      <c r="Z241" s="121">
        <v>6000</v>
      </c>
      <c r="AA241" s="121">
        <v>2000</v>
      </c>
      <c r="AB241" s="121">
        <v>2000</v>
      </c>
      <c r="AC241" s="121">
        <v>2000</v>
      </c>
      <c r="AD241" s="121">
        <v>2000</v>
      </c>
      <c r="AE241" s="121">
        <v>2000</v>
      </c>
      <c r="AF241" s="121">
        <f>2000+2000</f>
        <v>4000</v>
      </c>
      <c r="AG241" s="121">
        <v>2000</v>
      </c>
      <c r="AH241" s="121">
        <v>2000</v>
      </c>
      <c r="AI241" s="121">
        <v>0</v>
      </c>
      <c r="AJ241" s="784">
        <f t="shared" si="48"/>
        <v>52000</v>
      </c>
      <c r="AK241" s="149">
        <f t="shared" si="43"/>
        <v>0.77961019490254868</v>
      </c>
      <c r="AL241" s="150">
        <f t="shared" si="49"/>
        <v>-14700</v>
      </c>
      <c r="AM241" s="149">
        <f t="shared" si="44"/>
        <v>-0.22038980509745126</v>
      </c>
      <c r="AN241" s="150">
        <f t="shared" si="45"/>
        <v>651500</v>
      </c>
      <c r="AO241" s="151">
        <f t="shared" si="46"/>
        <v>0.92608386638237383</v>
      </c>
      <c r="AP241" s="154">
        <f t="shared" si="50"/>
        <v>66700</v>
      </c>
      <c r="AQ241" s="154"/>
      <c r="AR241" s="786" t="str">
        <f t="shared" si="51"/>
        <v>Vendido</v>
      </c>
      <c r="AS241" s="786" t="str">
        <f t="shared" si="52"/>
        <v>Cliente Atrasado</v>
      </c>
      <c r="AT241" s="174">
        <v>29</v>
      </c>
      <c r="AU241" s="174">
        <f t="shared" si="53"/>
        <v>1</v>
      </c>
      <c r="AV241" s="174">
        <f t="shared" si="54"/>
        <v>30</v>
      </c>
      <c r="AW241" s="173">
        <v>2000</v>
      </c>
      <c r="AX241" s="786">
        <f t="shared" si="47"/>
        <v>16</v>
      </c>
      <c r="AY241" s="787">
        <f t="shared" si="55"/>
        <v>24</v>
      </c>
      <c r="AZ241" s="152"/>
      <c r="BA241" s="152"/>
    </row>
    <row r="242" spans="1:53" x14ac:dyDescent="0.25">
      <c r="A242" s="93"/>
      <c r="B242" s="164">
        <v>1313</v>
      </c>
      <c r="C242" s="164" t="s">
        <v>356</v>
      </c>
      <c r="D242" s="165" t="s">
        <v>610</v>
      </c>
      <c r="E242" s="166">
        <v>45021</v>
      </c>
      <c r="F242" s="164" t="s">
        <v>181</v>
      </c>
      <c r="G242" s="164" t="s">
        <v>128</v>
      </c>
      <c r="H242" s="167">
        <v>645649</v>
      </c>
      <c r="I242" s="167">
        <v>64639</v>
      </c>
      <c r="J242" s="121">
        <v>0</v>
      </c>
      <c r="K242" s="121">
        <v>6000</v>
      </c>
      <c r="L242" s="121">
        <v>2000</v>
      </c>
      <c r="M242" s="121">
        <v>2000</v>
      </c>
      <c r="N242" s="121">
        <v>2000</v>
      </c>
      <c r="O242" s="121">
        <v>2000</v>
      </c>
      <c r="P242" s="121">
        <v>2000</v>
      </c>
      <c r="Q242" s="121">
        <v>2000</v>
      </c>
      <c r="R242" s="121">
        <v>2000</v>
      </c>
      <c r="S242" s="121">
        <v>2000</v>
      </c>
      <c r="T242" s="121">
        <v>2000</v>
      </c>
      <c r="U242" s="121">
        <v>2000</v>
      </c>
      <c r="V242" s="121">
        <v>2000</v>
      </c>
      <c r="W242" s="121">
        <v>2000</v>
      </c>
      <c r="X242" s="121">
        <v>2000</v>
      </c>
      <c r="Y242" s="121">
        <v>2000</v>
      </c>
      <c r="Z242" s="121">
        <v>2000</v>
      </c>
      <c r="AA242" s="121">
        <v>0</v>
      </c>
      <c r="AB242" s="121">
        <v>4000</v>
      </c>
      <c r="AC242" s="121">
        <v>2000</v>
      </c>
      <c r="AD242" s="121">
        <v>2000</v>
      </c>
      <c r="AE242" s="121">
        <v>2000</v>
      </c>
      <c r="AF242" s="121">
        <v>0</v>
      </c>
      <c r="AG242" s="121">
        <f>2000+2000</f>
        <v>4000</v>
      </c>
      <c r="AH242" s="121">
        <v>2000</v>
      </c>
      <c r="AI242" s="121">
        <v>0</v>
      </c>
      <c r="AJ242" s="784">
        <f t="shared" si="48"/>
        <v>52000</v>
      </c>
      <c r="AK242" s="149">
        <f t="shared" si="43"/>
        <v>0.80446789090177762</v>
      </c>
      <c r="AL242" s="150">
        <f t="shared" si="49"/>
        <v>-12639</v>
      </c>
      <c r="AM242" s="149">
        <f t="shared" si="44"/>
        <v>-0.19553210909822244</v>
      </c>
      <c r="AN242" s="150">
        <f t="shared" si="45"/>
        <v>593649</v>
      </c>
      <c r="AO242" s="151">
        <f t="shared" si="46"/>
        <v>0.91946088354508404</v>
      </c>
      <c r="AP242" s="154">
        <f t="shared" si="50"/>
        <v>64639</v>
      </c>
      <c r="AQ242" s="154"/>
      <c r="AR242" s="786" t="str">
        <f t="shared" si="51"/>
        <v>Vendido</v>
      </c>
      <c r="AS242" s="786" t="str">
        <f t="shared" si="52"/>
        <v>Cliente Atrasado</v>
      </c>
      <c r="AT242" s="174">
        <v>29</v>
      </c>
      <c r="AU242" s="174">
        <f t="shared" si="53"/>
        <v>1</v>
      </c>
      <c r="AV242" s="174">
        <f t="shared" si="54"/>
        <v>30</v>
      </c>
      <c r="AW242" s="173">
        <v>2000</v>
      </c>
      <c r="AX242" s="786">
        <f t="shared" si="47"/>
        <v>19</v>
      </c>
      <c r="AY242" s="787">
        <f t="shared" si="55"/>
        <v>24</v>
      </c>
      <c r="AZ242" s="152"/>
      <c r="BA242" s="152"/>
    </row>
    <row r="243" spans="1:53" ht="15" customHeight="1" x14ac:dyDescent="0.25">
      <c r="A243" s="93"/>
      <c r="B243" s="164">
        <v>1314</v>
      </c>
      <c r="C243" s="164" t="s">
        <v>383</v>
      </c>
      <c r="D243" s="165" t="s">
        <v>643</v>
      </c>
      <c r="E243" s="166">
        <v>45005</v>
      </c>
      <c r="F243" s="164" t="s">
        <v>611</v>
      </c>
      <c r="G243" s="164" t="s">
        <v>128</v>
      </c>
      <c r="H243" s="167">
        <v>715600</v>
      </c>
      <c r="I243" s="167">
        <v>71600</v>
      </c>
      <c r="J243" s="121">
        <v>6000</v>
      </c>
      <c r="K243" s="121">
        <v>1300</v>
      </c>
      <c r="L243" s="121">
        <v>1300</v>
      </c>
      <c r="M243" s="121">
        <v>1300</v>
      </c>
      <c r="N243" s="121">
        <v>1300</v>
      </c>
      <c r="O243" s="121">
        <v>1300</v>
      </c>
      <c r="P243" s="121">
        <v>1300</v>
      </c>
      <c r="Q243" s="121">
        <v>1300</v>
      </c>
      <c r="R243" s="121">
        <v>1300</v>
      </c>
      <c r="S243" s="121">
        <v>1300</v>
      </c>
      <c r="T243" s="121">
        <v>1300</v>
      </c>
      <c r="U243" s="121">
        <v>1300</v>
      </c>
      <c r="V243" s="121">
        <v>1300</v>
      </c>
      <c r="W243" s="121">
        <v>1300</v>
      </c>
      <c r="X243" s="121">
        <v>1300</v>
      </c>
      <c r="Y243" s="121">
        <v>1300</v>
      </c>
      <c r="Z243" s="121">
        <v>1300</v>
      </c>
      <c r="AA243" s="121">
        <v>1300</v>
      </c>
      <c r="AB243" s="121">
        <v>1300</v>
      </c>
      <c r="AC243" s="121">
        <v>1300</v>
      </c>
      <c r="AD243" s="121">
        <v>1300</v>
      </c>
      <c r="AE243" s="121">
        <v>1300</v>
      </c>
      <c r="AF243" s="121">
        <v>1300</v>
      </c>
      <c r="AG243" s="121">
        <v>1300</v>
      </c>
      <c r="AH243" s="121">
        <v>1300</v>
      </c>
      <c r="AI243" s="121">
        <v>0</v>
      </c>
      <c r="AJ243" s="784">
        <f t="shared" si="48"/>
        <v>37200</v>
      </c>
      <c r="AK243" s="149">
        <f t="shared" si="43"/>
        <v>0.51955307262569828</v>
      </c>
      <c r="AL243" s="150">
        <f t="shared" si="49"/>
        <v>-34400</v>
      </c>
      <c r="AM243" s="149">
        <f t="shared" si="44"/>
        <v>-0.48044692737430167</v>
      </c>
      <c r="AN243" s="150">
        <f t="shared" si="45"/>
        <v>678400</v>
      </c>
      <c r="AO243" s="151">
        <f t="shared" si="46"/>
        <v>0.94801565120178866</v>
      </c>
      <c r="AP243" s="154">
        <f t="shared" si="50"/>
        <v>71600</v>
      </c>
      <c r="AQ243" s="154"/>
      <c r="AR243" s="786" t="str">
        <f t="shared" si="51"/>
        <v>Vendido</v>
      </c>
      <c r="AS243" s="786" t="str">
        <f t="shared" si="52"/>
        <v>Cliente Atrasado</v>
      </c>
      <c r="AT243" s="174">
        <v>35</v>
      </c>
      <c r="AU243" s="174">
        <f t="shared" si="53"/>
        <v>1</v>
      </c>
      <c r="AV243" s="174">
        <f t="shared" si="54"/>
        <v>36</v>
      </c>
      <c r="AW243" s="173">
        <v>1300</v>
      </c>
      <c r="AX243" s="786">
        <f t="shared" si="47"/>
        <v>24</v>
      </c>
      <c r="AY243" s="787">
        <f t="shared" si="55"/>
        <v>25</v>
      </c>
      <c r="AZ243" s="152"/>
      <c r="BA243" s="152"/>
    </row>
    <row r="244" spans="1:53" x14ac:dyDescent="0.25">
      <c r="A244" s="86"/>
      <c r="B244" s="164">
        <v>1315</v>
      </c>
      <c r="C244" s="164"/>
      <c r="D244" s="165"/>
      <c r="E244" s="166"/>
      <c r="F244" s="164" t="s">
        <v>400</v>
      </c>
      <c r="G244" s="164" t="s">
        <v>374</v>
      </c>
      <c r="H244" s="167">
        <v>1072218.69827634</v>
      </c>
      <c r="I244" s="167">
        <f>+H244*0.1</f>
        <v>107221.86982763401</v>
      </c>
      <c r="J244" s="121">
        <v>0</v>
      </c>
      <c r="K244" s="121">
        <v>0</v>
      </c>
      <c r="L244" s="121">
        <v>0</v>
      </c>
      <c r="M244" s="121">
        <v>0</v>
      </c>
      <c r="N244" s="121">
        <v>0</v>
      </c>
      <c r="O244" s="121">
        <v>0</v>
      </c>
      <c r="P244" s="121">
        <v>0</v>
      </c>
      <c r="Q244" s="121">
        <v>0</v>
      </c>
      <c r="R244" s="121">
        <v>0</v>
      </c>
      <c r="S244" s="121">
        <v>0</v>
      </c>
      <c r="T244" s="121">
        <v>0</v>
      </c>
      <c r="U244" s="121">
        <v>0</v>
      </c>
      <c r="V244" s="121">
        <v>0</v>
      </c>
      <c r="W244" s="121">
        <v>0</v>
      </c>
      <c r="X244" s="121">
        <v>0</v>
      </c>
      <c r="Y244" s="121">
        <v>0</v>
      </c>
      <c r="Z244" s="121">
        <v>0</v>
      </c>
      <c r="AA244" s="121">
        <v>0</v>
      </c>
      <c r="AB244" s="121">
        <v>0</v>
      </c>
      <c r="AC244" s="121">
        <v>0</v>
      </c>
      <c r="AD244" s="121">
        <v>0</v>
      </c>
      <c r="AE244" s="121">
        <v>0</v>
      </c>
      <c r="AF244" s="121">
        <v>0</v>
      </c>
      <c r="AG244" s="121">
        <v>0</v>
      </c>
      <c r="AH244" s="121">
        <v>0</v>
      </c>
      <c r="AI244" s="121">
        <v>0</v>
      </c>
      <c r="AJ244" s="784">
        <f t="shared" si="48"/>
        <v>0</v>
      </c>
      <c r="AK244" s="149">
        <f t="shared" si="43"/>
        <v>0</v>
      </c>
      <c r="AL244" s="150">
        <f t="shared" si="49"/>
        <v>0</v>
      </c>
      <c r="AM244" s="149">
        <f t="shared" si="44"/>
        <v>0</v>
      </c>
      <c r="AN244" s="150">
        <f t="shared" si="45"/>
        <v>1072218.69827634</v>
      </c>
      <c r="AO244" s="151">
        <f t="shared" si="46"/>
        <v>1</v>
      </c>
      <c r="AP244" s="154">
        <f t="shared" si="50"/>
        <v>0</v>
      </c>
      <c r="AQ244" s="154"/>
      <c r="AR244" s="786" t="str">
        <f t="shared" si="51"/>
        <v>Apartamento Disponible</v>
      </c>
      <c r="AS244" s="786" t="str">
        <f t="shared" si="52"/>
        <v>Disponible</v>
      </c>
      <c r="AT244" s="174"/>
      <c r="AU244" s="174">
        <f t="shared" si="53"/>
        <v>0</v>
      </c>
      <c r="AV244" s="174">
        <f t="shared" si="54"/>
        <v>0</v>
      </c>
      <c r="AW244" s="173"/>
      <c r="AX244" s="786">
        <f t="shared" si="47"/>
        <v>26</v>
      </c>
      <c r="AY244" s="787">
        <f t="shared" si="55"/>
        <v>1503</v>
      </c>
      <c r="AZ244" s="152"/>
      <c r="BA244" s="152"/>
    </row>
    <row r="245" spans="1:53" ht="15" customHeight="1" x14ac:dyDescent="0.25">
      <c r="A245" s="93"/>
      <c r="B245" s="164">
        <v>1316</v>
      </c>
      <c r="C245" s="164" t="s">
        <v>366</v>
      </c>
      <c r="D245" s="165" t="s">
        <v>644</v>
      </c>
      <c r="E245" s="166">
        <v>45232</v>
      </c>
      <c r="F245" s="164" t="s">
        <v>175</v>
      </c>
      <c r="G245" s="164" t="s">
        <v>128</v>
      </c>
      <c r="H245" s="167">
        <v>879281.06</v>
      </c>
      <c r="I245" s="167">
        <v>87981.06</v>
      </c>
      <c r="J245" s="121">
        <v>0</v>
      </c>
      <c r="K245" s="121">
        <v>0</v>
      </c>
      <c r="L245" s="121">
        <v>0</v>
      </c>
      <c r="M245" s="121">
        <v>0</v>
      </c>
      <c r="N245" s="121">
        <v>0</v>
      </c>
      <c r="O245" s="121">
        <v>0</v>
      </c>
      <c r="P245" s="121">
        <v>0</v>
      </c>
      <c r="Q245" s="121">
        <v>0</v>
      </c>
      <c r="R245" s="121">
        <v>8000</v>
      </c>
      <c r="S245" s="121">
        <v>3636</v>
      </c>
      <c r="T245" s="121">
        <v>3636</v>
      </c>
      <c r="U245" s="121">
        <v>3636</v>
      </c>
      <c r="V245" s="121">
        <v>0</v>
      </c>
      <c r="W245" s="121">
        <v>7272</v>
      </c>
      <c r="X245" s="121">
        <v>0</v>
      </c>
      <c r="Y245" s="121">
        <v>0</v>
      </c>
      <c r="Z245" s="121">
        <v>0</v>
      </c>
      <c r="AA245" s="121">
        <v>7272</v>
      </c>
      <c r="AB245" s="121">
        <f>7272+7272</f>
        <v>14544</v>
      </c>
      <c r="AC245" s="121">
        <v>7272</v>
      </c>
      <c r="AD245" s="121">
        <v>7272</v>
      </c>
      <c r="AE245" s="121">
        <v>0</v>
      </c>
      <c r="AF245" s="121">
        <v>0</v>
      </c>
      <c r="AG245" s="121">
        <v>0</v>
      </c>
      <c r="AH245" s="121">
        <v>3636</v>
      </c>
      <c r="AI245" s="121">
        <v>0</v>
      </c>
      <c r="AJ245" s="784">
        <f t="shared" si="48"/>
        <v>66176</v>
      </c>
      <c r="AK245" s="149">
        <f t="shared" si="43"/>
        <v>0.7521618857513197</v>
      </c>
      <c r="AL245" s="150">
        <f t="shared" si="49"/>
        <v>-21805.059999999998</v>
      </c>
      <c r="AM245" s="149">
        <f t="shared" si="44"/>
        <v>-0.24783811424868032</v>
      </c>
      <c r="AN245" s="150">
        <f t="shared" si="45"/>
        <v>813105.06</v>
      </c>
      <c r="AO245" s="151">
        <f t="shared" si="46"/>
        <v>0.92473851307567112</v>
      </c>
      <c r="AP245" s="154">
        <f t="shared" si="50"/>
        <v>87981.06</v>
      </c>
      <c r="AQ245" s="154"/>
      <c r="AR245" s="786" t="str">
        <f t="shared" si="51"/>
        <v>Vendido</v>
      </c>
      <c r="AS245" s="786" t="str">
        <f t="shared" si="52"/>
        <v>Cliente Atrasado</v>
      </c>
      <c r="AT245" s="174">
        <v>22</v>
      </c>
      <c r="AU245" s="174">
        <f t="shared" si="53"/>
        <v>1</v>
      </c>
      <c r="AV245" s="174">
        <f t="shared" si="54"/>
        <v>23</v>
      </c>
      <c r="AW245" s="173">
        <v>3636</v>
      </c>
      <c r="AX245" s="786">
        <f t="shared" si="47"/>
        <v>4</v>
      </c>
      <c r="AY245" s="787">
        <f t="shared" si="55"/>
        <v>17</v>
      </c>
      <c r="AZ245" s="152"/>
      <c r="BA245" s="152"/>
    </row>
    <row r="246" spans="1:53" ht="15" customHeight="1" x14ac:dyDescent="0.25">
      <c r="A246" s="93"/>
      <c r="B246" s="164">
        <v>1317</v>
      </c>
      <c r="C246" s="164" t="s">
        <v>366</v>
      </c>
      <c r="D246" s="165" t="s">
        <v>645</v>
      </c>
      <c r="E246" s="166">
        <v>45525</v>
      </c>
      <c r="F246" s="164" t="s">
        <v>617</v>
      </c>
      <c r="G246" s="164" t="s">
        <v>128</v>
      </c>
      <c r="H246" s="167">
        <v>1316385</v>
      </c>
      <c r="I246" s="167">
        <v>131685</v>
      </c>
      <c r="J246" s="121">
        <v>0</v>
      </c>
      <c r="K246" s="121">
        <v>0</v>
      </c>
      <c r="L246" s="121">
        <v>0</v>
      </c>
      <c r="M246" s="121">
        <v>0</v>
      </c>
      <c r="N246" s="121">
        <v>0</v>
      </c>
      <c r="O246" s="121">
        <v>0</v>
      </c>
      <c r="P246" s="121">
        <v>0</v>
      </c>
      <c r="Q246" s="121">
        <v>0</v>
      </c>
      <c r="R246" s="121">
        <v>0</v>
      </c>
      <c r="S246" s="121">
        <v>0</v>
      </c>
      <c r="T246" s="121">
        <v>0</v>
      </c>
      <c r="U246" s="121">
        <v>0</v>
      </c>
      <c r="V246" s="121">
        <v>0</v>
      </c>
      <c r="W246" s="121">
        <v>0</v>
      </c>
      <c r="X246" s="121">
        <v>0</v>
      </c>
      <c r="Y246" s="121">
        <v>0</v>
      </c>
      <c r="Z246" s="121">
        <v>0</v>
      </c>
      <c r="AA246" s="121">
        <v>10000</v>
      </c>
      <c r="AB246" s="121">
        <v>7602</v>
      </c>
      <c r="AC246" s="121">
        <v>7602</v>
      </c>
      <c r="AD246" s="121">
        <v>7602</v>
      </c>
      <c r="AE246" s="121">
        <v>7614</v>
      </c>
      <c r="AF246" s="121">
        <v>7605</v>
      </c>
      <c r="AG246" s="121">
        <v>7605</v>
      </c>
      <c r="AH246" s="121">
        <v>7605</v>
      </c>
      <c r="AI246" s="121">
        <v>0</v>
      </c>
      <c r="AJ246" s="784">
        <f t="shared" si="48"/>
        <v>63235</v>
      </c>
      <c r="AK246" s="149">
        <f t="shared" si="43"/>
        <v>0.48019895963853132</v>
      </c>
      <c r="AL246" s="150">
        <f t="shared" si="49"/>
        <v>-68450</v>
      </c>
      <c r="AM246" s="149">
        <f t="shared" si="44"/>
        <v>-0.51980104036146868</v>
      </c>
      <c r="AN246" s="150">
        <f t="shared" si="45"/>
        <v>1253150</v>
      </c>
      <c r="AO246" s="151">
        <f t="shared" si="46"/>
        <v>0.95196314148216521</v>
      </c>
      <c r="AP246" s="154">
        <f t="shared" si="50"/>
        <v>131685</v>
      </c>
      <c r="AQ246" s="154"/>
      <c r="AR246" s="786" t="str">
        <f t="shared" si="51"/>
        <v>Vendido</v>
      </c>
      <c r="AS246" s="786" t="str">
        <f t="shared" si="52"/>
        <v>Cliente Atrasado</v>
      </c>
      <c r="AT246" s="174">
        <v>16</v>
      </c>
      <c r="AU246" s="174">
        <f t="shared" si="53"/>
        <v>1</v>
      </c>
      <c r="AV246" s="174">
        <f t="shared" si="54"/>
        <v>17</v>
      </c>
      <c r="AW246" s="173">
        <v>7605</v>
      </c>
      <c r="AX246" s="786">
        <f t="shared" si="47"/>
        <v>3</v>
      </c>
      <c r="AY246" s="787">
        <f t="shared" si="55"/>
        <v>8</v>
      </c>
      <c r="AZ246" s="152"/>
      <c r="BA246" s="152"/>
    </row>
    <row r="247" spans="1:53" x14ac:dyDescent="0.25">
      <c r="A247" s="93"/>
      <c r="B247" s="164">
        <v>1318</v>
      </c>
      <c r="C247" s="164" t="s">
        <v>366</v>
      </c>
      <c r="D247" s="165" t="s">
        <v>754</v>
      </c>
      <c r="E247" s="166">
        <v>45616</v>
      </c>
      <c r="F247" s="164" t="s">
        <v>619</v>
      </c>
      <c r="G247" s="164" t="s">
        <v>128</v>
      </c>
      <c r="H247" s="167">
        <f>969007.88+381917.65</f>
        <v>1350925.53</v>
      </c>
      <c r="I247" s="167">
        <v>135125.53</v>
      </c>
      <c r="J247" s="121">
        <v>0</v>
      </c>
      <c r="K247" s="121">
        <v>0</v>
      </c>
      <c r="L247" s="121">
        <v>0</v>
      </c>
      <c r="M247" s="121">
        <v>0</v>
      </c>
      <c r="N247" s="121">
        <v>0</v>
      </c>
      <c r="O247" s="121">
        <v>0</v>
      </c>
      <c r="P247" s="121">
        <v>0</v>
      </c>
      <c r="Q247" s="121">
        <v>0</v>
      </c>
      <c r="R247" s="121">
        <v>0</v>
      </c>
      <c r="S247" s="121">
        <v>0</v>
      </c>
      <c r="T247" s="121">
        <v>0</v>
      </c>
      <c r="U247" s="121">
        <v>0</v>
      </c>
      <c r="V247" s="121">
        <v>0</v>
      </c>
      <c r="W247" s="121">
        <v>0</v>
      </c>
      <c r="X247" s="121">
        <v>0</v>
      </c>
      <c r="Y247" s="121">
        <v>0</v>
      </c>
      <c r="Z247" s="121">
        <v>0</v>
      </c>
      <c r="AA247" s="121">
        <v>0</v>
      </c>
      <c r="AB247" s="121">
        <v>0</v>
      </c>
      <c r="AC247" s="121">
        <v>0</v>
      </c>
      <c r="AD247" s="121">
        <v>5000</v>
      </c>
      <c r="AE247" s="121">
        <v>5000</v>
      </c>
      <c r="AF247" s="121">
        <v>7360</v>
      </c>
      <c r="AG247" s="121">
        <v>7358</v>
      </c>
      <c r="AH247" s="121">
        <v>0</v>
      </c>
      <c r="AI247" s="121">
        <v>0</v>
      </c>
      <c r="AJ247" s="784">
        <f t="shared" si="48"/>
        <v>24718</v>
      </c>
      <c r="AK247" s="149">
        <f t="shared" si="43"/>
        <v>0.18292620202858778</v>
      </c>
      <c r="AL247" s="150">
        <f t="shared" si="49"/>
        <v>-110407.53</v>
      </c>
      <c r="AM247" s="149">
        <f t="shared" si="44"/>
        <v>-0.81707379797141222</v>
      </c>
      <c r="AN247" s="150">
        <f t="shared" si="45"/>
        <v>1326207.53</v>
      </c>
      <c r="AO247" s="151">
        <f t="shared" si="46"/>
        <v>0.98170291444562452</v>
      </c>
      <c r="AP247" s="154">
        <f t="shared" si="50"/>
        <v>135125.53</v>
      </c>
      <c r="AQ247" s="154"/>
      <c r="AR247" s="786" t="str">
        <f t="shared" si="51"/>
        <v>Vendido</v>
      </c>
      <c r="AS247" s="786" t="str">
        <f t="shared" si="52"/>
        <v>Cliente Atrasado</v>
      </c>
      <c r="AT247" s="174">
        <v>18</v>
      </c>
      <c r="AU247" s="174">
        <f t="shared" si="53"/>
        <v>1</v>
      </c>
      <c r="AV247" s="174">
        <f t="shared" si="54"/>
        <v>19</v>
      </c>
      <c r="AW247" s="173"/>
      <c r="AX247" s="786">
        <f t="shared" si="47"/>
        <v>22</v>
      </c>
      <c r="AY247" s="787">
        <f t="shared" si="55"/>
        <v>5</v>
      </c>
      <c r="AZ247" s="152"/>
      <c r="BA247" s="152"/>
    </row>
    <row r="248" spans="1:53" x14ac:dyDescent="0.25">
      <c r="A248" s="93"/>
      <c r="B248" s="164">
        <v>1401</v>
      </c>
      <c r="C248" s="164" t="s">
        <v>383</v>
      </c>
      <c r="D248" s="165" t="s">
        <v>649</v>
      </c>
      <c r="E248" s="166">
        <v>45158</v>
      </c>
      <c r="F248" s="164" t="s">
        <v>648</v>
      </c>
      <c r="G248" s="164" t="s">
        <v>128</v>
      </c>
      <c r="H248" s="167">
        <v>1172500</v>
      </c>
      <c r="I248" s="167">
        <v>117300</v>
      </c>
      <c r="J248" s="121">
        <v>0</v>
      </c>
      <c r="K248" s="121">
        <v>0</v>
      </c>
      <c r="L248" s="121">
        <v>0</v>
      </c>
      <c r="M248" s="121">
        <v>0</v>
      </c>
      <c r="N248" s="121">
        <v>0</v>
      </c>
      <c r="O248" s="121">
        <v>6000</v>
      </c>
      <c r="P248" s="121">
        <v>5000</v>
      </c>
      <c r="Q248" s="121">
        <v>5000</v>
      </c>
      <c r="R248" s="121">
        <v>5000</v>
      </c>
      <c r="S248" s="121">
        <v>5000</v>
      </c>
      <c r="T248" s="121">
        <v>6000</v>
      </c>
      <c r="U248" s="121">
        <v>5000</v>
      </c>
      <c r="V248" s="121">
        <v>5000</v>
      </c>
      <c r="W248" s="121">
        <v>5000</v>
      </c>
      <c r="X248" s="121">
        <v>5000</v>
      </c>
      <c r="Y248" s="121">
        <v>5000</v>
      </c>
      <c r="Z248" s="121">
        <v>5000</v>
      </c>
      <c r="AA248" s="121">
        <v>0</v>
      </c>
      <c r="AB248" s="121">
        <v>7000</v>
      </c>
      <c r="AC248" s="121">
        <v>5000</v>
      </c>
      <c r="AD248" s="121">
        <v>10000</v>
      </c>
      <c r="AE248" s="121">
        <v>5000</v>
      </c>
      <c r="AF248" s="121">
        <v>5000</v>
      </c>
      <c r="AG248" s="121">
        <v>5000</v>
      </c>
      <c r="AH248" s="121">
        <v>0</v>
      </c>
      <c r="AI248" s="121">
        <v>5000</v>
      </c>
      <c r="AJ248" s="784">
        <f t="shared" si="48"/>
        <v>104000</v>
      </c>
      <c r="AK248" s="149">
        <f t="shared" si="43"/>
        <v>0.88661551577152597</v>
      </c>
      <c r="AL248" s="150">
        <f t="shared" si="49"/>
        <v>-13300</v>
      </c>
      <c r="AM248" s="149">
        <f t="shared" si="44"/>
        <v>-0.113384484228474</v>
      </c>
      <c r="AN248" s="150">
        <f t="shared" si="45"/>
        <v>1068500</v>
      </c>
      <c r="AO248" s="151">
        <f t="shared" si="46"/>
        <v>0.91130063965884867</v>
      </c>
      <c r="AP248" s="154">
        <f t="shared" si="50"/>
        <v>117300</v>
      </c>
      <c r="AQ248" s="154"/>
      <c r="AR248" s="786" t="str">
        <f t="shared" si="51"/>
        <v>Vendido</v>
      </c>
      <c r="AS248" s="786" t="str">
        <f t="shared" si="52"/>
        <v>Cliente Atrasado</v>
      </c>
      <c r="AT248" s="174">
        <v>25</v>
      </c>
      <c r="AU248" s="174">
        <f t="shared" si="53"/>
        <v>1</v>
      </c>
      <c r="AV248" s="174">
        <f t="shared" si="54"/>
        <v>26</v>
      </c>
      <c r="AW248" s="173">
        <v>4252</v>
      </c>
      <c r="AX248" s="786">
        <f t="shared" si="47"/>
        <v>0</v>
      </c>
      <c r="AY248" s="787">
        <f t="shared" si="55"/>
        <v>20</v>
      </c>
      <c r="AZ248" s="152"/>
      <c r="BA248" s="152"/>
    </row>
    <row r="249" spans="1:53" x14ac:dyDescent="0.25">
      <c r="A249" s="93"/>
      <c r="B249" s="164">
        <v>1402</v>
      </c>
      <c r="C249" s="164" t="s">
        <v>366</v>
      </c>
      <c r="D249" s="165" t="s">
        <v>651</v>
      </c>
      <c r="E249" s="166">
        <v>45572</v>
      </c>
      <c r="F249" s="164" t="s">
        <v>650</v>
      </c>
      <c r="G249" s="164" t="s">
        <v>128</v>
      </c>
      <c r="H249" s="167">
        <v>1252020</v>
      </c>
      <c r="I249" s="167">
        <f>+H249*0.1</f>
        <v>125202</v>
      </c>
      <c r="J249" s="121">
        <v>0</v>
      </c>
      <c r="K249" s="121">
        <v>0</v>
      </c>
      <c r="L249" s="121">
        <v>0</v>
      </c>
      <c r="M249" s="121">
        <v>0</v>
      </c>
      <c r="N249" s="121">
        <v>0</v>
      </c>
      <c r="O249" s="121">
        <v>0</v>
      </c>
      <c r="P249" s="121">
        <v>0</v>
      </c>
      <c r="Q249" s="121">
        <v>0</v>
      </c>
      <c r="R249" s="121">
        <v>0</v>
      </c>
      <c r="S249" s="121">
        <v>0</v>
      </c>
      <c r="T249" s="121">
        <v>0</v>
      </c>
      <c r="U249" s="121">
        <v>0</v>
      </c>
      <c r="V249" s="121">
        <v>0</v>
      </c>
      <c r="W249" s="121">
        <v>0</v>
      </c>
      <c r="X249" s="121">
        <v>0</v>
      </c>
      <c r="Y249" s="121">
        <v>0</v>
      </c>
      <c r="Z249" s="121">
        <v>0</v>
      </c>
      <c r="AA249" s="121">
        <v>0</v>
      </c>
      <c r="AB249" s="121">
        <v>0</v>
      </c>
      <c r="AC249" s="121">
        <v>10000</v>
      </c>
      <c r="AD249" s="121">
        <v>8230</v>
      </c>
      <c r="AE249" s="121">
        <v>8230</v>
      </c>
      <c r="AF249" s="121">
        <v>8230</v>
      </c>
      <c r="AG249" s="121">
        <v>8230</v>
      </c>
      <c r="AH249" s="121">
        <v>8230</v>
      </c>
      <c r="AI249" s="121">
        <v>0</v>
      </c>
      <c r="AJ249" s="784">
        <f t="shared" si="48"/>
        <v>51150</v>
      </c>
      <c r="AK249" s="149">
        <f t="shared" si="43"/>
        <v>0.40853979968371112</v>
      </c>
      <c r="AL249" s="150">
        <f t="shared" si="49"/>
        <v>-74052</v>
      </c>
      <c r="AM249" s="149">
        <f t="shared" si="44"/>
        <v>-0.59146020031628888</v>
      </c>
      <c r="AN249" s="150">
        <f t="shared" si="45"/>
        <v>1200870</v>
      </c>
      <c r="AO249" s="151">
        <f t="shared" si="46"/>
        <v>0.95914602003162885</v>
      </c>
      <c r="AP249" s="154">
        <f t="shared" si="50"/>
        <v>125202</v>
      </c>
      <c r="AQ249" s="154"/>
      <c r="AR249" s="786" t="str">
        <f t="shared" si="51"/>
        <v>Vendido</v>
      </c>
      <c r="AS249" s="786" t="str">
        <f t="shared" si="52"/>
        <v>Cliente Atrasado</v>
      </c>
      <c r="AT249" s="174">
        <v>14</v>
      </c>
      <c r="AU249" s="174">
        <f t="shared" si="53"/>
        <v>1</v>
      </c>
      <c r="AV249" s="174">
        <f t="shared" si="54"/>
        <v>15</v>
      </c>
      <c r="AW249" s="173">
        <v>8230</v>
      </c>
      <c r="AX249" s="786">
        <f t="shared" si="47"/>
        <v>5</v>
      </c>
      <c r="AY249" s="787">
        <f t="shared" si="55"/>
        <v>6</v>
      </c>
      <c r="AZ249" s="152"/>
      <c r="BA249" s="152"/>
    </row>
    <row r="250" spans="1:53" x14ac:dyDescent="0.25">
      <c r="A250" s="93"/>
      <c r="B250" s="164">
        <v>1403</v>
      </c>
      <c r="C250" s="164" t="s">
        <v>366</v>
      </c>
      <c r="D250" s="165" t="s">
        <v>652</v>
      </c>
      <c r="E250" s="166">
        <v>45012</v>
      </c>
      <c r="F250" s="164" t="s">
        <v>393</v>
      </c>
      <c r="G250" s="164" t="s">
        <v>128</v>
      </c>
      <c r="H250" s="167">
        <v>852627.54461999994</v>
      </c>
      <c r="I250" s="167">
        <v>85327.54</v>
      </c>
      <c r="J250" s="121">
        <v>6000</v>
      </c>
      <c r="K250" s="121">
        <v>2266</v>
      </c>
      <c r="L250" s="121">
        <v>2266</v>
      </c>
      <c r="M250" s="121">
        <v>2266</v>
      </c>
      <c r="N250" s="121">
        <v>2266</v>
      </c>
      <c r="O250" s="121">
        <v>2266</v>
      </c>
      <c r="P250" s="121">
        <v>2266</v>
      </c>
      <c r="Q250" s="121">
        <v>2266</v>
      </c>
      <c r="R250" s="121">
        <v>2266</v>
      </c>
      <c r="S250" s="121">
        <v>2266</v>
      </c>
      <c r="T250" s="121">
        <v>2266</v>
      </c>
      <c r="U250" s="121">
        <v>2266</v>
      </c>
      <c r="V250" s="121">
        <v>0</v>
      </c>
      <c r="W250" s="121">
        <v>0</v>
      </c>
      <c r="X250" s="121">
        <v>0</v>
      </c>
      <c r="Y250" s="121">
        <v>0</v>
      </c>
      <c r="Z250" s="121">
        <v>0</v>
      </c>
      <c r="AA250" s="121">
        <v>0</v>
      </c>
      <c r="AB250" s="121">
        <v>0</v>
      </c>
      <c r="AC250" s="121">
        <v>0</v>
      </c>
      <c r="AD250" s="121">
        <v>0</v>
      </c>
      <c r="AE250" s="121">
        <v>0</v>
      </c>
      <c r="AF250" s="121">
        <v>0</v>
      </c>
      <c r="AG250" s="121">
        <v>0</v>
      </c>
      <c r="AH250" s="121">
        <v>0</v>
      </c>
      <c r="AI250" s="121">
        <v>0</v>
      </c>
      <c r="AJ250" s="784">
        <f t="shared" si="48"/>
        <v>30926</v>
      </c>
      <c r="AK250" s="149">
        <f t="shared" si="43"/>
        <v>0.36243866868774138</v>
      </c>
      <c r="AL250" s="150">
        <f t="shared" si="49"/>
        <v>-54401.539999999994</v>
      </c>
      <c r="AM250" s="149">
        <f t="shared" si="44"/>
        <v>-0.63756133131225856</v>
      </c>
      <c r="AN250" s="150">
        <f t="shared" si="45"/>
        <v>821701.54461999994</v>
      </c>
      <c r="AO250" s="151">
        <f t="shared" si="46"/>
        <v>0.96372859380964149</v>
      </c>
      <c r="AP250" s="154">
        <f t="shared" si="50"/>
        <v>85327.54</v>
      </c>
      <c r="AQ250" s="154"/>
      <c r="AR250" s="786" t="str">
        <f t="shared" si="51"/>
        <v>Vendido</v>
      </c>
      <c r="AS250" s="786" t="str">
        <f t="shared" si="52"/>
        <v>Cliente Atrasado</v>
      </c>
      <c r="AT250" s="174">
        <v>35</v>
      </c>
      <c r="AU250" s="174">
        <f t="shared" si="53"/>
        <v>1</v>
      </c>
      <c r="AV250" s="174">
        <f t="shared" si="54"/>
        <v>36</v>
      </c>
      <c r="AW250" s="173">
        <v>4600</v>
      </c>
      <c r="AX250" s="786">
        <f t="shared" si="47"/>
        <v>0</v>
      </c>
      <c r="AY250" s="787">
        <f t="shared" si="55"/>
        <v>25</v>
      </c>
      <c r="AZ250" s="152"/>
      <c r="BA250" s="152"/>
    </row>
    <row r="251" spans="1:53" ht="15" customHeight="1" x14ac:dyDescent="0.25">
      <c r="A251" s="93"/>
      <c r="B251" s="164">
        <v>1404</v>
      </c>
      <c r="C251" s="164" t="s">
        <v>356</v>
      </c>
      <c r="D251" s="165" t="s">
        <v>653</v>
      </c>
      <c r="E251" s="166">
        <v>45012</v>
      </c>
      <c r="F251" s="164" t="s">
        <v>172</v>
      </c>
      <c r="G251" s="164" t="s">
        <v>128</v>
      </c>
      <c r="H251" s="167">
        <v>849571</v>
      </c>
      <c r="I251" s="167">
        <v>169971</v>
      </c>
      <c r="J251" s="121">
        <v>6000</v>
      </c>
      <c r="K251" s="121">
        <v>4600</v>
      </c>
      <c r="L251" s="121">
        <v>4600</v>
      </c>
      <c r="M251" s="121">
        <v>4600</v>
      </c>
      <c r="N251" s="121">
        <v>4600</v>
      </c>
      <c r="O251" s="121">
        <v>4600</v>
      </c>
      <c r="P251" s="121">
        <v>4600</v>
      </c>
      <c r="Q251" s="121">
        <v>4600</v>
      </c>
      <c r="R251" s="121">
        <v>4600</v>
      </c>
      <c r="S251" s="121">
        <v>4600</v>
      </c>
      <c r="T251" s="121">
        <v>4600</v>
      </c>
      <c r="U251" s="121">
        <v>4600</v>
      </c>
      <c r="V251" s="121">
        <v>4600</v>
      </c>
      <c r="W251" s="121">
        <v>4600</v>
      </c>
      <c r="X251" s="121">
        <v>4600</v>
      </c>
      <c r="Y251" s="121">
        <v>4600</v>
      </c>
      <c r="Z251" s="121">
        <v>4600</v>
      </c>
      <c r="AA251" s="121">
        <v>0</v>
      </c>
      <c r="AB251" s="121">
        <v>9200</v>
      </c>
      <c r="AC251" s="121">
        <v>4600</v>
      </c>
      <c r="AD251" s="121">
        <v>4600</v>
      </c>
      <c r="AE251" s="121">
        <v>4600</v>
      </c>
      <c r="AF251" s="121">
        <v>4600</v>
      </c>
      <c r="AG251" s="121">
        <v>4600</v>
      </c>
      <c r="AH251" s="121">
        <v>4600</v>
      </c>
      <c r="AI251" s="121">
        <v>0</v>
      </c>
      <c r="AJ251" s="784">
        <f t="shared" si="48"/>
        <v>116400</v>
      </c>
      <c r="AK251" s="149">
        <f t="shared" si="43"/>
        <v>0.6848227050496849</v>
      </c>
      <c r="AL251" s="150">
        <f t="shared" si="49"/>
        <v>-53571</v>
      </c>
      <c r="AM251" s="149">
        <f t="shared" si="44"/>
        <v>-0.31517729495031505</v>
      </c>
      <c r="AN251" s="150">
        <f t="shared" si="45"/>
        <v>733171</v>
      </c>
      <c r="AO251" s="151">
        <f t="shared" si="46"/>
        <v>0.8629896736117405</v>
      </c>
      <c r="AP251" s="154">
        <f t="shared" si="50"/>
        <v>169971</v>
      </c>
      <c r="AQ251" s="154"/>
      <c r="AR251" s="786" t="str">
        <f t="shared" si="51"/>
        <v>Vendido</v>
      </c>
      <c r="AS251" s="786" t="str">
        <f t="shared" si="52"/>
        <v>Cliente Atrasado</v>
      </c>
      <c r="AT251" s="174">
        <v>35</v>
      </c>
      <c r="AU251" s="174">
        <f t="shared" si="53"/>
        <v>1</v>
      </c>
      <c r="AV251" s="174">
        <f t="shared" si="54"/>
        <v>36</v>
      </c>
      <c r="AW251" s="173">
        <v>4600</v>
      </c>
      <c r="AX251" s="786">
        <f t="shared" si="47"/>
        <v>22</v>
      </c>
      <c r="AY251" s="787">
        <f t="shared" si="55"/>
        <v>25</v>
      </c>
      <c r="AZ251" s="152"/>
      <c r="BA251" s="152"/>
    </row>
    <row r="252" spans="1:53" x14ac:dyDescent="0.25">
      <c r="A252" s="93"/>
      <c r="B252" s="164">
        <v>1405</v>
      </c>
      <c r="C252" s="164" t="s">
        <v>366</v>
      </c>
      <c r="D252" s="165" t="s">
        <v>654</v>
      </c>
      <c r="E252" s="166">
        <v>45034</v>
      </c>
      <c r="F252" s="164" t="s">
        <v>547</v>
      </c>
      <c r="G252" s="164" t="s">
        <v>128</v>
      </c>
      <c r="H252" s="167">
        <v>1301000</v>
      </c>
      <c r="I252" s="167">
        <v>130100</v>
      </c>
      <c r="J252" s="121">
        <v>0</v>
      </c>
      <c r="K252" s="121">
        <v>6000</v>
      </c>
      <c r="L252" s="121">
        <v>4279</v>
      </c>
      <c r="M252" s="121">
        <v>4279</v>
      </c>
      <c r="N252" s="121">
        <v>4279</v>
      </c>
      <c r="O252" s="121">
        <v>4279</v>
      </c>
      <c r="P252" s="121">
        <v>4279</v>
      </c>
      <c r="Q252" s="121">
        <v>4279</v>
      </c>
      <c r="R252" s="121">
        <v>4279</v>
      </c>
      <c r="S252" s="121">
        <v>4279</v>
      </c>
      <c r="T252" s="121">
        <v>4279</v>
      </c>
      <c r="U252" s="121">
        <v>4279</v>
      </c>
      <c r="V252" s="121">
        <v>4279</v>
      </c>
      <c r="W252" s="121">
        <v>4279</v>
      </c>
      <c r="X252" s="121">
        <v>4279</v>
      </c>
      <c r="Y252" s="121">
        <v>4279</v>
      </c>
      <c r="Z252" s="121">
        <v>4279</v>
      </c>
      <c r="AA252" s="121">
        <v>4279</v>
      </c>
      <c r="AB252" s="121">
        <v>4279</v>
      </c>
      <c r="AC252" s="121">
        <v>4279</v>
      </c>
      <c r="AD252" s="121">
        <v>4279</v>
      </c>
      <c r="AE252" s="121">
        <v>4279</v>
      </c>
      <c r="AF252" s="121">
        <v>4279</v>
      </c>
      <c r="AG252" s="121">
        <v>4279</v>
      </c>
      <c r="AH252" s="121">
        <v>29962</v>
      </c>
      <c r="AI252" s="121">
        <v>0</v>
      </c>
      <c r="AJ252" s="784">
        <f t="shared" si="48"/>
        <v>130100</v>
      </c>
      <c r="AK252" s="149">
        <f t="shared" si="43"/>
        <v>1</v>
      </c>
      <c r="AL252" s="150">
        <f t="shared" si="49"/>
        <v>0</v>
      </c>
      <c r="AM252" s="149">
        <f t="shared" si="44"/>
        <v>0</v>
      </c>
      <c r="AN252" s="150">
        <f t="shared" si="45"/>
        <v>1170900</v>
      </c>
      <c r="AO252" s="151">
        <f t="shared" si="46"/>
        <v>0.9</v>
      </c>
      <c r="AP252" s="154">
        <f t="shared" si="50"/>
        <v>130100</v>
      </c>
      <c r="AQ252" s="154"/>
      <c r="AR252" s="786" t="str">
        <f t="shared" si="51"/>
        <v>Vendido</v>
      </c>
      <c r="AS252" s="786" t="str">
        <f t="shared" si="52"/>
        <v>Enganche Completado</v>
      </c>
      <c r="AT252" s="174">
        <v>29</v>
      </c>
      <c r="AU252" s="174">
        <f t="shared" si="53"/>
        <v>1</v>
      </c>
      <c r="AV252" s="174">
        <f t="shared" si="54"/>
        <v>30</v>
      </c>
      <c r="AW252" s="173">
        <v>4279</v>
      </c>
      <c r="AX252" s="786">
        <f t="shared" si="47"/>
        <v>22</v>
      </c>
      <c r="AY252" s="787">
        <f t="shared" si="55"/>
        <v>24</v>
      </c>
      <c r="AZ252" s="152"/>
      <c r="BA252" s="152"/>
    </row>
    <row r="253" spans="1:53" ht="15" customHeight="1" x14ac:dyDescent="0.25">
      <c r="A253" s="93"/>
      <c r="B253" s="164">
        <v>1406</v>
      </c>
      <c r="C253" s="164" t="s">
        <v>356</v>
      </c>
      <c r="D253" s="165" t="s">
        <v>655</v>
      </c>
      <c r="E253" s="166">
        <v>45012</v>
      </c>
      <c r="F253" s="164" t="s">
        <v>181</v>
      </c>
      <c r="G253" s="164" t="s">
        <v>128</v>
      </c>
      <c r="H253" s="167">
        <v>651600</v>
      </c>
      <c r="I253" s="167">
        <v>65200</v>
      </c>
      <c r="J253" s="121">
        <v>6000</v>
      </c>
      <c r="K253" s="121">
        <v>1690</v>
      </c>
      <c r="L253" s="121">
        <v>1690</v>
      </c>
      <c r="M253" s="121">
        <v>1690</v>
      </c>
      <c r="N253" s="121">
        <v>1690</v>
      </c>
      <c r="O253" s="121">
        <v>1690</v>
      </c>
      <c r="P253" s="121">
        <v>1690</v>
      </c>
      <c r="Q253" s="121">
        <v>1690</v>
      </c>
      <c r="R253" s="121">
        <v>1690</v>
      </c>
      <c r="S253" s="121">
        <v>1690</v>
      </c>
      <c r="T253" s="121">
        <v>1690</v>
      </c>
      <c r="U253" s="121">
        <v>1690</v>
      </c>
      <c r="V253" s="121">
        <v>1690</v>
      </c>
      <c r="W253" s="121">
        <v>1690</v>
      </c>
      <c r="X253" s="121">
        <v>1690</v>
      </c>
      <c r="Y253" s="121">
        <v>1690</v>
      </c>
      <c r="Z253" s="121">
        <v>1690</v>
      </c>
      <c r="AA253" s="121">
        <v>1690</v>
      </c>
      <c r="AB253" s="121">
        <v>1690</v>
      </c>
      <c r="AC253" s="121">
        <v>1690</v>
      </c>
      <c r="AD253" s="121">
        <v>1690</v>
      </c>
      <c r="AE253" s="121">
        <v>1690</v>
      </c>
      <c r="AF253" s="121">
        <v>1690</v>
      </c>
      <c r="AG253" s="121">
        <v>1690</v>
      </c>
      <c r="AH253" s="121">
        <v>1690</v>
      </c>
      <c r="AI253" s="121">
        <v>0</v>
      </c>
      <c r="AJ253" s="784">
        <f t="shared" si="48"/>
        <v>46560</v>
      </c>
      <c r="AK253" s="149">
        <f t="shared" si="43"/>
        <v>0.71411042944785275</v>
      </c>
      <c r="AL253" s="150">
        <f t="shared" si="49"/>
        <v>-18640</v>
      </c>
      <c r="AM253" s="149">
        <f t="shared" si="44"/>
        <v>-0.28588957055214725</v>
      </c>
      <c r="AN253" s="150">
        <f t="shared" si="45"/>
        <v>605040</v>
      </c>
      <c r="AO253" s="151">
        <f t="shared" si="46"/>
        <v>0.9285451197053407</v>
      </c>
      <c r="AP253" s="154">
        <f t="shared" si="50"/>
        <v>65200</v>
      </c>
      <c r="AQ253" s="154"/>
      <c r="AR253" s="786" t="str">
        <f t="shared" si="51"/>
        <v>Vendido</v>
      </c>
      <c r="AS253" s="786" t="str">
        <f t="shared" si="52"/>
        <v>Cliente Atrasado</v>
      </c>
      <c r="AT253" s="174">
        <v>35</v>
      </c>
      <c r="AU253" s="174">
        <f t="shared" si="53"/>
        <v>1</v>
      </c>
      <c r="AV253" s="174">
        <f t="shared" si="54"/>
        <v>36</v>
      </c>
      <c r="AW253" s="173">
        <v>1690</v>
      </c>
      <c r="AX253" s="786">
        <f t="shared" si="47"/>
        <v>24</v>
      </c>
      <c r="AY253" s="787">
        <f t="shared" si="55"/>
        <v>25</v>
      </c>
      <c r="AZ253" s="152"/>
      <c r="BA253" s="152"/>
    </row>
    <row r="254" spans="1:53" x14ac:dyDescent="0.25">
      <c r="A254" s="93"/>
      <c r="B254" s="164">
        <v>1407</v>
      </c>
      <c r="C254" s="164" t="s">
        <v>363</v>
      </c>
      <c r="D254" s="165" t="s">
        <v>656</v>
      </c>
      <c r="E254" s="166">
        <v>45336</v>
      </c>
      <c r="F254" s="164" t="s">
        <v>534</v>
      </c>
      <c r="G254" s="164" t="s">
        <v>128</v>
      </c>
      <c r="H254" s="167">
        <v>1074100</v>
      </c>
      <c r="I254" s="167">
        <v>107410</v>
      </c>
      <c r="J254" s="121">
        <v>0</v>
      </c>
      <c r="K254" s="121">
        <v>0</v>
      </c>
      <c r="L254" s="121">
        <v>0</v>
      </c>
      <c r="M254" s="121">
        <v>0</v>
      </c>
      <c r="N254" s="121">
        <v>0</v>
      </c>
      <c r="O254" s="121">
        <v>0</v>
      </c>
      <c r="P254" s="121">
        <v>0</v>
      </c>
      <c r="Q254" s="121">
        <v>0</v>
      </c>
      <c r="R254" s="121">
        <v>0</v>
      </c>
      <c r="S254" s="121">
        <v>0</v>
      </c>
      <c r="T254" s="121">
        <v>0</v>
      </c>
      <c r="U254" s="121">
        <v>6000</v>
      </c>
      <c r="V254" s="121">
        <v>5337</v>
      </c>
      <c r="W254" s="121">
        <v>32022</v>
      </c>
      <c r="X254" s="121">
        <v>0</v>
      </c>
      <c r="Y254" s="121">
        <v>0</v>
      </c>
      <c r="Z254" s="121">
        <v>0</v>
      </c>
      <c r="AA254" s="121">
        <v>0</v>
      </c>
      <c r="AB254" s="121">
        <v>5337</v>
      </c>
      <c r="AC254" s="121">
        <v>0</v>
      </c>
      <c r="AD254" s="121">
        <f>5337+5337</f>
        <v>10674</v>
      </c>
      <c r="AE254" s="121">
        <v>0</v>
      </c>
      <c r="AF254" s="121">
        <v>5337</v>
      </c>
      <c r="AG254" s="121">
        <v>5337</v>
      </c>
      <c r="AH254" s="121">
        <f>5337+5337</f>
        <v>10674</v>
      </c>
      <c r="AI254" s="121">
        <v>0</v>
      </c>
      <c r="AJ254" s="784">
        <f t="shared" si="48"/>
        <v>80718</v>
      </c>
      <c r="AK254" s="149">
        <f t="shared" si="43"/>
        <v>0.75149427427613813</v>
      </c>
      <c r="AL254" s="150">
        <f t="shared" si="49"/>
        <v>-26692</v>
      </c>
      <c r="AM254" s="149">
        <f t="shared" si="44"/>
        <v>-0.24850572572386184</v>
      </c>
      <c r="AN254" s="150">
        <f t="shared" si="45"/>
        <v>993382</v>
      </c>
      <c r="AO254" s="151">
        <f t="shared" si="46"/>
        <v>0.92485057257238623</v>
      </c>
      <c r="AP254" s="154">
        <f t="shared" si="50"/>
        <v>107410</v>
      </c>
      <c r="AQ254" s="154"/>
      <c r="AR254" s="786" t="str">
        <f t="shared" si="51"/>
        <v>Vendido</v>
      </c>
      <c r="AS254" s="786" t="str">
        <f t="shared" si="52"/>
        <v>Cliente Atrasado</v>
      </c>
      <c r="AT254" s="174">
        <v>18</v>
      </c>
      <c r="AU254" s="174">
        <f t="shared" si="53"/>
        <v>1</v>
      </c>
      <c r="AV254" s="174">
        <f t="shared" si="54"/>
        <v>19</v>
      </c>
      <c r="AW254" s="173">
        <v>4056</v>
      </c>
      <c r="AX254" s="786">
        <f t="shared" si="47"/>
        <v>0</v>
      </c>
      <c r="AY254" s="787">
        <f t="shared" si="55"/>
        <v>14</v>
      </c>
      <c r="AZ254" s="152"/>
      <c r="BA254" s="152"/>
    </row>
    <row r="255" spans="1:53" x14ac:dyDescent="0.25">
      <c r="A255" s="86"/>
      <c r="B255" s="164">
        <v>1408</v>
      </c>
      <c r="C255" s="164"/>
      <c r="D255" s="165"/>
      <c r="E255" s="166"/>
      <c r="F255" s="164" t="s">
        <v>536</v>
      </c>
      <c r="G255" s="164" t="s">
        <v>374</v>
      </c>
      <c r="H255" s="167">
        <v>1331589.48698949</v>
      </c>
      <c r="I255" s="167">
        <f>+H255*0.1</f>
        <v>133158.94869894901</v>
      </c>
      <c r="J255" s="121">
        <v>0</v>
      </c>
      <c r="K255" s="121">
        <v>0</v>
      </c>
      <c r="L255" s="121">
        <v>0</v>
      </c>
      <c r="M255" s="121">
        <v>0</v>
      </c>
      <c r="N255" s="121">
        <v>0</v>
      </c>
      <c r="O255" s="121">
        <v>0</v>
      </c>
      <c r="P255" s="121">
        <v>0</v>
      </c>
      <c r="Q255" s="121">
        <v>0</v>
      </c>
      <c r="R255" s="121">
        <v>0</v>
      </c>
      <c r="S255" s="121">
        <v>0</v>
      </c>
      <c r="T255" s="121">
        <v>0</v>
      </c>
      <c r="U255" s="121">
        <v>0</v>
      </c>
      <c r="V255" s="121">
        <v>0</v>
      </c>
      <c r="W255" s="121">
        <v>0</v>
      </c>
      <c r="X255" s="121">
        <v>0</v>
      </c>
      <c r="Y255" s="121">
        <v>0</v>
      </c>
      <c r="Z255" s="121">
        <v>0</v>
      </c>
      <c r="AA255" s="121">
        <v>0</v>
      </c>
      <c r="AB255" s="121">
        <v>0</v>
      </c>
      <c r="AC255" s="121">
        <v>0</v>
      </c>
      <c r="AD255" s="121">
        <v>0</v>
      </c>
      <c r="AE255" s="121">
        <v>0</v>
      </c>
      <c r="AF255" s="121">
        <v>0</v>
      </c>
      <c r="AG255" s="121">
        <v>0</v>
      </c>
      <c r="AH255" s="121">
        <v>0</v>
      </c>
      <c r="AI255" s="121">
        <v>0</v>
      </c>
      <c r="AJ255" s="784">
        <f t="shared" si="48"/>
        <v>0</v>
      </c>
      <c r="AK255" s="149">
        <f t="shared" si="43"/>
        <v>0</v>
      </c>
      <c r="AL255" s="150">
        <f t="shared" si="49"/>
        <v>0</v>
      </c>
      <c r="AM255" s="149">
        <f t="shared" si="44"/>
        <v>0</v>
      </c>
      <c r="AN255" s="150">
        <f t="shared" si="45"/>
        <v>1331589.48698949</v>
      </c>
      <c r="AO255" s="151">
        <f t="shared" si="46"/>
        <v>1</v>
      </c>
      <c r="AP255" s="154">
        <f t="shared" si="50"/>
        <v>0</v>
      </c>
      <c r="AQ255" s="154"/>
      <c r="AR255" s="786" t="str">
        <f t="shared" si="51"/>
        <v>Apartamento Disponible</v>
      </c>
      <c r="AS255" s="786" t="str">
        <f t="shared" si="52"/>
        <v>Disponible</v>
      </c>
      <c r="AT255" s="174"/>
      <c r="AU255" s="174">
        <f t="shared" si="53"/>
        <v>0</v>
      </c>
      <c r="AV255" s="174">
        <f t="shared" si="54"/>
        <v>0</v>
      </c>
      <c r="AW255" s="173"/>
      <c r="AX255" s="786">
        <f t="shared" si="47"/>
        <v>26</v>
      </c>
      <c r="AY255" s="787">
        <f t="shared" si="55"/>
        <v>1503</v>
      </c>
      <c r="AZ255" s="152"/>
      <c r="BA255" s="152"/>
    </row>
    <row r="256" spans="1:53" x14ac:dyDescent="0.25">
      <c r="A256" s="93"/>
      <c r="B256" s="164">
        <v>1409</v>
      </c>
      <c r="C256" s="164" t="s">
        <v>363</v>
      </c>
      <c r="D256" s="165" t="s">
        <v>364</v>
      </c>
      <c r="E256" s="166">
        <v>45300</v>
      </c>
      <c r="F256" s="164" t="s">
        <v>400</v>
      </c>
      <c r="G256" s="164" t="s">
        <v>128</v>
      </c>
      <c r="H256" s="167">
        <v>858400</v>
      </c>
      <c r="I256" s="167">
        <f>+H256*0.1</f>
        <v>85840</v>
      </c>
      <c r="J256" s="121">
        <v>0</v>
      </c>
      <c r="K256" s="121">
        <v>0</v>
      </c>
      <c r="L256" s="121">
        <v>0</v>
      </c>
      <c r="M256" s="121">
        <v>0</v>
      </c>
      <c r="N256" s="121">
        <v>0</v>
      </c>
      <c r="O256" s="121">
        <v>0</v>
      </c>
      <c r="P256" s="121">
        <v>0</v>
      </c>
      <c r="Q256" s="121">
        <v>0</v>
      </c>
      <c r="R256" s="121">
        <v>0</v>
      </c>
      <c r="S256" s="121">
        <v>0</v>
      </c>
      <c r="T256" s="121">
        <v>0</v>
      </c>
      <c r="U256" s="121">
        <v>0</v>
      </c>
      <c r="V256" s="121">
        <v>0</v>
      </c>
      <c r="W256" s="121">
        <v>0</v>
      </c>
      <c r="X256" s="121">
        <v>0</v>
      </c>
      <c r="Y256" s="121">
        <v>0</v>
      </c>
      <c r="Z256" s="121">
        <v>0</v>
      </c>
      <c r="AA256" s="121">
        <v>0</v>
      </c>
      <c r="AB256" s="121">
        <v>0</v>
      </c>
      <c r="AC256" s="121">
        <v>0</v>
      </c>
      <c r="AD256" s="121">
        <v>0</v>
      </c>
      <c r="AE256" s="121">
        <v>0</v>
      </c>
      <c r="AF256" s="121">
        <v>0</v>
      </c>
      <c r="AG256" s="121">
        <v>0</v>
      </c>
      <c r="AH256" s="121">
        <v>0</v>
      </c>
      <c r="AI256" s="121">
        <v>0</v>
      </c>
      <c r="AJ256" s="784">
        <f t="shared" si="48"/>
        <v>0</v>
      </c>
      <c r="AK256" s="149">
        <f t="shared" si="43"/>
        <v>0</v>
      </c>
      <c r="AL256" s="150">
        <f t="shared" si="49"/>
        <v>-85840</v>
      </c>
      <c r="AM256" s="149">
        <f t="shared" si="44"/>
        <v>-1</v>
      </c>
      <c r="AN256" s="150">
        <f t="shared" si="45"/>
        <v>858400</v>
      </c>
      <c r="AO256" s="151">
        <f t="shared" si="46"/>
        <v>1</v>
      </c>
      <c r="AP256" s="154">
        <f t="shared" si="50"/>
        <v>85840</v>
      </c>
      <c r="AQ256" s="154"/>
      <c r="AR256" s="786" t="str">
        <f t="shared" si="51"/>
        <v>Vendido</v>
      </c>
      <c r="AS256" s="786" t="str">
        <f t="shared" si="52"/>
        <v>Cliente Atrasado</v>
      </c>
      <c r="AT256" s="174"/>
      <c r="AU256" s="174">
        <f t="shared" si="53"/>
        <v>0</v>
      </c>
      <c r="AV256" s="174">
        <f t="shared" si="54"/>
        <v>0</v>
      </c>
      <c r="AW256" s="173"/>
      <c r="AX256" s="786">
        <f t="shared" si="47"/>
        <v>26</v>
      </c>
      <c r="AY256" s="787">
        <f t="shared" si="55"/>
        <v>15</v>
      </c>
      <c r="AZ256" s="152"/>
      <c r="BA256" s="152"/>
    </row>
    <row r="257" spans="1:53" x14ac:dyDescent="0.25">
      <c r="A257" s="93"/>
      <c r="B257" s="164">
        <v>1410</v>
      </c>
      <c r="C257" s="164" t="s">
        <v>366</v>
      </c>
      <c r="D257" s="165" t="s">
        <v>658</v>
      </c>
      <c r="E257" s="166">
        <v>45327</v>
      </c>
      <c r="F257" s="164" t="s">
        <v>175</v>
      </c>
      <c r="G257" s="164" t="s">
        <v>128</v>
      </c>
      <c r="H257" s="167">
        <v>887400</v>
      </c>
      <c r="I257" s="167">
        <v>88800</v>
      </c>
      <c r="J257" s="121">
        <v>0</v>
      </c>
      <c r="K257" s="121">
        <v>0</v>
      </c>
      <c r="L257" s="121">
        <v>0</v>
      </c>
      <c r="M257" s="121">
        <v>0</v>
      </c>
      <c r="N257" s="121">
        <v>0</v>
      </c>
      <c r="O257" s="121">
        <v>0</v>
      </c>
      <c r="P257" s="121">
        <v>0</v>
      </c>
      <c r="Q257" s="121">
        <v>0</v>
      </c>
      <c r="R257" s="121">
        <v>0</v>
      </c>
      <c r="S257" s="121">
        <v>0</v>
      </c>
      <c r="T257" s="121">
        <v>0</v>
      </c>
      <c r="U257" s="121">
        <v>8000</v>
      </c>
      <c r="V257" s="121">
        <v>0</v>
      </c>
      <c r="W257" s="121">
        <v>0</v>
      </c>
      <c r="X257" s="121">
        <v>5000</v>
      </c>
      <c r="Y257" s="121">
        <v>0</v>
      </c>
      <c r="Z257" s="121">
        <v>5000</v>
      </c>
      <c r="AA257" s="121">
        <v>5000</v>
      </c>
      <c r="AB257" s="121">
        <v>5000</v>
      </c>
      <c r="AC257" s="121">
        <v>0</v>
      </c>
      <c r="AD257" s="121">
        <v>5000</v>
      </c>
      <c r="AE257" s="121">
        <v>5000</v>
      </c>
      <c r="AF257" s="121">
        <v>5000</v>
      </c>
      <c r="AG257" s="121">
        <v>0</v>
      </c>
      <c r="AH257" s="121">
        <v>5000</v>
      </c>
      <c r="AI257" s="121">
        <v>0</v>
      </c>
      <c r="AJ257" s="784">
        <f t="shared" si="48"/>
        <v>48000</v>
      </c>
      <c r="AK257" s="149">
        <f t="shared" si="43"/>
        <v>0.54054054054054057</v>
      </c>
      <c r="AL257" s="150">
        <f t="shared" si="49"/>
        <v>-40800</v>
      </c>
      <c r="AM257" s="149">
        <f t="shared" si="44"/>
        <v>-0.45945945945945948</v>
      </c>
      <c r="AN257" s="150">
        <f t="shared" si="45"/>
        <v>839400</v>
      </c>
      <c r="AO257" s="151">
        <f t="shared" si="46"/>
        <v>0.94590939824205544</v>
      </c>
      <c r="AP257" s="154">
        <f t="shared" si="50"/>
        <v>88800</v>
      </c>
      <c r="AQ257" s="154"/>
      <c r="AR257" s="786" t="str">
        <f t="shared" si="51"/>
        <v>Vendido</v>
      </c>
      <c r="AS257" s="786" t="str">
        <f t="shared" si="52"/>
        <v>Cliente Atrasado</v>
      </c>
      <c r="AT257" s="174">
        <v>19</v>
      </c>
      <c r="AU257" s="174">
        <f t="shared" si="53"/>
        <v>1</v>
      </c>
      <c r="AV257" s="174">
        <f t="shared" si="54"/>
        <v>20</v>
      </c>
      <c r="AW257" s="173">
        <v>4253</v>
      </c>
      <c r="AX257" s="786">
        <f t="shared" si="47"/>
        <v>0</v>
      </c>
      <c r="AY257" s="787">
        <f t="shared" si="55"/>
        <v>14</v>
      </c>
      <c r="AZ257" s="152"/>
      <c r="BA257" s="152"/>
    </row>
    <row r="258" spans="1:53" x14ac:dyDescent="0.25">
      <c r="A258" s="93"/>
      <c r="B258" s="164">
        <v>1411</v>
      </c>
      <c r="C258" s="164" t="s">
        <v>366</v>
      </c>
      <c r="D258" s="165" t="s">
        <v>660</v>
      </c>
      <c r="E258" s="166">
        <v>45096</v>
      </c>
      <c r="F258" s="164" t="s">
        <v>563</v>
      </c>
      <c r="G258" s="164" t="s">
        <v>128</v>
      </c>
      <c r="H258" s="167">
        <v>1382700</v>
      </c>
      <c r="I258" s="167">
        <v>138300</v>
      </c>
      <c r="J258" s="121">
        <v>0</v>
      </c>
      <c r="K258" s="121">
        <v>0</v>
      </c>
      <c r="L258" s="121">
        <v>0</v>
      </c>
      <c r="M258" s="121">
        <v>6000</v>
      </c>
      <c r="N258" s="121">
        <v>4900</v>
      </c>
      <c r="O258" s="121">
        <v>4900</v>
      </c>
      <c r="P258" s="121">
        <v>4900</v>
      </c>
      <c r="Q258" s="121">
        <v>0</v>
      </c>
      <c r="R258" s="121">
        <v>9800</v>
      </c>
      <c r="S258" s="121">
        <v>0</v>
      </c>
      <c r="T258" s="121">
        <v>9800</v>
      </c>
      <c r="U258" s="121">
        <v>0</v>
      </c>
      <c r="V258" s="121">
        <v>4900</v>
      </c>
      <c r="W258" s="121">
        <v>4900</v>
      </c>
      <c r="X258" s="121">
        <v>9800</v>
      </c>
      <c r="Y258" s="121">
        <v>0</v>
      </c>
      <c r="Z258" s="121">
        <v>4900</v>
      </c>
      <c r="AA258" s="121">
        <v>9800</v>
      </c>
      <c r="AB258" s="121">
        <v>0</v>
      </c>
      <c r="AC258" s="121">
        <v>4900</v>
      </c>
      <c r="AD258" s="121">
        <v>4900</v>
      </c>
      <c r="AE258" s="121">
        <v>4900</v>
      </c>
      <c r="AF258" s="121">
        <v>4900</v>
      </c>
      <c r="AG258" s="121">
        <v>4900</v>
      </c>
      <c r="AH258" s="121">
        <v>4900</v>
      </c>
      <c r="AI258" s="121">
        <v>0</v>
      </c>
      <c r="AJ258" s="784">
        <f t="shared" si="48"/>
        <v>104000</v>
      </c>
      <c r="AK258" s="149">
        <f t="shared" si="43"/>
        <v>0.75198843094721624</v>
      </c>
      <c r="AL258" s="150">
        <f t="shared" si="49"/>
        <v>-34300</v>
      </c>
      <c r="AM258" s="149">
        <f t="shared" si="44"/>
        <v>-0.24801156905278379</v>
      </c>
      <c r="AN258" s="150">
        <f t="shared" si="45"/>
        <v>1278700</v>
      </c>
      <c r="AO258" s="151">
        <f t="shared" si="46"/>
        <v>0.92478484125262173</v>
      </c>
      <c r="AP258" s="154">
        <f t="shared" si="50"/>
        <v>138300</v>
      </c>
      <c r="AQ258" s="154"/>
      <c r="AR258" s="786" t="str">
        <f t="shared" si="51"/>
        <v>Vendido</v>
      </c>
      <c r="AS258" s="786" t="str">
        <f t="shared" si="52"/>
        <v>Cliente Atrasado</v>
      </c>
      <c r="AT258" s="174">
        <v>27</v>
      </c>
      <c r="AU258" s="174">
        <f t="shared" si="53"/>
        <v>1</v>
      </c>
      <c r="AV258" s="174">
        <f t="shared" si="54"/>
        <v>28</v>
      </c>
      <c r="AW258" s="173">
        <v>4899</v>
      </c>
      <c r="AX258" s="786">
        <f t="shared" si="47"/>
        <v>0</v>
      </c>
      <c r="AY258" s="787">
        <f t="shared" si="55"/>
        <v>22</v>
      </c>
      <c r="AZ258" s="152"/>
      <c r="BA258" s="152"/>
    </row>
    <row r="259" spans="1:53" x14ac:dyDescent="0.25">
      <c r="A259" s="93"/>
      <c r="B259" s="164">
        <v>1412</v>
      </c>
      <c r="C259" s="164" t="s">
        <v>383</v>
      </c>
      <c r="D259" s="165" t="s">
        <v>661</v>
      </c>
      <c r="E259" s="166">
        <v>45044</v>
      </c>
      <c r="F259" s="164" t="s">
        <v>178</v>
      </c>
      <c r="G259" s="164" t="s">
        <v>128</v>
      </c>
      <c r="H259" s="167">
        <v>661100</v>
      </c>
      <c r="I259" s="167">
        <v>66200</v>
      </c>
      <c r="J259" s="121">
        <v>0</v>
      </c>
      <c r="K259" s="121">
        <v>6000</v>
      </c>
      <c r="L259" s="121">
        <v>1750</v>
      </c>
      <c r="M259" s="121">
        <v>1750</v>
      </c>
      <c r="N259" s="121">
        <v>1750</v>
      </c>
      <c r="O259" s="121">
        <v>1750</v>
      </c>
      <c r="P259" s="121">
        <v>1750</v>
      </c>
      <c r="Q259" s="121">
        <v>1750</v>
      </c>
      <c r="R259" s="121">
        <v>1750</v>
      </c>
      <c r="S259" s="121">
        <v>1750</v>
      </c>
      <c r="T259" s="121">
        <v>1750</v>
      </c>
      <c r="U259" s="121">
        <v>1750</v>
      </c>
      <c r="V259" s="121">
        <v>1750</v>
      </c>
      <c r="W259" s="121">
        <v>1750</v>
      </c>
      <c r="X259" s="121">
        <v>1750</v>
      </c>
      <c r="Y259" s="121">
        <v>1750</v>
      </c>
      <c r="Z259" s="121">
        <v>1750</v>
      </c>
      <c r="AA259" s="121">
        <v>1750</v>
      </c>
      <c r="AB259" s="121">
        <v>1750</v>
      </c>
      <c r="AC259" s="121">
        <v>1750</v>
      </c>
      <c r="AD259" s="121">
        <v>1750</v>
      </c>
      <c r="AE259" s="121">
        <v>1750</v>
      </c>
      <c r="AF259" s="121">
        <v>0</v>
      </c>
      <c r="AG259" s="121">
        <v>3500</v>
      </c>
      <c r="AH259" s="121">
        <v>1750</v>
      </c>
      <c r="AI259" s="121">
        <v>0</v>
      </c>
      <c r="AJ259" s="784">
        <f t="shared" si="48"/>
        <v>46250</v>
      </c>
      <c r="AK259" s="149">
        <f t="shared" si="43"/>
        <v>0.69864048338368578</v>
      </c>
      <c r="AL259" s="150">
        <f t="shared" si="49"/>
        <v>-19950</v>
      </c>
      <c r="AM259" s="149">
        <f t="shared" si="44"/>
        <v>-0.30135951661631422</v>
      </c>
      <c r="AN259" s="150">
        <f t="shared" si="45"/>
        <v>614850</v>
      </c>
      <c r="AO259" s="151">
        <f t="shared" si="46"/>
        <v>0.93004084102253815</v>
      </c>
      <c r="AP259" s="154">
        <f t="shared" si="50"/>
        <v>66200</v>
      </c>
      <c r="AQ259" s="154"/>
      <c r="AR259" s="786" t="str">
        <f t="shared" si="51"/>
        <v>Vendido</v>
      </c>
      <c r="AS259" s="786" t="str">
        <f t="shared" si="52"/>
        <v>Cliente Atrasado</v>
      </c>
      <c r="AT259" s="174">
        <v>29</v>
      </c>
      <c r="AU259" s="174">
        <f t="shared" si="53"/>
        <v>1</v>
      </c>
      <c r="AV259" s="174">
        <f t="shared" si="54"/>
        <v>30</v>
      </c>
      <c r="AW259" s="173">
        <v>1750</v>
      </c>
      <c r="AX259" s="786">
        <f t="shared" si="47"/>
        <v>21</v>
      </c>
      <c r="AY259" s="787">
        <f t="shared" si="55"/>
        <v>24</v>
      </c>
      <c r="AZ259" s="152"/>
      <c r="BA259" s="152"/>
    </row>
    <row r="260" spans="1:53" x14ac:dyDescent="0.25">
      <c r="A260" s="93"/>
      <c r="B260" s="172">
        <v>1501</v>
      </c>
      <c r="C260" s="164" t="s">
        <v>366</v>
      </c>
      <c r="D260" s="165" t="s">
        <v>758</v>
      </c>
      <c r="E260" s="166">
        <v>45749</v>
      </c>
      <c r="F260" s="164" t="s">
        <v>662</v>
      </c>
      <c r="G260" s="164" t="s">
        <v>137</v>
      </c>
      <c r="H260" s="167">
        <v>1450747.8</v>
      </c>
      <c r="I260" s="167">
        <v>123200</v>
      </c>
      <c r="J260" s="121">
        <v>0</v>
      </c>
      <c r="K260" s="121">
        <v>0</v>
      </c>
      <c r="L260" s="121">
        <v>0</v>
      </c>
      <c r="M260" s="121">
        <v>0</v>
      </c>
      <c r="N260" s="121">
        <v>0</v>
      </c>
      <c r="O260" s="121">
        <v>0</v>
      </c>
      <c r="P260" s="121">
        <v>0</v>
      </c>
      <c r="Q260" s="121">
        <v>0</v>
      </c>
      <c r="R260" s="121">
        <v>0</v>
      </c>
      <c r="S260" s="121">
        <v>0</v>
      </c>
      <c r="T260" s="121">
        <v>0</v>
      </c>
      <c r="U260" s="121">
        <v>0</v>
      </c>
      <c r="V260" s="121">
        <v>0</v>
      </c>
      <c r="W260" s="121">
        <v>0</v>
      </c>
      <c r="X260" s="121">
        <v>0</v>
      </c>
      <c r="Y260" s="121">
        <v>0</v>
      </c>
      <c r="Z260" s="121">
        <v>0</v>
      </c>
      <c r="AA260" s="121">
        <v>0</v>
      </c>
      <c r="AB260" s="121">
        <v>0</v>
      </c>
      <c r="AC260" s="121">
        <v>0</v>
      </c>
      <c r="AD260" s="121">
        <v>0</v>
      </c>
      <c r="AE260" s="121">
        <v>0</v>
      </c>
      <c r="AF260" s="121">
        <v>0</v>
      </c>
      <c r="AG260" s="121">
        <v>0</v>
      </c>
      <c r="AH260" s="121">
        <v>0</v>
      </c>
      <c r="AI260" s="121">
        <v>5000</v>
      </c>
      <c r="AJ260" s="784">
        <f t="shared" si="48"/>
        <v>5000</v>
      </c>
      <c r="AK260" s="149">
        <f t="shared" si="43"/>
        <v>4.0584415584415584E-2</v>
      </c>
      <c r="AL260" s="150">
        <f t="shared" si="49"/>
        <v>-118200</v>
      </c>
      <c r="AM260" s="149">
        <f t="shared" si="44"/>
        <v>-0.95941558441558439</v>
      </c>
      <c r="AN260" s="150">
        <f t="shared" si="45"/>
        <v>1445747.8</v>
      </c>
      <c r="AO260" s="151">
        <f t="shared" si="46"/>
        <v>0.99655350158035738</v>
      </c>
      <c r="AP260" s="154">
        <f t="shared" si="50"/>
        <v>123200</v>
      </c>
      <c r="AQ260" s="154"/>
      <c r="AR260" s="786" t="str">
        <f t="shared" si="51"/>
        <v>Vendido</v>
      </c>
      <c r="AS260" s="786" t="str">
        <f t="shared" si="52"/>
        <v>Cliente Atrasado</v>
      </c>
      <c r="AT260" s="174"/>
      <c r="AU260" s="174">
        <f t="shared" si="53"/>
        <v>0</v>
      </c>
      <c r="AV260" s="174">
        <f t="shared" si="54"/>
        <v>0</v>
      </c>
      <c r="AW260" s="173" t="s">
        <v>1075</v>
      </c>
      <c r="AX260" s="786">
        <f t="shared" si="47"/>
        <v>0</v>
      </c>
      <c r="AY260" s="787">
        <f t="shared" si="55"/>
        <v>0</v>
      </c>
      <c r="AZ260" s="152"/>
      <c r="BA260" s="152"/>
    </row>
    <row r="261" spans="1:53" ht="15" customHeight="1" x14ac:dyDescent="0.25">
      <c r="A261" s="93"/>
      <c r="B261" s="164">
        <v>1502</v>
      </c>
      <c r="C261" s="168" t="s">
        <v>126</v>
      </c>
      <c r="D261" s="165" t="s">
        <v>665</v>
      </c>
      <c r="E261" s="166">
        <v>45578</v>
      </c>
      <c r="F261" s="164" t="s">
        <v>664</v>
      </c>
      <c r="G261" s="164" t="s">
        <v>128</v>
      </c>
      <c r="H261" s="167">
        <v>1333525.2264579299</v>
      </c>
      <c r="I261" s="167">
        <v>131660</v>
      </c>
      <c r="J261" s="121">
        <v>0</v>
      </c>
      <c r="K261" s="121">
        <v>0</v>
      </c>
      <c r="L261" s="121">
        <v>0</v>
      </c>
      <c r="M261" s="121">
        <v>0</v>
      </c>
      <c r="N261" s="121">
        <v>0</v>
      </c>
      <c r="O261" s="121">
        <v>0</v>
      </c>
      <c r="P261" s="121">
        <v>0</v>
      </c>
      <c r="Q261" s="121">
        <v>0</v>
      </c>
      <c r="R261" s="121">
        <v>0</v>
      </c>
      <c r="S261" s="121">
        <v>0</v>
      </c>
      <c r="T261" s="121">
        <v>0</v>
      </c>
      <c r="U261" s="121">
        <v>0</v>
      </c>
      <c r="V261" s="121">
        <v>0</v>
      </c>
      <c r="W261" s="121">
        <v>0</v>
      </c>
      <c r="X261" s="121">
        <v>0</v>
      </c>
      <c r="Y261" s="121">
        <v>0</v>
      </c>
      <c r="Z261" s="121">
        <v>0</v>
      </c>
      <c r="AA261" s="121">
        <v>0</v>
      </c>
      <c r="AB261" s="121">
        <v>0</v>
      </c>
      <c r="AC261" s="121">
        <v>10000</v>
      </c>
      <c r="AD261" s="121">
        <v>8690</v>
      </c>
      <c r="AE261" s="121">
        <v>8690</v>
      </c>
      <c r="AF261" s="121">
        <v>8690</v>
      </c>
      <c r="AG261" s="121">
        <v>8690</v>
      </c>
      <c r="AH261" s="121">
        <v>8690</v>
      </c>
      <c r="AI261" s="121">
        <v>0</v>
      </c>
      <c r="AJ261" s="784">
        <f t="shared" si="48"/>
        <v>53450</v>
      </c>
      <c r="AK261" s="149">
        <f t="shared" si="43"/>
        <v>0.4059699225277229</v>
      </c>
      <c r="AL261" s="150">
        <f t="shared" si="49"/>
        <v>-78210</v>
      </c>
      <c r="AM261" s="149">
        <f t="shared" si="44"/>
        <v>-0.5940300774722771</v>
      </c>
      <c r="AN261" s="150">
        <f t="shared" si="45"/>
        <v>1280075.2264579299</v>
      </c>
      <c r="AO261" s="151">
        <f t="shared" si="46"/>
        <v>0.95991826855651441</v>
      </c>
      <c r="AP261" s="154">
        <f t="shared" si="50"/>
        <v>131660</v>
      </c>
      <c r="AQ261" s="154"/>
      <c r="AR261" s="786" t="str">
        <f t="shared" si="51"/>
        <v>Vendido</v>
      </c>
      <c r="AS261" s="786" t="str">
        <f t="shared" si="52"/>
        <v>Cliente Atrasado</v>
      </c>
      <c r="AT261" s="174">
        <v>14</v>
      </c>
      <c r="AU261" s="174">
        <f t="shared" si="53"/>
        <v>1</v>
      </c>
      <c r="AV261" s="174">
        <f t="shared" si="54"/>
        <v>15</v>
      </c>
      <c r="AW261" s="173"/>
      <c r="AX261" s="786">
        <f t="shared" si="47"/>
        <v>20</v>
      </c>
      <c r="AY261" s="787">
        <f t="shared" si="55"/>
        <v>6</v>
      </c>
      <c r="AZ261" s="152"/>
      <c r="BA261" s="152"/>
    </row>
    <row r="262" spans="1:53" x14ac:dyDescent="0.25">
      <c r="A262" s="93"/>
      <c r="B262" s="164">
        <v>1503</v>
      </c>
      <c r="C262" s="164" t="s">
        <v>383</v>
      </c>
      <c r="D262" s="165" t="s">
        <v>666</v>
      </c>
      <c r="E262" s="166">
        <v>45016</v>
      </c>
      <c r="F262" s="164" t="s">
        <v>393</v>
      </c>
      <c r="G262" s="164" t="s">
        <v>128</v>
      </c>
      <c r="H262" s="167">
        <v>852627.54461999994</v>
      </c>
      <c r="I262" s="167">
        <v>85227.54</v>
      </c>
      <c r="J262" s="121">
        <v>6000</v>
      </c>
      <c r="K262" s="121">
        <v>1000</v>
      </c>
      <c r="L262" s="121">
        <v>1000</v>
      </c>
      <c r="M262" s="121">
        <v>1000</v>
      </c>
      <c r="N262" s="121">
        <v>1000</v>
      </c>
      <c r="O262" s="121">
        <v>1000</v>
      </c>
      <c r="P262" s="121">
        <v>1000</v>
      </c>
      <c r="Q262" s="121">
        <v>1000</v>
      </c>
      <c r="R262" s="121">
        <v>1000</v>
      </c>
      <c r="S262" s="121">
        <v>0</v>
      </c>
      <c r="T262" s="121">
        <v>2000</v>
      </c>
      <c r="U262" s="121">
        <v>1000</v>
      </c>
      <c r="V262" s="121">
        <v>0</v>
      </c>
      <c r="W262" s="121">
        <v>0</v>
      </c>
      <c r="X262" s="121">
        <v>0</v>
      </c>
      <c r="Y262" s="121">
        <v>0</v>
      </c>
      <c r="Z262" s="121">
        <v>6000</v>
      </c>
      <c r="AA262" s="121">
        <v>0</v>
      </c>
      <c r="AB262" s="121">
        <v>0</v>
      </c>
      <c r="AC262" s="121">
        <v>0</v>
      </c>
      <c r="AD262" s="121">
        <v>0</v>
      </c>
      <c r="AE262" s="121">
        <v>0</v>
      </c>
      <c r="AF262" s="121">
        <v>0</v>
      </c>
      <c r="AG262" s="121">
        <v>0</v>
      </c>
      <c r="AH262" s="121">
        <v>0</v>
      </c>
      <c r="AI262" s="121">
        <v>0</v>
      </c>
      <c r="AJ262" s="784">
        <f t="shared" si="48"/>
        <v>23000</v>
      </c>
      <c r="AK262" s="149">
        <f t="shared" si="43"/>
        <v>0.26986582036745399</v>
      </c>
      <c r="AL262" s="150">
        <f t="shared" si="49"/>
        <v>-62227.539999999994</v>
      </c>
      <c r="AM262" s="149">
        <f t="shared" si="44"/>
        <v>-0.73013417963254601</v>
      </c>
      <c r="AN262" s="150">
        <f t="shared" si="45"/>
        <v>829627.54461999994</v>
      </c>
      <c r="AO262" s="151">
        <f t="shared" si="46"/>
        <v>0.97302456372055079</v>
      </c>
      <c r="AP262" s="154">
        <f t="shared" si="50"/>
        <v>85227.54</v>
      </c>
      <c r="AQ262" s="154"/>
      <c r="AR262" s="786" t="str">
        <f t="shared" si="51"/>
        <v>Vendido</v>
      </c>
      <c r="AS262" s="786" t="str">
        <f t="shared" si="52"/>
        <v>Cliente Atrasado</v>
      </c>
      <c r="AT262" s="174">
        <v>35</v>
      </c>
      <c r="AU262" s="174">
        <f t="shared" si="53"/>
        <v>1</v>
      </c>
      <c r="AV262" s="174">
        <f t="shared" si="54"/>
        <v>36</v>
      </c>
      <c r="AW262" s="173">
        <v>1000</v>
      </c>
      <c r="AX262" s="786">
        <f t="shared" si="47"/>
        <v>9</v>
      </c>
      <c r="AY262" s="787">
        <f t="shared" si="55"/>
        <v>24</v>
      </c>
      <c r="AZ262" s="152"/>
      <c r="BA262" s="152"/>
    </row>
    <row r="263" spans="1:53" x14ac:dyDescent="0.25">
      <c r="A263" s="93"/>
      <c r="B263" s="164">
        <v>1504</v>
      </c>
      <c r="C263" s="164" t="s">
        <v>356</v>
      </c>
      <c r="D263" s="165" t="s">
        <v>667</v>
      </c>
      <c r="E263" s="166">
        <v>45068</v>
      </c>
      <c r="F263" s="164" t="s">
        <v>172</v>
      </c>
      <c r="G263" s="164" t="s">
        <v>128</v>
      </c>
      <c r="H263" s="167">
        <v>883300</v>
      </c>
      <c r="I263" s="167">
        <v>88800</v>
      </c>
      <c r="J263" s="121">
        <v>0</v>
      </c>
      <c r="K263" s="121">
        <v>0</v>
      </c>
      <c r="L263" s="121">
        <v>6000</v>
      </c>
      <c r="M263" s="121">
        <v>0</v>
      </c>
      <c r="N263" s="121">
        <v>1000</v>
      </c>
      <c r="O263" s="121">
        <v>1000</v>
      </c>
      <c r="P263" s="121">
        <v>1000</v>
      </c>
      <c r="Q263" s="121">
        <v>1000</v>
      </c>
      <c r="R263" s="121">
        <v>1000</v>
      </c>
      <c r="S263" s="121">
        <v>1000</v>
      </c>
      <c r="T263" s="121">
        <v>1000</v>
      </c>
      <c r="U263" s="121">
        <v>1000</v>
      </c>
      <c r="V263" s="121">
        <v>1000</v>
      </c>
      <c r="W263" s="121">
        <v>1000</v>
      </c>
      <c r="X263" s="121">
        <v>1000</v>
      </c>
      <c r="Y263" s="121">
        <v>1000</v>
      </c>
      <c r="Z263" s="121">
        <v>1000</v>
      </c>
      <c r="AA263" s="121">
        <v>1000</v>
      </c>
      <c r="AB263" s="121">
        <v>1000</v>
      </c>
      <c r="AC263" s="121">
        <v>1000</v>
      </c>
      <c r="AD263" s="121">
        <v>1000</v>
      </c>
      <c r="AE263" s="121">
        <v>1000</v>
      </c>
      <c r="AF263" s="121">
        <v>1000</v>
      </c>
      <c r="AG263" s="121">
        <v>1000</v>
      </c>
      <c r="AH263" s="121">
        <v>1000</v>
      </c>
      <c r="AI263" s="121">
        <v>0</v>
      </c>
      <c r="AJ263" s="784">
        <f t="shared" si="48"/>
        <v>27000</v>
      </c>
      <c r="AK263" s="149">
        <f t="shared" ref="AK263:AK305" si="56">IFERROR((+AJ263/I263),0)</f>
        <v>0.30405405405405406</v>
      </c>
      <c r="AL263" s="150">
        <f t="shared" si="49"/>
        <v>-61800</v>
      </c>
      <c r="AM263" s="149">
        <f t="shared" ref="AM263:AM305" si="57">+AL263/I263</f>
        <v>-0.69594594594594594</v>
      </c>
      <c r="AN263" s="150">
        <f t="shared" ref="AN263:AN304" si="58">+H263-AJ263</f>
        <v>856300</v>
      </c>
      <c r="AO263" s="151">
        <f t="shared" ref="AO263:AO304" si="59">+AN263/H263</f>
        <v>0.96943280878523719</v>
      </c>
      <c r="AP263" s="154">
        <f t="shared" si="50"/>
        <v>88800</v>
      </c>
      <c r="AQ263" s="154"/>
      <c r="AR263" s="786" t="str">
        <f t="shared" si="51"/>
        <v>Vendido</v>
      </c>
      <c r="AS263" s="786" t="str">
        <f t="shared" si="52"/>
        <v>Cliente Atrasado</v>
      </c>
      <c r="AT263" s="174">
        <v>27</v>
      </c>
      <c r="AU263" s="174">
        <f t="shared" si="53"/>
        <v>1</v>
      </c>
      <c r="AV263" s="174">
        <f t="shared" si="54"/>
        <v>28</v>
      </c>
      <c r="AW263" s="173">
        <v>1000</v>
      </c>
      <c r="AX263" s="786">
        <f t="shared" ref="AX263:AX304" si="60">COUNTIF(J263:AI263,AW263)</f>
        <v>21</v>
      </c>
      <c r="AY263" s="787">
        <f t="shared" si="55"/>
        <v>23</v>
      </c>
      <c r="AZ263" s="152"/>
      <c r="BA263" s="152"/>
    </row>
    <row r="264" spans="1:53" ht="15" customHeight="1" x14ac:dyDescent="0.25">
      <c r="A264" s="93"/>
      <c r="B264" s="164">
        <v>1505</v>
      </c>
      <c r="C264" s="164" t="s">
        <v>366</v>
      </c>
      <c r="D264" s="165" t="s">
        <v>668</v>
      </c>
      <c r="E264" s="166">
        <v>45491</v>
      </c>
      <c r="F264" s="164" t="s">
        <v>395</v>
      </c>
      <c r="G264" s="164" t="s">
        <v>128</v>
      </c>
      <c r="H264" s="167">
        <v>1277800</v>
      </c>
      <c r="I264" s="167">
        <v>127800</v>
      </c>
      <c r="J264" s="121">
        <v>0</v>
      </c>
      <c r="K264" s="121">
        <v>0</v>
      </c>
      <c r="L264" s="121">
        <v>0</v>
      </c>
      <c r="M264" s="121">
        <v>0</v>
      </c>
      <c r="N264" s="121">
        <v>0</v>
      </c>
      <c r="O264" s="121">
        <v>0</v>
      </c>
      <c r="P264" s="121">
        <v>0</v>
      </c>
      <c r="Q264" s="121">
        <v>0</v>
      </c>
      <c r="R264" s="121">
        <v>0</v>
      </c>
      <c r="S264" s="121">
        <v>0</v>
      </c>
      <c r="T264" s="121">
        <v>0</v>
      </c>
      <c r="U264" s="121">
        <v>0</v>
      </c>
      <c r="V264" s="121">
        <v>0</v>
      </c>
      <c r="W264" s="121">
        <v>0</v>
      </c>
      <c r="X264" s="121">
        <v>0</v>
      </c>
      <c r="Y264" s="121">
        <v>0</v>
      </c>
      <c r="Z264" s="121">
        <v>10000</v>
      </c>
      <c r="AA264" s="121">
        <v>6929</v>
      </c>
      <c r="AB264" s="121">
        <v>6929</v>
      </c>
      <c r="AC264" s="121">
        <v>6929</v>
      </c>
      <c r="AD264" s="121">
        <v>6929</v>
      </c>
      <c r="AE264" s="121">
        <v>6929</v>
      </c>
      <c r="AF264" s="121">
        <v>6929</v>
      </c>
      <c r="AG264" s="121">
        <v>6929</v>
      </c>
      <c r="AH264" s="121">
        <v>6929</v>
      </c>
      <c r="AI264" s="121">
        <v>0</v>
      </c>
      <c r="AJ264" s="784">
        <f t="shared" ref="AJ264:AJ304" si="61">SUM(J264:AI264)</f>
        <v>65432</v>
      </c>
      <c r="AK264" s="149">
        <f t="shared" si="56"/>
        <v>0.51198748043818465</v>
      </c>
      <c r="AL264" s="150">
        <f t="shared" ref="AL264:AL304" si="62">+AJ264-AP264</f>
        <v>-62368</v>
      </c>
      <c r="AM264" s="149">
        <f t="shared" si="57"/>
        <v>-0.48801251956181535</v>
      </c>
      <c r="AN264" s="150">
        <f t="shared" si="58"/>
        <v>1212368</v>
      </c>
      <c r="AO264" s="151">
        <f t="shared" si="59"/>
        <v>0.94879323837846297</v>
      </c>
      <c r="AP264" s="154">
        <f t="shared" ref="AP264:AP304" si="63">IF(AR264="Vendido",I264*1,IF(AR264="Disponible",I264*0,IF(AR264="Enganche Completado",I264*1,IF(AR264="Superávit de Enganche",I264*1,0))))</f>
        <v>127800</v>
      </c>
      <c r="AQ264" s="154"/>
      <c r="AR264" s="786" t="str">
        <f t="shared" ref="AR264:AR304" si="64">IF(D264=0,"Apartamento Disponible",IF(D264&gt;1,"Vendido",0))</f>
        <v>Vendido</v>
      </c>
      <c r="AS264" s="786" t="str">
        <f t="shared" ref="AS264:AS304" si="65">IF(AND(AR264="Vendido",E264&gt;=0,AL264=0),"Enganche Completado",IF(AND(AR264="Vendido",E264&gt;=0,AL264&gt;0),"Superávit de Enganche",IF(AND(AR264="Apartamento Disponible",E264=0,AL264=0),"Disponible","Cliente Atrasado")))</f>
        <v>Cliente Atrasado</v>
      </c>
      <c r="AT264" s="174">
        <v>17</v>
      </c>
      <c r="AU264" s="174">
        <f t="shared" ref="AU264:AU304" si="66">IF(AT264&gt;1,1,0)</f>
        <v>1</v>
      </c>
      <c r="AV264" s="174">
        <f t="shared" ref="AV264:AV304" si="67">+AT264+AU264</f>
        <v>18</v>
      </c>
      <c r="AW264" s="173">
        <v>6929</v>
      </c>
      <c r="AX264" s="786">
        <f t="shared" si="60"/>
        <v>8</v>
      </c>
      <c r="AY264" s="787">
        <f t="shared" si="55"/>
        <v>9</v>
      </c>
      <c r="AZ264" s="152"/>
      <c r="BA264" s="152"/>
    </row>
    <row r="265" spans="1:53" x14ac:dyDescent="0.25">
      <c r="A265" s="86"/>
      <c r="B265" s="164">
        <v>1506</v>
      </c>
      <c r="C265" s="164"/>
      <c r="D265" s="165"/>
      <c r="E265" s="166"/>
      <c r="F265" s="164" t="s">
        <v>397</v>
      </c>
      <c r="G265" s="164" t="s">
        <v>374</v>
      </c>
      <c r="H265" s="167">
        <v>996326.32441067905</v>
      </c>
      <c r="I265" s="167">
        <f>+H265*0.1</f>
        <v>99632.632441067908</v>
      </c>
      <c r="J265" s="121">
        <v>0</v>
      </c>
      <c r="K265" s="121">
        <v>0</v>
      </c>
      <c r="L265" s="121">
        <v>0</v>
      </c>
      <c r="M265" s="121">
        <v>0</v>
      </c>
      <c r="N265" s="121">
        <v>0</v>
      </c>
      <c r="O265" s="121">
        <v>0</v>
      </c>
      <c r="P265" s="121">
        <v>0</v>
      </c>
      <c r="Q265" s="121">
        <v>0</v>
      </c>
      <c r="R265" s="121">
        <v>0</v>
      </c>
      <c r="S265" s="121">
        <v>0</v>
      </c>
      <c r="T265" s="121">
        <v>0</v>
      </c>
      <c r="U265" s="121">
        <v>0</v>
      </c>
      <c r="V265" s="121">
        <v>0</v>
      </c>
      <c r="W265" s="121">
        <v>0</v>
      </c>
      <c r="X265" s="121">
        <v>0</v>
      </c>
      <c r="Y265" s="121">
        <v>0</v>
      </c>
      <c r="Z265" s="121">
        <v>0</v>
      </c>
      <c r="AA265" s="121">
        <v>0</v>
      </c>
      <c r="AB265" s="121">
        <v>0</v>
      </c>
      <c r="AC265" s="121">
        <v>0</v>
      </c>
      <c r="AD265" s="121">
        <v>0</v>
      </c>
      <c r="AE265" s="121">
        <v>0</v>
      </c>
      <c r="AF265" s="121">
        <v>0</v>
      </c>
      <c r="AG265" s="121">
        <v>0</v>
      </c>
      <c r="AH265" s="121">
        <v>0</v>
      </c>
      <c r="AI265" s="121">
        <v>0</v>
      </c>
      <c r="AJ265" s="784">
        <f t="shared" si="61"/>
        <v>0</v>
      </c>
      <c r="AK265" s="149">
        <f t="shared" si="56"/>
        <v>0</v>
      </c>
      <c r="AL265" s="150">
        <f t="shared" si="62"/>
        <v>0</v>
      </c>
      <c r="AM265" s="149">
        <f t="shared" si="57"/>
        <v>0</v>
      </c>
      <c r="AN265" s="150">
        <f t="shared" si="58"/>
        <v>996326.32441067905</v>
      </c>
      <c r="AO265" s="151">
        <f t="shared" si="59"/>
        <v>1</v>
      </c>
      <c r="AP265" s="154">
        <f t="shared" si="63"/>
        <v>0</v>
      </c>
      <c r="AQ265" s="154"/>
      <c r="AR265" s="786" t="str">
        <f t="shared" si="64"/>
        <v>Apartamento Disponible</v>
      </c>
      <c r="AS265" s="786" t="str">
        <f t="shared" si="65"/>
        <v>Disponible</v>
      </c>
      <c r="AT265" s="174"/>
      <c r="AU265" s="174">
        <f t="shared" si="66"/>
        <v>0</v>
      </c>
      <c r="AV265" s="174">
        <f t="shared" si="67"/>
        <v>0</v>
      </c>
      <c r="AW265" s="173"/>
      <c r="AX265" s="786">
        <f t="shared" si="60"/>
        <v>26</v>
      </c>
      <c r="AY265" s="787">
        <f t="shared" si="55"/>
        <v>1503</v>
      </c>
      <c r="AZ265" s="152"/>
      <c r="BA265" s="152"/>
    </row>
    <row r="266" spans="1:53" ht="15" customHeight="1" x14ac:dyDescent="0.25">
      <c r="A266" s="93"/>
      <c r="B266" s="164">
        <v>1507</v>
      </c>
      <c r="C266" s="164" t="s">
        <v>356</v>
      </c>
      <c r="D266" s="165" t="s">
        <v>669</v>
      </c>
      <c r="E266" s="166">
        <v>45013</v>
      </c>
      <c r="F266" s="164" t="s">
        <v>398</v>
      </c>
      <c r="G266" s="164" t="s">
        <v>128</v>
      </c>
      <c r="H266" s="167">
        <v>1141461.0333799999</v>
      </c>
      <c r="I266" s="167">
        <v>114161</v>
      </c>
      <c r="J266" s="121">
        <v>6000</v>
      </c>
      <c r="K266" s="121">
        <v>3075</v>
      </c>
      <c r="L266" s="121">
        <v>3075</v>
      </c>
      <c r="M266" s="121">
        <v>3075</v>
      </c>
      <c r="N266" s="121">
        <v>3075</v>
      </c>
      <c r="O266" s="121">
        <v>3075</v>
      </c>
      <c r="P266" s="121">
        <v>3075</v>
      </c>
      <c r="Q266" s="121">
        <v>3075</v>
      </c>
      <c r="R266" s="121">
        <v>3075</v>
      </c>
      <c r="S266" s="121">
        <v>3075</v>
      </c>
      <c r="T266" s="121">
        <v>3075</v>
      </c>
      <c r="U266" s="121">
        <v>3075</v>
      </c>
      <c r="V266" s="121">
        <v>3075</v>
      </c>
      <c r="W266" s="121">
        <v>3075</v>
      </c>
      <c r="X266" s="121">
        <v>3075</v>
      </c>
      <c r="Y266" s="121">
        <v>3075</v>
      </c>
      <c r="Z266" s="121">
        <v>3075</v>
      </c>
      <c r="AA266" s="121">
        <v>3075</v>
      </c>
      <c r="AB266" s="121">
        <v>3075</v>
      </c>
      <c r="AC266" s="121">
        <v>3075</v>
      </c>
      <c r="AD266" s="121">
        <v>3075</v>
      </c>
      <c r="AE266" s="121">
        <v>3075</v>
      </c>
      <c r="AF266" s="121">
        <v>3075</v>
      </c>
      <c r="AG266" s="121">
        <v>3075</v>
      </c>
      <c r="AH266" s="121">
        <v>3075</v>
      </c>
      <c r="AI266" s="121">
        <v>3075</v>
      </c>
      <c r="AJ266" s="784">
        <f t="shared" si="61"/>
        <v>82875</v>
      </c>
      <c r="AK266" s="149">
        <f t="shared" si="56"/>
        <v>0.72594844123649938</v>
      </c>
      <c r="AL266" s="150">
        <f t="shared" si="62"/>
        <v>-31286</v>
      </c>
      <c r="AM266" s="149">
        <f t="shared" si="57"/>
        <v>-0.27405155876350068</v>
      </c>
      <c r="AN266" s="150">
        <f t="shared" si="58"/>
        <v>1058586.0333799999</v>
      </c>
      <c r="AO266" s="151">
        <f t="shared" si="59"/>
        <v>0.92739568187045562</v>
      </c>
      <c r="AP266" s="154">
        <f t="shared" si="63"/>
        <v>114161</v>
      </c>
      <c r="AQ266" s="154"/>
      <c r="AR266" s="786" t="str">
        <f t="shared" si="64"/>
        <v>Vendido</v>
      </c>
      <c r="AS266" s="786" t="str">
        <f t="shared" si="65"/>
        <v>Cliente Atrasado</v>
      </c>
      <c r="AT266" s="174">
        <v>35</v>
      </c>
      <c r="AU266" s="174">
        <f t="shared" si="66"/>
        <v>1</v>
      </c>
      <c r="AV266" s="174">
        <f t="shared" si="67"/>
        <v>36</v>
      </c>
      <c r="AW266" s="173">
        <v>3075</v>
      </c>
      <c r="AX266" s="786">
        <f t="shared" si="60"/>
        <v>25</v>
      </c>
      <c r="AY266" s="787">
        <f t="shared" si="55"/>
        <v>25</v>
      </c>
      <c r="AZ266" s="152"/>
      <c r="BA266" s="152"/>
    </row>
    <row r="267" spans="1:53" x14ac:dyDescent="0.25">
      <c r="A267" s="93"/>
      <c r="B267" s="164">
        <v>1508</v>
      </c>
      <c r="C267" s="164" t="s">
        <v>356</v>
      </c>
      <c r="D267" s="165" t="s">
        <v>670</v>
      </c>
      <c r="E267" s="166">
        <v>45013</v>
      </c>
      <c r="F267" s="164" t="s">
        <v>399</v>
      </c>
      <c r="G267" s="164" t="s">
        <v>128</v>
      </c>
      <c r="H267" s="167">
        <v>1141560</v>
      </c>
      <c r="I267" s="167">
        <v>114160</v>
      </c>
      <c r="J267" s="121">
        <v>6000</v>
      </c>
      <c r="K267" s="121">
        <v>0</v>
      </c>
      <c r="L267" s="121">
        <v>0</v>
      </c>
      <c r="M267" s="121">
        <v>0</v>
      </c>
      <c r="N267" s="121">
        <v>0</v>
      </c>
      <c r="O267" s="121">
        <v>0</v>
      </c>
      <c r="P267" s="121">
        <v>0</v>
      </c>
      <c r="Q267" s="121">
        <v>0</v>
      </c>
      <c r="R267" s="121">
        <v>0</v>
      </c>
      <c r="S267" s="121">
        <v>0</v>
      </c>
      <c r="T267" s="121">
        <v>0</v>
      </c>
      <c r="U267" s="121">
        <v>0</v>
      </c>
      <c r="V267" s="121">
        <v>0</v>
      </c>
      <c r="W267" s="121">
        <v>0</v>
      </c>
      <c r="X267" s="121">
        <v>0</v>
      </c>
      <c r="Y267" s="121">
        <v>0</v>
      </c>
      <c r="Z267" s="121">
        <v>0</v>
      </c>
      <c r="AA267" s="121">
        <v>0</v>
      </c>
      <c r="AB267" s="121">
        <v>0</v>
      </c>
      <c r="AC267" s="121">
        <v>0</v>
      </c>
      <c r="AD267" s="121">
        <v>0</v>
      </c>
      <c r="AE267" s="121">
        <v>0</v>
      </c>
      <c r="AF267" s="121">
        <v>0</v>
      </c>
      <c r="AG267" s="121">
        <v>0</v>
      </c>
      <c r="AH267" s="121">
        <v>0</v>
      </c>
      <c r="AI267" s="121">
        <v>0</v>
      </c>
      <c r="AJ267" s="784">
        <f t="shared" si="61"/>
        <v>6000</v>
      </c>
      <c r="AK267" s="149">
        <f t="shared" si="56"/>
        <v>5.2557813594954449E-2</v>
      </c>
      <c r="AL267" s="150">
        <f t="shared" si="62"/>
        <v>-108160</v>
      </c>
      <c r="AM267" s="149">
        <f t="shared" si="57"/>
        <v>-0.94744218640504552</v>
      </c>
      <c r="AN267" s="150">
        <f t="shared" si="58"/>
        <v>1135560</v>
      </c>
      <c r="AO267" s="151">
        <f t="shared" si="59"/>
        <v>0.99474403447913384</v>
      </c>
      <c r="AP267" s="154">
        <f t="shared" si="63"/>
        <v>114160</v>
      </c>
      <c r="AQ267" s="154"/>
      <c r="AR267" s="786" t="str">
        <f t="shared" si="64"/>
        <v>Vendido</v>
      </c>
      <c r="AS267" s="786" t="str">
        <f t="shared" si="65"/>
        <v>Cliente Atrasado</v>
      </c>
      <c r="AT267" s="174">
        <v>35</v>
      </c>
      <c r="AU267" s="174">
        <f t="shared" si="66"/>
        <v>1</v>
      </c>
      <c r="AV267" s="174">
        <f t="shared" si="67"/>
        <v>36</v>
      </c>
      <c r="AW267" s="173"/>
      <c r="AX267" s="786">
        <f t="shared" si="60"/>
        <v>25</v>
      </c>
      <c r="AY267" s="787">
        <f t="shared" ref="AY267:AY304" si="68">IFERROR(DATEDIF($E267,$AI$6,"M"),0)</f>
        <v>25</v>
      </c>
      <c r="AZ267" s="152"/>
      <c r="BA267" s="152"/>
    </row>
    <row r="268" spans="1:53" x14ac:dyDescent="0.25">
      <c r="A268" s="86"/>
      <c r="B268" s="164">
        <v>1509</v>
      </c>
      <c r="C268" s="164"/>
      <c r="D268" s="165"/>
      <c r="E268" s="166"/>
      <c r="F268" s="164" t="s">
        <v>400</v>
      </c>
      <c r="G268" s="164" t="s">
        <v>374</v>
      </c>
      <c r="H268" s="167">
        <v>1082159.69644988</v>
      </c>
      <c r="I268" s="167">
        <f>+H268*0.1</f>
        <v>108215.96964498801</v>
      </c>
      <c r="J268" s="121">
        <v>0</v>
      </c>
      <c r="K268" s="121">
        <v>0</v>
      </c>
      <c r="L268" s="121">
        <v>0</v>
      </c>
      <c r="M268" s="121">
        <v>0</v>
      </c>
      <c r="N268" s="121">
        <v>0</v>
      </c>
      <c r="O268" s="121">
        <v>0</v>
      </c>
      <c r="P268" s="121">
        <v>0</v>
      </c>
      <c r="Q268" s="121">
        <v>0</v>
      </c>
      <c r="R268" s="121">
        <v>0</v>
      </c>
      <c r="S268" s="121">
        <v>0</v>
      </c>
      <c r="T268" s="121">
        <v>0</v>
      </c>
      <c r="U268" s="121">
        <v>0</v>
      </c>
      <c r="V268" s="121">
        <v>0</v>
      </c>
      <c r="W268" s="121">
        <v>0</v>
      </c>
      <c r="X268" s="121">
        <v>0</v>
      </c>
      <c r="Y268" s="121">
        <v>0</v>
      </c>
      <c r="Z268" s="121">
        <v>0</v>
      </c>
      <c r="AA268" s="121">
        <v>0</v>
      </c>
      <c r="AB268" s="121">
        <v>0</v>
      </c>
      <c r="AC268" s="121">
        <v>0</v>
      </c>
      <c r="AD268" s="121">
        <v>0</v>
      </c>
      <c r="AE268" s="121">
        <v>0</v>
      </c>
      <c r="AF268" s="121">
        <v>0</v>
      </c>
      <c r="AG268" s="121">
        <v>0</v>
      </c>
      <c r="AH268" s="121">
        <v>0</v>
      </c>
      <c r="AI268" s="121">
        <v>0</v>
      </c>
      <c r="AJ268" s="784">
        <f t="shared" si="61"/>
        <v>0</v>
      </c>
      <c r="AK268" s="149">
        <f t="shared" si="56"/>
        <v>0</v>
      </c>
      <c r="AL268" s="150">
        <f t="shared" si="62"/>
        <v>0</v>
      </c>
      <c r="AM268" s="149">
        <f t="shared" si="57"/>
        <v>0</v>
      </c>
      <c r="AN268" s="150">
        <f t="shared" si="58"/>
        <v>1082159.69644988</v>
      </c>
      <c r="AO268" s="151">
        <f t="shared" si="59"/>
        <v>1</v>
      </c>
      <c r="AP268" s="154">
        <f t="shared" si="63"/>
        <v>0</v>
      </c>
      <c r="AQ268" s="154"/>
      <c r="AR268" s="786" t="str">
        <f t="shared" si="64"/>
        <v>Apartamento Disponible</v>
      </c>
      <c r="AS268" s="786" t="str">
        <f t="shared" si="65"/>
        <v>Disponible</v>
      </c>
      <c r="AT268" s="174"/>
      <c r="AU268" s="174">
        <f t="shared" si="66"/>
        <v>0</v>
      </c>
      <c r="AV268" s="174">
        <f t="shared" si="67"/>
        <v>0</v>
      </c>
      <c r="AW268" s="173"/>
      <c r="AX268" s="786">
        <f t="shared" si="60"/>
        <v>26</v>
      </c>
      <c r="AY268" s="787">
        <f t="shared" si="68"/>
        <v>1503</v>
      </c>
      <c r="AZ268" s="152"/>
      <c r="BA268" s="152"/>
    </row>
    <row r="269" spans="1:53" x14ac:dyDescent="0.25">
      <c r="A269" s="93"/>
      <c r="B269" s="164">
        <v>1510</v>
      </c>
      <c r="C269" s="164" t="s">
        <v>383</v>
      </c>
      <c r="D269" s="165" t="s">
        <v>671</v>
      </c>
      <c r="E269" s="166">
        <v>45085</v>
      </c>
      <c r="F269" s="164" t="s">
        <v>175</v>
      </c>
      <c r="G269" s="164" t="s">
        <v>128</v>
      </c>
      <c r="H269" s="167">
        <v>887400</v>
      </c>
      <c r="I269" s="167">
        <v>88800</v>
      </c>
      <c r="J269" s="121">
        <v>0</v>
      </c>
      <c r="K269" s="121">
        <v>0</v>
      </c>
      <c r="L269" s="121">
        <v>0</v>
      </c>
      <c r="M269" s="121">
        <v>6000</v>
      </c>
      <c r="N269" s="121">
        <v>3064</v>
      </c>
      <c r="O269" s="121">
        <v>3064</v>
      </c>
      <c r="P269" s="121">
        <v>3064</v>
      </c>
      <c r="Q269" s="121">
        <v>3064</v>
      </c>
      <c r="R269" s="121">
        <v>3064</v>
      </c>
      <c r="S269" s="121">
        <v>0</v>
      </c>
      <c r="T269" s="121">
        <v>6128</v>
      </c>
      <c r="U269" s="121">
        <v>3064</v>
      </c>
      <c r="V269" s="121">
        <v>0</v>
      </c>
      <c r="W269" s="121">
        <v>6128</v>
      </c>
      <c r="X269" s="121">
        <v>3064</v>
      </c>
      <c r="Y269" s="121">
        <v>3064</v>
      </c>
      <c r="Z269" s="121">
        <v>3064</v>
      </c>
      <c r="AA269" s="121">
        <v>3064</v>
      </c>
      <c r="AB269" s="121">
        <v>3064</v>
      </c>
      <c r="AC269" s="121">
        <v>3064</v>
      </c>
      <c r="AD269" s="121">
        <v>3064</v>
      </c>
      <c r="AE269" s="121">
        <v>3064</v>
      </c>
      <c r="AF269" s="121">
        <v>3064</v>
      </c>
      <c r="AG269" s="121">
        <v>3064</v>
      </c>
      <c r="AH269" s="121">
        <v>3064</v>
      </c>
      <c r="AI269" s="121">
        <v>0</v>
      </c>
      <c r="AJ269" s="784">
        <f t="shared" si="61"/>
        <v>70344</v>
      </c>
      <c r="AK269" s="149">
        <f t="shared" si="56"/>
        <v>0.79216216216216218</v>
      </c>
      <c r="AL269" s="150">
        <f t="shared" si="62"/>
        <v>-18456</v>
      </c>
      <c r="AM269" s="149">
        <f t="shared" si="57"/>
        <v>-0.20783783783783782</v>
      </c>
      <c r="AN269" s="150">
        <f t="shared" si="58"/>
        <v>817056</v>
      </c>
      <c r="AO269" s="151">
        <f t="shared" si="59"/>
        <v>0.92073022312373221</v>
      </c>
      <c r="AP269" s="154">
        <f t="shared" si="63"/>
        <v>88800</v>
      </c>
      <c r="AQ269" s="154"/>
      <c r="AR269" s="786" t="str">
        <f t="shared" si="64"/>
        <v>Vendido</v>
      </c>
      <c r="AS269" s="786" t="str">
        <f t="shared" si="65"/>
        <v>Cliente Atrasado</v>
      </c>
      <c r="AT269" s="174">
        <v>27</v>
      </c>
      <c r="AU269" s="174">
        <f t="shared" si="66"/>
        <v>1</v>
      </c>
      <c r="AV269" s="174">
        <f t="shared" si="67"/>
        <v>28</v>
      </c>
      <c r="AW269" s="173">
        <v>3064</v>
      </c>
      <c r="AX269" s="786">
        <f t="shared" si="60"/>
        <v>17</v>
      </c>
      <c r="AY269" s="787">
        <f t="shared" si="68"/>
        <v>22</v>
      </c>
      <c r="AZ269" s="152"/>
      <c r="BA269" s="152"/>
    </row>
    <row r="270" spans="1:53" x14ac:dyDescent="0.25">
      <c r="A270" s="93"/>
      <c r="B270" s="164">
        <v>1511</v>
      </c>
      <c r="C270" s="164" t="s">
        <v>366</v>
      </c>
      <c r="D270" s="165" t="s">
        <v>672</v>
      </c>
      <c r="E270" s="166">
        <v>45155</v>
      </c>
      <c r="F270" s="164" t="s">
        <v>563</v>
      </c>
      <c r="G270" s="164" t="s">
        <v>128</v>
      </c>
      <c r="H270" s="167">
        <v>1382700</v>
      </c>
      <c r="I270" s="167">
        <v>138300</v>
      </c>
      <c r="J270" s="121">
        <v>0</v>
      </c>
      <c r="K270" s="121">
        <v>0</v>
      </c>
      <c r="L270" s="121">
        <v>0</v>
      </c>
      <c r="M270" s="121">
        <v>0</v>
      </c>
      <c r="N270" s="121">
        <v>0</v>
      </c>
      <c r="O270" s="121">
        <v>0</v>
      </c>
      <c r="P270" s="121">
        <v>11292</v>
      </c>
      <c r="Q270" s="121">
        <v>0</v>
      </c>
      <c r="R270" s="121">
        <v>5292</v>
      </c>
      <c r="S270" s="121">
        <v>5292</v>
      </c>
      <c r="T270" s="121">
        <v>5292</v>
      </c>
      <c r="U270" s="121">
        <v>5292</v>
      </c>
      <c r="V270" s="121">
        <v>0</v>
      </c>
      <c r="W270" s="121">
        <v>5292</v>
      </c>
      <c r="X270" s="121">
        <v>10584</v>
      </c>
      <c r="Y270" s="121">
        <v>0</v>
      </c>
      <c r="Z270" s="121">
        <v>5292</v>
      </c>
      <c r="AA270" s="121">
        <v>10584</v>
      </c>
      <c r="AB270" s="121">
        <v>0</v>
      </c>
      <c r="AC270" s="121">
        <v>5292</v>
      </c>
      <c r="AD270" s="121">
        <f>5292+5292</f>
        <v>10584</v>
      </c>
      <c r="AE270" s="121">
        <v>0</v>
      </c>
      <c r="AF270" s="121">
        <f>5300+5300</f>
        <v>10600</v>
      </c>
      <c r="AG270" s="121">
        <v>0</v>
      </c>
      <c r="AH270" s="121">
        <v>5300</v>
      </c>
      <c r="AI270" s="121">
        <v>0</v>
      </c>
      <c r="AJ270" s="784">
        <f t="shared" si="61"/>
        <v>95988</v>
      </c>
      <c r="AK270" s="149">
        <f t="shared" si="56"/>
        <v>0.69405639913232109</v>
      </c>
      <c r="AL270" s="150">
        <f t="shared" si="62"/>
        <v>-42312</v>
      </c>
      <c r="AM270" s="149">
        <f t="shared" si="57"/>
        <v>-0.30594360086767897</v>
      </c>
      <c r="AN270" s="150">
        <f t="shared" si="58"/>
        <v>1286712</v>
      </c>
      <c r="AO270" s="151">
        <f t="shared" si="59"/>
        <v>0.93057930136689082</v>
      </c>
      <c r="AP270" s="154">
        <f t="shared" si="63"/>
        <v>138300</v>
      </c>
      <c r="AQ270" s="154"/>
      <c r="AR270" s="786" t="str">
        <f t="shared" si="64"/>
        <v>Vendido</v>
      </c>
      <c r="AS270" s="786" t="str">
        <f t="shared" si="65"/>
        <v>Cliente Atrasado</v>
      </c>
      <c r="AT270" s="174">
        <v>25</v>
      </c>
      <c r="AU270" s="174">
        <f t="shared" si="66"/>
        <v>1</v>
      </c>
      <c r="AV270" s="174">
        <f t="shared" si="67"/>
        <v>26</v>
      </c>
      <c r="AW270" s="173">
        <v>5292</v>
      </c>
      <c r="AX270" s="786">
        <f t="shared" si="60"/>
        <v>7</v>
      </c>
      <c r="AY270" s="787">
        <f t="shared" si="68"/>
        <v>20</v>
      </c>
      <c r="AZ270" s="152"/>
      <c r="BA270" s="152"/>
    </row>
    <row r="271" spans="1:53" x14ac:dyDescent="0.25">
      <c r="A271" s="86"/>
      <c r="B271" s="164">
        <v>1512</v>
      </c>
      <c r="C271" s="164"/>
      <c r="D271" s="165"/>
      <c r="E271" s="166"/>
      <c r="F271" s="164" t="s">
        <v>565</v>
      </c>
      <c r="G271" s="164" t="s">
        <v>374</v>
      </c>
      <c r="H271" s="167">
        <v>949356.17554408498</v>
      </c>
      <c r="I271" s="167">
        <f>+H271*0.1</f>
        <v>94935.617554408498</v>
      </c>
      <c r="J271" s="121">
        <v>0</v>
      </c>
      <c r="K271" s="121">
        <v>0</v>
      </c>
      <c r="L271" s="121">
        <v>0</v>
      </c>
      <c r="M271" s="121">
        <v>0</v>
      </c>
      <c r="N271" s="121">
        <v>0</v>
      </c>
      <c r="O271" s="121">
        <v>0</v>
      </c>
      <c r="P271" s="121">
        <v>0</v>
      </c>
      <c r="Q271" s="121">
        <v>0</v>
      </c>
      <c r="R271" s="121">
        <v>0</v>
      </c>
      <c r="S271" s="121">
        <v>0</v>
      </c>
      <c r="T271" s="121">
        <v>0</v>
      </c>
      <c r="U271" s="121">
        <v>0</v>
      </c>
      <c r="V271" s="121">
        <v>0</v>
      </c>
      <c r="W271" s="121">
        <v>0</v>
      </c>
      <c r="X271" s="121">
        <v>0</v>
      </c>
      <c r="Y271" s="121">
        <v>0</v>
      </c>
      <c r="Z271" s="121">
        <v>0</v>
      </c>
      <c r="AA271" s="121">
        <v>0</v>
      </c>
      <c r="AB271" s="121">
        <v>0</v>
      </c>
      <c r="AC271" s="121">
        <v>0</v>
      </c>
      <c r="AD271" s="121">
        <v>0</v>
      </c>
      <c r="AE271" s="121">
        <v>0</v>
      </c>
      <c r="AF271" s="121">
        <v>0</v>
      </c>
      <c r="AG271" s="121">
        <v>0</v>
      </c>
      <c r="AH271" s="121">
        <v>0</v>
      </c>
      <c r="AI271" s="121">
        <v>0</v>
      </c>
      <c r="AJ271" s="784">
        <f t="shared" si="61"/>
        <v>0</v>
      </c>
      <c r="AK271" s="149">
        <f t="shared" si="56"/>
        <v>0</v>
      </c>
      <c r="AL271" s="150">
        <f t="shared" si="62"/>
        <v>0</v>
      </c>
      <c r="AM271" s="149">
        <f t="shared" si="57"/>
        <v>0</v>
      </c>
      <c r="AN271" s="150">
        <f t="shared" si="58"/>
        <v>949356.17554408498</v>
      </c>
      <c r="AO271" s="151">
        <f t="shared" si="59"/>
        <v>1</v>
      </c>
      <c r="AP271" s="154">
        <f t="shared" si="63"/>
        <v>0</v>
      </c>
      <c r="AQ271" s="154"/>
      <c r="AR271" s="786" t="str">
        <f t="shared" si="64"/>
        <v>Apartamento Disponible</v>
      </c>
      <c r="AS271" s="786" t="str">
        <f t="shared" si="65"/>
        <v>Disponible</v>
      </c>
      <c r="AT271" s="174"/>
      <c r="AU271" s="174">
        <f t="shared" si="66"/>
        <v>0</v>
      </c>
      <c r="AV271" s="174">
        <f t="shared" si="67"/>
        <v>0</v>
      </c>
      <c r="AW271" s="173"/>
      <c r="AX271" s="786">
        <f t="shared" si="60"/>
        <v>26</v>
      </c>
      <c r="AY271" s="787">
        <f t="shared" si="68"/>
        <v>1503</v>
      </c>
      <c r="AZ271" s="152"/>
      <c r="BA271" s="152"/>
    </row>
    <row r="272" spans="1:53" x14ac:dyDescent="0.25">
      <c r="A272" s="93"/>
      <c r="B272" s="164">
        <v>1601</v>
      </c>
      <c r="C272" s="164" t="s">
        <v>383</v>
      </c>
      <c r="D272" s="165" t="s">
        <v>649</v>
      </c>
      <c r="E272" s="166">
        <v>45162</v>
      </c>
      <c r="F272" s="164" t="s">
        <v>662</v>
      </c>
      <c r="G272" s="164" t="s">
        <v>128</v>
      </c>
      <c r="H272" s="167">
        <v>1255283.8999999999</v>
      </c>
      <c r="I272" s="167">
        <v>125583.9</v>
      </c>
      <c r="J272" s="121">
        <v>0</v>
      </c>
      <c r="K272" s="121">
        <v>0</v>
      </c>
      <c r="L272" s="121">
        <v>0</v>
      </c>
      <c r="M272" s="121">
        <v>0</v>
      </c>
      <c r="N272" s="121">
        <v>0</v>
      </c>
      <c r="O272" s="121">
        <v>6000</v>
      </c>
      <c r="P272" s="121">
        <v>5000</v>
      </c>
      <c r="Q272" s="121">
        <v>5000</v>
      </c>
      <c r="R272" s="121">
        <v>5000</v>
      </c>
      <c r="S272" s="121">
        <v>5000</v>
      </c>
      <c r="T272" s="121">
        <v>6000</v>
      </c>
      <c r="U272" s="121">
        <v>5000</v>
      </c>
      <c r="V272" s="121">
        <v>5000</v>
      </c>
      <c r="W272" s="121">
        <v>5000</v>
      </c>
      <c r="X272" s="121">
        <v>5000</v>
      </c>
      <c r="Y272" s="121">
        <v>5000</v>
      </c>
      <c r="Z272" s="121">
        <v>5000</v>
      </c>
      <c r="AA272" s="121">
        <v>0</v>
      </c>
      <c r="AB272" s="121">
        <v>7000</v>
      </c>
      <c r="AC272" s="121">
        <v>5000</v>
      </c>
      <c r="AD272" s="121">
        <v>10000</v>
      </c>
      <c r="AE272" s="121">
        <v>5000</v>
      </c>
      <c r="AF272" s="121">
        <v>5000</v>
      </c>
      <c r="AG272" s="121">
        <v>5000</v>
      </c>
      <c r="AH272" s="121">
        <v>0</v>
      </c>
      <c r="AI272" s="121">
        <v>5000</v>
      </c>
      <c r="AJ272" s="784">
        <f t="shared" si="61"/>
        <v>104000</v>
      </c>
      <c r="AK272" s="149">
        <f t="shared" si="56"/>
        <v>0.82813163152283065</v>
      </c>
      <c r="AL272" s="150">
        <f t="shared" si="62"/>
        <v>-21583.899999999994</v>
      </c>
      <c r="AM272" s="149">
        <f t="shared" si="57"/>
        <v>-0.17186836847716941</v>
      </c>
      <c r="AN272" s="150">
        <f t="shared" si="58"/>
        <v>1151283.8999999999</v>
      </c>
      <c r="AO272" s="151">
        <f t="shared" si="59"/>
        <v>0.91715021597903068</v>
      </c>
      <c r="AP272" s="154">
        <f t="shared" si="63"/>
        <v>125583.9</v>
      </c>
      <c r="AQ272" s="154"/>
      <c r="AR272" s="786" t="str">
        <f t="shared" si="64"/>
        <v>Vendido</v>
      </c>
      <c r="AS272" s="786" t="str">
        <f t="shared" si="65"/>
        <v>Cliente Atrasado</v>
      </c>
      <c r="AT272" s="174">
        <v>25</v>
      </c>
      <c r="AU272" s="174">
        <f t="shared" si="66"/>
        <v>1</v>
      </c>
      <c r="AV272" s="174">
        <f t="shared" si="67"/>
        <v>26</v>
      </c>
      <c r="AW272" s="173">
        <v>4780</v>
      </c>
      <c r="AX272" s="786">
        <f t="shared" si="60"/>
        <v>0</v>
      </c>
      <c r="AY272" s="787">
        <f t="shared" si="68"/>
        <v>20</v>
      </c>
      <c r="AZ272" s="152"/>
      <c r="BA272" s="152"/>
    </row>
    <row r="273" spans="1:53" x14ac:dyDescent="0.25">
      <c r="A273" s="93"/>
      <c r="B273" s="164">
        <v>1602</v>
      </c>
      <c r="C273" s="164" t="s">
        <v>363</v>
      </c>
      <c r="D273" s="165" t="s">
        <v>364</v>
      </c>
      <c r="E273" s="166">
        <v>45300</v>
      </c>
      <c r="F273" s="164" t="s">
        <v>664</v>
      </c>
      <c r="G273" s="164" t="s">
        <v>128</v>
      </c>
      <c r="H273" s="167">
        <v>1297200</v>
      </c>
      <c r="I273" s="167">
        <v>129720</v>
      </c>
      <c r="J273" s="121">
        <v>0</v>
      </c>
      <c r="K273" s="121">
        <v>0</v>
      </c>
      <c r="L273" s="121">
        <v>0</v>
      </c>
      <c r="M273" s="121">
        <v>0</v>
      </c>
      <c r="N273" s="121">
        <v>0</v>
      </c>
      <c r="O273" s="121">
        <v>0</v>
      </c>
      <c r="P273" s="121">
        <v>0</v>
      </c>
      <c r="Q273" s="121">
        <v>0</v>
      </c>
      <c r="R273" s="121">
        <v>0</v>
      </c>
      <c r="S273" s="121">
        <v>0</v>
      </c>
      <c r="T273" s="121">
        <v>0</v>
      </c>
      <c r="U273" s="121">
        <v>0</v>
      </c>
      <c r="V273" s="121">
        <v>0</v>
      </c>
      <c r="W273" s="121">
        <v>0</v>
      </c>
      <c r="X273" s="121">
        <v>0</v>
      </c>
      <c r="Y273" s="121">
        <v>0</v>
      </c>
      <c r="Z273" s="121">
        <v>0</v>
      </c>
      <c r="AA273" s="121">
        <v>0</v>
      </c>
      <c r="AB273" s="121">
        <v>0</v>
      </c>
      <c r="AC273" s="121">
        <v>0</v>
      </c>
      <c r="AD273" s="121">
        <v>0</v>
      </c>
      <c r="AE273" s="121">
        <v>0</v>
      </c>
      <c r="AF273" s="121">
        <v>0</v>
      </c>
      <c r="AG273" s="121">
        <v>0</v>
      </c>
      <c r="AH273" s="121">
        <v>0</v>
      </c>
      <c r="AI273" s="121">
        <v>0</v>
      </c>
      <c r="AJ273" s="784">
        <f t="shared" si="61"/>
        <v>0</v>
      </c>
      <c r="AK273" s="149">
        <f t="shared" si="56"/>
        <v>0</v>
      </c>
      <c r="AL273" s="150">
        <f t="shared" si="62"/>
        <v>-129720</v>
      </c>
      <c r="AM273" s="149">
        <f t="shared" si="57"/>
        <v>-1</v>
      </c>
      <c r="AN273" s="150">
        <f t="shared" si="58"/>
        <v>1297200</v>
      </c>
      <c r="AO273" s="151">
        <f t="shared" si="59"/>
        <v>1</v>
      </c>
      <c r="AP273" s="154">
        <f t="shared" si="63"/>
        <v>129720</v>
      </c>
      <c r="AQ273" s="154"/>
      <c r="AR273" s="786" t="str">
        <f t="shared" si="64"/>
        <v>Vendido</v>
      </c>
      <c r="AS273" s="786" t="str">
        <f t="shared" si="65"/>
        <v>Cliente Atrasado</v>
      </c>
      <c r="AT273" s="174"/>
      <c r="AU273" s="174">
        <f t="shared" si="66"/>
        <v>0</v>
      </c>
      <c r="AV273" s="174">
        <f t="shared" si="67"/>
        <v>0</v>
      </c>
      <c r="AW273" s="173"/>
      <c r="AX273" s="786">
        <f t="shared" si="60"/>
        <v>26</v>
      </c>
      <c r="AY273" s="787">
        <f t="shared" si="68"/>
        <v>15</v>
      </c>
      <c r="AZ273" s="152"/>
      <c r="BA273" s="152"/>
    </row>
    <row r="274" spans="1:53" x14ac:dyDescent="0.25">
      <c r="A274" s="93"/>
      <c r="B274" s="164">
        <v>1603</v>
      </c>
      <c r="C274" s="164" t="s">
        <v>366</v>
      </c>
      <c r="D274" s="165" t="s">
        <v>674</v>
      </c>
      <c r="E274" s="166">
        <v>45013</v>
      </c>
      <c r="F274" s="164" t="s">
        <v>393</v>
      </c>
      <c r="G274" s="164" t="s">
        <v>128</v>
      </c>
      <c r="H274" s="167">
        <v>863130.61</v>
      </c>
      <c r="I274" s="167">
        <v>156030.60999999999</v>
      </c>
      <c r="J274" s="121">
        <v>6000</v>
      </c>
      <c r="K274" s="121">
        <v>0</v>
      </c>
      <c r="L274" s="121">
        <v>0</v>
      </c>
      <c r="M274" s="121">
        <v>0</v>
      </c>
      <c r="N274" s="121">
        <v>0</v>
      </c>
      <c r="O274" s="121">
        <v>244000</v>
      </c>
      <c r="P274" s="121">
        <v>576342</v>
      </c>
      <c r="Q274" s="121">
        <v>0</v>
      </c>
      <c r="R274" s="121">
        <v>0</v>
      </c>
      <c r="S274" s="121">
        <v>0</v>
      </c>
      <c r="T274" s="121">
        <v>0</v>
      </c>
      <c r="U274" s="121">
        <v>0</v>
      </c>
      <c r="V274" s="121">
        <v>0</v>
      </c>
      <c r="W274" s="121">
        <v>0</v>
      </c>
      <c r="X274" s="121">
        <v>0</v>
      </c>
      <c r="Y274" s="121">
        <v>0</v>
      </c>
      <c r="Z274" s="121">
        <v>0</v>
      </c>
      <c r="AA274" s="121">
        <v>0</v>
      </c>
      <c r="AB274" s="121">
        <v>0</v>
      </c>
      <c r="AC274" s="121">
        <v>0</v>
      </c>
      <c r="AD274" s="121">
        <v>0</v>
      </c>
      <c r="AE274" s="121">
        <v>0</v>
      </c>
      <c r="AF274" s="121">
        <v>0</v>
      </c>
      <c r="AG274" s="121">
        <v>0</v>
      </c>
      <c r="AH274" s="121">
        <v>0</v>
      </c>
      <c r="AI274" s="121">
        <v>0</v>
      </c>
      <c r="AJ274" s="784">
        <f t="shared" si="61"/>
        <v>826342</v>
      </c>
      <c r="AK274" s="149">
        <f t="shared" si="56"/>
        <v>5.2960249274164859</v>
      </c>
      <c r="AL274" s="150">
        <f t="shared" si="62"/>
        <v>670311.39</v>
      </c>
      <c r="AM274" s="149">
        <f t="shared" si="57"/>
        <v>4.2960249274164859</v>
      </c>
      <c r="AN274" s="150">
        <f t="shared" si="58"/>
        <v>36788.609999999986</v>
      </c>
      <c r="AO274" s="151">
        <f t="shared" si="59"/>
        <v>4.2622297916186734E-2</v>
      </c>
      <c r="AP274" s="154">
        <f t="shared" si="63"/>
        <v>156030.60999999999</v>
      </c>
      <c r="AQ274" s="154"/>
      <c r="AR274" s="786" t="str">
        <f t="shared" si="64"/>
        <v>Vendido</v>
      </c>
      <c r="AS274" s="786" t="str">
        <f t="shared" si="65"/>
        <v>Superávit de Enganche</v>
      </c>
      <c r="AT274" s="174">
        <v>26</v>
      </c>
      <c r="AU274" s="174">
        <f t="shared" si="66"/>
        <v>1</v>
      </c>
      <c r="AV274" s="174">
        <f t="shared" si="67"/>
        <v>27</v>
      </c>
      <c r="AW274" s="173">
        <v>5001</v>
      </c>
      <c r="AX274" s="786">
        <f t="shared" si="60"/>
        <v>0</v>
      </c>
      <c r="AY274" s="787">
        <f t="shared" si="68"/>
        <v>25</v>
      </c>
      <c r="AZ274" s="152"/>
      <c r="BA274" s="152"/>
    </row>
    <row r="275" spans="1:53" ht="15" customHeight="1" x14ac:dyDescent="0.25">
      <c r="A275" s="93"/>
      <c r="B275" s="164">
        <v>1604</v>
      </c>
      <c r="C275" s="164" t="s">
        <v>366</v>
      </c>
      <c r="D275" s="165" t="s">
        <v>676</v>
      </c>
      <c r="E275" s="166">
        <v>45062</v>
      </c>
      <c r="F275" s="164" t="s">
        <v>172</v>
      </c>
      <c r="G275" s="164" t="s">
        <v>128</v>
      </c>
      <c r="H275" s="167">
        <v>894100</v>
      </c>
      <c r="I275" s="167">
        <v>89500</v>
      </c>
      <c r="J275" s="121">
        <v>0</v>
      </c>
      <c r="K275" s="121">
        <v>0</v>
      </c>
      <c r="L275" s="121">
        <v>6000</v>
      </c>
      <c r="M275" s="121">
        <v>2982</v>
      </c>
      <c r="N275" s="121">
        <v>2982</v>
      </c>
      <c r="O275" s="121">
        <v>2982</v>
      </c>
      <c r="P275" s="121">
        <v>2982</v>
      </c>
      <c r="Q275" s="121">
        <v>2982</v>
      </c>
      <c r="R275" s="121">
        <v>2982</v>
      </c>
      <c r="S275" s="121">
        <v>2982</v>
      </c>
      <c r="T275" s="121">
        <v>2982</v>
      </c>
      <c r="U275" s="121">
        <v>2982</v>
      </c>
      <c r="V275" s="121">
        <v>2982</v>
      </c>
      <c r="W275" s="121">
        <v>0</v>
      </c>
      <c r="X275" s="121">
        <v>5964</v>
      </c>
      <c r="Y275" s="121">
        <v>0</v>
      </c>
      <c r="Z275" s="121">
        <v>2982</v>
      </c>
      <c r="AA275" s="121">
        <v>5964</v>
      </c>
      <c r="AB275" s="121">
        <v>2982</v>
      </c>
      <c r="AC275" s="121">
        <v>0</v>
      </c>
      <c r="AD275" s="121">
        <f>2982+2982</f>
        <v>5964</v>
      </c>
      <c r="AE275" s="121">
        <v>2982</v>
      </c>
      <c r="AF275" s="121">
        <v>2982</v>
      </c>
      <c r="AG275" s="121">
        <v>2982</v>
      </c>
      <c r="AH275" s="121">
        <v>2982</v>
      </c>
      <c r="AI275" s="121">
        <v>0</v>
      </c>
      <c r="AJ275" s="784">
        <f t="shared" si="61"/>
        <v>71604</v>
      </c>
      <c r="AK275" s="149">
        <f t="shared" si="56"/>
        <v>0.80004469273743017</v>
      </c>
      <c r="AL275" s="150">
        <f t="shared" si="62"/>
        <v>-17896</v>
      </c>
      <c r="AM275" s="149">
        <f t="shared" si="57"/>
        <v>-0.19995530726256983</v>
      </c>
      <c r="AN275" s="150">
        <f t="shared" si="58"/>
        <v>822496</v>
      </c>
      <c r="AO275" s="151">
        <f t="shared" si="59"/>
        <v>0.91991499832233536</v>
      </c>
      <c r="AP275" s="154">
        <f t="shared" si="63"/>
        <v>89500</v>
      </c>
      <c r="AQ275" s="154"/>
      <c r="AR275" s="786" t="str">
        <f t="shared" si="64"/>
        <v>Vendido</v>
      </c>
      <c r="AS275" s="786" t="str">
        <f t="shared" si="65"/>
        <v>Cliente Atrasado</v>
      </c>
      <c r="AT275" s="174">
        <v>28</v>
      </c>
      <c r="AU275" s="174">
        <f t="shared" si="66"/>
        <v>1</v>
      </c>
      <c r="AV275" s="174">
        <f t="shared" si="67"/>
        <v>29</v>
      </c>
      <c r="AW275" s="173">
        <v>2982</v>
      </c>
      <c r="AX275" s="786">
        <f t="shared" si="60"/>
        <v>16</v>
      </c>
      <c r="AY275" s="787">
        <f t="shared" si="68"/>
        <v>23</v>
      </c>
      <c r="AZ275" s="152"/>
      <c r="BA275" s="152"/>
    </row>
    <row r="276" spans="1:53" x14ac:dyDescent="0.25">
      <c r="A276" s="93"/>
      <c r="B276" s="164">
        <v>1605</v>
      </c>
      <c r="C276" s="164" t="s">
        <v>366</v>
      </c>
      <c r="D276" s="165" t="s">
        <v>677</v>
      </c>
      <c r="E276" s="166">
        <v>45526</v>
      </c>
      <c r="F276" s="164" t="s">
        <v>395</v>
      </c>
      <c r="G276" s="164" t="s">
        <v>128</v>
      </c>
      <c r="H276" s="167">
        <v>1393455</v>
      </c>
      <c r="I276" s="167">
        <f>+H276*0.1+9.5</f>
        <v>139355</v>
      </c>
      <c r="J276" s="121">
        <v>0</v>
      </c>
      <c r="K276" s="121">
        <v>0</v>
      </c>
      <c r="L276" s="121">
        <v>0</v>
      </c>
      <c r="M276" s="121">
        <v>0</v>
      </c>
      <c r="N276" s="121">
        <v>0</v>
      </c>
      <c r="O276" s="121">
        <v>0</v>
      </c>
      <c r="P276" s="121">
        <v>0</v>
      </c>
      <c r="Q276" s="121">
        <v>0</v>
      </c>
      <c r="R276" s="121">
        <v>0</v>
      </c>
      <c r="S276" s="121">
        <v>0</v>
      </c>
      <c r="T276" s="121">
        <v>0</v>
      </c>
      <c r="U276" s="121">
        <v>0</v>
      </c>
      <c r="V276" s="121">
        <v>0</v>
      </c>
      <c r="W276" s="121">
        <v>0</v>
      </c>
      <c r="X276" s="121">
        <v>0</v>
      </c>
      <c r="Y276" s="121">
        <v>0</v>
      </c>
      <c r="Z276" s="121">
        <v>0</v>
      </c>
      <c r="AA276" s="121">
        <v>0</v>
      </c>
      <c r="AB276" s="121">
        <v>0</v>
      </c>
      <c r="AC276" s="121">
        <v>10000</v>
      </c>
      <c r="AD276" s="121">
        <v>0</v>
      </c>
      <c r="AE276" s="121">
        <v>9254.23</v>
      </c>
      <c r="AF276" s="121">
        <v>9256.48</v>
      </c>
      <c r="AG276" s="121">
        <v>0</v>
      </c>
      <c r="AH276" s="121">
        <v>0</v>
      </c>
      <c r="AI276" s="121">
        <v>0</v>
      </c>
      <c r="AJ276" s="784">
        <f t="shared" si="61"/>
        <v>28510.71</v>
      </c>
      <c r="AK276" s="149">
        <f t="shared" si="56"/>
        <v>0.20459050626098813</v>
      </c>
      <c r="AL276" s="150">
        <f t="shared" si="62"/>
        <v>-110844.29000000001</v>
      </c>
      <c r="AM276" s="149">
        <f t="shared" si="57"/>
        <v>-0.79540949373901193</v>
      </c>
      <c r="AN276" s="150">
        <f t="shared" si="58"/>
        <v>1364944.29</v>
      </c>
      <c r="AO276" s="151">
        <f t="shared" si="59"/>
        <v>0.97953955456042718</v>
      </c>
      <c r="AP276" s="154">
        <f t="shared" si="63"/>
        <v>139355</v>
      </c>
      <c r="AQ276" s="154"/>
      <c r="AR276" s="786" t="str">
        <f t="shared" si="64"/>
        <v>Vendido</v>
      </c>
      <c r="AS276" s="786" t="str">
        <f t="shared" si="65"/>
        <v>Cliente Atrasado</v>
      </c>
      <c r="AT276" s="174">
        <v>16</v>
      </c>
      <c r="AU276" s="174">
        <f t="shared" si="66"/>
        <v>1</v>
      </c>
      <c r="AV276" s="174">
        <f t="shared" si="67"/>
        <v>17</v>
      </c>
      <c r="AW276" s="173"/>
      <c r="AX276" s="786">
        <f t="shared" si="60"/>
        <v>23</v>
      </c>
      <c r="AY276" s="787">
        <f t="shared" si="68"/>
        <v>8</v>
      </c>
      <c r="AZ276" s="152"/>
      <c r="BA276" s="152"/>
    </row>
    <row r="277" spans="1:53" x14ac:dyDescent="0.25">
      <c r="A277" s="86"/>
      <c r="B277" s="164">
        <v>1606</v>
      </c>
      <c r="C277" s="164"/>
      <c r="D277" s="165"/>
      <c r="E277" s="166"/>
      <c r="F277" s="164" t="s">
        <v>397</v>
      </c>
      <c r="G277" s="164" t="s">
        <v>374</v>
      </c>
      <c r="H277" s="167">
        <v>996326.32441067905</v>
      </c>
      <c r="I277" s="167">
        <f>+H277*0.1</f>
        <v>99632.632441067908</v>
      </c>
      <c r="J277" s="121">
        <v>0</v>
      </c>
      <c r="K277" s="121">
        <v>0</v>
      </c>
      <c r="L277" s="121">
        <v>0</v>
      </c>
      <c r="M277" s="121">
        <v>0</v>
      </c>
      <c r="N277" s="121">
        <v>0</v>
      </c>
      <c r="O277" s="121">
        <v>0</v>
      </c>
      <c r="P277" s="121">
        <v>0</v>
      </c>
      <c r="Q277" s="121">
        <v>0</v>
      </c>
      <c r="R277" s="121">
        <v>0</v>
      </c>
      <c r="S277" s="121">
        <v>0</v>
      </c>
      <c r="T277" s="121">
        <v>0</v>
      </c>
      <c r="U277" s="121">
        <v>0</v>
      </c>
      <c r="V277" s="121">
        <v>0</v>
      </c>
      <c r="W277" s="121">
        <v>0</v>
      </c>
      <c r="X277" s="121">
        <v>0</v>
      </c>
      <c r="Y277" s="121">
        <v>0</v>
      </c>
      <c r="Z277" s="121">
        <v>0</v>
      </c>
      <c r="AA277" s="121">
        <v>0</v>
      </c>
      <c r="AB277" s="121">
        <v>0</v>
      </c>
      <c r="AC277" s="121">
        <v>0</v>
      </c>
      <c r="AD277" s="121">
        <v>0</v>
      </c>
      <c r="AE277" s="121">
        <v>0</v>
      </c>
      <c r="AF277" s="121">
        <v>0</v>
      </c>
      <c r="AG277" s="121">
        <v>0</v>
      </c>
      <c r="AH277" s="121">
        <v>0</v>
      </c>
      <c r="AI277" s="121">
        <v>0</v>
      </c>
      <c r="AJ277" s="784">
        <f t="shared" si="61"/>
        <v>0</v>
      </c>
      <c r="AK277" s="149">
        <f t="shared" si="56"/>
        <v>0</v>
      </c>
      <c r="AL277" s="150">
        <f t="shared" si="62"/>
        <v>0</v>
      </c>
      <c r="AM277" s="149">
        <f t="shared" si="57"/>
        <v>0</v>
      </c>
      <c r="AN277" s="150">
        <f t="shared" si="58"/>
        <v>996326.32441067905</v>
      </c>
      <c r="AO277" s="151">
        <f t="shared" si="59"/>
        <v>1</v>
      </c>
      <c r="AP277" s="154">
        <f t="shared" si="63"/>
        <v>0</v>
      </c>
      <c r="AQ277" s="154"/>
      <c r="AR277" s="786" t="str">
        <f t="shared" si="64"/>
        <v>Apartamento Disponible</v>
      </c>
      <c r="AS277" s="786" t="str">
        <f t="shared" si="65"/>
        <v>Disponible</v>
      </c>
      <c r="AT277" s="174"/>
      <c r="AU277" s="174">
        <f t="shared" si="66"/>
        <v>0</v>
      </c>
      <c r="AV277" s="174">
        <f t="shared" si="67"/>
        <v>0</v>
      </c>
      <c r="AW277" s="173"/>
      <c r="AX277" s="786">
        <f t="shared" si="60"/>
        <v>26</v>
      </c>
      <c r="AY277" s="787">
        <f t="shared" si="68"/>
        <v>1503</v>
      </c>
      <c r="AZ277" s="152"/>
      <c r="BA277" s="152"/>
    </row>
    <row r="278" spans="1:53" x14ac:dyDescent="0.25">
      <c r="A278" s="93"/>
      <c r="B278" s="164">
        <v>1607</v>
      </c>
      <c r="C278" s="164" t="s">
        <v>383</v>
      </c>
      <c r="D278" s="165" t="s">
        <v>1076</v>
      </c>
      <c r="E278" s="166">
        <v>45077</v>
      </c>
      <c r="F278" s="164" t="s">
        <v>398</v>
      </c>
      <c r="G278" s="164" t="s">
        <v>128</v>
      </c>
      <c r="H278" s="167">
        <v>1164200</v>
      </c>
      <c r="I278" s="167">
        <v>116500</v>
      </c>
      <c r="J278" s="121">
        <v>0</v>
      </c>
      <c r="K278" s="121">
        <v>0</v>
      </c>
      <c r="L278" s="121">
        <v>6000</v>
      </c>
      <c r="M278" s="121">
        <v>0</v>
      </c>
      <c r="N278" s="121">
        <v>3000</v>
      </c>
      <c r="O278" s="121">
        <v>0</v>
      </c>
      <c r="P278" s="121">
        <v>3000</v>
      </c>
      <c r="Q278" s="121">
        <v>1500</v>
      </c>
      <c r="R278" s="121">
        <v>1500</v>
      </c>
      <c r="S278" s="121">
        <v>0</v>
      </c>
      <c r="T278" s="121">
        <v>0</v>
      </c>
      <c r="U278" s="121">
        <v>0</v>
      </c>
      <c r="V278" s="121">
        <v>0</v>
      </c>
      <c r="W278" s="121">
        <v>0</v>
      </c>
      <c r="X278" s="121">
        <v>0</v>
      </c>
      <c r="Y278" s="121">
        <v>0</v>
      </c>
      <c r="Z278" s="121">
        <v>0</v>
      </c>
      <c r="AA278" s="121">
        <v>0</v>
      </c>
      <c r="AB278" s="121">
        <v>0</v>
      </c>
      <c r="AC278" s="121">
        <v>0</v>
      </c>
      <c r="AD278" s="121">
        <v>0</v>
      </c>
      <c r="AE278" s="121">
        <v>0</v>
      </c>
      <c r="AF278" s="121">
        <v>0</v>
      </c>
      <c r="AG278" s="121">
        <v>0</v>
      </c>
      <c r="AH278" s="121">
        <v>0</v>
      </c>
      <c r="AI278" s="121">
        <v>0</v>
      </c>
      <c r="AJ278" s="784">
        <f t="shared" si="61"/>
        <v>15000</v>
      </c>
      <c r="AK278" s="149">
        <f t="shared" si="56"/>
        <v>0.12875536480686695</v>
      </c>
      <c r="AL278" s="150">
        <f t="shared" si="62"/>
        <v>-101500</v>
      </c>
      <c r="AM278" s="149">
        <f t="shared" si="57"/>
        <v>-0.871244635193133</v>
      </c>
      <c r="AN278" s="150">
        <f t="shared" si="58"/>
        <v>1149200</v>
      </c>
      <c r="AO278" s="151">
        <f t="shared" si="59"/>
        <v>0.98711561587356123</v>
      </c>
      <c r="AP278" s="154">
        <f t="shared" si="63"/>
        <v>116500</v>
      </c>
      <c r="AQ278" s="154"/>
      <c r="AR278" s="786" t="str">
        <f t="shared" si="64"/>
        <v>Vendido</v>
      </c>
      <c r="AS278" s="786" t="str">
        <f t="shared" si="65"/>
        <v>Cliente Atrasado</v>
      </c>
      <c r="AT278" s="174">
        <v>15</v>
      </c>
      <c r="AU278" s="174">
        <f t="shared" si="66"/>
        <v>1</v>
      </c>
      <c r="AV278" s="174">
        <f t="shared" si="67"/>
        <v>16</v>
      </c>
      <c r="AW278" s="173"/>
      <c r="AX278" s="786">
        <f t="shared" si="60"/>
        <v>21</v>
      </c>
      <c r="AY278" s="787">
        <f t="shared" si="68"/>
        <v>22</v>
      </c>
      <c r="AZ278" s="152"/>
      <c r="BA278" s="152"/>
    </row>
    <row r="279" spans="1:53" x14ac:dyDescent="0.25">
      <c r="A279" s="93"/>
      <c r="B279" s="164">
        <v>1608</v>
      </c>
      <c r="C279" s="164" t="s">
        <v>356</v>
      </c>
      <c r="D279" s="165" t="s">
        <v>670</v>
      </c>
      <c r="E279" s="166">
        <v>45013</v>
      </c>
      <c r="F279" s="164" t="s">
        <v>399</v>
      </c>
      <c r="G279" s="164" t="s">
        <v>128</v>
      </c>
      <c r="H279" s="167">
        <v>1153648</v>
      </c>
      <c r="I279" s="167">
        <v>115448</v>
      </c>
      <c r="J279" s="121">
        <v>6000</v>
      </c>
      <c r="K279" s="121">
        <v>0</v>
      </c>
      <c r="L279" s="121">
        <v>0</v>
      </c>
      <c r="M279" s="121">
        <v>0</v>
      </c>
      <c r="N279" s="121">
        <v>0</v>
      </c>
      <c r="O279" s="121">
        <v>0</v>
      </c>
      <c r="P279" s="121">
        <v>0</v>
      </c>
      <c r="Q279" s="121">
        <v>0</v>
      </c>
      <c r="R279" s="121">
        <v>0</v>
      </c>
      <c r="S279" s="121">
        <v>0</v>
      </c>
      <c r="T279" s="121">
        <v>0</v>
      </c>
      <c r="U279" s="121">
        <v>0</v>
      </c>
      <c r="V279" s="121">
        <v>0</v>
      </c>
      <c r="W279" s="121">
        <v>0</v>
      </c>
      <c r="X279" s="121">
        <v>0</v>
      </c>
      <c r="Y279" s="121">
        <v>0</v>
      </c>
      <c r="Z279" s="121">
        <v>0</v>
      </c>
      <c r="AA279" s="121">
        <v>0</v>
      </c>
      <c r="AB279" s="121">
        <v>0</v>
      </c>
      <c r="AC279" s="121">
        <v>0</v>
      </c>
      <c r="AD279" s="121">
        <v>0</v>
      </c>
      <c r="AE279" s="121">
        <v>0</v>
      </c>
      <c r="AF279" s="121">
        <v>0</v>
      </c>
      <c r="AG279" s="121">
        <v>0</v>
      </c>
      <c r="AH279" s="121">
        <v>0</v>
      </c>
      <c r="AI279" s="121">
        <v>0</v>
      </c>
      <c r="AJ279" s="784">
        <f t="shared" si="61"/>
        <v>6000</v>
      </c>
      <c r="AK279" s="149">
        <f t="shared" si="56"/>
        <v>5.1971450349941099E-2</v>
      </c>
      <c r="AL279" s="150">
        <f t="shared" si="62"/>
        <v>-109448</v>
      </c>
      <c r="AM279" s="149">
        <f t="shared" si="57"/>
        <v>-0.94802854965005889</v>
      </c>
      <c r="AN279" s="150">
        <f t="shared" si="58"/>
        <v>1147648</v>
      </c>
      <c r="AO279" s="151">
        <f t="shared" si="59"/>
        <v>0.99479910683328021</v>
      </c>
      <c r="AP279" s="154">
        <f t="shared" si="63"/>
        <v>115448</v>
      </c>
      <c r="AQ279" s="154"/>
      <c r="AR279" s="786" t="str">
        <f t="shared" si="64"/>
        <v>Vendido</v>
      </c>
      <c r="AS279" s="786" t="str">
        <f t="shared" si="65"/>
        <v>Cliente Atrasado</v>
      </c>
      <c r="AT279" s="174">
        <v>35</v>
      </c>
      <c r="AU279" s="174">
        <f t="shared" si="66"/>
        <v>1</v>
      </c>
      <c r="AV279" s="174">
        <f t="shared" si="67"/>
        <v>36</v>
      </c>
      <c r="AW279" s="173"/>
      <c r="AX279" s="786">
        <f t="shared" si="60"/>
        <v>25</v>
      </c>
      <c r="AY279" s="787">
        <f t="shared" si="68"/>
        <v>25</v>
      </c>
      <c r="AZ279" s="152"/>
      <c r="BA279" s="152"/>
    </row>
    <row r="280" spans="1:53" x14ac:dyDescent="0.25">
      <c r="A280" s="93"/>
      <c r="B280" s="164">
        <v>1609</v>
      </c>
      <c r="C280" s="164" t="s">
        <v>366</v>
      </c>
      <c r="D280" s="165" t="s">
        <v>680</v>
      </c>
      <c r="E280" s="166">
        <v>45010</v>
      </c>
      <c r="F280" s="164" t="s">
        <v>400</v>
      </c>
      <c r="G280" s="164" t="s">
        <v>128</v>
      </c>
      <c r="H280" s="167">
        <v>860950.58400499995</v>
      </c>
      <c r="I280" s="167">
        <v>86150.58</v>
      </c>
      <c r="J280" s="121">
        <v>6000</v>
      </c>
      <c r="K280" s="121">
        <v>2290</v>
      </c>
      <c r="L280" s="121">
        <v>2290</v>
      </c>
      <c r="M280" s="121">
        <v>2290</v>
      </c>
      <c r="N280" s="121">
        <v>2290</v>
      </c>
      <c r="O280" s="121">
        <v>2290</v>
      </c>
      <c r="P280" s="121">
        <v>2290</v>
      </c>
      <c r="Q280" s="121">
        <v>0</v>
      </c>
      <c r="R280" s="121">
        <v>4580</v>
      </c>
      <c r="S280" s="121">
        <v>2290</v>
      </c>
      <c r="T280" s="121">
        <v>2290</v>
      </c>
      <c r="U280" s="121">
        <v>2290</v>
      </c>
      <c r="V280" s="121">
        <v>2290</v>
      </c>
      <c r="W280" s="121">
        <v>0</v>
      </c>
      <c r="X280" s="121">
        <v>2290</v>
      </c>
      <c r="Y280" s="121">
        <v>0</v>
      </c>
      <c r="Z280" s="121">
        <v>2290</v>
      </c>
      <c r="AA280" s="121">
        <v>2290</v>
      </c>
      <c r="AB280" s="121">
        <v>4580</v>
      </c>
      <c r="AC280" s="121">
        <f>2290+2290</f>
        <v>4580</v>
      </c>
      <c r="AD280" s="121">
        <v>0</v>
      </c>
      <c r="AE280" s="121">
        <v>0</v>
      </c>
      <c r="AF280" s="121">
        <v>0</v>
      </c>
      <c r="AG280" s="121">
        <v>0</v>
      </c>
      <c r="AH280" s="121">
        <f>2290+2290+2290</f>
        <v>6870</v>
      </c>
      <c r="AI280" s="121">
        <v>0</v>
      </c>
      <c r="AJ280" s="784">
        <f t="shared" si="61"/>
        <v>56380</v>
      </c>
      <c r="AK280" s="149">
        <f t="shared" si="56"/>
        <v>0.65443552440389841</v>
      </c>
      <c r="AL280" s="150">
        <f t="shared" si="62"/>
        <v>-29770.58</v>
      </c>
      <c r="AM280" s="149">
        <f t="shared" si="57"/>
        <v>-0.34556447559610165</v>
      </c>
      <c r="AN280" s="150">
        <f t="shared" si="58"/>
        <v>804570.58400499995</v>
      </c>
      <c r="AO280" s="151">
        <f t="shared" si="59"/>
        <v>0.93451424385156978</v>
      </c>
      <c r="AP280" s="154">
        <f t="shared" si="63"/>
        <v>86150.58</v>
      </c>
      <c r="AQ280" s="154"/>
      <c r="AR280" s="786" t="str">
        <f t="shared" si="64"/>
        <v>Vendido</v>
      </c>
      <c r="AS280" s="786" t="str">
        <f t="shared" si="65"/>
        <v>Cliente Atrasado</v>
      </c>
      <c r="AT280" s="174">
        <v>35</v>
      </c>
      <c r="AU280" s="174">
        <f t="shared" si="66"/>
        <v>1</v>
      </c>
      <c r="AV280" s="174">
        <f t="shared" si="67"/>
        <v>36</v>
      </c>
      <c r="AW280" s="173">
        <v>2290</v>
      </c>
      <c r="AX280" s="786">
        <f t="shared" si="60"/>
        <v>13</v>
      </c>
      <c r="AY280" s="787">
        <f t="shared" si="68"/>
        <v>25</v>
      </c>
      <c r="AZ280" s="152"/>
      <c r="BA280" s="152"/>
    </row>
    <row r="281" spans="1:53" x14ac:dyDescent="0.25">
      <c r="A281" s="93"/>
      <c r="B281" s="164">
        <v>1610</v>
      </c>
      <c r="C281" s="164" t="s">
        <v>366</v>
      </c>
      <c r="D281" s="165" t="s">
        <v>1077</v>
      </c>
      <c r="E281" s="166">
        <v>45077</v>
      </c>
      <c r="F281" s="164" t="s">
        <v>175</v>
      </c>
      <c r="G281" s="164" t="s">
        <v>128</v>
      </c>
      <c r="H281" s="167">
        <v>890081.34</v>
      </c>
      <c r="I281" s="167">
        <v>890081.34</v>
      </c>
      <c r="J281" s="121">
        <v>0</v>
      </c>
      <c r="K281" s="121">
        <v>0</v>
      </c>
      <c r="L281" s="121">
        <v>6000</v>
      </c>
      <c r="M281" s="121">
        <v>89008.13</v>
      </c>
      <c r="N281" s="121">
        <v>29447</v>
      </c>
      <c r="O281" s="121">
        <v>29447</v>
      </c>
      <c r="P281" s="121">
        <v>29447</v>
      </c>
      <c r="Q281" s="121">
        <v>29447</v>
      </c>
      <c r="R281" s="121">
        <v>29447</v>
      </c>
      <c r="S281" s="121">
        <v>29447</v>
      </c>
      <c r="T281" s="121">
        <v>29447</v>
      </c>
      <c r="U281" s="121">
        <v>29447</v>
      </c>
      <c r="V281" s="121">
        <v>29447</v>
      </c>
      <c r="W281" s="121">
        <v>0</v>
      </c>
      <c r="X281" s="121">
        <v>0</v>
      </c>
      <c r="Y281" s="121">
        <v>58894</v>
      </c>
      <c r="Z281" s="121">
        <v>29447</v>
      </c>
      <c r="AA281" s="121">
        <v>29447</v>
      </c>
      <c r="AB281" s="121">
        <v>29447</v>
      </c>
      <c r="AC281" s="121">
        <v>29447</v>
      </c>
      <c r="AD281" s="121">
        <v>29447</v>
      </c>
      <c r="AE281" s="121">
        <v>29447</v>
      </c>
      <c r="AF281" s="121">
        <v>29447</v>
      </c>
      <c r="AG281" s="121">
        <v>29447</v>
      </c>
      <c r="AH281" s="121">
        <v>0</v>
      </c>
      <c r="AI281" s="121">
        <v>0</v>
      </c>
      <c r="AJ281" s="784">
        <f t="shared" si="61"/>
        <v>654501.13</v>
      </c>
      <c r="AK281" s="149">
        <f t="shared" si="56"/>
        <v>0.73532732412972512</v>
      </c>
      <c r="AL281" s="150">
        <f t="shared" si="62"/>
        <v>-235580.20999999996</v>
      </c>
      <c r="AM281" s="149">
        <f t="shared" si="57"/>
        <v>-0.26467267587027493</v>
      </c>
      <c r="AN281" s="150">
        <f t="shared" si="58"/>
        <v>235580.20999999996</v>
      </c>
      <c r="AO281" s="151">
        <f t="shared" si="59"/>
        <v>0.26467267587027493</v>
      </c>
      <c r="AP281" s="154">
        <f t="shared" si="63"/>
        <v>890081.34</v>
      </c>
      <c r="AQ281" s="154"/>
      <c r="AR281" s="786" t="str">
        <f t="shared" si="64"/>
        <v>Vendido</v>
      </c>
      <c r="AS281" s="786" t="str">
        <f t="shared" si="65"/>
        <v>Cliente Atrasado</v>
      </c>
      <c r="AT281" s="174">
        <v>27</v>
      </c>
      <c r="AU281" s="174">
        <f t="shared" si="66"/>
        <v>1</v>
      </c>
      <c r="AV281" s="174">
        <f t="shared" si="67"/>
        <v>28</v>
      </c>
      <c r="AW281" s="173">
        <v>29447</v>
      </c>
      <c r="AX281" s="786">
        <f t="shared" si="60"/>
        <v>17</v>
      </c>
      <c r="AY281" s="787">
        <f t="shared" si="68"/>
        <v>22</v>
      </c>
      <c r="AZ281" s="152"/>
      <c r="BA281" s="152"/>
    </row>
    <row r="282" spans="1:53" ht="15" customHeight="1" x14ac:dyDescent="0.25">
      <c r="A282" s="93"/>
      <c r="B282" s="164">
        <v>1611</v>
      </c>
      <c r="C282" s="164" t="s">
        <v>383</v>
      </c>
      <c r="D282" s="165" t="s">
        <v>761</v>
      </c>
      <c r="E282" s="166">
        <v>45114</v>
      </c>
      <c r="F282" s="164" t="s">
        <v>563</v>
      </c>
      <c r="G282" s="164" t="s">
        <v>128</v>
      </c>
      <c r="H282" s="167">
        <v>1437500</v>
      </c>
      <c r="I282" s="167">
        <v>143800</v>
      </c>
      <c r="J282" s="121">
        <v>0</v>
      </c>
      <c r="K282" s="121">
        <v>0</v>
      </c>
      <c r="L282" s="121">
        <v>0</v>
      </c>
      <c r="M282" s="121">
        <v>0</v>
      </c>
      <c r="N282" s="121">
        <v>6000</v>
      </c>
      <c r="O282" s="121">
        <v>5300</v>
      </c>
      <c r="P282" s="121">
        <v>5300</v>
      </c>
      <c r="Q282" s="121">
        <v>5300</v>
      </c>
      <c r="R282" s="121">
        <v>5300</v>
      </c>
      <c r="S282" s="121">
        <v>5300</v>
      </c>
      <c r="T282" s="121">
        <v>5300</v>
      </c>
      <c r="U282" s="121">
        <v>5300</v>
      </c>
      <c r="V282" s="121">
        <v>5300</v>
      </c>
      <c r="W282" s="121">
        <v>5300</v>
      </c>
      <c r="X282" s="121">
        <v>5300</v>
      </c>
      <c r="Y282" s="121">
        <v>5300</v>
      </c>
      <c r="Z282" s="121">
        <v>5300</v>
      </c>
      <c r="AA282" s="121">
        <v>5300</v>
      </c>
      <c r="AB282" s="121">
        <v>5300</v>
      </c>
      <c r="AC282" s="121">
        <v>5300</v>
      </c>
      <c r="AD282" s="121">
        <v>5300</v>
      </c>
      <c r="AE282" s="121">
        <v>5300</v>
      </c>
      <c r="AF282" s="121">
        <v>5300</v>
      </c>
      <c r="AG282" s="121">
        <v>5300</v>
      </c>
      <c r="AH282" s="121">
        <v>5300</v>
      </c>
      <c r="AI282" s="121">
        <v>0</v>
      </c>
      <c r="AJ282" s="784">
        <f t="shared" si="61"/>
        <v>112000</v>
      </c>
      <c r="AK282" s="149">
        <f t="shared" si="56"/>
        <v>0.77885952712100137</v>
      </c>
      <c r="AL282" s="150">
        <f t="shared" si="62"/>
        <v>-31800</v>
      </c>
      <c r="AM282" s="149">
        <f t="shared" si="57"/>
        <v>-0.2211404728789986</v>
      </c>
      <c r="AN282" s="150">
        <f t="shared" si="58"/>
        <v>1325500</v>
      </c>
      <c r="AO282" s="151">
        <f t="shared" si="59"/>
        <v>0.92208695652173911</v>
      </c>
      <c r="AP282" s="154">
        <f t="shared" si="63"/>
        <v>143800</v>
      </c>
      <c r="AQ282" s="154"/>
      <c r="AR282" s="786" t="str">
        <f t="shared" si="64"/>
        <v>Vendido</v>
      </c>
      <c r="AS282" s="786" t="str">
        <f t="shared" si="65"/>
        <v>Cliente Atrasado</v>
      </c>
      <c r="AT282" s="174">
        <v>26</v>
      </c>
      <c r="AU282" s="174">
        <f t="shared" si="66"/>
        <v>1</v>
      </c>
      <c r="AV282" s="174">
        <f t="shared" si="67"/>
        <v>27</v>
      </c>
      <c r="AW282" s="173">
        <v>5300</v>
      </c>
      <c r="AX282" s="786">
        <f t="shared" si="60"/>
        <v>20</v>
      </c>
      <c r="AY282" s="787">
        <f t="shared" si="68"/>
        <v>21</v>
      </c>
      <c r="AZ282" s="152"/>
      <c r="BA282" s="152"/>
    </row>
    <row r="283" spans="1:53" x14ac:dyDescent="0.25">
      <c r="A283" s="86"/>
      <c r="B283" s="164">
        <v>1612</v>
      </c>
      <c r="C283" s="164"/>
      <c r="D283" s="165"/>
      <c r="E283" s="166"/>
      <c r="F283" s="164" t="s">
        <v>565</v>
      </c>
      <c r="G283" s="164" t="s">
        <v>374</v>
      </c>
      <c r="H283" s="167">
        <v>982583.641688128</v>
      </c>
      <c r="I283" s="167">
        <f>+H283*0.1</f>
        <v>98258.364168812812</v>
      </c>
      <c r="J283" s="121">
        <v>0</v>
      </c>
      <c r="K283" s="121">
        <v>0</v>
      </c>
      <c r="L283" s="121">
        <v>0</v>
      </c>
      <c r="M283" s="121">
        <v>0</v>
      </c>
      <c r="N283" s="121">
        <v>0</v>
      </c>
      <c r="O283" s="121">
        <v>0</v>
      </c>
      <c r="P283" s="121">
        <v>0</v>
      </c>
      <c r="Q283" s="121">
        <v>0</v>
      </c>
      <c r="R283" s="121">
        <v>0</v>
      </c>
      <c r="S283" s="121">
        <v>0</v>
      </c>
      <c r="T283" s="121">
        <v>0</v>
      </c>
      <c r="U283" s="121">
        <v>0</v>
      </c>
      <c r="V283" s="121">
        <v>0</v>
      </c>
      <c r="W283" s="121">
        <v>0</v>
      </c>
      <c r="X283" s="121">
        <v>0</v>
      </c>
      <c r="Y283" s="121">
        <v>0</v>
      </c>
      <c r="Z283" s="121">
        <v>0</v>
      </c>
      <c r="AA283" s="121">
        <v>0</v>
      </c>
      <c r="AB283" s="121">
        <v>0</v>
      </c>
      <c r="AC283" s="121">
        <v>0</v>
      </c>
      <c r="AD283" s="121">
        <v>0</v>
      </c>
      <c r="AE283" s="121">
        <v>0</v>
      </c>
      <c r="AF283" s="121">
        <v>0</v>
      </c>
      <c r="AG283" s="121">
        <v>0</v>
      </c>
      <c r="AH283" s="121">
        <v>0</v>
      </c>
      <c r="AI283" s="121">
        <v>0</v>
      </c>
      <c r="AJ283" s="784">
        <f t="shared" si="61"/>
        <v>0</v>
      </c>
      <c r="AK283" s="149">
        <f t="shared" si="56"/>
        <v>0</v>
      </c>
      <c r="AL283" s="150">
        <f t="shared" si="62"/>
        <v>0</v>
      </c>
      <c r="AM283" s="149">
        <f t="shared" si="57"/>
        <v>0</v>
      </c>
      <c r="AN283" s="150">
        <f t="shared" si="58"/>
        <v>982583.641688128</v>
      </c>
      <c r="AO283" s="151">
        <f t="shared" si="59"/>
        <v>1</v>
      </c>
      <c r="AP283" s="154">
        <f t="shared" si="63"/>
        <v>0</v>
      </c>
      <c r="AQ283" s="154"/>
      <c r="AR283" s="786" t="str">
        <f t="shared" si="64"/>
        <v>Apartamento Disponible</v>
      </c>
      <c r="AS283" s="786" t="str">
        <f t="shared" si="65"/>
        <v>Disponible</v>
      </c>
      <c r="AT283" s="174"/>
      <c r="AU283" s="174">
        <f t="shared" si="66"/>
        <v>0</v>
      </c>
      <c r="AV283" s="174">
        <f t="shared" si="67"/>
        <v>0</v>
      </c>
      <c r="AW283" s="173"/>
      <c r="AX283" s="786">
        <f t="shared" si="60"/>
        <v>26</v>
      </c>
      <c r="AY283" s="787">
        <f t="shared" si="68"/>
        <v>1503</v>
      </c>
      <c r="AZ283" s="152"/>
      <c r="BA283" s="152"/>
    </row>
    <row r="284" spans="1:53" x14ac:dyDescent="0.25">
      <c r="A284" s="93"/>
      <c r="B284" s="164">
        <v>1701</v>
      </c>
      <c r="C284" s="164" t="s">
        <v>383</v>
      </c>
      <c r="D284" s="165" t="s">
        <v>1078</v>
      </c>
      <c r="E284" s="166">
        <v>45014</v>
      </c>
      <c r="F284" s="164" t="s">
        <v>683</v>
      </c>
      <c r="G284" s="164" t="s">
        <v>128</v>
      </c>
      <c r="H284" s="167">
        <v>1389570</v>
      </c>
      <c r="I284" s="167">
        <v>139070</v>
      </c>
      <c r="J284" s="121">
        <v>6000</v>
      </c>
      <c r="K284" s="121">
        <v>5000</v>
      </c>
      <c r="L284" s="121">
        <v>5000</v>
      </c>
      <c r="M284" s="121">
        <v>5000</v>
      </c>
      <c r="N284" s="121">
        <v>10000</v>
      </c>
      <c r="O284" s="121">
        <v>3000</v>
      </c>
      <c r="P284" s="121">
        <v>0</v>
      </c>
      <c r="Q284" s="121">
        <v>0</v>
      </c>
      <c r="R284" s="121">
        <v>0</v>
      </c>
      <c r="S284" s="121">
        <v>5000</v>
      </c>
      <c r="T284" s="121">
        <v>7600</v>
      </c>
      <c r="U284" s="121">
        <v>4500</v>
      </c>
      <c r="V284" s="121">
        <v>4000</v>
      </c>
      <c r="W284" s="121">
        <v>0</v>
      </c>
      <c r="X284" s="121">
        <v>3800</v>
      </c>
      <c r="Y284" s="121">
        <v>3800</v>
      </c>
      <c r="Z284" s="121">
        <v>4500</v>
      </c>
      <c r="AA284" s="121">
        <v>7800</v>
      </c>
      <c r="AB284" s="121">
        <v>0</v>
      </c>
      <c r="AC284" s="121">
        <v>4000</v>
      </c>
      <c r="AD284" s="121">
        <v>0</v>
      </c>
      <c r="AE284" s="121">
        <v>0</v>
      </c>
      <c r="AF284" s="121">
        <v>0</v>
      </c>
      <c r="AG284" s="121">
        <v>0</v>
      </c>
      <c r="AH284" s="121">
        <v>0</v>
      </c>
      <c r="AI284" s="121">
        <v>0</v>
      </c>
      <c r="AJ284" s="784">
        <f t="shared" si="61"/>
        <v>79000</v>
      </c>
      <c r="AK284" s="149">
        <f t="shared" si="56"/>
        <v>0.56805925073703889</v>
      </c>
      <c r="AL284" s="150">
        <f t="shared" si="62"/>
        <v>-60070</v>
      </c>
      <c r="AM284" s="149">
        <f t="shared" si="57"/>
        <v>-0.43194074926296111</v>
      </c>
      <c r="AN284" s="150">
        <f t="shared" si="58"/>
        <v>1310570</v>
      </c>
      <c r="AO284" s="151">
        <f t="shared" si="59"/>
        <v>0.94314788027951091</v>
      </c>
      <c r="AP284" s="154">
        <f t="shared" si="63"/>
        <v>139070</v>
      </c>
      <c r="AQ284" s="154"/>
      <c r="AR284" s="786" t="str">
        <f t="shared" si="64"/>
        <v>Vendido</v>
      </c>
      <c r="AS284" s="786" t="str">
        <f t="shared" si="65"/>
        <v>Cliente Atrasado</v>
      </c>
      <c r="AT284" s="174">
        <v>35</v>
      </c>
      <c r="AU284" s="174">
        <f t="shared" si="66"/>
        <v>1</v>
      </c>
      <c r="AV284" s="174">
        <f t="shared" si="67"/>
        <v>36</v>
      </c>
      <c r="AW284" s="173">
        <v>3800</v>
      </c>
      <c r="AX284" s="786">
        <f t="shared" si="60"/>
        <v>2</v>
      </c>
      <c r="AY284" s="787">
        <f t="shared" si="68"/>
        <v>25</v>
      </c>
      <c r="AZ284" s="152"/>
      <c r="BA284" s="152"/>
    </row>
    <row r="285" spans="1:53" x14ac:dyDescent="0.25">
      <c r="A285" s="93"/>
      <c r="B285" s="164">
        <v>1702</v>
      </c>
      <c r="C285" s="164" t="s">
        <v>383</v>
      </c>
      <c r="D285" s="165" t="s">
        <v>685</v>
      </c>
      <c r="E285" s="166">
        <v>45031</v>
      </c>
      <c r="F285" s="164" t="s">
        <v>198</v>
      </c>
      <c r="G285" s="164" t="s">
        <v>128</v>
      </c>
      <c r="H285" s="167">
        <v>666800</v>
      </c>
      <c r="I285" s="167">
        <v>66700</v>
      </c>
      <c r="J285" s="121">
        <v>0</v>
      </c>
      <c r="K285" s="121">
        <v>6000</v>
      </c>
      <c r="L285" s="121">
        <v>2100</v>
      </c>
      <c r="M285" s="121">
        <v>0</v>
      </c>
      <c r="N285" s="121">
        <v>4200</v>
      </c>
      <c r="O285" s="121">
        <v>2100</v>
      </c>
      <c r="P285" s="121">
        <v>2100</v>
      </c>
      <c r="Q285" s="121">
        <v>2100</v>
      </c>
      <c r="R285" s="121">
        <v>0</v>
      </c>
      <c r="S285" s="121">
        <v>4200</v>
      </c>
      <c r="T285" s="121">
        <v>2100</v>
      </c>
      <c r="U285" s="121">
        <v>2100</v>
      </c>
      <c r="V285" s="121">
        <v>2100</v>
      </c>
      <c r="W285" s="121">
        <v>2100</v>
      </c>
      <c r="X285" s="121">
        <v>0</v>
      </c>
      <c r="Y285" s="121">
        <v>4200</v>
      </c>
      <c r="Z285" s="121">
        <v>0</v>
      </c>
      <c r="AA285" s="121">
        <v>2100</v>
      </c>
      <c r="AB285" s="121">
        <v>2100</v>
      </c>
      <c r="AC285" s="121">
        <v>2100</v>
      </c>
      <c r="AD285" s="121">
        <v>2100</v>
      </c>
      <c r="AE285" s="121">
        <f>2100+2100</f>
        <v>4200</v>
      </c>
      <c r="AF285" s="121">
        <v>0</v>
      </c>
      <c r="AG285" s="121">
        <v>2100</v>
      </c>
      <c r="AH285" s="121">
        <f>2100+2100</f>
        <v>4200</v>
      </c>
      <c r="AI285" s="121">
        <v>0</v>
      </c>
      <c r="AJ285" s="784">
        <f t="shared" si="61"/>
        <v>54300</v>
      </c>
      <c r="AK285" s="149">
        <f t="shared" si="56"/>
        <v>0.81409295352323841</v>
      </c>
      <c r="AL285" s="150">
        <f t="shared" si="62"/>
        <v>-12400</v>
      </c>
      <c r="AM285" s="149">
        <f t="shared" si="57"/>
        <v>-0.18590704647676162</v>
      </c>
      <c r="AN285" s="150">
        <f t="shared" si="58"/>
        <v>612500</v>
      </c>
      <c r="AO285" s="151">
        <f t="shared" si="59"/>
        <v>0.91856628674265151</v>
      </c>
      <c r="AP285" s="154">
        <f t="shared" si="63"/>
        <v>66700</v>
      </c>
      <c r="AQ285" s="154"/>
      <c r="AR285" s="786" t="str">
        <f t="shared" si="64"/>
        <v>Vendido</v>
      </c>
      <c r="AS285" s="786" t="str">
        <f t="shared" si="65"/>
        <v>Cliente Atrasado</v>
      </c>
      <c r="AT285" s="174">
        <v>29</v>
      </c>
      <c r="AU285" s="174">
        <f t="shared" si="66"/>
        <v>1</v>
      </c>
      <c r="AV285" s="174">
        <f t="shared" si="67"/>
        <v>30</v>
      </c>
      <c r="AW285" s="173">
        <v>2100</v>
      </c>
      <c r="AX285" s="786">
        <f t="shared" si="60"/>
        <v>13</v>
      </c>
      <c r="AY285" s="787">
        <f t="shared" si="68"/>
        <v>24</v>
      </c>
      <c r="AZ285" s="152"/>
      <c r="BA285" s="152"/>
    </row>
    <row r="286" spans="1:53" x14ac:dyDescent="0.25">
      <c r="A286" s="86"/>
      <c r="B286" s="164">
        <v>1703</v>
      </c>
      <c r="C286" s="164"/>
      <c r="D286" s="165"/>
      <c r="E286" s="166"/>
      <c r="F286" s="164" t="s">
        <v>686</v>
      </c>
      <c r="G286" s="164" t="s">
        <v>374</v>
      </c>
      <c r="H286" s="167">
        <v>1411239.4727644799</v>
      </c>
      <c r="I286" s="167">
        <f>+H286*0.1</f>
        <v>141123.94727644799</v>
      </c>
      <c r="J286" s="121">
        <v>0</v>
      </c>
      <c r="K286" s="121">
        <v>0</v>
      </c>
      <c r="L286" s="121">
        <v>0</v>
      </c>
      <c r="M286" s="121">
        <v>0</v>
      </c>
      <c r="N286" s="121">
        <v>0</v>
      </c>
      <c r="O286" s="121">
        <v>0</v>
      </c>
      <c r="P286" s="121">
        <v>0</v>
      </c>
      <c r="Q286" s="121">
        <v>0</v>
      </c>
      <c r="R286" s="121">
        <v>0</v>
      </c>
      <c r="S286" s="121">
        <v>0</v>
      </c>
      <c r="T286" s="121">
        <v>0</v>
      </c>
      <c r="U286" s="121">
        <v>0</v>
      </c>
      <c r="V286" s="121">
        <v>0</v>
      </c>
      <c r="W286" s="121">
        <v>0</v>
      </c>
      <c r="X286" s="121">
        <v>0</v>
      </c>
      <c r="Y286" s="121">
        <v>0</v>
      </c>
      <c r="Z286" s="121">
        <v>0</v>
      </c>
      <c r="AA286" s="121">
        <v>0</v>
      </c>
      <c r="AB286" s="121">
        <v>0</v>
      </c>
      <c r="AC286" s="121">
        <v>0</v>
      </c>
      <c r="AD286" s="121">
        <v>0</v>
      </c>
      <c r="AE286" s="121">
        <v>0</v>
      </c>
      <c r="AF286" s="121">
        <v>0</v>
      </c>
      <c r="AG286" s="121">
        <v>0</v>
      </c>
      <c r="AH286" s="121">
        <v>0</v>
      </c>
      <c r="AI286" s="121">
        <v>0</v>
      </c>
      <c r="AJ286" s="784">
        <f t="shared" si="61"/>
        <v>0</v>
      </c>
      <c r="AK286" s="149">
        <f t="shared" si="56"/>
        <v>0</v>
      </c>
      <c r="AL286" s="150">
        <f t="shared" si="62"/>
        <v>0</v>
      </c>
      <c r="AM286" s="149">
        <f t="shared" si="57"/>
        <v>0</v>
      </c>
      <c r="AN286" s="150">
        <f t="shared" si="58"/>
        <v>1411239.4727644799</v>
      </c>
      <c r="AO286" s="151">
        <f t="shared" si="59"/>
        <v>1</v>
      </c>
      <c r="AP286" s="154">
        <f t="shared" si="63"/>
        <v>0</v>
      </c>
      <c r="AQ286" s="154"/>
      <c r="AR286" s="786" t="str">
        <f t="shared" si="64"/>
        <v>Apartamento Disponible</v>
      </c>
      <c r="AS286" s="786" t="str">
        <f t="shared" si="65"/>
        <v>Disponible</v>
      </c>
      <c r="AT286" s="174"/>
      <c r="AU286" s="174">
        <f t="shared" si="66"/>
        <v>0</v>
      </c>
      <c r="AV286" s="174">
        <f t="shared" si="67"/>
        <v>0</v>
      </c>
      <c r="AW286" s="173"/>
      <c r="AX286" s="786">
        <f t="shared" si="60"/>
        <v>26</v>
      </c>
      <c r="AY286" s="787">
        <f t="shared" si="68"/>
        <v>1503</v>
      </c>
      <c r="AZ286" s="152"/>
      <c r="BA286" s="152"/>
    </row>
    <row r="287" spans="1:53" x14ac:dyDescent="0.25">
      <c r="A287" s="93"/>
      <c r="B287" s="164">
        <v>1704</v>
      </c>
      <c r="C287" s="164" t="s">
        <v>383</v>
      </c>
      <c r="D287" s="165" t="s">
        <v>688</v>
      </c>
      <c r="E287" s="166">
        <v>44995</v>
      </c>
      <c r="F287" s="164" t="s">
        <v>189</v>
      </c>
      <c r="G287" s="164" t="s">
        <v>128</v>
      </c>
      <c r="H287" s="167">
        <v>617600</v>
      </c>
      <c r="I287" s="167">
        <v>62000</v>
      </c>
      <c r="J287" s="121">
        <v>6000</v>
      </c>
      <c r="K287" s="121">
        <v>1600</v>
      </c>
      <c r="L287" s="121">
        <v>1600</v>
      </c>
      <c r="M287" s="121">
        <v>1600</v>
      </c>
      <c r="N287" s="121">
        <v>1600</v>
      </c>
      <c r="O287" s="121">
        <v>1600</v>
      </c>
      <c r="P287" s="121">
        <v>1600</v>
      </c>
      <c r="Q287" s="121">
        <v>1600</v>
      </c>
      <c r="R287" s="121">
        <v>1600</v>
      </c>
      <c r="S287" s="121">
        <v>1600</v>
      </c>
      <c r="T287" s="121">
        <v>1600</v>
      </c>
      <c r="U287" s="121">
        <v>1600</v>
      </c>
      <c r="V287" s="121">
        <v>1600</v>
      </c>
      <c r="W287" s="121">
        <v>1600</v>
      </c>
      <c r="X287" s="121">
        <v>1600</v>
      </c>
      <c r="Y287" s="121">
        <v>1600</v>
      </c>
      <c r="Z287" s="121">
        <v>1600</v>
      </c>
      <c r="AA287" s="121">
        <v>1600</v>
      </c>
      <c r="AB287" s="121">
        <v>1600</v>
      </c>
      <c r="AC287" s="121">
        <v>1600</v>
      </c>
      <c r="AD287" s="121">
        <v>1600</v>
      </c>
      <c r="AE287" s="121">
        <v>1600</v>
      </c>
      <c r="AF287" s="121">
        <v>0</v>
      </c>
      <c r="AG287" s="121">
        <v>3200</v>
      </c>
      <c r="AH287" s="121">
        <v>1600</v>
      </c>
      <c r="AI287" s="121">
        <v>0</v>
      </c>
      <c r="AJ287" s="784">
        <f t="shared" si="61"/>
        <v>44400</v>
      </c>
      <c r="AK287" s="149">
        <f t="shared" si="56"/>
        <v>0.71612903225806457</v>
      </c>
      <c r="AL287" s="150">
        <f t="shared" si="62"/>
        <v>-17600</v>
      </c>
      <c r="AM287" s="149">
        <f t="shared" si="57"/>
        <v>-0.28387096774193549</v>
      </c>
      <c r="AN287" s="150">
        <f t="shared" si="58"/>
        <v>573200</v>
      </c>
      <c r="AO287" s="151">
        <f t="shared" si="59"/>
        <v>0.92810880829015541</v>
      </c>
      <c r="AP287" s="154">
        <f t="shared" si="63"/>
        <v>62000</v>
      </c>
      <c r="AQ287" s="154"/>
      <c r="AR287" s="786" t="str">
        <f t="shared" si="64"/>
        <v>Vendido</v>
      </c>
      <c r="AS287" s="786" t="str">
        <f t="shared" si="65"/>
        <v>Cliente Atrasado</v>
      </c>
      <c r="AT287" s="174">
        <v>35</v>
      </c>
      <c r="AU287" s="174">
        <f t="shared" si="66"/>
        <v>1</v>
      </c>
      <c r="AV287" s="174">
        <f t="shared" si="67"/>
        <v>36</v>
      </c>
      <c r="AW287" s="173">
        <v>1600</v>
      </c>
      <c r="AX287" s="786">
        <f t="shared" si="60"/>
        <v>22</v>
      </c>
      <c r="AY287" s="787">
        <f t="shared" si="68"/>
        <v>25</v>
      </c>
      <c r="AZ287" s="152"/>
      <c r="BA287" s="152"/>
    </row>
    <row r="288" spans="1:53" x14ac:dyDescent="0.25">
      <c r="A288" s="86"/>
      <c r="B288" s="172">
        <v>1705</v>
      </c>
      <c r="C288" s="164" t="s">
        <v>366</v>
      </c>
      <c r="D288" s="165" t="s">
        <v>690</v>
      </c>
      <c r="E288" s="166">
        <v>45749</v>
      </c>
      <c r="F288" s="164" t="s">
        <v>689</v>
      </c>
      <c r="G288" s="164" t="s">
        <v>137</v>
      </c>
      <c r="H288" s="167">
        <v>1446043.24</v>
      </c>
      <c r="I288" s="167">
        <f>+H288*0.1</f>
        <v>144604.32399999999</v>
      </c>
      <c r="J288" s="121">
        <v>0</v>
      </c>
      <c r="K288" s="121">
        <v>0</v>
      </c>
      <c r="L288" s="121">
        <v>0</v>
      </c>
      <c r="M288" s="121">
        <v>0</v>
      </c>
      <c r="N288" s="121">
        <v>0</v>
      </c>
      <c r="O288" s="121">
        <v>0</v>
      </c>
      <c r="P288" s="121">
        <v>0</v>
      </c>
      <c r="Q288" s="121">
        <v>0</v>
      </c>
      <c r="R288" s="121">
        <v>0</v>
      </c>
      <c r="S288" s="121">
        <v>0</v>
      </c>
      <c r="T288" s="121">
        <v>0</v>
      </c>
      <c r="U288" s="121">
        <v>0</v>
      </c>
      <c r="V288" s="121">
        <v>0</v>
      </c>
      <c r="W288" s="121">
        <v>0</v>
      </c>
      <c r="X288" s="121">
        <v>0</v>
      </c>
      <c r="Y288" s="121">
        <v>0</v>
      </c>
      <c r="Z288" s="121">
        <v>0</v>
      </c>
      <c r="AA288" s="121">
        <v>0</v>
      </c>
      <c r="AB288" s="121">
        <v>0</v>
      </c>
      <c r="AC288" s="121">
        <v>0</v>
      </c>
      <c r="AD288" s="121">
        <v>0</v>
      </c>
      <c r="AE288" s="121">
        <v>0</v>
      </c>
      <c r="AF288" s="121">
        <v>0</v>
      </c>
      <c r="AG288" s="121">
        <v>0</v>
      </c>
      <c r="AH288" s="121">
        <v>0</v>
      </c>
      <c r="AI288" s="121">
        <v>0</v>
      </c>
      <c r="AJ288" s="784">
        <f t="shared" si="61"/>
        <v>0</v>
      </c>
      <c r="AK288" s="149">
        <f t="shared" si="56"/>
        <v>0</v>
      </c>
      <c r="AL288" s="150">
        <f t="shared" si="62"/>
        <v>-144604.32399999999</v>
      </c>
      <c r="AM288" s="149">
        <f t="shared" si="57"/>
        <v>-1</v>
      </c>
      <c r="AN288" s="150">
        <f t="shared" si="58"/>
        <v>1446043.24</v>
      </c>
      <c r="AO288" s="151">
        <f t="shared" si="59"/>
        <v>1</v>
      </c>
      <c r="AP288" s="154">
        <f t="shared" si="63"/>
        <v>144604.32399999999</v>
      </c>
      <c r="AQ288" s="154"/>
      <c r="AR288" s="786" t="str">
        <f t="shared" si="64"/>
        <v>Vendido</v>
      </c>
      <c r="AS288" s="786" t="str">
        <f t="shared" si="65"/>
        <v>Cliente Atrasado</v>
      </c>
      <c r="AT288" s="174">
        <v>13</v>
      </c>
      <c r="AU288" s="174">
        <f t="shared" si="66"/>
        <v>1</v>
      </c>
      <c r="AV288" s="174">
        <f t="shared" si="67"/>
        <v>14</v>
      </c>
      <c r="AW288" s="173"/>
      <c r="AX288" s="786">
        <f t="shared" si="60"/>
        <v>26</v>
      </c>
      <c r="AY288" s="787">
        <f t="shared" si="68"/>
        <v>0</v>
      </c>
      <c r="AZ288" s="152"/>
      <c r="BA288" s="152"/>
    </row>
    <row r="289" spans="1:53" x14ac:dyDescent="0.25">
      <c r="A289" s="93"/>
      <c r="B289" s="164">
        <v>1706</v>
      </c>
      <c r="C289" s="164" t="s">
        <v>356</v>
      </c>
      <c r="D289" s="165" t="s">
        <v>1073</v>
      </c>
      <c r="E289" s="166">
        <v>45009</v>
      </c>
      <c r="F289" s="164" t="s">
        <v>400</v>
      </c>
      <c r="G289" s="164" t="s">
        <v>128</v>
      </c>
      <c r="H289" s="167">
        <v>860951</v>
      </c>
      <c r="I289" s="167">
        <v>87051</v>
      </c>
      <c r="J289" s="121">
        <v>6000</v>
      </c>
      <c r="K289" s="121">
        <v>2400</v>
      </c>
      <c r="L289" s="121">
        <v>2400</v>
      </c>
      <c r="M289" s="121">
        <v>2400</v>
      </c>
      <c r="N289" s="121">
        <v>0</v>
      </c>
      <c r="O289" s="121">
        <v>2400</v>
      </c>
      <c r="P289" s="121">
        <v>4800</v>
      </c>
      <c r="Q289" s="121">
        <v>2400</v>
      </c>
      <c r="R289" s="121">
        <v>2400</v>
      </c>
      <c r="S289" s="121">
        <v>0</v>
      </c>
      <c r="T289" s="121">
        <v>4800</v>
      </c>
      <c r="U289" s="121">
        <v>0</v>
      </c>
      <c r="V289" s="121">
        <v>2400</v>
      </c>
      <c r="W289" s="121">
        <v>4800</v>
      </c>
      <c r="X289" s="121">
        <v>0</v>
      </c>
      <c r="Y289" s="121">
        <v>4800</v>
      </c>
      <c r="Z289" s="121">
        <v>0</v>
      </c>
      <c r="AA289" s="121">
        <v>2400</v>
      </c>
      <c r="AB289" s="121">
        <v>0</v>
      </c>
      <c r="AC289" s="121">
        <v>0</v>
      </c>
      <c r="AD289" s="121">
        <v>2400</v>
      </c>
      <c r="AE289" s="121">
        <v>0</v>
      </c>
      <c r="AF289" s="121">
        <v>0</v>
      </c>
      <c r="AG289" s="121">
        <v>0</v>
      </c>
      <c r="AH289" s="121">
        <v>0</v>
      </c>
      <c r="AI289" s="121">
        <v>0</v>
      </c>
      <c r="AJ289" s="784">
        <f t="shared" si="61"/>
        <v>46800</v>
      </c>
      <c r="AK289" s="149">
        <f t="shared" si="56"/>
        <v>0.53761588034600405</v>
      </c>
      <c r="AL289" s="150">
        <f t="shared" si="62"/>
        <v>-40251</v>
      </c>
      <c r="AM289" s="149">
        <f t="shared" si="57"/>
        <v>-0.46238411965399595</v>
      </c>
      <c r="AN289" s="150">
        <f t="shared" si="58"/>
        <v>814151</v>
      </c>
      <c r="AO289" s="151">
        <f t="shared" si="59"/>
        <v>0.94564150573029127</v>
      </c>
      <c r="AP289" s="154">
        <f t="shared" si="63"/>
        <v>87051</v>
      </c>
      <c r="AQ289" s="154"/>
      <c r="AR289" s="786" t="str">
        <f t="shared" si="64"/>
        <v>Vendido</v>
      </c>
      <c r="AS289" s="786" t="str">
        <f t="shared" si="65"/>
        <v>Cliente Atrasado</v>
      </c>
      <c r="AT289" s="174">
        <v>35</v>
      </c>
      <c r="AU289" s="174">
        <f t="shared" si="66"/>
        <v>1</v>
      </c>
      <c r="AV289" s="174">
        <f t="shared" si="67"/>
        <v>36</v>
      </c>
      <c r="AW289" s="173">
        <v>2400</v>
      </c>
      <c r="AX289" s="786">
        <f t="shared" si="60"/>
        <v>9</v>
      </c>
      <c r="AY289" s="787">
        <f t="shared" si="68"/>
        <v>25</v>
      </c>
      <c r="AZ289" s="152"/>
      <c r="BA289" s="152"/>
    </row>
    <row r="290" spans="1:53" x14ac:dyDescent="0.25">
      <c r="A290" s="86"/>
      <c r="B290" s="164">
        <v>1707</v>
      </c>
      <c r="C290" s="164"/>
      <c r="D290" s="165" t="s">
        <v>692</v>
      </c>
      <c r="E290" s="166">
        <v>45721</v>
      </c>
      <c r="F290" s="164" t="s">
        <v>534</v>
      </c>
      <c r="G290" s="164" t="s">
        <v>137</v>
      </c>
      <c r="H290" s="167">
        <v>908000</v>
      </c>
      <c r="I290" s="167">
        <f>+H290*0.1</f>
        <v>90800</v>
      </c>
      <c r="J290" s="121">
        <v>0</v>
      </c>
      <c r="K290" s="121">
        <v>0</v>
      </c>
      <c r="L290" s="121">
        <v>0</v>
      </c>
      <c r="M290" s="121">
        <v>0</v>
      </c>
      <c r="N290" s="121">
        <v>0</v>
      </c>
      <c r="O290" s="121">
        <v>0</v>
      </c>
      <c r="P290" s="121">
        <v>0</v>
      </c>
      <c r="Q290" s="121">
        <v>0</v>
      </c>
      <c r="R290" s="121">
        <v>0</v>
      </c>
      <c r="S290" s="121">
        <v>0</v>
      </c>
      <c r="T290" s="121">
        <v>0</v>
      </c>
      <c r="U290" s="121">
        <v>0</v>
      </c>
      <c r="V290" s="121">
        <v>0</v>
      </c>
      <c r="W290" s="121">
        <v>0</v>
      </c>
      <c r="X290" s="121">
        <v>0</v>
      </c>
      <c r="Y290" s="121">
        <v>0</v>
      </c>
      <c r="Z290" s="121">
        <v>0</v>
      </c>
      <c r="AA290" s="121">
        <v>0</v>
      </c>
      <c r="AB290" s="121">
        <v>0</v>
      </c>
      <c r="AC290" s="121">
        <v>0</v>
      </c>
      <c r="AD290" s="121">
        <v>0</v>
      </c>
      <c r="AE290" s="121">
        <v>0</v>
      </c>
      <c r="AF290" s="121">
        <v>0</v>
      </c>
      <c r="AG290" s="121">
        <v>0</v>
      </c>
      <c r="AH290" s="121">
        <v>10000</v>
      </c>
      <c r="AI290" s="121">
        <v>0</v>
      </c>
      <c r="AJ290" s="784">
        <f t="shared" si="61"/>
        <v>10000</v>
      </c>
      <c r="AK290" s="149">
        <f t="shared" si="56"/>
        <v>0.11013215859030837</v>
      </c>
      <c r="AL290" s="150">
        <f t="shared" si="62"/>
        <v>-80800</v>
      </c>
      <c r="AM290" s="149">
        <f t="shared" si="57"/>
        <v>-0.88986784140969166</v>
      </c>
      <c r="AN290" s="150">
        <f t="shared" si="58"/>
        <v>898000</v>
      </c>
      <c r="AO290" s="151">
        <f t="shared" si="59"/>
        <v>0.98898678414096919</v>
      </c>
      <c r="AP290" s="154">
        <f t="shared" si="63"/>
        <v>90800</v>
      </c>
      <c r="AQ290" s="154"/>
      <c r="AR290" s="786" t="str">
        <f t="shared" si="64"/>
        <v>Vendido</v>
      </c>
      <c r="AS290" s="786" t="str">
        <f t="shared" si="65"/>
        <v>Cliente Atrasado</v>
      </c>
      <c r="AT290" s="174"/>
      <c r="AU290" s="174">
        <f t="shared" si="66"/>
        <v>0</v>
      </c>
      <c r="AV290" s="174">
        <f t="shared" si="67"/>
        <v>0</v>
      </c>
      <c r="AW290" s="173"/>
      <c r="AX290" s="786">
        <f t="shared" si="60"/>
        <v>25</v>
      </c>
      <c r="AY290" s="787">
        <f t="shared" si="68"/>
        <v>1</v>
      </c>
      <c r="AZ290" s="152"/>
      <c r="BA290" s="152"/>
    </row>
    <row r="291" spans="1:53" x14ac:dyDescent="0.25">
      <c r="A291" s="86"/>
      <c r="B291" s="164">
        <v>1708</v>
      </c>
      <c r="C291" s="164"/>
      <c r="D291" s="165"/>
      <c r="E291" s="166"/>
      <c r="F291" s="164" t="s">
        <v>693</v>
      </c>
      <c r="G291" s="164" t="s">
        <v>374</v>
      </c>
      <c r="H291" s="167">
        <v>1538042.1199845199</v>
      </c>
      <c r="I291" s="167">
        <f>+H291*0.1</f>
        <v>153804.211998452</v>
      </c>
      <c r="J291" s="121">
        <v>0</v>
      </c>
      <c r="K291" s="121">
        <v>0</v>
      </c>
      <c r="L291" s="121">
        <v>0</v>
      </c>
      <c r="M291" s="121">
        <v>0</v>
      </c>
      <c r="N291" s="121">
        <v>0</v>
      </c>
      <c r="O291" s="121">
        <v>0</v>
      </c>
      <c r="P291" s="121">
        <v>0</v>
      </c>
      <c r="Q291" s="121">
        <v>0</v>
      </c>
      <c r="R291" s="121">
        <v>0</v>
      </c>
      <c r="S291" s="121">
        <v>0</v>
      </c>
      <c r="T291" s="121">
        <v>0</v>
      </c>
      <c r="U291" s="121">
        <v>0</v>
      </c>
      <c r="V291" s="121">
        <v>0</v>
      </c>
      <c r="W291" s="121">
        <v>0</v>
      </c>
      <c r="X291" s="121">
        <v>0</v>
      </c>
      <c r="Y291" s="121">
        <v>0</v>
      </c>
      <c r="Z291" s="121">
        <v>0</v>
      </c>
      <c r="AA291" s="121">
        <v>0</v>
      </c>
      <c r="AB291" s="121">
        <v>0</v>
      </c>
      <c r="AC291" s="121">
        <v>0</v>
      </c>
      <c r="AD291" s="121">
        <v>0</v>
      </c>
      <c r="AE291" s="121">
        <v>0</v>
      </c>
      <c r="AF291" s="121">
        <v>0</v>
      </c>
      <c r="AG291" s="121">
        <v>0</v>
      </c>
      <c r="AH291" s="121">
        <v>0</v>
      </c>
      <c r="AI291" s="121">
        <v>0</v>
      </c>
      <c r="AJ291" s="784">
        <f t="shared" si="61"/>
        <v>0</v>
      </c>
      <c r="AK291" s="149">
        <f t="shared" si="56"/>
        <v>0</v>
      </c>
      <c r="AL291" s="150">
        <f t="shared" si="62"/>
        <v>0</v>
      </c>
      <c r="AM291" s="149">
        <f t="shared" si="57"/>
        <v>0</v>
      </c>
      <c r="AN291" s="150">
        <f t="shared" si="58"/>
        <v>1538042.1199845199</v>
      </c>
      <c r="AO291" s="151">
        <f t="shared" si="59"/>
        <v>1</v>
      </c>
      <c r="AP291" s="154">
        <f t="shared" si="63"/>
        <v>0</v>
      </c>
      <c r="AQ291" s="154"/>
      <c r="AR291" s="786" t="str">
        <f t="shared" si="64"/>
        <v>Apartamento Disponible</v>
      </c>
      <c r="AS291" s="786" t="str">
        <f t="shared" si="65"/>
        <v>Disponible</v>
      </c>
      <c r="AT291" s="174"/>
      <c r="AU291" s="174">
        <f t="shared" si="66"/>
        <v>0</v>
      </c>
      <c r="AV291" s="174">
        <f t="shared" si="67"/>
        <v>0</v>
      </c>
      <c r="AW291" s="173"/>
      <c r="AX291" s="786">
        <f t="shared" si="60"/>
        <v>26</v>
      </c>
      <c r="AY291" s="787">
        <f t="shared" si="68"/>
        <v>1503</v>
      </c>
      <c r="AZ291" s="152"/>
      <c r="BA291" s="152"/>
    </row>
    <row r="292" spans="1:53" x14ac:dyDescent="0.25">
      <c r="A292" s="93"/>
      <c r="B292" s="164">
        <v>1801</v>
      </c>
      <c r="C292" s="164" t="s">
        <v>356</v>
      </c>
      <c r="D292" s="165" t="s">
        <v>696</v>
      </c>
      <c r="E292" s="166">
        <v>45012</v>
      </c>
      <c r="F292" s="164" t="s">
        <v>695</v>
      </c>
      <c r="G292" s="164" t="s">
        <v>128</v>
      </c>
      <c r="H292" s="167">
        <v>1391452</v>
      </c>
      <c r="I292" s="167">
        <v>139152</v>
      </c>
      <c r="J292" s="121">
        <v>6000</v>
      </c>
      <c r="K292" s="121">
        <v>0</v>
      </c>
      <c r="L292" s="121">
        <v>7600</v>
      </c>
      <c r="M292" s="121">
        <v>0</v>
      </c>
      <c r="N292" s="121">
        <v>0</v>
      </c>
      <c r="O292" s="121">
        <v>0</v>
      </c>
      <c r="P292" s="121">
        <v>0</v>
      </c>
      <c r="Q292" s="121">
        <v>0</v>
      </c>
      <c r="R292" s="121">
        <v>0</v>
      </c>
      <c r="S292" s="121">
        <v>0</v>
      </c>
      <c r="T292" s="121">
        <v>0</v>
      </c>
      <c r="U292" s="121">
        <v>0</v>
      </c>
      <c r="V292" s="121">
        <v>0</v>
      </c>
      <c r="W292" s="121">
        <v>0</v>
      </c>
      <c r="X292" s="121">
        <v>0</v>
      </c>
      <c r="Y292" s="121">
        <v>0</v>
      </c>
      <c r="Z292" s="121">
        <v>0</v>
      </c>
      <c r="AA292" s="121">
        <v>0</v>
      </c>
      <c r="AB292" s="121">
        <v>0</v>
      </c>
      <c r="AC292" s="121">
        <v>0</v>
      </c>
      <c r="AD292" s="121">
        <v>0</v>
      </c>
      <c r="AE292" s="121">
        <v>0</v>
      </c>
      <c r="AF292" s="121">
        <v>0</v>
      </c>
      <c r="AG292" s="121">
        <v>0</v>
      </c>
      <c r="AH292" s="121">
        <v>0</v>
      </c>
      <c r="AI292" s="121">
        <v>0</v>
      </c>
      <c r="AJ292" s="784">
        <f t="shared" si="61"/>
        <v>13600</v>
      </c>
      <c r="AK292" s="149">
        <f t="shared" si="56"/>
        <v>9.7734851098079792E-2</v>
      </c>
      <c r="AL292" s="150">
        <f t="shared" si="62"/>
        <v>-125552</v>
      </c>
      <c r="AM292" s="149">
        <f t="shared" si="57"/>
        <v>-0.90226514890192022</v>
      </c>
      <c r="AN292" s="150">
        <f t="shared" si="58"/>
        <v>1377852</v>
      </c>
      <c r="AO292" s="151">
        <f t="shared" si="59"/>
        <v>0.99022603726179559</v>
      </c>
      <c r="AP292" s="154">
        <f t="shared" si="63"/>
        <v>139152</v>
      </c>
      <c r="AQ292" s="154"/>
      <c r="AR292" s="786" t="str">
        <f t="shared" si="64"/>
        <v>Vendido</v>
      </c>
      <c r="AS292" s="786" t="str">
        <f t="shared" si="65"/>
        <v>Cliente Atrasado</v>
      </c>
      <c r="AT292" s="174">
        <v>35</v>
      </c>
      <c r="AU292" s="174">
        <f t="shared" si="66"/>
        <v>1</v>
      </c>
      <c r="AV292" s="174">
        <f t="shared" si="67"/>
        <v>36</v>
      </c>
      <c r="AW292" s="173">
        <v>3800</v>
      </c>
      <c r="AX292" s="786">
        <f t="shared" si="60"/>
        <v>0</v>
      </c>
      <c r="AY292" s="787">
        <f t="shared" si="68"/>
        <v>25</v>
      </c>
      <c r="AZ292" s="152"/>
      <c r="BA292" s="152"/>
    </row>
    <row r="293" spans="1:53" ht="15" customHeight="1" x14ac:dyDescent="0.25">
      <c r="A293" s="93"/>
      <c r="B293" s="164">
        <v>1802</v>
      </c>
      <c r="C293" s="164" t="s">
        <v>366</v>
      </c>
      <c r="D293" s="165" t="s">
        <v>697</v>
      </c>
      <c r="E293" s="166">
        <v>45064</v>
      </c>
      <c r="F293" s="164" t="s">
        <v>565</v>
      </c>
      <c r="G293" s="164" t="s">
        <v>128</v>
      </c>
      <c r="H293" s="167">
        <v>848900</v>
      </c>
      <c r="I293" s="167">
        <v>84900</v>
      </c>
      <c r="J293" s="121">
        <v>0</v>
      </c>
      <c r="K293" s="121">
        <v>0</v>
      </c>
      <c r="L293" s="121">
        <v>6000</v>
      </c>
      <c r="M293" s="121">
        <v>2818</v>
      </c>
      <c r="N293" s="121">
        <v>2818</v>
      </c>
      <c r="O293" s="121">
        <v>2818</v>
      </c>
      <c r="P293" s="121">
        <v>2818</v>
      </c>
      <c r="Q293" s="121">
        <v>2818</v>
      </c>
      <c r="R293" s="121">
        <v>2818</v>
      </c>
      <c r="S293" s="121">
        <v>2818</v>
      </c>
      <c r="T293" s="121">
        <v>2818</v>
      </c>
      <c r="U293" s="121">
        <v>2818</v>
      </c>
      <c r="V293" s="121">
        <v>2818</v>
      </c>
      <c r="W293" s="121">
        <v>2818</v>
      </c>
      <c r="X293" s="121">
        <v>2818</v>
      </c>
      <c r="Y293" s="121">
        <v>2818</v>
      </c>
      <c r="Z293" s="121">
        <v>2818</v>
      </c>
      <c r="AA293" s="121">
        <v>2818</v>
      </c>
      <c r="AB293" s="121">
        <v>2818</v>
      </c>
      <c r="AC293" s="121">
        <v>2818</v>
      </c>
      <c r="AD293" s="121">
        <v>2818</v>
      </c>
      <c r="AE293" s="121">
        <v>2818</v>
      </c>
      <c r="AF293" s="121">
        <v>2818</v>
      </c>
      <c r="AG293" s="121">
        <v>2818</v>
      </c>
      <c r="AH293" s="121">
        <v>2818</v>
      </c>
      <c r="AI293" s="121">
        <v>0</v>
      </c>
      <c r="AJ293" s="784">
        <f t="shared" si="61"/>
        <v>67996</v>
      </c>
      <c r="AK293" s="149">
        <f t="shared" si="56"/>
        <v>0.80089517078916372</v>
      </c>
      <c r="AL293" s="150">
        <f t="shared" si="62"/>
        <v>-16904</v>
      </c>
      <c r="AM293" s="149">
        <f t="shared" si="57"/>
        <v>-0.19910482921083628</v>
      </c>
      <c r="AN293" s="150">
        <f t="shared" si="58"/>
        <v>780904</v>
      </c>
      <c r="AO293" s="151">
        <f t="shared" si="59"/>
        <v>0.91990104841559661</v>
      </c>
      <c r="AP293" s="154">
        <f t="shared" si="63"/>
        <v>84900</v>
      </c>
      <c r="AQ293" s="154"/>
      <c r="AR293" s="786" t="str">
        <f t="shared" si="64"/>
        <v>Vendido</v>
      </c>
      <c r="AS293" s="786" t="str">
        <f t="shared" si="65"/>
        <v>Cliente Atrasado</v>
      </c>
      <c r="AT293" s="174">
        <v>28</v>
      </c>
      <c r="AU293" s="174">
        <f t="shared" si="66"/>
        <v>1</v>
      </c>
      <c r="AV293" s="174">
        <f t="shared" si="67"/>
        <v>29</v>
      </c>
      <c r="AW293" s="173">
        <v>2818</v>
      </c>
      <c r="AX293" s="786">
        <f t="shared" si="60"/>
        <v>22</v>
      </c>
      <c r="AY293" s="787">
        <f t="shared" si="68"/>
        <v>23</v>
      </c>
      <c r="AZ293" s="152"/>
      <c r="BA293" s="152"/>
    </row>
    <row r="294" spans="1:53" x14ac:dyDescent="0.25">
      <c r="A294" s="86"/>
      <c r="B294" s="164">
        <v>1803</v>
      </c>
      <c r="C294" s="164"/>
      <c r="D294" s="165"/>
      <c r="E294" s="166"/>
      <c r="F294" s="164" t="s">
        <v>686</v>
      </c>
      <c r="G294" s="164" t="s">
        <v>374</v>
      </c>
      <c r="H294" s="167">
        <v>1411239.4727644799</v>
      </c>
      <c r="I294" s="167">
        <f>+H294*0.1</f>
        <v>141123.94727644799</v>
      </c>
      <c r="J294" s="121">
        <v>0</v>
      </c>
      <c r="K294" s="121">
        <v>0</v>
      </c>
      <c r="L294" s="121">
        <v>0</v>
      </c>
      <c r="M294" s="121">
        <v>0</v>
      </c>
      <c r="N294" s="121">
        <v>0</v>
      </c>
      <c r="O294" s="121">
        <v>0</v>
      </c>
      <c r="P294" s="121">
        <v>0</v>
      </c>
      <c r="Q294" s="121">
        <v>0</v>
      </c>
      <c r="R294" s="121">
        <v>0</v>
      </c>
      <c r="S294" s="121">
        <v>0</v>
      </c>
      <c r="T294" s="121">
        <v>0</v>
      </c>
      <c r="U294" s="121">
        <v>0</v>
      </c>
      <c r="V294" s="121">
        <v>0</v>
      </c>
      <c r="W294" s="121">
        <v>0</v>
      </c>
      <c r="X294" s="121">
        <v>0</v>
      </c>
      <c r="Y294" s="121">
        <v>0</v>
      </c>
      <c r="Z294" s="121">
        <v>0</v>
      </c>
      <c r="AA294" s="121">
        <v>0</v>
      </c>
      <c r="AB294" s="121">
        <v>0</v>
      </c>
      <c r="AC294" s="121">
        <v>0</v>
      </c>
      <c r="AD294" s="121">
        <v>0</v>
      </c>
      <c r="AE294" s="121">
        <v>0</v>
      </c>
      <c r="AF294" s="121">
        <v>0</v>
      </c>
      <c r="AG294" s="121">
        <v>0</v>
      </c>
      <c r="AH294" s="121">
        <v>0</v>
      </c>
      <c r="AI294" s="121">
        <v>0</v>
      </c>
      <c r="AJ294" s="784">
        <f t="shared" si="61"/>
        <v>0</v>
      </c>
      <c r="AK294" s="149">
        <f t="shared" si="56"/>
        <v>0</v>
      </c>
      <c r="AL294" s="150">
        <f t="shared" si="62"/>
        <v>0</v>
      </c>
      <c r="AM294" s="149">
        <f t="shared" si="57"/>
        <v>0</v>
      </c>
      <c r="AN294" s="150">
        <f t="shared" si="58"/>
        <v>1411239.4727644799</v>
      </c>
      <c r="AO294" s="151">
        <f t="shared" si="59"/>
        <v>1</v>
      </c>
      <c r="AP294" s="154">
        <f t="shared" si="63"/>
        <v>0</v>
      </c>
      <c r="AQ294" s="154"/>
      <c r="AR294" s="786" t="str">
        <f t="shared" si="64"/>
        <v>Apartamento Disponible</v>
      </c>
      <c r="AS294" s="786" t="str">
        <f t="shared" si="65"/>
        <v>Disponible</v>
      </c>
      <c r="AT294" s="174"/>
      <c r="AU294" s="174">
        <f t="shared" si="66"/>
        <v>0</v>
      </c>
      <c r="AV294" s="174">
        <f t="shared" si="67"/>
        <v>0</v>
      </c>
      <c r="AW294" s="173"/>
      <c r="AX294" s="786">
        <f t="shared" si="60"/>
        <v>26</v>
      </c>
      <c r="AY294" s="787">
        <f t="shared" si="68"/>
        <v>1503</v>
      </c>
      <c r="AZ294" s="152"/>
      <c r="BA294" s="152"/>
    </row>
    <row r="295" spans="1:53" x14ac:dyDescent="0.25">
      <c r="A295" s="93"/>
      <c r="B295" s="164">
        <v>1804</v>
      </c>
      <c r="C295" s="164" t="s">
        <v>383</v>
      </c>
      <c r="D295" s="165" t="s">
        <v>700</v>
      </c>
      <c r="E295" s="166">
        <v>44995</v>
      </c>
      <c r="F295" s="164" t="s">
        <v>189</v>
      </c>
      <c r="G295" s="164" t="s">
        <v>128</v>
      </c>
      <c r="H295" s="167">
        <v>617600</v>
      </c>
      <c r="I295" s="167">
        <v>62000</v>
      </c>
      <c r="J295" s="121">
        <v>6000</v>
      </c>
      <c r="K295" s="121">
        <v>1600</v>
      </c>
      <c r="L295" s="121">
        <v>1600</v>
      </c>
      <c r="M295" s="121">
        <v>1600</v>
      </c>
      <c r="N295" s="121">
        <v>1600</v>
      </c>
      <c r="O295" s="121">
        <v>1600</v>
      </c>
      <c r="P295" s="121">
        <v>1600</v>
      </c>
      <c r="Q295" s="121">
        <v>1600</v>
      </c>
      <c r="R295" s="121">
        <v>0</v>
      </c>
      <c r="S295" s="121">
        <v>1600</v>
      </c>
      <c r="T295" s="121">
        <v>1600</v>
      </c>
      <c r="U295" s="121">
        <v>2860</v>
      </c>
      <c r="V295" s="121">
        <v>1600</v>
      </c>
      <c r="W295" s="121">
        <v>1600</v>
      </c>
      <c r="X295" s="121">
        <v>1600</v>
      </c>
      <c r="Y295" s="121">
        <v>1600</v>
      </c>
      <c r="Z295" s="121">
        <v>1600</v>
      </c>
      <c r="AA295" s="121">
        <v>1600</v>
      </c>
      <c r="AB295" s="121">
        <v>0</v>
      </c>
      <c r="AC295" s="121">
        <v>1600</v>
      </c>
      <c r="AD295" s="121">
        <v>1600</v>
      </c>
      <c r="AE295" s="121">
        <v>1600</v>
      </c>
      <c r="AF295" s="121">
        <v>0</v>
      </c>
      <c r="AG295" s="121">
        <v>3200</v>
      </c>
      <c r="AH295" s="121">
        <v>1600</v>
      </c>
      <c r="AI295" s="121">
        <v>0</v>
      </c>
      <c r="AJ295" s="784">
        <f t="shared" si="61"/>
        <v>42460</v>
      </c>
      <c r="AK295" s="149">
        <f t="shared" si="56"/>
        <v>0.68483870967741933</v>
      </c>
      <c r="AL295" s="150">
        <f t="shared" si="62"/>
        <v>-19540</v>
      </c>
      <c r="AM295" s="149">
        <f t="shared" si="57"/>
        <v>-0.31516129032258067</v>
      </c>
      <c r="AN295" s="150">
        <f t="shared" si="58"/>
        <v>575140</v>
      </c>
      <c r="AO295" s="151">
        <f t="shared" si="59"/>
        <v>0.93125000000000002</v>
      </c>
      <c r="AP295" s="154">
        <f t="shared" si="63"/>
        <v>62000</v>
      </c>
      <c r="AQ295" s="154"/>
      <c r="AR295" s="786" t="str">
        <f t="shared" si="64"/>
        <v>Vendido</v>
      </c>
      <c r="AS295" s="786" t="str">
        <f t="shared" si="65"/>
        <v>Cliente Atrasado</v>
      </c>
      <c r="AT295" s="174">
        <v>35</v>
      </c>
      <c r="AU295" s="174">
        <f t="shared" si="66"/>
        <v>1</v>
      </c>
      <c r="AV295" s="174">
        <f t="shared" si="67"/>
        <v>36</v>
      </c>
      <c r="AW295" s="173">
        <v>1600</v>
      </c>
      <c r="AX295" s="786">
        <f t="shared" si="60"/>
        <v>19</v>
      </c>
      <c r="AY295" s="787">
        <f t="shared" si="68"/>
        <v>25</v>
      </c>
      <c r="AZ295" s="152"/>
      <c r="BA295" s="152"/>
    </row>
    <row r="296" spans="1:53" x14ac:dyDescent="0.25">
      <c r="A296" s="86"/>
      <c r="B296" s="164">
        <v>1805</v>
      </c>
      <c r="C296" s="164"/>
      <c r="D296" s="165"/>
      <c r="E296" s="166"/>
      <c r="F296" s="164" t="s">
        <v>689</v>
      </c>
      <c r="G296" s="164" t="s">
        <v>374</v>
      </c>
      <c r="H296" s="167">
        <v>1416043.2379894699</v>
      </c>
      <c r="I296" s="167">
        <f>+H296*0.1</f>
        <v>141604.32379894701</v>
      </c>
      <c r="J296" s="121">
        <v>0</v>
      </c>
      <c r="K296" s="121">
        <v>0</v>
      </c>
      <c r="L296" s="121">
        <v>0</v>
      </c>
      <c r="M296" s="121">
        <v>0</v>
      </c>
      <c r="N296" s="121">
        <v>0</v>
      </c>
      <c r="O296" s="121">
        <v>0</v>
      </c>
      <c r="P296" s="121">
        <v>0</v>
      </c>
      <c r="Q296" s="121">
        <v>0</v>
      </c>
      <c r="R296" s="121">
        <v>0</v>
      </c>
      <c r="S296" s="121">
        <v>0</v>
      </c>
      <c r="T296" s="121">
        <v>0</v>
      </c>
      <c r="U296" s="121">
        <v>0</v>
      </c>
      <c r="V296" s="121">
        <v>0</v>
      </c>
      <c r="W296" s="121">
        <v>0</v>
      </c>
      <c r="X296" s="121">
        <v>0</v>
      </c>
      <c r="Y296" s="121">
        <v>0</v>
      </c>
      <c r="Z296" s="121">
        <v>0</v>
      </c>
      <c r="AA296" s="121">
        <v>0</v>
      </c>
      <c r="AB296" s="121">
        <v>0</v>
      </c>
      <c r="AC296" s="121">
        <v>0</v>
      </c>
      <c r="AD296" s="121">
        <v>0</v>
      </c>
      <c r="AE296" s="121">
        <v>0</v>
      </c>
      <c r="AF296" s="121">
        <v>0</v>
      </c>
      <c r="AG296" s="121">
        <v>0</v>
      </c>
      <c r="AH296" s="121">
        <v>0</v>
      </c>
      <c r="AI296" s="121">
        <v>0</v>
      </c>
      <c r="AJ296" s="784">
        <f t="shared" si="61"/>
        <v>0</v>
      </c>
      <c r="AK296" s="149">
        <f t="shared" si="56"/>
        <v>0</v>
      </c>
      <c r="AL296" s="150">
        <f t="shared" si="62"/>
        <v>0</v>
      </c>
      <c r="AM296" s="149">
        <f t="shared" si="57"/>
        <v>0</v>
      </c>
      <c r="AN296" s="150">
        <f t="shared" si="58"/>
        <v>1416043.2379894699</v>
      </c>
      <c r="AO296" s="151">
        <f t="shared" si="59"/>
        <v>1</v>
      </c>
      <c r="AP296" s="154">
        <f t="shared" si="63"/>
        <v>0</v>
      </c>
      <c r="AQ296" s="154"/>
      <c r="AR296" s="786" t="str">
        <f t="shared" si="64"/>
        <v>Apartamento Disponible</v>
      </c>
      <c r="AS296" s="786" t="str">
        <f t="shared" si="65"/>
        <v>Disponible</v>
      </c>
      <c r="AT296" s="174"/>
      <c r="AU296" s="174">
        <f t="shared" si="66"/>
        <v>0</v>
      </c>
      <c r="AV296" s="174">
        <f t="shared" si="67"/>
        <v>0</v>
      </c>
      <c r="AW296" s="173"/>
      <c r="AX296" s="786">
        <f t="shared" si="60"/>
        <v>26</v>
      </c>
      <c r="AY296" s="787">
        <f t="shared" si="68"/>
        <v>1503</v>
      </c>
      <c r="AZ296" s="152"/>
      <c r="BA296" s="152"/>
    </row>
    <row r="297" spans="1:53" x14ac:dyDescent="0.25">
      <c r="A297" s="93"/>
      <c r="B297" s="164">
        <v>1806</v>
      </c>
      <c r="C297" s="164" t="s">
        <v>366</v>
      </c>
      <c r="D297" s="165" t="s">
        <v>702</v>
      </c>
      <c r="E297" s="166">
        <v>45014</v>
      </c>
      <c r="F297" s="164" t="s">
        <v>400</v>
      </c>
      <c r="G297" s="164" t="s">
        <v>128</v>
      </c>
      <c r="H297" s="167">
        <v>860950.58400499995</v>
      </c>
      <c r="I297" s="167">
        <v>86150.58</v>
      </c>
      <c r="J297" s="121">
        <v>6000</v>
      </c>
      <c r="K297" s="121">
        <v>2290</v>
      </c>
      <c r="L297" s="121">
        <v>2290</v>
      </c>
      <c r="M297" s="121">
        <v>2290</v>
      </c>
      <c r="N297" s="121">
        <v>2290</v>
      </c>
      <c r="O297" s="121">
        <v>2290</v>
      </c>
      <c r="P297" s="121">
        <v>2290</v>
      </c>
      <c r="Q297" s="121">
        <v>2290</v>
      </c>
      <c r="R297" s="121">
        <v>2290</v>
      </c>
      <c r="S297" s="121">
        <v>2290</v>
      </c>
      <c r="T297" s="121">
        <v>2290</v>
      </c>
      <c r="U297" s="121">
        <v>2290</v>
      </c>
      <c r="V297" s="121">
        <v>2290</v>
      </c>
      <c r="W297" s="121">
        <v>4580</v>
      </c>
      <c r="X297" s="121">
        <v>0</v>
      </c>
      <c r="Y297" s="121">
        <v>2290</v>
      </c>
      <c r="Z297" s="121">
        <v>2290</v>
      </c>
      <c r="AA297" s="121">
        <v>2290</v>
      </c>
      <c r="AB297" s="121">
        <v>2290</v>
      </c>
      <c r="AC297" s="121">
        <v>2290</v>
      </c>
      <c r="AD297" s="121">
        <v>2290</v>
      </c>
      <c r="AE297" s="121">
        <v>2290</v>
      </c>
      <c r="AF297" s="121">
        <v>2290</v>
      </c>
      <c r="AG297" s="121">
        <v>4580</v>
      </c>
      <c r="AH297" s="121">
        <v>2290</v>
      </c>
      <c r="AI297" s="121">
        <v>2290</v>
      </c>
      <c r="AJ297" s="784">
        <f t="shared" si="61"/>
        <v>65540</v>
      </c>
      <c r="AK297" s="149">
        <f t="shared" si="56"/>
        <v>0.76076098384944124</v>
      </c>
      <c r="AL297" s="150">
        <f t="shared" si="62"/>
        <v>-20610.580000000002</v>
      </c>
      <c r="AM297" s="149">
        <f t="shared" si="57"/>
        <v>-0.23923901615055873</v>
      </c>
      <c r="AN297" s="150">
        <f t="shared" si="58"/>
        <v>795410.58400499995</v>
      </c>
      <c r="AO297" s="151">
        <f t="shared" si="59"/>
        <v>0.92387484111443574</v>
      </c>
      <c r="AP297" s="154">
        <f t="shared" si="63"/>
        <v>86150.58</v>
      </c>
      <c r="AQ297" s="154"/>
      <c r="AR297" s="786" t="str">
        <f t="shared" si="64"/>
        <v>Vendido</v>
      </c>
      <c r="AS297" s="786" t="str">
        <f t="shared" si="65"/>
        <v>Cliente Atrasado</v>
      </c>
      <c r="AT297" s="174">
        <v>35</v>
      </c>
      <c r="AU297" s="174">
        <f t="shared" si="66"/>
        <v>1</v>
      </c>
      <c r="AV297" s="174">
        <f t="shared" si="67"/>
        <v>36</v>
      </c>
      <c r="AW297" s="173">
        <v>2290</v>
      </c>
      <c r="AX297" s="786">
        <f t="shared" si="60"/>
        <v>22</v>
      </c>
      <c r="AY297" s="787">
        <f t="shared" si="68"/>
        <v>25</v>
      </c>
      <c r="AZ297" s="152"/>
      <c r="BA297" s="152"/>
    </row>
    <row r="298" spans="1:53" x14ac:dyDescent="0.25">
      <c r="A298" s="93"/>
      <c r="B298" s="164">
        <v>1807</v>
      </c>
      <c r="C298" s="164" t="s">
        <v>356</v>
      </c>
      <c r="D298" s="165" t="s">
        <v>1079</v>
      </c>
      <c r="E298" s="166">
        <v>45012</v>
      </c>
      <c r="F298" s="164" t="s">
        <v>703</v>
      </c>
      <c r="G298" s="164" t="s">
        <v>128</v>
      </c>
      <c r="H298" s="167">
        <v>1131156</v>
      </c>
      <c r="I298" s="167">
        <v>113156</v>
      </c>
      <c r="J298" s="121">
        <v>6000</v>
      </c>
      <c r="K298" s="121">
        <v>0</v>
      </c>
      <c r="L298" s="121">
        <v>6100</v>
      </c>
      <c r="M298" s="121">
        <v>0</v>
      </c>
      <c r="N298" s="121">
        <v>0</v>
      </c>
      <c r="O298" s="121">
        <v>0</v>
      </c>
      <c r="P298" s="121">
        <v>0</v>
      </c>
      <c r="Q298" s="121">
        <v>0</v>
      </c>
      <c r="R298" s="121">
        <v>0</v>
      </c>
      <c r="S298" s="121">
        <v>0</v>
      </c>
      <c r="T298" s="121">
        <v>0</v>
      </c>
      <c r="U298" s="121">
        <v>0</v>
      </c>
      <c r="V298" s="121">
        <v>0</v>
      </c>
      <c r="W298" s="121">
        <v>0</v>
      </c>
      <c r="X298" s="121">
        <v>0</v>
      </c>
      <c r="Y298" s="121">
        <v>0</v>
      </c>
      <c r="Z298" s="121">
        <v>0</v>
      </c>
      <c r="AA298" s="121">
        <v>0</v>
      </c>
      <c r="AB298" s="121">
        <v>0</v>
      </c>
      <c r="AC298" s="121">
        <v>0</v>
      </c>
      <c r="AD298" s="121">
        <v>0</v>
      </c>
      <c r="AE298" s="121">
        <v>0</v>
      </c>
      <c r="AF298" s="121">
        <v>0</v>
      </c>
      <c r="AG298" s="121">
        <v>0</v>
      </c>
      <c r="AH298" s="121">
        <v>0</v>
      </c>
      <c r="AI298" s="121">
        <v>0</v>
      </c>
      <c r="AJ298" s="784">
        <f t="shared" si="61"/>
        <v>12100</v>
      </c>
      <c r="AK298" s="149">
        <f t="shared" si="56"/>
        <v>0.10693202304782778</v>
      </c>
      <c r="AL298" s="150">
        <f t="shared" si="62"/>
        <v>-101056</v>
      </c>
      <c r="AM298" s="149">
        <f t="shared" si="57"/>
        <v>-0.89306797695217222</v>
      </c>
      <c r="AN298" s="150">
        <f t="shared" si="58"/>
        <v>1119056</v>
      </c>
      <c r="AO298" s="151">
        <f t="shared" si="59"/>
        <v>0.98930297854584159</v>
      </c>
      <c r="AP298" s="154">
        <f t="shared" si="63"/>
        <v>113156</v>
      </c>
      <c r="AQ298" s="154"/>
      <c r="AR298" s="786" t="str">
        <f t="shared" si="64"/>
        <v>Vendido</v>
      </c>
      <c r="AS298" s="786" t="str">
        <f t="shared" si="65"/>
        <v>Cliente Atrasado</v>
      </c>
      <c r="AT298" s="174">
        <v>35</v>
      </c>
      <c r="AU298" s="174">
        <f t="shared" si="66"/>
        <v>1</v>
      </c>
      <c r="AV298" s="174">
        <f t="shared" si="67"/>
        <v>36</v>
      </c>
      <c r="AW298" s="173">
        <v>3050</v>
      </c>
      <c r="AX298" s="786">
        <f t="shared" si="60"/>
        <v>0</v>
      </c>
      <c r="AY298" s="787">
        <f t="shared" si="68"/>
        <v>25</v>
      </c>
      <c r="AZ298" s="152"/>
      <c r="BA298" s="152"/>
    </row>
    <row r="299" spans="1:53" x14ac:dyDescent="0.25">
      <c r="A299" s="93"/>
      <c r="B299" s="164">
        <v>1808</v>
      </c>
      <c r="C299" s="164" t="s">
        <v>366</v>
      </c>
      <c r="D299" s="165" t="s">
        <v>706</v>
      </c>
      <c r="E299" s="166">
        <v>45199</v>
      </c>
      <c r="F299" s="164" t="s">
        <v>705</v>
      </c>
      <c r="G299" s="164" t="s">
        <v>128</v>
      </c>
      <c r="H299" s="167">
        <v>1417808.51</v>
      </c>
      <c r="I299" s="167">
        <v>141808.51</v>
      </c>
      <c r="J299" s="121">
        <v>0</v>
      </c>
      <c r="K299" s="121">
        <v>0</v>
      </c>
      <c r="L299" s="121">
        <v>0</v>
      </c>
      <c r="M299" s="121">
        <v>0</v>
      </c>
      <c r="N299" s="121">
        <v>0</v>
      </c>
      <c r="O299" s="121">
        <v>0</v>
      </c>
      <c r="P299" s="121">
        <v>8000</v>
      </c>
      <c r="Q299" s="121">
        <v>2800</v>
      </c>
      <c r="R299" s="121">
        <v>2800</v>
      </c>
      <c r="S299" s="121">
        <v>11150</v>
      </c>
      <c r="T299" s="121">
        <v>2800</v>
      </c>
      <c r="U299" s="121">
        <v>2800</v>
      </c>
      <c r="V299" s="121">
        <v>2800</v>
      </c>
      <c r="W299" s="121">
        <v>2800</v>
      </c>
      <c r="X299" s="121">
        <v>2800</v>
      </c>
      <c r="Y299" s="121">
        <v>2800</v>
      </c>
      <c r="Z299" s="121">
        <v>22300</v>
      </c>
      <c r="AA299" s="121">
        <v>2800</v>
      </c>
      <c r="AB299" s="121">
        <v>2800</v>
      </c>
      <c r="AC299" s="121">
        <v>2800</v>
      </c>
      <c r="AD299" s="121">
        <v>2800</v>
      </c>
      <c r="AE299" s="121">
        <v>22300</v>
      </c>
      <c r="AF299" s="121">
        <v>2800</v>
      </c>
      <c r="AG299" s="121">
        <v>2800</v>
      </c>
      <c r="AH299" s="121">
        <v>2800</v>
      </c>
      <c r="AI299" s="121">
        <v>0</v>
      </c>
      <c r="AJ299" s="784">
        <f t="shared" si="61"/>
        <v>105750</v>
      </c>
      <c r="AK299" s="149">
        <f t="shared" si="56"/>
        <v>0.74572393433934248</v>
      </c>
      <c r="AL299" s="150">
        <f t="shared" si="62"/>
        <v>-36058.510000000009</v>
      </c>
      <c r="AM299" s="149">
        <f t="shared" si="57"/>
        <v>-0.25427606566065752</v>
      </c>
      <c r="AN299" s="150">
        <f t="shared" si="58"/>
        <v>1312058.51</v>
      </c>
      <c r="AO299" s="151">
        <f t="shared" si="59"/>
        <v>0.92541305877759195</v>
      </c>
      <c r="AP299" s="154">
        <f t="shared" si="63"/>
        <v>141808.51</v>
      </c>
      <c r="AQ299" s="154"/>
      <c r="AR299" s="786" t="str">
        <f t="shared" si="64"/>
        <v>Vendido</v>
      </c>
      <c r="AS299" s="786" t="str">
        <f t="shared" si="65"/>
        <v>Cliente Atrasado</v>
      </c>
      <c r="AT299" s="174">
        <v>24</v>
      </c>
      <c r="AU299" s="174">
        <f t="shared" si="66"/>
        <v>1</v>
      </c>
      <c r="AV299" s="174">
        <f t="shared" si="67"/>
        <v>25</v>
      </c>
      <c r="AW299" s="173">
        <v>2800</v>
      </c>
      <c r="AX299" s="786">
        <f t="shared" si="60"/>
        <v>15</v>
      </c>
      <c r="AY299" s="787">
        <f t="shared" si="68"/>
        <v>19</v>
      </c>
      <c r="AZ299" s="152"/>
      <c r="BA299" s="152"/>
    </row>
    <row r="300" spans="1:53" x14ac:dyDescent="0.25">
      <c r="A300" s="93"/>
      <c r="B300" s="164">
        <v>1901</v>
      </c>
      <c r="C300" s="164" t="s">
        <v>383</v>
      </c>
      <c r="D300" s="165" t="s">
        <v>603</v>
      </c>
      <c r="E300" s="166">
        <v>45012</v>
      </c>
      <c r="F300" s="164" t="s">
        <v>611</v>
      </c>
      <c r="G300" s="164" t="s">
        <v>128</v>
      </c>
      <c r="H300" s="167">
        <v>738382</v>
      </c>
      <c r="I300" s="167">
        <v>73882</v>
      </c>
      <c r="J300" s="121">
        <v>15000</v>
      </c>
      <c r="K300" s="121">
        <v>1000</v>
      </c>
      <c r="L300" s="121">
        <v>1000</v>
      </c>
      <c r="M300" s="121">
        <v>0</v>
      </c>
      <c r="N300" s="121">
        <v>2000</v>
      </c>
      <c r="O300" s="121">
        <v>0</v>
      </c>
      <c r="P300" s="121">
        <v>1000</v>
      </c>
      <c r="Q300" s="121">
        <v>1000</v>
      </c>
      <c r="R300" s="121">
        <v>1000</v>
      </c>
      <c r="S300" s="121">
        <v>1000</v>
      </c>
      <c r="T300" s="121">
        <v>2000</v>
      </c>
      <c r="U300" s="121">
        <v>1000</v>
      </c>
      <c r="V300" s="121">
        <v>0</v>
      </c>
      <c r="W300" s="121">
        <v>2000</v>
      </c>
      <c r="X300" s="121">
        <v>0</v>
      </c>
      <c r="Y300" s="121">
        <v>0</v>
      </c>
      <c r="Z300" s="121">
        <v>0</v>
      </c>
      <c r="AA300" s="121">
        <v>0</v>
      </c>
      <c r="AB300" s="121">
        <v>0</v>
      </c>
      <c r="AC300" s="121">
        <v>0</v>
      </c>
      <c r="AD300" s="121">
        <v>0</v>
      </c>
      <c r="AE300" s="121">
        <v>0</v>
      </c>
      <c r="AF300" s="121">
        <v>0</v>
      </c>
      <c r="AG300" s="121">
        <v>0</v>
      </c>
      <c r="AH300" s="121">
        <v>0</v>
      </c>
      <c r="AI300" s="121">
        <v>0</v>
      </c>
      <c r="AJ300" s="784">
        <f t="shared" si="61"/>
        <v>28000</v>
      </c>
      <c r="AK300" s="149">
        <f t="shared" si="56"/>
        <v>0.37898270214666629</v>
      </c>
      <c r="AL300" s="150">
        <f t="shared" si="62"/>
        <v>-45882</v>
      </c>
      <c r="AM300" s="149">
        <f t="shared" si="57"/>
        <v>-0.62101729785333371</v>
      </c>
      <c r="AN300" s="150">
        <f t="shared" si="58"/>
        <v>710382</v>
      </c>
      <c r="AO300" s="151">
        <f t="shared" si="59"/>
        <v>0.96207924895243924</v>
      </c>
      <c r="AP300" s="154">
        <f t="shared" si="63"/>
        <v>73882</v>
      </c>
      <c r="AQ300" s="154"/>
      <c r="AR300" s="786" t="str">
        <f t="shared" si="64"/>
        <v>Vendido</v>
      </c>
      <c r="AS300" s="786" t="str">
        <f t="shared" si="65"/>
        <v>Cliente Atrasado</v>
      </c>
      <c r="AT300" s="174"/>
      <c r="AU300" s="174">
        <f t="shared" si="66"/>
        <v>0</v>
      </c>
      <c r="AV300" s="174">
        <f t="shared" si="67"/>
        <v>0</v>
      </c>
      <c r="AW300" s="173"/>
      <c r="AX300" s="786">
        <f t="shared" si="60"/>
        <v>15</v>
      </c>
      <c r="AY300" s="787">
        <f t="shared" si="68"/>
        <v>25</v>
      </c>
      <c r="AZ300" s="152"/>
      <c r="BA300" s="152"/>
    </row>
    <row r="301" spans="1:53" x14ac:dyDescent="0.25">
      <c r="A301" s="93"/>
      <c r="B301" s="164">
        <v>1902</v>
      </c>
      <c r="C301" s="164" t="s">
        <v>363</v>
      </c>
      <c r="D301" s="165" t="s">
        <v>1080</v>
      </c>
      <c r="E301" s="166">
        <v>45300</v>
      </c>
      <c r="F301" s="164" t="s">
        <v>686</v>
      </c>
      <c r="G301" s="164" t="s">
        <v>128</v>
      </c>
      <c r="H301" s="167">
        <v>1322000</v>
      </c>
      <c r="I301" s="167">
        <f>+H301*0.1</f>
        <v>132200</v>
      </c>
      <c r="J301" s="121">
        <v>0</v>
      </c>
      <c r="K301" s="121">
        <v>0</v>
      </c>
      <c r="L301" s="121">
        <v>0</v>
      </c>
      <c r="M301" s="121">
        <v>0</v>
      </c>
      <c r="N301" s="121">
        <v>0</v>
      </c>
      <c r="O301" s="121">
        <v>0</v>
      </c>
      <c r="P301" s="121">
        <v>0</v>
      </c>
      <c r="Q301" s="121">
        <v>0</v>
      </c>
      <c r="R301" s="121">
        <v>0</v>
      </c>
      <c r="S301" s="121">
        <v>0</v>
      </c>
      <c r="T301" s="121">
        <v>0</v>
      </c>
      <c r="U301" s="121">
        <v>0</v>
      </c>
      <c r="V301" s="121">
        <v>0</v>
      </c>
      <c r="W301" s="121">
        <v>0</v>
      </c>
      <c r="X301" s="121">
        <v>0</v>
      </c>
      <c r="Y301" s="121">
        <v>0</v>
      </c>
      <c r="Z301" s="121">
        <v>0</v>
      </c>
      <c r="AA301" s="121">
        <v>0</v>
      </c>
      <c r="AB301" s="121">
        <v>0</v>
      </c>
      <c r="AC301" s="121">
        <v>0</v>
      </c>
      <c r="AD301" s="121">
        <v>0</v>
      </c>
      <c r="AE301" s="121">
        <v>0</v>
      </c>
      <c r="AF301" s="121">
        <v>0</v>
      </c>
      <c r="AG301" s="121">
        <v>0</v>
      </c>
      <c r="AH301" s="121">
        <v>0</v>
      </c>
      <c r="AI301" s="121">
        <v>0</v>
      </c>
      <c r="AJ301" s="784">
        <f t="shared" si="61"/>
        <v>0</v>
      </c>
      <c r="AK301" s="149">
        <f t="shared" si="56"/>
        <v>0</v>
      </c>
      <c r="AL301" s="150">
        <f t="shared" si="62"/>
        <v>-132200</v>
      </c>
      <c r="AM301" s="149">
        <f t="shared" si="57"/>
        <v>-1</v>
      </c>
      <c r="AN301" s="150">
        <f t="shared" si="58"/>
        <v>1322000</v>
      </c>
      <c r="AO301" s="151">
        <f t="shared" si="59"/>
        <v>1</v>
      </c>
      <c r="AP301" s="154">
        <f t="shared" si="63"/>
        <v>132200</v>
      </c>
      <c r="AQ301" s="154"/>
      <c r="AR301" s="786" t="str">
        <f t="shared" si="64"/>
        <v>Vendido</v>
      </c>
      <c r="AS301" s="786" t="str">
        <f t="shared" si="65"/>
        <v>Cliente Atrasado</v>
      </c>
      <c r="AT301" s="174"/>
      <c r="AU301" s="174">
        <f t="shared" si="66"/>
        <v>0</v>
      </c>
      <c r="AV301" s="174">
        <f t="shared" si="67"/>
        <v>0</v>
      </c>
      <c r="AW301" s="173"/>
      <c r="AX301" s="786">
        <f t="shared" si="60"/>
        <v>26</v>
      </c>
      <c r="AY301" s="787">
        <f t="shared" si="68"/>
        <v>15</v>
      </c>
      <c r="AZ301" s="152"/>
      <c r="BA301" s="152"/>
    </row>
    <row r="302" spans="1:53" x14ac:dyDescent="0.25">
      <c r="A302" s="93"/>
      <c r="B302" s="164">
        <v>1903</v>
      </c>
      <c r="C302" s="164" t="s">
        <v>363</v>
      </c>
      <c r="D302" s="165" t="s">
        <v>1080</v>
      </c>
      <c r="E302" s="166">
        <v>45300</v>
      </c>
      <c r="F302" s="164" t="s">
        <v>689</v>
      </c>
      <c r="G302" s="164" t="s">
        <v>128</v>
      </c>
      <c r="H302" s="167">
        <v>1326500</v>
      </c>
      <c r="I302" s="167">
        <f>+H302*0.1</f>
        <v>132650</v>
      </c>
      <c r="J302" s="121">
        <v>0</v>
      </c>
      <c r="K302" s="121">
        <v>0</v>
      </c>
      <c r="L302" s="121">
        <v>0</v>
      </c>
      <c r="M302" s="121">
        <v>0</v>
      </c>
      <c r="N302" s="121">
        <v>0</v>
      </c>
      <c r="O302" s="121">
        <v>0</v>
      </c>
      <c r="P302" s="121">
        <v>0</v>
      </c>
      <c r="Q302" s="121">
        <v>0</v>
      </c>
      <c r="R302" s="121">
        <v>0</v>
      </c>
      <c r="S302" s="121">
        <v>0</v>
      </c>
      <c r="T302" s="121">
        <v>0</v>
      </c>
      <c r="U302" s="121">
        <v>0</v>
      </c>
      <c r="V302" s="121">
        <v>0</v>
      </c>
      <c r="W302" s="121">
        <v>0</v>
      </c>
      <c r="X302" s="121">
        <v>0</v>
      </c>
      <c r="Y302" s="121">
        <v>0</v>
      </c>
      <c r="Z302" s="121">
        <v>0</v>
      </c>
      <c r="AA302" s="121">
        <v>0</v>
      </c>
      <c r="AB302" s="121">
        <v>0</v>
      </c>
      <c r="AC302" s="121">
        <v>0</v>
      </c>
      <c r="AD302" s="121">
        <v>0</v>
      </c>
      <c r="AE302" s="121">
        <v>0</v>
      </c>
      <c r="AF302" s="121">
        <v>0</v>
      </c>
      <c r="AG302" s="121">
        <v>0</v>
      </c>
      <c r="AH302" s="121">
        <v>0</v>
      </c>
      <c r="AI302" s="121">
        <v>0</v>
      </c>
      <c r="AJ302" s="784">
        <f t="shared" si="61"/>
        <v>0</v>
      </c>
      <c r="AK302" s="149">
        <f t="shared" si="56"/>
        <v>0</v>
      </c>
      <c r="AL302" s="150">
        <f t="shared" si="62"/>
        <v>-132650</v>
      </c>
      <c r="AM302" s="149">
        <f t="shared" si="57"/>
        <v>-1</v>
      </c>
      <c r="AN302" s="150">
        <f t="shared" si="58"/>
        <v>1326500</v>
      </c>
      <c r="AO302" s="151">
        <f t="shared" si="59"/>
        <v>1</v>
      </c>
      <c r="AP302" s="154">
        <f t="shared" si="63"/>
        <v>132650</v>
      </c>
      <c r="AQ302" s="154"/>
      <c r="AR302" s="786" t="str">
        <f t="shared" si="64"/>
        <v>Vendido</v>
      </c>
      <c r="AS302" s="786" t="str">
        <f t="shared" si="65"/>
        <v>Cliente Atrasado</v>
      </c>
      <c r="AT302" s="174"/>
      <c r="AU302" s="174">
        <f t="shared" si="66"/>
        <v>0</v>
      </c>
      <c r="AV302" s="174">
        <f t="shared" si="67"/>
        <v>0</v>
      </c>
      <c r="AW302" s="173"/>
      <c r="AX302" s="786">
        <f t="shared" si="60"/>
        <v>26</v>
      </c>
      <c r="AY302" s="787">
        <f t="shared" si="68"/>
        <v>15</v>
      </c>
      <c r="AZ302" s="152"/>
      <c r="BA302" s="152"/>
    </row>
    <row r="303" spans="1:53" x14ac:dyDescent="0.25">
      <c r="A303" s="93"/>
      <c r="B303" s="164">
        <v>1904</v>
      </c>
      <c r="C303" s="164" t="s">
        <v>363</v>
      </c>
      <c r="D303" s="165" t="s">
        <v>1080</v>
      </c>
      <c r="E303" s="166">
        <v>45300</v>
      </c>
      <c r="F303" s="164" t="s">
        <v>686</v>
      </c>
      <c r="G303" s="164" t="s">
        <v>128</v>
      </c>
      <c r="H303" s="167">
        <v>1322000</v>
      </c>
      <c r="I303" s="167">
        <f>+H303*0.1</f>
        <v>132200</v>
      </c>
      <c r="J303" s="121">
        <v>0</v>
      </c>
      <c r="K303" s="121">
        <v>0</v>
      </c>
      <c r="L303" s="121">
        <v>0</v>
      </c>
      <c r="M303" s="121">
        <v>0</v>
      </c>
      <c r="N303" s="121">
        <v>0</v>
      </c>
      <c r="O303" s="121">
        <v>0</v>
      </c>
      <c r="P303" s="121">
        <v>0</v>
      </c>
      <c r="Q303" s="121">
        <v>0</v>
      </c>
      <c r="R303" s="121">
        <v>0</v>
      </c>
      <c r="S303" s="121">
        <v>0</v>
      </c>
      <c r="T303" s="121">
        <v>0</v>
      </c>
      <c r="U303" s="121">
        <v>0</v>
      </c>
      <c r="V303" s="121">
        <v>0</v>
      </c>
      <c r="W303" s="121">
        <v>0</v>
      </c>
      <c r="X303" s="121">
        <v>0</v>
      </c>
      <c r="Y303" s="121">
        <v>0</v>
      </c>
      <c r="Z303" s="121">
        <v>0</v>
      </c>
      <c r="AA303" s="121">
        <v>0</v>
      </c>
      <c r="AB303" s="121">
        <v>0</v>
      </c>
      <c r="AC303" s="121">
        <v>0</v>
      </c>
      <c r="AD303" s="121">
        <v>0</v>
      </c>
      <c r="AE303" s="121">
        <v>0</v>
      </c>
      <c r="AF303" s="121">
        <v>0</v>
      </c>
      <c r="AG303" s="121">
        <v>0</v>
      </c>
      <c r="AH303" s="121">
        <v>0</v>
      </c>
      <c r="AI303" s="121">
        <v>0</v>
      </c>
      <c r="AJ303" s="784">
        <f t="shared" si="61"/>
        <v>0</v>
      </c>
      <c r="AK303" s="149">
        <f t="shared" si="56"/>
        <v>0</v>
      </c>
      <c r="AL303" s="150">
        <f t="shared" si="62"/>
        <v>-132200</v>
      </c>
      <c r="AM303" s="149">
        <f t="shared" si="57"/>
        <v>-1</v>
      </c>
      <c r="AN303" s="150">
        <f t="shared" si="58"/>
        <v>1322000</v>
      </c>
      <c r="AO303" s="151">
        <f t="shared" si="59"/>
        <v>1</v>
      </c>
      <c r="AP303" s="154">
        <f t="shared" si="63"/>
        <v>132200</v>
      </c>
      <c r="AQ303" s="154"/>
      <c r="AR303" s="786" t="str">
        <f t="shared" si="64"/>
        <v>Vendido</v>
      </c>
      <c r="AS303" s="786" t="str">
        <f t="shared" si="65"/>
        <v>Cliente Atrasado</v>
      </c>
      <c r="AT303" s="174"/>
      <c r="AU303" s="174">
        <f t="shared" si="66"/>
        <v>0</v>
      </c>
      <c r="AV303" s="174">
        <f t="shared" si="67"/>
        <v>0</v>
      </c>
      <c r="AW303" s="173"/>
      <c r="AX303" s="786">
        <f t="shared" si="60"/>
        <v>26</v>
      </c>
      <c r="AY303" s="787">
        <f t="shared" si="68"/>
        <v>15</v>
      </c>
      <c r="AZ303" s="152"/>
      <c r="BA303" s="152"/>
    </row>
    <row r="304" spans="1:53" ht="22.5" customHeight="1" x14ac:dyDescent="0.25">
      <c r="A304" s="93"/>
      <c r="B304" s="164">
        <v>1905</v>
      </c>
      <c r="C304" s="164" t="s">
        <v>363</v>
      </c>
      <c r="D304" s="165" t="s">
        <v>1080</v>
      </c>
      <c r="E304" s="166">
        <v>45300</v>
      </c>
      <c r="F304" s="164" t="s">
        <v>463</v>
      </c>
      <c r="G304" s="164" t="s">
        <v>128</v>
      </c>
      <c r="H304" s="167">
        <v>1365000</v>
      </c>
      <c r="I304" s="167">
        <f>+H304*0.1</f>
        <v>136500</v>
      </c>
      <c r="J304" s="121">
        <v>0</v>
      </c>
      <c r="K304" s="121">
        <v>0</v>
      </c>
      <c r="L304" s="121">
        <v>0</v>
      </c>
      <c r="M304" s="121">
        <v>0</v>
      </c>
      <c r="N304" s="121">
        <v>0</v>
      </c>
      <c r="O304" s="121">
        <v>0</v>
      </c>
      <c r="P304" s="121">
        <v>0</v>
      </c>
      <c r="Q304" s="121">
        <v>0</v>
      </c>
      <c r="R304" s="121">
        <v>0</v>
      </c>
      <c r="S304" s="121">
        <v>0</v>
      </c>
      <c r="T304" s="121">
        <v>0</v>
      </c>
      <c r="U304" s="121">
        <v>0</v>
      </c>
      <c r="V304" s="121">
        <v>0</v>
      </c>
      <c r="W304" s="121">
        <v>0</v>
      </c>
      <c r="X304" s="121">
        <v>0</v>
      </c>
      <c r="Y304" s="121">
        <v>0</v>
      </c>
      <c r="Z304" s="121">
        <v>0</v>
      </c>
      <c r="AA304" s="121">
        <v>0</v>
      </c>
      <c r="AB304" s="121">
        <v>0</v>
      </c>
      <c r="AC304" s="121">
        <v>0</v>
      </c>
      <c r="AD304" s="121">
        <v>0</v>
      </c>
      <c r="AE304" s="121">
        <v>0</v>
      </c>
      <c r="AF304" s="121">
        <v>0</v>
      </c>
      <c r="AG304" s="121">
        <v>0</v>
      </c>
      <c r="AH304" s="121">
        <v>0</v>
      </c>
      <c r="AI304" s="121">
        <v>0</v>
      </c>
      <c r="AJ304" s="784">
        <f t="shared" si="61"/>
        <v>0</v>
      </c>
      <c r="AK304" s="149">
        <f t="shared" si="56"/>
        <v>0</v>
      </c>
      <c r="AL304" s="150">
        <f t="shared" si="62"/>
        <v>-136500</v>
      </c>
      <c r="AM304" s="149">
        <f t="shared" si="57"/>
        <v>-1</v>
      </c>
      <c r="AN304" s="150">
        <f t="shared" si="58"/>
        <v>1365000</v>
      </c>
      <c r="AO304" s="151">
        <f t="shared" si="59"/>
        <v>1</v>
      </c>
      <c r="AP304" s="154">
        <f t="shared" si="63"/>
        <v>136500</v>
      </c>
      <c r="AQ304" s="154"/>
      <c r="AR304" s="786" t="str">
        <f t="shared" si="64"/>
        <v>Vendido</v>
      </c>
      <c r="AS304" s="786" t="str">
        <f t="shared" si="65"/>
        <v>Cliente Atrasado</v>
      </c>
      <c r="AT304" s="174"/>
      <c r="AU304" s="174">
        <f t="shared" si="66"/>
        <v>0</v>
      </c>
      <c r="AV304" s="174">
        <f t="shared" si="67"/>
        <v>0</v>
      </c>
      <c r="AW304" s="173"/>
      <c r="AX304" s="786">
        <f t="shared" si="60"/>
        <v>26</v>
      </c>
      <c r="AY304" s="787">
        <f t="shared" si="68"/>
        <v>15</v>
      </c>
      <c r="AZ304" s="152"/>
      <c r="BA304" s="152"/>
    </row>
    <row r="305" spans="1:51" ht="15.75" thickBot="1" x14ac:dyDescent="0.3">
      <c r="A305" s="86"/>
      <c r="H305" s="98">
        <f t="shared" ref="H305:AE305" si="69">SUM(H7:H304)</f>
        <v>312302130.68147105</v>
      </c>
      <c r="I305" s="98">
        <f t="shared" si="69"/>
        <v>34241300.733629301</v>
      </c>
      <c r="J305" s="98">
        <f t="shared" si="69"/>
        <v>263970</v>
      </c>
      <c r="K305" s="98">
        <f t="shared" si="69"/>
        <v>199350</v>
      </c>
      <c r="L305" s="98">
        <f t="shared" si="69"/>
        <v>216700</v>
      </c>
      <c r="M305" s="98">
        <f t="shared" si="69"/>
        <v>378974.85</v>
      </c>
      <c r="N305" s="98">
        <f t="shared" si="69"/>
        <v>310589</v>
      </c>
      <c r="O305" s="98">
        <f t="shared" si="69"/>
        <v>588516</v>
      </c>
      <c r="P305" s="98">
        <f t="shared" si="69"/>
        <v>1087077.17</v>
      </c>
      <c r="Q305" s="98">
        <f t="shared" si="69"/>
        <v>352020</v>
      </c>
      <c r="R305" s="98">
        <f t="shared" si="69"/>
        <v>392136</v>
      </c>
      <c r="S305" s="98">
        <f t="shared" si="69"/>
        <v>409522</v>
      </c>
      <c r="T305" s="98">
        <f t="shared" si="69"/>
        <v>490970</v>
      </c>
      <c r="U305" s="98">
        <f t="shared" si="69"/>
        <v>544651</v>
      </c>
      <c r="V305" s="98">
        <f t="shared" si="69"/>
        <v>486601</v>
      </c>
      <c r="W305" s="98">
        <f t="shared" si="69"/>
        <v>644951</v>
      </c>
      <c r="X305" s="98">
        <f t="shared" si="69"/>
        <v>592737</v>
      </c>
      <c r="Y305" s="98">
        <f t="shared" si="69"/>
        <v>668970</v>
      </c>
      <c r="Z305" s="98">
        <f t="shared" si="69"/>
        <v>812625</v>
      </c>
      <c r="AA305" s="98">
        <f t="shared" si="69"/>
        <v>876019.05</v>
      </c>
      <c r="AB305" s="98">
        <f t="shared" si="69"/>
        <v>832915.71</v>
      </c>
      <c r="AC305" s="98">
        <f t="shared" si="69"/>
        <v>1655959.02</v>
      </c>
      <c r="AD305" s="98">
        <f t="shared" si="69"/>
        <v>977393.33000000007</v>
      </c>
      <c r="AE305" s="98">
        <f t="shared" si="69"/>
        <v>1369615.56</v>
      </c>
      <c r="AF305" s="98">
        <f>SUM(AF7:AF304)</f>
        <v>772989.36999999988</v>
      </c>
      <c r="AG305" s="98">
        <f>SUM(AG7:AG304)</f>
        <v>1018054.33</v>
      </c>
      <c r="AH305" s="98">
        <f>SUM(AH7:AH304)</f>
        <v>1024101.33</v>
      </c>
      <c r="AI305" s="98">
        <f>SUM(AI7:AI304)</f>
        <v>180369</v>
      </c>
      <c r="AJ305" s="169">
        <f>SUM(AJ7:AJ304)</f>
        <v>17147776.719999999</v>
      </c>
      <c r="AK305" s="170">
        <f t="shared" si="56"/>
        <v>0.50079221152830522</v>
      </c>
      <c r="AL305" s="169">
        <f>SUM(AL7:AL304)</f>
        <v>-11328111.402520394</v>
      </c>
      <c r="AM305" s="170">
        <f t="shared" si="57"/>
        <v>-0.3308318071981054</v>
      </c>
      <c r="AN305" s="169">
        <f>SUM(AN7:AN304)</f>
        <v>295154353.96147108</v>
      </c>
      <c r="AO305" s="96"/>
      <c r="AP305" s="169">
        <f>SUM(AP7:AP304)</f>
        <v>28475888.122520395</v>
      </c>
      <c r="AQ305" s="169">
        <f>SUM(AQ7:AQ304)</f>
        <v>0</v>
      </c>
      <c r="AR305" s="171"/>
      <c r="AW305" s="88"/>
      <c r="AX305" s="86"/>
      <c r="AY305" s="86"/>
    </row>
    <row r="306" spans="1:51" x14ac:dyDescent="0.25">
      <c r="AH306" s="176"/>
      <c r="AJ306" s="97"/>
      <c r="AK306" s="97"/>
      <c r="AL306" s="97"/>
      <c r="AM306" s="97"/>
      <c r="AP306" s="96"/>
      <c r="AW306" s="88"/>
    </row>
    <row r="307" spans="1:51" x14ac:dyDescent="0.25">
      <c r="I307" s="95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96"/>
      <c r="AW307" s="88"/>
    </row>
    <row r="308" spans="1:51" x14ac:dyDescent="0.25">
      <c r="B308" s="103" t="s">
        <v>719</v>
      </c>
      <c r="I308" s="95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96"/>
      <c r="AW308" s="88"/>
    </row>
    <row r="309" spans="1:51" x14ac:dyDescent="0.25"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W309" s="88"/>
    </row>
    <row r="310" spans="1:51" x14ac:dyDescent="0.25">
      <c r="B310" s="91">
        <v>416</v>
      </c>
      <c r="C310" s="91"/>
      <c r="D310" s="102" t="s">
        <v>730</v>
      </c>
      <c r="E310" s="92"/>
      <c r="F310" s="91" t="s">
        <v>178</v>
      </c>
      <c r="G310" s="91" t="s">
        <v>374</v>
      </c>
      <c r="H310" s="93">
        <v>726855.42868637398</v>
      </c>
      <c r="I310" s="93">
        <v>72685.542868637407</v>
      </c>
      <c r="J310" s="93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8000</v>
      </c>
      <c r="Q310" s="88">
        <v>0</v>
      </c>
      <c r="R310" s="88">
        <v>5292</v>
      </c>
      <c r="S310" s="88">
        <v>2646</v>
      </c>
      <c r="T310" s="88">
        <v>2646</v>
      </c>
      <c r="U310" s="88">
        <v>0</v>
      </c>
      <c r="V310" s="88">
        <v>0</v>
      </c>
      <c r="W310" s="88">
        <v>0</v>
      </c>
      <c r="X310" s="88">
        <v>0</v>
      </c>
      <c r="Y310" s="88">
        <v>0</v>
      </c>
      <c r="Z310" s="88">
        <v>0</v>
      </c>
      <c r="AA310" s="88">
        <v>0</v>
      </c>
      <c r="AB310" s="88">
        <v>0</v>
      </c>
      <c r="AC310" s="93">
        <v>0</v>
      </c>
      <c r="AD310" s="93">
        <v>0</v>
      </c>
      <c r="AE310" s="93"/>
      <c r="AF310" s="93"/>
      <c r="AG310" s="93"/>
      <c r="AH310" s="93"/>
      <c r="AI310" s="93"/>
      <c r="AJ310" s="94">
        <f>SUM(J310:AD310)</f>
        <v>18584</v>
      </c>
      <c r="AW310" s="88"/>
    </row>
    <row r="311" spans="1:51" x14ac:dyDescent="0.25">
      <c r="B311" s="91">
        <v>707</v>
      </c>
      <c r="C311" s="102" t="s">
        <v>366</v>
      </c>
      <c r="D311" s="102" t="s">
        <v>731</v>
      </c>
      <c r="E311" s="92">
        <v>45153</v>
      </c>
      <c r="F311" s="91" t="s">
        <v>465</v>
      </c>
      <c r="G311" s="91" t="s">
        <v>128</v>
      </c>
      <c r="H311" s="93">
        <v>722900</v>
      </c>
      <c r="I311" s="93">
        <v>72300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6000</v>
      </c>
      <c r="P311" s="88">
        <v>2652</v>
      </c>
      <c r="Q311" s="88">
        <v>2652</v>
      </c>
      <c r="R311" s="88">
        <v>2652</v>
      </c>
      <c r="S311" s="88">
        <v>0</v>
      </c>
      <c r="T311" s="88">
        <v>2652</v>
      </c>
      <c r="U311" s="88">
        <v>0</v>
      </c>
      <c r="V311" s="88">
        <v>0</v>
      </c>
      <c r="W311" s="88">
        <v>5304</v>
      </c>
      <c r="X311" s="88">
        <v>0</v>
      </c>
      <c r="Y311" s="88">
        <v>5304</v>
      </c>
      <c r="Z311" s="88">
        <v>5304</v>
      </c>
      <c r="AA311" s="88">
        <v>0</v>
      </c>
      <c r="AB311" s="88">
        <v>0</v>
      </c>
      <c r="AC311" s="93">
        <v>0</v>
      </c>
      <c r="AD311" s="96">
        <v>0</v>
      </c>
      <c r="AE311" s="96">
        <v>0</v>
      </c>
      <c r="AF311" s="96">
        <v>0</v>
      </c>
      <c r="AG311" s="96">
        <v>0</v>
      </c>
      <c r="AH311" s="96">
        <v>0</v>
      </c>
      <c r="AI311" s="96"/>
      <c r="AJ311" s="94">
        <f t="shared" ref="AJ311" si="70">SUM(J311:AI311)</f>
        <v>32520</v>
      </c>
      <c r="AW311" s="88"/>
    </row>
    <row r="312" spans="1:51" x14ac:dyDescent="0.25">
      <c r="B312" s="91">
        <v>711</v>
      </c>
      <c r="C312" s="102" t="s">
        <v>366</v>
      </c>
      <c r="D312" s="102" t="s">
        <v>732</v>
      </c>
      <c r="E312" s="92">
        <v>45239</v>
      </c>
      <c r="F312" s="91" t="s">
        <v>469</v>
      </c>
      <c r="G312" s="91" t="s">
        <v>128</v>
      </c>
      <c r="H312" s="93">
        <v>1181561.5</v>
      </c>
      <c r="I312" s="93">
        <v>118161.5</v>
      </c>
      <c r="J312" s="93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5500</v>
      </c>
      <c r="S312" s="88">
        <v>5121</v>
      </c>
      <c r="T312" s="88">
        <v>5121</v>
      </c>
      <c r="U312" s="88">
        <v>5121</v>
      </c>
      <c r="V312" s="88">
        <v>5121</v>
      </c>
      <c r="W312" s="88">
        <v>0</v>
      </c>
      <c r="X312" s="88">
        <v>5121</v>
      </c>
      <c r="Y312" s="88">
        <v>5121</v>
      </c>
      <c r="Z312" s="88">
        <v>0</v>
      </c>
      <c r="AA312" s="88">
        <v>0</v>
      </c>
      <c r="AB312" s="88">
        <v>0</v>
      </c>
      <c r="AC312" s="93">
        <v>0</v>
      </c>
      <c r="AD312" s="93">
        <v>0</v>
      </c>
      <c r="AE312" s="93"/>
      <c r="AF312" s="93"/>
      <c r="AG312" s="93"/>
      <c r="AH312" s="93"/>
      <c r="AI312" s="93"/>
      <c r="AJ312" s="94">
        <f>SUM(J312:AD312)</f>
        <v>36226</v>
      </c>
      <c r="AW312" s="88"/>
    </row>
    <row r="313" spans="1:51" x14ac:dyDescent="0.25">
      <c r="B313" s="91">
        <v>1009</v>
      </c>
      <c r="C313" s="102"/>
      <c r="D313" s="102" t="s">
        <v>733</v>
      </c>
      <c r="E313" s="92">
        <v>44930</v>
      </c>
      <c r="F313" s="91" t="s">
        <v>563</v>
      </c>
      <c r="G313" s="91" t="s">
        <v>719</v>
      </c>
      <c r="H313" s="93">
        <v>1515084.48</v>
      </c>
      <c r="I313" s="93">
        <v>152084.48000000001</v>
      </c>
      <c r="K313" s="88">
        <v>12000</v>
      </c>
      <c r="L313" s="88">
        <v>3000</v>
      </c>
      <c r="M313" s="88">
        <v>3000</v>
      </c>
      <c r="N313" s="88">
        <v>0</v>
      </c>
      <c r="O313" s="88">
        <v>0</v>
      </c>
      <c r="P313" s="88">
        <v>6000</v>
      </c>
      <c r="Q313" s="88">
        <v>0</v>
      </c>
      <c r="R313" s="88">
        <v>0</v>
      </c>
      <c r="S313" s="88">
        <v>3000</v>
      </c>
      <c r="T313" s="88">
        <v>3000</v>
      </c>
      <c r="U313" s="88">
        <v>0</v>
      </c>
      <c r="V313" s="88">
        <v>3000</v>
      </c>
      <c r="W313" s="88">
        <v>3000</v>
      </c>
      <c r="X313" s="88">
        <v>0</v>
      </c>
      <c r="Y313" s="88">
        <v>3000</v>
      </c>
      <c r="Z313" s="88">
        <v>0</v>
      </c>
      <c r="AA313" s="88">
        <v>0</v>
      </c>
      <c r="AB313" s="88">
        <v>0</v>
      </c>
      <c r="AC313" s="93">
        <v>0</v>
      </c>
      <c r="AD313" s="96"/>
      <c r="AE313" s="96"/>
      <c r="AF313" s="96"/>
      <c r="AG313" s="96"/>
      <c r="AH313" s="96"/>
      <c r="AI313" s="96"/>
      <c r="AJ313" s="94">
        <f>SUM(J313:AD313)</f>
        <v>39000</v>
      </c>
      <c r="AW313" s="88"/>
    </row>
    <row r="314" spans="1:51" x14ac:dyDescent="0.25">
      <c r="B314" s="91">
        <v>1315</v>
      </c>
      <c r="C314" s="91"/>
      <c r="D314" s="102" t="s">
        <v>734</v>
      </c>
      <c r="E314" s="92"/>
      <c r="F314" s="91" t="s">
        <v>400</v>
      </c>
      <c r="G314" s="91" t="s">
        <v>374</v>
      </c>
      <c r="H314" s="93">
        <v>1072218.69827634</v>
      </c>
      <c r="I314" s="93">
        <v>107221.86982763401</v>
      </c>
      <c r="J314" s="93">
        <v>0</v>
      </c>
      <c r="K314" s="88">
        <v>0</v>
      </c>
      <c r="L314" s="88">
        <v>0</v>
      </c>
      <c r="M314" s="88">
        <v>6000</v>
      </c>
      <c r="N314" s="88">
        <v>3100</v>
      </c>
      <c r="O314" s="88">
        <v>3100</v>
      </c>
      <c r="P314" s="88">
        <v>3100</v>
      </c>
      <c r="Q314" s="88">
        <v>3100</v>
      </c>
      <c r="R314" s="88">
        <v>0</v>
      </c>
      <c r="S314" s="88">
        <v>3100</v>
      </c>
      <c r="T314" s="88">
        <v>0</v>
      </c>
      <c r="U314" s="88">
        <v>0</v>
      </c>
      <c r="V314" s="88">
        <v>0</v>
      </c>
      <c r="W314" s="88">
        <v>3100</v>
      </c>
      <c r="X314" s="88">
        <v>3100</v>
      </c>
      <c r="Y314" s="88">
        <v>0</v>
      </c>
      <c r="Z314" s="88">
        <v>0</v>
      </c>
      <c r="AA314" s="88">
        <v>0</v>
      </c>
      <c r="AB314" s="88">
        <v>0</v>
      </c>
      <c r="AC314" s="93">
        <v>0</v>
      </c>
      <c r="AD314" s="93">
        <v>0</v>
      </c>
      <c r="AE314" s="93"/>
      <c r="AF314" s="93"/>
      <c r="AG314" s="93"/>
      <c r="AH314" s="93"/>
      <c r="AI314" s="93"/>
      <c r="AJ314" s="94">
        <f>SUM(J314:AD314)</f>
        <v>27700</v>
      </c>
      <c r="AW314" s="88"/>
    </row>
    <row r="315" spans="1:51" x14ac:dyDescent="0.25">
      <c r="B315" s="91">
        <v>1501</v>
      </c>
      <c r="C315" s="102" t="s">
        <v>366</v>
      </c>
      <c r="D315" s="102" t="s">
        <v>735</v>
      </c>
      <c r="E315" s="92">
        <v>45135</v>
      </c>
      <c r="F315" s="91" t="s">
        <v>662</v>
      </c>
      <c r="G315" s="91" t="s">
        <v>128</v>
      </c>
      <c r="H315" s="93">
        <v>1231200</v>
      </c>
      <c r="I315" s="93">
        <v>123200</v>
      </c>
      <c r="J315" s="93">
        <v>0</v>
      </c>
      <c r="K315" s="88">
        <v>0</v>
      </c>
      <c r="L315" s="88">
        <v>0</v>
      </c>
      <c r="M315" s="88">
        <v>0</v>
      </c>
      <c r="N315" s="88">
        <v>6000</v>
      </c>
      <c r="O315" s="88">
        <v>4500</v>
      </c>
      <c r="P315" s="88">
        <v>4500</v>
      </c>
      <c r="Q315" s="88">
        <v>4500</v>
      </c>
      <c r="R315" s="88">
        <v>4500</v>
      </c>
      <c r="S315" s="88">
        <v>4500</v>
      </c>
      <c r="T315" s="88">
        <v>19500</v>
      </c>
      <c r="U315" s="88">
        <v>0</v>
      </c>
      <c r="V315" s="88">
        <v>4500</v>
      </c>
      <c r="W315" s="88">
        <v>4500</v>
      </c>
      <c r="X315" s="88">
        <v>4500</v>
      </c>
      <c r="Y315" s="88">
        <v>4500</v>
      </c>
      <c r="Z315" s="88">
        <v>4500</v>
      </c>
      <c r="AA315" s="88">
        <v>0</v>
      </c>
      <c r="AB315" s="88">
        <v>0</v>
      </c>
      <c r="AC315" s="93">
        <v>0</v>
      </c>
      <c r="AD315" s="93">
        <v>4500</v>
      </c>
      <c r="AE315" s="93">
        <v>4500</v>
      </c>
      <c r="AF315" s="93">
        <v>4000</v>
      </c>
      <c r="AG315" s="93">
        <v>3500</v>
      </c>
      <c r="AH315" s="93"/>
      <c r="AI315" s="93"/>
      <c r="AJ315" s="94">
        <f>SUM(J315:AG315)</f>
        <v>87000</v>
      </c>
      <c r="AK315" s="88"/>
      <c r="AL315" s="88"/>
      <c r="AM315" s="88"/>
      <c r="AN315" s="88"/>
      <c r="AW315" s="88"/>
    </row>
    <row r="316" spans="1:51" x14ac:dyDescent="0.25">
      <c r="B316" s="91">
        <v>1020</v>
      </c>
      <c r="C316" s="120" t="s">
        <v>423</v>
      </c>
      <c r="D316" s="102" t="s">
        <v>736</v>
      </c>
      <c r="E316" s="92">
        <v>45626</v>
      </c>
      <c r="F316" s="91" t="s">
        <v>186</v>
      </c>
      <c r="G316" s="91" t="s">
        <v>128</v>
      </c>
      <c r="H316" s="93">
        <f>903785.86+356211.52</f>
        <v>1259997.3799999999</v>
      </c>
      <c r="I316" s="93">
        <v>125997.37</v>
      </c>
      <c r="J316" s="93">
        <v>0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  <c r="X316" s="88">
        <v>0</v>
      </c>
      <c r="Y316" s="88">
        <v>0</v>
      </c>
      <c r="Z316" s="88">
        <v>0</v>
      </c>
      <c r="AA316" s="88">
        <v>0</v>
      </c>
      <c r="AB316" s="88">
        <v>0</v>
      </c>
      <c r="AC316" s="93">
        <v>0</v>
      </c>
      <c r="AD316" s="93">
        <v>10000</v>
      </c>
      <c r="AE316" s="93"/>
      <c r="AF316" s="93"/>
      <c r="AG316" s="93"/>
      <c r="AH316" s="93"/>
      <c r="AI316" s="93"/>
      <c r="AJ316" s="94">
        <f>SUM(J316:AG316)</f>
        <v>10000</v>
      </c>
      <c r="AW316" s="88"/>
    </row>
    <row r="317" spans="1:51" x14ac:dyDescent="0.25">
      <c r="B317" s="91">
        <v>1114</v>
      </c>
      <c r="C317" s="102" t="s">
        <v>366</v>
      </c>
      <c r="D317" s="102" t="s">
        <v>737</v>
      </c>
      <c r="E317" s="92">
        <v>45065</v>
      </c>
      <c r="F317" s="91" t="s">
        <v>611</v>
      </c>
      <c r="G317" s="91" t="s">
        <v>128</v>
      </c>
      <c r="H317" s="93">
        <v>748092.41</v>
      </c>
      <c r="I317" s="93">
        <v>74892.41</v>
      </c>
      <c r="J317" s="93">
        <v>0</v>
      </c>
      <c r="K317" s="88">
        <v>0</v>
      </c>
      <c r="L317" s="88">
        <v>6000</v>
      </c>
      <c r="M317" s="88">
        <v>0</v>
      </c>
      <c r="N317" s="88"/>
      <c r="O317" s="88"/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  <c r="X317" s="88"/>
      <c r="Y317" s="88">
        <v>0</v>
      </c>
      <c r="Z317" s="88"/>
      <c r="AA317" s="88"/>
      <c r="AB317" s="88">
        <v>0</v>
      </c>
      <c r="AC317" s="93"/>
      <c r="AD317" s="93"/>
      <c r="AE317" s="93"/>
      <c r="AF317" s="93"/>
      <c r="AG317" s="93"/>
      <c r="AH317" s="93"/>
      <c r="AI317" s="93"/>
      <c r="AJ317" s="94">
        <f t="shared" ref="AJ317:AJ319" si="71">SUM(J317:AG317)</f>
        <v>6000</v>
      </c>
      <c r="AW317" s="88"/>
    </row>
    <row r="318" spans="1:51" x14ac:dyDescent="0.25">
      <c r="B318" s="91">
        <v>1114</v>
      </c>
      <c r="C318" s="102" t="s">
        <v>366</v>
      </c>
      <c r="D318" s="102" t="s">
        <v>738</v>
      </c>
      <c r="E318" s="92">
        <v>45440</v>
      </c>
      <c r="F318" s="91" t="s">
        <v>611</v>
      </c>
      <c r="G318" s="91" t="s">
        <v>128</v>
      </c>
      <c r="H318" s="93">
        <v>748092.41</v>
      </c>
      <c r="I318" s="93">
        <v>74892.41</v>
      </c>
      <c r="J318" s="93">
        <v>0</v>
      </c>
      <c r="K318" s="88">
        <v>0</v>
      </c>
      <c r="L318" s="88"/>
      <c r="M318" s="88">
        <v>0</v>
      </c>
      <c r="N318" s="88">
        <v>6000</v>
      </c>
      <c r="O318" s="88">
        <v>2650</v>
      </c>
      <c r="P318" s="88">
        <v>2650</v>
      </c>
      <c r="Q318" s="88">
        <v>2650</v>
      </c>
      <c r="R318" s="88">
        <v>2650</v>
      </c>
      <c r="S318" s="88"/>
      <c r="T318" s="88">
        <v>0</v>
      </c>
      <c r="U318" s="88">
        <v>0</v>
      </c>
      <c r="V318" s="88">
        <v>0</v>
      </c>
      <c r="W318" s="88">
        <v>0</v>
      </c>
      <c r="X318" s="88"/>
      <c r="Y318" s="88">
        <v>0</v>
      </c>
      <c r="Z318" s="88"/>
      <c r="AA318" s="88"/>
      <c r="AB318" s="88">
        <v>0</v>
      </c>
      <c r="AC318" s="93"/>
      <c r="AD318" s="93"/>
      <c r="AE318" s="93"/>
      <c r="AF318" s="93"/>
      <c r="AG318" s="93"/>
      <c r="AH318" s="93"/>
      <c r="AI318" s="93"/>
      <c r="AJ318" s="94">
        <f t="shared" si="71"/>
        <v>16600</v>
      </c>
      <c r="AW318" s="88"/>
    </row>
    <row r="319" spans="1:51" x14ac:dyDescent="0.25">
      <c r="B319" s="91">
        <v>1410</v>
      </c>
      <c r="C319" s="91" t="s">
        <v>1081</v>
      </c>
      <c r="D319" s="102" t="s">
        <v>739</v>
      </c>
      <c r="E319" s="92">
        <v>45012</v>
      </c>
      <c r="F319" s="91" t="s">
        <v>175</v>
      </c>
      <c r="G319" s="91" t="s">
        <v>128</v>
      </c>
      <c r="H319" s="93">
        <v>845100</v>
      </c>
      <c r="I319" s="93">
        <v>84600</v>
      </c>
      <c r="J319" s="93">
        <v>6000</v>
      </c>
      <c r="K319" s="88">
        <v>2200</v>
      </c>
      <c r="L319" s="88">
        <v>2200</v>
      </c>
      <c r="M319" s="88">
        <v>2200</v>
      </c>
      <c r="N319" s="88">
        <v>0</v>
      </c>
      <c r="O319" s="88">
        <v>2200</v>
      </c>
      <c r="P319" s="88">
        <v>2200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  <c r="X319" s="88">
        <v>0</v>
      </c>
      <c r="Y319" s="88">
        <v>0</v>
      </c>
      <c r="Z319" s="88">
        <v>0</v>
      </c>
      <c r="AA319" s="88">
        <v>0</v>
      </c>
      <c r="AB319" s="88">
        <v>0</v>
      </c>
      <c r="AC319" s="93">
        <v>0</v>
      </c>
      <c r="AD319" s="93">
        <v>0</v>
      </c>
      <c r="AE319" s="93">
        <v>0</v>
      </c>
      <c r="AF319" s="93"/>
      <c r="AG319" s="93"/>
      <c r="AH319" s="93"/>
      <c r="AI319" s="93"/>
      <c r="AJ319" s="94">
        <f t="shared" si="71"/>
        <v>17000</v>
      </c>
      <c r="AW319" s="88"/>
    </row>
    <row r="320" spans="1:51" x14ac:dyDescent="0.25">
      <c r="AW320" s="88"/>
    </row>
    <row r="321" spans="49:49" x14ac:dyDescent="0.25">
      <c r="AW321" s="88"/>
    </row>
    <row r="322" spans="49:49" x14ac:dyDescent="0.25">
      <c r="AW322" s="88"/>
    </row>
    <row r="323" spans="49:49" x14ac:dyDescent="0.25">
      <c r="AW323" s="88"/>
    </row>
    <row r="324" spans="49:49" x14ac:dyDescent="0.25">
      <c r="AW324" s="88"/>
    </row>
    <row r="325" spans="49:49" x14ac:dyDescent="0.25">
      <c r="AW325" s="88"/>
    </row>
    <row r="326" spans="49:49" x14ac:dyDescent="0.25">
      <c r="AW326" s="88"/>
    </row>
    <row r="327" spans="49:49" x14ac:dyDescent="0.25">
      <c r="AW327" s="88"/>
    </row>
    <row r="328" spans="49:49" x14ac:dyDescent="0.25">
      <c r="AW328" s="88"/>
    </row>
    <row r="329" spans="49:49" x14ac:dyDescent="0.25">
      <c r="AW329" s="88"/>
    </row>
    <row r="330" spans="49:49" x14ac:dyDescent="0.25">
      <c r="AW330" s="88"/>
    </row>
    <row r="331" spans="49:49" x14ac:dyDescent="0.25">
      <c r="AW331" s="88"/>
    </row>
    <row r="332" spans="49:49" x14ac:dyDescent="0.25">
      <c r="AW332" s="88"/>
    </row>
    <row r="333" spans="49:49" x14ac:dyDescent="0.25">
      <c r="AW333" s="88"/>
    </row>
    <row r="334" spans="49:49" x14ac:dyDescent="0.25">
      <c r="AW334" s="88"/>
    </row>
    <row r="335" spans="49:49" x14ac:dyDescent="0.25">
      <c r="AW335" s="88"/>
    </row>
    <row r="336" spans="49:49" x14ac:dyDescent="0.25">
      <c r="AW336" s="88"/>
    </row>
    <row r="337" spans="49:49" x14ac:dyDescent="0.25">
      <c r="AW337" s="88"/>
    </row>
    <row r="338" spans="49:49" x14ac:dyDescent="0.25">
      <c r="AW338" s="88"/>
    </row>
    <row r="339" spans="49:49" x14ac:dyDescent="0.25">
      <c r="AW339" s="88"/>
    </row>
  </sheetData>
  <autoFilter ref="B6:AZ308" xr:uid="{3E3FEFF6-C9CF-497F-9530-9F1C3C558EC6}"/>
  <conditionalFormatting sqref="J7:AG7">
    <cfRule type="cellIs" dxfId="29" priority="10" operator="lessThan">
      <formula>0.01</formula>
    </cfRule>
  </conditionalFormatting>
  <conditionalFormatting sqref="J8:AI304">
    <cfRule type="cellIs" dxfId="28" priority="11" operator="lessThan">
      <formula>0.01</formula>
    </cfRule>
  </conditionalFormatting>
  <conditionalFormatting sqref="AI7">
    <cfRule type="cellIs" dxfId="27" priority="12" operator="lessThan">
      <formula>0.01</formula>
    </cfRule>
  </conditionalFormatting>
  <conditionalFormatting sqref="AJ7:AJ30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{8E1CFB0D-98B7-462D-A7D1-F408E307B861}</x14:id>
        </ext>
      </extLst>
    </cfRule>
  </conditionalFormatting>
  <conditionalFormatting sqref="AS7:AS304">
    <cfRule type="containsText" dxfId="26" priority="6" operator="containsText" text="Superávit de Enganche">
      <formula>NOT(ISERROR(SEARCH("Superávit de Enganche",AS7)))</formula>
    </cfRule>
    <cfRule type="containsText" dxfId="25" priority="7" operator="containsText" text="Enganche Completado">
      <formula>NOT(ISERROR(SEARCH("Enganche Completado",AS7)))</formula>
    </cfRule>
    <cfRule type="containsText" dxfId="24" priority="8" operator="containsText" text="Cliente Atrasado">
      <formula>NOT(ISERROR(SEARCH("Cliente Atrasado",AS7)))</formula>
    </cfRule>
  </conditionalFormatting>
  <pageMargins left="0.7" right="0.7" top="0.75" bottom="0.75" header="0.3" footer="0.3"/>
  <pageSetup paperSize="9" orientation="portrait" r:id="rId1"/>
  <ignoredErrors>
    <ignoredError sqref="AI305 AJ7:AJ305 AX8:AX30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CFB0D-98B7-462D-A7D1-F408E307B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AJ7:AJ304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4995-71D5-4604-A69B-F25027158DCC}">
  <sheetPr>
    <tabColor rgb="FF92D050"/>
  </sheetPr>
  <dimension ref="A1:CG244"/>
  <sheetViews>
    <sheetView showGridLines="0" zoomScale="95" zoomScaleNormal="80" workbookViewId="0">
      <pane ySplit="7" topLeftCell="A77" activePane="bottomLeft" state="frozen"/>
      <selection pane="bottomLeft" activeCell="A3" sqref="A3:XFD5"/>
    </sheetView>
  </sheetViews>
  <sheetFormatPr defaultColWidth="11" defaultRowHeight="15" customHeight="1" outlineLevelCol="1" x14ac:dyDescent="0.25"/>
  <cols>
    <col min="1" max="1" width="7.7109375" style="637" customWidth="1"/>
    <col min="2" max="2" width="5.5703125" style="86" customWidth="1"/>
    <col min="3" max="3" width="4.42578125" style="86" customWidth="1"/>
    <col min="4" max="4" width="3.5703125" style="86" customWidth="1"/>
    <col min="5" max="5" width="3.7109375" style="86" customWidth="1"/>
    <col min="6" max="6" width="9" style="86" customWidth="1"/>
    <col min="7" max="7" width="6.28515625" style="86" customWidth="1" outlineLevel="1"/>
    <col min="8" max="8" width="6" style="86" customWidth="1" outlineLevel="1"/>
    <col min="9" max="9" width="14" style="86" customWidth="1" outlineLevel="1"/>
    <col min="10" max="10" width="33.85546875" style="86" customWidth="1"/>
    <col min="11" max="12" width="14.7109375" style="86" customWidth="1" outlineLevel="1"/>
    <col min="13" max="13" width="15.7109375" style="88" customWidth="1" outlineLevel="1"/>
    <col min="14" max="14" width="14.7109375" style="88" customWidth="1"/>
    <col min="15" max="15" width="15.7109375" style="88" customWidth="1" outlineLevel="1"/>
    <col min="16" max="20" width="15.7109375" style="86" customWidth="1" outlineLevel="1"/>
    <col min="21" max="21" width="18.140625" style="86" customWidth="1" outlineLevel="1"/>
    <col min="22" max="23" width="15.7109375" style="86" customWidth="1" outlineLevel="1"/>
    <col min="24" max="24" width="13.7109375" style="86" customWidth="1"/>
    <col min="25" max="30" width="15.7109375" style="86" customWidth="1" outlineLevel="1"/>
    <col min="31" max="31" width="13.7109375" style="86" customWidth="1" outlineLevel="1"/>
    <col min="32" max="33" width="15.7109375" style="86" customWidth="1" outlineLevel="1"/>
    <col min="34" max="35" width="18.140625" style="86" customWidth="1" outlineLevel="1"/>
    <col min="36" max="36" width="13.7109375" style="86" customWidth="1"/>
    <col min="37" max="41" width="13.7109375" style="86" customWidth="1" outlineLevel="1"/>
    <col min="42" max="42" width="13.7109375" style="86" customWidth="1"/>
    <col min="43" max="47" width="13.7109375" style="86" customWidth="1" outlineLevel="1"/>
    <col min="48" max="50" width="13.7109375" style="86" customWidth="1"/>
    <col min="51" max="51" width="8.7109375" style="86" customWidth="1"/>
    <col min="52" max="52" width="14" style="86" bestFit="1" customWidth="1"/>
    <col min="53" max="53" width="13.7109375" style="86" customWidth="1"/>
    <col min="54" max="54" width="15" style="86" bestFit="1" customWidth="1"/>
    <col min="55" max="55" width="8.7109375" style="86" customWidth="1"/>
    <col min="56" max="56" width="13.7109375" style="86" customWidth="1"/>
    <col min="57" max="57" width="25.28515625" style="86" customWidth="1"/>
    <col min="58" max="58" width="22.7109375" style="86" customWidth="1"/>
    <col min="59" max="60" width="9.140625" style="86" customWidth="1"/>
    <col min="61" max="61" width="11" style="104" customWidth="1"/>
    <col min="62" max="62" width="12.42578125" style="86" customWidth="1"/>
    <col min="63" max="63" width="11" style="86" customWidth="1"/>
    <col min="64" max="64" width="11" style="86"/>
    <col min="65" max="65" width="19.28515625" style="86" customWidth="1"/>
    <col min="66" max="66" width="13" style="86" customWidth="1"/>
    <col min="67" max="67" width="12.7109375" style="86" customWidth="1"/>
    <col min="68" max="68" width="14.28515625" style="86" customWidth="1"/>
    <col min="69" max="69" width="11" style="86"/>
    <col min="70" max="70" width="13.28515625" style="86" customWidth="1"/>
    <col min="71" max="71" width="13.7109375" style="86" bestFit="1" customWidth="1"/>
    <col min="72" max="73" width="11" style="86"/>
    <col min="74" max="74" width="42.7109375" style="86" bestFit="1" customWidth="1"/>
    <col min="75" max="16384" width="11" style="86"/>
  </cols>
  <sheetData>
    <row r="1" spans="1:74" ht="24" x14ac:dyDescent="0.4">
      <c r="A1" s="87" t="s">
        <v>149</v>
      </c>
      <c r="G1" s="87"/>
      <c r="H1" s="87"/>
      <c r="BI1" s="86"/>
      <c r="BL1" s="104"/>
      <c r="BM1" s="104"/>
      <c r="BN1" s="104"/>
      <c r="BO1" s="104"/>
      <c r="BP1" s="104"/>
      <c r="BQ1" s="104"/>
      <c r="BR1" s="104"/>
      <c r="BS1" s="104"/>
    </row>
    <row r="2" spans="1:74" ht="18.75" x14ac:dyDescent="0.3">
      <c r="A2" s="89" t="s">
        <v>904</v>
      </c>
      <c r="G2" s="89"/>
      <c r="H2" s="89"/>
      <c r="BI2" s="86"/>
      <c r="BL2" s="104"/>
      <c r="BM2" s="104"/>
      <c r="BN2" s="104"/>
      <c r="BO2" s="104"/>
      <c r="BP2" s="104"/>
      <c r="BQ2" s="104"/>
      <c r="BR2" s="104"/>
      <c r="BS2" s="104"/>
    </row>
    <row r="3" spans="1:74" x14ac:dyDescent="0.25">
      <c r="A3" s="427" t="str">
        <f>"REPORTE DE RESERVAS Y COBROS AL "&amp;UPPER(TEXT(AU7,"dd mmmm yyyy"))</f>
        <v>REPORTE DE RESERVAS Y COBROS AL 30 NOVIEMBRE 2025</v>
      </c>
      <c r="BI3" s="86"/>
      <c r="BL3" s="104"/>
      <c r="BM3" s="104"/>
      <c r="BN3" s="104"/>
      <c r="BO3" s="104"/>
      <c r="BP3" s="104"/>
      <c r="BQ3" s="104"/>
      <c r="BR3" s="104"/>
      <c r="BS3" s="104"/>
    </row>
    <row r="4" spans="1:74" hidden="1" x14ac:dyDescent="0.25">
      <c r="O4" s="88">
        <v>44</v>
      </c>
      <c r="P4" s="86">
        <v>45</v>
      </c>
      <c r="Q4" s="86">
        <f>+P4+1</f>
        <v>46</v>
      </c>
      <c r="R4" s="86">
        <f t="shared" ref="R4:AH4" si="0">+Q4+1</f>
        <v>47</v>
      </c>
      <c r="S4" s="86">
        <f t="shared" si="0"/>
        <v>48</v>
      </c>
      <c r="T4" s="86">
        <f t="shared" si="0"/>
        <v>49</v>
      </c>
      <c r="U4" s="86">
        <f t="shared" si="0"/>
        <v>50</v>
      </c>
      <c r="V4" s="86">
        <f t="shared" si="0"/>
        <v>51</v>
      </c>
      <c r="W4" s="86">
        <f t="shared" si="0"/>
        <v>52</v>
      </c>
      <c r="X4" s="86">
        <f t="shared" si="0"/>
        <v>53</v>
      </c>
      <c r="Y4" s="86">
        <f t="shared" si="0"/>
        <v>54</v>
      </c>
      <c r="Z4" s="86">
        <f t="shared" si="0"/>
        <v>55</v>
      </c>
      <c r="AA4" s="86">
        <f t="shared" si="0"/>
        <v>56</v>
      </c>
      <c r="AB4" s="86">
        <f t="shared" si="0"/>
        <v>57</v>
      </c>
      <c r="AC4" s="86">
        <f t="shared" si="0"/>
        <v>58</v>
      </c>
      <c r="AD4" s="86">
        <f t="shared" si="0"/>
        <v>59</v>
      </c>
      <c r="AE4" s="86">
        <f t="shared" si="0"/>
        <v>60</v>
      </c>
      <c r="AF4" s="86">
        <f t="shared" si="0"/>
        <v>61</v>
      </c>
      <c r="AG4" s="86">
        <f t="shared" si="0"/>
        <v>62</v>
      </c>
      <c r="AH4" s="86">
        <f t="shared" si="0"/>
        <v>63</v>
      </c>
      <c r="BD4" s="86" t="s">
        <v>906</v>
      </c>
      <c r="BF4" s="86" t="s">
        <v>906</v>
      </c>
      <c r="BI4" s="86"/>
      <c r="BL4" s="104"/>
      <c r="BM4" s="104"/>
      <c r="BN4" s="104"/>
      <c r="BO4" s="104"/>
      <c r="BP4" s="104"/>
      <c r="BQ4" s="104"/>
      <c r="BR4" s="104"/>
      <c r="BS4" s="104"/>
    </row>
    <row r="5" spans="1:74" x14ac:dyDescent="0.25">
      <c r="BI5" s="86"/>
      <c r="BL5" s="104"/>
      <c r="BM5" s="104"/>
      <c r="BN5" s="104"/>
      <c r="BO5" s="104"/>
      <c r="BP5" s="104"/>
      <c r="BQ5" s="104"/>
      <c r="BR5" s="104"/>
      <c r="BS5" s="104"/>
    </row>
    <row r="6" spans="1:74" s="330" customFormat="1" ht="12" x14ac:dyDescent="0.2">
      <c r="A6" s="637"/>
      <c r="B6" s="688"/>
      <c r="C6" s="688"/>
      <c r="D6" s="688"/>
      <c r="E6" s="688"/>
      <c r="F6" s="664">
        <v>1</v>
      </c>
      <c r="G6" s="664">
        <f t="shared" ref="G6:AU6" si="1">+F6+1</f>
        <v>2</v>
      </c>
      <c r="H6" s="664">
        <f t="shared" si="1"/>
        <v>3</v>
      </c>
      <c r="I6" s="664">
        <f t="shared" si="1"/>
        <v>4</v>
      </c>
      <c r="J6" s="664">
        <f t="shared" si="1"/>
        <v>5</v>
      </c>
      <c r="K6" s="664">
        <f t="shared" si="1"/>
        <v>6</v>
      </c>
      <c r="L6" s="689">
        <f t="shared" si="1"/>
        <v>7</v>
      </c>
      <c r="M6" s="664">
        <f t="shared" si="1"/>
        <v>8</v>
      </c>
      <c r="N6" s="664">
        <f t="shared" si="1"/>
        <v>9</v>
      </c>
      <c r="O6" s="664">
        <f t="shared" si="1"/>
        <v>10</v>
      </c>
      <c r="P6" s="664">
        <f t="shared" si="1"/>
        <v>11</v>
      </c>
      <c r="Q6" s="664">
        <f t="shared" si="1"/>
        <v>12</v>
      </c>
      <c r="R6" s="664">
        <f t="shared" si="1"/>
        <v>13</v>
      </c>
      <c r="S6" s="664">
        <f t="shared" si="1"/>
        <v>14</v>
      </c>
      <c r="T6" s="664">
        <f t="shared" si="1"/>
        <v>15</v>
      </c>
      <c r="U6" s="664">
        <f t="shared" si="1"/>
        <v>16</v>
      </c>
      <c r="V6" s="664">
        <f t="shared" si="1"/>
        <v>17</v>
      </c>
      <c r="W6" s="664">
        <f t="shared" si="1"/>
        <v>18</v>
      </c>
      <c r="X6" s="664">
        <f t="shared" si="1"/>
        <v>19</v>
      </c>
      <c r="Y6" s="664">
        <f t="shared" si="1"/>
        <v>20</v>
      </c>
      <c r="Z6" s="664">
        <f t="shared" si="1"/>
        <v>21</v>
      </c>
      <c r="AA6" s="664">
        <f t="shared" si="1"/>
        <v>22</v>
      </c>
      <c r="AB6" s="664">
        <f t="shared" si="1"/>
        <v>23</v>
      </c>
      <c r="AC6" s="664">
        <f t="shared" si="1"/>
        <v>24</v>
      </c>
      <c r="AD6" s="664">
        <f t="shared" si="1"/>
        <v>25</v>
      </c>
      <c r="AE6" s="664">
        <f t="shared" si="1"/>
        <v>26</v>
      </c>
      <c r="AF6" s="664">
        <f t="shared" si="1"/>
        <v>27</v>
      </c>
      <c r="AG6" s="664">
        <f t="shared" si="1"/>
        <v>28</v>
      </c>
      <c r="AH6" s="664">
        <f t="shared" si="1"/>
        <v>29</v>
      </c>
      <c r="AI6" s="664">
        <f t="shared" si="1"/>
        <v>30</v>
      </c>
      <c r="AJ6" s="664">
        <f t="shared" si="1"/>
        <v>31</v>
      </c>
      <c r="AK6" s="664">
        <f t="shared" si="1"/>
        <v>32</v>
      </c>
      <c r="AL6" s="664">
        <f t="shared" si="1"/>
        <v>33</v>
      </c>
      <c r="AM6" s="664">
        <f t="shared" si="1"/>
        <v>34</v>
      </c>
      <c r="AN6" s="664">
        <f t="shared" si="1"/>
        <v>35</v>
      </c>
      <c r="AO6" s="664">
        <f t="shared" si="1"/>
        <v>36</v>
      </c>
      <c r="AP6" s="664">
        <f t="shared" si="1"/>
        <v>37</v>
      </c>
      <c r="AQ6" s="664">
        <f t="shared" si="1"/>
        <v>38</v>
      </c>
      <c r="AR6" s="664">
        <f t="shared" si="1"/>
        <v>39</v>
      </c>
      <c r="AS6" s="664">
        <f t="shared" si="1"/>
        <v>40</v>
      </c>
      <c r="AT6" s="664">
        <f t="shared" si="1"/>
        <v>41</v>
      </c>
      <c r="AU6" s="664">
        <f t="shared" si="1"/>
        <v>42</v>
      </c>
      <c r="AV6" s="664">
        <f t="shared" ref="AV6" si="2">+AU6+1</f>
        <v>43</v>
      </c>
      <c r="AW6" s="664">
        <f t="shared" ref="AW6" si="3">+AV6+1</f>
        <v>44</v>
      </c>
      <c r="BL6" s="690"/>
      <c r="BM6" s="690"/>
      <c r="BN6" s="690"/>
      <c r="BO6" s="690"/>
      <c r="BP6" s="690"/>
      <c r="BQ6" s="690"/>
      <c r="BR6" s="690"/>
      <c r="BS6" s="690"/>
    </row>
    <row r="7" spans="1:74" s="328" customFormat="1" ht="40.15" customHeight="1" x14ac:dyDescent="0.25">
      <c r="A7" s="847" t="s">
        <v>1082</v>
      </c>
      <c r="B7" s="328" t="s">
        <v>1083</v>
      </c>
      <c r="F7" s="629" t="s">
        <v>62</v>
      </c>
      <c r="G7" s="629" t="s">
        <v>144</v>
      </c>
      <c r="H7" s="629" t="s">
        <v>63</v>
      </c>
      <c r="I7" s="629" t="s">
        <v>65</v>
      </c>
      <c r="J7" s="629" t="s">
        <v>66</v>
      </c>
      <c r="K7" s="629" t="s">
        <v>67</v>
      </c>
      <c r="L7" s="629" t="s">
        <v>68</v>
      </c>
      <c r="M7" s="629" t="s">
        <v>69</v>
      </c>
      <c r="N7" s="629" t="s">
        <v>70</v>
      </c>
      <c r="O7" s="630">
        <v>45016</v>
      </c>
      <c r="P7" s="630">
        <v>45046</v>
      </c>
      <c r="Q7" s="630">
        <v>45077</v>
      </c>
      <c r="R7" s="630">
        <v>45107</v>
      </c>
      <c r="S7" s="630">
        <v>45138</v>
      </c>
      <c r="T7" s="630">
        <v>45169</v>
      </c>
      <c r="U7" s="630">
        <v>45199</v>
      </c>
      <c r="V7" s="630">
        <v>45230</v>
      </c>
      <c r="W7" s="630">
        <v>45260</v>
      </c>
      <c r="X7" s="630">
        <v>45291</v>
      </c>
      <c r="Y7" s="630">
        <v>45322</v>
      </c>
      <c r="Z7" s="630">
        <v>45351</v>
      </c>
      <c r="AA7" s="630">
        <v>45382</v>
      </c>
      <c r="AB7" s="630">
        <v>45412</v>
      </c>
      <c r="AC7" s="630">
        <v>45443</v>
      </c>
      <c r="AD7" s="630">
        <v>45473</v>
      </c>
      <c r="AE7" s="630">
        <v>45504</v>
      </c>
      <c r="AF7" s="630">
        <v>45535</v>
      </c>
      <c r="AG7" s="630">
        <v>45565</v>
      </c>
      <c r="AH7" s="630">
        <v>45596</v>
      </c>
      <c r="AI7" s="630">
        <v>45626</v>
      </c>
      <c r="AJ7" s="630">
        <v>45657</v>
      </c>
      <c r="AK7" s="630">
        <v>45688</v>
      </c>
      <c r="AL7" s="630">
        <v>45716</v>
      </c>
      <c r="AM7" s="630">
        <v>45747</v>
      </c>
      <c r="AN7" s="630">
        <v>45777</v>
      </c>
      <c r="AO7" s="630">
        <v>45808</v>
      </c>
      <c r="AP7" s="630">
        <v>45838</v>
      </c>
      <c r="AQ7" s="630">
        <v>45869</v>
      </c>
      <c r="AR7" s="630">
        <v>45900</v>
      </c>
      <c r="AS7" s="630">
        <v>45930</v>
      </c>
      <c r="AT7" s="630">
        <v>45961</v>
      </c>
      <c r="AU7" s="630">
        <v>45991</v>
      </c>
      <c r="AV7" s="630">
        <v>46022</v>
      </c>
      <c r="AW7" s="630">
        <v>46053</v>
      </c>
      <c r="AX7" s="630" t="s">
        <v>101</v>
      </c>
      <c r="AY7" s="630" t="s">
        <v>102</v>
      </c>
      <c r="AZ7" s="629" t="s">
        <v>103</v>
      </c>
      <c r="BA7" s="630" t="s">
        <v>104</v>
      </c>
      <c r="BB7" s="629" t="s">
        <v>105</v>
      </c>
      <c r="BC7" s="630" t="s">
        <v>106</v>
      </c>
      <c r="BD7" s="629" t="s">
        <v>107</v>
      </c>
      <c r="BE7" s="629" t="s">
        <v>108</v>
      </c>
      <c r="BF7" s="629" t="s">
        <v>109</v>
      </c>
      <c r="BG7" s="629" t="s">
        <v>110</v>
      </c>
      <c r="BH7" s="629" t="s">
        <v>111</v>
      </c>
      <c r="BI7" s="629" t="s">
        <v>112</v>
      </c>
      <c r="BJ7" s="629" t="s">
        <v>113</v>
      </c>
      <c r="BK7" s="629" t="s">
        <v>114</v>
      </c>
      <c r="BL7" s="631" t="s">
        <v>115</v>
      </c>
      <c r="BM7" s="631" t="s">
        <v>116</v>
      </c>
      <c r="BN7" s="631" t="s">
        <v>117</v>
      </c>
      <c r="BO7" s="631" t="s">
        <v>118</v>
      </c>
      <c r="BP7" s="631" t="s">
        <v>119</v>
      </c>
      <c r="BQ7" s="631" t="s">
        <v>48</v>
      </c>
      <c r="BR7" s="631" t="s">
        <v>120</v>
      </c>
      <c r="BS7" s="632" t="s">
        <v>121</v>
      </c>
      <c r="BT7" s="631" t="s">
        <v>122</v>
      </c>
      <c r="BU7" s="631" t="s">
        <v>123</v>
      </c>
      <c r="BV7" s="631" t="s">
        <v>124</v>
      </c>
    </row>
    <row r="8" spans="1:74" x14ac:dyDescent="0.25">
      <c r="A8" s="846" t="s">
        <v>1084</v>
      </c>
      <c r="B8" s="86" t="s">
        <v>907</v>
      </c>
      <c r="F8" s="331">
        <v>101</v>
      </c>
      <c r="G8" s="331" t="s">
        <v>145</v>
      </c>
      <c r="H8" s="331" t="s">
        <v>146</v>
      </c>
      <c r="I8" s="331" t="s">
        <v>908</v>
      </c>
      <c r="J8" s="851" t="s">
        <v>909</v>
      </c>
      <c r="K8" s="852">
        <v>45374</v>
      </c>
      <c r="L8" s="331" t="s">
        <v>128</v>
      </c>
      <c r="M8" s="332">
        <v>477700</v>
      </c>
      <c r="N8" s="332">
        <v>24000</v>
      </c>
      <c r="O8" s="333">
        <v>0</v>
      </c>
      <c r="P8" s="333">
        <v>0</v>
      </c>
      <c r="Q8" s="333">
        <v>0</v>
      </c>
      <c r="R8" s="333">
        <v>0</v>
      </c>
      <c r="S8" s="333">
        <v>0</v>
      </c>
      <c r="T8" s="333">
        <v>0</v>
      </c>
      <c r="U8" s="333">
        <v>0</v>
      </c>
      <c r="V8" s="333">
        <v>0</v>
      </c>
      <c r="W8" s="333">
        <v>0</v>
      </c>
      <c r="X8" s="333">
        <v>0</v>
      </c>
      <c r="Y8" s="333">
        <v>0</v>
      </c>
      <c r="Z8" s="333">
        <v>0</v>
      </c>
      <c r="AA8" s="333">
        <v>1500</v>
      </c>
      <c r="AB8" s="333">
        <v>1071.43</v>
      </c>
      <c r="AC8" s="333">
        <v>1071.43</v>
      </c>
      <c r="AD8" s="333">
        <v>925.33</v>
      </c>
      <c r="AE8" s="333">
        <v>1022.73</v>
      </c>
      <c r="AF8" s="333">
        <v>1022.73</v>
      </c>
      <c r="AG8" s="333">
        <v>1022.73</v>
      </c>
      <c r="AH8" s="333">
        <v>1022.73</v>
      </c>
      <c r="AI8" s="333">
        <f>1022.73+1023.73</f>
        <v>2046.46</v>
      </c>
      <c r="AJ8" s="333">
        <v>0</v>
      </c>
      <c r="AK8" s="333">
        <v>1022.73</v>
      </c>
      <c r="AL8" s="333">
        <v>1022.73</v>
      </c>
      <c r="AM8" s="333">
        <f>1022.73+1022.73</f>
        <v>2045.46</v>
      </c>
      <c r="AN8" s="333">
        <v>0</v>
      </c>
      <c r="AO8" s="334">
        <v>1022.73</v>
      </c>
      <c r="AP8" s="335">
        <v>1022.73</v>
      </c>
      <c r="AQ8" s="335">
        <v>1022.73</v>
      </c>
      <c r="AR8" s="335">
        <v>1022.73</v>
      </c>
      <c r="AS8" s="335">
        <v>1022.73</v>
      </c>
      <c r="AT8" s="335">
        <v>1022.73</v>
      </c>
      <c r="AU8" s="335">
        <v>1022.73</v>
      </c>
      <c r="AV8" s="335"/>
      <c r="AW8" s="335">
        <v>1022.73</v>
      </c>
      <c r="AX8" s="352">
        <f>SUM(O8:AW8)</f>
        <v>22978.329999999994</v>
      </c>
      <c r="AY8" s="353">
        <f t="shared" ref="AY8:AY51" si="4">IFERROR((+AX8/N8),0)</f>
        <v>0.9574304166666664</v>
      </c>
      <c r="AZ8" s="352">
        <f t="shared" ref="AZ8:AZ51" si="5">+AX8-BD8</f>
        <v>-1021.6700000000055</v>
      </c>
      <c r="BA8" s="353">
        <f t="shared" ref="BA8:BA51" si="6">+AZ8/N8</f>
        <v>-4.2569583333333563E-2</v>
      </c>
      <c r="BB8" s="354">
        <f t="shared" ref="BB8:BB51" si="7">+M8-AX8</f>
        <v>454721.67</v>
      </c>
      <c r="BC8" s="355">
        <f t="shared" ref="BC8:BC51" si="8">+BB8/M8</f>
        <v>0.95189799037052536</v>
      </c>
      <c r="BD8" s="356">
        <f t="shared" ref="BD8:BD51" si="9">IF(BE8="Vendido",N8*1,IF(BE8="Disponible",N8*0,IF(BE8="Enganche Completado",N8*1,IF(BE8="Superávit de Enganche",N8*1,0))))</f>
        <v>24000</v>
      </c>
      <c r="BE8" s="357" t="str">
        <f t="shared" ref="BE8:BE51" si="10">IF(J8=0,"Apartamento Disponible",IF(J8&gt;1,"Vendido",0))</f>
        <v>Vendido</v>
      </c>
      <c r="BF8" s="357" t="str">
        <f t="shared" ref="BF8:BF51" si="11">IF(AND(BE8="Vendido",K8&gt;=0,BN8&lt;=AX8,AX8&lt;BD8),"Cliente al día",IF(AND(BE8="Vendido",K8&gt;=0,BN8&lt;=AX8,AX8=BD8),"Enganche Completado",IF(AND(BE8="Vendido",K8&gt;=0,BN8&lt;AX8,AX8&gt;BD8),"Superávit de Enganche",IF(AND(BE8="Apartamento Disponible",K8=0,AZ8=0),"Disponible","Cliente Atrasado"))))</f>
        <v>Cliente al día</v>
      </c>
      <c r="BG8" s="358">
        <v>22</v>
      </c>
      <c r="BH8" s="358">
        <f t="shared" ref="BH8:BH15" si="12">IF(BG8&gt;1,1,0)</f>
        <v>1</v>
      </c>
      <c r="BI8" s="358">
        <f t="shared" ref="BI8:BI51" si="13">+BG8+BH8</f>
        <v>23</v>
      </c>
      <c r="BJ8" s="340">
        <v>1500</v>
      </c>
      <c r="BK8" s="340">
        <v>1022.73</v>
      </c>
      <c r="BL8" s="357">
        <f>COUNTIFS(O8:AP8,"&gt;0.01",O8:AP8,"&lt;" &amp; BJ8)</f>
        <v>11</v>
      </c>
      <c r="BM8" s="359">
        <f>IF($K8&gt;0,DATEDIF($K8,$AR$7,"M"),0)</f>
        <v>17</v>
      </c>
      <c r="BN8" s="360">
        <f t="shared" ref="BN8:BN56" si="14">(BM8*BK8)+BJ8</f>
        <v>18886.41</v>
      </c>
      <c r="BO8" s="359">
        <f t="shared" ref="BO8:BO56" si="15">SUMIF(O8:AP8,"&lt;=" &amp; BK8,O8:AP8)</f>
        <v>9107.1699999999983</v>
      </c>
      <c r="BP8" s="359">
        <f t="shared" ref="BP8:BP56" si="16">SUMIF(O8:AP8,"&gt;" &amp; BK8,O8:AP8)</f>
        <v>7734.7800000000007</v>
      </c>
      <c r="BQ8" s="359">
        <f t="shared" ref="BQ8:BQ56" si="17">AX8-BO8-BP8</f>
        <v>6136.3799999999956</v>
      </c>
      <c r="BR8" s="359">
        <f t="shared" ref="BR8:BR56" si="18">IF(AX8&gt;BN8,AX8-BN8,0)</f>
        <v>4091.9199999999946</v>
      </c>
      <c r="BS8" s="359">
        <f t="shared" ref="BS8:BS56" si="19">IF(AX8&lt;BN8,BN8-AX8,0)</f>
        <v>0</v>
      </c>
      <c r="BT8" s="361">
        <f t="shared" ref="BT8:BT56" si="20">ROUNDUP(IF(K8&gt;0,BS8/BK8,0),0)</f>
        <v>0</v>
      </c>
      <c r="BU8" s="337"/>
      <c r="BV8" s="337"/>
    </row>
    <row r="9" spans="1:74" x14ac:dyDescent="0.25">
      <c r="A9" s="846" t="s">
        <v>1085</v>
      </c>
      <c r="B9" s="86" t="s">
        <v>910</v>
      </c>
      <c r="F9" s="336">
        <v>102</v>
      </c>
      <c r="G9" s="336" t="s">
        <v>145</v>
      </c>
      <c r="H9" s="336" t="s">
        <v>146</v>
      </c>
      <c r="I9" s="336" t="s">
        <v>908</v>
      </c>
      <c r="J9" s="337" t="s">
        <v>911</v>
      </c>
      <c r="K9" s="338">
        <v>45453</v>
      </c>
      <c r="L9" s="336" t="s">
        <v>128</v>
      </c>
      <c r="M9" s="333">
        <v>477700</v>
      </c>
      <c r="N9" s="333">
        <v>23900</v>
      </c>
      <c r="O9" s="333">
        <v>0</v>
      </c>
      <c r="P9" s="333">
        <v>0</v>
      </c>
      <c r="Q9" s="333">
        <v>0</v>
      </c>
      <c r="R9" s="333">
        <v>0</v>
      </c>
      <c r="S9" s="333">
        <v>0</v>
      </c>
      <c r="T9" s="333">
        <v>0</v>
      </c>
      <c r="U9" s="333">
        <v>0</v>
      </c>
      <c r="V9" s="333">
        <v>0</v>
      </c>
      <c r="W9" s="333">
        <v>0</v>
      </c>
      <c r="X9" s="333">
        <v>0</v>
      </c>
      <c r="Y9" s="333">
        <v>0</v>
      </c>
      <c r="Z9" s="333">
        <v>0</v>
      </c>
      <c r="AA9" s="333">
        <v>0</v>
      </c>
      <c r="AB9" s="333">
        <v>0</v>
      </c>
      <c r="AC9" s="333">
        <v>0</v>
      </c>
      <c r="AD9" s="333">
        <v>1500</v>
      </c>
      <c r="AE9" s="333">
        <v>1244.44</v>
      </c>
      <c r="AF9" s="333">
        <v>1244.44</v>
      </c>
      <c r="AG9" s="333">
        <v>1244.44</v>
      </c>
      <c r="AH9" s="333">
        <v>1244.44</v>
      </c>
      <c r="AI9" s="333">
        <v>0</v>
      </c>
      <c r="AJ9" s="333">
        <v>1244.44</v>
      </c>
      <c r="AK9" s="333">
        <v>1244.44</v>
      </c>
      <c r="AL9" s="333">
        <v>0</v>
      </c>
      <c r="AM9" s="330"/>
      <c r="AN9" s="333">
        <f>1244.44+1244.44</f>
        <v>2488.88</v>
      </c>
      <c r="AO9" s="334">
        <v>1244.44</v>
      </c>
      <c r="AP9" s="335">
        <v>1244.44</v>
      </c>
      <c r="AQ9" s="335"/>
      <c r="AR9" s="335">
        <v>1244.44</v>
      </c>
      <c r="AS9" s="335">
        <v>1244.44</v>
      </c>
      <c r="AT9" s="335">
        <v>2488.88</v>
      </c>
      <c r="AU9" s="335">
        <v>0</v>
      </c>
      <c r="AV9" s="335">
        <v>1244.44</v>
      </c>
      <c r="AW9" s="335"/>
      <c r="AX9" s="352">
        <f t="shared" ref="AX9:AX63" si="21">SUM(O9:AW9)</f>
        <v>20166.600000000002</v>
      </c>
      <c r="AY9" s="362">
        <f t="shared" si="4"/>
        <v>0.84379079497907961</v>
      </c>
      <c r="AZ9" s="352">
        <f t="shared" si="5"/>
        <v>-3733.3999999999978</v>
      </c>
      <c r="BA9" s="362">
        <f t="shared" si="6"/>
        <v>-0.15620920502092042</v>
      </c>
      <c r="BB9" s="363">
        <f t="shared" si="7"/>
        <v>457533.4</v>
      </c>
      <c r="BC9" s="364">
        <f t="shared" si="8"/>
        <v>0.9577839648314842</v>
      </c>
      <c r="BD9" s="356">
        <f t="shared" si="9"/>
        <v>23900</v>
      </c>
      <c r="BE9" s="357" t="str">
        <f t="shared" si="10"/>
        <v>Vendido</v>
      </c>
      <c r="BF9" s="357" t="str">
        <f t="shared" si="11"/>
        <v>Cliente al día</v>
      </c>
      <c r="BG9" s="358">
        <v>18</v>
      </c>
      <c r="BH9" s="358">
        <f t="shared" si="12"/>
        <v>1</v>
      </c>
      <c r="BI9" s="358">
        <f t="shared" si="13"/>
        <v>19</v>
      </c>
      <c r="BJ9" s="340">
        <v>1500</v>
      </c>
      <c r="BK9" s="365">
        <v>1244.44</v>
      </c>
      <c r="BL9" s="357">
        <f t="shared" ref="BL9:BL52" si="22">COUNTIFS(O9:AO9,"&gt;0.01",O9:AO9,"&lt;" &amp; BJ9)</f>
        <v>7</v>
      </c>
      <c r="BM9" s="359">
        <f t="shared" ref="BM9:BM74" si="23">IF($K9&gt;0,DATEDIF($K9,$AR$7,"M"),0)</f>
        <v>14</v>
      </c>
      <c r="BN9" s="360">
        <f t="shared" si="14"/>
        <v>18922.16</v>
      </c>
      <c r="BO9" s="359">
        <f t="shared" si="15"/>
        <v>9955.5200000000023</v>
      </c>
      <c r="BP9" s="359">
        <f t="shared" si="16"/>
        <v>3988.88</v>
      </c>
      <c r="BQ9" s="359">
        <f t="shared" si="17"/>
        <v>6222.2</v>
      </c>
      <c r="BR9" s="359">
        <f t="shared" si="18"/>
        <v>1244.4400000000023</v>
      </c>
      <c r="BS9" s="359">
        <f t="shared" si="19"/>
        <v>0</v>
      </c>
      <c r="BT9" s="361">
        <f t="shared" si="20"/>
        <v>0</v>
      </c>
      <c r="BU9" s="337"/>
      <c r="BV9" s="337"/>
    </row>
    <row r="10" spans="1:74" x14ac:dyDescent="0.25">
      <c r="A10" s="846" t="s">
        <v>1086</v>
      </c>
      <c r="B10" s="86" t="s">
        <v>928</v>
      </c>
      <c r="F10" s="336">
        <v>103</v>
      </c>
      <c r="G10" s="336" t="s">
        <v>145</v>
      </c>
      <c r="H10" s="336" t="s">
        <v>913</v>
      </c>
      <c r="I10" s="336" t="s">
        <v>147</v>
      </c>
      <c r="J10" s="337" t="s">
        <v>929</v>
      </c>
      <c r="K10" s="338">
        <v>45348</v>
      </c>
      <c r="L10" s="336" t="s">
        <v>128</v>
      </c>
      <c r="M10" s="333">
        <v>477700</v>
      </c>
      <c r="N10" s="333">
        <v>24000</v>
      </c>
      <c r="O10" s="333">
        <v>0</v>
      </c>
      <c r="P10" s="333">
        <v>0</v>
      </c>
      <c r="Q10" s="333">
        <v>0</v>
      </c>
      <c r="R10" s="333">
        <v>0</v>
      </c>
      <c r="S10" s="333">
        <v>0</v>
      </c>
      <c r="T10" s="333">
        <v>0</v>
      </c>
      <c r="U10" s="333">
        <v>0</v>
      </c>
      <c r="V10" s="333">
        <v>0</v>
      </c>
      <c r="W10" s="333">
        <v>0</v>
      </c>
      <c r="X10" s="333">
        <v>0</v>
      </c>
      <c r="Y10" s="333">
        <v>0</v>
      </c>
      <c r="Z10" s="333">
        <v>500</v>
      </c>
      <c r="AA10" s="333">
        <v>0</v>
      </c>
      <c r="AB10" s="333">
        <v>1545.45</v>
      </c>
      <c r="AC10" s="333">
        <v>1045.45</v>
      </c>
      <c r="AD10" s="333">
        <v>1045.45</v>
      </c>
      <c r="AE10" s="333">
        <v>1045.45</v>
      </c>
      <c r="AF10" s="333">
        <v>1045.45</v>
      </c>
      <c r="AG10" s="333">
        <v>1045.45</v>
      </c>
      <c r="AH10" s="333">
        <v>1045</v>
      </c>
      <c r="AI10" s="333">
        <v>1045.45</v>
      </c>
      <c r="AJ10" s="333">
        <v>1045.45</v>
      </c>
      <c r="AK10" s="333">
        <v>1045.45</v>
      </c>
      <c r="AL10" s="333">
        <v>522.72</v>
      </c>
      <c r="AM10" s="333">
        <v>0</v>
      </c>
      <c r="AN10" s="333">
        <v>2613.6</v>
      </c>
      <c r="AO10" s="334">
        <f>1045.45+1045.45</f>
        <v>2090.9</v>
      </c>
      <c r="AP10" s="334"/>
      <c r="AQ10" s="335">
        <f>1045.45+1045.45</f>
        <v>2090.9</v>
      </c>
      <c r="AR10" s="335">
        <v>1045.45</v>
      </c>
      <c r="AS10" s="335">
        <v>0</v>
      </c>
      <c r="AT10" s="335">
        <v>1045.45</v>
      </c>
      <c r="AU10" s="335">
        <v>0</v>
      </c>
      <c r="AV10" s="335"/>
      <c r="AW10" s="335"/>
      <c r="AX10" s="352">
        <f t="shared" si="21"/>
        <v>20863.070000000007</v>
      </c>
      <c r="AY10" s="353">
        <f t="shared" si="4"/>
        <v>0.86929458333333365</v>
      </c>
      <c r="AZ10" s="352">
        <f t="shared" si="5"/>
        <v>-3136.929999999993</v>
      </c>
      <c r="BA10" s="353">
        <f t="shared" si="6"/>
        <v>-0.13070541666666638</v>
      </c>
      <c r="BB10" s="354">
        <f t="shared" si="7"/>
        <v>456836.93</v>
      </c>
      <c r="BC10" s="355">
        <f t="shared" si="8"/>
        <v>0.95632599958132714</v>
      </c>
      <c r="BD10" s="356">
        <f t="shared" si="9"/>
        <v>24000</v>
      </c>
      <c r="BE10" s="357" t="str">
        <f t="shared" si="10"/>
        <v>Vendido</v>
      </c>
      <c r="BF10" s="357" t="str">
        <f t="shared" si="11"/>
        <v>Cliente al día</v>
      </c>
      <c r="BG10" s="358">
        <v>22</v>
      </c>
      <c r="BH10" s="358">
        <f t="shared" si="12"/>
        <v>1</v>
      </c>
      <c r="BI10" s="358">
        <f t="shared" si="13"/>
        <v>23</v>
      </c>
      <c r="BJ10" s="340">
        <v>500</v>
      </c>
      <c r="BK10" s="365">
        <v>1045.45</v>
      </c>
      <c r="BL10" s="357">
        <f t="shared" si="22"/>
        <v>0</v>
      </c>
      <c r="BM10" s="359">
        <f t="shared" si="23"/>
        <v>18</v>
      </c>
      <c r="BN10" s="360">
        <f t="shared" si="14"/>
        <v>19318.100000000002</v>
      </c>
      <c r="BO10" s="359">
        <f t="shared" si="15"/>
        <v>10431.32</v>
      </c>
      <c r="BP10" s="359">
        <f t="shared" si="16"/>
        <v>6249.9500000000007</v>
      </c>
      <c r="BQ10" s="359">
        <f t="shared" si="17"/>
        <v>4181.8000000000065</v>
      </c>
      <c r="BR10" s="359">
        <f t="shared" si="18"/>
        <v>1544.9700000000048</v>
      </c>
      <c r="BS10" s="359">
        <f t="shared" si="19"/>
        <v>0</v>
      </c>
      <c r="BT10" s="361">
        <f t="shared" si="20"/>
        <v>0</v>
      </c>
      <c r="BU10" s="337"/>
      <c r="BV10" s="337"/>
    </row>
    <row r="11" spans="1:74" x14ac:dyDescent="0.25">
      <c r="A11" s="846" t="s">
        <v>1087</v>
      </c>
      <c r="B11" s="86" t="s">
        <v>919</v>
      </c>
      <c r="F11" s="336">
        <v>104</v>
      </c>
      <c r="G11" s="336" t="s">
        <v>145</v>
      </c>
      <c r="H11" s="336" t="s">
        <v>146</v>
      </c>
      <c r="I11" s="336" t="s">
        <v>147</v>
      </c>
      <c r="J11" s="337" t="s">
        <v>148</v>
      </c>
      <c r="K11" s="338">
        <v>45258</v>
      </c>
      <c r="L11" s="336" t="s">
        <v>128</v>
      </c>
      <c r="M11" s="333">
        <v>494900</v>
      </c>
      <c r="N11" s="333">
        <v>23900</v>
      </c>
      <c r="O11" s="333">
        <v>0</v>
      </c>
      <c r="P11" s="333">
        <v>0</v>
      </c>
      <c r="Q11" s="333">
        <v>0</v>
      </c>
      <c r="R11" s="333">
        <v>0</v>
      </c>
      <c r="S11" s="333">
        <v>0</v>
      </c>
      <c r="T11" s="333">
        <v>0</v>
      </c>
      <c r="U11" s="333">
        <v>0</v>
      </c>
      <c r="V11" s="333">
        <v>0</v>
      </c>
      <c r="W11" s="333">
        <v>0</v>
      </c>
      <c r="X11" s="333">
        <v>0</v>
      </c>
      <c r="Y11" s="333">
        <v>0</v>
      </c>
      <c r="Z11" s="333">
        <v>0</v>
      </c>
      <c r="AA11" s="333">
        <v>0</v>
      </c>
      <c r="AB11" s="333">
        <v>0</v>
      </c>
      <c r="AC11" s="333">
        <v>0</v>
      </c>
      <c r="AD11" s="333">
        <v>0</v>
      </c>
      <c r="AE11" s="333">
        <v>0</v>
      </c>
      <c r="AF11" s="333">
        <v>0</v>
      </c>
      <c r="AG11" s="333">
        <v>0</v>
      </c>
      <c r="AH11" s="333">
        <v>0</v>
      </c>
      <c r="AI11" s="333">
        <v>300</v>
      </c>
      <c r="AJ11" s="333">
        <v>500</v>
      </c>
      <c r="AK11" s="333">
        <v>0</v>
      </c>
      <c r="AL11" s="333">
        <v>0</v>
      </c>
      <c r="AM11" s="333">
        <f>500+500</f>
        <v>1000</v>
      </c>
      <c r="AN11" s="333"/>
      <c r="AO11" s="333">
        <v>500</v>
      </c>
      <c r="AP11" s="333"/>
      <c r="AQ11" s="335">
        <v>500</v>
      </c>
      <c r="AR11" s="335"/>
      <c r="AS11" s="335">
        <v>13000</v>
      </c>
      <c r="AT11" s="335">
        <v>1000</v>
      </c>
      <c r="AU11" s="335">
        <v>0</v>
      </c>
      <c r="AV11" s="335">
        <v>1600</v>
      </c>
      <c r="AW11" s="335"/>
      <c r="AX11" s="352">
        <f t="shared" si="21"/>
        <v>18400</v>
      </c>
      <c r="AY11" s="353">
        <f t="shared" si="4"/>
        <v>0.76987447698744771</v>
      </c>
      <c r="AZ11" s="352">
        <f t="shared" si="5"/>
        <v>-5500</v>
      </c>
      <c r="BA11" s="353">
        <f t="shared" si="6"/>
        <v>-0.23012552301255229</v>
      </c>
      <c r="BB11" s="354">
        <f t="shared" si="7"/>
        <v>476500</v>
      </c>
      <c r="BC11" s="355">
        <f t="shared" si="8"/>
        <v>0.96282077187310566</v>
      </c>
      <c r="BD11" s="356">
        <f t="shared" si="9"/>
        <v>23900</v>
      </c>
      <c r="BE11" s="357" t="str">
        <f t="shared" si="10"/>
        <v>Vendido</v>
      </c>
      <c r="BF11" s="357" t="str">
        <f t="shared" si="11"/>
        <v>Cliente Atrasado</v>
      </c>
      <c r="BG11" s="358">
        <v>13</v>
      </c>
      <c r="BH11" s="358">
        <f t="shared" si="12"/>
        <v>1</v>
      </c>
      <c r="BI11" s="358">
        <f t="shared" si="13"/>
        <v>14</v>
      </c>
      <c r="BJ11" s="340">
        <v>300</v>
      </c>
      <c r="BK11" s="365">
        <v>1815.38</v>
      </c>
      <c r="BL11" s="357">
        <f t="shared" si="22"/>
        <v>0</v>
      </c>
      <c r="BM11" s="359">
        <f t="shared" si="23"/>
        <v>21</v>
      </c>
      <c r="BN11" s="360">
        <f t="shared" si="14"/>
        <v>38422.980000000003</v>
      </c>
      <c r="BO11" s="359">
        <f t="shared" si="15"/>
        <v>2300</v>
      </c>
      <c r="BP11" s="359">
        <f t="shared" si="16"/>
        <v>0</v>
      </c>
      <c r="BQ11" s="359">
        <f t="shared" si="17"/>
        <v>16100</v>
      </c>
      <c r="BR11" s="359">
        <f t="shared" si="18"/>
        <v>0</v>
      </c>
      <c r="BS11" s="359">
        <f t="shared" si="19"/>
        <v>20022.980000000003</v>
      </c>
      <c r="BT11" s="361">
        <f t="shared" si="20"/>
        <v>12</v>
      </c>
      <c r="BU11" s="337"/>
      <c r="BV11" s="337"/>
    </row>
    <row r="12" spans="1:74" x14ac:dyDescent="0.25">
      <c r="A12" s="846" t="s">
        <v>1088</v>
      </c>
      <c r="B12" s="86" t="s">
        <v>919</v>
      </c>
      <c r="F12" s="336">
        <v>105</v>
      </c>
      <c r="G12" s="336" t="s">
        <v>145</v>
      </c>
      <c r="H12" s="336" t="s">
        <v>145</v>
      </c>
      <c r="I12" s="336" t="s">
        <v>147</v>
      </c>
      <c r="J12" s="337" t="s">
        <v>924</v>
      </c>
      <c r="K12" s="338">
        <v>45201</v>
      </c>
      <c r="L12" s="336" t="s">
        <v>128</v>
      </c>
      <c r="M12" s="333">
        <v>384700</v>
      </c>
      <c r="N12" s="333">
        <v>38500</v>
      </c>
      <c r="O12" s="333">
        <v>0</v>
      </c>
      <c r="P12" s="333">
        <v>0</v>
      </c>
      <c r="Q12" s="333">
        <v>0</v>
      </c>
      <c r="R12" s="333">
        <v>0</v>
      </c>
      <c r="S12" s="333">
        <v>0</v>
      </c>
      <c r="T12" s="333">
        <v>0</v>
      </c>
      <c r="U12" s="333">
        <v>0</v>
      </c>
      <c r="V12" s="333">
        <v>1000</v>
      </c>
      <c r="W12" s="333">
        <v>1785</v>
      </c>
      <c r="X12" s="333">
        <v>1785</v>
      </c>
      <c r="Y12" s="333">
        <v>1785</v>
      </c>
      <c r="Z12" s="333">
        <v>1785</v>
      </c>
      <c r="AA12" s="333">
        <v>1785</v>
      </c>
      <c r="AB12" s="333">
        <v>1785</v>
      </c>
      <c r="AC12" s="333">
        <v>1785</v>
      </c>
      <c r="AD12" s="333">
        <v>1785</v>
      </c>
      <c r="AE12" s="333">
        <v>1785</v>
      </c>
      <c r="AF12" s="333">
        <v>1785</v>
      </c>
      <c r="AG12" s="333">
        <v>1785</v>
      </c>
      <c r="AH12" s="333">
        <v>1785</v>
      </c>
      <c r="AI12" s="333">
        <v>1785</v>
      </c>
      <c r="AJ12" s="333">
        <v>1785</v>
      </c>
      <c r="AK12" s="333">
        <v>1785</v>
      </c>
      <c r="AL12" s="333">
        <v>1785</v>
      </c>
      <c r="AM12" s="333">
        <v>1785</v>
      </c>
      <c r="AN12" s="333">
        <v>1785</v>
      </c>
      <c r="AO12" s="334">
        <v>1785</v>
      </c>
      <c r="AP12" s="335">
        <v>1785</v>
      </c>
      <c r="AQ12" s="335">
        <v>1785</v>
      </c>
      <c r="AR12" s="335">
        <v>1785</v>
      </c>
      <c r="AS12" s="335">
        <v>0</v>
      </c>
      <c r="AT12" s="335">
        <v>0</v>
      </c>
      <c r="AU12" s="335">
        <v>0</v>
      </c>
      <c r="AV12" s="335"/>
      <c r="AW12" s="335"/>
      <c r="AX12" s="352">
        <f>SUM(O12:AW12)</f>
        <v>40270</v>
      </c>
      <c r="AY12" s="353">
        <f t="shared" si="4"/>
        <v>1.045974025974026</v>
      </c>
      <c r="AZ12" s="352">
        <f t="shared" si="5"/>
        <v>1770</v>
      </c>
      <c r="BA12" s="353">
        <f t="shared" si="6"/>
        <v>4.5974025974025973E-2</v>
      </c>
      <c r="BB12" s="354">
        <f t="shared" si="7"/>
        <v>344430</v>
      </c>
      <c r="BC12" s="355">
        <f t="shared" si="8"/>
        <v>0.89532102937353786</v>
      </c>
      <c r="BD12" s="356">
        <f t="shared" si="9"/>
        <v>38500</v>
      </c>
      <c r="BE12" s="357" t="str">
        <f t="shared" si="10"/>
        <v>Vendido</v>
      </c>
      <c r="BF12" s="357" t="str">
        <f t="shared" si="11"/>
        <v>Superávit de Enganche</v>
      </c>
      <c r="BG12" s="358">
        <v>21</v>
      </c>
      <c r="BH12" s="358">
        <f t="shared" si="12"/>
        <v>1</v>
      </c>
      <c r="BI12" s="358">
        <f t="shared" si="13"/>
        <v>22</v>
      </c>
      <c r="BJ12" s="340">
        <v>1000</v>
      </c>
      <c r="BK12" s="365">
        <v>1784.29</v>
      </c>
      <c r="BL12" s="357">
        <f t="shared" si="22"/>
        <v>0</v>
      </c>
      <c r="BM12" s="359">
        <f t="shared" si="23"/>
        <v>22</v>
      </c>
      <c r="BN12" s="360">
        <f t="shared" si="14"/>
        <v>40254.379999999997</v>
      </c>
      <c r="BO12" s="359">
        <f t="shared" si="15"/>
        <v>1000</v>
      </c>
      <c r="BP12" s="359">
        <f t="shared" si="16"/>
        <v>35700</v>
      </c>
      <c r="BQ12" s="359">
        <f t="shared" si="17"/>
        <v>3570</v>
      </c>
      <c r="BR12" s="359">
        <f t="shared" si="18"/>
        <v>15.620000000002619</v>
      </c>
      <c r="BS12" s="359">
        <f t="shared" si="19"/>
        <v>0</v>
      </c>
      <c r="BT12" s="361">
        <f t="shared" si="20"/>
        <v>0</v>
      </c>
      <c r="BU12" s="337"/>
      <c r="BV12" s="337"/>
    </row>
    <row r="13" spans="1:74" x14ac:dyDescent="0.25">
      <c r="A13" s="846" t="s">
        <v>1089</v>
      </c>
      <c r="F13" s="336">
        <v>108</v>
      </c>
      <c r="G13" s="336" t="s">
        <v>146</v>
      </c>
      <c r="H13" s="336" t="s">
        <v>146</v>
      </c>
      <c r="I13" s="849" t="s">
        <v>203</v>
      </c>
      <c r="J13" s="337" t="s">
        <v>1090</v>
      </c>
      <c r="K13" s="338">
        <v>45890</v>
      </c>
      <c r="L13" s="331" t="s">
        <v>128</v>
      </c>
      <c r="M13" s="333">
        <v>492700</v>
      </c>
      <c r="N13" s="333">
        <v>24700</v>
      </c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334"/>
      <c r="AP13" s="335"/>
      <c r="AQ13" s="335"/>
      <c r="AR13" s="335">
        <f>500+1000</f>
        <v>1500</v>
      </c>
      <c r="AS13" s="335">
        <v>0</v>
      </c>
      <c r="AT13" s="335">
        <v>1432</v>
      </c>
      <c r="AU13" s="335">
        <v>0</v>
      </c>
      <c r="AV13" s="335">
        <v>1432</v>
      </c>
      <c r="AW13" s="335"/>
      <c r="AX13" s="352">
        <f>SUM(O13:AW13)</f>
        <v>4364</v>
      </c>
      <c r="AY13" s="353">
        <f t="shared" ref="AY13" si="24">IFERROR((+AX13/N13),0)</f>
        <v>0.17668016194331984</v>
      </c>
      <c r="AZ13" s="352">
        <f t="shared" ref="AZ13" si="25">+AX13-BD13</f>
        <v>-20336</v>
      </c>
      <c r="BA13" s="353">
        <f t="shared" ref="BA13" si="26">+AZ13/N13</f>
        <v>-0.82331983805668019</v>
      </c>
      <c r="BB13" s="354">
        <f t="shared" ref="BB13" si="27">+M13-AX13</f>
        <v>488336</v>
      </c>
      <c r="BC13" s="355">
        <f t="shared" ref="BC13" si="28">+BB13/M13</f>
        <v>0.9911426831743454</v>
      </c>
      <c r="BD13" s="356">
        <f t="shared" ref="BD13" si="29">IF(BE13="Vendido",N13*1,IF(BE13="Disponible",N13*0,IF(BE13="Enganche Completado",N13*1,IF(BE13="Superávit de Enganche",N13*1,0))))</f>
        <v>24700</v>
      </c>
      <c r="BE13" s="357" t="str">
        <f t="shared" ref="BE13" si="30">IF(J13=0,"Apartamento Disponible",IF(J13&gt;1,"Vendido",0))</f>
        <v>Vendido</v>
      </c>
      <c r="BF13" s="357" t="str">
        <f t="shared" ref="BF13" si="31">IF(AND(BE13="Vendido",K13&gt;=0,BN13&lt;=AX13,AX13&lt;BD13),"Cliente al día",IF(AND(BE13="Vendido",K13&gt;=0,BN13&lt;=AX13,AX13=BD13),"Enganche Completado",IF(AND(BE13="Vendido",K13&gt;=0,BN13&lt;AX13,AX13&gt;BD13),"Superávit de Enganche",IF(AND(BE13="Apartamento Disponible",K13=0,AZ13=0),"Disponible","Cliente Atrasado"))))</f>
        <v>Cliente al día</v>
      </c>
      <c r="BG13" s="358">
        <v>12</v>
      </c>
      <c r="BH13" s="358">
        <f t="shared" ref="BH13" si="32">IF(BG13&gt;1,1,0)</f>
        <v>1</v>
      </c>
      <c r="BI13" s="358">
        <f t="shared" ref="BI13" si="33">+BG13+BH13</f>
        <v>13</v>
      </c>
      <c r="BJ13" s="340">
        <v>1500</v>
      </c>
      <c r="BK13" s="365">
        <v>1875</v>
      </c>
      <c r="BL13" s="357">
        <f t="shared" ref="BL13" si="34">COUNTIFS(O13:AO13,"&gt;0.01",O13:AO13,"&lt;" &amp; BJ13)</f>
        <v>0</v>
      </c>
      <c r="BM13" s="359">
        <f t="shared" si="23"/>
        <v>0</v>
      </c>
      <c r="BN13" s="360">
        <f t="shared" ref="BN13" si="35">(BM13*BK13)+BJ13</f>
        <v>1500</v>
      </c>
      <c r="BO13" s="359">
        <f t="shared" ref="BO13" si="36">SUMIF(O13:AP13,"&lt;=" &amp; BK13,O13:AP13)</f>
        <v>0</v>
      </c>
      <c r="BP13" s="359">
        <f t="shared" ref="BP13" si="37">SUMIF(O13:AP13,"&gt;" &amp; BK13,O13:AP13)</f>
        <v>0</v>
      </c>
      <c r="BQ13" s="359">
        <f t="shared" ref="BQ13" si="38">AX13-BO13-BP13</f>
        <v>4364</v>
      </c>
      <c r="BR13" s="359">
        <f t="shared" ref="BR13" si="39">IF(AX13&gt;BN13,AX13-BN13,0)</f>
        <v>2864</v>
      </c>
      <c r="BS13" s="359">
        <f t="shared" ref="BS13" si="40">IF(AX13&lt;BN13,BN13-AX13,0)</f>
        <v>0</v>
      </c>
      <c r="BT13" s="361">
        <f t="shared" ref="BT13" si="41">ROUNDUP(IF(K13&gt;0,BS13/BK13,0),0)</f>
        <v>0</v>
      </c>
      <c r="BU13" s="337"/>
      <c r="BV13" s="337"/>
    </row>
    <row r="14" spans="1:74" x14ac:dyDescent="0.25">
      <c r="A14" s="846" t="s">
        <v>1091</v>
      </c>
      <c r="B14" s="86" t="s">
        <v>923</v>
      </c>
      <c r="F14" s="336">
        <v>108</v>
      </c>
      <c r="G14" s="336" t="s">
        <v>145</v>
      </c>
      <c r="H14" s="336" t="s">
        <v>146</v>
      </c>
      <c r="I14" s="336" t="s">
        <v>771</v>
      </c>
      <c r="J14" s="337" t="s">
        <v>927</v>
      </c>
      <c r="K14" s="338">
        <v>45202</v>
      </c>
      <c r="L14" s="336" t="s">
        <v>128</v>
      </c>
      <c r="M14" s="333">
        <v>494900</v>
      </c>
      <c r="N14" s="333">
        <v>49490</v>
      </c>
      <c r="O14" s="333">
        <v>0</v>
      </c>
      <c r="P14" s="333">
        <v>0</v>
      </c>
      <c r="Q14" s="333">
        <v>0</v>
      </c>
      <c r="R14" s="333">
        <v>0</v>
      </c>
      <c r="S14" s="333">
        <v>0</v>
      </c>
      <c r="T14" s="333">
        <v>0</v>
      </c>
      <c r="U14" s="333">
        <v>0</v>
      </c>
      <c r="V14" s="333">
        <v>425</v>
      </c>
      <c r="W14" s="333">
        <v>2434.7399999999998</v>
      </c>
      <c r="X14" s="333">
        <v>2434.7399999999998</v>
      </c>
      <c r="Y14" s="333">
        <v>2434.7399999999998</v>
      </c>
      <c r="Z14" s="333">
        <v>2434.7399999999998</v>
      </c>
      <c r="AA14" s="333">
        <v>2434.7399999999998</v>
      </c>
      <c r="AB14" s="333">
        <v>2434.7399999999998</v>
      </c>
      <c r="AC14" s="333">
        <v>2434.7399999999998</v>
      </c>
      <c r="AD14" s="333">
        <v>2434.7399999999998</v>
      </c>
      <c r="AE14" s="333">
        <v>2434.7399999999998</v>
      </c>
      <c r="AF14" s="333">
        <v>2434.7399999999998</v>
      </c>
      <c r="AG14" s="333">
        <v>2434.7399999999998</v>
      </c>
      <c r="AH14" s="333">
        <v>2434.7399999999998</v>
      </c>
      <c r="AI14" s="333">
        <v>2434.7399999999998</v>
      </c>
      <c r="AJ14" s="333">
        <v>2434.7399999999998</v>
      </c>
      <c r="AK14" s="333">
        <v>2434.7399999999998</v>
      </c>
      <c r="AL14" s="333">
        <v>2434.7399999999998</v>
      </c>
      <c r="AM14" s="333">
        <v>2434.7399999999998</v>
      </c>
      <c r="AN14" s="333">
        <v>2434.7399999999998</v>
      </c>
      <c r="AO14" s="334">
        <v>2434.7399999999998</v>
      </c>
      <c r="AP14" s="334"/>
      <c r="AQ14" s="334"/>
      <c r="AR14" s="335"/>
      <c r="AS14" s="335">
        <v>0</v>
      </c>
      <c r="AT14" s="335">
        <v>0</v>
      </c>
      <c r="AU14" s="335">
        <v>0</v>
      </c>
      <c r="AV14" s="335"/>
      <c r="AW14" s="335"/>
      <c r="AX14" s="352">
        <f>SUM(O14:AW14)</f>
        <v>46685.059999999976</v>
      </c>
      <c r="AY14" s="353">
        <f t="shared" si="4"/>
        <v>0.94332309557486316</v>
      </c>
      <c r="AZ14" s="352">
        <f t="shared" si="5"/>
        <v>-2804.9400000000242</v>
      </c>
      <c r="BA14" s="353">
        <f t="shared" si="6"/>
        <v>-5.6676904425136877E-2</v>
      </c>
      <c r="BB14" s="354">
        <f t="shared" si="7"/>
        <v>448214.94</v>
      </c>
      <c r="BC14" s="355">
        <f t="shared" si="8"/>
        <v>0.90566769044251361</v>
      </c>
      <c r="BD14" s="356">
        <f t="shared" si="9"/>
        <v>49490</v>
      </c>
      <c r="BE14" s="357" t="str">
        <f t="shared" si="10"/>
        <v>Vendido</v>
      </c>
      <c r="BF14" s="357" t="str">
        <f t="shared" si="11"/>
        <v>Cliente Atrasado</v>
      </c>
      <c r="BG14" s="358">
        <v>19</v>
      </c>
      <c r="BH14" s="358">
        <f t="shared" si="12"/>
        <v>1</v>
      </c>
      <c r="BI14" s="358">
        <f t="shared" si="13"/>
        <v>20</v>
      </c>
      <c r="BJ14" s="340">
        <v>3230</v>
      </c>
      <c r="BK14" s="365">
        <v>2434.7399999999998</v>
      </c>
      <c r="BL14" s="357">
        <f t="shared" si="22"/>
        <v>20</v>
      </c>
      <c r="BM14" s="359">
        <f t="shared" si="23"/>
        <v>22</v>
      </c>
      <c r="BN14" s="360">
        <f t="shared" si="14"/>
        <v>56794.28</v>
      </c>
      <c r="BO14" s="359">
        <f t="shared" si="15"/>
        <v>46685.059999999976</v>
      </c>
      <c r="BP14" s="359">
        <f t="shared" si="16"/>
        <v>0</v>
      </c>
      <c r="BQ14" s="359">
        <f t="shared" si="17"/>
        <v>0</v>
      </c>
      <c r="BR14" s="359">
        <f t="shared" si="18"/>
        <v>0</v>
      </c>
      <c r="BS14" s="359">
        <f t="shared" si="19"/>
        <v>10109.220000000023</v>
      </c>
      <c r="BT14" s="361">
        <f t="shared" si="20"/>
        <v>5</v>
      </c>
      <c r="BU14" s="337"/>
      <c r="BV14" s="337"/>
    </row>
    <row r="15" spans="1:74" x14ac:dyDescent="0.25">
      <c r="A15" s="846" t="s">
        <v>1092</v>
      </c>
      <c r="B15" s="86" t="s">
        <v>926</v>
      </c>
      <c r="F15" s="336">
        <v>109</v>
      </c>
      <c r="G15" s="336" t="s">
        <v>145</v>
      </c>
      <c r="H15" s="336" t="s">
        <v>913</v>
      </c>
      <c r="I15" s="336" t="s">
        <v>914</v>
      </c>
      <c r="J15" s="337" t="s">
        <v>1093</v>
      </c>
      <c r="K15" s="338">
        <v>45661</v>
      </c>
      <c r="L15" s="336" t="s">
        <v>128</v>
      </c>
      <c r="M15" s="333">
        <v>477700</v>
      </c>
      <c r="N15" s="333">
        <v>24000</v>
      </c>
      <c r="O15" s="333">
        <v>0</v>
      </c>
      <c r="P15" s="333">
        <v>0</v>
      </c>
      <c r="Q15" s="333">
        <v>0</v>
      </c>
      <c r="R15" s="333">
        <v>0</v>
      </c>
      <c r="S15" s="333">
        <v>0</v>
      </c>
      <c r="T15" s="333">
        <v>0</v>
      </c>
      <c r="U15" s="333">
        <v>0</v>
      </c>
      <c r="V15" s="333">
        <v>0</v>
      </c>
      <c r="W15" s="333">
        <v>0</v>
      </c>
      <c r="X15" s="333">
        <v>0</v>
      </c>
      <c r="Y15" s="333">
        <v>0</v>
      </c>
      <c r="Z15" s="333">
        <v>0</v>
      </c>
      <c r="AA15" s="333">
        <v>0</v>
      </c>
      <c r="AB15" s="333">
        <v>0</v>
      </c>
      <c r="AC15" s="333">
        <v>0</v>
      </c>
      <c r="AD15" s="333">
        <v>0</v>
      </c>
      <c r="AE15" s="333">
        <v>0</v>
      </c>
      <c r="AF15" s="333">
        <v>0</v>
      </c>
      <c r="AG15" s="333">
        <v>0</v>
      </c>
      <c r="AH15" s="333">
        <v>0</v>
      </c>
      <c r="AI15" s="333">
        <v>0</v>
      </c>
      <c r="AJ15" s="333">
        <v>0</v>
      </c>
      <c r="AK15" s="333">
        <v>1500</v>
      </c>
      <c r="AL15" s="333">
        <v>0</v>
      </c>
      <c r="AM15" s="333">
        <f>1875+1862.5</f>
        <v>3737.5</v>
      </c>
      <c r="AN15" s="333"/>
      <c r="AO15" s="334">
        <v>1888</v>
      </c>
      <c r="AP15" s="334"/>
      <c r="AQ15" s="335">
        <v>5625</v>
      </c>
      <c r="AR15" s="335"/>
      <c r="AS15" s="335">
        <v>5625</v>
      </c>
      <c r="AT15" s="335">
        <v>0</v>
      </c>
      <c r="AU15" s="335">
        <v>0</v>
      </c>
      <c r="AV15" s="335"/>
      <c r="AW15" s="335">
        <v>5625</v>
      </c>
      <c r="AX15" s="352">
        <f t="shared" si="21"/>
        <v>24000.5</v>
      </c>
      <c r="AY15" s="353">
        <f t="shared" si="4"/>
        <v>1.0000208333333334</v>
      </c>
      <c r="AZ15" s="352">
        <f t="shared" si="5"/>
        <v>0.5</v>
      </c>
      <c r="BA15" s="353">
        <f t="shared" si="6"/>
        <v>2.0833333333333333E-5</v>
      </c>
      <c r="BB15" s="354">
        <f t="shared" si="7"/>
        <v>453699.5</v>
      </c>
      <c r="BC15" s="355">
        <f t="shared" si="8"/>
        <v>0.94975821645384129</v>
      </c>
      <c r="BD15" s="356">
        <f t="shared" si="9"/>
        <v>24000</v>
      </c>
      <c r="BE15" s="357" t="str">
        <f t="shared" si="10"/>
        <v>Vendido</v>
      </c>
      <c r="BF15" s="357" t="str">
        <f>IF(AND(BE15="Vendido",K15&gt;=0,BN15&lt;=AX15,AX15&lt;BD15),"Cliente al día",IF(AND(BE15="Vendido",K15&gt;=0,BN15&lt;=AX15,AX15=BD15),"Enganche Completado",IF(AND(BE15="Vendido",K15&gt;=0,BN15&lt;AX15,AX15&gt;BD15),"Superávit de Enganche",IF(AND(BE15="Apartamento Disponible",K15=0,AZ15=0),"Disponible","Cliente Atrasado"))))</f>
        <v>Superávit de Enganche</v>
      </c>
      <c r="BG15" s="358">
        <v>12</v>
      </c>
      <c r="BH15" s="358">
        <f t="shared" si="12"/>
        <v>1</v>
      </c>
      <c r="BI15" s="358">
        <f t="shared" si="13"/>
        <v>13</v>
      </c>
      <c r="BJ15" s="340">
        <v>1500</v>
      </c>
      <c r="BK15" s="365">
        <v>1875</v>
      </c>
      <c r="BL15" s="357">
        <f t="shared" si="22"/>
        <v>0</v>
      </c>
      <c r="BM15" s="359">
        <f t="shared" si="23"/>
        <v>7</v>
      </c>
      <c r="BN15" s="360">
        <f t="shared" si="14"/>
        <v>14625</v>
      </c>
      <c r="BO15" s="359">
        <f t="shared" si="15"/>
        <v>1500</v>
      </c>
      <c r="BP15" s="359">
        <f t="shared" si="16"/>
        <v>5625.5</v>
      </c>
      <c r="BQ15" s="359">
        <f t="shared" si="17"/>
        <v>16875</v>
      </c>
      <c r="BR15" s="359">
        <f t="shared" si="18"/>
        <v>9375.5</v>
      </c>
      <c r="BS15" s="359">
        <f t="shared" si="19"/>
        <v>0</v>
      </c>
      <c r="BT15" s="361">
        <f t="shared" si="20"/>
        <v>0</v>
      </c>
      <c r="BU15" s="337"/>
      <c r="BV15" s="337"/>
    </row>
    <row r="16" spans="1:74" x14ac:dyDescent="0.25">
      <c r="A16" s="846" t="s">
        <v>1094</v>
      </c>
      <c r="F16" s="844">
        <v>112</v>
      </c>
      <c r="G16" s="336" t="s">
        <v>146</v>
      </c>
      <c r="H16" s="336" t="s">
        <v>146</v>
      </c>
      <c r="I16" s="336" t="s">
        <v>196</v>
      </c>
      <c r="J16" s="337" t="s">
        <v>1095</v>
      </c>
      <c r="K16" s="338">
        <v>45874</v>
      </c>
      <c r="L16" s="336" t="s">
        <v>956</v>
      </c>
      <c r="M16" s="333">
        <v>487000</v>
      </c>
      <c r="N16" s="333">
        <v>24400</v>
      </c>
      <c r="O16" s="333">
        <v>0</v>
      </c>
      <c r="P16" s="333">
        <v>0</v>
      </c>
      <c r="Q16" s="333">
        <v>0</v>
      </c>
      <c r="R16" s="333">
        <v>0</v>
      </c>
      <c r="S16" s="333">
        <v>0</v>
      </c>
      <c r="T16" s="333">
        <v>0</v>
      </c>
      <c r="U16" s="333">
        <v>0</v>
      </c>
      <c r="V16" s="333">
        <v>0</v>
      </c>
      <c r="W16" s="333">
        <v>0</v>
      </c>
      <c r="X16" s="333">
        <v>0</v>
      </c>
      <c r="Y16" s="333">
        <v>0</v>
      </c>
      <c r="Z16" s="333">
        <v>0</v>
      </c>
      <c r="AA16" s="333">
        <v>0</v>
      </c>
      <c r="AB16" s="333">
        <v>0</v>
      </c>
      <c r="AC16" s="333">
        <v>0</v>
      </c>
      <c r="AD16" s="333">
        <v>0</v>
      </c>
      <c r="AE16" s="333">
        <v>0</v>
      </c>
      <c r="AF16" s="333">
        <v>0</v>
      </c>
      <c r="AG16" s="333">
        <v>0</v>
      </c>
      <c r="AH16" s="333">
        <v>0</v>
      </c>
      <c r="AI16" s="333">
        <v>0</v>
      </c>
      <c r="AJ16" s="333">
        <v>0</v>
      </c>
      <c r="AK16" s="333">
        <v>0</v>
      </c>
      <c r="AL16" s="333">
        <v>0</v>
      </c>
      <c r="AM16" s="333">
        <v>0</v>
      </c>
      <c r="AN16" s="333">
        <v>0</v>
      </c>
      <c r="AO16" s="333">
        <v>0</v>
      </c>
      <c r="AP16" s="333">
        <v>0</v>
      </c>
      <c r="AQ16" s="333">
        <v>0</v>
      </c>
      <c r="AR16" s="335">
        <v>1500</v>
      </c>
      <c r="AS16" s="335">
        <v>0</v>
      </c>
      <c r="AT16" s="335">
        <v>0</v>
      </c>
      <c r="AU16" s="335">
        <v>0</v>
      </c>
      <c r="AV16" s="335"/>
      <c r="AW16" s="335"/>
      <c r="AX16" s="352">
        <f t="shared" si="21"/>
        <v>1500</v>
      </c>
      <c r="AY16" s="353">
        <f t="shared" ref="AY16" si="42">IFERROR((+AX16/N16),0)</f>
        <v>6.1475409836065573E-2</v>
      </c>
      <c r="AZ16" s="352">
        <f t="shared" ref="AZ16" si="43">+AX16-BD16</f>
        <v>-22900</v>
      </c>
      <c r="BA16" s="353">
        <f t="shared" ref="BA16" si="44">+AZ16/N16</f>
        <v>-0.93852459016393441</v>
      </c>
      <c r="BB16" s="354">
        <f t="shared" ref="BB16" si="45">+M16-AX16</f>
        <v>485500</v>
      </c>
      <c r="BC16" s="355">
        <f t="shared" ref="BC16" si="46">+BB16/M16</f>
        <v>0.99691991786447642</v>
      </c>
      <c r="BD16" s="356">
        <f t="shared" ref="BD16" si="47">IF(BE16="Vendido",N16*1,IF(BE16="Disponible",N16*0,IF(BE16="Enganche Completado",N16*1,IF(BE16="Superávit de Enganche",N16*1,0))))</f>
        <v>24400</v>
      </c>
      <c r="BE16" s="357" t="str">
        <f t="shared" ref="BE16" si="48">IF(J16=0,"Apartamento Disponible",IF(J16&gt;1,"Vendido",0))</f>
        <v>Vendido</v>
      </c>
      <c r="BF16" s="357" t="str">
        <f t="shared" ref="BF16" si="49">IF(AND(BE16="Vendido",K16&gt;=0,BN16&lt;=AX16,AX16&lt;BD16),"Cliente al día",IF(AND(BE16="Vendido",K16&gt;=0,BN16&lt;=AX16,AX16=BD16),"Enganche Completado",IF(AND(BE16="Vendido",K16&gt;=0,BN16&lt;AX16,AX16&gt;BD16),"Superávit de Enganche",IF(AND(BE16="Apartamento Disponible",K16=0,AZ16=0),"Disponible","Cliente Atrasado"))))</f>
        <v>Cliente al día</v>
      </c>
      <c r="BG16" s="358"/>
      <c r="BH16" s="358"/>
      <c r="BI16" s="358">
        <f t="shared" ref="BI16" si="50">+BG16+BH16</f>
        <v>0</v>
      </c>
      <c r="BJ16" s="340"/>
      <c r="BK16" s="365"/>
      <c r="BL16" s="357">
        <f t="shared" ref="BL16" si="51">COUNTIFS(O16:AO16,"&gt;0.01",O16:AO16,"&lt;" &amp; BJ16)</f>
        <v>0</v>
      </c>
      <c r="BM16" s="359">
        <f t="shared" si="23"/>
        <v>0</v>
      </c>
      <c r="BN16" s="360">
        <f t="shared" ref="BN16" si="52">(BM16*BK16)+BJ16</f>
        <v>0</v>
      </c>
      <c r="BO16" s="359">
        <f t="shared" ref="BO16" si="53">SUMIF(O16:AP16,"&lt;=" &amp; BK16,O16:AP16)</f>
        <v>0</v>
      </c>
      <c r="BP16" s="359">
        <f t="shared" ref="BP16" si="54">SUMIF(O16:AP16,"&gt;" &amp; BK16,O16:AP16)</f>
        <v>0</v>
      </c>
      <c r="BQ16" s="359">
        <f t="shared" ref="BQ16" si="55">AX16-BO16-BP16</f>
        <v>1500</v>
      </c>
      <c r="BR16" s="359">
        <f t="shared" ref="BR16" si="56">IF(AX16&gt;BN16,AX16-BN16,0)</f>
        <v>1500</v>
      </c>
      <c r="BS16" s="359">
        <f t="shared" ref="BS16" si="57">IF(AX16&lt;BN16,BN16-AX16,0)</f>
        <v>0</v>
      </c>
      <c r="BT16" s="361" t="e">
        <f t="shared" ref="BT16" si="58">ROUNDUP(IF(K16&gt;0,BS16/BK16,0),0)</f>
        <v>#DIV/0!</v>
      </c>
      <c r="BU16" s="337"/>
      <c r="BV16" s="337"/>
    </row>
    <row r="17" spans="1:74" x14ac:dyDescent="0.25">
      <c r="A17" s="846" t="s">
        <v>1096</v>
      </c>
      <c r="F17" s="844">
        <v>113</v>
      </c>
      <c r="G17" s="336" t="s">
        <v>146</v>
      </c>
      <c r="H17" s="336" t="s">
        <v>146</v>
      </c>
      <c r="I17" s="336" t="s">
        <v>203</v>
      </c>
      <c r="J17" s="337" t="s">
        <v>1097</v>
      </c>
      <c r="K17" s="338">
        <v>45875</v>
      </c>
      <c r="L17" s="336" t="s">
        <v>128</v>
      </c>
      <c r="M17" s="333">
        <v>487000</v>
      </c>
      <c r="N17" s="333">
        <v>24400</v>
      </c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  <c r="AO17" s="333"/>
      <c r="AP17" s="333"/>
      <c r="AQ17" s="333"/>
      <c r="AR17" s="339">
        <v>1500</v>
      </c>
      <c r="AS17" s="335">
        <v>1431.25</v>
      </c>
      <c r="AT17" s="335">
        <v>1431.25</v>
      </c>
      <c r="AU17" s="335">
        <v>1431.25</v>
      </c>
      <c r="AV17" s="339">
        <f>1431.25+1431.25</f>
        <v>2862.5</v>
      </c>
      <c r="AW17" s="339"/>
      <c r="AX17" s="352">
        <f t="shared" si="21"/>
        <v>8656.25</v>
      </c>
      <c r="AY17" s="353">
        <f t="shared" ref="AY17" si="59">IFERROR((+AX17/N17),0)</f>
        <v>0.35476434426229508</v>
      </c>
      <c r="AZ17" s="352">
        <f t="shared" ref="AZ17" si="60">+AX17-BD17</f>
        <v>-15743.75</v>
      </c>
      <c r="BA17" s="353">
        <f t="shared" ref="BA17" si="61">+AZ17/N17</f>
        <v>-0.64523565573770492</v>
      </c>
      <c r="BB17" s="354">
        <f t="shared" ref="BB17" si="62">+M17-AX17</f>
        <v>478343.75</v>
      </c>
      <c r="BC17" s="355">
        <f t="shared" ref="BC17" si="63">+BB17/M17</f>
        <v>0.98222535934291577</v>
      </c>
      <c r="BD17" s="356">
        <f t="shared" ref="BD17" si="64">IF(BE17="Vendido",N17*1,IF(BE17="Disponible",N17*0,IF(BE17="Enganche Completado",N17*1,IF(BE17="Superávit de Enganche",N17*1,0))))</f>
        <v>24400</v>
      </c>
      <c r="BE17" s="357" t="str">
        <f t="shared" ref="BE17" si="65">IF(J17=0,"Apartamento Disponible",IF(J17&gt;1,"Vendido",0))</f>
        <v>Vendido</v>
      </c>
      <c r="BF17" s="357" t="str">
        <f>IF(AND(BE17="Vendido",K17&gt;=0,BN17&lt;=AX17,AX17&lt;BD17),"Cliente al día",IF(AND(BE17="Vendido",K17&gt;=0,BN17&lt;=AX17,AX17=BD17),"Enganche Completado",IF(AND(BE17="Vendido",K17&gt;=0,BN17&lt;AX17,AX17&gt;BD17),"Superávit de Enganche",IF(AND(BE17="Apartamento Disponible",K17=0,AZ17=0),"Disponible","Cliente Atrasado"))))</f>
        <v>Cliente al día</v>
      </c>
      <c r="BG17" s="358"/>
      <c r="BH17" s="358"/>
      <c r="BI17" s="358">
        <f t="shared" ref="BI17" si="66">+BG17+BH17</f>
        <v>0</v>
      </c>
      <c r="BJ17" s="340"/>
      <c r="BK17" s="365"/>
      <c r="BL17" s="357">
        <f t="shared" ref="BL17" si="67">COUNTIFS(O17:AO17,"&gt;0.01",O17:AO17,"&lt;" &amp; BJ17)</f>
        <v>0</v>
      </c>
      <c r="BM17" s="359">
        <f t="shared" si="23"/>
        <v>0</v>
      </c>
      <c r="BN17" s="360">
        <f t="shared" ref="BN17" si="68">(BM17*BK17)+BJ17</f>
        <v>0</v>
      </c>
      <c r="BO17" s="359">
        <f t="shared" ref="BO17" si="69">SUMIF(O17:AP17,"&lt;=" &amp; BK17,O17:AP17)</f>
        <v>0</v>
      </c>
      <c r="BP17" s="359">
        <f t="shared" ref="BP17" si="70">SUMIF(O17:AP17,"&gt;" &amp; BK17,O17:AP17)</f>
        <v>0</v>
      </c>
      <c r="BQ17" s="359">
        <f t="shared" ref="BQ17" si="71">AX17-BO17-BP17</f>
        <v>8656.25</v>
      </c>
      <c r="BR17" s="359">
        <f t="shared" ref="BR17" si="72">IF(AX17&gt;BN17,AX17-BN17,0)</f>
        <v>8656.25</v>
      </c>
      <c r="BS17" s="359">
        <f t="shared" ref="BS17" si="73">IF(AX17&lt;BN17,BN17-AX17,0)</f>
        <v>0</v>
      </c>
      <c r="BT17" s="361" t="e">
        <f t="shared" ref="BT17" si="74">ROUNDUP(IF(K17&gt;0,BS17/BK17,0),0)</f>
        <v>#DIV/0!</v>
      </c>
      <c r="BU17" s="337"/>
      <c r="BV17" s="337"/>
    </row>
    <row r="18" spans="1:74" x14ac:dyDescent="0.25">
      <c r="A18" s="846" t="s">
        <v>1098</v>
      </c>
      <c r="B18" s="86" t="s">
        <v>925</v>
      </c>
      <c r="F18" s="336">
        <v>201</v>
      </c>
      <c r="G18" s="336" t="s">
        <v>145</v>
      </c>
      <c r="H18" s="336" t="s">
        <v>146</v>
      </c>
      <c r="I18" s="336" t="s">
        <v>908</v>
      </c>
      <c r="J18" s="337" t="s">
        <v>931</v>
      </c>
      <c r="K18" s="338">
        <v>45389</v>
      </c>
      <c r="L18" s="336" t="s">
        <v>128</v>
      </c>
      <c r="M18" s="333">
        <v>477700</v>
      </c>
      <c r="N18" s="333">
        <v>24000</v>
      </c>
      <c r="O18" s="333">
        <v>0</v>
      </c>
      <c r="P18" s="333">
        <v>0</v>
      </c>
      <c r="Q18" s="333">
        <v>0</v>
      </c>
      <c r="R18" s="333">
        <v>0</v>
      </c>
      <c r="S18" s="333">
        <v>0</v>
      </c>
      <c r="T18" s="333">
        <v>0</v>
      </c>
      <c r="U18" s="333">
        <v>0</v>
      </c>
      <c r="V18" s="333">
        <v>0</v>
      </c>
      <c r="W18" s="333">
        <v>0</v>
      </c>
      <c r="X18" s="333">
        <v>0</v>
      </c>
      <c r="Y18" s="333">
        <v>0</v>
      </c>
      <c r="Z18" s="333">
        <v>0</v>
      </c>
      <c r="AA18" s="333">
        <v>0</v>
      </c>
      <c r="AB18" s="333">
        <v>1500</v>
      </c>
      <c r="AC18" s="333">
        <v>546</v>
      </c>
      <c r="AD18" s="333">
        <v>1046</v>
      </c>
      <c r="AE18" s="333">
        <v>1046</v>
      </c>
      <c r="AF18" s="333">
        <v>1046</v>
      </c>
      <c r="AG18" s="333">
        <v>1045</v>
      </c>
      <c r="AH18" s="333">
        <v>1045</v>
      </c>
      <c r="AI18" s="333">
        <v>1046</v>
      </c>
      <c r="AJ18" s="333">
        <v>1046</v>
      </c>
      <c r="AK18" s="333">
        <v>1046</v>
      </c>
      <c r="AL18" s="333">
        <v>1046</v>
      </c>
      <c r="AM18" s="333">
        <v>1046</v>
      </c>
      <c r="AN18" s="333">
        <v>1046</v>
      </c>
      <c r="AO18" s="334">
        <v>1046</v>
      </c>
      <c r="AP18" s="335">
        <v>1046</v>
      </c>
      <c r="AQ18" s="335">
        <v>1046</v>
      </c>
      <c r="AR18" s="335">
        <v>1046</v>
      </c>
      <c r="AS18" s="335">
        <v>1046</v>
      </c>
      <c r="AT18" s="335">
        <v>1046</v>
      </c>
      <c r="AU18" s="335">
        <v>0</v>
      </c>
      <c r="AV18" s="335">
        <v>1046</v>
      </c>
      <c r="AW18" s="335">
        <v>1046</v>
      </c>
      <c r="AX18" s="352">
        <f t="shared" si="21"/>
        <v>21918</v>
      </c>
      <c r="AY18" s="353">
        <f t="shared" si="4"/>
        <v>0.91325000000000001</v>
      </c>
      <c r="AZ18" s="352">
        <f t="shared" si="5"/>
        <v>-2082</v>
      </c>
      <c r="BA18" s="353">
        <f t="shared" si="6"/>
        <v>-8.6749999999999994E-2</v>
      </c>
      <c r="BB18" s="354">
        <f t="shared" si="7"/>
        <v>455782</v>
      </c>
      <c r="BC18" s="355">
        <f t="shared" si="8"/>
        <v>0.95411764705882351</v>
      </c>
      <c r="BD18" s="356">
        <f t="shared" si="9"/>
        <v>24000</v>
      </c>
      <c r="BE18" s="357" t="str">
        <f t="shared" si="10"/>
        <v>Vendido</v>
      </c>
      <c r="BF18" s="357" t="str">
        <f t="shared" si="11"/>
        <v>Cliente al día</v>
      </c>
      <c r="BG18" s="358">
        <v>22</v>
      </c>
      <c r="BH18" s="358">
        <f t="shared" ref="BH18:BH23" si="75">IF(BG18&gt;1,1,0)</f>
        <v>1</v>
      </c>
      <c r="BI18" s="358">
        <f t="shared" si="13"/>
        <v>23</v>
      </c>
      <c r="BJ18" s="340">
        <v>1000</v>
      </c>
      <c r="BK18" s="365">
        <v>1045.45</v>
      </c>
      <c r="BL18" s="357">
        <f t="shared" si="22"/>
        <v>1</v>
      </c>
      <c r="BM18" s="359">
        <f t="shared" si="23"/>
        <v>16</v>
      </c>
      <c r="BN18" s="360">
        <f t="shared" si="14"/>
        <v>17727.2</v>
      </c>
      <c r="BO18" s="359">
        <f t="shared" si="15"/>
        <v>2636</v>
      </c>
      <c r="BP18" s="359">
        <f t="shared" si="16"/>
        <v>13006</v>
      </c>
      <c r="BQ18" s="359">
        <f t="shared" si="17"/>
        <v>6276</v>
      </c>
      <c r="BR18" s="359">
        <f t="shared" si="18"/>
        <v>4190.7999999999993</v>
      </c>
      <c r="BS18" s="359">
        <f t="shared" si="19"/>
        <v>0</v>
      </c>
      <c r="BT18" s="361">
        <f t="shared" si="20"/>
        <v>0</v>
      </c>
      <c r="BU18" s="337"/>
      <c r="BV18" s="337"/>
    </row>
    <row r="19" spans="1:74" x14ac:dyDescent="0.25">
      <c r="A19" s="846" t="s">
        <v>1099</v>
      </c>
      <c r="B19" s="86" t="s">
        <v>930</v>
      </c>
      <c r="F19" s="336">
        <v>202</v>
      </c>
      <c r="G19" s="336" t="s">
        <v>145</v>
      </c>
      <c r="H19" s="336" t="s">
        <v>913</v>
      </c>
      <c r="I19" s="336" t="s">
        <v>921</v>
      </c>
      <c r="J19" s="337" t="s">
        <v>935</v>
      </c>
      <c r="K19" s="338">
        <v>45257</v>
      </c>
      <c r="L19" s="336" t="s">
        <v>128</v>
      </c>
      <c r="M19" s="333">
        <v>497900</v>
      </c>
      <c r="N19" s="333">
        <v>49800</v>
      </c>
      <c r="O19" s="333">
        <v>0</v>
      </c>
      <c r="P19" s="333">
        <v>0</v>
      </c>
      <c r="Q19" s="333">
        <v>0</v>
      </c>
      <c r="R19" s="333">
        <v>0</v>
      </c>
      <c r="S19" s="333">
        <v>0</v>
      </c>
      <c r="T19" s="333">
        <v>0</v>
      </c>
      <c r="U19" s="333">
        <v>0</v>
      </c>
      <c r="V19" s="333">
        <v>0</v>
      </c>
      <c r="W19" s="333">
        <v>500</v>
      </c>
      <c r="X19" s="333">
        <v>2240.91</v>
      </c>
      <c r="Y19" s="333">
        <v>2240.91</v>
      </c>
      <c r="Z19" s="333">
        <v>2240.91</v>
      </c>
      <c r="AA19" s="333">
        <v>2240.91</v>
      </c>
      <c r="AB19" s="333">
        <v>2240.91</v>
      </c>
      <c r="AC19" s="333">
        <v>2240.91</v>
      </c>
      <c r="AD19" s="333">
        <v>2240.91</v>
      </c>
      <c r="AE19" s="333">
        <v>2240.91</v>
      </c>
      <c r="AF19" s="333">
        <v>2240.91</v>
      </c>
      <c r="AG19" s="333">
        <v>2240.91</v>
      </c>
      <c r="AH19" s="333">
        <v>2240.91</v>
      </c>
      <c r="AI19" s="333">
        <v>2240.91</v>
      </c>
      <c r="AJ19" s="333">
        <v>2240.91</v>
      </c>
      <c r="AK19" s="333">
        <v>2240.91</v>
      </c>
      <c r="AL19" s="333">
        <v>2240.91</v>
      </c>
      <c r="AM19" s="333">
        <v>2240.91</v>
      </c>
      <c r="AN19" s="333">
        <v>2240.91</v>
      </c>
      <c r="AO19" s="334">
        <v>2240.91</v>
      </c>
      <c r="AP19" s="335">
        <v>2240.91</v>
      </c>
      <c r="AQ19" s="335">
        <v>2240.91</v>
      </c>
      <c r="AR19" s="335">
        <v>2240.91</v>
      </c>
      <c r="AS19" s="335">
        <v>2240.91</v>
      </c>
      <c r="AT19" s="335">
        <v>0</v>
      </c>
      <c r="AU19" s="335">
        <v>0</v>
      </c>
      <c r="AV19" s="335"/>
      <c r="AW19" s="335"/>
      <c r="AX19" s="352">
        <f t="shared" si="21"/>
        <v>49800.020000000019</v>
      </c>
      <c r="AY19" s="353">
        <f t="shared" si="4"/>
        <v>1.0000004016064261</v>
      </c>
      <c r="AZ19" s="352">
        <f t="shared" si="5"/>
        <v>2.0000000018626451E-2</v>
      </c>
      <c r="BA19" s="353">
        <f t="shared" si="6"/>
        <v>4.0160642607683638E-7</v>
      </c>
      <c r="BB19" s="354">
        <f t="shared" si="7"/>
        <v>448099.98</v>
      </c>
      <c r="BC19" s="355">
        <f t="shared" si="8"/>
        <v>0.89997987547700342</v>
      </c>
      <c r="BD19" s="356">
        <f t="shared" si="9"/>
        <v>49800</v>
      </c>
      <c r="BE19" s="357" t="str">
        <f t="shared" si="10"/>
        <v>Vendido</v>
      </c>
      <c r="BF19" s="357" t="str">
        <f t="shared" si="11"/>
        <v>Superávit de Enganche</v>
      </c>
      <c r="BG19" s="358">
        <v>22</v>
      </c>
      <c r="BH19" s="358">
        <f t="shared" si="75"/>
        <v>1</v>
      </c>
      <c r="BI19" s="358">
        <f t="shared" si="13"/>
        <v>23</v>
      </c>
      <c r="BJ19" s="340">
        <v>500</v>
      </c>
      <c r="BK19" s="365">
        <v>2240.91</v>
      </c>
      <c r="BL19" s="357">
        <f t="shared" si="22"/>
        <v>0</v>
      </c>
      <c r="BM19" s="359">
        <f t="shared" si="23"/>
        <v>21</v>
      </c>
      <c r="BN19" s="360">
        <f t="shared" si="14"/>
        <v>47559.11</v>
      </c>
      <c r="BO19" s="359">
        <f t="shared" si="15"/>
        <v>43077.290000000008</v>
      </c>
      <c r="BP19" s="359">
        <f t="shared" si="16"/>
        <v>0</v>
      </c>
      <c r="BQ19" s="359">
        <f t="shared" si="17"/>
        <v>6722.7300000000105</v>
      </c>
      <c r="BR19" s="359">
        <f t="shared" si="18"/>
        <v>2240.910000000018</v>
      </c>
      <c r="BS19" s="359">
        <f t="shared" si="19"/>
        <v>0</v>
      </c>
      <c r="BT19" s="361">
        <f t="shared" si="20"/>
        <v>0</v>
      </c>
      <c r="BU19" s="337"/>
      <c r="BV19" s="337"/>
    </row>
    <row r="20" spans="1:74" x14ac:dyDescent="0.25">
      <c r="A20" s="846" t="s">
        <v>1100</v>
      </c>
      <c r="B20" s="86" t="s">
        <v>934</v>
      </c>
      <c r="F20" s="336">
        <v>203</v>
      </c>
      <c r="G20" s="336" t="s">
        <v>145</v>
      </c>
      <c r="H20" s="336" t="s">
        <v>913</v>
      </c>
      <c r="I20" s="336" t="s">
        <v>147</v>
      </c>
      <c r="J20" s="337" t="s">
        <v>937</v>
      </c>
      <c r="K20" s="338">
        <v>45479</v>
      </c>
      <c r="L20" s="336" t="s">
        <v>128</v>
      </c>
      <c r="M20" s="333">
        <v>477000</v>
      </c>
      <c r="N20" s="333">
        <v>24000</v>
      </c>
      <c r="O20" s="333">
        <v>0</v>
      </c>
      <c r="P20" s="333">
        <v>0</v>
      </c>
      <c r="Q20" s="333">
        <v>0</v>
      </c>
      <c r="R20" s="333">
        <v>0</v>
      </c>
      <c r="S20" s="333">
        <v>0</v>
      </c>
      <c r="T20" s="333">
        <v>0</v>
      </c>
      <c r="U20" s="333">
        <v>0</v>
      </c>
      <c r="V20" s="333">
        <v>0</v>
      </c>
      <c r="W20" s="333">
        <v>0</v>
      </c>
      <c r="X20" s="333">
        <v>0</v>
      </c>
      <c r="Y20" s="333">
        <v>0</v>
      </c>
      <c r="Z20" s="333">
        <v>0</v>
      </c>
      <c r="AA20" s="333">
        <v>0</v>
      </c>
      <c r="AB20" s="333">
        <v>0</v>
      </c>
      <c r="AC20" s="333">
        <v>0</v>
      </c>
      <c r="AD20" s="333">
        <v>0</v>
      </c>
      <c r="AE20" s="333">
        <v>1500</v>
      </c>
      <c r="AF20" s="333">
        <v>1323.53</v>
      </c>
      <c r="AG20" s="333">
        <v>0</v>
      </c>
      <c r="AH20" s="333">
        <v>0</v>
      </c>
      <c r="AI20" s="333">
        <f>1323.53+1323.53</f>
        <v>2647.06</v>
      </c>
      <c r="AJ20" s="333">
        <v>1323.53</v>
      </c>
      <c r="AK20" s="333">
        <v>1323.53</v>
      </c>
      <c r="AL20" s="333">
        <v>0</v>
      </c>
      <c r="AM20" s="333">
        <f>1323.53+1323.53</f>
        <v>2647.06</v>
      </c>
      <c r="AN20" s="333">
        <v>1323.53</v>
      </c>
      <c r="AO20" s="333"/>
      <c r="AP20" s="335">
        <v>1323.53</v>
      </c>
      <c r="AQ20" s="335"/>
      <c r="AR20" s="335">
        <v>1323.53</v>
      </c>
      <c r="AS20" s="335">
        <v>1323.53</v>
      </c>
      <c r="AT20" s="335">
        <v>1323.53</v>
      </c>
      <c r="AU20" s="335">
        <v>0</v>
      </c>
      <c r="AV20" s="335">
        <v>1323.52</v>
      </c>
      <c r="AW20" s="335"/>
      <c r="AX20" s="352">
        <f t="shared" si="21"/>
        <v>18705.88</v>
      </c>
      <c r="AY20" s="353">
        <f t="shared" si="4"/>
        <v>0.77941166666666672</v>
      </c>
      <c r="AZ20" s="352">
        <f t="shared" si="5"/>
        <v>-5294.119999999999</v>
      </c>
      <c r="BA20" s="353">
        <f t="shared" si="6"/>
        <v>-0.2205883333333333</v>
      </c>
      <c r="BB20" s="354">
        <f t="shared" si="7"/>
        <v>458294.12</v>
      </c>
      <c r="BC20" s="355">
        <f t="shared" si="8"/>
        <v>0.96078431865828096</v>
      </c>
      <c r="BD20" s="356">
        <f t="shared" si="9"/>
        <v>24000</v>
      </c>
      <c r="BE20" s="357" t="str">
        <f t="shared" si="10"/>
        <v>Vendido</v>
      </c>
      <c r="BF20" s="357" t="str">
        <f t="shared" si="11"/>
        <v>Cliente Atrasado</v>
      </c>
      <c r="BG20" s="358">
        <v>16</v>
      </c>
      <c r="BH20" s="358">
        <f t="shared" si="75"/>
        <v>1</v>
      </c>
      <c r="BI20" s="358">
        <f t="shared" si="13"/>
        <v>17</v>
      </c>
      <c r="BJ20" s="340">
        <v>1500</v>
      </c>
      <c r="BK20" s="365">
        <v>1323.53</v>
      </c>
      <c r="BL20" s="357">
        <f t="shared" si="22"/>
        <v>4</v>
      </c>
      <c r="BM20" s="359">
        <f t="shared" si="23"/>
        <v>13</v>
      </c>
      <c r="BN20" s="360">
        <f t="shared" si="14"/>
        <v>18705.89</v>
      </c>
      <c r="BO20" s="359">
        <f t="shared" si="15"/>
        <v>6617.65</v>
      </c>
      <c r="BP20" s="359">
        <f t="shared" si="16"/>
        <v>6794.119999999999</v>
      </c>
      <c r="BQ20" s="359">
        <f t="shared" si="17"/>
        <v>5294.1100000000024</v>
      </c>
      <c r="BR20" s="359">
        <f t="shared" si="18"/>
        <v>0</v>
      </c>
      <c r="BS20" s="359">
        <f t="shared" si="19"/>
        <v>9.9999999983992893E-3</v>
      </c>
      <c r="BT20" s="361">
        <f t="shared" si="20"/>
        <v>1</v>
      </c>
      <c r="BU20" s="337"/>
      <c r="BV20" s="337"/>
    </row>
    <row r="21" spans="1:74" x14ac:dyDescent="0.25">
      <c r="A21" s="846" t="s">
        <v>1101</v>
      </c>
      <c r="B21" s="86" t="s">
        <v>936</v>
      </c>
      <c r="F21" s="336">
        <v>204</v>
      </c>
      <c r="G21" s="336" t="s">
        <v>145</v>
      </c>
      <c r="H21" s="336" t="s">
        <v>146</v>
      </c>
      <c r="I21" s="336" t="s">
        <v>147</v>
      </c>
      <c r="J21" s="337" t="s">
        <v>939</v>
      </c>
      <c r="K21" s="338">
        <v>45479</v>
      </c>
      <c r="L21" s="336" t="s">
        <v>128</v>
      </c>
      <c r="M21" s="333">
        <v>477700</v>
      </c>
      <c r="N21" s="333">
        <v>24000</v>
      </c>
      <c r="O21" s="333">
        <v>0</v>
      </c>
      <c r="P21" s="333">
        <v>0</v>
      </c>
      <c r="Q21" s="333">
        <v>0</v>
      </c>
      <c r="R21" s="333">
        <v>0</v>
      </c>
      <c r="S21" s="333">
        <v>0</v>
      </c>
      <c r="T21" s="333">
        <v>0</v>
      </c>
      <c r="U21" s="333">
        <v>0</v>
      </c>
      <c r="V21" s="333">
        <v>0</v>
      </c>
      <c r="W21" s="333">
        <v>0</v>
      </c>
      <c r="X21" s="333">
        <v>0</v>
      </c>
      <c r="Y21" s="333">
        <v>0</v>
      </c>
      <c r="Z21" s="333">
        <v>0</v>
      </c>
      <c r="AA21" s="333">
        <v>0</v>
      </c>
      <c r="AB21" s="333">
        <v>0</v>
      </c>
      <c r="AC21" s="333">
        <v>0</v>
      </c>
      <c r="AD21" s="333">
        <v>0</v>
      </c>
      <c r="AE21" s="333">
        <v>1500</v>
      </c>
      <c r="AF21" s="333">
        <v>1323.53</v>
      </c>
      <c r="AG21" s="333">
        <v>1323.53</v>
      </c>
      <c r="AH21" s="333">
        <v>1323.53</v>
      </c>
      <c r="AI21" s="333">
        <v>1323.53</v>
      </c>
      <c r="AJ21" s="333">
        <v>1323.53</v>
      </c>
      <c r="AK21" s="333">
        <v>1323.53</v>
      </c>
      <c r="AL21" s="333">
        <v>1323.53</v>
      </c>
      <c r="AM21" s="333">
        <v>1323.53</v>
      </c>
      <c r="AN21" s="340"/>
      <c r="AO21" s="341">
        <f>1323.53+1323.53</f>
        <v>2647.06</v>
      </c>
      <c r="AP21" s="341"/>
      <c r="AQ21" s="335">
        <f>1323.53+1323.53</f>
        <v>2647.06</v>
      </c>
      <c r="AR21" s="335">
        <v>1323.53</v>
      </c>
      <c r="AS21" s="335">
        <v>1323.53</v>
      </c>
      <c r="AT21" s="335">
        <v>1323.53</v>
      </c>
      <c r="AU21" s="335">
        <v>0</v>
      </c>
      <c r="AV21" s="335">
        <v>1323.54</v>
      </c>
      <c r="AW21" s="335"/>
      <c r="AX21" s="352">
        <f t="shared" si="21"/>
        <v>22676.489999999998</v>
      </c>
      <c r="AY21" s="353">
        <f t="shared" si="4"/>
        <v>0.94485374999999994</v>
      </c>
      <c r="AZ21" s="352">
        <f t="shared" si="5"/>
        <v>-1323.510000000002</v>
      </c>
      <c r="BA21" s="353">
        <f t="shared" si="6"/>
        <v>-5.5146250000000084E-2</v>
      </c>
      <c r="BB21" s="354">
        <f t="shared" si="7"/>
        <v>455023.51</v>
      </c>
      <c r="BC21" s="355">
        <f t="shared" si="8"/>
        <v>0.95252985137115342</v>
      </c>
      <c r="BD21" s="356">
        <f t="shared" si="9"/>
        <v>24000</v>
      </c>
      <c r="BE21" s="357" t="str">
        <f t="shared" si="10"/>
        <v>Vendido</v>
      </c>
      <c r="BF21" s="357" t="str">
        <f t="shared" si="11"/>
        <v>Cliente al día</v>
      </c>
      <c r="BG21" s="358">
        <v>16</v>
      </c>
      <c r="BH21" s="358">
        <f t="shared" si="75"/>
        <v>1</v>
      </c>
      <c r="BI21" s="358">
        <f t="shared" si="13"/>
        <v>17</v>
      </c>
      <c r="BJ21" s="340">
        <v>1500</v>
      </c>
      <c r="BK21" s="365">
        <v>1323.53</v>
      </c>
      <c r="BL21" s="357">
        <f t="shared" si="22"/>
        <v>8</v>
      </c>
      <c r="BM21" s="359">
        <f t="shared" si="23"/>
        <v>13</v>
      </c>
      <c r="BN21" s="360">
        <f t="shared" si="14"/>
        <v>18705.89</v>
      </c>
      <c r="BO21" s="359">
        <f t="shared" si="15"/>
        <v>10588.24</v>
      </c>
      <c r="BP21" s="359">
        <f t="shared" si="16"/>
        <v>4147.0599999999995</v>
      </c>
      <c r="BQ21" s="359">
        <f t="shared" si="17"/>
        <v>7941.1899999999987</v>
      </c>
      <c r="BR21" s="359">
        <f t="shared" si="18"/>
        <v>3970.5999999999985</v>
      </c>
      <c r="BS21" s="359">
        <f t="shared" si="19"/>
        <v>0</v>
      </c>
      <c r="BT21" s="361">
        <f t="shared" si="20"/>
        <v>0</v>
      </c>
      <c r="BU21" s="337"/>
      <c r="BV21" s="337"/>
    </row>
    <row r="22" spans="1:74" x14ac:dyDescent="0.25">
      <c r="A22" s="846" t="s">
        <v>1102</v>
      </c>
      <c r="B22" s="86" t="s">
        <v>938</v>
      </c>
      <c r="F22" s="336">
        <v>205</v>
      </c>
      <c r="G22" s="336" t="s">
        <v>145</v>
      </c>
      <c r="H22" s="336" t="s">
        <v>145</v>
      </c>
      <c r="I22" s="336" t="s">
        <v>147</v>
      </c>
      <c r="J22" s="337" t="s">
        <v>943</v>
      </c>
      <c r="K22" s="338">
        <v>45239</v>
      </c>
      <c r="L22" s="336" t="s">
        <v>128</v>
      </c>
      <c r="M22" s="333">
        <v>384700</v>
      </c>
      <c r="N22" s="333">
        <v>38500</v>
      </c>
      <c r="O22" s="333">
        <v>0</v>
      </c>
      <c r="P22" s="333">
        <v>0</v>
      </c>
      <c r="Q22" s="333">
        <v>0</v>
      </c>
      <c r="R22" s="333">
        <v>0</v>
      </c>
      <c r="S22" s="333">
        <v>0</v>
      </c>
      <c r="T22" s="333">
        <v>0</v>
      </c>
      <c r="U22" s="333">
        <v>0</v>
      </c>
      <c r="V22" s="333">
        <v>0</v>
      </c>
      <c r="W22" s="333">
        <v>1000</v>
      </c>
      <c r="X22" s="333">
        <v>1703.18</v>
      </c>
      <c r="Y22" s="333">
        <v>1703.18</v>
      </c>
      <c r="Z22" s="333">
        <v>1703.18</v>
      </c>
      <c r="AA22" s="333">
        <v>1703.18</v>
      </c>
      <c r="AB22" s="333">
        <v>1703.18</v>
      </c>
      <c r="AC22" s="333">
        <v>1703.18</v>
      </c>
      <c r="AD22" s="333">
        <v>1703.18</v>
      </c>
      <c r="AE22" s="333">
        <v>1703.18</v>
      </c>
      <c r="AF22" s="333">
        <v>1703.18</v>
      </c>
      <c r="AG22" s="333">
        <v>1703.18</v>
      </c>
      <c r="AH22" s="333">
        <v>1703.18</v>
      </c>
      <c r="AI22" s="333">
        <v>1703.18</v>
      </c>
      <c r="AJ22" s="333">
        <v>0</v>
      </c>
      <c r="AK22" s="333">
        <f>1703.18+1703.18</f>
        <v>3406.36</v>
      </c>
      <c r="AL22" s="333">
        <v>1703.18</v>
      </c>
      <c r="AM22" s="333">
        <v>0</v>
      </c>
      <c r="AN22" s="333">
        <f>1703.18+1703.18</f>
        <v>3406.36</v>
      </c>
      <c r="AO22" s="334">
        <v>1703.18</v>
      </c>
      <c r="AP22" s="334"/>
      <c r="AQ22" s="335">
        <f>1703.18+1703.18</f>
        <v>3406.36</v>
      </c>
      <c r="AR22" s="335">
        <v>1703.18</v>
      </c>
      <c r="AS22" s="335">
        <v>1703.18</v>
      </c>
      <c r="AT22" s="335">
        <v>0</v>
      </c>
      <c r="AU22" s="335">
        <v>0</v>
      </c>
      <c r="AV22" s="335"/>
      <c r="AW22" s="335"/>
      <c r="AX22" s="352">
        <f t="shared" si="21"/>
        <v>38469.960000000006</v>
      </c>
      <c r="AY22" s="353">
        <f t="shared" si="4"/>
        <v>0.99921974025974047</v>
      </c>
      <c r="AZ22" s="352">
        <f t="shared" si="5"/>
        <v>-30.039999999993597</v>
      </c>
      <c r="BA22" s="353">
        <f t="shared" si="6"/>
        <v>-7.8025974025957396E-4</v>
      </c>
      <c r="BB22" s="354">
        <f t="shared" si="7"/>
        <v>346230.04</v>
      </c>
      <c r="BC22" s="355">
        <f t="shared" si="8"/>
        <v>0.90000010397712493</v>
      </c>
      <c r="BD22" s="356">
        <f t="shared" si="9"/>
        <v>38500</v>
      </c>
      <c r="BE22" s="357" t="str">
        <f t="shared" si="10"/>
        <v>Vendido</v>
      </c>
      <c r="BF22" s="357" t="str">
        <f t="shared" si="11"/>
        <v>Cliente al día</v>
      </c>
      <c r="BG22" s="358">
        <v>22</v>
      </c>
      <c r="BH22" s="358">
        <f t="shared" si="75"/>
        <v>1</v>
      </c>
      <c r="BI22" s="358">
        <f t="shared" si="13"/>
        <v>23</v>
      </c>
      <c r="BJ22" s="340">
        <v>1000</v>
      </c>
      <c r="BK22" s="365">
        <v>1704.55</v>
      </c>
      <c r="BL22" s="357">
        <f t="shared" si="22"/>
        <v>0</v>
      </c>
      <c r="BM22" s="359">
        <f t="shared" si="23"/>
        <v>21</v>
      </c>
      <c r="BN22" s="360">
        <f t="shared" si="14"/>
        <v>36795.549999999996</v>
      </c>
      <c r="BO22" s="359">
        <f t="shared" si="15"/>
        <v>24844.520000000004</v>
      </c>
      <c r="BP22" s="359">
        <f t="shared" si="16"/>
        <v>6812.72</v>
      </c>
      <c r="BQ22" s="359">
        <f t="shared" si="17"/>
        <v>6812.7200000000021</v>
      </c>
      <c r="BR22" s="359">
        <f t="shared" si="18"/>
        <v>1674.4100000000108</v>
      </c>
      <c r="BS22" s="359">
        <f t="shared" si="19"/>
        <v>0</v>
      </c>
      <c r="BT22" s="361">
        <f t="shared" si="20"/>
        <v>0</v>
      </c>
      <c r="BU22" s="337"/>
      <c r="BV22" s="337"/>
    </row>
    <row r="23" spans="1:74" x14ac:dyDescent="0.25">
      <c r="A23" s="846" t="s">
        <v>1103</v>
      </c>
      <c r="B23" s="86" t="s">
        <v>942</v>
      </c>
      <c r="F23" s="336">
        <v>207</v>
      </c>
      <c r="G23" s="336" t="s">
        <v>145</v>
      </c>
      <c r="H23" s="336" t="s">
        <v>146</v>
      </c>
      <c r="I23" s="336" t="s">
        <v>147</v>
      </c>
      <c r="J23" s="337" t="s">
        <v>945</v>
      </c>
      <c r="K23" s="338">
        <v>45224</v>
      </c>
      <c r="L23" s="336" t="s">
        <v>128</v>
      </c>
      <c r="M23" s="333">
        <v>494900</v>
      </c>
      <c r="N23" s="333">
        <v>49500</v>
      </c>
      <c r="O23" s="333">
        <v>0</v>
      </c>
      <c r="P23" s="333">
        <v>0</v>
      </c>
      <c r="Q23" s="333">
        <v>0</v>
      </c>
      <c r="R23" s="333">
        <v>0</v>
      </c>
      <c r="S23" s="333">
        <v>0</v>
      </c>
      <c r="T23" s="333">
        <v>0</v>
      </c>
      <c r="U23" s="333">
        <v>0</v>
      </c>
      <c r="V23" s="333">
        <v>500</v>
      </c>
      <c r="W23" s="333">
        <v>1500</v>
      </c>
      <c r="X23" s="333">
        <v>0</v>
      </c>
      <c r="Y23" s="333">
        <v>2374.5</v>
      </c>
      <c r="Z23" s="333">
        <v>2374.5</v>
      </c>
      <c r="AA23" s="333">
        <v>2374.5</v>
      </c>
      <c r="AB23" s="333">
        <v>2374.5</v>
      </c>
      <c r="AC23" s="333">
        <v>2374.5</v>
      </c>
      <c r="AD23" s="333">
        <v>2374.5</v>
      </c>
      <c r="AE23" s="333">
        <v>2374.5</v>
      </c>
      <c r="AF23" s="333">
        <v>2374.5</v>
      </c>
      <c r="AG23" s="333">
        <v>2374.5</v>
      </c>
      <c r="AH23" s="333">
        <v>2374.5</v>
      </c>
      <c r="AI23" s="333">
        <v>2374.5</v>
      </c>
      <c r="AJ23" s="333">
        <v>2374.5</v>
      </c>
      <c r="AK23" s="333">
        <v>2374.5</v>
      </c>
      <c r="AL23" s="333">
        <v>2374.5</v>
      </c>
      <c r="AM23" s="333">
        <v>2374.5</v>
      </c>
      <c r="AN23" s="333"/>
      <c r="AO23" s="334">
        <v>2374.5</v>
      </c>
      <c r="AP23" s="335">
        <v>2374.5</v>
      </c>
      <c r="AQ23" s="335">
        <v>2374.5</v>
      </c>
      <c r="AR23" s="335">
        <v>2374.5</v>
      </c>
      <c r="AS23" s="335">
        <v>10</v>
      </c>
      <c r="AT23" s="335">
        <v>0</v>
      </c>
      <c r="AU23" s="335">
        <v>0</v>
      </c>
      <c r="AV23" s="335"/>
      <c r="AW23" s="335"/>
      <c r="AX23" s="352">
        <f t="shared" si="21"/>
        <v>47125.5</v>
      </c>
      <c r="AY23" s="353">
        <f t="shared" si="4"/>
        <v>0.952030303030303</v>
      </c>
      <c r="AZ23" s="352">
        <f t="shared" si="5"/>
        <v>-2374.5</v>
      </c>
      <c r="BA23" s="353">
        <f t="shared" si="6"/>
        <v>-4.7969696969696968E-2</v>
      </c>
      <c r="BB23" s="354">
        <f t="shared" si="7"/>
        <v>447774.5</v>
      </c>
      <c r="BC23" s="355">
        <f t="shared" si="8"/>
        <v>0.90477773287532837</v>
      </c>
      <c r="BD23" s="356">
        <f t="shared" si="9"/>
        <v>49500</v>
      </c>
      <c r="BE23" s="357" t="str">
        <f t="shared" si="10"/>
        <v>Vendido</v>
      </c>
      <c r="BF23" s="357" t="str">
        <f t="shared" si="11"/>
        <v>Cliente Atrasado</v>
      </c>
      <c r="BG23" s="358">
        <v>22</v>
      </c>
      <c r="BH23" s="358">
        <f t="shared" si="75"/>
        <v>1</v>
      </c>
      <c r="BI23" s="358">
        <f t="shared" si="13"/>
        <v>23</v>
      </c>
      <c r="BJ23" s="340">
        <v>500</v>
      </c>
      <c r="BK23" s="365">
        <v>2374.5</v>
      </c>
      <c r="BL23" s="357">
        <f t="shared" si="22"/>
        <v>0</v>
      </c>
      <c r="BM23" s="359">
        <f t="shared" si="23"/>
        <v>22</v>
      </c>
      <c r="BN23" s="360">
        <f t="shared" si="14"/>
        <v>52739</v>
      </c>
      <c r="BO23" s="359">
        <f t="shared" si="15"/>
        <v>42366.5</v>
      </c>
      <c r="BP23" s="359">
        <f t="shared" si="16"/>
        <v>0</v>
      </c>
      <c r="BQ23" s="359">
        <f t="shared" si="17"/>
        <v>4759</v>
      </c>
      <c r="BR23" s="359">
        <f t="shared" si="18"/>
        <v>0</v>
      </c>
      <c r="BS23" s="359">
        <f t="shared" si="19"/>
        <v>5613.5</v>
      </c>
      <c r="BT23" s="361">
        <f t="shared" si="20"/>
        <v>3</v>
      </c>
      <c r="BU23" s="337"/>
      <c r="BV23" s="337"/>
    </row>
    <row r="24" spans="1:74" x14ac:dyDescent="0.25">
      <c r="A24" s="846" t="s">
        <v>1104</v>
      </c>
      <c r="B24" s="86" t="s">
        <v>944</v>
      </c>
      <c r="F24" s="336">
        <v>209</v>
      </c>
      <c r="G24" s="336" t="s">
        <v>145</v>
      </c>
      <c r="H24" s="336" t="s">
        <v>913</v>
      </c>
      <c r="I24" s="336" t="s">
        <v>366</v>
      </c>
      <c r="J24" s="337" t="s">
        <v>948</v>
      </c>
      <c r="K24" s="338">
        <v>45579</v>
      </c>
      <c r="L24" s="336" t="s">
        <v>128</v>
      </c>
      <c r="M24" s="333">
        <v>477000</v>
      </c>
      <c r="N24" s="333">
        <v>23900</v>
      </c>
      <c r="O24" s="333">
        <v>0</v>
      </c>
      <c r="P24" s="333">
        <v>0</v>
      </c>
      <c r="Q24" s="333">
        <v>0</v>
      </c>
      <c r="R24" s="333">
        <v>0</v>
      </c>
      <c r="S24" s="333">
        <v>0</v>
      </c>
      <c r="T24" s="333">
        <v>0</v>
      </c>
      <c r="U24" s="333">
        <v>0</v>
      </c>
      <c r="V24" s="333"/>
      <c r="W24" s="333"/>
      <c r="X24" s="333"/>
      <c r="Y24" s="333"/>
      <c r="Z24" s="333"/>
      <c r="AA24" s="333"/>
      <c r="AB24" s="333"/>
      <c r="AC24" s="333"/>
      <c r="AD24" s="333"/>
      <c r="AE24" s="333"/>
      <c r="AF24" s="333"/>
      <c r="AG24" s="333"/>
      <c r="AH24" s="333">
        <v>500</v>
      </c>
      <c r="AI24" s="333">
        <v>1678.57</v>
      </c>
      <c r="AJ24" s="333">
        <v>1678.57</v>
      </c>
      <c r="AK24" s="333">
        <v>1678.57</v>
      </c>
      <c r="AL24" s="333">
        <v>1678.57</v>
      </c>
      <c r="AM24" s="333">
        <v>1678.57</v>
      </c>
      <c r="AN24" s="340">
        <v>1678.57</v>
      </c>
      <c r="AO24" s="341">
        <v>1678.57</v>
      </c>
      <c r="AP24" s="335">
        <v>1678.57</v>
      </c>
      <c r="AQ24" s="335">
        <v>1678.57</v>
      </c>
      <c r="AR24" s="335">
        <v>1678.57</v>
      </c>
      <c r="AS24" s="335">
        <v>1678.57</v>
      </c>
      <c r="AT24" s="335">
        <v>1678.57</v>
      </c>
      <c r="AU24" s="335">
        <v>0</v>
      </c>
      <c r="AV24" s="335">
        <v>1678.57</v>
      </c>
      <c r="AW24" s="335">
        <v>1678.57</v>
      </c>
      <c r="AX24" s="352">
        <f t="shared" si="21"/>
        <v>23999.979999999996</v>
      </c>
      <c r="AY24" s="353">
        <f t="shared" si="4"/>
        <v>1.0041832635983261</v>
      </c>
      <c r="AZ24" s="352">
        <f t="shared" si="5"/>
        <v>99.979999999995925</v>
      </c>
      <c r="BA24" s="353">
        <f t="shared" si="6"/>
        <v>4.1832635983261894E-3</v>
      </c>
      <c r="BB24" s="354">
        <f t="shared" si="7"/>
        <v>453000.02</v>
      </c>
      <c r="BC24" s="355">
        <f t="shared" si="8"/>
        <v>0.94968557651991614</v>
      </c>
      <c r="BD24" s="356">
        <f t="shared" si="9"/>
        <v>23900</v>
      </c>
      <c r="BE24" s="357" t="str">
        <f t="shared" si="10"/>
        <v>Vendido</v>
      </c>
      <c r="BF24" s="357" t="str">
        <f t="shared" si="11"/>
        <v>Superávit de Enganche</v>
      </c>
      <c r="BG24" s="358">
        <v>14</v>
      </c>
      <c r="BH24" s="358">
        <v>1</v>
      </c>
      <c r="BI24" s="358">
        <f t="shared" si="13"/>
        <v>15</v>
      </c>
      <c r="BJ24" s="340">
        <v>500</v>
      </c>
      <c r="BK24" s="365">
        <v>1671.43</v>
      </c>
      <c r="BL24" s="357">
        <f t="shared" si="22"/>
        <v>0</v>
      </c>
      <c r="BM24" s="359">
        <f t="shared" si="23"/>
        <v>10</v>
      </c>
      <c r="BN24" s="360">
        <f t="shared" si="14"/>
        <v>17214.3</v>
      </c>
      <c r="BO24" s="359">
        <f t="shared" si="15"/>
        <v>500</v>
      </c>
      <c r="BP24" s="359">
        <f t="shared" si="16"/>
        <v>13428.56</v>
      </c>
      <c r="BQ24" s="359">
        <f t="shared" si="17"/>
        <v>10071.419999999996</v>
      </c>
      <c r="BR24" s="359">
        <f t="shared" si="18"/>
        <v>6785.6799999999967</v>
      </c>
      <c r="BS24" s="359">
        <f t="shared" si="19"/>
        <v>0</v>
      </c>
      <c r="BT24" s="361">
        <f t="shared" si="20"/>
        <v>0</v>
      </c>
      <c r="BU24" s="337"/>
      <c r="BV24" s="337"/>
    </row>
    <row r="25" spans="1:74" x14ac:dyDescent="0.25">
      <c r="A25" s="846" t="s">
        <v>1105</v>
      </c>
      <c r="B25" s="86" t="s">
        <v>947</v>
      </c>
      <c r="F25" s="342">
        <v>210</v>
      </c>
      <c r="G25" s="336" t="s">
        <v>145</v>
      </c>
      <c r="H25" s="336" t="s">
        <v>146</v>
      </c>
      <c r="I25" s="336" t="s">
        <v>196</v>
      </c>
      <c r="J25" s="337" t="s">
        <v>933</v>
      </c>
      <c r="K25" s="338">
        <v>45569</v>
      </c>
      <c r="L25" s="336" t="s">
        <v>128</v>
      </c>
      <c r="M25" s="333">
        <v>477700</v>
      </c>
      <c r="N25" s="333">
        <v>23900</v>
      </c>
      <c r="O25" s="333">
        <v>0</v>
      </c>
      <c r="P25" s="333">
        <v>0</v>
      </c>
      <c r="Q25" s="333">
        <v>0</v>
      </c>
      <c r="R25" s="333">
        <v>0</v>
      </c>
      <c r="S25" s="333">
        <v>0</v>
      </c>
      <c r="T25" s="333">
        <v>0</v>
      </c>
      <c r="U25" s="333">
        <v>0</v>
      </c>
      <c r="V25" s="333"/>
      <c r="W25" s="333"/>
      <c r="X25" s="333"/>
      <c r="Y25" s="333"/>
      <c r="Z25" s="333"/>
      <c r="AA25" s="333"/>
      <c r="AB25" s="333"/>
      <c r="AC25" s="333"/>
      <c r="AD25" s="333"/>
      <c r="AE25" s="333"/>
      <c r="AF25" s="333"/>
      <c r="AG25" s="333"/>
      <c r="AH25" s="333">
        <v>1493.33</v>
      </c>
      <c r="AI25" s="333">
        <v>1493.33</v>
      </c>
      <c r="AJ25" s="333">
        <v>0</v>
      </c>
      <c r="AK25" s="333">
        <v>0</v>
      </c>
      <c r="AL25" s="333">
        <v>0</v>
      </c>
      <c r="AM25" s="333">
        <v>1493.33</v>
      </c>
      <c r="AN25" s="333">
        <v>1493.33</v>
      </c>
      <c r="AO25" s="333"/>
      <c r="AP25" s="333"/>
      <c r="AQ25" s="333"/>
      <c r="AR25" s="333"/>
      <c r="AS25" s="335">
        <v>0</v>
      </c>
      <c r="AT25" s="335">
        <v>0</v>
      </c>
      <c r="AU25" s="335">
        <v>0</v>
      </c>
      <c r="AV25" s="333"/>
      <c r="AW25" s="333"/>
      <c r="AX25" s="352">
        <f t="shared" si="21"/>
        <v>5973.32</v>
      </c>
      <c r="AY25" s="353">
        <f t="shared" si="4"/>
        <v>0.24992970711297069</v>
      </c>
      <c r="AZ25" s="352">
        <f t="shared" si="5"/>
        <v>-17926.68</v>
      </c>
      <c r="BA25" s="353">
        <f t="shared" si="6"/>
        <v>-0.75007029288702931</v>
      </c>
      <c r="BB25" s="354">
        <f t="shared" si="7"/>
        <v>471726.68</v>
      </c>
      <c r="BC25" s="355">
        <f t="shared" si="8"/>
        <v>0.9874956667364454</v>
      </c>
      <c r="BD25" s="356">
        <f t="shared" si="9"/>
        <v>23900</v>
      </c>
      <c r="BE25" s="357" t="str">
        <f t="shared" si="10"/>
        <v>Vendido</v>
      </c>
      <c r="BF25" s="357" t="str">
        <f t="shared" si="11"/>
        <v>Cliente Atrasado</v>
      </c>
      <c r="BG25" s="358">
        <v>15</v>
      </c>
      <c r="BH25" s="358">
        <f t="shared" ref="BH25:BH37" si="76">IF(BG25&gt;1,1,0)</f>
        <v>1</v>
      </c>
      <c r="BI25" s="358">
        <f t="shared" si="13"/>
        <v>16</v>
      </c>
      <c r="BJ25" s="340">
        <v>1500</v>
      </c>
      <c r="BK25" s="365">
        <v>1493.33</v>
      </c>
      <c r="BL25" s="357">
        <f t="shared" si="22"/>
        <v>4</v>
      </c>
      <c r="BM25" s="359">
        <f t="shared" si="23"/>
        <v>10</v>
      </c>
      <c r="BN25" s="360">
        <f t="shared" si="14"/>
        <v>16433.3</v>
      </c>
      <c r="BO25" s="359">
        <f t="shared" si="15"/>
        <v>5973.32</v>
      </c>
      <c r="BP25" s="359">
        <f t="shared" si="16"/>
        <v>0</v>
      </c>
      <c r="BQ25" s="359">
        <f t="shared" si="17"/>
        <v>0</v>
      </c>
      <c r="BR25" s="359">
        <f t="shared" si="18"/>
        <v>0</v>
      </c>
      <c r="BS25" s="359">
        <f t="shared" si="19"/>
        <v>10459.98</v>
      </c>
      <c r="BT25" s="361">
        <f t="shared" si="20"/>
        <v>8</v>
      </c>
      <c r="BU25" s="337"/>
      <c r="BV25" s="337"/>
    </row>
    <row r="26" spans="1:74" x14ac:dyDescent="0.25">
      <c r="A26" s="846" t="s">
        <v>1106</v>
      </c>
      <c r="F26" s="342">
        <v>211</v>
      </c>
      <c r="G26" s="336" t="s">
        <v>146</v>
      </c>
      <c r="H26" s="336"/>
      <c r="I26" s="336" t="s">
        <v>203</v>
      </c>
      <c r="J26" s="337" t="s">
        <v>1107</v>
      </c>
      <c r="K26" s="338">
        <v>45891</v>
      </c>
      <c r="L26" s="336" t="s">
        <v>128</v>
      </c>
      <c r="M26" s="333">
        <v>492000</v>
      </c>
      <c r="N26" s="333">
        <v>24700</v>
      </c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3"/>
      <c r="AM26" s="333"/>
      <c r="AN26" s="333"/>
      <c r="AO26" s="333"/>
      <c r="AP26" s="333"/>
      <c r="AQ26" s="333"/>
      <c r="AR26" s="335">
        <f>300+1200</f>
        <v>1500</v>
      </c>
      <c r="AS26" s="335">
        <v>1364.71</v>
      </c>
      <c r="AT26" s="335">
        <v>1364.71</v>
      </c>
      <c r="AU26" s="335">
        <v>0</v>
      </c>
      <c r="AV26" s="335">
        <v>1364.71</v>
      </c>
      <c r="AW26" s="335">
        <v>1364.71</v>
      </c>
      <c r="AX26" s="352">
        <f t="shared" si="21"/>
        <v>6958.84</v>
      </c>
      <c r="AY26" s="353">
        <f t="shared" si="4"/>
        <v>0.28173441295546559</v>
      </c>
      <c r="AZ26" s="352">
        <f t="shared" si="5"/>
        <v>-17741.16</v>
      </c>
      <c r="BA26" s="353">
        <f t="shared" si="6"/>
        <v>-0.71826558704453436</v>
      </c>
      <c r="BB26" s="354">
        <f t="shared" si="7"/>
        <v>485041.16</v>
      </c>
      <c r="BC26" s="355">
        <f t="shared" si="8"/>
        <v>0.9858560162601625</v>
      </c>
      <c r="BD26" s="356">
        <f t="shared" si="9"/>
        <v>24700</v>
      </c>
      <c r="BE26" s="357" t="str">
        <f t="shared" si="10"/>
        <v>Vendido</v>
      </c>
      <c r="BF26" s="357" t="str">
        <f t="shared" si="11"/>
        <v>Cliente al día</v>
      </c>
      <c r="BG26" s="358">
        <v>15</v>
      </c>
      <c r="BH26" s="358">
        <f t="shared" si="76"/>
        <v>1</v>
      </c>
      <c r="BI26" s="358">
        <f t="shared" si="13"/>
        <v>16</v>
      </c>
      <c r="BJ26" s="340">
        <v>1500</v>
      </c>
      <c r="BK26" s="365">
        <v>1493.33</v>
      </c>
      <c r="BL26" s="357">
        <f t="shared" si="22"/>
        <v>0</v>
      </c>
      <c r="BM26" s="359">
        <f t="shared" si="23"/>
        <v>0</v>
      </c>
      <c r="BN26" s="360">
        <f t="shared" si="14"/>
        <v>1500</v>
      </c>
      <c r="BO26" s="359">
        <f t="shared" si="15"/>
        <v>0</v>
      </c>
      <c r="BP26" s="359">
        <f t="shared" si="16"/>
        <v>0</v>
      </c>
      <c r="BQ26" s="359">
        <f t="shared" si="17"/>
        <v>6958.84</v>
      </c>
      <c r="BR26" s="359">
        <f t="shared" si="18"/>
        <v>5458.84</v>
      </c>
      <c r="BS26" s="359">
        <f t="shared" si="19"/>
        <v>0</v>
      </c>
      <c r="BT26" s="361">
        <f t="shared" si="20"/>
        <v>0</v>
      </c>
      <c r="BU26" s="337"/>
      <c r="BV26" s="337"/>
    </row>
    <row r="27" spans="1:74" x14ac:dyDescent="0.25">
      <c r="A27" s="846" t="s">
        <v>1108</v>
      </c>
      <c r="F27" s="342">
        <v>212</v>
      </c>
      <c r="G27" s="336" t="s">
        <v>146</v>
      </c>
      <c r="H27" s="336" t="s">
        <v>146</v>
      </c>
      <c r="I27" s="849" t="s">
        <v>1109</v>
      </c>
      <c r="J27" s="337" t="s">
        <v>1110</v>
      </c>
      <c r="K27" s="338">
        <v>45874</v>
      </c>
      <c r="L27" s="336" t="s">
        <v>128</v>
      </c>
      <c r="M27" s="333">
        <v>487700</v>
      </c>
      <c r="N27" s="333">
        <v>24400</v>
      </c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3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  <c r="AM27" s="333"/>
      <c r="AN27" s="333"/>
      <c r="AO27" s="333"/>
      <c r="AP27" s="333"/>
      <c r="AQ27" s="333"/>
      <c r="AR27" s="335">
        <f>750+750</f>
        <v>1500</v>
      </c>
      <c r="AS27" s="335">
        <v>1347.06</v>
      </c>
      <c r="AT27" s="335">
        <v>1347.06</v>
      </c>
      <c r="AU27" s="335">
        <v>0</v>
      </c>
      <c r="AV27" s="335">
        <v>1347.06</v>
      </c>
      <c r="AW27" s="335"/>
      <c r="AX27" s="352">
        <f t="shared" si="21"/>
        <v>5541.18</v>
      </c>
      <c r="AY27" s="353">
        <f t="shared" ref="AY27" si="77">IFERROR((+AX27/N27),0)</f>
        <v>0.22709754098360657</v>
      </c>
      <c r="AZ27" s="352">
        <f t="shared" ref="AZ27" si="78">+AX27-BD27</f>
        <v>-18858.82</v>
      </c>
      <c r="BA27" s="353">
        <f t="shared" ref="BA27" si="79">+AZ27/N27</f>
        <v>-0.77290245901639343</v>
      </c>
      <c r="BB27" s="354">
        <f t="shared" ref="BB27" si="80">+M27-AX27</f>
        <v>482158.82</v>
      </c>
      <c r="BC27" s="355">
        <f t="shared" ref="BC27" si="81">+BB27/M27</f>
        <v>0.98863813819971291</v>
      </c>
      <c r="BD27" s="356">
        <f t="shared" ref="BD27" si="82">IF(BE27="Vendido",N27*1,IF(BE27="Disponible",N27*0,IF(BE27="Enganche Completado",N27*1,IF(BE27="Superávit de Enganche",N27*1,0))))</f>
        <v>24400</v>
      </c>
      <c r="BE27" s="357" t="str">
        <f t="shared" ref="BE27" si="83">IF(J27=0,"Apartamento Disponible",IF(J27&gt;1,"Vendido",0))</f>
        <v>Vendido</v>
      </c>
      <c r="BF27" s="357" t="str">
        <f t="shared" ref="BF27" si="84">IF(AND(BE27="Vendido",K27&gt;=0,BN27&lt;=AX27,AX27&lt;BD27),"Cliente al día",IF(AND(BE27="Vendido",K27&gt;=0,BN27&lt;=AX27,AX27=BD27),"Enganche Completado",IF(AND(BE27="Vendido",K27&gt;=0,BN27&lt;AX27,AX27&gt;BD27),"Superávit de Enganche",IF(AND(BE27="Apartamento Disponible",K27=0,AZ27=0),"Disponible","Cliente Atrasado"))))</f>
        <v>Cliente al día</v>
      </c>
      <c r="BG27" s="358">
        <v>15</v>
      </c>
      <c r="BH27" s="358">
        <f t="shared" ref="BH27" si="85">IF(BG27&gt;1,1,0)</f>
        <v>1</v>
      </c>
      <c r="BI27" s="358">
        <f t="shared" ref="BI27" si="86">+BG27+BH27</f>
        <v>16</v>
      </c>
      <c r="BJ27" s="340">
        <v>1500</v>
      </c>
      <c r="BK27" s="365">
        <v>1493.33</v>
      </c>
      <c r="BL27" s="357">
        <f t="shared" ref="BL27" si="87">COUNTIFS(O27:AO27,"&gt;0.01",O27:AO27,"&lt;" &amp; BJ27)</f>
        <v>0</v>
      </c>
      <c r="BM27" s="359">
        <f t="shared" si="23"/>
        <v>0</v>
      </c>
      <c r="BN27" s="360">
        <f t="shared" ref="BN27" si="88">(BM27*BK27)+BJ27</f>
        <v>1500</v>
      </c>
      <c r="BO27" s="359">
        <f t="shared" ref="BO27" si="89">SUMIF(O27:AP27,"&lt;=" &amp; BK27,O27:AP27)</f>
        <v>0</v>
      </c>
      <c r="BP27" s="359">
        <f t="shared" ref="BP27" si="90">SUMIF(O27:AP27,"&gt;" &amp; BK27,O27:AP27)</f>
        <v>0</v>
      </c>
      <c r="BQ27" s="359">
        <f t="shared" ref="BQ27" si="91">AX27-BO27-BP27</f>
        <v>5541.18</v>
      </c>
      <c r="BR27" s="359">
        <f t="shared" ref="BR27" si="92">IF(AX27&gt;BN27,AX27-BN27,0)</f>
        <v>4041.1800000000003</v>
      </c>
      <c r="BS27" s="359">
        <f t="shared" ref="BS27" si="93">IF(AX27&lt;BN27,BN27-AX27,0)</f>
        <v>0</v>
      </c>
      <c r="BT27" s="361">
        <f t="shared" ref="BT27" si="94">ROUNDUP(IF(K27&gt;0,BS27/BK27,0),0)</f>
        <v>0</v>
      </c>
      <c r="BU27" s="337"/>
      <c r="BV27" s="337"/>
    </row>
    <row r="28" spans="1:74" x14ac:dyDescent="0.25">
      <c r="A28" s="846" t="s">
        <v>1111</v>
      </c>
      <c r="F28" s="343">
        <v>213</v>
      </c>
      <c r="G28" s="343" t="s">
        <v>146</v>
      </c>
      <c r="H28" s="343" t="s">
        <v>146</v>
      </c>
      <c r="I28" s="849" t="s">
        <v>1109</v>
      </c>
      <c r="J28" s="337" t="s">
        <v>1112</v>
      </c>
      <c r="K28" s="338">
        <v>45886</v>
      </c>
      <c r="L28" s="336" t="s">
        <v>128</v>
      </c>
      <c r="M28" s="333">
        <v>492700</v>
      </c>
      <c r="N28" s="333">
        <v>24700</v>
      </c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  <c r="AA28" s="333"/>
      <c r="AB28" s="333"/>
      <c r="AC28" s="333"/>
      <c r="AD28" s="333"/>
      <c r="AE28" s="333"/>
      <c r="AF28" s="333"/>
      <c r="AG28" s="333"/>
      <c r="AH28" s="333"/>
      <c r="AI28" s="333"/>
      <c r="AJ28" s="333"/>
      <c r="AK28" s="333"/>
      <c r="AL28" s="333"/>
      <c r="AM28" s="333"/>
      <c r="AN28" s="333"/>
      <c r="AO28" s="333"/>
      <c r="AP28" s="333"/>
      <c r="AQ28" s="333"/>
      <c r="AR28" s="335">
        <v>750</v>
      </c>
      <c r="AS28" s="335">
        <v>1364.71</v>
      </c>
      <c r="AT28" s="335">
        <v>1364.71</v>
      </c>
      <c r="AU28" s="335">
        <v>0</v>
      </c>
      <c r="AV28" s="335">
        <v>1347.06</v>
      </c>
      <c r="AW28" s="335"/>
      <c r="AX28" s="352">
        <f t="shared" si="21"/>
        <v>4826.4799999999996</v>
      </c>
      <c r="AY28" s="353">
        <f t="shared" ref="AY28" si="95">IFERROR((+AX28/N28),0)</f>
        <v>0.19540404858299593</v>
      </c>
      <c r="AZ28" s="352">
        <f t="shared" ref="AZ28" si="96">+AX28-BD28</f>
        <v>-19873.52</v>
      </c>
      <c r="BA28" s="353">
        <f t="shared" ref="BA28" si="97">+AZ28/N28</f>
        <v>-0.80459595141700402</v>
      </c>
      <c r="BB28" s="354">
        <f t="shared" ref="BB28" si="98">+M28-AX28</f>
        <v>487873.52</v>
      </c>
      <c r="BC28" s="355">
        <f t="shared" ref="BC28" si="99">+BB28/M28</f>
        <v>0.99020401867262031</v>
      </c>
      <c r="BD28" s="356">
        <f t="shared" ref="BD28" si="100">IF(BE28="Vendido",N28*1,IF(BE28="Disponible",N28*0,IF(BE28="Enganche Completado",N28*1,IF(BE28="Superávit de Enganche",N28*1,0))))</f>
        <v>24700</v>
      </c>
      <c r="BE28" s="357" t="str">
        <f t="shared" ref="BE28" si="101">IF(J28=0,"Apartamento Disponible",IF(J28&gt;1,"Vendido",0))</f>
        <v>Vendido</v>
      </c>
      <c r="BF28" s="357" t="str">
        <f t="shared" ref="BF28" si="102">IF(AND(BE28="Vendido",K28&gt;=0,BN28&lt;=AX28,AX28&lt;BD28),"Cliente al día",IF(AND(BE28="Vendido",K28&gt;=0,BN28&lt;=AX28,AX28=BD28),"Enganche Completado",IF(AND(BE28="Vendido",K28&gt;=0,BN28&lt;AX28,AX28&gt;BD28),"Superávit de Enganche",IF(AND(BE28="Apartamento Disponible",K28=0,AZ28=0),"Disponible","Cliente Atrasado"))))</f>
        <v>Cliente al día</v>
      </c>
      <c r="BG28" s="358">
        <v>15</v>
      </c>
      <c r="BH28" s="358">
        <f t="shared" ref="BH28" si="103">IF(BG28&gt;1,1,0)</f>
        <v>1</v>
      </c>
      <c r="BI28" s="358">
        <f t="shared" ref="BI28" si="104">+BG28+BH28</f>
        <v>16</v>
      </c>
      <c r="BJ28" s="340">
        <v>1500</v>
      </c>
      <c r="BK28" s="365">
        <v>1493.33</v>
      </c>
      <c r="BL28" s="357">
        <f t="shared" ref="BL28" si="105">COUNTIFS(O28:AO28,"&gt;0.01",O28:AO28,"&lt;" &amp; BJ28)</f>
        <v>0</v>
      </c>
      <c r="BM28" s="359">
        <f t="shared" si="23"/>
        <v>0</v>
      </c>
      <c r="BN28" s="360">
        <f t="shared" ref="BN28" si="106">(BM28*BK28)+BJ28</f>
        <v>1500</v>
      </c>
      <c r="BO28" s="359">
        <f t="shared" ref="BO28" si="107">SUMIF(O28:AP28,"&lt;=" &amp; BK28,O28:AP28)</f>
        <v>0</v>
      </c>
      <c r="BP28" s="359">
        <f t="shared" ref="BP28" si="108">SUMIF(O28:AP28,"&gt;" &amp; BK28,O28:AP28)</f>
        <v>0</v>
      </c>
      <c r="BQ28" s="359">
        <f t="shared" ref="BQ28" si="109">AX28-BO28-BP28</f>
        <v>4826.4799999999996</v>
      </c>
      <c r="BR28" s="359">
        <f t="shared" ref="BR28" si="110">IF(AX28&gt;BN28,AX28-BN28,0)</f>
        <v>3326.4799999999996</v>
      </c>
      <c r="BS28" s="359">
        <f t="shared" ref="BS28" si="111">IF(AX28&lt;BN28,BN28-AX28,0)</f>
        <v>0</v>
      </c>
      <c r="BT28" s="361">
        <f t="shared" ref="BT28" si="112">ROUNDUP(IF(K28&gt;0,BS28/BK28,0),0)</f>
        <v>0</v>
      </c>
      <c r="BU28" s="337"/>
      <c r="BV28" s="337"/>
    </row>
    <row r="29" spans="1:74" x14ac:dyDescent="0.25">
      <c r="A29" s="846" t="s">
        <v>1113</v>
      </c>
      <c r="B29" s="86" t="s">
        <v>947</v>
      </c>
      <c r="F29" s="344">
        <v>301</v>
      </c>
      <c r="G29" s="336" t="s">
        <v>145</v>
      </c>
      <c r="H29" s="336" t="s">
        <v>146</v>
      </c>
      <c r="I29" s="345" t="s">
        <v>203</v>
      </c>
      <c r="J29" s="337" t="s">
        <v>951</v>
      </c>
      <c r="K29" s="338">
        <v>45807</v>
      </c>
      <c r="L29" s="336" t="s">
        <v>128</v>
      </c>
      <c r="M29" s="333">
        <v>477700</v>
      </c>
      <c r="N29" s="333">
        <v>23900</v>
      </c>
      <c r="O29" s="333">
        <v>0</v>
      </c>
      <c r="P29" s="333">
        <v>0</v>
      </c>
      <c r="Q29" s="333">
        <v>0</v>
      </c>
      <c r="R29" s="333">
        <v>0</v>
      </c>
      <c r="S29" s="333">
        <v>0</v>
      </c>
      <c r="T29" s="333">
        <v>0</v>
      </c>
      <c r="U29" s="333">
        <v>0</v>
      </c>
      <c r="V29" s="333">
        <v>0</v>
      </c>
      <c r="W29" s="333">
        <v>0</v>
      </c>
      <c r="X29" s="333">
        <v>0</v>
      </c>
      <c r="Y29" s="333">
        <v>0</v>
      </c>
      <c r="Z29" s="333">
        <v>0</v>
      </c>
      <c r="AA29" s="333">
        <v>0</v>
      </c>
      <c r="AB29" s="333">
        <v>0</v>
      </c>
      <c r="AC29" s="333">
        <v>0</v>
      </c>
      <c r="AD29" s="333">
        <v>0</v>
      </c>
      <c r="AE29" s="333">
        <v>0</v>
      </c>
      <c r="AF29" s="333">
        <v>0</v>
      </c>
      <c r="AG29" s="333">
        <v>0</v>
      </c>
      <c r="AH29" s="333">
        <v>0</v>
      </c>
      <c r="AI29" s="333">
        <v>0</v>
      </c>
      <c r="AJ29" s="333">
        <v>0</v>
      </c>
      <c r="AK29" s="333">
        <v>0</v>
      </c>
      <c r="AL29" s="333">
        <v>0</v>
      </c>
      <c r="AM29" s="333">
        <v>0</v>
      </c>
      <c r="AN29" s="333"/>
      <c r="AO29" s="334">
        <v>1500</v>
      </c>
      <c r="AP29" s="334"/>
      <c r="AQ29" s="335">
        <v>1494</v>
      </c>
      <c r="AR29" s="335"/>
      <c r="AS29" s="335">
        <v>1494</v>
      </c>
      <c r="AT29" s="335">
        <v>2988</v>
      </c>
      <c r="AU29" s="335">
        <v>0</v>
      </c>
      <c r="AV29" s="335"/>
      <c r="AW29" s="335"/>
      <c r="AX29" s="352">
        <f t="shared" si="21"/>
        <v>7476</v>
      </c>
      <c r="AY29" s="353">
        <f t="shared" si="4"/>
        <v>0.31280334728033471</v>
      </c>
      <c r="AZ29" s="352">
        <f t="shared" si="5"/>
        <v>-16424</v>
      </c>
      <c r="BA29" s="353">
        <f t="shared" si="6"/>
        <v>-0.68719665271966524</v>
      </c>
      <c r="BB29" s="354">
        <f t="shared" si="7"/>
        <v>470224</v>
      </c>
      <c r="BC29" s="355">
        <f t="shared" si="8"/>
        <v>0.98435001046682014</v>
      </c>
      <c r="BD29" s="356">
        <f t="shared" si="9"/>
        <v>23900</v>
      </c>
      <c r="BE29" s="357" t="str">
        <f t="shared" si="10"/>
        <v>Vendido</v>
      </c>
      <c r="BF29" s="357" t="str">
        <f t="shared" si="11"/>
        <v>Cliente al día</v>
      </c>
      <c r="BG29" s="358">
        <v>15</v>
      </c>
      <c r="BH29" s="358">
        <f t="shared" si="76"/>
        <v>1</v>
      </c>
      <c r="BI29" s="358">
        <f t="shared" si="13"/>
        <v>16</v>
      </c>
      <c r="BJ29" s="340">
        <v>1500</v>
      </c>
      <c r="BK29" s="365">
        <v>1493.38</v>
      </c>
      <c r="BL29" s="357">
        <f t="shared" si="22"/>
        <v>0</v>
      </c>
      <c r="BM29" s="359">
        <f t="shared" si="23"/>
        <v>3</v>
      </c>
      <c r="BN29" s="360">
        <f t="shared" si="14"/>
        <v>5980.14</v>
      </c>
      <c r="BO29" s="359">
        <f t="shared" si="15"/>
        <v>0</v>
      </c>
      <c r="BP29" s="359">
        <f t="shared" si="16"/>
        <v>1500</v>
      </c>
      <c r="BQ29" s="359">
        <f t="shared" si="17"/>
        <v>5976</v>
      </c>
      <c r="BR29" s="359">
        <f t="shared" si="18"/>
        <v>1495.8599999999997</v>
      </c>
      <c r="BS29" s="359">
        <f t="shared" si="19"/>
        <v>0</v>
      </c>
      <c r="BT29" s="361">
        <f t="shared" si="20"/>
        <v>0</v>
      </c>
      <c r="BU29" s="337"/>
      <c r="BV29" s="337"/>
    </row>
    <row r="30" spans="1:74" x14ac:dyDescent="0.25">
      <c r="A30" s="846" t="s">
        <v>1114</v>
      </c>
      <c r="B30" s="86" t="s">
        <v>932</v>
      </c>
      <c r="F30" s="344">
        <v>302</v>
      </c>
      <c r="G30" s="336" t="s">
        <v>145</v>
      </c>
      <c r="H30" s="336" t="s">
        <v>913</v>
      </c>
      <c r="I30" s="336" t="s">
        <v>203</v>
      </c>
      <c r="J30" s="337" t="s">
        <v>953</v>
      </c>
      <c r="K30" s="338">
        <v>45803</v>
      </c>
      <c r="L30" s="336" t="s">
        <v>128</v>
      </c>
      <c r="M30" s="333">
        <v>477000</v>
      </c>
      <c r="N30" s="333">
        <v>23900</v>
      </c>
      <c r="O30" s="333">
        <v>0</v>
      </c>
      <c r="P30" s="333">
        <v>0</v>
      </c>
      <c r="Q30" s="333">
        <v>0</v>
      </c>
      <c r="R30" s="333">
        <v>0</v>
      </c>
      <c r="S30" s="333">
        <v>0</v>
      </c>
      <c r="T30" s="333">
        <v>0</v>
      </c>
      <c r="U30" s="333">
        <v>0</v>
      </c>
      <c r="V30" s="333">
        <v>0</v>
      </c>
      <c r="W30" s="333">
        <v>0</v>
      </c>
      <c r="X30" s="333">
        <v>0</v>
      </c>
      <c r="Y30" s="333">
        <v>0</v>
      </c>
      <c r="Z30" s="333">
        <v>0</v>
      </c>
      <c r="AA30" s="333">
        <v>0</v>
      </c>
      <c r="AB30" s="333"/>
      <c r="AC30" s="333"/>
      <c r="AD30" s="333">
        <v>0</v>
      </c>
      <c r="AE30" s="333">
        <v>0</v>
      </c>
      <c r="AF30" s="333">
        <v>0</v>
      </c>
      <c r="AG30" s="333">
        <v>0</v>
      </c>
      <c r="AH30" s="333">
        <v>0</v>
      </c>
      <c r="AI30" s="333">
        <v>0</v>
      </c>
      <c r="AJ30" s="333">
        <v>0</v>
      </c>
      <c r="AK30" s="333">
        <v>0</v>
      </c>
      <c r="AL30" s="333">
        <v>0</v>
      </c>
      <c r="AM30" s="333">
        <v>0</v>
      </c>
      <c r="AN30" s="333"/>
      <c r="AO30" s="334">
        <v>1500</v>
      </c>
      <c r="AP30" s="334"/>
      <c r="AQ30" s="335">
        <v>1400</v>
      </c>
      <c r="AR30" s="335"/>
      <c r="AS30" s="335">
        <v>0</v>
      </c>
      <c r="AT30" s="335">
        <v>0</v>
      </c>
      <c r="AU30" s="335">
        <v>0</v>
      </c>
      <c r="AV30" s="335"/>
      <c r="AW30" s="335"/>
      <c r="AX30" s="352">
        <f t="shared" si="21"/>
        <v>2900</v>
      </c>
      <c r="AY30" s="353">
        <f t="shared" si="4"/>
        <v>0.12133891213389121</v>
      </c>
      <c r="AZ30" s="352">
        <f t="shared" si="5"/>
        <v>-21000</v>
      </c>
      <c r="BA30" s="353">
        <f t="shared" si="6"/>
        <v>-0.87866108786610875</v>
      </c>
      <c r="BB30" s="354">
        <f t="shared" si="7"/>
        <v>474100</v>
      </c>
      <c r="BC30" s="355">
        <f t="shared" si="8"/>
        <v>0.99392033542976943</v>
      </c>
      <c r="BD30" s="356">
        <f t="shared" si="9"/>
        <v>23900</v>
      </c>
      <c r="BE30" s="357" t="str">
        <f t="shared" si="10"/>
        <v>Vendido</v>
      </c>
      <c r="BF30" s="357" t="str">
        <f t="shared" si="11"/>
        <v>Cliente Atrasado</v>
      </c>
      <c r="BG30" s="358">
        <v>16</v>
      </c>
      <c r="BH30" s="358">
        <f t="shared" si="76"/>
        <v>1</v>
      </c>
      <c r="BI30" s="358">
        <f t="shared" si="13"/>
        <v>17</v>
      </c>
      <c r="BJ30" s="340">
        <v>1500</v>
      </c>
      <c r="BK30" s="365">
        <v>1400</v>
      </c>
      <c r="BL30" s="357">
        <f t="shared" si="22"/>
        <v>0</v>
      </c>
      <c r="BM30" s="359">
        <f t="shared" si="23"/>
        <v>3</v>
      </c>
      <c r="BN30" s="360">
        <f t="shared" si="14"/>
        <v>5700</v>
      </c>
      <c r="BO30" s="359">
        <f t="shared" si="15"/>
        <v>0</v>
      </c>
      <c r="BP30" s="359">
        <f t="shared" si="16"/>
        <v>1500</v>
      </c>
      <c r="BQ30" s="359">
        <f t="shared" si="17"/>
        <v>1400</v>
      </c>
      <c r="BR30" s="359">
        <f t="shared" si="18"/>
        <v>0</v>
      </c>
      <c r="BS30" s="359">
        <f t="shared" si="19"/>
        <v>2800</v>
      </c>
      <c r="BT30" s="361">
        <f t="shared" si="20"/>
        <v>2</v>
      </c>
      <c r="BU30" s="337"/>
      <c r="BV30" s="337"/>
    </row>
    <row r="31" spans="1:74" x14ac:dyDescent="0.25">
      <c r="A31" s="846" t="s">
        <v>1115</v>
      </c>
      <c r="B31" s="86" t="s">
        <v>932</v>
      </c>
      <c r="F31" s="344">
        <v>302</v>
      </c>
      <c r="G31" s="336" t="s">
        <v>146</v>
      </c>
      <c r="H31" s="336" t="s">
        <v>146</v>
      </c>
      <c r="I31" s="336" t="s">
        <v>203</v>
      </c>
      <c r="J31" s="337" t="s">
        <v>1116</v>
      </c>
      <c r="K31" s="338">
        <v>45872</v>
      </c>
      <c r="L31" s="336" t="s">
        <v>128</v>
      </c>
      <c r="M31" s="333">
        <v>487700</v>
      </c>
      <c r="N31" s="333">
        <v>24400</v>
      </c>
      <c r="O31" s="333">
        <v>0</v>
      </c>
      <c r="P31" s="333">
        <v>0</v>
      </c>
      <c r="Q31" s="333">
        <v>0</v>
      </c>
      <c r="R31" s="333">
        <v>0</v>
      </c>
      <c r="S31" s="333">
        <v>0</v>
      </c>
      <c r="T31" s="333">
        <v>0</v>
      </c>
      <c r="U31" s="333">
        <v>0</v>
      </c>
      <c r="V31" s="333">
        <v>0</v>
      </c>
      <c r="W31" s="333">
        <v>0</v>
      </c>
      <c r="X31" s="333">
        <v>0</v>
      </c>
      <c r="Y31" s="333">
        <v>0</v>
      </c>
      <c r="Z31" s="333">
        <v>0</v>
      </c>
      <c r="AA31" s="333">
        <v>0</v>
      </c>
      <c r="AB31" s="333"/>
      <c r="AC31" s="333"/>
      <c r="AD31" s="333">
        <v>0</v>
      </c>
      <c r="AE31" s="333">
        <v>0</v>
      </c>
      <c r="AF31" s="333">
        <v>0</v>
      </c>
      <c r="AG31" s="333">
        <v>0</v>
      </c>
      <c r="AH31" s="333">
        <v>0</v>
      </c>
      <c r="AI31" s="333">
        <v>0</v>
      </c>
      <c r="AJ31" s="333">
        <v>0</v>
      </c>
      <c r="AK31" s="333">
        <v>0</v>
      </c>
      <c r="AL31" s="333">
        <v>0</v>
      </c>
      <c r="AM31" s="333">
        <v>0</v>
      </c>
      <c r="AN31" s="333"/>
      <c r="AO31" s="334"/>
      <c r="AP31" s="334"/>
      <c r="AQ31" s="335"/>
      <c r="AR31" s="335">
        <v>1500</v>
      </c>
      <c r="AS31" s="335">
        <v>2694.12</v>
      </c>
      <c r="AT31" s="335">
        <v>1347.06</v>
      </c>
      <c r="AU31" s="335">
        <v>0</v>
      </c>
      <c r="AV31" s="335">
        <v>1342</v>
      </c>
      <c r="AW31" s="335"/>
      <c r="AX31" s="352">
        <f t="shared" si="21"/>
        <v>6883.18</v>
      </c>
      <c r="AY31" s="353">
        <f t="shared" ref="AY31" si="113">IFERROR((+AX31/N31),0)</f>
        <v>0.28209754098360657</v>
      </c>
      <c r="AZ31" s="352">
        <f t="shared" ref="AZ31" si="114">+AX31-BD31</f>
        <v>-17516.82</v>
      </c>
      <c r="BA31" s="353">
        <f t="shared" ref="BA31" si="115">+AZ31/N31</f>
        <v>-0.71790245901639338</v>
      </c>
      <c r="BB31" s="354">
        <f t="shared" ref="BB31" si="116">+M31-AX31</f>
        <v>480816.82</v>
      </c>
      <c r="BC31" s="355">
        <f t="shared" ref="BC31" si="117">+BB31/M31</f>
        <v>0.98588644658601599</v>
      </c>
      <c r="BD31" s="356">
        <f t="shared" ref="BD31" si="118">IF(BE31="Vendido",N31*1,IF(BE31="Disponible",N31*0,IF(BE31="Enganche Completado",N31*1,IF(BE31="Superávit de Enganche",N31*1,0))))</f>
        <v>24400</v>
      </c>
      <c r="BE31" s="357" t="str">
        <f t="shared" ref="BE31" si="119">IF(J31=0,"Apartamento Disponible",IF(J31&gt;1,"Vendido",0))</f>
        <v>Vendido</v>
      </c>
      <c r="BF31" s="357" t="str">
        <f t="shared" si="11"/>
        <v>Cliente al día</v>
      </c>
      <c r="BG31" s="358">
        <v>16</v>
      </c>
      <c r="BH31" s="358">
        <f t="shared" ref="BH31" si="120">IF(BG31&gt;1,1,0)</f>
        <v>1</v>
      </c>
      <c r="BI31" s="358">
        <f t="shared" ref="BI31" si="121">+BG31+BH31</f>
        <v>17</v>
      </c>
      <c r="BJ31" s="340">
        <v>1500</v>
      </c>
      <c r="BK31" s="365">
        <v>1400</v>
      </c>
      <c r="BL31" s="357">
        <f t="shared" ref="BL31" si="122">COUNTIFS(O31:AO31,"&gt;0.01",O31:AO31,"&lt;" &amp; BJ31)</f>
        <v>0</v>
      </c>
      <c r="BM31" s="359">
        <f t="shared" si="23"/>
        <v>0</v>
      </c>
      <c r="BN31" s="360">
        <f t="shared" ref="BN31" si="123">(BM31*BK31)+BJ31</f>
        <v>1500</v>
      </c>
      <c r="BO31" s="359">
        <f t="shared" ref="BO31" si="124">SUMIF(O31:AP31,"&lt;=" &amp; BK31,O31:AP31)</f>
        <v>0</v>
      </c>
      <c r="BP31" s="359">
        <f t="shared" ref="BP31" si="125">SUMIF(O31:AP31,"&gt;" &amp; BK31,O31:AP31)</f>
        <v>0</v>
      </c>
      <c r="BQ31" s="359">
        <f t="shared" ref="BQ31" si="126">AX31-BO31-BP31</f>
        <v>6883.18</v>
      </c>
      <c r="BR31" s="359">
        <f t="shared" ref="BR31" si="127">IF(AX31&gt;BN31,AX31-BN31,0)</f>
        <v>5383.18</v>
      </c>
      <c r="BS31" s="359">
        <f t="shared" ref="BS31" si="128">IF(AX31&lt;BN31,BN31-AX31,0)</f>
        <v>0</v>
      </c>
      <c r="BT31" s="361">
        <f t="shared" ref="BT31" si="129">ROUNDUP(IF(K31&gt;0,BS31/BK31,0),0)</f>
        <v>0</v>
      </c>
      <c r="BU31" s="337"/>
      <c r="BV31" s="337"/>
    </row>
    <row r="32" spans="1:74" x14ac:dyDescent="0.25">
      <c r="A32" s="846" t="s">
        <v>1117</v>
      </c>
      <c r="B32" s="86" t="s">
        <v>950</v>
      </c>
      <c r="F32" s="336">
        <v>303</v>
      </c>
      <c r="G32" s="336" t="s">
        <v>145</v>
      </c>
      <c r="H32" s="336" t="s">
        <v>913</v>
      </c>
      <c r="I32" s="336" t="s">
        <v>366</v>
      </c>
      <c r="J32" s="337" t="s">
        <v>954</v>
      </c>
      <c r="K32" s="338">
        <v>45635</v>
      </c>
      <c r="L32" s="336" t="s">
        <v>128</v>
      </c>
      <c r="M32" s="333">
        <v>477000</v>
      </c>
      <c r="N32" s="333">
        <v>23900</v>
      </c>
      <c r="O32" s="333">
        <v>0</v>
      </c>
      <c r="P32" s="333">
        <v>0</v>
      </c>
      <c r="Q32" s="333">
        <v>0</v>
      </c>
      <c r="R32" s="333">
        <v>0</v>
      </c>
      <c r="S32" s="333">
        <v>0</v>
      </c>
      <c r="T32" s="333">
        <v>0</v>
      </c>
      <c r="U32" s="333">
        <v>0</v>
      </c>
      <c r="V32" s="333">
        <v>0</v>
      </c>
      <c r="W32" s="333">
        <v>0</v>
      </c>
      <c r="X32" s="333">
        <v>0</v>
      </c>
      <c r="Y32" s="333">
        <v>0</v>
      </c>
      <c r="Z32" s="333">
        <v>0</v>
      </c>
      <c r="AA32" s="333">
        <v>0</v>
      </c>
      <c r="AB32" s="333">
        <v>0</v>
      </c>
      <c r="AC32" s="333">
        <v>0</v>
      </c>
      <c r="AD32" s="333">
        <v>0</v>
      </c>
      <c r="AE32" s="333">
        <v>0</v>
      </c>
      <c r="AF32" s="333">
        <v>0</v>
      </c>
      <c r="AG32" s="333">
        <v>0</v>
      </c>
      <c r="AH32" s="333">
        <v>0</v>
      </c>
      <c r="AI32" s="333">
        <v>0</v>
      </c>
      <c r="AJ32" s="333">
        <v>1500</v>
      </c>
      <c r="AK32" s="333">
        <v>1723.08</v>
      </c>
      <c r="AL32" s="333">
        <v>1723.08</v>
      </c>
      <c r="AM32" s="333">
        <v>1723.08</v>
      </c>
      <c r="AN32" s="333">
        <v>1723.08</v>
      </c>
      <c r="AO32" s="334">
        <v>1723.08</v>
      </c>
      <c r="AP32" s="335">
        <v>1723.08</v>
      </c>
      <c r="AQ32" s="335">
        <v>1723.08</v>
      </c>
      <c r="AR32" s="335">
        <v>1724</v>
      </c>
      <c r="AS32" s="335">
        <v>1724</v>
      </c>
      <c r="AT32" s="335">
        <v>1724</v>
      </c>
      <c r="AU32" s="335">
        <v>0</v>
      </c>
      <c r="AV32" s="335">
        <v>1725</v>
      </c>
      <c r="AW32" s="335">
        <v>1725</v>
      </c>
      <c r="AX32" s="352">
        <f t="shared" si="21"/>
        <v>22183.559999999998</v>
      </c>
      <c r="AY32" s="353">
        <f t="shared" si="4"/>
        <v>0.92818242677824259</v>
      </c>
      <c r="AZ32" s="352">
        <f t="shared" si="5"/>
        <v>-1716.4400000000023</v>
      </c>
      <c r="BA32" s="353">
        <f t="shared" si="6"/>
        <v>-7.1817573221757414E-2</v>
      </c>
      <c r="BB32" s="354">
        <f t="shared" si="7"/>
        <v>454816.44</v>
      </c>
      <c r="BC32" s="355">
        <f t="shared" si="8"/>
        <v>0.95349358490566039</v>
      </c>
      <c r="BD32" s="356">
        <f t="shared" si="9"/>
        <v>23900</v>
      </c>
      <c r="BE32" s="357" t="str">
        <f t="shared" si="10"/>
        <v>Vendido</v>
      </c>
      <c r="BF32" s="357" t="str">
        <f t="shared" si="11"/>
        <v>Cliente al día</v>
      </c>
      <c r="BG32" s="358">
        <v>13</v>
      </c>
      <c r="BH32" s="358">
        <f t="shared" si="76"/>
        <v>1</v>
      </c>
      <c r="BI32" s="358">
        <f t="shared" si="13"/>
        <v>14</v>
      </c>
      <c r="BJ32" s="340">
        <v>1500</v>
      </c>
      <c r="BK32" s="365">
        <v>1723.08</v>
      </c>
      <c r="BL32" s="357">
        <f t="shared" si="22"/>
        <v>0</v>
      </c>
      <c r="BM32" s="359">
        <f t="shared" si="23"/>
        <v>8</v>
      </c>
      <c r="BN32" s="360">
        <f t="shared" si="14"/>
        <v>15284.64</v>
      </c>
      <c r="BO32" s="359">
        <f t="shared" si="15"/>
        <v>11838.48</v>
      </c>
      <c r="BP32" s="359">
        <f t="shared" si="16"/>
        <v>0</v>
      </c>
      <c r="BQ32" s="359">
        <f t="shared" si="17"/>
        <v>10345.079999999998</v>
      </c>
      <c r="BR32" s="359">
        <f t="shared" si="18"/>
        <v>6898.9199999999983</v>
      </c>
      <c r="BS32" s="359">
        <f t="shared" si="19"/>
        <v>0</v>
      </c>
      <c r="BT32" s="361">
        <f t="shared" si="20"/>
        <v>0</v>
      </c>
      <c r="BU32" s="337"/>
      <c r="BV32" s="337"/>
    </row>
    <row r="33" spans="1:74" x14ac:dyDescent="0.25">
      <c r="A33" s="846" t="s">
        <v>1118</v>
      </c>
      <c r="B33" s="86" t="s">
        <v>952</v>
      </c>
      <c r="F33" s="336">
        <v>304</v>
      </c>
      <c r="G33" s="344" t="s">
        <v>145</v>
      </c>
      <c r="H33" s="336" t="s">
        <v>146</v>
      </c>
      <c r="I33" s="336" t="s">
        <v>196</v>
      </c>
      <c r="J33" s="337" t="s">
        <v>958</v>
      </c>
      <c r="K33" s="338">
        <v>45565</v>
      </c>
      <c r="L33" s="336" t="s">
        <v>128</v>
      </c>
      <c r="M33" s="333">
        <v>477700</v>
      </c>
      <c r="N33" s="333">
        <v>23900</v>
      </c>
      <c r="O33" s="333">
        <v>0</v>
      </c>
      <c r="P33" s="333">
        <v>0</v>
      </c>
      <c r="Q33" s="333">
        <v>0</v>
      </c>
      <c r="R33" s="333">
        <v>0</v>
      </c>
      <c r="S33" s="333">
        <v>0</v>
      </c>
      <c r="T33" s="333">
        <v>0</v>
      </c>
      <c r="U33" s="333">
        <v>0</v>
      </c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>
        <v>1500</v>
      </c>
      <c r="AH33" s="333">
        <v>1500</v>
      </c>
      <c r="AI33" s="333">
        <v>1500</v>
      </c>
      <c r="AJ33" s="333">
        <v>1500</v>
      </c>
      <c r="AK33" s="333">
        <v>0</v>
      </c>
      <c r="AL33" s="333">
        <f>1500+1500</f>
        <v>3000</v>
      </c>
      <c r="AM33" s="333">
        <v>1500</v>
      </c>
      <c r="AN33" s="333"/>
      <c r="AO33" s="334">
        <v>1500</v>
      </c>
      <c r="AP33" s="335">
        <f>1500+1500</f>
        <v>3000</v>
      </c>
      <c r="AQ33" s="335">
        <v>1500</v>
      </c>
      <c r="AR33" s="335"/>
      <c r="AS33" s="335">
        <v>0</v>
      </c>
      <c r="AT33" s="335">
        <v>1500</v>
      </c>
      <c r="AU33" s="335">
        <v>0</v>
      </c>
      <c r="AV33" s="335">
        <v>1500</v>
      </c>
      <c r="AW33" s="335">
        <v>1500</v>
      </c>
      <c r="AX33" s="352">
        <f t="shared" si="21"/>
        <v>21000</v>
      </c>
      <c r="AY33" s="353">
        <f t="shared" si="4"/>
        <v>0.87866108786610875</v>
      </c>
      <c r="AZ33" s="352">
        <f t="shared" si="5"/>
        <v>-2900</v>
      </c>
      <c r="BA33" s="353">
        <f t="shared" si="6"/>
        <v>-0.12133891213389121</v>
      </c>
      <c r="BB33" s="354">
        <f t="shared" si="7"/>
        <v>456700</v>
      </c>
      <c r="BC33" s="355">
        <f t="shared" si="8"/>
        <v>0.95603935524387695</v>
      </c>
      <c r="BD33" s="356">
        <f t="shared" si="9"/>
        <v>23900</v>
      </c>
      <c r="BE33" s="357" t="str">
        <f t="shared" si="10"/>
        <v>Vendido</v>
      </c>
      <c r="BF33" s="357" t="str">
        <f t="shared" si="11"/>
        <v>Cliente al día</v>
      </c>
      <c r="BG33" s="358">
        <v>15</v>
      </c>
      <c r="BH33" s="358">
        <f t="shared" si="76"/>
        <v>1</v>
      </c>
      <c r="BI33" s="358">
        <f t="shared" si="13"/>
        <v>16</v>
      </c>
      <c r="BJ33" s="340">
        <v>1500</v>
      </c>
      <c r="BK33" s="365">
        <v>1493.33</v>
      </c>
      <c r="BL33" s="357">
        <f t="shared" si="22"/>
        <v>0</v>
      </c>
      <c r="BM33" s="359">
        <f t="shared" si="23"/>
        <v>11</v>
      </c>
      <c r="BN33" s="360">
        <f t="shared" si="14"/>
        <v>17926.629999999997</v>
      </c>
      <c r="BO33" s="359">
        <f t="shared" si="15"/>
        <v>0</v>
      </c>
      <c r="BP33" s="359">
        <f t="shared" si="16"/>
        <v>15000</v>
      </c>
      <c r="BQ33" s="359">
        <f t="shared" si="17"/>
        <v>6000</v>
      </c>
      <c r="BR33" s="359">
        <f t="shared" si="18"/>
        <v>3073.3700000000026</v>
      </c>
      <c r="BS33" s="359">
        <f t="shared" si="19"/>
        <v>0</v>
      </c>
      <c r="BT33" s="361">
        <f t="shared" si="20"/>
        <v>0</v>
      </c>
      <c r="BU33" s="337"/>
      <c r="BV33" s="337"/>
    </row>
    <row r="34" spans="1:74" x14ac:dyDescent="0.25">
      <c r="A34" s="846" t="s">
        <v>1119</v>
      </c>
      <c r="F34" s="344">
        <v>305</v>
      </c>
      <c r="G34" s="336" t="s">
        <v>146</v>
      </c>
      <c r="H34" s="336"/>
      <c r="I34" s="849" t="s">
        <v>1120</v>
      </c>
      <c r="J34" s="337" t="s">
        <v>1121</v>
      </c>
      <c r="K34" s="338">
        <v>45845</v>
      </c>
      <c r="L34" s="336" t="s">
        <v>128</v>
      </c>
      <c r="M34" s="333">
        <v>487700</v>
      </c>
      <c r="N34" s="333">
        <v>23900</v>
      </c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3"/>
      <c r="AM34" s="333"/>
      <c r="AN34" s="333"/>
      <c r="AO34" s="333"/>
      <c r="AP34" s="335"/>
      <c r="AQ34" s="335"/>
      <c r="AR34" s="335">
        <v>1500</v>
      </c>
      <c r="AS34" s="335">
        <v>0</v>
      </c>
      <c r="AT34" s="335">
        <v>0</v>
      </c>
      <c r="AU34" s="335">
        <v>1347.06</v>
      </c>
      <c r="AV34" s="335">
        <v>1347.06</v>
      </c>
      <c r="AW34" s="335"/>
      <c r="AX34" s="352">
        <f t="shared" si="21"/>
        <v>4194.12</v>
      </c>
      <c r="AY34" s="353">
        <f t="shared" si="4"/>
        <v>0.17548619246861924</v>
      </c>
      <c r="AZ34" s="352">
        <f t="shared" si="5"/>
        <v>-19705.88</v>
      </c>
      <c r="BA34" s="353">
        <f t="shared" si="6"/>
        <v>-0.82451380753138082</v>
      </c>
      <c r="BB34" s="354">
        <f t="shared" si="7"/>
        <v>483505.88</v>
      </c>
      <c r="BC34" s="355">
        <f t="shared" si="8"/>
        <v>0.99140020504408444</v>
      </c>
      <c r="BD34" s="356">
        <f t="shared" si="9"/>
        <v>23900</v>
      </c>
      <c r="BE34" s="357" t="str">
        <f t="shared" si="10"/>
        <v>Vendido</v>
      </c>
      <c r="BF34" s="357" t="str">
        <f t="shared" si="11"/>
        <v>Cliente al día</v>
      </c>
      <c r="BG34" s="358">
        <v>16</v>
      </c>
      <c r="BH34" s="358">
        <f t="shared" si="76"/>
        <v>1</v>
      </c>
      <c r="BI34" s="358">
        <f t="shared" si="13"/>
        <v>17</v>
      </c>
      <c r="BJ34" s="340">
        <v>1500</v>
      </c>
      <c r="BK34" s="365">
        <v>1062.5</v>
      </c>
      <c r="BL34" s="357">
        <f t="shared" si="22"/>
        <v>0</v>
      </c>
      <c r="BM34" s="359">
        <f t="shared" si="23"/>
        <v>1</v>
      </c>
      <c r="BN34" s="360">
        <f t="shared" si="14"/>
        <v>2562.5</v>
      </c>
      <c r="BO34" s="359">
        <f t="shared" si="15"/>
        <v>0</v>
      </c>
      <c r="BP34" s="359">
        <f t="shared" si="16"/>
        <v>0</v>
      </c>
      <c r="BQ34" s="359">
        <f t="shared" si="17"/>
        <v>4194.12</v>
      </c>
      <c r="BR34" s="359">
        <f t="shared" si="18"/>
        <v>1631.62</v>
      </c>
      <c r="BS34" s="359">
        <f t="shared" si="19"/>
        <v>0</v>
      </c>
      <c r="BT34" s="361">
        <f t="shared" si="20"/>
        <v>0</v>
      </c>
      <c r="BU34" s="337"/>
      <c r="BV34" s="337"/>
    </row>
    <row r="35" spans="1:74" x14ac:dyDescent="0.25">
      <c r="A35" s="846" t="s">
        <v>1118</v>
      </c>
      <c r="F35" s="344">
        <v>306</v>
      </c>
      <c r="G35" s="336" t="s">
        <v>146</v>
      </c>
      <c r="H35" s="336"/>
      <c r="I35" s="849" t="s">
        <v>203</v>
      </c>
      <c r="J35" s="337" t="s">
        <v>1122</v>
      </c>
      <c r="K35" s="338">
        <v>45899</v>
      </c>
      <c r="L35" s="336" t="s">
        <v>128</v>
      </c>
      <c r="M35" s="333">
        <v>492700</v>
      </c>
      <c r="N35" s="333">
        <v>24700</v>
      </c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5"/>
      <c r="AQ35" s="335"/>
      <c r="AR35" s="335">
        <v>1500</v>
      </c>
      <c r="AS35" s="335">
        <v>0</v>
      </c>
      <c r="AT35" s="335">
        <v>1500</v>
      </c>
      <c r="AU35" s="335">
        <v>0</v>
      </c>
      <c r="AV35" s="335">
        <f>1500+1500</f>
        <v>3000</v>
      </c>
      <c r="AW35" s="335"/>
      <c r="AX35" s="352">
        <f t="shared" si="21"/>
        <v>6000</v>
      </c>
      <c r="AY35" s="353">
        <f t="shared" si="4"/>
        <v>0.24291497975708501</v>
      </c>
      <c r="AZ35" s="352">
        <f t="shared" si="5"/>
        <v>-18700</v>
      </c>
      <c r="BA35" s="353">
        <f t="shared" si="6"/>
        <v>-0.75708502024291502</v>
      </c>
      <c r="BB35" s="354">
        <f t="shared" si="7"/>
        <v>486700</v>
      </c>
      <c r="BC35" s="355">
        <f t="shared" si="8"/>
        <v>0.98782220418104327</v>
      </c>
      <c r="BD35" s="356">
        <f t="shared" si="9"/>
        <v>24700</v>
      </c>
      <c r="BE35" s="357" t="str">
        <f t="shared" si="10"/>
        <v>Vendido</v>
      </c>
      <c r="BF35" s="357" t="str">
        <f t="shared" si="11"/>
        <v>Cliente al día</v>
      </c>
      <c r="BG35" s="358">
        <v>16</v>
      </c>
      <c r="BH35" s="358">
        <f t="shared" si="76"/>
        <v>1</v>
      </c>
      <c r="BI35" s="358">
        <f t="shared" si="13"/>
        <v>17</v>
      </c>
      <c r="BJ35" s="340">
        <v>1500</v>
      </c>
      <c r="BK35" s="365">
        <v>1062.5</v>
      </c>
      <c r="BL35" s="357">
        <f t="shared" si="22"/>
        <v>0</v>
      </c>
      <c r="BM35" s="359">
        <f t="shared" si="23"/>
        <v>0</v>
      </c>
      <c r="BN35" s="360">
        <f t="shared" si="14"/>
        <v>1500</v>
      </c>
      <c r="BO35" s="359">
        <f t="shared" si="15"/>
        <v>0</v>
      </c>
      <c r="BP35" s="359">
        <f t="shared" si="16"/>
        <v>0</v>
      </c>
      <c r="BQ35" s="359">
        <f t="shared" si="17"/>
        <v>6000</v>
      </c>
      <c r="BR35" s="359">
        <f t="shared" si="18"/>
        <v>4500</v>
      </c>
      <c r="BS35" s="359">
        <f t="shared" si="19"/>
        <v>0</v>
      </c>
      <c r="BT35" s="361">
        <f t="shared" si="20"/>
        <v>0</v>
      </c>
      <c r="BU35" s="337"/>
      <c r="BV35" s="337"/>
    </row>
    <row r="36" spans="1:74" x14ac:dyDescent="0.25">
      <c r="A36" s="846" t="s">
        <v>1123</v>
      </c>
      <c r="F36" s="344">
        <v>309</v>
      </c>
      <c r="G36" s="336" t="s">
        <v>146</v>
      </c>
      <c r="H36" s="336"/>
      <c r="I36" s="849" t="s">
        <v>203</v>
      </c>
      <c r="J36" s="337" t="s">
        <v>1122</v>
      </c>
      <c r="K36" s="338">
        <v>45899</v>
      </c>
      <c r="L36" s="336" t="s">
        <v>128</v>
      </c>
      <c r="M36" s="333">
        <v>492700</v>
      </c>
      <c r="N36" s="333">
        <v>24700</v>
      </c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  <c r="AA36" s="333"/>
      <c r="AB36" s="333"/>
      <c r="AC36" s="333"/>
      <c r="AD36" s="333"/>
      <c r="AE36" s="333"/>
      <c r="AF36" s="333"/>
      <c r="AG36" s="333"/>
      <c r="AH36" s="333"/>
      <c r="AI36" s="333"/>
      <c r="AJ36" s="333"/>
      <c r="AK36" s="333"/>
      <c r="AL36" s="333"/>
      <c r="AM36" s="333"/>
      <c r="AN36" s="333"/>
      <c r="AO36" s="333"/>
      <c r="AP36" s="335"/>
      <c r="AQ36" s="335"/>
      <c r="AR36" s="335">
        <v>1500</v>
      </c>
      <c r="AS36" s="335">
        <v>0</v>
      </c>
      <c r="AT36" s="335">
        <v>1500</v>
      </c>
      <c r="AU36" s="335">
        <v>1346.06</v>
      </c>
      <c r="AV36" s="335">
        <f>1347.06+1347.06</f>
        <v>2694.12</v>
      </c>
      <c r="AW36" s="335"/>
      <c r="AX36" s="352">
        <f t="shared" si="21"/>
        <v>7040.1799999999994</v>
      </c>
      <c r="AY36" s="353">
        <f t="shared" ref="AY36" si="130">IFERROR((+AX36/N36),0)</f>
        <v>0.28502753036437245</v>
      </c>
      <c r="AZ36" s="352">
        <f t="shared" ref="AZ36" si="131">+AX36-BD36</f>
        <v>-17659.82</v>
      </c>
      <c r="BA36" s="353">
        <f t="shared" ref="BA36" si="132">+AZ36/N36</f>
        <v>-0.71497246963562755</v>
      </c>
      <c r="BB36" s="354">
        <f t="shared" ref="BB36" si="133">+M36-AX36</f>
        <v>485659.82</v>
      </c>
      <c r="BC36" s="355">
        <f t="shared" ref="BC36" si="134">+BB36/M36</f>
        <v>0.98571102090521612</v>
      </c>
      <c r="BD36" s="356">
        <f t="shared" ref="BD36" si="135">IF(BE36="Vendido",N36*1,IF(BE36="Disponible",N36*0,IF(BE36="Enganche Completado",N36*1,IF(BE36="Superávit de Enganche",N36*1,0))))</f>
        <v>24700</v>
      </c>
      <c r="BE36" s="357" t="str">
        <f t="shared" ref="BE36" si="136">IF(J36=0,"Apartamento Disponible",IF(J36&gt;1,"Vendido",0))</f>
        <v>Vendido</v>
      </c>
      <c r="BF36" s="357" t="str">
        <f t="shared" ref="BF36" si="137">IF(AND(BE36="Vendido",K36&gt;=0,BN36&lt;=AX36,AX36&lt;BD36),"Cliente al día",IF(AND(BE36="Vendido",K36&gt;=0,BN36&lt;=AX36,AX36=BD36),"Enganche Completado",IF(AND(BE36="Vendido",K36&gt;=0,BN36&lt;AX36,AX36&gt;BD36),"Superávit de Enganche",IF(AND(BE36="Apartamento Disponible",K36=0,AZ36=0),"Disponible","Cliente Atrasado"))))</f>
        <v>Cliente al día</v>
      </c>
      <c r="BG36" s="358">
        <v>16</v>
      </c>
      <c r="BH36" s="358">
        <f t="shared" ref="BH36" si="138">IF(BG36&gt;1,1,0)</f>
        <v>1</v>
      </c>
      <c r="BI36" s="358">
        <f t="shared" ref="BI36" si="139">+BG36+BH36</f>
        <v>17</v>
      </c>
      <c r="BJ36" s="340">
        <v>1500</v>
      </c>
      <c r="BK36" s="365">
        <v>1062.5</v>
      </c>
      <c r="BL36" s="357">
        <f t="shared" ref="BL36" si="140">COUNTIFS(O36:AO36,"&gt;0.01",O36:AO36,"&lt;" &amp; BJ36)</f>
        <v>0</v>
      </c>
      <c r="BM36" s="359">
        <f t="shared" si="23"/>
        <v>0</v>
      </c>
      <c r="BN36" s="360">
        <f t="shared" ref="BN36" si="141">(BM36*BK36)+BJ36</f>
        <v>1500</v>
      </c>
      <c r="BO36" s="359">
        <f t="shared" ref="BO36" si="142">SUMIF(O36:AP36,"&lt;=" &amp; BK36,O36:AP36)</f>
        <v>0</v>
      </c>
      <c r="BP36" s="359">
        <f t="shared" ref="BP36" si="143">SUMIF(O36:AP36,"&gt;" &amp; BK36,O36:AP36)</f>
        <v>0</v>
      </c>
      <c r="BQ36" s="359">
        <f t="shared" ref="BQ36" si="144">AX36-BO36-BP36</f>
        <v>7040.1799999999994</v>
      </c>
      <c r="BR36" s="359">
        <f t="shared" ref="BR36" si="145">IF(AX36&gt;BN36,AX36-BN36,0)</f>
        <v>5540.1799999999994</v>
      </c>
      <c r="BS36" s="359">
        <f t="shared" ref="BS36" si="146">IF(AX36&lt;BN36,BN36-AX36,0)</f>
        <v>0</v>
      </c>
      <c r="BT36" s="361">
        <f t="shared" ref="BT36" si="147">ROUNDUP(IF(K36&gt;0,BS36/BK36,0),0)</f>
        <v>0</v>
      </c>
      <c r="BU36" s="337"/>
      <c r="BV36" s="337"/>
    </row>
    <row r="37" spans="1:74" x14ac:dyDescent="0.25">
      <c r="A37" s="846" t="s">
        <v>1124</v>
      </c>
      <c r="B37" s="86" t="s">
        <v>952</v>
      </c>
      <c r="F37" s="344">
        <v>305</v>
      </c>
      <c r="G37" s="336" t="s">
        <v>145</v>
      </c>
      <c r="H37" s="336" t="s">
        <v>145</v>
      </c>
      <c r="I37" s="849" t="s">
        <v>203</v>
      </c>
      <c r="J37" s="337" t="s">
        <v>961</v>
      </c>
      <c r="K37" s="338">
        <v>45813</v>
      </c>
      <c r="L37" s="336" t="s">
        <v>956</v>
      </c>
      <c r="M37" s="333">
        <v>369600</v>
      </c>
      <c r="N37" s="333">
        <v>18500</v>
      </c>
      <c r="O37" s="333">
        <v>0</v>
      </c>
      <c r="P37" s="333">
        <v>0</v>
      </c>
      <c r="Q37" s="333">
        <v>0</v>
      </c>
      <c r="R37" s="333">
        <v>0</v>
      </c>
      <c r="S37" s="333">
        <v>0</v>
      </c>
      <c r="T37" s="333">
        <v>0</v>
      </c>
      <c r="U37" s="333">
        <v>0</v>
      </c>
      <c r="V37" s="333">
        <v>0</v>
      </c>
      <c r="W37" s="333">
        <v>0</v>
      </c>
      <c r="X37" s="333">
        <v>0</v>
      </c>
      <c r="Y37" s="333">
        <v>0</v>
      </c>
      <c r="Z37" s="333">
        <v>0</v>
      </c>
      <c r="AA37" s="333">
        <v>0</v>
      </c>
      <c r="AB37" s="333">
        <v>0</v>
      </c>
      <c r="AC37" s="333">
        <v>0</v>
      </c>
      <c r="AD37" s="333">
        <v>0</v>
      </c>
      <c r="AE37" s="333">
        <v>0</v>
      </c>
      <c r="AF37" s="333">
        <v>0</v>
      </c>
      <c r="AG37" s="333">
        <v>0</v>
      </c>
      <c r="AH37" s="333">
        <v>0</v>
      </c>
      <c r="AI37" s="333">
        <v>0</v>
      </c>
      <c r="AJ37" s="333">
        <v>0</v>
      </c>
      <c r="AK37" s="333">
        <v>0</v>
      </c>
      <c r="AL37" s="333">
        <v>0</v>
      </c>
      <c r="AM37" s="333">
        <v>0</v>
      </c>
      <c r="AN37" s="333"/>
      <c r="AO37" s="333"/>
      <c r="AP37" s="335">
        <v>1500</v>
      </c>
      <c r="AQ37" s="335"/>
      <c r="AR37" s="335"/>
      <c r="AS37" s="335">
        <v>0</v>
      </c>
      <c r="AT37" s="335">
        <v>0</v>
      </c>
      <c r="AU37" s="335">
        <v>0</v>
      </c>
      <c r="AV37" s="335"/>
      <c r="AW37" s="335"/>
      <c r="AX37" s="352">
        <f t="shared" si="21"/>
        <v>1500</v>
      </c>
      <c r="AY37" s="353">
        <f t="shared" si="4"/>
        <v>8.1081081081081086E-2</v>
      </c>
      <c r="AZ37" s="352">
        <f t="shared" si="5"/>
        <v>-17000</v>
      </c>
      <c r="BA37" s="353">
        <f t="shared" si="6"/>
        <v>-0.91891891891891897</v>
      </c>
      <c r="BB37" s="354">
        <f t="shared" si="7"/>
        <v>368100</v>
      </c>
      <c r="BC37" s="355">
        <f t="shared" si="8"/>
        <v>0.99594155844155841</v>
      </c>
      <c r="BD37" s="356">
        <f t="shared" si="9"/>
        <v>18500</v>
      </c>
      <c r="BE37" s="357" t="str">
        <f t="shared" si="10"/>
        <v>Vendido</v>
      </c>
      <c r="BF37" s="357" t="str">
        <f t="shared" si="11"/>
        <v>Cliente Atrasado</v>
      </c>
      <c r="BG37" s="358">
        <v>16</v>
      </c>
      <c r="BH37" s="358">
        <f t="shared" si="76"/>
        <v>1</v>
      </c>
      <c r="BI37" s="358">
        <f t="shared" si="13"/>
        <v>17</v>
      </c>
      <c r="BJ37" s="340">
        <v>1500</v>
      </c>
      <c r="BK37" s="365">
        <v>1062.5</v>
      </c>
      <c r="BL37" s="357">
        <f t="shared" si="22"/>
        <v>0</v>
      </c>
      <c r="BM37" s="359">
        <f t="shared" si="23"/>
        <v>2</v>
      </c>
      <c r="BN37" s="360">
        <f t="shared" si="14"/>
        <v>3625</v>
      </c>
      <c r="BO37" s="359">
        <f t="shared" si="15"/>
        <v>0</v>
      </c>
      <c r="BP37" s="359">
        <f t="shared" si="16"/>
        <v>1500</v>
      </c>
      <c r="BQ37" s="359">
        <f t="shared" si="17"/>
        <v>0</v>
      </c>
      <c r="BR37" s="359">
        <f t="shared" si="18"/>
        <v>0</v>
      </c>
      <c r="BS37" s="359">
        <f t="shared" si="19"/>
        <v>2125</v>
      </c>
      <c r="BT37" s="361">
        <f t="shared" si="20"/>
        <v>2</v>
      </c>
      <c r="BU37" s="337"/>
      <c r="BV37" s="337"/>
    </row>
    <row r="38" spans="1:74" x14ac:dyDescent="0.25">
      <c r="A38" s="846" t="s">
        <v>1125</v>
      </c>
      <c r="F38" s="336">
        <v>308</v>
      </c>
      <c r="G38" s="336" t="s">
        <v>145</v>
      </c>
      <c r="H38" s="336" t="s">
        <v>913</v>
      </c>
      <c r="I38" s="336" t="s">
        <v>147</v>
      </c>
      <c r="J38" s="337" t="s">
        <v>967</v>
      </c>
      <c r="K38" s="338">
        <v>45390</v>
      </c>
      <c r="L38" s="336" t="s">
        <v>128</v>
      </c>
      <c r="M38" s="333">
        <v>477000</v>
      </c>
      <c r="N38" s="333">
        <v>24000</v>
      </c>
      <c r="O38" s="333">
        <v>0</v>
      </c>
      <c r="P38" s="333">
        <v>0</v>
      </c>
      <c r="Q38" s="333">
        <v>0</v>
      </c>
      <c r="R38" s="333">
        <v>0</v>
      </c>
      <c r="S38" s="333">
        <v>0</v>
      </c>
      <c r="T38" s="333">
        <v>0</v>
      </c>
      <c r="U38" s="333">
        <v>0</v>
      </c>
      <c r="V38" s="333">
        <v>0</v>
      </c>
      <c r="W38" s="333">
        <v>0</v>
      </c>
      <c r="X38" s="333">
        <v>0</v>
      </c>
      <c r="Y38" s="333">
        <v>0</v>
      </c>
      <c r="Z38" s="333">
        <v>0</v>
      </c>
      <c r="AA38" s="333">
        <v>0</v>
      </c>
      <c r="AB38" s="333">
        <v>2700</v>
      </c>
      <c r="AC38" s="333">
        <v>1200</v>
      </c>
      <c r="AD38" s="333">
        <v>0</v>
      </c>
      <c r="AE38" s="333">
        <v>2400</v>
      </c>
      <c r="AF38" s="333">
        <v>0</v>
      </c>
      <c r="AG38" s="333">
        <v>1200</v>
      </c>
      <c r="AH38" s="333">
        <v>1200</v>
      </c>
      <c r="AI38" s="333">
        <v>1200</v>
      </c>
      <c r="AJ38" s="333">
        <f>1200+1200</f>
        <v>2400</v>
      </c>
      <c r="AK38" s="333">
        <v>0</v>
      </c>
      <c r="AL38" s="333">
        <f>1200+1200</f>
        <v>2400</v>
      </c>
      <c r="AM38" s="333">
        <v>1200</v>
      </c>
      <c r="AN38" s="333">
        <v>1200</v>
      </c>
      <c r="AO38" s="333">
        <v>1200</v>
      </c>
      <c r="AP38" s="335">
        <v>1200</v>
      </c>
      <c r="AQ38" s="335">
        <v>1200</v>
      </c>
      <c r="AR38" s="335">
        <v>1200</v>
      </c>
      <c r="AS38" s="335">
        <v>1200</v>
      </c>
      <c r="AT38" s="335">
        <v>1200</v>
      </c>
      <c r="AU38" s="335">
        <v>0</v>
      </c>
      <c r="AV38" s="335">
        <f>1200+1200</f>
        <v>2400</v>
      </c>
      <c r="AW38" s="335"/>
      <c r="AX38" s="352">
        <f t="shared" si="21"/>
        <v>26700</v>
      </c>
      <c r="AY38" s="353">
        <f t="shared" si="4"/>
        <v>1.1125</v>
      </c>
      <c r="AZ38" s="352">
        <f t="shared" si="5"/>
        <v>2700</v>
      </c>
      <c r="BA38" s="353">
        <f t="shared" si="6"/>
        <v>0.1125</v>
      </c>
      <c r="BB38" s="354">
        <f t="shared" si="7"/>
        <v>450300</v>
      </c>
      <c r="BC38" s="355">
        <f t="shared" si="8"/>
        <v>0.94402515723270441</v>
      </c>
      <c r="BD38" s="356">
        <f t="shared" si="9"/>
        <v>24000</v>
      </c>
      <c r="BE38" s="357" t="str">
        <f t="shared" si="10"/>
        <v>Vendido</v>
      </c>
      <c r="BF38" s="357" t="str">
        <f t="shared" si="11"/>
        <v>Superávit de Enganche</v>
      </c>
      <c r="BG38" s="358">
        <v>20</v>
      </c>
      <c r="BH38" s="358">
        <f t="shared" ref="BH38:BH56" si="148">IF(BG38&gt;1,1,0)</f>
        <v>1</v>
      </c>
      <c r="BI38" s="358">
        <f t="shared" si="13"/>
        <v>21</v>
      </c>
      <c r="BJ38" s="340">
        <v>1500</v>
      </c>
      <c r="BK38" s="365">
        <v>1125</v>
      </c>
      <c r="BL38" s="357">
        <f t="shared" si="22"/>
        <v>7</v>
      </c>
      <c r="BM38" s="359">
        <f t="shared" si="23"/>
        <v>16</v>
      </c>
      <c r="BN38" s="360">
        <f t="shared" si="14"/>
        <v>19500</v>
      </c>
      <c r="BO38" s="359">
        <f t="shared" si="15"/>
        <v>0</v>
      </c>
      <c r="BP38" s="359">
        <f t="shared" si="16"/>
        <v>19500</v>
      </c>
      <c r="BQ38" s="359">
        <f t="shared" si="17"/>
        <v>7200</v>
      </c>
      <c r="BR38" s="359">
        <f t="shared" si="18"/>
        <v>7200</v>
      </c>
      <c r="BS38" s="359">
        <f t="shared" si="19"/>
        <v>0</v>
      </c>
      <c r="BT38" s="361">
        <f t="shared" si="20"/>
        <v>0</v>
      </c>
      <c r="BU38" s="337"/>
      <c r="BV38" s="337"/>
    </row>
    <row r="39" spans="1:74" x14ac:dyDescent="0.25">
      <c r="A39" s="846" t="s">
        <v>1126</v>
      </c>
      <c r="F39" s="848">
        <v>309</v>
      </c>
      <c r="G39" s="336" t="s">
        <v>145</v>
      </c>
      <c r="H39" s="336" t="s">
        <v>146</v>
      </c>
      <c r="I39" s="849" t="s">
        <v>1127</v>
      </c>
      <c r="J39" s="337" t="s">
        <v>964</v>
      </c>
      <c r="K39" s="338">
        <v>45833</v>
      </c>
      <c r="L39" s="336" t="s">
        <v>956</v>
      </c>
      <c r="M39" s="333">
        <v>477700</v>
      </c>
      <c r="N39" s="333">
        <v>23900</v>
      </c>
      <c r="O39" s="333">
        <v>0</v>
      </c>
      <c r="P39" s="333">
        <v>0</v>
      </c>
      <c r="Q39" s="333">
        <v>0</v>
      </c>
      <c r="R39" s="333">
        <v>0</v>
      </c>
      <c r="S39" s="333">
        <v>0</v>
      </c>
      <c r="T39" s="333">
        <v>0</v>
      </c>
      <c r="U39" s="333">
        <v>0</v>
      </c>
      <c r="V39" s="333">
        <v>0</v>
      </c>
      <c r="W39" s="333">
        <v>0</v>
      </c>
      <c r="X39" s="333">
        <v>0</v>
      </c>
      <c r="Y39" s="333">
        <v>0</v>
      </c>
      <c r="Z39" s="333">
        <v>0</v>
      </c>
      <c r="AA39" s="333">
        <v>0</v>
      </c>
      <c r="AB39" s="333">
        <v>0</v>
      </c>
      <c r="AC39" s="333">
        <v>0</v>
      </c>
      <c r="AD39" s="333">
        <v>0</v>
      </c>
      <c r="AE39" s="333">
        <v>0</v>
      </c>
      <c r="AF39" s="333">
        <v>0</v>
      </c>
      <c r="AG39" s="333">
        <v>0</v>
      </c>
      <c r="AH39" s="333">
        <v>0</v>
      </c>
      <c r="AI39" s="333">
        <v>0</v>
      </c>
      <c r="AJ39" s="333">
        <v>0</v>
      </c>
      <c r="AK39" s="333">
        <v>0</v>
      </c>
      <c r="AL39" s="333">
        <v>0</v>
      </c>
      <c r="AM39" s="333">
        <v>0</v>
      </c>
      <c r="AN39" s="333"/>
      <c r="AO39" s="333"/>
      <c r="AP39" s="335">
        <f>1500</f>
        <v>1500</v>
      </c>
      <c r="AQ39" s="335"/>
      <c r="AR39" s="335">
        <v>0</v>
      </c>
      <c r="AS39" s="335">
        <v>0</v>
      </c>
      <c r="AT39" s="335">
        <v>0</v>
      </c>
      <c r="AU39" s="335">
        <v>0</v>
      </c>
      <c r="AV39" s="335">
        <v>0</v>
      </c>
      <c r="AW39" s="335"/>
      <c r="AX39" s="352">
        <f t="shared" si="21"/>
        <v>1500</v>
      </c>
      <c r="AY39" s="353">
        <f t="shared" si="4"/>
        <v>6.2761506276150625E-2</v>
      </c>
      <c r="AZ39" s="352">
        <f t="shared" si="5"/>
        <v>-21500</v>
      </c>
      <c r="BA39" s="353">
        <f t="shared" si="6"/>
        <v>-0.89958158995815896</v>
      </c>
      <c r="BB39" s="354">
        <f t="shared" si="7"/>
        <v>476200</v>
      </c>
      <c r="BC39" s="355">
        <f t="shared" si="8"/>
        <v>0.99685995394599125</v>
      </c>
      <c r="BD39" s="356">
        <v>23000</v>
      </c>
      <c r="BE39" s="357" t="str">
        <f t="shared" si="10"/>
        <v>Vendido</v>
      </c>
      <c r="BF39" s="357" t="str">
        <f t="shared" si="11"/>
        <v>Cliente Atrasado</v>
      </c>
      <c r="BG39" s="358">
        <v>16</v>
      </c>
      <c r="BH39" s="358">
        <f t="shared" si="148"/>
        <v>1</v>
      </c>
      <c r="BI39" s="358">
        <f t="shared" si="13"/>
        <v>17</v>
      </c>
      <c r="BJ39" s="340">
        <v>1500</v>
      </c>
      <c r="BK39" s="365">
        <v>1400</v>
      </c>
      <c r="BL39" s="357">
        <f t="shared" si="22"/>
        <v>0</v>
      </c>
      <c r="BM39" s="359">
        <f t="shared" si="23"/>
        <v>2</v>
      </c>
      <c r="BN39" s="360">
        <f t="shared" si="14"/>
        <v>4300</v>
      </c>
      <c r="BO39" s="359">
        <f t="shared" si="15"/>
        <v>0</v>
      </c>
      <c r="BP39" s="359">
        <f t="shared" si="16"/>
        <v>1500</v>
      </c>
      <c r="BQ39" s="359">
        <f t="shared" si="17"/>
        <v>0</v>
      </c>
      <c r="BR39" s="359">
        <f t="shared" si="18"/>
        <v>0</v>
      </c>
      <c r="BS39" s="359">
        <f t="shared" si="19"/>
        <v>2800</v>
      </c>
      <c r="BT39" s="361">
        <f t="shared" si="20"/>
        <v>2</v>
      </c>
      <c r="BU39" s="337"/>
      <c r="BV39" s="337"/>
    </row>
    <row r="40" spans="1:74" x14ac:dyDescent="0.25">
      <c r="A40" s="846" t="s">
        <v>1128</v>
      </c>
      <c r="B40" s="86" t="s">
        <v>966</v>
      </c>
      <c r="F40" s="336">
        <v>401</v>
      </c>
      <c r="G40" s="336" t="s">
        <v>145</v>
      </c>
      <c r="H40" s="336" t="s">
        <v>146</v>
      </c>
      <c r="I40" s="336" t="s">
        <v>921</v>
      </c>
      <c r="J40" s="337" t="s">
        <v>972</v>
      </c>
      <c r="K40" s="338">
        <v>45262</v>
      </c>
      <c r="L40" s="336" t="s">
        <v>128</v>
      </c>
      <c r="M40" s="333">
        <v>494900</v>
      </c>
      <c r="N40" s="333">
        <v>49500</v>
      </c>
      <c r="O40" s="333">
        <v>0</v>
      </c>
      <c r="P40" s="333">
        <v>0</v>
      </c>
      <c r="Q40" s="333">
        <v>0</v>
      </c>
      <c r="R40" s="333">
        <v>0</v>
      </c>
      <c r="S40" s="333">
        <v>0</v>
      </c>
      <c r="T40" s="333">
        <v>0</v>
      </c>
      <c r="U40" s="333">
        <v>0</v>
      </c>
      <c r="V40" s="333">
        <v>0</v>
      </c>
      <c r="W40" s="333">
        <v>0</v>
      </c>
      <c r="X40" s="333">
        <v>500</v>
      </c>
      <c r="Y40" s="333">
        <v>2333.33</v>
      </c>
      <c r="Z40" s="333">
        <v>2333.33</v>
      </c>
      <c r="AA40" s="333">
        <v>2333.33</v>
      </c>
      <c r="AB40" s="333">
        <v>0</v>
      </c>
      <c r="AC40" s="333">
        <v>2333.33</v>
      </c>
      <c r="AD40" s="333">
        <v>2333.33</v>
      </c>
      <c r="AE40" s="333">
        <v>2333.33</v>
      </c>
      <c r="AF40" s="333">
        <v>4666.66</v>
      </c>
      <c r="AG40" s="333">
        <v>0</v>
      </c>
      <c r="AH40" s="333">
        <v>2333.33</v>
      </c>
      <c r="AI40" s="333">
        <v>2333.33</v>
      </c>
      <c r="AJ40" s="333">
        <v>2333.33</v>
      </c>
      <c r="AK40" s="333">
        <v>2333.33</v>
      </c>
      <c r="AL40" s="333">
        <v>2333.33</v>
      </c>
      <c r="AM40" s="333">
        <v>2333.33</v>
      </c>
      <c r="AN40" s="333">
        <v>2333.33</v>
      </c>
      <c r="AO40" s="334">
        <f>2333.33+2333.33</f>
        <v>4666.66</v>
      </c>
      <c r="AP40" s="334"/>
      <c r="AQ40" s="335">
        <v>2333.33</v>
      </c>
      <c r="AR40" s="335">
        <v>2333.33</v>
      </c>
      <c r="AS40" s="335">
        <f>2333.33</f>
        <v>2333.33</v>
      </c>
      <c r="AT40" s="335">
        <v>0</v>
      </c>
      <c r="AU40" s="335">
        <v>2333.33</v>
      </c>
      <c r="AV40" s="335"/>
      <c r="AW40" s="335"/>
      <c r="AX40" s="352">
        <f t="shared" si="21"/>
        <v>49499.930000000022</v>
      </c>
      <c r="AY40" s="353">
        <f t="shared" si="4"/>
        <v>0.99999858585858625</v>
      </c>
      <c r="AZ40" s="352">
        <f t="shared" si="5"/>
        <v>-6.9999999977881089E-2</v>
      </c>
      <c r="BA40" s="353">
        <f t="shared" si="6"/>
        <v>-1.4141414136945674E-6</v>
      </c>
      <c r="BB40" s="354">
        <f t="shared" si="7"/>
        <v>445400.06999999995</v>
      </c>
      <c r="BC40" s="355">
        <f t="shared" si="8"/>
        <v>0.89997993534047271</v>
      </c>
      <c r="BD40" s="356">
        <f t="shared" si="9"/>
        <v>49500</v>
      </c>
      <c r="BE40" s="357" t="str">
        <f t="shared" si="10"/>
        <v>Vendido</v>
      </c>
      <c r="BF40" s="357" t="str">
        <f t="shared" si="11"/>
        <v>Cliente al día</v>
      </c>
      <c r="BG40" s="358">
        <v>22</v>
      </c>
      <c r="BH40" s="358">
        <f t="shared" si="148"/>
        <v>1</v>
      </c>
      <c r="BI40" s="358">
        <f t="shared" si="13"/>
        <v>23</v>
      </c>
      <c r="BJ40" s="340">
        <v>500</v>
      </c>
      <c r="BK40" s="365">
        <v>2333.33</v>
      </c>
      <c r="BL40" s="357">
        <f t="shared" si="22"/>
        <v>0</v>
      </c>
      <c r="BM40" s="359">
        <f t="shared" si="23"/>
        <v>20</v>
      </c>
      <c r="BN40" s="360">
        <f t="shared" si="14"/>
        <v>47166.6</v>
      </c>
      <c r="BO40" s="359">
        <f t="shared" si="15"/>
        <v>30833.290000000008</v>
      </c>
      <c r="BP40" s="359">
        <f t="shared" si="16"/>
        <v>9333.32</v>
      </c>
      <c r="BQ40" s="359">
        <f t="shared" si="17"/>
        <v>9333.3200000000143</v>
      </c>
      <c r="BR40" s="359">
        <f t="shared" si="18"/>
        <v>2333.3300000000236</v>
      </c>
      <c r="BS40" s="359">
        <f t="shared" si="19"/>
        <v>0</v>
      </c>
      <c r="BT40" s="361">
        <f t="shared" si="20"/>
        <v>0</v>
      </c>
      <c r="BU40" s="337"/>
      <c r="BV40" s="337"/>
    </row>
    <row r="41" spans="1:74" x14ac:dyDescent="0.25">
      <c r="A41" s="846" t="s">
        <v>1129</v>
      </c>
      <c r="F41" s="336">
        <v>403</v>
      </c>
      <c r="G41" s="336" t="s">
        <v>145</v>
      </c>
      <c r="H41" s="336" t="s">
        <v>913</v>
      </c>
      <c r="I41" s="336" t="s">
        <v>908</v>
      </c>
      <c r="J41" s="337" t="s">
        <v>978</v>
      </c>
      <c r="K41" s="338">
        <v>45426</v>
      </c>
      <c r="L41" s="336" t="s">
        <v>128</v>
      </c>
      <c r="M41" s="333">
        <v>477000</v>
      </c>
      <c r="N41" s="333">
        <v>23900</v>
      </c>
      <c r="O41" s="333">
        <v>0</v>
      </c>
      <c r="P41" s="333">
        <v>0</v>
      </c>
      <c r="Q41" s="333">
        <v>0</v>
      </c>
      <c r="R41" s="333">
        <v>0</v>
      </c>
      <c r="S41" s="333">
        <v>0</v>
      </c>
      <c r="T41" s="333">
        <v>0</v>
      </c>
      <c r="U41" s="333">
        <v>0</v>
      </c>
      <c r="V41" s="333">
        <v>0</v>
      </c>
      <c r="W41" s="333">
        <v>0</v>
      </c>
      <c r="X41" s="333">
        <v>0</v>
      </c>
      <c r="Y41" s="333">
        <v>0</v>
      </c>
      <c r="Z41" s="333">
        <v>0</v>
      </c>
      <c r="AA41" s="333">
        <v>0</v>
      </c>
      <c r="AB41" s="333">
        <v>0</v>
      </c>
      <c r="AC41" s="333">
        <v>1500</v>
      </c>
      <c r="AD41" s="333">
        <v>1179</v>
      </c>
      <c r="AE41" s="333">
        <v>1179</v>
      </c>
      <c r="AF41" s="333">
        <v>1179</v>
      </c>
      <c r="AG41" s="333">
        <v>1179</v>
      </c>
      <c r="AH41" s="333">
        <v>1179</v>
      </c>
      <c r="AI41" s="333">
        <v>0</v>
      </c>
      <c r="AJ41" s="333">
        <v>1179</v>
      </c>
      <c r="AK41" s="333">
        <v>0</v>
      </c>
      <c r="AL41" s="333">
        <v>3537</v>
      </c>
      <c r="AM41" s="333">
        <v>0</v>
      </c>
      <c r="AN41" s="333"/>
      <c r="AO41" s="333"/>
      <c r="AP41" s="335">
        <f>1179+1180</f>
        <v>2359</v>
      </c>
      <c r="AQ41" s="335"/>
      <c r="AR41" s="335"/>
      <c r="AS41" s="335">
        <v>0</v>
      </c>
      <c r="AT41" s="335">
        <v>0</v>
      </c>
      <c r="AU41" s="335">
        <v>0</v>
      </c>
      <c r="AV41" s="335"/>
      <c r="AW41" s="335"/>
      <c r="AX41" s="352">
        <f t="shared" si="21"/>
        <v>14470</v>
      </c>
      <c r="AY41" s="353">
        <f t="shared" ref="AY41" si="149">IFERROR((+AX41/N41),0)</f>
        <v>0.60543933054393306</v>
      </c>
      <c r="AZ41" s="352">
        <f t="shared" ref="AZ41" si="150">+AX41-BD41</f>
        <v>-9430</v>
      </c>
      <c r="BA41" s="353">
        <f t="shared" ref="BA41" si="151">+AZ41/N41</f>
        <v>-0.39456066945606694</v>
      </c>
      <c r="BB41" s="354">
        <f t="shared" ref="BB41" si="152">+M41-AX41</f>
        <v>462530</v>
      </c>
      <c r="BC41" s="355">
        <f t="shared" ref="BC41" si="153">+BB41/M41</f>
        <v>0.96966457023060793</v>
      </c>
      <c r="BD41" s="356">
        <f t="shared" ref="BD41" si="154">IF(BE41="Vendido",N41*1,IF(BE41="Disponible",N41*0,IF(BE41="Enganche Completado",N41*1,IF(BE41="Superávit de Enganche",N41*1,0))))</f>
        <v>23900</v>
      </c>
      <c r="BE41" s="357" t="str">
        <f t="shared" ref="BE41" si="155">IF(J41=0,"Apartamento Disponible",IF(J41&gt;1,"Vendido",0))</f>
        <v>Vendido</v>
      </c>
      <c r="BF41" s="357" t="str">
        <f t="shared" ref="BF41" si="156">IF(AND(BE41="Vendido",K41&gt;=0,BN41&lt;=AX41,AX41&lt;BD41),"Cliente al día",IF(AND(BE41="Vendido",K41&gt;=0,BN41&lt;=AX41,AX41=BD41),"Enganche Completado",IF(AND(BE41="Vendido",K41&gt;=0,BN41&lt;AX41,AX41&gt;BD41),"Superávit de Enganche",IF(AND(BE41="Apartamento Disponible",K41=0,AZ41=0),"Disponible","Cliente Atrasado"))))</f>
        <v>Cliente Atrasado</v>
      </c>
      <c r="BG41" s="358">
        <v>19</v>
      </c>
      <c r="BH41" s="358">
        <f t="shared" ref="BH41" si="157">IF(BG41&gt;1,1,0)</f>
        <v>1</v>
      </c>
      <c r="BI41" s="358">
        <f t="shared" ref="BI41" si="158">+BG41+BH41</f>
        <v>20</v>
      </c>
      <c r="BJ41" s="340">
        <v>1500</v>
      </c>
      <c r="BK41" s="365">
        <v>1178.95</v>
      </c>
      <c r="BL41" s="357">
        <f t="shared" ref="BL41" si="159">COUNTIFS(O41:AO41,"&gt;0.01",O41:AO41,"&lt;" &amp; BJ41)</f>
        <v>6</v>
      </c>
      <c r="BM41" s="359">
        <f t="shared" si="23"/>
        <v>15</v>
      </c>
      <c r="BN41" s="360">
        <f t="shared" ref="BN41" si="160">(BM41*BK41)+BJ41</f>
        <v>19184.25</v>
      </c>
      <c r="BO41" s="359">
        <f t="shared" ref="BO41" si="161">SUMIF(O41:AP41,"&lt;=" &amp; BK41,O41:AP41)</f>
        <v>0</v>
      </c>
      <c r="BP41" s="359">
        <f t="shared" ref="BP41" si="162">SUMIF(O41:AP41,"&gt;" &amp; BK41,O41:AP41)</f>
        <v>14470</v>
      </c>
      <c r="BQ41" s="359">
        <f t="shared" ref="BQ41" si="163">AX41-BO41-BP41</f>
        <v>0</v>
      </c>
      <c r="BR41" s="359">
        <f t="shared" ref="BR41" si="164">IF(AX41&gt;BN41,AX41-BN41,0)</f>
        <v>0</v>
      </c>
      <c r="BS41" s="359">
        <f t="shared" ref="BS41" si="165">IF(AX41&lt;BN41,BN41-AX41,0)</f>
        <v>4714.25</v>
      </c>
      <c r="BT41" s="361">
        <f t="shared" ref="BT41" si="166">ROUNDUP(IF(K41&gt;0,BS41/BK41,0),0)</f>
        <v>4</v>
      </c>
      <c r="BU41" s="337"/>
      <c r="BV41" s="337"/>
    </row>
    <row r="42" spans="1:74" x14ac:dyDescent="0.25">
      <c r="A42" s="846"/>
      <c r="F42" s="336">
        <v>403</v>
      </c>
      <c r="G42" s="336" t="s">
        <v>146</v>
      </c>
      <c r="H42" s="336" t="s">
        <v>913</v>
      </c>
      <c r="I42" s="336" t="s">
        <v>196</v>
      </c>
      <c r="J42" s="337" t="s">
        <v>1130</v>
      </c>
      <c r="K42" s="338">
        <v>46030</v>
      </c>
      <c r="L42" s="336" t="s">
        <v>956</v>
      </c>
      <c r="M42" s="333">
        <v>492000</v>
      </c>
      <c r="N42" s="333">
        <v>24600</v>
      </c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  <c r="AM42" s="333"/>
      <c r="AN42" s="333"/>
      <c r="AO42" s="333"/>
      <c r="AP42" s="335"/>
      <c r="AQ42" s="335"/>
      <c r="AR42" s="335">
        <v>0</v>
      </c>
      <c r="AS42" s="335">
        <v>0</v>
      </c>
      <c r="AT42" s="335">
        <v>0</v>
      </c>
      <c r="AU42" s="335">
        <v>0</v>
      </c>
      <c r="AV42" s="335"/>
      <c r="AW42" s="335">
        <f>1500+1500</f>
        <v>3000</v>
      </c>
      <c r="AX42" s="352">
        <f t="shared" si="21"/>
        <v>3000</v>
      </c>
      <c r="AY42" s="353">
        <f t="shared" si="4"/>
        <v>0.12195121951219512</v>
      </c>
      <c r="AZ42" s="352">
        <f t="shared" si="5"/>
        <v>-21600</v>
      </c>
      <c r="BA42" s="353">
        <f t="shared" si="6"/>
        <v>-0.87804878048780488</v>
      </c>
      <c r="BB42" s="354">
        <f t="shared" si="7"/>
        <v>489000</v>
      </c>
      <c r="BC42" s="355">
        <f t="shared" si="8"/>
        <v>0.99390243902439024</v>
      </c>
      <c r="BD42" s="356">
        <f t="shared" si="9"/>
        <v>24600</v>
      </c>
      <c r="BE42" s="357" t="str">
        <f t="shared" si="10"/>
        <v>Vendido</v>
      </c>
      <c r="BF42" s="357" t="e">
        <f t="shared" si="11"/>
        <v>#NUM!</v>
      </c>
      <c r="BG42" s="358">
        <v>19</v>
      </c>
      <c r="BH42" s="358">
        <f t="shared" si="148"/>
        <v>1</v>
      </c>
      <c r="BI42" s="358">
        <f t="shared" si="13"/>
        <v>20</v>
      </c>
      <c r="BJ42" s="340">
        <v>1500</v>
      </c>
      <c r="BK42" s="365">
        <v>1178.95</v>
      </c>
      <c r="BL42" s="357">
        <f t="shared" si="22"/>
        <v>0</v>
      </c>
      <c r="BM42" s="359" t="e">
        <f t="shared" si="23"/>
        <v>#NUM!</v>
      </c>
      <c r="BN42" s="360" t="e">
        <f t="shared" si="14"/>
        <v>#NUM!</v>
      </c>
      <c r="BO42" s="359">
        <f t="shared" si="15"/>
        <v>0</v>
      </c>
      <c r="BP42" s="359">
        <f t="shared" si="16"/>
        <v>0</v>
      </c>
      <c r="BQ42" s="359">
        <f t="shared" si="17"/>
        <v>3000</v>
      </c>
      <c r="BR42" s="359" t="e">
        <f t="shared" si="18"/>
        <v>#NUM!</v>
      </c>
      <c r="BS42" s="359" t="e">
        <f t="shared" si="19"/>
        <v>#NUM!</v>
      </c>
      <c r="BT42" s="361" t="e">
        <f t="shared" si="20"/>
        <v>#NUM!</v>
      </c>
      <c r="BU42" s="337"/>
      <c r="BV42" s="337"/>
    </row>
    <row r="43" spans="1:74" x14ac:dyDescent="0.25">
      <c r="A43" s="846" t="s">
        <v>1131</v>
      </c>
      <c r="B43" s="86" t="s">
        <v>971</v>
      </c>
      <c r="F43" s="845">
        <v>405</v>
      </c>
      <c r="G43" s="342" t="s">
        <v>145</v>
      </c>
      <c r="H43" s="342" t="s">
        <v>145</v>
      </c>
      <c r="I43" s="342" t="s">
        <v>196</v>
      </c>
      <c r="J43" s="346" t="s">
        <v>979</v>
      </c>
      <c r="K43" s="853">
        <v>45838</v>
      </c>
      <c r="L43" s="342" t="s">
        <v>128</v>
      </c>
      <c r="M43" s="347">
        <v>369600</v>
      </c>
      <c r="N43" s="347">
        <v>18500</v>
      </c>
      <c r="O43" s="347">
        <v>0</v>
      </c>
      <c r="P43" s="347">
        <v>0</v>
      </c>
      <c r="Q43" s="347">
        <v>0</v>
      </c>
      <c r="R43" s="347">
        <v>0</v>
      </c>
      <c r="S43" s="347">
        <v>0</v>
      </c>
      <c r="T43" s="347">
        <v>0</v>
      </c>
      <c r="U43" s="347">
        <v>0</v>
      </c>
      <c r="V43" s="347">
        <v>0</v>
      </c>
      <c r="W43" s="347">
        <v>0</v>
      </c>
      <c r="X43" s="347">
        <v>0</v>
      </c>
      <c r="Y43" s="347">
        <v>0</v>
      </c>
      <c r="Z43" s="347">
        <v>0</v>
      </c>
      <c r="AA43" s="347">
        <v>0</v>
      </c>
      <c r="AB43" s="347">
        <v>0</v>
      </c>
      <c r="AC43" s="347">
        <v>0</v>
      </c>
      <c r="AD43" s="347">
        <v>0</v>
      </c>
      <c r="AE43" s="347">
        <v>0</v>
      </c>
      <c r="AF43" s="347">
        <v>0</v>
      </c>
      <c r="AG43" s="347">
        <v>0</v>
      </c>
      <c r="AH43" s="347">
        <v>0</v>
      </c>
      <c r="AI43" s="347"/>
      <c r="AJ43" s="347"/>
      <c r="AK43" s="347"/>
      <c r="AL43" s="347"/>
      <c r="AM43" s="347"/>
      <c r="AN43" s="347"/>
      <c r="AO43" s="348"/>
      <c r="AP43" s="349">
        <v>1500</v>
      </c>
      <c r="AQ43" s="349">
        <f>1062.5</f>
        <v>1062.5</v>
      </c>
      <c r="AR43" s="349">
        <v>1062.5</v>
      </c>
      <c r="AS43" s="335">
        <v>1800</v>
      </c>
      <c r="AT43" s="335">
        <v>1062.5</v>
      </c>
      <c r="AU43" s="335">
        <v>0</v>
      </c>
      <c r="AV43" s="349">
        <v>1062.5</v>
      </c>
      <c r="AW43" s="349">
        <v>1062.5</v>
      </c>
      <c r="AX43" s="352">
        <f t="shared" si="21"/>
        <v>8612.5</v>
      </c>
      <c r="AY43" s="366">
        <f t="shared" si="4"/>
        <v>0.46554054054054056</v>
      </c>
      <c r="AZ43" s="367">
        <f t="shared" si="5"/>
        <v>-9887.5</v>
      </c>
      <c r="BA43" s="366">
        <f t="shared" si="6"/>
        <v>-0.5344594594594595</v>
      </c>
      <c r="BB43" s="367">
        <f t="shared" si="7"/>
        <v>360987.5</v>
      </c>
      <c r="BC43" s="368">
        <f t="shared" si="8"/>
        <v>0.9766977813852814</v>
      </c>
      <c r="BD43" s="347">
        <f t="shared" si="9"/>
        <v>18500</v>
      </c>
      <c r="BE43" s="346" t="str">
        <f t="shared" si="10"/>
        <v>Vendido</v>
      </c>
      <c r="BF43" s="346" t="str">
        <f t="shared" si="11"/>
        <v>Cliente al día</v>
      </c>
      <c r="BG43" s="369">
        <v>16</v>
      </c>
      <c r="BH43" s="369">
        <f t="shared" si="148"/>
        <v>1</v>
      </c>
      <c r="BI43" s="369">
        <f t="shared" si="13"/>
        <v>17</v>
      </c>
      <c r="BJ43" s="370">
        <v>1500</v>
      </c>
      <c r="BK43" s="370">
        <v>1062.5</v>
      </c>
      <c r="BL43" s="346">
        <f t="shared" si="22"/>
        <v>0</v>
      </c>
      <c r="BM43" s="359">
        <f t="shared" si="23"/>
        <v>2</v>
      </c>
      <c r="BN43" s="371">
        <f t="shared" si="14"/>
        <v>3625</v>
      </c>
      <c r="BO43" s="372">
        <f t="shared" si="15"/>
        <v>0</v>
      </c>
      <c r="BP43" s="372">
        <f t="shared" si="16"/>
        <v>1500</v>
      </c>
      <c r="BQ43" s="372">
        <f t="shared" si="17"/>
        <v>7112.5</v>
      </c>
      <c r="BR43" s="372">
        <f t="shared" si="18"/>
        <v>4987.5</v>
      </c>
      <c r="BS43" s="372">
        <f t="shared" si="19"/>
        <v>0</v>
      </c>
      <c r="BT43" s="372">
        <f t="shared" si="20"/>
        <v>0</v>
      </c>
      <c r="BU43" s="346"/>
      <c r="BV43" s="346"/>
    </row>
    <row r="44" spans="1:74" x14ac:dyDescent="0.25">
      <c r="A44" s="846" t="s">
        <v>1129</v>
      </c>
      <c r="F44" s="336">
        <v>404</v>
      </c>
      <c r="G44" s="336" t="s">
        <v>146</v>
      </c>
      <c r="H44" s="336" t="s">
        <v>146</v>
      </c>
      <c r="I44" s="336" t="s">
        <v>196</v>
      </c>
      <c r="J44" s="337" t="s">
        <v>1038</v>
      </c>
      <c r="K44" s="338">
        <v>45626</v>
      </c>
      <c r="L44" s="336" t="s">
        <v>128</v>
      </c>
      <c r="M44" s="333">
        <v>477000</v>
      </c>
      <c r="N44" s="333">
        <v>100000</v>
      </c>
      <c r="O44" s="333">
        <v>0</v>
      </c>
      <c r="P44" s="333">
        <v>0</v>
      </c>
      <c r="Q44" s="333">
        <v>0</v>
      </c>
      <c r="R44" s="333">
        <v>0</v>
      </c>
      <c r="S44" s="333">
        <v>0</v>
      </c>
      <c r="T44" s="333">
        <v>0</v>
      </c>
      <c r="U44" s="333">
        <v>0</v>
      </c>
      <c r="V44" s="333">
        <v>0</v>
      </c>
      <c r="W44" s="333">
        <v>0</v>
      </c>
      <c r="X44" s="333">
        <v>0</v>
      </c>
      <c r="Y44" s="333">
        <v>0</v>
      </c>
      <c r="Z44" s="333">
        <v>0</v>
      </c>
      <c r="AA44" s="333">
        <v>0</v>
      </c>
      <c r="AB44" s="333">
        <v>0</v>
      </c>
      <c r="AC44" s="333">
        <v>0</v>
      </c>
      <c r="AD44" s="333">
        <v>0</v>
      </c>
      <c r="AE44" s="333">
        <v>0</v>
      </c>
      <c r="AF44" s="333">
        <v>0</v>
      </c>
      <c r="AG44" s="333">
        <v>0</v>
      </c>
      <c r="AH44" s="333">
        <v>0</v>
      </c>
      <c r="AI44" s="333">
        <v>500</v>
      </c>
      <c r="AJ44" s="333">
        <v>1800</v>
      </c>
      <c r="AK44" s="333">
        <v>0</v>
      </c>
      <c r="AL44" s="333">
        <f>1800+1800</f>
        <v>3600</v>
      </c>
      <c r="AM44" s="333">
        <v>1800</v>
      </c>
      <c r="AN44" s="333"/>
      <c r="AO44" s="333">
        <v>1800</v>
      </c>
      <c r="AP44" s="333">
        <v>1800</v>
      </c>
      <c r="AQ44" s="335">
        <v>1800</v>
      </c>
      <c r="AR44" s="335">
        <v>1800</v>
      </c>
      <c r="AS44" s="335">
        <v>1062.5</v>
      </c>
      <c r="AT44" s="335">
        <v>1800</v>
      </c>
      <c r="AU44" s="335">
        <v>1800</v>
      </c>
      <c r="AV44" s="335">
        <v>1800</v>
      </c>
      <c r="AW44" s="335">
        <v>1800</v>
      </c>
      <c r="AX44" s="352">
        <f t="shared" si="21"/>
        <v>23162.5</v>
      </c>
      <c r="AY44" s="353">
        <f>IFERROR((+AX44/N44),0)</f>
        <v>0.231625</v>
      </c>
      <c r="AZ44" s="352">
        <f>+AX44-BD44</f>
        <v>-76837.5</v>
      </c>
      <c r="BA44" s="353">
        <f>+AZ44/N44</f>
        <v>-0.76837500000000003</v>
      </c>
      <c r="BB44" s="354">
        <f>+M44-AX44</f>
        <v>453837.5</v>
      </c>
      <c r="BC44" s="355">
        <f>+BB44/M44</f>
        <v>0.95144129979035641</v>
      </c>
      <c r="BD44" s="356">
        <f>IF(BE44="Vendido",N44*1,IF(BE44="Disponible",N44*0,IF(BE44="Enganche Completado",N44*1,IF(BE44="Superávit de Enganche",N44*1,0))))</f>
        <v>100000</v>
      </c>
      <c r="BE44" s="357" t="str">
        <f>IF(J44=0,"Apartamento Disponible",IF(J44&gt;1,"Vendido",0))</f>
        <v>Vendido</v>
      </c>
      <c r="BF44" s="357" t="str">
        <f>IF(AND(BE44="Vendido",K44&gt;=0,BN44&lt;=AX44,AX44&lt;BD44),"Cliente al día",IF(AND(BE44="Vendido",K44&gt;=0,BN44&lt;=AX44,AX44=BD44),"Enganche Completado",IF(AND(BE44="Vendido",K44&gt;=0,BN44&lt;AX44,AX44&gt;BD44),"Superávit de Enganche",IF(AND(BE44="Apartamento Disponible",K44=0,AZ44=0),"Disponible","Cliente Atrasado"))))</f>
        <v>Cliente al día</v>
      </c>
      <c r="BG44" s="358">
        <v>13</v>
      </c>
      <c r="BH44" s="358">
        <f>IF(BG44&gt;1,1,0)</f>
        <v>1</v>
      </c>
      <c r="BI44" s="358">
        <f>+BG44+BH44</f>
        <v>14</v>
      </c>
      <c r="BJ44" s="340">
        <v>500</v>
      </c>
      <c r="BK44" s="365">
        <v>1800</v>
      </c>
      <c r="BL44" s="357">
        <f>COUNTIFS(O44:AO44,"&gt;0.01",O44:AO44,"&lt;" &amp; BJ44)</f>
        <v>0</v>
      </c>
      <c r="BM44" s="359">
        <f t="shared" si="23"/>
        <v>9</v>
      </c>
      <c r="BN44" s="360">
        <f>(BM44*BK44)+BJ44</f>
        <v>16700</v>
      </c>
      <c r="BO44" s="359">
        <f>SUMIF(O44:AP44,"&lt;=" &amp; BK44,O44:AP44)</f>
        <v>7700</v>
      </c>
      <c r="BP44" s="359">
        <f>SUMIF(O44:AP44,"&gt;" &amp; BK44,O44:AP44)</f>
        <v>3600</v>
      </c>
      <c r="BQ44" s="359">
        <f>AX44-BO44-BP44</f>
        <v>11862.5</v>
      </c>
      <c r="BR44" s="359">
        <f>IF(AX44&gt;BN44,AX44-BN44,0)</f>
        <v>6462.5</v>
      </c>
      <c r="BS44" s="359">
        <f>IF(AX44&lt;BN44,BN44-AX44,0)</f>
        <v>0</v>
      </c>
      <c r="BT44" s="361">
        <f>ROUNDUP(IF(K44&gt;0,BS44/BK44,0),0)</f>
        <v>0</v>
      </c>
      <c r="BU44" s="337"/>
      <c r="BV44" s="337"/>
    </row>
    <row r="45" spans="1:74" x14ac:dyDescent="0.25">
      <c r="A45" s="846" t="s">
        <v>1132</v>
      </c>
      <c r="B45" s="86" t="s">
        <v>975</v>
      </c>
      <c r="F45" s="344">
        <v>407</v>
      </c>
      <c r="G45" s="336" t="s">
        <v>145</v>
      </c>
      <c r="H45" s="336" t="s">
        <v>146</v>
      </c>
      <c r="I45" s="336" t="s">
        <v>203</v>
      </c>
      <c r="J45" s="337" t="s">
        <v>984</v>
      </c>
      <c r="K45" s="338">
        <v>45787</v>
      </c>
      <c r="L45" s="342" t="s">
        <v>128</v>
      </c>
      <c r="M45" s="333">
        <v>477700</v>
      </c>
      <c r="N45" s="333">
        <v>23900</v>
      </c>
      <c r="O45" s="333">
        <v>0</v>
      </c>
      <c r="P45" s="333">
        <v>0</v>
      </c>
      <c r="Q45" s="333">
        <v>0</v>
      </c>
      <c r="R45" s="333">
        <v>0</v>
      </c>
      <c r="S45" s="333">
        <v>0</v>
      </c>
      <c r="T45" s="333">
        <v>0</v>
      </c>
      <c r="U45" s="333">
        <v>0</v>
      </c>
      <c r="V45" s="333">
        <v>0</v>
      </c>
      <c r="W45" s="333">
        <v>0</v>
      </c>
      <c r="X45" s="333">
        <v>0</v>
      </c>
      <c r="Y45" s="333">
        <v>0</v>
      </c>
      <c r="Z45" s="333">
        <v>0</v>
      </c>
      <c r="AA45" s="333">
        <v>0</v>
      </c>
      <c r="AB45" s="333">
        <v>0</v>
      </c>
      <c r="AC45" s="333">
        <v>0</v>
      </c>
      <c r="AD45" s="333">
        <v>0</v>
      </c>
      <c r="AE45" s="333">
        <v>0</v>
      </c>
      <c r="AF45" s="333">
        <v>0</v>
      </c>
      <c r="AG45" s="333">
        <v>0</v>
      </c>
      <c r="AH45" s="333">
        <v>0</v>
      </c>
      <c r="AI45" s="333">
        <v>0</v>
      </c>
      <c r="AJ45" s="333">
        <v>0</v>
      </c>
      <c r="AK45" s="333">
        <v>0</v>
      </c>
      <c r="AL45" s="333">
        <v>0</v>
      </c>
      <c r="AM45" s="333">
        <v>0</v>
      </c>
      <c r="AN45" s="333"/>
      <c r="AO45" s="349">
        <v>1500</v>
      </c>
      <c r="AP45" s="335">
        <f>1415+1867</f>
        <v>3282</v>
      </c>
      <c r="AQ45" s="335">
        <v>1867</v>
      </c>
      <c r="AR45" s="335"/>
      <c r="AS45" s="335">
        <v>3734</v>
      </c>
      <c r="AT45" s="335">
        <v>1867</v>
      </c>
      <c r="AU45" s="335">
        <v>0</v>
      </c>
      <c r="AV45" s="335">
        <v>1867</v>
      </c>
      <c r="AW45" s="335"/>
      <c r="AX45" s="352">
        <f t="shared" si="21"/>
        <v>14117</v>
      </c>
      <c r="AY45" s="353">
        <f t="shared" si="4"/>
        <v>0.59066945606694565</v>
      </c>
      <c r="AZ45" s="352">
        <f t="shared" si="5"/>
        <v>-9783</v>
      </c>
      <c r="BA45" s="353">
        <f t="shared" si="6"/>
        <v>-0.4093305439330544</v>
      </c>
      <c r="BB45" s="354">
        <f t="shared" si="7"/>
        <v>463583</v>
      </c>
      <c r="BC45" s="355">
        <f t="shared" si="8"/>
        <v>0.97044797990370524</v>
      </c>
      <c r="BD45" s="356">
        <f t="shared" si="9"/>
        <v>23900</v>
      </c>
      <c r="BE45" s="357" t="str">
        <f t="shared" si="10"/>
        <v>Vendido</v>
      </c>
      <c r="BF45" s="357" t="str">
        <f t="shared" si="11"/>
        <v>Cliente al día</v>
      </c>
      <c r="BG45" s="358">
        <v>12</v>
      </c>
      <c r="BH45" s="358">
        <f t="shared" si="148"/>
        <v>1</v>
      </c>
      <c r="BI45" s="358">
        <f t="shared" si="13"/>
        <v>13</v>
      </c>
      <c r="BJ45" s="340">
        <v>1500</v>
      </c>
      <c r="BK45" s="365">
        <v>1866.67</v>
      </c>
      <c r="BL45" s="357">
        <f t="shared" si="22"/>
        <v>0</v>
      </c>
      <c r="BM45" s="359">
        <f t="shared" si="23"/>
        <v>3</v>
      </c>
      <c r="BN45" s="360">
        <f t="shared" si="14"/>
        <v>7100.01</v>
      </c>
      <c r="BO45" s="359">
        <f t="shared" si="15"/>
        <v>1500</v>
      </c>
      <c r="BP45" s="359">
        <f t="shared" si="16"/>
        <v>3282</v>
      </c>
      <c r="BQ45" s="359">
        <f t="shared" si="17"/>
        <v>9335</v>
      </c>
      <c r="BR45" s="359">
        <f t="shared" si="18"/>
        <v>7016.99</v>
      </c>
      <c r="BS45" s="359">
        <f t="shared" si="19"/>
        <v>0</v>
      </c>
      <c r="BT45" s="361">
        <f t="shared" si="20"/>
        <v>0</v>
      </c>
      <c r="BU45" s="337"/>
      <c r="BV45" s="337"/>
    </row>
    <row r="46" spans="1:74" x14ac:dyDescent="0.25">
      <c r="A46" s="846" t="s">
        <v>1133</v>
      </c>
      <c r="F46" s="344">
        <v>407</v>
      </c>
      <c r="G46" s="336" t="s">
        <v>146</v>
      </c>
      <c r="H46" s="336" t="s">
        <v>145</v>
      </c>
      <c r="I46" s="336" t="s">
        <v>1109</v>
      </c>
      <c r="J46" s="337" t="s">
        <v>1134</v>
      </c>
      <c r="K46" s="338">
        <v>45875</v>
      </c>
      <c r="L46" s="342" t="s">
        <v>128</v>
      </c>
      <c r="M46" s="333">
        <v>379600</v>
      </c>
      <c r="N46" s="333">
        <v>20000</v>
      </c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334"/>
      <c r="AP46" s="335"/>
      <c r="AQ46" s="335"/>
      <c r="AR46" s="335">
        <v>1500</v>
      </c>
      <c r="AS46" s="335">
        <v>1029.4100000000001</v>
      </c>
      <c r="AT46" s="335">
        <v>1029.4100000000001</v>
      </c>
      <c r="AU46" s="335">
        <v>1029.4100000000001</v>
      </c>
      <c r="AV46" s="335">
        <v>1029.4100000000001</v>
      </c>
      <c r="AW46" s="335">
        <v>1029.4100000000001</v>
      </c>
      <c r="AX46" s="352">
        <f t="shared" si="21"/>
        <v>6647.0499999999993</v>
      </c>
      <c r="AY46" s="353">
        <f t="shared" ref="AY46" si="167">IFERROR((+AX46/N46),0)</f>
        <v>0.33235249999999994</v>
      </c>
      <c r="AZ46" s="352">
        <f t="shared" ref="AZ46" si="168">+AX46-BD46</f>
        <v>-13352.95</v>
      </c>
      <c r="BA46" s="353">
        <f t="shared" ref="BA46" si="169">+AZ46/N46</f>
        <v>-0.66764750000000006</v>
      </c>
      <c r="BB46" s="354">
        <f t="shared" ref="BB46" si="170">+M46-AX46</f>
        <v>372952.95</v>
      </c>
      <c r="BC46" s="355">
        <f t="shared" ref="BC46" si="171">+BB46/M46</f>
        <v>0.98248933087460488</v>
      </c>
      <c r="BD46" s="356">
        <f t="shared" ref="BD46" si="172">IF(BE46="Vendido",N46*1,IF(BE46="Disponible",N46*0,IF(BE46="Enganche Completado",N46*1,IF(BE46="Superávit de Enganche",N46*1,0))))</f>
        <v>20000</v>
      </c>
      <c r="BE46" s="357" t="str">
        <f t="shared" ref="BE46" si="173">IF(J46=0,"Apartamento Disponible",IF(J46&gt;1,"Vendido",0))</f>
        <v>Vendido</v>
      </c>
      <c r="BF46" s="357" t="str">
        <f t="shared" ref="BF46" si="174">IF(AND(BE46="Vendido",K46&gt;=0,BN46&lt;=AX46,AX46&lt;BD46),"Cliente al día",IF(AND(BE46="Vendido",K46&gt;=0,BN46&lt;=AX46,AX46=BD46),"Enganche Completado",IF(AND(BE46="Vendido",K46&gt;=0,BN46&lt;AX46,AX46&gt;BD46),"Superávit de Enganche",IF(AND(BE46="Apartamento Disponible",K46=0,AZ46=0),"Disponible","Cliente Atrasado"))))</f>
        <v>Cliente al día</v>
      </c>
      <c r="BG46" s="358">
        <v>12</v>
      </c>
      <c r="BH46" s="358">
        <f t="shared" ref="BH46" si="175">IF(BG46&gt;1,1,0)</f>
        <v>1</v>
      </c>
      <c r="BI46" s="358">
        <f t="shared" ref="BI46" si="176">+BG46+BH46</f>
        <v>13</v>
      </c>
      <c r="BJ46" s="340">
        <v>1500</v>
      </c>
      <c r="BK46" s="365">
        <v>1866.67</v>
      </c>
      <c r="BL46" s="357">
        <f t="shared" ref="BL46" si="177">COUNTIFS(O46:AO46,"&gt;0.01",O46:AO46,"&lt;" &amp; BJ46)</f>
        <v>0</v>
      </c>
      <c r="BM46" s="359">
        <f t="shared" si="23"/>
        <v>0</v>
      </c>
      <c r="BN46" s="360">
        <f t="shared" ref="BN46" si="178">(BM46*BK46)+BJ46</f>
        <v>1500</v>
      </c>
      <c r="BO46" s="359">
        <f t="shared" ref="BO46" si="179">SUMIF(O46:AP46,"&lt;=" &amp; BK46,O46:AP46)</f>
        <v>0</v>
      </c>
      <c r="BP46" s="359">
        <f t="shared" ref="BP46" si="180">SUMIF(O46:AP46,"&gt;" &amp; BK46,O46:AP46)</f>
        <v>0</v>
      </c>
      <c r="BQ46" s="359">
        <f t="shared" ref="BQ46" si="181">AX46-BO46-BP46</f>
        <v>6647.0499999999993</v>
      </c>
      <c r="BR46" s="359">
        <f t="shared" ref="BR46" si="182">IF(AX46&gt;BN46,AX46-BN46,0)</f>
        <v>5147.0499999999993</v>
      </c>
      <c r="BS46" s="359">
        <f t="shared" ref="BS46" si="183">IF(AX46&lt;BN46,BN46-AX46,0)</f>
        <v>0</v>
      </c>
      <c r="BT46" s="361">
        <f t="shared" ref="BT46" si="184">ROUNDUP(IF(K46&gt;0,BS46/BK46,0),0)</f>
        <v>0</v>
      </c>
      <c r="BU46" s="337"/>
      <c r="BV46" s="337"/>
    </row>
    <row r="47" spans="1:74" x14ac:dyDescent="0.25">
      <c r="A47" s="846" t="s">
        <v>1135</v>
      </c>
      <c r="B47" s="86" t="s">
        <v>977</v>
      </c>
      <c r="F47" s="336">
        <v>409</v>
      </c>
      <c r="G47" s="336" t="s">
        <v>145</v>
      </c>
      <c r="H47" s="336" t="s">
        <v>146</v>
      </c>
      <c r="I47" s="336" t="s">
        <v>196</v>
      </c>
      <c r="J47" s="337" t="s">
        <v>974</v>
      </c>
      <c r="K47" s="338">
        <v>45747</v>
      </c>
      <c r="L47" s="336" t="s">
        <v>128</v>
      </c>
      <c r="M47" s="333">
        <v>477700</v>
      </c>
      <c r="N47" s="333">
        <v>23900</v>
      </c>
      <c r="O47" s="333">
        <v>0</v>
      </c>
      <c r="P47" s="333">
        <v>0</v>
      </c>
      <c r="Q47" s="333">
        <v>0</v>
      </c>
      <c r="R47" s="333">
        <v>0</v>
      </c>
      <c r="S47" s="333">
        <v>0</v>
      </c>
      <c r="T47" s="333">
        <v>0</v>
      </c>
      <c r="U47" s="333">
        <v>0</v>
      </c>
      <c r="V47" s="333">
        <v>0</v>
      </c>
      <c r="W47" s="333">
        <v>0</v>
      </c>
      <c r="X47" s="333">
        <v>0</v>
      </c>
      <c r="Y47" s="333">
        <v>0</v>
      </c>
      <c r="Z47" s="333">
        <v>0</v>
      </c>
      <c r="AA47" s="333">
        <v>0</v>
      </c>
      <c r="AB47" s="333">
        <v>0</v>
      </c>
      <c r="AC47" s="333">
        <v>0</v>
      </c>
      <c r="AD47" s="333">
        <v>0</v>
      </c>
      <c r="AE47" s="333">
        <v>0</v>
      </c>
      <c r="AF47" s="333">
        <v>0</v>
      </c>
      <c r="AG47" s="333">
        <v>0</v>
      </c>
      <c r="AH47" s="333">
        <v>0</v>
      </c>
      <c r="AI47" s="333">
        <v>0</v>
      </c>
      <c r="AJ47" s="333">
        <v>0</v>
      </c>
      <c r="AK47" s="333">
        <v>0</v>
      </c>
      <c r="AL47" s="333">
        <v>0</v>
      </c>
      <c r="AM47" s="333">
        <v>1500</v>
      </c>
      <c r="AN47" s="333">
        <v>1500</v>
      </c>
      <c r="AO47" s="333"/>
      <c r="AP47" s="335">
        <v>1500</v>
      </c>
      <c r="AQ47" s="335">
        <f>1500+1500</f>
        <v>3000</v>
      </c>
      <c r="AR47" s="335">
        <v>1500</v>
      </c>
      <c r="AS47" s="335">
        <v>1500</v>
      </c>
      <c r="AT47" s="335">
        <v>1500</v>
      </c>
      <c r="AU47" s="335">
        <v>1500</v>
      </c>
      <c r="AV47" s="335">
        <v>1500</v>
      </c>
      <c r="AW47" s="335">
        <v>1500</v>
      </c>
      <c r="AX47" s="352">
        <f t="shared" si="21"/>
        <v>16500</v>
      </c>
      <c r="AY47" s="353">
        <f t="shared" si="4"/>
        <v>0.69037656903765687</v>
      </c>
      <c r="AZ47" s="352">
        <f t="shared" si="5"/>
        <v>-7400</v>
      </c>
      <c r="BA47" s="353">
        <f t="shared" si="6"/>
        <v>-0.30962343096234307</v>
      </c>
      <c r="BB47" s="354">
        <f t="shared" si="7"/>
        <v>461200</v>
      </c>
      <c r="BC47" s="355">
        <f t="shared" si="8"/>
        <v>0.96545949340590331</v>
      </c>
      <c r="BD47" s="356">
        <f t="shared" si="9"/>
        <v>23900</v>
      </c>
      <c r="BE47" s="357" t="str">
        <f t="shared" si="10"/>
        <v>Vendido</v>
      </c>
      <c r="BF47" s="357" t="str">
        <f t="shared" si="11"/>
        <v>Cliente al día</v>
      </c>
      <c r="BG47" s="358">
        <v>15</v>
      </c>
      <c r="BH47" s="358">
        <f t="shared" si="148"/>
        <v>1</v>
      </c>
      <c r="BI47" s="358">
        <f t="shared" si="13"/>
        <v>16</v>
      </c>
      <c r="BJ47" s="340">
        <v>1500</v>
      </c>
      <c r="BK47" s="365">
        <v>1493.33</v>
      </c>
      <c r="BL47" s="357">
        <f t="shared" si="22"/>
        <v>0</v>
      </c>
      <c r="BM47" s="359">
        <f t="shared" si="23"/>
        <v>5</v>
      </c>
      <c r="BN47" s="360">
        <f t="shared" si="14"/>
        <v>8966.65</v>
      </c>
      <c r="BO47" s="359">
        <f t="shared" si="15"/>
        <v>0</v>
      </c>
      <c r="BP47" s="359">
        <f t="shared" si="16"/>
        <v>4500</v>
      </c>
      <c r="BQ47" s="359">
        <f t="shared" si="17"/>
        <v>12000</v>
      </c>
      <c r="BR47" s="359">
        <f t="shared" si="18"/>
        <v>7533.35</v>
      </c>
      <c r="BS47" s="359">
        <f t="shared" si="19"/>
        <v>0</v>
      </c>
      <c r="BT47" s="361">
        <f t="shared" si="20"/>
        <v>0</v>
      </c>
      <c r="BU47" s="337"/>
      <c r="BV47" s="337"/>
    </row>
    <row r="48" spans="1:74" x14ac:dyDescent="0.25">
      <c r="A48" s="846" t="s">
        <v>1136</v>
      </c>
      <c r="B48" s="207"/>
      <c r="C48" s="207"/>
      <c r="D48" s="207"/>
      <c r="E48" s="207"/>
      <c r="F48" s="336">
        <v>410</v>
      </c>
      <c r="G48" s="336" t="s">
        <v>145</v>
      </c>
      <c r="H48" s="336" t="s">
        <v>146</v>
      </c>
      <c r="I48" s="336" t="s">
        <v>147</v>
      </c>
      <c r="J48" s="337" t="s">
        <v>992</v>
      </c>
      <c r="K48" s="338">
        <v>45368</v>
      </c>
      <c r="L48" s="336" t="s">
        <v>128</v>
      </c>
      <c r="M48" s="333">
        <v>477700</v>
      </c>
      <c r="N48" s="333">
        <v>24000</v>
      </c>
      <c r="O48" s="333">
        <v>0</v>
      </c>
      <c r="P48" s="333">
        <v>0</v>
      </c>
      <c r="Q48" s="333">
        <v>0</v>
      </c>
      <c r="R48" s="333">
        <v>0</v>
      </c>
      <c r="S48" s="333">
        <v>0</v>
      </c>
      <c r="T48" s="333">
        <v>0</v>
      </c>
      <c r="U48" s="333">
        <v>0</v>
      </c>
      <c r="V48" s="333">
        <v>0</v>
      </c>
      <c r="W48" s="333">
        <v>0</v>
      </c>
      <c r="X48" s="333">
        <v>0</v>
      </c>
      <c r="Y48" s="333">
        <v>0</v>
      </c>
      <c r="Z48" s="333">
        <v>0</v>
      </c>
      <c r="AA48" s="333">
        <v>1000</v>
      </c>
      <c r="AB48" s="333">
        <v>0</v>
      </c>
      <c r="AC48" s="333">
        <v>1095</v>
      </c>
      <c r="AD48" s="333">
        <v>1095</v>
      </c>
      <c r="AE48" s="333">
        <v>1095</v>
      </c>
      <c r="AF48" s="333">
        <v>1095</v>
      </c>
      <c r="AG48" s="333">
        <v>1095</v>
      </c>
      <c r="AH48" s="333">
        <v>0</v>
      </c>
      <c r="AI48" s="333">
        <v>0</v>
      </c>
      <c r="AJ48" s="333">
        <f>1095+1095</f>
        <v>2190</v>
      </c>
      <c r="AK48" s="333">
        <v>1095</v>
      </c>
      <c r="AL48" s="333">
        <v>0</v>
      </c>
      <c r="AM48" s="333">
        <v>1095</v>
      </c>
      <c r="AN48" s="333">
        <v>1095</v>
      </c>
      <c r="AO48" s="334">
        <v>1095</v>
      </c>
      <c r="AP48" s="335">
        <v>1095</v>
      </c>
      <c r="AQ48" s="335">
        <v>3285</v>
      </c>
      <c r="AR48" s="335"/>
      <c r="AS48" s="335">
        <v>0</v>
      </c>
      <c r="AT48" s="335">
        <v>0</v>
      </c>
      <c r="AU48" s="335">
        <v>0</v>
      </c>
      <c r="AV48" s="335"/>
      <c r="AW48" s="335"/>
      <c r="AX48" s="352">
        <f t="shared" si="21"/>
        <v>17425</v>
      </c>
      <c r="AY48" s="353">
        <f t="shared" si="4"/>
        <v>0.7260416666666667</v>
      </c>
      <c r="AZ48" s="352">
        <f t="shared" si="5"/>
        <v>-6575</v>
      </c>
      <c r="BA48" s="353">
        <f t="shared" si="6"/>
        <v>-0.27395833333333336</v>
      </c>
      <c r="BB48" s="354">
        <f t="shared" si="7"/>
        <v>460275</v>
      </c>
      <c r="BC48" s="355">
        <f t="shared" si="8"/>
        <v>0.96352313167259784</v>
      </c>
      <c r="BD48" s="356">
        <f t="shared" si="9"/>
        <v>24000</v>
      </c>
      <c r="BE48" s="357" t="str">
        <f t="shared" si="10"/>
        <v>Vendido</v>
      </c>
      <c r="BF48" s="357" t="str">
        <f t="shared" si="11"/>
        <v>Cliente Atrasado</v>
      </c>
      <c r="BG48" s="358">
        <v>21</v>
      </c>
      <c r="BH48" s="358">
        <f t="shared" si="148"/>
        <v>1</v>
      </c>
      <c r="BI48" s="358">
        <f t="shared" si="13"/>
        <v>22</v>
      </c>
      <c r="BJ48" s="340">
        <v>1000</v>
      </c>
      <c r="BK48" s="365">
        <v>1095.24</v>
      </c>
      <c r="BL48" s="357">
        <f t="shared" si="22"/>
        <v>0</v>
      </c>
      <c r="BM48" s="359">
        <f t="shared" si="23"/>
        <v>17</v>
      </c>
      <c r="BN48" s="360">
        <f t="shared" si="14"/>
        <v>19619.080000000002</v>
      </c>
      <c r="BO48" s="359">
        <f t="shared" si="15"/>
        <v>11950</v>
      </c>
      <c r="BP48" s="359">
        <f t="shared" si="16"/>
        <v>2190</v>
      </c>
      <c r="BQ48" s="359">
        <f t="shared" si="17"/>
        <v>3285</v>
      </c>
      <c r="BR48" s="359">
        <f t="shared" si="18"/>
        <v>0</v>
      </c>
      <c r="BS48" s="359">
        <f t="shared" si="19"/>
        <v>2194.0800000000017</v>
      </c>
      <c r="BT48" s="361">
        <f t="shared" si="20"/>
        <v>3</v>
      </c>
      <c r="BU48" s="337"/>
      <c r="BV48" s="337"/>
    </row>
    <row r="49" spans="1:74" x14ac:dyDescent="0.25">
      <c r="A49" s="846" t="s">
        <v>1137</v>
      </c>
      <c r="B49" s="207"/>
      <c r="C49" s="207"/>
      <c r="D49" s="207"/>
      <c r="E49" s="207"/>
      <c r="F49" s="336">
        <v>412</v>
      </c>
      <c r="G49" s="336" t="s">
        <v>146</v>
      </c>
      <c r="H49" s="336"/>
      <c r="I49" s="849" t="s">
        <v>203</v>
      </c>
      <c r="J49" s="337" t="s">
        <v>1138</v>
      </c>
      <c r="K49" s="338">
        <v>45890</v>
      </c>
      <c r="L49" s="342" t="s">
        <v>128</v>
      </c>
      <c r="M49" s="333">
        <v>492700</v>
      </c>
      <c r="N49" s="333">
        <v>24700</v>
      </c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  <c r="AM49" s="333"/>
      <c r="AN49" s="333"/>
      <c r="AO49" s="334"/>
      <c r="AP49" s="335"/>
      <c r="AQ49" s="335"/>
      <c r="AR49" s="335">
        <f>1000+500</f>
        <v>1500</v>
      </c>
      <c r="AS49" s="335">
        <v>0</v>
      </c>
      <c r="AT49" s="335">
        <v>2730</v>
      </c>
      <c r="AU49" s="335">
        <v>0</v>
      </c>
      <c r="AV49" s="335"/>
      <c r="AW49" s="335"/>
      <c r="AX49" s="352">
        <f t="shared" si="21"/>
        <v>4230</v>
      </c>
      <c r="AY49" s="353">
        <f t="shared" ref="AY49" si="185">IFERROR((+AX49/N49),0)</f>
        <v>0.17125506072874494</v>
      </c>
      <c r="AZ49" s="352">
        <f t="shared" ref="AZ49" si="186">+AX49-BD49</f>
        <v>-20470</v>
      </c>
      <c r="BA49" s="353">
        <f t="shared" ref="BA49" si="187">+AZ49/N49</f>
        <v>-0.82874493927125503</v>
      </c>
      <c r="BB49" s="354">
        <f t="shared" ref="BB49" si="188">+M49-AX49</f>
        <v>488470</v>
      </c>
      <c r="BC49" s="355">
        <f t="shared" ref="BC49" si="189">+BB49/M49</f>
        <v>0.9914146539476355</v>
      </c>
      <c r="BD49" s="356">
        <f t="shared" ref="BD49" si="190">IF(BE49="Vendido",N49*1,IF(BE49="Disponible",N49*0,IF(BE49="Enganche Completado",N49*1,IF(BE49="Superávit de Enganche",N49*1,0))))</f>
        <v>24700</v>
      </c>
      <c r="BE49" s="357" t="str">
        <f t="shared" ref="BE49" si="191">IF(J49=0,"Apartamento Disponible",IF(J49&gt;1,"Vendido",0))</f>
        <v>Vendido</v>
      </c>
      <c r="BF49" s="357" t="str">
        <f t="shared" ref="BF49" si="192">IF(AND(BE49="Vendido",K49&gt;=0,BN49&lt;=AX49,AX49&lt;BD49),"Cliente al día",IF(AND(BE49="Vendido",K49&gt;=0,BN49&lt;=AX49,AX49=BD49),"Enganche Completado",IF(AND(BE49="Vendido",K49&gt;=0,BN49&lt;AX49,AX49&gt;BD49),"Superávit de Enganche",IF(AND(BE49="Apartamento Disponible",K49=0,AZ49=0),"Disponible","Cliente Atrasado"))))</f>
        <v>Cliente al día</v>
      </c>
      <c r="BG49" s="358">
        <v>21</v>
      </c>
      <c r="BH49" s="358">
        <f t="shared" ref="BH49" si="193">IF(BG49&gt;1,1,0)</f>
        <v>1</v>
      </c>
      <c r="BI49" s="358">
        <f t="shared" ref="BI49" si="194">+BG49+BH49</f>
        <v>22</v>
      </c>
      <c r="BJ49" s="340">
        <v>1000</v>
      </c>
      <c r="BK49" s="365">
        <v>1095.24</v>
      </c>
      <c r="BL49" s="357">
        <f t="shared" ref="BL49" si="195">COUNTIFS(O49:AO49,"&gt;0.01",O49:AO49,"&lt;" &amp; BJ49)</f>
        <v>0</v>
      </c>
      <c r="BM49" s="359">
        <f t="shared" si="23"/>
        <v>0</v>
      </c>
      <c r="BN49" s="360">
        <f t="shared" ref="BN49" si="196">(BM49*BK49)+BJ49</f>
        <v>1000</v>
      </c>
      <c r="BO49" s="359">
        <f t="shared" ref="BO49" si="197">SUMIF(O49:AP49,"&lt;=" &amp; BK49,O49:AP49)</f>
        <v>0</v>
      </c>
      <c r="BP49" s="359">
        <f t="shared" ref="BP49" si="198">SUMIF(O49:AP49,"&gt;" &amp; BK49,O49:AP49)</f>
        <v>0</v>
      </c>
      <c r="BQ49" s="359">
        <f t="shared" ref="BQ49" si="199">AX49-BO49-BP49</f>
        <v>4230</v>
      </c>
      <c r="BR49" s="359">
        <f t="shared" ref="BR49" si="200">IF(AX49&gt;BN49,AX49-BN49,0)</f>
        <v>3230</v>
      </c>
      <c r="BS49" s="359">
        <f t="shared" ref="BS49" si="201">IF(AX49&lt;BN49,BN49-AX49,0)</f>
        <v>0</v>
      </c>
      <c r="BT49" s="361">
        <f t="shared" ref="BT49" si="202">ROUNDUP(IF(K49&gt;0,BS49/BK49,0),0)</f>
        <v>0</v>
      </c>
      <c r="BU49" s="337"/>
      <c r="BV49" s="337"/>
    </row>
    <row r="50" spans="1:74" x14ac:dyDescent="0.25">
      <c r="A50" s="846" t="s">
        <v>1139</v>
      </c>
      <c r="B50" s="86" t="s">
        <v>973</v>
      </c>
      <c r="F50" s="336">
        <v>502</v>
      </c>
      <c r="G50" s="336" t="s">
        <v>145</v>
      </c>
      <c r="H50" s="336" t="s">
        <v>913</v>
      </c>
      <c r="I50" s="336" t="s">
        <v>921</v>
      </c>
      <c r="J50" s="337" t="s">
        <v>996</v>
      </c>
      <c r="K50" s="338">
        <v>45270</v>
      </c>
      <c r="L50" s="336" t="s">
        <v>128</v>
      </c>
      <c r="M50" s="333">
        <v>497900</v>
      </c>
      <c r="N50" s="333">
        <v>49800</v>
      </c>
      <c r="O50" s="333">
        <v>0</v>
      </c>
      <c r="P50" s="333">
        <v>0</v>
      </c>
      <c r="Q50" s="333">
        <v>0</v>
      </c>
      <c r="R50" s="333">
        <v>0</v>
      </c>
      <c r="S50" s="333">
        <v>0</v>
      </c>
      <c r="T50" s="333">
        <v>0</v>
      </c>
      <c r="U50" s="333">
        <v>0</v>
      </c>
      <c r="V50" s="333">
        <v>0</v>
      </c>
      <c r="W50" s="333">
        <v>0</v>
      </c>
      <c r="X50" s="333">
        <v>1000</v>
      </c>
      <c r="Y50" s="333">
        <v>4647.62</v>
      </c>
      <c r="Z50" s="333">
        <v>2323.81</v>
      </c>
      <c r="AA50" s="333">
        <v>2323.81</v>
      </c>
      <c r="AB50" s="333">
        <v>2323.81</v>
      </c>
      <c r="AC50" s="333">
        <v>2323.81</v>
      </c>
      <c r="AD50" s="333">
        <v>0</v>
      </c>
      <c r="AE50" s="333">
        <v>4647.62</v>
      </c>
      <c r="AF50" s="333">
        <v>0</v>
      </c>
      <c r="AG50" s="333">
        <v>2323.81</v>
      </c>
      <c r="AH50" s="333">
        <f>2323.81*2</f>
        <v>4647.62</v>
      </c>
      <c r="AI50" s="333">
        <v>2323.81</v>
      </c>
      <c r="AJ50" s="333">
        <v>2323.81</v>
      </c>
      <c r="AK50" s="333">
        <v>2323.81</v>
      </c>
      <c r="AL50" s="333">
        <v>2323.81</v>
      </c>
      <c r="AM50" s="333">
        <v>0</v>
      </c>
      <c r="AN50" s="333">
        <f>2323.81+2323.81</f>
        <v>4647.62</v>
      </c>
      <c r="AO50" s="333"/>
      <c r="AP50" s="335">
        <v>2323.81</v>
      </c>
      <c r="AQ50" s="335">
        <f>2323.81+2323.81</f>
        <v>4647.62</v>
      </c>
      <c r="AR50" s="335">
        <v>2323.8000000000002</v>
      </c>
      <c r="AS50" s="335">
        <v>0</v>
      </c>
      <c r="AT50" s="335">
        <v>0</v>
      </c>
      <c r="AU50" s="335">
        <v>0</v>
      </c>
      <c r="AV50" s="335"/>
      <c r="AW50" s="335"/>
      <c r="AX50" s="352">
        <f t="shared" si="21"/>
        <v>49800.000000000007</v>
      </c>
      <c r="AY50" s="353">
        <f t="shared" si="4"/>
        <v>1.0000000000000002</v>
      </c>
      <c r="AZ50" s="352">
        <f t="shared" si="5"/>
        <v>0</v>
      </c>
      <c r="BA50" s="353">
        <f t="shared" si="6"/>
        <v>0</v>
      </c>
      <c r="BB50" s="354">
        <f t="shared" si="7"/>
        <v>448100</v>
      </c>
      <c r="BC50" s="355">
        <f t="shared" si="8"/>
        <v>0.899979915645712</v>
      </c>
      <c r="BD50" s="356">
        <f t="shared" si="9"/>
        <v>49800</v>
      </c>
      <c r="BE50" s="357" t="str">
        <f t="shared" si="10"/>
        <v>Vendido</v>
      </c>
      <c r="BF50" s="357" t="str">
        <f t="shared" si="11"/>
        <v>Enganche Completado</v>
      </c>
      <c r="BG50" s="358">
        <v>22</v>
      </c>
      <c r="BH50" s="358">
        <f t="shared" si="148"/>
        <v>1</v>
      </c>
      <c r="BI50" s="358">
        <f t="shared" si="13"/>
        <v>23</v>
      </c>
      <c r="BJ50" s="340">
        <v>1000</v>
      </c>
      <c r="BK50" s="365">
        <v>2323.81</v>
      </c>
      <c r="BL50" s="357">
        <f t="shared" si="22"/>
        <v>0</v>
      </c>
      <c r="BM50" s="359">
        <f t="shared" si="23"/>
        <v>20</v>
      </c>
      <c r="BN50" s="360">
        <f t="shared" si="14"/>
        <v>47476.2</v>
      </c>
      <c r="BO50" s="359">
        <f t="shared" si="15"/>
        <v>24238.100000000002</v>
      </c>
      <c r="BP50" s="359">
        <f t="shared" si="16"/>
        <v>18590.48</v>
      </c>
      <c r="BQ50" s="359">
        <f t="shared" si="17"/>
        <v>6971.4200000000055</v>
      </c>
      <c r="BR50" s="359">
        <f t="shared" si="18"/>
        <v>2323.8000000000102</v>
      </c>
      <c r="BS50" s="359">
        <f t="shared" si="19"/>
        <v>0</v>
      </c>
      <c r="BT50" s="361">
        <f t="shared" si="20"/>
        <v>0</v>
      </c>
      <c r="BU50" s="337"/>
      <c r="BV50" s="337"/>
    </row>
    <row r="51" spans="1:74" x14ac:dyDescent="0.25">
      <c r="A51" s="846" t="s">
        <v>1140</v>
      </c>
      <c r="F51" s="344">
        <v>502</v>
      </c>
      <c r="G51" s="336" t="s">
        <v>146</v>
      </c>
      <c r="H51" s="336"/>
      <c r="I51" s="849" t="s">
        <v>1109</v>
      </c>
      <c r="J51" s="337" t="s">
        <v>1141</v>
      </c>
      <c r="K51" s="338">
        <v>45893</v>
      </c>
      <c r="L51" s="336" t="s">
        <v>128</v>
      </c>
      <c r="M51" s="333">
        <v>492700</v>
      </c>
      <c r="N51" s="333">
        <v>24700</v>
      </c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5"/>
      <c r="AQ51" s="335"/>
      <c r="AR51" s="335">
        <v>1500</v>
      </c>
      <c r="AS51" s="335">
        <v>1365</v>
      </c>
      <c r="AT51" s="335">
        <v>1350</v>
      </c>
      <c r="AU51" s="335">
        <v>0</v>
      </c>
      <c r="AV51" s="335"/>
      <c r="AW51" s="335">
        <v>1350</v>
      </c>
      <c r="AX51" s="352">
        <f t="shared" si="21"/>
        <v>5565</v>
      </c>
      <c r="AY51" s="353">
        <f t="shared" si="4"/>
        <v>0.22530364372469636</v>
      </c>
      <c r="AZ51" s="352">
        <f t="shared" si="5"/>
        <v>-19135</v>
      </c>
      <c r="BA51" s="353">
        <f t="shared" si="6"/>
        <v>-0.77469635627530364</v>
      </c>
      <c r="BB51" s="354">
        <f t="shared" si="7"/>
        <v>487135</v>
      </c>
      <c r="BC51" s="355">
        <f t="shared" si="8"/>
        <v>0.98870509437791765</v>
      </c>
      <c r="BD51" s="356">
        <f t="shared" si="9"/>
        <v>24700</v>
      </c>
      <c r="BE51" s="357" t="str">
        <f t="shared" si="10"/>
        <v>Vendido</v>
      </c>
      <c r="BF51" s="357" t="str">
        <f t="shared" si="11"/>
        <v>Cliente al día</v>
      </c>
      <c r="BG51" s="358">
        <v>16</v>
      </c>
      <c r="BH51" s="358">
        <f t="shared" ref="BH51" si="203">IF(BG51&gt;1,1,0)</f>
        <v>1</v>
      </c>
      <c r="BI51" s="358">
        <f t="shared" si="13"/>
        <v>17</v>
      </c>
      <c r="BJ51" s="340">
        <v>1500</v>
      </c>
      <c r="BK51" s="365">
        <v>1400</v>
      </c>
      <c r="BL51" s="357">
        <f t="shared" ref="BL51" si="204">COUNTIFS(O51:AO51,"&gt;0.01",O51:AO51,"&lt;" &amp; BJ51)</f>
        <v>0</v>
      </c>
      <c r="BM51" s="359">
        <f t="shared" si="23"/>
        <v>0</v>
      </c>
      <c r="BN51" s="360">
        <f t="shared" ref="BN51" si="205">(BM51*BK51)+BJ51</f>
        <v>1500</v>
      </c>
      <c r="BO51" s="359">
        <f t="shared" ref="BO51" si="206">SUMIF(O51:AP51,"&lt;=" &amp; BK51,O51:AP51)</f>
        <v>0</v>
      </c>
      <c r="BP51" s="359">
        <f t="shared" ref="BP51" si="207">SUMIF(O51:AP51,"&gt;" &amp; BK51,O51:AP51)</f>
        <v>0</v>
      </c>
      <c r="BQ51" s="359">
        <f t="shared" ref="BQ51" si="208">AX51-BO51-BP51</f>
        <v>5565</v>
      </c>
      <c r="BR51" s="359">
        <f t="shared" ref="BR51" si="209">IF(AX51&gt;BN51,AX51-BN51,0)</f>
        <v>4065</v>
      </c>
      <c r="BS51" s="359">
        <f t="shared" ref="BS51" si="210">IF(AX51&lt;BN51,BN51-AX51,0)</f>
        <v>0</v>
      </c>
      <c r="BT51" s="361">
        <f t="shared" ref="BT51" si="211">ROUNDUP(IF(K51&gt;0,BS51/BK51,0),0)</f>
        <v>0</v>
      </c>
      <c r="BU51" s="337"/>
      <c r="BV51" s="337"/>
    </row>
    <row r="52" spans="1:74" x14ac:dyDescent="0.25">
      <c r="A52" s="846" t="s">
        <v>1142</v>
      </c>
      <c r="B52" s="86" t="s">
        <v>991</v>
      </c>
      <c r="F52" s="344">
        <v>503</v>
      </c>
      <c r="G52" s="336" t="s">
        <v>145</v>
      </c>
      <c r="H52" s="336" t="s">
        <v>145</v>
      </c>
      <c r="I52" s="336" t="s">
        <v>962</v>
      </c>
      <c r="J52" s="337" t="s">
        <v>1143</v>
      </c>
      <c r="K52" s="338">
        <v>45835</v>
      </c>
      <c r="L52" s="336" t="s">
        <v>128</v>
      </c>
      <c r="M52" s="333">
        <v>477000</v>
      </c>
      <c r="N52" s="333">
        <v>23900</v>
      </c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5"/>
      <c r="AQ52" s="335">
        <f>1500+1400</f>
        <v>2900</v>
      </c>
      <c r="AR52" s="335">
        <v>1400</v>
      </c>
      <c r="AS52" s="335">
        <v>1400</v>
      </c>
      <c r="AT52" s="335">
        <v>1400</v>
      </c>
      <c r="AU52" s="335">
        <v>0</v>
      </c>
      <c r="AV52" s="335">
        <v>1400</v>
      </c>
      <c r="AW52" s="335">
        <v>1400</v>
      </c>
      <c r="AX52" s="352">
        <f t="shared" si="21"/>
        <v>9900</v>
      </c>
      <c r="AY52" s="353">
        <f t="shared" ref="AY52:AY91" si="212">IFERROR((+AX52/N52),0)</f>
        <v>0.41422594142259417</v>
      </c>
      <c r="AZ52" s="352">
        <f t="shared" ref="AZ52:AZ92" si="213">+AX52-BD52</f>
        <v>-14000</v>
      </c>
      <c r="BA52" s="353">
        <f t="shared" ref="BA52:BA91" si="214">+AZ52/N52</f>
        <v>-0.58577405857740583</v>
      </c>
      <c r="BB52" s="354">
        <f t="shared" ref="BB52:BB92" si="215">+M52-AX52</f>
        <v>467100</v>
      </c>
      <c r="BC52" s="355">
        <f t="shared" ref="BC52:BC91" si="216">+BB52/M52</f>
        <v>0.97924528301886793</v>
      </c>
      <c r="BD52" s="356">
        <f t="shared" ref="BD52:BD91" si="217">IF(BE52="Vendido",N52*1,IF(BE52="Disponible",N52*0,IF(BE52="Enganche Completado",N52*1,IF(BE52="Superávit de Enganche",N52*1,0))))</f>
        <v>23900</v>
      </c>
      <c r="BE52" s="357" t="str">
        <f t="shared" ref="BE52:BE92" si="218">IF(J52=0,"Apartamento Disponible",IF(J52&gt;1,"Vendido",0))</f>
        <v>Vendido</v>
      </c>
      <c r="BF52" s="357" t="str">
        <f t="shared" ref="BF52:BF91" si="219">IF(AND(BE52="Vendido",K52&gt;=0,BN52&lt;=AX52,AX52&lt;BD52),"Cliente al día",IF(AND(BE52="Vendido",K52&gt;=0,BN52&lt;=AX52,AX52=BD52),"Enganche Completado",IF(AND(BE52="Vendido",K52&gt;=0,BN52&lt;AX52,AX52&gt;BD52),"Superávit de Enganche",IF(AND(BE52="Apartamento Disponible",K52=0,AZ52=0),"Disponible","Cliente Atrasado"))))</f>
        <v>Cliente al día</v>
      </c>
      <c r="BG52" s="358">
        <v>16</v>
      </c>
      <c r="BH52" s="358">
        <f t="shared" si="148"/>
        <v>1</v>
      </c>
      <c r="BI52" s="358">
        <f t="shared" ref="BI52:BI91" si="220">+BG52+BH52</f>
        <v>17</v>
      </c>
      <c r="BJ52" s="340">
        <v>1500</v>
      </c>
      <c r="BK52" s="365">
        <v>1400</v>
      </c>
      <c r="BL52" s="357">
        <f t="shared" si="22"/>
        <v>0</v>
      </c>
      <c r="BM52" s="359">
        <f t="shared" si="23"/>
        <v>2</v>
      </c>
      <c r="BN52" s="360">
        <f t="shared" si="14"/>
        <v>4300</v>
      </c>
      <c r="BO52" s="359">
        <f t="shared" si="15"/>
        <v>0</v>
      </c>
      <c r="BP52" s="359">
        <f t="shared" si="16"/>
        <v>0</v>
      </c>
      <c r="BQ52" s="359">
        <f t="shared" si="17"/>
        <v>9900</v>
      </c>
      <c r="BR52" s="359">
        <f t="shared" si="18"/>
        <v>5600</v>
      </c>
      <c r="BS52" s="359">
        <f t="shared" si="19"/>
        <v>0</v>
      </c>
      <c r="BT52" s="361">
        <f t="shared" si="20"/>
        <v>0</v>
      </c>
      <c r="BU52" s="337"/>
      <c r="BV52" s="337"/>
    </row>
    <row r="53" spans="1:74" x14ac:dyDescent="0.25">
      <c r="A53" s="846" t="s">
        <v>1144</v>
      </c>
      <c r="F53" s="344">
        <v>504</v>
      </c>
      <c r="G53" s="336" t="s">
        <v>145</v>
      </c>
      <c r="H53" s="336" t="s">
        <v>146</v>
      </c>
      <c r="I53" s="336" t="s">
        <v>962</v>
      </c>
      <c r="J53" s="337" t="s">
        <v>998</v>
      </c>
      <c r="K53" s="338">
        <v>45836</v>
      </c>
      <c r="L53" s="336" t="s">
        <v>128</v>
      </c>
      <c r="M53" s="333">
        <v>477700</v>
      </c>
      <c r="N53" s="333">
        <v>23900</v>
      </c>
      <c r="O53" s="333">
        <v>0</v>
      </c>
      <c r="P53" s="333">
        <v>0</v>
      </c>
      <c r="Q53" s="333">
        <v>0</v>
      </c>
      <c r="R53" s="333">
        <v>0</v>
      </c>
      <c r="S53" s="333">
        <v>0</v>
      </c>
      <c r="T53" s="333">
        <v>0</v>
      </c>
      <c r="U53" s="333">
        <v>0</v>
      </c>
      <c r="V53" s="333">
        <v>0</v>
      </c>
      <c r="W53" s="333">
        <v>0</v>
      </c>
      <c r="X53" s="333">
        <v>0</v>
      </c>
      <c r="Y53" s="333">
        <v>0</v>
      </c>
      <c r="Z53" s="333">
        <v>0</v>
      </c>
      <c r="AA53" s="333">
        <v>0</v>
      </c>
      <c r="AB53" s="333">
        <v>0</v>
      </c>
      <c r="AC53" s="333">
        <v>0</v>
      </c>
      <c r="AD53" s="333">
        <v>0</v>
      </c>
      <c r="AE53" s="333">
        <v>0</v>
      </c>
      <c r="AF53" s="333">
        <v>0</v>
      </c>
      <c r="AG53" s="333">
        <v>0</v>
      </c>
      <c r="AH53" s="333">
        <v>0</v>
      </c>
      <c r="AI53" s="333">
        <v>0</v>
      </c>
      <c r="AJ53" s="333">
        <v>0</v>
      </c>
      <c r="AK53" s="333">
        <v>0</v>
      </c>
      <c r="AL53" s="333">
        <v>0</v>
      </c>
      <c r="AM53" s="333">
        <v>0</v>
      </c>
      <c r="AN53" s="333"/>
      <c r="AO53" s="333"/>
      <c r="AP53" s="335">
        <v>1500</v>
      </c>
      <c r="AQ53" s="335"/>
      <c r="AR53" s="335"/>
      <c r="AS53" s="335">
        <v>0</v>
      </c>
      <c r="AT53" s="335">
        <v>2800</v>
      </c>
      <c r="AU53" s="335">
        <v>0</v>
      </c>
      <c r="AV53" s="335"/>
      <c r="AW53" s="335">
        <v>1400</v>
      </c>
      <c r="AX53" s="352">
        <f t="shared" si="21"/>
        <v>5700</v>
      </c>
      <c r="AY53" s="353">
        <f t="shared" si="212"/>
        <v>0.2384937238493724</v>
      </c>
      <c r="AZ53" s="352">
        <f t="shared" si="213"/>
        <v>-18200</v>
      </c>
      <c r="BA53" s="353">
        <f t="shared" si="214"/>
        <v>-0.7615062761506276</v>
      </c>
      <c r="BB53" s="354">
        <f t="shared" si="215"/>
        <v>472000</v>
      </c>
      <c r="BC53" s="355">
        <f t="shared" si="216"/>
        <v>0.98806782499476664</v>
      </c>
      <c r="BD53" s="356">
        <f t="shared" si="217"/>
        <v>23900</v>
      </c>
      <c r="BE53" s="357" t="str">
        <f t="shared" si="218"/>
        <v>Vendido</v>
      </c>
      <c r="BF53" s="357" t="str">
        <f t="shared" si="219"/>
        <v>Cliente al día</v>
      </c>
      <c r="BG53" s="358">
        <v>16</v>
      </c>
      <c r="BH53" s="358">
        <f t="shared" si="148"/>
        <v>1</v>
      </c>
      <c r="BI53" s="358">
        <f t="shared" si="220"/>
        <v>17</v>
      </c>
      <c r="BJ53" s="340">
        <v>1500</v>
      </c>
      <c r="BK53" s="365">
        <v>1400</v>
      </c>
      <c r="BL53" s="357">
        <f t="shared" ref="BL53:BL92" si="221">COUNTIFS(O53:AO53,"&gt;0.01",O53:AO53,"&lt;" &amp; BJ53)</f>
        <v>0</v>
      </c>
      <c r="BM53" s="359">
        <f t="shared" si="23"/>
        <v>2</v>
      </c>
      <c r="BN53" s="360">
        <f t="shared" si="14"/>
        <v>4300</v>
      </c>
      <c r="BO53" s="359">
        <f t="shared" si="15"/>
        <v>0</v>
      </c>
      <c r="BP53" s="359">
        <f t="shared" si="16"/>
        <v>1500</v>
      </c>
      <c r="BQ53" s="359">
        <f t="shared" si="17"/>
        <v>4200</v>
      </c>
      <c r="BR53" s="359">
        <f t="shared" si="18"/>
        <v>1400</v>
      </c>
      <c r="BS53" s="359">
        <f t="shared" si="19"/>
        <v>0</v>
      </c>
      <c r="BT53" s="361">
        <f t="shared" si="20"/>
        <v>0</v>
      </c>
      <c r="BU53" s="337"/>
      <c r="BV53" s="337"/>
    </row>
    <row r="54" spans="1:74" x14ac:dyDescent="0.25">
      <c r="A54" s="846" t="s">
        <v>1145</v>
      </c>
      <c r="F54" s="344">
        <v>505</v>
      </c>
      <c r="G54" s="336" t="s">
        <v>146</v>
      </c>
      <c r="H54" s="336" t="s">
        <v>913</v>
      </c>
      <c r="I54" s="336" t="s">
        <v>196</v>
      </c>
      <c r="J54" s="337" t="s">
        <v>1146</v>
      </c>
      <c r="K54" s="338">
        <v>45878</v>
      </c>
      <c r="L54" s="336" t="s">
        <v>956</v>
      </c>
      <c r="M54" s="333">
        <v>487000</v>
      </c>
      <c r="N54" s="333">
        <v>24400</v>
      </c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333"/>
      <c r="AP54" s="335"/>
      <c r="AQ54" s="335"/>
      <c r="AR54" s="335">
        <v>1000</v>
      </c>
      <c r="AS54" s="335">
        <v>0</v>
      </c>
      <c r="AT54" s="335">
        <v>0</v>
      </c>
      <c r="AU54" s="335">
        <v>1400</v>
      </c>
      <c r="AV54" s="335">
        <v>1400</v>
      </c>
      <c r="AW54" s="335">
        <v>1400</v>
      </c>
      <c r="AX54" s="352">
        <f t="shared" si="21"/>
        <v>5200</v>
      </c>
      <c r="AY54" s="353">
        <f t="shared" ref="AY54" si="222">IFERROR((+AX54/N54),0)</f>
        <v>0.21311475409836064</v>
      </c>
      <c r="AZ54" s="352">
        <f t="shared" ref="AZ54" si="223">+AX54-BD54</f>
        <v>-19200</v>
      </c>
      <c r="BA54" s="353">
        <f t="shared" ref="BA54" si="224">+AZ54/N54</f>
        <v>-0.78688524590163933</v>
      </c>
      <c r="BB54" s="354">
        <f t="shared" ref="BB54" si="225">+M54-AX54</f>
        <v>481800</v>
      </c>
      <c r="BC54" s="355">
        <f t="shared" ref="BC54" si="226">+BB54/M54</f>
        <v>0.98932238193018485</v>
      </c>
      <c r="BD54" s="356">
        <f t="shared" ref="BD54" si="227">IF(BE54="Vendido",N54*1,IF(BE54="Disponible",N54*0,IF(BE54="Enganche Completado",N54*1,IF(BE54="Superávit de Enganche",N54*1,0))))</f>
        <v>24400</v>
      </c>
      <c r="BE54" s="357" t="str">
        <f t="shared" ref="BE54" si="228">IF(J54=0,"Apartamento Disponible",IF(J54&gt;1,"Vendido",0))</f>
        <v>Vendido</v>
      </c>
      <c r="BF54" s="357" t="str">
        <f t="shared" ref="BF54" si="229">IF(AND(BE54="Vendido",K54&gt;=0,BN54&lt;=AX54,AX54&lt;BD54),"Cliente al día",IF(AND(BE54="Vendido",K54&gt;=0,BN54&lt;=AX54,AX54=BD54),"Enganche Completado",IF(AND(BE54="Vendido",K54&gt;=0,BN54&lt;AX54,AX54&gt;BD54),"Superávit de Enganche",IF(AND(BE54="Apartamento Disponible",K54=0,AZ54=0),"Disponible","Cliente Atrasado"))))</f>
        <v>Cliente al día</v>
      </c>
      <c r="BG54" s="358">
        <v>16</v>
      </c>
      <c r="BH54" s="358">
        <f t="shared" ref="BH54" si="230">IF(BG54&gt;1,1,0)</f>
        <v>1</v>
      </c>
      <c r="BI54" s="358">
        <f t="shared" ref="BI54" si="231">+BG54+BH54</f>
        <v>17</v>
      </c>
      <c r="BJ54" s="340">
        <v>1500</v>
      </c>
      <c r="BK54" s="365">
        <v>1400</v>
      </c>
      <c r="BL54" s="357">
        <f t="shared" ref="BL54" si="232">COUNTIFS(O54:AO54,"&gt;0.01",O54:AO54,"&lt;" &amp; BJ54)</f>
        <v>0</v>
      </c>
      <c r="BM54" s="359">
        <f t="shared" si="23"/>
        <v>0</v>
      </c>
      <c r="BN54" s="360">
        <f t="shared" ref="BN54" si="233">(BM54*BK54)+BJ54</f>
        <v>1500</v>
      </c>
      <c r="BO54" s="359">
        <f t="shared" ref="BO54" si="234">SUMIF(O54:AP54,"&lt;=" &amp; BK54,O54:AP54)</f>
        <v>0</v>
      </c>
      <c r="BP54" s="359">
        <f t="shared" ref="BP54" si="235">SUMIF(O54:AP54,"&gt;" &amp; BK54,O54:AP54)</f>
        <v>0</v>
      </c>
      <c r="BQ54" s="359">
        <f t="shared" ref="BQ54" si="236">AX54-BO54-BP54</f>
        <v>5200</v>
      </c>
      <c r="BR54" s="359">
        <f t="shared" ref="BR54" si="237">IF(AX54&gt;BN54,AX54-BN54,0)</f>
        <v>3700</v>
      </c>
      <c r="BS54" s="359">
        <f t="shared" ref="BS54" si="238">IF(AX54&lt;BN54,BN54-AX54,0)</f>
        <v>0</v>
      </c>
      <c r="BT54" s="361">
        <f t="shared" ref="BT54" si="239">ROUNDUP(IF(K54&gt;0,BS54/BK54,0),0)</f>
        <v>0</v>
      </c>
      <c r="BU54" s="337"/>
      <c r="BV54" s="337"/>
    </row>
    <row r="55" spans="1:74" x14ac:dyDescent="0.25">
      <c r="A55" s="846" t="s">
        <v>1147</v>
      </c>
      <c r="F55" s="344">
        <v>504</v>
      </c>
      <c r="G55" s="336" t="s">
        <v>146</v>
      </c>
      <c r="H55" s="336" t="s">
        <v>913</v>
      </c>
      <c r="I55" s="336" t="s">
        <v>196</v>
      </c>
      <c r="J55" s="337" t="s">
        <v>1148</v>
      </c>
      <c r="K55" s="338">
        <v>45883</v>
      </c>
      <c r="L55" s="342" t="s">
        <v>128</v>
      </c>
      <c r="M55" s="333">
        <v>487000</v>
      </c>
      <c r="N55" s="333">
        <v>24400</v>
      </c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5"/>
      <c r="AQ55" s="335"/>
      <c r="AR55" s="335">
        <f>500+500+1000</f>
        <v>2000</v>
      </c>
      <c r="AS55" s="335">
        <v>1347.06</v>
      </c>
      <c r="AT55" s="335">
        <v>1347.06</v>
      </c>
      <c r="AU55" s="335">
        <v>0</v>
      </c>
      <c r="AV55" s="335">
        <v>1347.06</v>
      </c>
      <c r="AW55" s="335">
        <v>1374.06</v>
      </c>
      <c r="AX55" s="352">
        <f t="shared" si="21"/>
        <v>7415.24</v>
      </c>
      <c r="AY55" s="353">
        <f t="shared" ref="AY55" si="240">IFERROR((+AX55/N55),0)</f>
        <v>0.30390327868852457</v>
      </c>
      <c r="AZ55" s="352">
        <f t="shared" ref="AZ55" si="241">+AX55-BD55</f>
        <v>-16984.760000000002</v>
      </c>
      <c r="BA55" s="353">
        <f t="shared" ref="BA55" si="242">+AZ55/N55</f>
        <v>-0.69609672131147549</v>
      </c>
      <c r="BB55" s="354">
        <f t="shared" ref="BB55" si="243">+M55-AX55</f>
        <v>479584.76</v>
      </c>
      <c r="BC55" s="355">
        <f t="shared" ref="BC55" si="244">+BB55/M55</f>
        <v>0.9847736344969199</v>
      </c>
      <c r="BD55" s="356">
        <f t="shared" ref="BD55" si="245">IF(BE55="Vendido",N55*1,IF(BE55="Disponible",N55*0,IF(BE55="Enganche Completado",N55*1,IF(BE55="Superávit de Enganche",N55*1,0))))</f>
        <v>24400</v>
      </c>
      <c r="BE55" s="357" t="str">
        <f t="shared" ref="BE55" si="246">IF(J55=0,"Apartamento Disponible",IF(J55&gt;1,"Vendido",0))</f>
        <v>Vendido</v>
      </c>
      <c r="BF55" s="357" t="str">
        <f t="shared" ref="BF55" si="247">IF(AND(BE55="Vendido",K55&gt;=0,BN55&lt;=AX55,AX55&lt;BD55),"Cliente al día",IF(AND(BE55="Vendido",K55&gt;=0,BN55&lt;=AX55,AX55=BD55),"Enganche Completado",IF(AND(BE55="Vendido",K55&gt;=0,BN55&lt;AX55,AX55&gt;BD55),"Superávit de Enganche",IF(AND(BE55="Apartamento Disponible",K55=0,AZ55=0),"Disponible","Cliente Atrasado"))))</f>
        <v>Cliente al día</v>
      </c>
      <c r="BG55" s="358">
        <v>16</v>
      </c>
      <c r="BH55" s="358">
        <f t="shared" ref="BH55" si="248">IF(BG55&gt;1,1,0)</f>
        <v>1</v>
      </c>
      <c r="BI55" s="358">
        <f t="shared" ref="BI55" si="249">+BG55+BH55</f>
        <v>17</v>
      </c>
      <c r="BJ55" s="340">
        <v>1500</v>
      </c>
      <c r="BK55" s="365">
        <v>1400</v>
      </c>
      <c r="BL55" s="357">
        <f t="shared" ref="BL55" si="250">COUNTIFS(O55:AO55,"&gt;0.01",O55:AO55,"&lt;" &amp; BJ55)</f>
        <v>0</v>
      </c>
      <c r="BM55" s="359">
        <f t="shared" si="23"/>
        <v>0</v>
      </c>
      <c r="BN55" s="360">
        <f t="shared" ref="BN55" si="251">(BM55*BK55)+BJ55</f>
        <v>1500</v>
      </c>
      <c r="BO55" s="359">
        <f t="shared" ref="BO55" si="252">SUMIF(O55:AP55,"&lt;=" &amp; BK55,O55:AP55)</f>
        <v>0</v>
      </c>
      <c r="BP55" s="359">
        <f t="shared" ref="BP55" si="253">SUMIF(O55:AP55,"&gt;" &amp; BK55,O55:AP55)</f>
        <v>0</v>
      </c>
      <c r="BQ55" s="359">
        <f t="shared" ref="BQ55" si="254">AX55-BO55-BP55</f>
        <v>7415.24</v>
      </c>
      <c r="BR55" s="359">
        <f t="shared" ref="BR55" si="255">IF(AX55&gt;BN55,AX55-BN55,0)</f>
        <v>5915.24</v>
      </c>
      <c r="BS55" s="359">
        <f t="shared" ref="BS55" si="256">IF(AX55&lt;BN55,BN55-AX55,0)</f>
        <v>0</v>
      </c>
      <c r="BT55" s="361">
        <f t="shared" ref="BT55" si="257">ROUNDUP(IF(K55&gt;0,BS55/BK55,0),0)</f>
        <v>0</v>
      </c>
      <c r="BU55" s="337"/>
      <c r="BV55" s="337"/>
    </row>
    <row r="56" spans="1:74" x14ac:dyDescent="0.25">
      <c r="A56" s="846" t="s">
        <v>1149</v>
      </c>
      <c r="B56" s="86" t="s">
        <v>995</v>
      </c>
      <c r="F56" s="336">
        <v>505</v>
      </c>
      <c r="G56" s="336" t="s">
        <v>145</v>
      </c>
      <c r="H56" s="336" t="s">
        <v>145</v>
      </c>
      <c r="I56" s="336" t="s">
        <v>914</v>
      </c>
      <c r="J56" s="337" t="s">
        <v>1000</v>
      </c>
      <c r="K56" s="338">
        <v>45693</v>
      </c>
      <c r="L56" s="336" t="s">
        <v>128</v>
      </c>
      <c r="M56" s="333">
        <v>369600</v>
      </c>
      <c r="N56" s="333">
        <v>18500</v>
      </c>
      <c r="O56" s="333">
        <v>0</v>
      </c>
      <c r="P56" s="333">
        <v>0</v>
      </c>
      <c r="Q56" s="333">
        <v>0</v>
      </c>
      <c r="R56" s="333">
        <v>0</v>
      </c>
      <c r="S56" s="333">
        <v>0</v>
      </c>
      <c r="T56" s="333">
        <v>0</v>
      </c>
      <c r="U56" s="333">
        <v>0</v>
      </c>
      <c r="V56" s="333">
        <v>0</v>
      </c>
      <c r="W56" s="333">
        <v>0</v>
      </c>
      <c r="X56" s="333">
        <v>0</v>
      </c>
      <c r="Y56" s="333">
        <v>0</v>
      </c>
      <c r="Z56" s="333">
        <v>0</v>
      </c>
      <c r="AA56" s="333">
        <v>0</v>
      </c>
      <c r="AB56" s="333">
        <v>0</v>
      </c>
      <c r="AC56" s="333">
        <v>0</v>
      </c>
      <c r="AD56" s="333">
        <v>0</v>
      </c>
      <c r="AE56" s="333">
        <v>0</v>
      </c>
      <c r="AF56" s="333">
        <v>0</v>
      </c>
      <c r="AG56" s="333">
        <v>0</v>
      </c>
      <c r="AH56" s="333">
        <v>0</v>
      </c>
      <c r="AI56" s="333">
        <v>0</v>
      </c>
      <c r="AJ56" s="333">
        <v>0</v>
      </c>
      <c r="AK56" s="333">
        <v>0</v>
      </c>
      <c r="AL56" s="333">
        <f>1500+1062.5</f>
        <v>2562.5</v>
      </c>
      <c r="AM56" s="333">
        <v>1100</v>
      </c>
      <c r="AN56" s="333">
        <v>1100</v>
      </c>
      <c r="AO56" s="333"/>
      <c r="AP56" s="335">
        <v>1100</v>
      </c>
      <c r="AQ56" s="335">
        <v>1100</v>
      </c>
      <c r="AR56" s="335">
        <v>1100</v>
      </c>
      <c r="AS56" s="335">
        <v>1100</v>
      </c>
      <c r="AT56" s="335">
        <v>1100</v>
      </c>
      <c r="AU56" s="335">
        <v>0</v>
      </c>
      <c r="AV56" s="335">
        <v>1100</v>
      </c>
      <c r="AW56" s="335">
        <v>1100</v>
      </c>
      <c r="AX56" s="352">
        <f t="shared" si="21"/>
        <v>12462.5</v>
      </c>
      <c r="AY56" s="353">
        <f t="shared" si="212"/>
        <v>0.6736486486486486</v>
      </c>
      <c r="AZ56" s="352">
        <f t="shared" si="213"/>
        <v>-6037.5</v>
      </c>
      <c r="BA56" s="353">
        <f t="shared" si="214"/>
        <v>-0.32635135135135135</v>
      </c>
      <c r="BB56" s="354">
        <f t="shared" si="215"/>
        <v>357137.5</v>
      </c>
      <c r="BC56" s="355">
        <f t="shared" si="216"/>
        <v>0.96628111471861466</v>
      </c>
      <c r="BD56" s="356">
        <f t="shared" si="217"/>
        <v>18500</v>
      </c>
      <c r="BE56" s="357" t="str">
        <f t="shared" si="218"/>
        <v>Vendido</v>
      </c>
      <c r="BF56" s="357" t="str">
        <f t="shared" si="219"/>
        <v>Cliente al día</v>
      </c>
      <c r="BG56" s="358">
        <v>16</v>
      </c>
      <c r="BH56" s="358">
        <f t="shared" si="148"/>
        <v>1</v>
      </c>
      <c r="BI56" s="358">
        <f t="shared" si="220"/>
        <v>17</v>
      </c>
      <c r="BJ56" s="340">
        <v>1500</v>
      </c>
      <c r="BK56" s="365">
        <v>1062.5</v>
      </c>
      <c r="BL56" s="357">
        <f t="shared" si="221"/>
        <v>2</v>
      </c>
      <c r="BM56" s="359">
        <f t="shared" si="23"/>
        <v>6</v>
      </c>
      <c r="BN56" s="360">
        <f t="shared" si="14"/>
        <v>7875</v>
      </c>
      <c r="BO56" s="359">
        <f t="shared" si="15"/>
        <v>0</v>
      </c>
      <c r="BP56" s="359">
        <f t="shared" si="16"/>
        <v>5862.5</v>
      </c>
      <c r="BQ56" s="359">
        <f t="shared" si="17"/>
        <v>6600</v>
      </c>
      <c r="BR56" s="359">
        <f t="shared" si="18"/>
        <v>4587.5</v>
      </c>
      <c r="BS56" s="359">
        <f t="shared" si="19"/>
        <v>0</v>
      </c>
      <c r="BT56" s="361">
        <f t="shared" si="20"/>
        <v>0</v>
      </c>
      <c r="BU56" s="337"/>
      <c r="BV56" s="337"/>
    </row>
    <row r="57" spans="1:74" x14ac:dyDescent="0.25">
      <c r="A57" s="846" t="s">
        <v>1150</v>
      </c>
      <c r="F57" s="344">
        <v>507</v>
      </c>
      <c r="G57" s="336" t="s">
        <v>145</v>
      </c>
      <c r="H57" s="336" t="s">
        <v>145</v>
      </c>
      <c r="I57" s="336" t="s">
        <v>203</v>
      </c>
      <c r="J57" s="337" t="s">
        <v>1001</v>
      </c>
      <c r="K57" s="338">
        <v>45836</v>
      </c>
      <c r="L57" s="336" t="s">
        <v>128</v>
      </c>
      <c r="M57" s="333">
        <v>477000</v>
      </c>
      <c r="N57" s="333">
        <v>23900</v>
      </c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333"/>
      <c r="AP57" s="335">
        <v>1500</v>
      </c>
      <c r="AQ57" s="335"/>
      <c r="AR57" s="335"/>
      <c r="AS57" s="335">
        <v>0</v>
      </c>
      <c r="AT57" s="335">
        <v>0</v>
      </c>
      <c r="AU57" s="335">
        <v>0</v>
      </c>
      <c r="AV57" s="335"/>
      <c r="AW57" s="335"/>
      <c r="AX57" s="352">
        <f t="shared" si="21"/>
        <v>1500</v>
      </c>
      <c r="AY57" s="353">
        <f t="shared" si="212"/>
        <v>6.2761506276150625E-2</v>
      </c>
      <c r="AZ57" s="352">
        <f t="shared" si="213"/>
        <v>-22400</v>
      </c>
      <c r="BA57" s="353">
        <f t="shared" si="214"/>
        <v>-0.93723849372384938</v>
      </c>
      <c r="BB57" s="354">
        <f t="shared" si="215"/>
        <v>475500</v>
      </c>
      <c r="BC57" s="355">
        <f t="shared" si="216"/>
        <v>0.99685534591194969</v>
      </c>
      <c r="BD57" s="356">
        <f t="shared" si="217"/>
        <v>23900</v>
      </c>
      <c r="BE57" s="357" t="str">
        <f t="shared" si="218"/>
        <v>Vendido</v>
      </c>
      <c r="BF57" s="357" t="str">
        <f t="shared" si="219"/>
        <v>Cliente al día</v>
      </c>
      <c r="BG57" s="358">
        <v>16</v>
      </c>
      <c r="BH57" s="358">
        <v>1</v>
      </c>
      <c r="BI57" s="358">
        <f t="shared" si="220"/>
        <v>17</v>
      </c>
      <c r="BJ57" s="340">
        <v>1500</v>
      </c>
      <c r="BK57" s="365">
        <v>1400</v>
      </c>
      <c r="BL57" s="357">
        <f t="shared" si="221"/>
        <v>0</v>
      </c>
      <c r="BM57" s="359">
        <f t="shared" si="23"/>
        <v>2</v>
      </c>
      <c r="BN57" s="360"/>
      <c r="BO57" s="359"/>
      <c r="BP57" s="359"/>
      <c r="BQ57" s="359"/>
      <c r="BR57" s="359"/>
      <c r="BS57" s="359"/>
      <c r="BT57" s="361"/>
      <c r="BU57" s="337"/>
      <c r="BV57" s="337"/>
    </row>
    <row r="58" spans="1:74" x14ac:dyDescent="0.25">
      <c r="A58" s="846" t="s">
        <v>1151</v>
      </c>
      <c r="F58" s="336">
        <v>508</v>
      </c>
      <c r="G58" s="336" t="s">
        <v>145</v>
      </c>
      <c r="H58" s="336" t="s">
        <v>145</v>
      </c>
      <c r="I58" s="336" t="s">
        <v>203</v>
      </c>
      <c r="J58" s="337" t="s">
        <v>1002</v>
      </c>
      <c r="K58" s="338">
        <v>45836</v>
      </c>
      <c r="L58" s="336" t="s">
        <v>128</v>
      </c>
      <c r="M58" s="333">
        <v>477000</v>
      </c>
      <c r="N58" s="333">
        <v>23900</v>
      </c>
      <c r="O58" s="333">
        <v>0</v>
      </c>
      <c r="P58" s="333">
        <v>0</v>
      </c>
      <c r="Q58" s="333">
        <v>0</v>
      </c>
      <c r="R58" s="333">
        <v>0</v>
      </c>
      <c r="S58" s="333">
        <v>0</v>
      </c>
      <c r="T58" s="333">
        <v>0</v>
      </c>
      <c r="U58" s="333">
        <v>0</v>
      </c>
      <c r="V58" s="333">
        <v>0</v>
      </c>
      <c r="W58" s="333">
        <v>0</v>
      </c>
      <c r="X58" s="333">
        <v>0</v>
      </c>
      <c r="Y58" s="333">
        <v>0</v>
      </c>
      <c r="Z58" s="333">
        <v>0</v>
      </c>
      <c r="AA58" s="333">
        <v>0</v>
      </c>
      <c r="AB58" s="333">
        <v>0</v>
      </c>
      <c r="AC58" s="333">
        <v>0</v>
      </c>
      <c r="AD58" s="333">
        <v>0</v>
      </c>
      <c r="AE58" s="333">
        <v>0</v>
      </c>
      <c r="AF58" s="333">
        <v>0</v>
      </c>
      <c r="AG58" s="333">
        <v>0</v>
      </c>
      <c r="AH58" s="333">
        <v>0</v>
      </c>
      <c r="AI58" s="333">
        <v>0</v>
      </c>
      <c r="AJ58" s="333">
        <v>0</v>
      </c>
      <c r="AK58" s="333">
        <v>0</v>
      </c>
      <c r="AL58" s="333">
        <v>0</v>
      </c>
      <c r="AM58" s="333">
        <v>0</v>
      </c>
      <c r="AN58" s="333"/>
      <c r="AO58" s="333"/>
      <c r="AP58" s="335">
        <v>1500</v>
      </c>
      <c r="AQ58" s="335">
        <v>1400</v>
      </c>
      <c r="AR58" s="335">
        <v>1400</v>
      </c>
      <c r="AS58" s="335">
        <v>1400</v>
      </c>
      <c r="AT58" s="335">
        <v>1400</v>
      </c>
      <c r="AU58" s="335">
        <v>0</v>
      </c>
      <c r="AV58" s="335">
        <v>1400</v>
      </c>
      <c r="AW58" s="335">
        <v>1400</v>
      </c>
      <c r="AX58" s="352">
        <f t="shared" si="21"/>
        <v>9900</v>
      </c>
      <c r="AY58" s="353">
        <f t="shared" si="212"/>
        <v>0.41422594142259417</v>
      </c>
      <c r="AZ58" s="352">
        <f t="shared" si="213"/>
        <v>-14000</v>
      </c>
      <c r="BA58" s="353">
        <f t="shared" si="214"/>
        <v>-0.58577405857740583</v>
      </c>
      <c r="BB58" s="354">
        <f t="shared" si="215"/>
        <v>467100</v>
      </c>
      <c r="BC58" s="355">
        <f t="shared" si="216"/>
        <v>0.97924528301886793</v>
      </c>
      <c r="BD58" s="356">
        <f t="shared" si="217"/>
        <v>23900</v>
      </c>
      <c r="BE58" s="357" t="str">
        <f t="shared" si="218"/>
        <v>Vendido</v>
      </c>
      <c r="BF58" s="357" t="str">
        <f t="shared" si="219"/>
        <v>Cliente al día</v>
      </c>
      <c r="BG58" s="358">
        <v>16</v>
      </c>
      <c r="BH58" s="358">
        <f t="shared" ref="BH58:BH75" si="258">IF(BG58&gt;1,1,0)</f>
        <v>1</v>
      </c>
      <c r="BI58" s="358">
        <f t="shared" si="220"/>
        <v>17</v>
      </c>
      <c r="BJ58" s="340">
        <v>1500</v>
      </c>
      <c r="BK58" s="365">
        <v>1400</v>
      </c>
      <c r="BL58" s="357">
        <f t="shared" si="221"/>
        <v>0</v>
      </c>
      <c r="BM58" s="359">
        <f t="shared" si="23"/>
        <v>2</v>
      </c>
      <c r="BN58" s="360">
        <f t="shared" ref="BN58:BN89" si="259">(BM58*BK58)+BJ58</f>
        <v>4300</v>
      </c>
      <c r="BO58" s="359">
        <f t="shared" ref="BO58:BO92" si="260">SUMIF(O58:AP58,"&lt;=" &amp; BK58,O58:AP58)</f>
        <v>0</v>
      </c>
      <c r="BP58" s="359">
        <f t="shared" ref="BP58:BP92" si="261">SUMIF(O58:AP58,"&gt;" &amp; BK58,O58:AP58)</f>
        <v>1500</v>
      </c>
      <c r="BQ58" s="359">
        <f t="shared" ref="BQ58:BQ92" si="262">AX58-BO58-BP58</f>
        <v>8400</v>
      </c>
      <c r="BR58" s="359">
        <f t="shared" ref="BR58:BR84" si="263">IF(AX58&gt;BN58,AX58-BN58,0)</f>
        <v>5600</v>
      </c>
      <c r="BS58" s="359">
        <f t="shared" ref="BS58:BS84" si="264">IF(AX58&lt;BN58,BN58-AX58,0)</f>
        <v>0</v>
      </c>
      <c r="BT58" s="361"/>
      <c r="BU58" s="337"/>
      <c r="BV58" s="337"/>
    </row>
    <row r="59" spans="1:74" x14ac:dyDescent="0.25">
      <c r="A59" s="846" t="s">
        <v>1152</v>
      </c>
      <c r="B59" s="86" t="s">
        <v>999</v>
      </c>
      <c r="F59" s="336">
        <v>510</v>
      </c>
      <c r="G59" s="336" t="s">
        <v>145</v>
      </c>
      <c r="H59" s="336" t="s">
        <v>913</v>
      </c>
      <c r="I59" s="336" t="s">
        <v>366</v>
      </c>
      <c r="J59" s="337" t="s">
        <v>987</v>
      </c>
      <c r="K59" s="338">
        <v>45511</v>
      </c>
      <c r="L59" s="336" t="s">
        <v>128</v>
      </c>
      <c r="M59" s="333">
        <v>477000</v>
      </c>
      <c r="N59" s="333">
        <v>23900</v>
      </c>
      <c r="O59" s="333">
        <v>0</v>
      </c>
      <c r="P59" s="333">
        <v>0</v>
      </c>
      <c r="Q59" s="333">
        <v>0</v>
      </c>
      <c r="R59" s="333">
        <v>0</v>
      </c>
      <c r="S59" s="333">
        <v>0</v>
      </c>
      <c r="T59" s="333">
        <v>0</v>
      </c>
      <c r="U59" s="333">
        <v>0</v>
      </c>
      <c r="V59" s="333">
        <v>0</v>
      </c>
      <c r="W59" s="333">
        <v>0</v>
      </c>
      <c r="X59" s="333">
        <v>0</v>
      </c>
      <c r="Y59" s="333">
        <v>0</v>
      </c>
      <c r="Z59" s="333">
        <v>0</v>
      </c>
      <c r="AA59" s="333">
        <v>0</v>
      </c>
      <c r="AB59" s="333">
        <v>0</v>
      </c>
      <c r="AC59" s="333">
        <v>0</v>
      </c>
      <c r="AD59" s="333">
        <v>0</v>
      </c>
      <c r="AE59" s="333">
        <v>0</v>
      </c>
      <c r="AF59" s="333">
        <v>500</v>
      </c>
      <c r="AG59" s="333">
        <v>1462.5</v>
      </c>
      <c r="AH59" s="333">
        <v>1462.5</v>
      </c>
      <c r="AI59" s="333">
        <v>1462.5</v>
      </c>
      <c r="AJ59" s="333">
        <v>1462.5</v>
      </c>
      <c r="AK59" s="333">
        <v>1462.5</v>
      </c>
      <c r="AL59" s="333">
        <v>1462.5</v>
      </c>
      <c r="AM59" s="333">
        <v>1462.5</v>
      </c>
      <c r="AN59" s="333">
        <v>1462.5</v>
      </c>
      <c r="AO59" s="334">
        <v>1462.5</v>
      </c>
      <c r="AP59" s="335">
        <v>1462.5</v>
      </c>
      <c r="AQ59" s="335">
        <v>1462.5</v>
      </c>
      <c r="AR59" s="335">
        <v>1462.5</v>
      </c>
      <c r="AS59" s="335">
        <v>1462.5</v>
      </c>
      <c r="AT59" s="335">
        <v>1462.5</v>
      </c>
      <c r="AU59" s="335">
        <v>0</v>
      </c>
      <c r="AV59" s="335">
        <v>1462.5</v>
      </c>
      <c r="AW59" s="335">
        <v>1462.5</v>
      </c>
      <c r="AX59" s="352">
        <f t="shared" si="21"/>
        <v>23900</v>
      </c>
      <c r="AY59" s="353">
        <f t="shared" si="212"/>
        <v>1</v>
      </c>
      <c r="AZ59" s="352">
        <f t="shared" si="213"/>
        <v>0</v>
      </c>
      <c r="BA59" s="353">
        <f t="shared" si="214"/>
        <v>0</v>
      </c>
      <c r="BB59" s="354">
        <f t="shared" si="215"/>
        <v>453100</v>
      </c>
      <c r="BC59" s="355">
        <f t="shared" si="216"/>
        <v>0.94989517819706504</v>
      </c>
      <c r="BD59" s="356">
        <f t="shared" si="217"/>
        <v>23900</v>
      </c>
      <c r="BE59" s="357" t="str">
        <f t="shared" si="218"/>
        <v>Vendido</v>
      </c>
      <c r="BF59" s="357" t="str">
        <f t="shared" si="219"/>
        <v>Enganche Completado</v>
      </c>
      <c r="BG59" s="358">
        <v>16</v>
      </c>
      <c r="BH59" s="358">
        <f t="shared" si="258"/>
        <v>1</v>
      </c>
      <c r="BI59" s="358">
        <f t="shared" si="220"/>
        <v>17</v>
      </c>
      <c r="BJ59" s="340">
        <v>1500</v>
      </c>
      <c r="BK59" s="365">
        <v>1462.5</v>
      </c>
      <c r="BL59" s="357">
        <f t="shared" si="221"/>
        <v>10</v>
      </c>
      <c r="BM59" s="359">
        <f t="shared" si="23"/>
        <v>12</v>
      </c>
      <c r="BN59" s="360">
        <f t="shared" si="259"/>
        <v>19050</v>
      </c>
      <c r="BO59" s="359">
        <f t="shared" si="260"/>
        <v>15125</v>
      </c>
      <c r="BP59" s="359">
        <f t="shared" si="261"/>
        <v>0</v>
      </c>
      <c r="BQ59" s="359">
        <f t="shared" si="262"/>
        <v>8775</v>
      </c>
      <c r="BR59" s="359">
        <f t="shared" si="263"/>
        <v>4850</v>
      </c>
      <c r="BS59" s="359">
        <f t="shared" si="264"/>
        <v>0</v>
      </c>
      <c r="BT59" s="361">
        <f t="shared" ref="BT59:BT84" si="265">ROUNDUP(IF(K59&gt;0,BS59/BK59,0),0)</f>
        <v>0</v>
      </c>
      <c r="BU59" s="337"/>
      <c r="BV59" s="337"/>
    </row>
    <row r="60" spans="1:74" x14ac:dyDescent="0.25">
      <c r="A60" s="846" t="s">
        <v>1153</v>
      </c>
      <c r="B60" s="86" t="s">
        <v>999</v>
      </c>
      <c r="F60" s="336">
        <v>510</v>
      </c>
      <c r="G60" s="336" t="s">
        <v>145</v>
      </c>
      <c r="H60" s="336" t="s">
        <v>913</v>
      </c>
      <c r="I60" s="336" t="s">
        <v>196</v>
      </c>
      <c r="J60" s="337" t="s">
        <v>1154</v>
      </c>
      <c r="K60" s="338">
        <v>45879</v>
      </c>
      <c r="L60" s="336" t="s">
        <v>956</v>
      </c>
      <c r="M60" s="333">
        <v>487000</v>
      </c>
      <c r="N60" s="333">
        <v>24000</v>
      </c>
      <c r="O60" s="333">
        <v>0</v>
      </c>
      <c r="P60" s="333">
        <v>0</v>
      </c>
      <c r="Q60" s="333">
        <v>0</v>
      </c>
      <c r="R60" s="333">
        <v>0</v>
      </c>
      <c r="S60" s="333">
        <v>0</v>
      </c>
      <c r="T60" s="333">
        <v>0</v>
      </c>
      <c r="U60" s="333">
        <v>0</v>
      </c>
      <c r="V60" s="333">
        <v>0</v>
      </c>
      <c r="W60" s="333">
        <v>0</v>
      </c>
      <c r="X60" s="333">
        <v>0</v>
      </c>
      <c r="Y60" s="333">
        <v>0</v>
      </c>
      <c r="Z60" s="333">
        <v>0</v>
      </c>
      <c r="AA60" s="333">
        <v>0</v>
      </c>
      <c r="AB60" s="333">
        <v>0</v>
      </c>
      <c r="AC60" s="333">
        <v>0</v>
      </c>
      <c r="AD60" s="333">
        <v>0</v>
      </c>
      <c r="AE60" s="333">
        <v>0</v>
      </c>
      <c r="AF60" s="333"/>
      <c r="AG60" s="333"/>
      <c r="AH60" s="333"/>
      <c r="AI60" s="333"/>
      <c r="AJ60" s="333"/>
      <c r="AK60" s="333"/>
      <c r="AL60" s="333"/>
      <c r="AM60" s="333"/>
      <c r="AN60" s="333"/>
      <c r="AO60" s="334"/>
      <c r="AP60" s="335"/>
      <c r="AQ60" s="335"/>
      <c r="AR60" s="335">
        <f>750+750</f>
        <v>1500</v>
      </c>
      <c r="AS60" s="335">
        <v>0</v>
      </c>
      <c r="AT60" s="335">
        <v>0</v>
      </c>
      <c r="AU60" s="335">
        <v>0</v>
      </c>
      <c r="AV60" s="335"/>
      <c r="AW60" s="335"/>
      <c r="AX60" s="352">
        <f t="shared" si="21"/>
        <v>1500</v>
      </c>
      <c r="AY60" s="353">
        <f t="shared" ref="AY60" si="266">IFERROR((+AX60/N60),0)</f>
        <v>6.25E-2</v>
      </c>
      <c r="AZ60" s="352">
        <f t="shared" ref="AZ60" si="267">+AX60-BD60</f>
        <v>-22500</v>
      </c>
      <c r="BA60" s="353">
        <f t="shared" ref="BA60" si="268">+AZ60/N60</f>
        <v>-0.9375</v>
      </c>
      <c r="BB60" s="354">
        <f t="shared" ref="BB60" si="269">+M60-AX60</f>
        <v>485500</v>
      </c>
      <c r="BC60" s="355">
        <f t="shared" ref="BC60" si="270">+BB60/M60</f>
        <v>0.99691991786447642</v>
      </c>
      <c r="BD60" s="356">
        <f t="shared" ref="BD60" si="271">IF(BE60="Vendido",N60*1,IF(BE60="Disponible",N60*0,IF(BE60="Enganche Completado",N60*1,IF(BE60="Superávit de Enganche",N60*1,0))))</f>
        <v>24000</v>
      </c>
      <c r="BE60" s="357" t="str">
        <f t="shared" ref="BE60" si="272">IF(J60=0,"Apartamento Disponible",IF(J60&gt;1,"Vendido",0))</f>
        <v>Vendido</v>
      </c>
      <c r="BF60" s="357" t="str">
        <f t="shared" ref="BF60" si="273">IF(AND(BE60="Vendido",K60&gt;=0,BN60&lt;=AX60,AX60&lt;BD60),"Cliente al día",IF(AND(BE60="Vendido",K60&gt;=0,BN60&lt;=AX60,AX60=BD60),"Enganche Completado",IF(AND(BE60="Vendido",K60&gt;=0,BN60&lt;AX60,AX60&gt;BD60),"Superávit de Enganche",IF(AND(BE60="Apartamento Disponible",K60=0,AZ60=0),"Disponible","Cliente Atrasado"))))</f>
        <v>Cliente al día</v>
      </c>
      <c r="BG60" s="358">
        <v>16</v>
      </c>
      <c r="BH60" s="358">
        <f t="shared" ref="BH60" si="274">IF(BG60&gt;1,1,0)</f>
        <v>1</v>
      </c>
      <c r="BI60" s="358">
        <f t="shared" ref="BI60" si="275">+BG60+BH60</f>
        <v>17</v>
      </c>
      <c r="BJ60" s="340">
        <v>1500</v>
      </c>
      <c r="BK60" s="365">
        <v>1462.5</v>
      </c>
      <c r="BL60" s="357">
        <f t="shared" ref="BL60" si="276">COUNTIFS(O60:AO60,"&gt;0.01",O60:AO60,"&lt;" &amp; BJ60)</f>
        <v>0</v>
      </c>
      <c r="BM60" s="359">
        <f t="shared" si="23"/>
        <v>0</v>
      </c>
      <c r="BN60" s="360">
        <f t="shared" ref="BN60" si="277">(BM60*BK60)+BJ60</f>
        <v>1500</v>
      </c>
      <c r="BO60" s="359">
        <f t="shared" ref="BO60" si="278">SUMIF(O60:AP60,"&lt;=" &amp; BK60,O60:AP60)</f>
        <v>0</v>
      </c>
      <c r="BP60" s="359">
        <f t="shared" ref="BP60" si="279">SUMIF(O60:AP60,"&gt;" &amp; BK60,O60:AP60)</f>
        <v>0</v>
      </c>
      <c r="BQ60" s="359">
        <f t="shared" ref="BQ60" si="280">AX60-BO60-BP60</f>
        <v>1500</v>
      </c>
      <c r="BR60" s="359">
        <f t="shared" ref="BR60" si="281">IF(AX60&gt;BN60,AX60-BN60,0)</f>
        <v>0</v>
      </c>
      <c r="BS60" s="359">
        <f t="shared" ref="BS60" si="282">IF(AX60&lt;BN60,BN60-AX60,0)</f>
        <v>0</v>
      </c>
      <c r="BT60" s="361">
        <f t="shared" ref="BT60" si="283">ROUNDUP(IF(K60&gt;0,BS60/BK60,0),0)</f>
        <v>0</v>
      </c>
      <c r="BU60" s="337"/>
      <c r="BV60" s="337"/>
    </row>
    <row r="61" spans="1:74" x14ac:dyDescent="0.25">
      <c r="A61" s="846" t="s">
        <v>1155</v>
      </c>
      <c r="F61" s="336">
        <v>511</v>
      </c>
      <c r="G61" s="336" t="s">
        <v>146</v>
      </c>
      <c r="H61" s="336" t="s">
        <v>913</v>
      </c>
      <c r="I61" s="336" t="s">
        <v>1109</v>
      </c>
      <c r="J61" s="337" t="s">
        <v>1156</v>
      </c>
      <c r="K61" s="338">
        <v>45878</v>
      </c>
      <c r="L61" s="336" t="s">
        <v>128</v>
      </c>
      <c r="M61" s="333">
        <v>487000</v>
      </c>
      <c r="N61" s="333">
        <v>24000</v>
      </c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3"/>
      <c r="AM61" s="333"/>
      <c r="AN61" s="333"/>
      <c r="AO61" s="334"/>
      <c r="AP61" s="335"/>
      <c r="AQ61" s="335"/>
      <c r="AR61" s="335">
        <v>1500</v>
      </c>
      <c r="AS61" s="335">
        <v>0</v>
      </c>
      <c r="AT61" s="335">
        <v>1347.06</v>
      </c>
      <c r="AU61" s="335">
        <v>0</v>
      </c>
      <c r="AV61" s="335">
        <v>1347.06</v>
      </c>
      <c r="AW61" s="335">
        <v>1347.06</v>
      </c>
      <c r="AX61" s="352">
        <f t="shared" si="21"/>
        <v>5541.18</v>
      </c>
      <c r="AY61" s="353">
        <f t="shared" ref="AY61" si="284">IFERROR((+AX61/N61),0)</f>
        <v>0.23088250000000002</v>
      </c>
      <c r="AZ61" s="352">
        <f t="shared" ref="AZ61" si="285">+AX61-BD61</f>
        <v>-18458.82</v>
      </c>
      <c r="BA61" s="353">
        <f t="shared" ref="BA61" si="286">+AZ61/N61</f>
        <v>-0.76911750000000001</v>
      </c>
      <c r="BB61" s="354">
        <f t="shared" ref="BB61" si="287">+M61-AX61</f>
        <v>481458.82</v>
      </c>
      <c r="BC61" s="355">
        <f t="shared" ref="BC61" si="288">+BB61/M61</f>
        <v>0.98862180698151947</v>
      </c>
      <c r="BD61" s="356">
        <f t="shared" ref="BD61" si="289">IF(BE61="Vendido",N61*1,IF(BE61="Disponible",N61*0,IF(BE61="Enganche Completado",N61*1,IF(BE61="Superávit de Enganche",N61*1,0))))</f>
        <v>24000</v>
      </c>
      <c r="BE61" s="357" t="str">
        <f t="shared" ref="BE61" si="290">IF(J61=0,"Apartamento Disponible",IF(J61&gt;1,"Vendido",0))</f>
        <v>Vendido</v>
      </c>
      <c r="BF61" s="357" t="str">
        <f t="shared" ref="BF61" si="291">IF(AND(BE61="Vendido",K61&gt;=0,BN61&lt;=AX61,AX61&lt;BD61),"Cliente al día",IF(AND(BE61="Vendido",K61&gt;=0,BN61&lt;=AX61,AX61=BD61),"Enganche Completado",IF(AND(BE61="Vendido",K61&gt;=0,BN61&lt;AX61,AX61&gt;BD61),"Superávit de Enganche",IF(AND(BE61="Apartamento Disponible",K61=0,AZ61=0),"Disponible","Cliente Atrasado"))))</f>
        <v>Cliente al día</v>
      </c>
      <c r="BG61" s="358">
        <v>16</v>
      </c>
      <c r="BH61" s="358">
        <f t="shared" ref="BH61" si="292">IF(BG61&gt;1,1,0)</f>
        <v>1</v>
      </c>
      <c r="BI61" s="358">
        <f t="shared" ref="BI61" si="293">+BG61+BH61</f>
        <v>17</v>
      </c>
      <c r="BJ61" s="340">
        <v>1500</v>
      </c>
      <c r="BK61" s="365">
        <v>1462.5</v>
      </c>
      <c r="BL61" s="357">
        <f t="shared" ref="BL61" si="294">COUNTIFS(O61:AO61,"&gt;0.01",O61:AO61,"&lt;" &amp; BJ61)</f>
        <v>0</v>
      </c>
      <c r="BM61" s="359">
        <f t="shared" si="23"/>
        <v>0</v>
      </c>
      <c r="BN61" s="360">
        <f t="shared" ref="BN61" si="295">(BM61*BK61)+BJ61</f>
        <v>1500</v>
      </c>
      <c r="BO61" s="359">
        <f t="shared" ref="BO61" si="296">SUMIF(O61:AP61,"&lt;=" &amp; BK61,O61:AP61)</f>
        <v>0</v>
      </c>
      <c r="BP61" s="359">
        <f t="shared" ref="BP61" si="297">SUMIF(O61:AP61,"&gt;" &amp; BK61,O61:AP61)</f>
        <v>0</v>
      </c>
      <c r="BQ61" s="359">
        <f t="shared" ref="BQ61" si="298">AX61-BO61-BP61</f>
        <v>5541.18</v>
      </c>
      <c r="BR61" s="359">
        <f t="shared" ref="BR61" si="299">IF(AX61&gt;BN61,AX61-BN61,0)</f>
        <v>4041.1800000000003</v>
      </c>
      <c r="BS61" s="359">
        <f t="shared" ref="BS61" si="300">IF(AX61&lt;BN61,BN61-AX61,0)</f>
        <v>0</v>
      </c>
      <c r="BT61" s="361">
        <f t="shared" ref="BT61" si="301">ROUNDUP(IF(K61&gt;0,BS61/BK61,0),0)</f>
        <v>0</v>
      </c>
      <c r="BU61" s="337"/>
      <c r="BV61" s="337"/>
    </row>
    <row r="62" spans="1:74" x14ac:dyDescent="0.25">
      <c r="A62" s="846" t="s">
        <v>1157</v>
      </c>
      <c r="F62" s="336">
        <v>601</v>
      </c>
      <c r="G62" s="336" t="s">
        <v>145</v>
      </c>
      <c r="H62" s="336" t="s">
        <v>146</v>
      </c>
      <c r="I62" s="336" t="s">
        <v>908</v>
      </c>
      <c r="J62" s="337" t="s">
        <v>1006</v>
      </c>
      <c r="K62" s="338">
        <v>45407</v>
      </c>
      <c r="L62" s="336" t="s">
        <v>128</v>
      </c>
      <c r="M62" s="333">
        <v>477700</v>
      </c>
      <c r="N62" s="333">
        <v>23900</v>
      </c>
      <c r="O62" s="333">
        <v>0</v>
      </c>
      <c r="P62" s="333">
        <v>0</v>
      </c>
      <c r="Q62" s="333">
        <v>0</v>
      </c>
      <c r="R62" s="333">
        <v>0</v>
      </c>
      <c r="S62" s="333">
        <v>0</v>
      </c>
      <c r="T62" s="333">
        <v>0</v>
      </c>
      <c r="U62" s="333">
        <v>0</v>
      </c>
      <c r="V62" s="333">
        <v>0</v>
      </c>
      <c r="W62" s="333">
        <v>0</v>
      </c>
      <c r="X62" s="333">
        <v>0</v>
      </c>
      <c r="Y62" s="333">
        <v>0</v>
      </c>
      <c r="Z62" s="333">
        <v>0</v>
      </c>
      <c r="AA62" s="333">
        <v>0</v>
      </c>
      <c r="AB62" s="333">
        <v>1500</v>
      </c>
      <c r="AC62" s="333">
        <v>0</v>
      </c>
      <c r="AD62" s="333">
        <v>1000</v>
      </c>
      <c r="AE62" s="333">
        <v>0</v>
      </c>
      <c r="AF62" s="333">
        <v>0</v>
      </c>
      <c r="AG62" s="333">
        <v>1729.5</v>
      </c>
      <c r="AH62" s="333">
        <v>0</v>
      </c>
      <c r="AI62" s="333">
        <v>2459</v>
      </c>
      <c r="AJ62" s="333">
        <v>0</v>
      </c>
      <c r="AK62" s="333">
        <v>0</v>
      </c>
      <c r="AL62" s="333">
        <v>0</v>
      </c>
      <c r="AM62" s="333">
        <v>0</v>
      </c>
      <c r="AN62" s="333"/>
      <c r="AO62" s="333"/>
      <c r="AP62" s="335">
        <v>6147.5</v>
      </c>
      <c r="AQ62" s="335">
        <v>4918</v>
      </c>
      <c r="AR62" s="335"/>
      <c r="AS62" s="335">
        <v>0</v>
      </c>
      <c r="AT62" s="335">
        <v>0</v>
      </c>
      <c r="AU62" s="335">
        <v>0</v>
      </c>
      <c r="AV62" s="335"/>
      <c r="AW62" s="335"/>
      <c r="AX62" s="352">
        <f t="shared" si="21"/>
        <v>17754</v>
      </c>
      <c r="AY62" s="353">
        <f t="shared" si="212"/>
        <v>0.74284518828451884</v>
      </c>
      <c r="AZ62" s="352">
        <f t="shared" si="213"/>
        <v>-6146</v>
      </c>
      <c r="BA62" s="353">
        <f t="shared" si="214"/>
        <v>-0.25715481171548116</v>
      </c>
      <c r="BB62" s="354">
        <f t="shared" si="215"/>
        <v>459946</v>
      </c>
      <c r="BC62" s="355">
        <f t="shared" si="216"/>
        <v>0.96283441490475197</v>
      </c>
      <c r="BD62" s="356">
        <f t="shared" si="217"/>
        <v>23900</v>
      </c>
      <c r="BE62" s="357" t="str">
        <f t="shared" si="218"/>
        <v>Vendido</v>
      </c>
      <c r="BF62" s="357" t="str">
        <f t="shared" si="219"/>
        <v>Cliente Atrasado</v>
      </c>
      <c r="BG62" s="358">
        <v>20</v>
      </c>
      <c r="BH62" s="358">
        <f t="shared" si="258"/>
        <v>1</v>
      </c>
      <c r="BI62" s="358">
        <f t="shared" si="220"/>
        <v>21</v>
      </c>
      <c r="BJ62" s="340">
        <v>1500</v>
      </c>
      <c r="BK62" s="365">
        <v>1229.5</v>
      </c>
      <c r="BL62" s="357">
        <f t="shared" si="221"/>
        <v>1</v>
      </c>
      <c r="BM62" s="359">
        <f t="shared" si="23"/>
        <v>16</v>
      </c>
      <c r="BN62" s="360">
        <f t="shared" si="259"/>
        <v>21172</v>
      </c>
      <c r="BO62" s="359">
        <f t="shared" si="260"/>
        <v>1000</v>
      </c>
      <c r="BP62" s="359">
        <f t="shared" si="261"/>
        <v>11836</v>
      </c>
      <c r="BQ62" s="359">
        <f t="shared" si="262"/>
        <v>4918</v>
      </c>
      <c r="BR62" s="359">
        <f t="shared" si="263"/>
        <v>0</v>
      </c>
      <c r="BS62" s="359">
        <f t="shared" si="264"/>
        <v>3418</v>
      </c>
      <c r="BT62" s="361">
        <f t="shared" si="265"/>
        <v>3</v>
      </c>
      <c r="BU62" s="337"/>
      <c r="BV62" s="337"/>
    </row>
    <row r="63" spans="1:74" x14ac:dyDescent="0.25">
      <c r="A63" s="846" t="s">
        <v>1158</v>
      </c>
      <c r="F63" s="336">
        <v>602</v>
      </c>
      <c r="G63" s="336" t="s">
        <v>145</v>
      </c>
      <c r="H63" s="336" t="s">
        <v>913</v>
      </c>
      <c r="I63" s="336" t="s">
        <v>147</v>
      </c>
      <c r="J63" s="337" t="s">
        <v>1008</v>
      </c>
      <c r="K63" s="338">
        <v>45257</v>
      </c>
      <c r="L63" s="336" t="s">
        <v>128</v>
      </c>
      <c r="M63" s="333">
        <v>497900</v>
      </c>
      <c r="N63" s="333">
        <v>49800</v>
      </c>
      <c r="O63" s="333">
        <v>0</v>
      </c>
      <c r="P63" s="333">
        <v>0</v>
      </c>
      <c r="Q63" s="333">
        <v>0</v>
      </c>
      <c r="R63" s="333">
        <v>0</v>
      </c>
      <c r="S63" s="333">
        <v>0</v>
      </c>
      <c r="T63" s="333">
        <v>0</v>
      </c>
      <c r="U63" s="333">
        <v>0</v>
      </c>
      <c r="V63" s="333">
        <v>0</v>
      </c>
      <c r="W63" s="333">
        <v>0</v>
      </c>
      <c r="X63" s="333">
        <v>0</v>
      </c>
      <c r="Y63" s="333">
        <v>0</v>
      </c>
      <c r="Z63" s="333">
        <v>1000</v>
      </c>
      <c r="AA63" s="333">
        <v>2436.84</v>
      </c>
      <c r="AB63" s="333">
        <v>2437</v>
      </c>
      <c r="AC63" s="333">
        <v>2500</v>
      </c>
      <c r="AD63" s="333">
        <v>0</v>
      </c>
      <c r="AE63" s="333">
        <v>2500</v>
      </c>
      <c r="AF63" s="333">
        <v>0</v>
      </c>
      <c r="AG63" s="333">
        <v>5000</v>
      </c>
      <c r="AH63" s="333">
        <v>2500</v>
      </c>
      <c r="AI63" s="333">
        <v>0</v>
      </c>
      <c r="AJ63" s="333">
        <v>0</v>
      </c>
      <c r="AK63" s="333">
        <v>0</v>
      </c>
      <c r="AL63" s="333">
        <v>0</v>
      </c>
      <c r="AM63" s="333">
        <v>0</v>
      </c>
      <c r="AN63" s="333">
        <v>10000</v>
      </c>
      <c r="AO63" s="334">
        <v>8000</v>
      </c>
      <c r="AP63" s="334"/>
      <c r="AQ63" s="334"/>
      <c r="AR63" s="335">
        <v>12927</v>
      </c>
      <c r="AS63" s="335">
        <v>0</v>
      </c>
      <c r="AT63" s="335">
        <v>0</v>
      </c>
      <c r="AU63" s="335">
        <v>0</v>
      </c>
      <c r="AV63" s="334"/>
      <c r="AW63" s="334"/>
      <c r="AX63" s="352">
        <f t="shared" si="21"/>
        <v>49300.84</v>
      </c>
      <c r="AY63" s="353">
        <f t="shared" si="212"/>
        <v>0.98997670682730921</v>
      </c>
      <c r="AZ63" s="352">
        <f t="shared" si="213"/>
        <v>-499.16000000000349</v>
      </c>
      <c r="BA63" s="353">
        <f t="shared" si="214"/>
        <v>-1.0023293172690833E-2</v>
      </c>
      <c r="BB63" s="354">
        <f t="shared" si="215"/>
        <v>448599.16000000003</v>
      </c>
      <c r="BC63" s="355">
        <f t="shared" si="216"/>
        <v>0.90098244627435231</v>
      </c>
      <c r="BD63" s="356">
        <f t="shared" si="217"/>
        <v>49800</v>
      </c>
      <c r="BE63" s="357" t="str">
        <f t="shared" si="218"/>
        <v>Vendido</v>
      </c>
      <c r="BF63" s="357" t="str">
        <f t="shared" si="219"/>
        <v>Cliente Atrasado</v>
      </c>
      <c r="BG63" s="358">
        <v>22</v>
      </c>
      <c r="BH63" s="358">
        <f t="shared" si="258"/>
        <v>1</v>
      </c>
      <c r="BI63" s="358">
        <f t="shared" si="220"/>
        <v>23</v>
      </c>
      <c r="BJ63" s="340">
        <v>500</v>
      </c>
      <c r="BK63" s="365">
        <v>2436.84</v>
      </c>
      <c r="BL63" s="357">
        <f t="shared" si="221"/>
        <v>0</v>
      </c>
      <c r="BM63" s="359">
        <f t="shared" si="23"/>
        <v>21</v>
      </c>
      <c r="BN63" s="360">
        <f t="shared" si="259"/>
        <v>51673.64</v>
      </c>
      <c r="BO63" s="359">
        <f t="shared" si="260"/>
        <v>3436.84</v>
      </c>
      <c r="BP63" s="359">
        <f t="shared" si="261"/>
        <v>32937</v>
      </c>
      <c r="BQ63" s="359">
        <f t="shared" si="262"/>
        <v>12927</v>
      </c>
      <c r="BR63" s="359">
        <f t="shared" si="263"/>
        <v>0</v>
      </c>
      <c r="BS63" s="359">
        <f t="shared" si="264"/>
        <v>2372.8000000000029</v>
      </c>
      <c r="BT63" s="361">
        <f t="shared" si="265"/>
        <v>1</v>
      </c>
      <c r="BU63" s="337"/>
      <c r="BV63" s="337"/>
    </row>
    <row r="64" spans="1:74" x14ac:dyDescent="0.25">
      <c r="A64" s="846" t="s">
        <v>1159</v>
      </c>
      <c r="B64" s="86" t="s">
        <v>986</v>
      </c>
      <c r="F64" s="336">
        <v>604</v>
      </c>
      <c r="G64" s="336" t="s">
        <v>145</v>
      </c>
      <c r="H64" s="336" t="s">
        <v>145</v>
      </c>
      <c r="I64" s="336" t="s">
        <v>1160</v>
      </c>
      <c r="J64" s="337" t="s">
        <v>1009</v>
      </c>
      <c r="K64" s="338">
        <v>45837</v>
      </c>
      <c r="L64" s="336" t="s">
        <v>128</v>
      </c>
      <c r="M64" s="333">
        <v>477700</v>
      </c>
      <c r="N64" s="333">
        <v>24000</v>
      </c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  <c r="AM64" s="333"/>
      <c r="AN64" s="333"/>
      <c r="AO64" s="334"/>
      <c r="AP64" s="335">
        <v>1500</v>
      </c>
      <c r="AQ64" s="335">
        <v>0</v>
      </c>
      <c r="AR64" s="335"/>
      <c r="AS64" s="335">
        <v>0</v>
      </c>
      <c r="AT64" s="335">
        <v>0</v>
      </c>
      <c r="AU64" s="335">
        <v>0</v>
      </c>
      <c r="AV64" s="335"/>
      <c r="AW64" s="335"/>
      <c r="AX64" s="352">
        <f t="shared" ref="AX64:AX117" si="302">SUM(O64:AW64)</f>
        <v>1500</v>
      </c>
      <c r="AY64" s="353">
        <f t="shared" si="212"/>
        <v>6.25E-2</v>
      </c>
      <c r="AZ64" s="352">
        <f t="shared" si="213"/>
        <v>-22500</v>
      </c>
      <c r="BA64" s="353">
        <f t="shared" si="214"/>
        <v>-0.9375</v>
      </c>
      <c r="BB64" s="354">
        <f t="shared" si="215"/>
        <v>476200</v>
      </c>
      <c r="BC64" s="355">
        <f t="shared" si="216"/>
        <v>0.99685995394599125</v>
      </c>
      <c r="BD64" s="356">
        <f t="shared" si="217"/>
        <v>24000</v>
      </c>
      <c r="BE64" s="357" t="str">
        <f t="shared" si="218"/>
        <v>Vendido</v>
      </c>
      <c r="BF64" s="357" t="str">
        <f t="shared" si="219"/>
        <v>Cliente Atrasado</v>
      </c>
      <c r="BG64" s="358">
        <v>16</v>
      </c>
      <c r="BH64" s="358">
        <f t="shared" si="258"/>
        <v>1</v>
      </c>
      <c r="BI64" s="358">
        <f t="shared" si="220"/>
        <v>17</v>
      </c>
      <c r="BJ64" s="340">
        <v>1500</v>
      </c>
      <c r="BK64" s="365">
        <v>1400</v>
      </c>
      <c r="BL64" s="357">
        <f t="shared" si="221"/>
        <v>0</v>
      </c>
      <c r="BM64" s="359">
        <f t="shared" si="23"/>
        <v>2</v>
      </c>
      <c r="BN64" s="360">
        <f t="shared" si="259"/>
        <v>4300</v>
      </c>
      <c r="BO64" s="359">
        <f t="shared" si="260"/>
        <v>0</v>
      </c>
      <c r="BP64" s="359">
        <f t="shared" si="261"/>
        <v>1500</v>
      </c>
      <c r="BQ64" s="359">
        <f t="shared" si="262"/>
        <v>0</v>
      </c>
      <c r="BR64" s="359">
        <f t="shared" si="263"/>
        <v>0</v>
      </c>
      <c r="BS64" s="359">
        <f t="shared" si="264"/>
        <v>2800</v>
      </c>
      <c r="BT64" s="361">
        <f t="shared" si="265"/>
        <v>2</v>
      </c>
      <c r="BU64" s="337"/>
      <c r="BV64" s="337"/>
    </row>
    <row r="65" spans="1:85" x14ac:dyDescent="0.25">
      <c r="A65" s="846"/>
      <c r="F65" s="336">
        <v>605</v>
      </c>
      <c r="G65" s="336" t="s">
        <v>146</v>
      </c>
      <c r="H65" s="336" t="s">
        <v>146</v>
      </c>
      <c r="I65" s="336" t="s">
        <v>1161</v>
      </c>
      <c r="J65" s="337" t="s">
        <v>1162</v>
      </c>
      <c r="K65" s="338">
        <v>46039</v>
      </c>
      <c r="L65" s="336" t="s">
        <v>956</v>
      </c>
      <c r="M65" s="333">
        <v>492700</v>
      </c>
      <c r="N65" s="333">
        <v>24700</v>
      </c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3"/>
      <c r="AD65" s="333"/>
      <c r="AE65" s="333"/>
      <c r="AF65" s="333"/>
      <c r="AG65" s="333"/>
      <c r="AH65" s="333"/>
      <c r="AI65" s="333"/>
      <c r="AJ65" s="333"/>
      <c r="AK65" s="333"/>
      <c r="AL65" s="333"/>
      <c r="AM65" s="333"/>
      <c r="AN65" s="333"/>
      <c r="AO65" s="334">
        <v>0</v>
      </c>
      <c r="AP65" s="335">
        <v>0</v>
      </c>
      <c r="AQ65" s="335"/>
      <c r="AR65" s="335">
        <v>1500</v>
      </c>
      <c r="AS65" s="335">
        <v>0</v>
      </c>
      <c r="AT65" s="335">
        <v>0</v>
      </c>
      <c r="AU65" s="335">
        <v>0</v>
      </c>
      <c r="AV65" s="335"/>
      <c r="AW65" s="335">
        <v>1500</v>
      </c>
      <c r="AX65" s="352">
        <f t="shared" si="302"/>
        <v>3000</v>
      </c>
      <c r="AY65" s="353">
        <f t="shared" ref="AY65" si="303">IFERROR((+AX65/N65),0)</f>
        <v>0.1214574898785425</v>
      </c>
      <c r="AZ65" s="352">
        <f t="shared" ref="AZ65" si="304">+AX65-BD65</f>
        <v>-21700</v>
      </c>
      <c r="BA65" s="353">
        <f t="shared" ref="BA65" si="305">+AZ65/N65</f>
        <v>-0.87854251012145745</v>
      </c>
      <c r="BB65" s="354">
        <f t="shared" ref="BB65" si="306">+M65-AX65</f>
        <v>489700</v>
      </c>
      <c r="BC65" s="355">
        <f t="shared" ref="BC65" si="307">+BB65/M65</f>
        <v>0.99391110209052158</v>
      </c>
      <c r="BD65" s="356">
        <f t="shared" ref="BD65" si="308">IF(BE65="Vendido",N65*1,IF(BE65="Disponible",N65*0,IF(BE65="Enganche Completado",N65*1,IF(BE65="Superávit de Enganche",N65*1,0))))</f>
        <v>24700</v>
      </c>
      <c r="BE65" s="357" t="str">
        <f t="shared" ref="BE65" si="309">IF(J65=0,"Apartamento Disponible",IF(J65&gt;1,"Vendido",0))</f>
        <v>Vendido</v>
      </c>
      <c r="BF65" s="357" t="e">
        <f t="shared" ref="BF65" si="310">IF(AND(BE65="Vendido",K65&gt;=0,BN65&lt;=AX65,AX65&lt;BD65),"Cliente al día",IF(AND(BE65="Vendido",K65&gt;=0,BN65&lt;=AX65,AX65=BD65),"Enganche Completado",IF(AND(BE65="Vendido",K65&gt;=0,BN65&lt;AX65,AX65&gt;BD65),"Superávit de Enganche",IF(AND(BE65="Apartamento Disponible",K65=0,AZ65=0),"Disponible","Cliente Atrasado"))))</f>
        <v>#NUM!</v>
      </c>
      <c r="BG65" s="358">
        <v>16</v>
      </c>
      <c r="BH65" s="358">
        <f t="shared" ref="BH65" si="311">IF(BG65&gt;1,1,0)</f>
        <v>1</v>
      </c>
      <c r="BI65" s="358">
        <f t="shared" ref="BI65" si="312">+BG65+BH65</f>
        <v>17</v>
      </c>
      <c r="BJ65" s="340">
        <v>1500</v>
      </c>
      <c r="BK65" s="365">
        <v>1400</v>
      </c>
      <c r="BL65" s="357">
        <f t="shared" ref="BL65" si="313">COUNTIFS(O65:AO65,"&gt;0.01",O65:AO65,"&lt;" &amp; BJ65)</f>
        <v>0</v>
      </c>
      <c r="BM65" s="359" t="e">
        <f t="shared" si="23"/>
        <v>#NUM!</v>
      </c>
      <c r="BN65" s="360" t="e">
        <f t="shared" ref="BN65" si="314">(BM65*BK65)+BJ65</f>
        <v>#NUM!</v>
      </c>
      <c r="BO65" s="359">
        <f t="shared" ref="BO65" si="315">SUMIF(O65:AP65,"&lt;=" &amp; BK65,O65:AP65)</f>
        <v>0</v>
      </c>
      <c r="BP65" s="359">
        <f t="shared" ref="BP65" si="316">SUMIF(O65:AP65,"&gt;" &amp; BK65,O65:AP65)</f>
        <v>0</v>
      </c>
      <c r="BQ65" s="359">
        <f t="shared" ref="BQ65" si="317">AX65-BO65-BP65</f>
        <v>3000</v>
      </c>
      <c r="BR65" s="359" t="e">
        <f t="shared" ref="BR65" si="318">IF(AX65&gt;BN65,AX65-BN65,0)</f>
        <v>#NUM!</v>
      </c>
      <c r="BS65" s="359" t="e">
        <f t="shared" ref="BS65" si="319">IF(AX65&lt;BN65,BN65-AX65,0)</f>
        <v>#NUM!</v>
      </c>
      <c r="BT65" s="361" t="e">
        <f t="shared" ref="BT65" si="320">ROUNDUP(IF(K65&gt;0,BS65/BK65,0),0)</f>
        <v>#NUM!</v>
      </c>
      <c r="BU65" s="337"/>
      <c r="BV65" s="337"/>
    </row>
    <row r="66" spans="1:85" x14ac:dyDescent="0.25">
      <c r="A66" s="846" t="s">
        <v>1163</v>
      </c>
      <c r="B66" s="86" t="s">
        <v>1005</v>
      </c>
      <c r="F66" s="342">
        <v>606</v>
      </c>
      <c r="G66" s="336" t="s">
        <v>145</v>
      </c>
      <c r="H66" s="336" t="s">
        <v>145</v>
      </c>
      <c r="I66" s="849" t="s">
        <v>203</v>
      </c>
      <c r="J66" s="337" t="s">
        <v>1012</v>
      </c>
      <c r="K66" s="338">
        <v>45837</v>
      </c>
      <c r="L66" s="336" t="s">
        <v>128</v>
      </c>
      <c r="M66" s="333">
        <v>477700</v>
      </c>
      <c r="N66" s="333">
        <v>23900</v>
      </c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  <c r="AA66" s="333"/>
      <c r="AB66" s="333"/>
      <c r="AC66" s="333"/>
      <c r="AD66" s="333"/>
      <c r="AE66" s="333"/>
      <c r="AF66" s="333"/>
      <c r="AG66" s="333"/>
      <c r="AH66" s="333"/>
      <c r="AI66" s="333"/>
      <c r="AJ66" s="333"/>
      <c r="AK66" s="333"/>
      <c r="AL66" s="333"/>
      <c r="AM66" s="333"/>
      <c r="AN66" s="333"/>
      <c r="AO66" s="334"/>
      <c r="AP66" s="335">
        <v>1500</v>
      </c>
      <c r="AQ66" s="335">
        <v>1400</v>
      </c>
      <c r="AR66" s="335">
        <v>1400</v>
      </c>
      <c r="AS66" s="335">
        <v>1400</v>
      </c>
      <c r="AT66" s="335">
        <v>1400</v>
      </c>
      <c r="AU66" s="335">
        <v>0</v>
      </c>
      <c r="AV66" s="335"/>
      <c r="AW66" s="335"/>
      <c r="AX66" s="352">
        <f t="shared" si="302"/>
        <v>7100</v>
      </c>
      <c r="AY66" s="353">
        <f t="shared" si="212"/>
        <v>0.29707112970711297</v>
      </c>
      <c r="AZ66" s="352">
        <f t="shared" si="213"/>
        <v>-16800</v>
      </c>
      <c r="BA66" s="353">
        <f t="shared" si="214"/>
        <v>-0.70292887029288698</v>
      </c>
      <c r="BB66" s="354">
        <f t="shared" si="215"/>
        <v>470600</v>
      </c>
      <c r="BC66" s="355">
        <f t="shared" si="216"/>
        <v>0.98513711534435844</v>
      </c>
      <c r="BD66" s="356">
        <f t="shared" si="217"/>
        <v>23900</v>
      </c>
      <c r="BE66" s="357" t="str">
        <f t="shared" si="218"/>
        <v>Vendido</v>
      </c>
      <c r="BF66" s="357" t="str">
        <f t="shared" si="219"/>
        <v>Cliente al día</v>
      </c>
      <c r="BG66" s="358">
        <v>16</v>
      </c>
      <c r="BH66" s="358">
        <f t="shared" si="258"/>
        <v>1</v>
      </c>
      <c r="BI66" s="358">
        <f t="shared" si="220"/>
        <v>17</v>
      </c>
      <c r="BJ66" s="340">
        <v>1500</v>
      </c>
      <c r="BK66" s="365">
        <v>1400</v>
      </c>
      <c r="BL66" s="357">
        <f t="shared" si="221"/>
        <v>0</v>
      </c>
      <c r="BM66" s="359">
        <f t="shared" si="23"/>
        <v>2</v>
      </c>
      <c r="BN66" s="360">
        <f t="shared" si="259"/>
        <v>4300</v>
      </c>
      <c r="BO66" s="359">
        <f t="shared" si="260"/>
        <v>0</v>
      </c>
      <c r="BP66" s="359">
        <f t="shared" si="261"/>
        <v>1500</v>
      </c>
      <c r="BQ66" s="359">
        <f t="shared" si="262"/>
        <v>5600</v>
      </c>
      <c r="BR66" s="359">
        <f t="shared" si="263"/>
        <v>2800</v>
      </c>
      <c r="BS66" s="359">
        <f t="shared" si="264"/>
        <v>0</v>
      </c>
      <c r="BT66" s="361">
        <f t="shared" si="265"/>
        <v>0</v>
      </c>
      <c r="BU66" s="337"/>
      <c r="BV66" s="337"/>
    </row>
    <row r="67" spans="1:85" x14ac:dyDescent="0.25">
      <c r="A67" s="846" t="s">
        <v>1164</v>
      </c>
      <c r="B67" s="86" t="s">
        <v>1007</v>
      </c>
      <c r="F67" s="336">
        <v>607</v>
      </c>
      <c r="G67" s="336" t="s">
        <v>145</v>
      </c>
      <c r="H67" s="336" t="s">
        <v>145</v>
      </c>
      <c r="I67" s="336" t="s">
        <v>147</v>
      </c>
      <c r="J67" s="337" t="s">
        <v>1014</v>
      </c>
      <c r="K67" s="338">
        <v>45419</v>
      </c>
      <c r="L67" s="336" t="s">
        <v>128</v>
      </c>
      <c r="M67" s="333">
        <v>369600</v>
      </c>
      <c r="N67" s="333">
        <v>18500</v>
      </c>
      <c r="O67" s="333">
        <v>0</v>
      </c>
      <c r="P67" s="333">
        <v>0</v>
      </c>
      <c r="Q67" s="333">
        <v>0</v>
      </c>
      <c r="R67" s="333">
        <v>0</v>
      </c>
      <c r="S67" s="333">
        <v>0</v>
      </c>
      <c r="T67" s="333">
        <v>0</v>
      </c>
      <c r="U67" s="333">
        <v>0</v>
      </c>
      <c r="V67" s="333">
        <v>0</v>
      </c>
      <c r="W67" s="333">
        <v>0</v>
      </c>
      <c r="X67" s="333">
        <v>0</v>
      </c>
      <c r="Y67" s="333">
        <v>0</v>
      </c>
      <c r="Z67" s="333">
        <v>0</v>
      </c>
      <c r="AA67" s="333">
        <v>0</v>
      </c>
      <c r="AB67" s="333">
        <v>0</v>
      </c>
      <c r="AC67" s="333">
        <v>2394.7399999999998</v>
      </c>
      <c r="AD67" s="333">
        <v>894.74</v>
      </c>
      <c r="AE67" s="333">
        <v>0</v>
      </c>
      <c r="AF67" s="333">
        <v>1789.48</v>
      </c>
      <c r="AG67" s="333">
        <v>0</v>
      </c>
      <c r="AH67" s="333">
        <v>0</v>
      </c>
      <c r="AI67" s="333">
        <v>894.74</v>
      </c>
      <c r="AJ67" s="333">
        <v>894.74</v>
      </c>
      <c r="AK67" s="333">
        <v>894.74</v>
      </c>
      <c r="AL67" s="333">
        <v>894.74</v>
      </c>
      <c r="AM67" s="333">
        <v>894.74</v>
      </c>
      <c r="AN67" s="333">
        <v>894.74</v>
      </c>
      <c r="AO67" s="334">
        <v>894.74</v>
      </c>
      <c r="AP67" s="335">
        <v>894.74</v>
      </c>
      <c r="AQ67" s="335">
        <v>894.74</v>
      </c>
      <c r="AR67" s="335">
        <v>894.74</v>
      </c>
      <c r="AS67" s="335">
        <v>0</v>
      </c>
      <c r="AT67" s="335">
        <v>1789.48</v>
      </c>
      <c r="AU67" s="335">
        <v>0</v>
      </c>
      <c r="AV67" s="335"/>
      <c r="AW67" s="335"/>
      <c r="AX67" s="352">
        <f t="shared" si="302"/>
        <v>15815.839999999997</v>
      </c>
      <c r="AY67" s="353">
        <f t="shared" si="212"/>
        <v>0.85491027027027011</v>
      </c>
      <c r="AZ67" s="352">
        <f t="shared" si="213"/>
        <v>-2684.1600000000035</v>
      </c>
      <c r="BA67" s="353">
        <f t="shared" si="214"/>
        <v>-0.14508972972972992</v>
      </c>
      <c r="BB67" s="354">
        <f t="shared" si="215"/>
        <v>353784.16000000003</v>
      </c>
      <c r="BC67" s="355">
        <f t="shared" si="216"/>
        <v>0.95720822510822523</v>
      </c>
      <c r="BD67" s="356">
        <f t="shared" si="217"/>
        <v>18500</v>
      </c>
      <c r="BE67" s="357" t="str">
        <f t="shared" si="218"/>
        <v>Vendido</v>
      </c>
      <c r="BF67" s="357" t="str">
        <f t="shared" si="219"/>
        <v>Cliente al día</v>
      </c>
      <c r="BG67" s="358">
        <v>19</v>
      </c>
      <c r="BH67" s="358">
        <f t="shared" si="258"/>
        <v>1</v>
      </c>
      <c r="BI67" s="358">
        <f t="shared" si="220"/>
        <v>20</v>
      </c>
      <c r="BJ67" s="340">
        <v>1500</v>
      </c>
      <c r="BK67" s="365">
        <v>894.74</v>
      </c>
      <c r="BL67" s="357">
        <f t="shared" si="221"/>
        <v>8</v>
      </c>
      <c r="BM67" s="359">
        <f t="shared" si="23"/>
        <v>15</v>
      </c>
      <c r="BN67" s="360">
        <f t="shared" si="259"/>
        <v>14921.1</v>
      </c>
      <c r="BO67" s="359">
        <f t="shared" si="260"/>
        <v>8052.6599999999989</v>
      </c>
      <c r="BP67" s="359">
        <f t="shared" si="261"/>
        <v>4184.2199999999993</v>
      </c>
      <c r="BQ67" s="359">
        <f t="shared" si="262"/>
        <v>3578.9599999999982</v>
      </c>
      <c r="BR67" s="359">
        <f t="shared" si="263"/>
        <v>894.73999999999614</v>
      </c>
      <c r="BS67" s="359">
        <f t="shared" si="264"/>
        <v>0</v>
      </c>
      <c r="BT67" s="361">
        <f t="shared" si="265"/>
        <v>0</v>
      </c>
      <c r="BU67" s="337"/>
      <c r="BV67" s="337"/>
    </row>
    <row r="68" spans="1:85" x14ac:dyDescent="0.25">
      <c r="A68" s="846" t="s">
        <v>1165</v>
      </c>
      <c r="F68" s="336">
        <v>608</v>
      </c>
      <c r="G68" s="336" t="s">
        <v>145</v>
      </c>
      <c r="H68" s="336" t="s">
        <v>913</v>
      </c>
      <c r="I68" s="336" t="s">
        <v>147</v>
      </c>
      <c r="J68" s="337" t="s">
        <v>1016</v>
      </c>
      <c r="K68" s="338">
        <v>45410</v>
      </c>
      <c r="L68" s="336" t="s">
        <v>128</v>
      </c>
      <c r="M68" s="333">
        <v>477000</v>
      </c>
      <c r="N68" s="333">
        <v>24000</v>
      </c>
      <c r="O68" s="333">
        <v>0</v>
      </c>
      <c r="P68" s="333">
        <v>0</v>
      </c>
      <c r="Q68" s="333">
        <v>0</v>
      </c>
      <c r="R68" s="333">
        <v>0</v>
      </c>
      <c r="S68" s="333">
        <v>0</v>
      </c>
      <c r="T68" s="333">
        <v>0</v>
      </c>
      <c r="U68" s="333">
        <v>0</v>
      </c>
      <c r="V68" s="333">
        <v>0</v>
      </c>
      <c r="W68" s="333">
        <v>0</v>
      </c>
      <c r="X68" s="333">
        <v>0</v>
      </c>
      <c r="Y68" s="333">
        <v>0</v>
      </c>
      <c r="Z68" s="333">
        <v>0</v>
      </c>
      <c r="AA68" s="333">
        <v>0</v>
      </c>
      <c r="AB68" s="333">
        <v>1500</v>
      </c>
      <c r="AC68" s="333">
        <v>1125</v>
      </c>
      <c r="AD68" s="333">
        <v>1125</v>
      </c>
      <c r="AE68" s="333">
        <v>0</v>
      </c>
      <c r="AF68" s="333">
        <v>2250</v>
      </c>
      <c r="AG68" s="333">
        <v>0</v>
      </c>
      <c r="AH68" s="333">
        <v>1125</v>
      </c>
      <c r="AI68" s="333">
        <v>1125</v>
      </c>
      <c r="AJ68" s="333">
        <f>1125+1125</f>
        <v>2250</v>
      </c>
      <c r="AK68" s="333">
        <v>0</v>
      </c>
      <c r="AL68" s="333">
        <v>1125</v>
      </c>
      <c r="AM68" s="333">
        <f>1125+1125</f>
        <v>2250</v>
      </c>
      <c r="AN68" s="333">
        <v>1125</v>
      </c>
      <c r="AO68" s="334">
        <v>1125</v>
      </c>
      <c r="AP68" s="335">
        <v>1125</v>
      </c>
      <c r="AQ68" s="335">
        <v>1125</v>
      </c>
      <c r="AR68" s="335">
        <v>1125</v>
      </c>
      <c r="AS68" s="335">
        <v>0</v>
      </c>
      <c r="AT68" s="335">
        <v>1125</v>
      </c>
      <c r="AU68" s="335">
        <v>0</v>
      </c>
      <c r="AV68" s="335">
        <v>1125</v>
      </c>
      <c r="AW68" s="335"/>
      <c r="AX68" s="352">
        <f t="shared" si="302"/>
        <v>21750</v>
      </c>
      <c r="AY68" s="353">
        <f t="shared" si="212"/>
        <v>0.90625</v>
      </c>
      <c r="AZ68" s="352">
        <f t="shared" si="213"/>
        <v>-2250</v>
      </c>
      <c r="BA68" s="353">
        <f t="shared" si="214"/>
        <v>-9.375E-2</v>
      </c>
      <c r="BB68" s="354">
        <f t="shared" si="215"/>
        <v>455250</v>
      </c>
      <c r="BC68" s="355">
        <f t="shared" si="216"/>
        <v>0.95440251572327039</v>
      </c>
      <c r="BD68" s="356">
        <f t="shared" si="217"/>
        <v>24000</v>
      </c>
      <c r="BE68" s="357" t="str">
        <f t="shared" si="218"/>
        <v>Vendido</v>
      </c>
      <c r="BF68" s="357" t="str">
        <f t="shared" si="219"/>
        <v>Cliente al día</v>
      </c>
      <c r="BG68" s="358">
        <v>20</v>
      </c>
      <c r="BH68" s="358">
        <f t="shared" si="258"/>
        <v>1</v>
      </c>
      <c r="BI68" s="358">
        <f t="shared" si="220"/>
        <v>21</v>
      </c>
      <c r="BJ68" s="340">
        <v>1500</v>
      </c>
      <c r="BK68" s="365">
        <v>1125</v>
      </c>
      <c r="BL68" s="357">
        <f t="shared" si="221"/>
        <v>7</v>
      </c>
      <c r="BM68" s="359">
        <f t="shared" si="23"/>
        <v>16</v>
      </c>
      <c r="BN68" s="360">
        <f t="shared" si="259"/>
        <v>19500</v>
      </c>
      <c r="BO68" s="359">
        <f t="shared" si="260"/>
        <v>9000</v>
      </c>
      <c r="BP68" s="359">
        <f t="shared" si="261"/>
        <v>8250</v>
      </c>
      <c r="BQ68" s="359">
        <f t="shared" si="262"/>
        <v>4500</v>
      </c>
      <c r="BR68" s="359">
        <f t="shared" si="263"/>
        <v>2250</v>
      </c>
      <c r="BS68" s="359">
        <f t="shared" si="264"/>
        <v>0</v>
      </c>
      <c r="BT68" s="361">
        <f t="shared" si="265"/>
        <v>0</v>
      </c>
      <c r="BU68" s="337"/>
      <c r="BV68" s="337"/>
      <c r="BW68" s="207"/>
      <c r="BX68" s="207"/>
      <c r="BY68" s="207"/>
      <c r="BZ68" s="207"/>
      <c r="CA68" s="207"/>
      <c r="CB68" s="207"/>
      <c r="CC68" s="207"/>
      <c r="CD68" s="207"/>
      <c r="CE68" s="207"/>
      <c r="CF68" s="207"/>
      <c r="CG68" s="207"/>
    </row>
    <row r="69" spans="1:85" x14ac:dyDescent="0.25">
      <c r="A69" s="846" t="s">
        <v>1166</v>
      </c>
      <c r="F69" s="336">
        <v>609</v>
      </c>
      <c r="G69" s="336" t="s">
        <v>146</v>
      </c>
      <c r="H69" s="336"/>
      <c r="I69" s="336" t="s">
        <v>196</v>
      </c>
      <c r="J69" s="337" t="s">
        <v>1167</v>
      </c>
      <c r="K69" s="338">
        <v>45894</v>
      </c>
      <c r="L69" s="336" t="s">
        <v>128</v>
      </c>
      <c r="M69" s="333">
        <v>492700</v>
      </c>
      <c r="N69" s="333">
        <v>24700</v>
      </c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  <c r="AA69" s="333"/>
      <c r="AB69" s="333"/>
      <c r="AC69" s="333"/>
      <c r="AD69" s="333"/>
      <c r="AE69" s="333"/>
      <c r="AF69" s="333"/>
      <c r="AG69" s="333"/>
      <c r="AH69" s="333"/>
      <c r="AI69" s="333"/>
      <c r="AJ69" s="333"/>
      <c r="AK69" s="333"/>
      <c r="AL69" s="333"/>
      <c r="AM69" s="333"/>
      <c r="AN69" s="333"/>
      <c r="AO69" s="334"/>
      <c r="AP69" s="335"/>
      <c r="AQ69" s="335"/>
      <c r="AR69" s="335">
        <v>1500</v>
      </c>
      <c r="AS69" s="335">
        <v>1364.71</v>
      </c>
      <c r="AT69" s="335">
        <v>1364.71</v>
      </c>
      <c r="AU69" s="335">
        <v>0</v>
      </c>
      <c r="AV69" s="335">
        <f>1364.71+1364.71</f>
        <v>2729.42</v>
      </c>
      <c r="AW69" s="335"/>
      <c r="AX69" s="352">
        <f t="shared" si="302"/>
        <v>6958.84</v>
      </c>
      <c r="AY69" s="353">
        <f t="shared" si="212"/>
        <v>0.28173441295546559</v>
      </c>
      <c r="AZ69" s="352">
        <f t="shared" si="213"/>
        <v>-17741.16</v>
      </c>
      <c r="BA69" s="353">
        <f t="shared" si="214"/>
        <v>-0.71826558704453436</v>
      </c>
      <c r="BB69" s="354">
        <f t="shared" si="215"/>
        <v>485741.16</v>
      </c>
      <c r="BC69" s="355">
        <f t="shared" si="216"/>
        <v>0.98587611122386842</v>
      </c>
      <c r="BD69" s="356">
        <f t="shared" si="217"/>
        <v>24700</v>
      </c>
      <c r="BE69" s="357" t="str">
        <f t="shared" si="218"/>
        <v>Vendido</v>
      </c>
      <c r="BF69" s="357" t="str">
        <f t="shared" si="219"/>
        <v>Cliente al día</v>
      </c>
      <c r="BG69" s="358">
        <v>20</v>
      </c>
      <c r="BH69" s="358">
        <f t="shared" si="258"/>
        <v>1</v>
      </c>
      <c r="BI69" s="358">
        <f t="shared" si="220"/>
        <v>21</v>
      </c>
      <c r="BJ69" s="340">
        <v>1500</v>
      </c>
      <c r="BK69" s="365">
        <v>1125</v>
      </c>
      <c r="BL69" s="357">
        <f t="shared" si="221"/>
        <v>0</v>
      </c>
      <c r="BM69" s="359">
        <f t="shared" si="23"/>
        <v>0</v>
      </c>
      <c r="BN69" s="360">
        <f t="shared" si="259"/>
        <v>1500</v>
      </c>
      <c r="BO69" s="359">
        <f t="shared" si="260"/>
        <v>0</v>
      </c>
      <c r="BP69" s="359">
        <f t="shared" si="261"/>
        <v>0</v>
      </c>
      <c r="BQ69" s="359">
        <f t="shared" si="262"/>
        <v>6958.84</v>
      </c>
      <c r="BR69" s="359">
        <f t="shared" si="263"/>
        <v>5458.84</v>
      </c>
      <c r="BS69" s="359">
        <f t="shared" si="264"/>
        <v>0</v>
      </c>
      <c r="BT69" s="361">
        <f t="shared" si="265"/>
        <v>0</v>
      </c>
      <c r="BU69" s="337"/>
      <c r="BV69" s="337"/>
      <c r="BW69" s="207"/>
      <c r="BX69" s="207"/>
      <c r="BY69" s="207"/>
      <c r="BZ69" s="207"/>
      <c r="CA69" s="207"/>
      <c r="CB69" s="207"/>
      <c r="CC69" s="207"/>
      <c r="CD69" s="207"/>
      <c r="CE69" s="207"/>
      <c r="CF69" s="207"/>
      <c r="CG69" s="207"/>
    </row>
    <row r="70" spans="1:85" x14ac:dyDescent="0.25">
      <c r="A70" s="846" t="s">
        <v>1168</v>
      </c>
      <c r="F70" s="336">
        <v>608</v>
      </c>
      <c r="G70" s="336" t="s">
        <v>146</v>
      </c>
      <c r="H70" s="336" t="s">
        <v>146</v>
      </c>
      <c r="I70" s="336" t="s">
        <v>196</v>
      </c>
      <c r="J70" s="337" t="s">
        <v>1169</v>
      </c>
      <c r="K70" s="338">
        <v>45886</v>
      </c>
      <c r="L70" s="336" t="s">
        <v>128</v>
      </c>
      <c r="M70" s="333">
        <v>492700</v>
      </c>
      <c r="N70" s="333">
        <v>24700</v>
      </c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  <c r="Z70" s="333"/>
      <c r="AA70" s="333"/>
      <c r="AB70" s="333"/>
      <c r="AC70" s="333"/>
      <c r="AD70" s="333"/>
      <c r="AE70" s="333"/>
      <c r="AF70" s="333"/>
      <c r="AG70" s="333"/>
      <c r="AH70" s="333"/>
      <c r="AI70" s="333"/>
      <c r="AJ70" s="333"/>
      <c r="AK70" s="333"/>
      <c r="AL70" s="333"/>
      <c r="AM70" s="333"/>
      <c r="AN70" s="333"/>
      <c r="AO70" s="334"/>
      <c r="AP70" s="335"/>
      <c r="AQ70" s="335"/>
      <c r="AR70" s="335">
        <v>1500</v>
      </c>
      <c r="AS70" s="335">
        <v>1300</v>
      </c>
      <c r="AT70" s="335">
        <v>1300</v>
      </c>
      <c r="AU70" s="335">
        <v>0</v>
      </c>
      <c r="AV70" s="335">
        <v>1300</v>
      </c>
      <c r="AW70" s="335">
        <v>1300</v>
      </c>
      <c r="AX70" s="352">
        <f t="shared" si="302"/>
        <v>6700</v>
      </c>
      <c r="AY70" s="353">
        <f t="shared" ref="AY70" si="321">IFERROR((+AX70/N70),0)</f>
        <v>0.27125506072874495</v>
      </c>
      <c r="AZ70" s="352">
        <f t="shared" ref="AZ70" si="322">+AX70-BD70</f>
        <v>-18000</v>
      </c>
      <c r="BA70" s="353">
        <f t="shared" ref="BA70" si="323">+AZ70/N70</f>
        <v>-0.72874493927125505</v>
      </c>
      <c r="BB70" s="354">
        <f t="shared" ref="BB70" si="324">+M70-AX70</f>
        <v>486000</v>
      </c>
      <c r="BC70" s="355">
        <f t="shared" ref="BC70" si="325">+BB70/M70</f>
        <v>0.98640146133549822</v>
      </c>
      <c r="BD70" s="356">
        <f t="shared" ref="BD70" si="326">IF(BE70="Vendido",N70*1,IF(BE70="Disponible",N70*0,IF(BE70="Enganche Completado",N70*1,IF(BE70="Superávit de Enganche",N70*1,0))))</f>
        <v>24700</v>
      </c>
      <c r="BE70" s="357" t="str">
        <f t="shared" ref="BE70" si="327">IF(J70=0,"Apartamento Disponible",IF(J70&gt;1,"Vendido",0))</f>
        <v>Vendido</v>
      </c>
      <c r="BF70" s="357" t="str">
        <f t="shared" ref="BF70" si="328">IF(AND(BE70="Vendido",K70&gt;=0,BN70&lt;=AX70,AX70&lt;BD70),"Cliente al día",IF(AND(BE70="Vendido",K70&gt;=0,BN70&lt;=AX70,AX70=BD70),"Enganche Completado",IF(AND(BE70="Vendido",K70&gt;=0,BN70&lt;AX70,AX70&gt;BD70),"Superávit de Enganche",IF(AND(BE70="Apartamento Disponible",K70=0,AZ70=0),"Disponible","Cliente Atrasado"))))</f>
        <v>Cliente al día</v>
      </c>
      <c r="BG70" s="358">
        <v>20</v>
      </c>
      <c r="BH70" s="358">
        <f t="shared" ref="BH70" si="329">IF(BG70&gt;1,1,0)</f>
        <v>1</v>
      </c>
      <c r="BI70" s="358">
        <f t="shared" ref="BI70" si="330">+BG70+BH70</f>
        <v>21</v>
      </c>
      <c r="BJ70" s="340">
        <v>1500</v>
      </c>
      <c r="BK70" s="365">
        <v>1125</v>
      </c>
      <c r="BL70" s="357">
        <f t="shared" ref="BL70" si="331">COUNTIFS(O70:AO70,"&gt;0.01",O70:AO70,"&lt;" &amp; BJ70)</f>
        <v>0</v>
      </c>
      <c r="BM70" s="359">
        <f t="shared" si="23"/>
        <v>0</v>
      </c>
      <c r="BN70" s="360">
        <f t="shared" ref="BN70" si="332">(BM70*BK70)+BJ70</f>
        <v>1500</v>
      </c>
      <c r="BO70" s="359">
        <f t="shared" ref="BO70" si="333">SUMIF(O70:AP70,"&lt;=" &amp; BK70,O70:AP70)</f>
        <v>0</v>
      </c>
      <c r="BP70" s="359">
        <f t="shared" ref="BP70" si="334">SUMIF(O70:AP70,"&gt;" &amp; BK70,O70:AP70)</f>
        <v>0</v>
      </c>
      <c r="BQ70" s="359">
        <f t="shared" ref="BQ70" si="335">AX70-BO70-BP70</f>
        <v>6700</v>
      </c>
      <c r="BR70" s="359">
        <f t="shared" ref="BR70" si="336">IF(AX70&gt;BN70,AX70-BN70,0)</f>
        <v>5200</v>
      </c>
      <c r="BS70" s="359">
        <f t="shared" ref="BS70" si="337">IF(AX70&lt;BN70,BN70-AX70,0)</f>
        <v>0</v>
      </c>
      <c r="BT70" s="361">
        <f t="shared" ref="BT70" si="338">ROUNDUP(IF(K70&gt;0,BS70/BK70,0),0)</f>
        <v>0</v>
      </c>
      <c r="BU70" s="337"/>
      <c r="BV70" s="337"/>
      <c r="BW70" s="207"/>
      <c r="BX70" s="207"/>
      <c r="BY70" s="207"/>
      <c r="BZ70" s="207"/>
      <c r="CA70" s="207"/>
      <c r="CB70" s="207"/>
      <c r="CC70" s="207"/>
      <c r="CD70" s="207"/>
      <c r="CE70" s="207"/>
      <c r="CF70" s="207"/>
      <c r="CG70" s="207"/>
    </row>
    <row r="71" spans="1:85" x14ac:dyDescent="0.25">
      <c r="A71" s="846" t="s">
        <v>1170</v>
      </c>
      <c r="F71" s="336">
        <v>610</v>
      </c>
      <c r="G71" s="336" t="s">
        <v>145</v>
      </c>
      <c r="H71" s="336" t="s">
        <v>146</v>
      </c>
      <c r="I71" s="336" t="s">
        <v>147</v>
      </c>
      <c r="J71" s="337" t="s">
        <v>1018</v>
      </c>
      <c r="K71" s="338">
        <v>45349</v>
      </c>
      <c r="L71" s="336" t="s">
        <v>128</v>
      </c>
      <c r="M71" s="333">
        <v>477700</v>
      </c>
      <c r="N71" s="333">
        <v>24000</v>
      </c>
      <c r="O71" s="333">
        <v>0</v>
      </c>
      <c r="P71" s="333">
        <v>0</v>
      </c>
      <c r="Q71" s="333">
        <v>0</v>
      </c>
      <c r="R71" s="333">
        <v>0</v>
      </c>
      <c r="S71" s="333">
        <v>0</v>
      </c>
      <c r="T71" s="333">
        <v>0</v>
      </c>
      <c r="U71" s="333">
        <v>0</v>
      </c>
      <c r="V71" s="333">
        <v>0</v>
      </c>
      <c r="W71" s="333">
        <v>0</v>
      </c>
      <c r="X71" s="333">
        <v>0</v>
      </c>
      <c r="Y71" s="333">
        <v>0</v>
      </c>
      <c r="Z71" s="333">
        <v>1000</v>
      </c>
      <c r="AA71" s="333">
        <v>0</v>
      </c>
      <c r="AB71" s="333">
        <v>1045.45</v>
      </c>
      <c r="AC71" s="333">
        <v>1045.45</v>
      </c>
      <c r="AD71" s="333">
        <v>1045.45</v>
      </c>
      <c r="AE71" s="333">
        <v>1045.45</v>
      </c>
      <c r="AF71" s="333">
        <v>1045.45</v>
      </c>
      <c r="AG71" s="333">
        <v>1045</v>
      </c>
      <c r="AH71" s="333">
        <v>1045.45</v>
      </c>
      <c r="AI71" s="333">
        <v>1045.45</v>
      </c>
      <c r="AJ71" s="333">
        <v>1045.45</v>
      </c>
      <c r="AK71" s="333">
        <v>1045.45</v>
      </c>
      <c r="AL71" s="333">
        <v>1045.45</v>
      </c>
      <c r="AM71" s="333">
        <v>1045.45</v>
      </c>
      <c r="AN71" s="340">
        <v>1045.45</v>
      </c>
      <c r="AO71" s="341">
        <v>1045.45</v>
      </c>
      <c r="AP71" s="335">
        <f>1045.45</f>
        <v>1045.45</v>
      </c>
      <c r="AQ71" s="335">
        <v>1045.45</v>
      </c>
      <c r="AR71" s="335">
        <v>1045.45</v>
      </c>
      <c r="AS71" s="335">
        <v>0</v>
      </c>
      <c r="AT71" s="335">
        <v>0</v>
      </c>
      <c r="AU71" s="335">
        <v>0</v>
      </c>
      <c r="AV71" s="335"/>
      <c r="AW71" s="335"/>
      <c r="AX71" s="352">
        <f t="shared" si="302"/>
        <v>18772.200000000008</v>
      </c>
      <c r="AY71" s="353">
        <f t="shared" si="212"/>
        <v>0.78217500000000029</v>
      </c>
      <c r="AZ71" s="352">
        <f t="shared" si="213"/>
        <v>-5227.799999999992</v>
      </c>
      <c r="BA71" s="353">
        <f t="shared" si="214"/>
        <v>-0.21782499999999966</v>
      </c>
      <c r="BB71" s="354">
        <f t="shared" si="215"/>
        <v>458927.8</v>
      </c>
      <c r="BC71" s="355">
        <f t="shared" si="216"/>
        <v>0.96070295164329078</v>
      </c>
      <c r="BD71" s="356">
        <f t="shared" si="217"/>
        <v>24000</v>
      </c>
      <c r="BE71" s="357" t="str">
        <f t="shared" si="218"/>
        <v>Vendido</v>
      </c>
      <c r="BF71" s="357" t="str">
        <f t="shared" si="219"/>
        <v>Cliente Atrasado</v>
      </c>
      <c r="BG71" s="358">
        <v>22</v>
      </c>
      <c r="BH71" s="358">
        <f t="shared" si="258"/>
        <v>1</v>
      </c>
      <c r="BI71" s="358">
        <f t="shared" si="220"/>
        <v>23</v>
      </c>
      <c r="BJ71" s="340">
        <v>1000</v>
      </c>
      <c r="BK71" s="365">
        <v>1045.45</v>
      </c>
      <c r="BL71" s="357">
        <f t="shared" si="221"/>
        <v>0</v>
      </c>
      <c r="BM71" s="359">
        <f t="shared" si="23"/>
        <v>18</v>
      </c>
      <c r="BN71" s="360">
        <f t="shared" si="259"/>
        <v>19818.100000000002</v>
      </c>
      <c r="BO71" s="359">
        <f t="shared" si="260"/>
        <v>16681.300000000007</v>
      </c>
      <c r="BP71" s="359">
        <f t="shared" si="261"/>
        <v>0</v>
      </c>
      <c r="BQ71" s="359">
        <f t="shared" si="262"/>
        <v>2090.9000000000015</v>
      </c>
      <c r="BR71" s="359">
        <f t="shared" si="263"/>
        <v>0</v>
      </c>
      <c r="BS71" s="359">
        <f t="shared" si="264"/>
        <v>1045.8999999999942</v>
      </c>
      <c r="BT71" s="361">
        <f t="shared" si="265"/>
        <v>2</v>
      </c>
      <c r="BU71" s="337"/>
      <c r="BV71" s="337"/>
    </row>
    <row r="72" spans="1:85" x14ac:dyDescent="0.25">
      <c r="A72" s="846" t="s">
        <v>1171</v>
      </c>
      <c r="F72" s="336">
        <v>611</v>
      </c>
      <c r="G72" s="336" t="s">
        <v>146</v>
      </c>
      <c r="H72" s="336" t="s">
        <v>913</v>
      </c>
      <c r="I72" s="336" t="s">
        <v>1109</v>
      </c>
      <c r="J72" s="337" t="s">
        <v>1172</v>
      </c>
      <c r="K72" s="338">
        <v>45878</v>
      </c>
      <c r="L72" s="336" t="s">
        <v>128</v>
      </c>
      <c r="M72" s="333">
        <v>487000</v>
      </c>
      <c r="N72" s="333">
        <v>24000</v>
      </c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3"/>
      <c r="AE72" s="333"/>
      <c r="AF72" s="333"/>
      <c r="AG72" s="333"/>
      <c r="AH72" s="333"/>
      <c r="AI72" s="333"/>
      <c r="AJ72" s="333"/>
      <c r="AK72" s="333"/>
      <c r="AL72" s="333"/>
      <c r="AM72" s="333"/>
      <c r="AN72" s="340"/>
      <c r="AO72" s="341"/>
      <c r="AP72" s="335"/>
      <c r="AQ72" s="335"/>
      <c r="AR72" s="335">
        <v>1500</v>
      </c>
      <c r="AS72" s="335">
        <v>0</v>
      </c>
      <c r="AT72" s="335">
        <v>1347.06</v>
      </c>
      <c r="AU72" s="335">
        <v>0</v>
      </c>
      <c r="AV72" s="335">
        <v>2696</v>
      </c>
      <c r="AW72" s="335"/>
      <c r="AX72" s="352">
        <f t="shared" si="302"/>
        <v>5543.0599999999995</v>
      </c>
      <c r="AY72" s="353">
        <f t="shared" ref="AY72" si="339">IFERROR((+AX72/N72),0)</f>
        <v>0.23096083333333331</v>
      </c>
      <c r="AZ72" s="352">
        <f t="shared" ref="AZ72" si="340">+AX72-BD72</f>
        <v>-18456.940000000002</v>
      </c>
      <c r="BA72" s="353">
        <f t="shared" ref="BA72" si="341">+AZ72/N72</f>
        <v>-0.76903916666666672</v>
      </c>
      <c r="BB72" s="354">
        <f t="shared" ref="BB72" si="342">+M72-AX72</f>
        <v>481456.94</v>
      </c>
      <c r="BC72" s="355">
        <f t="shared" ref="BC72" si="343">+BB72/M72</f>
        <v>0.9886179466119096</v>
      </c>
      <c r="BD72" s="356">
        <f t="shared" ref="BD72" si="344">IF(BE72="Vendido",N72*1,IF(BE72="Disponible",N72*0,IF(BE72="Enganche Completado",N72*1,IF(BE72="Superávit de Enganche",N72*1,0))))</f>
        <v>24000</v>
      </c>
      <c r="BE72" s="357" t="str">
        <f t="shared" ref="BE72" si="345">IF(J72=0,"Apartamento Disponible",IF(J72&gt;1,"Vendido",0))</f>
        <v>Vendido</v>
      </c>
      <c r="BF72" s="357" t="str">
        <f t="shared" ref="BF72" si="346">IF(AND(BE72="Vendido",K72&gt;=0,BN72&lt;=AX72,AX72&lt;BD72),"Cliente al día",IF(AND(BE72="Vendido",K72&gt;=0,BN72&lt;=AX72,AX72=BD72),"Enganche Completado",IF(AND(BE72="Vendido",K72&gt;=0,BN72&lt;AX72,AX72&gt;BD72),"Superávit de Enganche",IF(AND(BE72="Apartamento Disponible",K72=0,AZ72=0),"Disponible","Cliente Atrasado"))))</f>
        <v>Cliente al día</v>
      </c>
      <c r="BG72" s="358">
        <v>22</v>
      </c>
      <c r="BH72" s="358">
        <f t="shared" ref="BH72" si="347">IF(BG72&gt;1,1,0)</f>
        <v>1</v>
      </c>
      <c r="BI72" s="358">
        <f t="shared" ref="BI72" si="348">+BG72+BH72</f>
        <v>23</v>
      </c>
      <c r="BJ72" s="340">
        <v>1000</v>
      </c>
      <c r="BK72" s="365">
        <v>1045.45</v>
      </c>
      <c r="BL72" s="357">
        <f t="shared" ref="BL72" si="349">COUNTIFS(O72:AO72,"&gt;0.01",O72:AO72,"&lt;" &amp; BJ72)</f>
        <v>0</v>
      </c>
      <c r="BM72" s="359">
        <f t="shared" si="23"/>
        <v>0</v>
      </c>
      <c r="BN72" s="360">
        <f t="shared" ref="BN72" si="350">(BM72*BK72)+BJ72</f>
        <v>1000</v>
      </c>
      <c r="BO72" s="359">
        <f t="shared" ref="BO72" si="351">SUMIF(O72:AP72,"&lt;=" &amp; BK72,O72:AP72)</f>
        <v>0</v>
      </c>
      <c r="BP72" s="359">
        <f t="shared" ref="BP72" si="352">SUMIF(O72:AP72,"&gt;" &amp; BK72,O72:AP72)</f>
        <v>0</v>
      </c>
      <c r="BQ72" s="359">
        <f t="shared" ref="BQ72" si="353">AX72-BO72-BP72</f>
        <v>5543.0599999999995</v>
      </c>
      <c r="BR72" s="359">
        <f t="shared" ref="BR72" si="354">IF(AX72&gt;BN72,AX72-BN72,0)</f>
        <v>4543.0599999999995</v>
      </c>
      <c r="BS72" s="359">
        <f t="shared" ref="BS72" si="355">IF(AX72&lt;BN72,BN72-AX72,0)</f>
        <v>0</v>
      </c>
      <c r="BT72" s="361">
        <f t="shared" ref="BT72" si="356">ROUNDUP(IF(K72&gt;0,BS72/BK72,0),0)</f>
        <v>0</v>
      </c>
      <c r="BU72" s="337"/>
      <c r="BV72" s="337"/>
    </row>
    <row r="73" spans="1:85" x14ac:dyDescent="0.25">
      <c r="A73" s="846" t="s">
        <v>1173</v>
      </c>
      <c r="B73" s="86" t="s">
        <v>1015</v>
      </c>
      <c r="F73" s="336">
        <v>104</v>
      </c>
      <c r="G73" s="350" t="s">
        <v>146</v>
      </c>
      <c r="H73" s="350" t="s">
        <v>913</v>
      </c>
      <c r="I73" s="849" t="s">
        <v>1120</v>
      </c>
      <c r="J73" s="337" t="s">
        <v>1174</v>
      </c>
      <c r="K73" s="338">
        <v>45865</v>
      </c>
      <c r="L73" s="336" t="s">
        <v>128</v>
      </c>
      <c r="M73" s="333">
        <v>487000</v>
      </c>
      <c r="N73" s="333">
        <v>24400</v>
      </c>
      <c r="O73" s="333">
        <v>0</v>
      </c>
      <c r="P73" s="333">
        <v>0</v>
      </c>
      <c r="Q73" s="333">
        <v>0</v>
      </c>
      <c r="R73" s="333">
        <v>0</v>
      </c>
      <c r="S73" s="333">
        <v>0</v>
      </c>
      <c r="T73" s="333">
        <v>0</v>
      </c>
      <c r="U73" s="333">
        <v>0</v>
      </c>
      <c r="V73" s="333"/>
      <c r="W73" s="333"/>
      <c r="X73" s="333"/>
      <c r="Y73" s="333"/>
      <c r="Z73" s="333"/>
      <c r="AA73" s="333"/>
      <c r="AB73" s="333"/>
      <c r="AC73" s="333"/>
      <c r="AD73" s="333"/>
      <c r="AE73" s="333"/>
      <c r="AF73" s="333"/>
      <c r="AG73" s="333"/>
      <c r="AH73" s="333"/>
      <c r="AI73" s="333"/>
      <c r="AJ73" s="333"/>
      <c r="AK73" s="333"/>
      <c r="AL73" s="333"/>
      <c r="AM73" s="333"/>
      <c r="AN73" s="333"/>
      <c r="AO73" s="333"/>
      <c r="AP73" s="333"/>
      <c r="AQ73" s="335">
        <f>1500+1500</f>
        <v>3000</v>
      </c>
      <c r="AR73" s="335">
        <v>1300</v>
      </c>
      <c r="AS73" s="335">
        <v>1300</v>
      </c>
      <c r="AT73" s="335">
        <v>1300</v>
      </c>
      <c r="AU73" s="335">
        <v>0</v>
      </c>
      <c r="AV73" s="335">
        <v>1500</v>
      </c>
      <c r="AW73" s="335">
        <v>1500</v>
      </c>
      <c r="AX73" s="352">
        <f t="shared" si="302"/>
        <v>9900</v>
      </c>
      <c r="AY73" s="353">
        <f t="shared" si="212"/>
        <v>0.40573770491803279</v>
      </c>
      <c r="AZ73" s="352">
        <f t="shared" si="213"/>
        <v>-14500</v>
      </c>
      <c r="BA73" s="353">
        <f t="shared" si="214"/>
        <v>-0.59426229508196726</v>
      </c>
      <c r="BB73" s="354">
        <f t="shared" si="215"/>
        <v>477100</v>
      </c>
      <c r="BC73" s="355">
        <f t="shared" si="216"/>
        <v>0.97967145790554411</v>
      </c>
      <c r="BD73" s="356">
        <f t="shared" si="217"/>
        <v>24400</v>
      </c>
      <c r="BE73" s="357" t="str">
        <f t="shared" si="218"/>
        <v>Vendido</v>
      </c>
      <c r="BF73" s="357" t="str">
        <f t="shared" si="219"/>
        <v>Cliente al día</v>
      </c>
      <c r="BG73" s="358">
        <v>18</v>
      </c>
      <c r="BH73" s="358">
        <f t="shared" si="258"/>
        <v>1</v>
      </c>
      <c r="BI73" s="358">
        <f t="shared" si="220"/>
        <v>19</v>
      </c>
      <c r="BJ73" s="340">
        <v>1500</v>
      </c>
      <c r="BK73" s="365">
        <v>1272.22</v>
      </c>
      <c r="BL73" s="357">
        <f t="shared" si="221"/>
        <v>0</v>
      </c>
      <c r="BM73" s="359">
        <f t="shared" si="23"/>
        <v>1</v>
      </c>
      <c r="BN73" s="360">
        <f t="shared" si="259"/>
        <v>2772.2200000000003</v>
      </c>
      <c r="BO73" s="359">
        <f t="shared" si="260"/>
        <v>0</v>
      </c>
      <c r="BP73" s="359">
        <f t="shared" si="261"/>
        <v>0</v>
      </c>
      <c r="BQ73" s="359">
        <f t="shared" si="262"/>
        <v>9900</v>
      </c>
      <c r="BR73" s="359">
        <f t="shared" si="263"/>
        <v>7127.78</v>
      </c>
      <c r="BS73" s="359">
        <f t="shared" si="264"/>
        <v>0</v>
      </c>
      <c r="BT73" s="361">
        <f t="shared" si="265"/>
        <v>0</v>
      </c>
      <c r="BU73" s="337"/>
      <c r="BV73" s="337"/>
    </row>
    <row r="74" spans="1:85" s="207" customFormat="1" x14ac:dyDescent="0.25">
      <c r="A74" s="846" t="s">
        <v>1175</v>
      </c>
      <c r="B74" s="86" t="s">
        <v>1017</v>
      </c>
      <c r="C74" s="86"/>
      <c r="D74" s="86"/>
      <c r="E74" s="86"/>
      <c r="F74" s="336">
        <v>106</v>
      </c>
      <c r="G74" s="336" t="s">
        <v>145</v>
      </c>
      <c r="H74" s="336" t="s">
        <v>146</v>
      </c>
      <c r="I74" s="336" t="s">
        <v>147</v>
      </c>
      <c r="J74" s="337" t="s">
        <v>922</v>
      </c>
      <c r="K74" s="338">
        <v>45354</v>
      </c>
      <c r="L74" s="336" t="s">
        <v>128</v>
      </c>
      <c r="M74" s="333">
        <v>477700</v>
      </c>
      <c r="N74" s="333">
        <v>47800</v>
      </c>
      <c r="O74" s="333">
        <v>0</v>
      </c>
      <c r="P74" s="333">
        <v>0</v>
      </c>
      <c r="Q74" s="333">
        <v>0</v>
      </c>
      <c r="R74" s="333">
        <v>0</v>
      </c>
      <c r="S74" s="333">
        <v>0</v>
      </c>
      <c r="T74" s="333">
        <v>0</v>
      </c>
      <c r="U74" s="333">
        <v>0</v>
      </c>
      <c r="V74" s="333">
        <v>0</v>
      </c>
      <c r="W74" s="333">
        <v>0</v>
      </c>
      <c r="X74" s="333">
        <v>0</v>
      </c>
      <c r="Y74" s="333">
        <v>0</v>
      </c>
      <c r="Z74" s="333">
        <v>0</v>
      </c>
      <c r="AA74" s="333">
        <v>3228.57</v>
      </c>
      <c r="AB74" s="333">
        <v>2228.5700000000002</v>
      </c>
      <c r="AC74" s="333">
        <v>2228.5700000000002</v>
      </c>
      <c r="AD74" s="333">
        <v>2228.5700000000002</v>
      </c>
      <c r="AE74" s="333">
        <v>2228.5700000000002</v>
      </c>
      <c r="AF74" s="333">
        <v>2228.5700000000002</v>
      </c>
      <c r="AG74" s="333">
        <v>2228.5700000000002</v>
      </c>
      <c r="AH74" s="333">
        <v>2228.5700000000002</v>
      </c>
      <c r="AI74" s="333">
        <v>0</v>
      </c>
      <c r="AJ74" s="333">
        <v>2228.5700000000002</v>
      </c>
      <c r="AK74" s="333">
        <v>2228.5700000000002</v>
      </c>
      <c r="AL74" s="333">
        <v>2228.5700000000002</v>
      </c>
      <c r="AM74" s="333">
        <f>2228.57+2228.57</f>
        <v>4457.1400000000003</v>
      </c>
      <c r="AN74" s="333"/>
      <c r="AO74" s="334">
        <v>2228.5700000000002</v>
      </c>
      <c r="AP74" s="335">
        <v>2228.5700000000002</v>
      </c>
      <c r="AQ74" s="335">
        <v>2228.5700000000002</v>
      </c>
      <c r="AR74" s="335">
        <v>2228.5700000000002</v>
      </c>
      <c r="AS74" s="335">
        <v>2228.5700000000002</v>
      </c>
      <c r="AT74" s="335">
        <v>2228.5700000000002</v>
      </c>
      <c r="AU74" s="335">
        <v>2228.5700000000002</v>
      </c>
      <c r="AV74" s="335">
        <v>2228.5700000000002</v>
      </c>
      <c r="AW74" s="335"/>
      <c r="AX74" s="352">
        <f t="shared" si="302"/>
        <v>47799.97</v>
      </c>
      <c r="AY74" s="353">
        <f t="shared" si="212"/>
        <v>0.9999993723849373</v>
      </c>
      <c r="AZ74" s="352">
        <f t="shared" si="213"/>
        <v>-2.9999999998835847E-2</v>
      </c>
      <c r="BA74" s="353">
        <f t="shared" si="214"/>
        <v>-6.2761506273715164E-7</v>
      </c>
      <c r="BB74" s="354">
        <f t="shared" si="215"/>
        <v>429900.03</v>
      </c>
      <c r="BC74" s="355">
        <f t="shared" si="216"/>
        <v>0.89993726187984091</v>
      </c>
      <c r="BD74" s="356">
        <f t="shared" si="217"/>
        <v>47800</v>
      </c>
      <c r="BE74" s="357" t="str">
        <f t="shared" si="218"/>
        <v>Vendido</v>
      </c>
      <c r="BF74" s="357" t="str">
        <f t="shared" si="219"/>
        <v>Cliente al día</v>
      </c>
      <c r="BG74" s="358">
        <v>21</v>
      </c>
      <c r="BH74" s="358">
        <f t="shared" si="258"/>
        <v>1</v>
      </c>
      <c r="BI74" s="358">
        <f t="shared" si="220"/>
        <v>22</v>
      </c>
      <c r="BJ74" s="340">
        <v>1000</v>
      </c>
      <c r="BK74" s="365">
        <v>2228.5700000000002</v>
      </c>
      <c r="BL74" s="357">
        <f t="shared" si="221"/>
        <v>0</v>
      </c>
      <c r="BM74" s="359">
        <f t="shared" si="23"/>
        <v>17</v>
      </c>
      <c r="BN74" s="360">
        <f t="shared" si="259"/>
        <v>38885.69</v>
      </c>
      <c r="BO74" s="359">
        <f t="shared" si="260"/>
        <v>26742.84</v>
      </c>
      <c r="BP74" s="359">
        <f t="shared" si="261"/>
        <v>7685.7100000000009</v>
      </c>
      <c r="BQ74" s="359">
        <f t="shared" si="262"/>
        <v>13371.42</v>
      </c>
      <c r="BR74" s="359">
        <f t="shared" si="263"/>
        <v>8914.2799999999988</v>
      </c>
      <c r="BS74" s="359">
        <f t="shared" si="264"/>
        <v>0</v>
      </c>
      <c r="BT74" s="361">
        <f t="shared" si="265"/>
        <v>0</v>
      </c>
      <c r="BU74" s="337"/>
      <c r="BV74" s="337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</row>
    <row r="75" spans="1:85" x14ac:dyDescent="0.25">
      <c r="A75" s="846" t="s">
        <v>1176</v>
      </c>
      <c r="B75" s="86" t="s">
        <v>920</v>
      </c>
      <c r="F75" s="336">
        <v>206</v>
      </c>
      <c r="G75" s="336" t="s">
        <v>145</v>
      </c>
      <c r="H75" s="336" t="s">
        <v>146</v>
      </c>
      <c r="I75" s="336" t="s">
        <v>147</v>
      </c>
      <c r="J75" s="337" t="s">
        <v>941</v>
      </c>
      <c r="K75" s="338">
        <v>45430</v>
      </c>
      <c r="L75" s="336" t="s">
        <v>128</v>
      </c>
      <c r="M75" s="333">
        <v>477700</v>
      </c>
      <c r="N75" s="333">
        <v>24000</v>
      </c>
      <c r="O75" s="333">
        <v>0</v>
      </c>
      <c r="P75" s="333">
        <v>0</v>
      </c>
      <c r="Q75" s="333">
        <v>0</v>
      </c>
      <c r="R75" s="333">
        <v>0</v>
      </c>
      <c r="S75" s="333">
        <v>0</v>
      </c>
      <c r="T75" s="333">
        <v>0</v>
      </c>
      <c r="U75" s="333">
        <v>0</v>
      </c>
      <c r="V75" s="333">
        <v>0</v>
      </c>
      <c r="W75" s="333">
        <v>0</v>
      </c>
      <c r="X75" s="333">
        <v>0</v>
      </c>
      <c r="Y75" s="333">
        <v>0</v>
      </c>
      <c r="Z75" s="333">
        <v>0</v>
      </c>
      <c r="AA75" s="333">
        <v>0</v>
      </c>
      <c r="AB75" s="333">
        <v>0</v>
      </c>
      <c r="AC75" s="333">
        <v>1500</v>
      </c>
      <c r="AD75" s="333">
        <v>1184.21</v>
      </c>
      <c r="AE75" s="333">
        <v>1184.21</v>
      </c>
      <c r="AF75" s="333">
        <v>1184.21</v>
      </c>
      <c r="AG75" s="333">
        <v>1184.21</v>
      </c>
      <c r="AH75" s="333">
        <v>1184.21</v>
      </c>
      <c r="AI75" s="333">
        <v>1184.21</v>
      </c>
      <c r="AJ75" s="333">
        <v>5921.05</v>
      </c>
      <c r="AK75" s="333">
        <v>0</v>
      </c>
      <c r="AL75" s="333">
        <v>0</v>
      </c>
      <c r="AM75" s="333">
        <v>0</v>
      </c>
      <c r="AN75" s="333"/>
      <c r="AO75" s="334">
        <v>1184.21</v>
      </c>
      <c r="AP75" s="335">
        <v>1184.21</v>
      </c>
      <c r="AQ75" s="335">
        <v>1184.21</v>
      </c>
      <c r="AR75" s="335">
        <v>1184.21</v>
      </c>
      <c r="AS75" s="335">
        <v>1184.21</v>
      </c>
      <c r="AT75" s="335">
        <v>1184.21</v>
      </c>
      <c r="AU75" s="335">
        <v>0</v>
      </c>
      <c r="AV75" s="335">
        <v>1184.21</v>
      </c>
      <c r="AW75" s="335"/>
      <c r="AX75" s="352">
        <f t="shared" si="302"/>
        <v>22815.779999999995</v>
      </c>
      <c r="AY75" s="353">
        <f t="shared" si="212"/>
        <v>0.95065749999999982</v>
      </c>
      <c r="AZ75" s="352">
        <f t="shared" si="213"/>
        <v>-1184.2200000000048</v>
      </c>
      <c r="BA75" s="353">
        <f t="shared" si="214"/>
        <v>-4.9342500000000199E-2</v>
      </c>
      <c r="BB75" s="354">
        <f t="shared" si="215"/>
        <v>454884.22000000003</v>
      </c>
      <c r="BC75" s="355">
        <f t="shared" si="216"/>
        <v>0.95223826669457823</v>
      </c>
      <c r="BD75" s="356">
        <f t="shared" si="217"/>
        <v>24000</v>
      </c>
      <c r="BE75" s="357" t="str">
        <f t="shared" si="218"/>
        <v>Vendido</v>
      </c>
      <c r="BF75" s="357" t="str">
        <f t="shared" si="219"/>
        <v>Cliente al día</v>
      </c>
      <c r="BG75" s="358">
        <v>19</v>
      </c>
      <c r="BH75" s="358">
        <f t="shared" si="258"/>
        <v>1</v>
      </c>
      <c r="BI75" s="358">
        <f t="shared" si="220"/>
        <v>20</v>
      </c>
      <c r="BJ75" s="340">
        <v>1500</v>
      </c>
      <c r="BK75" s="365">
        <v>1184.21</v>
      </c>
      <c r="BL75" s="357">
        <f t="shared" si="221"/>
        <v>7</v>
      </c>
      <c r="BM75" s="359">
        <f t="shared" ref="BM75:BM173" si="357">IF($K75&gt;0,DATEDIF($K75,$AR$7,"M"),0)</f>
        <v>15</v>
      </c>
      <c r="BN75" s="360">
        <f t="shared" si="259"/>
        <v>19263.150000000001</v>
      </c>
      <c r="BO75" s="359">
        <f t="shared" si="260"/>
        <v>9473.68</v>
      </c>
      <c r="BP75" s="359">
        <f t="shared" si="261"/>
        <v>7421.05</v>
      </c>
      <c r="BQ75" s="359">
        <f t="shared" si="262"/>
        <v>5921.0499999999947</v>
      </c>
      <c r="BR75" s="359">
        <f t="shared" si="263"/>
        <v>3552.6299999999937</v>
      </c>
      <c r="BS75" s="359">
        <f t="shared" si="264"/>
        <v>0</v>
      </c>
      <c r="BT75" s="361">
        <f t="shared" si="265"/>
        <v>0</v>
      </c>
      <c r="BU75" s="337"/>
      <c r="BV75" s="337"/>
    </row>
    <row r="76" spans="1:85" x14ac:dyDescent="0.25">
      <c r="A76" s="846" t="s">
        <v>1177</v>
      </c>
      <c r="B76" s="86" t="s">
        <v>940</v>
      </c>
      <c r="F76" s="336">
        <v>209</v>
      </c>
      <c r="G76" s="336" t="s">
        <v>146</v>
      </c>
      <c r="H76" s="336" t="s">
        <v>146</v>
      </c>
      <c r="I76" s="336" t="s">
        <v>196</v>
      </c>
      <c r="J76" s="337" t="s">
        <v>1178</v>
      </c>
      <c r="K76" s="338">
        <v>45868</v>
      </c>
      <c r="L76" s="336" t="s">
        <v>128</v>
      </c>
      <c r="M76" s="333">
        <v>477000</v>
      </c>
      <c r="N76" s="333">
        <v>23900</v>
      </c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1"/>
      <c r="AP76" s="335"/>
      <c r="AQ76" s="335">
        <f>300+1200</f>
        <v>1500</v>
      </c>
      <c r="AR76" s="335">
        <v>1272.22</v>
      </c>
      <c r="AS76" s="335">
        <v>1272.22</v>
      </c>
      <c r="AT76" s="335">
        <v>1272.22</v>
      </c>
      <c r="AU76" s="335">
        <v>0</v>
      </c>
      <c r="AV76" s="335">
        <v>1272.22</v>
      </c>
      <c r="AW76" s="335"/>
      <c r="AX76" s="352">
        <f t="shared" si="302"/>
        <v>6588.880000000001</v>
      </c>
      <c r="AY76" s="373">
        <f t="shared" si="212"/>
        <v>0.27568535564853563</v>
      </c>
      <c r="AZ76" s="352">
        <f t="shared" si="213"/>
        <v>-17311.12</v>
      </c>
      <c r="BA76" s="373">
        <f t="shared" si="214"/>
        <v>-0.72431464435146442</v>
      </c>
      <c r="BB76" s="354">
        <f t="shared" si="215"/>
        <v>470411.12</v>
      </c>
      <c r="BC76" s="374">
        <f t="shared" si="216"/>
        <v>0.9861868343815513</v>
      </c>
      <c r="BD76" s="365">
        <f t="shared" si="217"/>
        <v>23900</v>
      </c>
      <c r="BE76" s="357" t="str">
        <f t="shared" si="218"/>
        <v>Vendido</v>
      </c>
      <c r="BF76" s="357" t="str">
        <f t="shared" si="219"/>
        <v>Cliente al día</v>
      </c>
      <c r="BG76" s="358">
        <v>18</v>
      </c>
      <c r="BH76" s="358">
        <v>1</v>
      </c>
      <c r="BI76" s="358">
        <f t="shared" si="220"/>
        <v>19</v>
      </c>
      <c r="BJ76" s="340">
        <v>1500</v>
      </c>
      <c r="BK76" s="365">
        <v>1272.22</v>
      </c>
      <c r="BL76" s="357">
        <f t="shared" si="221"/>
        <v>0</v>
      </c>
      <c r="BM76" s="359">
        <f t="shared" si="357"/>
        <v>1</v>
      </c>
      <c r="BN76" s="360">
        <f t="shared" si="259"/>
        <v>2772.2200000000003</v>
      </c>
      <c r="BO76" s="359">
        <f t="shared" si="260"/>
        <v>0</v>
      </c>
      <c r="BP76" s="359">
        <f t="shared" si="261"/>
        <v>0</v>
      </c>
      <c r="BQ76" s="359">
        <f t="shared" si="262"/>
        <v>6588.880000000001</v>
      </c>
      <c r="BR76" s="359">
        <f t="shared" si="263"/>
        <v>3816.6600000000008</v>
      </c>
      <c r="BS76" s="359">
        <f t="shared" si="264"/>
        <v>0</v>
      </c>
      <c r="BT76" s="361">
        <f t="shared" si="265"/>
        <v>0</v>
      </c>
      <c r="BU76" s="337"/>
      <c r="BV76" s="337"/>
    </row>
    <row r="77" spans="1:85" x14ac:dyDescent="0.25">
      <c r="A77" s="846" t="s">
        <v>1119</v>
      </c>
      <c r="B77" s="86" t="s">
        <v>968</v>
      </c>
      <c r="F77" s="344">
        <v>305</v>
      </c>
      <c r="G77" s="336" t="s">
        <v>146</v>
      </c>
      <c r="H77" s="336" t="s">
        <v>146</v>
      </c>
      <c r="I77" s="336" t="s">
        <v>196</v>
      </c>
      <c r="J77" s="337" t="s">
        <v>1179</v>
      </c>
      <c r="K77" s="338">
        <v>45845</v>
      </c>
      <c r="L77" s="336" t="s">
        <v>128</v>
      </c>
      <c r="M77" s="333">
        <v>487700</v>
      </c>
      <c r="N77" s="333">
        <v>24400</v>
      </c>
      <c r="O77" s="333">
        <v>0</v>
      </c>
      <c r="P77" s="333">
        <v>0</v>
      </c>
      <c r="Q77" s="333">
        <v>0</v>
      </c>
      <c r="R77" s="333">
        <v>0</v>
      </c>
      <c r="S77" s="333">
        <v>0</v>
      </c>
      <c r="T77" s="333">
        <v>0</v>
      </c>
      <c r="U77" s="333">
        <v>0</v>
      </c>
      <c r="V77" s="333">
        <v>0</v>
      </c>
      <c r="W77" s="333">
        <v>0</v>
      </c>
      <c r="X77" s="333">
        <v>0</v>
      </c>
      <c r="Y77" s="333">
        <v>0</v>
      </c>
      <c r="Z77" s="333">
        <v>0</v>
      </c>
      <c r="AA77" s="333">
        <v>0</v>
      </c>
      <c r="AB77" s="333">
        <v>0</v>
      </c>
      <c r="AC77" s="333">
        <v>0</v>
      </c>
      <c r="AD77" s="333">
        <v>0</v>
      </c>
      <c r="AE77" s="333">
        <v>0</v>
      </c>
      <c r="AF77" s="333">
        <v>0</v>
      </c>
      <c r="AG77" s="333">
        <v>0</v>
      </c>
      <c r="AH77" s="333">
        <v>0</v>
      </c>
      <c r="AI77" s="333">
        <v>0</v>
      </c>
      <c r="AJ77" s="333">
        <v>0</v>
      </c>
      <c r="AK77" s="333">
        <v>0</v>
      </c>
      <c r="AL77" s="333">
        <v>0</v>
      </c>
      <c r="AM77" s="333">
        <v>0</v>
      </c>
      <c r="AN77" s="333"/>
      <c r="AO77" s="333"/>
      <c r="AP77" s="333"/>
      <c r="AQ77" s="335">
        <v>1500</v>
      </c>
      <c r="AR77" s="335">
        <v>1272.22</v>
      </c>
      <c r="AS77" s="335">
        <v>0</v>
      </c>
      <c r="AT77" s="335">
        <v>0</v>
      </c>
      <c r="AU77" s="335">
        <v>1347.06</v>
      </c>
      <c r="AV77" s="335"/>
      <c r="AW77" s="335"/>
      <c r="AX77" s="352">
        <f t="shared" si="302"/>
        <v>4119.2800000000007</v>
      </c>
      <c r="AY77" s="353">
        <f t="shared" si="212"/>
        <v>0.16882295081967216</v>
      </c>
      <c r="AZ77" s="352">
        <f t="shared" si="213"/>
        <v>-20280.72</v>
      </c>
      <c r="BA77" s="353">
        <f t="shared" si="214"/>
        <v>-0.83117704918032786</v>
      </c>
      <c r="BB77" s="354">
        <f t="shared" si="215"/>
        <v>483580.72</v>
      </c>
      <c r="BC77" s="355">
        <f t="shared" si="216"/>
        <v>0.99155366003690792</v>
      </c>
      <c r="BD77" s="356">
        <f t="shared" si="217"/>
        <v>24400</v>
      </c>
      <c r="BE77" s="357" t="str">
        <f t="shared" si="218"/>
        <v>Vendido</v>
      </c>
      <c r="BF77" s="357" t="str">
        <f t="shared" si="219"/>
        <v>Cliente al día</v>
      </c>
      <c r="BG77" s="358">
        <v>18</v>
      </c>
      <c r="BH77" s="358">
        <f t="shared" ref="BH77:BH92" si="358">IF(BG77&gt;1,1,0)</f>
        <v>1</v>
      </c>
      <c r="BI77" s="358">
        <f t="shared" si="220"/>
        <v>19</v>
      </c>
      <c r="BJ77" s="340">
        <v>1500</v>
      </c>
      <c r="BK77" s="365">
        <v>1272.22</v>
      </c>
      <c r="BL77" s="357">
        <f t="shared" si="221"/>
        <v>0</v>
      </c>
      <c r="BM77" s="359">
        <f t="shared" si="357"/>
        <v>1</v>
      </c>
      <c r="BN77" s="360">
        <f t="shared" si="259"/>
        <v>2772.2200000000003</v>
      </c>
      <c r="BO77" s="359">
        <f t="shared" si="260"/>
        <v>0</v>
      </c>
      <c r="BP77" s="359">
        <f t="shared" si="261"/>
        <v>0</v>
      </c>
      <c r="BQ77" s="359">
        <f t="shared" si="262"/>
        <v>4119.2800000000007</v>
      </c>
      <c r="BR77" s="359">
        <f t="shared" si="263"/>
        <v>1347.0600000000004</v>
      </c>
      <c r="BS77" s="359">
        <f t="shared" si="264"/>
        <v>0</v>
      </c>
      <c r="BT77" s="361">
        <f t="shared" si="265"/>
        <v>0</v>
      </c>
      <c r="BU77" s="337"/>
      <c r="BV77" s="337"/>
    </row>
    <row r="78" spans="1:85" x14ac:dyDescent="0.25">
      <c r="A78" s="846" t="s">
        <v>1180</v>
      </c>
      <c r="B78" s="86" t="s">
        <v>1019</v>
      </c>
      <c r="F78" s="344">
        <v>308</v>
      </c>
      <c r="G78" s="350" t="s">
        <v>146</v>
      </c>
      <c r="H78" s="350" t="s">
        <v>146</v>
      </c>
      <c r="I78" s="849" t="s">
        <v>1109</v>
      </c>
      <c r="J78" s="337" t="s">
        <v>963</v>
      </c>
      <c r="K78" s="338">
        <v>45844</v>
      </c>
      <c r="L78" s="336" t="s">
        <v>128</v>
      </c>
      <c r="M78" s="333">
        <v>487700</v>
      </c>
      <c r="N78" s="333">
        <v>24400</v>
      </c>
      <c r="O78" s="333">
        <v>0</v>
      </c>
      <c r="P78" s="333">
        <v>0</v>
      </c>
      <c r="Q78" s="333">
        <v>0</v>
      </c>
      <c r="R78" s="333">
        <v>0</v>
      </c>
      <c r="S78" s="333">
        <v>0</v>
      </c>
      <c r="T78" s="333">
        <v>0</v>
      </c>
      <c r="U78" s="333">
        <v>0</v>
      </c>
      <c r="V78" s="333">
        <v>0</v>
      </c>
      <c r="W78" s="333">
        <v>0</v>
      </c>
      <c r="X78" s="333">
        <v>0</v>
      </c>
      <c r="Y78" s="333">
        <v>0</v>
      </c>
      <c r="Z78" s="333">
        <v>0</v>
      </c>
      <c r="AA78" s="333">
        <v>0</v>
      </c>
      <c r="AB78" s="333">
        <v>0</v>
      </c>
      <c r="AC78" s="333">
        <v>0</v>
      </c>
      <c r="AD78" s="333">
        <v>0</v>
      </c>
      <c r="AE78" s="333">
        <v>0</v>
      </c>
      <c r="AF78" s="333">
        <v>0</v>
      </c>
      <c r="AG78" s="333">
        <v>0</v>
      </c>
      <c r="AH78" s="333">
        <v>0</v>
      </c>
      <c r="AI78" s="333">
        <v>0</v>
      </c>
      <c r="AJ78" s="333">
        <v>0</v>
      </c>
      <c r="AK78" s="333">
        <v>0</v>
      </c>
      <c r="AL78" s="333">
        <v>0</v>
      </c>
      <c r="AM78" s="333">
        <v>0</v>
      </c>
      <c r="AN78" s="333"/>
      <c r="AO78" s="333"/>
      <c r="AP78" s="333"/>
      <c r="AQ78" s="335">
        <v>750</v>
      </c>
      <c r="AR78" s="335">
        <v>1272.22</v>
      </c>
      <c r="AS78" s="335">
        <v>1272.22</v>
      </c>
      <c r="AT78" s="335">
        <v>1272.22</v>
      </c>
      <c r="AU78" s="335">
        <v>0</v>
      </c>
      <c r="AV78" s="335">
        <v>1272.22</v>
      </c>
      <c r="AW78" s="335">
        <v>1282.22</v>
      </c>
      <c r="AX78" s="352">
        <f t="shared" si="302"/>
        <v>7121.1</v>
      </c>
      <c r="AY78" s="353">
        <f t="shared" si="212"/>
        <v>0.29184836065573772</v>
      </c>
      <c r="AZ78" s="352">
        <f t="shared" si="213"/>
        <v>-17278.900000000001</v>
      </c>
      <c r="BA78" s="353">
        <f t="shared" si="214"/>
        <v>-0.7081516393442624</v>
      </c>
      <c r="BB78" s="354">
        <f t="shared" si="215"/>
        <v>480578.9</v>
      </c>
      <c r="BC78" s="355">
        <f t="shared" si="216"/>
        <v>0.98539860570022564</v>
      </c>
      <c r="BD78" s="356">
        <f t="shared" si="217"/>
        <v>24400</v>
      </c>
      <c r="BE78" s="357" t="str">
        <f t="shared" si="218"/>
        <v>Vendido</v>
      </c>
      <c r="BF78" s="357" t="str">
        <f t="shared" si="219"/>
        <v>Cliente al día</v>
      </c>
      <c r="BG78" s="358">
        <v>18</v>
      </c>
      <c r="BH78" s="358">
        <f t="shared" si="358"/>
        <v>1</v>
      </c>
      <c r="BI78" s="358">
        <f t="shared" si="220"/>
        <v>19</v>
      </c>
      <c r="BJ78" s="340">
        <v>1500</v>
      </c>
      <c r="BK78" s="365">
        <v>1272.22</v>
      </c>
      <c r="BL78" s="357">
        <f t="shared" si="221"/>
        <v>0</v>
      </c>
      <c r="BM78" s="359">
        <f t="shared" si="357"/>
        <v>1</v>
      </c>
      <c r="BN78" s="360">
        <f t="shared" si="259"/>
        <v>2772.2200000000003</v>
      </c>
      <c r="BO78" s="359">
        <f t="shared" si="260"/>
        <v>0</v>
      </c>
      <c r="BP78" s="359">
        <f t="shared" si="261"/>
        <v>0</v>
      </c>
      <c r="BQ78" s="359">
        <f t="shared" si="262"/>
        <v>7121.1</v>
      </c>
      <c r="BR78" s="359">
        <f t="shared" si="263"/>
        <v>4348.88</v>
      </c>
      <c r="BS78" s="359">
        <f t="shared" si="264"/>
        <v>0</v>
      </c>
      <c r="BT78" s="361">
        <f t="shared" si="265"/>
        <v>0</v>
      </c>
      <c r="BU78" s="337"/>
      <c r="BV78" s="337"/>
    </row>
    <row r="79" spans="1:85" x14ac:dyDescent="0.25">
      <c r="A79" s="846" t="s">
        <v>1181</v>
      </c>
      <c r="F79" s="336">
        <v>311</v>
      </c>
      <c r="G79" s="336" t="s">
        <v>145</v>
      </c>
      <c r="H79" s="336" t="s">
        <v>913</v>
      </c>
      <c r="I79" s="336" t="s">
        <v>366</v>
      </c>
      <c r="J79" s="337" t="s">
        <v>969</v>
      </c>
      <c r="K79" s="338">
        <v>45427</v>
      </c>
      <c r="L79" s="336" t="s">
        <v>128</v>
      </c>
      <c r="M79" s="333">
        <v>477000</v>
      </c>
      <c r="N79" s="333">
        <v>23900</v>
      </c>
      <c r="O79" s="333">
        <v>0</v>
      </c>
      <c r="P79" s="333">
        <v>0</v>
      </c>
      <c r="Q79" s="333">
        <v>0</v>
      </c>
      <c r="R79" s="333">
        <v>0</v>
      </c>
      <c r="S79" s="333">
        <v>0</v>
      </c>
      <c r="T79" s="333">
        <v>0</v>
      </c>
      <c r="U79" s="333">
        <v>0</v>
      </c>
      <c r="V79" s="333">
        <v>0</v>
      </c>
      <c r="W79" s="333">
        <v>0</v>
      </c>
      <c r="X79" s="333">
        <v>0</v>
      </c>
      <c r="Y79" s="333">
        <v>0</v>
      </c>
      <c r="Z79" s="333">
        <v>0</v>
      </c>
      <c r="AA79" s="333">
        <v>0</v>
      </c>
      <c r="AB79" s="333">
        <v>0</v>
      </c>
      <c r="AC79" s="333">
        <v>1500</v>
      </c>
      <c r="AD79" s="333">
        <v>2000</v>
      </c>
      <c r="AE79" s="333">
        <v>1200</v>
      </c>
      <c r="AF79" s="333">
        <v>1200</v>
      </c>
      <c r="AG79" s="333">
        <v>1200</v>
      </c>
      <c r="AH79" s="333">
        <v>1200</v>
      </c>
      <c r="AI79" s="333">
        <v>1200</v>
      </c>
      <c r="AJ79" s="333">
        <v>1200</v>
      </c>
      <c r="AK79" s="333">
        <v>1200</v>
      </c>
      <c r="AL79" s="333">
        <v>1200</v>
      </c>
      <c r="AM79" s="333">
        <v>0</v>
      </c>
      <c r="AN79" s="333">
        <f>1200+1200</f>
        <v>2400</v>
      </c>
      <c r="AO79" s="334">
        <v>1200</v>
      </c>
      <c r="AP79" s="334"/>
      <c r="AQ79" s="335">
        <v>1200</v>
      </c>
      <c r="AR79" s="335">
        <v>1200</v>
      </c>
      <c r="AS79" s="335">
        <v>0</v>
      </c>
      <c r="AT79" s="335">
        <v>2400</v>
      </c>
      <c r="AU79" s="335">
        <v>0</v>
      </c>
      <c r="AV79" s="335">
        <v>1200</v>
      </c>
      <c r="AW79" s="335"/>
      <c r="AX79" s="352">
        <f t="shared" si="302"/>
        <v>22700</v>
      </c>
      <c r="AY79" s="353">
        <f t="shared" si="212"/>
        <v>0.94979079497907948</v>
      </c>
      <c r="AZ79" s="352">
        <f t="shared" si="213"/>
        <v>-1200</v>
      </c>
      <c r="BA79" s="353">
        <f t="shared" si="214"/>
        <v>-5.0209205020920501E-2</v>
      </c>
      <c r="BB79" s="354">
        <f t="shared" si="215"/>
        <v>454300</v>
      </c>
      <c r="BC79" s="355">
        <f t="shared" si="216"/>
        <v>0.95241090146750529</v>
      </c>
      <c r="BD79" s="356">
        <f t="shared" si="217"/>
        <v>23900</v>
      </c>
      <c r="BE79" s="357" t="str">
        <f t="shared" si="218"/>
        <v>Vendido</v>
      </c>
      <c r="BF79" s="357" t="str">
        <f t="shared" si="219"/>
        <v>Cliente al día</v>
      </c>
      <c r="BG79" s="358">
        <v>11</v>
      </c>
      <c r="BH79" s="358">
        <f t="shared" si="358"/>
        <v>1</v>
      </c>
      <c r="BI79" s="358">
        <f t="shared" si="220"/>
        <v>12</v>
      </c>
      <c r="BJ79" s="340">
        <v>1500</v>
      </c>
      <c r="BK79" s="365">
        <v>1178.95</v>
      </c>
      <c r="BL79" s="357">
        <f t="shared" si="221"/>
        <v>9</v>
      </c>
      <c r="BM79" s="359">
        <f t="shared" si="357"/>
        <v>15</v>
      </c>
      <c r="BN79" s="360">
        <f t="shared" si="259"/>
        <v>19184.25</v>
      </c>
      <c r="BO79" s="359">
        <f t="shared" si="260"/>
        <v>0</v>
      </c>
      <c r="BP79" s="359">
        <f t="shared" si="261"/>
        <v>16700</v>
      </c>
      <c r="BQ79" s="359">
        <f t="shared" si="262"/>
        <v>6000</v>
      </c>
      <c r="BR79" s="359">
        <f t="shared" si="263"/>
        <v>3515.75</v>
      </c>
      <c r="BS79" s="359">
        <f t="shared" si="264"/>
        <v>0</v>
      </c>
      <c r="BT79" s="361">
        <f t="shared" si="265"/>
        <v>0</v>
      </c>
      <c r="BU79" s="337"/>
      <c r="BV79" s="337"/>
    </row>
    <row r="80" spans="1:85" x14ac:dyDescent="0.25">
      <c r="A80" s="846" t="s">
        <v>1182</v>
      </c>
      <c r="F80" s="336">
        <v>312</v>
      </c>
      <c r="G80" s="336" t="s">
        <v>146</v>
      </c>
      <c r="H80" s="336" t="s">
        <v>146</v>
      </c>
      <c r="I80" s="336" t="s">
        <v>203</v>
      </c>
      <c r="J80" s="337" t="s">
        <v>1183</v>
      </c>
      <c r="K80" s="338">
        <v>45869</v>
      </c>
      <c r="L80" s="342" t="s">
        <v>128</v>
      </c>
      <c r="M80" s="333">
        <v>487700</v>
      </c>
      <c r="N80" s="333">
        <v>24400</v>
      </c>
      <c r="O80" s="340">
        <v>0</v>
      </c>
      <c r="P80" s="340">
        <v>0</v>
      </c>
      <c r="Q80" s="340">
        <v>0</v>
      </c>
      <c r="R80" s="340">
        <v>0</v>
      </c>
      <c r="S80" s="340">
        <v>0</v>
      </c>
      <c r="T80" s="340">
        <v>0</v>
      </c>
      <c r="U80" s="340">
        <v>0</v>
      </c>
      <c r="V80" s="340">
        <v>0</v>
      </c>
      <c r="W80" s="340">
        <v>0</v>
      </c>
      <c r="X80" s="340">
        <v>0</v>
      </c>
      <c r="Y80" s="340">
        <v>0</v>
      </c>
      <c r="Z80" s="340">
        <v>0</v>
      </c>
      <c r="AA80" s="340">
        <v>0</v>
      </c>
      <c r="AB80" s="340">
        <v>0</v>
      </c>
      <c r="AC80" s="340">
        <v>0</v>
      </c>
      <c r="AD80" s="340">
        <v>0</v>
      </c>
      <c r="AE80" s="340">
        <v>0</v>
      </c>
      <c r="AF80" s="340">
        <v>0</v>
      </c>
      <c r="AG80" s="340">
        <v>0</v>
      </c>
      <c r="AH80" s="340">
        <v>0</v>
      </c>
      <c r="AI80" s="340">
        <v>0</v>
      </c>
      <c r="AJ80" s="340">
        <v>0</v>
      </c>
      <c r="AK80" s="340">
        <v>0</v>
      </c>
      <c r="AL80" s="340">
        <v>0</v>
      </c>
      <c r="AM80" s="340">
        <v>0</v>
      </c>
      <c r="AN80" s="340"/>
      <c r="AO80" s="340"/>
      <c r="AP80" s="335">
        <v>1500</v>
      </c>
      <c r="AQ80" s="335"/>
      <c r="AR80" s="335"/>
      <c r="AS80" s="335">
        <v>1431.25</v>
      </c>
      <c r="AT80" s="335">
        <v>1431.25</v>
      </c>
      <c r="AU80" s="335">
        <v>1431.25</v>
      </c>
      <c r="AV80" s="335">
        <v>1431.25</v>
      </c>
      <c r="AW80" s="335">
        <v>1431.25</v>
      </c>
      <c r="AX80" s="352">
        <f t="shared" si="302"/>
        <v>8656.25</v>
      </c>
      <c r="AY80" s="373">
        <f t="shared" si="212"/>
        <v>0.35476434426229508</v>
      </c>
      <c r="AZ80" s="352">
        <f t="shared" si="213"/>
        <v>-15743.75</v>
      </c>
      <c r="BA80" s="373">
        <f t="shared" si="214"/>
        <v>-0.64523565573770492</v>
      </c>
      <c r="BB80" s="354">
        <f t="shared" si="215"/>
        <v>479043.75</v>
      </c>
      <c r="BC80" s="374">
        <f t="shared" si="216"/>
        <v>0.98225087143735901</v>
      </c>
      <c r="BD80" s="365">
        <f t="shared" si="217"/>
        <v>24400</v>
      </c>
      <c r="BE80" s="357" t="str">
        <f t="shared" si="218"/>
        <v>Vendido</v>
      </c>
      <c r="BF80" s="357" t="str">
        <f t="shared" si="219"/>
        <v>Cliente al día</v>
      </c>
      <c r="BG80" s="375">
        <v>18</v>
      </c>
      <c r="BH80" s="375">
        <f t="shared" si="358"/>
        <v>1</v>
      </c>
      <c r="BI80" s="375">
        <f t="shared" si="220"/>
        <v>19</v>
      </c>
      <c r="BJ80" s="340">
        <v>1500</v>
      </c>
      <c r="BK80" s="365">
        <v>1272.22</v>
      </c>
      <c r="BL80" s="357">
        <f t="shared" si="221"/>
        <v>0</v>
      </c>
      <c r="BM80" s="359">
        <f t="shared" si="357"/>
        <v>1</v>
      </c>
      <c r="BN80" s="360">
        <f t="shared" si="259"/>
        <v>2772.2200000000003</v>
      </c>
      <c r="BO80" s="359">
        <f t="shared" si="260"/>
        <v>0</v>
      </c>
      <c r="BP80" s="359">
        <f t="shared" si="261"/>
        <v>1500</v>
      </c>
      <c r="BQ80" s="359">
        <f t="shared" si="262"/>
        <v>7156.25</v>
      </c>
      <c r="BR80" s="359">
        <f t="shared" si="263"/>
        <v>5884.03</v>
      </c>
      <c r="BS80" s="359">
        <f t="shared" si="264"/>
        <v>0</v>
      </c>
      <c r="BT80" s="361">
        <f t="shared" si="265"/>
        <v>0</v>
      </c>
      <c r="BU80" s="337"/>
      <c r="BV80" s="337"/>
    </row>
    <row r="81" spans="1:74" x14ac:dyDescent="0.25">
      <c r="A81" s="846" t="s">
        <v>1184</v>
      </c>
      <c r="F81" s="344">
        <v>409</v>
      </c>
      <c r="G81" s="350" t="s">
        <v>146</v>
      </c>
      <c r="H81" s="350" t="s">
        <v>146</v>
      </c>
      <c r="I81" s="849" t="s">
        <v>203</v>
      </c>
      <c r="J81" s="337" t="s">
        <v>985</v>
      </c>
      <c r="K81" s="338">
        <v>45841</v>
      </c>
      <c r="L81" s="336" t="s">
        <v>128</v>
      </c>
      <c r="M81" s="333">
        <v>477700</v>
      </c>
      <c r="N81" s="333">
        <v>23900</v>
      </c>
      <c r="O81" s="333">
        <v>0</v>
      </c>
      <c r="P81" s="333">
        <v>0</v>
      </c>
      <c r="Q81" s="333">
        <v>0</v>
      </c>
      <c r="R81" s="333">
        <v>0</v>
      </c>
      <c r="S81" s="333">
        <v>0</v>
      </c>
      <c r="T81" s="333">
        <v>0</v>
      </c>
      <c r="U81" s="333">
        <v>0</v>
      </c>
      <c r="V81" s="333">
        <v>0</v>
      </c>
      <c r="W81" s="333">
        <v>0</v>
      </c>
      <c r="X81" s="333">
        <v>0</v>
      </c>
      <c r="Y81" s="333">
        <v>0</v>
      </c>
      <c r="Z81" s="333">
        <v>0</v>
      </c>
      <c r="AA81" s="333">
        <v>0</v>
      </c>
      <c r="AB81" s="333">
        <v>0</v>
      </c>
      <c r="AC81" s="333">
        <v>0</v>
      </c>
      <c r="AD81" s="333">
        <v>0</v>
      </c>
      <c r="AE81" s="333">
        <v>0</v>
      </c>
      <c r="AF81" s="333">
        <v>0</v>
      </c>
      <c r="AG81" s="333">
        <v>0</v>
      </c>
      <c r="AH81" s="333">
        <v>0</v>
      </c>
      <c r="AI81" s="333">
        <v>0</v>
      </c>
      <c r="AJ81" s="333">
        <v>0</v>
      </c>
      <c r="AK81" s="333">
        <v>0</v>
      </c>
      <c r="AL81" s="333">
        <v>0</v>
      </c>
      <c r="AM81" s="333">
        <v>0</v>
      </c>
      <c r="AN81" s="333"/>
      <c r="AO81" s="333"/>
      <c r="AP81" s="333"/>
      <c r="AQ81" s="335">
        <v>1500</v>
      </c>
      <c r="AR81" s="335">
        <v>1400</v>
      </c>
      <c r="AS81" s="335">
        <v>1400</v>
      </c>
      <c r="AT81" s="335">
        <v>1400</v>
      </c>
      <c r="AU81" s="335">
        <v>0</v>
      </c>
      <c r="AV81" s="335">
        <v>1500</v>
      </c>
      <c r="AW81" s="335">
        <v>1300</v>
      </c>
      <c r="AX81" s="352">
        <f t="shared" si="302"/>
        <v>8500</v>
      </c>
      <c r="AY81" s="353">
        <f t="shared" si="212"/>
        <v>0.35564853556485354</v>
      </c>
      <c r="AZ81" s="352">
        <f t="shared" si="213"/>
        <v>-15400</v>
      </c>
      <c r="BA81" s="353">
        <f t="shared" si="214"/>
        <v>-0.64435146443514646</v>
      </c>
      <c r="BB81" s="354">
        <f t="shared" si="215"/>
        <v>469200</v>
      </c>
      <c r="BC81" s="355">
        <f t="shared" si="216"/>
        <v>0.98220640569395012</v>
      </c>
      <c r="BD81" s="356">
        <f t="shared" si="217"/>
        <v>23900</v>
      </c>
      <c r="BE81" s="357" t="str">
        <f t="shared" si="218"/>
        <v>Vendido</v>
      </c>
      <c r="BF81" s="357" t="str">
        <f t="shared" si="219"/>
        <v>Cliente al día</v>
      </c>
      <c r="BG81" s="358">
        <v>16</v>
      </c>
      <c r="BH81" s="358">
        <f t="shared" si="358"/>
        <v>1</v>
      </c>
      <c r="BI81" s="358">
        <f t="shared" si="220"/>
        <v>17</v>
      </c>
      <c r="BJ81" s="340">
        <v>1500</v>
      </c>
      <c r="BK81" s="365">
        <v>1400</v>
      </c>
      <c r="BL81" s="357">
        <f t="shared" si="221"/>
        <v>0</v>
      </c>
      <c r="BM81" s="359">
        <f t="shared" si="357"/>
        <v>1</v>
      </c>
      <c r="BN81" s="360">
        <f t="shared" si="259"/>
        <v>2900</v>
      </c>
      <c r="BO81" s="359">
        <f t="shared" si="260"/>
        <v>0</v>
      </c>
      <c r="BP81" s="359">
        <f t="shared" si="261"/>
        <v>0</v>
      </c>
      <c r="BQ81" s="359">
        <f t="shared" si="262"/>
        <v>8500</v>
      </c>
      <c r="BR81" s="359">
        <f t="shared" si="263"/>
        <v>5600</v>
      </c>
      <c r="BS81" s="359">
        <f t="shared" si="264"/>
        <v>0</v>
      </c>
      <c r="BT81" s="361">
        <f t="shared" si="265"/>
        <v>0</v>
      </c>
      <c r="BU81" s="337"/>
      <c r="BV81" s="337"/>
    </row>
    <row r="82" spans="1:74" x14ac:dyDescent="0.25">
      <c r="A82" s="846" t="s">
        <v>1185</v>
      </c>
      <c r="F82" s="336">
        <v>411</v>
      </c>
      <c r="G82" s="350" t="s">
        <v>146</v>
      </c>
      <c r="H82" s="350" t="s">
        <v>913</v>
      </c>
      <c r="I82" s="849" t="s">
        <v>1109</v>
      </c>
      <c r="J82" s="337" t="s">
        <v>988</v>
      </c>
      <c r="K82" s="338">
        <v>45858</v>
      </c>
      <c r="L82" s="336" t="s">
        <v>128</v>
      </c>
      <c r="M82" s="333">
        <v>487000</v>
      </c>
      <c r="N82" s="333">
        <v>24400</v>
      </c>
      <c r="O82" s="333">
        <v>0</v>
      </c>
      <c r="P82" s="333">
        <v>0</v>
      </c>
      <c r="Q82" s="333">
        <v>0</v>
      </c>
      <c r="R82" s="333">
        <v>0</v>
      </c>
      <c r="S82" s="333">
        <v>0</v>
      </c>
      <c r="T82" s="333">
        <v>0</v>
      </c>
      <c r="U82" s="333">
        <v>0</v>
      </c>
      <c r="V82" s="333">
        <v>0</v>
      </c>
      <c r="W82" s="333">
        <v>0</v>
      </c>
      <c r="X82" s="333">
        <v>0</v>
      </c>
      <c r="Y82" s="333">
        <v>0</v>
      </c>
      <c r="Z82" s="333">
        <v>0</v>
      </c>
      <c r="AA82" s="333">
        <v>0</v>
      </c>
      <c r="AB82" s="333">
        <v>0</v>
      </c>
      <c r="AC82" s="333">
        <v>0</v>
      </c>
      <c r="AD82" s="333">
        <v>0</v>
      </c>
      <c r="AE82" s="333">
        <v>0</v>
      </c>
      <c r="AF82" s="333">
        <v>0</v>
      </c>
      <c r="AG82" s="333">
        <v>0</v>
      </c>
      <c r="AH82" s="333">
        <v>0</v>
      </c>
      <c r="AI82" s="333">
        <v>0</v>
      </c>
      <c r="AJ82" s="333">
        <v>0</v>
      </c>
      <c r="AK82" s="333">
        <v>0</v>
      </c>
      <c r="AL82" s="333">
        <v>0</v>
      </c>
      <c r="AM82" s="333">
        <v>0</v>
      </c>
      <c r="AN82" s="333"/>
      <c r="AO82" s="333"/>
      <c r="AP82" s="333"/>
      <c r="AQ82" s="335">
        <v>1500</v>
      </c>
      <c r="AR82" s="335">
        <v>1272.22</v>
      </c>
      <c r="AS82" s="335">
        <v>1272.22</v>
      </c>
      <c r="AT82" s="335">
        <v>1272.22</v>
      </c>
      <c r="AU82" s="335">
        <v>0</v>
      </c>
      <c r="AV82" s="335">
        <v>1272.22</v>
      </c>
      <c r="AW82" s="335"/>
      <c r="AX82" s="352">
        <f t="shared" si="302"/>
        <v>6588.880000000001</v>
      </c>
      <c r="AY82" s="353">
        <f t="shared" si="212"/>
        <v>0.27003606557377052</v>
      </c>
      <c r="AZ82" s="352">
        <f t="shared" si="213"/>
        <v>-17811.12</v>
      </c>
      <c r="BA82" s="353">
        <f t="shared" si="214"/>
        <v>-0.72996393442622942</v>
      </c>
      <c r="BB82" s="354">
        <f t="shared" si="215"/>
        <v>480411.12</v>
      </c>
      <c r="BC82" s="355">
        <f t="shared" si="216"/>
        <v>0.98647047227926077</v>
      </c>
      <c r="BD82" s="356">
        <f t="shared" si="217"/>
        <v>24400</v>
      </c>
      <c r="BE82" s="357" t="str">
        <f t="shared" si="218"/>
        <v>Vendido</v>
      </c>
      <c r="BF82" s="357" t="str">
        <f t="shared" si="219"/>
        <v>Cliente al día</v>
      </c>
      <c r="BG82" s="375">
        <v>18</v>
      </c>
      <c r="BH82" s="375">
        <f t="shared" si="358"/>
        <v>1</v>
      </c>
      <c r="BI82" s="375">
        <f t="shared" si="220"/>
        <v>19</v>
      </c>
      <c r="BJ82" s="340">
        <v>1500</v>
      </c>
      <c r="BK82" s="365">
        <v>1272.22</v>
      </c>
      <c r="BL82" s="357">
        <f t="shared" si="221"/>
        <v>0</v>
      </c>
      <c r="BM82" s="359">
        <f t="shared" si="357"/>
        <v>1</v>
      </c>
      <c r="BN82" s="360">
        <f t="shared" si="259"/>
        <v>2772.2200000000003</v>
      </c>
      <c r="BO82" s="359">
        <f t="shared" si="260"/>
        <v>0</v>
      </c>
      <c r="BP82" s="359">
        <f t="shared" si="261"/>
        <v>0</v>
      </c>
      <c r="BQ82" s="359">
        <f t="shared" si="262"/>
        <v>6588.880000000001</v>
      </c>
      <c r="BR82" s="359">
        <f t="shared" si="263"/>
        <v>3816.6600000000008</v>
      </c>
      <c r="BS82" s="359">
        <f t="shared" si="264"/>
        <v>0</v>
      </c>
      <c r="BT82" s="361">
        <f t="shared" si="265"/>
        <v>0</v>
      </c>
      <c r="BU82" s="337"/>
      <c r="BV82" s="337"/>
    </row>
    <row r="83" spans="1:74" x14ac:dyDescent="0.25">
      <c r="A83" s="846" t="s">
        <v>1186</v>
      </c>
      <c r="B83" s="86" t="s">
        <v>983</v>
      </c>
      <c r="F83" s="336">
        <v>501</v>
      </c>
      <c r="G83" s="336" t="s">
        <v>146</v>
      </c>
      <c r="H83" s="336" t="s">
        <v>145</v>
      </c>
      <c r="I83" s="336" t="s">
        <v>196</v>
      </c>
      <c r="J83" s="337" t="s">
        <v>993</v>
      </c>
      <c r="K83" s="338">
        <v>45836</v>
      </c>
      <c r="L83" s="336" t="s">
        <v>128</v>
      </c>
      <c r="M83" s="333">
        <v>477700</v>
      </c>
      <c r="N83" s="333">
        <v>23900</v>
      </c>
      <c r="O83" s="333">
        <v>0</v>
      </c>
      <c r="P83" s="333">
        <v>0</v>
      </c>
      <c r="Q83" s="333">
        <v>0</v>
      </c>
      <c r="R83" s="333">
        <v>0</v>
      </c>
      <c r="S83" s="333">
        <v>0</v>
      </c>
      <c r="T83" s="333">
        <v>0</v>
      </c>
      <c r="U83" s="333">
        <v>0</v>
      </c>
      <c r="V83" s="333">
        <v>0</v>
      </c>
      <c r="W83" s="333">
        <v>0</v>
      </c>
      <c r="X83" s="333">
        <v>0</v>
      </c>
      <c r="Y83" s="333">
        <v>0</v>
      </c>
      <c r="Z83" s="333">
        <v>0</v>
      </c>
      <c r="AA83" s="333">
        <v>0</v>
      </c>
      <c r="AB83" s="333">
        <v>0</v>
      </c>
      <c r="AC83" s="333">
        <v>0</v>
      </c>
      <c r="AD83" s="333">
        <v>0</v>
      </c>
      <c r="AE83" s="333">
        <v>0</v>
      </c>
      <c r="AF83" s="333">
        <v>0</v>
      </c>
      <c r="AG83" s="333">
        <v>0</v>
      </c>
      <c r="AH83" s="333">
        <v>0</v>
      </c>
      <c r="AI83" s="333">
        <v>0</v>
      </c>
      <c r="AJ83" s="333">
        <v>0</v>
      </c>
      <c r="AK83" s="333">
        <v>0</v>
      </c>
      <c r="AL83" s="333">
        <v>0</v>
      </c>
      <c r="AM83" s="333">
        <v>0</v>
      </c>
      <c r="AN83" s="333"/>
      <c r="AO83" s="333"/>
      <c r="AP83" s="335">
        <v>500</v>
      </c>
      <c r="AQ83" s="335">
        <v>1462.5</v>
      </c>
      <c r="AR83" s="335">
        <v>1462.5</v>
      </c>
      <c r="AS83" s="335">
        <v>1462.5</v>
      </c>
      <c r="AT83" s="335">
        <v>1462.5</v>
      </c>
      <c r="AU83" s="335">
        <v>0</v>
      </c>
      <c r="AV83" s="335">
        <f>1462.5+1462.5</f>
        <v>2925</v>
      </c>
      <c r="AW83" s="335"/>
      <c r="AX83" s="352">
        <f t="shared" si="302"/>
        <v>9275</v>
      </c>
      <c r="AY83" s="353">
        <f t="shared" si="212"/>
        <v>0.38807531380753141</v>
      </c>
      <c r="AZ83" s="352">
        <f t="shared" si="213"/>
        <v>-14625</v>
      </c>
      <c r="BA83" s="353">
        <f t="shared" si="214"/>
        <v>-0.61192468619246865</v>
      </c>
      <c r="BB83" s="354">
        <f t="shared" si="215"/>
        <v>468425</v>
      </c>
      <c r="BC83" s="355">
        <f t="shared" si="216"/>
        <v>0.98058404856604564</v>
      </c>
      <c r="BD83" s="356">
        <f t="shared" si="217"/>
        <v>23900</v>
      </c>
      <c r="BE83" s="357" t="str">
        <f t="shared" si="218"/>
        <v>Vendido</v>
      </c>
      <c r="BF83" s="357" t="str">
        <f t="shared" si="219"/>
        <v>Cliente al día</v>
      </c>
      <c r="BG83" s="358">
        <v>16</v>
      </c>
      <c r="BH83" s="358">
        <f t="shared" si="358"/>
        <v>1</v>
      </c>
      <c r="BI83" s="358">
        <f t="shared" si="220"/>
        <v>17</v>
      </c>
      <c r="BJ83" s="340">
        <v>500</v>
      </c>
      <c r="BK83" s="365">
        <v>1462.5</v>
      </c>
      <c r="BL83" s="357">
        <f t="shared" si="221"/>
        <v>0</v>
      </c>
      <c r="BM83" s="359">
        <f t="shared" si="357"/>
        <v>2</v>
      </c>
      <c r="BN83" s="360">
        <f t="shared" si="259"/>
        <v>3425</v>
      </c>
      <c r="BO83" s="359">
        <f t="shared" si="260"/>
        <v>500</v>
      </c>
      <c r="BP83" s="359">
        <f t="shared" si="261"/>
        <v>0</v>
      </c>
      <c r="BQ83" s="359">
        <f t="shared" si="262"/>
        <v>8775</v>
      </c>
      <c r="BR83" s="359">
        <f t="shared" si="263"/>
        <v>5850</v>
      </c>
      <c r="BS83" s="359">
        <f t="shared" si="264"/>
        <v>0</v>
      </c>
      <c r="BT83" s="361">
        <f t="shared" si="265"/>
        <v>0</v>
      </c>
      <c r="BU83" s="337"/>
      <c r="BV83" s="337"/>
    </row>
    <row r="84" spans="1:74" x14ac:dyDescent="0.25">
      <c r="A84" s="846" t="s">
        <v>1187</v>
      </c>
      <c r="F84" s="344">
        <v>501</v>
      </c>
      <c r="G84" s="350" t="s">
        <v>146</v>
      </c>
      <c r="H84" s="350" t="s">
        <v>146</v>
      </c>
      <c r="I84" s="849" t="s">
        <v>1109</v>
      </c>
      <c r="J84" s="337" t="s">
        <v>994</v>
      </c>
      <c r="K84" s="338">
        <v>45851</v>
      </c>
      <c r="L84" s="336" t="s">
        <v>128</v>
      </c>
      <c r="M84" s="333">
        <v>487700</v>
      </c>
      <c r="N84" s="333">
        <v>24400</v>
      </c>
      <c r="O84" s="333">
        <v>0</v>
      </c>
      <c r="P84" s="333">
        <v>0</v>
      </c>
      <c r="Q84" s="333">
        <v>0</v>
      </c>
      <c r="R84" s="333">
        <v>0</v>
      </c>
      <c r="S84" s="333">
        <v>0</v>
      </c>
      <c r="T84" s="333">
        <v>0</v>
      </c>
      <c r="U84" s="333">
        <v>0</v>
      </c>
      <c r="V84" s="333">
        <v>0</v>
      </c>
      <c r="W84" s="333">
        <v>0</v>
      </c>
      <c r="X84" s="333">
        <v>0</v>
      </c>
      <c r="Y84" s="333">
        <v>0</v>
      </c>
      <c r="Z84" s="333">
        <v>0</v>
      </c>
      <c r="AA84" s="333">
        <v>0</v>
      </c>
      <c r="AB84" s="333">
        <v>0</v>
      </c>
      <c r="AC84" s="333">
        <v>0</v>
      </c>
      <c r="AD84" s="333">
        <v>0</v>
      </c>
      <c r="AE84" s="333">
        <v>0</v>
      </c>
      <c r="AF84" s="333">
        <v>0</v>
      </c>
      <c r="AG84" s="333">
        <v>0</v>
      </c>
      <c r="AH84" s="333">
        <v>0</v>
      </c>
      <c r="AI84" s="333">
        <v>0</v>
      </c>
      <c r="AJ84" s="333">
        <v>0</v>
      </c>
      <c r="AK84" s="333">
        <v>0</v>
      </c>
      <c r="AL84" s="333">
        <v>0</v>
      </c>
      <c r="AM84" s="333">
        <v>0</v>
      </c>
      <c r="AN84" s="333"/>
      <c r="AO84" s="333"/>
      <c r="AP84" s="335">
        <v>500</v>
      </c>
      <c r="AQ84" s="335"/>
      <c r="AR84" s="335">
        <v>1272.22</v>
      </c>
      <c r="AS84" s="335">
        <v>1272.22</v>
      </c>
      <c r="AT84" s="335">
        <v>1272.22</v>
      </c>
      <c r="AU84" s="335">
        <v>0</v>
      </c>
      <c r="AV84" s="335">
        <v>1272.22</v>
      </c>
      <c r="AW84" s="335">
        <v>1272.22</v>
      </c>
      <c r="AX84" s="352">
        <f t="shared" si="302"/>
        <v>6861.1</v>
      </c>
      <c r="AY84" s="353">
        <f t="shared" si="212"/>
        <v>0.2811926229508197</v>
      </c>
      <c r="AZ84" s="352">
        <f t="shared" si="213"/>
        <v>-17538.900000000001</v>
      </c>
      <c r="BA84" s="353">
        <f t="shared" si="214"/>
        <v>-0.71880737704918041</v>
      </c>
      <c r="BB84" s="354">
        <f t="shared" si="215"/>
        <v>480838.9</v>
      </c>
      <c r="BC84" s="355">
        <f t="shared" si="216"/>
        <v>0.98593172031986887</v>
      </c>
      <c r="BD84" s="356">
        <f t="shared" si="217"/>
        <v>24400</v>
      </c>
      <c r="BE84" s="357" t="str">
        <f t="shared" si="218"/>
        <v>Vendido</v>
      </c>
      <c r="BF84" s="357" t="str">
        <f t="shared" si="219"/>
        <v>Cliente al día</v>
      </c>
      <c r="BG84" s="358">
        <v>18</v>
      </c>
      <c r="BH84" s="358">
        <f t="shared" si="358"/>
        <v>1</v>
      </c>
      <c r="BI84" s="358">
        <f t="shared" si="220"/>
        <v>19</v>
      </c>
      <c r="BJ84" s="340">
        <v>1500</v>
      </c>
      <c r="BK84" s="365">
        <v>1272.22</v>
      </c>
      <c r="BL84" s="357">
        <f t="shared" si="221"/>
        <v>0</v>
      </c>
      <c r="BM84" s="359">
        <f t="shared" si="357"/>
        <v>1</v>
      </c>
      <c r="BN84" s="360">
        <f t="shared" si="259"/>
        <v>2772.2200000000003</v>
      </c>
      <c r="BO84" s="359">
        <f t="shared" si="260"/>
        <v>500</v>
      </c>
      <c r="BP84" s="359">
        <f t="shared" si="261"/>
        <v>0</v>
      </c>
      <c r="BQ84" s="359">
        <f t="shared" si="262"/>
        <v>6361.1</v>
      </c>
      <c r="BR84" s="359">
        <f t="shared" si="263"/>
        <v>4088.88</v>
      </c>
      <c r="BS84" s="359">
        <f t="shared" si="264"/>
        <v>0</v>
      </c>
      <c r="BT84" s="361">
        <f t="shared" si="265"/>
        <v>0</v>
      </c>
      <c r="BU84" s="337"/>
      <c r="BV84" s="337"/>
    </row>
    <row r="85" spans="1:74" x14ac:dyDescent="0.25">
      <c r="A85" s="846" t="s">
        <v>1188</v>
      </c>
      <c r="F85" s="344">
        <v>508</v>
      </c>
      <c r="G85" s="350" t="s">
        <v>146</v>
      </c>
      <c r="H85" s="350" t="s">
        <v>146</v>
      </c>
      <c r="I85" s="849" t="s">
        <v>203</v>
      </c>
      <c r="J85" s="337" t="s">
        <v>1003</v>
      </c>
      <c r="K85" s="338">
        <v>45850</v>
      </c>
      <c r="L85" s="336" t="s">
        <v>128</v>
      </c>
      <c r="M85" s="333">
        <v>487700</v>
      </c>
      <c r="N85" s="333">
        <v>24400</v>
      </c>
      <c r="O85" s="333">
        <v>0</v>
      </c>
      <c r="P85" s="333">
        <v>0</v>
      </c>
      <c r="Q85" s="333">
        <v>0</v>
      </c>
      <c r="R85" s="333">
        <v>0</v>
      </c>
      <c r="S85" s="333">
        <v>0</v>
      </c>
      <c r="T85" s="333">
        <v>0</v>
      </c>
      <c r="U85" s="333">
        <v>0</v>
      </c>
      <c r="V85" s="333">
        <v>0</v>
      </c>
      <c r="W85" s="333">
        <v>0</v>
      </c>
      <c r="X85" s="333">
        <v>0</v>
      </c>
      <c r="Y85" s="333">
        <v>0</v>
      </c>
      <c r="Z85" s="333">
        <v>0</v>
      </c>
      <c r="AA85" s="333">
        <v>0</v>
      </c>
      <c r="AB85" s="333">
        <v>0</v>
      </c>
      <c r="AC85" s="333">
        <v>0</v>
      </c>
      <c r="AD85" s="333">
        <v>0</v>
      </c>
      <c r="AE85" s="333">
        <v>0</v>
      </c>
      <c r="AF85" s="333">
        <v>0</v>
      </c>
      <c r="AG85" s="333">
        <v>0</v>
      </c>
      <c r="AH85" s="333">
        <v>0</v>
      </c>
      <c r="AI85" s="333">
        <v>0</v>
      </c>
      <c r="AJ85" s="333">
        <v>0</v>
      </c>
      <c r="AK85" s="333">
        <v>0</v>
      </c>
      <c r="AL85" s="333">
        <v>0</v>
      </c>
      <c r="AM85" s="333">
        <v>0</v>
      </c>
      <c r="AN85" s="333"/>
      <c r="AO85" s="333"/>
      <c r="AP85" s="335">
        <v>1500</v>
      </c>
      <c r="AQ85" s="335">
        <f>1500+1273</f>
        <v>2773</v>
      </c>
      <c r="AR85" s="335"/>
      <c r="AS85" s="335">
        <v>1273</v>
      </c>
      <c r="AT85" s="335">
        <v>0</v>
      </c>
      <c r="AU85" s="335">
        <v>0</v>
      </c>
      <c r="AV85" s="335"/>
      <c r="AW85" s="335"/>
      <c r="AX85" s="352">
        <f t="shared" si="302"/>
        <v>5546</v>
      </c>
      <c r="AY85" s="353">
        <f t="shared" si="212"/>
        <v>0.22729508196721313</v>
      </c>
      <c r="AZ85" s="352">
        <f t="shared" si="213"/>
        <v>-18854</v>
      </c>
      <c r="BA85" s="353">
        <f t="shared" si="214"/>
        <v>-0.77270491803278685</v>
      </c>
      <c r="BB85" s="354">
        <f t="shared" si="215"/>
        <v>482154</v>
      </c>
      <c r="BC85" s="355">
        <f t="shared" si="216"/>
        <v>0.98862825507484109</v>
      </c>
      <c r="BD85" s="356">
        <f t="shared" si="217"/>
        <v>24400</v>
      </c>
      <c r="BE85" s="357" t="str">
        <f t="shared" si="218"/>
        <v>Vendido</v>
      </c>
      <c r="BF85" s="357" t="str">
        <f t="shared" si="219"/>
        <v>Cliente al día</v>
      </c>
      <c r="BG85" s="358">
        <v>18</v>
      </c>
      <c r="BH85" s="358">
        <f t="shared" si="358"/>
        <v>1</v>
      </c>
      <c r="BI85" s="358">
        <f t="shared" si="220"/>
        <v>19</v>
      </c>
      <c r="BJ85" s="340">
        <v>1500</v>
      </c>
      <c r="BK85" s="365">
        <v>1272.22</v>
      </c>
      <c r="BL85" s="357">
        <f t="shared" si="221"/>
        <v>0</v>
      </c>
      <c r="BM85" s="359">
        <f t="shared" si="357"/>
        <v>1</v>
      </c>
      <c r="BN85" s="360">
        <f t="shared" si="259"/>
        <v>2772.2200000000003</v>
      </c>
      <c r="BO85" s="359">
        <f t="shared" si="260"/>
        <v>0</v>
      </c>
      <c r="BP85" s="359">
        <f t="shared" si="261"/>
        <v>1500</v>
      </c>
      <c r="BQ85" s="359">
        <f t="shared" si="262"/>
        <v>4046</v>
      </c>
      <c r="BR85" s="359"/>
      <c r="BS85" s="359"/>
      <c r="BT85" s="361"/>
      <c r="BU85" s="337"/>
      <c r="BV85" s="337"/>
    </row>
    <row r="86" spans="1:74" x14ac:dyDescent="0.25">
      <c r="A86" s="846" t="s">
        <v>1189</v>
      </c>
      <c r="F86" s="336">
        <v>601</v>
      </c>
      <c r="G86" s="350" t="s">
        <v>146</v>
      </c>
      <c r="H86" s="350" t="s">
        <v>146</v>
      </c>
      <c r="I86" s="849" t="s">
        <v>203</v>
      </c>
      <c r="J86" s="337" t="s">
        <v>1004</v>
      </c>
      <c r="K86" s="338">
        <v>45864</v>
      </c>
      <c r="L86" s="336" t="s">
        <v>128</v>
      </c>
      <c r="M86" s="333">
        <v>487700</v>
      </c>
      <c r="N86" s="333">
        <v>24400</v>
      </c>
      <c r="O86" s="333">
        <v>0</v>
      </c>
      <c r="P86" s="333">
        <v>0</v>
      </c>
      <c r="Q86" s="333">
        <v>0</v>
      </c>
      <c r="R86" s="333">
        <v>0</v>
      </c>
      <c r="S86" s="333">
        <v>0</v>
      </c>
      <c r="T86" s="333">
        <v>0</v>
      </c>
      <c r="U86" s="333">
        <v>0</v>
      </c>
      <c r="V86" s="333">
        <v>0</v>
      </c>
      <c r="W86" s="333">
        <v>0</v>
      </c>
      <c r="X86" s="333">
        <v>0</v>
      </c>
      <c r="Y86" s="333">
        <v>0</v>
      </c>
      <c r="Z86" s="333">
        <v>0</v>
      </c>
      <c r="AA86" s="333">
        <v>0</v>
      </c>
      <c r="AB86" s="333">
        <v>0</v>
      </c>
      <c r="AC86" s="333">
        <v>0</v>
      </c>
      <c r="AD86" s="333">
        <v>0</v>
      </c>
      <c r="AE86" s="333">
        <v>0</v>
      </c>
      <c r="AF86" s="333">
        <v>0</v>
      </c>
      <c r="AG86" s="333">
        <v>0</v>
      </c>
      <c r="AH86" s="333">
        <v>0</v>
      </c>
      <c r="AI86" s="333">
        <v>0</v>
      </c>
      <c r="AJ86" s="333">
        <v>0</v>
      </c>
      <c r="AK86" s="333">
        <v>0</v>
      </c>
      <c r="AL86" s="333">
        <v>0</v>
      </c>
      <c r="AM86" s="333">
        <v>0</v>
      </c>
      <c r="AN86" s="333"/>
      <c r="AO86" s="333"/>
      <c r="AP86" s="333"/>
      <c r="AQ86" s="335">
        <v>1500</v>
      </c>
      <c r="AR86" s="335">
        <v>1272.22</v>
      </c>
      <c r="AS86" s="335">
        <v>1272.22</v>
      </c>
      <c r="AT86" s="335">
        <v>1272.22</v>
      </c>
      <c r="AU86" s="335">
        <v>0</v>
      </c>
      <c r="AV86" s="335">
        <v>1272.22</v>
      </c>
      <c r="AW86" s="335"/>
      <c r="AX86" s="352">
        <f t="shared" si="302"/>
        <v>6588.880000000001</v>
      </c>
      <c r="AY86" s="353">
        <f t="shared" si="212"/>
        <v>0.27003606557377052</v>
      </c>
      <c r="AZ86" s="352">
        <f t="shared" si="213"/>
        <v>-17811.12</v>
      </c>
      <c r="BA86" s="353">
        <f t="shared" si="214"/>
        <v>-0.72996393442622942</v>
      </c>
      <c r="BB86" s="354">
        <f t="shared" si="215"/>
        <v>481111.12</v>
      </c>
      <c r="BC86" s="355">
        <f t="shared" si="216"/>
        <v>0.98648989132663523</v>
      </c>
      <c r="BD86" s="356">
        <f t="shared" si="217"/>
        <v>24400</v>
      </c>
      <c r="BE86" s="357" t="str">
        <f t="shared" si="218"/>
        <v>Vendido</v>
      </c>
      <c r="BF86" s="357" t="str">
        <f t="shared" si="219"/>
        <v>Cliente al día</v>
      </c>
      <c r="BG86" s="375">
        <v>18</v>
      </c>
      <c r="BH86" s="375">
        <f t="shared" si="358"/>
        <v>1</v>
      </c>
      <c r="BI86" s="375">
        <f t="shared" si="220"/>
        <v>19</v>
      </c>
      <c r="BJ86" s="340">
        <v>1500</v>
      </c>
      <c r="BK86" s="365">
        <v>1272.22</v>
      </c>
      <c r="BL86" s="357">
        <f t="shared" si="221"/>
        <v>0</v>
      </c>
      <c r="BM86" s="359">
        <f t="shared" si="357"/>
        <v>1</v>
      </c>
      <c r="BN86" s="360">
        <f t="shared" si="259"/>
        <v>2772.2200000000003</v>
      </c>
      <c r="BO86" s="359">
        <f t="shared" si="260"/>
        <v>0</v>
      </c>
      <c r="BP86" s="359">
        <f t="shared" si="261"/>
        <v>0</v>
      </c>
      <c r="BQ86" s="359">
        <f t="shared" si="262"/>
        <v>6588.880000000001</v>
      </c>
      <c r="BR86" s="359">
        <f t="shared" ref="BR86:BR92" si="359">IF(AX86&gt;BN86,AX86-BN86,0)</f>
        <v>3816.6600000000008</v>
      </c>
      <c r="BS86" s="359">
        <f t="shared" ref="BS86:BS92" si="360">IF(AX86&lt;BN86,BN86-AX86,0)</f>
        <v>0</v>
      </c>
      <c r="BT86" s="361">
        <f t="shared" ref="BT86:BT92" si="361">ROUNDUP(IF(K86&gt;0,BS86/BK86,0),0)</f>
        <v>0</v>
      </c>
      <c r="BU86" s="337"/>
      <c r="BV86" s="337"/>
    </row>
    <row r="87" spans="1:74" x14ac:dyDescent="0.25">
      <c r="A87" s="846" t="s">
        <v>1190</v>
      </c>
      <c r="F87" s="344">
        <v>604</v>
      </c>
      <c r="G87" s="350" t="s">
        <v>146</v>
      </c>
      <c r="H87" s="350" t="s">
        <v>146</v>
      </c>
      <c r="I87" s="849" t="s">
        <v>1120</v>
      </c>
      <c r="J87" s="337" t="s">
        <v>1191</v>
      </c>
      <c r="K87" s="338">
        <v>45843</v>
      </c>
      <c r="L87" s="336" t="s">
        <v>128</v>
      </c>
      <c r="M87" s="333">
        <v>487000</v>
      </c>
      <c r="N87" s="333">
        <v>23900</v>
      </c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  <c r="Z87" s="333"/>
      <c r="AA87" s="333"/>
      <c r="AB87" s="333"/>
      <c r="AC87" s="333"/>
      <c r="AD87" s="333"/>
      <c r="AE87" s="333"/>
      <c r="AF87" s="333"/>
      <c r="AG87" s="333"/>
      <c r="AH87" s="333"/>
      <c r="AI87" s="333"/>
      <c r="AJ87" s="333"/>
      <c r="AK87" s="333"/>
      <c r="AL87" s="333"/>
      <c r="AM87" s="333"/>
      <c r="AN87" s="333"/>
      <c r="AO87" s="333"/>
      <c r="AP87" s="333"/>
      <c r="AQ87" s="335">
        <v>1500</v>
      </c>
      <c r="AR87" s="335"/>
      <c r="AS87" s="335">
        <v>1200</v>
      </c>
      <c r="AT87" s="335">
        <v>0</v>
      </c>
      <c r="AU87" s="335">
        <v>0</v>
      </c>
      <c r="AV87" s="335"/>
      <c r="AW87" s="335"/>
      <c r="AX87" s="352">
        <f t="shared" si="302"/>
        <v>2700</v>
      </c>
      <c r="AY87" s="353">
        <f t="shared" si="212"/>
        <v>0.11297071129707113</v>
      </c>
      <c r="AZ87" s="352">
        <f t="shared" si="213"/>
        <v>-21200</v>
      </c>
      <c r="BA87" s="353">
        <f t="shared" si="214"/>
        <v>-0.88702928870292885</v>
      </c>
      <c r="BB87" s="354">
        <f t="shared" si="215"/>
        <v>484300</v>
      </c>
      <c r="BC87" s="355">
        <f t="shared" si="216"/>
        <v>0.99445585215605747</v>
      </c>
      <c r="BD87" s="356">
        <f t="shared" si="217"/>
        <v>23900</v>
      </c>
      <c r="BE87" s="357" t="str">
        <f t="shared" si="218"/>
        <v>Vendido</v>
      </c>
      <c r="BF87" s="357" t="str">
        <f t="shared" si="219"/>
        <v>Cliente Atrasado</v>
      </c>
      <c r="BG87" s="358">
        <v>18</v>
      </c>
      <c r="BH87" s="358">
        <f t="shared" si="358"/>
        <v>1</v>
      </c>
      <c r="BI87" s="358">
        <f t="shared" si="220"/>
        <v>19</v>
      </c>
      <c r="BJ87" s="340">
        <v>1500</v>
      </c>
      <c r="BK87" s="365">
        <v>1272.22</v>
      </c>
      <c r="BL87" s="357">
        <f t="shared" si="221"/>
        <v>0</v>
      </c>
      <c r="BM87" s="359">
        <f t="shared" si="357"/>
        <v>1</v>
      </c>
      <c r="BN87" s="360">
        <f t="shared" si="259"/>
        <v>2772.2200000000003</v>
      </c>
      <c r="BO87" s="359">
        <f t="shared" si="260"/>
        <v>0</v>
      </c>
      <c r="BP87" s="359">
        <f t="shared" si="261"/>
        <v>0</v>
      </c>
      <c r="BQ87" s="359">
        <f t="shared" si="262"/>
        <v>2700</v>
      </c>
      <c r="BR87" s="359">
        <f t="shared" si="359"/>
        <v>0</v>
      </c>
      <c r="BS87" s="359">
        <f t="shared" si="360"/>
        <v>72.220000000000255</v>
      </c>
      <c r="BT87" s="361">
        <f t="shared" si="361"/>
        <v>1</v>
      </c>
      <c r="BU87" s="337"/>
      <c r="BV87" s="337"/>
    </row>
    <row r="88" spans="1:74" x14ac:dyDescent="0.25">
      <c r="A88" s="846" t="s">
        <v>1192</v>
      </c>
      <c r="F88" s="342">
        <v>606</v>
      </c>
      <c r="G88" s="336" t="s">
        <v>146</v>
      </c>
      <c r="H88" s="336" t="s">
        <v>146</v>
      </c>
      <c r="I88" s="336" t="s">
        <v>147</v>
      </c>
      <c r="J88" s="337" t="s">
        <v>1011</v>
      </c>
      <c r="K88" s="338">
        <v>45442</v>
      </c>
      <c r="L88" s="336" t="s">
        <v>128</v>
      </c>
      <c r="M88" s="333">
        <v>477700</v>
      </c>
      <c r="N88" s="333">
        <v>24000</v>
      </c>
      <c r="O88" s="333">
        <v>0</v>
      </c>
      <c r="P88" s="333">
        <v>0</v>
      </c>
      <c r="Q88" s="333">
        <v>0</v>
      </c>
      <c r="R88" s="333">
        <v>0</v>
      </c>
      <c r="S88" s="333">
        <v>0</v>
      </c>
      <c r="T88" s="333">
        <v>0</v>
      </c>
      <c r="U88" s="333">
        <v>0</v>
      </c>
      <c r="V88" s="333">
        <v>0</v>
      </c>
      <c r="W88" s="333">
        <v>0</v>
      </c>
      <c r="X88" s="333">
        <v>0</v>
      </c>
      <c r="Y88" s="333">
        <v>0</v>
      </c>
      <c r="Z88" s="333">
        <v>0</v>
      </c>
      <c r="AA88" s="333">
        <v>0</v>
      </c>
      <c r="AB88" s="333">
        <v>0</v>
      </c>
      <c r="AC88" s="333">
        <v>1500</v>
      </c>
      <c r="AD88" s="333">
        <v>0</v>
      </c>
      <c r="AE88" s="333">
        <v>1184.21</v>
      </c>
      <c r="AF88" s="333">
        <v>1184.21</v>
      </c>
      <c r="AG88" s="333">
        <v>1184.21</v>
      </c>
      <c r="AH88" s="333">
        <v>1184.21</v>
      </c>
      <c r="AI88" s="333">
        <v>1184.21</v>
      </c>
      <c r="AJ88" s="333">
        <v>1184.21</v>
      </c>
      <c r="AK88" s="333">
        <v>1184.21</v>
      </c>
      <c r="AL88" s="333">
        <v>1184.21</v>
      </c>
      <c r="AM88" s="333">
        <v>1184.21</v>
      </c>
      <c r="AN88" s="333">
        <v>1184.21</v>
      </c>
      <c r="AO88" s="334">
        <v>1184.21</v>
      </c>
      <c r="AP88" s="335">
        <v>1184.21</v>
      </c>
      <c r="AQ88" s="335">
        <v>1184.21</v>
      </c>
      <c r="AR88" s="335">
        <v>1184.21</v>
      </c>
      <c r="AS88" s="335">
        <v>1184.21</v>
      </c>
      <c r="AT88" s="335">
        <v>1184.21</v>
      </c>
      <c r="AU88" s="335">
        <v>0</v>
      </c>
      <c r="AV88" s="335"/>
      <c r="AW88" s="335">
        <v>1184.21</v>
      </c>
      <c r="AX88" s="352">
        <f t="shared" si="302"/>
        <v>21631.569999999992</v>
      </c>
      <c r="AY88" s="353">
        <f t="shared" si="212"/>
        <v>0.90131541666666637</v>
      </c>
      <c r="AZ88" s="352">
        <f t="shared" si="213"/>
        <v>-2368.4300000000076</v>
      </c>
      <c r="BA88" s="353">
        <f t="shared" si="214"/>
        <v>-9.8684583333333645E-2</v>
      </c>
      <c r="BB88" s="354">
        <f t="shared" si="215"/>
        <v>456068.43</v>
      </c>
      <c r="BC88" s="355">
        <f t="shared" si="216"/>
        <v>0.95471724931965662</v>
      </c>
      <c r="BD88" s="356">
        <f t="shared" si="217"/>
        <v>24000</v>
      </c>
      <c r="BE88" s="357" t="str">
        <f t="shared" si="218"/>
        <v>Vendido</v>
      </c>
      <c r="BF88" s="357" t="str">
        <f t="shared" si="219"/>
        <v>Cliente al día</v>
      </c>
      <c r="BG88" s="358">
        <v>19</v>
      </c>
      <c r="BH88" s="358">
        <f t="shared" si="358"/>
        <v>1</v>
      </c>
      <c r="BI88" s="358">
        <f t="shared" si="220"/>
        <v>20</v>
      </c>
      <c r="BJ88" s="340">
        <v>1500</v>
      </c>
      <c r="BK88" s="365">
        <v>1184.21</v>
      </c>
      <c r="BL88" s="357">
        <f t="shared" si="221"/>
        <v>11</v>
      </c>
      <c r="BM88" s="359">
        <f t="shared" si="357"/>
        <v>15</v>
      </c>
      <c r="BN88" s="360">
        <f t="shared" si="259"/>
        <v>19263.150000000001</v>
      </c>
      <c r="BO88" s="359">
        <f t="shared" si="260"/>
        <v>14210.519999999997</v>
      </c>
      <c r="BP88" s="359">
        <f t="shared" si="261"/>
        <v>1500</v>
      </c>
      <c r="BQ88" s="359">
        <f t="shared" si="262"/>
        <v>5921.0499999999956</v>
      </c>
      <c r="BR88" s="359">
        <f t="shared" si="359"/>
        <v>2368.419999999991</v>
      </c>
      <c r="BS88" s="359">
        <f t="shared" si="360"/>
        <v>0</v>
      </c>
      <c r="BT88" s="361">
        <f t="shared" si="361"/>
        <v>0</v>
      </c>
      <c r="BU88" s="337"/>
      <c r="BV88" s="337"/>
    </row>
    <row r="89" spans="1:74" x14ac:dyDescent="0.25">
      <c r="A89" s="846" t="s">
        <v>1193</v>
      </c>
      <c r="F89" s="336">
        <v>613</v>
      </c>
      <c r="G89" s="336" t="s">
        <v>146</v>
      </c>
      <c r="H89" s="336" t="s">
        <v>146</v>
      </c>
      <c r="I89" s="336" t="s">
        <v>147</v>
      </c>
      <c r="J89" s="337" t="s">
        <v>1020</v>
      </c>
      <c r="K89" s="338">
        <v>45340</v>
      </c>
      <c r="L89" s="336" t="s">
        <v>128</v>
      </c>
      <c r="M89" s="333">
        <v>477700</v>
      </c>
      <c r="N89" s="333">
        <v>24000</v>
      </c>
      <c r="O89" s="333">
        <v>0</v>
      </c>
      <c r="P89" s="333">
        <v>0</v>
      </c>
      <c r="Q89" s="333">
        <v>0</v>
      </c>
      <c r="R89" s="333">
        <v>0</v>
      </c>
      <c r="S89" s="333">
        <v>0</v>
      </c>
      <c r="T89" s="333">
        <v>0</v>
      </c>
      <c r="U89" s="333">
        <v>0</v>
      </c>
      <c r="V89" s="333">
        <v>0</v>
      </c>
      <c r="W89" s="333">
        <v>0</v>
      </c>
      <c r="X89" s="333">
        <v>0</v>
      </c>
      <c r="Y89" s="333">
        <v>0</v>
      </c>
      <c r="Z89" s="333">
        <v>1000</v>
      </c>
      <c r="AA89" s="333">
        <v>0</v>
      </c>
      <c r="AB89" s="333">
        <v>1045.45</v>
      </c>
      <c r="AC89" s="333">
        <v>1045.45</v>
      </c>
      <c r="AD89" s="333">
        <v>1045.45</v>
      </c>
      <c r="AE89" s="333">
        <v>1045.45</v>
      </c>
      <c r="AF89" s="333">
        <v>1045.45</v>
      </c>
      <c r="AG89" s="333">
        <v>1045.45</v>
      </c>
      <c r="AH89" s="333">
        <v>1045.45</v>
      </c>
      <c r="AI89" s="333">
        <v>1045.45</v>
      </c>
      <c r="AJ89" s="333">
        <v>1045.45</v>
      </c>
      <c r="AK89" s="333">
        <v>1045.45</v>
      </c>
      <c r="AL89" s="333">
        <v>1045.45</v>
      </c>
      <c r="AM89" s="333">
        <v>1045.45</v>
      </c>
      <c r="AN89" s="333">
        <v>1045.45</v>
      </c>
      <c r="AO89" s="334">
        <v>1045.45</v>
      </c>
      <c r="AP89" s="335">
        <v>1045.45</v>
      </c>
      <c r="AQ89" s="335">
        <v>1045.45</v>
      </c>
      <c r="AR89" s="335">
        <v>1045.45</v>
      </c>
      <c r="AS89" s="335">
        <v>0</v>
      </c>
      <c r="AT89" s="335">
        <v>1045.45</v>
      </c>
      <c r="AU89" s="335">
        <v>0</v>
      </c>
      <c r="AV89" s="335"/>
      <c r="AW89" s="335"/>
      <c r="AX89" s="352">
        <f t="shared" si="302"/>
        <v>19818.100000000006</v>
      </c>
      <c r="AY89" s="353">
        <f t="shared" si="212"/>
        <v>0.8257541666666669</v>
      </c>
      <c r="AZ89" s="352">
        <f t="shared" si="213"/>
        <v>-4181.8999999999942</v>
      </c>
      <c r="BA89" s="353">
        <f t="shared" si="214"/>
        <v>-0.1742458333333331</v>
      </c>
      <c r="BB89" s="354">
        <f t="shared" si="215"/>
        <v>457881.9</v>
      </c>
      <c r="BC89" s="355">
        <f t="shared" si="216"/>
        <v>0.95851350219803233</v>
      </c>
      <c r="BD89" s="356">
        <f t="shared" si="217"/>
        <v>24000</v>
      </c>
      <c r="BE89" s="357" t="str">
        <f t="shared" si="218"/>
        <v>Vendido</v>
      </c>
      <c r="BF89" s="357" t="str">
        <f t="shared" si="219"/>
        <v>Cliente al día</v>
      </c>
      <c r="BG89" s="358">
        <v>22</v>
      </c>
      <c r="BH89" s="358">
        <f t="shared" si="358"/>
        <v>1</v>
      </c>
      <c r="BI89" s="358">
        <f t="shared" si="220"/>
        <v>23</v>
      </c>
      <c r="BJ89" s="340">
        <v>1000</v>
      </c>
      <c r="BK89" s="365">
        <v>1045.45</v>
      </c>
      <c r="BL89" s="357">
        <f t="shared" si="221"/>
        <v>0</v>
      </c>
      <c r="BM89" s="359">
        <f t="shared" si="357"/>
        <v>18</v>
      </c>
      <c r="BN89" s="360">
        <f t="shared" si="259"/>
        <v>19818.100000000002</v>
      </c>
      <c r="BO89" s="359">
        <f t="shared" si="260"/>
        <v>16681.750000000004</v>
      </c>
      <c r="BP89" s="359">
        <f t="shared" si="261"/>
        <v>0</v>
      </c>
      <c r="BQ89" s="359">
        <f t="shared" si="262"/>
        <v>3136.3500000000022</v>
      </c>
      <c r="BR89" s="359">
        <f t="shared" si="359"/>
        <v>0</v>
      </c>
      <c r="BS89" s="359">
        <f t="shared" si="360"/>
        <v>0</v>
      </c>
      <c r="BT89" s="361">
        <f t="shared" si="361"/>
        <v>0</v>
      </c>
      <c r="BU89" s="337"/>
      <c r="BV89" s="337"/>
    </row>
    <row r="90" spans="1:74" x14ac:dyDescent="0.25">
      <c r="A90" s="846" t="s">
        <v>1194</v>
      </c>
      <c r="F90" s="336">
        <v>306</v>
      </c>
      <c r="G90" s="351" t="s">
        <v>916</v>
      </c>
      <c r="H90" s="351" t="s">
        <v>145</v>
      </c>
      <c r="I90" s="336" t="s">
        <v>203</v>
      </c>
      <c r="J90" s="337" t="s">
        <v>1195</v>
      </c>
      <c r="K90" s="338">
        <v>45830</v>
      </c>
      <c r="L90" s="336" t="s">
        <v>128</v>
      </c>
      <c r="M90" s="333">
        <v>477700</v>
      </c>
      <c r="N90" s="333">
        <v>23900</v>
      </c>
      <c r="O90" s="333">
        <v>0</v>
      </c>
      <c r="P90" s="333">
        <v>0</v>
      </c>
      <c r="Q90" s="333">
        <v>0</v>
      </c>
      <c r="R90" s="333">
        <v>0</v>
      </c>
      <c r="S90" s="333">
        <v>0</v>
      </c>
      <c r="T90" s="333">
        <v>0</v>
      </c>
      <c r="U90" s="333">
        <v>0</v>
      </c>
      <c r="V90" s="333"/>
      <c r="W90" s="333"/>
      <c r="X90" s="333"/>
      <c r="Y90" s="333"/>
      <c r="Z90" s="333"/>
      <c r="AA90" s="333"/>
      <c r="AB90" s="333"/>
      <c r="AC90" s="333"/>
      <c r="AD90" s="333"/>
      <c r="AE90" s="333"/>
      <c r="AF90" s="333"/>
      <c r="AG90" s="333"/>
      <c r="AH90" s="333"/>
      <c r="AI90" s="333"/>
      <c r="AJ90" s="333"/>
      <c r="AK90" s="333"/>
      <c r="AL90" s="333"/>
      <c r="AM90" s="333"/>
      <c r="AN90" s="333"/>
      <c r="AO90" s="334"/>
      <c r="AP90" s="335">
        <v>1500</v>
      </c>
      <c r="AQ90" s="335">
        <v>8400</v>
      </c>
      <c r="AR90" s="335"/>
      <c r="AS90" s="335">
        <v>0</v>
      </c>
      <c r="AT90" s="335">
        <v>0</v>
      </c>
      <c r="AU90" s="335">
        <v>0</v>
      </c>
      <c r="AV90" s="335"/>
      <c r="AW90" s="335">
        <v>14000</v>
      </c>
      <c r="AX90" s="352">
        <f t="shared" si="302"/>
        <v>23900</v>
      </c>
      <c r="AY90" s="353">
        <f t="shared" si="212"/>
        <v>1</v>
      </c>
      <c r="AZ90" s="352">
        <f t="shared" si="213"/>
        <v>0</v>
      </c>
      <c r="BA90" s="353">
        <f t="shared" si="214"/>
        <v>0</v>
      </c>
      <c r="BB90" s="354">
        <f t="shared" si="215"/>
        <v>453800</v>
      </c>
      <c r="BC90" s="355">
        <f t="shared" si="216"/>
        <v>0.94996859953945989</v>
      </c>
      <c r="BD90" s="356">
        <f t="shared" si="217"/>
        <v>23900</v>
      </c>
      <c r="BE90" s="357" t="str">
        <f t="shared" si="218"/>
        <v>Vendido</v>
      </c>
      <c r="BF90" s="357" t="str">
        <f t="shared" si="219"/>
        <v>Cliente Atrasado</v>
      </c>
      <c r="BG90" s="358">
        <v>1</v>
      </c>
      <c r="BH90" s="358">
        <f t="shared" si="358"/>
        <v>0</v>
      </c>
      <c r="BI90" s="358">
        <f t="shared" si="220"/>
        <v>1</v>
      </c>
      <c r="BJ90" s="340">
        <v>5000</v>
      </c>
      <c r="BK90" s="365">
        <v>43242</v>
      </c>
      <c r="BL90" s="357">
        <f t="shared" si="221"/>
        <v>0</v>
      </c>
      <c r="BM90" s="359">
        <f t="shared" si="357"/>
        <v>2</v>
      </c>
      <c r="BN90" s="376">
        <f>+BK90</f>
        <v>43242</v>
      </c>
      <c r="BO90" s="359">
        <f t="shared" si="260"/>
        <v>1500</v>
      </c>
      <c r="BP90" s="359">
        <f ca="1">SUMIF(O90:AR90,"&gt;" &amp; BK90,O90:AP90)</f>
        <v>0</v>
      </c>
      <c r="BQ90" s="359">
        <f t="shared" ca="1" si="262"/>
        <v>22400</v>
      </c>
      <c r="BR90" s="359">
        <f t="shared" si="359"/>
        <v>0</v>
      </c>
      <c r="BS90" s="359">
        <f t="shared" si="360"/>
        <v>19342</v>
      </c>
      <c r="BT90" s="361">
        <f t="shared" si="361"/>
        <v>1</v>
      </c>
      <c r="BU90" s="337"/>
      <c r="BV90" s="337"/>
    </row>
    <row r="91" spans="1:74" x14ac:dyDescent="0.25">
      <c r="A91" s="846" t="s">
        <v>1196</v>
      </c>
      <c r="F91" s="336">
        <v>313</v>
      </c>
      <c r="G91" s="336" t="s">
        <v>146</v>
      </c>
      <c r="H91" s="336" t="s">
        <v>146</v>
      </c>
      <c r="I91" s="849" t="s">
        <v>1109</v>
      </c>
      <c r="J91" s="337" t="s">
        <v>1197</v>
      </c>
      <c r="K91" s="338">
        <v>45868</v>
      </c>
      <c r="L91" s="336" t="s">
        <v>128</v>
      </c>
      <c r="M91" s="333">
        <v>487700</v>
      </c>
      <c r="N91" s="333">
        <v>24400</v>
      </c>
      <c r="O91" s="333">
        <v>0</v>
      </c>
      <c r="P91" s="333">
        <v>0</v>
      </c>
      <c r="Q91" s="333">
        <v>0</v>
      </c>
      <c r="R91" s="333">
        <v>0</v>
      </c>
      <c r="S91" s="333">
        <v>0</v>
      </c>
      <c r="T91" s="333">
        <v>0</v>
      </c>
      <c r="U91" s="333">
        <v>0</v>
      </c>
      <c r="V91" s="333">
        <v>0</v>
      </c>
      <c r="W91" s="333">
        <v>0</v>
      </c>
      <c r="X91" s="333">
        <v>0</v>
      </c>
      <c r="Y91" s="333">
        <v>0</v>
      </c>
      <c r="Z91" s="333">
        <v>0</v>
      </c>
      <c r="AA91" s="333">
        <v>0</v>
      </c>
      <c r="AB91" s="333">
        <v>0</v>
      </c>
      <c r="AC91" s="333">
        <v>0</v>
      </c>
      <c r="AD91" s="333">
        <v>0</v>
      </c>
      <c r="AE91" s="333">
        <v>0</v>
      </c>
      <c r="AF91" s="333">
        <v>0</v>
      </c>
      <c r="AG91" s="333">
        <v>0</v>
      </c>
      <c r="AH91" s="333">
        <v>0</v>
      </c>
      <c r="AI91" s="333">
        <v>0</v>
      </c>
      <c r="AJ91" s="333">
        <v>0</v>
      </c>
      <c r="AK91" s="333">
        <v>0</v>
      </c>
      <c r="AL91" s="333">
        <v>0</v>
      </c>
      <c r="AM91" s="333">
        <v>0</v>
      </c>
      <c r="AN91" s="333"/>
      <c r="AO91" s="333"/>
      <c r="AP91" s="333"/>
      <c r="AQ91" s="335">
        <v>1500</v>
      </c>
      <c r="AR91" s="335">
        <v>1272.22</v>
      </c>
      <c r="AS91" s="335">
        <v>1272.22</v>
      </c>
      <c r="AT91" s="335">
        <v>1272.22</v>
      </c>
      <c r="AU91" s="335">
        <v>0</v>
      </c>
      <c r="AV91" s="335">
        <v>1272.22</v>
      </c>
      <c r="AW91" s="335"/>
      <c r="AX91" s="352">
        <f t="shared" si="302"/>
        <v>6588.880000000001</v>
      </c>
      <c r="AY91" s="353">
        <f t="shared" si="212"/>
        <v>0.27003606557377052</v>
      </c>
      <c r="AZ91" s="352">
        <f t="shared" si="213"/>
        <v>-17811.12</v>
      </c>
      <c r="BA91" s="353">
        <f t="shared" si="214"/>
        <v>-0.72996393442622942</v>
      </c>
      <c r="BB91" s="354">
        <f t="shared" si="215"/>
        <v>481111.12</v>
      </c>
      <c r="BC91" s="355">
        <f t="shared" si="216"/>
        <v>0.98648989132663523</v>
      </c>
      <c r="BD91" s="356">
        <f t="shared" si="217"/>
        <v>24400</v>
      </c>
      <c r="BE91" s="357" t="str">
        <f t="shared" si="218"/>
        <v>Vendido</v>
      </c>
      <c r="BF91" s="357" t="str">
        <f t="shared" si="219"/>
        <v>Cliente al día</v>
      </c>
      <c r="BG91" s="375">
        <v>18</v>
      </c>
      <c r="BH91" s="375">
        <f t="shared" si="358"/>
        <v>1</v>
      </c>
      <c r="BI91" s="375">
        <f t="shared" si="220"/>
        <v>19</v>
      </c>
      <c r="BJ91" s="340">
        <v>1500</v>
      </c>
      <c r="BK91" s="365">
        <v>1272.22</v>
      </c>
      <c r="BL91" s="357">
        <f t="shared" si="221"/>
        <v>0</v>
      </c>
      <c r="BM91" s="359">
        <f t="shared" si="357"/>
        <v>1</v>
      </c>
      <c r="BN91" s="360">
        <f>(BM91*BK91)+BJ91</f>
        <v>2772.2200000000003</v>
      </c>
      <c r="BO91" s="359">
        <f t="shared" si="260"/>
        <v>0</v>
      </c>
      <c r="BP91" s="359">
        <f t="shared" si="261"/>
        <v>0</v>
      </c>
      <c r="BQ91" s="359">
        <f t="shared" si="262"/>
        <v>6588.880000000001</v>
      </c>
      <c r="BR91" s="359">
        <f t="shared" si="359"/>
        <v>3816.6600000000008</v>
      </c>
      <c r="BS91" s="359">
        <f t="shared" si="360"/>
        <v>0</v>
      </c>
      <c r="BT91" s="361">
        <f t="shared" si="361"/>
        <v>0</v>
      </c>
      <c r="BU91" s="337"/>
      <c r="BV91" s="337"/>
    </row>
    <row r="92" spans="1:74" x14ac:dyDescent="0.25">
      <c r="A92" s="846" t="s">
        <v>1198</v>
      </c>
      <c r="B92" s="86" t="s">
        <v>980</v>
      </c>
      <c r="F92" s="344"/>
      <c r="G92" s="336"/>
      <c r="H92" s="336"/>
      <c r="I92" s="849" t="s">
        <v>366</v>
      </c>
      <c r="J92" s="337" t="s">
        <v>982</v>
      </c>
      <c r="K92" s="338">
        <v>45511</v>
      </c>
      <c r="L92" s="336" t="s">
        <v>128</v>
      </c>
      <c r="M92" s="333">
        <v>477700</v>
      </c>
      <c r="N92" s="333">
        <v>23900</v>
      </c>
      <c r="O92" s="333">
        <v>0</v>
      </c>
      <c r="P92" s="333">
        <v>0</v>
      </c>
      <c r="Q92" s="333">
        <v>0</v>
      </c>
      <c r="R92" s="333">
        <v>0</v>
      </c>
      <c r="S92" s="333">
        <v>0</v>
      </c>
      <c r="T92" s="333">
        <v>0</v>
      </c>
      <c r="U92" s="333">
        <v>0</v>
      </c>
      <c r="V92" s="333">
        <v>0</v>
      </c>
      <c r="W92" s="333">
        <v>0</v>
      </c>
      <c r="X92" s="333">
        <v>0</v>
      </c>
      <c r="Y92" s="333">
        <v>0</v>
      </c>
      <c r="Z92" s="333">
        <v>0</v>
      </c>
      <c r="AA92" s="333">
        <v>0</v>
      </c>
      <c r="AB92" s="333">
        <v>0</v>
      </c>
      <c r="AC92" s="333">
        <v>0</v>
      </c>
      <c r="AD92" s="333">
        <v>0</v>
      </c>
      <c r="AE92" s="333">
        <v>0</v>
      </c>
      <c r="AF92" s="333">
        <v>500</v>
      </c>
      <c r="AG92" s="333">
        <v>1462.5</v>
      </c>
      <c r="AH92" s="333">
        <v>1462.5</v>
      </c>
      <c r="AI92" s="333">
        <v>1462.5</v>
      </c>
      <c r="AJ92" s="333">
        <v>1462.5</v>
      </c>
      <c r="AK92" s="333">
        <v>1462.5</v>
      </c>
      <c r="AL92" s="333">
        <v>1462.5</v>
      </c>
      <c r="AM92" s="333">
        <v>1462.5</v>
      </c>
      <c r="AN92" s="333"/>
      <c r="AO92" s="334">
        <f>1462.5+1462.5</f>
        <v>2925</v>
      </c>
      <c r="AP92" s="334">
        <v>1462.5</v>
      </c>
      <c r="AQ92" s="335">
        <v>1462.5</v>
      </c>
      <c r="AR92" s="335">
        <v>1462.5</v>
      </c>
      <c r="AS92" s="335">
        <v>0</v>
      </c>
      <c r="AT92" s="335">
        <v>1462.5</v>
      </c>
      <c r="AU92" s="335">
        <v>0</v>
      </c>
      <c r="AV92" s="335">
        <v>1462.5</v>
      </c>
      <c r="AW92" s="335"/>
      <c r="AX92" s="352">
        <f t="shared" si="302"/>
        <v>20975</v>
      </c>
      <c r="AY92" s="353">
        <f t="shared" ref="AY92" si="362">IFERROR((+AX92/N92),0)</f>
        <v>0.87761506276150625</v>
      </c>
      <c r="AZ92" s="352">
        <f t="shared" si="213"/>
        <v>-2925</v>
      </c>
      <c r="BA92" s="353">
        <f t="shared" ref="BA92" si="363">+AZ92/N92</f>
        <v>-0.12238493723849372</v>
      </c>
      <c r="BB92" s="354">
        <f t="shared" si="215"/>
        <v>456725</v>
      </c>
      <c r="BC92" s="355">
        <f t="shared" ref="BC92" si="364">+BB92/M92</f>
        <v>0.95609168934477706</v>
      </c>
      <c r="BD92" s="356">
        <f t="shared" ref="BD92" si="365">IF(BE92="Vendido",N92*1,IF(BE92="Disponible",N92*0,IF(BE92="Enganche Completado",N92*1,IF(BE92="Superávit de Enganche",N92*1,0))))</f>
        <v>23900</v>
      </c>
      <c r="BE92" s="357" t="str">
        <f t="shared" si="218"/>
        <v>Vendido</v>
      </c>
      <c r="BF92" s="357" t="str">
        <f>IF(AND(BE92="Vendido",K92&gt;=0,BN92&lt;=AX92,AX92&lt;BD92),"Cliente al día",IF(AND(BE92="Vendido",K92&gt;=0,BN92&lt;=AX92,AX92=BD92),"Enganche Completado",IF(AND(BE92="Vendido",K92&gt;=0,BN92&lt;AX92,AX92&gt;BD92),"Superávit de Enganche",IF(AND(BE92="Apartamento Disponible",K92=0,AZ92=0),"Disponible","Cliente Atrasado"))))</f>
        <v>Cliente al día</v>
      </c>
      <c r="BG92" s="358">
        <v>16</v>
      </c>
      <c r="BH92" s="358">
        <f t="shared" si="358"/>
        <v>1</v>
      </c>
      <c r="BI92" s="358">
        <f t="shared" ref="BI92" si="366">+BG92+BH92</f>
        <v>17</v>
      </c>
      <c r="BJ92" s="340">
        <v>500</v>
      </c>
      <c r="BK92" s="365">
        <v>1462.5</v>
      </c>
      <c r="BL92" s="357">
        <f t="shared" si="221"/>
        <v>0</v>
      </c>
      <c r="BM92" s="359">
        <f t="shared" si="357"/>
        <v>12</v>
      </c>
      <c r="BN92" s="360">
        <f>(BM92*BK92)+BJ92</f>
        <v>18050</v>
      </c>
      <c r="BO92" s="359">
        <f t="shared" si="260"/>
        <v>12200</v>
      </c>
      <c r="BP92" s="359">
        <f t="shared" si="261"/>
        <v>2925</v>
      </c>
      <c r="BQ92" s="359">
        <f t="shared" si="262"/>
        <v>5850</v>
      </c>
      <c r="BR92" s="359">
        <f t="shared" si="359"/>
        <v>2925</v>
      </c>
      <c r="BS92" s="359">
        <f t="shared" si="360"/>
        <v>0</v>
      </c>
      <c r="BT92" s="361">
        <f t="shared" si="361"/>
        <v>0</v>
      </c>
      <c r="BU92" s="337"/>
      <c r="BV92" s="337"/>
    </row>
    <row r="93" spans="1:74" x14ac:dyDescent="0.25">
      <c r="A93" s="846" t="s">
        <v>1199</v>
      </c>
      <c r="F93" s="336"/>
      <c r="G93" s="336"/>
      <c r="H93" s="336"/>
      <c r="I93" s="849" t="s">
        <v>1109</v>
      </c>
      <c r="J93" s="337" t="s">
        <v>1200</v>
      </c>
      <c r="K93" s="338">
        <v>45915</v>
      </c>
      <c r="L93" s="336" t="s">
        <v>128</v>
      </c>
      <c r="M93" s="333">
        <v>497000</v>
      </c>
      <c r="N93" s="333">
        <v>24700</v>
      </c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3"/>
      <c r="AE93" s="333"/>
      <c r="AF93" s="333"/>
      <c r="AG93" s="333"/>
      <c r="AH93" s="333"/>
      <c r="AI93" s="333"/>
      <c r="AJ93" s="333"/>
      <c r="AK93" s="333"/>
      <c r="AL93" s="333"/>
      <c r="AM93" s="333"/>
      <c r="AN93" s="333"/>
      <c r="AO93" s="334"/>
      <c r="AP93" s="334"/>
      <c r="AQ93" s="335"/>
      <c r="AR93" s="335"/>
      <c r="AS93" s="335">
        <v>1500</v>
      </c>
      <c r="AT93" s="335">
        <v>0</v>
      </c>
      <c r="AU93" s="335">
        <v>0</v>
      </c>
      <c r="AV93" s="335"/>
      <c r="AW93" s="335">
        <f>945+30</f>
        <v>975</v>
      </c>
      <c r="AX93" s="352">
        <f t="shared" si="302"/>
        <v>2475</v>
      </c>
      <c r="AY93" s="353">
        <f t="shared" ref="AY93:AY173" si="367">IFERROR((+AX93/N93),0)</f>
        <v>0.10020242914979757</v>
      </c>
      <c r="AZ93" s="352">
        <f t="shared" ref="AZ93:AZ173" si="368">+AX93-BD93</f>
        <v>-22225</v>
      </c>
      <c r="BA93" s="353">
        <f t="shared" ref="BA93:BA173" si="369">+AZ93/N93</f>
        <v>-0.8997975708502024</v>
      </c>
      <c r="BB93" s="354">
        <f t="shared" ref="BB93:BB173" si="370">+M93-AX93</f>
        <v>494525</v>
      </c>
      <c r="BC93" s="355">
        <f t="shared" ref="BC93:BC173" si="371">+BB93/M93</f>
        <v>0.99502012072434609</v>
      </c>
      <c r="BD93" s="356">
        <f t="shared" ref="BD93:BD173" si="372">IF(BE93="Vendido",N93*1,IF(BE93="Disponible",N93*0,IF(BE93="Enganche Completado",N93*1,IF(BE93="Superávit de Enganche",N93*1,0))))</f>
        <v>24700</v>
      </c>
      <c r="BE93" s="357" t="str">
        <f t="shared" ref="BE93:BE173" si="373">IF(J93=0,"Apartamento Disponible",IF(J93&gt;1,"Vendido",0))</f>
        <v>Vendido</v>
      </c>
      <c r="BF93" s="357" t="e">
        <f t="shared" ref="BF93:BF173" si="374">IF(AND(BE93="Vendido",K93&gt;=0,BN93&lt;=AX93,AX93&lt;BD93),"Cliente al día",IF(AND(BE93="Vendido",K93&gt;=0,BN93&lt;=AX93,AX93=BD93),"Enganche Completado",IF(AND(BE93="Vendido",K93&gt;=0,BN93&lt;AX93,AX93&gt;BD93),"Superávit de Enganche",IF(AND(BE93="Apartamento Disponible",K93=0,AZ93=0),"Disponible","Cliente Atrasado"))))</f>
        <v>#NUM!</v>
      </c>
      <c r="BG93" s="358">
        <v>16</v>
      </c>
      <c r="BH93" s="358">
        <f t="shared" ref="BH93:BH173" si="375">IF(BG93&gt;1,1,0)</f>
        <v>1</v>
      </c>
      <c r="BI93" s="358">
        <f t="shared" ref="BI93:BI173" si="376">+BG93+BH93</f>
        <v>17</v>
      </c>
      <c r="BJ93" s="340">
        <v>500</v>
      </c>
      <c r="BK93" s="365">
        <v>1462.5</v>
      </c>
      <c r="BL93" s="357">
        <f t="shared" ref="BL93:BL173" si="377">COUNTIFS(O93:AO93,"&gt;0.01",O93:AO93,"&lt;" &amp; BJ93)</f>
        <v>0</v>
      </c>
      <c r="BM93" s="359" t="e">
        <f t="shared" si="357"/>
        <v>#NUM!</v>
      </c>
      <c r="BN93" s="360" t="e">
        <f t="shared" ref="BN93:BN173" si="378">(BM93*BK93)+BJ93</f>
        <v>#NUM!</v>
      </c>
      <c r="BO93" s="359">
        <f t="shared" ref="BO93:BO173" si="379">SUMIF(O93:AP93,"&lt;=" &amp; BK93,O93:AP93)</f>
        <v>0</v>
      </c>
      <c r="BP93" s="359">
        <f t="shared" ref="BP93:BP173" si="380">SUMIF(O93:AP93,"&gt;" &amp; BK93,O93:AP93)</f>
        <v>0</v>
      </c>
      <c r="BQ93" s="359">
        <f t="shared" ref="BQ93:BQ173" si="381">AX93-BO93-BP93</f>
        <v>2475</v>
      </c>
      <c r="BR93" s="359" t="e">
        <f t="shared" ref="BR93:BR173" si="382">IF(AX93&gt;BN93,AX93-BN93,0)</f>
        <v>#NUM!</v>
      </c>
      <c r="BS93" s="359" t="e">
        <f t="shared" ref="BS93:BS173" si="383">IF(AX93&lt;BN93,BN93-AX93,0)</f>
        <v>#NUM!</v>
      </c>
      <c r="BT93" s="361" t="e">
        <f t="shared" ref="BT93:BT173" si="384">ROUNDUP(IF(K93&gt;0,BS93/BK93,0),0)</f>
        <v>#NUM!</v>
      </c>
      <c r="BU93" s="337"/>
      <c r="BV93" s="337"/>
    </row>
    <row r="94" spans="1:74" x14ac:dyDescent="0.25">
      <c r="A94" s="846" t="s">
        <v>1201</v>
      </c>
      <c r="F94" s="336"/>
      <c r="G94" s="336"/>
      <c r="H94" s="336"/>
      <c r="I94" s="849" t="s">
        <v>1109</v>
      </c>
      <c r="J94" s="337" t="s">
        <v>760</v>
      </c>
      <c r="K94" s="338">
        <v>45901</v>
      </c>
      <c r="L94" s="336" t="s">
        <v>128</v>
      </c>
      <c r="M94" s="333">
        <v>492700</v>
      </c>
      <c r="N94" s="333">
        <v>24700</v>
      </c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  <c r="AA94" s="333"/>
      <c r="AB94" s="333"/>
      <c r="AC94" s="333"/>
      <c r="AD94" s="333"/>
      <c r="AE94" s="333"/>
      <c r="AF94" s="333"/>
      <c r="AG94" s="333"/>
      <c r="AH94" s="333"/>
      <c r="AI94" s="333"/>
      <c r="AJ94" s="333"/>
      <c r="AK94" s="333"/>
      <c r="AL94" s="333"/>
      <c r="AM94" s="333"/>
      <c r="AN94" s="333"/>
      <c r="AO94" s="334"/>
      <c r="AP94" s="334"/>
      <c r="AQ94" s="335"/>
      <c r="AR94" s="335"/>
      <c r="AS94" s="335">
        <v>1500</v>
      </c>
      <c r="AT94" s="335">
        <v>0</v>
      </c>
      <c r="AU94" s="335">
        <v>0</v>
      </c>
      <c r="AV94" s="335"/>
      <c r="AW94" s="335"/>
      <c r="AX94" s="352">
        <f t="shared" si="302"/>
        <v>1500</v>
      </c>
      <c r="AY94" s="353">
        <f t="shared" si="367"/>
        <v>6.0728744939271252E-2</v>
      </c>
      <c r="AZ94" s="352">
        <f t="shared" si="368"/>
        <v>-23200</v>
      </c>
      <c r="BA94" s="353">
        <f t="shared" si="369"/>
        <v>-0.93927125506072873</v>
      </c>
      <c r="BB94" s="354">
        <f t="shared" si="370"/>
        <v>491200</v>
      </c>
      <c r="BC94" s="355">
        <f t="shared" si="371"/>
        <v>0.99695555104526079</v>
      </c>
      <c r="BD94" s="356">
        <f t="shared" si="372"/>
        <v>24700</v>
      </c>
      <c r="BE94" s="357" t="str">
        <f t="shared" si="373"/>
        <v>Vendido</v>
      </c>
      <c r="BF94" s="357" t="e">
        <f t="shared" si="374"/>
        <v>#NUM!</v>
      </c>
      <c r="BG94" s="358">
        <v>16</v>
      </c>
      <c r="BH94" s="358">
        <f t="shared" si="375"/>
        <v>1</v>
      </c>
      <c r="BI94" s="358">
        <f t="shared" si="376"/>
        <v>17</v>
      </c>
      <c r="BJ94" s="340">
        <v>500</v>
      </c>
      <c r="BK94" s="365">
        <v>1462.5</v>
      </c>
      <c r="BL94" s="357">
        <f t="shared" si="377"/>
        <v>0</v>
      </c>
      <c r="BM94" s="359" t="e">
        <f t="shared" si="357"/>
        <v>#NUM!</v>
      </c>
      <c r="BN94" s="360" t="e">
        <f t="shared" si="378"/>
        <v>#NUM!</v>
      </c>
      <c r="BO94" s="359">
        <f t="shared" si="379"/>
        <v>0</v>
      </c>
      <c r="BP94" s="359">
        <f t="shared" si="380"/>
        <v>0</v>
      </c>
      <c r="BQ94" s="359">
        <f t="shared" si="381"/>
        <v>1500</v>
      </c>
      <c r="BR94" s="359" t="e">
        <f t="shared" si="382"/>
        <v>#NUM!</v>
      </c>
      <c r="BS94" s="359" t="e">
        <f t="shared" si="383"/>
        <v>#NUM!</v>
      </c>
      <c r="BT94" s="361" t="e">
        <f t="shared" si="384"/>
        <v>#NUM!</v>
      </c>
      <c r="BU94" s="337"/>
      <c r="BV94" s="337"/>
    </row>
    <row r="95" spans="1:74" x14ac:dyDescent="0.25">
      <c r="A95" s="846" t="s">
        <v>1094</v>
      </c>
      <c r="F95" s="336">
        <v>112</v>
      </c>
      <c r="G95" s="336" t="s">
        <v>146</v>
      </c>
      <c r="H95" s="336" t="s">
        <v>146</v>
      </c>
      <c r="I95" s="336" t="s">
        <v>196</v>
      </c>
      <c r="J95" s="337" t="s">
        <v>1202</v>
      </c>
      <c r="K95" s="338">
        <v>45901</v>
      </c>
      <c r="L95" s="336" t="s">
        <v>128</v>
      </c>
      <c r="M95" s="333">
        <v>492700</v>
      </c>
      <c r="N95" s="333">
        <v>24700</v>
      </c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4"/>
      <c r="AP95" s="334"/>
      <c r="AQ95" s="335"/>
      <c r="AR95" s="335"/>
      <c r="AS95" s="335">
        <v>1500</v>
      </c>
      <c r="AT95" s="335">
        <v>2729.42</v>
      </c>
      <c r="AU95" s="335">
        <v>0</v>
      </c>
      <c r="AV95" s="335">
        <v>1364.71</v>
      </c>
      <c r="AW95" s="335">
        <v>1364.71</v>
      </c>
      <c r="AX95" s="352">
        <f t="shared" si="302"/>
        <v>6958.84</v>
      </c>
      <c r="AY95" s="353">
        <f t="shared" si="367"/>
        <v>0.28173441295546559</v>
      </c>
      <c r="AZ95" s="352">
        <f t="shared" si="368"/>
        <v>-17741.16</v>
      </c>
      <c r="BA95" s="353">
        <f t="shared" si="369"/>
        <v>-0.71826558704453436</v>
      </c>
      <c r="BB95" s="354">
        <f t="shared" si="370"/>
        <v>485741.16</v>
      </c>
      <c r="BC95" s="355">
        <f t="shared" si="371"/>
        <v>0.98587611122386842</v>
      </c>
      <c r="BD95" s="356">
        <f t="shared" si="372"/>
        <v>24700</v>
      </c>
      <c r="BE95" s="357" t="str">
        <f t="shared" si="373"/>
        <v>Vendido</v>
      </c>
      <c r="BF95" s="357" t="e">
        <f t="shared" si="374"/>
        <v>#NUM!</v>
      </c>
      <c r="BG95" s="358">
        <v>16</v>
      </c>
      <c r="BH95" s="358">
        <f t="shared" si="375"/>
        <v>1</v>
      </c>
      <c r="BI95" s="358">
        <f t="shared" si="376"/>
        <v>17</v>
      </c>
      <c r="BJ95" s="340">
        <v>500</v>
      </c>
      <c r="BK95" s="365">
        <v>1462.5</v>
      </c>
      <c r="BL95" s="357">
        <f t="shared" si="377"/>
        <v>0</v>
      </c>
      <c r="BM95" s="359" t="e">
        <f t="shared" si="357"/>
        <v>#NUM!</v>
      </c>
      <c r="BN95" s="360" t="e">
        <f t="shared" si="378"/>
        <v>#NUM!</v>
      </c>
      <c r="BO95" s="359">
        <f t="shared" si="379"/>
        <v>0</v>
      </c>
      <c r="BP95" s="359">
        <f t="shared" si="380"/>
        <v>0</v>
      </c>
      <c r="BQ95" s="359">
        <f t="shared" si="381"/>
        <v>6958.84</v>
      </c>
      <c r="BR95" s="359" t="e">
        <f t="shared" si="382"/>
        <v>#NUM!</v>
      </c>
      <c r="BS95" s="359" t="e">
        <f t="shared" si="383"/>
        <v>#NUM!</v>
      </c>
      <c r="BT95" s="361" t="e">
        <f t="shared" si="384"/>
        <v>#NUM!</v>
      </c>
      <c r="BU95" s="337"/>
      <c r="BV95" s="337"/>
    </row>
    <row r="96" spans="1:74" x14ac:dyDescent="0.25">
      <c r="A96" s="846" t="s">
        <v>1203</v>
      </c>
      <c r="F96" s="336">
        <v>512</v>
      </c>
      <c r="G96" s="336" t="s">
        <v>146</v>
      </c>
      <c r="H96" s="336" t="s">
        <v>146</v>
      </c>
      <c r="I96" s="336" t="s">
        <v>203</v>
      </c>
      <c r="J96" s="337" t="s">
        <v>1204</v>
      </c>
      <c r="K96" s="338">
        <v>45907</v>
      </c>
      <c r="L96" s="336" t="s">
        <v>128</v>
      </c>
      <c r="M96" s="333">
        <v>492700</v>
      </c>
      <c r="N96" s="333">
        <v>24700</v>
      </c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4"/>
      <c r="AP96" s="334"/>
      <c r="AQ96" s="335"/>
      <c r="AR96" s="335"/>
      <c r="AS96" s="335">
        <v>1500</v>
      </c>
      <c r="AT96" s="335">
        <v>1450</v>
      </c>
      <c r="AU96" s="335">
        <v>1450</v>
      </c>
      <c r="AV96" s="335">
        <v>1450</v>
      </c>
      <c r="AW96" s="335">
        <v>1450</v>
      </c>
      <c r="AX96" s="352">
        <f t="shared" si="302"/>
        <v>7300</v>
      </c>
      <c r="AY96" s="353">
        <f t="shared" si="367"/>
        <v>0.29554655870445345</v>
      </c>
      <c r="AZ96" s="352">
        <f t="shared" si="368"/>
        <v>-17400</v>
      </c>
      <c r="BA96" s="353">
        <f t="shared" si="369"/>
        <v>-0.70445344129554655</v>
      </c>
      <c r="BB96" s="354">
        <f t="shared" si="370"/>
        <v>485400</v>
      </c>
      <c r="BC96" s="355">
        <f t="shared" si="371"/>
        <v>0.9851836817536026</v>
      </c>
      <c r="BD96" s="356">
        <f t="shared" si="372"/>
        <v>24700</v>
      </c>
      <c r="BE96" s="357" t="str">
        <f t="shared" si="373"/>
        <v>Vendido</v>
      </c>
      <c r="BF96" s="357" t="e">
        <f t="shared" si="374"/>
        <v>#NUM!</v>
      </c>
      <c r="BG96" s="358">
        <v>16</v>
      </c>
      <c r="BH96" s="358">
        <f t="shared" si="375"/>
        <v>1</v>
      </c>
      <c r="BI96" s="358">
        <f t="shared" si="376"/>
        <v>17</v>
      </c>
      <c r="BJ96" s="340">
        <v>500</v>
      </c>
      <c r="BK96" s="365">
        <v>1462.5</v>
      </c>
      <c r="BL96" s="357">
        <f t="shared" si="377"/>
        <v>0</v>
      </c>
      <c r="BM96" s="359" t="e">
        <f t="shared" si="357"/>
        <v>#NUM!</v>
      </c>
      <c r="BN96" s="360" t="e">
        <f t="shared" si="378"/>
        <v>#NUM!</v>
      </c>
      <c r="BO96" s="359">
        <f t="shared" si="379"/>
        <v>0</v>
      </c>
      <c r="BP96" s="359">
        <f t="shared" si="380"/>
        <v>0</v>
      </c>
      <c r="BQ96" s="359">
        <f t="shared" si="381"/>
        <v>7300</v>
      </c>
      <c r="BR96" s="359" t="e">
        <f t="shared" si="382"/>
        <v>#NUM!</v>
      </c>
      <c r="BS96" s="359" t="e">
        <f t="shared" si="383"/>
        <v>#NUM!</v>
      </c>
      <c r="BT96" s="361" t="e">
        <f t="shared" si="384"/>
        <v>#NUM!</v>
      </c>
      <c r="BU96" s="337"/>
      <c r="BV96" s="337"/>
    </row>
    <row r="97" spans="1:74" x14ac:dyDescent="0.25">
      <c r="A97" s="846" t="s">
        <v>1205</v>
      </c>
      <c r="F97" s="336"/>
      <c r="G97" s="336"/>
      <c r="H97" s="336"/>
      <c r="I97" s="849" t="s">
        <v>1109</v>
      </c>
      <c r="J97" s="337" t="s">
        <v>1206</v>
      </c>
      <c r="K97" s="338">
        <v>45907</v>
      </c>
      <c r="L97" s="336" t="s">
        <v>128</v>
      </c>
      <c r="M97" s="333">
        <v>492700</v>
      </c>
      <c r="N97" s="333">
        <v>24700</v>
      </c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4"/>
      <c r="AP97" s="334"/>
      <c r="AQ97" s="335"/>
      <c r="AR97" s="335"/>
      <c r="AS97" s="335">
        <v>1500</v>
      </c>
      <c r="AT97" s="335">
        <v>1450</v>
      </c>
      <c r="AU97" s="335">
        <v>0</v>
      </c>
      <c r="AV97" s="335">
        <v>1450</v>
      </c>
      <c r="AW97" s="335"/>
      <c r="AX97" s="352">
        <f t="shared" si="302"/>
        <v>4400</v>
      </c>
      <c r="AY97" s="353">
        <f t="shared" si="367"/>
        <v>0.17813765182186234</v>
      </c>
      <c r="AZ97" s="352">
        <f t="shared" si="368"/>
        <v>-20300</v>
      </c>
      <c r="BA97" s="353">
        <f t="shared" si="369"/>
        <v>-0.82186234817813764</v>
      </c>
      <c r="BB97" s="354">
        <f t="shared" si="370"/>
        <v>488300</v>
      </c>
      <c r="BC97" s="355">
        <f t="shared" si="371"/>
        <v>0.9910696163994317</v>
      </c>
      <c r="BD97" s="356">
        <f t="shared" si="372"/>
        <v>24700</v>
      </c>
      <c r="BE97" s="357" t="str">
        <f t="shared" si="373"/>
        <v>Vendido</v>
      </c>
      <c r="BF97" s="357" t="e">
        <f t="shared" si="374"/>
        <v>#NUM!</v>
      </c>
      <c r="BG97" s="358">
        <v>16</v>
      </c>
      <c r="BH97" s="358">
        <f t="shared" si="375"/>
        <v>1</v>
      </c>
      <c r="BI97" s="358">
        <f t="shared" si="376"/>
        <v>17</v>
      </c>
      <c r="BJ97" s="340">
        <v>500</v>
      </c>
      <c r="BK97" s="365">
        <v>1462.5</v>
      </c>
      <c r="BL97" s="357">
        <f t="shared" si="377"/>
        <v>0</v>
      </c>
      <c r="BM97" s="359" t="e">
        <f t="shared" si="357"/>
        <v>#NUM!</v>
      </c>
      <c r="BN97" s="360" t="e">
        <f t="shared" si="378"/>
        <v>#NUM!</v>
      </c>
      <c r="BO97" s="359">
        <f t="shared" si="379"/>
        <v>0</v>
      </c>
      <c r="BP97" s="359">
        <f t="shared" si="380"/>
        <v>0</v>
      </c>
      <c r="BQ97" s="359">
        <f t="shared" si="381"/>
        <v>4400</v>
      </c>
      <c r="BR97" s="359" t="e">
        <f t="shared" si="382"/>
        <v>#NUM!</v>
      </c>
      <c r="BS97" s="359" t="e">
        <f t="shared" si="383"/>
        <v>#NUM!</v>
      </c>
      <c r="BT97" s="361" t="e">
        <f t="shared" si="384"/>
        <v>#NUM!</v>
      </c>
      <c r="BU97" s="337"/>
      <c r="BV97" s="337"/>
    </row>
    <row r="98" spans="1:74" x14ac:dyDescent="0.25">
      <c r="A98" s="846" t="s">
        <v>1207</v>
      </c>
      <c r="F98" s="336"/>
      <c r="G98" s="336"/>
      <c r="H98" s="336"/>
      <c r="I98" s="849" t="s">
        <v>203</v>
      </c>
      <c r="J98" s="337" t="s">
        <v>1208</v>
      </c>
      <c r="K98" s="338">
        <v>45912</v>
      </c>
      <c r="L98" s="336" t="s">
        <v>128</v>
      </c>
      <c r="M98" s="333">
        <v>492700</v>
      </c>
      <c r="N98" s="333">
        <v>24700</v>
      </c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  <c r="AA98" s="333"/>
      <c r="AB98" s="333"/>
      <c r="AC98" s="333"/>
      <c r="AD98" s="333"/>
      <c r="AE98" s="333"/>
      <c r="AF98" s="333"/>
      <c r="AG98" s="333"/>
      <c r="AH98" s="333"/>
      <c r="AI98" s="333"/>
      <c r="AJ98" s="333"/>
      <c r="AK98" s="333"/>
      <c r="AL98" s="333"/>
      <c r="AM98" s="333"/>
      <c r="AN98" s="333"/>
      <c r="AO98" s="334"/>
      <c r="AP98" s="334"/>
      <c r="AQ98" s="335"/>
      <c r="AR98" s="335"/>
      <c r="AS98" s="335">
        <v>1500</v>
      </c>
      <c r="AT98" s="335">
        <v>0</v>
      </c>
      <c r="AU98" s="335">
        <v>0</v>
      </c>
      <c r="AV98" s="335">
        <v>2910</v>
      </c>
      <c r="AW98" s="335">
        <v>967</v>
      </c>
      <c r="AX98" s="352">
        <f t="shared" si="302"/>
        <v>5377</v>
      </c>
      <c r="AY98" s="353">
        <f t="shared" si="367"/>
        <v>0.21769230769230768</v>
      </c>
      <c r="AZ98" s="352">
        <f t="shared" si="368"/>
        <v>-19323</v>
      </c>
      <c r="BA98" s="353">
        <f t="shared" si="369"/>
        <v>-0.78230769230769226</v>
      </c>
      <c r="BB98" s="354">
        <f t="shared" si="370"/>
        <v>487323</v>
      </c>
      <c r="BC98" s="355">
        <f t="shared" si="371"/>
        <v>0.98908666531357825</v>
      </c>
      <c r="BD98" s="356">
        <f t="shared" si="372"/>
        <v>24700</v>
      </c>
      <c r="BE98" s="357" t="str">
        <f t="shared" si="373"/>
        <v>Vendido</v>
      </c>
      <c r="BF98" s="357" t="e">
        <f t="shared" si="374"/>
        <v>#NUM!</v>
      </c>
      <c r="BG98" s="358">
        <v>16</v>
      </c>
      <c r="BH98" s="358">
        <f t="shared" si="375"/>
        <v>1</v>
      </c>
      <c r="BI98" s="358">
        <f t="shared" si="376"/>
        <v>17</v>
      </c>
      <c r="BJ98" s="340">
        <v>500</v>
      </c>
      <c r="BK98" s="365">
        <v>1462.5</v>
      </c>
      <c r="BL98" s="357">
        <f t="shared" si="377"/>
        <v>0</v>
      </c>
      <c r="BM98" s="359" t="e">
        <f t="shared" si="357"/>
        <v>#NUM!</v>
      </c>
      <c r="BN98" s="360" t="e">
        <f t="shared" si="378"/>
        <v>#NUM!</v>
      </c>
      <c r="BO98" s="359">
        <f t="shared" si="379"/>
        <v>0</v>
      </c>
      <c r="BP98" s="359">
        <f t="shared" si="380"/>
        <v>0</v>
      </c>
      <c r="BQ98" s="359">
        <f t="shared" si="381"/>
        <v>5377</v>
      </c>
      <c r="BR98" s="359" t="e">
        <f t="shared" si="382"/>
        <v>#NUM!</v>
      </c>
      <c r="BS98" s="359" t="e">
        <f t="shared" si="383"/>
        <v>#NUM!</v>
      </c>
      <c r="BT98" s="361" t="e">
        <f t="shared" si="384"/>
        <v>#NUM!</v>
      </c>
      <c r="BU98" s="337"/>
      <c r="BV98" s="337"/>
    </row>
    <row r="99" spans="1:74" x14ac:dyDescent="0.25">
      <c r="A99" s="846" t="s">
        <v>1209</v>
      </c>
      <c r="F99" s="336"/>
      <c r="G99" s="336"/>
      <c r="H99" s="336"/>
      <c r="I99" s="849" t="s">
        <v>1109</v>
      </c>
      <c r="J99" s="337" t="s">
        <v>1210</v>
      </c>
      <c r="K99" s="338">
        <v>45913</v>
      </c>
      <c r="L99" s="336" t="s">
        <v>128</v>
      </c>
      <c r="M99" s="333">
        <v>492000</v>
      </c>
      <c r="N99" s="333">
        <v>24600</v>
      </c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  <c r="AA99" s="333"/>
      <c r="AB99" s="333"/>
      <c r="AC99" s="333"/>
      <c r="AD99" s="333"/>
      <c r="AE99" s="333"/>
      <c r="AF99" s="333"/>
      <c r="AG99" s="333"/>
      <c r="AH99" s="333"/>
      <c r="AI99" s="333"/>
      <c r="AJ99" s="333"/>
      <c r="AK99" s="333"/>
      <c r="AL99" s="333"/>
      <c r="AM99" s="333"/>
      <c r="AN99" s="333"/>
      <c r="AO99" s="334"/>
      <c r="AP99" s="334"/>
      <c r="AQ99" s="335"/>
      <c r="AR99" s="335"/>
      <c r="AS99" s="335">
        <v>1500</v>
      </c>
      <c r="AT99" s="335">
        <v>0</v>
      </c>
      <c r="AU99" s="335">
        <v>0</v>
      </c>
      <c r="AV99" s="335"/>
      <c r="AW99" s="335"/>
      <c r="AX99" s="352">
        <f t="shared" si="302"/>
        <v>1500</v>
      </c>
      <c r="AY99" s="353">
        <f t="shared" si="367"/>
        <v>6.097560975609756E-2</v>
      </c>
      <c r="AZ99" s="352">
        <f t="shared" si="368"/>
        <v>-23100</v>
      </c>
      <c r="BA99" s="353">
        <f t="shared" si="369"/>
        <v>-0.93902439024390238</v>
      </c>
      <c r="BB99" s="354">
        <f t="shared" si="370"/>
        <v>490500</v>
      </c>
      <c r="BC99" s="355">
        <f t="shared" si="371"/>
        <v>0.99695121951219512</v>
      </c>
      <c r="BD99" s="356">
        <f t="shared" si="372"/>
        <v>24600</v>
      </c>
      <c r="BE99" s="357" t="str">
        <f t="shared" si="373"/>
        <v>Vendido</v>
      </c>
      <c r="BF99" s="357" t="e">
        <f t="shared" si="374"/>
        <v>#NUM!</v>
      </c>
      <c r="BG99" s="358">
        <v>16</v>
      </c>
      <c r="BH99" s="358">
        <f t="shared" si="375"/>
        <v>1</v>
      </c>
      <c r="BI99" s="358">
        <f t="shared" si="376"/>
        <v>17</v>
      </c>
      <c r="BJ99" s="340">
        <v>500</v>
      </c>
      <c r="BK99" s="365">
        <v>1462.5</v>
      </c>
      <c r="BL99" s="357">
        <f t="shared" si="377"/>
        <v>0</v>
      </c>
      <c r="BM99" s="359" t="e">
        <f t="shared" si="357"/>
        <v>#NUM!</v>
      </c>
      <c r="BN99" s="360" t="e">
        <f t="shared" si="378"/>
        <v>#NUM!</v>
      </c>
      <c r="BO99" s="359">
        <f t="shared" si="379"/>
        <v>0</v>
      </c>
      <c r="BP99" s="359">
        <f t="shared" si="380"/>
        <v>0</v>
      </c>
      <c r="BQ99" s="359">
        <f t="shared" si="381"/>
        <v>1500</v>
      </c>
      <c r="BR99" s="359" t="e">
        <f t="shared" si="382"/>
        <v>#NUM!</v>
      </c>
      <c r="BS99" s="359" t="e">
        <f t="shared" si="383"/>
        <v>#NUM!</v>
      </c>
      <c r="BT99" s="361" t="e">
        <f t="shared" si="384"/>
        <v>#NUM!</v>
      </c>
      <c r="BU99" s="337"/>
      <c r="BV99" s="337"/>
    </row>
    <row r="100" spans="1:74" x14ac:dyDescent="0.25">
      <c r="A100" s="846" t="s">
        <v>1211</v>
      </c>
      <c r="F100" s="336"/>
      <c r="G100" s="336"/>
      <c r="H100" s="336"/>
      <c r="I100" s="849" t="s">
        <v>203</v>
      </c>
      <c r="J100" s="337" t="s">
        <v>1212</v>
      </c>
      <c r="K100" s="338">
        <v>45923</v>
      </c>
      <c r="L100" s="336" t="s">
        <v>128</v>
      </c>
      <c r="M100" s="333">
        <v>492700</v>
      </c>
      <c r="N100" s="333">
        <v>24700</v>
      </c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  <c r="AF100" s="333"/>
      <c r="AG100" s="333"/>
      <c r="AH100" s="333"/>
      <c r="AI100" s="333"/>
      <c r="AJ100" s="333"/>
      <c r="AK100" s="333"/>
      <c r="AL100" s="333"/>
      <c r="AM100" s="333"/>
      <c r="AN100" s="333"/>
      <c r="AO100" s="334"/>
      <c r="AP100" s="334"/>
      <c r="AQ100" s="335"/>
      <c r="AR100" s="335"/>
      <c r="AS100" s="335">
        <v>1500</v>
      </c>
      <c r="AT100" s="335">
        <v>0</v>
      </c>
      <c r="AU100" s="335">
        <v>0</v>
      </c>
      <c r="AV100" s="335"/>
      <c r="AW100" s="335"/>
      <c r="AX100" s="352">
        <f t="shared" si="302"/>
        <v>1500</v>
      </c>
      <c r="AY100" s="353">
        <f t="shared" si="367"/>
        <v>6.0728744939271252E-2</v>
      </c>
      <c r="AZ100" s="352">
        <f t="shared" si="368"/>
        <v>-23200</v>
      </c>
      <c r="BA100" s="353">
        <f t="shared" si="369"/>
        <v>-0.93927125506072873</v>
      </c>
      <c r="BB100" s="354">
        <f t="shared" si="370"/>
        <v>491200</v>
      </c>
      <c r="BC100" s="355">
        <f t="shared" si="371"/>
        <v>0.99695555104526079</v>
      </c>
      <c r="BD100" s="356">
        <f t="shared" si="372"/>
        <v>24700</v>
      </c>
      <c r="BE100" s="357" t="str">
        <f t="shared" si="373"/>
        <v>Vendido</v>
      </c>
      <c r="BF100" s="357" t="e">
        <f t="shared" si="374"/>
        <v>#NUM!</v>
      </c>
      <c r="BG100" s="358">
        <v>16</v>
      </c>
      <c r="BH100" s="358">
        <f t="shared" si="375"/>
        <v>1</v>
      </c>
      <c r="BI100" s="358">
        <f t="shared" si="376"/>
        <v>17</v>
      </c>
      <c r="BJ100" s="340">
        <v>500</v>
      </c>
      <c r="BK100" s="365">
        <v>1462.5</v>
      </c>
      <c r="BL100" s="357">
        <f t="shared" si="377"/>
        <v>0</v>
      </c>
      <c r="BM100" s="359" t="e">
        <f t="shared" si="357"/>
        <v>#NUM!</v>
      </c>
      <c r="BN100" s="360" t="e">
        <f t="shared" si="378"/>
        <v>#NUM!</v>
      </c>
      <c r="BO100" s="359">
        <f t="shared" si="379"/>
        <v>0</v>
      </c>
      <c r="BP100" s="359">
        <f t="shared" si="380"/>
        <v>0</v>
      </c>
      <c r="BQ100" s="359">
        <f t="shared" si="381"/>
        <v>1500</v>
      </c>
      <c r="BR100" s="359" t="e">
        <f t="shared" si="382"/>
        <v>#NUM!</v>
      </c>
      <c r="BS100" s="359" t="e">
        <f t="shared" si="383"/>
        <v>#NUM!</v>
      </c>
      <c r="BT100" s="361" t="e">
        <f t="shared" si="384"/>
        <v>#NUM!</v>
      </c>
      <c r="BU100" s="337"/>
      <c r="BV100" s="337"/>
    </row>
    <row r="101" spans="1:74" x14ac:dyDescent="0.25">
      <c r="A101" s="846" t="s">
        <v>1213</v>
      </c>
      <c r="F101" s="336"/>
      <c r="G101" s="336"/>
      <c r="H101" s="336"/>
      <c r="I101" s="849" t="s">
        <v>1109</v>
      </c>
      <c r="J101" s="337" t="s">
        <v>1214</v>
      </c>
      <c r="K101" s="338">
        <v>45923</v>
      </c>
      <c r="L101" s="336" t="s">
        <v>128</v>
      </c>
      <c r="M101" s="333">
        <v>487000</v>
      </c>
      <c r="N101" s="333">
        <v>24000</v>
      </c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  <c r="AN101" s="333"/>
      <c r="AO101" s="334"/>
      <c r="AP101" s="334"/>
      <c r="AQ101" s="335"/>
      <c r="AR101" s="335"/>
      <c r="AS101" s="335">
        <v>1500</v>
      </c>
      <c r="AT101" s="335">
        <v>1463</v>
      </c>
      <c r="AU101" s="335">
        <v>0</v>
      </c>
      <c r="AV101" s="335">
        <f>2926+1463</f>
        <v>4389</v>
      </c>
      <c r="AW101" s="335"/>
      <c r="AX101" s="352">
        <f t="shared" si="302"/>
        <v>7352</v>
      </c>
      <c r="AY101" s="353">
        <f t="shared" si="367"/>
        <v>0.30633333333333335</v>
      </c>
      <c r="AZ101" s="352">
        <f t="shared" si="368"/>
        <v>-16648</v>
      </c>
      <c r="BA101" s="353">
        <f t="shared" si="369"/>
        <v>-0.69366666666666665</v>
      </c>
      <c r="BB101" s="354">
        <f t="shared" si="370"/>
        <v>479648</v>
      </c>
      <c r="BC101" s="355">
        <f t="shared" si="371"/>
        <v>0.98490349075975359</v>
      </c>
      <c r="BD101" s="356">
        <f t="shared" si="372"/>
        <v>24000</v>
      </c>
      <c r="BE101" s="357" t="str">
        <f t="shared" si="373"/>
        <v>Vendido</v>
      </c>
      <c r="BF101" s="357" t="e">
        <f t="shared" si="374"/>
        <v>#NUM!</v>
      </c>
      <c r="BG101" s="358">
        <v>16</v>
      </c>
      <c r="BH101" s="358">
        <f t="shared" si="375"/>
        <v>1</v>
      </c>
      <c r="BI101" s="358">
        <f t="shared" si="376"/>
        <v>17</v>
      </c>
      <c r="BJ101" s="340">
        <v>500</v>
      </c>
      <c r="BK101" s="365">
        <v>1462.5</v>
      </c>
      <c r="BL101" s="357">
        <f t="shared" si="377"/>
        <v>0</v>
      </c>
      <c r="BM101" s="359" t="e">
        <f t="shared" si="357"/>
        <v>#NUM!</v>
      </c>
      <c r="BN101" s="360" t="e">
        <f t="shared" si="378"/>
        <v>#NUM!</v>
      </c>
      <c r="BO101" s="359">
        <f t="shared" si="379"/>
        <v>0</v>
      </c>
      <c r="BP101" s="359">
        <f t="shared" si="380"/>
        <v>0</v>
      </c>
      <c r="BQ101" s="359">
        <f t="shared" si="381"/>
        <v>7352</v>
      </c>
      <c r="BR101" s="359" t="e">
        <f t="shared" si="382"/>
        <v>#NUM!</v>
      </c>
      <c r="BS101" s="359" t="e">
        <f t="shared" si="383"/>
        <v>#NUM!</v>
      </c>
      <c r="BT101" s="361" t="e">
        <f t="shared" si="384"/>
        <v>#NUM!</v>
      </c>
      <c r="BU101" s="337"/>
      <c r="BV101" s="337"/>
    </row>
    <row r="102" spans="1:74" x14ac:dyDescent="0.25">
      <c r="A102" s="846" t="s">
        <v>1215</v>
      </c>
      <c r="F102" s="336">
        <v>601</v>
      </c>
      <c r="G102" s="336" t="s">
        <v>913</v>
      </c>
      <c r="H102" s="336" t="s">
        <v>146</v>
      </c>
      <c r="I102" s="336" t="s">
        <v>196</v>
      </c>
      <c r="J102" s="337" t="s">
        <v>1216</v>
      </c>
      <c r="K102" s="338">
        <v>45924</v>
      </c>
      <c r="L102" s="336" t="s">
        <v>128</v>
      </c>
      <c r="M102" s="333">
        <v>492700</v>
      </c>
      <c r="N102" s="333">
        <v>24700</v>
      </c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  <c r="AN102" s="333"/>
      <c r="AO102" s="334"/>
      <c r="AP102" s="334"/>
      <c r="AQ102" s="335"/>
      <c r="AR102" s="335"/>
      <c r="AS102" s="335">
        <v>1500</v>
      </c>
      <c r="AT102" s="335">
        <v>967</v>
      </c>
      <c r="AU102" s="335">
        <v>0</v>
      </c>
      <c r="AV102" s="335">
        <v>967</v>
      </c>
      <c r="AW102" s="335">
        <v>967</v>
      </c>
      <c r="AX102" s="352">
        <f t="shared" si="302"/>
        <v>4401</v>
      </c>
      <c r="AY102" s="353">
        <f t="shared" si="367"/>
        <v>0.17817813765182186</v>
      </c>
      <c r="AZ102" s="352">
        <f t="shared" si="368"/>
        <v>-20299</v>
      </c>
      <c r="BA102" s="353">
        <f t="shared" si="369"/>
        <v>-0.82182186234817811</v>
      </c>
      <c r="BB102" s="354">
        <f t="shared" si="370"/>
        <v>488299</v>
      </c>
      <c r="BC102" s="355">
        <f t="shared" si="371"/>
        <v>0.99106758676679518</v>
      </c>
      <c r="BD102" s="356">
        <f t="shared" si="372"/>
        <v>24700</v>
      </c>
      <c r="BE102" s="357" t="str">
        <f t="shared" si="373"/>
        <v>Vendido</v>
      </c>
      <c r="BF102" s="357" t="e">
        <f t="shared" si="374"/>
        <v>#NUM!</v>
      </c>
      <c r="BG102" s="358">
        <v>16</v>
      </c>
      <c r="BH102" s="358">
        <f t="shared" si="375"/>
        <v>1</v>
      </c>
      <c r="BI102" s="358">
        <f t="shared" si="376"/>
        <v>17</v>
      </c>
      <c r="BJ102" s="340">
        <v>500</v>
      </c>
      <c r="BK102" s="365">
        <v>1462.5</v>
      </c>
      <c r="BL102" s="357">
        <f t="shared" si="377"/>
        <v>0</v>
      </c>
      <c r="BM102" s="359" t="e">
        <f t="shared" si="357"/>
        <v>#NUM!</v>
      </c>
      <c r="BN102" s="360" t="e">
        <f t="shared" si="378"/>
        <v>#NUM!</v>
      </c>
      <c r="BO102" s="359">
        <f t="shared" si="379"/>
        <v>0</v>
      </c>
      <c r="BP102" s="359">
        <f t="shared" si="380"/>
        <v>0</v>
      </c>
      <c r="BQ102" s="359">
        <f t="shared" si="381"/>
        <v>4401</v>
      </c>
      <c r="BR102" s="359" t="e">
        <f t="shared" si="382"/>
        <v>#NUM!</v>
      </c>
      <c r="BS102" s="359" t="e">
        <f t="shared" si="383"/>
        <v>#NUM!</v>
      </c>
      <c r="BT102" s="361" t="e">
        <f t="shared" si="384"/>
        <v>#NUM!</v>
      </c>
      <c r="BU102" s="337"/>
      <c r="BV102" s="337"/>
    </row>
    <row r="103" spans="1:74" x14ac:dyDescent="0.25">
      <c r="A103" s="846" t="s">
        <v>1217</v>
      </c>
      <c r="F103" s="336">
        <v>301</v>
      </c>
      <c r="G103" s="336" t="s">
        <v>913</v>
      </c>
      <c r="H103" s="336" t="s">
        <v>146</v>
      </c>
      <c r="I103" s="849" t="s">
        <v>203</v>
      </c>
      <c r="J103" s="337" t="s">
        <v>1218</v>
      </c>
      <c r="K103" s="338">
        <v>46033</v>
      </c>
      <c r="L103" s="336" t="s">
        <v>128</v>
      </c>
      <c r="M103" s="333">
        <v>492700</v>
      </c>
      <c r="N103" s="333">
        <v>24700</v>
      </c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  <c r="AA103" s="333"/>
      <c r="AB103" s="333"/>
      <c r="AC103" s="333"/>
      <c r="AD103" s="333"/>
      <c r="AE103" s="333"/>
      <c r="AF103" s="333"/>
      <c r="AG103" s="333"/>
      <c r="AH103" s="333"/>
      <c r="AI103" s="333"/>
      <c r="AJ103" s="333"/>
      <c r="AK103" s="333"/>
      <c r="AL103" s="333"/>
      <c r="AM103" s="333"/>
      <c r="AN103" s="333"/>
      <c r="AO103" s="334"/>
      <c r="AP103" s="334"/>
      <c r="AQ103" s="335"/>
      <c r="AR103" s="335"/>
      <c r="AS103" s="335">
        <v>0</v>
      </c>
      <c r="AT103" s="335">
        <v>0</v>
      </c>
      <c r="AU103" s="335">
        <v>0</v>
      </c>
      <c r="AV103" s="335"/>
      <c r="AW103" s="335">
        <v>1405.0600000000002</v>
      </c>
      <c r="AX103" s="352">
        <f t="shared" si="302"/>
        <v>1405.0600000000002</v>
      </c>
      <c r="AY103" s="353">
        <f t="shared" si="367"/>
        <v>5.6885020242914988E-2</v>
      </c>
      <c r="AZ103" s="352">
        <f t="shared" si="368"/>
        <v>-23294.94</v>
      </c>
      <c r="BA103" s="353">
        <f t="shared" si="369"/>
        <v>-0.94311497975708491</v>
      </c>
      <c r="BB103" s="354">
        <f t="shared" si="370"/>
        <v>491294.94</v>
      </c>
      <c r="BC103" s="355">
        <f t="shared" si="371"/>
        <v>0.99714824436776939</v>
      </c>
      <c r="BD103" s="356">
        <f t="shared" si="372"/>
        <v>24700</v>
      </c>
      <c r="BE103" s="357" t="str">
        <f t="shared" si="373"/>
        <v>Vendido</v>
      </c>
      <c r="BF103" s="357" t="e">
        <f t="shared" si="374"/>
        <v>#NUM!</v>
      </c>
      <c r="BG103" s="358">
        <v>16</v>
      </c>
      <c r="BH103" s="358">
        <f t="shared" si="375"/>
        <v>1</v>
      </c>
      <c r="BI103" s="358">
        <f t="shared" si="376"/>
        <v>17</v>
      </c>
      <c r="BJ103" s="340">
        <v>500</v>
      </c>
      <c r="BK103" s="365">
        <v>1462.5</v>
      </c>
      <c r="BL103" s="357">
        <f t="shared" si="377"/>
        <v>0</v>
      </c>
      <c r="BM103" s="359" t="e">
        <f t="shared" si="357"/>
        <v>#NUM!</v>
      </c>
      <c r="BN103" s="360" t="e">
        <f t="shared" si="378"/>
        <v>#NUM!</v>
      </c>
      <c r="BO103" s="359">
        <f t="shared" si="379"/>
        <v>0</v>
      </c>
      <c r="BP103" s="359">
        <f t="shared" si="380"/>
        <v>0</v>
      </c>
      <c r="BQ103" s="359">
        <f t="shared" si="381"/>
        <v>1405.0600000000002</v>
      </c>
      <c r="BR103" s="359" t="e">
        <f t="shared" si="382"/>
        <v>#NUM!</v>
      </c>
      <c r="BS103" s="359" t="e">
        <f t="shared" si="383"/>
        <v>#NUM!</v>
      </c>
      <c r="BT103" s="361" t="e">
        <f t="shared" si="384"/>
        <v>#NUM!</v>
      </c>
      <c r="BU103" s="337"/>
      <c r="BV103" s="337"/>
    </row>
    <row r="104" spans="1:74" x14ac:dyDescent="0.25">
      <c r="A104" s="846" t="s">
        <v>1219</v>
      </c>
      <c r="F104" s="336">
        <v>103</v>
      </c>
      <c r="G104" s="336" t="s">
        <v>913</v>
      </c>
      <c r="H104" s="336" t="s">
        <v>913</v>
      </c>
      <c r="I104" s="849" t="s">
        <v>203</v>
      </c>
      <c r="J104" s="337" t="s">
        <v>1220</v>
      </c>
      <c r="K104" s="338">
        <v>45914</v>
      </c>
      <c r="L104" s="336" t="s">
        <v>128</v>
      </c>
      <c r="M104" s="333">
        <v>492000</v>
      </c>
      <c r="N104" s="333">
        <v>24600</v>
      </c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333"/>
      <c r="AJ104" s="333"/>
      <c r="AK104" s="333"/>
      <c r="AL104" s="333"/>
      <c r="AM104" s="333"/>
      <c r="AN104" s="333"/>
      <c r="AO104" s="334"/>
      <c r="AP104" s="334"/>
      <c r="AQ104" s="335"/>
      <c r="AR104" s="335"/>
      <c r="AS104" s="335">
        <v>1500</v>
      </c>
      <c r="AT104" s="335">
        <v>963</v>
      </c>
      <c r="AU104" s="335">
        <v>963</v>
      </c>
      <c r="AV104" s="335"/>
      <c r="AW104" s="335">
        <v>963</v>
      </c>
      <c r="AX104" s="352">
        <f t="shared" si="302"/>
        <v>4389</v>
      </c>
      <c r="AY104" s="353">
        <f t="shared" si="367"/>
        <v>0.17841463414634146</v>
      </c>
      <c r="AZ104" s="352">
        <f t="shared" si="368"/>
        <v>-20211</v>
      </c>
      <c r="BA104" s="353">
        <f t="shared" si="369"/>
        <v>-0.82158536585365849</v>
      </c>
      <c r="BB104" s="354">
        <f t="shared" si="370"/>
        <v>487611</v>
      </c>
      <c r="BC104" s="355">
        <f t="shared" si="371"/>
        <v>0.99107926829268289</v>
      </c>
      <c r="BD104" s="356">
        <f t="shared" si="372"/>
        <v>24600</v>
      </c>
      <c r="BE104" s="357" t="str">
        <f t="shared" si="373"/>
        <v>Vendido</v>
      </c>
      <c r="BF104" s="357" t="e">
        <f t="shared" si="374"/>
        <v>#NUM!</v>
      </c>
      <c r="BG104" s="358">
        <v>16</v>
      </c>
      <c r="BH104" s="358">
        <f t="shared" si="375"/>
        <v>1</v>
      </c>
      <c r="BI104" s="358">
        <f t="shared" si="376"/>
        <v>17</v>
      </c>
      <c r="BJ104" s="340">
        <v>500</v>
      </c>
      <c r="BK104" s="365">
        <v>1462.5</v>
      </c>
      <c r="BL104" s="357">
        <f t="shared" si="377"/>
        <v>0</v>
      </c>
      <c r="BM104" s="359" t="e">
        <f t="shared" si="357"/>
        <v>#NUM!</v>
      </c>
      <c r="BN104" s="360" t="e">
        <f t="shared" si="378"/>
        <v>#NUM!</v>
      </c>
      <c r="BO104" s="359">
        <f t="shared" si="379"/>
        <v>0</v>
      </c>
      <c r="BP104" s="359">
        <f t="shared" si="380"/>
        <v>0</v>
      </c>
      <c r="BQ104" s="359">
        <f t="shared" si="381"/>
        <v>4389</v>
      </c>
      <c r="BR104" s="359" t="e">
        <f t="shared" si="382"/>
        <v>#NUM!</v>
      </c>
      <c r="BS104" s="359" t="e">
        <f t="shared" si="383"/>
        <v>#NUM!</v>
      </c>
      <c r="BT104" s="361" t="e">
        <f t="shared" si="384"/>
        <v>#NUM!</v>
      </c>
      <c r="BU104" s="337"/>
      <c r="BV104" s="337"/>
    </row>
    <row r="105" spans="1:74" x14ac:dyDescent="0.25">
      <c r="A105" s="846" t="s">
        <v>1221</v>
      </c>
      <c r="F105" s="336"/>
      <c r="G105" s="336"/>
      <c r="H105" s="336"/>
      <c r="I105" s="849" t="s">
        <v>196</v>
      </c>
      <c r="J105" s="337" t="s">
        <v>1222</v>
      </c>
      <c r="K105" s="338">
        <v>45921</v>
      </c>
      <c r="L105" s="336" t="s">
        <v>128</v>
      </c>
      <c r="M105" s="333">
        <v>492700</v>
      </c>
      <c r="N105" s="333">
        <v>24700</v>
      </c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  <c r="AA105" s="333"/>
      <c r="AB105" s="333"/>
      <c r="AC105" s="333"/>
      <c r="AD105" s="333"/>
      <c r="AE105" s="333"/>
      <c r="AF105" s="333"/>
      <c r="AG105" s="333"/>
      <c r="AH105" s="333"/>
      <c r="AI105" s="333"/>
      <c r="AJ105" s="333"/>
      <c r="AK105" s="333"/>
      <c r="AL105" s="333"/>
      <c r="AM105" s="333"/>
      <c r="AN105" s="333"/>
      <c r="AO105" s="334"/>
      <c r="AP105" s="334"/>
      <c r="AQ105" s="335"/>
      <c r="AR105" s="335"/>
      <c r="AS105" s="335">
        <v>1500</v>
      </c>
      <c r="AT105" s="335"/>
      <c r="AU105" s="335">
        <v>0</v>
      </c>
      <c r="AV105" s="335"/>
      <c r="AW105" s="335"/>
      <c r="AX105" s="352">
        <f t="shared" si="302"/>
        <v>1500</v>
      </c>
      <c r="AY105" s="353">
        <f t="shared" ref="AY105:AY117" si="385">IFERROR((+AX105/N105),0)</f>
        <v>6.0728744939271252E-2</v>
      </c>
      <c r="AZ105" s="352">
        <f t="shared" ref="AZ105:AZ117" si="386">+AX105-BD105</f>
        <v>-23200</v>
      </c>
      <c r="BA105" s="353">
        <f t="shared" ref="BA105:BA117" si="387">+AZ105/N105</f>
        <v>-0.93927125506072873</v>
      </c>
      <c r="BB105" s="354">
        <f t="shared" ref="BB105:BB117" si="388">+M105-AX105</f>
        <v>491200</v>
      </c>
      <c r="BC105" s="355">
        <f t="shared" ref="BC105:BC117" si="389">+BB105/M105</f>
        <v>0.99695555104526079</v>
      </c>
      <c r="BD105" s="356">
        <f t="shared" ref="BD105:BD117" si="390">IF(BE105="Vendido",N105*1,IF(BE105="Disponible",N105*0,IF(BE105="Enganche Completado",N105*1,IF(BE105="Superávit de Enganche",N105*1,0))))</f>
        <v>24700</v>
      </c>
      <c r="BE105" s="357" t="str">
        <f t="shared" ref="BE105:BE117" si="391">IF(J105=0,"Apartamento Disponible",IF(J105&gt;1,"Vendido",0))</f>
        <v>Vendido</v>
      </c>
      <c r="BF105" s="357" t="e">
        <f t="shared" si="374"/>
        <v>#NUM!</v>
      </c>
      <c r="BG105" s="358">
        <v>16</v>
      </c>
      <c r="BH105" s="358">
        <f t="shared" ref="BH105:BH117" si="392">IF(BG105&gt;1,1,0)</f>
        <v>1</v>
      </c>
      <c r="BI105" s="358">
        <f t="shared" ref="BI105:BI117" si="393">+BG105+BH105</f>
        <v>17</v>
      </c>
      <c r="BJ105" s="340">
        <v>500</v>
      </c>
      <c r="BK105" s="365">
        <v>1462.5</v>
      </c>
      <c r="BL105" s="357">
        <f t="shared" ref="BL105:BL117" si="394">COUNTIFS(O105:AO105,"&gt;0.01",O105:AO105,"&lt;" &amp; BJ105)</f>
        <v>0</v>
      </c>
      <c r="BM105" s="359" t="e">
        <f t="shared" si="357"/>
        <v>#NUM!</v>
      </c>
      <c r="BN105" s="360" t="e">
        <f t="shared" ref="BN105:BN117" si="395">(BM105*BK105)+BJ105</f>
        <v>#NUM!</v>
      </c>
      <c r="BO105" s="359">
        <f t="shared" ref="BO105:BO117" si="396">SUMIF(O105:AP105,"&lt;=" &amp; BK105,O105:AP105)</f>
        <v>0</v>
      </c>
      <c r="BP105" s="359">
        <f t="shared" ref="BP105:BP117" si="397">SUMIF(O105:AP105,"&gt;" &amp; BK105,O105:AP105)</f>
        <v>0</v>
      </c>
      <c r="BQ105" s="359">
        <f t="shared" ref="BQ105:BQ117" si="398">AX105-BO105-BP105</f>
        <v>1500</v>
      </c>
      <c r="BR105" s="359" t="e">
        <f t="shared" ref="BR105:BR117" si="399">IF(AX105&gt;BN105,AX105-BN105,0)</f>
        <v>#NUM!</v>
      </c>
      <c r="BS105" s="359" t="e">
        <f t="shared" ref="BS105:BS117" si="400">IF(AX105&lt;BN105,BN105-AX105,0)</f>
        <v>#NUM!</v>
      </c>
      <c r="BT105" s="361" t="e">
        <f t="shared" ref="BT105:BT117" si="401">ROUNDUP(IF(K105&gt;0,BS105/BK105,0),0)</f>
        <v>#NUM!</v>
      </c>
      <c r="BU105" s="337"/>
      <c r="BV105" s="337"/>
    </row>
    <row r="106" spans="1:74" x14ac:dyDescent="0.25">
      <c r="A106" s="846" t="s">
        <v>1223</v>
      </c>
      <c r="F106" s="343">
        <v>101</v>
      </c>
      <c r="G106" s="343" t="s">
        <v>913</v>
      </c>
      <c r="H106" s="343" t="s">
        <v>146</v>
      </c>
      <c r="I106" s="849" t="s">
        <v>1109</v>
      </c>
      <c r="J106" s="337" t="s">
        <v>1224</v>
      </c>
      <c r="K106" s="338">
        <v>45935</v>
      </c>
      <c r="L106" s="336" t="s">
        <v>956</v>
      </c>
      <c r="M106" s="333">
        <v>497700</v>
      </c>
      <c r="N106" s="333">
        <v>24900</v>
      </c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  <c r="AA106" s="333"/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  <c r="AM106" s="333"/>
      <c r="AN106" s="333"/>
      <c r="AO106" s="334"/>
      <c r="AP106" s="334"/>
      <c r="AQ106" s="335"/>
      <c r="AR106" s="335"/>
      <c r="AS106" s="335">
        <v>0</v>
      </c>
      <c r="AT106" s="871">
        <f>750+750</f>
        <v>1500</v>
      </c>
      <c r="AU106" s="335">
        <v>0</v>
      </c>
      <c r="AV106" s="335">
        <v>1018</v>
      </c>
      <c r="AW106" s="335"/>
      <c r="AX106" s="352">
        <f t="shared" si="302"/>
        <v>2518</v>
      </c>
      <c r="AY106" s="353">
        <f t="shared" si="385"/>
        <v>0.10112449799196788</v>
      </c>
      <c r="AZ106" s="352">
        <f t="shared" si="386"/>
        <v>-22382</v>
      </c>
      <c r="BA106" s="353">
        <f t="shared" si="387"/>
        <v>-0.89887550200803212</v>
      </c>
      <c r="BB106" s="354">
        <f t="shared" si="388"/>
        <v>495182</v>
      </c>
      <c r="BC106" s="355">
        <f t="shared" si="389"/>
        <v>0.99494072734579064</v>
      </c>
      <c r="BD106" s="356">
        <f t="shared" si="390"/>
        <v>24900</v>
      </c>
      <c r="BE106" s="357" t="str">
        <f t="shared" si="391"/>
        <v>Vendido</v>
      </c>
      <c r="BF106" s="357" t="e">
        <f t="shared" si="374"/>
        <v>#NUM!</v>
      </c>
      <c r="BG106" s="358">
        <v>16</v>
      </c>
      <c r="BH106" s="358">
        <f t="shared" si="392"/>
        <v>1</v>
      </c>
      <c r="BI106" s="358">
        <f t="shared" si="393"/>
        <v>17</v>
      </c>
      <c r="BJ106" s="340">
        <v>500</v>
      </c>
      <c r="BK106" s="365">
        <v>1462.5</v>
      </c>
      <c r="BL106" s="357">
        <f t="shared" si="394"/>
        <v>0</v>
      </c>
      <c r="BM106" s="359" t="e">
        <f t="shared" si="357"/>
        <v>#NUM!</v>
      </c>
      <c r="BN106" s="360" t="e">
        <f t="shared" si="395"/>
        <v>#NUM!</v>
      </c>
      <c r="BO106" s="359">
        <f t="shared" si="396"/>
        <v>0</v>
      </c>
      <c r="BP106" s="359">
        <f t="shared" si="397"/>
        <v>0</v>
      </c>
      <c r="BQ106" s="359">
        <f t="shared" si="398"/>
        <v>2518</v>
      </c>
      <c r="BR106" s="359" t="e">
        <f t="shared" si="399"/>
        <v>#NUM!</v>
      </c>
      <c r="BS106" s="359" t="e">
        <f t="shared" si="400"/>
        <v>#NUM!</v>
      </c>
      <c r="BT106" s="361" t="e">
        <f t="shared" si="401"/>
        <v>#NUM!</v>
      </c>
      <c r="BU106" s="337"/>
      <c r="BV106" s="337"/>
    </row>
    <row r="107" spans="1:74" x14ac:dyDescent="0.25">
      <c r="A107" s="846" t="s">
        <v>1225</v>
      </c>
      <c r="F107" s="336"/>
      <c r="G107" s="336"/>
      <c r="H107" s="336"/>
      <c r="I107" s="849" t="s">
        <v>203</v>
      </c>
      <c r="J107" s="337" t="s">
        <v>1226</v>
      </c>
      <c r="K107" s="338">
        <v>45949</v>
      </c>
      <c r="L107" s="336" t="s">
        <v>956</v>
      </c>
      <c r="M107" s="333">
        <v>492000</v>
      </c>
      <c r="N107" s="333">
        <v>24600</v>
      </c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  <c r="AJ107" s="333"/>
      <c r="AK107" s="333"/>
      <c r="AL107" s="333"/>
      <c r="AM107" s="333"/>
      <c r="AN107" s="333"/>
      <c r="AO107" s="334"/>
      <c r="AP107" s="334"/>
      <c r="AQ107" s="335"/>
      <c r="AR107" s="335"/>
      <c r="AS107" s="335">
        <v>0</v>
      </c>
      <c r="AT107" s="335">
        <v>1000</v>
      </c>
      <c r="AU107" s="335">
        <v>0</v>
      </c>
      <c r="AV107" s="335"/>
      <c r="AW107" s="335"/>
      <c r="AX107" s="352">
        <f t="shared" si="302"/>
        <v>1000</v>
      </c>
      <c r="AY107" s="353">
        <f t="shared" si="385"/>
        <v>4.065040650406504E-2</v>
      </c>
      <c r="AZ107" s="352">
        <f t="shared" si="386"/>
        <v>-23600</v>
      </c>
      <c r="BA107" s="353">
        <f t="shared" si="387"/>
        <v>-0.95934959349593496</v>
      </c>
      <c r="BB107" s="354">
        <f t="shared" si="388"/>
        <v>491000</v>
      </c>
      <c r="BC107" s="355">
        <f t="shared" si="389"/>
        <v>0.99796747967479671</v>
      </c>
      <c r="BD107" s="356">
        <f t="shared" si="390"/>
        <v>24600</v>
      </c>
      <c r="BE107" s="357" t="str">
        <f t="shared" si="391"/>
        <v>Vendido</v>
      </c>
      <c r="BF107" s="357" t="e">
        <f t="shared" si="374"/>
        <v>#NUM!</v>
      </c>
      <c r="BG107" s="358">
        <v>16</v>
      </c>
      <c r="BH107" s="358">
        <f t="shared" si="392"/>
        <v>1</v>
      </c>
      <c r="BI107" s="358">
        <f t="shared" si="393"/>
        <v>17</v>
      </c>
      <c r="BJ107" s="340">
        <v>500</v>
      </c>
      <c r="BK107" s="365">
        <v>1462.5</v>
      </c>
      <c r="BL107" s="357">
        <f t="shared" si="394"/>
        <v>0</v>
      </c>
      <c r="BM107" s="359" t="e">
        <f t="shared" si="357"/>
        <v>#NUM!</v>
      </c>
      <c r="BN107" s="360" t="e">
        <f t="shared" si="395"/>
        <v>#NUM!</v>
      </c>
      <c r="BO107" s="359">
        <f t="shared" si="396"/>
        <v>0</v>
      </c>
      <c r="BP107" s="359">
        <f t="shared" si="397"/>
        <v>0</v>
      </c>
      <c r="BQ107" s="359">
        <f t="shared" si="398"/>
        <v>1000</v>
      </c>
      <c r="BR107" s="359" t="e">
        <f t="shared" si="399"/>
        <v>#NUM!</v>
      </c>
      <c r="BS107" s="359" t="e">
        <f t="shared" si="400"/>
        <v>#NUM!</v>
      </c>
      <c r="BT107" s="361" t="e">
        <f t="shared" si="401"/>
        <v>#NUM!</v>
      </c>
      <c r="BU107" s="337"/>
      <c r="BV107" s="337"/>
    </row>
    <row r="108" spans="1:74" x14ac:dyDescent="0.25">
      <c r="A108" s="846" t="s">
        <v>1227</v>
      </c>
      <c r="F108" s="336"/>
      <c r="G108" s="336"/>
      <c r="H108" s="336"/>
      <c r="I108" s="849" t="s">
        <v>203</v>
      </c>
      <c r="J108" s="337" t="s">
        <v>1228</v>
      </c>
      <c r="K108" s="338">
        <v>45942</v>
      </c>
      <c r="L108" s="336" t="s">
        <v>956</v>
      </c>
      <c r="M108" s="333">
        <v>492700</v>
      </c>
      <c r="N108" s="333">
        <v>24700</v>
      </c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  <c r="AJ108" s="333"/>
      <c r="AK108" s="333"/>
      <c r="AL108" s="333"/>
      <c r="AM108" s="333"/>
      <c r="AN108" s="333"/>
      <c r="AO108" s="334"/>
      <c r="AP108" s="334"/>
      <c r="AQ108" s="335"/>
      <c r="AR108" s="335"/>
      <c r="AS108" s="335"/>
      <c r="AT108" s="335">
        <v>300</v>
      </c>
      <c r="AU108" s="335">
        <v>1200</v>
      </c>
      <c r="AV108" s="335"/>
      <c r="AW108" s="335"/>
      <c r="AX108" s="352">
        <f t="shared" si="302"/>
        <v>1500</v>
      </c>
      <c r="AY108" s="353">
        <f t="shared" si="385"/>
        <v>6.0728744939271252E-2</v>
      </c>
      <c r="AZ108" s="352">
        <f t="shared" si="386"/>
        <v>-23200</v>
      </c>
      <c r="BA108" s="353">
        <f t="shared" si="387"/>
        <v>-0.93927125506072873</v>
      </c>
      <c r="BB108" s="354">
        <f t="shared" si="388"/>
        <v>491200</v>
      </c>
      <c r="BC108" s="355">
        <f t="shared" si="389"/>
        <v>0.99695555104526079</v>
      </c>
      <c r="BD108" s="356">
        <f t="shared" si="390"/>
        <v>24700</v>
      </c>
      <c r="BE108" s="357" t="str">
        <f t="shared" si="391"/>
        <v>Vendido</v>
      </c>
      <c r="BF108" s="357" t="e">
        <f t="shared" si="374"/>
        <v>#NUM!</v>
      </c>
      <c r="BG108" s="358">
        <v>16</v>
      </c>
      <c r="BH108" s="358">
        <f t="shared" si="392"/>
        <v>1</v>
      </c>
      <c r="BI108" s="358">
        <f t="shared" si="393"/>
        <v>17</v>
      </c>
      <c r="BJ108" s="340">
        <v>500</v>
      </c>
      <c r="BK108" s="365">
        <v>1462.5</v>
      </c>
      <c r="BL108" s="357">
        <f t="shared" si="394"/>
        <v>0</v>
      </c>
      <c r="BM108" s="359" t="e">
        <f t="shared" si="357"/>
        <v>#NUM!</v>
      </c>
      <c r="BN108" s="360" t="e">
        <f t="shared" si="395"/>
        <v>#NUM!</v>
      </c>
      <c r="BO108" s="359">
        <f t="shared" si="396"/>
        <v>0</v>
      </c>
      <c r="BP108" s="359">
        <f t="shared" si="397"/>
        <v>0</v>
      </c>
      <c r="BQ108" s="359">
        <f t="shared" si="398"/>
        <v>1500</v>
      </c>
      <c r="BR108" s="359" t="e">
        <f t="shared" si="399"/>
        <v>#NUM!</v>
      </c>
      <c r="BS108" s="359" t="e">
        <f t="shared" si="400"/>
        <v>#NUM!</v>
      </c>
      <c r="BT108" s="361" t="e">
        <f t="shared" si="401"/>
        <v>#NUM!</v>
      </c>
      <c r="BU108" s="337"/>
      <c r="BV108" s="337"/>
    </row>
    <row r="109" spans="1:74" x14ac:dyDescent="0.25">
      <c r="A109" s="846" t="s">
        <v>1229</v>
      </c>
      <c r="F109" s="336"/>
      <c r="G109" s="336"/>
      <c r="H109" s="336"/>
      <c r="I109" s="849" t="s">
        <v>203</v>
      </c>
      <c r="J109" s="337" t="s">
        <v>1230</v>
      </c>
      <c r="K109" s="338">
        <v>45949</v>
      </c>
      <c r="L109" s="336" t="s">
        <v>956</v>
      </c>
      <c r="M109" s="333">
        <v>492700</v>
      </c>
      <c r="N109" s="333">
        <v>24700</v>
      </c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  <c r="AM109" s="333"/>
      <c r="AN109" s="333"/>
      <c r="AO109" s="334"/>
      <c r="AP109" s="334"/>
      <c r="AQ109" s="335"/>
      <c r="AR109" s="335"/>
      <c r="AS109" s="335"/>
      <c r="AT109" s="335">
        <v>1500</v>
      </c>
      <c r="AU109" s="335">
        <v>0</v>
      </c>
      <c r="AV109" s="335">
        <v>967</v>
      </c>
      <c r="AW109" s="335"/>
      <c r="AX109" s="352">
        <f t="shared" si="302"/>
        <v>2467</v>
      </c>
      <c r="AY109" s="353">
        <f t="shared" si="385"/>
        <v>9.987854251012146E-2</v>
      </c>
      <c r="AZ109" s="352">
        <f t="shared" si="386"/>
        <v>-22233</v>
      </c>
      <c r="BA109" s="353">
        <f t="shared" si="387"/>
        <v>-0.9001214574898786</v>
      </c>
      <c r="BB109" s="354">
        <f t="shared" si="388"/>
        <v>490233</v>
      </c>
      <c r="BC109" s="355">
        <f t="shared" si="389"/>
        <v>0.99499289628577225</v>
      </c>
      <c r="BD109" s="356">
        <f t="shared" si="390"/>
        <v>24700</v>
      </c>
      <c r="BE109" s="357" t="str">
        <f t="shared" si="391"/>
        <v>Vendido</v>
      </c>
      <c r="BF109" s="357" t="e">
        <f t="shared" si="374"/>
        <v>#NUM!</v>
      </c>
      <c r="BG109" s="358">
        <v>16</v>
      </c>
      <c r="BH109" s="358">
        <f t="shared" si="392"/>
        <v>1</v>
      </c>
      <c r="BI109" s="358">
        <f t="shared" si="393"/>
        <v>17</v>
      </c>
      <c r="BJ109" s="340">
        <v>500</v>
      </c>
      <c r="BK109" s="365">
        <v>1462.5</v>
      </c>
      <c r="BL109" s="357">
        <f t="shared" si="394"/>
        <v>0</v>
      </c>
      <c r="BM109" s="359" t="e">
        <f t="shared" si="357"/>
        <v>#NUM!</v>
      </c>
      <c r="BN109" s="360" t="e">
        <f t="shared" si="395"/>
        <v>#NUM!</v>
      </c>
      <c r="BO109" s="359">
        <f t="shared" si="396"/>
        <v>0</v>
      </c>
      <c r="BP109" s="359">
        <f t="shared" si="397"/>
        <v>0</v>
      </c>
      <c r="BQ109" s="359">
        <f t="shared" si="398"/>
        <v>2467</v>
      </c>
      <c r="BR109" s="359" t="e">
        <f t="shared" si="399"/>
        <v>#NUM!</v>
      </c>
      <c r="BS109" s="359" t="e">
        <f t="shared" si="400"/>
        <v>#NUM!</v>
      </c>
      <c r="BT109" s="361" t="e">
        <f t="shared" si="401"/>
        <v>#NUM!</v>
      </c>
      <c r="BU109" s="337"/>
      <c r="BV109" s="337"/>
    </row>
    <row r="110" spans="1:74" x14ac:dyDescent="0.25">
      <c r="A110" s="846" t="s">
        <v>1231</v>
      </c>
      <c r="F110" s="336">
        <v>602</v>
      </c>
      <c r="G110" s="336" t="s">
        <v>913</v>
      </c>
      <c r="H110" s="336" t="s">
        <v>913</v>
      </c>
      <c r="I110" s="336" t="s">
        <v>1109</v>
      </c>
      <c r="J110" s="337" t="s">
        <v>1232</v>
      </c>
      <c r="K110" s="338">
        <v>45920</v>
      </c>
      <c r="L110" s="336" t="s">
        <v>128</v>
      </c>
      <c r="M110" s="333">
        <v>492000</v>
      </c>
      <c r="N110" s="333">
        <v>24600</v>
      </c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  <c r="AA110" s="333"/>
      <c r="AB110" s="333"/>
      <c r="AC110" s="333"/>
      <c r="AD110" s="333"/>
      <c r="AE110" s="333"/>
      <c r="AF110" s="333"/>
      <c r="AG110" s="333"/>
      <c r="AH110" s="333"/>
      <c r="AI110" s="333"/>
      <c r="AJ110" s="333"/>
      <c r="AK110" s="333"/>
      <c r="AL110" s="333"/>
      <c r="AM110" s="333"/>
      <c r="AN110" s="333"/>
      <c r="AO110" s="334"/>
      <c r="AP110" s="334"/>
      <c r="AQ110" s="335"/>
      <c r="AR110" s="335"/>
      <c r="AS110" s="335">
        <v>2000</v>
      </c>
      <c r="AT110" s="335">
        <v>963</v>
      </c>
      <c r="AU110" s="335">
        <v>0</v>
      </c>
      <c r="AV110" s="335">
        <v>963</v>
      </c>
      <c r="AW110" s="335">
        <v>963</v>
      </c>
      <c r="AX110" s="352">
        <f t="shared" si="302"/>
        <v>4889</v>
      </c>
      <c r="AY110" s="353">
        <f t="shared" si="385"/>
        <v>0.19873983739837398</v>
      </c>
      <c r="AZ110" s="352">
        <f t="shared" si="386"/>
        <v>-19711</v>
      </c>
      <c r="BA110" s="353">
        <f t="shared" si="387"/>
        <v>-0.80126016260162602</v>
      </c>
      <c r="BB110" s="354">
        <f t="shared" si="388"/>
        <v>487111</v>
      </c>
      <c r="BC110" s="355">
        <f t="shared" si="389"/>
        <v>0.9900630081300813</v>
      </c>
      <c r="BD110" s="356">
        <f t="shared" si="390"/>
        <v>24600</v>
      </c>
      <c r="BE110" s="357" t="str">
        <f t="shared" si="391"/>
        <v>Vendido</v>
      </c>
      <c r="BF110" s="357" t="e">
        <f t="shared" si="374"/>
        <v>#NUM!</v>
      </c>
      <c r="BG110" s="358">
        <v>16</v>
      </c>
      <c r="BH110" s="358">
        <f t="shared" si="392"/>
        <v>1</v>
      </c>
      <c r="BI110" s="358">
        <f t="shared" si="393"/>
        <v>17</v>
      </c>
      <c r="BJ110" s="340">
        <v>500</v>
      </c>
      <c r="BK110" s="365">
        <v>1462.5</v>
      </c>
      <c r="BL110" s="357">
        <f t="shared" si="394"/>
        <v>0</v>
      </c>
      <c r="BM110" s="359" t="e">
        <f t="shared" si="357"/>
        <v>#NUM!</v>
      </c>
      <c r="BN110" s="360" t="e">
        <f t="shared" si="395"/>
        <v>#NUM!</v>
      </c>
      <c r="BO110" s="359">
        <f t="shared" si="396"/>
        <v>0</v>
      </c>
      <c r="BP110" s="359">
        <f t="shared" si="397"/>
        <v>0</v>
      </c>
      <c r="BQ110" s="359">
        <f t="shared" si="398"/>
        <v>4889</v>
      </c>
      <c r="BR110" s="359" t="e">
        <f t="shared" si="399"/>
        <v>#NUM!</v>
      </c>
      <c r="BS110" s="359" t="e">
        <f t="shared" si="400"/>
        <v>#NUM!</v>
      </c>
      <c r="BT110" s="361" t="e">
        <f t="shared" si="401"/>
        <v>#NUM!</v>
      </c>
      <c r="BU110" s="337"/>
      <c r="BV110" s="337"/>
    </row>
    <row r="111" spans="1:74" x14ac:dyDescent="0.25">
      <c r="A111" s="846" t="s">
        <v>1233</v>
      </c>
      <c r="F111" s="336"/>
      <c r="G111" s="336"/>
      <c r="H111" s="336"/>
      <c r="I111" s="849" t="s">
        <v>196</v>
      </c>
      <c r="J111" s="337" t="s">
        <v>1234</v>
      </c>
      <c r="K111" s="338">
        <v>45945</v>
      </c>
      <c r="L111" s="336" t="s">
        <v>956</v>
      </c>
      <c r="M111" s="333">
        <v>497000</v>
      </c>
      <c r="N111" s="333">
        <v>24900</v>
      </c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  <c r="AJ111" s="333"/>
      <c r="AK111" s="333"/>
      <c r="AL111" s="333"/>
      <c r="AM111" s="333"/>
      <c r="AN111" s="333"/>
      <c r="AO111" s="334"/>
      <c r="AP111" s="334"/>
      <c r="AQ111" s="335"/>
      <c r="AR111" s="335"/>
      <c r="AS111" s="335"/>
      <c r="AT111" s="335">
        <v>1500</v>
      </c>
      <c r="AU111" s="335">
        <v>0</v>
      </c>
      <c r="AV111" s="335">
        <v>1018</v>
      </c>
      <c r="AW111" s="335"/>
      <c r="AX111" s="352">
        <f t="shared" si="302"/>
        <v>2518</v>
      </c>
      <c r="AY111" s="353">
        <f t="shared" si="385"/>
        <v>0.10112449799196788</v>
      </c>
      <c r="AZ111" s="352">
        <f t="shared" si="386"/>
        <v>-22382</v>
      </c>
      <c r="BA111" s="353">
        <f t="shared" si="387"/>
        <v>-0.89887550200803212</v>
      </c>
      <c r="BB111" s="354">
        <f t="shared" si="388"/>
        <v>494482</v>
      </c>
      <c r="BC111" s="355">
        <f t="shared" si="389"/>
        <v>0.99493360160965794</v>
      </c>
      <c r="BD111" s="356">
        <f t="shared" si="390"/>
        <v>24900</v>
      </c>
      <c r="BE111" s="357" t="str">
        <f t="shared" si="391"/>
        <v>Vendido</v>
      </c>
      <c r="BF111" s="357" t="e">
        <f t="shared" si="374"/>
        <v>#NUM!</v>
      </c>
      <c r="BG111" s="358">
        <v>16</v>
      </c>
      <c r="BH111" s="358">
        <f t="shared" si="392"/>
        <v>1</v>
      </c>
      <c r="BI111" s="358">
        <f t="shared" si="393"/>
        <v>17</v>
      </c>
      <c r="BJ111" s="340">
        <v>500</v>
      </c>
      <c r="BK111" s="365">
        <v>1462.5</v>
      </c>
      <c r="BL111" s="357">
        <f t="shared" si="394"/>
        <v>0</v>
      </c>
      <c r="BM111" s="359" t="e">
        <f t="shared" si="357"/>
        <v>#NUM!</v>
      </c>
      <c r="BN111" s="360" t="e">
        <f t="shared" si="395"/>
        <v>#NUM!</v>
      </c>
      <c r="BO111" s="359">
        <f t="shared" si="396"/>
        <v>0</v>
      </c>
      <c r="BP111" s="359">
        <f t="shared" si="397"/>
        <v>0</v>
      </c>
      <c r="BQ111" s="359">
        <f t="shared" si="398"/>
        <v>2518</v>
      </c>
      <c r="BR111" s="359" t="e">
        <f t="shared" si="399"/>
        <v>#NUM!</v>
      </c>
      <c r="BS111" s="359" t="e">
        <f t="shared" si="400"/>
        <v>#NUM!</v>
      </c>
      <c r="BT111" s="361" t="e">
        <f t="shared" si="401"/>
        <v>#NUM!</v>
      </c>
      <c r="BU111" s="337"/>
      <c r="BV111" s="337"/>
    </row>
    <row r="112" spans="1:74" x14ac:dyDescent="0.25">
      <c r="A112" s="846" t="s">
        <v>1235</v>
      </c>
      <c r="F112" s="336">
        <v>610</v>
      </c>
      <c r="G112" s="336" t="s">
        <v>913</v>
      </c>
      <c r="H112" s="336"/>
      <c r="I112" s="849" t="s">
        <v>1236</v>
      </c>
      <c r="J112" s="337" t="s">
        <v>1237</v>
      </c>
      <c r="K112" s="338">
        <v>45956</v>
      </c>
      <c r="L112" s="336" t="s">
        <v>956</v>
      </c>
      <c r="M112" s="333">
        <v>497000</v>
      </c>
      <c r="N112" s="333">
        <v>24900</v>
      </c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  <c r="AA112" s="333"/>
      <c r="AB112" s="333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  <c r="AN112" s="333"/>
      <c r="AO112" s="334"/>
      <c r="AP112" s="334"/>
      <c r="AQ112" s="335"/>
      <c r="AR112" s="335"/>
      <c r="AS112" s="335"/>
      <c r="AT112" s="335">
        <v>1500</v>
      </c>
      <c r="AU112" s="335">
        <v>0</v>
      </c>
      <c r="AV112" s="335">
        <v>1018</v>
      </c>
      <c r="AW112" s="335"/>
      <c r="AX112" s="352">
        <f t="shared" si="302"/>
        <v>2518</v>
      </c>
      <c r="AY112" s="353">
        <f t="shared" si="385"/>
        <v>0.10112449799196788</v>
      </c>
      <c r="AZ112" s="352">
        <f t="shared" si="386"/>
        <v>-22382</v>
      </c>
      <c r="BA112" s="353">
        <f t="shared" si="387"/>
        <v>-0.89887550200803212</v>
      </c>
      <c r="BB112" s="354">
        <f t="shared" si="388"/>
        <v>494482</v>
      </c>
      <c r="BC112" s="355">
        <f t="shared" si="389"/>
        <v>0.99493360160965794</v>
      </c>
      <c r="BD112" s="356">
        <f t="shared" si="390"/>
        <v>24900</v>
      </c>
      <c r="BE112" s="357" t="str">
        <f t="shared" si="391"/>
        <v>Vendido</v>
      </c>
      <c r="BF112" s="357" t="e">
        <f t="shared" si="374"/>
        <v>#NUM!</v>
      </c>
      <c r="BG112" s="358">
        <v>16</v>
      </c>
      <c r="BH112" s="358">
        <f t="shared" si="392"/>
        <v>1</v>
      </c>
      <c r="BI112" s="358">
        <f t="shared" si="393"/>
        <v>17</v>
      </c>
      <c r="BJ112" s="340">
        <v>500</v>
      </c>
      <c r="BK112" s="365">
        <v>1462.5</v>
      </c>
      <c r="BL112" s="357">
        <f t="shared" si="394"/>
        <v>0</v>
      </c>
      <c r="BM112" s="359" t="e">
        <f t="shared" si="357"/>
        <v>#NUM!</v>
      </c>
      <c r="BN112" s="360" t="e">
        <f t="shared" si="395"/>
        <v>#NUM!</v>
      </c>
      <c r="BO112" s="359">
        <f t="shared" si="396"/>
        <v>0</v>
      </c>
      <c r="BP112" s="359">
        <f t="shared" si="397"/>
        <v>0</v>
      </c>
      <c r="BQ112" s="359">
        <f t="shared" si="398"/>
        <v>2518</v>
      </c>
      <c r="BR112" s="359" t="e">
        <f t="shared" si="399"/>
        <v>#NUM!</v>
      </c>
      <c r="BS112" s="359" t="e">
        <f t="shared" si="400"/>
        <v>#NUM!</v>
      </c>
      <c r="BT112" s="361" t="e">
        <f t="shared" si="401"/>
        <v>#NUM!</v>
      </c>
      <c r="BU112" s="337"/>
      <c r="BV112" s="337"/>
    </row>
    <row r="113" spans="1:74" x14ac:dyDescent="0.25">
      <c r="A113" s="846" t="s">
        <v>1139</v>
      </c>
      <c r="F113" s="336">
        <v>503</v>
      </c>
      <c r="G113" s="336" t="s">
        <v>913</v>
      </c>
      <c r="H113" s="336" t="s">
        <v>913</v>
      </c>
      <c r="I113" s="849" t="s">
        <v>1236</v>
      </c>
      <c r="J113" s="337" t="s">
        <v>1238</v>
      </c>
      <c r="K113" s="338">
        <v>45956</v>
      </c>
      <c r="L113" s="336" t="s">
        <v>956</v>
      </c>
      <c r="M113" s="333">
        <v>497000</v>
      </c>
      <c r="N113" s="333">
        <v>24900</v>
      </c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  <c r="AA113" s="333"/>
      <c r="AB113" s="333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  <c r="AN113" s="333"/>
      <c r="AO113" s="334"/>
      <c r="AP113" s="334"/>
      <c r="AQ113" s="335"/>
      <c r="AR113" s="335"/>
      <c r="AS113" s="335"/>
      <c r="AT113" s="335">
        <v>1500</v>
      </c>
      <c r="AU113" s="335">
        <v>0</v>
      </c>
      <c r="AV113" s="335">
        <v>1018</v>
      </c>
      <c r="AW113" s="335"/>
      <c r="AX113" s="352">
        <f t="shared" si="302"/>
        <v>2518</v>
      </c>
      <c r="AY113" s="353">
        <f t="shared" si="385"/>
        <v>0.10112449799196788</v>
      </c>
      <c r="AZ113" s="352">
        <f t="shared" si="386"/>
        <v>-22382</v>
      </c>
      <c r="BA113" s="353">
        <f t="shared" si="387"/>
        <v>-0.89887550200803212</v>
      </c>
      <c r="BB113" s="354">
        <f t="shared" si="388"/>
        <v>494482</v>
      </c>
      <c r="BC113" s="355">
        <f t="shared" si="389"/>
        <v>0.99493360160965794</v>
      </c>
      <c r="BD113" s="356">
        <f t="shared" si="390"/>
        <v>24900</v>
      </c>
      <c r="BE113" s="357" t="str">
        <f t="shared" si="391"/>
        <v>Vendido</v>
      </c>
      <c r="BF113" s="357" t="e">
        <f t="shared" si="374"/>
        <v>#NUM!</v>
      </c>
      <c r="BG113" s="358">
        <v>16</v>
      </c>
      <c r="BH113" s="358">
        <f t="shared" si="392"/>
        <v>1</v>
      </c>
      <c r="BI113" s="358">
        <f t="shared" si="393"/>
        <v>17</v>
      </c>
      <c r="BJ113" s="340">
        <v>500</v>
      </c>
      <c r="BK113" s="365">
        <v>1462.5</v>
      </c>
      <c r="BL113" s="357">
        <f t="shared" si="394"/>
        <v>0</v>
      </c>
      <c r="BM113" s="359" t="e">
        <f t="shared" si="357"/>
        <v>#NUM!</v>
      </c>
      <c r="BN113" s="360" t="e">
        <f t="shared" si="395"/>
        <v>#NUM!</v>
      </c>
      <c r="BO113" s="359">
        <f t="shared" si="396"/>
        <v>0</v>
      </c>
      <c r="BP113" s="359">
        <f t="shared" si="397"/>
        <v>0</v>
      </c>
      <c r="BQ113" s="359">
        <f t="shared" si="398"/>
        <v>2518</v>
      </c>
      <c r="BR113" s="359" t="e">
        <f t="shared" si="399"/>
        <v>#NUM!</v>
      </c>
      <c r="BS113" s="359" t="e">
        <f t="shared" si="400"/>
        <v>#NUM!</v>
      </c>
      <c r="BT113" s="361" t="e">
        <f t="shared" si="401"/>
        <v>#NUM!</v>
      </c>
      <c r="BU113" s="337"/>
      <c r="BV113" s="337"/>
    </row>
    <row r="114" spans="1:74" x14ac:dyDescent="0.25">
      <c r="A114" s="846" t="s">
        <v>1239</v>
      </c>
      <c r="F114" s="336"/>
      <c r="G114" s="336"/>
      <c r="H114" s="336"/>
      <c r="I114" s="849" t="s">
        <v>1109</v>
      </c>
      <c r="J114" s="337" t="s">
        <v>1240</v>
      </c>
      <c r="K114" s="338">
        <v>45948</v>
      </c>
      <c r="L114" s="336" t="s">
        <v>956</v>
      </c>
      <c r="M114" s="333">
        <v>497000</v>
      </c>
      <c r="N114" s="333">
        <v>24900</v>
      </c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  <c r="Z114" s="333"/>
      <c r="AA114" s="333"/>
      <c r="AB114" s="333"/>
      <c r="AC114" s="333"/>
      <c r="AD114" s="333"/>
      <c r="AE114" s="333"/>
      <c r="AF114" s="333"/>
      <c r="AG114" s="333"/>
      <c r="AH114" s="333"/>
      <c r="AI114" s="333"/>
      <c r="AJ114" s="333"/>
      <c r="AK114" s="333"/>
      <c r="AL114" s="333"/>
      <c r="AM114" s="333"/>
      <c r="AN114" s="333"/>
      <c r="AO114" s="334"/>
      <c r="AP114" s="334"/>
      <c r="AQ114" s="335"/>
      <c r="AR114" s="335"/>
      <c r="AS114" s="335"/>
      <c r="AT114" s="871">
        <v>1500</v>
      </c>
      <c r="AU114" s="335">
        <v>0</v>
      </c>
      <c r="AV114" s="335">
        <v>1018</v>
      </c>
      <c r="AW114" s="335"/>
      <c r="AX114" s="352">
        <f t="shared" si="302"/>
        <v>2518</v>
      </c>
      <c r="AY114" s="353">
        <f t="shared" si="385"/>
        <v>0.10112449799196788</v>
      </c>
      <c r="AZ114" s="352">
        <f t="shared" si="386"/>
        <v>-22382</v>
      </c>
      <c r="BA114" s="353">
        <f t="shared" si="387"/>
        <v>-0.89887550200803212</v>
      </c>
      <c r="BB114" s="354">
        <f t="shared" si="388"/>
        <v>494482</v>
      </c>
      <c r="BC114" s="355">
        <f t="shared" si="389"/>
        <v>0.99493360160965794</v>
      </c>
      <c r="BD114" s="356">
        <f t="shared" si="390"/>
        <v>24900</v>
      </c>
      <c r="BE114" s="357" t="str">
        <f t="shared" si="391"/>
        <v>Vendido</v>
      </c>
      <c r="BF114" s="357" t="e">
        <f t="shared" si="374"/>
        <v>#NUM!</v>
      </c>
      <c r="BG114" s="358">
        <v>16</v>
      </c>
      <c r="BH114" s="358">
        <f t="shared" si="392"/>
        <v>1</v>
      </c>
      <c r="BI114" s="358">
        <f t="shared" si="393"/>
        <v>17</v>
      </c>
      <c r="BJ114" s="340">
        <v>500</v>
      </c>
      <c r="BK114" s="365">
        <v>1462.5</v>
      </c>
      <c r="BL114" s="357">
        <f t="shared" si="394"/>
        <v>0</v>
      </c>
      <c r="BM114" s="359" t="e">
        <f t="shared" si="357"/>
        <v>#NUM!</v>
      </c>
      <c r="BN114" s="360" t="e">
        <f t="shared" si="395"/>
        <v>#NUM!</v>
      </c>
      <c r="BO114" s="359">
        <f t="shared" si="396"/>
        <v>0</v>
      </c>
      <c r="BP114" s="359">
        <f t="shared" si="397"/>
        <v>0</v>
      </c>
      <c r="BQ114" s="359">
        <f t="shared" si="398"/>
        <v>2518</v>
      </c>
      <c r="BR114" s="359" t="e">
        <f t="shared" si="399"/>
        <v>#NUM!</v>
      </c>
      <c r="BS114" s="359" t="e">
        <f t="shared" si="400"/>
        <v>#NUM!</v>
      </c>
      <c r="BT114" s="361" t="e">
        <f t="shared" si="401"/>
        <v>#NUM!</v>
      </c>
      <c r="BU114" s="337"/>
      <c r="BV114" s="337"/>
    </row>
    <row r="115" spans="1:74" x14ac:dyDescent="0.25">
      <c r="A115" s="846" t="s">
        <v>1241</v>
      </c>
      <c r="F115" s="336">
        <v>608</v>
      </c>
      <c r="G115" s="336" t="s">
        <v>913</v>
      </c>
      <c r="H115" s="336" t="s">
        <v>913</v>
      </c>
      <c r="I115" s="336" t="s">
        <v>1109</v>
      </c>
      <c r="J115" s="337" t="s">
        <v>1242</v>
      </c>
      <c r="K115" s="338">
        <v>45956</v>
      </c>
      <c r="L115" s="336" t="s">
        <v>956</v>
      </c>
      <c r="M115" s="333">
        <v>497000</v>
      </c>
      <c r="N115" s="333">
        <v>24900</v>
      </c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  <c r="AA115" s="333"/>
      <c r="AB115" s="333"/>
      <c r="AC115" s="333"/>
      <c r="AD115" s="333"/>
      <c r="AE115" s="333"/>
      <c r="AF115" s="333"/>
      <c r="AG115" s="333"/>
      <c r="AH115" s="333"/>
      <c r="AI115" s="333"/>
      <c r="AJ115" s="333"/>
      <c r="AK115" s="333"/>
      <c r="AL115" s="333"/>
      <c r="AM115" s="333"/>
      <c r="AN115" s="333"/>
      <c r="AO115" s="334"/>
      <c r="AP115" s="334"/>
      <c r="AQ115" s="335"/>
      <c r="AR115" s="335"/>
      <c r="AS115" s="335"/>
      <c r="AT115" s="335">
        <v>1500</v>
      </c>
      <c r="AU115" s="335">
        <v>0</v>
      </c>
      <c r="AV115" s="335">
        <v>1018</v>
      </c>
      <c r="AW115" s="335">
        <v>1018</v>
      </c>
      <c r="AX115" s="352">
        <f t="shared" si="302"/>
        <v>3536</v>
      </c>
      <c r="AY115" s="353">
        <f t="shared" si="385"/>
        <v>0.14200803212851407</v>
      </c>
      <c r="AZ115" s="352">
        <f t="shared" si="386"/>
        <v>-21364</v>
      </c>
      <c r="BA115" s="353">
        <f t="shared" si="387"/>
        <v>-0.85799196787148591</v>
      </c>
      <c r="BB115" s="354">
        <f t="shared" si="388"/>
        <v>493464</v>
      </c>
      <c r="BC115" s="355">
        <f t="shared" si="389"/>
        <v>0.99288531187122742</v>
      </c>
      <c r="BD115" s="356">
        <f t="shared" si="390"/>
        <v>24900</v>
      </c>
      <c r="BE115" s="357" t="str">
        <f t="shared" si="391"/>
        <v>Vendido</v>
      </c>
      <c r="BF115" s="357" t="e">
        <f t="shared" si="374"/>
        <v>#NUM!</v>
      </c>
      <c r="BG115" s="358">
        <v>16</v>
      </c>
      <c r="BH115" s="358">
        <f t="shared" si="392"/>
        <v>1</v>
      </c>
      <c r="BI115" s="358">
        <f t="shared" si="393"/>
        <v>17</v>
      </c>
      <c r="BJ115" s="340">
        <v>500</v>
      </c>
      <c r="BK115" s="365">
        <v>1462.5</v>
      </c>
      <c r="BL115" s="357">
        <f t="shared" si="394"/>
        <v>0</v>
      </c>
      <c r="BM115" s="359" t="e">
        <f t="shared" si="357"/>
        <v>#NUM!</v>
      </c>
      <c r="BN115" s="360" t="e">
        <f t="shared" si="395"/>
        <v>#NUM!</v>
      </c>
      <c r="BO115" s="359">
        <f t="shared" si="396"/>
        <v>0</v>
      </c>
      <c r="BP115" s="359">
        <f t="shared" si="397"/>
        <v>0</v>
      </c>
      <c r="BQ115" s="359">
        <f t="shared" si="398"/>
        <v>3536</v>
      </c>
      <c r="BR115" s="359" t="e">
        <f t="shared" si="399"/>
        <v>#NUM!</v>
      </c>
      <c r="BS115" s="359" t="e">
        <f t="shared" si="400"/>
        <v>#NUM!</v>
      </c>
      <c r="BT115" s="361" t="e">
        <f t="shared" si="401"/>
        <v>#NUM!</v>
      </c>
      <c r="BU115" s="337"/>
      <c r="BV115" s="337"/>
    </row>
    <row r="116" spans="1:74" x14ac:dyDescent="0.25">
      <c r="A116" s="846" t="s">
        <v>1243</v>
      </c>
      <c r="F116" s="336"/>
      <c r="G116" s="336"/>
      <c r="H116" s="336"/>
      <c r="I116" s="849" t="s">
        <v>1236</v>
      </c>
      <c r="J116" s="337" t="s">
        <v>1244</v>
      </c>
      <c r="K116" s="338">
        <v>45960</v>
      </c>
      <c r="L116" s="336" t="s">
        <v>956</v>
      </c>
      <c r="M116" s="333">
        <v>492700</v>
      </c>
      <c r="N116" s="333">
        <v>24600</v>
      </c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  <c r="Z116" s="333"/>
      <c r="AA116" s="333"/>
      <c r="AB116" s="333"/>
      <c r="AC116" s="333"/>
      <c r="AD116" s="333"/>
      <c r="AE116" s="333"/>
      <c r="AF116" s="333"/>
      <c r="AG116" s="333"/>
      <c r="AH116" s="333"/>
      <c r="AI116" s="333"/>
      <c r="AJ116" s="333"/>
      <c r="AK116" s="333"/>
      <c r="AL116" s="333"/>
      <c r="AM116" s="333"/>
      <c r="AN116" s="333"/>
      <c r="AO116" s="334"/>
      <c r="AP116" s="334"/>
      <c r="AQ116" s="335"/>
      <c r="AR116" s="335"/>
      <c r="AS116" s="335"/>
      <c r="AT116" s="335">
        <v>300</v>
      </c>
      <c r="AU116" s="335">
        <v>0</v>
      </c>
      <c r="AV116" s="335"/>
      <c r="AW116" s="335"/>
      <c r="AX116" s="352">
        <f t="shared" si="302"/>
        <v>300</v>
      </c>
      <c r="AY116" s="353">
        <f t="shared" si="385"/>
        <v>1.2195121951219513E-2</v>
      </c>
      <c r="AZ116" s="352">
        <f t="shared" si="386"/>
        <v>-24300</v>
      </c>
      <c r="BA116" s="353">
        <f t="shared" si="387"/>
        <v>-0.98780487804878048</v>
      </c>
      <c r="BB116" s="354">
        <f t="shared" si="388"/>
        <v>492400</v>
      </c>
      <c r="BC116" s="355">
        <f t="shared" si="389"/>
        <v>0.99939111020905214</v>
      </c>
      <c r="BD116" s="356">
        <f t="shared" si="390"/>
        <v>24600</v>
      </c>
      <c r="BE116" s="357" t="str">
        <f t="shared" si="391"/>
        <v>Vendido</v>
      </c>
      <c r="BF116" s="357" t="e">
        <f t="shared" si="374"/>
        <v>#NUM!</v>
      </c>
      <c r="BG116" s="358">
        <v>16</v>
      </c>
      <c r="BH116" s="358">
        <f t="shared" si="392"/>
        <v>1</v>
      </c>
      <c r="BI116" s="358">
        <f t="shared" si="393"/>
        <v>17</v>
      </c>
      <c r="BJ116" s="340">
        <v>500</v>
      </c>
      <c r="BK116" s="365">
        <v>1462.5</v>
      </c>
      <c r="BL116" s="357">
        <f t="shared" si="394"/>
        <v>0</v>
      </c>
      <c r="BM116" s="359" t="e">
        <f t="shared" si="357"/>
        <v>#NUM!</v>
      </c>
      <c r="BN116" s="360" t="e">
        <f t="shared" si="395"/>
        <v>#NUM!</v>
      </c>
      <c r="BO116" s="359">
        <f t="shared" si="396"/>
        <v>0</v>
      </c>
      <c r="BP116" s="359">
        <f t="shared" si="397"/>
        <v>0</v>
      </c>
      <c r="BQ116" s="359">
        <f t="shared" si="398"/>
        <v>300</v>
      </c>
      <c r="BR116" s="359" t="e">
        <f t="shared" si="399"/>
        <v>#NUM!</v>
      </c>
      <c r="BS116" s="359" t="e">
        <f t="shared" si="400"/>
        <v>#NUM!</v>
      </c>
      <c r="BT116" s="361" t="e">
        <f t="shared" si="401"/>
        <v>#NUM!</v>
      </c>
      <c r="BU116" s="337"/>
      <c r="BV116" s="337"/>
    </row>
    <row r="117" spans="1:74" x14ac:dyDescent="0.25">
      <c r="A117" s="846" t="s">
        <v>1245</v>
      </c>
      <c r="F117" s="336">
        <v>506</v>
      </c>
      <c r="G117" s="336" t="s">
        <v>146</v>
      </c>
      <c r="H117" s="336" t="s">
        <v>146</v>
      </c>
      <c r="I117" s="849" t="s">
        <v>1236</v>
      </c>
      <c r="J117" s="337" t="s">
        <v>1246</v>
      </c>
      <c r="K117" s="338">
        <v>45911</v>
      </c>
      <c r="L117" s="336" t="s">
        <v>956</v>
      </c>
      <c r="M117" s="333">
        <v>492700</v>
      </c>
      <c r="N117" s="333">
        <v>24700</v>
      </c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  <c r="AA117" s="333"/>
      <c r="AB117" s="333"/>
      <c r="AC117" s="333"/>
      <c r="AD117" s="333"/>
      <c r="AE117" s="333"/>
      <c r="AF117" s="333"/>
      <c r="AG117" s="333"/>
      <c r="AH117" s="333"/>
      <c r="AI117" s="333"/>
      <c r="AJ117" s="333"/>
      <c r="AK117" s="333"/>
      <c r="AL117" s="333"/>
      <c r="AM117" s="333"/>
      <c r="AN117" s="333"/>
      <c r="AO117" s="334"/>
      <c r="AP117" s="334"/>
      <c r="AQ117" s="335"/>
      <c r="AR117" s="335"/>
      <c r="AS117" s="335"/>
      <c r="AT117" s="335">
        <v>1450</v>
      </c>
      <c r="AU117" s="335">
        <v>0</v>
      </c>
      <c r="AV117" s="335">
        <v>1450</v>
      </c>
      <c r="AW117" s="335">
        <v>1450</v>
      </c>
      <c r="AX117" s="352">
        <f t="shared" si="302"/>
        <v>4350</v>
      </c>
      <c r="AY117" s="353">
        <f t="shared" si="385"/>
        <v>0.17611336032388664</v>
      </c>
      <c r="AZ117" s="352">
        <f t="shared" si="386"/>
        <v>-20350</v>
      </c>
      <c r="BA117" s="353">
        <f t="shared" si="387"/>
        <v>-0.82388663967611331</v>
      </c>
      <c r="BB117" s="354">
        <f t="shared" si="388"/>
        <v>488350</v>
      </c>
      <c r="BC117" s="355">
        <f t="shared" si="389"/>
        <v>0.99117109803125636</v>
      </c>
      <c r="BD117" s="356">
        <f t="shared" si="390"/>
        <v>24700</v>
      </c>
      <c r="BE117" s="357" t="str">
        <f t="shared" si="391"/>
        <v>Vendido</v>
      </c>
      <c r="BF117" s="357" t="e">
        <f t="shared" si="374"/>
        <v>#NUM!</v>
      </c>
      <c r="BG117" s="358">
        <v>16</v>
      </c>
      <c r="BH117" s="358">
        <f t="shared" si="392"/>
        <v>1</v>
      </c>
      <c r="BI117" s="358">
        <f t="shared" si="393"/>
        <v>17</v>
      </c>
      <c r="BJ117" s="340">
        <v>500</v>
      </c>
      <c r="BK117" s="365">
        <v>1462.5</v>
      </c>
      <c r="BL117" s="357">
        <f t="shared" si="394"/>
        <v>0</v>
      </c>
      <c r="BM117" s="359" t="e">
        <f t="shared" si="357"/>
        <v>#NUM!</v>
      </c>
      <c r="BN117" s="360" t="e">
        <f t="shared" si="395"/>
        <v>#NUM!</v>
      </c>
      <c r="BO117" s="359">
        <f t="shared" si="396"/>
        <v>0</v>
      </c>
      <c r="BP117" s="359">
        <f t="shared" si="397"/>
        <v>0</v>
      </c>
      <c r="BQ117" s="359">
        <f t="shared" si="398"/>
        <v>4350</v>
      </c>
      <c r="BR117" s="359" t="e">
        <f t="shared" si="399"/>
        <v>#NUM!</v>
      </c>
      <c r="BS117" s="359" t="e">
        <f t="shared" si="400"/>
        <v>#NUM!</v>
      </c>
      <c r="BT117" s="361" t="e">
        <f t="shared" si="401"/>
        <v>#NUM!</v>
      </c>
      <c r="BU117" s="337"/>
      <c r="BV117" s="337"/>
    </row>
    <row r="118" spans="1:74" x14ac:dyDescent="0.25">
      <c r="A118" s="846" t="s">
        <v>1247</v>
      </c>
      <c r="F118" s="336">
        <v>404</v>
      </c>
      <c r="G118" s="336" t="s">
        <v>913</v>
      </c>
      <c r="H118" s="336"/>
      <c r="I118" s="849" t="s">
        <v>1236</v>
      </c>
      <c r="J118" s="337" t="s">
        <v>1248</v>
      </c>
      <c r="K118" s="338">
        <v>45958</v>
      </c>
      <c r="L118" s="336" t="s">
        <v>956</v>
      </c>
      <c r="M118" s="333">
        <v>492700</v>
      </c>
      <c r="N118" s="333">
        <v>24700</v>
      </c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  <c r="AA118" s="333"/>
      <c r="AB118" s="333"/>
      <c r="AC118" s="333"/>
      <c r="AD118" s="333"/>
      <c r="AE118" s="333"/>
      <c r="AF118" s="333"/>
      <c r="AG118" s="333"/>
      <c r="AH118" s="333"/>
      <c r="AI118" s="333"/>
      <c r="AJ118" s="333"/>
      <c r="AK118" s="333"/>
      <c r="AL118" s="333"/>
      <c r="AM118" s="333"/>
      <c r="AN118" s="333"/>
      <c r="AO118" s="334"/>
      <c r="AP118" s="334"/>
      <c r="AQ118" s="335"/>
      <c r="AR118" s="335"/>
      <c r="AS118" s="335"/>
      <c r="AT118" s="335">
        <v>1500</v>
      </c>
      <c r="AU118" s="335">
        <v>0</v>
      </c>
      <c r="AV118" s="335">
        <v>1009</v>
      </c>
      <c r="AW118" s="335"/>
      <c r="AX118" s="352">
        <f t="shared" ref="AX118" si="402">SUM(O118:AW118)</f>
        <v>2509</v>
      </c>
      <c r="AY118" s="353">
        <f t="shared" ref="AY118:AY172" si="403">IFERROR((+AX118/N118),0)</f>
        <v>0.10157894736842105</v>
      </c>
      <c r="AZ118" s="352">
        <f t="shared" ref="AZ118:AZ172" si="404">+AX118-BD118</f>
        <v>-22191</v>
      </c>
      <c r="BA118" s="353">
        <f t="shared" ref="BA118:BA172" si="405">+AZ118/N118</f>
        <v>-0.8984210526315789</v>
      </c>
      <c r="BB118" s="354">
        <f t="shared" ref="BB118:BB172" si="406">+M118-AX118</f>
        <v>490191</v>
      </c>
      <c r="BC118" s="355">
        <f t="shared" ref="BC118:BC172" si="407">+BB118/M118</f>
        <v>0.99490765171503959</v>
      </c>
      <c r="BD118" s="356">
        <f t="shared" ref="BD118:BD172" si="408">IF(BE118="Vendido",N118*1,IF(BE118="Disponible",N118*0,IF(BE118="Enganche Completado",N118*1,IF(BE118="Superávit de Enganche",N118*1,0))))</f>
        <v>24700</v>
      </c>
      <c r="BE118" s="357" t="str">
        <f t="shared" ref="BE118:BE172" si="409">IF(J118=0,"Apartamento Disponible",IF(J118&gt;1,"Vendido",0))</f>
        <v>Vendido</v>
      </c>
      <c r="BF118" s="357" t="e">
        <f t="shared" ref="BF118:BF172" si="410">IF(AND(BE118="Vendido",K118&gt;=0,BN118&lt;=AX118,AX118&lt;BD118),"Cliente al día",IF(AND(BE118="Vendido",K118&gt;=0,BN118&lt;=AX118,AX118=BD118),"Enganche Completado",IF(AND(BE118="Vendido",K118&gt;=0,BN118&lt;AX118,AX118&gt;BD118),"Superávit de Enganche",IF(AND(BE118="Apartamento Disponible",K118=0,AZ118=0),"Disponible","Cliente Atrasado"))))</f>
        <v>#NUM!</v>
      </c>
      <c r="BG118" s="358">
        <v>16</v>
      </c>
      <c r="BH118" s="358">
        <f t="shared" ref="BH118:BH172" si="411">IF(BG118&gt;1,1,0)</f>
        <v>1</v>
      </c>
      <c r="BI118" s="358">
        <f t="shared" ref="BI118:BI172" si="412">+BG118+BH118</f>
        <v>17</v>
      </c>
      <c r="BJ118" s="340">
        <v>500</v>
      </c>
      <c r="BK118" s="365">
        <v>1462.5</v>
      </c>
      <c r="BL118" s="357">
        <f t="shared" ref="BL118:BL172" si="413">COUNTIFS(O118:AO118,"&gt;0.01",O118:AO118,"&lt;" &amp; BJ118)</f>
        <v>0</v>
      </c>
      <c r="BM118" s="359" t="e">
        <f t="shared" si="357"/>
        <v>#NUM!</v>
      </c>
      <c r="BN118" s="360" t="e">
        <f t="shared" ref="BN118:BN172" si="414">(BM118*BK118)+BJ118</f>
        <v>#NUM!</v>
      </c>
      <c r="BO118" s="359">
        <f t="shared" ref="BO118:BO172" si="415">SUMIF(O118:AP118,"&lt;=" &amp; BK118,O118:AP118)</f>
        <v>0</v>
      </c>
      <c r="BP118" s="359">
        <f t="shared" ref="BP118:BP172" si="416">SUMIF(O118:AP118,"&gt;" &amp; BK118,O118:AP118)</f>
        <v>0</v>
      </c>
      <c r="BQ118" s="359">
        <f t="shared" ref="BQ118:BQ172" si="417">AX118-BO118-BP118</f>
        <v>2509</v>
      </c>
      <c r="BR118" s="359" t="e">
        <f t="shared" ref="BR118:BR172" si="418">IF(AX118&gt;BN118,AX118-BN118,0)</f>
        <v>#NUM!</v>
      </c>
      <c r="BS118" s="359" t="e">
        <f t="shared" ref="BS118:BS172" si="419">IF(AX118&lt;BN118,BN118-AX118,0)</f>
        <v>#NUM!</v>
      </c>
      <c r="BT118" s="361" t="e">
        <f t="shared" ref="BT118:BT172" si="420">ROUNDUP(IF(K118&gt;0,BS118/BK118,0),0)</f>
        <v>#NUM!</v>
      </c>
      <c r="BU118" s="337"/>
      <c r="BV118" s="337"/>
    </row>
    <row r="119" spans="1:74" x14ac:dyDescent="0.25">
      <c r="A119" s="846" t="s">
        <v>1249</v>
      </c>
      <c r="F119" s="336">
        <v>508</v>
      </c>
      <c r="G119" s="336" t="s">
        <v>913</v>
      </c>
      <c r="H119" s="336" t="s">
        <v>913</v>
      </c>
      <c r="I119" s="849" t="s">
        <v>1236</v>
      </c>
      <c r="J119" s="337" t="s">
        <v>1250</v>
      </c>
      <c r="K119" s="338">
        <v>45951</v>
      </c>
      <c r="L119" s="336" t="s">
        <v>956</v>
      </c>
      <c r="M119" s="333">
        <v>492000</v>
      </c>
      <c r="N119" s="333">
        <v>24600</v>
      </c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4"/>
      <c r="AP119" s="334"/>
      <c r="AQ119" s="335"/>
      <c r="AR119" s="335"/>
      <c r="AS119" s="335"/>
      <c r="AT119" s="335">
        <v>1500</v>
      </c>
      <c r="AU119" s="335"/>
      <c r="AV119" s="335">
        <v>1004.35</v>
      </c>
      <c r="AW119" s="335">
        <v>1004.35</v>
      </c>
      <c r="AX119" s="352"/>
      <c r="AY119" s="353"/>
      <c r="AZ119" s="352"/>
      <c r="BA119" s="353"/>
      <c r="BB119" s="354"/>
      <c r="BC119" s="355"/>
      <c r="BD119" s="356"/>
      <c r="BE119" s="357"/>
      <c r="BF119" s="357"/>
      <c r="BG119" s="358"/>
      <c r="BH119" s="358"/>
      <c r="BI119" s="358"/>
      <c r="BJ119" s="340"/>
      <c r="BK119" s="365"/>
      <c r="BL119" s="357"/>
      <c r="BM119" s="359"/>
      <c r="BN119" s="360"/>
      <c r="BO119" s="359"/>
      <c r="BP119" s="359"/>
      <c r="BQ119" s="359"/>
      <c r="BR119" s="359"/>
      <c r="BS119" s="359"/>
      <c r="BT119" s="361"/>
      <c r="BU119" s="337"/>
      <c r="BV119" s="337"/>
    </row>
    <row r="120" spans="1:74" x14ac:dyDescent="0.25">
      <c r="A120" s="846" t="s">
        <v>1251</v>
      </c>
      <c r="F120" s="336"/>
      <c r="G120" s="336"/>
      <c r="H120" s="336"/>
      <c r="I120" s="849" t="s">
        <v>1236</v>
      </c>
      <c r="J120" s="337" t="s">
        <v>1252</v>
      </c>
      <c r="K120" s="338">
        <v>45956</v>
      </c>
      <c r="L120" s="336" t="s">
        <v>956</v>
      </c>
      <c r="M120" s="333">
        <v>492700</v>
      </c>
      <c r="N120" s="333">
        <v>24700</v>
      </c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4"/>
      <c r="AP120" s="334"/>
      <c r="AQ120" s="335"/>
      <c r="AR120" s="335"/>
      <c r="AS120" s="335"/>
      <c r="AT120" s="871">
        <v>1500</v>
      </c>
      <c r="AU120" s="335"/>
      <c r="AV120" s="335"/>
      <c r="AW120" s="335"/>
      <c r="AX120" s="352"/>
      <c r="AY120" s="353"/>
      <c r="AZ120" s="352"/>
      <c r="BA120" s="353"/>
      <c r="BB120" s="354"/>
      <c r="BC120" s="355"/>
      <c r="BD120" s="356"/>
      <c r="BE120" s="357"/>
      <c r="BF120" s="357"/>
      <c r="BG120" s="358"/>
      <c r="BH120" s="358"/>
      <c r="BI120" s="358"/>
      <c r="BJ120" s="340"/>
      <c r="BK120" s="365"/>
      <c r="BL120" s="357"/>
      <c r="BM120" s="359"/>
      <c r="BN120" s="360"/>
      <c r="BO120" s="359"/>
      <c r="BP120" s="359"/>
      <c r="BQ120" s="359"/>
      <c r="BR120" s="359"/>
      <c r="BS120" s="359"/>
      <c r="BT120" s="361"/>
      <c r="BU120" s="337"/>
      <c r="BV120" s="337"/>
    </row>
    <row r="121" spans="1:74" x14ac:dyDescent="0.25">
      <c r="A121" s="872" t="s">
        <v>1253</v>
      </c>
      <c r="F121" s="336">
        <v>310</v>
      </c>
      <c r="G121" s="336" t="s">
        <v>913</v>
      </c>
      <c r="H121" s="336" t="s">
        <v>146</v>
      </c>
      <c r="I121" s="336" t="s">
        <v>196</v>
      </c>
      <c r="J121" s="337" t="s">
        <v>1254</v>
      </c>
      <c r="K121" s="338">
        <v>45950</v>
      </c>
      <c r="L121" s="336" t="s">
        <v>956</v>
      </c>
      <c r="M121" s="333">
        <v>492700</v>
      </c>
      <c r="N121" s="333">
        <v>24700</v>
      </c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4"/>
      <c r="AP121" s="334"/>
      <c r="AQ121" s="335"/>
      <c r="AR121" s="335"/>
      <c r="AS121" s="335"/>
      <c r="AT121" s="871"/>
      <c r="AU121" s="335"/>
      <c r="AV121" s="335">
        <f>750+750</f>
        <v>1500</v>
      </c>
      <c r="AW121" s="335">
        <v>1600</v>
      </c>
      <c r="AX121" s="352">
        <f>SUM(O121:AW121)</f>
        <v>3100</v>
      </c>
      <c r="AY121" s="353"/>
      <c r="AZ121" s="352"/>
      <c r="BA121" s="353"/>
      <c r="BB121" s="354"/>
      <c r="BC121" s="355"/>
      <c r="BD121" s="356"/>
      <c r="BE121" s="357"/>
      <c r="BF121" s="357"/>
      <c r="BG121" s="358"/>
      <c r="BH121" s="358"/>
      <c r="BI121" s="358"/>
      <c r="BJ121" s="340"/>
      <c r="BK121" s="365"/>
      <c r="BL121" s="357"/>
      <c r="BM121" s="359"/>
      <c r="BN121" s="360"/>
      <c r="BO121" s="359"/>
      <c r="BP121" s="359"/>
      <c r="BQ121" s="359"/>
      <c r="BR121" s="359"/>
      <c r="BS121" s="359"/>
      <c r="BT121" s="361"/>
      <c r="BU121" s="337"/>
      <c r="BV121" s="337"/>
    </row>
    <row r="122" spans="1:74" x14ac:dyDescent="0.25">
      <c r="A122" s="884" t="s">
        <v>1255</v>
      </c>
      <c r="B122" s="889"/>
      <c r="C122" s="889"/>
      <c r="D122" s="889"/>
      <c r="E122" s="889"/>
      <c r="F122" s="887">
        <v>108</v>
      </c>
      <c r="G122" s="887" t="s">
        <v>913</v>
      </c>
      <c r="H122" s="887" t="s">
        <v>913</v>
      </c>
      <c r="I122" s="887" t="s">
        <v>196</v>
      </c>
      <c r="J122" s="890" t="s">
        <v>1256</v>
      </c>
      <c r="K122" s="891">
        <v>45968</v>
      </c>
      <c r="L122" s="887" t="s">
        <v>956</v>
      </c>
      <c r="M122" s="888">
        <v>492000</v>
      </c>
      <c r="N122" s="888">
        <v>24600</v>
      </c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333"/>
      <c r="AH122" s="333"/>
      <c r="AI122" s="333"/>
      <c r="AJ122" s="333"/>
      <c r="AK122" s="333"/>
      <c r="AL122" s="333"/>
      <c r="AM122" s="333"/>
      <c r="AN122" s="333"/>
      <c r="AO122" s="334"/>
      <c r="AP122" s="334"/>
      <c r="AQ122" s="335"/>
      <c r="AR122" s="335"/>
      <c r="AS122" s="335"/>
      <c r="AT122" s="335">
        <v>0</v>
      </c>
      <c r="AU122" s="335">
        <v>1500</v>
      </c>
      <c r="AV122" s="335">
        <v>1005</v>
      </c>
      <c r="AW122" s="335">
        <v>1005</v>
      </c>
      <c r="AX122" s="352">
        <f t="shared" ref="AX122" si="421">SUM(O122:AW122)</f>
        <v>3510</v>
      </c>
      <c r="AY122" s="353">
        <f t="shared" ref="AY122" si="422">IFERROR((+AX122/N122),0)</f>
        <v>0.14268292682926828</v>
      </c>
      <c r="AZ122" s="352">
        <f t="shared" ref="AZ122" si="423">+AX122-BD122</f>
        <v>-21090</v>
      </c>
      <c r="BA122" s="353">
        <f t="shared" ref="BA122" si="424">+AZ122/N122</f>
        <v>-0.85731707317073169</v>
      </c>
      <c r="BB122" s="354">
        <f t="shared" ref="BB122" si="425">+M122-AX122</f>
        <v>488490</v>
      </c>
      <c r="BC122" s="355">
        <f t="shared" ref="BC122" si="426">+BB122/M122</f>
        <v>0.99286585365853663</v>
      </c>
      <c r="BD122" s="356">
        <f t="shared" ref="BD122" si="427">IF(BE122="Vendido",N122*1,IF(BE122="Disponible",N122*0,IF(BE122="Enganche Completado",N122*1,IF(BE122="Superávit de Enganche",N122*1,0))))</f>
        <v>24600</v>
      </c>
      <c r="BE122" s="357" t="str">
        <f t="shared" ref="BE122" si="428">IF(J122=0,"Apartamento Disponible",IF(J122&gt;1,"Vendido",0))</f>
        <v>Vendido</v>
      </c>
      <c r="BF122" s="357" t="e">
        <f t="shared" ref="BF122" si="429">IF(AND(BE122="Vendido",K122&gt;=0,BN122&lt;=AX122,AX122&lt;BD122),"Cliente al día",IF(AND(BE122="Vendido",K122&gt;=0,BN122&lt;=AX122,AX122=BD122),"Enganche Completado",IF(AND(BE122="Vendido",K122&gt;=0,BN122&lt;AX122,AX122&gt;BD122),"Superávit de Enganche",IF(AND(BE122="Apartamento Disponible",K122=0,AZ122=0),"Disponible","Cliente Atrasado"))))</f>
        <v>#NUM!</v>
      </c>
      <c r="BG122" s="358">
        <v>16</v>
      </c>
      <c r="BH122" s="358">
        <f t="shared" ref="BH122" si="430">IF(BG122&gt;1,1,0)</f>
        <v>1</v>
      </c>
      <c r="BI122" s="358">
        <f t="shared" ref="BI122" si="431">+BG122+BH122</f>
        <v>17</v>
      </c>
      <c r="BJ122" s="882"/>
      <c r="BK122" s="365">
        <v>1462.5</v>
      </c>
      <c r="BL122" s="357">
        <f t="shared" ref="BL122" si="432">COUNTIFS(O122:AO122,"&gt;0.01",O122:AO122,"&lt;" &amp; BJ122)</f>
        <v>0</v>
      </c>
      <c r="BM122" s="359" t="e">
        <f t="shared" si="357"/>
        <v>#NUM!</v>
      </c>
      <c r="BN122" s="360" t="e">
        <f t="shared" ref="BN122" si="433">(BM122*BK122)+BJ122</f>
        <v>#NUM!</v>
      </c>
      <c r="BO122" s="359">
        <f t="shared" ref="BO122" si="434">SUMIF(O122:AP122,"&lt;=" &amp; BK122,O122:AP122)</f>
        <v>0</v>
      </c>
      <c r="BP122" s="359">
        <f t="shared" ref="BP122" si="435">SUMIF(O122:AP122,"&gt;" &amp; BK122,O122:AP122)</f>
        <v>0</v>
      </c>
      <c r="BQ122" s="359">
        <f t="shared" ref="BQ122" si="436">AX122-BO122-BP122</f>
        <v>3510</v>
      </c>
      <c r="BR122" s="359" t="e">
        <f t="shared" ref="BR122" si="437">IF(AX122&gt;BN122,AX122-BN122,0)</f>
        <v>#NUM!</v>
      </c>
      <c r="BS122" s="359" t="e">
        <f t="shared" ref="BS122" si="438">IF(AX122&lt;BN122,BN122-AX122,0)</f>
        <v>#NUM!</v>
      </c>
      <c r="BT122" s="361" t="e">
        <f t="shared" ref="BT122" si="439">ROUNDUP(IF(K122&gt;0,BS122/BK122,0),0)</f>
        <v>#NUM!</v>
      </c>
      <c r="BU122" s="337"/>
      <c r="BV122" s="337"/>
    </row>
    <row r="123" spans="1:74" x14ac:dyDescent="0.25">
      <c r="A123" s="884" t="s">
        <v>1257</v>
      </c>
      <c r="B123" s="889"/>
      <c r="C123" s="889"/>
      <c r="D123" s="889"/>
      <c r="E123" s="889"/>
      <c r="F123" s="887"/>
      <c r="G123" s="887"/>
      <c r="H123" s="887"/>
      <c r="I123" s="887"/>
      <c r="J123" s="885" t="s">
        <v>1258</v>
      </c>
      <c r="K123" s="886">
        <v>45970</v>
      </c>
      <c r="L123" s="887" t="s">
        <v>956</v>
      </c>
      <c r="M123" s="888">
        <v>497000</v>
      </c>
      <c r="N123" s="888">
        <v>24900</v>
      </c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333"/>
      <c r="AH123" s="333"/>
      <c r="AI123" s="333"/>
      <c r="AJ123" s="333"/>
      <c r="AK123" s="333"/>
      <c r="AL123" s="333"/>
      <c r="AM123" s="333"/>
      <c r="AN123" s="333"/>
      <c r="AO123" s="334"/>
      <c r="AP123" s="334"/>
      <c r="AQ123" s="335"/>
      <c r="AR123" s="335"/>
      <c r="AS123" s="335"/>
      <c r="AT123" s="335">
        <v>0</v>
      </c>
      <c r="AU123" s="335">
        <v>750</v>
      </c>
      <c r="AV123" s="335">
        <v>1064</v>
      </c>
      <c r="AW123" s="335">
        <v>1064</v>
      </c>
      <c r="AX123" s="352">
        <f t="shared" ref="AX123" si="440">SUM(O123:AW123)</f>
        <v>2878</v>
      </c>
      <c r="AY123" s="353">
        <f t="shared" ref="AY123:AY124" si="441">IFERROR((+AX123/N123),0)</f>
        <v>0.11558232931726907</v>
      </c>
      <c r="AZ123" s="352">
        <f t="shared" ref="AZ123:AZ124" si="442">+AX123-BD123</f>
        <v>-22022</v>
      </c>
      <c r="BA123" s="353">
        <f t="shared" ref="BA123:BA124" si="443">+AZ123/N123</f>
        <v>-0.88441767068273092</v>
      </c>
      <c r="BB123" s="354">
        <f t="shared" ref="BB123:BB124" si="444">+M123-AX123</f>
        <v>494122</v>
      </c>
      <c r="BC123" s="355">
        <f t="shared" ref="BC123:BC124" si="445">+BB123/M123</f>
        <v>0.99420925553319917</v>
      </c>
      <c r="BD123" s="356">
        <f t="shared" ref="BD123:BD124" si="446">IF(BE123="Vendido",N123*1,IF(BE123="Disponible",N123*0,IF(BE123="Enganche Completado",N123*1,IF(BE123="Superávit de Enganche",N123*1,0))))</f>
        <v>24900</v>
      </c>
      <c r="BE123" s="357" t="str">
        <f t="shared" ref="BE123:BE124" si="447">IF(J123=0,"Apartamento Disponible",IF(J123&gt;1,"Vendido",0))</f>
        <v>Vendido</v>
      </c>
      <c r="BF123" s="357" t="e">
        <f t="shared" ref="BF123:BF124" si="448">IF(AND(BE123="Vendido",K123&gt;=0,BN123&lt;=AX123,AX123&lt;BD123),"Cliente al día",IF(AND(BE123="Vendido",K123&gt;=0,BN123&lt;=AX123,AX123=BD123),"Enganche Completado",IF(AND(BE123="Vendido",K123&gt;=0,BN123&lt;AX123,AX123&gt;BD123),"Superávit de Enganche",IF(AND(BE123="Apartamento Disponible",K123=0,AZ123=0),"Disponible","Cliente Atrasado"))))</f>
        <v>#NUM!</v>
      </c>
      <c r="BG123" s="358">
        <v>16</v>
      </c>
      <c r="BH123" s="358">
        <f t="shared" ref="BH123:BH124" si="449">IF(BG123&gt;1,1,0)</f>
        <v>1</v>
      </c>
      <c r="BI123" s="358">
        <f t="shared" ref="BI123:BI124" si="450">+BG123+BH123</f>
        <v>17</v>
      </c>
      <c r="BJ123" s="882"/>
      <c r="BK123" s="365">
        <v>1462.5</v>
      </c>
      <c r="BL123" s="357">
        <f t="shared" ref="BL123:BL124" si="451">COUNTIFS(O123:AO123,"&gt;0.01",O123:AO123,"&lt;" &amp; BJ123)</f>
        <v>0</v>
      </c>
      <c r="BM123" s="359" t="e">
        <f t="shared" si="357"/>
        <v>#NUM!</v>
      </c>
      <c r="BN123" s="360" t="e">
        <f t="shared" ref="BN123:BN124" si="452">(BM123*BK123)+BJ123</f>
        <v>#NUM!</v>
      </c>
      <c r="BO123" s="359">
        <f t="shared" ref="BO123:BO124" si="453">SUMIF(O123:AP123,"&lt;=" &amp; BK123,O123:AP123)</f>
        <v>0</v>
      </c>
      <c r="BP123" s="359">
        <f t="shared" ref="BP123:BP124" si="454">SUMIF(O123:AP123,"&gt;" &amp; BK123,O123:AP123)</f>
        <v>0</v>
      </c>
      <c r="BQ123" s="359">
        <f t="shared" ref="BQ123:BQ124" si="455">AX123-BO123-BP123</f>
        <v>2878</v>
      </c>
      <c r="BR123" s="359" t="e">
        <f t="shared" ref="BR123:BR124" si="456">IF(AX123&gt;BN123,AX123-BN123,0)</f>
        <v>#NUM!</v>
      </c>
      <c r="BS123" s="359" t="e">
        <f t="shared" ref="BS123:BS124" si="457">IF(AX123&lt;BN123,BN123-AX123,0)</f>
        <v>#NUM!</v>
      </c>
      <c r="BT123" s="361" t="e">
        <f t="shared" ref="BT123:BT124" si="458">ROUNDUP(IF(K123&gt;0,BS123/BK123,0),0)</f>
        <v>#NUM!</v>
      </c>
      <c r="BU123" s="337"/>
      <c r="BV123" s="337"/>
    </row>
    <row r="124" spans="1:74" x14ac:dyDescent="0.25">
      <c r="A124" s="881" t="s">
        <v>1259</v>
      </c>
      <c r="F124" s="336"/>
      <c r="G124" s="336"/>
      <c r="H124" s="336"/>
      <c r="I124" s="336"/>
      <c r="J124" s="337" t="s">
        <v>1260</v>
      </c>
      <c r="K124" s="883">
        <v>45956</v>
      </c>
      <c r="L124" s="336" t="s">
        <v>1261</v>
      </c>
      <c r="M124" s="333">
        <v>497000</v>
      </c>
      <c r="N124" s="333">
        <v>24900</v>
      </c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333"/>
      <c r="AH124" s="333"/>
      <c r="AI124" s="333"/>
      <c r="AJ124" s="333"/>
      <c r="AK124" s="333"/>
      <c r="AL124" s="333"/>
      <c r="AM124" s="333"/>
      <c r="AN124" s="333"/>
      <c r="AO124" s="334"/>
      <c r="AP124" s="334"/>
      <c r="AQ124" s="335"/>
      <c r="AR124" s="335"/>
      <c r="AS124" s="335"/>
      <c r="AT124" s="335">
        <v>0</v>
      </c>
      <c r="AU124" s="335">
        <v>0</v>
      </c>
      <c r="AV124" s="335"/>
      <c r="AW124" s="335"/>
      <c r="AX124" s="352">
        <f t="shared" ref="AX124:AX173" si="459">SUM(O124:AW124)</f>
        <v>0</v>
      </c>
      <c r="AY124" s="353">
        <f t="shared" si="441"/>
        <v>0</v>
      </c>
      <c r="AZ124" s="352">
        <f t="shared" si="442"/>
        <v>-24900</v>
      </c>
      <c r="BA124" s="353">
        <f t="shared" si="443"/>
        <v>-1</v>
      </c>
      <c r="BB124" s="354">
        <f t="shared" si="444"/>
        <v>497000</v>
      </c>
      <c r="BC124" s="355">
        <f t="shared" si="445"/>
        <v>1</v>
      </c>
      <c r="BD124" s="356">
        <f t="shared" si="446"/>
        <v>24900</v>
      </c>
      <c r="BE124" s="357" t="str">
        <f t="shared" si="447"/>
        <v>Vendido</v>
      </c>
      <c r="BF124" s="357" t="e">
        <f t="shared" si="448"/>
        <v>#NUM!</v>
      </c>
      <c r="BG124" s="358">
        <v>16</v>
      </c>
      <c r="BH124" s="358">
        <f t="shared" si="449"/>
        <v>1</v>
      </c>
      <c r="BI124" s="358">
        <f t="shared" si="450"/>
        <v>17</v>
      </c>
      <c r="BJ124" s="882"/>
      <c r="BK124" s="365">
        <v>1462.5</v>
      </c>
      <c r="BL124" s="357">
        <f t="shared" si="451"/>
        <v>0</v>
      </c>
      <c r="BM124" s="359" t="e">
        <f t="shared" si="357"/>
        <v>#NUM!</v>
      </c>
      <c r="BN124" s="360" t="e">
        <f t="shared" si="452"/>
        <v>#NUM!</v>
      </c>
      <c r="BO124" s="359">
        <f t="shared" si="453"/>
        <v>0</v>
      </c>
      <c r="BP124" s="359">
        <f t="shared" si="454"/>
        <v>0</v>
      </c>
      <c r="BQ124" s="359">
        <f t="shared" si="455"/>
        <v>0</v>
      </c>
      <c r="BR124" s="359" t="e">
        <f t="shared" si="456"/>
        <v>#NUM!</v>
      </c>
      <c r="BS124" s="359" t="e">
        <f t="shared" si="457"/>
        <v>#NUM!</v>
      </c>
      <c r="BT124" s="361" t="e">
        <f t="shared" si="458"/>
        <v>#NUM!</v>
      </c>
      <c r="BU124" s="337"/>
      <c r="BV124" s="337"/>
    </row>
    <row r="125" spans="1:74" x14ac:dyDescent="0.25">
      <c r="A125" s="881" t="s">
        <v>1262</v>
      </c>
      <c r="F125" s="336">
        <v>303</v>
      </c>
      <c r="G125" s="336" t="s">
        <v>913</v>
      </c>
      <c r="H125" s="336" t="s">
        <v>913</v>
      </c>
      <c r="I125" s="336"/>
      <c r="J125" s="337" t="s">
        <v>1263</v>
      </c>
      <c r="K125" s="883">
        <v>45956</v>
      </c>
      <c r="L125" s="336" t="s">
        <v>956</v>
      </c>
      <c r="M125" s="333">
        <v>497000</v>
      </c>
      <c r="N125" s="333">
        <v>24900</v>
      </c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  <c r="AJ125" s="333"/>
      <c r="AK125" s="333"/>
      <c r="AL125" s="333"/>
      <c r="AM125" s="333"/>
      <c r="AN125" s="333"/>
      <c r="AO125" s="334"/>
      <c r="AP125" s="334"/>
      <c r="AQ125" s="335"/>
      <c r="AR125" s="335"/>
      <c r="AS125" s="335"/>
      <c r="AT125" s="335">
        <v>0</v>
      </c>
      <c r="AU125" s="335">
        <v>0</v>
      </c>
      <c r="AV125" s="335">
        <v>1063.6400000000001</v>
      </c>
      <c r="AW125" s="335">
        <v>1063.6400000000001</v>
      </c>
      <c r="AX125" s="352">
        <f t="shared" si="459"/>
        <v>2127.2800000000002</v>
      </c>
      <c r="AY125" s="353">
        <f>IFERROR((+AX125/N125),0)</f>
        <v>8.5432931726907635E-2</v>
      </c>
      <c r="AZ125" s="352">
        <f>+AX125-BD125</f>
        <v>-22772.720000000001</v>
      </c>
      <c r="BA125" s="353">
        <f>+AZ125/N125</f>
        <v>-0.91456706827309242</v>
      </c>
      <c r="BB125" s="354">
        <f>+M125-AX125</f>
        <v>494872.72</v>
      </c>
      <c r="BC125" s="355">
        <f>+BB125/M125</f>
        <v>0.99571975855130779</v>
      </c>
      <c r="BD125" s="356">
        <f>IF(BE125="Vendido",N125*1,IF(BE125="Disponible",N125*0,IF(BE125="Enganche Completado",N125*1,IF(BE125="Superávit de Enganche",N125*1,0))))</f>
        <v>24900</v>
      </c>
      <c r="BE125" s="357" t="str">
        <f>IF(J125=0,"Apartamento Disponible",IF(J125&gt;1,"Vendido",0))</f>
        <v>Vendido</v>
      </c>
      <c r="BF125" s="357" t="e">
        <f>IF(AND(BE125="Vendido",K125&gt;=0,BN125&lt;=AX125,AX125&lt;BD125),"Cliente al día",IF(AND(BE125="Vendido",K125&gt;=0,BN125&lt;=AX125,AX125=BD125),"Enganche Completado",IF(AND(BE125="Vendido",K125&gt;=0,BN125&lt;AX125,AX125&gt;BD125),"Superávit de Enganche",IF(AND(BE125="Apartamento Disponible",K125=0,AZ125=0),"Disponible","Cliente Atrasado"))))</f>
        <v>#NUM!</v>
      </c>
      <c r="BG125" s="358">
        <v>16</v>
      </c>
      <c r="BH125" s="358">
        <f>IF(BG125&gt;1,1,0)</f>
        <v>1</v>
      </c>
      <c r="BI125" s="358">
        <f>+BG125+BH125</f>
        <v>17</v>
      </c>
      <c r="BJ125" s="882"/>
      <c r="BK125" s="365">
        <v>1462.5</v>
      </c>
      <c r="BL125" s="357">
        <f>COUNTIFS(O125:AO125,"&gt;0.01",O125:AO125,"&lt;" &amp; BJ125)</f>
        <v>0</v>
      </c>
      <c r="BM125" s="359" t="e">
        <f>IF($K125&gt;0,DATEDIF($K125,$AR$7,"M"),0)</f>
        <v>#NUM!</v>
      </c>
      <c r="BN125" s="360" t="e">
        <f>(BM125*BK125)+BJ125</f>
        <v>#NUM!</v>
      </c>
      <c r="BO125" s="359">
        <f>SUMIF(O125:AP125,"&lt;=" &amp; BK125,O125:AP125)</f>
        <v>0</v>
      </c>
      <c r="BP125" s="359">
        <f>SUMIF(O125:AP125,"&gt;" &amp; BK125,O125:AP125)</f>
        <v>0</v>
      </c>
      <c r="BQ125" s="359">
        <f>AX125-BO125-BP125</f>
        <v>2127.2800000000002</v>
      </c>
      <c r="BR125" s="359" t="e">
        <f>IF(AX125&gt;BN125,AX125-BN125,0)</f>
        <v>#NUM!</v>
      </c>
      <c r="BS125" s="359" t="e">
        <f>IF(AX125&lt;BN125,BN125-AX125,0)</f>
        <v>#NUM!</v>
      </c>
      <c r="BT125" s="361" t="e">
        <f>ROUNDUP(IF(K125&gt;0,BS125/BK125,0),0)</f>
        <v>#NUM!</v>
      </c>
      <c r="BU125" s="337"/>
      <c r="BV125" s="337"/>
    </row>
    <row r="126" spans="1:74" x14ac:dyDescent="0.25">
      <c r="A126" s="884" t="s">
        <v>1264</v>
      </c>
      <c r="B126" s="889"/>
      <c r="C126" s="889"/>
      <c r="D126" s="889"/>
      <c r="E126" s="889"/>
      <c r="F126" s="887">
        <v>304</v>
      </c>
      <c r="G126" s="887" t="s">
        <v>913</v>
      </c>
      <c r="H126" s="887" t="s">
        <v>146</v>
      </c>
      <c r="I126" s="887" t="s">
        <v>196</v>
      </c>
      <c r="J126" s="890" t="s">
        <v>1265</v>
      </c>
      <c r="K126" s="886">
        <v>45969</v>
      </c>
      <c r="L126" s="887" t="s">
        <v>956</v>
      </c>
      <c r="M126" s="888">
        <v>492700</v>
      </c>
      <c r="N126" s="888">
        <v>24700</v>
      </c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33"/>
      <c r="AO126" s="334"/>
      <c r="AP126" s="334"/>
      <c r="AQ126" s="335"/>
      <c r="AR126" s="335"/>
      <c r="AS126" s="335"/>
      <c r="AT126" s="335">
        <v>0</v>
      </c>
      <c r="AU126" s="335">
        <v>1500</v>
      </c>
      <c r="AV126" s="335">
        <v>1009</v>
      </c>
      <c r="AW126" s="335"/>
      <c r="AX126" s="352">
        <f t="shared" si="459"/>
        <v>2509</v>
      </c>
      <c r="AY126" s="353">
        <f>IFERROR((+AX126/N126),0)</f>
        <v>0.10157894736842105</v>
      </c>
      <c r="AZ126" s="352">
        <f>+AX126-BD126</f>
        <v>-22191</v>
      </c>
      <c r="BA126" s="353">
        <f>+AZ126/N126</f>
        <v>-0.8984210526315789</v>
      </c>
      <c r="BB126" s="354">
        <f>+M126-AX126</f>
        <v>490191</v>
      </c>
      <c r="BC126" s="355">
        <f>+BB126/M126</f>
        <v>0.99490765171503959</v>
      </c>
      <c r="BD126" s="356">
        <f>IF(BE126="Vendido",N126*1,IF(BE126="Disponible",N126*0,IF(BE126="Enganche Completado",N126*1,IF(BE126="Superávit de Enganche",N126*1,0))))</f>
        <v>24700</v>
      </c>
      <c r="BE126" s="357" t="str">
        <f>IF(J126=0,"Apartamento Disponible",IF(J126&gt;1,"Vendido",0))</f>
        <v>Vendido</v>
      </c>
      <c r="BF126" s="357" t="e">
        <f>IF(AND(BE126="Vendido",K126&gt;=0,BN126&lt;=AX126,AX126&lt;BD126),"Cliente al día",IF(AND(BE126="Vendido",K126&gt;=0,BN126&lt;=AX126,AX126=BD126),"Enganche Completado",IF(AND(BE126="Vendido",K126&gt;=0,BN126&lt;AX126,AX126&gt;BD126),"Superávit de Enganche",IF(AND(BE126="Apartamento Disponible",K126=0,AZ126=0),"Disponible","Cliente Atrasado"))))</f>
        <v>#NUM!</v>
      </c>
      <c r="BG126" s="358">
        <v>16</v>
      </c>
      <c r="BH126" s="358">
        <f>IF(BG126&gt;1,1,0)</f>
        <v>1</v>
      </c>
      <c r="BI126" s="358">
        <f>+BG126+BH126</f>
        <v>17</v>
      </c>
      <c r="BJ126" s="882"/>
      <c r="BK126" s="365">
        <v>1462.5</v>
      </c>
      <c r="BL126" s="357">
        <f>COUNTIFS(O126:AO126,"&gt;0.01",O126:AO126,"&lt;" &amp; BJ126)</f>
        <v>0</v>
      </c>
      <c r="BM126" s="359" t="e">
        <f>IF($K126&gt;0,DATEDIF($K126,$AR$7,"M"),0)</f>
        <v>#NUM!</v>
      </c>
      <c r="BN126" s="360" t="e">
        <f>(BM126*BK126)+BJ126</f>
        <v>#NUM!</v>
      </c>
      <c r="BO126" s="359">
        <f>SUMIF(O126:AP126,"&lt;=" &amp; BK126,O126:AP126)</f>
        <v>0</v>
      </c>
      <c r="BP126" s="359">
        <f>SUMIF(O126:AP126,"&gt;" &amp; BK126,O126:AP126)</f>
        <v>0</v>
      </c>
      <c r="BQ126" s="359">
        <f>AX126-BO126-BP126</f>
        <v>2509</v>
      </c>
      <c r="BR126" s="359" t="e">
        <f>IF(AX126&gt;BN126,AX126-BN126,0)</f>
        <v>#NUM!</v>
      </c>
      <c r="BS126" s="359" t="e">
        <f>IF(AX126&lt;BN126,BN126-AX126,0)</f>
        <v>#NUM!</v>
      </c>
      <c r="BT126" s="361" t="e">
        <f>ROUNDUP(IF(K126&gt;0,BS126/BK126,0),0)</f>
        <v>#NUM!</v>
      </c>
      <c r="BU126" s="337"/>
      <c r="BV126" s="337"/>
    </row>
    <row r="127" spans="1:74" x14ac:dyDescent="0.25">
      <c r="A127" s="884" t="s">
        <v>1266</v>
      </c>
      <c r="F127" s="336">
        <v>403</v>
      </c>
      <c r="G127" s="336" t="s">
        <v>913</v>
      </c>
      <c r="H127" s="336" t="s">
        <v>913</v>
      </c>
      <c r="I127" s="336" t="s">
        <v>196</v>
      </c>
      <c r="J127" s="885" t="s">
        <v>1267</v>
      </c>
      <c r="K127" s="886">
        <v>45971</v>
      </c>
      <c r="L127" s="887" t="s">
        <v>956</v>
      </c>
      <c r="M127" s="888">
        <v>492000</v>
      </c>
      <c r="N127" s="888">
        <v>24600</v>
      </c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333"/>
      <c r="AH127" s="333"/>
      <c r="AI127" s="333"/>
      <c r="AJ127" s="333"/>
      <c r="AK127" s="333"/>
      <c r="AL127" s="333"/>
      <c r="AM127" s="333"/>
      <c r="AN127" s="333"/>
      <c r="AO127" s="334"/>
      <c r="AP127" s="334"/>
      <c r="AQ127" s="335"/>
      <c r="AR127" s="335"/>
      <c r="AS127" s="335"/>
      <c r="AT127" s="335">
        <v>0</v>
      </c>
      <c r="AU127" s="335">
        <v>1500</v>
      </c>
      <c r="AV127" s="335">
        <v>1000</v>
      </c>
      <c r="AW127" s="335"/>
      <c r="AX127" s="352">
        <f t="shared" si="459"/>
        <v>2500</v>
      </c>
      <c r="AY127" s="353">
        <f>IFERROR((+AX127/N127),0)</f>
        <v>0.1016260162601626</v>
      </c>
      <c r="AZ127" s="352">
        <f>+AX127-BD127</f>
        <v>-22100</v>
      </c>
      <c r="BA127" s="353">
        <f>+AZ127/N127</f>
        <v>-0.89837398373983735</v>
      </c>
      <c r="BB127" s="354">
        <f>+M127-AX127</f>
        <v>489500</v>
      </c>
      <c r="BC127" s="355">
        <f>+BB127/M127</f>
        <v>0.99491869918699183</v>
      </c>
      <c r="BD127" s="356">
        <f>IF(BE127="Vendido",N127*1,IF(BE127="Disponible",N127*0,IF(BE127="Enganche Completado",N127*1,IF(BE127="Superávit de Enganche",N127*1,0))))</f>
        <v>24600</v>
      </c>
      <c r="BE127" s="357" t="str">
        <f>IF(J127=0,"Apartamento Disponible",IF(J127&gt;1,"Vendido",0))</f>
        <v>Vendido</v>
      </c>
      <c r="BF127" s="357" t="e">
        <f>IF(AND(BE127="Vendido",K127&gt;=0,BN127&lt;=AX127,AX127&lt;BD127),"Cliente al día",IF(AND(BE127="Vendido",K127&gt;=0,BN127&lt;=AX127,AX127=BD127),"Enganche Completado",IF(AND(BE127="Vendido",K127&gt;=0,BN127&lt;AX127,AX127&gt;BD127),"Superávit de Enganche",IF(AND(BE127="Apartamento Disponible",K127=0,AZ127=0),"Disponible","Cliente Atrasado"))))</f>
        <v>#NUM!</v>
      </c>
      <c r="BG127" s="358">
        <v>16</v>
      </c>
      <c r="BH127" s="358">
        <f>IF(BG127&gt;1,1,0)</f>
        <v>1</v>
      </c>
      <c r="BI127" s="358">
        <f>+BG127+BH127</f>
        <v>17</v>
      </c>
      <c r="BJ127" s="882"/>
      <c r="BK127" s="365">
        <v>1462.5</v>
      </c>
      <c r="BL127" s="357">
        <f>COUNTIFS(O127:AO127,"&gt;0.01",O127:AO127,"&lt;" &amp; BJ127)</f>
        <v>0</v>
      </c>
      <c r="BM127" s="359" t="e">
        <f>IF($K127&gt;0,DATEDIF($K127,$AR$7,"M"),0)</f>
        <v>#NUM!</v>
      </c>
      <c r="BN127" s="360" t="e">
        <f>(BM127*BK127)+BJ127</f>
        <v>#NUM!</v>
      </c>
      <c r="BO127" s="359">
        <f>SUMIF(O127:AP127,"&lt;=" &amp; BK127,O127:AP127)</f>
        <v>0</v>
      </c>
      <c r="BP127" s="359">
        <f>SUMIF(O127:AP127,"&gt;" &amp; BK127,O127:AP127)</f>
        <v>0</v>
      </c>
      <c r="BQ127" s="359">
        <f>AX127-BO127-BP127</f>
        <v>2500</v>
      </c>
      <c r="BR127" s="359" t="e">
        <f>IF(AX127&gt;BN127,AX127-BN127,0)</f>
        <v>#NUM!</v>
      </c>
      <c r="BS127" s="359" t="e">
        <f>IF(AX127&lt;BN127,BN127-AX127,0)</f>
        <v>#NUM!</v>
      </c>
      <c r="BT127" s="361" t="e">
        <f>ROUNDUP(IF(K127&gt;0,BS127/BK127,0),0)</f>
        <v>#NUM!</v>
      </c>
      <c r="BU127" s="337"/>
      <c r="BV127" s="337"/>
    </row>
    <row r="128" spans="1:74" x14ac:dyDescent="0.25">
      <c r="A128" s="881" t="s">
        <v>1268</v>
      </c>
      <c r="F128" s="336">
        <v>407</v>
      </c>
      <c r="G128" s="336" t="s">
        <v>913</v>
      </c>
      <c r="H128" s="336" t="s">
        <v>146</v>
      </c>
      <c r="I128" s="336" t="s">
        <v>1161</v>
      </c>
      <c r="J128" s="337" t="s">
        <v>1269</v>
      </c>
      <c r="K128" s="883">
        <v>45956</v>
      </c>
      <c r="L128" s="336" t="s">
        <v>1261</v>
      </c>
      <c r="M128" s="333">
        <v>497700</v>
      </c>
      <c r="N128" s="333">
        <v>24900</v>
      </c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  <c r="Z128" s="333"/>
      <c r="AA128" s="333"/>
      <c r="AB128" s="333"/>
      <c r="AC128" s="333"/>
      <c r="AD128" s="333"/>
      <c r="AE128" s="333"/>
      <c r="AF128" s="333"/>
      <c r="AG128" s="333"/>
      <c r="AH128" s="333"/>
      <c r="AI128" s="333"/>
      <c r="AJ128" s="333"/>
      <c r="AK128" s="333"/>
      <c r="AL128" s="333"/>
      <c r="AM128" s="333"/>
      <c r="AN128" s="333"/>
      <c r="AO128" s="334"/>
      <c r="AP128" s="334"/>
      <c r="AQ128" s="335"/>
      <c r="AR128" s="335"/>
      <c r="AS128" s="335"/>
      <c r="AT128" s="335">
        <v>0</v>
      </c>
      <c r="AU128" s="335">
        <v>1500</v>
      </c>
      <c r="AV128" s="335">
        <v>1063.6400000000001</v>
      </c>
      <c r="AW128" s="335">
        <v>1063.6400000000001</v>
      </c>
      <c r="AX128" s="352">
        <f t="shared" si="459"/>
        <v>3627.2800000000007</v>
      </c>
      <c r="AY128" s="353">
        <f>IFERROR((+AX128/N128),0)</f>
        <v>0.14567389558232935</v>
      </c>
      <c r="AZ128" s="352">
        <f>+AX128-BD128</f>
        <v>-21272.720000000001</v>
      </c>
      <c r="BA128" s="353">
        <f>+AZ128/N128</f>
        <v>-0.85432610441767076</v>
      </c>
      <c r="BB128" s="354">
        <f>+M128-AX128</f>
        <v>494072.72</v>
      </c>
      <c r="BC128" s="355">
        <f>+BB128/M128</f>
        <v>0.99271191480811727</v>
      </c>
      <c r="BD128" s="356">
        <f>IF(BE128="Vendido",N128*1,IF(BE128="Disponible",N128*0,IF(BE128="Enganche Completado",N128*1,IF(BE128="Superávit de Enganche",N128*1,0))))</f>
        <v>24900</v>
      </c>
      <c r="BE128" s="357" t="str">
        <f>IF(J128=0,"Apartamento Disponible",IF(J128&gt;1,"Vendido",0))</f>
        <v>Vendido</v>
      </c>
      <c r="BF128" s="357" t="e">
        <f>IF(AND(BE128="Vendido",K128&gt;=0,BN128&lt;=AX128,AX128&lt;BD128),"Cliente al día",IF(AND(BE128="Vendido",K128&gt;=0,BN128&lt;=AX128,AX128=BD128),"Enganche Completado",IF(AND(BE128="Vendido",K128&gt;=0,BN128&lt;AX128,AX128&gt;BD128),"Superávit de Enganche",IF(AND(BE128="Apartamento Disponible",K128=0,AZ128=0),"Disponible","Cliente Atrasado"))))</f>
        <v>#NUM!</v>
      </c>
      <c r="BG128" s="358">
        <v>16</v>
      </c>
      <c r="BH128" s="358">
        <f>IF(BG128&gt;1,1,0)</f>
        <v>1</v>
      </c>
      <c r="BI128" s="358">
        <f>+BG128+BH128</f>
        <v>17</v>
      </c>
      <c r="BJ128" s="882"/>
      <c r="BK128" s="365">
        <v>1462.5</v>
      </c>
      <c r="BL128" s="357">
        <f>COUNTIFS(O128:AO128,"&gt;0.01",O128:AO128,"&lt;" &amp; BJ128)</f>
        <v>0</v>
      </c>
      <c r="BM128" s="359" t="e">
        <f>IF($K128&gt;0,DATEDIF($K128,$AR$7,"M"),0)</f>
        <v>#NUM!</v>
      </c>
      <c r="BN128" s="360" t="e">
        <f>(BM128*BK128)+BJ128</f>
        <v>#NUM!</v>
      </c>
      <c r="BO128" s="359">
        <f>SUMIF(O128:AP128,"&lt;=" &amp; BK128,O128:AP128)</f>
        <v>0</v>
      </c>
      <c r="BP128" s="359">
        <f>SUMIF(O128:AP128,"&gt;" &amp; BK128,O128:AP128)</f>
        <v>0</v>
      </c>
      <c r="BQ128" s="359">
        <f>AX128-BO128-BP128</f>
        <v>3627.2800000000007</v>
      </c>
      <c r="BR128" s="359" t="e">
        <f>IF(AX128&gt;BN128,AX128-BN128,0)</f>
        <v>#NUM!</v>
      </c>
      <c r="BS128" s="359" t="e">
        <f>IF(AX128&lt;BN128,BN128-AX128,0)</f>
        <v>#NUM!</v>
      </c>
      <c r="BT128" s="361" t="e">
        <f>ROUNDUP(IF(K128&gt;0,BS128/BK128,0),0)</f>
        <v>#NUM!</v>
      </c>
      <c r="BU128" s="337"/>
      <c r="BV128" s="337"/>
    </row>
    <row r="129" spans="1:74" x14ac:dyDescent="0.25">
      <c r="A129" s="884" t="s">
        <v>1270</v>
      </c>
      <c r="B129" s="889"/>
      <c r="C129" s="889"/>
      <c r="D129" s="889"/>
      <c r="E129" s="889"/>
      <c r="F129" s="887">
        <v>408</v>
      </c>
      <c r="G129" s="887" t="s">
        <v>913</v>
      </c>
      <c r="H129" s="887" t="s">
        <v>913</v>
      </c>
      <c r="I129" s="887" t="s">
        <v>1271</v>
      </c>
      <c r="J129" s="885" t="s">
        <v>1272</v>
      </c>
      <c r="K129" s="886">
        <v>45963</v>
      </c>
      <c r="L129" s="887" t="s">
        <v>956</v>
      </c>
      <c r="M129" s="888">
        <v>492000</v>
      </c>
      <c r="N129" s="888">
        <v>24600</v>
      </c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333"/>
      <c r="AH129" s="333"/>
      <c r="AI129" s="333"/>
      <c r="AJ129" s="333"/>
      <c r="AK129" s="333"/>
      <c r="AL129" s="333"/>
      <c r="AM129" s="333"/>
      <c r="AN129" s="333"/>
      <c r="AO129" s="334"/>
      <c r="AP129" s="334"/>
      <c r="AQ129" s="335"/>
      <c r="AR129" s="335"/>
      <c r="AS129" s="335"/>
      <c r="AT129" s="335">
        <v>0</v>
      </c>
      <c r="AU129" s="335">
        <v>400</v>
      </c>
      <c r="AV129" s="335">
        <f>110+900</f>
        <v>1010</v>
      </c>
      <c r="AW129" s="335">
        <v>1100</v>
      </c>
      <c r="AX129" s="352">
        <f t="shared" si="459"/>
        <v>2510</v>
      </c>
      <c r="AY129" s="353">
        <f>IFERROR((+AX129/N129),0)</f>
        <v>0.10203252032520325</v>
      </c>
      <c r="AZ129" s="352">
        <f>+AX129-BD129</f>
        <v>-22090</v>
      </c>
      <c r="BA129" s="353">
        <f>+AZ129/N129</f>
        <v>-0.89796747967479673</v>
      </c>
      <c r="BB129" s="354">
        <f>+M129-AX129</f>
        <v>489490</v>
      </c>
      <c r="BC129" s="355">
        <f>+BB129/M129</f>
        <v>0.99489837398373981</v>
      </c>
      <c r="BD129" s="356">
        <f>IF(BE129="Vendido",N129*1,IF(BE129="Disponible",N129*0,IF(BE129="Enganche Completado",N129*1,IF(BE129="Superávit de Enganche",N129*1,0))))</f>
        <v>24600</v>
      </c>
      <c r="BE129" s="357" t="str">
        <f>IF(J129=0,"Apartamento Disponible",IF(J129&gt;1,"Vendido",0))</f>
        <v>Vendido</v>
      </c>
      <c r="BF129" s="357" t="e">
        <f>IF(AND(BE129="Vendido",K129&gt;=0,BN129&lt;=AX129,AX129&lt;BD129),"Cliente al día",IF(AND(BE129="Vendido",K129&gt;=0,BN129&lt;=AX129,AX129=BD129),"Enganche Completado",IF(AND(BE129="Vendido",K129&gt;=0,BN129&lt;AX129,AX129&gt;BD129),"Superávit de Enganche",IF(AND(BE129="Apartamento Disponible",K129=0,AZ129=0),"Disponible","Cliente Atrasado"))))</f>
        <v>#NUM!</v>
      </c>
      <c r="BG129" s="358">
        <v>16</v>
      </c>
      <c r="BH129" s="358">
        <f>IF(BG129&gt;1,1,0)</f>
        <v>1</v>
      </c>
      <c r="BI129" s="358">
        <f>+BG129+BH129</f>
        <v>17</v>
      </c>
      <c r="BJ129" s="882"/>
      <c r="BK129" s="365">
        <v>1462.5</v>
      </c>
      <c r="BL129" s="357">
        <f>COUNTIFS(O129:AO129,"&gt;0.01",O129:AO129,"&lt;" &amp; BJ129)</f>
        <v>0</v>
      </c>
      <c r="BM129" s="359" t="e">
        <f>IF($K129&gt;0,DATEDIF($K129,$AR$7,"M"),0)</f>
        <v>#NUM!</v>
      </c>
      <c r="BN129" s="360" t="e">
        <f>(BM129*BK129)+BJ129</f>
        <v>#NUM!</v>
      </c>
      <c r="BO129" s="359">
        <f>SUMIF(O129:AP129,"&lt;=" &amp; BK129,O129:AP129)</f>
        <v>0</v>
      </c>
      <c r="BP129" s="359">
        <f>SUMIF(O129:AP129,"&gt;" &amp; BK129,O129:AP129)</f>
        <v>0</v>
      </c>
      <c r="BQ129" s="359">
        <f>AX129-BO129-BP129</f>
        <v>2510</v>
      </c>
      <c r="BR129" s="359" t="e">
        <f>IF(AX129&gt;BN129,AX129-BN129,0)</f>
        <v>#NUM!</v>
      </c>
      <c r="BS129" s="359" t="e">
        <f>IF(AX129&lt;BN129,BN129-AX129,0)</f>
        <v>#NUM!</v>
      </c>
      <c r="BT129" s="361" t="e">
        <f>ROUNDUP(IF(K129&gt;0,BS129/BK129,0),0)</f>
        <v>#NUM!</v>
      </c>
      <c r="BU129" s="337"/>
      <c r="BV129" s="337"/>
    </row>
    <row r="130" spans="1:74" x14ac:dyDescent="0.25">
      <c r="A130" s="881" t="s">
        <v>1273</v>
      </c>
      <c r="F130" s="336"/>
      <c r="G130" s="336"/>
      <c r="H130" s="336"/>
      <c r="I130" s="336"/>
      <c r="J130" s="337" t="s">
        <v>1274</v>
      </c>
      <c r="K130" s="883">
        <v>45956</v>
      </c>
      <c r="L130" s="336" t="s">
        <v>1261</v>
      </c>
      <c r="M130" s="333">
        <v>492700</v>
      </c>
      <c r="N130" s="333">
        <v>24700</v>
      </c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3"/>
      <c r="AJ130" s="333"/>
      <c r="AK130" s="333"/>
      <c r="AL130" s="333"/>
      <c r="AM130" s="333"/>
      <c r="AN130" s="333"/>
      <c r="AO130" s="334"/>
      <c r="AP130" s="334"/>
      <c r="AQ130" s="335"/>
      <c r="AR130" s="335"/>
      <c r="AS130" s="335"/>
      <c r="AT130" s="335">
        <v>0</v>
      </c>
      <c r="AU130" s="335">
        <v>0</v>
      </c>
      <c r="AV130" s="335"/>
      <c r="AW130" s="335"/>
      <c r="AX130" s="352">
        <f t="shared" si="459"/>
        <v>0</v>
      </c>
      <c r="AY130" s="353">
        <f t="shared" si="403"/>
        <v>0</v>
      </c>
      <c r="AZ130" s="352">
        <f t="shared" si="404"/>
        <v>-24700</v>
      </c>
      <c r="BA130" s="353">
        <f t="shared" si="405"/>
        <v>-1</v>
      </c>
      <c r="BB130" s="354">
        <f t="shared" si="406"/>
        <v>492700</v>
      </c>
      <c r="BC130" s="355">
        <f t="shared" si="407"/>
        <v>1</v>
      </c>
      <c r="BD130" s="356">
        <f t="shared" si="408"/>
        <v>24700</v>
      </c>
      <c r="BE130" s="357" t="str">
        <f t="shared" si="409"/>
        <v>Vendido</v>
      </c>
      <c r="BF130" s="357" t="e">
        <f t="shared" si="410"/>
        <v>#NUM!</v>
      </c>
      <c r="BG130" s="358">
        <v>16</v>
      </c>
      <c r="BH130" s="358">
        <f t="shared" si="411"/>
        <v>1</v>
      </c>
      <c r="BI130" s="358">
        <f t="shared" si="412"/>
        <v>17</v>
      </c>
      <c r="BJ130" s="882"/>
      <c r="BK130" s="365">
        <v>1462.5</v>
      </c>
      <c r="BL130" s="357">
        <f t="shared" si="413"/>
        <v>0</v>
      </c>
      <c r="BM130" s="359" t="e">
        <f t="shared" si="357"/>
        <v>#NUM!</v>
      </c>
      <c r="BN130" s="360" t="e">
        <f t="shared" si="414"/>
        <v>#NUM!</v>
      </c>
      <c r="BO130" s="359">
        <f t="shared" si="415"/>
        <v>0</v>
      </c>
      <c r="BP130" s="359">
        <f t="shared" si="416"/>
        <v>0</v>
      </c>
      <c r="BQ130" s="359">
        <f t="shared" si="417"/>
        <v>0</v>
      </c>
      <c r="BR130" s="359" t="e">
        <f t="shared" si="418"/>
        <v>#NUM!</v>
      </c>
      <c r="BS130" s="359" t="e">
        <f t="shared" si="419"/>
        <v>#NUM!</v>
      </c>
      <c r="BT130" s="361" t="e">
        <f t="shared" si="420"/>
        <v>#NUM!</v>
      </c>
      <c r="BU130" s="337"/>
      <c r="BV130" s="337"/>
    </row>
    <row r="131" spans="1:74" x14ac:dyDescent="0.25">
      <c r="A131" s="881" t="s">
        <v>1275</v>
      </c>
      <c r="F131" s="336">
        <v>507</v>
      </c>
      <c r="G131" s="336" t="s">
        <v>913</v>
      </c>
      <c r="H131" s="336" t="s">
        <v>146</v>
      </c>
      <c r="I131" s="336" t="s">
        <v>1161</v>
      </c>
      <c r="J131" s="337" t="s">
        <v>1276</v>
      </c>
      <c r="K131" s="338">
        <v>45962</v>
      </c>
      <c r="L131" s="336" t="s">
        <v>1261</v>
      </c>
      <c r="M131" s="870">
        <v>487700</v>
      </c>
      <c r="N131" s="870">
        <v>24400</v>
      </c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333"/>
      <c r="AF131" s="333"/>
      <c r="AG131" s="333"/>
      <c r="AH131" s="333"/>
      <c r="AI131" s="333"/>
      <c r="AJ131" s="333"/>
      <c r="AK131" s="333"/>
      <c r="AL131" s="333"/>
      <c r="AM131" s="333"/>
      <c r="AN131" s="333"/>
      <c r="AO131" s="334"/>
      <c r="AP131" s="334"/>
      <c r="AQ131" s="335"/>
      <c r="AR131" s="335"/>
      <c r="AS131" s="335"/>
      <c r="AT131" s="335">
        <v>0</v>
      </c>
      <c r="AU131" s="335">
        <v>1500</v>
      </c>
      <c r="AV131" s="335">
        <v>1040.23</v>
      </c>
      <c r="AW131" s="335"/>
      <c r="AX131" s="352">
        <f t="shared" si="459"/>
        <v>2540.23</v>
      </c>
      <c r="AY131" s="353">
        <f t="shared" si="403"/>
        <v>0.1041077868852459</v>
      </c>
      <c r="AZ131" s="352">
        <f t="shared" si="404"/>
        <v>-21859.77</v>
      </c>
      <c r="BA131" s="353">
        <f t="shared" si="405"/>
        <v>-0.89589221311475409</v>
      </c>
      <c r="BB131" s="354">
        <f t="shared" si="406"/>
        <v>485159.77</v>
      </c>
      <c r="BC131" s="355">
        <f t="shared" si="407"/>
        <v>0.99479140865286042</v>
      </c>
      <c r="BD131" s="356">
        <f t="shared" si="408"/>
        <v>24400</v>
      </c>
      <c r="BE131" s="357" t="str">
        <f t="shared" si="409"/>
        <v>Vendido</v>
      </c>
      <c r="BF131" s="357" t="e">
        <f t="shared" si="410"/>
        <v>#NUM!</v>
      </c>
      <c r="BG131" s="358">
        <v>16</v>
      </c>
      <c r="BH131" s="358">
        <f t="shared" si="411"/>
        <v>1</v>
      </c>
      <c r="BI131" s="358">
        <f t="shared" si="412"/>
        <v>17</v>
      </c>
      <c r="BJ131" s="882"/>
      <c r="BK131" s="365">
        <v>1462.5</v>
      </c>
      <c r="BL131" s="357">
        <f t="shared" si="413"/>
        <v>0</v>
      </c>
      <c r="BM131" s="359" t="e">
        <f t="shared" si="357"/>
        <v>#NUM!</v>
      </c>
      <c r="BN131" s="360" t="e">
        <f t="shared" si="414"/>
        <v>#NUM!</v>
      </c>
      <c r="BO131" s="359">
        <f t="shared" si="415"/>
        <v>0</v>
      </c>
      <c r="BP131" s="359">
        <f t="shared" si="416"/>
        <v>0</v>
      </c>
      <c r="BQ131" s="359">
        <f t="shared" si="417"/>
        <v>2540.23</v>
      </c>
      <c r="BR131" s="359" t="e">
        <f t="shared" si="418"/>
        <v>#NUM!</v>
      </c>
      <c r="BS131" s="359" t="e">
        <f t="shared" si="419"/>
        <v>#NUM!</v>
      </c>
      <c r="BT131" s="361" t="e">
        <f t="shared" si="420"/>
        <v>#NUM!</v>
      </c>
      <c r="BU131" s="337"/>
      <c r="BV131" s="337"/>
    </row>
    <row r="132" spans="1:74" x14ac:dyDescent="0.25">
      <c r="A132" s="846" t="s">
        <v>1277</v>
      </c>
      <c r="F132" s="336">
        <v>402</v>
      </c>
      <c r="G132" s="336" t="s">
        <v>146</v>
      </c>
      <c r="H132" s="336" t="s">
        <v>146</v>
      </c>
      <c r="I132" s="336" t="s">
        <v>1161</v>
      </c>
      <c r="J132" s="337" t="s">
        <v>1278</v>
      </c>
      <c r="K132" s="338">
        <v>45978</v>
      </c>
      <c r="L132" s="336" t="s">
        <v>956</v>
      </c>
      <c r="M132" s="333">
        <v>492700</v>
      </c>
      <c r="N132" s="333" t="s">
        <v>1279</v>
      </c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4"/>
      <c r="AP132" s="334"/>
      <c r="AQ132" s="335"/>
      <c r="AR132" s="335"/>
      <c r="AS132" s="335"/>
      <c r="AT132" s="335">
        <v>0</v>
      </c>
      <c r="AU132" s="335">
        <v>500</v>
      </c>
      <c r="AV132" s="335">
        <v>500</v>
      </c>
      <c r="AW132" s="335">
        <v>500</v>
      </c>
      <c r="AX132" s="352">
        <f t="shared" si="459"/>
        <v>1500</v>
      </c>
      <c r="AY132" s="353">
        <f t="shared" ref="AY132" si="460">IFERROR((+AX132/N132),0)</f>
        <v>0</v>
      </c>
      <c r="AZ132" s="352" t="e">
        <f t="shared" ref="AZ132" si="461">+AX132-BD132</f>
        <v>#VALUE!</v>
      </c>
      <c r="BA132" s="353" t="e">
        <f t="shared" ref="BA132" si="462">+AZ132/N132</f>
        <v>#VALUE!</v>
      </c>
      <c r="BB132" s="354">
        <f t="shared" ref="BB132" si="463">+M132-AX132</f>
        <v>491200</v>
      </c>
      <c r="BC132" s="355">
        <f t="shared" ref="BC132" si="464">+BB132/M132</f>
        <v>0.99695555104526079</v>
      </c>
      <c r="BD132" s="356" t="e">
        <f t="shared" ref="BD132" si="465">IF(BE132="Vendido",N132*1,IF(BE132="Disponible",N132*0,IF(BE132="Enganche Completado",N132*1,IF(BE132="Superávit de Enganche",N132*1,0))))</f>
        <v>#VALUE!</v>
      </c>
      <c r="BE132" s="357" t="str">
        <f t="shared" ref="BE132" si="466">IF(J132=0,"Apartamento Disponible",IF(J132&gt;1,"Vendido",0))</f>
        <v>Vendido</v>
      </c>
      <c r="BF132" s="357" t="e">
        <f t="shared" ref="BF132" si="467">IF(AND(BE132="Vendido",K132&gt;=0,BN132&lt;=AX132,AX132&lt;BD132),"Cliente al día",IF(AND(BE132="Vendido",K132&gt;=0,BN132&lt;=AX132,AX132=BD132),"Enganche Completado",IF(AND(BE132="Vendido",K132&gt;=0,BN132&lt;AX132,AX132&gt;BD132),"Superávit de Enganche",IF(AND(BE132="Apartamento Disponible",K132=0,AZ132=0),"Disponible","Cliente Atrasado"))))</f>
        <v>#NUM!</v>
      </c>
      <c r="BG132" s="358">
        <v>16</v>
      </c>
      <c r="BH132" s="358">
        <f t="shared" ref="BH132" si="468">IF(BG132&gt;1,1,0)</f>
        <v>1</v>
      </c>
      <c r="BI132" s="358">
        <f t="shared" ref="BI132" si="469">+BG132+BH132</f>
        <v>17</v>
      </c>
      <c r="BJ132" s="882"/>
      <c r="BK132" s="365">
        <v>1462.5</v>
      </c>
      <c r="BL132" s="357">
        <f t="shared" ref="BL132" si="470">COUNTIFS(O132:AO132,"&gt;0.01",O132:AO132,"&lt;" &amp; BJ132)</f>
        <v>0</v>
      </c>
      <c r="BM132" s="359" t="e">
        <f t="shared" si="357"/>
        <v>#NUM!</v>
      </c>
      <c r="BN132" s="360" t="e">
        <f t="shared" ref="BN132" si="471">(BM132*BK132)+BJ132</f>
        <v>#NUM!</v>
      </c>
      <c r="BO132" s="359">
        <f t="shared" ref="BO132" si="472">SUMIF(O132:AP132,"&lt;=" &amp; BK132,O132:AP132)</f>
        <v>0</v>
      </c>
      <c r="BP132" s="359">
        <f t="shared" ref="BP132" si="473">SUMIF(O132:AP132,"&gt;" &amp; BK132,O132:AP132)</f>
        <v>0</v>
      </c>
      <c r="BQ132" s="359">
        <f t="shared" ref="BQ132" si="474">AX132-BO132-BP132</f>
        <v>1500</v>
      </c>
      <c r="BR132" s="359" t="e">
        <f t="shared" ref="BR132" si="475">IF(AX132&gt;BN132,AX132-BN132,0)</f>
        <v>#NUM!</v>
      </c>
      <c r="BS132" s="359" t="e">
        <f t="shared" ref="BS132" si="476">IF(AX132&lt;BN132,BN132-AX132,0)</f>
        <v>#NUM!</v>
      </c>
      <c r="BT132" s="361" t="e">
        <f t="shared" ref="BT132" si="477">ROUNDUP(IF(K132&gt;0,BS132/BK132,0),0)</f>
        <v>#NUM!</v>
      </c>
      <c r="BU132" s="337"/>
      <c r="BV132" s="337"/>
    </row>
    <row r="133" spans="1:74" x14ac:dyDescent="0.25">
      <c r="A133" s="846" t="s">
        <v>1280</v>
      </c>
      <c r="F133" s="336">
        <v>208</v>
      </c>
      <c r="G133" s="336" t="s">
        <v>913</v>
      </c>
      <c r="H133" s="336"/>
      <c r="I133" s="336" t="s">
        <v>196</v>
      </c>
      <c r="J133" s="337" t="s">
        <v>1281</v>
      </c>
      <c r="K133" s="338">
        <v>45990</v>
      </c>
      <c r="L133" s="336" t="s">
        <v>956</v>
      </c>
      <c r="M133" s="333">
        <v>492000</v>
      </c>
      <c r="N133" s="333">
        <v>24600</v>
      </c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3"/>
      <c r="AM133" s="333"/>
      <c r="AN133" s="333"/>
      <c r="AO133" s="334"/>
      <c r="AP133" s="334"/>
      <c r="AQ133" s="335"/>
      <c r="AR133" s="335"/>
      <c r="AS133" s="335"/>
      <c r="AT133" s="335"/>
      <c r="AU133" s="335">
        <v>200</v>
      </c>
      <c r="AV133" s="335">
        <v>1061</v>
      </c>
      <c r="AW133" s="335"/>
      <c r="AX133" s="352">
        <f t="shared" si="459"/>
        <v>1261</v>
      </c>
      <c r="AY133" s="353"/>
      <c r="AZ133" s="352"/>
      <c r="BA133" s="353"/>
      <c r="BB133" s="354"/>
      <c r="BC133" s="355"/>
      <c r="BD133" s="356"/>
      <c r="BE133" s="357"/>
      <c r="BF133" s="357"/>
      <c r="BG133" s="358"/>
      <c r="BH133" s="358"/>
      <c r="BI133" s="358"/>
      <c r="BJ133" s="882"/>
      <c r="BK133" s="365"/>
      <c r="BL133" s="357"/>
      <c r="BM133" s="359"/>
      <c r="BN133" s="360"/>
      <c r="BO133" s="359"/>
      <c r="BP133" s="359"/>
      <c r="BQ133" s="359"/>
      <c r="BR133" s="359"/>
      <c r="BS133" s="359"/>
      <c r="BT133" s="361"/>
      <c r="BU133" s="337"/>
      <c r="BV133" s="337"/>
    </row>
    <row r="134" spans="1:74" x14ac:dyDescent="0.25">
      <c r="A134" s="846" t="s">
        <v>1282</v>
      </c>
      <c r="F134" s="336">
        <v>107</v>
      </c>
      <c r="G134" s="336" t="s">
        <v>913</v>
      </c>
      <c r="H134" s="336"/>
      <c r="I134" s="336" t="s">
        <v>1271</v>
      </c>
      <c r="J134" s="337" t="s">
        <v>1283</v>
      </c>
      <c r="K134" s="338">
        <v>45988</v>
      </c>
      <c r="L134" s="336" t="s">
        <v>956</v>
      </c>
      <c r="M134" s="333">
        <v>492700</v>
      </c>
      <c r="N134" s="333">
        <v>24700</v>
      </c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333"/>
      <c r="AI134" s="333"/>
      <c r="AJ134" s="333"/>
      <c r="AK134" s="333"/>
      <c r="AL134" s="333"/>
      <c r="AM134" s="333"/>
      <c r="AN134" s="333"/>
      <c r="AO134" s="334"/>
      <c r="AP134" s="334"/>
      <c r="AQ134" s="335"/>
      <c r="AR134" s="335"/>
      <c r="AS134" s="335"/>
      <c r="AT134" s="335"/>
      <c r="AU134" s="335">
        <v>1500</v>
      </c>
      <c r="AV134" s="335">
        <v>1009</v>
      </c>
      <c r="AW134" s="335"/>
      <c r="AX134" s="352">
        <f t="shared" si="459"/>
        <v>2509</v>
      </c>
      <c r="AY134" s="353"/>
      <c r="AZ134" s="352"/>
      <c r="BA134" s="353"/>
      <c r="BB134" s="354"/>
      <c r="BC134" s="355"/>
      <c r="BD134" s="356"/>
      <c r="BE134" s="357"/>
      <c r="BF134" s="357"/>
      <c r="BG134" s="358"/>
      <c r="BH134" s="358"/>
      <c r="BI134" s="358"/>
      <c r="BJ134" s="882"/>
      <c r="BK134" s="365"/>
      <c r="BL134" s="357"/>
      <c r="BM134" s="359"/>
      <c r="BN134" s="360"/>
      <c r="BO134" s="359"/>
      <c r="BP134" s="359"/>
      <c r="BQ134" s="359"/>
      <c r="BR134" s="359"/>
      <c r="BS134" s="359"/>
      <c r="BT134" s="361"/>
      <c r="BU134" s="337"/>
      <c r="BV134" s="337"/>
    </row>
    <row r="135" spans="1:74" x14ac:dyDescent="0.25">
      <c r="A135" s="846"/>
      <c r="F135" s="336">
        <v>310</v>
      </c>
      <c r="G135" s="336" t="s">
        <v>146</v>
      </c>
      <c r="H135" s="336" t="s">
        <v>913</v>
      </c>
      <c r="I135" s="336" t="s">
        <v>962</v>
      </c>
      <c r="J135" s="337" t="s">
        <v>1284</v>
      </c>
      <c r="K135" s="338">
        <v>46039</v>
      </c>
      <c r="L135" s="336" t="s">
        <v>956</v>
      </c>
      <c r="M135" s="333">
        <v>497000</v>
      </c>
      <c r="N135" s="333">
        <v>24900</v>
      </c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  <c r="Z135" s="333"/>
      <c r="AA135" s="333"/>
      <c r="AB135" s="333"/>
      <c r="AC135" s="333"/>
      <c r="AD135" s="333"/>
      <c r="AE135" s="333"/>
      <c r="AF135" s="333"/>
      <c r="AG135" s="333"/>
      <c r="AH135" s="333"/>
      <c r="AI135" s="333"/>
      <c r="AJ135" s="333"/>
      <c r="AK135" s="333"/>
      <c r="AL135" s="333"/>
      <c r="AM135" s="333"/>
      <c r="AN135" s="333"/>
      <c r="AO135" s="334"/>
      <c r="AP135" s="334"/>
      <c r="AQ135" s="335"/>
      <c r="AR135" s="335"/>
      <c r="AS135" s="335"/>
      <c r="AT135" s="335"/>
      <c r="AU135" s="335">
        <v>0</v>
      </c>
      <c r="AV135" s="335"/>
      <c r="AW135" s="335">
        <v>1500</v>
      </c>
      <c r="AX135" s="352">
        <f t="shared" si="459"/>
        <v>1500</v>
      </c>
      <c r="AY135" s="353"/>
      <c r="AZ135" s="352"/>
      <c r="BA135" s="353"/>
      <c r="BB135" s="354"/>
      <c r="BC135" s="355"/>
      <c r="BD135" s="356"/>
      <c r="BE135" s="357"/>
      <c r="BF135" s="357"/>
      <c r="BG135" s="358"/>
      <c r="BH135" s="358"/>
      <c r="BI135" s="358"/>
      <c r="BJ135" s="882"/>
      <c r="BK135" s="365"/>
      <c r="BL135" s="357"/>
      <c r="BM135" s="359"/>
      <c r="BN135" s="360"/>
      <c r="BO135" s="359"/>
      <c r="BP135" s="359"/>
      <c r="BQ135" s="359"/>
      <c r="BR135" s="359"/>
      <c r="BS135" s="359"/>
      <c r="BT135" s="361"/>
      <c r="BU135" s="337"/>
      <c r="BV135" s="337"/>
    </row>
    <row r="136" spans="1:74" x14ac:dyDescent="0.25">
      <c r="A136" s="846" t="s">
        <v>1285</v>
      </c>
      <c r="F136" s="336">
        <v>209</v>
      </c>
      <c r="G136" s="336" t="s">
        <v>145</v>
      </c>
      <c r="H136" s="336"/>
      <c r="I136" s="336" t="s">
        <v>1271</v>
      </c>
      <c r="J136" s="337" t="s">
        <v>1286</v>
      </c>
      <c r="K136" s="338">
        <v>45983</v>
      </c>
      <c r="L136" s="336" t="s">
        <v>956</v>
      </c>
      <c r="M136" s="333">
        <v>492700</v>
      </c>
      <c r="N136" s="333">
        <v>24700</v>
      </c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333"/>
      <c r="AH136" s="333"/>
      <c r="AI136" s="333"/>
      <c r="AJ136" s="333"/>
      <c r="AK136" s="333"/>
      <c r="AL136" s="333"/>
      <c r="AM136" s="333"/>
      <c r="AN136" s="333"/>
      <c r="AO136" s="334"/>
      <c r="AP136" s="334"/>
      <c r="AQ136" s="335"/>
      <c r="AR136" s="335"/>
      <c r="AS136" s="335"/>
      <c r="AT136" s="335"/>
      <c r="AU136" s="335">
        <v>1500</v>
      </c>
      <c r="AV136" s="335"/>
      <c r="AW136" s="335">
        <v>2320</v>
      </c>
      <c r="AX136" s="352">
        <f t="shared" si="459"/>
        <v>3820</v>
      </c>
      <c r="AY136" s="353"/>
      <c r="AZ136" s="352"/>
      <c r="BA136" s="353"/>
      <c r="BB136" s="354"/>
      <c r="BC136" s="355"/>
      <c r="BD136" s="356"/>
      <c r="BE136" s="357"/>
      <c r="BF136" s="357"/>
      <c r="BG136" s="358"/>
      <c r="BH136" s="358"/>
      <c r="BI136" s="358"/>
      <c r="BJ136" s="882"/>
      <c r="BK136" s="365"/>
      <c r="BL136" s="357"/>
      <c r="BM136" s="359"/>
      <c r="BN136" s="360"/>
      <c r="BO136" s="359"/>
      <c r="BP136" s="359"/>
      <c r="BQ136" s="359"/>
      <c r="BR136" s="359"/>
      <c r="BS136" s="359"/>
      <c r="BT136" s="361"/>
      <c r="BU136" s="337"/>
      <c r="BV136" s="337"/>
    </row>
    <row r="137" spans="1:74" x14ac:dyDescent="0.25">
      <c r="A137" s="846" t="s">
        <v>1287</v>
      </c>
      <c r="F137" s="336">
        <v>603</v>
      </c>
      <c r="G137" s="336" t="s">
        <v>146</v>
      </c>
      <c r="H137" s="336" t="s">
        <v>913</v>
      </c>
      <c r="I137" s="336" t="s">
        <v>196</v>
      </c>
      <c r="J137" s="337" t="s">
        <v>1288</v>
      </c>
      <c r="K137" s="338" t="s">
        <v>1289</v>
      </c>
      <c r="L137" s="336" t="s">
        <v>956</v>
      </c>
      <c r="M137" s="333">
        <v>492000</v>
      </c>
      <c r="N137" s="333">
        <v>24600</v>
      </c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333"/>
      <c r="AH137" s="333"/>
      <c r="AI137" s="333"/>
      <c r="AJ137" s="333"/>
      <c r="AK137" s="333"/>
      <c r="AL137" s="333"/>
      <c r="AM137" s="333"/>
      <c r="AN137" s="333"/>
      <c r="AO137" s="334"/>
      <c r="AP137" s="334"/>
      <c r="AQ137" s="335"/>
      <c r="AR137" s="335"/>
      <c r="AS137" s="335"/>
      <c r="AT137" s="335"/>
      <c r="AU137" s="335">
        <v>1500</v>
      </c>
      <c r="AV137" s="335"/>
      <c r="AW137" s="335"/>
      <c r="AX137" s="352">
        <f t="shared" si="459"/>
        <v>1500</v>
      </c>
      <c r="AY137" s="353"/>
      <c r="AZ137" s="352"/>
      <c r="BA137" s="353"/>
      <c r="BB137" s="354"/>
      <c r="BC137" s="355"/>
      <c r="BD137" s="356"/>
      <c r="BE137" s="357"/>
      <c r="BF137" s="357"/>
      <c r="BG137" s="358"/>
      <c r="BH137" s="358"/>
      <c r="BI137" s="358"/>
      <c r="BJ137" s="882"/>
      <c r="BK137" s="365"/>
      <c r="BL137" s="357"/>
      <c r="BM137" s="359"/>
      <c r="BN137" s="360"/>
      <c r="BO137" s="359"/>
      <c r="BP137" s="359"/>
      <c r="BQ137" s="359"/>
      <c r="BR137" s="359"/>
      <c r="BS137" s="359"/>
      <c r="BT137" s="361"/>
      <c r="BU137" s="337"/>
      <c r="BV137" s="337"/>
    </row>
    <row r="138" spans="1:74" x14ac:dyDescent="0.25">
      <c r="A138" s="846" t="s">
        <v>1290</v>
      </c>
      <c r="F138" s="336">
        <v>608</v>
      </c>
      <c r="G138" s="336" t="s">
        <v>145</v>
      </c>
      <c r="H138" s="336" t="s">
        <v>913</v>
      </c>
      <c r="I138" s="336" t="s">
        <v>962</v>
      </c>
      <c r="J138" s="337" t="s">
        <v>1291</v>
      </c>
      <c r="K138" s="338">
        <v>45981</v>
      </c>
      <c r="L138" s="336" t="s">
        <v>956</v>
      </c>
      <c r="M138" s="333">
        <v>497000</v>
      </c>
      <c r="N138" s="333">
        <v>24900</v>
      </c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  <c r="AJ138" s="333"/>
      <c r="AK138" s="333"/>
      <c r="AL138" s="333"/>
      <c r="AM138" s="333"/>
      <c r="AN138" s="333"/>
      <c r="AO138" s="334"/>
      <c r="AP138" s="334"/>
      <c r="AQ138" s="335"/>
      <c r="AR138" s="335"/>
      <c r="AS138" s="335"/>
      <c r="AT138" s="335"/>
      <c r="AU138" s="335">
        <v>1500</v>
      </c>
      <c r="AV138" s="335">
        <v>2340</v>
      </c>
      <c r="AW138" s="335"/>
      <c r="AX138" s="352">
        <f t="shared" si="459"/>
        <v>3840</v>
      </c>
      <c r="AY138" s="353"/>
      <c r="AZ138" s="352"/>
      <c r="BA138" s="353"/>
      <c r="BB138" s="354"/>
      <c r="BC138" s="355"/>
      <c r="BD138" s="356"/>
      <c r="BE138" s="357"/>
      <c r="BF138" s="357"/>
      <c r="BG138" s="358"/>
      <c r="BH138" s="358"/>
      <c r="BI138" s="358"/>
      <c r="BJ138" s="882"/>
      <c r="BK138" s="365"/>
      <c r="BL138" s="357"/>
      <c r="BM138" s="359"/>
      <c r="BN138" s="360"/>
      <c r="BO138" s="359"/>
      <c r="BP138" s="359"/>
      <c r="BQ138" s="359"/>
      <c r="BR138" s="359"/>
      <c r="BS138" s="359"/>
      <c r="BT138" s="361"/>
      <c r="BU138" s="337"/>
      <c r="BV138" s="337"/>
    </row>
    <row r="139" spans="1:74" x14ac:dyDescent="0.25">
      <c r="A139" s="846" t="s">
        <v>1292</v>
      </c>
      <c r="F139" s="336">
        <v>309</v>
      </c>
      <c r="G139" s="336" t="s">
        <v>913</v>
      </c>
      <c r="H139" s="336" t="s">
        <v>913</v>
      </c>
      <c r="I139" s="336" t="s">
        <v>1271</v>
      </c>
      <c r="J139" s="337" t="s">
        <v>1293</v>
      </c>
      <c r="K139" s="338">
        <v>45977</v>
      </c>
      <c r="L139" s="336" t="s">
        <v>956</v>
      </c>
      <c r="M139" s="333">
        <v>492000</v>
      </c>
      <c r="N139" s="333">
        <v>24600</v>
      </c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  <c r="AJ139" s="333"/>
      <c r="AK139" s="333"/>
      <c r="AL139" s="333"/>
      <c r="AM139" s="333"/>
      <c r="AN139" s="333"/>
      <c r="AO139" s="334"/>
      <c r="AP139" s="334"/>
      <c r="AQ139" s="335"/>
      <c r="AR139" s="335"/>
      <c r="AS139" s="335"/>
      <c r="AT139" s="335"/>
      <c r="AU139" s="335">
        <v>1500</v>
      </c>
      <c r="AV139" s="335"/>
      <c r="AW139" s="335"/>
      <c r="AX139" s="352">
        <f t="shared" si="459"/>
        <v>1500</v>
      </c>
      <c r="AY139" s="353"/>
      <c r="AZ139" s="352"/>
      <c r="BA139" s="353"/>
      <c r="BB139" s="354"/>
      <c r="BC139" s="355"/>
      <c r="BD139" s="356"/>
      <c r="BE139" s="357"/>
      <c r="BF139" s="357"/>
      <c r="BG139" s="358"/>
      <c r="BH139" s="358"/>
      <c r="BI139" s="358"/>
      <c r="BJ139" s="882"/>
      <c r="BK139" s="365"/>
      <c r="BL139" s="357"/>
      <c r="BM139" s="359"/>
      <c r="BN139" s="360"/>
      <c r="BO139" s="359"/>
      <c r="BP139" s="359"/>
      <c r="BQ139" s="359"/>
      <c r="BR139" s="359"/>
      <c r="BS139" s="359"/>
      <c r="BT139" s="361"/>
      <c r="BU139" s="337"/>
      <c r="BV139" s="337"/>
    </row>
    <row r="140" spans="1:74" x14ac:dyDescent="0.25">
      <c r="A140" s="846" t="s">
        <v>1294</v>
      </c>
      <c r="F140" s="336">
        <v>201</v>
      </c>
      <c r="G140" s="336" t="s">
        <v>145</v>
      </c>
      <c r="H140" s="336" t="s">
        <v>146</v>
      </c>
      <c r="I140" s="336" t="s">
        <v>962</v>
      </c>
      <c r="J140" s="337" t="s">
        <v>1295</v>
      </c>
      <c r="K140" s="338">
        <v>45977</v>
      </c>
      <c r="L140" s="336" t="s">
        <v>956</v>
      </c>
      <c r="M140" s="333">
        <v>497700</v>
      </c>
      <c r="N140" s="333">
        <v>24900</v>
      </c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  <c r="AM140" s="333"/>
      <c r="AN140" s="333"/>
      <c r="AO140" s="334"/>
      <c r="AP140" s="334"/>
      <c r="AQ140" s="335"/>
      <c r="AR140" s="335"/>
      <c r="AS140" s="335"/>
      <c r="AT140" s="335"/>
      <c r="AU140" s="335">
        <v>1500</v>
      </c>
      <c r="AV140" s="335">
        <v>2340</v>
      </c>
      <c r="AW140" s="335">
        <v>2340</v>
      </c>
      <c r="AX140" s="352">
        <f t="shared" si="459"/>
        <v>6180</v>
      </c>
      <c r="AY140" s="353"/>
      <c r="AZ140" s="352"/>
      <c r="BA140" s="353"/>
      <c r="BB140" s="354"/>
      <c r="BC140" s="355"/>
      <c r="BD140" s="356"/>
      <c r="BE140" s="357"/>
      <c r="BF140" s="357"/>
      <c r="BG140" s="358"/>
      <c r="BH140" s="358"/>
      <c r="BI140" s="358"/>
      <c r="BJ140" s="882"/>
      <c r="BK140" s="365"/>
      <c r="BL140" s="357"/>
      <c r="BM140" s="359"/>
      <c r="BN140" s="360"/>
      <c r="BO140" s="359"/>
      <c r="BP140" s="359"/>
      <c r="BQ140" s="359"/>
      <c r="BR140" s="359"/>
      <c r="BS140" s="359"/>
      <c r="BT140" s="361"/>
      <c r="BU140" s="337"/>
      <c r="BV140" s="337"/>
    </row>
    <row r="141" spans="1:74" x14ac:dyDescent="0.25">
      <c r="A141" s="846" t="s">
        <v>1296</v>
      </c>
      <c r="F141" s="336">
        <v>302</v>
      </c>
      <c r="G141" s="336" t="s">
        <v>913</v>
      </c>
      <c r="H141" s="336" t="s">
        <v>913</v>
      </c>
      <c r="I141" s="336" t="s">
        <v>962</v>
      </c>
      <c r="J141" s="337" t="s">
        <v>1297</v>
      </c>
      <c r="K141" s="338">
        <v>45977</v>
      </c>
      <c r="L141" s="336" t="s">
        <v>956</v>
      </c>
      <c r="M141" s="333">
        <v>497000</v>
      </c>
      <c r="N141" s="333">
        <v>24900</v>
      </c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3"/>
      <c r="AJ141" s="333"/>
      <c r="AK141" s="333"/>
      <c r="AL141" s="333"/>
      <c r="AM141" s="333"/>
      <c r="AN141" s="333"/>
      <c r="AO141" s="334"/>
      <c r="AP141" s="334"/>
      <c r="AQ141" s="335"/>
      <c r="AR141" s="335"/>
      <c r="AS141" s="335"/>
      <c r="AT141" s="335"/>
      <c r="AU141" s="335">
        <v>1500</v>
      </c>
      <c r="AV141" s="335">
        <v>1064</v>
      </c>
      <c r="AW141" s="335">
        <v>1064</v>
      </c>
      <c r="AX141" s="352">
        <f t="shared" si="459"/>
        <v>3628</v>
      </c>
      <c r="AY141" s="353"/>
      <c r="AZ141" s="352"/>
      <c r="BA141" s="353"/>
      <c r="BB141" s="354"/>
      <c r="BC141" s="355"/>
      <c r="BD141" s="356"/>
      <c r="BE141" s="357"/>
      <c r="BF141" s="357"/>
      <c r="BG141" s="358"/>
      <c r="BH141" s="358"/>
      <c r="BI141" s="358"/>
      <c r="BJ141" s="882"/>
      <c r="BK141" s="365"/>
      <c r="BL141" s="357"/>
      <c r="BM141" s="359"/>
      <c r="BN141" s="360"/>
      <c r="BO141" s="359"/>
      <c r="BP141" s="359"/>
      <c r="BQ141" s="359"/>
      <c r="BR141" s="359"/>
      <c r="BS141" s="359"/>
      <c r="BT141" s="361"/>
      <c r="BU141" s="337"/>
      <c r="BV141" s="337"/>
    </row>
    <row r="142" spans="1:74" x14ac:dyDescent="0.25">
      <c r="A142" s="846" t="s">
        <v>1298</v>
      </c>
      <c r="F142" s="336">
        <v>509</v>
      </c>
      <c r="G142" s="336" t="s">
        <v>145</v>
      </c>
      <c r="H142" s="336" t="s">
        <v>146</v>
      </c>
      <c r="I142" s="336" t="s">
        <v>1271</v>
      </c>
      <c r="J142" s="337" t="s">
        <v>1299</v>
      </c>
      <c r="K142" s="338">
        <v>45977</v>
      </c>
      <c r="L142" s="336" t="s">
        <v>956</v>
      </c>
      <c r="M142" s="333">
        <v>492700</v>
      </c>
      <c r="N142" s="333">
        <v>24700</v>
      </c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  <c r="AM142" s="333"/>
      <c r="AN142" s="333"/>
      <c r="AO142" s="334"/>
      <c r="AP142" s="334"/>
      <c r="AQ142" s="335"/>
      <c r="AR142" s="335"/>
      <c r="AS142" s="335"/>
      <c r="AT142" s="335"/>
      <c r="AU142" s="335">
        <v>1500</v>
      </c>
      <c r="AV142" s="335">
        <v>2320</v>
      </c>
      <c r="AW142" s="335">
        <v>1867</v>
      </c>
      <c r="AX142" s="352">
        <f t="shared" si="459"/>
        <v>5687</v>
      </c>
      <c r="AY142" s="353"/>
      <c r="AZ142" s="352"/>
      <c r="BA142" s="353"/>
      <c r="BB142" s="354"/>
      <c r="BC142" s="355"/>
      <c r="BD142" s="356"/>
      <c r="BE142" s="357"/>
      <c r="BF142" s="357"/>
      <c r="BG142" s="358"/>
      <c r="BH142" s="358"/>
      <c r="BI142" s="358"/>
      <c r="BJ142" s="882"/>
      <c r="BK142" s="365"/>
      <c r="BL142" s="357"/>
      <c r="BM142" s="359"/>
      <c r="BN142" s="360"/>
      <c r="BO142" s="359"/>
      <c r="BP142" s="359"/>
      <c r="BQ142" s="359"/>
      <c r="BR142" s="359"/>
      <c r="BS142" s="359"/>
      <c r="BT142" s="361"/>
      <c r="BU142" s="337"/>
      <c r="BV142" s="337"/>
    </row>
    <row r="143" spans="1:74" x14ac:dyDescent="0.25">
      <c r="A143" s="846" t="s">
        <v>1300</v>
      </c>
      <c r="F143" s="336">
        <v>102</v>
      </c>
      <c r="G143" s="336" t="s">
        <v>913</v>
      </c>
      <c r="H143" s="336" t="s">
        <v>913</v>
      </c>
      <c r="I143" s="336" t="s">
        <v>196</v>
      </c>
      <c r="J143" s="337" t="s">
        <v>1301</v>
      </c>
      <c r="K143" s="338">
        <v>45976</v>
      </c>
      <c r="L143" s="336" t="s">
        <v>956</v>
      </c>
      <c r="M143" s="333">
        <v>492000</v>
      </c>
      <c r="N143" s="333">
        <v>24600</v>
      </c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  <c r="Z143" s="333"/>
      <c r="AA143" s="333"/>
      <c r="AB143" s="333"/>
      <c r="AC143" s="333"/>
      <c r="AD143" s="333"/>
      <c r="AE143" s="333"/>
      <c r="AF143" s="333"/>
      <c r="AG143" s="333"/>
      <c r="AH143" s="333"/>
      <c r="AI143" s="333"/>
      <c r="AJ143" s="333"/>
      <c r="AK143" s="333"/>
      <c r="AL143" s="333"/>
      <c r="AM143" s="333"/>
      <c r="AN143" s="333"/>
      <c r="AO143" s="334"/>
      <c r="AP143" s="334"/>
      <c r="AQ143" s="335"/>
      <c r="AR143" s="335"/>
      <c r="AS143" s="335"/>
      <c r="AT143" s="335"/>
      <c r="AU143" s="335">
        <v>500</v>
      </c>
      <c r="AV143" s="335">
        <v>1000</v>
      </c>
      <c r="AW143" s="335">
        <v>1000</v>
      </c>
      <c r="AX143" s="352">
        <f t="shared" si="459"/>
        <v>2500</v>
      </c>
      <c r="AY143" s="353"/>
      <c r="AZ143" s="352"/>
      <c r="BA143" s="353"/>
      <c r="BB143" s="354"/>
      <c r="BC143" s="355"/>
      <c r="BD143" s="356"/>
      <c r="BE143" s="357"/>
      <c r="BF143" s="357"/>
      <c r="BG143" s="358"/>
      <c r="BH143" s="358"/>
      <c r="BI143" s="358"/>
      <c r="BJ143" s="882"/>
      <c r="BK143" s="365"/>
      <c r="BL143" s="357"/>
      <c r="BM143" s="359"/>
      <c r="BN143" s="360"/>
      <c r="BO143" s="359"/>
      <c r="BP143" s="359"/>
      <c r="BQ143" s="359"/>
      <c r="BR143" s="359"/>
      <c r="BS143" s="359"/>
      <c r="BT143" s="361"/>
      <c r="BU143" s="337"/>
      <c r="BV143" s="337"/>
    </row>
    <row r="144" spans="1:74" x14ac:dyDescent="0.25">
      <c r="A144" s="846"/>
      <c r="F144" s="336">
        <v>308</v>
      </c>
      <c r="G144" s="336" t="s">
        <v>913</v>
      </c>
      <c r="H144" s="336" t="s">
        <v>913</v>
      </c>
      <c r="I144" s="336" t="s">
        <v>1161</v>
      </c>
      <c r="J144" s="337" t="s">
        <v>1302</v>
      </c>
      <c r="K144" s="338">
        <v>46040</v>
      </c>
      <c r="L144" s="336" t="s">
        <v>956</v>
      </c>
      <c r="M144" s="333">
        <v>492000</v>
      </c>
      <c r="N144" s="333">
        <v>24600</v>
      </c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333"/>
      <c r="AJ144" s="333"/>
      <c r="AK144" s="333"/>
      <c r="AL144" s="333"/>
      <c r="AM144" s="333"/>
      <c r="AN144" s="333"/>
      <c r="AO144" s="334"/>
      <c r="AP144" s="334"/>
      <c r="AQ144" s="335"/>
      <c r="AR144" s="335"/>
      <c r="AS144" s="335"/>
      <c r="AT144" s="335"/>
      <c r="AU144" s="335"/>
      <c r="AV144" s="335"/>
      <c r="AW144" s="335">
        <v>1500</v>
      </c>
      <c r="AX144" s="352">
        <f t="shared" si="459"/>
        <v>1500</v>
      </c>
      <c r="AY144" s="353"/>
      <c r="AZ144" s="352">
        <f t="shared" ref="AZ144" si="478">+AX144-BD144</f>
        <v>-23100</v>
      </c>
      <c r="BA144" s="353">
        <f t="shared" ref="BA144" si="479">+AZ144/N144</f>
        <v>-0.93902439024390238</v>
      </c>
      <c r="BB144" s="354">
        <f t="shared" ref="BB144" si="480">+M144-AX144</f>
        <v>490500</v>
      </c>
      <c r="BC144" s="355">
        <f t="shared" ref="BC144" si="481">+BB144/M144</f>
        <v>0.99695121951219512</v>
      </c>
      <c r="BD144" s="356">
        <f t="shared" ref="BD144" si="482">IF(BE144="Vendido",N144*1,IF(BE144="Disponible",N144*0,IF(BE144="Enganche Completado",N144*1,IF(BE144="Superávit de Enganche",N144*1,0))))</f>
        <v>24600</v>
      </c>
      <c r="BE144" s="357" t="str">
        <f t="shared" ref="BE144" si="483">IF(J144=0,"Apartamento Disponible",IF(J144&gt;1,"Vendido",0))</f>
        <v>Vendido</v>
      </c>
      <c r="BF144" s="357" t="str">
        <f t="shared" ref="BF144" si="484">IF(AND(BE144="Vendido",K144&gt;=0,BN144&lt;=AX144,AX144&lt;BD144),"Cliente al día",IF(AND(BE144="Vendido",K144&gt;=0,BN144&lt;=AX144,AX144=BD144),"Enganche Completado",IF(AND(BE144="Vendido",K144&gt;=0,BN144&lt;AX144,AX144&gt;BD144),"Superávit de Enganche",IF(AND(BE144="Apartamento Disponible",K144=0,AZ144=0),"Disponible","Cliente Atrasado"))))</f>
        <v>Cliente al día</v>
      </c>
      <c r="BG144" s="358"/>
      <c r="BH144" s="358"/>
      <c r="BI144" s="358"/>
      <c r="BJ144" s="882"/>
      <c r="BK144" s="365"/>
      <c r="BL144" s="357"/>
      <c r="BM144" s="359"/>
      <c r="BN144" s="360"/>
      <c r="BO144" s="359"/>
      <c r="BP144" s="359"/>
      <c r="BQ144" s="359"/>
      <c r="BR144" s="359"/>
      <c r="BS144" s="359"/>
      <c r="BT144" s="361"/>
      <c r="BU144" s="337"/>
      <c r="BV144" s="337"/>
    </row>
    <row r="145" spans="1:74" x14ac:dyDescent="0.25">
      <c r="A145" s="846" t="s">
        <v>1303</v>
      </c>
      <c r="F145" s="336">
        <v>307</v>
      </c>
      <c r="G145" s="336" t="s">
        <v>913</v>
      </c>
      <c r="H145" s="336" t="s">
        <v>146</v>
      </c>
      <c r="I145" s="336" t="s">
        <v>196</v>
      </c>
      <c r="J145" s="337" t="s">
        <v>1304</v>
      </c>
      <c r="K145" s="338">
        <v>45975</v>
      </c>
      <c r="L145" s="336" t="s">
        <v>956</v>
      </c>
      <c r="M145" s="333">
        <v>492700</v>
      </c>
      <c r="N145" s="333">
        <v>24700</v>
      </c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  <c r="Z145" s="333"/>
      <c r="AA145" s="333"/>
      <c r="AB145" s="333"/>
      <c r="AC145" s="333"/>
      <c r="AD145" s="333"/>
      <c r="AE145" s="333"/>
      <c r="AF145" s="333"/>
      <c r="AG145" s="333"/>
      <c r="AH145" s="333"/>
      <c r="AI145" s="333"/>
      <c r="AJ145" s="333"/>
      <c r="AK145" s="333"/>
      <c r="AL145" s="333"/>
      <c r="AM145" s="333"/>
      <c r="AN145" s="333"/>
      <c r="AO145" s="334"/>
      <c r="AP145" s="334"/>
      <c r="AQ145" s="335"/>
      <c r="AR145" s="335"/>
      <c r="AS145" s="335"/>
      <c r="AT145" s="335"/>
      <c r="AU145" s="335">
        <v>1500</v>
      </c>
      <c r="AV145" s="335">
        <v>1000.09</v>
      </c>
      <c r="AW145" s="335"/>
      <c r="AX145" s="352">
        <f t="shared" si="459"/>
        <v>2500.09</v>
      </c>
      <c r="AY145" s="353"/>
      <c r="AZ145" s="352"/>
      <c r="BA145" s="353"/>
      <c r="BB145" s="354"/>
      <c r="BC145" s="355"/>
      <c r="BD145" s="356"/>
      <c r="BE145" s="357"/>
      <c r="BF145" s="357"/>
      <c r="BG145" s="358"/>
      <c r="BH145" s="358"/>
      <c r="BI145" s="358"/>
      <c r="BJ145" s="882"/>
      <c r="BK145" s="365"/>
      <c r="BL145" s="357"/>
      <c r="BM145" s="359"/>
      <c r="BN145" s="360"/>
      <c r="BO145" s="359"/>
      <c r="BP145" s="359"/>
      <c r="BQ145" s="359"/>
      <c r="BR145" s="359"/>
      <c r="BS145" s="359"/>
      <c r="BT145" s="361"/>
      <c r="BU145" s="337"/>
      <c r="BV145" s="337"/>
    </row>
    <row r="146" spans="1:74" x14ac:dyDescent="0.25">
      <c r="A146" s="846"/>
      <c r="F146" s="336">
        <v>402</v>
      </c>
      <c r="G146" s="336" t="s">
        <v>913</v>
      </c>
      <c r="H146" s="336" t="s">
        <v>913</v>
      </c>
      <c r="I146" s="336" t="s">
        <v>203</v>
      </c>
      <c r="J146" s="337" t="s">
        <v>1305</v>
      </c>
      <c r="K146" s="338">
        <v>45921</v>
      </c>
      <c r="L146" s="336" t="s">
        <v>128</v>
      </c>
      <c r="M146" s="333">
        <v>492000</v>
      </c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  <c r="Z146" s="333"/>
      <c r="AA146" s="333"/>
      <c r="AB146" s="333"/>
      <c r="AC146" s="333"/>
      <c r="AD146" s="333"/>
      <c r="AE146" s="333"/>
      <c r="AF146" s="333"/>
      <c r="AG146" s="333"/>
      <c r="AH146" s="333"/>
      <c r="AI146" s="333"/>
      <c r="AJ146" s="333"/>
      <c r="AK146" s="333"/>
      <c r="AL146" s="333"/>
      <c r="AM146" s="333"/>
      <c r="AN146" s="333"/>
      <c r="AO146" s="334"/>
      <c r="AP146" s="334"/>
      <c r="AQ146" s="335"/>
      <c r="AR146" s="335"/>
      <c r="AS146" s="335">
        <v>1500</v>
      </c>
      <c r="AT146" s="335"/>
      <c r="AU146" s="335"/>
      <c r="AV146" s="335">
        <f>963+963+963</f>
        <v>2889</v>
      </c>
      <c r="AW146" s="335">
        <v>963</v>
      </c>
      <c r="AX146" s="352">
        <f t="shared" si="459"/>
        <v>5352</v>
      </c>
      <c r="AY146" s="353"/>
      <c r="AZ146" s="352">
        <f t="shared" ref="AZ146:AZ148" si="485">+AX146-BD146</f>
        <v>5352</v>
      </c>
      <c r="BA146" s="353" t="e">
        <f t="shared" ref="BA146:BA147" si="486">+AZ146/N146</f>
        <v>#DIV/0!</v>
      </c>
      <c r="BB146" s="354">
        <f t="shared" ref="BB146:BB148" si="487">+M146-AX146</f>
        <v>486648</v>
      </c>
      <c r="BC146" s="355">
        <f t="shared" ref="BC146:BC147" si="488">+BB146/M146</f>
        <v>0.98912195121951219</v>
      </c>
      <c r="BD146" s="356">
        <f t="shared" ref="BD146:BD147" si="489">IF(BE146="Vendido",N146*1,IF(BE146="Disponible",N146*0,IF(BE146="Enganche Completado",N146*1,IF(BE146="Superávit de Enganche",N146*1,0))))</f>
        <v>0</v>
      </c>
      <c r="BE146" s="357" t="str">
        <f t="shared" ref="BE146:BE148" si="490">IF(J146=0,"Apartamento Disponible",IF(J146&gt;1,"Vendido",0))</f>
        <v>Vendido</v>
      </c>
      <c r="BF146" s="357" t="str">
        <f t="shared" ref="BF146:BF148" si="491">IF(AND(BE146="Vendido",K146&gt;=0,BN146&lt;=AX146,AX146&lt;BD146),"Cliente al día",IF(AND(BE146="Vendido",K146&gt;=0,BN146&lt;=AX146,AX146=BD146),"Enganche Completado",IF(AND(BE146="Vendido",K146&gt;=0,BN146&lt;AX146,AX146&gt;BD146),"Superávit de Enganche",IF(AND(BE146="Apartamento Disponible",K146=0,AZ146=0),"Disponible","Cliente Atrasado"))))</f>
        <v>Superávit de Enganche</v>
      </c>
      <c r="BG146" s="358"/>
      <c r="BH146" s="358"/>
      <c r="BI146" s="358"/>
      <c r="BJ146" s="882"/>
      <c r="BK146" s="365"/>
      <c r="BL146" s="357"/>
      <c r="BM146" s="359"/>
      <c r="BN146" s="360"/>
      <c r="BO146" s="359"/>
      <c r="BP146" s="359"/>
      <c r="BQ146" s="359"/>
      <c r="BR146" s="359"/>
      <c r="BS146" s="359"/>
      <c r="BT146" s="361"/>
      <c r="BU146" s="337"/>
      <c r="BV146" s="337"/>
    </row>
    <row r="147" spans="1:74" x14ac:dyDescent="0.25">
      <c r="A147" s="846"/>
      <c r="F147" s="336">
        <v>405</v>
      </c>
      <c r="G147" s="336" t="s">
        <v>146</v>
      </c>
      <c r="H147" s="336" t="s">
        <v>146</v>
      </c>
      <c r="I147" s="336" t="s">
        <v>196</v>
      </c>
      <c r="J147" s="337" t="s">
        <v>1306</v>
      </c>
      <c r="K147" s="338">
        <v>46006</v>
      </c>
      <c r="L147" s="336" t="s">
        <v>956</v>
      </c>
      <c r="M147" s="333">
        <v>492000</v>
      </c>
      <c r="N147" s="333">
        <v>24600</v>
      </c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  <c r="Z147" s="333"/>
      <c r="AA147" s="333"/>
      <c r="AB147" s="333"/>
      <c r="AC147" s="333"/>
      <c r="AD147" s="333"/>
      <c r="AE147" s="333"/>
      <c r="AF147" s="333"/>
      <c r="AG147" s="333"/>
      <c r="AH147" s="333"/>
      <c r="AI147" s="333"/>
      <c r="AJ147" s="333"/>
      <c r="AK147" s="333"/>
      <c r="AL147" s="333"/>
      <c r="AM147" s="333"/>
      <c r="AN147" s="333"/>
      <c r="AO147" s="334"/>
      <c r="AP147" s="334"/>
      <c r="AQ147" s="335"/>
      <c r="AR147" s="335"/>
      <c r="AS147" s="335"/>
      <c r="AT147" s="335">
        <v>0</v>
      </c>
      <c r="AU147" s="335">
        <v>0</v>
      </c>
      <c r="AV147" s="335">
        <v>1500</v>
      </c>
      <c r="AW147" s="335"/>
      <c r="AX147" s="352">
        <f t="shared" si="459"/>
        <v>1500</v>
      </c>
      <c r="AY147" s="353">
        <f t="shared" ref="AY147:AY171" si="492">IFERROR((+AX147/N147),0)</f>
        <v>6.097560975609756E-2</v>
      </c>
      <c r="AZ147" s="352">
        <f t="shared" si="485"/>
        <v>-23100</v>
      </c>
      <c r="BA147" s="353">
        <f t="shared" si="486"/>
        <v>-0.93902439024390238</v>
      </c>
      <c r="BB147" s="354">
        <f t="shared" si="487"/>
        <v>490500</v>
      </c>
      <c r="BC147" s="355">
        <f t="shared" si="488"/>
        <v>0.99695121951219512</v>
      </c>
      <c r="BD147" s="356">
        <f t="shared" si="489"/>
        <v>24600</v>
      </c>
      <c r="BE147" s="357" t="str">
        <f t="shared" si="490"/>
        <v>Vendido</v>
      </c>
      <c r="BF147" s="357" t="e">
        <f t="shared" si="491"/>
        <v>#NUM!</v>
      </c>
      <c r="BG147" s="358">
        <v>16</v>
      </c>
      <c r="BH147" s="358">
        <f t="shared" ref="BH147:BH171" si="493">IF(BG147&gt;1,1,0)</f>
        <v>1</v>
      </c>
      <c r="BI147" s="358">
        <f t="shared" ref="BI147:BI171" si="494">+BG147+BH147</f>
        <v>17</v>
      </c>
      <c r="BJ147" s="882"/>
      <c r="BK147" s="365">
        <v>1462.5</v>
      </c>
      <c r="BL147" s="357">
        <f t="shared" ref="BL147:BL171" si="495">COUNTIFS(O147:AO147,"&gt;0.01",O147:AO147,"&lt;" &amp; BJ147)</f>
        <v>0</v>
      </c>
      <c r="BM147" s="359" t="e">
        <f t="shared" ref="BM147:BM171" si="496">IF($K147&gt;0,DATEDIF($K147,$AR$7,"M"),0)</f>
        <v>#NUM!</v>
      </c>
      <c r="BN147" s="360" t="e">
        <f t="shared" ref="BN147:BN171" si="497">(BM147*BK147)+BJ147</f>
        <v>#NUM!</v>
      </c>
      <c r="BO147" s="359">
        <f t="shared" ref="BO147:BO171" si="498">SUMIF(O147:AP147,"&lt;=" &amp; BK147,O147:AP147)</f>
        <v>0</v>
      </c>
      <c r="BP147" s="359">
        <f t="shared" ref="BP147:BP171" si="499">SUMIF(O147:AP147,"&gt;" &amp; BK147,O147:AP147)</f>
        <v>0</v>
      </c>
      <c r="BQ147" s="359">
        <f t="shared" ref="BQ147:BQ171" si="500">AX147-BO147-BP147</f>
        <v>1500</v>
      </c>
      <c r="BR147" s="359" t="e">
        <f t="shared" ref="BR147:BR171" si="501">IF(AX147&gt;BN147,AX147-BN147,0)</f>
        <v>#NUM!</v>
      </c>
      <c r="BS147" s="359" t="e">
        <f t="shared" ref="BS147:BS171" si="502">IF(AX147&lt;BN147,BN147-AX147,0)</f>
        <v>#NUM!</v>
      </c>
      <c r="BT147" s="361" t="e">
        <f t="shared" ref="BT147:BT171" si="503">ROUNDUP(IF(K147&gt;0,BS147/BK147,0),0)</f>
        <v>#NUM!</v>
      </c>
      <c r="BU147" s="337"/>
      <c r="BV147" s="337"/>
    </row>
    <row r="148" spans="1:74" x14ac:dyDescent="0.25">
      <c r="A148" s="846"/>
      <c r="F148" s="336">
        <v>306</v>
      </c>
      <c r="G148" s="336" t="s">
        <v>146</v>
      </c>
      <c r="H148" s="336" t="s">
        <v>146</v>
      </c>
      <c r="I148" s="336" t="s">
        <v>196</v>
      </c>
      <c r="J148" s="337" t="s">
        <v>1307</v>
      </c>
      <c r="K148" s="338">
        <v>46007</v>
      </c>
      <c r="L148" s="336" t="s">
        <v>956</v>
      </c>
      <c r="M148" s="333">
        <v>492000</v>
      </c>
      <c r="N148" s="333">
        <v>24600</v>
      </c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  <c r="AA148" s="333"/>
      <c r="AB148" s="333"/>
      <c r="AC148" s="333"/>
      <c r="AD148" s="333"/>
      <c r="AE148" s="333"/>
      <c r="AF148" s="333"/>
      <c r="AG148" s="333"/>
      <c r="AH148" s="333"/>
      <c r="AI148" s="333"/>
      <c r="AJ148" s="333"/>
      <c r="AK148" s="333"/>
      <c r="AL148" s="333"/>
      <c r="AM148" s="333"/>
      <c r="AN148" s="333"/>
      <c r="AO148" s="334"/>
      <c r="AP148" s="334"/>
      <c r="AQ148" s="335"/>
      <c r="AR148" s="335"/>
      <c r="AS148" s="335"/>
      <c r="AT148" s="335">
        <v>0</v>
      </c>
      <c r="AU148" s="335">
        <v>0</v>
      </c>
      <c r="AV148" s="335">
        <v>1500</v>
      </c>
      <c r="AW148" s="335"/>
      <c r="AX148" s="352">
        <f t="shared" si="459"/>
        <v>1500</v>
      </c>
      <c r="AY148" s="353">
        <f t="shared" si="492"/>
        <v>6.097560975609756E-2</v>
      </c>
      <c r="AZ148" s="352">
        <f t="shared" si="485"/>
        <v>-23100</v>
      </c>
      <c r="BA148" s="353">
        <f t="shared" ref="BA148:BA171" si="504">+AZ148/N148</f>
        <v>-0.93902439024390238</v>
      </c>
      <c r="BB148" s="354">
        <f t="shared" si="487"/>
        <v>490500</v>
      </c>
      <c r="BC148" s="355">
        <f t="shared" ref="BC148:BC171" si="505">+BB148/M148</f>
        <v>0.99695121951219512</v>
      </c>
      <c r="BD148" s="356">
        <f t="shared" ref="BD148:BD171" si="506">IF(BE148="Vendido",N148*1,IF(BE148="Disponible",N148*0,IF(BE148="Enganche Completado",N148*1,IF(BE148="Superávit de Enganche",N148*1,0))))</f>
        <v>24600</v>
      </c>
      <c r="BE148" s="357" t="str">
        <f t="shared" si="490"/>
        <v>Vendido</v>
      </c>
      <c r="BF148" s="357" t="e">
        <f t="shared" si="491"/>
        <v>#NUM!</v>
      </c>
      <c r="BG148" s="358">
        <v>16</v>
      </c>
      <c r="BH148" s="358">
        <f t="shared" si="493"/>
        <v>1</v>
      </c>
      <c r="BI148" s="358">
        <f t="shared" si="494"/>
        <v>17</v>
      </c>
      <c r="BJ148" s="882"/>
      <c r="BK148" s="365">
        <v>1462.5</v>
      </c>
      <c r="BL148" s="357">
        <f t="shared" si="495"/>
        <v>0</v>
      </c>
      <c r="BM148" s="359" t="e">
        <f t="shared" si="496"/>
        <v>#NUM!</v>
      </c>
      <c r="BN148" s="360" t="e">
        <f t="shared" si="497"/>
        <v>#NUM!</v>
      </c>
      <c r="BO148" s="359">
        <f t="shared" si="498"/>
        <v>0</v>
      </c>
      <c r="BP148" s="359">
        <f t="shared" si="499"/>
        <v>0</v>
      </c>
      <c r="BQ148" s="359">
        <f t="shared" si="500"/>
        <v>1500</v>
      </c>
      <c r="BR148" s="359" t="e">
        <f t="shared" si="501"/>
        <v>#NUM!</v>
      </c>
      <c r="BS148" s="359" t="e">
        <f t="shared" si="502"/>
        <v>#NUM!</v>
      </c>
      <c r="BT148" s="361" t="e">
        <f t="shared" si="503"/>
        <v>#NUM!</v>
      </c>
      <c r="BU148" s="337"/>
      <c r="BV148" s="337"/>
    </row>
    <row r="149" spans="1:74" x14ac:dyDescent="0.25">
      <c r="A149" s="846"/>
      <c r="F149" s="336">
        <v>303</v>
      </c>
      <c r="G149" s="336" t="s">
        <v>146</v>
      </c>
      <c r="H149" s="336" t="s">
        <v>913</v>
      </c>
      <c r="I149" s="336" t="s">
        <v>1271</v>
      </c>
      <c r="J149" s="337" t="s">
        <v>1308</v>
      </c>
      <c r="K149" s="338">
        <v>45999</v>
      </c>
      <c r="L149" s="336" t="s">
        <v>956</v>
      </c>
      <c r="M149" s="333">
        <v>492000</v>
      </c>
      <c r="N149" s="333">
        <v>24600</v>
      </c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  <c r="AA149" s="333"/>
      <c r="AB149" s="333"/>
      <c r="AC149" s="333"/>
      <c r="AD149" s="333"/>
      <c r="AE149" s="333"/>
      <c r="AF149" s="333"/>
      <c r="AG149" s="333"/>
      <c r="AH149" s="333"/>
      <c r="AI149" s="333"/>
      <c r="AJ149" s="333"/>
      <c r="AK149" s="333"/>
      <c r="AL149" s="333"/>
      <c r="AM149" s="333"/>
      <c r="AN149" s="333"/>
      <c r="AO149" s="334"/>
      <c r="AP149" s="334"/>
      <c r="AQ149" s="335"/>
      <c r="AR149" s="335"/>
      <c r="AS149" s="335"/>
      <c r="AT149" s="335">
        <v>0</v>
      </c>
      <c r="AU149" s="335">
        <v>0</v>
      </c>
      <c r="AV149" s="335">
        <v>1500</v>
      </c>
      <c r="AW149" s="335">
        <v>1389</v>
      </c>
      <c r="AX149" s="352">
        <f t="shared" si="459"/>
        <v>2889</v>
      </c>
      <c r="AY149" s="353">
        <f t="shared" si="492"/>
        <v>0.1174390243902439</v>
      </c>
      <c r="AZ149" s="352">
        <f t="shared" ref="AZ149:AZ171" si="507">+AX149-BD149</f>
        <v>-21711</v>
      </c>
      <c r="BA149" s="353">
        <f t="shared" si="504"/>
        <v>-0.8825609756097561</v>
      </c>
      <c r="BB149" s="354">
        <f t="shared" ref="BB149:BB171" si="508">+M149-AX149</f>
        <v>489111</v>
      </c>
      <c r="BC149" s="355">
        <f t="shared" si="505"/>
        <v>0.99412804878048777</v>
      </c>
      <c r="BD149" s="356">
        <f t="shared" si="506"/>
        <v>24600</v>
      </c>
      <c r="BE149" s="357" t="str">
        <f t="shared" ref="BE149:BE171" si="509">IF(J149=0,"Apartamento Disponible",IF(J149&gt;1,"Vendido",0))</f>
        <v>Vendido</v>
      </c>
      <c r="BF149" s="357" t="e">
        <f t="shared" ref="BF149:BF171" si="510">IF(AND(BE149="Vendido",K149&gt;=0,BN149&lt;=AX149,AX149&lt;BD149),"Cliente al día",IF(AND(BE149="Vendido",K149&gt;=0,BN149&lt;=AX149,AX149=BD149),"Enganche Completado",IF(AND(BE149="Vendido",K149&gt;=0,BN149&lt;AX149,AX149&gt;BD149),"Superávit de Enganche",IF(AND(BE149="Apartamento Disponible",K149=0,AZ149=0),"Disponible","Cliente Atrasado"))))</f>
        <v>#NUM!</v>
      </c>
      <c r="BG149" s="358">
        <v>16</v>
      </c>
      <c r="BH149" s="358">
        <f t="shared" si="493"/>
        <v>1</v>
      </c>
      <c r="BI149" s="358">
        <f t="shared" si="494"/>
        <v>17</v>
      </c>
      <c r="BJ149" s="882"/>
      <c r="BK149" s="365">
        <v>1462.5</v>
      </c>
      <c r="BL149" s="357">
        <f t="shared" si="495"/>
        <v>0</v>
      </c>
      <c r="BM149" s="359" t="e">
        <f t="shared" si="496"/>
        <v>#NUM!</v>
      </c>
      <c r="BN149" s="360" t="e">
        <f t="shared" si="497"/>
        <v>#NUM!</v>
      </c>
      <c r="BO149" s="359">
        <f t="shared" si="498"/>
        <v>0</v>
      </c>
      <c r="BP149" s="359">
        <f t="shared" si="499"/>
        <v>0</v>
      </c>
      <c r="BQ149" s="359">
        <f t="shared" si="500"/>
        <v>2889</v>
      </c>
      <c r="BR149" s="359" t="e">
        <f t="shared" si="501"/>
        <v>#NUM!</v>
      </c>
      <c r="BS149" s="359" t="e">
        <f t="shared" si="502"/>
        <v>#NUM!</v>
      </c>
      <c r="BT149" s="361" t="e">
        <f t="shared" si="503"/>
        <v>#NUM!</v>
      </c>
      <c r="BU149" s="337"/>
      <c r="BV149" s="337"/>
    </row>
    <row r="150" spans="1:74" x14ac:dyDescent="0.25">
      <c r="A150" s="846"/>
      <c r="F150" s="336">
        <v>103</v>
      </c>
      <c r="G150" s="336" t="s">
        <v>146</v>
      </c>
      <c r="H150" s="336" t="s">
        <v>913</v>
      </c>
      <c r="I150" s="336" t="s">
        <v>1109</v>
      </c>
      <c r="J150" s="337" t="s">
        <v>1309</v>
      </c>
      <c r="K150" s="338">
        <v>46008</v>
      </c>
      <c r="L150" s="336" t="s">
        <v>956</v>
      </c>
      <c r="M150" s="333">
        <v>492000</v>
      </c>
      <c r="N150" s="333">
        <v>24600</v>
      </c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  <c r="AA150" s="333"/>
      <c r="AB150" s="333"/>
      <c r="AC150" s="333"/>
      <c r="AD150" s="333"/>
      <c r="AE150" s="333"/>
      <c r="AF150" s="333"/>
      <c r="AG150" s="333"/>
      <c r="AH150" s="333"/>
      <c r="AI150" s="333"/>
      <c r="AJ150" s="333"/>
      <c r="AK150" s="333"/>
      <c r="AL150" s="333"/>
      <c r="AM150" s="333"/>
      <c r="AN150" s="333"/>
      <c r="AO150" s="334"/>
      <c r="AP150" s="334"/>
      <c r="AQ150" s="335"/>
      <c r="AR150" s="335"/>
      <c r="AS150" s="335"/>
      <c r="AT150" s="335">
        <v>0</v>
      </c>
      <c r="AU150" s="335">
        <v>0</v>
      </c>
      <c r="AV150" s="335">
        <v>1500</v>
      </c>
      <c r="AW150" s="335">
        <v>1500</v>
      </c>
      <c r="AX150" s="352">
        <f t="shared" si="459"/>
        <v>3000</v>
      </c>
      <c r="AY150" s="353">
        <f t="shared" si="492"/>
        <v>0.12195121951219512</v>
      </c>
      <c r="AZ150" s="352">
        <f t="shared" si="507"/>
        <v>-21600</v>
      </c>
      <c r="BA150" s="353">
        <f t="shared" si="504"/>
        <v>-0.87804878048780488</v>
      </c>
      <c r="BB150" s="354">
        <f t="shared" si="508"/>
        <v>489000</v>
      </c>
      <c r="BC150" s="355">
        <f t="shared" si="505"/>
        <v>0.99390243902439024</v>
      </c>
      <c r="BD150" s="356">
        <f t="shared" si="506"/>
        <v>24600</v>
      </c>
      <c r="BE150" s="357" t="str">
        <f t="shared" si="509"/>
        <v>Vendido</v>
      </c>
      <c r="BF150" s="357" t="e">
        <f t="shared" si="510"/>
        <v>#NUM!</v>
      </c>
      <c r="BG150" s="358">
        <v>16</v>
      </c>
      <c r="BH150" s="358">
        <f t="shared" si="493"/>
        <v>1</v>
      </c>
      <c r="BI150" s="358">
        <f t="shared" si="494"/>
        <v>17</v>
      </c>
      <c r="BJ150" s="882"/>
      <c r="BK150" s="365">
        <v>1462.5</v>
      </c>
      <c r="BL150" s="357">
        <f t="shared" si="495"/>
        <v>0</v>
      </c>
      <c r="BM150" s="359" t="e">
        <f t="shared" si="496"/>
        <v>#NUM!</v>
      </c>
      <c r="BN150" s="360" t="e">
        <f t="shared" si="497"/>
        <v>#NUM!</v>
      </c>
      <c r="BO150" s="359">
        <f t="shared" si="498"/>
        <v>0</v>
      </c>
      <c r="BP150" s="359">
        <f t="shared" si="499"/>
        <v>0</v>
      </c>
      <c r="BQ150" s="359">
        <f t="shared" si="500"/>
        <v>3000</v>
      </c>
      <c r="BR150" s="359" t="e">
        <f t="shared" si="501"/>
        <v>#NUM!</v>
      </c>
      <c r="BS150" s="359" t="e">
        <f t="shared" si="502"/>
        <v>#NUM!</v>
      </c>
      <c r="BT150" s="361" t="e">
        <f t="shared" si="503"/>
        <v>#NUM!</v>
      </c>
      <c r="BU150" s="337"/>
      <c r="BV150" s="337"/>
    </row>
    <row r="151" spans="1:74" x14ac:dyDescent="0.25">
      <c r="A151" s="846"/>
      <c r="F151" s="336">
        <v>105</v>
      </c>
      <c r="G151" s="336" t="s">
        <v>146</v>
      </c>
      <c r="H151" s="336" t="s">
        <v>146</v>
      </c>
      <c r="I151" s="336" t="s">
        <v>962</v>
      </c>
      <c r="J151" s="337" t="s">
        <v>1310</v>
      </c>
      <c r="K151" s="338">
        <v>46013</v>
      </c>
      <c r="L151" s="336" t="s">
        <v>956</v>
      </c>
      <c r="M151" s="333">
        <v>492000</v>
      </c>
      <c r="N151" s="333">
        <v>24600</v>
      </c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  <c r="Z151" s="333"/>
      <c r="AA151" s="333"/>
      <c r="AB151" s="333"/>
      <c r="AC151" s="333"/>
      <c r="AD151" s="333"/>
      <c r="AE151" s="333"/>
      <c r="AF151" s="333"/>
      <c r="AG151" s="333"/>
      <c r="AH151" s="333"/>
      <c r="AI151" s="333"/>
      <c r="AJ151" s="333"/>
      <c r="AK151" s="333"/>
      <c r="AL151" s="333"/>
      <c r="AM151" s="333"/>
      <c r="AN151" s="333"/>
      <c r="AO151" s="334"/>
      <c r="AP151" s="334"/>
      <c r="AQ151" s="335"/>
      <c r="AR151" s="335"/>
      <c r="AS151" s="335"/>
      <c r="AT151" s="335">
        <v>0</v>
      </c>
      <c r="AU151" s="335">
        <v>0</v>
      </c>
      <c r="AV151" s="335">
        <v>1501</v>
      </c>
      <c r="AW151" s="335"/>
      <c r="AX151" s="352">
        <f t="shared" si="459"/>
        <v>1501</v>
      </c>
      <c r="AY151" s="353">
        <f t="shared" si="492"/>
        <v>6.1016260162601629E-2</v>
      </c>
      <c r="AZ151" s="352">
        <f t="shared" si="507"/>
        <v>-23099</v>
      </c>
      <c r="BA151" s="353">
        <f t="shared" si="504"/>
        <v>-0.93898373983739836</v>
      </c>
      <c r="BB151" s="354">
        <f t="shared" si="508"/>
        <v>490499</v>
      </c>
      <c r="BC151" s="355">
        <f t="shared" si="505"/>
        <v>0.99694918699186996</v>
      </c>
      <c r="BD151" s="356">
        <f t="shared" si="506"/>
        <v>24600</v>
      </c>
      <c r="BE151" s="357" t="str">
        <f t="shared" si="509"/>
        <v>Vendido</v>
      </c>
      <c r="BF151" s="357" t="e">
        <f t="shared" si="510"/>
        <v>#NUM!</v>
      </c>
      <c r="BG151" s="358">
        <v>16</v>
      </c>
      <c r="BH151" s="358">
        <f t="shared" si="493"/>
        <v>1</v>
      </c>
      <c r="BI151" s="358">
        <f t="shared" si="494"/>
        <v>17</v>
      </c>
      <c r="BJ151" s="882"/>
      <c r="BK151" s="365">
        <v>1462.5</v>
      </c>
      <c r="BL151" s="357">
        <f t="shared" si="495"/>
        <v>0</v>
      </c>
      <c r="BM151" s="359" t="e">
        <f t="shared" si="496"/>
        <v>#NUM!</v>
      </c>
      <c r="BN151" s="360" t="e">
        <f t="shared" si="497"/>
        <v>#NUM!</v>
      </c>
      <c r="BO151" s="359">
        <f t="shared" si="498"/>
        <v>0</v>
      </c>
      <c r="BP151" s="359">
        <f t="shared" si="499"/>
        <v>0</v>
      </c>
      <c r="BQ151" s="359">
        <f t="shared" si="500"/>
        <v>1501</v>
      </c>
      <c r="BR151" s="359" t="e">
        <f t="shared" si="501"/>
        <v>#NUM!</v>
      </c>
      <c r="BS151" s="359" t="e">
        <f t="shared" si="502"/>
        <v>#NUM!</v>
      </c>
      <c r="BT151" s="361" t="e">
        <f t="shared" si="503"/>
        <v>#NUM!</v>
      </c>
      <c r="BU151" s="337"/>
      <c r="BV151" s="337"/>
    </row>
    <row r="152" spans="1:74" x14ac:dyDescent="0.25">
      <c r="A152" s="846"/>
      <c r="F152" s="336">
        <v>106</v>
      </c>
      <c r="G152" s="336" t="s">
        <v>146</v>
      </c>
      <c r="H152" s="336" t="s">
        <v>146</v>
      </c>
      <c r="I152" s="336" t="s">
        <v>962</v>
      </c>
      <c r="J152" s="337" t="s">
        <v>1311</v>
      </c>
      <c r="K152" s="338">
        <v>46013</v>
      </c>
      <c r="L152" s="336" t="s">
        <v>956</v>
      </c>
      <c r="M152" s="333">
        <v>492000</v>
      </c>
      <c r="N152" s="333">
        <v>24600</v>
      </c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  <c r="AA152" s="333"/>
      <c r="AB152" s="333"/>
      <c r="AC152" s="333"/>
      <c r="AD152" s="333"/>
      <c r="AE152" s="333"/>
      <c r="AF152" s="333"/>
      <c r="AG152" s="333"/>
      <c r="AH152" s="333"/>
      <c r="AI152" s="333"/>
      <c r="AJ152" s="333"/>
      <c r="AK152" s="333"/>
      <c r="AL152" s="333"/>
      <c r="AM152" s="333"/>
      <c r="AN152" s="333"/>
      <c r="AO152" s="334"/>
      <c r="AP152" s="334"/>
      <c r="AQ152" s="335"/>
      <c r="AR152" s="335"/>
      <c r="AS152" s="335"/>
      <c r="AT152" s="335">
        <v>0</v>
      </c>
      <c r="AU152" s="335">
        <v>0</v>
      </c>
      <c r="AV152" s="335">
        <v>1500</v>
      </c>
      <c r="AW152" s="335"/>
      <c r="AX152" s="352">
        <f t="shared" si="459"/>
        <v>1500</v>
      </c>
      <c r="AY152" s="353">
        <f t="shared" si="492"/>
        <v>6.097560975609756E-2</v>
      </c>
      <c r="AZ152" s="352">
        <f t="shared" si="507"/>
        <v>-23100</v>
      </c>
      <c r="BA152" s="353">
        <f t="shared" si="504"/>
        <v>-0.93902439024390238</v>
      </c>
      <c r="BB152" s="354">
        <f t="shared" si="508"/>
        <v>490500</v>
      </c>
      <c r="BC152" s="355">
        <f t="shared" si="505"/>
        <v>0.99695121951219512</v>
      </c>
      <c r="BD152" s="356">
        <f t="shared" si="506"/>
        <v>24600</v>
      </c>
      <c r="BE152" s="357" t="str">
        <f t="shared" si="509"/>
        <v>Vendido</v>
      </c>
      <c r="BF152" s="357" t="e">
        <f t="shared" si="510"/>
        <v>#NUM!</v>
      </c>
      <c r="BG152" s="358">
        <v>16</v>
      </c>
      <c r="BH152" s="358">
        <f t="shared" si="493"/>
        <v>1</v>
      </c>
      <c r="BI152" s="358">
        <f t="shared" si="494"/>
        <v>17</v>
      </c>
      <c r="BJ152" s="882"/>
      <c r="BK152" s="365">
        <v>1462.5</v>
      </c>
      <c r="BL152" s="357">
        <f t="shared" si="495"/>
        <v>0</v>
      </c>
      <c r="BM152" s="359" t="e">
        <f t="shared" si="496"/>
        <v>#NUM!</v>
      </c>
      <c r="BN152" s="360" t="e">
        <f t="shared" si="497"/>
        <v>#NUM!</v>
      </c>
      <c r="BO152" s="359">
        <f t="shared" si="498"/>
        <v>0</v>
      </c>
      <c r="BP152" s="359">
        <f t="shared" si="499"/>
        <v>0</v>
      </c>
      <c r="BQ152" s="359">
        <f t="shared" si="500"/>
        <v>1500</v>
      </c>
      <c r="BR152" s="359" t="e">
        <f t="shared" si="501"/>
        <v>#NUM!</v>
      </c>
      <c r="BS152" s="359" t="e">
        <f t="shared" si="502"/>
        <v>#NUM!</v>
      </c>
      <c r="BT152" s="361" t="e">
        <f t="shared" si="503"/>
        <v>#NUM!</v>
      </c>
      <c r="BU152" s="337"/>
      <c r="BV152" s="337"/>
    </row>
    <row r="153" spans="1:74" x14ac:dyDescent="0.25">
      <c r="A153" s="846"/>
      <c r="F153" s="336">
        <v>602</v>
      </c>
      <c r="G153" s="336" t="s">
        <v>146</v>
      </c>
      <c r="H153" s="336" t="s">
        <v>146</v>
      </c>
      <c r="I153" s="336" t="s">
        <v>196</v>
      </c>
      <c r="J153" s="337" t="s">
        <v>1312</v>
      </c>
      <c r="K153" s="338">
        <v>46007</v>
      </c>
      <c r="L153" s="336" t="s">
        <v>956</v>
      </c>
      <c r="M153" s="333">
        <v>492000</v>
      </c>
      <c r="N153" s="333">
        <v>24600</v>
      </c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  <c r="Z153" s="333"/>
      <c r="AA153" s="333"/>
      <c r="AB153" s="333"/>
      <c r="AC153" s="333"/>
      <c r="AD153" s="333"/>
      <c r="AE153" s="333"/>
      <c r="AF153" s="333"/>
      <c r="AG153" s="333"/>
      <c r="AH153" s="333"/>
      <c r="AI153" s="333"/>
      <c r="AJ153" s="333"/>
      <c r="AK153" s="333"/>
      <c r="AL153" s="333"/>
      <c r="AM153" s="333"/>
      <c r="AN153" s="333"/>
      <c r="AO153" s="334"/>
      <c r="AP153" s="334"/>
      <c r="AQ153" s="335"/>
      <c r="AR153" s="335"/>
      <c r="AS153" s="335"/>
      <c r="AT153" s="335">
        <v>0</v>
      </c>
      <c r="AU153" s="335">
        <v>0</v>
      </c>
      <c r="AV153" s="335">
        <v>1500</v>
      </c>
      <c r="AW153" s="335"/>
      <c r="AX153" s="352">
        <f t="shared" si="459"/>
        <v>1500</v>
      </c>
      <c r="AY153" s="353">
        <f t="shared" si="492"/>
        <v>6.097560975609756E-2</v>
      </c>
      <c r="AZ153" s="352">
        <f t="shared" si="507"/>
        <v>-23100</v>
      </c>
      <c r="BA153" s="353">
        <f t="shared" si="504"/>
        <v>-0.93902439024390238</v>
      </c>
      <c r="BB153" s="354">
        <f t="shared" si="508"/>
        <v>490500</v>
      </c>
      <c r="BC153" s="355">
        <f t="shared" si="505"/>
        <v>0.99695121951219512</v>
      </c>
      <c r="BD153" s="356">
        <f t="shared" si="506"/>
        <v>24600</v>
      </c>
      <c r="BE153" s="357" t="str">
        <f t="shared" si="509"/>
        <v>Vendido</v>
      </c>
      <c r="BF153" s="357" t="e">
        <f t="shared" si="510"/>
        <v>#NUM!</v>
      </c>
      <c r="BG153" s="358">
        <v>16</v>
      </c>
      <c r="BH153" s="358">
        <f t="shared" si="493"/>
        <v>1</v>
      </c>
      <c r="BI153" s="358">
        <f t="shared" si="494"/>
        <v>17</v>
      </c>
      <c r="BJ153" s="882"/>
      <c r="BK153" s="365">
        <v>1462.5</v>
      </c>
      <c r="BL153" s="357">
        <f t="shared" si="495"/>
        <v>0</v>
      </c>
      <c r="BM153" s="359" t="e">
        <f t="shared" si="496"/>
        <v>#NUM!</v>
      </c>
      <c r="BN153" s="360" t="e">
        <f t="shared" si="497"/>
        <v>#NUM!</v>
      </c>
      <c r="BO153" s="359">
        <f t="shared" si="498"/>
        <v>0</v>
      </c>
      <c r="BP153" s="359">
        <f t="shared" si="499"/>
        <v>0</v>
      </c>
      <c r="BQ153" s="359">
        <f t="shared" si="500"/>
        <v>1500</v>
      </c>
      <c r="BR153" s="359" t="e">
        <f t="shared" si="501"/>
        <v>#NUM!</v>
      </c>
      <c r="BS153" s="359" t="e">
        <f t="shared" si="502"/>
        <v>#NUM!</v>
      </c>
      <c r="BT153" s="361" t="e">
        <f t="shared" si="503"/>
        <v>#NUM!</v>
      </c>
      <c r="BU153" s="337"/>
      <c r="BV153" s="337"/>
    </row>
    <row r="154" spans="1:74" x14ac:dyDescent="0.25">
      <c r="A154" s="846"/>
      <c r="F154" s="336">
        <v>109</v>
      </c>
      <c r="G154" s="336" t="s">
        <v>913</v>
      </c>
      <c r="H154" s="336" t="s">
        <v>913</v>
      </c>
      <c r="I154" s="336" t="s">
        <v>196</v>
      </c>
      <c r="J154" s="337" t="s">
        <v>1313</v>
      </c>
      <c r="K154" s="338">
        <v>46022</v>
      </c>
      <c r="L154" s="336" t="s">
        <v>956</v>
      </c>
      <c r="M154" s="333">
        <v>492000</v>
      </c>
      <c r="N154" s="333">
        <v>24600</v>
      </c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  <c r="AA154" s="333"/>
      <c r="AB154" s="333"/>
      <c r="AC154" s="333"/>
      <c r="AD154" s="333"/>
      <c r="AE154" s="333"/>
      <c r="AF154" s="333"/>
      <c r="AG154" s="333"/>
      <c r="AH154" s="333"/>
      <c r="AI154" s="333"/>
      <c r="AJ154" s="333"/>
      <c r="AK154" s="333"/>
      <c r="AL154" s="333"/>
      <c r="AM154" s="333"/>
      <c r="AN154" s="333"/>
      <c r="AO154" s="334"/>
      <c r="AP154" s="334"/>
      <c r="AQ154" s="335"/>
      <c r="AR154" s="335"/>
      <c r="AS154" s="335"/>
      <c r="AT154" s="335">
        <v>0</v>
      </c>
      <c r="AU154" s="335">
        <v>0</v>
      </c>
      <c r="AV154" s="335">
        <v>1500</v>
      </c>
      <c r="AW154" s="335"/>
      <c r="AX154" s="352">
        <f t="shared" si="459"/>
        <v>1500</v>
      </c>
      <c r="AY154" s="353">
        <f t="shared" si="492"/>
        <v>6.097560975609756E-2</v>
      </c>
      <c r="AZ154" s="352">
        <f t="shared" si="507"/>
        <v>-23100</v>
      </c>
      <c r="BA154" s="353">
        <f t="shared" si="504"/>
        <v>-0.93902439024390238</v>
      </c>
      <c r="BB154" s="354">
        <f t="shared" si="508"/>
        <v>490500</v>
      </c>
      <c r="BC154" s="355">
        <f t="shared" si="505"/>
        <v>0.99695121951219512</v>
      </c>
      <c r="BD154" s="356">
        <f t="shared" si="506"/>
        <v>24600</v>
      </c>
      <c r="BE154" s="357" t="str">
        <f t="shared" si="509"/>
        <v>Vendido</v>
      </c>
      <c r="BF154" s="357" t="e">
        <f t="shared" si="510"/>
        <v>#NUM!</v>
      </c>
      <c r="BG154" s="358">
        <v>16</v>
      </c>
      <c r="BH154" s="358">
        <f t="shared" si="493"/>
        <v>1</v>
      </c>
      <c r="BI154" s="358">
        <f t="shared" si="494"/>
        <v>17</v>
      </c>
      <c r="BJ154" s="882"/>
      <c r="BK154" s="365">
        <v>1462.5</v>
      </c>
      <c r="BL154" s="357">
        <f t="shared" si="495"/>
        <v>0</v>
      </c>
      <c r="BM154" s="359" t="e">
        <f t="shared" si="496"/>
        <v>#NUM!</v>
      </c>
      <c r="BN154" s="360" t="e">
        <f t="shared" si="497"/>
        <v>#NUM!</v>
      </c>
      <c r="BO154" s="359">
        <f t="shared" si="498"/>
        <v>0</v>
      </c>
      <c r="BP154" s="359">
        <f t="shared" si="499"/>
        <v>0</v>
      </c>
      <c r="BQ154" s="359">
        <f t="shared" si="500"/>
        <v>1500</v>
      </c>
      <c r="BR154" s="359" t="e">
        <f t="shared" si="501"/>
        <v>#NUM!</v>
      </c>
      <c r="BS154" s="359" t="e">
        <f t="shared" si="502"/>
        <v>#NUM!</v>
      </c>
      <c r="BT154" s="361" t="e">
        <f t="shared" si="503"/>
        <v>#NUM!</v>
      </c>
      <c r="BU154" s="337"/>
      <c r="BV154" s="337"/>
    </row>
    <row r="155" spans="1:74" x14ac:dyDescent="0.25">
      <c r="A155" s="846"/>
      <c r="F155" s="336">
        <v>406</v>
      </c>
      <c r="G155" s="336" t="s">
        <v>913</v>
      </c>
      <c r="H155" s="336" t="s">
        <v>145</v>
      </c>
      <c r="I155" s="336" t="s">
        <v>196</v>
      </c>
      <c r="J155" s="337" t="s">
        <v>1314</v>
      </c>
      <c r="K155" s="338">
        <v>46025</v>
      </c>
      <c r="L155" s="336" t="s">
        <v>956</v>
      </c>
      <c r="M155" s="333">
        <v>492000</v>
      </c>
      <c r="N155" s="333">
        <v>24600</v>
      </c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  <c r="AA155" s="333"/>
      <c r="AB155" s="333"/>
      <c r="AC155" s="333"/>
      <c r="AD155" s="333"/>
      <c r="AE155" s="333"/>
      <c r="AF155" s="333"/>
      <c r="AG155" s="333"/>
      <c r="AH155" s="333"/>
      <c r="AI155" s="333"/>
      <c r="AJ155" s="333"/>
      <c r="AK155" s="333"/>
      <c r="AL155" s="333"/>
      <c r="AM155" s="333"/>
      <c r="AN155" s="333"/>
      <c r="AO155" s="334"/>
      <c r="AP155" s="334"/>
      <c r="AQ155" s="335"/>
      <c r="AR155" s="335"/>
      <c r="AS155" s="335"/>
      <c r="AT155" s="335">
        <v>0</v>
      </c>
      <c r="AU155" s="335">
        <v>0</v>
      </c>
      <c r="AV155" s="335"/>
      <c r="AW155" s="335">
        <v>1500</v>
      </c>
      <c r="AX155" s="352">
        <f t="shared" ref="AX155:AX157" si="511">SUM(O155:AW155)</f>
        <v>1500</v>
      </c>
      <c r="AY155" s="353">
        <f t="shared" ref="AY155:AY157" si="512">IFERROR((+AX155/N155),0)</f>
        <v>6.097560975609756E-2</v>
      </c>
      <c r="AZ155" s="352">
        <f t="shared" ref="AZ155:AZ157" si="513">+AX155-BD155</f>
        <v>-23100</v>
      </c>
      <c r="BA155" s="353">
        <f t="shared" ref="BA155:BA157" si="514">+AZ155/N155</f>
        <v>-0.93902439024390238</v>
      </c>
      <c r="BB155" s="354">
        <f t="shared" ref="BB155:BB157" si="515">+M155-AX155</f>
        <v>490500</v>
      </c>
      <c r="BC155" s="355">
        <f t="shared" ref="BC155:BC157" si="516">+BB155/M155</f>
        <v>0.99695121951219512</v>
      </c>
      <c r="BD155" s="356">
        <f t="shared" ref="BD155:BD157" si="517">IF(BE155="Vendido",N155*1,IF(BE155="Disponible",N155*0,IF(BE155="Enganche Completado",N155*1,IF(BE155="Superávit de Enganche",N155*1,0))))</f>
        <v>24600</v>
      </c>
      <c r="BE155" s="357" t="str">
        <f t="shared" ref="BE155:BE157" si="518">IF(J155=0,"Apartamento Disponible",IF(J155&gt;1,"Vendido",0))</f>
        <v>Vendido</v>
      </c>
      <c r="BF155" s="357" t="e">
        <f t="shared" ref="BF155:BF157" si="519">IF(AND(BE155="Vendido",K155&gt;=0,BN155&lt;=AX155,AX155&lt;BD155),"Cliente al día",IF(AND(BE155="Vendido",K155&gt;=0,BN155&lt;=AX155,AX155=BD155),"Enganche Completado",IF(AND(BE155="Vendido",K155&gt;=0,BN155&lt;AX155,AX155&gt;BD155),"Superávit de Enganche",IF(AND(BE155="Apartamento Disponible",K155=0,AZ155=0),"Disponible","Cliente Atrasado"))))</f>
        <v>#NUM!</v>
      </c>
      <c r="BG155" s="358">
        <v>16</v>
      </c>
      <c r="BH155" s="358">
        <f t="shared" si="493"/>
        <v>1</v>
      </c>
      <c r="BI155" s="358">
        <f t="shared" ref="BI155:BI157" si="520">+BG155+BH155</f>
        <v>17</v>
      </c>
      <c r="BJ155" s="882"/>
      <c r="BK155" s="365">
        <v>1462.5</v>
      </c>
      <c r="BL155" s="357">
        <f t="shared" ref="BL155:BL157" si="521">COUNTIFS(O155:AO155,"&gt;0.01",O155:AO155,"&lt;" &amp; BJ155)</f>
        <v>0</v>
      </c>
      <c r="BM155" s="359" t="e">
        <f t="shared" si="496"/>
        <v>#NUM!</v>
      </c>
      <c r="BN155" s="360" t="e">
        <f t="shared" ref="BN155:BN157" si="522">(BM155*BK155)+BJ155</f>
        <v>#NUM!</v>
      </c>
      <c r="BO155" s="359">
        <f t="shared" ref="BO155:BO157" si="523">SUMIF(O155:AP155,"&lt;=" &amp; BK155,O155:AP155)</f>
        <v>0</v>
      </c>
      <c r="BP155" s="359">
        <f t="shared" ref="BP155:BP157" si="524">SUMIF(O155:AP155,"&gt;" &amp; BK155,O155:AP155)</f>
        <v>0</v>
      </c>
      <c r="BQ155" s="359">
        <f t="shared" ref="BQ155:BQ157" si="525">AX155-BO155-BP155</f>
        <v>1500</v>
      </c>
      <c r="BR155" s="359" t="e">
        <f t="shared" ref="BR155:BR157" si="526">IF(AX155&gt;BN155,AX155-BN155,0)</f>
        <v>#NUM!</v>
      </c>
      <c r="BS155" s="359" t="e">
        <f t="shared" ref="BS155:BS157" si="527">IF(AX155&lt;BN155,BN155-AX155,0)</f>
        <v>#NUM!</v>
      </c>
      <c r="BT155" s="361" t="e">
        <f t="shared" ref="BT155:BT157" si="528">ROUNDUP(IF(K155&gt;0,BS155/BK155,0),0)</f>
        <v>#NUM!</v>
      </c>
      <c r="BU155" s="337"/>
      <c r="BV155" s="337"/>
    </row>
    <row r="156" spans="1:74" x14ac:dyDescent="0.25">
      <c r="A156" s="846"/>
      <c r="F156" s="336">
        <v>410</v>
      </c>
      <c r="G156" s="336" t="s">
        <v>146</v>
      </c>
      <c r="H156" s="336" t="s">
        <v>913</v>
      </c>
      <c r="I156" s="336" t="s">
        <v>196</v>
      </c>
      <c r="J156" s="337" t="s">
        <v>1315</v>
      </c>
      <c r="K156" s="338">
        <v>46027</v>
      </c>
      <c r="L156" s="336" t="s">
        <v>956</v>
      </c>
      <c r="M156" s="333">
        <v>492000</v>
      </c>
      <c r="N156" s="333">
        <v>24600</v>
      </c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  <c r="Z156" s="333"/>
      <c r="AA156" s="333"/>
      <c r="AB156" s="333"/>
      <c r="AC156" s="333"/>
      <c r="AD156" s="333"/>
      <c r="AE156" s="333"/>
      <c r="AF156" s="333"/>
      <c r="AG156" s="333"/>
      <c r="AH156" s="333"/>
      <c r="AI156" s="333"/>
      <c r="AJ156" s="333"/>
      <c r="AK156" s="333"/>
      <c r="AL156" s="333"/>
      <c r="AM156" s="333"/>
      <c r="AN156" s="333"/>
      <c r="AO156" s="334"/>
      <c r="AP156" s="334"/>
      <c r="AQ156" s="335"/>
      <c r="AR156" s="335"/>
      <c r="AS156" s="335"/>
      <c r="AT156" s="335">
        <v>0</v>
      </c>
      <c r="AU156" s="335">
        <v>0</v>
      </c>
      <c r="AV156" s="335"/>
      <c r="AW156" s="335">
        <v>1500</v>
      </c>
      <c r="AX156" s="352">
        <f t="shared" si="511"/>
        <v>1500</v>
      </c>
      <c r="AY156" s="353">
        <f t="shared" si="512"/>
        <v>6.097560975609756E-2</v>
      </c>
      <c r="AZ156" s="352">
        <f t="shared" si="513"/>
        <v>-23100</v>
      </c>
      <c r="BA156" s="353">
        <f t="shared" si="514"/>
        <v>-0.93902439024390238</v>
      </c>
      <c r="BB156" s="354">
        <f t="shared" si="515"/>
        <v>490500</v>
      </c>
      <c r="BC156" s="355">
        <f t="shared" si="516"/>
        <v>0.99695121951219512</v>
      </c>
      <c r="BD156" s="356">
        <f t="shared" si="517"/>
        <v>24600</v>
      </c>
      <c r="BE156" s="357" t="str">
        <f t="shared" si="518"/>
        <v>Vendido</v>
      </c>
      <c r="BF156" s="357" t="e">
        <f t="shared" si="519"/>
        <v>#NUM!</v>
      </c>
      <c r="BG156" s="358">
        <v>16</v>
      </c>
      <c r="BH156" s="358">
        <f t="shared" si="493"/>
        <v>1</v>
      </c>
      <c r="BI156" s="358">
        <f t="shared" si="520"/>
        <v>17</v>
      </c>
      <c r="BJ156" s="882"/>
      <c r="BK156" s="365">
        <v>1462.5</v>
      </c>
      <c r="BL156" s="357">
        <f t="shared" si="521"/>
        <v>0</v>
      </c>
      <c r="BM156" s="359" t="e">
        <f t="shared" si="496"/>
        <v>#NUM!</v>
      </c>
      <c r="BN156" s="360" t="e">
        <f t="shared" si="522"/>
        <v>#NUM!</v>
      </c>
      <c r="BO156" s="359">
        <f t="shared" si="523"/>
        <v>0</v>
      </c>
      <c r="BP156" s="359">
        <f t="shared" si="524"/>
        <v>0</v>
      </c>
      <c r="BQ156" s="359">
        <f t="shared" si="525"/>
        <v>1500</v>
      </c>
      <c r="BR156" s="359" t="e">
        <f t="shared" si="526"/>
        <v>#NUM!</v>
      </c>
      <c r="BS156" s="359" t="e">
        <f t="shared" si="527"/>
        <v>#NUM!</v>
      </c>
      <c r="BT156" s="361" t="e">
        <f t="shared" si="528"/>
        <v>#NUM!</v>
      </c>
      <c r="BU156" s="337"/>
      <c r="BV156" s="337"/>
    </row>
    <row r="157" spans="1:74" x14ac:dyDescent="0.25">
      <c r="A157" s="846"/>
      <c r="F157" s="336">
        <v>210</v>
      </c>
      <c r="G157" s="336" t="s">
        <v>146</v>
      </c>
      <c r="H157" s="336" t="s">
        <v>913</v>
      </c>
      <c r="I157" s="336" t="s">
        <v>1161</v>
      </c>
      <c r="J157" s="337" t="s">
        <v>1316</v>
      </c>
      <c r="K157" s="338">
        <v>46033</v>
      </c>
      <c r="L157" s="336" t="s">
        <v>956</v>
      </c>
      <c r="M157" s="333">
        <v>492000</v>
      </c>
      <c r="N157" s="333">
        <v>24600</v>
      </c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  <c r="AA157" s="333"/>
      <c r="AB157" s="333"/>
      <c r="AC157" s="333"/>
      <c r="AD157" s="333"/>
      <c r="AE157" s="333"/>
      <c r="AF157" s="333"/>
      <c r="AG157" s="333"/>
      <c r="AH157" s="333"/>
      <c r="AI157" s="333"/>
      <c r="AJ157" s="333"/>
      <c r="AK157" s="333"/>
      <c r="AL157" s="333"/>
      <c r="AM157" s="333"/>
      <c r="AN157" s="333"/>
      <c r="AO157" s="334"/>
      <c r="AP157" s="334"/>
      <c r="AQ157" s="335"/>
      <c r="AR157" s="335"/>
      <c r="AS157" s="335"/>
      <c r="AT157" s="335">
        <v>0</v>
      </c>
      <c r="AU157" s="335">
        <v>0</v>
      </c>
      <c r="AV157" s="335"/>
      <c r="AW157" s="335">
        <v>1500</v>
      </c>
      <c r="AX157" s="352">
        <f t="shared" si="511"/>
        <v>1500</v>
      </c>
      <c r="AY157" s="353">
        <f t="shared" si="512"/>
        <v>6.097560975609756E-2</v>
      </c>
      <c r="AZ157" s="352">
        <f t="shared" si="513"/>
        <v>-23100</v>
      </c>
      <c r="BA157" s="353">
        <f t="shared" si="514"/>
        <v>-0.93902439024390238</v>
      </c>
      <c r="BB157" s="354">
        <f t="shared" si="515"/>
        <v>490500</v>
      </c>
      <c r="BC157" s="355">
        <f t="shared" si="516"/>
        <v>0.99695121951219512</v>
      </c>
      <c r="BD157" s="356">
        <f t="shared" si="517"/>
        <v>24600</v>
      </c>
      <c r="BE157" s="357" t="str">
        <f t="shared" si="518"/>
        <v>Vendido</v>
      </c>
      <c r="BF157" s="357" t="e">
        <f t="shared" si="519"/>
        <v>#NUM!</v>
      </c>
      <c r="BG157" s="358">
        <v>16</v>
      </c>
      <c r="BH157" s="358">
        <f t="shared" si="493"/>
        <v>1</v>
      </c>
      <c r="BI157" s="358">
        <f t="shared" si="520"/>
        <v>17</v>
      </c>
      <c r="BJ157" s="882"/>
      <c r="BK157" s="365">
        <v>1462.5</v>
      </c>
      <c r="BL157" s="357">
        <f t="shared" si="521"/>
        <v>0</v>
      </c>
      <c r="BM157" s="359" t="e">
        <f t="shared" si="496"/>
        <v>#NUM!</v>
      </c>
      <c r="BN157" s="360" t="e">
        <f t="shared" si="522"/>
        <v>#NUM!</v>
      </c>
      <c r="BO157" s="359">
        <f t="shared" si="523"/>
        <v>0</v>
      </c>
      <c r="BP157" s="359">
        <f t="shared" si="524"/>
        <v>0</v>
      </c>
      <c r="BQ157" s="359">
        <f t="shared" si="525"/>
        <v>1500</v>
      </c>
      <c r="BR157" s="359" t="e">
        <f t="shared" si="526"/>
        <v>#NUM!</v>
      </c>
      <c r="BS157" s="359" t="e">
        <f t="shared" si="527"/>
        <v>#NUM!</v>
      </c>
      <c r="BT157" s="361" t="e">
        <f t="shared" si="528"/>
        <v>#NUM!</v>
      </c>
      <c r="BU157" s="337"/>
      <c r="BV157" s="337"/>
    </row>
    <row r="158" spans="1:74" x14ac:dyDescent="0.25">
      <c r="A158" s="846"/>
      <c r="F158" s="336">
        <v>208</v>
      </c>
      <c r="G158" s="336" t="s">
        <v>146</v>
      </c>
      <c r="H158" s="336" t="s">
        <v>146</v>
      </c>
      <c r="I158" s="336" t="s">
        <v>203</v>
      </c>
      <c r="J158" s="337" t="s">
        <v>1317</v>
      </c>
      <c r="K158" s="338">
        <v>46026</v>
      </c>
      <c r="L158" s="336" t="s">
        <v>956</v>
      </c>
      <c r="M158" s="333">
        <v>492000</v>
      </c>
      <c r="N158" s="333">
        <v>24600</v>
      </c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  <c r="AA158" s="333"/>
      <c r="AB158" s="333"/>
      <c r="AC158" s="333"/>
      <c r="AD158" s="333"/>
      <c r="AE158" s="333"/>
      <c r="AF158" s="333"/>
      <c r="AG158" s="333"/>
      <c r="AH158" s="333"/>
      <c r="AI158" s="333"/>
      <c r="AJ158" s="333"/>
      <c r="AK158" s="333"/>
      <c r="AL158" s="333"/>
      <c r="AM158" s="333"/>
      <c r="AN158" s="333"/>
      <c r="AO158" s="334"/>
      <c r="AP158" s="334"/>
      <c r="AQ158" s="335"/>
      <c r="AR158" s="335"/>
      <c r="AS158" s="335"/>
      <c r="AT158" s="335">
        <v>0</v>
      </c>
      <c r="AU158" s="335">
        <v>0</v>
      </c>
      <c r="AV158" s="335"/>
      <c r="AW158" s="335">
        <v>1500</v>
      </c>
      <c r="AX158" s="352">
        <f t="shared" ref="AX158:AX170" si="529">SUM(O158:AW158)</f>
        <v>1500</v>
      </c>
      <c r="AY158" s="353">
        <f t="shared" ref="AY158:AY170" si="530">IFERROR((+AX158/N158),0)</f>
        <v>6.097560975609756E-2</v>
      </c>
      <c r="AZ158" s="352">
        <f t="shared" ref="AZ158:AZ170" si="531">+AX158-BD158</f>
        <v>-23100</v>
      </c>
      <c r="BA158" s="353">
        <f t="shared" ref="BA158:BA170" si="532">+AZ158/N158</f>
        <v>-0.93902439024390238</v>
      </c>
      <c r="BB158" s="354">
        <f t="shared" ref="BB158:BB170" si="533">+M158-AX158</f>
        <v>490500</v>
      </c>
      <c r="BC158" s="355">
        <f t="shared" ref="BC158:BC170" si="534">+BB158/M158</f>
        <v>0.99695121951219512</v>
      </c>
      <c r="BD158" s="356">
        <f t="shared" ref="BD158:BD170" si="535">IF(BE158="Vendido",N158*1,IF(BE158="Disponible",N158*0,IF(BE158="Enganche Completado",N158*1,IF(BE158="Superávit de Enganche",N158*1,0))))</f>
        <v>24600</v>
      </c>
      <c r="BE158" s="357" t="str">
        <f t="shared" ref="BE158:BE170" si="536">IF(J158=0,"Apartamento Disponible",IF(J158&gt;1,"Vendido",0))</f>
        <v>Vendido</v>
      </c>
      <c r="BF158" s="357" t="e">
        <f t="shared" ref="BF158:BF170" si="537">IF(AND(BE158="Vendido",K158&gt;=0,BN158&lt;=AX158,AX158&lt;BD158),"Cliente al día",IF(AND(BE158="Vendido",K158&gt;=0,BN158&lt;=AX158,AX158=BD158),"Enganche Completado",IF(AND(BE158="Vendido",K158&gt;=0,BN158&lt;AX158,AX158&gt;BD158),"Superávit de Enganche",IF(AND(BE158="Apartamento Disponible",K158=0,AZ158=0),"Disponible","Cliente Atrasado"))))</f>
        <v>#NUM!</v>
      </c>
      <c r="BG158" s="358">
        <v>16</v>
      </c>
      <c r="BH158" s="358">
        <f t="shared" si="493"/>
        <v>1</v>
      </c>
      <c r="BI158" s="358">
        <f t="shared" ref="BI158:BI170" si="538">+BG158+BH158</f>
        <v>17</v>
      </c>
      <c r="BJ158" s="882"/>
      <c r="BK158" s="365">
        <v>1462.5</v>
      </c>
      <c r="BL158" s="357">
        <f t="shared" ref="BL158:BL170" si="539">COUNTIFS(O158:AO158,"&gt;0.01",O158:AO158,"&lt;" &amp; BJ158)</f>
        <v>0</v>
      </c>
      <c r="BM158" s="359" t="e">
        <f t="shared" si="496"/>
        <v>#NUM!</v>
      </c>
      <c r="BN158" s="360" t="e">
        <f t="shared" ref="BN158:BN170" si="540">(BM158*BK158)+BJ158</f>
        <v>#NUM!</v>
      </c>
      <c r="BO158" s="359">
        <f t="shared" ref="BO158:BO170" si="541">SUMIF(O158:AP158,"&lt;=" &amp; BK158,O158:AP158)</f>
        <v>0</v>
      </c>
      <c r="BP158" s="359">
        <f t="shared" ref="BP158:BP170" si="542">SUMIF(O158:AP158,"&gt;" &amp; BK158,O158:AP158)</f>
        <v>0</v>
      </c>
      <c r="BQ158" s="359">
        <f t="shared" ref="BQ158:BQ170" si="543">AX158-BO158-BP158</f>
        <v>1500</v>
      </c>
      <c r="BR158" s="359" t="e">
        <f t="shared" ref="BR158:BR170" si="544">IF(AX158&gt;BN158,AX158-BN158,0)</f>
        <v>#NUM!</v>
      </c>
      <c r="BS158" s="359" t="e">
        <f t="shared" ref="BS158:BS170" si="545">IF(AX158&lt;BN158,BN158-AX158,0)</f>
        <v>#NUM!</v>
      </c>
      <c r="BT158" s="361" t="e">
        <f t="shared" ref="BT158:BT170" si="546">ROUNDUP(IF(K158&gt;0,BS158/BK158,0),0)</f>
        <v>#NUM!</v>
      </c>
      <c r="BU158" s="337"/>
      <c r="BV158" s="337"/>
    </row>
    <row r="159" spans="1:74" x14ac:dyDescent="0.25">
      <c r="A159" s="846"/>
      <c r="F159" s="336">
        <v>613</v>
      </c>
      <c r="G159" s="336" t="s">
        <v>146</v>
      </c>
      <c r="H159" s="336" t="s">
        <v>146</v>
      </c>
      <c r="I159" s="336" t="s">
        <v>203</v>
      </c>
      <c r="J159" s="337" t="s">
        <v>1318</v>
      </c>
      <c r="K159" s="338">
        <v>46034</v>
      </c>
      <c r="L159" s="336" t="s">
        <v>956</v>
      </c>
      <c r="M159" s="333">
        <v>492000</v>
      </c>
      <c r="N159" s="333">
        <v>24600</v>
      </c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  <c r="AA159" s="333"/>
      <c r="AB159" s="333"/>
      <c r="AC159" s="333"/>
      <c r="AD159" s="333"/>
      <c r="AE159" s="333"/>
      <c r="AF159" s="333"/>
      <c r="AG159" s="333"/>
      <c r="AH159" s="333"/>
      <c r="AI159" s="333"/>
      <c r="AJ159" s="333"/>
      <c r="AK159" s="333"/>
      <c r="AL159" s="333"/>
      <c r="AM159" s="333"/>
      <c r="AN159" s="333"/>
      <c r="AO159" s="334"/>
      <c r="AP159" s="334"/>
      <c r="AQ159" s="335"/>
      <c r="AR159" s="335"/>
      <c r="AS159" s="335"/>
      <c r="AT159" s="335">
        <v>0</v>
      </c>
      <c r="AU159" s="335">
        <v>0</v>
      </c>
      <c r="AV159" s="335"/>
      <c r="AW159" s="335">
        <v>1438.39</v>
      </c>
      <c r="AX159" s="352">
        <f t="shared" si="529"/>
        <v>1438.39</v>
      </c>
      <c r="AY159" s="353">
        <f t="shared" si="530"/>
        <v>5.8471138211382119E-2</v>
      </c>
      <c r="AZ159" s="352">
        <f t="shared" si="531"/>
        <v>-23161.61</v>
      </c>
      <c r="BA159" s="353">
        <f t="shared" si="532"/>
        <v>-0.94152886178861794</v>
      </c>
      <c r="BB159" s="354">
        <f t="shared" si="533"/>
        <v>490561.61</v>
      </c>
      <c r="BC159" s="355">
        <f t="shared" si="534"/>
        <v>0.99707644308943089</v>
      </c>
      <c r="BD159" s="356">
        <f t="shared" si="535"/>
        <v>24600</v>
      </c>
      <c r="BE159" s="357" t="str">
        <f t="shared" si="536"/>
        <v>Vendido</v>
      </c>
      <c r="BF159" s="357" t="e">
        <f t="shared" si="537"/>
        <v>#NUM!</v>
      </c>
      <c r="BG159" s="358">
        <v>16</v>
      </c>
      <c r="BH159" s="358">
        <f t="shared" ref="BH159" si="547">IF(BG159&gt;1,1,0)</f>
        <v>1</v>
      </c>
      <c r="BI159" s="358">
        <f t="shared" si="538"/>
        <v>17</v>
      </c>
      <c r="BJ159" s="882"/>
      <c r="BK159" s="365">
        <v>1462.5</v>
      </c>
      <c r="BL159" s="357">
        <f t="shared" si="539"/>
        <v>0</v>
      </c>
      <c r="BM159" s="359" t="e">
        <f t="shared" si="496"/>
        <v>#NUM!</v>
      </c>
      <c r="BN159" s="360" t="e">
        <f t="shared" si="540"/>
        <v>#NUM!</v>
      </c>
      <c r="BO159" s="359">
        <f t="shared" si="541"/>
        <v>0</v>
      </c>
      <c r="BP159" s="359">
        <f t="shared" si="542"/>
        <v>0</v>
      </c>
      <c r="BQ159" s="359">
        <f t="shared" si="543"/>
        <v>1438.39</v>
      </c>
      <c r="BR159" s="359" t="e">
        <f t="shared" si="544"/>
        <v>#NUM!</v>
      </c>
      <c r="BS159" s="359" t="e">
        <f t="shared" si="545"/>
        <v>#NUM!</v>
      </c>
      <c r="BT159" s="361" t="e">
        <f t="shared" si="546"/>
        <v>#NUM!</v>
      </c>
      <c r="BU159" s="337"/>
      <c r="BV159" s="337"/>
    </row>
    <row r="160" spans="1:74" x14ac:dyDescent="0.25">
      <c r="A160" s="846"/>
      <c r="F160" s="336">
        <v>401</v>
      </c>
      <c r="G160" s="336" t="s">
        <v>146</v>
      </c>
      <c r="H160" s="336" t="s">
        <v>146</v>
      </c>
      <c r="I160" s="336" t="s">
        <v>962</v>
      </c>
      <c r="J160" s="337" t="s">
        <v>1319</v>
      </c>
      <c r="K160" s="338">
        <v>46033</v>
      </c>
      <c r="L160" s="336" t="s">
        <v>956</v>
      </c>
      <c r="M160" s="333">
        <v>492000</v>
      </c>
      <c r="N160" s="333">
        <v>24600</v>
      </c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  <c r="AA160" s="333"/>
      <c r="AB160" s="333"/>
      <c r="AC160" s="333"/>
      <c r="AD160" s="333"/>
      <c r="AE160" s="333"/>
      <c r="AF160" s="333"/>
      <c r="AG160" s="333"/>
      <c r="AH160" s="333"/>
      <c r="AI160" s="333"/>
      <c r="AJ160" s="333"/>
      <c r="AK160" s="333"/>
      <c r="AL160" s="333"/>
      <c r="AM160" s="333"/>
      <c r="AN160" s="333"/>
      <c r="AO160" s="334"/>
      <c r="AP160" s="334"/>
      <c r="AQ160" s="335"/>
      <c r="AR160" s="335"/>
      <c r="AS160" s="335"/>
      <c r="AT160" s="335">
        <v>0</v>
      </c>
      <c r="AU160" s="335">
        <v>0</v>
      </c>
      <c r="AV160" s="335"/>
      <c r="AW160" s="335">
        <v>1405.0600000000002</v>
      </c>
      <c r="AX160" s="352">
        <f t="shared" ref="AX160" si="548">SUM(O160:AW160)</f>
        <v>1405.0600000000002</v>
      </c>
      <c r="AY160" s="353">
        <f t="shared" ref="AY160" si="549">IFERROR((+AX160/N160),0)</f>
        <v>5.7116260162601636E-2</v>
      </c>
      <c r="AZ160" s="352">
        <f t="shared" ref="AZ160" si="550">+AX160-BD160</f>
        <v>-23194.94</v>
      </c>
      <c r="BA160" s="353">
        <f t="shared" ref="BA160" si="551">+AZ160/N160</f>
        <v>-0.94288373983739837</v>
      </c>
      <c r="BB160" s="354">
        <f t="shared" ref="BB160" si="552">+M160-AX160</f>
        <v>490594.94</v>
      </c>
      <c r="BC160" s="355">
        <f t="shared" ref="BC160" si="553">+BB160/M160</f>
        <v>0.99714418699186991</v>
      </c>
      <c r="BD160" s="356">
        <f t="shared" ref="BD160" si="554">IF(BE160="Vendido",N160*1,IF(BE160="Disponible",N160*0,IF(BE160="Enganche Completado",N160*1,IF(BE160="Superávit de Enganche",N160*1,0))))</f>
        <v>24600</v>
      </c>
      <c r="BE160" s="357" t="str">
        <f t="shared" ref="BE160" si="555">IF(J160=0,"Apartamento Disponible",IF(J160&gt;1,"Vendido",0))</f>
        <v>Vendido</v>
      </c>
      <c r="BF160" s="357" t="e">
        <f t="shared" ref="BF160" si="556">IF(AND(BE160="Vendido",K160&gt;=0,BN160&lt;=AX160,AX160&lt;BD160),"Cliente al día",IF(AND(BE160="Vendido",K160&gt;=0,BN160&lt;=AX160,AX160=BD160),"Enganche Completado",IF(AND(BE160="Vendido",K160&gt;=0,BN160&lt;AX160,AX160&gt;BD160),"Superávit de Enganche",IF(AND(BE160="Apartamento Disponible",K160=0,AZ160=0),"Disponible","Cliente Atrasado"))))</f>
        <v>#NUM!</v>
      </c>
      <c r="BG160" s="358">
        <v>16</v>
      </c>
      <c r="BH160" s="358">
        <f t="shared" si="493"/>
        <v>1</v>
      </c>
      <c r="BI160" s="358">
        <f t="shared" ref="BI160" si="557">+BG160+BH160</f>
        <v>17</v>
      </c>
      <c r="BJ160" s="882"/>
      <c r="BK160" s="365">
        <v>1462.5</v>
      </c>
      <c r="BL160" s="357">
        <f t="shared" ref="BL160" si="558">COUNTIFS(O160:AO160,"&gt;0.01",O160:AO160,"&lt;" &amp; BJ160)</f>
        <v>0</v>
      </c>
      <c r="BM160" s="359" t="e">
        <f t="shared" si="496"/>
        <v>#NUM!</v>
      </c>
      <c r="BN160" s="360" t="e">
        <f t="shared" ref="BN160" si="559">(BM160*BK160)+BJ160</f>
        <v>#NUM!</v>
      </c>
      <c r="BO160" s="359">
        <f t="shared" ref="BO160" si="560">SUMIF(O160:AP160,"&lt;=" &amp; BK160,O160:AP160)</f>
        <v>0</v>
      </c>
      <c r="BP160" s="359">
        <f t="shared" ref="BP160" si="561">SUMIF(O160:AP160,"&gt;" &amp; BK160,O160:AP160)</f>
        <v>0</v>
      </c>
      <c r="BQ160" s="359">
        <f t="shared" ref="BQ160" si="562">AX160-BO160-BP160</f>
        <v>1405.0600000000002</v>
      </c>
      <c r="BR160" s="359" t="e">
        <f t="shared" ref="BR160" si="563">IF(AX160&gt;BN160,AX160-BN160,0)</f>
        <v>#NUM!</v>
      </c>
      <c r="BS160" s="359" t="e">
        <f t="shared" ref="BS160" si="564">IF(AX160&lt;BN160,BN160-AX160,0)</f>
        <v>#NUM!</v>
      </c>
      <c r="BT160" s="361" t="e">
        <f t="shared" ref="BT160" si="565">ROUNDUP(IF(K160&gt;0,BS160/BK160,0),0)</f>
        <v>#NUM!</v>
      </c>
      <c r="BU160" s="337"/>
      <c r="BV160" s="337"/>
    </row>
    <row r="161" spans="1:74" x14ac:dyDescent="0.25">
      <c r="A161" s="846"/>
      <c r="F161" s="336">
        <v>101</v>
      </c>
      <c r="G161" s="336" t="s">
        <v>146</v>
      </c>
      <c r="H161" s="336" t="s">
        <v>146</v>
      </c>
      <c r="I161" s="336" t="s">
        <v>203</v>
      </c>
      <c r="J161" s="337" t="s">
        <v>1320</v>
      </c>
      <c r="K161" s="338">
        <v>46039</v>
      </c>
      <c r="L161" s="336" t="s">
        <v>956</v>
      </c>
      <c r="M161" s="340">
        <v>492000</v>
      </c>
      <c r="N161" s="340">
        <v>24600</v>
      </c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  <c r="AE161" s="340"/>
      <c r="AF161" s="340"/>
      <c r="AG161" s="340"/>
      <c r="AH161" s="340"/>
      <c r="AI161" s="340"/>
      <c r="AJ161" s="340"/>
      <c r="AK161" s="340"/>
      <c r="AL161" s="340"/>
      <c r="AM161" s="340"/>
      <c r="AN161" s="340"/>
      <c r="AO161" s="341"/>
      <c r="AP161" s="341"/>
      <c r="AQ161" s="335"/>
      <c r="AR161" s="335"/>
      <c r="AS161" s="335"/>
      <c r="AT161" s="335">
        <v>0</v>
      </c>
      <c r="AU161" s="335">
        <v>0</v>
      </c>
      <c r="AV161" s="335"/>
      <c r="AW161" s="335">
        <v>1500</v>
      </c>
      <c r="AX161" s="352">
        <f>SUM(O161:AW161)</f>
        <v>1500</v>
      </c>
      <c r="AY161" s="373">
        <f>IFERROR((+AX161/N161),0)</f>
        <v>6.097560975609756E-2</v>
      </c>
      <c r="AZ161" s="352">
        <f>+AX161-BD161</f>
        <v>-23100</v>
      </c>
      <c r="BA161" s="373">
        <f>+AZ161/N161</f>
        <v>-0.93902439024390238</v>
      </c>
      <c r="BB161" s="354">
        <f>+M161-AX161</f>
        <v>490500</v>
      </c>
      <c r="BC161" s="374">
        <f>+BB161/M161</f>
        <v>0.99695121951219512</v>
      </c>
      <c r="BD161" s="365">
        <f>IF(BE161="Vendido",N161*1,IF(BE161="Disponible",N161*0,IF(BE161="Enganche Completado",N161*1,IF(BE161="Superávit de Enganche",N161*1,0))))</f>
        <v>24600</v>
      </c>
      <c r="BE161" s="357" t="str">
        <f>IF(J161=0,"Apartamento Disponible",IF(J161&gt;1,"Vendido",0))</f>
        <v>Vendido</v>
      </c>
      <c r="BF161" s="357" t="e">
        <f>IF(AND(BE161="Vendido",K161&gt;=0,BN161&lt;=AX161,AX161&lt;BD161),"Cliente al día",IF(AND(BE161="Vendido",K161&gt;=0,BN161&lt;=AX161,AX161=BD161),"Enganche Completado",IF(AND(BE161="Vendido",K161&gt;=0,BN161&lt;AX161,AX161&gt;BD161),"Superávit de Enganche",IF(AND(BE161="Apartamento Disponible",K161=0,AZ161=0),"Disponible","Cliente Atrasado"))))</f>
        <v>#NUM!</v>
      </c>
      <c r="BG161" s="358">
        <v>16</v>
      </c>
      <c r="BH161" s="358">
        <f>IF(BG161&gt;1,1,0)</f>
        <v>1</v>
      </c>
      <c r="BI161" s="358">
        <f>+BG161+BH161</f>
        <v>17</v>
      </c>
      <c r="BJ161" s="882"/>
      <c r="BK161" s="365">
        <v>1462.5</v>
      </c>
      <c r="BL161" s="357">
        <f>COUNTIFS(O161:AO161,"&gt;0.01",O161:AO161,"&lt;" &amp; BJ161)</f>
        <v>0</v>
      </c>
      <c r="BM161" s="359" t="e">
        <f>IF($K161&gt;0,DATEDIF($K161,$AR$7,"M"),0)</f>
        <v>#NUM!</v>
      </c>
      <c r="BN161" s="360" t="e">
        <f>(BM161*BK161)+BJ161</f>
        <v>#NUM!</v>
      </c>
      <c r="BO161" s="359">
        <f>SUMIF(O161:AP161,"&lt;=" &amp; BK161,O161:AP161)</f>
        <v>0</v>
      </c>
      <c r="BP161" s="359">
        <f>SUMIF(O161:AP161,"&gt;" &amp; BK161,O161:AP161)</f>
        <v>0</v>
      </c>
      <c r="BQ161" s="359">
        <f>AX161-BO161-BP161</f>
        <v>1500</v>
      </c>
      <c r="BR161" s="359" t="e">
        <f>IF(AX161&gt;BN161,AX161-BN161,0)</f>
        <v>#NUM!</v>
      </c>
      <c r="BS161" s="359" t="e">
        <f>IF(AX161&lt;BN161,BN161-AX161,0)</f>
        <v>#NUM!</v>
      </c>
      <c r="BT161" s="361" t="e">
        <f>ROUNDUP(IF(K161&gt;0,BS161/BK161,0),0)</f>
        <v>#NUM!</v>
      </c>
      <c r="BU161" s="337"/>
      <c r="BV161" s="337"/>
    </row>
    <row r="162" spans="1:74" x14ac:dyDescent="0.25">
      <c r="A162" s="846"/>
      <c r="F162" s="336">
        <v>413</v>
      </c>
      <c r="G162" s="336" t="s">
        <v>146</v>
      </c>
      <c r="H162" s="336" t="s">
        <v>146</v>
      </c>
      <c r="I162" s="336" t="s">
        <v>203</v>
      </c>
      <c r="J162" s="337" t="s">
        <v>1321</v>
      </c>
      <c r="K162" s="338">
        <v>46033</v>
      </c>
      <c r="L162" s="336" t="s">
        <v>956</v>
      </c>
      <c r="M162" s="333">
        <v>492000</v>
      </c>
      <c r="N162" s="333">
        <v>24600</v>
      </c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  <c r="AA162" s="333"/>
      <c r="AB162" s="333"/>
      <c r="AC162" s="333"/>
      <c r="AD162" s="333"/>
      <c r="AE162" s="333"/>
      <c r="AF162" s="333"/>
      <c r="AG162" s="333"/>
      <c r="AH162" s="333"/>
      <c r="AI162" s="333"/>
      <c r="AJ162" s="333"/>
      <c r="AK162" s="333"/>
      <c r="AL162" s="333"/>
      <c r="AM162" s="333"/>
      <c r="AN162" s="333"/>
      <c r="AO162" s="334"/>
      <c r="AP162" s="334"/>
      <c r="AQ162" s="335"/>
      <c r="AR162" s="335"/>
      <c r="AS162" s="335"/>
      <c r="AT162" s="335">
        <v>0</v>
      </c>
      <c r="AU162" s="335">
        <v>0</v>
      </c>
      <c r="AV162" s="335"/>
      <c r="AW162" s="335">
        <v>1405.0600000000002</v>
      </c>
      <c r="AX162" s="352">
        <f t="shared" si="529"/>
        <v>1405.0600000000002</v>
      </c>
      <c r="AY162" s="353">
        <f t="shared" si="530"/>
        <v>5.7116260162601636E-2</v>
      </c>
      <c r="AZ162" s="352">
        <f t="shared" si="531"/>
        <v>-23194.94</v>
      </c>
      <c r="BA162" s="353">
        <f t="shared" si="532"/>
        <v>-0.94288373983739837</v>
      </c>
      <c r="BB162" s="354">
        <f t="shared" si="533"/>
        <v>490594.94</v>
      </c>
      <c r="BC162" s="355">
        <f t="shared" si="534"/>
        <v>0.99714418699186991</v>
      </c>
      <c r="BD162" s="356">
        <f t="shared" si="535"/>
        <v>24600</v>
      </c>
      <c r="BE162" s="357" t="str">
        <f t="shared" si="536"/>
        <v>Vendido</v>
      </c>
      <c r="BF162" s="357" t="e">
        <f t="shared" si="537"/>
        <v>#NUM!</v>
      </c>
      <c r="BG162" s="358">
        <v>16</v>
      </c>
      <c r="BH162" s="358">
        <f t="shared" si="493"/>
        <v>1</v>
      </c>
      <c r="BI162" s="358">
        <f t="shared" si="538"/>
        <v>17</v>
      </c>
      <c r="BJ162" s="882"/>
      <c r="BK162" s="365">
        <v>1462.5</v>
      </c>
      <c r="BL162" s="357">
        <f t="shared" si="539"/>
        <v>0</v>
      </c>
      <c r="BM162" s="359" t="e">
        <f t="shared" si="496"/>
        <v>#NUM!</v>
      </c>
      <c r="BN162" s="360" t="e">
        <f t="shared" si="540"/>
        <v>#NUM!</v>
      </c>
      <c r="BO162" s="359">
        <f t="shared" si="541"/>
        <v>0</v>
      </c>
      <c r="BP162" s="359">
        <f t="shared" si="542"/>
        <v>0</v>
      </c>
      <c r="BQ162" s="359">
        <f t="shared" si="543"/>
        <v>1405.0600000000002</v>
      </c>
      <c r="BR162" s="359" t="e">
        <f t="shared" si="544"/>
        <v>#NUM!</v>
      </c>
      <c r="BS162" s="359" t="e">
        <f t="shared" si="545"/>
        <v>#NUM!</v>
      </c>
      <c r="BT162" s="361" t="e">
        <f t="shared" si="546"/>
        <v>#NUM!</v>
      </c>
      <c r="BU162" s="337"/>
      <c r="BV162" s="337"/>
    </row>
    <row r="163" spans="1:74" x14ac:dyDescent="0.25">
      <c r="A163" s="846"/>
      <c r="F163" s="336">
        <v>503</v>
      </c>
      <c r="G163" s="336" t="s">
        <v>146</v>
      </c>
      <c r="H163" s="336" t="s">
        <v>913</v>
      </c>
      <c r="I163" s="336" t="s">
        <v>1161</v>
      </c>
      <c r="J163" s="337" t="s">
        <v>1322</v>
      </c>
      <c r="K163" s="338">
        <v>46028</v>
      </c>
      <c r="L163" s="336" t="s">
        <v>956</v>
      </c>
      <c r="M163" s="333">
        <v>492000</v>
      </c>
      <c r="N163" s="333">
        <v>24600</v>
      </c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  <c r="AA163" s="333"/>
      <c r="AB163" s="333"/>
      <c r="AC163" s="333"/>
      <c r="AD163" s="333"/>
      <c r="AE163" s="333"/>
      <c r="AF163" s="333"/>
      <c r="AG163" s="333"/>
      <c r="AH163" s="333"/>
      <c r="AI163" s="333"/>
      <c r="AJ163" s="333"/>
      <c r="AK163" s="333"/>
      <c r="AL163" s="333"/>
      <c r="AM163" s="333"/>
      <c r="AN163" s="333"/>
      <c r="AO163" s="334"/>
      <c r="AP163" s="334"/>
      <c r="AQ163" s="335"/>
      <c r="AR163" s="335"/>
      <c r="AS163" s="335"/>
      <c r="AT163" s="335">
        <v>0</v>
      </c>
      <c r="AU163" s="335">
        <v>0</v>
      </c>
      <c r="AV163" s="335"/>
      <c r="AW163" s="335">
        <f>1000+500</f>
        <v>1500</v>
      </c>
      <c r="AX163" s="352">
        <f t="shared" ref="AX163" si="566">SUM(O163:AW163)</f>
        <v>1500</v>
      </c>
      <c r="AY163" s="353">
        <f t="shared" ref="AY163:AY169" si="567">IFERROR((+AX163/N163),0)</f>
        <v>6.097560975609756E-2</v>
      </c>
      <c r="AZ163" s="352">
        <f t="shared" ref="AZ163:AZ169" si="568">+AX163-BD163</f>
        <v>-23100</v>
      </c>
      <c r="BA163" s="353">
        <f t="shared" ref="BA163:BA169" si="569">+AZ163/N163</f>
        <v>-0.93902439024390238</v>
      </c>
      <c r="BB163" s="354">
        <f t="shared" ref="BB163:BB169" si="570">+M163-AX163</f>
        <v>490500</v>
      </c>
      <c r="BC163" s="355">
        <f t="shared" ref="BC163:BC169" si="571">+BB163/M163</f>
        <v>0.99695121951219512</v>
      </c>
      <c r="BD163" s="356">
        <f t="shared" ref="BD163:BD169" si="572">IF(BE163="Vendido",N163*1,IF(BE163="Disponible",N163*0,IF(BE163="Enganche Completado",N163*1,IF(BE163="Superávit de Enganche",N163*1,0))))</f>
        <v>24600</v>
      </c>
      <c r="BE163" s="357" t="str">
        <f t="shared" ref="BE163:BE169" si="573">IF(J163=0,"Apartamento Disponible",IF(J163&gt;1,"Vendido",0))</f>
        <v>Vendido</v>
      </c>
      <c r="BF163" s="357" t="e">
        <f t="shared" ref="BF163:BF169" si="574">IF(AND(BE163="Vendido",K163&gt;=0,BN163&lt;=AX163,AX163&lt;BD163),"Cliente al día",IF(AND(BE163="Vendido",K163&gt;=0,BN163&lt;=AX163,AX163=BD163),"Enganche Completado",IF(AND(BE163="Vendido",K163&gt;=0,BN163&lt;AX163,AX163&gt;BD163),"Superávit de Enganche",IF(AND(BE163="Apartamento Disponible",K163=0,AZ163=0),"Disponible","Cliente Atrasado"))))</f>
        <v>#NUM!</v>
      </c>
      <c r="BG163" s="358">
        <v>16</v>
      </c>
      <c r="BH163" s="358">
        <f t="shared" si="493"/>
        <v>1</v>
      </c>
      <c r="BI163" s="358">
        <f t="shared" ref="BI163:BI169" si="575">+BG163+BH163</f>
        <v>17</v>
      </c>
      <c r="BJ163" s="882"/>
      <c r="BK163" s="365">
        <v>1462.5</v>
      </c>
      <c r="BL163" s="357">
        <f t="shared" ref="BL163:BL169" si="576">COUNTIFS(O163:AO163,"&gt;0.01",O163:AO163,"&lt;" &amp; BJ163)</f>
        <v>0</v>
      </c>
      <c r="BM163" s="359" t="e">
        <f t="shared" si="496"/>
        <v>#NUM!</v>
      </c>
      <c r="BN163" s="360" t="e">
        <f t="shared" ref="BN163:BN169" si="577">(BM163*BK163)+BJ163</f>
        <v>#NUM!</v>
      </c>
      <c r="BO163" s="359">
        <f t="shared" ref="BO163:BO169" si="578">SUMIF(O163:AP163,"&lt;=" &amp; BK163,O163:AP163)</f>
        <v>0</v>
      </c>
      <c r="BP163" s="359">
        <f t="shared" ref="BP163:BP169" si="579">SUMIF(O163:AP163,"&gt;" &amp; BK163,O163:AP163)</f>
        <v>0</v>
      </c>
      <c r="BQ163" s="359">
        <f t="shared" ref="BQ163:BQ169" si="580">AX163-BO163-BP163</f>
        <v>1500</v>
      </c>
      <c r="BR163" s="359" t="e">
        <f t="shared" ref="BR163:BR169" si="581">IF(AX163&gt;BN163,AX163-BN163,0)</f>
        <v>#NUM!</v>
      </c>
      <c r="BS163" s="359" t="e">
        <f t="shared" ref="BS163:BS169" si="582">IF(AX163&lt;BN163,BN163-AX163,0)</f>
        <v>#NUM!</v>
      </c>
      <c r="BT163" s="361" t="e">
        <f t="shared" ref="BT163:BT169" si="583">ROUNDUP(IF(K163&gt;0,BS163/BK163,0),0)</f>
        <v>#NUM!</v>
      </c>
      <c r="BU163" s="337"/>
      <c r="BV163" s="337"/>
    </row>
    <row r="164" spans="1:74" x14ac:dyDescent="0.25">
      <c r="A164" s="846"/>
      <c r="F164" s="336">
        <v>311</v>
      </c>
      <c r="G164" s="336" t="s">
        <v>146</v>
      </c>
      <c r="H164" s="336" t="s">
        <v>913</v>
      </c>
      <c r="I164" s="336" t="s">
        <v>1161</v>
      </c>
      <c r="J164" s="337" t="s">
        <v>1323</v>
      </c>
      <c r="K164" s="338">
        <v>46046</v>
      </c>
      <c r="L164" s="336" t="s">
        <v>956</v>
      </c>
      <c r="M164" s="333">
        <v>492000</v>
      </c>
      <c r="N164" s="333">
        <v>24600</v>
      </c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  <c r="AA164" s="333"/>
      <c r="AB164" s="333"/>
      <c r="AC164" s="333"/>
      <c r="AD164" s="333"/>
      <c r="AE164" s="333"/>
      <c r="AF164" s="333"/>
      <c r="AG164" s="333"/>
      <c r="AH164" s="333"/>
      <c r="AI164" s="333"/>
      <c r="AJ164" s="333"/>
      <c r="AK164" s="333"/>
      <c r="AL164" s="333"/>
      <c r="AM164" s="333"/>
      <c r="AN164" s="333"/>
      <c r="AO164" s="334"/>
      <c r="AP164" s="334"/>
      <c r="AQ164" s="335"/>
      <c r="AR164" s="335"/>
      <c r="AS164" s="335"/>
      <c r="AT164" s="335">
        <v>0</v>
      </c>
      <c r="AU164" s="335">
        <v>0</v>
      </c>
      <c r="AV164" s="335"/>
      <c r="AW164" s="335">
        <v>1500</v>
      </c>
      <c r="AX164" s="352">
        <f t="shared" ref="AX164:AX165" si="584">SUM(O164:AW164)</f>
        <v>1500</v>
      </c>
      <c r="AY164" s="353">
        <f t="shared" ref="AY164:AY165" si="585">IFERROR((+AX164/N164),0)</f>
        <v>6.097560975609756E-2</v>
      </c>
      <c r="AZ164" s="352">
        <f t="shared" ref="AZ164:AZ165" si="586">+AX164-BD164</f>
        <v>-23100</v>
      </c>
      <c r="BA164" s="353">
        <f t="shared" ref="BA164:BA165" si="587">+AZ164/N164</f>
        <v>-0.93902439024390238</v>
      </c>
      <c r="BB164" s="354">
        <f t="shared" ref="BB164:BB165" si="588">+M164-AX164</f>
        <v>490500</v>
      </c>
      <c r="BC164" s="355">
        <f t="shared" ref="BC164:BC165" si="589">+BB164/M164</f>
        <v>0.99695121951219512</v>
      </c>
      <c r="BD164" s="356">
        <f t="shared" ref="BD164:BD165" si="590">IF(BE164="Vendido",N164*1,IF(BE164="Disponible",N164*0,IF(BE164="Enganche Completado",N164*1,IF(BE164="Superávit de Enganche",N164*1,0))))</f>
        <v>24600</v>
      </c>
      <c r="BE164" s="357" t="str">
        <f t="shared" ref="BE164:BE165" si="591">IF(J164=0,"Apartamento Disponible",IF(J164&gt;1,"Vendido",0))</f>
        <v>Vendido</v>
      </c>
      <c r="BF164" s="357" t="e">
        <f t="shared" ref="BF164:BF165" si="592">IF(AND(BE164="Vendido",K164&gt;=0,BN164&lt;=AX164,AX164&lt;BD164),"Cliente al día",IF(AND(BE164="Vendido",K164&gt;=0,BN164&lt;=AX164,AX164=BD164),"Enganche Completado",IF(AND(BE164="Vendido",K164&gt;=0,BN164&lt;AX164,AX164&gt;BD164),"Superávit de Enganche",IF(AND(BE164="Apartamento Disponible",K164=0,AZ164=0),"Disponible","Cliente Atrasado"))))</f>
        <v>#NUM!</v>
      </c>
      <c r="BG164" s="358">
        <v>16</v>
      </c>
      <c r="BH164" s="358">
        <f t="shared" si="493"/>
        <v>1</v>
      </c>
      <c r="BI164" s="358">
        <f t="shared" ref="BI164:BI165" si="593">+BG164+BH164</f>
        <v>17</v>
      </c>
      <c r="BJ164" s="882"/>
      <c r="BK164" s="365">
        <v>1462.5</v>
      </c>
      <c r="BL164" s="357">
        <f t="shared" ref="BL164:BL165" si="594">COUNTIFS(O164:AO164,"&gt;0.01",O164:AO164,"&lt;" &amp; BJ164)</f>
        <v>0</v>
      </c>
      <c r="BM164" s="359" t="e">
        <f t="shared" si="496"/>
        <v>#NUM!</v>
      </c>
      <c r="BN164" s="360" t="e">
        <f t="shared" ref="BN164:BN165" si="595">(BM164*BK164)+BJ164</f>
        <v>#NUM!</v>
      </c>
      <c r="BO164" s="359">
        <f t="shared" ref="BO164:BO165" si="596">SUMIF(O164:AP164,"&lt;=" &amp; BK164,O164:AP164)</f>
        <v>0</v>
      </c>
      <c r="BP164" s="359">
        <f t="shared" ref="BP164:BP165" si="597">SUMIF(O164:AP164,"&gt;" &amp; BK164,O164:AP164)</f>
        <v>0</v>
      </c>
      <c r="BQ164" s="359">
        <f t="shared" ref="BQ164:BQ165" si="598">AX164-BO164-BP164</f>
        <v>1500</v>
      </c>
      <c r="BR164" s="359" t="e">
        <f t="shared" ref="BR164:BR165" si="599">IF(AX164&gt;BN164,AX164-BN164,0)</f>
        <v>#NUM!</v>
      </c>
      <c r="BS164" s="359" t="e">
        <f t="shared" ref="BS164:BS165" si="600">IF(AX164&lt;BN164,BN164-AX164,0)</f>
        <v>#NUM!</v>
      </c>
      <c r="BT164" s="361" t="e">
        <f t="shared" ref="BT164:BT165" si="601">ROUNDUP(IF(K164&gt;0,BS164/BK164,0),0)</f>
        <v>#NUM!</v>
      </c>
      <c r="BU164" s="337"/>
      <c r="BV164" s="337"/>
    </row>
    <row r="165" spans="1:74" x14ac:dyDescent="0.25">
      <c r="A165" s="846"/>
      <c r="F165" s="336">
        <v>203</v>
      </c>
      <c r="G165" s="336" t="s">
        <v>146</v>
      </c>
      <c r="H165" s="336" t="s">
        <v>913</v>
      </c>
      <c r="I165" s="336" t="s">
        <v>962</v>
      </c>
      <c r="J165" s="337" t="s">
        <v>1324</v>
      </c>
      <c r="K165" s="338">
        <v>46047</v>
      </c>
      <c r="L165" s="336" t="s">
        <v>956</v>
      </c>
      <c r="M165" s="333">
        <v>492000</v>
      </c>
      <c r="N165" s="333">
        <v>24600</v>
      </c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  <c r="AA165" s="333"/>
      <c r="AB165" s="333"/>
      <c r="AC165" s="333"/>
      <c r="AD165" s="333"/>
      <c r="AE165" s="333"/>
      <c r="AF165" s="333"/>
      <c r="AG165" s="333"/>
      <c r="AH165" s="333"/>
      <c r="AI165" s="333"/>
      <c r="AJ165" s="333"/>
      <c r="AK165" s="333"/>
      <c r="AL165" s="333"/>
      <c r="AM165" s="333"/>
      <c r="AN165" s="333"/>
      <c r="AO165" s="334"/>
      <c r="AP165" s="334"/>
      <c r="AQ165" s="335"/>
      <c r="AR165" s="335"/>
      <c r="AS165" s="335"/>
      <c r="AT165" s="335">
        <v>0</v>
      </c>
      <c r="AU165" s="335">
        <v>0</v>
      </c>
      <c r="AV165" s="335"/>
      <c r="AW165" s="335">
        <v>1500</v>
      </c>
      <c r="AX165" s="352">
        <f t="shared" si="584"/>
        <v>1500</v>
      </c>
      <c r="AY165" s="353">
        <f t="shared" si="585"/>
        <v>6.097560975609756E-2</v>
      </c>
      <c r="AZ165" s="352">
        <f t="shared" si="586"/>
        <v>-23100</v>
      </c>
      <c r="BA165" s="353">
        <f t="shared" si="587"/>
        <v>-0.93902439024390238</v>
      </c>
      <c r="BB165" s="354">
        <f t="shared" si="588"/>
        <v>490500</v>
      </c>
      <c r="BC165" s="355">
        <f t="shared" si="589"/>
        <v>0.99695121951219512</v>
      </c>
      <c r="BD165" s="356">
        <f t="shared" si="590"/>
        <v>24600</v>
      </c>
      <c r="BE165" s="357" t="str">
        <f t="shared" si="591"/>
        <v>Vendido</v>
      </c>
      <c r="BF165" s="357" t="e">
        <f t="shared" si="592"/>
        <v>#NUM!</v>
      </c>
      <c r="BG165" s="358">
        <v>16</v>
      </c>
      <c r="BH165" s="358">
        <f t="shared" si="493"/>
        <v>1</v>
      </c>
      <c r="BI165" s="358">
        <f t="shared" si="593"/>
        <v>17</v>
      </c>
      <c r="BJ165" s="882"/>
      <c r="BK165" s="365">
        <v>1462.5</v>
      </c>
      <c r="BL165" s="357">
        <f t="shared" si="594"/>
        <v>0</v>
      </c>
      <c r="BM165" s="359" t="e">
        <f t="shared" si="496"/>
        <v>#NUM!</v>
      </c>
      <c r="BN165" s="360" t="e">
        <f t="shared" si="595"/>
        <v>#NUM!</v>
      </c>
      <c r="BO165" s="359">
        <f t="shared" si="596"/>
        <v>0</v>
      </c>
      <c r="BP165" s="359">
        <f t="shared" si="597"/>
        <v>0</v>
      </c>
      <c r="BQ165" s="359">
        <f t="shared" si="598"/>
        <v>1500</v>
      </c>
      <c r="BR165" s="359" t="e">
        <f t="shared" si="599"/>
        <v>#NUM!</v>
      </c>
      <c r="BS165" s="359" t="e">
        <f t="shared" si="600"/>
        <v>#NUM!</v>
      </c>
      <c r="BT165" s="361" t="e">
        <f t="shared" si="601"/>
        <v>#NUM!</v>
      </c>
      <c r="BU165" s="337"/>
      <c r="BV165" s="337"/>
    </row>
    <row r="166" spans="1:74" x14ac:dyDescent="0.25">
      <c r="A166" s="846"/>
      <c r="F166" s="336">
        <v>406</v>
      </c>
      <c r="G166" s="336" t="s">
        <v>146</v>
      </c>
      <c r="H166" s="336" t="s">
        <v>146</v>
      </c>
      <c r="I166" s="336" t="s">
        <v>1161</v>
      </c>
      <c r="J166" s="337" t="s">
        <v>1325</v>
      </c>
      <c r="K166" s="338">
        <v>46042</v>
      </c>
      <c r="L166" s="336" t="s">
        <v>956</v>
      </c>
      <c r="M166" s="333">
        <v>492000</v>
      </c>
      <c r="N166" s="333">
        <v>24600</v>
      </c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  <c r="AA166" s="333"/>
      <c r="AB166" s="333"/>
      <c r="AC166" s="333"/>
      <c r="AD166" s="333"/>
      <c r="AE166" s="333"/>
      <c r="AF166" s="333"/>
      <c r="AG166" s="333"/>
      <c r="AH166" s="333"/>
      <c r="AI166" s="333"/>
      <c r="AJ166" s="333"/>
      <c r="AK166" s="333"/>
      <c r="AL166" s="333"/>
      <c r="AM166" s="333"/>
      <c r="AN166" s="333"/>
      <c r="AO166" s="334"/>
      <c r="AP166" s="334"/>
      <c r="AQ166" s="335"/>
      <c r="AR166" s="335"/>
      <c r="AS166" s="335"/>
      <c r="AT166" s="335">
        <v>0</v>
      </c>
      <c r="AU166" s="335">
        <v>0</v>
      </c>
      <c r="AV166" s="335"/>
      <c r="AW166" s="335">
        <v>1500</v>
      </c>
      <c r="AX166" s="352">
        <f t="shared" ref="AX166" si="602">SUM(O166:AW166)</f>
        <v>1500</v>
      </c>
      <c r="AY166" s="353">
        <f t="shared" si="567"/>
        <v>6.097560975609756E-2</v>
      </c>
      <c r="AZ166" s="352">
        <f t="shared" si="568"/>
        <v>-23100</v>
      </c>
      <c r="BA166" s="353">
        <f t="shared" si="569"/>
        <v>-0.93902439024390238</v>
      </c>
      <c r="BB166" s="354">
        <f t="shared" si="570"/>
        <v>490500</v>
      </c>
      <c r="BC166" s="355">
        <f t="shared" si="571"/>
        <v>0.99695121951219512</v>
      </c>
      <c r="BD166" s="356">
        <f t="shared" si="572"/>
        <v>24600</v>
      </c>
      <c r="BE166" s="357" t="str">
        <f t="shared" si="573"/>
        <v>Vendido</v>
      </c>
      <c r="BF166" s="357" t="e">
        <f t="shared" si="574"/>
        <v>#NUM!</v>
      </c>
      <c r="BG166" s="358">
        <v>16</v>
      </c>
      <c r="BH166" s="358">
        <f t="shared" ref="BH166" si="603">IF(BG166&gt;1,1,0)</f>
        <v>1</v>
      </c>
      <c r="BI166" s="358">
        <f t="shared" si="575"/>
        <v>17</v>
      </c>
      <c r="BJ166" s="882"/>
      <c r="BK166" s="365">
        <v>1462.5</v>
      </c>
      <c r="BL166" s="357">
        <f t="shared" si="576"/>
        <v>0</v>
      </c>
      <c r="BM166" s="359" t="e">
        <f t="shared" si="496"/>
        <v>#NUM!</v>
      </c>
      <c r="BN166" s="360" t="e">
        <f t="shared" si="577"/>
        <v>#NUM!</v>
      </c>
      <c r="BO166" s="359">
        <f t="shared" si="578"/>
        <v>0</v>
      </c>
      <c r="BP166" s="359">
        <f t="shared" si="579"/>
        <v>0</v>
      </c>
      <c r="BQ166" s="359">
        <f t="shared" si="580"/>
        <v>1500</v>
      </c>
      <c r="BR166" s="359" t="e">
        <f t="shared" si="581"/>
        <v>#NUM!</v>
      </c>
      <c r="BS166" s="359" t="e">
        <f t="shared" si="582"/>
        <v>#NUM!</v>
      </c>
      <c r="BT166" s="361" t="e">
        <f t="shared" si="583"/>
        <v>#NUM!</v>
      </c>
      <c r="BU166" s="337"/>
      <c r="BV166" s="337"/>
    </row>
    <row r="167" spans="1:74" x14ac:dyDescent="0.25">
      <c r="A167" s="846"/>
      <c r="F167" s="336">
        <v>612</v>
      </c>
      <c r="G167" s="336" t="s">
        <v>146</v>
      </c>
      <c r="H167" s="336" t="s">
        <v>146</v>
      </c>
      <c r="I167" s="336" t="s">
        <v>1326</v>
      </c>
      <c r="J167" s="337" t="s">
        <v>1327</v>
      </c>
      <c r="K167" s="338">
        <v>46038</v>
      </c>
      <c r="L167" s="336" t="s">
        <v>956</v>
      </c>
      <c r="M167" s="333">
        <v>492000</v>
      </c>
      <c r="N167" s="333">
        <v>24600</v>
      </c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  <c r="AA167" s="333"/>
      <c r="AB167" s="333"/>
      <c r="AC167" s="333"/>
      <c r="AD167" s="333"/>
      <c r="AE167" s="333"/>
      <c r="AF167" s="333"/>
      <c r="AG167" s="333"/>
      <c r="AH167" s="333"/>
      <c r="AI167" s="333"/>
      <c r="AJ167" s="333"/>
      <c r="AK167" s="333"/>
      <c r="AL167" s="333"/>
      <c r="AM167" s="333"/>
      <c r="AN167" s="333"/>
      <c r="AO167" s="334"/>
      <c r="AP167" s="334"/>
      <c r="AQ167" s="335"/>
      <c r="AR167" s="335"/>
      <c r="AS167" s="335"/>
      <c r="AT167" s="335">
        <v>0</v>
      </c>
      <c r="AU167" s="335">
        <v>0</v>
      </c>
      <c r="AV167" s="335"/>
      <c r="AW167" s="335">
        <v>1500</v>
      </c>
      <c r="AX167" s="352">
        <f t="shared" ref="AX167" si="604">SUM(O167:AW167)</f>
        <v>1500</v>
      </c>
      <c r="AY167" s="353">
        <f t="shared" ref="AY167" si="605">IFERROR((+AX167/N167),0)</f>
        <v>6.097560975609756E-2</v>
      </c>
      <c r="AZ167" s="352">
        <f t="shared" ref="AZ167" si="606">+AX167-BD167</f>
        <v>-23100</v>
      </c>
      <c r="BA167" s="353">
        <f t="shared" ref="BA167" si="607">+AZ167/N167</f>
        <v>-0.93902439024390238</v>
      </c>
      <c r="BB167" s="354">
        <f t="shared" ref="BB167" si="608">+M167-AX167</f>
        <v>490500</v>
      </c>
      <c r="BC167" s="355">
        <f t="shared" ref="BC167" si="609">+BB167/M167</f>
        <v>0.99695121951219512</v>
      </c>
      <c r="BD167" s="356">
        <f t="shared" ref="BD167" si="610">IF(BE167="Vendido",N167*1,IF(BE167="Disponible",N167*0,IF(BE167="Enganche Completado",N167*1,IF(BE167="Superávit de Enganche",N167*1,0))))</f>
        <v>24600</v>
      </c>
      <c r="BE167" s="357" t="str">
        <f t="shared" ref="BE167" si="611">IF(J167=0,"Apartamento Disponible",IF(J167&gt;1,"Vendido",0))</f>
        <v>Vendido</v>
      </c>
      <c r="BF167" s="357" t="e">
        <f t="shared" ref="BF167" si="612">IF(AND(BE167="Vendido",K167&gt;=0,BN167&lt;=AX167,AX167&lt;BD167),"Cliente al día",IF(AND(BE167="Vendido",K167&gt;=0,BN167&lt;=AX167,AX167=BD167),"Enganche Completado",IF(AND(BE167="Vendido",K167&gt;=0,BN167&lt;AX167,AX167&gt;BD167),"Superávit de Enganche",IF(AND(BE167="Apartamento Disponible",K167=0,AZ167=0),"Disponible","Cliente Atrasado"))))</f>
        <v>#NUM!</v>
      </c>
      <c r="BG167" s="358">
        <v>16</v>
      </c>
      <c r="BH167" s="358">
        <f t="shared" si="493"/>
        <v>1</v>
      </c>
      <c r="BI167" s="358">
        <f t="shared" ref="BI167" si="613">+BG167+BH167</f>
        <v>17</v>
      </c>
      <c r="BJ167" s="882"/>
      <c r="BK167" s="365">
        <v>1462.5</v>
      </c>
      <c r="BL167" s="357">
        <f t="shared" ref="BL167" si="614">COUNTIFS(O167:AO167,"&gt;0.01",O167:AO167,"&lt;" &amp; BJ167)</f>
        <v>0</v>
      </c>
      <c r="BM167" s="359" t="e">
        <f t="shared" si="496"/>
        <v>#NUM!</v>
      </c>
      <c r="BN167" s="360" t="e">
        <f t="shared" ref="BN167" si="615">(BM167*BK167)+BJ167</f>
        <v>#NUM!</v>
      </c>
      <c r="BO167" s="359">
        <f t="shared" ref="BO167" si="616">SUMIF(O167:AP167,"&lt;=" &amp; BK167,O167:AP167)</f>
        <v>0</v>
      </c>
      <c r="BP167" s="359">
        <f t="shared" ref="BP167" si="617">SUMIF(O167:AP167,"&gt;" &amp; BK167,O167:AP167)</f>
        <v>0</v>
      </c>
      <c r="BQ167" s="359">
        <f t="shared" ref="BQ167" si="618">AX167-BO167-BP167</f>
        <v>1500</v>
      </c>
      <c r="BR167" s="359" t="e">
        <f t="shared" ref="BR167" si="619">IF(AX167&gt;BN167,AX167-BN167,0)</f>
        <v>#NUM!</v>
      </c>
      <c r="BS167" s="359" t="e">
        <f t="shared" ref="BS167" si="620">IF(AX167&lt;BN167,BN167-AX167,0)</f>
        <v>#NUM!</v>
      </c>
      <c r="BT167" s="361" t="e">
        <f t="shared" ref="BT167" si="621">ROUNDUP(IF(K167&gt;0,BS167/BK167,0),0)</f>
        <v>#NUM!</v>
      </c>
      <c r="BU167" s="337"/>
      <c r="BV167" s="337"/>
    </row>
    <row r="168" spans="1:74" x14ac:dyDescent="0.25">
      <c r="A168" s="846"/>
      <c r="F168" s="336">
        <v>606</v>
      </c>
      <c r="G168" s="336" t="s">
        <v>146</v>
      </c>
      <c r="H168" s="336" t="s">
        <v>146</v>
      </c>
      <c r="I168" s="336" t="s">
        <v>1161</v>
      </c>
      <c r="J168" s="337" t="s">
        <v>1328</v>
      </c>
      <c r="K168" s="338">
        <v>46039</v>
      </c>
      <c r="L168" s="336" t="s">
        <v>956</v>
      </c>
      <c r="M168" s="333">
        <v>492000</v>
      </c>
      <c r="N168" s="333">
        <v>24600</v>
      </c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  <c r="AA168" s="333"/>
      <c r="AB168" s="333"/>
      <c r="AC168" s="333"/>
      <c r="AD168" s="333"/>
      <c r="AE168" s="333"/>
      <c r="AF168" s="333"/>
      <c r="AG168" s="333"/>
      <c r="AH168" s="333"/>
      <c r="AI168" s="333"/>
      <c r="AJ168" s="333"/>
      <c r="AK168" s="333"/>
      <c r="AL168" s="333"/>
      <c r="AM168" s="333"/>
      <c r="AN168" s="333"/>
      <c r="AO168" s="334"/>
      <c r="AP168" s="334"/>
      <c r="AQ168" s="335"/>
      <c r="AR168" s="335"/>
      <c r="AS168" s="335"/>
      <c r="AT168" s="335">
        <v>0</v>
      </c>
      <c r="AU168" s="335">
        <v>0</v>
      </c>
      <c r="AV168" s="335"/>
      <c r="AW168" s="335">
        <v>1500</v>
      </c>
      <c r="AX168" s="352">
        <f t="shared" ref="AX168:AX169" si="622">SUM(O168:AW168)</f>
        <v>1500</v>
      </c>
      <c r="AY168" s="353">
        <f t="shared" si="567"/>
        <v>6.097560975609756E-2</v>
      </c>
      <c r="AZ168" s="352">
        <f t="shared" si="568"/>
        <v>-23100</v>
      </c>
      <c r="BA168" s="353">
        <f t="shared" si="569"/>
        <v>-0.93902439024390238</v>
      </c>
      <c r="BB168" s="354">
        <f t="shared" si="570"/>
        <v>490500</v>
      </c>
      <c r="BC168" s="355">
        <f t="shared" si="571"/>
        <v>0.99695121951219512</v>
      </c>
      <c r="BD168" s="356">
        <f t="shared" si="572"/>
        <v>24600</v>
      </c>
      <c r="BE168" s="357" t="str">
        <f t="shared" si="573"/>
        <v>Vendido</v>
      </c>
      <c r="BF168" s="357" t="e">
        <f t="shared" si="574"/>
        <v>#NUM!</v>
      </c>
      <c r="BG168" s="358">
        <v>16</v>
      </c>
      <c r="BH168" s="358">
        <f t="shared" ref="BH168:BH169" si="623">IF(BG168&gt;1,1,0)</f>
        <v>1</v>
      </c>
      <c r="BI168" s="358">
        <f t="shared" si="575"/>
        <v>17</v>
      </c>
      <c r="BJ168" s="882"/>
      <c r="BK168" s="365">
        <v>1462.5</v>
      </c>
      <c r="BL168" s="357">
        <f t="shared" si="576"/>
        <v>0</v>
      </c>
      <c r="BM168" s="359" t="e">
        <f t="shared" si="496"/>
        <v>#NUM!</v>
      </c>
      <c r="BN168" s="360" t="e">
        <f t="shared" si="577"/>
        <v>#NUM!</v>
      </c>
      <c r="BO168" s="359">
        <f t="shared" si="578"/>
        <v>0</v>
      </c>
      <c r="BP168" s="359">
        <f t="shared" si="579"/>
        <v>0</v>
      </c>
      <c r="BQ168" s="359">
        <f t="shared" si="580"/>
        <v>1500</v>
      </c>
      <c r="BR168" s="359" t="e">
        <f t="shared" si="581"/>
        <v>#NUM!</v>
      </c>
      <c r="BS168" s="359" t="e">
        <f t="shared" si="582"/>
        <v>#NUM!</v>
      </c>
      <c r="BT168" s="361" t="e">
        <f t="shared" si="583"/>
        <v>#NUM!</v>
      </c>
      <c r="BU168" s="337"/>
      <c r="BV168" s="337"/>
    </row>
    <row r="169" spans="1:74" x14ac:dyDescent="0.25">
      <c r="A169" s="846"/>
      <c r="F169" s="336">
        <v>408</v>
      </c>
      <c r="G169" s="336" t="s">
        <v>146</v>
      </c>
      <c r="H169" s="336" t="s">
        <v>146</v>
      </c>
      <c r="I169" s="336" t="s">
        <v>1161</v>
      </c>
      <c r="J169" s="337" t="s">
        <v>1329</v>
      </c>
      <c r="K169" s="338">
        <v>46041</v>
      </c>
      <c r="L169" s="336" t="s">
        <v>956</v>
      </c>
      <c r="M169" s="333">
        <v>492000</v>
      </c>
      <c r="N169" s="333">
        <v>24600</v>
      </c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333"/>
      <c r="AJ169" s="333"/>
      <c r="AK169" s="333"/>
      <c r="AL169" s="333"/>
      <c r="AM169" s="333"/>
      <c r="AN169" s="333"/>
      <c r="AO169" s="334"/>
      <c r="AP169" s="334"/>
      <c r="AQ169" s="335"/>
      <c r="AR169" s="335"/>
      <c r="AS169" s="335"/>
      <c r="AT169" s="335">
        <v>0</v>
      </c>
      <c r="AU169" s="335">
        <v>0</v>
      </c>
      <c r="AV169" s="335"/>
      <c r="AW169" s="335">
        <v>1395</v>
      </c>
      <c r="AX169" s="352">
        <f t="shared" si="622"/>
        <v>1395</v>
      </c>
      <c r="AY169" s="353">
        <f t="shared" si="567"/>
        <v>5.6707317073170734E-2</v>
      </c>
      <c r="AZ169" s="352">
        <f t="shared" si="568"/>
        <v>-23205</v>
      </c>
      <c r="BA169" s="353">
        <f t="shared" si="569"/>
        <v>-0.94329268292682922</v>
      </c>
      <c r="BB169" s="354">
        <f t="shared" si="570"/>
        <v>490605</v>
      </c>
      <c r="BC169" s="355">
        <f t="shared" si="571"/>
        <v>0.99716463414634149</v>
      </c>
      <c r="BD169" s="356">
        <f t="shared" si="572"/>
        <v>24600</v>
      </c>
      <c r="BE169" s="357" t="str">
        <f t="shared" si="573"/>
        <v>Vendido</v>
      </c>
      <c r="BF169" s="357" t="e">
        <f t="shared" si="574"/>
        <v>#NUM!</v>
      </c>
      <c r="BG169" s="358">
        <v>16</v>
      </c>
      <c r="BH169" s="358">
        <f t="shared" si="623"/>
        <v>1</v>
      </c>
      <c r="BI169" s="358">
        <f t="shared" si="575"/>
        <v>17</v>
      </c>
      <c r="BJ169" s="882"/>
      <c r="BK169" s="365">
        <v>1462.5</v>
      </c>
      <c r="BL169" s="357">
        <f t="shared" si="576"/>
        <v>0</v>
      </c>
      <c r="BM169" s="359" t="e">
        <f t="shared" si="496"/>
        <v>#NUM!</v>
      </c>
      <c r="BN169" s="360" t="e">
        <f t="shared" si="577"/>
        <v>#NUM!</v>
      </c>
      <c r="BO169" s="359">
        <f t="shared" si="578"/>
        <v>0</v>
      </c>
      <c r="BP169" s="359">
        <f t="shared" si="579"/>
        <v>0</v>
      </c>
      <c r="BQ169" s="359">
        <f t="shared" si="580"/>
        <v>1395</v>
      </c>
      <c r="BR169" s="359" t="e">
        <f t="shared" si="581"/>
        <v>#NUM!</v>
      </c>
      <c r="BS169" s="359" t="e">
        <f t="shared" si="582"/>
        <v>#NUM!</v>
      </c>
      <c r="BT169" s="361" t="e">
        <f t="shared" si="583"/>
        <v>#NUM!</v>
      </c>
      <c r="BU169" s="337"/>
      <c r="BV169" s="337"/>
    </row>
    <row r="170" spans="1:74" x14ac:dyDescent="0.25">
      <c r="A170" s="846"/>
      <c r="F170" s="336">
        <v>206</v>
      </c>
      <c r="G170" s="336" t="s">
        <v>146</v>
      </c>
      <c r="H170" s="336" t="s">
        <v>146</v>
      </c>
      <c r="I170" s="336" t="s">
        <v>196</v>
      </c>
      <c r="J170" s="337" t="s">
        <v>1330</v>
      </c>
      <c r="K170" s="338">
        <v>46026</v>
      </c>
      <c r="L170" s="336" t="s">
        <v>956</v>
      </c>
      <c r="M170" s="333">
        <v>492000</v>
      </c>
      <c r="N170" s="333">
        <v>24600</v>
      </c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  <c r="AA170" s="333"/>
      <c r="AB170" s="333"/>
      <c r="AC170" s="333"/>
      <c r="AD170" s="333"/>
      <c r="AE170" s="333"/>
      <c r="AF170" s="333"/>
      <c r="AG170" s="333"/>
      <c r="AH170" s="333"/>
      <c r="AI170" s="333"/>
      <c r="AJ170" s="333"/>
      <c r="AK170" s="333"/>
      <c r="AL170" s="333"/>
      <c r="AM170" s="333"/>
      <c r="AN170" s="333"/>
      <c r="AO170" s="334"/>
      <c r="AP170" s="334"/>
      <c r="AQ170" s="335"/>
      <c r="AR170" s="335"/>
      <c r="AS170" s="335"/>
      <c r="AT170" s="335">
        <v>0</v>
      </c>
      <c r="AU170" s="335">
        <v>0</v>
      </c>
      <c r="AV170" s="335"/>
      <c r="AW170" s="335">
        <v>1500</v>
      </c>
      <c r="AX170" s="352">
        <f t="shared" si="529"/>
        <v>1500</v>
      </c>
      <c r="AY170" s="353">
        <f t="shared" si="530"/>
        <v>6.097560975609756E-2</v>
      </c>
      <c r="AZ170" s="352">
        <f t="shared" si="531"/>
        <v>-23100</v>
      </c>
      <c r="BA170" s="353">
        <f t="shared" si="532"/>
        <v>-0.93902439024390238</v>
      </c>
      <c r="BB170" s="354">
        <f t="shared" si="533"/>
        <v>490500</v>
      </c>
      <c r="BC170" s="355">
        <f t="shared" si="534"/>
        <v>0.99695121951219512</v>
      </c>
      <c r="BD170" s="356">
        <f t="shared" si="535"/>
        <v>24600</v>
      </c>
      <c r="BE170" s="357" t="str">
        <f t="shared" si="536"/>
        <v>Vendido</v>
      </c>
      <c r="BF170" s="357" t="e">
        <f t="shared" si="537"/>
        <v>#NUM!</v>
      </c>
      <c r="BG170" s="358">
        <v>16</v>
      </c>
      <c r="BH170" s="358">
        <f t="shared" si="493"/>
        <v>1</v>
      </c>
      <c r="BI170" s="358">
        <f t="shared" si="538"/>
        <v>17</v>
      </c>
      <c r="BJ170" s="882"/>
      <c r="BK170" s="365">
        <v>1462.5</v>
      </c>
      <c r="BL170" s="357">
        <f t="shared" si="539"/>
        <v>0</v>
      </c>
      <c r="BM170" s="359" t="e">
        <f t="shared" si="496"/>
        <v>#NUM!</v>
      </c>
      <c r="BN170" s="360" t="e">
        <f t="shared" si="540"/>
        <v>#NUM!</v>
      </c>
      <c r="BO170" s="359">
        <f t="shared" si="541"/>
        <v>0</v>
      </c>
      <c r="BP170" s="359">
        <f t="shared" si="542"/>
        <v>0</v>
      </c>
      <c r="BQ170" s="359">
        <f t="shared" si="543"/>
        <v>1500</v>
      </c>
      <c r="BR170" s="359" t="e">
        <f t="shared" si="544"/>
        <v>#NUM!</v>
      </c>
      <c r="BS170" s="359" t="e">
        <f t="shared" si="545"/>
        <v>#NUM!</v>
      </c>
      <c r="BT170" s="361" t="e">
        <f t="shared" si="546"/>
        <v>#NUM!</v>
      </c>
      <c r="BU170" s="337"/>
      <c r="BV170" s="337"/>
    </row>
    <row r="171" spans="1:74" x14ac:dyDescent="0.25">
      <c r="A171" s="846"/>
      <c r="F171" s="336">
        <v>304</v>
      </c>
      <c r="G171" s="336" t="s">
        <v>146</v>
      </c>
      <c r="H171" s="336" t="s">
        <v>913</v>
      </c>
      <c r="I171" s="336" t="s">
        <v>1271</v>
      </c>
      <c r="J171" s="337" t="s">
        <v>1331</v>
      </c>
      <c r="K171" s="338">
        <v>46004</v>
      </c>
      <c r="L171" s="336" t="s">
        <v>956</v>
      </c>
      <c r="M171" s="333">
        <v>492000</v>
      </c>
      <c r="N171" s="333">
        <v>24600</v>
      </c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  <c r="AA171" s="333"/>
      <c r="AB171" s="333"/>
      <c r="AC171" s="333"/>
      <c r="AD171" s="333"/>
      <c r="AE171" s="333"/>
      <c r="AF171" s="333"/>
      <c r="AG171" s="333"/>
      <c r="AH171" s="333"/>
      <c r="AI171" s="333"/>
      <c r="AJ171" s="333"/>
      <c r="AK171" s="333"/>
      <c r="AL171" s="333"/>
      <c r="AM171" s="333"/>
      <c r="AN171" s="333"/>
      <c r="AO171" s="334"/>
      <c r="AP171" s="334"/>
      <c r="AQ171" s="335"/>
      <c r="AR171" s="335"/>
      <c r="AS171" s="335"/>
      <c r="AT171" s="335">
        <v>0</v>
      </c>
      <c r="AU171" s="335">
        <v>0</v>
      </c>
      <c r="AV171" s="335">
        <v>1500</v>
      </c>
      <c r="AW171" s="335">
        <v>1500</v>
      </c>
      <c r="AX171" s="352">
        <f t="shared" si="459"/>
        <v>3000</v>
      </c>
      <c r="AY171" s="353">
        <f t="shared" si="492"/>
        <v>0.12195121951219512</v>
      </c>
      <c r="AZ171" s="352">
        <f t="shared" si="507"/>
        <v>-21600</v>
      </c>
      <c r="BA171" s="353">
        <f t="shared" si="504"/>
        <v>-0.87804878048780488</v>
      </c>
      <c r="BB171" s="354">
        <f t="shared" si="508"/>
        <v>489000</v>
      </c>
      <c r="BC171" s="355">
        <f t="shared" si="505"/>
        <v>0.99390243902439024</v>
      </c>
      <c r="BD171" s="356">
        <f t="shared" si="506"/>
        <v>24600</v>
      </c>
      <c r="BE171" s="357" t="str">
        <f t="shared" si="509"/>
        <v>Vendido</v>
      </c>
      <c r="BF171" s="357" t="e">
        <f t="shared" si="510"/>
        <v>#NUM!</v>
      </c>
      <c r="BG171" s="358">
        <v>16</v>
      </c>
      <c r="BH171" s="358">
        <f t="shared" si="493"/>
        <v>1</v>
      </c>
      <c r="BI171" s="358">
        <f t="shared" si="494"/>
        <v>17</v>
      </c>
      <c r="BJ171" s="882"/>
      <c r="BK171" s="365">
        <v>1462.5</v>
      </c>
      <c r="BL171" s="357">
        <f t="shared" si="495"/>
        <v>0</v>
      </c>
      <c r="BM171" s="359" t="e">
        <f t="shared" si="496"/>
        <v>#NUM!</v>
      </c>
      <c r="BN171" s="360" t="e">
        <f t="shared" si="497"/>
        <v>#NUM!</v>
      </c>
      <c r="BO171" s="359">
        <f t="shared" si="498"/>
        <v>0</v>
      </c>
      <c r="BP171" s="359">
        <f t="shared" si="499"/>
        <v>0</v>
      </c>
      <c r="BQ171" s="359">
        <f t="shared" si="500"/>
        <v>3000</v>
      </c>
      <c r="BR171" s="359" t="e">
        <f t="shared" si="501"/>
        <v>#NUM!</v>
      </c>
      <c r="BS171" s="359" t="e">
        <f t="shared" si="502"/>
        <v>#NUM!</v>
      </c>
      <c r="BT171" s="361" t="e">
        <f t="shared" si="503"/>
        <v>#NUM!</v>
      </c>
      <c r="BU171" s="337"/>
      <c r="BV171" s="337"/>
    </row>
    <row r="172" spans="1:74" x14ac:dyDescent="0.25">
      <c r="A172" s="846" t="s">
        <v>1332</v>
      </c>
      <c r="F172" s="336">
        <v>203</v>
      </c>
      <c r="G172" s="336" t="s">
        <v>913</v>
      </c>
      <c r="H172" s="336"/>
      <c r="I172" s="336" t="s">
        <v>1271</v>
      </c>
      <c r="J172" s="337" t="s">
        <v>1333</v>
      </c>
      <c r="K172" s="338">
        <v>45991</v>
      </c>
      <c r="L172" s="336" t="s">
        <v>956</v>
      </c>
      <c r="M172" s="333">
        <v>492000</v>
      </c>
      <c r="N172" s="333">
        <v>24600</v>
      </c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  <c r="AA172" s="333"/>
      <c r="AB172" s="333"/>
      <c r="AC172" s="333"/>
      <c r="AD172" s="333"/>
      <c r="AE172" s="333"/>
      <c r="AF172" s="333"/>
      <c r="AG172" s="333"/>
      <c r="AH172" s="333"/>
      <c r="AI172" s="333"/>
      <c r="AJ172" s="333"/>
      <c r="AK172" s="333"/>
      <c r="AL172" s="333"/>
      <c r="AM172" s="333"/>
      <c r="AN172" s="333"/>
      <c r="AO172" s="334"/>
      <c r="AP172" s="334"/>
      <c r="AQ172" s="335"/>
      <c r="AR172" s="335"/>
      <c r="AS172" s="335"/>
      <c r="AT172" s="335">
        <v>0</v>
      </c>
      <c r="AU172" s="335">
        <v>200</v>
      </c>
      <c r="AV172" s="335"/>
      <c r="AW172" s="335"/>
      <c r="AX172" s="352">
        <f t="shared" si="459"/>
        <v>200</v>
      </c>
      <c r="AY172" s="353">
        <f t="shared" si="403"/>
        <v>8.130081300813009E-3</v>
      </c>
      <c r="AZ172" s="352">
        <f t="shared" si="404"/>
        <v>-24400</v>
      </c>
      <c r="BA172" s="353">
        <f t="shared" si="405"/>
        <v>-0.99186991869918695</v>
      </c>
      <c r="BB172" s="354">
        <f t="shared" si="406"/>
        <v>491800</v>
      </c>
      <c r="BC172" s="355">
        <f t="shared" si="407"/>
        <v>0.99959349593495939</v>
      </c>
      <c r="BD172" s="356">
        <f t="shared" si="408"/>
        <v>24600</v>
      </c>
      <c r="BE172" s="357" t="str">
        <f t="shared" si="409"/>
        <v>Vendido</v>
      </c>
      <c r="BF172" s="357" t="e">
        <f t="shared" si="410"/>
        <v>#NUM!</v>
      </c>
      <c r="BG172" s="358">
        <v>16</v>
      </c>
      <c r="BH172" s="358">
        <f t="shared" si="411"/>
        <v>1</v>
      </c>
      <c r="BI172" s="358">
        <f t="shared" si="412"/>
        <v>17</v>
      </c>
      <c r="BJ172" s="882"/>
      <c r="BK172" s="365">
        <v>1462.5</v>
      </c>
      <c r="BL172" s="357">
        <f t="shared" si="413"/>
        <v>0</v>
      </c>
      <c r="BM172" s="359" t="e">
        <f t="shared" si="357"/>
        <v>#NUM!</v>
      </c>
      <c r="BN172" s="360" t="e">
        <f t="shared" si="414"/>
        <v>#NUM!</v>
      </c>
      <c r="BO172" s="359">
        <f t="shared" si="415"/>
        <v>0</v>
      </c>
      <c r="BP172" s="359">
        <f t="shared" si="416"/>
        <v>0</v>
      </c>
      <c r="BQ172" s="359">
        <f t="shared" si="417"/>
        <v>200</v>
      </c>
      <c r="BR172" s="359" t="e">
        <f t="shared" si="418"/>
        <v>#NUM!</v>
      </c>
      <c r="BS172" s="359" t="e">
        <f t="shared" si="419"/>
        <v>#NUM!</v>
      </c>
      <c r="BT172" s="361" t="e">
        <f t="shared" si="420"/>
        <v>#NUM!</v>
      </c>
      <c r="BU172" s="337"/>
      <c r="BV172" s="337"/>
    </row>
    <row r="173" spans="1:74" x14ac:dyDescent="0.25">
      <c r="A173" s="846" t="s">
        <v>1247</v>
      </c>
      <c r="F173" s="336">
        <v>404</v>
      </c>
      <c r="G173" s="336" t="s">
        <v>146</v>
      </c>
      <c r="H173" s="336"/>
      <c r="I173" s="336" t="s">
        <v>196</v>
      </c>
      <c r="J173" s="337" t="s">
        <v>1334</v>
      </c>
      <c r="K173" s="338">
        <v>45991</v>
      </c>
      <c r="L173" s="336" t="s">
        <v>1335</v>
      </c>
      <c r="M173" s="333">
        <v>492000</v>
      </c>
      <c r="N173" s="333">
        <v>24600</v>
      </c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  <c r="AA173" s="333"/>
      <c r="AB173" s="333"/>
      <c r="AC173" s="333"/>
      <c r="AD173" s="333"/>
      <c r="AE173" s="333"/>
      <c r="AF173" s="333"/>
      <c r="AG173" s="333"/>
      <c r="AH173" s="333"/>
      <c r="AI173" s="333"/>
      <c r="AJ173" s="333"/>
      <c r="AK173" s="333"/>
      <c r="AL173" s="333"/>
      <c r="AM173" s="333"/>
      <c r="AN173" s="333"/>
      <c r="AO173" s="334"/>
      <c r="AP173" s="334"/>
      <c r="AQ173" s="335"/>
      <c r="AR173" s="335"/>
      <c r="AS173" s="335"/>
      <c r="AT173" s="335">
        <v>0</v>
      </c>
      <c r="AU173" s="335">
        <v>1500</v>
      </c>
      <c r="AV173" s="335"/>
      <c r="AW173" s="335">
        <v>1359.53</v>
      </c>
      <c r="AX173" s="352">
        <f t="shared" si="459"/>
        <v>2859.5299999999997</v>
      </c>
      <c r="AY173" s="353">
        <f t="shared" si="367"/>
        <v>0.1162410569105691</v>
      </c>
      <c r="AZ173" s="352">
        <f t="shared" si="368"/>
        <v>-21740.47</v>
      </c>
      <c r="BA173" s="353">
        <f t="shared" si="369"/>
        <v>-0.88375894308943093</v>
      </c>
      <c r="BB173" s="354">
        <f t="shared" si="370"/>
        <v>489140.47</v>
      </c>
      <c r="BC173" s="355">
        <f t="shared" si="371"/>
        <v>0.99418794715447145</v>
      </c>
      <c r="BD173" s="356">
        <f t="shared" si="372"/>
        <v>24600</v>
      </c>
      <c r="BE173" s="357" t="str">
        <f t="shared" si="373"/>
        <v>Vendido</v>
      </c>
      <c r="BF173" s="357" t="e">
        <f t="shared" si="374"/>
        <v>#NUM!</v>
      </c>
      <c r="BG173" s="358">
        <v>16</v>
      </c>
      <c r="BH173" s="358">
        <f t="shared" si="375"/>
        <v>1</v>
      </c>
      <c r="BI173" s="358">
        <f t="shared" si="376"/>
        <v>17</v>
      </c>
      <c r="BJ173" s="882"/>
      <c r="BK173" s="365">
        <v>1462.5</v>
      </c>
      <c r="BL173" s="357">
        <f t="shared" si="377"/>
        <v>0</v>
      </c>
      <c r="BM173" s="359" t="e">
        <f t="shared" si="357"/>
        <v>#NUM!</v>
      </c>
      <c r="BN173" s="360" t="e">
        <f t="shared" si="378"/>
        <v>#NUM!</v>
      </c>
      <c r="BO173" s="359">
        <f t="shared" si="379"/>
        <v>0</v>
      </c>
      <c r="BP173" s="359">
        <f t="shared" si="380"/>
        <v>0</v>
      </c>
      <c r="BQ173" s="359">
        <f t="shared" si="381"/>
        <v>2859.5299999999997</v>
      </c>
      <c r="BR173" s="359" t="e">
        <f t="shared" si="382"/>
        <v>#NUM!</v>
      </c>
      <c r="BS173" s="359" t="e">
        <f t="shared" si="383"/>
        <v>#NUM!</v>
      </c>
      <c r="BT173" s="361" t="e">
        <f t="shared" si="384"/>
        <v>#NUM!</v>
      </c>
      <c r="BU173" s="337"/>
      <c r="BV173" s="337"/>
    </row>
    <row r="174" spans="1:74" s="329" customFormat="1" ht="13.5" x14ac:dyDescent="0.25">
      <c r="A174" s="637"/>
      <c r="M174" s="377">
        <f t="shared" ref="M174:AX174" si="624">SUM(M8:M173)</f>
        <v>80300100</v>
      </c>
      <c r="N174" s="377">
        <f t="shared" si="624"/>
        <v>4256590</v>
      </c>
      <c r="O174" s="378">
        <f t="shared" si="624"/>
        <v>0</v>
      </c>
      <c r="P174" s="378">
        <f t="shared" si="624"/>
        <v>0</v>
      </c>
      <c r="Q174" s="378">
        <f t="shared" si="624"/>
        <v>0</v>
      </c>
      <c r="R174" s="378">
        <f t="shared" si="624"/>
        <v>0</v>
      </c>
      <c r="S174" s="378">
        <f t="shared" si="624"/>
        <v>0</v>
      </c>
      <c r="T174" s="378">
        <f t="shared" si="624"/>
        <v>0</v>
      </c>
      <c r="U174" s="378">
        <f t="shared" si="624"/>
        <v>0</v>
      </c>
      <c r="V174" s="378">
        <f t="shared" si="624"/>
        <v>1925</v>
      </c>
      <c r="W174" s="378">
        <f t="shared" si="624"/>
        <v>7219.74</v>
      </c>
      <c r="X174" s="378">
        <f t="shared" si="624"/>
        <v>9663.83</v>
      </c>
      <c r="Y174" s="378">
        <f t="shared" si="624"/>
        <v>17519.28</v>
      </c>
      <c r="Z174" s="378">
        <f t="shared" si="624"/>
        <v>18695.47</v>
      </c>
      <c r="AA174" s="378">
        <f t="shared" si="624"/>
        <v>23360.880000000001</v>
      </c>
      <c r="AB174" s="378">
        <f t="shared" si="624"/>
        <v>29435.49</v>
      </c>
      <c r="AC174" s="378">
        <f t="shared" si="624"/>
        <v>36492.559999999998</v>
      </c>
      <c r="AD174" s="378">
        <f t="shared" si="624"/>
        <v>30185.860000000004</v>
      </c>
      <c r="AE174" s="378">
        <f t="shared" si="624"/>
        <v>39939.789999999994</v>
      </c>
      <c r="AF174" s="378">
        <f t="shared" si="624"/>
        <v>37412.04</v>
      </c>
      <c r="AG174" s="378">
        <f t="shared" si="624"/>
        <v>41059.230000000003</v>
      </c>
      <c r="AH174" s="378">
        <f t="shared" si="624"/>
        <v>43510.19999999999</v>
      </c>
      <c r="AI174" s="378">
        <f t="shared" si="624"/>
        <v>43038.929999999986</v>
      </c>
      <c r="AJ174" s="378">
        <f t="shared" si="624"/>
        <v>50917.279999999992</v>
      </c>
      <c r="AK174" s="378">
        <f t="shared" si="624"/>
        <v>40424.400000000001</v>
      </c>
      <c r="AL174" s="378">
        <f t="shared" si="624"/>
        <v>49260.01999999999</v>
      </c>
      <c r="AM174" s="378">
        <f t="shared" si="624"/>
        <v>49859.999999999993</v>
      </c>
      <c r="AN174" s="378">
        <f t="shared" si="624"/>
        <v>53267.299999999996</v>
      </c>
      <c r="AO174" s="378">
        <f t="shared" si="624"/>
        <v>61435.899999999994</v>
      </c>
      <c r="AP174" s="378">
        <f t="shared" si="624"/>
        <v>67378.699999999983</v>
      </c>
      <c r="AQ174" s="378">
        <f t="shared" si="624"/>
        <v>101165.69000000002</v>
      </c>
      <c r="AR174" s="378">
        <f t="shared" si="624"/>
        <v>103609.14000000003</v>
      </c>
      <c r="AS174" s="378">
        <f t="shared" si="624"/>
        <v>108233.31000000003</v>
      </c>
      <c r="AT174" s="378">
        <f t="shared" si="624"/>
        <v>110916.69</v>
      </c>
      <c r="AU174" s="378">
        <f t="shared" si="624"/>
        <v>46879.72</v>
      </c>
      <c r="AV174" s="378">
        <f>SUM(AV8:AV173)</f>
        <v>139020.04</v>
      </c>
      <c r="AW174" s="378">
        <f>SUM(AW8:AW173)</f>
        <v>121226.87999999999</v>
      </c>
      <c r="AX174" s="378">
        <f t="shared" si="624"/>
        <v>1478044.6700000004</v>
      </c>
      <c r="AY174" s="379">
        <f>+AX174/AX177</f>
        <v>1.0638765808598643</v>
      </c>
      <c r="AZ174" s="377">
        <f>SUM(AZ8:AZ92)</f>
        <v>-1026516.1500000001</v>
      </c>
      <c r="BA174" s="380"/>
      <c r="BB174" s="377">
        <f>SUM(BB8:BB92)</f>
        <v>39084026.149999991</v>
      </c>
      <c r="BC174" s="381"/>
      <c r="BD174" s="377">
        <f>SUM(BD8:BD92)</f>
        <v>2306690</v>
      </c>
      <c r="BE174" s="382"/>
      <c r="BI174" s="383"/>
      <c r="BN174" s="384" t="e">
        <f t="shared" ref="BN174:BS174" si="625">SUM(BN8:BN92)</f>
        <v>#NUM!</v>
      </c>
      <c r="BO174" s="384">
        <f t="shared" si="625"/>
        <v>440747.05</v>
      </c>
      <c r="BP174" s="384">
        <f t="shared" ca="1" si="625"/>
        <v>309754.85000000003</v>
      </c>
      <c r="BQ174" s="385">
        <f t="shared" ca="1" si="625"/>
        <v>528171.94999999995</v>
      </c>
      <c r="BR174" s="384" t="e">
        <f t="shared" si="625"/>
        <v>#NUM!</v>
      </c>
      <c r="BS174" s="386" t="e">
        <f t="shared" si="625"/>
        <v>#NUM!</v>
      </c>
    </row>
    <row r="175" spans="1:74" s="329" customFormat="1" ht="13.5" x14ac:dyDescent="0.25">
      <c r="A175" s="637"/>
      <c r="L175" s="638" t="s">
        <v>708</v>
      </c>
      <c r="M175" s="387"/>
      <c r="N175" s="387"/>
      <c r="O175" s="388">
        <f t="shared" ref="O175:AL175" si="626">+O215</f>
        <v>0</v>
      </c>
      <c r="P175" s="388">
        <f t="shared" si="626"/>
        <v>0</v>
      </c>
      <c r="Q175" s="388">
        <f t="shared" si="626"/>
        <v>0</v>
      </c>
      <c r="R175" s="388">
        <f t="shared" si="626"/>
        <v>0</v>
      </c>
      <c r="S175" s="388">
        <f t="shared" si="626"/>
        <v>0</v>
      </c>
      <c r="T175" s="388">
        <f t="shared" si="626"/>
        <v>0</v>
      </c>
      <c r="U175" s="388">
        <f t="shared" si="626"/>
        <v>0</v>
      </c>
      <c r="V175" s="388">
        <f t="shared" si="626"/>
        <v>3323.33</v>
      </c>
      <c r="W175" s="388">
        <f t="shared" si="626"/>
        <v>2823.33</v>
      </c>
      <c r="X175" s="388">
        <f t="shared" si="626"/>
        <v>5550.6</v>
      </c>
      <c r="Y175" s="388">
        <f t="shared" si="626"/>
        <v>6860.12</v>
      </c>
      <c r="Z175" s="388">
        <f t="shared" si="626"/>
        <v>4309.5200000000004</v>
      </c>
      <c r="AA175" s="388">
        <f t="shared" si="626"/>
        <v>13296.96</v>
      </c>
      <c r="AB175" s="388">
        <f t="shared" si="626"/>
        <v>12666.45</v>
      </c>
      <c r="AC175" s="388">
        <f t="shared" si="626"/>
        <v>8869.33</v>
      </c>
      <c r="AD175" s="388">
        <f t="shared" si="626"/>
        <v>1045</v>
      </c>
      <c r="AE175" s="388">
        <f t="shared" si="626"/>
        <v>13186.66</v>
      </c>
      <c r="AF175" s="388">
        <f t="shared" si="626"/>
        <v>7686.86</v>
      </c>
      <c r="AG175" s="388">
        <f t="shared" si="626"/>
        <v>9368.5299999999988</v>
      </c>
      <c r="AH175" s="388">
        <f t="shared" si="626"/>
        <v>7192.3099999999995</v>
      </c>
      <c r="AI175" s="388">
        <f t="shared" si="626"/>
        <v>4845</v>
      </c>
      <c r="AJ175" s="388">
        <f t="shared" si="626"/>
        <v>7996.66</v>
      </c>
      <c r="AK175" s="388">
        <f t="shared" si="626"/>
        <v>1050</v>
      </c>
      <c r="AL175" s="388">
        <f t="shared" si="626"/>
        <v>3050</v>
      </c>
      <c r="AM175" s="388">
        <f>+AM215</f>
        <v>1045</v>
      </c>
      <c r="AN175" s="388">
        <f>+AN215</f>
        <v>11045</v>
      </c>
      <c r="AO175" s="388">
        <f>+AO215</f>
        <v>10550</v>
      </c>
      <c r="AP175" s="388">
        <f>+AP215</f>
        <v>0</v>
      </c>
      <c r="AQ175" s="388">
        <f>+AQ215</f>
        <v>400</v>
      </c>
      <c r="AR175" s="388">
        <f t="shared" ref="AR175:AS175" si="627">+AR215</f>
        <v>16677</v>
      </c>
      <c r="AS175" s="388">
        <f t="shared" si="627"/>
        <v>300</v>
      </c>
      <c r="AT175" s="388">
        <f t="shared" ref="AT175:AV175" si="628">+AT215</f>
        <v>1500</v>
      </c>
      <c r="AU175" s="388">
        <f t="shared" si="628"/>
        <v>1500</v>
      </c>
      <c r="AV175" s="388">
        <f t="shared" si="628"/>
        <v>0</v>
      </c>
      <c r="AW175" s="388">
        <f>+AW215</f>
        <v>0</v>
      </c>
      <c r="AX175" s="388">
        <f>SUM(O175:AW175)</f>
        <v>156137.66</v>
      </c>
      <c r="AY175" s="389"/>
      <c r="AZ175" s="387"/>
      <c r="BA175" s="380"/>
      <c r="BB175" s="387"/>
      <c r="BC175" s="381"/>
      <c r="BD175" s="387"/>
      <c r="BE175" s="382"/>
      <c r="BI175" s="383"/>
      <c r="BS175" s="390">
        <f>SUMIF(BU8:BU92,"F&amp;F",BS8:BS92)</f>
        <v>0</v>
      </c>
      <c r="BT175" s="391" t="s">
        <v>709</v>
      </c>
    </row>
    <row r="176" spans="1:74" s="329" customFormat="1" ht="13.5" x14ac:dyDescent="0.25">
      <c r="A176" s="637"/>
      <c r="L176" s="639" t="s">
        <v>710</v>
      </c>
      <c r="M176" s="387"/>
      <c r="N176" s="387"/>
      <c r="O176" s="392">
        <f t="shared" ref="O176:AP176" si="629">SUM(O174:O175)</f>
        <v>0</v>
      </c>
      <c r="P176" s="392">
        <f t="shared" si="629"/>
        <v>0</v>
      </c>
      <c r="Q176" s="392">
        <f t="shared" si="629"/>
        <v>0</v>
      </c>
      <c r="R176" s="392">
        <f t="shared" si="629"/>
        <v>0</v>
      </c>
      <c r="S176" s="392">
        <f t="shared" si="629"/>
        <v>0</v>
      </c>
      <c r="T176" s="392">
        <f t="shared" si="629"/>
        <v>0</v>
      </c>
      <c r="U176" s="392">
        <f t="shared" si="629"/>
        <v>0</v>
      </c>
      <c r="V176" s="392">
        <f t="shared" si="629"/>
        <v>5248.33</v>
      </c>
      <c r="W176" s="392">
        <f t="shared" si="629"/>
        <v>10043.07</v>
      </c>
      <c r="X176" s="392">
        <f t="shared" si="629"/>
        <v>15214.43</v>
      </c>
      <c r="Y176" s="392">
        <f t="shared" si="629"/>
        <v>24379.399999999998</v>
      </c>
      <c r="Z176" s="392">
        <f t="shared" si="629"/>
        <v>23004.99</v>
      </c>
      <c r="AA176" s="392">
        <f t="shared" si="629"/>
        <v>36657.839999999997</v>
      </c>
      <c r="AB176" s="392">
        <f t="shared" si="629"/>
        <v>42101.94</v>
      </c>
      <c r="AC176" s="392">
        <f t="shared" si="629"/>
        <v>45361.89</v>
      </c>
      <c r="AD176" s="392">
        <f t="shared" si="629"/>
        <v>31230.860000000004</v>
      </c>
      <c r="AE176" s="392">
        <f t="shared" si="629"/>
        <v>53126.45</v>
      </c>
      <c r="AF176" s="392">
        <f t="shared" si="629"/>
        <v>45098.9</v>
      </c>
      <c r="AG176" s="392">
        <f t="shared" si="629"/>
        <v>50427.76</v>
      </c>
      <c r="AH176" s="392">
        <f t="shared" si="629"/>
        <v>50702.509999999987</v>
      </c>
      <c r="AI176" s="392">
        <f t="shared" si="629"/>
        <v>47883.929999999986</v>
      </c>
      <c r="AJ176" s="392">
        <f t="shared" si="629"/>
        <v>58913.939999999988</v>
      </c>
      <c r="AK176" s="392">
        <f t="shared" si="629"/>
        <v>41474.400000000001</v>
      </c>
      <c r="AL176" s="392">
        <f t="shared" si="629"/>
        <v>52310.01999999999</v>
      </c>
      <c r="AM176" s="392">
        <f t="shared" si="629"/>
        <v>50904.999999999993</v>
      </c>
      <c r="AN176" s="392">
        <f t="shared" si="629"/>
        <v>64312.299999999996</v>
      </c>
      <c r="AO176" s="392">
        <f t="shared" si="629"/>
        <v>71985.899999999994</v>
      </c>
      <c r="AP176" s="392">
        <f t="shared" si="629"/>
        <v>67378.699999999983</v>
      </c>
      <c r="AQ176" s="392">
        <f t="shared" ref="AQ176" si="630">SUM(AQ174:AQ175)</f>
        <v>101565.69000000002</v>
      </c>
      <c r="AR176" s="392">
        <f>SUM(AR174:AR175)</f>
        <v>120286.14000000003</v>
      </c>
      <c r="AS176" s="392">
        <f>SUM(AS174:AS175)</f>
        <v>108533.31000000003</v>
      </c>
      <c r="AT176" s="392">
        <f t="shared" ref="AT176:AW176" si="631">SUM(AT174:AT175)</f>
        <v>112416.69</v>
      </c>
      <c r="AU176" s="392">
        <f t="shared" si="631"/>
        <v>48379.72</v>
      </c>
      <c r="AV176" s="392">
        <f t="shared" si="631"/>
        <v>139020.04</v>
      </c>
      <c r="AW176" s="392">
        <f t="shared" si="631"/>
        <v>121226.87999999999</v>
      </c>
      <c r="AX176" s="392">
        <f>SUM(AX174:AX175)</f>
        <v>1634182.3300000003</v>
      </c>
      <c r="AY176" s="389"/>
      <c r="AZ176" s="387"/>
      <c r="BA176" s="380"/>
      <c r="BB176" s="387"/>
      <c r="BC176" s="381"/>
      <c r="BD176" s="387"/>
      <c r="BE176" s="382"/>
      <c r="BI176" s="383"/>
    </row>
    <row r="177" spans="1:72" s="391" customFormat="1" ht="13.5" x14ac:dyDescent="0.25">
      <c r="A177" s="637"/>
      <c r="L177" s="639" t="s">
        <v>1021</v>
      </c>
      <c r="M177" s="393"/>
      <c r="N177" s="393"/>
      <c r="O177" s="394">
        <f>+'BENESTARE PPTO'!C113</f>
        <v>1000</v>
      </c>
      <c r="P177" s="394">
        <f>+'BENESTARE PPTO'!D113</f>
        <v>1095.24</v>
      </c>
      <c r="Q177" s="394">
        <f>+'BENESTARE PPTO'!E113</f>
        <v>1095.24</v>
      </c>
      <c r="R177" s="394">
        <f>+'BENESTARE PPTO'!F113</f>
        <v>1095.24</v>
      </c>
      <c r="S177" s="394">
        <f>+'BENESTARE PPTO'!G113</f>
        <v>1095.24</v>
      </c>
      <c r="T177" s="394">
        <f>+'BENESTARE PPTO'!H113</f>
        <v>1095.24</v>
      </c>
      <c r="U177" s="394">
        <f>+'BENESTARE PPTO'!I113</f>
        <v>1095.24</v>
      </c>
      <c r="V177" s="394">
        <f>+'BENESTARE PPTO'!J113</f>
        <v>1595.24</v>
      </c>
      <c r="W177" s="394">
        <f>+'BENESTARE PPTO'!K113</f>
        <v>9999.74</v>
      </c>
      <c r="X177" s="394">
        <f>+'BENESTARE PPTO'!L113</f>
        <v>17886.449999999997</v>
      </c>
      <c r="Y177" s="394">
        <f>+'BENESTARE PPTO'!M113</f>
        <v>22343.59</v>
      </c>
      <c r="Z177" s="394">
        <f>+'BENESTARE PPTO'!N113</f>
        <v>23843.59</v>
      </c>
      <c r="AA177" s="394">
        <f>+'BENESTARE PPTO'!O113</f>
        <v>26434.490000000005</v>
      </c>
      <c r="AB177" s="394">
        <f>+'BENESTARE PPTO'!P113</f>
        <v>34873.590000000004</v>
      </c>
      <c r="AC177" s="394">
        <f>+'BENESTARE PPTO'!Q113</f>
        <v>37921.270000000004</v>
      </c>
      <c r="AD177" s="394">
        <f>+'BENESTARE PPTO'!R113</f>
        <v>38468.640000000007</v>
      </c>
      <c r="AE177" s="394">
        <f>+'BENESTARE PPTO'!S113</f>
        <v>41213.079999999994</v>
      </c>
      <c r="AF177" s="394">
        <f>+'BENESTARE PPTO'!T113</f>
        <v>41360.14</v>
      </c>
      <c r="AG177" s="394">
        <f>+'BENESTARE PPTO'!U113</f>
        <v>43822.639999999992</v>
      </c>
      <c r="AH177" s="394">
        <f>+'BENESTARE PPTO'!V113</f>
        <v>45315.969999999994</v>
      </c>
      <c r="AI177" s="394">
        <f>+'BENESTARE PPTO'!W113</f>
        <v>45809.299999999996</v>
      </c>
      <c r="AJ177" s="394">
        <f>+'BENESTARE PPTO'!X113</f>
        <v>48609.299999999996</v>
      </c>
      <c r="AK177" s="394">
        <f>+'BENESTARE PPTO'!Y113</f>
        <v>47421.760000000002</v>
      </c>
      <c r="AL177" s="394">
        <f>+'BENESTARE PPTO'!Z113</f>
        <v>47496.76</v>
      </c>
      <c r="AM177" s="394">
        <f>+'BENESTARE PPTO'!AA113</f>
        <v>48559.26</v>
      </c>
      <c r="AN177" s="394">
        <f>+'BENESTARE PPTO'!AB113</f>
        <v>55052.590000000004</v>
      </c>
      <c r="AO177" s="394">
        <f>+'BENESTARE PPTO'!AC113</f>
        <v>100566.81000000001</v>
      </c>
      <c r="AP177" s="394">
        <f>+'BENESTARE PPTO'!AD113</f>
        <v>70658.489999999991</v>
      </c>
      <c r="AQ177" s="394">
        <f>+'BENESTARE PPTO'!AE113</f>
        <v>105339.09000000001</v>
      </c>
      <c r="AR177" s="394">
        <f>+'BENESTARE PPTO'!AF113</f>
        <v>80461.290000000008</v>
      </c>
      <c r="AS177" s="394">
        <f>+'BENESTARE PPTO'!AG113</f>
        <v>76302.5</v>
      </c>
      <c r="AT177" s="394">
        <f>+'BENESTARE PPTO'!AH113</f>
        <v>69920.200000000012</v>
      </c>
      <c r="AU177" s="394">
        <f>+'BENESTARE PPTO'!AI113</f>
        <v>77552.53</v>
      </c>
      <c r="AV177" s="394">
        <f>+'BENESTARE PPTO'!AJ113</f>
        <v>69509.16</v>
      </c>
      <c r="AW177" s="394">
        <f>+'BENESTARE PPTO'!AK113</f>
        <v>53391.970000000016</v>
      </c>
      <c r="AX177" s="395">
        <f>SUM(O177:AW177)</f>
        <v>1389300.88</v>
      </c>
      <c r="AY177" s="380">
        <v>1</v>
      </c>
      <c r="AZ177" s="380"/>
      <c r="BA177" s="380"/>
      <c r="BG177" s="391">
        <f>COUNTIF(BF:BF,"Cliente al día")</f>
        <v>61</v>
      </c>
      <c r="BI177" s="396"/>
      <c r="BS177" s="396" t="e">
        <f>+BS174-BS175</f>
        <v>#NUM!</v>
      </c>
      <c r="BT177" s="391" t="s">
        <v>713</v>
      </c>
    </row>
    <row r="178" spans="1:72" s="329" customFormat="1" ht="13.5" x14ac:dyDescent="0.25">
      <c r="A178" s="637"/>
      <c r="L178" s="638" t="s">
        <v>714</v>
      </c>
      <c r="M178" s="397"/>
      <c r="N178" s="398"/>
      <c r="O178" s="383">
        <f t="shared" ref="O178:AQ178" si="632">+O176-O177</f>
        <v>-1000</v>
      </c>
      <c r="P178" s="383">
        <f t="shared" si="632"/>
        <v>-1095.24</v>
      </c>
      <c r="Q178" s="383">
        <f t="shared" si="632"/>
        <v>-1095.24</v>
      </c>
      <c r="R178" s="383">
        <f t="shared" si="632"/>
        <v>-1095.24</v>
      </c>
      <c r="S178" s="383">
        <f t="shared" si="632"/>
        <v>-1095.24</v>
      </c>
      <c r="T178" s="383">
        <f t="shared" si="632"/>
        <v>-1095.24</v>
      </c>
      <c r="U178" s="383">
        <f t="shared" si="632"/>
        <v>-1095.24</v>
      </c>
      <c r="V178" s="383">
        <f t="shared" si="632"/>
        <v>3653.09</v>
      </c>
      <c r="W178" s="383">
        <f t="shared" si="632"/>
        <v>43.329999999999927</v>
      </c>
      <c r="X178" s="383">
        <f t="shared" si="632"/>
        <v>-2672.0199999999968</v>
      </c>
      <c r="Y178" s="383">
        <f t="shared" si="632"/>
        <v>2035.8099999999977</v>
      </c>
      <c r="Z178" s="383">
        <f t="shared" si="632"/>
        <v>-838.59999999999854</v>
      </c>
      <c r="AA178" s="383">
        <f t="shared" si="632"/>
        <v>10223.349999999991</v>
      </c>
      <c r="AB178" s="383">
        <f t="shared" si="632"/>
        <v>7228.3499999999985</v>
      </c>
      <c r="AC178" s="383">
        <f t="shared" si="632"/>
        <v>7440.6199999999953</v>
      </c>
      <c r="AD178" s="383">
        <f t="shared" si="632"/>
        <v>-7237.7800000000025</v>
      </c>
      <c r="AE178" s="383">
        <f t="shared" si="632"/>
        <v>11913.370000000003</v>
      </c>
      <c r="AF178" s="383">
        <f t="shared" si="632"/>
        <v>3738.760000000002</v>
      </c>
      <c r="AG178" s="383">
        <f t="shared" si="632"/>
        <v>6605.1200000000099</v>
      </c>
      <c r="AH178" s="383">
        <f t="shared" si="632"/>
        <v>5386.5399999999936</v>
      </c>
      <c r="AI178" s="383">
        <f t="shared" si="632"/>
        <v>2074.6299999999901</v>
      </c>
      <c r="AJ178" s="383">
        <f t="shared" si="632"/>
        <v>10304.639999999992</v>
      </c>
      <c r="AK178" s="383">
        <f t="shared" si="632"/>
        <v>-5947.3600000000006</v>
      </c>
      <c r="AL178" s="383">
        <f t="shared" si="632"/>
        <v>4813.2599999999875</v>
      </c>
      <c r="AM178" s="383">
        <f t="shared" si="632"/>
        <v>2345.7399999999907</v>
      </c>
      <c r="AN178" s="383">
        <f t="shared" si="632"/>
        <v>9259.7099999999919</v>
      </c>
      <c r="AO178" s="383">
        <f t="shared" si="632"/>
        <v>-28580.910000000018</v>
      </c>
      <c r="AP178" s="383">
        <f t="shared" si="632"/>
        <v>-3279.7900000000081</v>
      </c>
      <c r="AQ178" s="383">
        <f t="shared" si="632"/>
        <v>-3773.3999999999942</v>
      </c>
      <c r="AR178" s="383">
        <f>+AR176-AR177</f>
        <v>39824.85000000002</v>
      </c>
      <c r="AS178" s="383">
        <f t="shared" ref="AS178:AW178" si="633">+AS176-AS177</f>
        <v>32230.810000000027</v>
      </c>
      <c r="AT178" s="383">
        <f t="shared" si="633"/>
        <v>42496.489999999991</v>
      </c>
      <c r="AU178" s="383">
        <f t="shared" si="633"/>
        <v>-29172.809999999998</v>
      </c>
      <c r="AV178" s="383">
        <f t="shared" si="633"/>
        <v>69510.880000000005</v>
      </c>
      <c r="AW178" s="383">
        <f t="shared" si="633"/>
        <v>67834.909999999974</v>
      </c>
      <c r="AX178" s="383">
        <f>+AX174-AX177</f>
        <v>88743.790000000503</v>
      </c>
      <c r="AY178" s="380">
        <f>-AX178/AX177</f>
        <v>-6.387658085986421E-2</v>
      </c>
      <c r="AZ178" s="397"/>
      <c r="BA178" s="397"/>
      <c r="BB178" s="381"/>
      <c r="BG178" s="329">
        <f>COUNTIF(BF8:BF92,"Cliente atrasado")</f>
        <v>16</v>
      </c>
      <c r="BI178" s="383"/>
    </row>
    <row r="179" spans="1:72" s="329" customFormat="1" ht="13.5" x14ac:dyDescent="0.25">
      <c r="A179" s="637"/>
      <c r="M179" s="397"/>
      <c r="N179" s="397"/>
      <c r="O179" s="397"/>
      <c r="P179" s="397"/>
      <c r="Q179" s="397"/>
      <c r="R179" s="397"/>
      <c r="S179" s="397"/>
      <c r="T179" s="397"/>
      <c r="U179" s="397"/>
      <c r="V179" s="397"/>
      <c r="W179" s="397"/>
      <c r="X179" s="397"/>
      <c r="Y179" s="397"/>
      <c r="Z179" s="397"/>
      <c r="AA179" s="397"/>
      <c r="AB179" s="397"/>
      <c r="AC179" s="397"/>
      <c r="AD179" s="397"/>
      <c r="AE179" s="397"/>
      <c r="AF179" s="397"/>
      <c r="AG179" s="397"/>
      <c r="AH179" s="397"/>
      <c r="AI179" s="397"/>
      <c r="AJ179" s="397"/>
      <c r="AK179" s="397"/>
      <c r="AL179" s="397"/>
      <c r="AM179" s="397"/>
      <c r="AN179" s="397"/>
      <c r="AO179" s="397"/>
      <c r="AP179" s="397"/>
      <c r="AQ179" s="397"/>
      <c r="AR179" s="397"/>
      <c r="AS179" s="397"/>
      <c r="AT179" s="397"/>
      <c r="AU179" s="397"/>
      <c r="AV179" s="397"/>
      <c r="AW179" s="397"/>
      <c r="AX179" s="397"/>
      <c r="AY179" s="397"/>
      <c r="BG179" s="329">
        <f>COUNTIF(BF8:BF92,"Disponible")</f>
        <v>0</v>
      </c>
      <c r="BI179" s="383"/>
      <c r="BS179" s="399">
        <v>21658000</v>
      </c>
      <c r="BT179" s="329" t="s">
        <v>1022</v>
      </c>
    </row>
    <row r="180" spans="1:72" s="329" customFormat="1" x14ac:dyDescent="0.25">
      <c r="A180" s="637"/>
      <c r="M180" s="397"/>
      <c r="N180" s="397"/>
      <c r="O180" s="397"/>
      <c r="AH180" s="381"/>
      <c r="AI180" s="381"/>
      <c r="AJ180" s="381"/>
      <c r="AK180" s="381"/>
      <c r="AL180" s="381"/>
      <c r="AM180" s="381"/>
      <c r="AN180" s="381"/>
      <c r="AO180" s="381"/>
      <c r="AP180" s="610">
        <v>1</v>
      </c>
      <c r="AQ180" s="610">
        <v>1</v>
      </c>
      <c r="AR180" s="610">
        <v>1</v>
      </c>
      <c r="AS180" s="610">
        <v>1</v>
      </c>
      <c r="AT180" s="610">
        <v>1</v>
      </c>
      <c r="AU180" s="381"/>
      <c r="AV180" s="381"/>
      <c r="AW180" s="381"/>
      <c r="BI180" s="383"/>
    </row>
    <row r="181" spans="1:72" s="329" customFormat="1" x14ac:dyDescent="0.25">
      <c r="A181" s="637"/>
      <c r="M181" s="397"/>
      <c r="N181" s="397"/>
      <c r="O181" s="397"/>
      <c r="AN181" s="400"/>
      <c r="AO181" s="400"/>
      <c r="AP181" s="793">
        <f t="shared" ref="AP181:AS181" si="634">(AP176*AP180)/AP177</f>
        <v>0.95358250650417231</v>
      </c>
      <c r="AQ181" s="793">
        <f t="shared" si="634"/>
        <v>0.96417853998928604</v>
      </c>
      <c r="AR181" s="793">
        <f t="shared" si="634"/>
        <v>1.4949566431261545</v>
      </c>
      <c r="AS181" s="793">
        <f t="shared" si="634"/>
        <v>1.422408309033125</v>
      </c>
      <c r="AT181" s="793">
        <f t="shared" ref="AT181" si="635">(AT176*AT180)/AT177</f>
        <v>1.6077855898581523</v>
      </c>
      <c r="AU181" s="402"/>
      <c r="AV181" s="402"/>
      <c r="AW181" s="402"/>
      <c r="BI181" s="383"/>
      <c r="BS181" s="401" t="e">
        <f>+BS177/BS179</f>
        <v>#NUM!</v>
      </c>
    </row>
    <row r="182" spans="1:72" s="329" customFormat="1" ht="13.5" x14ac:dyDescent="0.25">
      <c r="A182" s="637"/>
      <c r="M182" s="415"/>
      <c r="N182" s="397"/>
      <c r="O182" s="397"/>
      <c r="AN182" s="400"/>
      <c r="AO182" s="400"/>
      <c r="AP182" s="402"/>
      <c r="AQ182" s="402"/>
      <c r="AR182" s="402"/>
      <c r="AS182" s="402"/>
      <c r="AT182" s="402"/>
      <c r="AU182" s="402"/>
      <c r="AV182" s="402"/>
      <c r="AW182" s="402"/>
      <c r="BI182" s="383"/>
    </row>
    <row r="183" spans="1:72" s="329" customFormat="1" ht="13.5" x14ac:dyDescent="0.25">
      <c r="A183" s="637"/>
      <c r="M183" s="397"/>
      <c r="N183" s="397"/>
      <c r="O183" s="397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  <c r="AS183" s="381"/>
      <c r="AT183" s="381"/>
      <c r="AU183" s="381"/>
      <c r="AV183" s="381"/>
      <c r="AW183" s="381"/>
      <c r="BI183" s="383"/>
    </row>
    <row r="184" spans="1:72" s="329" customFormat="1" ht="13.5" x14ac:dyDescent="0.25">
      <c r="A184" s="637"/>
      <c r="F184" s="403" t="s">
        <v>719</v>
      </c>
      <c r="M184" s="397"/>
      <c r="N184" s="397"/>
      <c r="O184" s="397"/>
      <c r="BI184" s="383"/>
    </row>
    <row r="185" spans="1:72" s="329" customFormat="1" ht="13.5" x14ac:dyDescent="0.25">
      <c r="A185" s="637"/>
      <c r="F185" s="404" t="s">
        <v>721</v>
      </c>
      <c r="G185" s="404" t="s">
        <v>722</v>
      </c>
      <c r="H185" s="404" t="s">
        <v>1023</v>
      </c>
      <c r="I185" s="404" t="s">
        <v>1024</v>
      </c>
      <c r="J185" s="404" t="s">
        <v>724</v>
      </c>
      <c r="K185" s="404" t="s">
        <v>725</v>
      </c>
      <c r="L185" s="404" t="s">
        <v>1025</v>
      </c>
      <c r="M185" s="405" t="s">
        <v>727</v>
      </c>
      <c r="N185" s="405" t="s">
        <v>767</v>
      </c>
      <c r="O185" s="397"/>
      <c r="BI185" s="383"/>
    </row>
    <row r="186" spans="1:72" s="329" customFormat="1" ht="13.5" x14ac:dyDescent="0.25">
      <c r="A186" s="637"/>
      <c r="F186" s="328">
        <v>105</v>
      </c>
      <c r="G186" s="328" t="s">
        <v>916</v>
      </c>
      <c r="H186" s="328" t="s">
        <v>146</v>
      </c>
      <c r="I186" s="328" t="s">
        <v>147</v>
      </c>
      <c r="J186" s="329" t="s">
        <v>1026</v>
      </c>
      <c r="K186" s="406">
        <v>45258</v>
      </c>
      <c r="L186" s="328" t="s">
        <v>128</v>
      </c>
      <c r="M186" s="407">
        <v>477700</v>
      </c>
      <c r="N186" s="407">
        <v>23900</v>
      </c>
      <c r="O186" s="407">
        <v>0</v>
      </c>
      <c r="P186" s="407">
        <v>0</v>
      </c>
      <c r="Q186" s="407">
        <v>0</v>
      </c>
      <c r="R186" s="407">
        <v>0</v>
      </c>
      <c r="S186" s="407">
        <v>0</v>
      </c>
      <c r="T186" s="407">
        <v>0</v>
      </c>
      <c r="U186" s="407">
        <v>0</v>
      </c>
      <c r="V186" s="407">
        <v>0</v>
      </c>
      <c r="W186" s="407">
        <v>500</v>
      </c>
      <c r="X186" s="407">
        <v>2227.27</v>
      </c>
      <c r="Y186" s="407">
        <v>2227.27</v>
      </c>
      <c r="Z186" s="407">
        <v>0</v>
      </c>
      <c r="AA186" s="407">
        <v>2227.27</v>
      </c>
      <c r="AB186" s="407">
        <v>2227.27</v>
      </c>
      <c r="AC186" s="407">
        <v>0</v>
      </c>
      <c r="AD186" s="407">
        <v>0</v>
      </c>
      <c r="AE186" s="407">
        <v>0</v>
      </c>
      <c r="AF186" s="407">
        <v>0</v>
      </c>
      <c r="AG186" s="407">
        <v>0</v>
      </c>
      <c r="AH186" s="407">
        <v>0</v>
      </c>
      <c r="AI186" s="407">
        <v>300</v>
      </c>
      <c r="AJ186" s="407">
        <v>500</v>
      </c>
      <c r="AK186" s="407">
        <v>0</v>
      </c>
      <c r="AL186" s="407">
        <v>0</v>
      </c>
      <c r="AM186" s="407">
        <v>0</v>
      </c>
      <c r="AN186" s="407">
        <v>0</v>
      </c>
      <c r="AO186" s="407"/>
      <c r="AP186" s="407"/>
      <c r="AQ186" s="407"/>
      <c r="AR186" s="407"/>
      <c r="AS186" s="407"/>
      <c r="AT186" s="407"/>
      <c r="AU186" s="407"/>
      <c r="AV186" s="407"/>
      <c r="AW186" s="407"/>
      <c r="AX186" s="407">
        <f>SUM(O186:AW186)</f>
        <v>10209.08</v>
      </c>
      <c r="BI186" s="383"/>
    </row>
    <row r="187" spans="1:72" s="329" customFormat="1" ht="13.5" x14ac:dyDescent="0.25">
      <c r="A187" s="637"/>
      <c r="F187" s="328">
        <v>108</v>
      </c>
      <c r="G187" s="328" t="s">
        <v>916</v>
      </c>
      <c r="H187" s="328" t="s">
        <v>146</v>
      </c>
      <c r="I187" s="328" t="s">
        <v>921</v>
      </c>
      <c r="J187" s="329" t="s">
        <v>1027</v>
      </c>
      <c r="K187" s="406">
        <v>45517</v>
      </c>
      <c r="L187" s="328" t="s">
        <v>128</v>
      </c>
      <c r="M187" s="407">
        <v>494900</v>
      </c>
      <c r="N187" s="407">
        <v>49500</v>
      </c>
      <c r="O187" s="407">
        <v>0</v>
      </c>
      <c r="P187" s="407">
        <v>0</v>
      </c>
      <c r="Q187" s="407">
        <v>0</v>
      </c>
      <c r="R187" s="407">
        <v>0</v>
      </c>
      <c r="S187" s="407">
        <v>0</v>
      </c>
      <c r="T187" s="407">
        <v>0</v>
      </c>
      <c r="U187" s="407">
        <v>0</v>
      </c>
      <c r="V187" s="407">
        <v>0</v>
      </c>
      <c r="W187" s="407">
        <v>0</v>
      </c>
      <c r="X187" s="407">
        <v>1000</v>
      </c>
      <c r="Y187" s="407">
        <v>2309.52</v>
      </c>
      <c r="Z187" s="407">
        <v>2309.52</v>
      </c>
      <c r="AA187" s="407">
        <v>2309.52</v>
      </c>
      <c r="AB187" s="407">
        <v>2309.52</v>
      </c>
      <c r="AC187" s="407">
        <v>0</v>
      </c>
      <c r="AD187" s="407">
        <v>0</v>
      </c>
      <c r="AE187" s="407">
        <v>0</v>
      </c>
      <c r="AF187" s="407">
        <v>1500</v>
      </c>
      <c r="AG187" s="407">
        <v>0</v>
      </c>
      <c r="AH187" s="407">
        <v>0</v>
      </c>
      <c r="AI187" s="407">
        <v>1500</v>
      </c>
      <c r="AJ187" s="407">
        <v>0</v>
      </c>
      <c r="AK187" s="407">
        <v>0</v>
      </c>
      <c r="AL187" s="407">
        <v>0</v>
      </c>
      <c r="AM187" s="407">
        <v>0</v>
      </c>
      <c r="AN187" s="407">
        <v>0</v>
      </c>
      <c r="AO187" s="407"/>
      <c r="AP187" s="407"/>
      <c r="AQ187" s="407"/>
      <c r="AR187" s="407"/>
      <c r="AS187" s="407"/>
      <c r="AT187" s="407"/>
      <c r="AU187" s="407"/>
      <c r="AV187" s="407"/>
      <c r="AW187" s="407"/>
      <c r="AX187" s="407">
        <f t="shared" ref="AX187:AX214" si="636">SUM(O187:AW187)</f>
        <v>13238.08</v>
      </c>
      <c r="BI187" s="383"/>
    </row>
    <row r="188" spans="1:72" s="329" customFormat="1" ht="13.5" x14ac:dyDescent="0.25">
      <c r="A188" s="637"/>
      <c r="F188" s="328">
        <v>111</v>
      </c>
      <c r="G188" s="328" t="s">
        <v>916</v>
      </c>
      <c r="H188" s="328" t="s">
        <v>913</v>
      </c>
      <c r="I188" s="328" t="s">
        <v>196</v>
      </c>
      <c r="J188" s="329" t="s">
        <v>1028</v>
      </c>
      <c r="K188" s="406">
        <v>45714</v>
      </c>
      <c r="L188" s="328" t="s">
        <v>956</v>
      </c>
      <c r="M188" s="407">
        <v>477000</v>
      </c>
      <c r="N188" s="407">
        <v>24000</v>
      </c>
      <c r="O188" s="407">
        <v>0</v>
      </c>
      <c r="P188" s="407">
        <v>0</v>
      </c>
      <c r="Q188" s="407">
        <v>0</v>
      </c>
      <c r="R188" s="407">
        <v>0</v>
      </c>
      <c r="S188" s="407">
        <v>0</v>
      </c>
      <c r="T188" s="407">
        <v>0</v>
      </c>
      <c r="U188" s="407">
        <v>0</v>
      </c>
      <c r="V188" s="407">
        <v>0</v>
      </c>
      <c r="W188" s="407">
        <v>0</v>
      </c>
      <c r="X188" s="407">
        <v>0</v>
      </c>
      <c r="Y188" s="407">
        <v>0</v>
      </c>
      <c r="Z188" s="407">
        <v>0</v>
      </c>
      <c r="AA188" s="407">
        <v>0</v>
      </c>
      <c r="AB188" s="407">
        <v>0</v>
      </c>
      <c r="AC188" s="407">
        <v>0</v>
      </c>
      <c r="AD188" s="407">
        <v>0</v>
      </c>
      <c r="AE188" s="407">
        <v>0</v>
      </c>
      <c r="AF188" s="407">
        <v>0</v>
      </c>
      <c r="AG188" s="407">
        <v>0</v>
      </c>
      <c r="AH188" s="407">
        <v>0</v>
      </c>
      <c r="AI188" s="407">
        <v>0</v>
      </c>
      <c r="AJ188" s="407">
        <v>0</v>
      </c>
      <c r="AK188" s="407">
        <v>0</v>
      </c>
      <c r="AL188" s="407">
        <v>500</v>
      </c>
      <c r="AM188" s="407">
        <v>0</v>
      </c>
      <c r="AN188" s="407">
        <v>0</v>
      </c>
      <c r="AO188" s="407"/>
      <c r="AP188" s="407"/>
      <c r="AQ188" s="407"/>
      <c r="AR188" s="407"/>
      <c r="AS188" s="407"/>
      <c r="AT188" s="407"/>
      <c r="AU188" s="407"/>
      <c r="AV188" s="407"/>
      <c r="AW188" s="407"/>
      <c r="AX188" s="407">
        <f t="shared" si="636"/>
        <v>500</v>
      </c>
      <c r="BI188" s="383"/>
    </row>
    <row r="189" spans="1:72" s="329" customFormat="1" ht="13.5" x14ac:dyDescent="0.25">
      <c r="A189" s="637"/>
      <c r="F189" s="328">
        <v>112</v>
      </c>
      <c r="G189" s="328" t="s">
        <v>916</v>
      </c>
      <c r="H189" s="328" t="s">
        <v>146</v>
      </c>
      <c r="I189" s="328" t="s">
        <v>147</v>
      </c>
      <c r="J189" s="329" t="s">
        <v>949</v>
      </c>
      <c r="K189" s="406">
        <v>45372</v>
      </c>
      <c r="L189" s="328" t="s">
        <v>128</v>
      </c>
      <c r="M189" s="407">
        <v>477700</v>
      </c>
      <c r="N189" s="407">
        <v>24000</v>
      </c>
      <c r="O189" s="407">
        <v>0</v>
      </c>
      <c r="P189" s="407">
        <v>0</v>
      </c>
      <c r="Q189" s="407">
        <v>0</v>
      </c>
      <c r="R189" s="407">
        <v>0</v>
      </c>
      <c r="S189" s="407">
        <v>0</v>
      </c>
      <c r="T189" s="407">
        <v>0</v>
      </c>
      <c r="U189" s="407">
        <v>0</v>
      </c>
      <c r="V189" s="407">
        <v>0</v>
      </c>
      <c r="W189" s="407">
        <v>0</v>
      </c>
      <c r="X189" s="407">
        <v>0</v>
      </c>
      <c r="Y189" s="407">
        <v>0</v>
      </c>
      <c r="Z189" s="407">
        <v>0</v>
      </c>
      <c r="AA189" s="407">
        <v>1000</v>
      </c>
      <c r="AB189" s="407">
        <v>0</v>
      </c>
      <c r="AC189" s="407">
        <v>0</v>
      </c>
      <c r="AD189" s="407">
        <v>0</v>
      </c>
      <c r="AE189" s="407">
        <v>0</v>
      </c>
      <c r="AF189" s="407">
        <v>0</v>
      </c>
      <c r="AG189" s="407">
        <v>0</v>
      </c>
      <c r="AH189" s="407">
        <v>0</v>
      </c>
      <c r="AI189" s="407">
        <v>0</v>
      </c>
      <c r="AJ189" s="407">
        <v>0</v>
      </c>
      <c r="AK189" s="407">
        <v>0</v>
      </c>
      <c r="AL189" s="407">
        <v>0</v>
      </c>
      <c r="AM189" s="407">
        <v>0</v>
      </c>
      <c r="AN189" s="407">
        <v>0</v>
      </c>
      <c r="AO189" s="407"/>
      <c r="AP189" s="407"/>
      <c r="AQ189" s="407"/>
      <c r="AR189" s="407"/>
      <c r="AS189" s="407"/>
      <c r="AT189" s="407"/>
      <c r="AU189" s="407"/>
      <c r="AV189" s="407"/>
      <c r="AW189" s="407"/>
      <c r="AX189" s="407">
        <f t="shared" si="636"/>
        <v>1000</v>
      </c>
      <c r="BI189" s="383"/>
    </row>
    <row r="190" spans="1:72" s="329" customFormat="1" ht="13.5" x14ac:dyDescent="0.25">
      <c r="A190" s="637"/>
      <c r="F190" s="328">
        <v>113</v>
      </c>
      <c r="G190" s="328" t="s">
        <v>916</v>
      </c>
      <c r="H190" s="328" t="s">
        <v>146</v>
      </c>
      <c r="I190" s="328" t="s">
        <v>147</v>
      </c>
      <c r="J190" s="329" t="s">
        <v>1029</v>
      </c>
      <c r="K190" s="406">
        <v>45372</v>
      </c>
      <c r="L190" s="328" t="s">
        <v>128</v>
      </c>
      <c r="M190" s="407">
        <v>477700</v>
      </c>
      <c r="N190" s="407">
        <v>24000</v>
      </c>
      <c r="O190" s="407">
        <v>0</v>
      </c>
      <c r="P190" s="407">
        <v>0</v>
      </c>
      <c r="Q190" s="407">
        <v>0</v>
      </c>
      <c r="R190" s="407">
        <v>0</v>
      </c>
      <c r="S190" s="407">
        <v>0</v>
      </c>
      <c r="T190" s="407">
        <v>0</v>
      </c>
      <c r="U190" s="407">
        <v>0</v>
      </c>
      <c r="V190" s="407">
        <v>0</v>
      </c>
      <c r="W190" s="407">
        <v>0</v>
      </c>
      <c r="X190" s="407">
        <v>0</v>
      </c>
      <c r="Y190" s="407">
        <v>0</v>
      </c>
      <c r="Z190" s="407">
        <v>0</v>
      </c>
      <c r="AA190" s="407">
        <v>1000</v>
      </c>
      <c r="AB190" s="407">
        <v>0</v>
      </c>
      <c r="AC190" s="407">
        <v>0</v>
      </c>
      <c r="AD190" s="407">
        <v>0</v>
      </c>
      <c r="AE190" s="407">
        <v>0</v>
      </c>
      <c r="AF190" s="407">
        <v>0</v>
      </c>
      <c r="AG190" s="407">
        <v>0</v>
      </c>
      <c r="AH190" s="407">
        <v>0</v>
      </c>
      <c r="AI190" s="407">
        <v>0</v>
      </c>
      <c r="AJ190" s="407">
        <v>0</v>
      </c>
      <c r="AK190" s="407">
        <v>0</v>
      </c>
      <c r="AL190" s="407">
        <v>0</v>
      </c>
      <c r="AM190" s="407">
        <v>0</v>
      </c>
      <c r="AN190" s="407">
        <v>0</v>
      </c>
      <c r="AO190" s="407"/>
      <c r="AP190" s="407"/>
      <c r="AQ190" s="407"/>
      <c r="AR190" s="407"/>
      <c r="AS190" s="407"/>
      <c r="AT190" s="407"/>
      <c r="AU190" s="407"/>
      <c r="AV190" s="407"/>
      <c r="AW190" s="407"/>
      <c r="AX190" s="407">
        <f t="shared" si="636"/>
        <v>1000</v>
      </c>
      <c r="BI190" s="383"/>
    </row>
    <row r="191" spans="1:72" s="329" customFormat="1" ht="13.5" x14ac:dyDescent="0.25">
      <c r="A191" s="637"/>
      <c r="F191" s="328">
        <v>212</v>
      </c>
      <c r="G191" s="328" t="s">
        <v>916</v>
      </c>
      <c r="H191" s="328" t="s">
        <v>146</v>
      </c>
      <c r="I191" s="328" t="s">
        <v>366</v>
      </c>
      <c r="J191" s="329" t="s">
        <v>1030</v>
      </c>
      <c r="K191" s="406">
        <v>45539</v>
      </c>
      <c r="L191" s="328" t="s">
        <v>956</v>
      </c>
      <c r="M191" s="407">
        <v>507200</v>
      </c>
      <c r="N191" s="407">
        <v>50720</v>
      </c>
      <c r="O191" s="407">
        <v>0</v>
      </c>
      <c r="P191" s="407">
        <v>0</v>
      </c>
      <c r="Q191" s="407">
        <v>0</v>
      </c>
      <c r="R191" s="407">
        <v>0</v>
      </c>
      <c r="S191" s="407">
        <v>0</v>
      </c>
      <c r="T191" s="407">
        <v>0</v>
      </c>
      <c r="U191" s="407">
        <v>0</v>
      </c>
      <c r="V191" s="407">
        <v>0</v>
      </c>
      <c r="W191" s="407">
        <v>0</v>
      </c>
      <c r="X191" s="407">
        <v>0</v>
      </c>
      <c r="Y191" s="407">
        <v>0</v>
      </c>
      <c r="Z191" s="407">
        <v>0</v>
      </c>
      <c r="AA191" s="407">
        <v>0</v>
      </c>
      <c r="AB191" s="407">
        <v>0</v>
      </c>
      <c r="AC191" s="407">
        <v>0</v>
      </c>
      <c r="AD191" s="407">
        <v>0</v>
      </c>
      <c r="AE191" s="407">
        <v>0</v>
      </c>
      <c r="AF191" s="407">
        <v>0</v>
      </c>
      <c r="AG191" s="407">
        <v>500</v>
      </c>
      <c r="AH191" s="407">
        <v>0</v>
      </c>
      <c r="AI191" s="407">
        <v>0</v>
      </c>
      <c r="AJ191" s="407">
        <v>0</v>
      </c>
      <c r="AK191" s="407">
        <v>0</v>
      </c>
      <c r="AL191" s="407">
        <v>0</v>
      </c>
      <c r="AM191" s="407">
        <v>0</v>
      </c>
      <c r="AN191" s="407">
        <v>0</v>
      </c>
      <c r="AO191" s="407"/>
      <c r="AP191" s="407"/>
      <c r="AQ191" s="407"/>
      <c r="AR191" s="407"/>
      <c r="AS191" s="407"/>
      <c r="AT191" s="407"/>
      <c r="AU191" s="407"/>
      <c r="AV191" s="407"/>
      <c r="AW191" s="407"/>
      <c r="AX191" s="407">
        <f t="shared" si="636"/>
        <v>500</v>
      </c>
      <c r="BI191" s="383"/>
    </row>
    <row r="192" spans="1:72" s="329" customFormat="1" ht="13.5" x14ac:dyDescent="0.25">
      <c r="A192" s="637"/>
      <c r="F192" s="328">
        <v>501</v>
      </c>
      <c r="G192" s="328" t="s">
        <v>916</v>
      </c>
      <c r="H192" s="328" t="s">
        <v>146</v>
      </c>
      <c r="I192" s="328" t="s">
        <v>196</v>
      </c>
      <c r="J192" s="329" t="s">
        <v>1031</v>
      </c>
      <c r="K192" s="406">
        <v>45534</v>
      </c>
      <c r="L192" s="328" t="s">
        <v>956</v>
      </c>
      <c r="M192" s="407">
        <v>507200</v>
      </c>
      <c r="N192" s="407">
        <v>50720</v>
      </c>
      <c r="O192" s="407">
        <v>0</v>
      </c>
      <c r="P192" s="407">
        <v>0</v>
      </c>
      <c r="Q192" s="407">
        <v>0</v>
      </c>
      <c r="R192" s="407">
        <v>0</v>
      </c>
      <c r="S192" s="407">
        <v>0</v>
      </c>
      <c r="T192" s="407">
        <v>0</v>
      </c>
      <c r="U192" s="407">
        <v>0</v>
      </c>
      <c r="V192" s="407">
        <v>0</v>
      </c>
      <c r="W192" s="407">
        <v>0</v>
      </c>
      <c r="X192" s="407">
        <v>0</v>
      </c>
      <c r="Y192" s="407">
        <v>0</v>
      </c>
      <c r="Z192" s="407">
        <v>0</v>
      </c>
      <c r="AA192" s="407">
        <v>0</v>
      </c>
      <c r="AB192" s="407">
        <v>0</v>
      </c>
      <c r="AC192" s="407">
        <v>0</v>
      </c>
      <c r="AD192" s="407">
        <v>0</v>
      </c>
      <c r="AE192" s="407">
        <v>0</v>
      </c>
      <c r="AF192" s="407">
        <v>300</v>
      </c>
      <c r="AG192" s="407">
        <v>1500</v>
      </c>
      <c r="AH192" s="407">
        <v>0</v>
      </c>
      <c r="AI192" s="407">
        <v>0</v>
      </c>
      <c r="AJ192" s="407">
        <v>0</v>
      </c>
      <c r="AK192" s="407">
        <v>0</v>
      </c>
      <c r="AL192" s="407">
        <v>0</v>
      </c>
      <c r="AM192" s="407">
        <v>0</v>
      </c>
      <c r="AN192" s="407">
        <v>0</v>
      </c>
      <c r="AO192" s="407"/>
      <c r="AP192" s="407"/>
      <c r="AQ192" s="407"/>
      <c r="AR192" s="407"/>
      <c r="AS192" s="407"/>
      <c r="AT192" s="407"/>
      <c r="AU192" s="407"/>
      <c r="AV192" s="407"/>
      <c r="AW192" s="407"/>
      <c r="AX192" s="407">
        <f t="shared" si="636"/>
        <v>1800</v>
      </c>
      <c r="AY192" s="407"/>
      <c r="AZ192" s="407"/>
      <c r="BI192" s="383"/>
    </row>
    <row r="193" spans="1:74" s="329" customFormat="1" ht="13.5" x14ac:dyDescent="0.25">
      <c r="A193" s="637"/>
      <c r="F193" s="328">
        <v>209</v>
      </c>
      <c r="G193" s="328" t="s">
        <v>916</v>
      </c>
      <c r="H193" s="328" t="s">
        <v>146</v>
      </c>
      <c r="I193" s="328"/>
      <c r="J193" s="329" t="s">
        <v>1032</v>
      </c>
      <c r="K193" s="406">
        <v>45430</v>
      </c>
      <c r="L193" s="328"/>
      <c r="M193" s="407">
        <v>477700</v>
      </c>
      <c r="N193" s="408">
        <v>24000</v>
      </c>
      <c r="O193" s="407">
        <v>0</v>
      </c>
      <c r="P193" s="407">
        <v>0</v>
      </c>
      <c r="Q193" s="407">
        <v>0</v>
      </c>
      <c r="R193" s="407">
        <v>0</v>
      </c>
      <c r="S193" s="407">
        <v>0</v>
      </c>
      <c r="T193" s="407">
        <v>0</v>
      </c>
      <c r="U193" s="407">
        <v>0</v>
      </c>
      <c r="V193" s="407">
        <v>0</v>
      </c>
      <c r="W193" s="407">
        <v>0</v>
      </c>
      <c r="X193" s="407">
        <v>0</v>
      </c>
      <c r="Y193" s="407">
        <v>0</v>
      </c>
      <c r="Z193" s="407">
        <v>0</v>
      </c>
      <c r="AA193" s="407">
        <v>0</v>
      </c>
      <c r="AB193" s="407">
        <v>0</v>
      </c>
      <c r="AC193" s="407">
        <v>0</v>
      </c>
      <c r="AD193" s="407">
        <v>0</v>
      </c>
      <c r="AE193" s="407">
        <v>0</v>
      </c>
      <c r="AF193" s="407">
        <v>0</v>
      </c>
      <c r="AG193" s="407">
        <v>0</v>
      </c>
      <c r="AH193" s="407">
        <v>0</v>
      </c>
      <c r="AI193" s="407">
        <v>0</v>
      </c>
      <c r="AJ193" s="407">
        <v>0</v>
      </c>
      <c r="AK193" s="407">
        <v>0</v>
      </c>
      <c r="AL193" s="407">
        <v>1500</v>
      </c>
      <c r="AM193" s="407">
        <v>0</v>
      </c>
      <c r="AN193" s="407"/>
      <c r="AO193" s="407"/>
      <c r="AP193" s="407"/>
      <c r="AQ193" s="407"/>
      <c r="AR193" s="407"/>
      <c r="AS193" s="407"/>
      <c r="AT193" s="407"/>
      <c r="AU193" s="407"/>
      <c r="AV193" s="407"/>
      <c r="AW193" s="407"/>
      <c r="AX193" s="407">
        <f t="shared" si="636"/>
        <v>1500</v>
      </c>
    </row>
    <row r="194" spans="1:74" s="329" customFormat="1" ht="13.5" x14ac:dyDescent="0.25">
      <c r="A194" s="637"/>
      <c r="F194" s="328">
        <v>104</v>
      </c>
      <c r="G194" s="328" t="s">
        <v>916</v>
      </c>
      <c r="H194" s="328" t="s">
        <v>913</v>
      </c>
      <c r="I194" s="328" t="s">
        <v>921</v>
      </c>
      <c r="J194" s="329" t="s">
        <v>1033</v>
      </c>
      <c r="K194" s="406">
        <v>45230</v>
      </c>
      <c r="L194" s="328" t="s">
        <v>128</v>
      </c>
      <c r="M194" s="407">
        <v>497900</v>
      </c>
      <c r="N194" s="408">
        <v>49800</v>
      </c>
      <c r="O194" s="407">
        <v>0</v>
      </c>
      <c r="P194" s="407">
        <v>0</v>
      </c>
      <c r="Q194" s="407">
        <v>0</v>
      </c>
      <c r="R194" s="407">
        <v>0</v>
      </c>
      <c r="S194" s="407">
        <v>0</v>
      </c>
      <c r="T194" s="407">
        <v>0</v>
      </c>
      <c r="U194" s="407">
        <v>0</v>
      </c>
      <c r="V194" s="407">
        <v>3323.33</v>
      </c>
      <c r="W194" s="407">
        <v>2323.33</v>
      </c>
      <c r="X194" s="407">
        <v>2323.33</v>
      </c>
      <c r="Y194" s="407">
        <v>2323.33</v>
      </c>
      <c r="Z194" s="407">
        <v>0</v>
      </c>
      <c r="AA194" s="407">
        <v>2323.33</v>
      </c>
      <c r="AB194" s="407">
        <v>4646.66</v>
      </c>
      <c r="AC194" s="407">
        <v>2323.33</v>
      </c>
      <c r="AD194" s="407">
        <v>0</v>
      </c>
      <c r="AE194" s="407">
        <v>4646.66</v>
      </c>
      <c r="AF194" s="407">
        <v>2323.33</v>
      </c>
      <c r="AG194" s="407">
        <v>0</v>
      </c>
      <c r="AH194" s="407">
        <v>2323.33</v>
      </c>
      <c r="AI194" s="407">
        <v>0</v>
      </c>
      <c r="AJ194" s="407">
        <v>4646.66</v>
      </c>
      <c r="AK194" s="407">
        <v>0</v>
      </c>
      <c r="AL194" s="407">
        <v>0</v>
      </c>
      <c r="AM194" s="407">
        <v>0</v>
      </c>
      <c r="AN194" s="407"/>
      <c r="AO194" s="407"/>
      <c r="AP194" s="407"/>
      <c r="AQ194" s="407"/>
      <c r="AR194" s="407"/>
      <c r="AS194" s="407"/>
      <c r="AT194" s="407"/>
      <c r="AU194" s="407"/>
      <c r="AV194" s="407"/>
      <c r="AW194" s="407"/>
      <c r="AX194" s="407">
        <f t="shared" si="636"/>
        <v>33526.619999999995</v>
      </c>
      <c r="AY194" s="407"/>
      <c r="AZ194" s="407"/>
      <c r="BA194" s="409"/>
      <c r="BB194" s="381"/>
      <c r="BC194" s="410"/>
      <c r="BD194" s="411"/>
      <c r="BE194" s="412"/>
      <c r="BF194" s="412"/>
      <c r="BG194" s="413"/>
      <c r="BH194" s="413"/>
      <c r="BI194" s="413"/>
      <c r="BJ194" s="408"/>
      <c r="BK194" s="411"/>
      <c r="BL194" s="412"/>
      <c r="BM194" s="414"/>
      <c r="BN194" s="414"/>
      <c r="BO194" s="414"/>
      <c r="BP194" s="414"/>
      <c r="BQ194" s="414"/>
      <c r="BR194" s="414"/>
      <c r="BS194" s="414"/>
      <c r="BT194" s="385"/>
    </row>
    <row r="195" spans="1:74" s="329" customFormat="1" ht="15" customHeight="1" x14ac:dyDescent="0.25">
      <c r="A195" s="637"/>
      <c r="F195" s="328">
        <v>510</v>
      </c>
      <c r="G195" s="328" t="s">
        <v>146</v>
      </c>
      <c r="H195" s="328" t="s">
        <v>913</v>
      </c>
      <c r="I195" s="328" t="s">
        <v>203</v>
      </c>
      <c r="J195" s="329" t="s">
        <v>1034</v>
      </c>
      <c r="K195" s="406">
        <v>45783</v>
      </c>
      <c r="L195" s="328" t="s">
        <v>67</v>
      </c>
      <c r="M195" s="407">
        <v>507200</v>
      </c>
      <c r="N195" s="408">
        <v>50720</v>
      </c>
      <c r="O195" s="407">
        <v>0</v>
      </c>
      <c r="P195" s="407">
        <v>0</v>
      </c>
      <c r="Q195" s="407">
        <v>0</v>
      </c>
      <c r="R195" s="407">
        <v>0</v>
      </c>
      <c r="S195" s="407">
        <v>0</v>
      </c>
      <c r="T195" s="407">
        <v>0</v>
      </c>
      <c r="U195" s="407">
        <v>0</v>
      </c>
      <c r="V195" s="407">
        <v>0</v>
      </c>
      <c r="W195" s="407">
        <v>0</v>
      </c>
      <c r="X195" s="407">
        <v>0</v>
      </c>
      <c r="Y195" s="407">
        <v>0</v>
      </c>
      <c r="Z195" s="407">
        <v>0</v>
      </c>
      <c r="AA195" s="407">
        <v>0</v>
      </c>
      <c r="AB195" s="407">
        <v>0</v>
      </c>
      <c r="AC195" s="407">
        <v>0</v>
      </c>
      <c r="AD195" s="407">
        <v>0</v>
      </c>
      <c r="AE195" s="407">
        <v>0</v>
      </c>
      <c r="AF195" s="407">
        <v>0</v>
      </c>
      <c r="AG195" s="407">
        <v>0</v>
      </c>
      <c r="AH195" s="407">
        <v>0</v>
      </c>
      <c r="AI195" s="407">
        <v>0</v>
      </c>
      <c r="AJ195" s="407">
        <v>0</v>
      </c>
      <c r="AK195" s="407">
        <v>0</v>
      </c>
      <c r="AL195" s="407">
        <v>0</v>
      </c>
      <c r="AM195" s="407">
        <v>0</v>
      </c>
      <c r="AN195" s="407"/>
      <c r="AO195" s="407">
        <v>1500</v>
      </c>
      <c r="AP195" s="407"/>
      <c r="AQ195" s="407"/>
      <c r="AR195" s="407"/>
      <c r="AS195" s="407"/>
      <c r="AT195" s="407"/>
      <c r="AU195" s="407"/>
      <c r="AV195" s="407"/>
      <c r="AW195" s="407"/>
      <c r="AX195" s="407">
        <f t="shared" si="636"/>
        <v>1500</v>
      </c>
      <c r="AY195" s="407"/>
      <c r="AZ195" s="407"/>
      <c r="BA195" s="409"/>
      <c r="BB195" s="381"/>
      <c r="BC195" s="410"/>
      <c r="BD195" s="411"/>
      <c r="BE195" s="412"/>
      <c r="BF195" s="412"/>
      <c r="BG195" s="413"/>
      <c r="BH195" s="413"/>
      <c r="BI195" s="413"/>
      <c r="BJ195" s="408"/>
      <c r="BK195" s="411"/>
      <c r="BL195" s="412"/>
      <c r="BM195" s="414"/>
      <c r="BN195" s="414"/>
      <c r="BO195" s="414"/>
      <c r="BP195" s="414"/>
      <c r="BQ195" s="414"/>
      <c r="BR195" s="414"/>
      <c r="BS195" s="414"/>
      <c r="BT195" s="385"/>
    </row>
    <row r="196" spans="1:74" s="329" customFormat="1" ht="15" customHeight="1" x14ac:dyDescent="0.25">
      <c r="A196" s="637"/>
      <c r="F196" s="328">
        <v>601</v>
      </c>
      <c r="G196" s="328" t="s">
        <v>916</v>
      </c>
      <c r="H196" s="328" t="s">
        <v>146</v>
      </c>
      <c r="I196" s="328"/>
      <c r="K196" s="406"/>
      <c r="L196" s="328" t="s">
        <v>374</v>
      </c>
      <c r="M196" s="407">
        <v>477700</v>
      </c>
      <c r="N196" s="408">
        <f>+M196*0.07</f>
        <v>33439</v>
      </c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  <c r="AA196" s="407">
        <v>1000</v>
      </c>
      <c r="AB196" s="407"/>
      <c r="AC196" s="407"/>
      <c r="AD196" s="407"/>
      <c r="AE196" s="407"/>
      <c r="AF196" s="407"/>
      <c r="AG196" s="407"/>
      <c r="AH196" s="407"/>
      <c r="AI196" s="407"/>
      <c r="AJ196" s="407"/>
      <c r="AK196" s="407"/>
      <c r="AL196" s="407"/>
      <c r="AM196" s="407"/>
      <c r="AN196" s="407"/>
      <c r="AO196" s="407"/>
      <c r="AP196" s="407"/>
      <c r="AQ196" s="407"/>
      <c r="AR196" s="407"/>
      <c r="AS196" s="407"/>
      <c r="AT196" s="407"/>
      <c r="AU196" s="407"/>
      <c r="AV196" s="407"/>
      <c r="AW196" s="407"/>
      <c r="AX196" s="407">
        <f t="shared" si="636"/>
        <v>1000</v>
      </c>
      <c r="AY196" s="407"/>
      <c r="AZ196" s="407"/>
      <c r="BA196" s="409"/>
      <c r="BB196" s="381"/>
      <c r="BC196" s="410"/>
      <c r="BD196" s="411"/>
      <c r="BE196" s="412"/>
      <c r="BF196" s="412"/>
      <c r="BG196" s="413"/>
      <c r="BH196" s="413"/>
      <c r="BI196" s="413"/>
      <c r="BJ196" s="408"/>
      <c r="BK196" s="411"/>
      <c r="BL196" s="412"/>
      <c r="BM196" s="414"/>
      <c r="BN196" s="414"/>
      <c r="BO196" s="414"/>
      <c r="BP196" s="414"/>
      <c r="BQ196" s="414"/>
      <c r="BR196" s="414"/>
      <c r="BS196" s="414"/>
      <c r="BT196" s="385"/>
    </row>
    <row r="197" spans="1:74" s="329" customFormat="1" ht="13.5" x14ac:dyDescent="0.25">
      <c r="A197" s="637"/>
      <c r="F197" s="328">
        <v>605</v>
      </c>
      <c r="G197" s="328" t="s">
        <v>146</v>
      </c>
      <c r="H197" s="328" t="s">
        <v>146</v>
      </c>
      <c r="I197" s="328" t="s">
        <v>908</v>
      </c>
      <c r="J197" s="329" t="s">
        <v>1035</v>
      </c>
      <c r="K197" s="406">
        <v>45442</v>
      </c>
      <c r="L197" s="328" t="s">
        <v>128</v>
      </c>
      <c r="M197" s="407">
        <v>477700</v>
      </c>
      <c r="N197" s="408">
        <v>23900</v>
      </c>
      <c r="O197" s="407">
        <v>0</v>
      </c>
      <c r="P197" s="407">
        <v>0</v>
      </c>
      <c r="Q197" s="407">
        <v>0</v>
      </c>
      <c r="R197" s="407">
        <v>0</v>
      </c>
      <c r="S197" s="407">
        <v>0</v>
      </c>
      <c r="T197" s="407">
        <v>0</v>
      </c>
      <c r="U197" s="407">
        <v>0</v>
      </c>
      <c r="V197" s="407">
        <v>0</v>
      </c>
      <c r="W197" s="407">
        <v>0</v>
      </c>
      <c r="X197" s="407">
        <v>0</v>
      </c>
      <c r="Y197" s="407">
        <v>0</v>
      </c>
      <c r="Z197" s="407">
        <v>0</v>
      </c>
      <c r="AA197" s="407">
        <v>0</v>
      </c>
      <c r="AB197" s="407">
        <v>0</v>
      </c>
      <c r="AC197" s="407">
        <v>1500</v>
      </c>
      <c r="AD197" s="407">
        <v>0</v>
      </c>
      <c r="AE197" s="407">
        <v>2000</v>
      </c>
      <c r="AF197" s="407">
        <v>0</v>
      </c>
      <c r="AG197" s="407">
        <v>0</v>
      </c>
      <c r="AH197" s="407">
        <v>0</v>
      </c>
      <c r="AI197" s="407">
        <v>0</v>
      </c>
      <c r="AJ197" s="407">
        <v>0</v>
      </c>
      <c r="AK197" s="407">
        <v>0</v>
      </c>
      <c r="AL197" s="407">
        <v>0</v>
      </c>
      <c r="AM197" s="407">
        <v>0</v>
      </c>
      <c r="AN197" s="407"/>
      <c r="AO197" s="407"/>
      <c r="AP197" s="407"/>
      <c r="AQ197" s="407"/>
      <c r="AR197" s="407"/>
      <c r="AS197" s="407"/>
      <c r="AT197" s="407"/>
      <c r="AU197" s="407"/>
      <c r="AV197" s="407"/>
      <c r="AW197" s="407"/>
      <c r="AX197" s="407">
        <f t="shared" si="636"/>
        <v>3500</v>
      </c>
      <c r="AY197" s="407"/>
      <c r="AZ197" s="407"/>
      <c r="BA197" s="409"/>
      <c r="BB197" s="381"/>
      <c r="BC197" s="410"/>
      <c r="BD197" s="411"/>
      <c r="BE197" s="412"/>
      <c r="BF197" s="412"/>
      <c r="BG197" s="413"/>
      <c r="BH197" s="413"/>
      <c r="BI197" s="413"/>
      <c r="BJ197" s="408"/>
      <c r="BK197" s="411"/>
      <c r="BL197" s="412"/>
      <c r="BM197" s="414"/>
      <c r="BN197" s="414"/>
      <c r="BO197" s="414"/>
      <c r="BP197" s="414"/>
      <c r="BQ197" s="414"/>
      <c r="BR197" s="414"/>
      <c r="BS197" s="414"/>
      <c r="BT197" s="385"/>
    </row>
    <row r="198" spans="1:74" s="329" customFormat="1" ht="13.5" x14ac:dyDescent="0.25">
      <c r="A198" s="637"/>
      <c r="F198" s="328">
        <v>608</v>
      </c>
      <c r="G198" s="328" t="s">
        <v>146</v>
      </c>
      <c r="H198" s="328" t="s">
        <v>146</v>
      </c>
      <c r="I198" s="328" t="s">
        <v>908</v>
      </c>
      <c r="J198" s="329" t="s">
        <v>1036</v>
      </c>
      <c r="K198" s="406">
        <v>45477</v>
      </c>
      <c r="L198" s="328" t="s">
        <v>128</v>
      </c>
      <c r="M198" s="407">
        <v>477700</v>
      </c>
      <c r="N198" s="408">
        <v>23900</v>
      </c>
      <c r="O198" s="407">
        <v>0</v>
      </c>
      <c r="P198" s="407">
        <v>0</v>
      </c>
      <c r="Q198" s="407">
        <v>0</v>
      </c>
      <c r="R198" s="407">
        <v>0</v>
      </c>
      <c r="S198" s="407">
        <v>0</v>
      </c>
      <c r="T198" s="407">
        <v>0</v>
      </c>
      <c r="U198" s="407">
        <v>0</v>
      </c>
      <c r="V198" s="407">
        <v>0</v>
      </c>
      <c r="W198" s="407">
        <v>0</v>
      </c>
      <c r="X198" s="407">
        <v>0</v>
      </c>
      <c r="Y198" s="407">
        <v>0</v>
      </c>
      <c r="Z198" s="407">
        <v>0</v>
      </c>
      <c r="AA198" s="407">
        <v>0</v>
      </c>
      <c r="AB198" s="407">
        <v>0</v>
      </c>
      <c r="AC198" s="407">
        <v>0</v>
      </c>
      <c r="AD198" s="407">
        <v>0</v>
      </c>
      <c r="AE198" s="407">
        <v>1500</v>
      </c>
      <c r="AF198" s="407">
        <v>1200</v>
      </c>
      <c r="AG198" s="407">
        <v>0</v>
      </c>
      <c r="AH198" s="407">
        <v>0</v>
      </c>
      <c r="AI198" s="407">
        <v>0</v>
      </c>
      <c r="AJ198" s="407">
        <v>0</v>
      </c>
      <c r="AK198" s="407">
        <v>0</v>
      </c>
      <c r="AL198" s="407">
        <v>0</v>
      </c>
      <c r="AM198" s="407">
        <v>0</v>
      </c>
      <c r="AN198" s="407"/>
      <c r="AO198" s="407"/>
      <c r="AP198" s="407"/>
      <c r="AQ198" s="407"/>
      <c r="AR198" s="407"/>
      <c r="AS198" s="407"/>
      <c r="AT198" s="407"/>
      <c r="AU198" s="407"/>
      <c r="AV198" s="407"/>
      <c r="AW198" s="407"/>
      <c r="AX198" s="407">
        <f t="shared" si="636"/>
        <v>2700</v>
      </c>
      <c r="AY198" s="407"/>
      <c r="AZ198" s="407"/>
      <c r="BA198" s="409"/>
      <c r="BB198" s="381"/>
      <c r="BC198" s="410"/>
      <c r="BD198" s="411"/>
      <c r="BE198" s="412"/>
      <c r="BF198" s="412"/>
      <c r="BG198" s="413"/>
      <c r="BH198" s="413"/>
      <c r="BI198" s="413"/>
      <c r="BJ198" s="408"/>
      <c r="BK198" s="411"/>
      <c r="BL198" s="412"/>
      <c r="BM198" s="414"/>
      <c r="BN198" s="414"/>
      <c r="BO198" s="414"/>
      <c r="BP198" s="414"/>
      <c r="BQ198" s="414"/>
      <c r="BR198" s="414"/>
      <c r="BS198" s="414"/>
      <c r="BT198" s="385"/>
    </row>
    <row r="199" spans="1:74" s="329" customFormat="1" ht="15" customHeight="1" x14ac:dyDescent="0.25">
      <c r="A199" s="637"/>
      <c r="F199" s="328">
        <v>604</v>
      </c>
      <c r="G199" s="328" t="s">
        <v>916</v>
      </c>
      <c r="H199" s="328" t="s">
        <v>913</v>
      </c>
      <c r="I199" s="328" t="s">
        <v>147</v>
      </c>
      <c r="J199" s="329" t="s">
        <v>1037</v>
      </c>
      <c r="K199" s="406">
        <v>45339</v>
      </c>
      <c r="L199" s="328" t="s">
        <v>128</v>
      </c>
      <c r="M199" s="407">
        <v>477700</v>
      </c>
      <c r="N199" s="408">
        <v>24000</v>
      </c>
      <c r="O199" s="407">
        <v>0</v>
      </c>
      <c r="P199" s="407">
        <v>0</v>
      </c>
      <c r="Q199" s="407">
        <v>0</v>
      </c>
      <c r="R199" s="407">
        <v>0</v>
      </c>
      <c r="S199" s="407">
        <v>0</v>
      </c>
      <c r="T199" s="407">
        <v>0</v>
      </c>
      <c r="U199" s="407">
        <v>0</v>
      </c>
      <c r="V199" s="407">
        <v>0</v>
      </c>
      <c r="W199" s="407">
        <v>0</v>
      </c>
      <c r="X199" s="407">
        <v>0</v>
      </c>
      <c r="Y199" s="407">
        <v>0</v>
      </c>
      <c r="Z199" s="407">
        <v>1000</v>
      </c>
      <c r="AA199" s="407">
        <v>0</v>
      </c>
      <c r="AB199" s="407">
        <v>1046</v>
      </c>
      <c r="AC199" s="407">
        <v>1046</v>
      </c>
      <c r="AD199" s="407">
        <v>1045</v>
      </c>
      <c r="AE199" s="407">
        <v>1040</v>
      </c>
      <c r="AF199" s="407">
        <v>1040</v>
      </c>
      <c r="AG199" s="407">
        <v>1045</v>
      </c>
      <c r="AH199" s="407">
        <v>1045.45</v>
      </c>
      <c r="AI199" s="407">
        <v>1045</v>
      </c>
      <c r="AJ199" s="407">
        <v>1050</v>
      </c>
      <c r="AK199" s="407">
        <v>1050</v>
      </c>
      <c r="AL199" s="407">
        <v>1050</v>
      </c>
      <c r="AM199" s="407">
        <v>1045</v>
      </c>
      <c r="AN199" s="407">
        <v>1045</v>
      </c>
      <c r="AO199" s="407">
        <v>1050</v>
      </c>
      <c r="AP199" s="407"/>
      <c r="AQ199" s="407"/>
      <c r="AR199" s="407"/>
      <c r="AS199" s="407"/>
      <c r="AT199" s="407"/>
      <c r="AU199" s="407"/>
      <c r="AV199" s="407"/>
      <c r="AW199" s="407"/>
      <c r="AX199" s="407">
        <f t="shared" si="636"/>
        <v>15642.45</v>
      </c>
      <c r="AY199" s="407"/>
      <c r="AZ199" s="407"/>
      <c r="BA199" s="409"/>
      <c r="BB199" s="381"/>
      <c r="BC199" s="410"/>
      <c r="BD199" s="411"/>
      <c r="BE199" s="412"/>
      <c r="BF199" s="412"/>
      <c r="BG199" s="413"/>
      <c r="BH199" s="413"/>
      <c r="BI199" s="413"/>
      <c r="BJ199" s="408"/>
      <c r="BK199" s="411"/>
      <c r="BL199" s="412"/>
      <c r="BM199" s="414"/>
      <c r="BN199" s="414"/>
      <c r="BO199" s="414"/>
      <c r="BP199" s="414"/>
      <c r="BQ199" s="414"/>
      <c r="BR199" s="414"/>
      <c r="BS199" s="414"/>
      <c r="BT199" s="385"/>
    </row>
    <row r="200" spans="1:74" s="329" customFormat="1" ht="15" customHeight="1" x14ac:dyDescent="0.25">
      <c r="A200" s="637"/>
      <c r="F200" s="328">
        <v>209</v>
      </c>
      <c r="G200" s="328" t="s">
        <v>916</v>
      </c>
      <c r="H200" s="328" t="s">
        <v>146</v>
      </c>
      <c r="I200" s="328"/>
      <c r="J200" s="329" t="s">
        <v>1040</v>
      </c>
      <c r="K200" s="406">
        <v>45851</v>
      </c>
      <c r="L200" s="328" t="s">
        <v>374</v>
      </c>
      <c r="M200" s="397">
        <v>477700</v>
      </c>
      <c r="N200" s="397">
        <v>24000</v>
      </c>
      <c r="O200" s="397">
        <v>0</v>
      </c>
      <c r="P200" s="397">
        <v>0</v>
      </c>
      <c r="Q200" s="397">
        <v>0</v>
      </c>
      <c r="R200" s="397">
        <v>0</v>
      </c>
      <c r="S200" s="397">
        <v>0</v>
      </c>
      <c r="T200" s="397">
        <v>0</v>
      </c>
      <c r="U200" s="397">
        <v>0</v>
      </c>
      <c r="V200" s="397">
        <v>0</v>
      </c>
      <c r="W200" s="397">
        <v>0</v>
      </c>
      <c r="X200" s="397">
        <v>0</v>
      </c>
      <c r="Y200" s="397">
        <v>0</v>
      </c>
      <c r="Z200" s="397">
        <v>0</v>
      </c>
      <c r="AA200" s="397">
        <v>0</v>
      </c>
      <c r="AB200" s="397">
        <v>0</v>
      </c>
      <c r="AC200" s="397">
        <v>0</v>
      </c>
      <c r="AD200" s="397">
        <v>0</v>
      </c>
      <c r="AE200" s="397">
        <v>0</v>
      </c>
      <c r="AF200" s="397">
        <v>0</v>
      </c>
      <c r="AG200" s="397">
        <v>0</v>
      </c>
      <c r="AH200" s="397">
        <v>0</v>
      </c>
      <c r="AI200" s="397">
        <v>0</v>
      </c>
      <c r="AJ200" s="397">
        <v>0</v>
      </c>
      <c r="AK200" s="397">
        <v>0</v>
      </c>
      <c r="AL200" s="397"/>
      <c r="AM200" s="397">
        <v>0</v>
      </c>
      <c r="AN200" s="397"/>
      <c r="AO200" s="397"/>
      <c r="AP200" s="397"/>
      <c r="AQ200" s="397">
        <v>400</v>
      </c>
      <c r="AR200" s="397"/>
      <c r="AS200" s="397"/>
      <c r="AT200" s="397"/>
      <c r="AU200" s="397"/>
      <c r="AV200" s="397"/>
      <c r="AW200" s="397"/>
      <c r="AX200" s="407">
        <f t="shared" si="636"/>
        <v>400</v>
      </c>
      <c r="AY200" s="397"/>
      <c r="AZ200" s="397"/>
      <c r="BA200" s="415"/>
      <c r="BB200" s="381"/>
      <c r="BC200" s="398"/>
      <c r="BD200" s="416"/>
      <c r="BE200" s="412"/>
      <c r="BF200" s="412"/>
      <c r="BG200" s="383"/>
      <c r="BH200" s="383"/>
      <c r="BI200" s="383"/>
      <c r="BJ200" s="397"/>
      <c r="BK200" s="416"/>
      <c r="BL200" s="412"/>
      <c r="BM200" s="414"/>
      <c r="BN200" s="414"/>
      <c r="BO200" s="414"/>
      <c r="BP200" s="414"/>
      <c r="BQ200" s="414"/>
      <c r="BR200" s="414"/>
      <c r="BS200" s="414"/>
      <c r="BT200" s="385"/>
      <c r="BV200" s="329" t="s">
        <v>1336</v>
      </c>
    </row>
    <row r="201" spans="1:74" s="329" customFormat="1" ht="15" customHeight="1" x14ac:dyDescent="0.25">
      <c r="A201" s="637"/>
      <c r="F201" s="328">
        <v>108</v>
      </c>
      <c r="G201" s="328" t="s">
        <v>916</v>
      </c>
      <c r="H201" s="328" t="s">
        <v>146</v>
      </c>
      <c r="I201" s="328" t="s">
        <v>921</v>
      </c>
      <c r="J201" s="329" t="s">
        <v>1041</v>
      </c>
      <c r="K201" s="406">
        <v>45649</v>
      </c>
      <c r="L201" s="328" t="s">
        <v>128</v>
      </c>
      <c r="M201" s="397">
        <v>477700</v>
      </c>
      <c r="N201" s="397">
        <v>95600</v>
      </c>
      <c r="O201" s="397">
        <v>0</v>
      </c>
      <c r="P201" s="397">
        <v>0</v>
      </c>
      <c r="Q201" s="397">
        <v>0</v>
      </c>
      <c r="R201" s="397">
        <v>0</v>
      </c>
      <c r="S201" s="397">
        <v>0</v>
      </c>
      <c r="T201" s="397">
        <v>0</v>
      </c>
      <c r="U201" s="397">
        <v>0</v>
      </c>
      <c r="V201" s="397">
        <v>0</v>
      </c>
      <c r="W201" s="397">
        <v>0</v>
      </c>
      <c r="X201" s="397">
        <v>0</v>
      </c>
      <c r="Y201" s="397">
        <v>0</v>
      </c>
      <c r="Z201" s="397">
        <v>0</v>
      </c>
      <c r="AA201" s="397">
        <v>0</v>
      </c>
      <c r="AB201" s="397">
        <v>0</v>
      </c>
      <c r="AC201" s="397">
        <v>0</v>
      </c>
      <c r="AD201" s="397">
        <v>0</v>
      </c>
      <c r="AE201" s="397">
        <v>0</v>
      </c>
      <c r="AF201" s="397">
        <v>0</v>
      </c>
      <c r="AG201" s="397">
        <v>0</v>
      </c>
      <c r="AH201" s="397">
        <v>0</v>
      </c>
      <c r="AI201" s="397">
        <v>1500</v>
      </c>
      <c r="AJ201" s="397">
        <v>0</v>
      </c>
      <c r="AK201" s="397">
        <v>0</v>
      </c>
      <c r="AL201" s="397">
        <v>0</v>
      </c>
      <c r="AM201" s="397">
        <v>0</v>
      </c>
      <c r="AN201" s="397"/>
      <c r="AO201" s="397"/>
      <c r="AP201" s="397"/>
      <c r="AQ201" s="397"/>
      <c r="AR201" s="397"/>
      <c r="AS201" s="397"/>
      <c r="AT201" s="397"/>
      <c r="AU201" s="397"/>
      <c r="AV201" s="397"/>
      <c r="AW201" s="397"/>
      <c r="AX201" s="407">
        <f t="shared" si="636"/>
        <v>1500</v>
      </c>
      <c r="AY201" s="397"/>
      <c r="AZ201" s="397"/>
      <c r="BA201" s="415"/>
      <c r="BB201" s="381"/>
      <c r="BC201" s="398"/>
      <c r="BD201" s="416"/>
      <c r="BE201" s="412"/>
      <c r="BF201" s="412"/>
      <c r="BG201" s="383"/>
      <c r="BH201" s="383"/>
      <c r="BI201" s="383"/>
      <c r="BJ201" s="397"/>
      <c r="BK201" s="416"/>
      <c r="BL201" s="412"/>
      <c r="BM201" s="414"/>
      <c r="BN201" s="414"/>
      <c r="BO201" s="414"/>
      <c r="BP201" s="414"/>
      <c r="BQ201" s="414"/>
      <c r="BR201" s="414"/>
      <c r="BS201" s="414"/>
      <c r="BT201" s="385"/>
      <c r="BV201" s="329" t="s">
        <v>1336</v>
      </c>
    </row>
    <row r="202" spans="1:74" s="329" customFormat="1" ht="15" customHeight="1" x14ac:dyDescent="0.25">
      <c r="A202" s="637"/>
      <c r="F202" s="328">
        <v>412</v>
      </c>
      <c r="G202" s="328" t="s">
        <v>916</v>
      </c>
      <c r="H202" s="328" t="s">
        <v>146</v>
      </c>
      <c r="I202" s="328" t="s">
        <v>989</v>
      </c>
      <c r="J202" s="329" t="s">
        <v>990</v>
      </c>
      <c r="K202" s="406">
        <v>45504</v>
      </c>
      <c r="L202" s="328" t="s">
        <v>128</v>
      </c>
      <c r="M202" s="397">
        <v>477700</v>
      </c>
      <c r="N202" s="397">
        <v>24000</v>
      </c>
      <c r="O202" s="397">
        <v>0</v>
      </c>
      <c r="P202" s="397">
        <v>0</v>
      </c>
      <c r="Q202" s="397">
        <v>0</v>
      </c>
      <c r="R202" s="397">
        <v>0</v>
      </c>
      <c r="S202" s="397">
        <v>0</v>
      </c>
      <c r="T202" s="397">
        <v>0</v>
      </c>
      <c r="U202" s="397">
        <v>0</v>
      </c>
      <c r="V202" s="397">
        <v>0</v>
      </c>
      <c r="W202" s="397">
        <v>0</v>
      </c>
      <c r="X202" s="397">
        <v>0</v>
      </c>
      <c r="Y202" s="397">
        <v>0</v>
      </c>
      <c r="Z202" s="397">
        <v>0</v>
      </c>
      <c r="AA202" s="397">
        <v>0</v>
      </c>
      <c r="AB202" s="397">
        <v>0</v>
      </c>
      <c r="AC202" s="397">
        <v>0</v>
      </c>
      <c r="AD202" s="397">
        <v>0</v>
      </c>
      <c r="AE202" s="397">
        <v>1500</v>
      </c>
      <c r="AF202" s="397">
        <v>1323.53</v>
      </c>
      <c r="AG202" s="397">
        <v>1323.53</v>
      </c>
      <c r="AH202" s="397">
        <v>1323.53</v>
      </c>
      <c r="AI202" s="397">
        <v>0</v>
      </c>
      <c r="AJ202" s="397">
        <v>0</v>
      </c>
      <c r="AK202" s="397">
        <v>0</v>
      </c>
      <c r="AL202" s="397">
        <v>0</v>
      </c>
      <c r="AM202" s="397">
        <v>0</v>
      </c>
      <c r="AN202" s="397"/>
      <c r="AO202" s="397"/>
      <c r="AP202" s="397"/>
      <c r="AQ202" s="397"/>
      <c r="AR202" s="397"/>
      <c r="AS202" s="397"/>
      <c r="AT202" s="397"/>
      <c r="AU202" s="397"/>
      <c r="AV202" s="397"/>
      <c r="AW202" s="397"/>
      <c r="AX202" s="407">
        <f t="shared" si="636"/>
        <v>5470.5899999999992</v>
      </c>
      <c r="AY202" s="397"/>
      <c r="AZ202" s="397"/>
      <c r="BA202" s="415"/>
      <c r="BB202" s="381"/>
      <c r="BC202" s="398"/>
      <c r="BD202" s="416"/>
      <c r="BE202" s="412"/>
      <c r="BF202" s="412"/>
      <c r="BG202" s="383"/>
      <c r="BH202" s="383"/>
      <c r="BI202" s="383"/>
      <c r="BJ202" s="397"/>
      <c r="BK202" s="416"/>
      <c r="BL202" s="412"/>
      <c r="BM202" s="414"/>
      <c r="BN202" s="414"/>
      <c r="BO202" s="414"/>
      <c r="BP202" s="414"/>
      <c r="BQ202" s="414"/>
      <c r="BR202" s="414"/>
      <c r="BS202" s="414"/>
      <c r="BT202" s="385"/>
      <c r="BV202" s="329" t="s">
        <v>1336</v>
      </c>
    </row>
    <row r="203" spans="1:74" s="329" customFormat="1" ht="15" customHeight="1" x14ac:dyDescent="0.25">
      <c r="A203" s="637"/>
      <c r="B203" s="329" t="s">
        <v>975</v>
      </c>
      <c r="F203" s="328">
        <v>402</v>
      </c>
      <c r="G203" s="328" t="s">
        <v>145</v>
      </c>
      <c r="H203" s="328" t="s">
        <v>913</v>
      </c>
      <c r="I203" s="328" t="s">
        <v>196</v>
      </c>
      <c r="J203" s="329" t="s">
        <v>976</v>
      </c>
      <c r="K203" s="406">
        <v>45625</v>
      </c>
      <c r="L203" s="328" t="s">
        <v>128</v>
      </c>
      <c r="M203" s="397">
        <v>477000</v>
      </c>
      <c r="N203" s="397">
        <v>23900</v>
      </c>
      <c r="O203" s="397">
        <v>0</v>
      </c>
      <c r="P203" s="397">
        <v>0</v>
      </c>
      <c r="Q203" s="397">
        <v>0</v>
      </c>
      <c r="R203" s="397">
        <v>0</v>
      </c>
      <c r="S203" s="397">
        <v>0</v>
      </c>
      <c r="T203" s="397">
        <v>0</v>
      </c>
      <c r="U203" s="397">
        <v>0</v>
      </c>
      <c r="V203" s="397">
        <v>0</v>
      </c>
      <c r="W203" s="397">
        <v>0</v>
      </c>
      <c r="X203" s="397">
        <v>0</v>
      </c>
      <c r="Y203" s="397">
        <v>0</v>
      </c>
      <c r="Z203" s="397">
        <v>0</v>
      </c>
      <c r="AA203" s="397">
        <v>0</v>
      </c>
      <c r="AB203" s="397">
        <v>0</v>
      </c>
      <c r="AC203" s="397">
        <v>1500</v>
      </c>
      <c r="AD203" s="397">
        <v>0</v>
      </c>
      <c r="AE203" s="397">
        <v>0</v>
      </c>
      <c r="AF203" s="397">
        <v>0</v>
      </c>
      <c r="AG203" s="397">
        <v>0</v>
      </c>
      <c r="AH203" s="397">
        <v>0</v>
      </c>
      <c r="AI203" s="397">
        <v>500</v>
      </c>
      <c r="AJ203" s="397">
        <v>1800</v>
      </c>
      <c r="AK203" s="397">
        <v>0</v>
      </c>
      <c r="AL203" s="397">
        <v>0</v>
      </c>
      <c r="AM203" s="397">
        <v>0</v>
      </c>
      <c r="AN203" s="397"/>
      <c r="AO203" s="397"/>
      <c r="AP203" s="397"/>
      <c r="AQ203" s="397"/>
      <c r="AR203" s="397"/>
      <c r="AS203" s="397"/>
      <c r="AT203" s="397"/>
      <c r="AU203" s="397"/>
      <c r="AV203" s="397"/>
      <c r="AW203" s="397"/>
      <c r="AX203" s="407">
        <f t="shared" si="636"/>
        <v>3800</v>
      </c>
      <c r="AY203" s="397"/>
      <c r="AZ203" s="397"/>
      <c r="BA203" s="415"/>
      <c r="BB203" s="381"/>
      <c r="BC203" s="398"/>
      <c r="BD203" s="416"/>
      <c r="BE203" s="412"/>
      <c r="BF203" s="412"/>
      <c r="BG203" s="383"/>
      <c r="BH203" s="383"/>
      <c r="BI203" s="383"/>
      <c r="BJ203" s="397"/>
      <c r="BK203" s="416"/>
      <c r="BL203" s="412"/>
      <c r="BM203" s="414"/>
      <c r="BN203" s="414"/>
      <c r="BO203" s="414"/>
      <c r="BP203" s="414"/>
      <c r="BQ203" s="414"/>
      <c r="BR203" s="414"/>
      <c r="BS203" s="414"/>
      <c r="BT203" s="385"/>
      <c r="BV203" s="329" t="s">
        <v>1336</v>
      </c>
    </row>
    <row r="204" spans="1:74" s="329" customFormat="1" ht="13.5" x14ac:dyDescent="0.25">
      <c r="A204" s="637"/>
      <c r="F204" s="328">
        <v>213</v>
      </c>
      <c r="G204" s="328" t="s">
        <v>916</v>
      </c>
      <c r="H204" s="328" t="s">
        <v>146</v>
      </c>
      <c r="I204" s="328" t="s">
        <v>147</v>
      </c>
      <c r="J204" s="329" t="s">
        <v>949</v>
      </c>
      <c r="K204" s="406">
        <v>45372</v>
      </c>
      <c r="L204" s="328" t="s">
        <v>128</v>
      </c>
      <c r="M204" s="397">
        <v>477700</v>
      </c>
      <c r="N204" s="397">
        <v>24000</v>
      </c>
      <c r="O204" s="397">
        <v>0</v>
      </c>
      <c r="P204" s="397">
        <v>0</v>
      </c>
      <c r="Q204" s="397">
        <v>0</v>
      </c>
      <c r="R204" s="397">
        <v>0</v>
      </c>
      <c r="S204" s="397">
        <v>0</v>
      </c>
      <c r="T204" s="397">
        <v>0</v>
      </c>
      <c r="U204" s="397">
        <v>0</v>
      </c>
      <c r="V204" s="397">
        <v>0</v>
      </c>
      <c r="W204" s="397">
        <v>0</v>
      </c>
      <c r="X204" s="397">
        <v>0</v>
      </c>
      <c r="Y204" s="397">
        <v>0</v>
      </c>
      <c r="Z204" s="397">
        <v>0</v>
      </c>
      <c r="AA204" s="397">
        <v>1000</v>
      </c>
      <c r="AB204" s="397">
        <v>0</v>
      </c>
      <c r="AC204" s="397">
        <v>0</v>
      </c>
      <c r="AD204" s="397">
        <v>0</v>
      </c>
      <c r="AE204" s="397">
        <v>0</v>
      </c>
      <c r="AF204" s="397">
        <v>0</v>
      </c>
      <c r="AG204" s="397">
        <v>0</v>
      </c>
      <c r="AH204" s="397">
        <v>0</v>
      </c>
      <c r="AI204" s="397">
        <v>0</v>
      </c>
      <c r="AJ204" s="397">
        <v>0</v>
      </c>
      <c r="AK204" s="397">
        <v>0</v>
      </c>
      <c r="AL204" s="397">
        <v>0</v>
      </c>
      <c r="AM204" s="397">
        <v>0</v>
      </c>
      <c r="AN204" s="397"/>
      <c r="AO204" s="397"/>
      <c r="AP204" s="397"/>
      <c r="AQ204" s="397"/>
      <c r="AR204" s="397"/>
      <c r="AS204" s="397"/>
      <c r="AT204" s="397"/>
      <c r="AU204" s="397"/>
      <c r="AV204" s="397"/>
      <c r="AW204" s="397"/>
      <c r="AX204" s="407">
        <f t="shared" si="636"/>
        <v>1000</v>
      </c>
      <c r="AY204" s="397"/>
      <c r="AZ204" s="397"/>
      <c r="BA204" s="415"/>
      <c r="BB204" s="381"/>
      <c r="BC204" s="398"/>
      <c r="BD204" s="416"/>
      <c r="BE204" s="412"/>
      <c r="BF204" s="412"/>
      <c r="BG204" s="383"/>
      <c r="BH204" s="383"/>
      <c r="BI204" s="383"/>
      <c r="BJ204" s="397"/>
      <c r="BK204" s="416"/>
      <c r="BL204" s="412"/>
      <c r="BM204" s="414"/>
      <c r="BN204" s="414"/>
      <c r="BO204" s="414"/>
      <c r="BP204" s="414"/>
      <c r="BQ204" s="414"/>
      <c r="BR204" s="414"/>
      <c r="BS204" s="414"/>
      <c r="BT204" s="385"/>
      <c r="BV204" s="329" t="s">
        <v>1337</v>
      </c>
    </row>
    <row r="205" spans="1:74" s="329" customFormat="1" ht="13.5" x14ac:dyDescent="0.25">
      <c r="A205" s="637" t="s">
        <v>1213</v>
      </c>
      <c r="F205" s="328">
        <v>111</v>
      </c>
      <c r="G205" s="328" t="s">
        <v>146</v>
      </c>
      <c r="H205" s="328" t="s">
        <v>913</v>
      </c>
      <c r="I205" s="328" t="s">
        <v>1109</v>
      </c>
      <c r="J205" s="329" t="s">
        <v>1338</v>
      </c>
      <c r="K205" s="406">
        <v>45875</v>
      </c>
      <c r="L205" s="328" t="s">
        <v>956</v>
      </c>
      <c r="M205" s="397">
        <v>487000</v>
      </c>
      <c r="N205" s="397">
        <v>24000</v>
      </c>
      <c r="O205" s="397">
        <v>0</v>
      </c>
      <c r="P205" s="397">
        <v>0</v>
      </c>
      <c r="Q205" s="397">
        <v>0</v>
      </c>
      <c r="R205" s="397">
        <v>0</v>
      </c>
      <c r="S205" s="397">
        <v>0</v>
      </c>
      <c r="T205" s="397">
        <v>0</v>
      </c>
      <c r="U205" s="397">
        <v>0</v>
      </c>
      <c r="V205" s="397">
        <v>0</v>
      </c>
      <c r="W205" s="397">
        <v>0</v>
      </c>
      <c r="X205" s="397">
        <v>0</v>
      </c>
      <c r="Y205" s="397">
        <v>0</v>
      </c>
      <c r="Z205" s="397">
        <v>0</v>
      </c>
      <c r="AA205" s="397">
        <v>0</v>
      </c>
      <c r="AB205" s="397">
        <v>0</v>
      </c>
      <c r="AC205" s="397">
        <v>0</v>
      </c>
      <c r="AD205" s="397">
        <v>0</v>
      </c>
      <c r="AE205" s="397">
        <v>0</v>
      </c>
      <c r="AF205" s="397">
        <v>0</v>
      </c>
      <c r="AG205" s="397">
        <v>0</v>
      </c>
      <c r="AH205" s="397">
        <v>0</v>
      </c>
      <c r="AI205" s="397">
        <v>0</v>
      </c>
      <c r="AJ205" s="397">
        <v>0</v>
      </c>
      <c r="AK205" s="397">
        <v>0</v>
      </c>
      <c r="AL205" s="397">
        <v>0</v>
      </c>
      <c r="AM205" s="397">
        <v>0</v>
      </c>
      <c r="AN205" s="397">
        <v>0</v>
      </c>
      <c r="AO205" s="397">
        <v>0</v>
      </c>
      <c r="AP205" s="397">
        <v>0</v>
      </c>
      <c r="AQ205" s="397">
        <v>0</v>
      </c>
      <c r="AR205" s="397">
        <v>750</v>
      </c>
      <c r="AS205" s="397">
        <v>0</v>
      </c>
      <c r="AT205" s="397">
        <v>0</v>
      </c>
      <c r="AU205" s="397">
        <v>0</v>
      </c>
      <c r="AV205" s="397"/>
      <c r="AW205" s="397"/>
      <c r="AX205" s="407">
        <f t="shared" si="636"/>
        <v>750</v>
      </c>
      <c r="AY205" s="397"/>
      <c r="AZ205" s="397"/>
      <c r="BA205" s="415"/>
      <c r="BB205" s="381"/>
      <c r="BC205" s="398"/>
      <c r="BD205" s="416"/>
      <c r="BE205" s="412"/>
      <c r="BF205" s="412"/>
      <c r="BG205" s="383"/>
      <c r="BH205" s="383"/>
      <c r="BI205" s="383"/>
      <c r="BJ205" s="397"/>
      <c r="BK205" s="416"/>
      <c r="BL205" s="412"/>
      <c r="BM205" s="414"/>
      <c r="BN205" s="414"/>
      <c r="BO205" s="414"/>
      <c r="BP205" s="414"/>
      <c r="BQ205" s="414"/>
      <c r="BR205" s="414"/>
      <c r="BS205" s="414"/>
      <c r="BT205" s="385"/>
    </row>
    <row r="206" spans="1:74" s="329" customFormat="1" ht="13.5" x14ac:dyDescent="0.25">
      <c r="A206" s="637" t="s">
        <v>1158</v>
      </c>
      <c r="F206" s="328">
        <v>602</v>
      </c>
      <c r="G206" s="328" t="s">
        <v>145</v>
      </c>
      <c r="H206" s="328" t="s">
        <v>913</v>
      </c>
      <c r="I206" s="328" t="s">
        <v>147</v>
      </c>
      <c r="J206" s="329" t="s">
        <v>1008</v>
      </c>
      <c r="K206" s="406">
        <v>45257</v>
      </c>
      <c r="L206" s="328" t="s">
        <v>128</v>
      </c>
      <c r="M206" s="397">
        <v>497900</v>
      </c>
      <c r="N206" s="397">
        <v>49800</v>
      </c>
      <c r="O206" s="397">
        <v>0</v>
      </c>
      <c r="P206" s="397">
        <v>0</v>
      </c>
      <c r="Q206" s="397">
        <v>0</v>
      </c>
      <c r="R206" s="397">
        <v>0</v>
      </c>
      <c r="S206" s="397">
        <v>0</v>
      </c>
      <c r="T206" s="397">
        <v>0</v>
      </c>
      <c r="U206" s="397">
        <v>0</v>
      </c>
      <c r="V206" s="397">
        <v>0</v>
      </c>
      <c r="W206" s="397">
        <v>0</v>
      </c>
      <c r="X206" s="397">
        <v>0</v>
      </c>
      <c r="Y206" s="397">
        <v>0</v>
      </c>
      <c r="Z206" s="397">
        <v>1000</v>
      </c>
      <c r="AA206" s="397">
        <v>2436.84</v>
      </c>
      <c r="AB206" s="397">
        <v>2437</v>
      </c>
      <c r="AC206" s="397">
        <v>2500</v>
      </c>
      <c r="AD206" s="397">
        <v>0</v>
      </c>
      <c r="AE206" s="397">
        <v>2500</v>
      </c>
      <c r="AF206" s="397">
        <v>0</v>
      </c>
      <c r="AG206" s="397">
        <v>5000</v>
      </c>
      <c r="AH206" s="397">
        <v>2500</v>
      </c>
      <c r="AI206" s="397">
        <v>0</v>
      </c>
      <c r="AJ206" s="397">
        <v>0</v>
      </c>
      <c r="AK206" s="397">
        <v>0</v>
      </c>
      <c r="AL206" s="397">
        <v>0</v>
      </c>
      <c r="AM206" s="397">
        <v>0</v>
      </c>
      <c r="AN206" s="397">
        <v>10000</v>
      </c>
      <c r="AO206" s="397">
        <v>8000</v>
      </c>
      <c r="AP206" s="397"/>
      <c r="AQ206" s="397"/>
      <c r="AR206" s="397">
        <v>12927</v>
      </c>
      <c r="AS206" s="397">
        <v>0</v>
      </c>
      <c r="AT206" s="397">
        <v>0</v>
      </c>
      <c r="AU206" s="397">
        <v>0</v>
      </c>
      <c r="AV206" s="397"/>
      <c r="AW206" s="397"/>
      <c r="AX206" s="407">
        <f t="shared" si="636"/>
        <v>49300.84</v>
      </c>
      <c r="AY206" s="397"/>
      <c r="AZ206" s="397"/>
      <c r="BA206" s="415"/>
      <c r="BB206" s="381"/>
      <c r="BC206" s="398"/>
      <c r="BD206" s="416"/>
      <c r="BE206" s="412"/>
      <c r="BF206" s="412"/>
      <c r="BG206" s="383"/>
      <c r="BH206" s="383"/>
      <c r="BI206" s="383"/>
      <c r="BJ206" s="397"/>
      <c r="BK206" s="416"/>
      <c r="BL206" s="412"/>
      <c r="BM206" s="414"/>
      <c r="BN206" s="414"/>
      <c r="BO206" s="414"/>
      <c r="BP206" s="414"/>
      <c r="BQ206" s="414"/>
      <c r="BR206" s="414"/>
      <c r="BS206" s="414"/>
      <c r="BT206" s="385"/>
    </row>
    <row r="207" spans="1:74" s="329" customFormat="1" ht="13.5" x14ac:dyDescent="0.25">
      <c r="A207" s="637" t="s">
        <v>1253</v>
      </c>
      <c r="F207" s="328"/>
      <c r="G207" s="328"/>
      <c r="H207" s="328"/>
      <c r="I207" s="328"/>
      <c r="J207" s="329" t="s">
        <v>1339</v>
      </c>
      <c r="K207" s="406">
        <v>45950</v>
      </c>
      <c r="L207" s="328" t="s">
        <v>956</v>
      </c>
      <c r="M207" s="397">
        <v>492700</v>
      </c>
      <c r="N207" s="397">
        <v>24700</v>
      </c>
      <c r="O207" s="397"/>
      <c r="P207" s="397"/>
      <c r="Q207" s="397"/>
      <c r="R207" s="397"/>
      <c r="S207" s="397"/>
      <c r="T207" s="397"/>
      <c r="U207" s="397"/>
      <c r="V207" s="397"/>
      <c r="W207" s="397"/>
      <c r="X207" s="397"/>
      <c r="Y207" s="397"/>
      <c r="Z207" s="397"/>
      <c r="AA207" s="397"/>
      <c r="AB207" s="397"/>
      <c r="AC207" s="397"/>
      <c r="AD207" s="397"/>
      <c r="AE207" s="397"/>
      <c r="AF207" s="397"/>
      <c r="AG207" s="397"/>
      <c r="AH207" s="397"/>
      <c r="AI207" s="397"/>
      <c r="AJ207" s="397"/>
      <c r="AK207" s="397"/>
      <c r="AL207" s="397"/>
      <c r="AM207" s="397"/>
      <c r="AN207" s="397"/>
      <c r="AO207" s="397"/>
      <c r="AP207" s="397"/>
      <c r="AQ207" s="397"/>
      <c r="AR207" s="397"/>
      <c r="AS207" s="397"/>
      <c r="AT207" s="397">
        <v>1500</v>
      </c>
      <c r="AU207" s="397"/>
      <c r="AV207" s="397"/>
      <c r="AW207" s="397"/>
      <c r="AX207" s="407">
        <f t="shared" si="636"/>
        <v>1500</v>
      </c>
      <c r="AY207" s="397"/>
      <c r="AZ207" s="397"/>
      <c r="BA207" s="415"/>
      <c r="BB207" s="381"/>
      <c r="BC207" s="398"/>
      <c r="BD207" s="416"/>
      <c r="BE207" s="412"/>
      <c r="BF207" s="412"/>
      <c r="BG207" s="383"/>
      <c r="BH207" s="383"/>
      <c r="BI207" s="383"/>
      <c r="BJ207" s="397"/>
      <c r="BK207" s="416"/>
      <c r="BL207" s="412"/>
      <c r="BM207" s="414"/>
      <c r="BN207" s="414"/>
      <c r="BO207" s="414"/>
      <c r="BP207" s="414"/>
      <c r="BQ207" s="414"/>
      <c r="BR207" s="414"/>
      <c r="BS207" s="414"/>
      <c r="BT207" s="385"/>
    </row>
    <row r="208" spans="1:74" s="329" customFormat="1" ht="13.5" x14ac:dyDescent="0.25">
      <c r="A208" s="637" t="s">
        <v>1217</v>
      </c>
      <c r="F208" s="328"/>
      <c r="G208" s="328"/>
      <c r="H208" s="328"/>
      <c r="I208" s="328" t="s">
        <v>203</v>
      </c>
      <c r="J208" s="329" t="s">
        <v>1340</v>
      </c>
      <c r="K208" s="406">
        <v>45913</v>
      </c>
      <c r="L208" s="328" t="s">
        <v>128</v>
      </c>
      <c r="M208" s="397">
        <v>492700</v>
      </c>
      <c r="N208" s="397">
        <v>24700</v>
      </c>
      <c r="O208" s="397"/>
      <c r="P208" s="397"/>
      <c r="Q208" s="397"/>
      <c r="R208" s="397"/>
      <c r="S208" s="397"/>
      <c r="T208" s="397"/>
      <c r="U208" s="397"/>
      <c r="V208" s="397"/>
      <c r="W208" s="397"/>
      <c r="X208" s="397"/>
      <c r="Y208" s="397"/>
      <c r="Z208" s="397"/>
      <c r="AA208" s="397"/>
      <c r="AB208" s="397"/>
      <c r="AC208" s="397"/>
      <c r="AD208" s="397"/>
      <c r="AE208" s="397"/>
      <c r="AF208" s="397"/>
      <c r="AG208" s="397"/>
      <c r="AH208" s="397"/>
      <c r="AI208" s="397"/>
      <c r="AJ208" s="397"/>
      <c r="AK208" s="397"/>
      <c r="AL208" s="397"/>
      <c r="AM208" s="397"/>
      <c r="AN208" s="397"/>
      <c r="AO208" s="397"/>
      <c r="AP208" s="397"/>
      <c r="AQ208" s="397"/>
      <c r="AR208" s="397"/>
      <c r="AS208" s="397">
        <v>300</v>
      </c>
      <c r="AT208" s="397">
        <v>0</v>
      </c>
      <c r="AU208" s="397">
        <v>0</v>
      </c>
      <c r="AV208" s="397"/>
      <c r="AW208" s="397"/>
      <c r="AX208" s="407">
        <f t="shared" si="636"/>
        <v>300</v>
      </c>
      <c r="AY208" s="397"/>
      <c r="AZ208" s="397"/>
      <c r="BA208" s="415"/>
      <c r="BB208" s="381"/>
      <c r="BC208" s="398"/>
      <c r="BD208" s="416"/>
      <c r="BE208" s="412"/>
      <c r="BF208" s="412"/>
      <c r="BG208" s="383"/>
      <c r="BH208" s="383"/>
      <c r="BI208" s="383"/>
      <c r="BJ208" s="397"/>
      <c r="BK208" s="416"/>
      <c r="BL208" s="412"/>
      <c r="BM208" s="414"/>
      <c r="BN208" s="414"/>
      <c r="BO208" s="414"/>
      <c r="BP208" s="414"/>
      <c r="BQ208" s="414"/>
      <c r="BR208" s="414"/>
      <c r="BS208" s="414"/>
      <c r="BT208" s="385"/>
    </row>
    <row r="209" spans="1:72" s="329" customFormat="1" ht="13.5" x14ac:dyDescent="0.25">
      <c r="A209" s="637" t="s">
        <v>1341</v>
      </c>
      <c r="F209" s="328">
        <v>403</v>
      </c>
      <c r="G209" s="328" t="s">
        <v>146</v>
      </c>
      <c r="H209" s="328"/>
      <c r="I209" s="328" t="s">
        <v>1109</v>
      </c>
      <c r="J209" s="329" t="s">
        <v>1342</v>
      </c>
      <c r="K209" s="406">
        <v>45893</v>
      </c>
      <c r="L209" s="328" t="s">
        <v>128</v>
      </c>
      <c r="M209" s="397">
        <v>492000</v>
      </c>
      <c r="N209" s="397">
        <v>24600</v>
      </c>
      <c r="O209" s="397"/>
      <c r="P209" s="397"/>
      <c r="Q209" s="397"/>
      <c r="R209" s="397"/>
      <c r="S209" s="397"/>
      <c r="T209" s="397"/>
      <c r="U209" s="397"/>
      <c r="V209" s="397"/>
      <c r="W209" s="397"/>
      <c r="X209" s="397"/>
      <c r="Y209" s="397"/>
      <c r="Z209" s="397"/>
      <c r="AA209" s="397"/>
      <c r="AB209" s="397"/>
      <c r="AC209" s="397"/>
      <c r="AD209" s="397"/>
      <c r="AE209" s="397"/>
      <c r="AF209" s="397"/>
      <c r="AG209" s="397"/>
      <c r="AH209" s="397"/>
      <c r="AI209" s="397"/>
      <c r="AJ209" s="397"/>
      <c r="AK209" s="397"/>
      <c r="AL209" s="397"/>
      <c r="AM209" s="397"/>
      <c r="AN209" s="397"/>
      <c r="AO209" s="397"/>
      <c r="AP209" s="397"/>
      <c r="AQ209" s="397"/>
      <c r="AR209" s="397">
        <v>1500</v>
      </c>
      <c r="AS209" s="397">
        <v>0</v>
      </c>
      <c r="AT209" s="397">
        <v>0</v>
      </c>
      <c r="AU209" s="397">
        <v>0</v>
      </c>
      <c r="AV209" s="397"/>
      <c r="AW209" s="397"/>
      <c r="AX209" s="407">
        <f t="shared" si="636"/>
        <v>1500</v>
      </c>
      <c r="AY209" s="397"/>
      <c r="AZ209" s="397"/>
      <c r="BA209" s="415"/>
      <c r="BB209" s="381"/>
      <c r="BC209" s="398"/>
      <c r="BD209" s="416"/>
      <c r="BE209" s="412"/>
      <c r="BF209" s="412"/>
      <c r="BG209" s="383"/>
      <c r="BH209" s="383"/>
      <c r="BI209" s="383"/>
      <c r="BJ209" s="397"/>
      <c r="BK209" s="416"/>
      <c r="BL209" s="412"/>
      <c r="BM209" s="414"/>
      <c r="BN209" s="414"/>
      <c r="BO209" s="414"/>
      <c r="BP209" s="414"/>
      <c r="BQ209" s="414"/>
      <c r="BR209" s="414"/>
      <c r="BS209" s="414"/>
      <c r="BT209" s="385"/>
    </row>
    <row r="210" spans="1:72" s="329" customFormat="1" ht="13.5" x14ac:dyDescent="0.25">
      <c r="A210" s="637" t="s">
        <v>1253</v>
      </c>
      <c r="F210" s="328">
        <v>310</v>
      </c>
      <c r="G210" s="328" t="s">
        <v>146</v>
      </c>
      <c r="H210" s="328"/>
      <c r="I210" s="328" t="s">
        <v>1109</v>
      </c>
      <c r="J210" s="329" t="s">
        <v>1343</v>
      </c>
      <c r="K210" s="406">
        <v>45984</v>
      </c>
      <c r="L210" s="328" t="s">
        <v>956</v>
      </c>
      <c r="M210" s="397">
        <v>497000</v>
      </c>
      <c r="N210" s="397">
        <v>24900</v>
      </c>
      <c r="O210" s="397"/>
      <c r="P210" s="397"/>
      <c r="Q210" s="397"/>
      <c r="R210" s="397"/>
      <c r="S210" s="397"/>
      <c r="T210" s="397"/>
      <c r="U210" s="397"/>
      <c r="V210" s="397"/>
      <c r="W210" s="397"/>
      <c r="X210" s="397"/>
      <c r="Y210" s="397"/>
      <c r="Z210" s="397"/>
      <c r="AA210" s="397"/>
      <c r="AB210" s="397"/>
      <c r="AC210" s="397"/>
      <c r="AD210" s="397"/>
      <c r="AE210" s="397"/>
      <c r="AF210" s="397"/>
      <c r="AG210" s="397"/>
      <c r="AH210" s="397"/>
      <c r="AI210" s="397"/>
      <c r="AJ210" s="397"/>
      <c r="AK210" s="397"/>
      <c r="AL210" s="397"/>
      <c r="AM210" s="397"/>
      <c r="AN210" s="397"/>
      <c r="AO210" s="397"/>
      <c r="AP210" s="397"/>
      <c r="AQ210" s="397"/>
      <c r="AR210" s="397"/>
      <c r="AS210" s="397"/>
      <c r="AT210" s="397"/>
      <c r="AU210" s="397">
        <v>1500</v>
      </c>
      <c r="AV210" s="397"/>
      <c r="AW210" s="397"/>
      <c r="AX210" s="407">
        <f t="shared" si="636"/>
        <v>1500</v>
      </c>
      <c r="AY210" s="397"/>
      <c r="AZ210" s="397"/>
      <c r="BA210" s="415"/>
      <c r="BB210" s="381"/>
      <c r="BC210" s="398"/>
      <c r="BD210" s="416"/>
      <c r="BE210" s="412"/>
      <c r="BF210" s="412"/>
      <c r="BG210" s="383"/>
      <c r="BH210" s="383"/>
      <c r="BI210" s="383"/>
      <c r="BJ210" s="397"/>
      <c r="BK210" s="416"/>
      <c r="BL210" s="412"/>
      <c r="BM210" s="414"/>
      <c r="BN210" s="414"/>
      <c r="BO210" s="414"/>
      <c r="BP210" s="414"/>
      <c r="BQ210" s="414"/>
      <c r="BR210" s="414"/>
      <c r="BS210" s="414"/>
      <c r="BT210" s="385"/>
    </row>
    <row r="211" spans="1:72" s="329" customFormat="1" ht="13.5" x14ac:dyDescent="0.25">
      <c r="A211" s="637" t="s">
        <v>1344</v>
      </c>
      <c r="B211" s="329" t="s">
        <v>986</v>
      </c>
      <c r="F211" s="328">
        <v>605</v>
      </c>
      <c r="G211" s="328" t="s">
        <v>146</v>
      </c>
      <c r="H211" s="328" t="s">
        <v>146</v>
      </c>
      <c r="I211" s="328" t="s">
        <v>1160</v>
      </c>
      <c r="J211" s="329" t="s">
        <v>1345</v>
      </c>
      <c r="K211" s="406">
        <v>45886</v>
      </c>
      <c r="L211" s="328" t="s">
        <v>128</v>
      </c>
      <c r="M211" s="397">
        <v>492700</v>
      </c>
      <c r="N211" s="397">
        <v>24700</v>
      </c>
      <c r="O211" s="397"/>
      <c r="P211" s="397"/>
      <c r="Q211" s="397"/>
      <c r="R211" s="397"/>
      <c r="S211" s="397"/>
      <c r="T211" s="397"/>
      <c r="U211" s="397"/>
      <c r="V211" s="397"/>
      <c r="W211" s="397"/>
      <c r="X211" s="397"/>
      <c r="Y211" s="397"/>
      <c r="Z211" s="397"/>
      <c r="AA211" s="397"/>
      <c r="AB211" s="397"/>
      <c r="AC211" s="397"/>
      <c r="AD211" s="397"/>
      <c r="AE211" s="397"/>
      <c r="AF211" s="397"/>
      <c r="AG211" s="397"/>
      <c r="AH211" s="397"/>
      <c r="AI211" s="397"/>
      <c r="AJ211" s="397"/>
      <c r="AK211" s="397"/>
      <c r="AL211" s="397"/>
      <c r="AM211" s="397"/>
      <c r="AN211" s="397"/>
      <c r="AO211" s="397">
        <v>0</v>
      </c>
      <c r="AP211" s="397">
        <v>0</v>
      </c>
      <c r="AQ211" s="397"/>
      <c r="AR211" s="397">
        <v>1500</v>
      </c>
      <c r="AS211" s="397">
        <v>0</v>
      </c>
      <c r="AT211" s="397">
        <v>0</v>
      </c>
      <c r="AU211" s="397">
        <v>0</v>
      </c>
      <c r="AV211" s="397"/>
      <c r="AW211" s="397"/>
      <c r="AX211" s="407">
        <f t="shared" si="636"/>
        <v>1500</v>
      </c>
      <c r="AY211" s="397"/>
      <c r="AZ211" s="397"/>
      <c r="BA211" s="415"/>
      <c r="BB211" s="381"/>
      <c r="BC211" s="398"/>
      <c r="BD211" s="416"/>
      <c r="BE211" s="412"/>
      <c r="BF211" s="412"/>
      <c r="BG211" s="383"/>
      <c r="BH211" s="383"/>
      <c r="BI211" s="383"/>
      <c r="BJ211" s="397"/>
      <c r="BK211" s="416"/>
      <c r="BL211" s="412"/>
      <c r="BM211" s="414"/>
      <c r="BN211" s="414"/>
      <c r="BO211" s="414"/>
      <c r="BP211" s="414"/>
      <c r="BQ211" s="414"/>
      <c r="BR211" s="414"/>
      <c r="BS211" s="414"/>
      <c r="BT211" s="385"/>
    </row>
    <row r="212" spans="1:72" s="329" customFormat="1" ht="13.5" x14ac:dyDescent="0.25">
      <c r="A212" s="637" t="s">
        <v>1346</v>
      </c>
      <c r="F212" s="328">
        <v>308</v>
      </c>
      <c r="G212" s="328" t="s">
        <v>913</v>
      </c>
      <c r="H212" s="328" t="s">
        <v>913</v>
      </c>
      <c r="I212" s="328" t="s">
        <v>1161</v>
      </c>
      <c r="J212" s="329" t="s">
        <v>1347</v>
      </c>
      <c r="K212" s="406">
        <v>45975</v>
      </c>
      <c r="L212" s="328" t="s">
        <v>956</v>
      </c>
      <c r="M212" s="397">
        <v>492000</v>
      </c>
      <c r="N212" s="397">
        <v>24600</v>
      </c>
      <c r="O212" s="397"/>
      <c r="P212" s="397"/>
      <c r="Q212" s="397"/>
      <c r="R212" s="397"/>
      <c r="S212" s="397"/>
      <c r="T212" s="397"/>
      <c r="U212" s="397"/>
      <c r="V212" s="397"/>
      <c r="W212" s="397"/>
      <c r="X212" s="397"/>
      <c r="Y212" s="397"/>
      <c r="Z212" s="397"/>
      <c r="AA212" s="397"/>
      <c r="AB212" s="397"/>
      <c r="AC212" s="397"/>
      <c r="AD212" s="397"/>
      <c r="AE212" s="397"/>
      <c r="AF212" s="397"/>
      <c r="AG212" s="397"/>
      <c r="AH212" s="397"/>
      <c r="AI212" s="397"/>
      <c r="AJ212" s="397"/>
      <c r="AK212" s="397"/>
      <c r="AL212" s="397"/>
      <c r="AM212" s="397"/>
      <c r="AN212" s="397"/>
      <c r="AO212" s="397"/>
      <c r="AP212" s="397"/>
      <c r="AQ212" s="397"/>
      <c r="AR212" s="397"/>
      <c r="AS212" s="397"/>
      <c r="AT212" s="397"/>
      <c r="AU212" s="397"/>
      <c r="AV212" s="397"/>
      <c r="AW212" s="397"/>
      <c r="AX212" s="407">
        <f t="shared" si="636"/>
        <v>0</v>
      </c>
      <c r="AY212" s="397"/>
      <c r="AZ212" s="397"/>
      <c r="BA212" s="415"/>
      <c r="BB212" s="381"/>
      <c r="BC212" s="398"/>
      <c r="BD212" s="416"/>
      <c r="BE212" s="412"/>
      <c r="BF212" s="412"/>
      <c r="BG212" s="383"/>
      <c r="BH212" s="383"/>
      <c r="BI212" s="383"/>
      <c r="BJ212" s="397"/>
      <c r="BK212" s="416"/>
      <c r="BL212" s="412"/>
      <c r="BM212" s="414"/>
      <c r="BN212" s="414"/>
      <c r="BO212" s="414"/>
      <c r="BP212" s="414"/>
      <c r="BQ212" s="414"/>
      <c r="BR212" s="414"/>
      <c r="BS212" s="414"/>
      <c r="BT212" s="385"/>
    </row>
    <row r="213" spans="1:72" s="329" customFormat="1" ht="13.5" x14ac:dyDescent="0.25">
      <c r="A213" s="637"/>
      <c r="F213" s="328"/>
      <c r="G213" s="328"/>
      <c r="H213" s="328"/>
      <c r="I213" s="328"/>
      <c r="K213" s="406"/>
      <c r="L213" s="328"/>
      <c r="M213" s="397"/>
      <c r="N213" s="397"/>
      <c r="O213" s="397"/>
      <c r="P213" s="397"/>
      <c r="Q213" s="397"/>
      <c r="R213" s="397"/>
      <c r="S213" s="397"/>
      <c r="T213" s="397"/>
      <c r="U213" s="397"/>
      <c r="V213" s="397"/>
      <c r="W213" s="397"/>
      <c r="X213" s="397"/>
      <c r="Y213" s="397"/>
      <c r="Z213" s="397"/>
      <c r="AA213" s="397"/>
      <c r="AB213" s="397"/>
      <c r="AC213" s="397"/>
      <c r="AD213" s="397"/>
      <c r="AE213" s="397"/>
      <c r="AF213" s="397"/>
      <c r="AG213" s="397"/>
      <c r="AH213" s="397"/>
      <c r="AI213" s="397"/>
      <c r="AJ213" s="397"/>
      <c r="AK213" s="397"/>
      <c r="AL213" s="397"/>
      <c r="AM213" s="397"/>
      <c r="AN213" s="397"/>
      <c r="AO213" s="397"/>
      <c r="AP213" s="397"/>
      <c r="AQ213" s="397"/>
      <c r="AR213" s="397"/>
      <c r="AS213" s="397"/>
      <c r="AT213" s="397"/>
      <c r="AU213" s="397"/>
      <c r="AV213" s="397"/>
      <c r="AW213" s="397"/>
      <c r="AX213" s="407">
        <f t="shared" si="636"/>
        <v>0</v>
      </c>
      <c r="AY213" s="397"/>
      <c r="AZ213" s="397"/>
      <c r="BA213" s="415"/>
      <c r="BB213" s="381"/>
      <c r="BC213" s="398"/>
      <c r="BD213" s="416"/>
      <c r="BE213" s="412"/>
      <c r="BF213" s="412"/>
      <c r="BG213" s="383"/>
      <c r="BH213" s="383"/>
      <c r="BI213" s="383"/>
      <c r="BJ213" s="397"/>
      <c r="BK213" s="416"/>
      <c r="BL213" s="412"/>
      <c r="BM213" s="414"/>
      <c r="BN213" s="414"/>
      <c r="BO213" s="414"/>
      <c r="BP213" s="414"/>
      <c r="BQ213" s="414"/>
      <c r="BR213" s="414"/>
      <c r="BS213" s="414"/>
      <c r="BT213" s="385"/>
    </row>
    <row r="214" spans="1:72" s="329" customFormat="1" ht="15" customHeight="1" x14ac:dyDescent="0.25">
      <c r="A214" s="637"/>
      <c r="F214" s="328"/>
      <c r="G214" s="328"/>
      <c r="H214" s="328"/>
      <c r="I214" s="328"/>
      <c r="K214" s="406"/>
      <c r="L214" s="328"/>
      <c r="M214" s="407"/>
      <c r="N214" s="408"/>
      <c r="O214" s="407"/>
      <c r="P214" s="407"/>
      <c r="Q214" s="407"/>
      <c r="R214" s="407"/>
      <c r="S214" s="407"/>
      <c r="T214" s="407"/>
      <c r="U214" s="407"/>
      <c r="V214" s="407"/>
      <c r="W214" s="407"/>
      <c r="X214" s="407"/>
      <c r="Y214" s="407"/>
      <c r="Z214" s="407"/>
      <c r="AA214" s="407"/>
      <c r="AB214" s="407"/>
      <c r="AC214" s="407"/>
      <c r="AD214" s="407"/>
      <c r="AE214" s="407"/>
      <c r="AF214" s="407"/>
      <c r="AG214" s="407"/>
      <c r="AH214" s="407"/>
      <c r="AI214" s="407"/>
      <c r="AJ214" s="407"/>
      <c r="AK214" s="407"/>
      <c r="AL214" s="407"/>
      <c r="AM214" s="407"/>
      <c r="AN214" s="407"/>
      <c r="AO214" s="407"/>
      <c r="AP214" s="407"/>
      <c r="AQ214" s="407"/>
      <c r="AR214" s="407"/>
      <c r="AS214" s="407"/>
      <c r="AT214" s="407"/>
      <c r="AU214" s="407"/>
      <c r="AV214" s="407"/>
      <c r="AW214" s="407"/>
      <c r="AX214" s="407">
        <f t="shared" si="636"/>
        <v>0</v>
      </c>
      <c r="AY214" s="407"/>
      <c r="AZ214" s="407"/>
      <c r="BA214" s="409"/>
      <c r="BB214" s="381"/>
      <c r="BC214" s="410"/>
      <c r="BD214" s="411"/>
      <c r="BE214" s="412"/>
      <c r="BF214" s="412"/>
      <c r="BG214" s="413"/>
      <c r="BH214" s="413"/>
      <c r="BI214" s="413"/>
      <c r="BJ214" s="408"/>
      <c r="BK214" s="411"/>
      <c r="BL214" s="412"/>
      <c r="BM214" s="414"/>
      <c r="BN214" s="414"/>
      <c r="BO214" s="414"/>
      <c r="BP214" s="414"/>
      <c r="BQ214" s="414"/>
      <c r="BR214" s="414"/>
      <c r="BS214" s="414"/>
      <c r="BT214" s="385"/>
    </row>
    <row r="215" spans="1:72" s="329" customFormat="1" ht="13.5" x14ac:dyDescent="0.25">
      <c r="A215" s="637"/>
      <c r="K215" s="406"/>
      <c r="M215" s="397"/>
      <c r="N215" s="397"/>
      <c r="O215" s="417">
        <f t="shared" ref="O215:AW215" si="637">SUM(O185:O214)</f>
        <v>0</v>
      </c>
      <c r="P215" s="417">
        <f t="shared" si="637"/>
        <v>0</v>
      </c>
      <c r="Q215" s="417">
        <f t="shared" si="637"/>
        <v>0</v>
      </c>
      <c r="R215" s="417">
        <f t="shared" si="637"/>
        <v>0</v>
      </c>
      <c r="S215" s="417">
        <f t="shared" si="637"/>
        <v>0</v>
      </c>
      <c r="T215" s="417">
        <f t="shared" si="637"/>
        <v>0</v>
      </c>
      <c r="U215" s="417">
        <f t="shared" si="637"/>
        <v>0</v>
      </c>
      <c r="V215" s="417">
        <f t="shared" si="637"/>
        <v>3323.33</v>
      </c>
      <c r="W215" s="417">
        <f t="shared" si="637"/>
        <v>2823.33</v>
      </c>
      <c r="X215" s="417">
        <f t="shared" si="637"/>
        <v>5550.6</v>
      </c>
      <c r="Y215" s="417">
        <f t="shared" si="637"/>
        <v>6860.12</v>
      </c>
      <c r="Z215" s="417">
        <f t="shared" si="637"/>
        <v>4309.5200000000004</v>
      </c>
      <c r="AA215" s="417">
        <f t="shared" si="637"/>
        <v>13296.96</v>
      </c>
      <c r="AB215" s="417">
        <f t="shared" si="637"/>
        <v>12666.45</v>
      </c>
      <c r="AC215" s="417">
        <f t="shared" si="637"/>
        <v>8869.33</v>
      </c>
      <c r="AD215" s="417">
        <f t="shared" si="637"/>
        <v>1045</v>
      </c>
      <c r="AE215" s="417">
        <f t="shared" si="637"/>
        <v>13186.66</v>
      </c>
      <c r="AF215" s="417">
        <f t="shared" si="637"/>
        <v>7686.86</v>
      </c>
      <c r="AG215" s="417">
        <f t="shared" si="637"/>
        <v>9368.5299999999988</v>
      </c>
      <c r="AH215" s="417">
        <f t="shared" si="637"/>
        <v>7192.3099999999995</v>
      </c>
      <c r="AI215" s="417">
        <f t="shared" si="637"/>
        <v>4845</v>
      </c>
      <c r="AJ215" s="417">
        <f t="shared" si="637"/>
        <v>7996.66</v>
      </c>
      <c r="AK215" s="417">
        <f t="shared" si="637"/>
        <v>1050</v>
      </c>
      <c r="AL215" s="417">
        <f t="shared" si="637"/>
        <v>3050</v>
      </c>
      <c r="AM215" s="417">
        <f t="shared" si="637"/>
        <v>1045</v>
      </c>
      <c r="AN215" s="417">
        <f t="shared" si="637"/>
        <v>11045</v>
      </c>
      <c r="AO215" s="417">
        <f t="shared" si="637"/>
        <v>10550</v>
      </c>
      <c r="AP215" s="417">
        <f t="shared" si="637"/>
        <v>0</v>
      </c>
      <c r="AQ215" s="417">
        <f t="shared" si="637"/>
        <v>400</v>
      </c>
      <c r="AR215" s="417">
        <f>SUM(AR185:AR214)</f>
        <v>16677</v>
      </c>
      <c r="AS215" s="417">
        <f t="shared" si="637"/>
        <v>300</v>
      </c>
      <c r="AT215" s="417">
        <f t="shared" si="637"/>
        <v>1500</v>
      </c>
      <c r="AU215" s="417">
        <f t="shared" si="637"/>
        <v>1500</v>
      </c>
      <c r="AV215" s="417">
        <f t="shared" si="637"/>
        <v>0</v>
      </c>
      <c r="AW215" s="417">
        <f t="shared" si="637"/>
        <v>0</v>
      </c>
      <c r="AX215" s="417">
        <f>SUM(AX185:AX214)</f>
        <v>156137.65999999997</v>
      </c>
      <c r="BI215" s="383"/>
    </row>
    <row r="216" spans="1:72" s="329" customFormat="1" ht="13.5" x14ac:dyDescent="0.25">
      <c r="A216" s="637"/>
      <c r="M216" s="397"/>
      <c r="N216" s="397"/>
      <c r="O216" s="387"/>
      <c r="P216" s="387"/>
      <c r="Q216" s="387"/>
      <c r="R216" s="387"/>
      <c r="S216" s="387"/>
      <c r="T216" s="387"/>
      <c r="U216" s="387"/>
      <c r="V216" s="387"/>
      <c r="W216" s="387"/>
      <c r="X216" s="387"/>
      <c r="Y216" s="387"/>
      <c r="Z216" s="387"/>
      <c r="AA216" s="387"/>
      <c r="AB216" s="387"/>
      <c r="AC216" s="387"/>
      <c r="AD216" s="387"/>
      <c r="AE216" s="387"/>
      <c r="AF216" s="387"/>
      <c r="AG216" s="387"/>
      <c r="AH216" s="387"/>
      <c r="AI216" s="387"/>
      <c r="AJ216" s="387"/>
      <c r="AK216" s="387"/>
      <c r="AL216" s="387"/>
      <c r="AM216" s="387"/>
      <c r="AN216" s="387"/>
      <c r="AO216" s="387"/>
      <c r="AP216" s="387"/>
      <c r="AQ216" s="387"/>
      <c r="AR216" s="387"/>
      <c r="AS216" s="387"/>
      <c r="AT216" s="387"/>
      <c r="AU216" s="387"/>
      <c r="AV216" s="387"/>
      <c r="AW216" s="387"/>
      <c r="AX216" s="387"/>
      <c r="BI216" s="383"/>
    </row>
    <row r="217" spans="1:72" s="329" customFormat="1" ht="13.5" x14ac:dyDescent="0.25">
      <c r="A217" s="637"/>
      <c r="M217" s="397"/>
      <c r="N217" s="397"/>
      <c r="O217" s="387"/>
      <c r="P217" s="387"/>
      <c r="Q217" s="387"/>
      <c r="R217" s="387"/>
      <c r="S217" s="387"/>
      <c r="T217" s="387"/>
      <c r="U217" s="387"/>
      <c r="V217" s="387"/>
      <c r="W217" s="387"/>
      <c r="X217" s="387"/>
      <c r="Y217" s="387"/>
      <c r="Z217" s="387"/>
      <c r="AA217" s="387"/>
      <c r="AB217" s="387"/>
      <c r="AC217" s="387"/>
      <c r="AD217" s="387"/>
      <c r="AE217" s="387"/>
      <c r="AF217" s="387"/>
      <c r="AG217" s="387"/>
      <c r="AH217" s="387"/>
      <c r="AI217" s="387"/>
      <c r="AJ217" s="387"/>
      <c r="AK217" s="387"/>
      <c r="AL217" s="387"/>
      <c r="AM217" s="387"/>
      <c r="AN217" s="387"/>
      <c r="AO217" s="387"/>
      <c r="AP217" s="387"/>
      <c r="AQ217" s="387"/>
      <c r="AR217" s="387"/>
      <c r="AS217" s="387"/>
      <c r="AT217" s="387"/>
      <c r="AU217" s="387"/>
      <c r="AV217" s="387"/>
      <c r="AW217" s="387"/>
      <c r="AX217" s="387"/>
      <c r="BI217" s="383"/>
    </row>
    <row r="218" spans="1:72" s="329" customFormat="1" ht="13.5" x14ac:dyDescent="0.25">
      <c r="A218" s="637"/>
      <c r="M218" s="397"/>
      <c r="N218" s="397"/>
      <c r="O218" s="387"/>
      <c r="P218" s="387"/>
      <c r="Q218" s="387"/>
      <c r="R218" s="387"/>
      <c r="S218" s="387"/>
      <c r="T218" s="387"/>
      <c r="U218" s="387"/>
      <c r="V218" s="387"/>
      <c r="W218" s="387"/>
      <c r="X218" s="387"/>
      <c r="Y218" s="387"/>
      <c r="Z218" s="387"/>
      <c r="AA218" s="387"/>
      <c r="AB218" s="387"/>
      <c r="AC218" s="387"/>
      <c r="AD218" s="387"/>
      <c r="AE218" s="387"/>
      <c r="AF218" s="387"/>
      <c r="AG218" s="387"/>
      <c r="AH218" s="387"/>
      <c r="AI218" s="387"/>
      <c r="AJ218" s="387"/>
      <c r="AK218" s="387"/>
      <c r="AL218" s="387"/>
      <c r="AM218" s="387"/>
      <c r="AN218" s="387"/>
      <c r="AO218" s="387"/>
      <c r="AP218" s="387"/>
      <c r="AQ218" s="387"/>
      <c r="AR218" s="387"/>
      <c r="AS218" s="387"/>
      <c r="AT218" s="387"/>
      <c r="AU218" s="387"/>
      <c r="AV218" s="387"/>
      <c r="AW218" s="387"/>
      <c r="AX218" s="387"/>
      <c r="BI218" s="383"/>
    </row>
    <row r="219" spans="1:72" s="329" customFormat="1" ht="13.5" x14ac:dyDescent="0.25">
      <c r="A219" s="637"/>
      <c r="M219" s="397"/>
      <c r="N219" s="397"/>
      <c r="O219" s="387"/>
      <c r="P219" s="387"/>
      <c r="Q219" s="387"/>
      <c r="R219" s="387"/>
      <c r="S219" s="387"/>
      <c r="T219" s="387"/>
      <c r="U219" s="387"/>
      <c r="V219" s="387"/>
      <c r="W219" s="387"/>
      <c r="X219" s="387"/>
      <c r="Y219" s="387"/>
      <c r="Z219" s="387"/>
      <c r="AA219" s="387"/>
      <c r="AB219" s="387"/>
      <c r="AC219" s="387"/>
      <c r="AD219" s="387"/>
      <c r="AE219" s="387"/>
      <c r="AF219" s="387"/>
      <c r="AG219" s="387"/>
      <c r="AH219" s="387"/>
      <c r="AI219" s="387"/>
      <c r="AJ219" s="387"/>
      <c r="AK219" s="387"/>
      <c r="AL219" s="387"/>
      <c r="AM219" s="387"/>
      <c r="AN219" s="387"/>
      <c r="AO219" s="387"/>
      <c r="AP219" s="387"/>
      <c r="AQ219" s="387"/>
      <c r="AR219" s="387"/>
      <c r="AS219" s="387"/>
      <c r="AT219" s="387"/>
      <c r="AU219" s="387"/>
      <c r="AV219" s="387"/>
      <c r="AW219" s="387"/>
      <c r="AX219" s="387"/>
      <c r="BI219" s="383"/>
    </row>
    <row r="220" spans="1:72" s="329" customFormat="1" ht="13.5" x14ac:dyDescent="0.25">
      <c r="A220" s="637"/>
      <c r="M220" s="397"/>
      <c r="N220" s="397"/>
      <c r="O220" s="387"/>
      <c r="P220" s="387"/>
      <c r="Q220" s="387"/>
      <c r="R220" s="387"/>
      <c r="S220" s="387"/>
      <c r="T220" s="387"/>
      <c r="U220" s="387"/>
      <c r="V220" s="387"/>
      <c r="W220" s="387"/>
      <c r="X220" s="387"/>
      <c r="Y220" s="387"/>
      <c r="Z220" s="387"/>
      <c r="AA220" s="387"/>
      <c r="AB220" s="387"/>
      <c r="AC220" s="387"/>
      <c r="AD220" s="387"/>
      <c r="AE220" s="387"/>
      <c r="AF220" s="387"/>
      <c r="AG220" s="387"/>
      <c r="AH220" s="387"/>
      <c r="AI220" s="387"/>
      <c r="AJ220" s="387"/>
      <c r="AK220" s="387"/>
      <c r="AL220" s="387"/>
      <c r="AM220" s="387"/>
      <c r="AN220" s="387"/>
      <c r="AO220" s="387"/>
      <c r="AP220" s="387"/>
      <c r="AQ220" s="387"/>
      <c r="AR220" s="387"/>
      <c r="AS220" s="387"/>
      <c r="AT220" s="387"/>
      <c r="AU220" s="387"/>
      <c r="AV220" s="387"/>
      <c r="AW220" s="387"/>
      <c r="AX220" s="387"/>
      <c r="BI220" s="383"/>
    </row>
    <row r="221" spans="1:72" s="329" customFormat="1" ht="15" customHeight="1" x14ac:dyDescent="0.25">
      <c r="A221" s="637"/>
      <c r="M221" s="397"/>
      <c r="N221" s="397"/>
      <c r="O221" s="397"/>
      <c r="BI221" s="383"/>
    </row>
    <row r="222" spans="1:72" s="329" customFormat="1" ht="13.5" x14ac:dyDescent="0.25">
      <c r="A222" s="637"/>
      <c r="F222" s="418" t="s">
        <v>765</v>
      </c>
      <c r="M222" s="397"/>
      <c r="N222" s="397"/>
      <c r="O222" s="397"/>
      <c r="BI222" s="383"/>
    </row>
    <row r="223" spans="1:72" s="329" customFormat="1" ht="13.5" x14ac:dyDescent="0.25">
      <c r="A223" s="637"/>
      <c r="F223" s="404" t="s">
        <v>721</v>
      </c>
      <c r="G223" s="404" t="s">
        <v>722</v>
      </c>
      <c r="H223" s="404" t="s">
        <v>1023</v>
      </c>
      <c r="I223" s="404" t="s">
        <v>1024</v>
      </c>
      <c r="J223" s="404" t="s">
        <v>724</v>
      </c>
      <c r="K223" s="404" t="s">
        <v>725</v>
      </c>
      <c r="L223" s="404" t="s">
        <v>766</v>
      </c>
      <c r="M223" s="405" t="s">
        <v>727</v>
      </c>
      <c r="N223" s="405" t="s">
        <v>767</v>
      </c>
      <c r="O223" s="397"/>
      <c r="BI223" s="383"/>
    </row>
    <row r="224" spans="1:72" s="329" customFormat="1" ht="13.5" x14ac:dyDescent="0.25">
      <c r="A224" s="637"/>
      <c r="F224" s="328">
        <v>101</v>
      </c>
      <c r="G224" s="328"/>
      <c r="H224" s="328"/>
      <c r="I224" s="329" t="s">
        <v>921</v>
      </c>
      <c r="J224" s="329" t="s">
        <v>1042</v>
      </c>
      <c r="K224" s="419">
        <v>45250</v>
      </c>
      <c r="L224" s="419">
        <v>45250</v>
      </c>
      <c r="M224" s="397">
        <v>494900</v>
      </c>
      <c r="N224" s="420">
        <v>22</v>
      </c>
      <c r="O224" s="397"/>
      <c r="BI224" s="383"/>
    </row>
    <row r="225" spans="1:61" s="329" customFormat="1" ht="13.5" x14ac:dyDescent="0.25">
      <c r="A225" s="637"/>
      <c r="F225" s="328">
        <v>102</v>
      </c>
      <c r="G225" s="328"/>
      <c r="H225" s="328"/>
      <c r="I225" s="329" t="s">
        <v>1043</v>
      </c>
      <c r="J225" s="329" t="s">
        <v>1044</v>
      </c>
      <c r="K225" s="419">
        <v>45270</v>
      </c>
      <c r="L225" s="419">
        <v>45270</v>
      </c>
      <c r="M225" s="397">
        <v>494900</v>
      </c>
      <c r="N225" s="420">
        <v>32</v>
      </c>
      <c r="O225" s="397"/>
      <c r="BI225" s="383"/>
    </row>
    <row r="226" spans="1:61" s="329" customFormat="1" ht="13.5" x14ac:dyDescent="0.25">
      <c r="A226" s="637"/>
      <c r="F226" s="328">
        <v>102</v>
      </c>
      <c r="G226" s="328"/>
      <c r="H226" s="328"/>
      <c r="I226" s="329" t="s">
        <v>1043</v>
      </c>
      <c r="J226" s="329" t="s">
        <v>1045</v>
      </c>
      <c r="K226" s="419">
        <v>45417</v>
      </c>
      <c r="L226" s="419">
        <v>45417</v>
      </c>
      <c r="M226" s="397">
        <v>477700</v>
      </c>
      <c r="N226" s="420">
        <v>118</v>
      </c>
      <c r="O226" s="397"/>
      <c r="BI226" s="383"/>
    </row>
    <row r="227" spans="1:61" s="329" customFormat="1" ht="13.5" x14ac:dyDescent="0.25">
      <c r="A227" s="637"/>
      <c r="F227" s="328">
        <v>103</v>
      </c>
      <c r="G227" s="328"/>
      <c r="H227" s="328"/>
      <c r="I227" s="329" t="s">
        <v>1043</v>
      </c>
      <c r="J227" s="329" t="s">
        <v>1046</v>
      </c>
      <c r="K227" s="419">
        <v>45323</v>
      </c>
      <c r="L227" s="419">
        <v>45323</v>
      </c>
      <c r="M227" s="397">
        <v>477000</v>
      </c>
      <c r="N227" s="420">
        <v>53</v>
      </c>
      <c r="O227" s="397"/>
      <c r="BI227" s="383"/>
    </row>
    <row r="228" spans="1:61" s="329" customFormat="1" ht="13.5" x14ac:dyDescent="0.25">
      <c r="A228" s="637"/>
      <c r="F228" s="328">
        <v>106</v>
      </c>
      <c r="G228" s="328"/>
      <c r="H228" s="328"/>
      <c r="I228" s="329" t="s">
        <v>921</v>
      </c>
      <c r="J228" s="329" t="s">
        <v>1047</v>
      </c>
      <c r="K228" s="419">
        <v>45249</v>
      </c>
      <c r="L228" s="419">
        <v>45250</v>
      </c>
      <c r="M228" s="397">
        <v>494900</v>
      </c>
      <c r="N228" s="420">
        <v>23</v>
      </c>
      <c r="O228" s="397"/>
      <c r="BI228" s="383"/>
    </row>
    <row r="229" spans="1:61" s="329" customFormat="1" ht="13.5" x14ac:dyDescent="0.25">
      <c r="A229" s="637"/>
      <c r="F229" s="328">
        <v>108</v>
      </c>
      <c r="G229" s="328"/>
      <c r="H229" s="328"/>
      <c r="I229" s="329" t="s">
        <v>196</v>
      </c>
      <c r="J229" s="329" t="s">
        <v>1048</v>
      </c>
      <c r="K229" s="419">
        <v>45517</v>
      </c>
      <c r="L229" s="419">
        <v>45517</v>
      </c>
      <c r="M229" s="397">
        <v>477700</v>
      </c>
      <c r="N229" s="420">
        <v>221</v>
      </c>
      <c r="O229" s="397"/>
      <c r="BI229" s="383"/>
    </row>
    <row r="230" spans="1:61" s="329" customFormat="1" ht="13.5" x14ac:dyDescent="0.25">
      <c r="A230" s="637"/>
      <c r="F230" s="328">
        <v>111</v>
      </c>
      <c r="G230" s="328"/>
      <c r="H230" s="328"/>
      <c r="I230" s="329" t="s">
        <v>1043</v>
      </c>
      <c r="J230" s="329" t="s">
        <v>949</v>
      </c>
      <c r="K230" s="419">
        <v>45372</v>
      </c>
      <c r="L230" s="419">
        <v>45372</v>
      </c>
      <c r="M230" s="397">
        <v>477000</v>
      </c>
      <c r="N230" s="420">
        <v>78</v>
      </c>
      <c r="O230" s="397"/>
      <c r="BI230" s="383"/>
    </row>
    <row r="231" spans="1:61" s="329" customFormat="1" ht="13.5" x14ac:dyDescent="0.25">
      <c r="A231" s="637"/>
      <c r="F231" s="328">
        <v>209</v>
      </c>
      <c r="G231" s="328"/>
      <c r="H231" s="328"/>
      <c r="I231" s="329" t="s">
        <v>1043</v>
      </c>
      <c r="J231" s="329" t="s">
        <v>1032</v>
      </c>
      <c r="K231" s="419">
        <v>45430</v>
      </c>
      <c r="L231" s="419">
        <v>45430</v>
      </c>
      <c r="M231" s="397">
        <v>477700</v>
      </c>
      <c r="N231" s="420">
        <v>133</v>
      </c>
      <c r="O231" s="397"/>
      <c r="BI231" s="383"/>
    </row>
    <row r="232" spans="1:61" s="329" customFormat="1" ht="13.5" x14ac:dyDescent="0.25">
      <c r="A232" s="637"/>
      <c r="F232" s="328">
        <v>303</v>
      </c>
      <c r="G232" s="328"/>
      <c r="H232" s="328"/>
      <c r="I232" s="329" t="s">
        <v>921</v>
      </c>
      <c r="J232" s="329" t="s">
        <v>1049</v>
      </c>
      <c r="K232" s="419">
        <v>45276</v>
      </c>
      <c r="L232" s="419" t="s">
        <v>1050</v>
      </c>
      <c r="M232" s="397">
        <v>497900</v>
      </c>
      <c r="N232" s="420">
        <v>36</v>
      </c>
      <c r="O232" s="397"/>
      <c r="BI232" s="383"/>
    </row>
    <row r="233" spans="1:61" s="329" customFormat="1" ht="13.5" x14ac:dyDescent="0.25">
      <c r="A233" s="637"/>
      <c r="F233" s="328">
        <v>308</v>
      </c>
      <c r="G233" s="328"/>
      <c r="H233" s="328"/>
      <c r="I233" s="329" t="s">
        <v>1051</v>
      </c>
      <c r="J233" s="329" t="s">
        <v>1052</v>
      </c>
      <c r="K233" s="419">
        <v>45144</v>
      </c>
      <c r="L233" s="419">
        <v>45144</v>
      </c>
      <c r="M233" s="397">
        <v>494800</v>
      </c>
      <c r="N233" s="420">
        <v>4</v>
      </c>
      <c r="O233" s="397"/>
      <c r="BI233" s="383"/>
    </row>
    <row r="234" spans="1:61" s="329" customFormat="1" ht="13.5" x14ac:dyDescent="0.25">
      <c r="A234" s="637"/>
      <c r="F234" s="328">
        <v>403</v>
      </c>
      <c r="G234" s="328"/>
      <c r="H234" s="328"/>
      <c r="I234" s="329" t="s">
        <v>921</v>
      </c>
      <c r="J234" s="329" t="s">
        <v>1053</v>
      </c>
      <c r="K234" s="419">
        <v>45343</v>
      </c>
      <c r="L234" s="419">
        <v>45343</v>
      </c>
      <c r="M234" s="397">
        <v>477000</v>
      </c>
      <c r="N234" s="420">
        <v>63</v>
      </c>
      <c r="O234" s="397"/>
      <c r="BI234" s="383"/>
    </row>
    <row r="235" spans="1:61" s="329" customFormat="1" ht="13.5" x14ac:dyDescent="0.25">
      <c r="A235" s="637"/>
      <c r="F235" s="328">
        <v>403</v>
      </c>
      <c r="G235" s="328"/>
      <c r="H235" s="328"/>
      <c r="I235" s="329" t="s">
        <v>366</v>
      </c>
      <c r="J235" s="329" t="s">
        <v>1054</v>
      </c>
      <c r="K235" s="419">
        <v>45434</v>
      </c>
      <c r="L235" s="419">
        <v>45434</v>
      </c>
      <c r="M235" s="397">
        <v>477000</v>
      </c>
      <c r="N235" s="420">
        <v>140</v>
      </c>
      <c r="O235" s="397"/>
      <c r="BI235" s="383"/>
    </row>
    <row r="236" spans="1:61" s="329" customFormat="1" ht="13.5" x14ac:dyDescent="0.25">
      <c r="A236" s="637"/>
      <c r="F236" s="328">
        <v>404</v>
      </c>
      <c r="G236" s="328"/>
      <c r="H236" s="328"/>
      <c r="I236" s="329" t="s">
        <v>1043</v>
      </c>
      <c r="J236" s="329" t="s">
        <v>1055</v>
      </c>
      <c r="K236" s="419">
        <v>45283</v>
      </c>
      <c r="L236" s="419">
        <v>45283</v>
      </c>
      <c r="M236" s="397">
        <v>497900</v>
      </c>
      <c r="N236" s="420">
        <v>38</v>
      </c>
      <c r="O236" s="397"/>
      <c r="BI236" s="383"/>
    </row>
    <row r="237" spans="1:61" s="329" customFormat="1" ht="13.5" x14ac:dyDescent="0.25">
      <c r="A237" s="637"/>
      <c r="F237" s="328">
        <v>501</v>
      </c>
      <c r="G237" s="328"/>
      <c r="H237" s="328"/>
      <c r="I237" s="329" t="s">
        <v>196</v>
      </c>
      <c r="J237" s="329" t="s">
        <v>1056</v>
      </c>
      <c r="K237" s="419">
        <v>45534</v>
      </c>
      <c r="L237" s="419">
        <v>45534</v>
      </c>
      <c r="M237" s="397">
        <v>477000</v>
      </c>
      <c r="N237" s="420">
        <v>236</v>
      </c>
      <c r="O237" s="397"/>
      <c r="BI237" s="383"/>
    </row>
    <row r="238" spans="1:61" s="329" customFormat="1" ht="13.5" x14ac:dyDescent="0.25">
      <c r="A238" s="637"/>
      <c r="F238" s="328">
        <v>601</v>
      </c>
      <c r="G238" s="328"/>
      <c r="H238" s="328"/>
      <c r="I238" s="329" t="s">
        <v>1043</v>
      </c>
      <c r="J238" s="329" t="s">
        <v>992</v>
      </c>
      <c r="K238" s="419">
        <v>45368</v>
      </c>
      <c r="L238" s="419">
        <v>45368</v>
      </c>
      <c r="M238" s="397">
        <v>477700</v>
      </c>
      <c r="N238" s="420">
        <v>75</v>
      </c>
      <c r="O238" s="397"/>
      <c r="BI238" s="383"/>
    </row>
    <row r="239" spans="1:61" s="329" customFormat="1" ht="13.5" x14ac:dyDescent="0.25">
      <c r="A239" s="637"/>
      <c r="F239" s="328">
        <v>604</v>
      </c>
      <c r="G239" s="328" t="s">
        <v>916</v>
      </c>
      <c r="H239" s="328" t="s">
        <v>913</v>
      </c>
      <c r="I239" s="329" t="s">
        <v>147</v>
      </c>
      <c r="J239" s="329" t="s">
        <v>1037</v>
      </c>
      <c r="K239" s="419">
        <v>45339</v>
      </c>
      <c r="L239" s="419" t="s">
        <v>128</v>
      </c>
      <c r="M239" s="397">
        <v>477700</v>
      </c>
      <c r="N239" s="420">
        <v>24000</v>
      </c>
      <c r="O239" s="397">
        <v>0</v>
      </c>
      <c r="P239" s="397">
        <v>0</v>
      </c>
      <c r="Q239" s="397">
        <v>0</v>
      </c>
      <c r="R239" s="397">
        <v>0</v>
      </c>
      <c r="S239" s="397">
        <v>0</v>
      </c>
      <c r="T239" s="397">
        <v>0</v>
      </c>
      <c r="U239" s="397">
        <v>0</v>
      </c>
      <c r="V239" s="397">
        <v>0</v>
      </c>
      <c r="W239" s="397">
        <v>0</v>
      </c>
      <c r="X239" s="397">
        <v>0</v>
      </c>
      <c r="Y239" s="397">
        <v>0</v>
      </c>
      <c r="Z239" s="397">
        <v>1000</v>
      </c>
      <c r="AA239" s="397">
        <v>0</v>
      </c>
      <c r="AB239" s="397">
        <v>1046</v>
      </c>
      <c r="AC239" s="397">
        <v>1046</v>
      </c>
      <c r="AD239" s="397">
        <v>1045</v>
      </c>
      <c r="AE239" s="397">
        <v>1040</v>
      </c>
      <c r="AF239" s="397">
        <v>1040</v>
      </c>
      <c r="AG239" s="397">
        <v>1045</v>
      </c>
      <c r="AH239" s="397">
        <v>1045.45</v>
      </c>
      <c r="AI239" s="397">
        <v>1045</v>
      </c>
      <c r="AJ239" s="397">
        <v>1050</v>
      </c>
      <c r="AK239" s="397">
        <v>1050</v>
      </c>
      <c r="AL239" s="397">
        <v>1050</v>
      </c>
      <c r="AM239" s="397">
        <v>1045</v>
      </c>
      <c r="AN239" s="397">
        <v>1045</v>
      </c>
      <c r="AO239" s="397">
        <v>1050</v>
      </c>
      <c r="AP239" s="397"/>
      <c r="AQ239" s="397"/>
      <c r="AR239" s="397"/>
      <c r="AS239" s="397"/>
      <c r="AT239" s="397"/>
      <c r="AU239" s="397"/>
      <c r="AV239" s="397"/>
      <c r="AW239" s="397"/>
      <c r="AX239" s="397">
        <f t="shared" ref="AX239" si="638">SUM(O239:AP239)</f>
        <v>15642.45</v>
      </c>
      <c r="BI239" s="383"/>
    </row>
    <row r="243" spans="10:10" ht="15" customHeight="1" x14ac:dyDescent="0.25">
      <c r="J243" s="193" t="s">
        <v>1348</v>
      </c>
    </row>
    <row r="244" spans="10:10" ht="15" customHeight="1" x14ac:dyDescent="0.25">
      <c r="J244" s="193" t="s">
        <v>1349</v>
      </c>
    </row>
  </sheetData>
  <autoFilter ref="A7:CG145" xr:uid="{12424995-71D5-4604-A69B-F25027158DCC}"/>
  <sortState xmlns:xlrd2="http://schemas.microsoft.com/office/spreadsheetml/2017/richdata2" ref="B8:CG92">
    <sortCondition ref="G8:G92"/>
    <sortCondition ref="F8:F92"/>
  </sortState>
  <conditionalFormatting sqref="A119:A121">
    <cfRule type="duplicateValues" dxfId="23" priority="9"/>
  </conditionalFormatting>
  <conditionalFormatting sqref="A215:A1048576 A122:A131 A4:A118">
    <cfRule type="duplicateValues" dxfId="22" priority="12"/>
  </conditionalFormatting>
  <conditionalFormatting sqref="J8:J121">
    <cfRule type="duplicateValues" dxfId="21" priority="4"/>
  </conditionalFormatting>
  <conditionalFormatting sqref="J8:J146">
    <cfRule type="duplicateValues" dxfId="20" priority="713"/>
  </conditionalFormatting>
  <conditionalFormatting sqref="O8:AS8 AS8:AS12 O9:AL9 AN9:AS9 O122:AW173">
    <cfRule type="cellIs" dxfId="19" priority="30" operator="lessThan">
      <formula>0.01</formula>
    </cfRule>
  </conditionalFormatting>
  <conditionalFormatting sqref="O10:AS121">
    <cfRule type="cellIs" dxfId="18" priority="8" operator="lessThan">
      <formula>0.01</formula>
    </cfRule>
  </conditionalFormatting>
  <conditionalFormatting sqref="O178:AX178">
    <cfRule type="cellIs" dxfId="17" priority="24" operator="lessThan">
      <formula>0.01</formula>
    </cfRule>
    <cfRule type="cellIs" dxfId="16" priority="25" operator="greaterThan">
      <formula>0.01</formula>
    </cfRule>
  </conditionalFormatting>
  <conditionalFormatting sqref="AT8:AW121">
    <cfRule type="cellIs" dxfId="15" priority="2" operator="lessThan">
      <formula>0.01</formula>
    </cfRule>
  </conditionalFormatting>
  <conditionalFormatting sqref="AX8:AX173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{1C140A2C-7CF1-404E-8A49-2CD460EB2EC8}</x14:id>
        </ext>
      </extLst>
    </cfRule>
  </conditionalFormatting>
  <conditionalFormatting sqref="AZ8:AZ173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{FC86AAF0-91DF-4BE1-A4D1-27181C1258A9}</x14:id>
        </ext>
      </extLst>
    </cfRule>
  </conditionalFormatting>
  <conditionalFormatting sqref="BF8:BF173 BF194:BF204 BF206:BF214">
    <cfRule type="containsText" dxfId="14" priority="26" operator="containsText" text="Cliente al día">
      <formula>NOT(ISERROR(SEARCH("Cliente al día",BF8)))</formula>
    </cfRule>
    <cfRule type="containsText" dxfId="13" priority="27" operator="containsText" text="Superávit de Enganche">
      <formula>NOT(ISERROR(SEARCH("Superávit de Enganche",BF8)))</formula>
    </cfRule>
    <cfRule type="containsText" dxfId="12" priority="28" operator="containsText" text="Enganche Completado">
      <formula>NOT(ISERROR(SEARCH("Enganche Completado",BF8)))</formula>
    </cfRule>
    <cfRule type="containsText" dxfId="11" priority="29" operator="containsText" text="Cliente Atrasado">
      <formula>NOT(ISERROR(SEARCH("Cliente Atrasado",BF8)))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140A2C-7CF1-404E-8A49-2CD460EB2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AX8:AX173</xm:sqref>
        </x14:conditionalFormatting>
        <x14:conditionalFormatting xmlns:xm="http://schemas.microsoft.com/office/excel/2006/main">
          <x14:cfRule type="dataBar" id="{FC86AAF0-91DF-4BE1-A4D1-27181C1258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AZ8:AZ173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38D1-68B5-4FFC-99DB-89709007DE8E}">
  <dimension ref="A1:BN154"/>
  <sheetViews>
    <sheetView zoomScale="80" zoomScaleNormal="80" workbookViewId="0">
      <pane xSplit="2" ySplit="1" topLeftCell="AQ110" activePane="bottomRight" state="frozen"/>
      <selection pane="topRight" activeCell="C1" sqref="C1"/>
      <selection pane="bottomLeft" activeCell="A2" sqref="A2"/>
      <selection pane="bottomRight" activeCell="AQ110" sqref="AQ110"/>
    </sheetView>
  </sheetViews>
  <sheetFormatPr defaultColWidth="11.42578125" defaultRowHeight="15" customHeight="1" x14ac:dyDescent="0.25"/>
  <cols>
    <col min="1" max="2" width="10.42578125" style="2" customWidth="1"/>
    <col min="3" max="19" width="13" style="2" customWidth="1"/>
    <col min="20" max="20" width="15" style="2" customWidth="1"/>
    <col min="21" max="32" width="13" style="2" customWidth="1"/>
    <col min="33" max="33" width="15" style="2" customWidth="1"/>
    <col min="34" max="41" width="13" style="2" customWidth="1"/>
    <col min="42" max="42" width="13.5703125" style="2" bestFit="1" customWidth="1"/>
    <col min="43" max="60" width="11.42578125" style="2" customWidth="1"/>
    <col min="61" max="61" width="16.140625" style="2" customWidth="1"/>
    <col min="62" max="62" width="13" style="2" customWidth="1"/>
    <col min="63" max="63" width="11.42578125" style="2"/>
    <col min="64" max="64" width="20.42578125" style="2" bestFit="1" customWidth="1"/>
    <col min="65" max="16384" width="11.42578125" style="2"/>
  </cols>
  <sheetData>
    <row r="1" spans="1:66" s="85" customFormat="1" ht="15.75" x14ac:dyDescent="0.25">
      <c r="A1" s="83" t="s">
        <v>62</v>
      </c>
      <c r="B1" s="83" t="s">
        <v>144</v>
      </c>
      <c r="C1" s="3">
        <v>45016</v>
      </c>
      <c r="D1" s="3">
        <v>45046</v>
      </c>
      <c r="E1" s="3">
        <v>45077</v>
      </c>
      <c r="F1" s="3">
        <v>45107</v>
      </c>
      <c r="G1" s="3">
        <v>45138</v>
      </c>
      <c r="H1" s="3">
        <v>45169</v>
      </c>
      <c r="I1" s="3">
        <v>45199</v>
      </c>
      <c r="J1" s="3">
        <v>45230</v>
      </c>
      <c r="K1" s="3">
        <v>45260</v>
      </c>
      <c r="L1" s="3">
        <v>45291</v>
      </c>
      <c r="M1" s="3">
        <v>45322</v>
      </c>
      <c r="N1" s="3">
        <v>45351</v>
      </c>
      <c r="O1" s="3">
        <v>45382</v>
      </c>
      <c r="P1" s="3">
        <v>45412</v>
      </c>
      <c r="Q1" s="3">
        <v>45443</v>
      </c>
      <c r="R1" s="3">
        <v>45473</v>
      </c>
      <c r="S1" s="3">
        <v>45504</v>
      </c>
      <c r="T1" s="3">
        <v>45535</v>
      </c>
      <c r="U1" s="3">
        <v>45565</v>
      </c>
      <c r="V1" s="3">
        <v>45596</v>
      </c>
      <c r="W1" s="3">
        <v>45626</v>
      </c>
      <c r="X1" s="3">
        <v>45657</v>
      </c>
      <c r="Y1" s="3">
        <v>45688</v>
      </c>
      <c r="Z1" s="3">
        <v>45716</v>
      </c>
      <c r="AA1" s="3">
        <v>45747</v>
      </c>
      <c r="AB1" s="3">
        <v>45777</v>
      </c>
      <c r="AC1" s="3">
        <v>45808</v>
      </c>
      <c r="AD1" s="3">
        <v>45838</v>
      </c>
      <c r="AE1" s="3">
        <v>45869</v>
      </c>
      <c r="AF1" s="3">
        <v>45900</v>
      </c>
      <c r="AG1" s="3">
        <v>45930</v>
      </c>
      <c r="AH1" s="3">
        <v>45961</v>
      </c>
      <c r="AI1" s="3">
        <v>45991</v>
      </c>
      <c r="AJ1" s="3">
        <v>46022</v>
      </c>
      <c r="AK1" s="3">
        <v>46053</v>
      </c>
      <c r="AL1" s="3">
        <v>46081</v>
      </c>
      <c r="AM1" s="3">
        <v>46112</v>
      </c>
      <c r="AN1" s="3">
        <v>46142</v>
      </c>
      <c r="AO1" s="3">
        <v>46173</v>
      </c>
      <c r="AP1" s="3">
        <v>46203</v>
      </c>
      <c r="AQ1" s="3">
        <v>46234</v>
      </c>
      <c r="AR1" s="3">
        <v>46265</v>
      </c>
      <c r="AS1" s="3">
        <v>46295</v>
      </c>
      <c r="AT1" s="3">
        <v>46326</v>
      </c>
      <c r="AU1" s="3">
        <v>46356</v>
      </c>
      <c r="AV1" s="3">
        <v>46387</v>
      </c>
      <c r="AW1" s="3">
        <v>46418</v>
      </c>
      <c r="AX1" s="3">
        <v>46446</v>
      </c>
      <c r="AY1" s="3">
        <v>46477</v>
      </c>
      <c r="AZ1" s="3">
        <v>46507</v>
      </c>
      <c r="BA1" s="3">
        <v>46538</v>
      </c>
      <c r="BB1" s="3">
        <v>46568</v>
      </c>
      <c r="BC1" s="3">
        <v>46599</v>
      </c>
      <c r="BD1" s="3">
        <v>46630</v>
      </c>
      <c r="BE1" s="3">
        <v>46660</v>
      </c>
      <c r="BF1" s="3">
        <v>46691</v>
      </c>
      <c r="BG1" s="3">
        <v>46721</v>
      </c>
      <c r="BH1" s="3">
        <v>46752</v>
      </c>
      <c r="BI1" s="4" t="s">
        <v>328</v>
      </c>
      <c r="BJ1" s="4" t="s">
        <v>890</v>
      </c>
      <c r="BK1" s="4" t="s">
        <v>330</v>
      </c>
      <c r="BL1" s="4" t="s">
        <v>68</v>
      </c>
    </row>
    <row r="2" spans="1:66" x14ac:dyDescent="0.25">
      <c r="A2" s="5">
        <v>101</v>
      </c>
      <c r="B2" s="5" t="s">
        <v>145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>
        <v>1500</v>
      </c>
      <c r="Q2" s="6">
        <v>1022.73</v>
      </c>
      <c r="R2" s="6">
        <v>1022.73</v>
      </c>
      <c r="S2" s="6">
        <v>1022.73</v>
      </c>
      <c r="T2" s="6">
        <v>1022.73</v>
      </c>
      <c r="U2" s="6">
        <v>1022.73</v>
      </c>
      <c r="V2" s="6">
        <v>1022.73</v>
      </c>
      <c r="W2" s="6">
        <v>1022.73</v>
      </c>
      <c r="X2" s="6">
        <v>1022.73</v>
      </c>
      <c r="Y2" s="6">
        <v>1022.73</v>
      </c>
      <c r="Z2" s="6">
        <v>1022.73</v>
      </c>
      <c r="AA2" s="6">
        <v>1022.73</v>
      </c>
      <c r="AB2" s="6">
        <v>1022.73</v>
      </c>
      <c r="AC2" s="6">
        <v>1022.73</v>
      </c>
      <c r="AD2" s="6">
        <v>1022.73</v>
      </c>
      <c r="AE2" s="6">
        <v>1022.73</v>
      </c>
      <c r="AF2" s="6">
        <v>1022.73</v>
      </c>
      <c r="AG2" s="6">
        <v>1022.73</v>
      </c>
      <c r="AH2" s="6">
        <v>1022.73</v>
      </c>
      <c r="AI2" s="6">
        <v>1022.73</v>
      </c>
      <c r="AJ2" s="6">
        <v>1022.73</v>
      </c>
      <c r="AK2" s="6">
        <v>1022.73</v>
      </c>
      <c r="AL2" s="6">
        <v>1022.67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>
        <f>SUM(C2:BH2)</f>
        <v>23999.999999999993</v>
      </c>
      <c r="BJ2" s="6">
        <f>+BI2-BENES!J7</f>
        <v>0</v>
      </c>
      <c r="BK2" s="6">
        <f t="shared" ref="BK2:BK38" si="0">SUM(C2:AA2)</f>
        <v>12750.029999999997</v>
      </c>
      <c r="BL2" s="2">
        <f>VLOOKUP(A2,BENES!B6:AV90,43,0)</f>
        <v>459835.32</v>
      </c>
      <c r="BM2" s="2">
        <f t="shared" ref="BM2:BM38" si="1">COUNT(C2:AQ2)</f>
        <v>23</v>
      </c>
      <c r="BN2" s="119">
        <f>IFERROR((+BI2/BM2),0)</f>
        <v>1043.4782608695648</v>
      </c>
    </row>
    <row r="3" spans="1:66" x14ac:dyDescent="0.25">
      <c r="A3" s="5">
        <v>102</v>
      </c>
      <c r="B3" s="5" t="s">
        <v>145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>
        <v>1500</v>
      </c>
      <c r="S3" s="6">
        <v>1244.44</v>
      </c>
      <c r="T3" s="6">
        <v>1244.44</v>
      </c>
      <c r="U3" s="6">
        <v>1244.44</v>
      </c>
      <c r="V3" s="6">
        <v>1244.44</v>
      </c>
      <c r="W3" s="6">
        <v>1244.44</v>
      </c>
      <c r="X3" s="6">
        <v>1244.44</v>
      </c>
      <c r="Y3" s="6">
        <v>1244.44</v>
      </c>
      <c r="Z3" s="6">
        <v>1244.44</v>
      </c>
      <c r="AA3" s="6">
        <v>1244.44</v>
      </c>
      <c r="AB3" s="6">
        <v>1244.44</v>
      </c>
      <c r="AC3" s="6">
        <v>1244.44</v>
      </c>
      <c r="AD3" s="6">
        <v>1244.44</v>
      </c>
      <c r="AE3" s="6">
        <v>1244.44</v>
      </c>
      <c r="AF3" s="6">
        <v>1244.44</v>
      </c>
      <c r="AG3" s="6">
        <v>1244.44</v>
      </c>
      <c r="AH3" s="6">
        <v>1244.44</v>
      </c>
      <c r="AI3" s="6">
        <v>1244.44</v>
      </c>
      <c r="AJ3" s="6">
        <v>1244.52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>
        <f t="shared" ref="BI3:BI66" si="2">SUM(C3:BH3)</f>
        <v>23899.999999999996</v>
      </c>
      <c r="BJ3" s="6">
        <f>+BI3-BENES!J8</f>
        <v>0</v>
      </c>
      <c r="BK3" s="6">
        <f t="shared" si="0"/>
        <v>12699.960000000003</v>
      </c>
      <c r="BL3" s="2">
        <f>VLOOKUP(A3,BENES!B7:AV91,43,0)</f>
        <v>463755.6</v>
      </c>
      <c r="BM3" s="2">
        <f t="shared" si="1"/>
        <v>19</v>
      </c>
      <c r="BN3" s="119">
        <f t="shared" ref="BN3:BN44" si="3">IFERROR((+BI3/BM3),0)</f>
        <v>1257.894736842105</v>
      </c>
    </row>
    <row r="4" spans="1:66" x14ac:dyDescent="0.25">
      <c r="A4" s="5">
        <v>103</v>
      </c>
      <c r="B4" s="5" t="s">
        <v>145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v>500</v>
      </c>
      <c r="O4" s="6">
        <v>1045.45</v>
      </c>
      <c r="P4" s="6">
        <v>1045.45</v>
      </c>
      <c r="Q4" s="6">
        <v>1045.45</v>
      </c>
      <c r="R4" s="6">
        <v>1045.45</v>
      </c>
      <c r="S4" s="6">
        <v>1045.45</v>
      </c>
      <c r="T4" s="6">
        <v>1045.45</v>
      </c>
      <c r="U4" s="6">
        <v>1045.45</v>
      </c>
      <c r="V4" s="6">
        <v>1045.45</v>
      </c>
      <c r="W4" s="6">
        <v>1045.45</v>
      </c>
      <c r="X4" s="6">
        <v>1045.45</v>
      </c>
      <c r="Y4" s="6">
        <v>1045.45</v>
      </c>
      <c r="Z4" s="6">
        <v>1045.45</v>
      </c>
      <c r="AA4" s="6">
        <v>1045.45</v>
      </c>
      <c r="AB4" s="6">
        <v>1045.45</v>
      </c>
      <c r="AC4" s="6">
        <v>1045.45</v>
      </c>
      <c r="AD4" s="6">
        <v>1045.45</v>
      </c>
      <c r="AE4" s="6">
        <v>1045.45</v>
      </c>
      <c r="AF4" s="6">
        <v>1045.45</v>
      </c>
      <c r="AG4" s="6">
        <v>1045.45</v>
      </c>
      <c r="AH4" s="6">
        <v>1045.45</v>
      </c>
      <c r="AI4" s="6">
        <v>1045.45</v>
      </c>
      <c r="AJ4" s="6">
        <v>1045.45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>
        <f t="shared" si="2"/>
        <v>23499.900000000009</v>
      </c>
      <c r="BJ4" s="6">
        <f>+BI4-BENES!J9</f>
        <v>-500.09999999999127</v>
      </c>
      <c r="BK4" s="6">
        <f t="shared" si="0"/>
        <v>14090.850000000004</v>
      </c>
      <c r="BL4" s="2">
        <f>VLOOKUP(A4,BENES!B8:AV92,43,0)</f>
        <v>458927.83</v>
      </c>
      <c r="BM4" s="2">
        <f t="shared" si="1"/>
        <v>23</v>
      </c>
      <c r="BN4" s="119">
        <f t="shared" si="3"/>
        <v>1021.734782608696</v>
      </c>
    </row>
    <row r="5" spans="1:66" x14ac:dyDescent="0.25">
      <c r="A5" s="5">
        <v>104</v>
      </c>
      <c r="B5" s="5" t="s">
        <v>145</v>
      </c>
      <c r="C5" s="6"/>
      <c r="D5" s="6"/>
      <c r="E5" s="6"/>
      <c r="F5" s="6"/>
      <c r="G5" s="6"/>
      <c r="H5" s="6"/>
      <c r="I5" s="6"/>
      <c r="J5" s="6"/>
      <c r="K5" s="6">
        <v>300</v>
      </c>
      <c r="L5" s="6">
        <v>1815.38</v>
      </c>
      <c r="M5" s="6">
        <v>1815.38</v>
      </c>
      <c r="N5" s="6">
        <v>1815.38</v>
      </c>
      <c r="O5" s="6">
        <v>1815.38</v>
      </c>
      <c r="P5" s="6">
        <v>1815.38</v>
      </c>
      <c r="Q5" s="6">
        <v>1815.38</v>
      </c>
      <c r="R5" s="6">
        <v>1815.38</v>
      </c>
      <c r="S5" s="6">
        <v>1815.38</v>
      </c>
      <c r="T5" s="6">
        <v>1815.38</v>
      </c>
      <c r="U5" s="6">
        <v>1815.38</v>
      </c>
      <c r="V5" s="6">
        <v>1815.38</v>
      </c>
      <c r="W5" s="6">
        <v>1815.38</v>
      </c>
      <c r="X5" s="6">
        <v>1815.38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f t="shared" si="2"/>
        <v>23899.94000000001</v>
      </c>
      <c r="BJ5" s="6">
        <f>+BI5-BENES!J10</f>
        <v>-25900.05999999999</v>
      </c>
      <c r="BK5" s="6">
        <f t="shared" si="0"/>
        <v>23899.94000000001</v>
      </c>
      <c r="BL5" s="2">
        <f>VLOOKUP(A5,BENES!B9:AV93,43,0)</f>
        <v>494900</v>
      </c>
      <c r="BM5" s="2">
        <f t="shared" si="1"/>
        <v>14</v>
      </c>
      <c r="BN5" s="119">
        <f t="shared" si="3"/>
        <v>1707.138571428572</v>
      </c>
    </row>
    <row r="6" spans="1:66" x14ac:dyDescent="0.25">
      <c r="A6" s="5">
        <v>105</v>
      </c>
      <c r="B6" s="5" t="s">
        <v>145</v>
      </c>
      <c r="C6" s="6"/>
      <c r="D6" s="6"/>
      <c r="E6" s="6"/>
      <c r="F6" s="6"/>
      <c r="G6" s="6"/>
      <c r="H6" s="6"/>
      <c r="I6" s="6"/>
      <c r="J6" s="6"/>
      <c r="K6" s="6">
        <v>1000</v>
      </c>
      <c r="L6" s="6">
        <v>1784.29</v>
      </c>
      <c r="M6" s="6">
        <v>1784.29</v>
      </c>
      <c r="N6" s="6">
        <v>1784.29</v>
      </c>
      <c r="O6" s="6">
        <v>1784.29</v>
      </c>
      <c r="P6" s="6">
        <v>1784.29</v>
      </c>
      <c r="Q6" s="6">
        <v>1784.29</v>
      </c>
      <c r="R6" s="6">
        <v>1784.29</v>
      </c>
      <c r="S6" s="6">
        <v>1784.29</v>
      </c>
      <c r="T6" s="6">
        <v>1784.29</v>
      </c>
      <c r="U6" s="6">
        <v>1784.29</v>
      </c>
      <c r="V6" s="6">
        <v>1784.29</v>
      </c>
      <c r="W6" s="6">
        <v>1784.29</v>
      </c>
      <c r="X6" s="6">
        <v>1784.29</v>
      </c>
      <c r="Y6" s="6">
        <v>1784.29</v>
      </c>
      <c r="Z6" s="6">
        <v>1784.29</v>
      </c>
      <c r="AA6" s="6">
        <v>1784.29</v>
      </c>
      <c r="AB6" s="6">
        <v>1784.29</v>
      </c>
      <c r="AC6" s="6">
        <v>1784.29</v>
      </c>
      <c r="AD6" s="6">
        <v>1784.29</v>
      </c>
      <c r="AE6" s="6">
        <v>1784.29</v>
      </c>
      <c r="AF6" s="6">
        <v>1784.29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f t="shared" si="2"/>
        <v>38470.090000000011</v>
      </c>
      <c r="BJ6" s="6">
        <f>+BI6-BENES!J11</f>
        <v>14570.090000000011</v>
      </c>
      <c r="BK6" s="6">
        <f t="shared" si="0"/>
        <v>29548.64000000001</v>
      </c>
      <c r="BL6" s="2">
        <f>VLOOKUP(A6,BENES!B10:AV94,43,0)</f>
        <v>346215</v>
      </c>
      <c r="BM6" s="2">
        <f t="shared" si="1"/>
        <v>22</v>
      </c>
      <c r="BN6" s="119">
        <f t="shared" si="3"/>
        <v>1748.640454545455</v>
      </c>
    </row>
    <row r="7" spans="1:66" x14ac:dyDescent="0.25">
      <c r="A7" s="5">
        <v>108</v>
      </c>
      <c r="B7" s="5" t="s">
        <v>145</v>
      </c>
      <c r="C7" s="6"/>
      <c r="D7" s="6"/>
      <c r="E7" s="6"/>
      <c r="F7" s="6"/>
      <c r="G7" s="6"/>
      <c r="H7" s="6"/>
      <c r="I7" s="6"/>
      <c r="J7" s="6"/>
      <c r="K7" s="6">
        <v>3230</v>
      </c>
      <c r="L7" s="6">
        <v>2434.7399999999998</v>
      </c>
      <c r="M7" s="6">
        <v>2434.7399999999998</v>
      </c>
      <c r="N7" s="6">
        <v>2434.7399999999998</v>
      </c>
      <c r="O7" s="6">
        <v>2434.7399999999998</v>
      </c>
      <c r="P7" s="6">
        <v>2434.7399999999998</v>
      </c>
      <c r="Q7" s="6">
        <v>2434.7399999999998</v>
      </c>
      <c r="R7" s="6">
        <v>2434.7399999999998</v>
      </c>
      <c r="S7" s="6">
        <v>2434.7399999999998</v>
      </c>
      <c r="T7" s="6">
        <v>2434.7399999999998</v>
      </c>
      <c r="U7" s="6">
        <v>2434.7399999999998</v>
      </c>
      <c r="V7" s="6">
        <v>2434.7399999999998</v>
      </c>
      <c r="W7" s="6">
        <v>2434.7399999999998</v>
      </c>
      <c r="X7" s="6">
        <v>2434.7399999999998</v>
      </c>
      <c r="Y7" s="6">
        <v>2434.7399999999998</v>
      </c>
      <c r="Z7" s="6">
        <v>2434.7399999999998</v>
      </c>
      <c r="AA7" s="6">
        <v>2434.7399999999998</v>
      </c>
      <c r="AB7" s="6">
        <v>2434.7399999999998</v>
      </c>
      <c r="AC7" s="6">
        <v>2434.7399999999998</v>
      </c>
      <c r="AD7" s="6">
        <v>2434.6799999999998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f t="shared" si="2"/>
        <v>49489.999999999978</v>
      </c>
      <c r="BJ7" s="6">
        <f>+BI7-BENES!J14</f>
        <v>-46110.000000000022</v>
      </c>
      <c r="BK7" s="6">
        <f t="shared" si="0"/>
        <v>42185.839999999982</v>
      </c>
      <c r="BL7" s="2">
        <f>VLOOKUP(A7,BENES!B11:AV95,43,0)</f>
        <v>448214.94</v>
      </c>
      <c r="BM7" s="2">
        <f t="shared" si="1"/>
        <v>20</v>
      </c>
      <c r="BN7" s="119">
        <f t="shared" si="3"/>
        <v>2474.4999999999991</v>
      </c>
    </row>
    <row r="8" spans="1:66" x14ac:dyDescent="0.25">
      <c r="A8" s="5">
        <v>109</v>
      </c>
      <c r="B8" s="5" t="s">
        <v>145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1500</v>
      </c>
      <c r="Z8" s="6">
        <v>1875</v>
      </c>
      <c r="AA8" s="6">
        <v>1875</v>
      </c>
      <c r="AB8" s="6">
        <v>1875</v>
      </c>
      <c r="AC8" s="6">
        <v>1875</v>
      </c>
      <c r="AD8" s="6">
        <v>1875</v>
      </c>
      <c r="AE8" s="6">
        <v>1875</v>
      </c>
      <c r="AF8" s="6">
        <v>1875</v>
      </c>
      <c r="AG8" s="6">
        <v>1875</v>
      </c>
      <c r="AH8" s="6">
        <v>1875</v>
      </c>
      <c r="AI8" s="6">
        <v>1875</v>
      </c>
      <c r="AJ8" s="6">
        <v>1875</v>
      </c>
      <c r="AK8" s="6">
        <v>1875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f t="shared" si="2"/>
        <v>24000</v>
      </c>
      <c r="BJ8" s="6">
        <f>+BI8-BENES!J15</f>
        <v>-25490</v>
      </c>
      <c r="BK8" s="6">
        <f t="shared" si="0"/>
        <v>5250</v>
      </c>
      <c r="BL8" s="2" t="e">
        <f>VLOOKUP(A8,BENES!B12:AV96,43,0)</f>
        <v>#N/A</v>
      </c>
      <c r="BM8" s="2">
        <f t="shared" si="1"/>
        <v>13</v>
      </c>
      <c r="BN8" s="119">
        <f t="shared" si="3"/>
        <v>1846.1538461538462</v>
      </c>
    </row>
    <row r="9" spans="1:66" x14ac:dyDescent="0.25">
      <c r="A9" s="5">
        <v>201</v>
      </c>
      <c r="B9" s="5" t="s">
        <v>145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v>1000</v>
      </c>
      <c r="Q9" s="6">
        <v>1045.45</v>
      </c>
      <c r="R9" s="6">
        <v>1045.45</v>
      </c>
      <c r="S9" s="6">
        <v>1045.45</v>
      </c>
      <c r="T9" s="6">
        <v>1045.45</v>
      </c>
      <c r="U9" s="6">
        <v>1045.45</v>
      </c>
      <c r="V9" s="6">
        <v>1045.45</v>
      </c>
      <c r="W9" s="6">
        <v>1045.45</v>
      </c>
      <c r="X9" s="6">
        <v>1045.45</v>
      </c>
      <c r="Y9" s="6">
        <v>1045.45</v>
      </c>
      <c r="Z9" s="6">
        <v>1045.45</v>
      </c>
      <c r="AA9" s="6">
        <v>1045.45</v>
      </c>
      <c r="AB9" s="6">
        <v>1045.45</v>
      </c>
      <c r="AC9" s="6">
        <v>1045.45</v>
      </c>
      <c r="AD9" s="6">
        <v>1045.45</v>
      </c>
      <c r="AE9" s="6">
        <v>1045.45</v>
      </c>
      <c r="AF9" s="6">
        <v>1045.45</v>
      </c>
      <c r="AG9" s="6">
        <v>1045.45</v>
      </c>
      <c r="AH9" s="6">
        <v>1045.45</v>
      </c>
      <c r="AI9" s="6">
        <v>1045.45</v>
      </c>
      <c r="AJ9" s="6">
        <v>1045.45</v>
      </c>
      <c r="AK9" s="6">
        <v>1045.45</v>
      </c>
      <c r="AL9" s="6">
        <v>1045.45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f t="shared" si="2"/>
        <v>23999.900000000009</v>
      </c>
      <c r="BJ9" s="6">
        <f>+BI9-BENES!J20</f>
        <v>-9.9999999991268851E-2</v>
      </c>
      <c r="BK9" s="6">
        <f t="shared" si="0"/>
        <v>12499.950000000003</v>
      </c>
      <c r="BL9" s="2">
        <f>VLOOKUP(A9,BENES!B13:AV97,43,0)</f>
        <v>461012</v>
      </c>
      <c r="BM9" s="2">
        <f t="shared" si="1"/>
        <v>23</v>
      </c>
      <c r="BN9" s="119">
        <f t="shared" si="3"/>
        <v>1043.4739130434787</v>
      </c>
    </row>
    <row r="10" spans="1:66" x14ac:dyDescent="0.25">
      <c r="A10" s="5">
        <v>202</v>
      </c>
      <c r="B10" s="5" t="s">
        <v>145</v>
      </c>
      <c r="C10" s="6"/>
      <c r="D10" s="6"/>
      <c r="E10" s="6"/>
      <c r="F10" s="6"/>
      <c r="G10" s="6"/>
      <c r="H10" s="6"/>
      <c r="I10" s="6"/>
      <c r="J10" s="6"/>
      <c r="K10" s="6">
        <v>500</v>
      </c>
      <c r="L10" s="6">
        <v>2240.91</v>
      </c>
      <c r="M10" s="6">
        <v>2240.91</v>
      </c>
      <c r="N10" s="6">
        <v>2240.91</v>
      </c>
      <c r="O10" s="6">
        <v>2240.91</v>
      </c>
      <c r="P10" s="6">
        <v>2240.91</v>
      </c>
      <c r="Q10" s="6">
        <v>2240.91</v>
      </c>
      <c r="R10" s="6">
        <v>2240.91</v>
      </c>
      <c r="S10" s="6">
        <v>2240.91</v>
      </c>
      <c r="T10" s="6">
        <v>2240.91</v>
      </c>
      <c r="U10" s="6">
        <v>2240.91</v>
      </c>
      <c r="V10" s="6">
        <v>2240.91</v>
      </c>
      <c r="W10" s="6">
        <v>2240.91</v>
      </c>
      <c r="X10" s="6">
        <v>2240.91</v>
      </c>
      <c r="Y10" s="6">
        <v>2240.91</v>
      </c>
      <c r="Z10" s="6">
        <v>2240.91</v>
      </c>
      <c r="AA10" s="6">
        <v>2240.91</v>
      </c>
      <c r="AB10" s="6">
        <v>2240.91</v>
      </c>
      <c r="AC10" s="6">
        <v>2240.91</v>
      </c>
      <c r="AD10" s="6">
        <v>2240.91</v>
      </c>
      <c r="AE10" s="6">
        <v>2240.91</v>
      </c>
      <c r="AF10" s="6">
        <v>2240.91</v>
      </c>
      <c r="AG10" s="6">
        <v>2240.91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f t="shared" si="2"/>
        <v>49800.020000000019</v>
      </c>
      <c r="BJ10" s="6">
        <f>+BI10-BENES!J21</f>
        <v>25900.020000000019</v>
      </c>
      <c r="BK10" s="6">
        <f t="shared" si="0"/>
        <v>36354.559999999998</v>
      </c>
      <c r="BL10" s="2">
        <f>VLOOKUP(A10,BENES!B14:AV98,43,0)</f>
        <v>452581.8</v>
      </c>
      <c r="BM10" s="2">
        <f t="shared" si="1"/>
        <v>23</v>
      </c>
      <c r="BN10" s="119">
        <f t="shared" si="3"/>
        <v>2165.2182608695662</v>
      </c>
    </row>
    <row r="11" spans="1:66" x14ac:dyDescent="0.25">
      <c r="A11" s="5">
        <v>203</v>
      </c>
      <c r="B11" s="5" t="s">
        <v>145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1500</v>
      </c>
      <c r="T11" s="6">
        <v>1323.53</v>
      </c>
      <c r="U11" s="6">
        <v>1323.53</v>
      </c>
      <c r="V11" s="6">
        <v>1323.53</v>
      </c>
      <c r="W11" s="6">
        <v>1323.53</v>
      </c>
      <c r="X11" s="6">
        <v>1323.53</v>
      </c>
      <c r="Y11" s="6">
        <v>1323.53</v>
      </c>
      <c r="Z11" s="6">
        <v>1323.53</v>
      </c>
      <c r="AA11" s="6">
        <v>1323.53</v>
      </c>
      <c r="AB11" s="6">
        <v>1323.53</v>
      </c>
      <c r="AC11" s="6">
        <v>1323.53</v>
      </c>
      <c r="AD11" s="6">
        <v>1323.53</v>
      </c>
      <c r="AE11" s="6">
        <v>1323.53</v>
      </c>
      <c r="AF11" s="6">
        <v>1323.53</v>
      </c>
      <c r="AG11" s="6">
        <v>1323.53</v>
      </c>
      <c r="AH11" s="6">
        <v>1323.53</v>
      </c>
      <c r="AI11" s="6">
        <v>1323.53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f t="shared" si="2"/>
        <v>22676.479999999996</v>
      </c>
      <c r="BJ11" s="6">
        <f>+BI11-BENES!J22</f>
        <v>-27123.520000000004</v>
      </c>
      <c r="BK11" s="6">
        <f t="shared" si="0"/>
        <v>12088.24</v>
      </c>
      <c r="BL11" s="2">
        <f>VLOOKUP(A11,BENES!B15:AV99,43,0)</f>
        <v>463588.23</v>
      </c>
      <c r="BM11" s="2">
        <f t="shared" si="1"/>
        <v>17</v>
      </c>
      <c r="BN11" s="119">
        <f t="shared" si="3"/>
        <v>1333.910588235294</v>
      </c>
    </row>
    <row r="12" spans="1:66" x14ac:dyDescent="0.25">
      <c r="A12" s="5">
        <v>204</v>
      </c>
      <c r="B12" s="5" t="s">
        <v>145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1500</v>
      </c>
      <c r="T12" s="6">
        <v>1323.53</v>
      </c>
      <c r="U12" s="6">
        <v>1323.53</v>
      </c>
      <c r="V12" s="6">
        <v>1323.53</v>
      </c>
      <c r="W12" s="6">
        <v>1323.53</v>
      </c>
      <c r="X12" s="6">
        <v>1323.53</v>
      </c>
      <c r="Y12" s="6">
        <v>1323.53</v>
      </c>
      <c r="Z12" s="6">
        <v>1323.53</v>
      </c>
      <c r="AA12" s="6">
        <v>1323.53</v>
      </c>
      <c r="AB12" s="6">
        <v>1323.53</v>
      </c>
      <c r="AC12" s="6">
        <v>1323.53</v>
      </c>
      <c r="AD12" s="6">
        <v>1323.53</v>
      </c>
      <c r="AE12" s="6">
        <v>1323.53</v>
      </c>
      <c r="AF12" s="6">
        <v>1323.53</v>
      </c>
      <c r="AG12" s="6">
        <v>1323.53</v>
      </c>
      <c r="AH12" s="6">
        <v>1323.53</v>
      </c>
      <c r="AI12" s="6">
        <v>1323.53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f t="shared" si="2"/>
        <v>22676.479999999996</v>
      </c>
      <c r="BJ12" s="6">
        <f>+BI12-BENES!J23</f>
        <v>-1323.5200000000041</v>
      </c>
      <c r="BK12" s="6">
        <f t="shared" si="0"/>
        <v>12088.24</v>
      </c>
      <c r="BL12" s="2">
        <f>VLOOKUP(A12,BENES!B16:AV100,43,0)</f>
        <v>460317.64</v>
      </c>
      <c r="BM12" s="2">
        <f t="shared" si="1"/>
        <v>17</v>
      </c>
      <c r="BN12" s="119">
        <f t="shared" si="3"/>
        <v>1333.910588235294</v>
      </c>
    </row>
    <row r="13" spans="1:66" x14ac:dyDescent="0.25">
      <c r="A13" s="5">
        <v>205</v>
      </c>
      <c r="B13" s="5" t="s">
        <v>145</v>
      </c>
      <c r="C13" s="6"/>
      <c r="D13" s="6"/>
      <c r="E13" s="6"/>
      <c r="F13" s="6"/>
      <c r="G13" s="6"/>
      <c r="H13" s="6"/>
      <c r="I13" s="6"/>
      <c r="J13" s="6"/>
      <c r="K13" s="6">
        <v>1000</v>
      </c>
      <c r="L13" s="6">
        <v>1704.55</v>
      </c>
      <c r="M13" s="6">
        <v>1704.55</v>
      </c>
      <c r="N13" s="6">
        <v>1704.55</v>
      </c>
      <c r="O13" s="6">
        <v>1704.55</v>
      </c>
      <c r="P13" s="6">
        <v>1704.55</v>
      </c>
      <c r="Q13" s="6">
        <v>1704.55</v>
      </c>
      <c r="R13" s="6">
        <v>1704.55</v>
      </c>
      <c r="S13" s="6">
        <v>1704.55</v>
      </c>
      <c r="T13" s="6">
        <v>1704.55</v>
      </c>
      <c r="U13" s="6">
        <v>1704.55</v>
      </c>
      <c r="V13" s="6">
        <v>1704.55</v>
      </c>
      <c r="W13" s="6">
        <v>1704.55</v>
      </c>
      <c r="X13" s="6">
        <v>1704.55</v>
      </c>
      <c r="Y13" s="6">
        <v>1704.55</v>
      </c>
      <c r="Z13" s="6">
        <v>1704.55</v>
      </c>
      <c r="AA13" s="6">
        <v>1704.55</v>
      </c>
      <c r="AB13" s="6">
        <v>1704.55</v>
      </c>
      <c r="AC13" s="6">
        <v>1704.55</v>
      </c>
      <c r="AD13" s="6">
        <v>1704.55</v>
      </c>
      <c r="AE13" s="6">
        <v>1704.55</v>
      </c>
      <c r="AF13" s="6">
        <v>1704.55</v>
      </c>
      <c r="AG13" s="6">
        <v>1704.55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f t="shared" si="2"/>
        <v>38500.1</v>
      </c>
      <c r="BJ13" s="6">
        <f>+BI13-BENES!J24</f>
        <v>14500.099999999999</v>
      </c>
      <c r="BK13" s="6">
        <f t="shared" si="0"/>
        <v>28272.799999999992</v>
      </c>
      <c r="BL13" s="2">
        <f>VLOOKUP(A13,BENES!B17:AV101,43,0)</f>
        <v>349636.4</v>
      </c>
      <c r="BM13" s="2">
        <f t="shared" si="1"/>
        <v>23</v>
      </c>
      <c r="BN13" s="119">
        <f t="shared" si="3"/>
        <v>1673.9173913043478</v>
      </c>
    </row>
    <row r="14" spans="1:66" x14ac:dyDescent="0.25">
      <c r="A14" s="5">
        <v>207</v>
      </c>
      <c r="B14" s="5" t="s">
        <v>145</v>
      </c>
      <c r="C14" s="6"/>
      <c r="D14" s="6"/>
      <c r="E14" s="6"/>
      <c r="F14" s="6"/>
      <c r="G14" s="6"/>
      <c r="H14" s="6"/>
      <c r="I14" s="6"/>
      <c r="J14" s="6">
        <v>500</v>
      </c>
      <c r="K14" s="6">
        <v>2374.5</v>
      </c>
      <c r="L14" s="6">
        <v>2374.5</v>
      </c>
      <c r="M14" s="6">
        <v>2374.5</v>
      </c>
      <c r="N14" s="6">
        <v>2374.5</v>
      </c>
      <c r="O14" s="6">
        <v>2374.5</v>
      </c>
      <c r="P14" s="6">
        <v>2374.5</v>
      </c>
      <c r="Q14" s="6">
        <v>2374.5</v>
      </c>
      <c r="R14" s="6">
        <v>2374.5</v>
      </c>
      <c r="S14" s="6">
        <v>2374.5</v>
      </c>
      <c r="T14" s="6">
        <v>2374.5</v>
      </c>
      <c r="U14" s="6">
        <v>2374.5</v>
      </c>
      <c r="V14" s="6">
        <v>2374.5</v>
      </c>
      <c r="W14" s="6">
        <v>2374.5</v>
      </c>
      <c r="X14" s="6">
        <v>2374.5</v>
      </c>
      <c r="Y14" s="6">
        <v>2374.5</v>
      </c>
      <c r="Z14" s="6">
        <v>2374.5</v>
      </c>
      <c r="AA14" s="6">
        <v>2374.5</v>
      </c>
      <c r="AB14" s="6">
        <v>2374.5</v>
      </c>
      <c r="AC14" s="6">
        <v>2374.5</v>
      </c>
      <c r="AD14" s="6">
        <v>2374.5</v>
      </c>
      <c r="AE14" s="6">
        <v>2374.5</v>
      </c>
      <c r="AF14" s="6">
        <v>2374.5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f t="shared" si="2"/>
        <v>52739</v>
      </c>
      <c r="BJ14" s="6">
        <f>+BI14-BENES!J26</f>
        <v>14239</v>
      </c>
      <c r="BK14" s="6">
        <f t="shared" si="0"/>
        <v>40866.5</v>
      </c>
      <c r="BL14" s="2">
        <f>VLOOKUP(A14,BENES!B18:AV102,43,0)</f>
        <v>450159</v>
      </c>
      <c r="BM14" s="2">
        <f t="shared" si="1"/>
        <v>23</v>
      </c>
      <c r="BN14" s="119">
        <f t="shared" si="3"/>
        <v>2293</v>
      </c>
    </row>
    <row r="15" spans="1:66" x14ac:dyDescent="0.25">
      <c r="A15" s="5">
        <v>210</v>
      </c>
      <c r="B15" s="5" t="s">
        <v>145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1500</v>
      </c>
      <c r="W15" s="6">
        <v>1493.33</v>
      </c>
      <c r="X15" s="6">
        <v>1493.33</v>
      </c>
      <c r="Y15" s="6">
        <v>1493.33</v>
      </c>
      <c r="Z15" s="6">
        <v>1493.33</v>
      </c>
      <c r="AA15" s="6">
        <v>1493.33</v>
      </c>
      <c r="AB15" s="6">
        <v>1493.33</v>
      </c>
      <c r="AC15" s="6">
        <v>1493.33</v>
      </c>
      <c r="AD15" s="6">
        <v>1493.33</v>
      </c>
      <c r="AE15" s="6">
        <v>1493.33</v>
      </c>
      <c r="AF15" s="6">
        <v>1493.33</v>
      </c>
      <c r="AG15" s="6">
        <v>1493.33</v>
      </c>
      <c r="AH15" s="6">
        <v>1493.33</v>
      </c>
      <c r="AI15" s="6">
        <v>1493.33</v>
      </c>
      <c r="AJ15" s="6">
        <v>1493.33</v>
      </c>
      <c r="AK15" s="6">
        <v>1493.33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>
        <f t="shared" si="2"/>
        <v>23899.950000000004</v>
      </c>
      <c r="BJ15" s="6">
        <f>+BI15-BENES!J29</f>
        <v>-4.9999999995634425E-2</v>
      </c>
      <c r="BK15" s="6">
        <f t="shared" si="0"/>
        <v>8966.65</v>
      </c>
      <c r="BL15" s="2">
        <f>VLOOKUP(A15,BENES!B19:AV103,43,0)</f>
        <v>471726.68</v>
      </c>
      <c r="BM15" s="2">
        <f t="shared" si="1"/>
        <v>16</v>
      </c>
      <c r="BN15" s="119">
        <f t="shared" si="3"/>
        <v>1493.7468750000003</v>
      </c>
    </row>
    <row r="16" spans="1:66" x14ac:dyDescent="0.25">
      <c r="A16" s="5">
        <v>301</v>
      </c>
      <c r="B16" s="5" t="s">
        <v>145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1500</v>
      </c>
      <c r="AD16" s="792">
        <v>1493.38</v>
      </c>
      <c r="AE16" s="792">
        <v>1493.38</v>
      </c>
      <c r="AF16" s="792">
        <v>1493.38</v>
      </c>
      <c r="AG16" s="792">
        <v>1493.38</v>
      </c>
      <c r="AH16" s="792">
        <v>1493.38</v>
      </c>
      <c r="AI16" s="792">
        <v>1493.38</v>
      </c>
      <c r="AJ16" s="792">
        <v>1493.38</v>
      </c>
      <c r="AK16" s="792">
        <v>1493.38</v>
      </c>
      <c r="AL16" s="792">
        <v>1493.38</v>
      </c>
      <c r="AM16" s="792">
        <v>1493.38</v>
      </c>
      <c r="AN16" s="792">
        <v>1493.38</v>
      </c>
      <c r="AO16" s="792">
        <v>1493.38</v>
      </c>
      <c r="AP16" s="792">
        <v>1493.38</v>
      </c>
      <c r="AQ16" s="792">
        <v>1493.38</v>
      </c>
      <c r="AR16" s="792">
        <v>1493.38</v>
      </c>
      <c r="AS16" s="792"/>
      <c r="AT16" s="792"/>
      <c r="AU16" s="792"/>
      <c r="AV16" s="792"/>
      <c r="AW16" s="792"/>
      <c r="AX16" s="792"/>
      <c r="AY16" s="792"/>
      <c r="AZ16" s="792"/>
      <c r="BA16" s="792"/>
      <c r="BB16" s="792"/>
      <c r="BC16" s="792"/>
      <c r="BD16" s="792"/>
      <c r="BE16" s="792"/>
      <c r="BF16" s="792"/>
      <c r="BG16" s="792"/>
      <c r="BH16" s="792"/>
      <c r="BI16" s="6">
        <f t="shared" si="2"/>
        <v>23900.700000000012</v>
      </c>
      <c r="BJ16" s="6">
        <f>+BI16-BENES!J33</f>
        <v>0.70000000001164153</v>
      </c>
      <c r="BK16" s="6">
        <f t="shared" si="0"/>
        <v>0</v>
      </c>
      <c r="BL16" s="2">
        <f>VLOOKUP(A16,BENES!B20:AV104,43,0)</f>
        <v>474706</v>
      </c>
      <c r="BM16" s="2">
        <f t="shared" si="1"/>
        <v>15</v>
      </c>
      <c r="BN16" s="119">
        <f t="shared" si="3"/>
        <v>1593.3800000000008</v>
      </c>
    </row>
    <row r="17" spans="1:66" x14ac:dyDescent="0.25">
      <c r="A17" s="5">
        <v>302</v>
      </c>
      <c r="B17" s="5" t="s">
        <v>145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1500</v>
      </c>
      <c r="AD17" s="6">
        <v>1400</v>
      </c>
      <c r="AE17" s="6">
        <v>1400</v>
      </c>
      <c r="AF17" s="6">
        <v>1400</v>
      </c>
      <c r="AG17" s="6">
        <v>1400</v>
      </c>
      <c r="AH17" s="6">
        <v>1400</v>
      </c>
      <c r="AI17" s="6">
        <v>1400</v>
      </c>
      <c r="AJ17" s="6">
        <v>1400</v>
      </c>
      <c r="AK17" s="6">
        <v>1400</v>
      </c>
      <c r="AL17" s="6">
        <v>1400</v>
      </c>
      <c r="AM17" s="6">
        <v>1400</v>
      </c>
      <c r="AN17" s="6">
        <v>1400</v>
      </c>
      <c r="AO17" s="6">
        <v>1400</v>
      </c>
      <c r="AP17" s="6">
        <v>1400</v>
      </c>
      <c r="AQ17" s="6">
        <v>1400</v>
      </c>
      <c r="AR17" s="6">
        <v>1400</v>
      </c>
      <c r="AS17" s="6">
        <v>1400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>
        <f t="shared" si="2"/>
        <v>23900</v>
      </c>
      <c r="BJ17" s="6">
        <f>+BI17-BENES!J34</f>
        <v>0</v>
      </c>
      <c r="BK17" s="6">
        <f t="shared" si="0"/>
        <v>0</v>
      </c>
      <c r="BL17" s="2">
        <f>VLOOKUP(A17,BENES!B21:AV105,43,0)</f>
        <v>474100</v>
      </c>
      <c r="BM17" s="2">
        <f t="shared" si="1"/>
        <v>15</v>
      </c>
      <c r="BN17" s="119">
        <f t="shared" si="3"/>
        <v>1593.3333333333333</v>
      </c>
    </row>
    <row r="18" spans="1:66" x14ac:dyDescent="0.25">
      <c r="A18" s="5">
        <v>303</v>
      </c>
      <c r="B18" s="5" t="s">
        <v>145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1500</v>
      </c>
      <c r="Y18" s="6">
        <v>1723.08</v>
      </c>
      <c r="Z18" s="6">
        <v>1723.08</v>
      </c>
      <c r="AA18" s="6">
        <v>1723.08</v>
      </c>
      <c r="AB18" s="6">
        <v>1723.08</v>
      </c>
      <c r="AC18" s="6">
        <v>1723.08</v>
      </c>
      <c r="AD18" s="6">
        <v>1723.08</v>
      </c>
      <c r="AE18" s="6">
        <v>1723.08</v>
      </c>
      <c r="AF18" s="6">
        <v>1723.08</v>
      </c>
      <c r="AG18" s="6">
        <v>1723.08</v>
      </c>
      <c r="AH18" s="6">
        <v>1723.08</v>
      </c>
      <c r="AI18" s="6">
        <v>1723.08</v>
      </c>
      <c r="AJ18" s="6">
        <v>1723.08</v>
      </c>
      <c r="AK18" s="6">
        <v>1723.08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f t="shared" si="2"/>
        <v>23900.040000000008</v>
      </c>
      <c r="BJ18" s="6">
        <f>+BI18-BENES!J34</f>
        <v>4.0000000008149073E-2</v>
      </c>
      <c r="BK18" s="6">
        <f t="shared" si="0"/>
        <v>6669.24</v>
      </c>
      <c r="BL18" s="2">
        <f>VLOOKUP(A18,BENES!B22:AV106,43,0)</f>
        <v>463438.44</v>
      </c>
      <c r="BM18" s="2">
        <f t="shared" si="1"/>
        <v>14</v>
      </c>
      <c r="BN18" s="119">
        <f t="shared" si="3"/>
        <v>1707.1457142857148</v>
      </c>
    </row>
    <row r="19" spans="1:66" x14ac:dyDescent="0.25">
      <c r="A19" s="5">
        <v>304</v>
      </c>
      <c r="B19" s="5" t="s">
        <v>145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1500</v>
      </c>
      <c r="V19" s="6">
        <v>1493.33</v>
      </c>
      <c r="W19" s="6">
        <v>1493.33</v>
      </c>
      <c r="X19" s="6">
        <v>1493.33</v>
      </c>
      <c r="Y19" s="6">
        <v>1493.33</v>
      </c>
      <c r="Z19" s="6">
        <v>1493.33</v>
      </c>
      <c r="AA19" s="6">
        <v>1493.33</v>
      </c>
      <c r="AB19" s="6">
        <v>1493.33</v>
      </c>
      <c r="AC19" s="6">
        <v>1493.33</v>
      </c>
      <c r="AD19" s="6">
        <v>1493.33</v>
      </c>
      <c r="AE19" s="6">
        <v>1493.33</v>
      </c>
      <c r="AF19" s="6">
        <v>1493.33</v>
      </c>
      <c r="AG19" s="6">
        <v>1493.33</v>
      </c>
      <c r="AH19" s="6">
        <v>1493.33</v>
      </c>
      <c r="AI19" s="6">
        <v>1493.33</v>
      </c>
      <c r="AJ19" s="6">
        <v>1493.33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f t="shared" si="2"/>
        <v>23899.950000000004</v>
      </c>
      <c r="BJ19" s="6">
        <f>+BI19-BENES!J35</f>
        <v>-4.9999999995634425E-2</v>
      </c>
      <c r="BK19" s="6">
        <f t="shared" si="0"/>
        <v>10459.98</v>
      </c>
      <c r="BL19" s="2">
        <f>VLOOKUP(A19,BENES!B23:AV107,43,0)</f>
        <v>461200</v>
      </c>
      <c r="BM19" s="2">
        <f t="shared" si="1"/>
        <v>16</v>
      </c>
      <c r="BN19" s="119">
        <f t="shared" si="3"/>
        <v>1493.7468750000003</v>
      </c>
    </row>
    <row r="20" spans="1:66" x14ac:dyDescent="0.25">
      <c r="A20" s="5">
        <v>305</v>
      </c>
      <c r="B20" s="5" t="s">
        <v>145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1500</v>
      </c>
      <c r="AE20" s="6">
        <v>1062.5</v>
      </c>
      <c r="AF20" s="6">
        <v>1062.5</v>
      </c>
      <c r="AG20" s="6">
        <v>1062.5</v>
      </c>
      <c r="AH20" s="6">
        <v>1062.5</v>
      </c>
      <c r="AI20" s="6">
        <v>1062.5</v>
      </c>
      <c r="AJ20" s="6">
        <v>1062.5</v>
      </c>
      <c r="AK20" s="6">
        <v>1062.5</v>
      </c>
      <c r="AL20" s="6">
        <v>1062.5</v>
      </c>
      <c r="AM20" s="6">
        <v>1062.5</v>
      </c>
      <c r="AN20" s="6">
        <v>1062.5</v>
      </c>
      <c r="AO20" s="6">
        <v>1062.5</v>
      </c>
      <c r="AP20" s="6">
        <v>1062.5</v>
      </c>
      <c r="AQ20" s="6">
        <v>1062.5</v>
      </c>
      <c r="AR20" s="6">
        <v>1062.5</v>
      </c>
      <c r="AS20" s="6">
        <v>1062.5</v>
      </c>
      <c r="AT20" s="6">
        <v>1062.5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f t="shared" si="2"/>
        <v>18500</v>
      </c>
      <c r="BJ20" s="6">
        <f>+BI20-BENES!J36</f>
        <v>-5900</v>
      </c>
      <c r="BK20" s="6">
        <f t="shared" si="0"/>
        <v>0</v>
      </c>
      <c r="BL20" s="2">
        <f>VLOOKUP(A20,BENES!B24:AV108,43,0)</f>
        <v>486200</v>
      </c>
      <c r="BM20" s="2">
        <f t="shared" si="1"/>
        <v>14</v>
      </c>
      <c r="BN20" s="119">
        <f t="shared" si="3"/>
        <v>1321.4285714285713</v>
      </c>
    </row>
    <row r="21" spans="1:66" x14ac:dyDescent="0.25">
      <c r="A21" s="5">
        <v>306</v>
      </c>
      <c r="B21" s="5" t="s">
        <v>145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850">
        <v>1500</v>
      </c>
      <c r="AE21" s="850">
        <v>22400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f t="shared" si="2"/>
        <v>23900</v>
      </c>
      <c r="BJ21" s="6">
        <f>+BI21-BENES!J37</f>
        <v>0</v>
      </c>
      <c r="BK21" s="6">
        <f t="shared" si="0"/>
        <v>0</v>
      </c>
      <c r="BL21" s="2">
        <f>VLOOKUP(A21,BENES!B25:AV109,43,0)</f>
        <v>956042</v>
      </c>
      <c r="BM21" s="2">
        <f t="shared" si="1"/>
        <v>2</v>
      </c>
      <c r="BN21" s="119">
        <f t="shared" si="3"/>
        <v>11950</v>
      </c>
    </row>
    <row r="22" spans="1:66" x14ac:dyDescent="0.25">
      <c r="A22" s="5">
        <v>307</v>
      </c>
      <c r="B22" s="5" t="s">
        <v>145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f t="shared" si="2"/>
        <v>0</v>
      </c>
      <c r="BJ22" s="6">
        <f>+BI22-BENES!J39</f>
        <v>-39430</v>
      </c>
      <c r="BK22" s="6">
        <f t="shared" si="0"/>
        <v>0</v>
      </c>
      <c r="BL22" s="2" t="e">
        <f>VLOOKUP(A22,BENES!B26:AV110,43,0)</f>
        <v>#N/A</v>
      </c>
      <c r="BM22" s="2">
        <f t="shared" si="1"/>
        <v>0</v>
      </c>
      <c r="BN22" s="119">
        <f t="shared" si="3"/>
        <v>0</v>
      </c>
    </row>
    <row r="23" spans="1:66" x14ac:dyDescent="0.25">
      <c r="A23" s="5">
        <v>308</v>
      </c>
      <c r="B23" s="5" t="s">
        <v>145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1500</v>
      </c>
      <c r="Q23" s="6">
        <v>1125</v>
      </c>
      <c r="R23" s="6">
        <v>1125</v>
      </c>
      <c r="S23" s="6">
        <v>1125</v>
      </c>
      <c r="T23" s="6">
        <v>1125</v>
      </c>
      <c r="U23" s="6">
        <v>1125</v>
      </c>
      <c r="V23" s="6">
        <v>1125</v>
      </c>
      <c r="W23" s="6">
        <v>1125</v>
      </c>
      <c r="X23" s="6">
        <v>1125</v>
      </c>
      <c r="Y23" s="6">
        <v>1125</v>
      </c>
      <c r="Z23" s="6">
        <v>1125</v>
      </c>
      <c r="AA23" s="6">
        <v>1125</v>
      </c>
      <c r="AB23" s="6">
        <v>1125</v>
      </c>
      <c r="AC23" s="6">
        <v>1125</v>
      </c>
      <c r="AD23" s="6">
        <v>1125</v>
      </c>
      <c r="AE23" s="6">
        <v>1125</v>
      </c>
      <c r="AF23" s="6">
        <v>1125</v>
      </c>
      <c r="AG23" s="6">
        <v>1125</v>
      </c>
      <c r="AH23" s="6">
        <v>1125</v>
      </c>
      <c r="AI23" s="6">
        <v>1125</v>
      </c>
      <c r="AJ23" s="6">
        <v>1125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f t="shared" si="2"/>
        <v>24000</v>
      </c>
      <c r="BJ23" s="6">
        <f>+BI23-BENES!J40</f>
        <v>-400</v>
      </c>
      <c r="BK23" s="6">
        <f t="shared" si="0"/>
        <v>13875</v>
      </c>
      <c r="BL23" s="2">
        <f>VLOOKUP(A23,BENES!B27:AV111,43,0)</f>
        <v>486950</v>
      </c>
      <c r="BM23" s="2">
        <f t="shared" si="1"/>
        <v>21</v>
      </c>
      <c r="BN23" s="119">
        <f t="shared" si="3"/>
        <v>1142.8571428571429</v>
      </c>
    </row>
    <row r="24" spans="1:66" x14ac:dyDescent="0.25">
      <c r="A24" s="5">
        <v>309</v>
      </c>
      <c r="B24" s="5" t="s">
        <v>145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>
        <v>1500</v>
      </c>
      <c r="AE24" s="6">
        <v>1400</v>
      </c>
      <c r="AF24" s="6">
        <v>1400</v>
      </c>
      <c r="AG24" s="6">
        <v>1400</v>
      </c>
      <c r="AH24" s="6">
        <v>1400</v>
      </c>
      <c r="AI24" s="6">
        <v>1400</v>
      </c>
      <c r="AJ24" s="6">
        <v>1400</v>
      </c>
      <c r="AK24" s="6">
        <v>1400</v>
      </c>
      <c r="AL24" s="6">
        <v>1400</v>
      </c>
      <c r="AM24" s="6">
        <v>1400</v>
      </c>
      <c r="AN24" s="6">
        <v>1400</v>
      </c>
      <c r="AO24" s="6">
        <v>1400</v>
      </c>
      <c r="AP24" s="6">
        <v>1400</v>
      </c>
      <c r="AQ24" s="6">
        <v>1400</v>
      </c>
      <c r="AR24" s="6">
        <v>1400</v>
      </c>
      <c r="AS24" s="6">
        <v>1400</v>
      </c>
      <c r="AT24" s="6">
        <v>1400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f t="shared" si="2"/>
        <v>23900</v>
      </c>
      <c r="BJ24" s="6">
        <f>+BI24-BENES!J41</f>
        <v>-26820</v>
      </c>
      <c r="BK24" s="6">
        <f t="shared" si="0"/>
        <v>0</v>
      </c>
      <c r="BL24" s="2">
        <f>VLOOKUP(A24,BENES!B28:AV112,43,0)</f>
        <v>505700</v>
      </c>
      <c r="BM24" s="2">
        <f t="shared" si="1"/>
        <v>14</v>
      </c>
      <c r="BN24" s="119">
        <f t="shared" si="3"/>
        <v>1707.1428571428571</v>
      </c>
    </row>
    <row r="25" spans="1:66" x14ac:dyDescent="0.25">
      <c r="A25" s="5">
        <v>310</v>
      </c>
      <c r="B25" s="5" t="s">
        <v>145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f t="shared" si="2"/>
        <v>0</v>
      </c>
      <c r="BJ25" s="6">
        <f>+BI25-BENES!J43</f>
        <v>-24000</v>
      </c>
      <c r="BK25" s="6">
        <f t="shared" si="0"/>
        <v>0</v>
      </c>
      <c r="BL25" s="2" t="e">
        <f>VLOOKUP(A25,BENES!B29:AV113,43,0)</f>
        <v>#N/A</v>
      </c>
      <c r="BM25" s="2">
        <f t="shared" si="1"/>
        <v>0</v>
      </c>
      <c r="BN25" s="119">
        <f t="shared" si="3"/>
        <v>0</v>
      </c>
    </row>
    <row r="26" spans="1:66" x14ac:dyDescent="0.25">
      <c r="A26" s="5">
        <v>311</v>
      </c>
      <c r="B26" s="5" t="s">
        <v>145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f t="shared" si="2"/>
        <v>0</v>
      </c>
      <c r="BJ26" s="6">
        <f>+BI26-BENES!J44</f>
        <v>-23900</v>
      </c>
      <c r="BK26" s="6">
        <f t="shared" si="0"/>
        <v>0</v>
      </c>
      <c r="BL26" s="2">
        <f>VLOOKUP(A26,BENES!B30:AV114,43,0)</f>
        <v>459100</v>
      </c>
      <c r="BM26" s="2">
        <f t="shared" si="1"/>
        <v>0</v>
      </c>
      <c r="BN26" s="119">
        <f t="shared" si="3"/>
        <v>0</v>
      </c>
    </row>
    <row r="27" spans="1:66" x14ac:dyDescent="0.25">
      <c r="A27" s="5">
        <v>312</v>
      </c>
      <c r="B27" s="5" t="s">
        <v>145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f t="shared" si="2"/>
        <v>0</v>
      </c>
      <c r="BJ27" s="6">
        <f>+BI27-BENES!J45</f>
        <v>-50720</v>
      </c>
      <c r="BK27" s="6">
        <f t="shared" si="0"/>
        <v>0</v>
      </c>
      <c r="BL27" s="2">
        <f>VLOOKUP(A27,BENES!B31:AV115,43,0)</f>
        <v>507200</v>
      </c>
      <c r="BM27" s="2">
        <f t="shared" si="1"/>
        <v>0</v>
      </c>
      <c r="BN27" s="119">
        <f t="shared" si="3"/>
        <v>0</v>
      </c>
    </row>
    <row r="28" spans="1:66" x14ac:dyDescent="0.25">
      <c r="A28" s="5">
        <v>313</v>
      </c>
      <c r="B28" s="5" t="s">
        <v>145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f t="shared" si="2"/>
        <v>0</v>
      </c>
      <c r="BJ28" s="6">
        <f>+BI28-BENES!J46</f>
        <v>-50720</v>
      </c>
      <c r="BK28" s="6">
        <f t="shared" si="0"/>
        <v>0</v>
      </c>
      <c r="BL28" s="2">
        <f>VLOOKUP(A28,BENES!B32:AV116,43,0)</f>
        <v>505700</v>
      </c>
      <c r="BM28" s="2">
        <f t="shared" si="1"/>
        <v>0</v>
      </c>
      <c r="BN28" s="119">
        <f t="shared" si="3"/>
        <v>0</v>
      </c>
    </row>
    <row r="29" spans="1:66" x14ac:dyDescent="0.25">
      <c r="A29" s="5">
        <v>401</v>
      </c>
      <c r="B29" s="5" t="s">
        <v>145</v>
      </c>
      <c r="C29" s="6"/>
      <c r="D29" s="6"/>
      <c r="E29" s="6"/>
      <c r="F29" s="6"/>
      <c r="G29" s="6"/>
      <c r="H29" s="6"/>
      <c r="I29" s="6"/>
      <c r="J29" s="6"/>
      <c r="K29" s="6"/>
      <c r="L29" s="6">
        <v>500</v>
      </c>
      <c r="M29" s="6">
        <v>2333.33</v>
      </c>
      <c r="N29" s="6">
        <v>2333.33</v>
      </c>
      <c r="O29" s="6">
        <v>2333.33</v>
      </c>
      <c r="P29" s="6">
        <v>2333.33</v>
      </c>
      <c r="Q29" s="6">
        <v>2333.33</v>
      </c>
      <c r="R29" s="6">
        <v>2333.33</v>
      </c>
      <c r="S29" s="6">
        <v>2333.33</v>
      </c>
      <c r="T29" s="6">
        <v>2333.33</v>
      </c>
      <c r="U29" s="6">
        <v>2333.33</v>
      </c>
      <c r="V29" s="6">
        <v>2333.33</v>
      </c>
      <c r="W29" s="6">
        <v>2333.33</v>
      </c>
      <c r="X29" s="6">
        <v>2333.33</v>
      </c>
      <c r="Y29" s="6">
        <v>2333.33</v>
      </c>
      <c r="Z29" s="6">
        <v>2333.33</v>
      </c>
      <c r="AA29" s="6">
        <v>2333.33</v>
      </c>
      <c r="AB29" s="6">
        <v>2333.33</v>
      </c>
      <c r="AC29" s="6">
        <v>2333.33</v>
      </c>
      <c r="AD29" s="6">
        <v>2333.33</v>
      </c>
      <c r="AE29" s="6">
        <v>2333.33</v>
      </c>
      <c r="AF29" s="6">
        <v>2333.33</v>
      </c>
      <c r="AG29" s="6">
        <v>2333.33</v>
      </c>
      <c r="AH29" s="6">
        <v>2333.33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f t="shared" si="2"/>
        <v>51833.260000000024</v>
      </c>
      <c r="BJ29" s="6">
        <f>+BI29-BENES!J47</f>
        <v>2333.2600000000239</v>
      </c>
      <c r="BK29" s="6">
        <f t="shared" si="0"/>
        <v>35499.950000000012</v>
      </c>
      <c r="BL29" s="2">
        <f>VLOOKUP(A29,BENES!B33:AV117,43,0)</f>
        <v>452400.06</v>
      </c>
      <c r="BM29" s="2">
        <f t="shared" si="1"/>
        <v>23</v>
      </c>
      <c r="BN29" s="119">
        <f t="shared" si="3"/>
        <v>2253.6200000000013</v>
      </c>
    </row>
    <row r="30" spans="1:66" x14ac:dyDescent="0.25">
      <c r="A30" s="5">
        <v>402</v>
      </c>
      <c r="B30" s="5" t="s">
        <v>145</v>
      </c>
      <c r="C30" s="6"/>
      <c r="D30" s="6"/>
      <c r="E30" s="6"/>
      <c r="F30" s="6"/>
      <c r="G30" s="6"/>
      <c r="H30" s="6"/>
      <c r="I30" s="6"/>
      <c r="J30" s="6"/>
      <c r="K30" s="6"/>
      <c r="L30" s="6">
        <v>500</v>
      </c>
      <c r="M30" s="6">
        <v>1800</v>
      </c>
      <c r="N30" s="6">
        <v>1800</v>
      </c>
      <c r="O30" s="6">
        <v>1800</v>
      </c>
      <c r="P30" s="6">
        <v>1800</v>
      </c>
      <c r="Q30" s="6">
        <v>1800</v>
      </c>
      <c r="R30" s="6">
        <v>1800</v>
      </c>
      <c r="S30" s="6">
        <v>1800</v>
      </c>
      <c r="T30" s="6">
        <v>1800</v>
      </c>
      <c r="U30" s="6">
        <v>1800</v>
      </c>
      <c r="V30" s="6">
        <v>1800</v>
      </c>
      <c r="W30" s="6">
        <v>1800</v>
      </c>
      <c r="X30" s="6">
        <v>1800</v>
      </c>
      <c r="Y30" s="6">
        <v>1800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f t="shared" si="2"/>
        <v>23900</v>
      </c>
      <c r="BJ30" s="6">
        <f>+BI30-BENES!J48</f>
        <v>0</v>
      </c>
      <c r="BK30" s="6">
        <f t="shared" si="0"/>
        <v>23900</v>
      </c>
      <c r="BL30" s="2">
        <f>VLOOKUP(A30,BENES!B34:AV118,43,0)</f>
        <v>473200</v>
      </c>
      <c r="BM30" s="2">
        <f t="shared" si="1"/>
        <v>14</v>
      </c>
      <c r="BN30" s="119">
        <f t="shared" si="3"/>
        <v>1707.1428571428571</v>
      </c>
    </row>
    <row r="31" spans="1:66" x14ac:dyDescent="0.25">
      <c r="A31" s="5">
        <v>403</v>
      </c>
      <c r="B31" s="5" t="s">
        <v>145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1500</v>
      </c>
      <c r="R31" s="6">
        <v>1178.95</v>
      </c>
      <c r="S31" s="6">
        <v>1178.95</v>
      </c>
      <c r="T31" s="6">
        <v>1178.95</v>
      </c>
      <c r="U31" s="6">
        <v>1178.95</v>
      </c>
      <c r="V31" s="6">
        <v>1178.95</v>
      </c>
      <c r="W31" s="6">
        <v>1178.95</v>
      </c>
      <c r="X31" s="6">
        <v>1178.95</v>
      </c>
      <c r="Y31" s="6">
        <v>1178.95</v>
      </c>
      <c r="Z31" s="6">
        <v>1178.95</v>
      </c>
      <c r="AA31" s="6">
        <v>1178.95</v>
      </c>
      <c r="AB31" s="6">
        <v>1178.95</v>
      </c>
      <c r="AC31" s="6">
        <v>1178.95</v>
      </c>
      <c r="AD31" s="6">
        <v>1178.95</v>
      </c>
      <c r="AE31" s="6">
        <v>1178.95</v>
      </c>
      <c r="AF31" s="6">
        <v>1178.95</v>
      </c>
      <c r="AG31" s="6">
        <v>1178.95</v>
      </c>
      <c r="AH31" s="6">
        <v>1178.95</v>
      </c>
      <c r="AI31" s="6">
        <v>1178.95</v>
      </c>
      <c r="AJ31" s="6">
        <v>1178.95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f t="shared" si="2"/>
        <v>23900.050000000007</v>
      </c>
      <c r="BJ31" s="6">
        <f>+BI31-BENES!J49</f>
        <v>5.0000000006548362E-2</v>
      </c>
      <c r="BK31" s="6">
        <f t="shared" si="0"/>
        <v>13289.500000000002</v>
      </c>
      <c r="BL31" s="2">
        <f>VLOOKUP(A31,BENES!B35:AV119,43,0)</f>
        <v>462530</v>
      </c>
      <c r="BM31" s="2">
        <f t="shared" si="1"/>
        <v>20</v>
      </c>
      <c r="BN31" s="119">
        <f t="shared" si="3"/>
        <v>1195.0025000000003</v>
      </c>
    </row>
    <row r="32" spans="1:66" x14ac:dyDescent="0.25">
      <c r="A32" s="5">
        <v>405</v>
      </c>
      <c r="B32" s="5" t="s">
        <v>145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>
        <v>1500</v>
      </c>
      <c r="AE32" s="6">
        <v>1062.5</v>
      </c>
      <c r="AF32" s="6">
        <v>1062.5</v>
      </c>
      <c r="AG32" s="6">
        <v>1062.5</v>
      </c>
      <c r="AH32" s="6">
        <v>1062.5</v>
      </c>
      <c r="AI32" s="6">
        <v>1062.5</v>
      </c>
      <c r="AJ32" s="6">
        <v>1062.5</v>
      </c>
      <c r="AK32" s="6">
        <v>1062.5</v>
      </c>
      <c r="AL32" s="6">
        <v>1062.5</v>
      </c>
      <c r="AM32" s="6">
        <v>1062.5</v>
      </c>
      <c r="AN32" s="6">
        <v>1062.5</v>
      </c>
      <c r="AO32" s="6">
        <v>1062.5</v>
      </c>
      <c r="AP32" s="6">
        <v>1062.5</v>
      </c>
      <c r="AQ32" s="6">
        <v>1062.5</v>
      </c>
      <c r="AR32" s="6">
        <v>1062.5</v>
      </c>
      <c r="AS32" s="6">
        <v>1062.5</v>
      </c>
      <c r="AT32" s="6">
        <v>1062.5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f t="shared" si="2"/>
        <v>18500</v>
      </c>
      <c r="BJ32" s="6">
        <f>+BI32-BENES!J50</f>
        <v>-5400</v>
      </c>
      <c r="BK32" s="6">
        <f t="shared" si="0"/>
        <v>0</v>
      </c>
      <c r="BL32" s="2">
        <f>VLOOKUP(A32,BENES!B36:AV120,43,0)</f>
        <v>365237.5</v>
      </c>
      <c r="BM32" s="2">
        <f t="shared" si="1"/>
        <v>14</v>
      </c>
      <c r="BN32" s="119">
        <f t="shared" si="3"/>
        <v>1321.4285714285713</v>
      </c>
    </row>
    <row r="33" spans="1:66" x14ac:dyDescent="0.25">
      <c r="A33" s="5">
        <v>406</v>
      </c>
      <c r="B33" s="5" t="s">
        <v>145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f t="shared" si="2"/>
        <v>0</v>
      </c>
      <c r="BJ33" s="6">
        <f>+BI33-BENES!J52</f>
        <v>-23900</v>
      </c>
      <c r="BK33" s="6">
        <f t="shared" si="0"/>
        <v>0</v>
      </c>
      <c r="BL33" s="2" t="e">
        <f>VLOOKUP(A33,BENES!B37:AV121,43,0)</f>
        <v>#N/A</v>
      </c>
      <c r="BM33" s="2">
        <f t="shared" si="1"/>
        <v>0</v>
      </c>
      <c r="BN33" s="119">
        <f t="shared" si="3"/>
        <v>0</v>
      </c>
    </row>
    <row r="34" spans="1:66" x14ac:dyDescent="0.25">
      <c r="A34" s="5">
        <v>407</v>
      </c>
      <c r="B34" s="5" t="s">
        <v>145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1500</v>
      </c>
      <c r="AD34" s="6">
        <v>1866.67</v>
      </c>
      <c r="AE34" s="6">
        <v>1866.67</v>
      </c>
      <c r="AF34" s="6">
        <v>1866.67</v>
      </c>
      <c r="AG34" s="6">
        <v>1866.67</v>
      </c>
      <c r="AH34" s="6">
        <v>1866.67</v>
      </c>
      <c r="AI34" s="6">
        <v>1866.67</v>
      </c>
      <c r="AJ34" s="6">
        <v>1866.67</v>
      </c>
      <c r="AK34" s="6">
        <v>1866.67</v>
      </c>
      <c r="AL34" s="6">
        <v>1866.67</v>
      </c>
      <c r="AM34" s="6">
        <v>1866.67</v>
      </c>
      <c r="AN34" s="6">
        <v>1866.67</v>
      </c>
      <c r="AO34" s="6">
        <v>1866.67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f t="shared" si="2"/>
        <v>23900.039999999994</v>
      </c>
      <c r="BJ34" s="6">
        <f>+BI34-BENES!J53</f>
        <v>-15529.960000000006</v>
      </c>
      <c r="BK34" s="6">
        <f t="shared" si="0"/>
        <v>0</v>
      </c>
      <c r="BL34" s="2">
        <f>VLOOKUP(A34,BENES!B38:AV122,43,0)</f>
        <v>394300</v>
      </c>
      <c r="BM34" s="2">
        <f t="shared" si="1"/>
        <v>13</v>
      </c>
      <c r="BN34" s="119">
        <f t="shared" si="3"/>
        <v>1838.4646153846149</v>
      </c>
    </row>
    <row r="35" spans="1:66" x14ac:dyDescent="0.25">
      <c r="A35" s="5">
        <v>409</v>
      </c>
      <c r="B35" s="5" t="s">
        <v>145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1500</v>
      </c>
      <c r="AB35" s="6">
        <v>1493.33</v>
      </c>
      <c r="AC35" s="6">
        <v>1493.33</v>
      </c>
      <c r="AD35" s="6">
        <v>1493.33</v>
      </c>
      <c r="AE35" s="6">
        <v>1493.33</v>
      </c>
      <c r="AF35" s="6">
        <v>1493.33</v>
      </c>
      <c r="AG35" s="6">
        <v>1493.33</v>
      </c>
      <c r="AH35" s="6">
        <v>1493.33</v>
      </c>
      <c r="AI35" s="6">
        <v>1493.33</v>
      </c>
      <c r="AJ35" s="6">
        <v>1493.33</v>
      </c>
      <c r="AK35" s="6">
        <v>1493.33</v>
      </c>
      <c r="AL35" s="6">
        <v>1493.33</v>
      </c>
      <c r="AM35" s="6">
        <v>1493.33</v>
      </c>
      <c r="AN35" s="6">
        <v>1493.33</v>
      </c>
      <c r="AO35" s="6">
        <v>1493.33</v>
      </c>
      <c r="AP35" s="6">
        <v>1493.33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f t="shared" si="2"/>
        <v>23899.950000000004</v>
      </c>
      <c r="BJ35" s="6">
        <f>+BI35-BENES!J55</f>
        <v>-4.9999999995634425E-2</v>
      </c>
      <c r="BK35" s="6">
        <f t="shared" si="0"/>
        <v>1500</v>
      </c>
      <c r="BL35" s="2">
        <f>VLOOKUP(A35,BENES!B39:AV123,43,0)</f>
        <v>470200</v>
      </c>
      <c r="BM35" s="2">
        <f t="shared" si="1"/>
        <v>16</v>
      </c>
      <c r="BN35" s="119">
        <f t="shared" si="3"/>
        <v>1493.7468750000003</v>
      </c>
    </row>
    <row r="36" spans="1:66" x14ac:dyDescent="0.25">
      <c r="A36" s="5">
        <v>410</v>
      </c>
      <c r="B36" s="5" t="s">
        <v>145</v>
      </c>
      <c r="C36" s="6">
        <v>1000</v>
      </c>
      <c r="D36" s="6">
        <v>1095.24</v>
      </c>
      <c r="E36" s="6">
        <v>1095.24</v>
      </c>
      <c r="F36" s="6">
        <v>1095.24</v>
      </c>
      <c r="G36" s="6">
        <v>1095.24</v>
      </c>
      <c r="H36" s="6">
        <v>1095.24</v>
      </c>
      <c r="I36" s="6">
        <v>1095.24</v>
      </c>
      <c r="J36" s="6">
        <v>1095.24</v>
      </c>
      <c r="K36" s="6">
        <v>1095.24</v>
      </c>
      <c r="L36" s="6">
        <v>1095.24</v>
      </c>
      <c r="M36" s="6">
        <v>1095.24</v>
      </c>
      <c r="N36" s="6">
        <v>1095.24</v>
      </c>
      <c r="O36" s="6">
        <v>1095.24</v>
      </c>
      <c r="P36" s="6">
        <v>1095.24</v>
      </c>
      <c r="Q36" s="6">
        <v>1095.24</v>
      </c>
      <c r="R36" s="6">
        <v>1095.24</v>
      </c>
      <c r="S36" s="6">
        <v>1095.24</v>
      </c>
      <c r="T36" s="6">
        <v>1095.24</v>
      </c>
      <c r="U36" s="6">
        <v>1095.24</v>
      </c>
      <c r="V36" s="6">
        <v>1095.24</v>
      </c>
      <c r="W36" s="6">
        <v>1095.24</v>
      </c>
      <c r="X36" s="6">
        <v>1095.24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f t="shared" si="2"/>
        <v>24000.040000000008</v>
      </c>
      <c r="BJ36" s="6">
        <f>+BI36-BENES!J56</f>
        <v>100.04000000000815</v>
      </c>
      <c r="BK36" s="6">
        <f t="shared" si="0"/>
        <v>24000.040000000008</v>
      </c>
      <c r="BL36" s="2">
        <f>VLOOKUP(A36,BENES!B40:AV124,43,0)</f>
        <v>460275</v>
      </c>
      <c r="BM36" s="2">
        <f t="shared" si="1"/>
        <v>22</v>
      </c>
      <c r="BN36" s="119">
        <f t="shared" si="3"/>
        <v>1090.9109090909094</v>
      </c>
    </row>
    <row r="37" spans="1:66" x14ac:dyDescent="0.25">
      <c r="A37" s="5">
        <v>501</v>
      </c>
      <c r="B37" s="5" t="s">
        <v>145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500</v>
      </c>
      <c r="AE37" s="6">
        <v>1462.5</v>
      </c>
      <c r="AF37" s="6">
        <v>1462.5</v>
      </c>
      <c r="AG37" s="6">
        <v>1462.5</v>
      </c>
      <c r="AH37" s="6">
        <v>1462.5</v>
      </c>
      <c r="AI37" s="6">
        <v>1462.5</v>
      </c>
      <c r="AJ37" s="6">
        <v>1462.5</v>
      </c>
      <c r="AK37" s="6">
        <v>1462.5</v>
      </c>
      <c r="AL37" s="6">
        <v>1462.5</v>
      </c>
      <c r="AM37" s="6">
        <v>1462.5</v>
      </c>
      <c r="AN37" s="6">
        <v>1462.5</v>
      </c>
      <c r="AO37" s="6">
        <v>1462.5</v>
      </c>
      <c r="AP37" s="6">
        <v>1462.5</v>
      </c>
      <c r="AQ37" s="6">
        <v>1462.5</v>
      </c>
      <c r="AR37" s="6">
        <v>1462.5</v>
      </c>
      <c r="AS37" s="6">
        <v>1462.5</v>
      </c>
      <c r="AT37" s="6">
        <v>1462.5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f t="shared" si="2"/>
        <v>23900</v>
      </c>
      <c r="BJ37" s="6">
        <f>+BI37-BENES!J60</f>
        <v>-26820</v>
      </c>
      <c r="BK37" s="6">
        <f t="shared" si="0"/>
        <v>0</v>
      </c>
      <c r="BL37" s="2">
        <f>VLOOKUP(A37,BENES!B41:AV125,43,0)</f>
        <v>487200</v>
      </c>
      <c r="BM37" s="2">
        <f t="shared" si="1"/>
        <v>14</v>
      </c>
      <c r="BN37" s="119">
        <f t="shared" si="3"/>
        <v>1707.1428571428571</v>
      </c>
    </row>
    <row r="38" spans="1:66" x14ac:dyDescent="0.25">
      <c r="A38" s="5">
        <v>502</v>
      </c>
      <c r="B38" s="5" t="s">
        <v>145</v>
      </c>
      <c r="C38" s="6"/>
      <c r="D38" s="6"/>
      <c r="E38" s="6"/>
      <c r="F38" s="6"/>
      <c r="G38" s="6"/>
      <c r="H38" s="6"/>
      <c r="I38" s="6"/>
      <c r="J38" s="6"/>
      <c r="K38" s="6"/>
      <c r="L38" s="6">
        <v>1000</v>
      </c>
      <c r="M38" s="6">
        <v>2323.81</v>
      </c>
      <c r="N38" s="6">
        <v>2323.81</v>
      </c>
      <c r="O38" s="6">
        <v>2323.81</v>
      </c>
      <c r="P38" s="6">
        <v>2323.81</v>
      </c>
      <c r="Q38" s="6">
        <v>2323.81</v>
      </c>
      <c r="R38" s="6">
        <v>2323.81</v>
      </c>
      <c r="S38" s="6">
        <v>2323.81</v>
      </c>
      <c r="T38" s="6">
        <v>2323.81</v>
      </c>
      <c r="U38" s="6">
        <v>2323.81</v>
      </c>
      <c r="V38" s="6">
        <v>2323.81</v>
      </c>
      <c r="W38" s="6">
        <v>2323.81</v>
      </c>
      <c r="X38" s="6">
        <v>2323.81</v>
      </c>
      <c r="Y38" s="6">
        <v>2323.81</v>
      </c>
      <c r="Z38" s="6">
        <v>2323.81</v>
      </c>
      <c r="AA38" s="6">
        <v>2323.81</v>
      </c>
      <c r="AB38" s="6">
        <v>2323.81</v>
      </c>
      <c r="AC38" s="6">
        <v>2323.81</v>
      </c>
      <c r="AD38" s="6">
        <v>2323.81</v>
      </c>
      <c r="AE38" s="6">
        <v>2323.81</v>
      </c>
      <c r="AF38" s="6">
        <v>2323.81</v>
      </c>
      <c r="AG38" s="6">
        <v>2323.81</v>
      </c>
      <c r="AH38" s="6">
        <v>2323.81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>
        <f t="shared" si="2"/>
        <v>52123.819999999985</v>
      </c>
      <c r="BJ38" s="6">
        <f>+BI38-BENES!J61</f>
        <v>27723.819999999985</v>
      </c>
      <c r="BK38" s="6">
        <f t="shared" si="0"/>
        <v>35857.15</v>
      </c>
      <c r="BL38" s="2">
        <f>VLOOKUP(A38,BENES!B42:AV126,43,0)</f>
        <v>505237.5</v>
      </c>
      <c r="BM38" s="2">
        <f t="shared" si="1"/>
        <v>23</v>
      </c>
      <c r="BN38" s="119">
        <f t="shared" si="3"/>
        <v>2266.2530434782602</v>
      </c>
    </row>
    <row r="39" spans="1:66" x14ac:dyDescent="0.25">
      <c r="A39" s="5">
        <v>503</v>
      </c>
      <c r="B39" s="5" t="s">
        <v>145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Z39" s="6"/>
      <c r="AA39" s="6"/>
      <c r="AB39" s="6"/>
      <c r="AC39" s="6"/>
      <c r="AD39" s="6">
        <v>1500</v>
      </c>
      <c r="AE39" s="6">
        <v>1400</v>
      </c>
      <c r="AF39" s="6">
        <v>1400</v>
      </c>
      <c r="AG39" s="6">
        <v>1400</v>
      </c>
      <c r="AH39" s="6">
        <v>1400</v>
      </c>
      <c r="AI39" s="6">
        <v>1400</v>
      </c>
      <c r="AJ39" s="6">
        <v>1400</v>
      </c>
      <c r="AK39" s="6">
        <v>1400</v>
      </c>
      <c r="AL39" s="6">
        <v>1400</v>
      </c>
      <c r="AM39" s="6">
        <v>1400</v>
      </c>
      <c r="AN39" s="6">
        <v>1400</v>
      </c>
      <c r="AO39" s="6">
        <v>1400</v>
      </c>
      <c r="AP39" s="6">
        <v>1400</v>
      </c>
      <c r="AQ39" s="6">
        <v>1400</v>
      </c>
      <c r="AR39" s="6">
        <v>1400</v>
      </c>
      <c r="AS39" s="6">
        <v>1400</v>
      </c>
      <c r="AT39" s="6">
        <v>1400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f t="shared" si="2"/>
        <v>23900</v>
      </c>
      <c r="BJ39" s="6">
        <f>+BI39-BENES!J61</f>
        <v>-500</v>
      </c>
      <c r="BK39" s="6">
        <f>SUM(C39:AM39)</f>
        <v>14100</v>
      </c>
      <c r="BL39" s="2">
        <f>VLOOKUP(A39,BENES!B43:AV127,43,0)</f>
        <v>474100</v>
      </c>
      <c r="BM39" s="2">
        <f>COUNT(C39:Y39)</f>
        <v>0</v>
      </c>
      <c r="BN39" s="119">
        <f>IFERROR((+BI39/BM39),0)</f>
        <v>0</v>
      </c>
    </row>
    <row r="40" spans="1:66" x14ac:dyDescent="0.25">
      <c r="A40" s="5">
        <v>504</v>
      </c>
      <c r="B40" s="5" t="s">
        <v>145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Z40" s="6"/>
      <c r="AA40" s="6"/>
      <c r="AB40" s="6"/>
      <c r="AC40" s="6"/>
      <c r="AD40" s="6">
        <v>1500</v>
      </c>
      <c r="AE40" s="6">
        <v>1400</v>
      </c>
      <c r="AF40" s="6">
        <v>1400</v>
      </c>
      <c r="AG40" s="6">
        <v>1400</v>
      </c>
      <c r="AH40" s="6">
        <v>1400</v>
      </c>
      <c r="AI40" s="6">
        <v>1400</v>
      </c>
      <c r="AJ40" s="6">
        <v>1400</v>
      </c>
      <c r="AK40" s="6">
        <v>1400</v>
      </c>
      <c r="AL40" s="6">
        <v>1400</v>
      </c>
      <c r="AM40" s="6">
        <v>1400</v>
      </c>
      <c r="AN40" s="6">
        <v>1400</v>
      </c>
      <c r="AO40" s="6">
        <v>1400</v>
      </c>
      <c r="AP40" s="6">
        <v>1400</v>
      </c>
      <c r="AQ40" s="6">
        <v>1400</v>
      </c>
      <c r="AR40" s="6">
        <v>1400</v>
      </c>
      <c r="AS40" s="6">
        <v>1400</v>
      </c>
      <c r="AT40" s="6">
        <v>1400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f t="shared" si="2"/>
        <v>23900</v>
      </c>
      <c r="BJ40" s="6">
        <f>+BI40-BENES!J63</f>
        <v>0</v>
      </c>
      <c r="BK40" s="6">
        <f>SUM(C40:AM40)</f>
        <v>14100</v>
      </c>
      <c r="BL40" s="2">
        <f>VLOOKUP(A40,BENES!B44:AV128,43,0)</f>
        <v>476200</v>
      </c>
      <c r="BM40" s="2">
        <f>COUNT(C40:Y40)</f>
        <v>0</v>
      </c>
      <c r="BN40" s="119">
        <f t="shared" si="3"/>
        <v>0</v>
      </c>
    </row>
    <row r="41" spans="1:66" x14ac:dyDescent="0.25">
      <c r="A41" s="5">
        <v>505</v>
      </c>
      <c r="B41" s="5" t="s">
        <v>145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Z41" s="6">
        <v>1500</v>
      </c>
      <c r="AA41" s="6">
        <v>1062.5</v>
      </c>
      <c r="AB41" s="6">
        <v>1062.5</v>
      </c>
      <c r="AC41" s="6">
        <v>1062.5</v>
      </c>
      <c r="AD41" s="6">
        <v>1062.5</v>
      </c>
      <c r="AE41" s="6">
        <v>1062.5</v>
      </c>
      <c r="AF41" s="6">
        <v>1062.5</v>
      </c>
      <c r="AG41" s="6">
        <v>1062.5</v>
      </c>
      <c r="AH41" s="6">
        <v>1062.5</v>
      </c>
      <c r="AI41" s="6">
        <v>1062.5</v>
      </c>
      <c r="AJ41" s="6">
        <v>1062.5</v>
      </c>
      <c r="AK41" s="6">
        <v>1062.5</v>
      </c>
      <c r="AL41" s="6">
        <v>1062.5</v>
      </c>
      <c r="AM41" s="6">
        <v>1062.5</v>
      </c>
      <c r="AN41" s="6">
        <v>1062.5</v>
      </c>
      <c r="AO41" s="6">
        <v>1062.5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f t="shared" si="2"/>
        <v>17437.5</v>
      </c>
      <c r="BJ41" s="6">
        <f>+BI41-BENES!J65</f>
        <v>-1062.5</v>
      </c>
      <c r="BK41" s="6">
        <f>SUM(C41:AM41)</f>
        <v>15312.5</v>
      </c>
      <c r="BL41" s="2">
        <f>VLOOKUP(A41,BENES!B45:AV129,43,0)</f>
        <v>362637.5</v>
      </c>
      <c r="BM41" s="2">
        <f>COUNT(C41:Y41)</f>
        <v>0</v>
      </c>
      <c r="BN41" s="119">
        <f t="shared" si="3"/>
        <v>0</v>
      </c>
    </row>
    <row r="42" spans="1:66" x14ac:dyDescent="0.25">
      <c r="A42" s="5">
        <v>507</v>
      </c>
      <c r="B42" s="5" t="s">
        <v>145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>
        <v>1500</v>
      </c>
      <c r="AE42" s="6">
        <v>1400</v>
      </c>
      <c r="AF42" s="6">
        <v>1400</v>
      </c>
      <c r="AG42" s="6">
        <v>1400</v>
      </c>
      <c r="AH42" s="6">
        <v>1400</v>
      </c>
      <c r="AI42" s="6">
        <v>1400</v>
      </c>
      <c r="AJ42" s="6">
        <v>1400</v>
      </c>
      <c r="AK42" s="6">
        <v>1400</v>
      </c>
      <c r="AL42" s="6">
        <v>1400</v>
      </c>
      <c r="AM42" s="6">
        <v>1400</v>
      </c>
      <c r="AN42" s="6">
        <v>1400</v>
      </c>
      <c r="AO42" s="6">
        <v>1400</v>
      </c>
      <c r="AP42" s="6">
        <v>1400</v>
      </c>
      <c r="AQ42" s="6">
        <v>1400</v>
      </c>
      <c r="AR42" s="6">
        <v>1400</v>
      </c>
      <c r="AS42" s="6">
        <v>1400</v>
      </c>
      <c r="AT42" s="6">
        <v>1400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f t="shared" si="2"/>
        <v>23900</v>
      </c>
      <c r="BJ42" s="6">
        <f>+BI42-BENES!J67</f>
        <v>0</v>
      </c>
      <c r="BK42" s="6">
        <f t="shared" ref="BK42:BK53" si="4">SUM(C42:AA42)</f>
        <v>0</v>
      </c>
      <c r="BL42" s="2">
        <f>VLOOKUP(A42,BENES!B46:AV130,43,0)</f>
        <v>475500</v>
      </c>
      <c r="BM42" s="2">
        <f t="shared" ref="BM42:BM53" si="5">COUNT(C42:AQ42)</f>
        <v>14</v>
      </c>
      <c r="BN42" s="119">
        <f t="shared" si="3"/>
        <v>1707.1428571428571</v>
      </c>
    </row>
    <row r="43" spans="1:66" x14ac:dyDescent="0.25">
      <c r="A43" s="5">
        <v>508</v>
      </c>
      <c r="B43" s="5" t="s">
        <v>145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1500</v>
      </c>
      <c r="AF43" s="6">
        <v>1400</v>
      </c>
      <c r="AG43" s="6">
        <v>1400</v>
      </c>
      <c r="AH43" s="6">
        <v>1400</v>
      </c>
      <c r="AI43" s="6">
        <v>1400</v>
      </c>
      <c r="AJ43" s="6">
        <v>1400</v>
      </c>
      <c r="AK43" s="6">
        <v>1400</v>
      </c>
      <c r="AL43" s="6">
        <v>1400</v>
      </c>
      <c r="AM43" s="6">
        <v>1400</v>
      </c>
      <c r="AN43" s="6">
        <v>1400</v>
      </c>
      <c r="AO43" s="6">
        <v>1400</v>
      </c>
      <c r="AP43" s="6">
        <v>1400</v>
      </c>
      <c r="AQ43" s="6">
        <v>1400</v>
      </c>
      <c r="AR43" s="6">
        <v>1400</v>
      </c>
      <c r="AS43" s="6">
        <v>1400</v>
      </c>
      <c r="AT43" s="6">
        <v>1400</v>
      </c>
      <c r="AU43" s="6">
        <v>1400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f t="shared" si="2"/>
        <v>23900</v>
      </c>
      <c r="BJ43" s="6">
        <f>+BI43-BENES!J68</f>
        <v>-500</v>
      </c>
      <c r="BK43" s="6">
        <f t="shared" si="4"/>
        <v>0</v>
      </c>
      <c r="BL43" s="2">
        <f>VLOOKUP(A43,BENES!B47:AV131,43,0)</f>
        <v>474100</v>
      </c>
      <c r="BM43" s="2">
        <f t="shared" si="5"/>
        <v>13</v>
      </c>
      <c r="BN43" s="119">
        <f>IFERROR((+BI43/BM43),0)</f>
        <v>1838.4615384615386</v>
      </c>
    </row>
    <row r="44" spans="1:66" x14ac:dyDescent="0.25">
      <c r="A44" s="5">
        <v>510</v>
      </c>
      <c r="B44" s="5" t="s">
        <v>145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500</v>
      </c>
      <c r="U44" s="6">
        <v>1462.5</v>
      </c>
      <c r="V44" s="6">
        <v>1462.5</v>
      </c>
      <c r="W44" s="6">
        <v>1462.5</v>
      </c>
      <c r="X44" s="6">
        <v>1462.5</v>
      </c>
      <c r="Y44" s="6">
        <v>1462.5</v>
      </c>
      <c r="Z44" s="6">
        <v>1462.5</v>
      </c>
      <c r="AA44" s="6">
        <v>1462.5</v>
      </c>
      <c r="AB44" s="6">
        <v>1462.5</v>
      </c>
      <c r="AC44" s="6">
        <v>1462.5</v>
      </c>
      <c r="AD44" s="6">
        <v>1462.5</v>
      </c>
      <c r="AE44" s="6">
        <v>1462.5</v>
      </c>
      <c r="AF44" s="6">
        <v>1462.5</v>
      </c>
      <c r="AG44" s="6">
        <v>1462.5</v>
      </c>
      <c r="AH44" s="6">
        <v>1462.5</v>
      </c>
      <c r="AI44" s="6">
        <v>1462.5</v>
      </c>
      <c r="AJ44" s="6">
        <v>1462.5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f t="shared" si="2"/>
        <v>23900</v>
      </c>
      <c r="BJ44" s="6">
        <f>+BI44-BENES!J69</f>
        <v>-26820</v>
      </c>
      <c r="BK44" s="6">
        <f t="shared" si="4"/>
        <v>10737.5</v>
      </c>
      <c r="BL44" s="2">
        <f>VLOOKUP(A44,BENES!B48:AV132,43,0)</f>
        <v>460412.5</v>
      </c>
      <c r="BM44" s="2">
        <f t="shared" si="5"/>
        <v>17</v>
      </c>
      <c r="BN44" s="119">
        <f t="shared" si="3"/>
        <v>1405.8823529411766</v>
      </c>
    </row>
    <row r="45" spans="1:66" x14ac:dyDescent="0.25">
      <c r="A45" s="5">
        <v>601</v>
      </c>
      <c r="B45" s="5" t="s">
        <v>145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1500</v>
      </c>
      <c r="Q45" s="6">
        <v>1229.5</v>
      </c>
      <c r="R45" s="6">
        <v>1229.5</v>
      </c>
      <c r="S45" s="6">
        <v>1229.5</v>
      </c>
      <c r="T45" s="6">
        <v>1229.5</v>
      </c>
      <c r="U45" s="6">
        <v>1229.5</v>
      </c>
      <c r="V45" s="6">
        <v>1229.5</v>
      </c>
      <c r="W45" s="6">
        <v>1229.5</v>
      </c>
      <c r="X45" s="6">
        <v>1229.5</v>
      </c>
      <c r="Y45" s="6">
        <v>1229.5</v>
      </c>
      <c r="Z45" s="6">
        <v>1229.5</v>
      </c>
      <c r="AA45" s="6">
        <v>1229.5</v>
      </c>
      <c r="AB45" s="6">
        <v>1229.5</v>
      </c>
      <c r="AC45" s="6">
        <v>1229.5</v>
      </c>
      <c r="AD45" s="6">
        <v>1229.5</v>
      </c>
      <c r="AE45" s="6">
        <v>1229.5</v>
      </c>
      <c r="AF45" s="6">
        <v>1229.5</v>
      </c>
      <c r="AG45" s="6">
        <v>1229.5</v>
      </c>
      <c r="AH45" s="6">
        <v>1229.5</v>
      </c>
      <c r="AI45" s="6">
        <v>1229.5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f t="shared" si="2"/>
        <v>24860.5</v>
      </c>
      <c r="BJ45" s="6">
        <f>+BI45-BENES!J73</f>
        <v>860.5</v>
      </c>
      <c r="BK45" s="6">
        <f t="shared" si="4"/>
        <v>15024.5</v>
      </c>
      <c r="BL45" s="2">
        <f>VLOOKUP(A45,BENES!B49:AV133,43,0)</f>
        <v>476200</v>
      </c>
      <c r="BM45" s="2">
        <f t="shared" si="5"/>
        <v>20</v>
      </c>
      <c r="BN45" s="119">
        <f t="shared" ref="BN45:BN112" si="6">IFERROR((+BI45/BM45),0)</f>
        <v>1243.0250000000001</v>
      </c>
    </row>
    <row r="46" spans="1:66" x14ac:dyDescent="0.25">
      <c r="A46" s="5">
        <v>602</v>
      </c>
      <c r="B46" s="5" t="s">
        <v>145</v>
      </c>
      <c r="C46" s="6"/>
      <c r="D46" s="6"/>
      <c r="E46" s="6"/>
      <c r="F46" s="6"/>
      <c r="G46" s="6"/>
      <c r="H46" s="6"/>
      <c r="I46" s="6"/>
      <c r="J46" s="6"/>
      <c r="K46" s="6">
        <v>500</v>
      </c>
      <c r="L46" s="6">
        <v>2436.84</v>
      </c>
      <c r="M46" s="6">
        <v>2436.84</v>
      </c>
      <c r="N46" s="6">
        <v>2436.84</v>
      </c>
      <c r="O46" s="6">
        <v>2436.84</v>
      </c>
      <c r="P46" s="6">
        <v>2436.84</v>
      </c>
      <c r="Q46" s="6">
        <v>2436.84</v>
      </c>
      <c r="R46" s="6">
        <v>2436.84</v>
      </c>
      <c r="S46" s="6">
        <v>2436.84</v>
      </c>
      <c r="T46" s="6">
        <v>2436.84</v>
      </c>
      <c r="U46" s="6">
        <v>2436.84</v>
      </c>
      <c r="V46" s="6">
        <v>2436.84</v>
      </c>
      <c r="W46" s="6">
        <v>2436.84</v>
      </c>
      <c r="X46" s="6">
        <v>2436.84</v>
      </c>
      <c r="Y46" s="6">
        <v>2436.84</v>
      </c>
      <c r="Z46" s="6">
        <v>2436.84</v>
      </c>
      <c r="AA46" s="6">
        <v>2436.84</v>
      </c>
      <c r="AB46" s="6">
        <v>2436.84</v>
      </c>
      <c r="AC46" s="6">
        <v>2436.84</v>
      </c>
      <c r="AD46" s="6">
        <v>2436.84</v>
      </c>
      <c r="AE46" s="6">
        <v>2436.84</v>
      </c>
      <c r="AF46" s="6">
        <v>2436.84</v>
      </c>
      <c r="AG46" s="6">
        <v>2436.84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f t="shared" si="2"/>
        <v>54110.479999999981</v>
      </c>
      <c r="BJ46" s="6">
        <f>+BI46-BENES!J74</f>
        <v>30210.479999999981</v>
      </c>
      <c r="BK46" s="6">
        <f t="shared" si="4"/>
        <v>39489.440000000002</v>
      </c>
      <c r="BL46" s="2">
        <f>VLOOKUP(A46,BENES!B50:AV134,43,0)</f>
        <v>461526.16000000003</v>
      </c>
      <c r="BM46" s="2">
        <f t="shared" si="5"/>
        <v>23</v>
      </c>
      <c r="BN46" s="119">
        <f t="shared" si="6"/>
        <v>2352.6295652173903</v>
      </c>
    </row>
    <row r="47" spans="1:66" x14ac:dyDescent="0.25">
      <c r="A47" s="5">
        <v>603</v>
      </c>
      <c r="B47" s="5" t="s">
        <v>145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f t="shared" si="2"/>
        <v>0</v>
      </c>
      <c r="BJ47" s="6">
        <f>+BI47-BENES!J75</f>
        <v>-49800</v>
      </c>
      <c r="BK47" s="6">
        <f t="shared" si="4"/>
        <v>0</v>
      </c>
      <c r="BL47" s="2" t="e">
        <f>VLOOKUP(A47,BENES!B51:AV135,43,0)</f>
        <v>#N/A</v>
      </c>
      <c r="BM47" s="2">
        <f t="shared" si="5"/>
        <v>0</v>
      </c>
      <c r="BN47" s="119">
        <f t="shared" si="6"/>
        <v>0</v>
      </c>
    </row>
    <row r="48" spans="1:66" x14ac:dyDescent="0.25">
      <c r="A48" s="5">
        <v>604</v>
      </c>
      <c r="B48" s="5" t="s">
        <v>145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>
        <v>1500</v>
      </c>
      <c r="AE48" s="6">
        <v>1400</v>
      </c>
      <c r="AF48" s="6">
        <v>1400</v>
      </c>
      <c r="AG48" s="6">
        <v>1400</v>
      </c>
      <c r="AH48" s="6">
        <v>1400</v>
      </c>
      <c r="AI48" s="6">
        <v>1400</v>
      </c>
      <c r="AJ48" s="6">
        <v>1400</v>
      </c>
      <c r="AK48" s="6">
        <v>1400</v>
      </c>
      <c r="AL48" s="6">
        <v>1400</v>
      </c>
      <c r="AM48" s="6">
        <v>1400</v>
      </c>
      <c r="AN48" s="6">
        <v>1400</v>
      </c>
      <c r="AO48" s="6">
        <v>1400</v>
      </c>
      <c r="AP48" s="6">
        <v>1400</v>
      </c>
      <c r="AQ48" s="6">
        <v>1400</v>
      </c>
      <c r="AR48" s="6">
        <v>1400</v>
      </c>
      <c r="AS48" s="6">
        <v>1400</v>
      </c>
      <c r="AT48" s="6">
        <v>1400</v>
      </c>
      <c r="AU48" s="6">
        <v>1400</v>
      </c>
      <c r="AV48" s="6">
        <v>1400</v>
      </c>
      <c r="AW48" s="6">
        <v>1400</v>
      </c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f t="shared" si="2"/>
        <v>28100</v>
      </c>
      <c r="BJ48" s="6">
        <f>+BI48-BENES!J76</f>
        <v>4100</v>
      </c>
      <c r="BK48" s="6">
        <f t="shared" si="4"/>
        <v>0</v>
      </c>
      <c r="BL48" s="2">
        <f>VLOOKUP(A48,BENES!B52:AV136,43,0)</f>
        <v>474700</v>
      </c>
      <c r="BM48" s="2">
        <f t="shared" si="5"/>
        <v>14</v>
      </c>
      <c r="BN48" s="119">
        <f t="shared" si="6"/>
        <v>2007.1428571428571</v>
      </c>
    </row>
    <row r="49" spans="1:66" x14ac:dyDescent="0.25">
      <c r="A49" s="5">
        <v>605</v>
      </c>
      <c r="B49" s="5" t="s">
        <v>145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f t="shared" si="2"/>
        <v>0</v>
      </c>
      <c r="BJ49" s="6">
        <f>+BI49-BENES!J77</f>
        <v>-23900</v>
      </c>
      <c r="BK49" s="6">
        <f t="shared" si="4"/>
        <v>0</v>
      </c>
      <c r="BL49" s="2">
        <f>VLOOKUP(A49,BENES!B53:AV137,43,0)</f>
        <v>477700</v>
      </c>
      <c r="BM49" s="2">
        <f t="shared" si="5"/>
        <v>0</v>
      </c>
      <c r="BN49" s="119">
        <f t="shared" si="6"/>
        <v>0</v>
      </c>
    </row>
    <row r="50" spans="1:66" x14ac:dyDescent="0.25">
      <c r="A50" s="5">
        <v>606</v>
      </c>
      <c r="B50" s="5" t="s">
        <v>145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>
        <v>1500</v>
      </c>
      <c r="AE50" s="6">
        <v>1400</v>
      </c>
      <c r="AF50" s="6">
        <v>1400</v>
      </c>
      <c r="AG50" s="6">
        <v>1400</v>
      </c>
      <c r="AH50" s="6">
        <v>1400</v>
      </c>
      <c r="AI50" s="6">
        <v>1400</v>
      </c>
      <c r="AJ50" s="6">
        <v>1400</v>
      </c>
      <c r="AK50" s="6">
        <v>1400</v>
      </c>
      <c r="AL50" s="6">
        <v>1400</v>
      </c>
      <c r="AM50" s="6">
        <v>1400</v>
      </c>
      <c r="AN50" s="6">
        <v>1400</v>
      </c>
      <c r="AO50" s="6">
        <v>1400</v>
      </c>
      <c r="AP50" s="6">
        <v>1400</v>
      </c>
      <c r="AQ50" s="6">
        <v>1400</v>
      </c>
      <c r="AR50" s="6">
        <v>1400</v>
      </c>
      <c r="AS50" s="6">
        <v>1400</v>
      </c>
      <c r="AT50" s="6">
        <v>1400</v>
      </c>
      <c r="AU50" s="6">
        <v>1400</v>
      </c>
      <c r="AV50" s="6">
        <v>1400</v>
      </c>
      <c r="AW50" s="6">
        <v>1400</v>
      </c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f t="shared" si="2"/>
        <v>28100</v>
      </c>
      <c r="BJ50" s="6">
        <f>+BI50-BENES!J78</f>
        <v>4100</v>
      </c>
      <c r="BK50" s="6">
        <f t="shared" si="4"/>
        <v>0</v>
      </c>
      <c r="BL50" s="2">
        <f>VLOOKUP(A50,BENES!B54:AV138,43,0)</f>
        <v>460805.27</v>
      </c>
      <c r="BM50" s="2">
        <f t="shared" si="5"/>
        <v>14</v>
      </c>
      <c r="BN50" s="119">
        <f t="shared" si="6"/>
        <v>2007.1428571428571</v>
      </c>
    </row>
    <row r="51" spans="1:66" x14ac:dyDescent="0.25">
      <c r="A51" s="5">
        <v>607</v>
      </c>
      <c r="B51" s="5" t="s">
        <v>145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1500</v>
      </c>
      <c r="AD51" s="6">
        <v>894.74</v>
      </c>
      <c r="AE51" s="6">
        <v>894.74</v>
      </c>
      <c r="AF51" s="6">
        <v>894.74</v>
      </c>
      <c r="AG51" s="6">
        <v>894.74</v>
      </c>
      <c r="AH51" s="6">
        <v>894.74</v>
      </c>
      <c r="AI51" s="6">
        <v>894.74</v>
      </c>
      <c r="AJ51" s="6">
        <v>894.74</v>
      </c>
      <c r="AK51" s="6">
        <v>894.74</v>
      </c>
      <c r="AL51" s="6">
        <v>894.74</v>
      </c>
      <c r="AM51" s="6">
        <v>894.74</v>
      </c>
      <c r="AN51" s="6">
        <v>894.74</v>
      </c>
      <c r="AO51" s="6">
        <v>894.74</v>
      </c>
      <c r="AP51" s="6">
        <v>894.74</v>
      </c>
      <c r="AQ51" s="6">
        <v>894.74</v>
      </c>
      <c r="AR51" s="6">
        <v>894.74</v>
      </c>
      <c r="AS51" s="6">
        <v>894.74</v>
      </c>
      <c r="AT51" s="6">
        <v>894.74</v>
      </c>
      <c r="AU51" s="6">
        <v>894.74</v>
      </c>
      <c r="AV51" s="6">
        <v>894.74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f t="shared" si="2"/>
        <v>18500.060000000001</v>
      </c>
      <c r="BJ51" s="6">
        <f>+BI51-BENES!J80</f>
        <v>6.0000000001309672E-2</v>
      </c>
      <c r="BK51" s="6">
        <f t="shared" si="4"/>
        <v>0</v>
      </c>
      <c r="BL51" s="2">
        <f>VLOOKUP(A51,BENES!B55:AV139,43,0)</f>
        <v>356468.38</v>
      </c>
      <c r="BM51" s="2">
        <f t="shared" si="5"/>
        <v>15</v>
      </c>
      <c r="BN51" s="119">
        <f t="shared" si="6"/>
        <v>1233.3373333333334</v>
      </c>
    </row>
    <row r="52" spans="1:66" x14ac:dyDescent="0.25">
      <c r="A52" s="5">
        <v>608</v>
      </c>
      <c r="B52" s="5" t="s">
        <v>145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>
        <v>1500</v>
      </c>
      <c r="Q52" s="6">
        <v>1125</v>
      </c>
      <c r="R52" s="6">
        <v>1125</v>
      </c>
      <c r="S52" s="6">
        <v>1125</v>
      </c>
      <c r="T52" s="6">
        <v>1125</v>
      </c>
      <c r="U52" s="6">
        <v>1125</v>
      </c>
      <c r="V52" s="6">
        <v>1125</v>
      </c>
      <c r="W52" s="6">
        <v>1125</v>
      </c>
      <c r="X52" s="6">
        <v>1125</v>
      </c>
      <c r="Y52" s="6">
        <v>1125</v>
      </c>
      <c r="Z52" s="6">
        <v>1125</v>
      </c>
      <c r="AA52" s="6">
        <v>1125</v>
      </c>
      <c r="AB52" s="6">
        <v>1125</v>
      </c>
      <c r="AC52" s="6">
        <v>1125</v>
      </c>
      <c r="AD52" s="6">
        <v>1125</v>
      </c>
      <c r="AE52" s="6">
        <v>1125</v>
      </c>
      <c r="AF52" s="6">
        <v>1125</v>
      </c>
      <c r="AG52" s="6">
        <v>1125</v>
      </c>
      <c r="AH52" s="6">
        <v>1125</v>
      </c>
      <c r="AI52" s="6">
        <v>1125</v>
      </c>
      <c r="AJ52" s="6">
        <v>1125</v>
      </c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f t="shared" si="2"/>
        <v>24000</v>
      </c>
      <c r="BJ52" s="6">
        <f>+BI52-BENES!J81</f>
        <v>100</v>
      </c>
      <c r="BK52" s="6">
        <f t="shared" si="4"/>
        <v>13875</v>
      </c>
      <c r="BL52" s="2">
        <f>VLOOKUP(A52,BENES!B56:AV140,43,0)</f>
        <v>477700</v>
      </c>
      <c r="BM52" s="2">
        <f t="shared" si="5"/>
        <v>21</v>
      </c>
      <c r="BN52" s="119">
        <f t="shared" si="6"/>
        <v>1142.8571428571429</v>
      </c>
    </row>
    <row r="53" spans="1:66" x14ac:dyDescent="0.25">
      <c r="A53" s="5">
        <v>610</v>
      </c>
      <c r="B53" s="5" t="s">
        <v>145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>
        <v>1000</v>
      </c>
      <c r="O53" s="6">
        <v>1045.45</v>
      </c>
      <c r="P53" s="6">
        <v>1045.45</v>
      </c>
      <c r="Q53" s="6">
        <v>1045.45</v>
      </c>
      <c r="R53" s="6">
        <v>1045.45</v>
      </c>
      <c r="S53" s="6">
        <v>1045.45</v>
      </c>
      <c r="T53" s="6">
        <v>1045.45</v>
      </c>
      <c r="U53" s="6">
        <v>1045.45</v>
      </c>
      <c r="V53" s="6">
        <v>1045.45</v>
      </c>
      <c r="W53" s="6">
        <v>1045.45</v>
      </c>
      <c r="X53" s="6">
        <v>1045.45</v>
      </c>
      <c r="Y53" s="6">
        <v>1045.45</v>
      </c>
      <c r="Z53" s="6">
        <v>1045.45</v>
      </c>
      <c r="AA53" s="6">
        <v>1045.45</v>
      </c>
      <c r="AB53" s="6">
        <v>1045.45</v>
      </c>
      <c r="AC53" s="6">
        <v>1045.45</v>
      </c>
      <c r="AD53" s="6">
        <v>1045.45</v>
      </c>
      <c r="AE53" s="6">
        <v>1045.45</v>
      </c>
      <c r="AF53" s="6">
        <v>1045.45</v>
      </c>
      <c r="AG53" s="6">
        <v>1045.45</v>
      </c>
      <c r="AH53" s="6">
        <v>1045.45</v>
      </c>
      <c r="AI53" s="6">
        <v>1045.45</v>
      </c>
      <c r="AJ53" s="6">
        <v>1045.45</v>
      </c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f t="shared" si="2"/>
        <v>23999.900000000009</v>
      </c>
      <c r="BJ53" s="6">
        <f>+BI53-BENES!J83</f>
        <v>-9.9999999991268851E-2</v>
      </c>
      <c r="BK53" s="6">
        <f t="shared" si="4"/>
        <v>14590.850000000004</v>
      </c>
      <c r="BL53" s="2">
        <f>VLOOKUP(A53,BENES!B57:AV141,43,0)</f>
        <v>459973.25</v>
      </c>
      <c r="BM53" s="2">
        <f t="shared" si="5"/>
        <v>23</v>
      </c>
      <c r="BN53" s="119">
        <f t="shared" si="6"/>
        <v>1043.4739130434787</v>
      </c>
    </row>
    <row r="54" spans="1:66" x14ac:dyDescent="0.25">
      <c r="A54" s="5">
        <v>104</v>
      </c>
      <c r="B54" s="5" t="s">
        <v>146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1500</v>
      </c>
      <c r="AF54" s="6">
        <v>1272.22</v>
      </c>
      <c r="AG54" s="6">
        <v>1272.22</v>
      </c>
      <c r="AH54" s="6">
        <v>1272.22</v>
      </c>
      <c r="AI54" s="6">
        <v>1272.22</v>
      </c>
      <c r="AJ54" s="6">
        <v>1272.22</v>
      </c>
      <c r="AK54" s="6">
        <v>1272.22</v>
      </c>
      <c r="AL54" s="6">
        <v>1272.22</v>
      </c>
      <c r="AM54" s="6">
        <v>1272.22</v>
      </c>
      <c r="AN54" s="6">
        <v>1272.22</v>
      </c>
      <c r="AO54" s="6">
        <v>1272.22</v>
      </c>
      <c r="AP54" s="6">
        <v>1272.22</v>
      </c>
      <c r="AQ54" s="6">
        <v>1272.22</v>
      </c>
      <c r="AR54" s="6">
        <v>1272.22</v>
      </c>
      <c r="AS54" s="6">
        <v>1272.22</v>
      </c>
      <c r="AT54" s="6">
        <v>1272.22</v>
      </c>
      <c r="AU54" s="6">
        <v>1272.22</v>
      </c>
      <c r="AV54" s="6">
        <v>1272.22</v>
      </c>
      <c r="AW54" s="6">
        <v>1272.22</v>
      </c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f t="shared" si="2"/>
        <v>24399.960000000006</v>
      </c>
      <c r="BJ54" s="6"/>
      <c r="BK54" s="6"/>
      <c r="BN54" s="119"/>
    </row>
    <row r="55" spans="1:66" x14ac:dyDescent="0.25">
      <c r="A55" s="5">
        <v>106</v>
      </c>
      <c r="B55" s="5" t="s">
        <v>146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1000</v>
      </c>
      <c r="P55" s="6">
        <v>2228.5700000000002</v>
      </c>
      <c r="Q55" s="6">
        <v>2228.5700000000002</v>
      </c>
      <c r="R55" s="6">
        <v>2228.5700000000002</v>
      </c>
      <c r="S55" s="6">
        <v>2228.5700000000002</v>
      </c>
      <c r="T55" s="6">
        <v>2228.5700000000002</v>
      </c>
      <c r="U55" s="6">
        <v>2228.5700000000002</v>
      </c>
      <c r="V55" s="6">
        <v>2228.5700000000002</v>
      </c>
      <c r="W55" s="6">
        <v>2228.5700000000002</v>
      </c>
      <c r="X55" s="6">
        <v>2228.5700000000002</v>
      </c>
      <c r="Y55" s="6">
        <v>2228.5700000000002</v>
      </c>
      <c r="Z55" s="6">
        <v>2228.5700000000002</v>
      </c>
      <c r="AA55" s="6">
        <v>2228.5700000000002</v>
      </c>
      <c r="AB55" s="6">
        <v>2228.5700000000002</v>
      </c>
      <c r="AC55" s="6">
        <v>2228.5700000000002</v>
      </c>
      <c r="AD55" s="6">
        <v>2228.5700000000002</v>
      </c>
      <c r="AE55" s="6">
        <v>2228.5700000000002</v>
      </c>
      <c r="AF55" s="6">
        <v>2228.5700000000002</v>
      </c>
      <c r="AG55" s="6">
        <v>2228.5700000000002</v>
      </c>
      <c r="AH55" s="6">
        <v>2228.5700000000002</v>
      </c>
      <c r="AI55" s="6">
        <v>2228.5700000000002</v>
      </c>
      <c r="AJ55" s="6">
        <v>2228.5700000000002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f t="shared" si="2"/>
        <v>47799.97</v>
      </c>
      <c r="BJ55" s="6">
        <f>+BI55-BENES!J84</f>
        <v>-2920.0299999999988</v>
      </c>
      <c r="BK55" s="6">
        <f>SUM(C55:AA55)</f>
        <v>27742.84</v>
      </c>
      <c r="BL55" s="2">
        <f>VLOOKUP(A55,BENES!B83:AV182,43,0)</f>
        <v>0</v>
      </c>
      <c r="BM55" s="2">
        <f>COUNT(C55:AQ55)</f>
        <v>22</v>
      </c>
      <c r="BN55" s="119">
        <f t="shared" si="6"/>
        <v>2172.7259090909092</v>
      </c>
    </row>
    <row r="56" spans="1:66" x14ac:dyDescent="0.25">
      <c r="A56" s="5">
        <v>206</v>
      </c>
      <c r="B56" s="5" t="s">
        <v>146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1500</v>
      </c>
      <c r="R56" s="6">
        <v>1184.21</v>
      </c>
      <c r="S56" s="6">
        <v>1184.21</v>
      </c>
      <c r="T56" s="6">
        <v>1184.21</v>
      </c>
      <c r="U56" s="6">
        <v>1184.21</v>
      </c>
      <c r="V56" s="6">
        <v>1184.21</v>
      </c>
      <c r="W56" s="6">
        <v>1184.21</v>
      </c>
      <c r="X56" s="6">
        <v>1184.21</v>
      </c>
      <c r="Y56" s="6">
        <v>1184.21</v>
      </c>
      <c r="Z56" s="6">
        <v>1184.21</v>
      </c>
      <c r="AA56" s="6">
        <v>1184.21</v>
      </c>
      <c r="AB56" s="6">
        <v>1184.21</v>
      </c>
      <c r="AC56" s="6">
        <v>1184.21</v>
      </c>
      <c r="AD56" s="6">
        <v>1184.21</v>
      </c>
      <c r="AE56" s="6">
        <v>1184.21</v>
      </c>
      <c r="AF56" s="6">
        <v>1184.21</v>
      </c>
      <c r="AG56" s="6">
        <v>1184.21</v>
      </c>
      <c r="AH56" s="6">
        <v>1184.21</v>
      </c>
      <c r="AI56" s="6">
        <v>1184.21</v>
      </c>
      <c r="AJ56" s="6">
        <v>1184.21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f t="shared" si="2"/>
        <v>23999.989999999991</v>
      </c>
      <c r="BJ56" s="6"/>
      <c r="BK56" s="6"/>
      <c r="BN56" s="119"/>
    </row>
    <row r="57" spans="1:66" x14ac:dyDescent="0.25">
      <c r="A57" s="5">
        <v>213</v>
      </c>
      <c r="B57" s="5" t="s">
        <v>146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1000</v>
      </c>
      <c r="P57" s="6">
        <v>1210.53</v>
      </c>
      <c r="Q57" s="6">
        <v>1210.53</v>
      </c>
      <c r="R57" s="6">
        <v>1210.53</v>
      </c>
      <c r="S57" s="6">
        <v>1210.53</v>
      </c>
      <c r="T57" s="6">
        <v>1210.53</v>
      </c>
      <c r="U57" s="6">
        <v>1210.53</v>
      </c>
      <c r="V57" s="6">
        <v>1210.53</v>
      </c>
      <c r="W57" s="6">
        <v>1210.53</v>
      </c>
      <c r="X57" s="6">
        <v>1210.53</v>
      </c>
      <c r="Y57" s="6">
        <v>1210.53</v>
      </c>
      <c r="Z57" s="6">
        <v>1210.53</v>
      </c>
      <c r="AA57" s="6">
        <v>1210.53</v>
      </c>
      <c r="AB57" s="6">
        <v>1210.53</v>
      </c>
      <c r="AC57" s="6">
        <v>1210.53</v>
      </c>
      <c r="AD57" s="6">
        <v>1210.53</v>
      </c>
      <c r="AE57" s="6">
        <v>1210.53</v>
      </c>
      <c r="AF57" s="6">
        <v>1210.53</v>
      </c>
      <c r="AG57" s="6">
        <v>1210.53</v>
      </c>
      <c r="AH57" s="6">
        <v>1210.53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f t="shared" si="2"/>
        <v>24000.069999999996</v>
      </c>
      <c r="BJ57" s="6"/>
      <c r="BK57" s="6"/>
      <c r="BN57" s="119"/>
    </row>
    <row r="58" spans="1:66" x14ac:dyDescent="0.25">
      <c r="A58" s="5">
        <v>305</v>
      </c>
      <c r="B58" s="5" t="s">
        <v>146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1500</v>
      </c>
      <c r="AF58" s="6">
        <v>1272.22</v>
      </c>
      <c r="AG58" s="6">
        <v>1272.22</v>
      </c>
      <c r="AH58" s="6">
        <v>1272.22</v>
      </c>
      <c r="AI58" s="6">
        <v>1272.22</v>
      </c>
      <c r="AJ58" s="6">
        <v>1272.22</v>
      </c>
      <c r="AK58" s="6">
        <v>1272.22</v>
      </c>
      <c r="AL58" s="6">
        <v>1272.22</v>
      </c>
      <c r="AM58" s="6">
        <v>1272.22</v>
      </c>
      <c r="AN58" s="6">
        <v>1272.22</v>
      </c>
      <c r="AO58" s="6">
        <v>1272.22</v>
      </c>
      <c r="AP58" s="6">
        <v>1272.22</v>
      </c>
      <c r="AQ58" s="6">
        <v>1272.22</v>
      </c>
      <c r="AR58" s="6">
        <v>1272.22</v>
      </c>
      <c r="AS58" s="6">
        <v>1272.22</v>
      </c>
      <c r="AT58" s="6">
        <v>1272.22</v>
      </c>
      <c r="AU58" s="6">
        <v>1272.22</v>
      </c>
      <c r="AV58" s="6">
        <v>1272.22</v>
      </c>
      <c r="AW58" s="6">
        <v>1272.22</v>
      </c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f t="shared" si="2"/>
        <v>24399.960000000006</v>
      </c>
      <c r="BJ58" s="6"/>
      <c r="BK58" s="6"/>
      <c r="BN58" s="119"/>
    </row>
    <row r="59" spans="1:66" x14ac:dyDescent="0.25">
      <c r="A59" s="5">
        <v>306</v>
      </c>
      <c r="B59" s="5" t="s">
        <v>146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5000</v>
      </c>
      <c r="AC59" s="6">
        <v>43242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f t="shared" si="2"/>
        <v>48242</v>
      </c>
      <c r="BJ59" s="6"/>
      <c r="BK59" s="6"/>
      <c r="BN59" s="119"/>
    </row>
    <row r="60" spans="1:66" x14ac:dyDescent="0.25">
      <c r="A60" s="5">
        <v>308</v>
      </c>
      <c r="B60" s="5" t="s">
        <v>146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1500</v>
      </c>
      <c r="AC60" s="6">
        <v>1272.22</v>
      </c>
      <c r="AD60" s="6">
        <v>1272.22</v>
      </c>
      <c r="AE60" s="6">
        <v>1500</v>
      </c>
      <c r="AF60" s="6">
        <v>1272.22</v>
      </c>
      <c r="AG60" s="6">
        <v>1272.22</v>
      </c>
      <c r="AH60" s="6">
        <v>1272.22</v>
      </c>
      <c r="AI60" s="6">
        <v>1272.22</v>
      </c>
      <c r="AJ60" s="6">
        <v>1272.22</v>
      </c>
      <c r="AK60" s="6">
        <v>1272.22</v>
      </c>
      <c r="AL60" s="6">
        <v>1272.22</v>
      </c>
      <c r="AM60" s="6">
        <v>1272.22</v>
      </c>
      <c r="AN60" s="6">
        <v>1272.22</v>
      </c>
      <c r="AO60" s="6">
        <v>1272.22</v>
      </c>
      <c r="AP60" s="6">
        <v>1272.22</v>
      </c>
      <c r="AQ60" s="6">
        <v>1272.22</v>
      </c>
      <c r="AR60" s="6">
        <v>1272.22</v>
      </c>
      <c r="AS60" s="6">
        <v>1272.22</v>
      </c>
      <c r="AT60" s="6">
        <v>1272.22</v>
      </c>
      <c r="AU60" s="6">
        <v>1272.22</v>
      </c>
      <c r="AV60" s="6">
        <v>1272.22</v>
      </c>
      <c r="AW60" s="6">
        <v>1272.22</v>
      </c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f t="shared" si="2"/>
        <v>28444.400000000009</v>
      </c>
      <c r="BJ60" s="6"/>
      <c r="BK60" s="6"/>
      <c r="BN60" s="119"/>
    </row>
    <row r="61" spans="1:66" x14ac:dyDescent="0.25">
      <c r="A61" s="5">
        <v>311</v>
      </c>
      <c r="B61" s="5" t="s">
        <v>146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1500</v>
      </c>
      <c r="AD61" s="6">
        <v>1178.95</v>
      </c>
      <c r="AE61" s="6">
        <v>1178.95</v>
      </c>
      <c r="AF61" s="6">
        <v>1178.95</v>
      </c>
      <c r="AG61" s="6">
        <v>1178.95</v>
      </c>
      <c r="AH61" s="6">
        <v>1178.95</v>
      </c>
      <c r="AI61" s="6">
        <v>1178.95</v>
      </c>
      <c r="AJ61" s="6">
        <v>1178.95</v>
      </c>
      <c r="AK61" s="6">
        <v>1178.95</v>
      </c>
      <c r="AL61" s="6">
        <v>1178.95</v>
      </c>
      <c r="AM61" s="6">
        <v>1178.95</v>
      </c>
      <c r="AN61" s="6">
        <v>1178.95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f t="shared" si="2"/>
        <v>14468.450000000003</v>
      </c>
      <c r="BJ61" s="6"/>
      <c r="BK61" s="6"/>
      <c r="BN61" s="119"/>
    </row>
    <row r="62" spans="1:66" x14ac:dyDescent="0.25">
      <c r="A62" s="216">
        <v>312</v>
      </c>
      <c r="B62" s="216" t="s">
        <v>146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1500</v>
      </c>
      <c r="AF62" s="6">
        <v>1272.22</v>
      </c>
      <c r="AG62" s="6">
        <v>1272.22</v>
      </c>
      <c r="AH62" s="6">
        <v>1272.22</v>
      </c>
      <c r="AI62" s="6">
        <v>1272.22</v>
      </c>
      <c r="AJ62" s="6">
        <v>1272.22</v>
      </c>
      <c r="AK62" s="6">
        <v>1272.22</v>
      </c>
      <c r="AL62" s="6">
        <v>1272.22</v>
      </c>
      <c r="AM62" s="6">
        <v>1272.22</v>
      </c>
      <c r="AN62" s="6">
        <v>1272.22</v>
      </c>
      <c r="AO62" s="6">
        <v>1272.22</v>
      </c>
      <c r="AP62" s="6">
        <v>1272.22</v>
      </c>
      <c r="AQ62" s="6">
        <v>1272.22</v>
      </c>
      <c r="AR62" s="6">
        <v>1272.22</v>
      </c>
      <c r="AS62" s="6">
        <v>1272.22</v>
      </c>
      <c r="AT62" s="6">
        <v>1272.22</v>
      </c>
      <c r="AU62" s="6">
        <v>1272.22</v>
      </c>
      <c r="AV62" s="6">
        <v>1272.22</v>
      </c>
      <c r="AW62" s="6">
        <v>1272.22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f t="shared" si="2"/>
        <v>24399.960000000006</v>
      </c>
      <c r="BJ62" s="6"/>
      <c r="BK62" s="6"/>
      <c r="BN62" s="119"/>
    </row>
    <row r="63" spans="1:66" x14ac:dyDescent="0.25">
      <c r="A63" s="216">
        <v>313</v>
      </c>
      <c r="B63" s="216" t="s">
        <v>146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1500</v>
      </c>
      <c r="AF63" s="6">
        <v>1272.22</v>
      </c>
      <c r="AG63" s="6">
        <v>1272.22</v>
      </c>
      <c r="AH63" s="6">
        <v>1272.22</v>
      </c>
      <c r="AI63" s="6">
        <v>1272.22</v>
      </c>
      <c r="AJ63" s="6">
        <v>1272.22</v>
      </c>
      <c r="AK63" s="6">
        <v>1272.22</v>
      </c>
      <c r="AL63" s="6">
        <v>1272.22</v>
      </c>
      <c r="AM63" s="6">
        <v>1272.22</v>
      </c>
      <c r="AN63" s="6">
        <v>1272.22</v>
      </c>
      <c r="AO63" s="6">
        <v>1272.22</v>
      </c>
      <c r="AP63" s="6">
        <v>1272.22</v>
      </c>
      <c r="AQ63" s="6">
        <v>1272.22</v>
      </c>
      <c r="AR63" s="6">
        <v>1272.22</v>
      </c>
      <c r="AS63" s="6">
        <v>1272.22</v>
      </c>
      <c r="AT63" s="6">
        <v>1272.22</v>
      </c>
      <c r="AU63" s="6">
        <v>1272.22</v>
      </c>
      <c r="AV63" s="6">
        <v>1272.22</v>
      </c>
      <c r="AW63" s="6">
        <v>1272.22</v>
      </c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f t="shared" si="2"/>
        <v>24399.960000000006</v>
      </c>
      <c r="BJ63" s="6"/>
      <c r="BK63" s="6"/>
      <c r="BN63" s="119"/>
    </row>
    <row r="64" spans="1:66" x14ac:dyDescent="0.25">
      <c r="A64" s="5">
        <v>405</v>
      </c>
      <c r="B64" s="5" t="s">
        <v>146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500</v>
      </c>
      <c r="X64" s="6">
        <v>1800</v>
      </c>
      <c r="Y64" s="6">
        <v>1800</v>
      </c>
      <c r="Z64" s="6">
        <v>1800</v>
      </c>
      <c r="AA64" s="6">
        <v>1800</v>
      </c>
      <c r="AB64" s="6">
        <v>1800</v>
      </c>
      <c r="AC64" s="6">
        <v>1800</v>
      </c>
      <c r="AD64" s="6">
        <v>1800</v>
      </c>
      <c r="AE64" s="6">
        <v>1800</v>
      </c>
      <c r="AF64" s="6">
        <v>1800</v>
      </c>
      <c r="AG64" s="6">
        <v>1800</v>
      </c>
      <c r="AH64" s="6">
        <v>1800</v>
      </c>
      <c r="AI64" s="6">
        <v>1800</v>
      </c>
      <c r="AJ64" s="6">
        <v>1800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f t="shared" si="2"/>
        <v>23900</v>
      </c>
      <c r="BJ64" s="6"/>
      <c r="BK64" s="6"/>
      <c r="BN64" s="119"/>
    </row>
    <row r="65" spans="1:66" x14ac:dyDescent="0.25">
      <c r="A65" s="5">
        <v>409</v>
      </c>
      <c r="B65" s="5" t="s">
        <v>146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1500</v>
      </c>
      <c r="AF65" s="6">
        <v>1400</v>
      </c>
      <c r="AG65" s="6">
        <v>1400</v>
      </c>
      <c r="AH65" s="6">
        <v>1400</v>
      </c>
      <c r="AI65" s="6">
        <v>1400</v>
      </c>
      <c r="AJ65" s="6">
        <v>1400</v>
      </c>
      <c r="AK65" s="6">
        <v>1400</v>
      </c>
      <c r="AL65" s="6">
        <v>1400</v>
      </c>
      <c r="AM65" s="6">
        <v>1400</v>
      </c>
      <c r="AN65" s="6">
        <v>1400</v>
      </c>
      <c r="AO65" s="6">
        <v>1400</v>
      </c>
      <c r="AP65" s="6">
        <v>1400</v>
      </c>
      <c r="AQ65" s="6">
        <v>1400</v>
      </c>
      <c r="AR65" s="6">
        <v>1400</v>
      </c>
      <c r="AS65" s="6">
        <v>1400</v>
      </c>
      <c r="AT65" s="6">
        <v>1400</v>
      </c>
      <c r="AU65" s="6">
        <v>1400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f t="shared" si="2"/>
        <v>23900</v>
      </c>
      <c r="BJ65" s="6"/>
      <c r="BK65" s="6"/>
      <c r="BN65" s="119"/>
    </row>
    <row r="66" spans="1:66" x14ac:dyDescent="0.25">
      <c r="A66" s="5">
        <v>411</v>
      </c>
      <c r="B66" s="5" t="s">
        <v>146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1500</v>
      </c>
      <c r="AF66" s="6">
        <v>1272.22</v>
      </c>
      <c r="AG66" s="6">
        <v>1272.22</v>
      </c>
      <c r="AH66" s="6">
        <v>1272.22</v>
      </c>
      <c r="AI66" s="6">
        <v>1272.22</v>
      </c>
      <c r="AJ66" s="6">
        <v>1272.22</v>
      </c>
      <c r="AK66" s="6">
        <v>1272.22</v>
      </c>
      <c r="AL66" s="6">
        <v>1272.22</v>
      </c>
      <c r="AM66" s="6">
        <v>1272.22</v>
      </c>
      <c r="AN66" s="6">
        <v>1272.22</v>
      </c>
      <c r="AO66" s="6">
        <v>1272.22</v>
      </c>
      <c r="AP66" s="6">
        <v>1272.22</v>
      </c>
      <c r="AQ66" s="6">
        <v>1272.22</v>
      </c>
      <c r="AR66" s="6">
        <v>1272.22</v>
      </c>
      <c r="AS66" s="6">
        <v>1272.22</v>
      </c>
      <c r="AT66" s="6">
        <v>1272.22</v>
      </c>
      <c r="AU66" s="6">
        <v>1272.22</v>
      </c>
      <c r="AV66" s="6">
        <v>1272.22</v>
      </c>
      <c r="AW66" s="6">
        <v>1272.22</v>
      </c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f t="shared" si="2"/>
        <v>24399.960000000006</v>
      </c>
      <c r="BJ66" s="6"/>
      <c r="BK66" s="6"/>
      <c r="BN66" s="119"/>
    </row>
    <row r="67" spans="1:66" x14ac:dyDescent="0.25">
      <c r="A67" s="5">
        <v>501</v>
      </c>
      <c r="B67" s="5" t="s">
        <v>146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1500</v>
      </c>
      <c r="AF67" s="6">
        <v>1272.22</v>
      </c>
      <c r="AG67" s="6">
        <v>1272.22</v>
      </c>
      <c r="AH67" s="6">
        <v>1272.22</v>
      </c>
      <c r="AI67" s="6">
        <v>1272.22</v>
      </c>
      <c r="AJ67" s="6">
        <v>1272.22</v>
      </c>
      <c r="AK67" s="6">
        <v>1272.22</v>
      </c>
      <c r="AL67" s="6">
        <v>1272.22</v>
      </c>
      <c r="AM67" s="6">
        <v>1272.22</v>
      </c>
      <c r="AN67" s="6">
        <v>1272.22</v>
      </c>
      <c r="AO67" s="6">
        <v>1272.22</v>
      </c>
      <c r="AP67" s="6">
        <v>1272.22</v>
      </c>
      <c r="AQ67" s="6">
        <v>1272.22</v>
      </c>
      <c r="AR67" s="6">
        <v>1272.22</v>
      </c>
      <c r="AS67" s="6">
        <v>1272.22</v>
      </c>
      <c r="AT67" s="6">
        <v>1272.22</v>
      </c>
      <c r="AU67" s="6">
        <v>1272.22</v>
      </c>
      <c r="AV67" s="6">
        <v>1272.22</v>
      </c>
      <c r="AW67" s="6">
        <v>1272.22</v>
      </c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f t="shared" ref="BI67:BI110" si="7">SUM(C67:BH67)</f>
        <v>24399.960000000006</v>
      </c>
      <c r="BJ67" s="6"/>
      <c r="BK67" s="6"/>
      <c r="BN67" s="119"/>
    </row>
    <row r="68" spans="1:66" x14ac:dyDescent="0.25">
      <c r="A68" s="5">
        <v>508</v>
      </c>
      <c r="B68" s="5" t="s">
        <v>146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1500</v>
      </c>
      <c r="AF68" s="6">
        <v>1272.22</v>
      </c>
      <c r="AG68" s="6">
        <v>1272.22</v>
      </c>
      <c r="AH68" s="6">
        <v>1272.22</v>
      </c>
      <c r="AI68" s="6">
        <v>1272.22</v>
      </c>
      <c r="AJ68" s="6">
        <v>1272.22</v>
      </c>
      <c r="AK68" s="6">
        <v>1272.22</v>
      </c>
      <c r="AL68" s="6">
        <v>1272.22</v>
      </c>
      <c r="AM68" s="6">
        <v>1272.22</v>
      </c>
      <c r="AN68" s="6">
        <v>1272.22</v>
      </c>
      <c r="AO68" s="6">
        <v>1272.22</v>
      </c>
      <c r="AP68" s="6">
        <v>1272.22</v>
      </c>
      <c r="AQ68" s="6">
        <v>1272.22</v>
      </c>
      <c r="AR68" s="6">
        <v>1272.22</v>
      </c>
      <c r="AS68" s="6">
        <v>1272.22</v>
      </c>
      <c r="AT68" s="6">
        <v>1272.22</v>
      </c>
      <c r="AU68" s="6">
        <v>1272.22</v>
      </c>
      <c r="AV68" s="6">
        <v>1272.22</v>
      </c>
      <c r="AW68" s="6">
        <v>1272.22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f t="shared" si="7"/>
        <v>24399.960000000006</v>
      </c>
      <c r="BJ68" s="6"/>
      <c r="BK68" s="6"/>
      <c r="BN68" s="119"/>
    </row>
    <row r="69" spans="1:66" x14ac:dyDescent="0.25">
      <c r="A69" s="5">
        <v>601</v>
      </c>
      <c r="B69" s="5" t="s">
        <v>146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1500</v>
      </c>
      <c r="AF69" s="6">
        <v>1272.22</v>
      </c>
      <c r="AG69" s="6">
        <v>1272.22</v>
      </c>
      <c r="AH69" s="6">
        <v>1272.22</v>
      </c>
      <c r="AI69" s="6">
        <v>1272.22</v>
      </c>
      <c r="AJ69" s="6">
        <v>1272.22</v>
      </c>
      <c r="AK69" s="6">
        <v>1272.22</v>
      </c>
      <c r="AL69" s="6">
        <v>1272.22</v>
      </c>
      <c r="AM69" s="6">
        <v>1272.22</v>
      </c>
      <c r="AN69" s="6">
        <v>1272.22</v>
      </c>
      <c r="AO69" s="6">
        <v>1272.22</v>
      </c>
      <c r="AP69" s="6">
        <v>1272.22</v>
      </c>
      <c r="AQ69" s="6">
        <v>1272.22</v>
      </c>
      <c r="AR69" s="6">
        <v>1272.22</v>
      </c>
      <c r="AS69" s="6">
        <v>1272.22</v>
      </c>
      <c r="AT69" s="6">
        <v>1272.22</v>
      </c>
      <c r="AU69" s="6">
        <v>1272.22</v>
      </c>
      <c r="AV69" s="6">
        <v>1272.22</v>
      </c>
      <c r="AW69" s="6">
        <v>1272.22</v>
      </c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f t="shared" si="7"/>
        <v>24399.960000000006</v>
      </c>
      <c r="BJ69" s="6"/>
      <c r="BK69" s="6"/>
      <c r="BN69" s="119"/>
    </row>
    <row r="70" spans="1:66" x14ac:dyDescent="0.25">
      <c r="A70" s="5">
        <v>604</v>
      </c>
      <c r="B70" s="5" t="s">
        <v>146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1500</v>
      </c>
      <c r="AF70" s="6">
        <v>1272.22</v>
      </c>
      <c r="AG70" s="6">
        <v>1272.22</v>
      </c>
      <c r="AH70" s="6">
        <v>1272.22</v>
      </c>
      <c r="AI70" s="6">
        <v>1272.22</v>
      </c>
      <c r="AJ70" s="6">
        <v>1272.22</v>
      </c>
      <c r="AK70" s="6">
        <v>1272.22</v>
      </c>
      <c r="AL70" s="6">
        <v>1272.22</v>
      </c>
      <c r="AM70" s="6">
        <v>1272.22</v>
      </c>
      <c r="AN70" s="6">
        <v>1272.22</v>
      </c>
      <c r="AO70" s="6">
        <v>1272.22</v>
      </c>
      <c r="AP70" s="6">
        <v>1272.22</v>
      </c>
      <c r="AQ70" s="6">
        <v>1272.22</v>
      </c>
      <c r="AR70" s="6">
        <v>1272.22</v>
      </c>
      <c r="AS70" s="6">
        <v>1272.22</v>
      </c>
      <c r="AT70" s="6">
        <v>1272.22</v>
      </c>
      <c r="AU70" s="6">
        <v>1272.22</v>
      </c>
      <c r="AV70" s="6">
        <v>1272.22</v>
      </c>
      <c r="AW70" s="6">
        <v>1272.22</v>
      </c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f t="shared" si="7"/>
        <v>24399.960000000006</v>
      </c>
      <c r="BJ70" s="6"/>
      <c r="BK70" s="6"/>
      <c r="BN70" s="119"/>
    </row>
    <row r="71" spans="1:66" x14ac:dyDescent="0.25">
      <c r="A71" s="5">
        <v>606</v>
      </c>
      <c r="B71" s="5" t="s">
        <v>146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1500</v>
      </c>
      <c r="R71" s="6">
        <v>1184.21</v>
      </c>
      <c r="S71" s="6">
        <v>1184.21</v>
      </c>
      <c r="T71" s="6">
        <v>1184.21</v>
      </c>
      <c r="U71" s="6">
        <v>1184.21</v>
      </c>
      <c r="V71" s="6">
        <v>1184.21</v>
      </c>
      <c r="W71" s="6">
        <v>1184.21</v>
      </c>
      <c r="X71" s="6">
        <v>1184.21</v>
      </c>
      <c r="Y71" s="6">
        <v>1184.21</v>
      </c>
      <c r="Z71" s="6">
        <v>1184.21</v>
      </c>
      <c r="AA71" s="6">
        <v>1184.21</v>
      </c>
      <c r="AB71" s="6">
        <v>1184.21</v>
      </c>
      <c r="AC71" s="6">
        <v>1184.21</v>
      </c>
      <c r="AD71" s="6">
        <v>1184.21</v>
      </c>
      <c r="AE71" s="6">
        <v>1184.21</v>
      </c>
      <c r="AF71" s="6">
        <v>1184.21</v>
      </c>
      <c r="AG71" s="6">
        <v>1184.21</v>
      </c>
      <c r="AH71" s="6">
        <v>1184.21</v>
      </c>
      <c r="AI71" s="6">
        <v>1184.21</v>
      </c>
      <c r="AJ71" s="6">
        <v>1184.21</v>
      </c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f t="shared" si="7"/>
        <v>23999.989999999991</v>
      </c>
      <c r="BJ71" s="6"/>
      <c r="BK71" s="6"/>
      <c r="BN71" s="119"/>
    </row>
    <row r="72" spans="1:66" x14ac:dyDescent="0.25">
      <c r="A72" s="5">
        <v>613</v>
      </c>
      <c r="B72" s="5" t="s">
        <v>146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f t="shared" si="7"/>
        <v>0</v>
      </c>
      <c r="BJ72" s="6"/>
      <c r="BK72" s="6"/>
      <c r="BN72" s="119"/>
    </row>
    <row r="73" spans="1:66" x14ac:dyDescent="0.25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f t="shared" si="7"/>
        <v>0</v>
      </c>
      <c r="BJ73" s="6"/>
      <c r="BK73" s="6"/>
      <c r="BN73" s="119"/>
    </row>
    <row r="74" spans="1:66" x14ac:dyDescent="0.2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f t="shared" si="7"/>
        <v>0</v>
      </c>
      <c r="BJ74" s="6"/>
      <c r="BK74" s="6"/>
      <c r="BN74" s="119"/>
    </row>
    <row r="75" spans="1:66" x14ac:dyDescent="0.25">
      <c r="A75" s="868" t="str">
        <f>'BENESTARE '!A93</f>
        <v>502-C</v>
      </c>
      <c r="B75" s="868" t="str">
        <f>RIGHT(A75,1)</f>
        <v>C</v>
      </c>
      <c r="C75" s="869"/>
      <c r="D75" s="869"/>
      <c r="E75" s="869"/>
      <c r="F75" s="869"/>
      <c r="G75" s="869"/>
      <c r="H75" s="869"/>
      <c r="I75" s="869"/>
      <c r="J75" s="869"/>
      <c r="K75" s="869"/>
      <c r="L75" s="869"/>
      <c r="M75" s="869"/>
      <c r="N75" s="869"/>
      <c r="O75" s="869"/>
      <c r="P75" s="869"/>
      <c r="Q75" s="869"/>
      <c r="R75" s="869"/>
      <c r="S75" s="869"/>
      <c r="T75" s="869"/>
      <c r="U75" s="869"/>
      <c r="V75" s="869"/>
      <c r="W75" s="869"/>
      <c r="X75" s="869"/>
      <c r="Y75" s="869"/>
      <c r="Z75" s="869"/>
      <c r="AA75" s="869"/>
      <c r="AB75" s="869"/>
      <c r="AC75" s="869"/>
      <c r="AD75" s="869"/>
      <c r="AE75" s="869"/>
      <c r="AF75" s="869"/>
      <c r="AG75" s="869"/>
      <c r="AH75" s="869"/>
      <c r="AI75" s="869"/>
      <c r="AJ75" s="869"/>
      <c r="AK75" s="869"/>
      <c r="AL75" s="869"/>
      <c r="AM75" s="869"/>
      <c r="AN75" s="869"/>
      <c r="AO75" s="869"/>
      <c r="AP75" s="869"/>
      <c r="AQ75" s="869"/>
      <c r="AR75" s="869"/>
      <c r="AS75" s="869"/>
      <c r="AT75" s="869"/>
      <c r="AU75" s="869"/>
      <c r="AV75" s="869"/>
      <c r="AW75" s="869"/>
      <c r="AX75" s="869"/>
      <c r="AY75" s="869"/>
      <c r="AZ75" s="869"/>
      <c r="BA75" s="869"/>
      <c r="BB75" s="869"/>
      <c r="BC75" s="869"/>
      <c r="BD75" s="869"/>
      <c r="BE75" s="869"/>
      <c r="BF75" s="869"/>
      <c r="BG75" s="869"/>
      <c r="BH75" s="869"/>
      <c r="BI75" s="6">
        <f t="shared" si="7"/>
        <v>0</v>
      </c>
      <c r="BJ75" s="6"/>
      <c r="BK75" s="6"/>
      <c r="BN75" s="119"/>
    </row>
    <row r="76" spans="1:66" x14ac:dyDescent="0.25">
      <c r="A76" s="868" t="str">
        <f>'BENESTARE '!A94</f>
        <v>509-B</v>
      </c>
      <c r="B76" s="868" t="str">
        <f t="shared" ref="B76:B111" si="8">RIGHT(A76,1)</f>
        <v>B</v>
      </c>
      <c r="C76" s="869"/>
      <c r="D76" s="869"/>
      <c r="E76" s="869"/>
      <c r="F76" s="869"/>
      <c r="G76" s="869"/>
      <c r="H76" s="869"/>
      <c r="I76" s="869"/>
      <c r="J76" s="869"/>
      <c r="K76" s="869"/>
      <c r="L76" s="869"/>
      <c r="M76" s="869"/>
      <c r="N76" s="869"/>
      <c r="O76" s="869"/>
      <c r="P76" s="869"/>
      <c r="Q76" s="869"/>
      <c r="R76" s="869"/>
      <c r="S76" s="869"/>
      <c r="T76" s="869"/>
      <c r="U76" s="869"/>
      <c r="V76" s="869"/>
      <c r="W76" s="869"/>
      <c r="X76" s="869"/>
      <c r="Y76" s="869"/>
      <c r="Z76" s="869"/>
      <c r="AA76" s="869"/>
      <c r="AB76" s="869"/>
      <c r="AC76" s="869"/>
      <c r="AD76" s="869"/>
      <c r="AE76" s="869"/>
      <c r="AF76" s="869"/>
      <c r="AG76" s="869"/>
      <c r="AH76" s="869"/>
      <c r="AI76" s="869"/>
      <c r="AJ76" s="869"/>
      <c r="AK76" s="869"/>
      <c r="AL76" s="869"/>
      <c r="AM76" s="869"/>
      <c r="AN76" s="869"/>
      <c r="AO76" s="869"/>
      <c r="AP76" s="869"/>
      <c r="AQ76" s="869"/>
      <c r="AR76" s="869"/>
      <c r="AS76" s="869"/>
      <c r="AT76" s="869"/>
      <c r="AU76" s="869"/>
      <c r="AV76" s="869"/>
      <c r="AW76" s="869"/>
      <c r="AX76" s="869"/>
      <c r="AY76" s="869"/>
      <c r="AZ76" s="869"/>
      <c r="BA76" s="869"/>
      <c r="BB76" s="869"/>
      <c r="BC76" s="869"/>
      <c r="BD76" s="869"/>
      <c r="BE76" s="869"/>
      <c r="BF76" s="869"/>
      <c r="BG76" s="869"/>
      <c r="BH76" s="869"/>
      <c r="BI76" s="6">
        <f t="shared" si="7"/>
        <v>0</v>
      </c>
      <c r="BJ76" s="6"/>
      <c r="BK76" s="6"/>
      <c r="BN76" s="119"/>
    </row>
    <row r="77" spans="1:66" x14ac:dyDescent="0.25">
      <c r="A77" s="868" t="str">
        <f>'BENESTARE '!A95</f>
        <v>112-B</v>
      </c>
      <c r="B77" s="868" t="str">
        <f t="shared" si="8"/>
        <v>B</v>
      </c>
      <c r="C77" s="869"/>
      <c r="D77" s="869"/>
      <c r="E77" s="869"/>
      <c r="F77" s="869"/>
      <c r="G77" s="869"/>
      <c r="H77" s="869"/>
      <c r="I77" s="869"/>
      <c r="J77" s="869"/>
      <c r="K77" s="869"/>
      <c r="L77" s="869"/>
      <c r="M77" s="869"/>
      <c r="N77" s="869"/>
      <c r="O77" s="869"/>
      <c r="P77" s="869"/>
      <c r="Q77" s="869"/>
      <c r="R77" s="869"/>
      <c r="S77" s="869"/>
      <c r="T77" s="869"/>
      <c r="U77" s="869"/>
      <c r="V77" s="869"/>
      <c r="W77" s="869"/>
      <c r="X77" s="869"/>
      <c r="Y77" s="869"/>
      <c r="Z77" s="869"/>
      <c r="AA77" s="869"/>
      <c r="AB77" s="869"/>
      <c r="AC77" s="869"/>
      <c r="AD77" s="869"/>
      <c r="AE77" s="869"/>
      <c r="AF77" s="869"/>
      <c r="AG77" s="869"/>
      <c r="AH77" s="869"/>
      <c r="AI77" s="869"/>
      <c r="AJ77" s="869"/>
      <c r="AK77" s="869"/>
      <c r="AL77" s="869"/>
      <c r="AM77" s="869"/>
      <c r="AN77" s="869"/>
      <c r="AO77" s="869"/>
      <c r="AP77" s="869"/>
      <c r="AQ77" s="869"/>
      <c r="AR77" s="869"/>
      <c r="AS77" s="869"/>
      <c r="AT77" s="869"/>
      <c r="AU77" s="869"/>
      <c r="AV77" s="869"/>
      <c r="AW77" s="869"/>
      <c r="AX77" s="869"/>
      <c r="AY77" s="869"/>
      <c r="AZ77" s="869"/>
      <c r="BA77" s="869"/>
      <c r="BB77" s="869"/>
      <c r="BC77" s="869"/>
      <c r="BD77" s="869"/>
      <c r="BE77" s="869"/>
      <c r="BF77" s="869"/>
      <c r="BG77" s="869"/>
      <c r="BH77" s="869"/>
      <c r="BI77" s="6">
        <f t="shared" si="7"/>
        <v>0</v>
      </c>
      <c r="BJ77" s="6"/>
      <c r="BK77" s="6"/>
      <c r="BN77" s="119"/>
    </row>
    <row r="78" spans="1:66" x14ac:dyDescent="0.25">
      <c r="A78" s="868" t="str">
        <f>'BENESTARE '!A96</f>
        <v>512-B</v>
      </c>
      <c r="B78" s="868" t="str">
        <f t="shared" si="8"/>
        <v>B</v>
      </c>
      <c r="C78" s="869"/>
      <c r="D78" s="869"/>
      <c r="E78" s="869"/>
      <c r="F78" s="869"/>
      <c r="G78" s="869"/>
      <c r="H78" s="869"/>
      <c r="I78" s="869"/>
      <c r="J78" s="869"/>
      <c r="K78" s="869"/>
      <c r="L78" s="869"/>
      <c r="M78" s="869"/>
      <c r="N78" s="869"/>
      <c r="O78" s="869"/>
      <c r="P78" s="869"/>
      <c r="Q78" s="869"/>
      <c r="R78" s="869"/>
      <c r="S78" s="869"/>
      <c r="T78" s="869"/>
      <c r="U78" s="869"/>
      <c r="V78" s="869"/>
      <c r="W78" s="869"/>
      <c r="X78" s="869"/>
      <c r="Y78" s="869"/>
      <c r="Z78" s="869"/>
      <c r="AA78" s="869"/>
      <c r="AB78" s="869"/>
      <c r="AC78" s="869"/>
      <c r="AD78" s="869"/>
      <c r="AE78" s="869"/>
      <c r="AF78" s="869"/>
      <c r="AG78" s="869"/>
      <c r="AH78" s="869"/>
      <c r="AI78" s="869"/>
      <c r="AJ78" s="869"/>
      <c r="AK78" s="869"/>
      <c r="AL78" s="869"/>
      <c r="AM78" s="869"/>
      <c r="AN78" s="869"/>
      <c r="AO78" s="869"/>
      <c r="AP78" s="869"/>
      <c r="AQ78" s="869"/>
      <c r="AR78" s="869"/>
      <c r="AS78" s="869"/>
      <c r="AT78" s="869"/>
      <c r="AU78" s="869"/>
      <c r="AV78" s="869"/>
      <c r="AW78" s="869"/>
      <c r="AX78" s="869"/>
      <c r="AY78" s="869"/>
      <c r="AZ78" s="869"/>
      <c r="BA78" s="869"/>
      <c r="BB78" s="869"/>
      <c r="BC78" s="869"/>
      <c r="BD78" s="869"/>
      <c r="BE78" s="869"/>
      <c r="BF78" s="869"/>
      <c r="BG78" s="869"/>
      <c r="BH78" s="869"/>
      <c r="BI78" s="6">
        <f t="shared" si="7"/>
        <v>0</v>
      </c>
      <c r="BJ78" s="6"/>
      <c r="BK78" s="6"/>
      <c r="BN78" s="119"/>
    </row>
    <row r="79" spans="1:66" x14ac:dyDescent="0.25">
      <c r="A79" s="868" t="str">
        <f>'BENESTARE '!A97</f>
        <v>513-B</v>
      </c>
      <c r="B79" s="868" t="str">
        <f t="shared" si="8"/>
        <v>B</v>
      </c>
      <c r="C79" s="869"/>
      <c r="D79" s="869"/>
      <c r="E79" s="869"/>
      <c r="F79" s="869"/>
      <c r="G79" s="869"/>
      <c r="H79" s="869"/>
      <c r="I79" s="869"/>
      <c r="J79" s="869"/>
      <c r="K79" s="869"/>
      <c r="L79" s="869"/>
      <c r="M79" s="869"/>
      <c r="N79" s="869"/>
      <c r="O79" s="869"/>
      <c r="P79" s="869"/>
      <c r="Q79" s="869"/>
      <c r="R79" s="869"/>
      <c r="S79" s="869"/>
      <c r="T79" s="869"/>
      <c r="U79" s="869"/>
      <c r="V79" s="869"/>
      <c r="W79" s="869"/>
      <c r="X79" s="869"/>
      <c r="Y79" s="869"/>
      <c r="Z79" s="869"/>
      <c r="AA79" s="869"/>
      <c r="AB79" s="869"/>
      <c r="AC79" s="869"/>
      <c r="AD79" s="869"/>
      <c r="AE79" s="869"/>
      <c r="AF79" s="869"/>
      <c r="AG79" s="869"/>
      <c r="AH79" s="869"/>
      <c r="AI79" s="869"/>
      <c r="AJ79" s="869"/>
      <c r="AK79" s="869"/>
      <c r="AL79" s="869"/>
      <c r="AM79" s="869"/>
      <c r="AN79" s="869"/>
      <c r="AO79" s="869"/>
      <c r="AP79" s="869"/>
      <c r="AQ79" s="869"/>
      <c r="AR79" s="869"/>
      <c r="AS79" s="869"/>
      <c r="AT79" s="869"/>
      <c r="AU79" s="869"/>
      <c r="AV79" s="869"/>
      <c r="AW79" s="869"/>
      <c r="AX79" s="869"/>
      <c r="AY79" s="869"/>
      <c r="AZ79" s="869"/>
      <c r="BA79" s="869"/>
      <c r="BB79" s="869"/>
      <c r="BC79" s="869"/>
      <c r="BD79" s="869"/>
      <c r="BE79" s="869"/>
      <c r="BF79" s="869"/>
      <c r="BG79" s="869"/>
      <c r="BH79" s="869"/>
      <c r="BI79" s="6">
        <f t="shared" si="7"/>
        <v>0</v>
      </c>
      <c r="BJ79" s="6"/>
      <c r="BK79" s="6"/>
      <c r="BN79" s="119"/>
    </row>
    <row r="80" spans="1:66" x14ac:dyDescent="0.25">
      <c r="A80" s="868" t="str">
        <f>'BENESTARE '!A98</f>
        <v>201-C</v>
      </c>
      <c r="B80" s="868" t="str">
        <f t="shared" si="8"/>
        <v>C</v>
      </c>
      <c r="C80" s="869"/>
      <c r="D80" s="869"/>
      <c r="E80" s="869"/>
      <c r="F80" s="869"/>
      <c r="G80" s="869"/>
      <c r="H80" s="869"/>
      <c r="I80" s="869"/>
      <c r="J80" s="869"/>
      <c r="K80" s="869"/>
      <c r="L80" s="869"/>
      <c r="M80" s="869"/>
      <c r="N80" s="869"/>
      <c r="O80" s="869"/>
      <c r="P80" s="869"/>
      <c r="Q80" s="869"/>
      <c r="R80" s="869"/>
      <c r="S80" s="869"/>
      <c r="T80" s="869"/>
      <c r="U80" s="869"/>
      <c r="V80" s="869"/>
      <c r="W80" s="869"/>
      <c r="X80" s="869"/>
      <c r="Y80" s="869"/>
      <c r="Z80" s="869"/>
      <c r="AA80" s="869"/>
      <c r="AB80" s="869"/>
      <c r="AC80" s="869"/>
      <c r="AD80" s="869"/>
      <c r="AE80" s="869"/>
      <c r="AF80" s="869"/>
      <c r="AG80" s="869"/>
      <c r="AH80" s="869"/>
      <c r="AI80" s="869"/>
      <c r="AJ80" s="869"/>
      <c r="AK80" s="869"/>
      <c r="AL80" s="869"/>
      <c r="AM80" s="869"/>
      <c r="AN80" s="869"/>
      <c r="AO80" s="869"/>
      <c r="AP80" s="869"/>
      <c r="AQ80" s="869"/>
      <c r="AR80" s="869"/>
      <c r="AS80" s="869"/>
      <c r="AT80" s="869"/>
      <c r="AU80" s="869"/>
      <c r="AV80" s="869"/>
      <c r="AW80" s="869"/>
      <c r="AX80" s="869"/>
      <c r="AY80" s="869"/>
      <c r="AZ80" s="869"/>
      <c r="BA80" s="869"/>
      <c r="BB80" s="869"/>
      <c r="BC80" s="869"/>
      <c r="BD80" s="869"/>
      <c r="BE80" s="869"/>
      <c r="BF80" s="869"/>
      <c r="BG80" s="869"/>
      <c r="BH80" s="869"/>
      <c r="BI80" s="6">
        <f t="shared" si="7"/>
        <v>0</v>
      </c>
      <c r="BJ80" s="6"/>
      <c r="BK80" s="6"/>
      <c r="BN80" s="119"/>
    </row>
    <row r="81" spans="1:66" x14ac:dyDescent="0.25">
      <c r="A81" s="868" t="str">
        <f>'BENESTARE '!A99</f>
        <v>302-C</v>
      </c>
      <c r="B81" s="868" t="str">
        <f t="shared" si="8"/>
        <v>C</v>
      </c>
      <c r="C81" s="869"/>
      <c r="D81" s="869"/>
      <c r="E81" s="869"/>
      <c r="F81" s="869"/>
      <c r="G81" s="869"/>
      <c r="H81" s="869"/>
      <c r="I81" s="869"/>
      <c r="J81" s="869"/>
      <c r="K81" s="869"/>
      <c r="L81" s="869"/>
      <c r="M81" s="869"/>
      <c r="N81" s="869"/>
      <c r="O81" s="869"/>
      <c r="P81" s="869"/>
      <c r="Q81" s="869"/>
      <c r="R81" s="869"/>
      <c r="S81" s="869"/>
      <c r="T81" s="869"/>
      <c r="U81" s="869"/>
      <c r="V81" s="869"/>
      <c r="W81" s="869"/>
      <c r="X81" s="869"/>
      <c r="Y81" s="869"/>
      <c r="Z81" s="869"/>
      <c r="AA81" s="869"/>
      <c r="AB81" s="869"/>
      <c r="AC81" s="869"/>
      <c r="AD81" s="869"/>
      <c r="AE81" s="869"/>
      <c r="AF81" s="869"/>
      <c r="AG81" s="869"/>
      <c r="AH81" s="869"/>
      <c r="AI81" s="869"/>
      <c r="AJ81" s="869"/>
      <c r="AK81" s="869"/>
      <c r="AL81" s="869"/>
      <c r="AM81" s="869"/>
      <c r="AN81" s="869"/>
      <c r="AO81" s="869"/>
      <c r="AP81" s="869"/>
      <c r="AQ81" s="869"/>
      <c r="AR81" s="869"/>
      <c r="AS81" s="869"/>
      <c r="AT81" s="869"/>
      <c r="AU81" s="869"/>
      <c r="AV81" s="869"/>
      <c r="AW81" s="869"/>
      <c r="AX81" s="869"/>
      <c r="AY81" s="869"/>
      <c r="AZ81" s="869"/>
      <c r="BA81" s="869"/>
      <c r="BB81" s="869"/>
      <c r="BC81" s="869"/>
      <c r="BD81" s="869"/>
      <c r="BE81" s="869"/>
      <c r="BF81" s="869"/>
      <c r="BG81" s="869"/>
      <c r="BH81" s="869"/>
      <c r="BI81" s="6">
        <f t="shared" si="7"/>
        <v>0</v>
      </c>
      <c r="BJ81" s="6"/>
      <c r="BK81" s="6"/>
      <c r="BN81" s="119"/>
    </row>
    <row r="82" spans="1:66" x14ac:dyDescent="0.25">
      <c r="A82" s="868" t="str">
        <f>'BENESTARE '!A100</f>
        <v>401-C</v>
      </c>
      <c r="B82" s="868" t="str">
        <f t="shared" si="8"/>
        <v>C</v>
      </c>
      <c r="C82" s="869"/>
      <c r="D82" s="869"/>
      <c r="E82" s="869"/>
      <c r="F82" s="869"/>
      <c r="G82" s="869"/>
      <c r="H82" s="869"/>
      <c r="I82" s="869"/>
      <c r="J82" s="869"/>
      <c r="K82" s="869"/>
      <c r="L82" s="869"/>
      <c r="M82" s="869"/>
      <c r="N82" s="869"/>
      <c r="O82" s="869"/>
      <c r="P82" s="869"/>
      <c r="Q82" s="869"/>
      <c r="R82" s="869"/>
      <c r="S82" s="869"/>
      <c r="T82" s="869"/>
      <c r="U82" s="869"/>
      <c r="V82" s="869"/>
      <c r="W82" s="869"/>
      <c r="X82" s="869"/>
      <c r="Y82" s="869"/>
      <c r="Z82" s="869"/>
      <c r="AA82" s="869"/>
      <c r="AB82" s="869"/>
      <c r="AC82" s="869"/>
      <c r="AD82" s="869"/>
      <c r="AE82" s="869"/>
      <c r="AF82" s="869"/>
      <c r="AG82" s="869"/>
      <c r="AH82" s="869"/>
      <c r="AI82" s="869"/>
      <c r="AJ82" s="869"/>
      <c r="AK82" s="869"/>
      <c r="AL82" s="869"/>
      <c r="AM82" s="869"/>
      <c r="AN82" s="869"/>
      <c r="AO82" s="869"/>
      <c r="AP82" s="869"/>
      <c r="AQ82" s="869"/>
      <c r="AR82" s="869"/>
      <c r="AS82" s="869"/>
      <c r="AT82" s="869"/>
      <c r="AU82" s="869"/>
      <c r="AV82" s="869"/>
      <c r="AW82" s="869"/>
      <c r="AX82" s="869"/>
      <c r="AY82" s="869"/>
      <c r="AZ82" s="869"/>
      <c r="BA82" s="869"/>
      <c r="BB82" s="869"/>
      <c r="BC82" s="869"/>
      <c r="BD82" s="869"/>
      <c r="BE82" s="869"/>
      <c r="BF82" s="869"/>
      <c r="BG82" s="869"/>
      <c r="BH82" s="869"/>
      <c r="BI82" s="6">
        <f t="shared" si="7"/>
        <v>0</v>
      </c>
      <c r="BJ82" s="6"/>
      <c r="BK82" s="6"/>
      <c r="BN82" s="119"/>
    </row>
    <row r="83" spans="1:66" x14ac:dyDescent="0.25">
      <c r="A83" s="868" t="str">
        <f>'BENESTARE '!A101</f>
        <v>111-B</v>
      </c>
      <c r="B83" s="868" t="str">
        <f t="shared" si="8"/>
        <v>B</v>
      </c>
      <c r="C83" s="869"/>
      <c r="D83" s="869"/>
      <c r="E83" s="869"/>
      <c r="F83" s="869"/>
      <c r="G83" s="869"/>
      <c r="H83" s="869"/>
      <c r="I83" s="869"/>
      <c r="J83" s="869"/>
      <c r="K83" s="869"/>
      <c r="L83" s="869"/>
      <c r="M83" s="869"/>
      <c r="N83" s="869"/>
      <c r="O83" s="869"/>
      <c r="P83" s="869"/>
      <c r="Q83" s="869"/>
      <c r="R83" s="869"/>
      <c r="S83" s="869"/>
      <c r="T83" s="869"/>
      <c r="U83" s="869"/>
      <c r="V83" s="869"/>
      <c r="W83" s="869"/>
      <c r="X83" s="869"/>
      <c r="Y83" s="869"/>
      <c r="Z83" s="869"/>
      <c r="AA83" s="869"/>
      <c r="AB83" s="869"/>
      <c r="AC83" s="869"/>
      <c r="AD83" s="869"/>
      <c r="AE83" s="869"/>
      <c r="AF83" s="869"/>
      <c r="AG83" s="869"/>
      <c r="AH83" s="869"/>
      <c r="AI83" s="869"/>
      <c r="AJ83" s="869"/>
      <c r="AK83" s="869"/>
      <c r="AL83" s="869"/>
      <c r="AM83" s="869"/>
      <c r="AN83" s="869"/>
      <c r="AO83" s="869"/>
      <c r="AP83" s="869"/>
      <c r="AQ83" s="869"/>
      <c r="AR83" s="869"/>
      <c r="AS83" s="869"/>
      <c r="AT83" s="869"/>
      <c r="AU83" s="869"/>
      <c r="AV83" s="869"/>
      <c r="AW83" s="869"/>
      <c r="AX83" s="869"/>
      <c r="AY83" s="869"/>
      <c r="AZ83" s="869"/>
      <c r="BA83" s="869"/>
      <c r="BB83" s="869"/>
      <c r="BC83" s="869"/>
      <c r="BD83" s="869"/>
      <c r="BE83" s="869"/>
      <c r="BF83" s="869"/>
      <c r="BG83" s="869"/>
      <c r="BH83" s="869"/>
      <c r="BI83" s="6">
        <f t="shared" si="7"/>
        <v>0</v>
      </c>
      <c r="BJ83" s="6"/>
      <c r="BK83" s="6"/>
      <c r="BN83" s="119"/>
    </row>
    <row r="84" spans="1:66" x14ac:dyDescent="0.25">
      <c r="A84" s="868" t="str">
        <f>'BENESTARE '!A102</f>
        <v>601-C</v>
      </c>
      <c r="B84" s="868" t="str">
        <f t="shared" si="8"/>
        <v>C</v>
      </c>
      <c r="C84" s="869"/>
      <c r="D84" s="869"/>
      <c r="E84" s="869"/>
      <c r="F84" s="869"/>
      <c r="G84" s="869"/>
      <c r="H84" s="869"/>
      <c r="I84" s="869"/>
      <c r="J84" s="869"/>
      <c r="K84" s="869"/>
      <c r="L84" s="869"/>
      <c r="M84" s="869"/>
      <c r="N84" s="869"/>
      <c r="O84" s="869"/>
      <c r="P84" s="869"/>
      <c r="Q84" s="869"/>
      <c r="R84" s="869"/>
      <c r="S84" s="869"/>
      <c r="T84" s="869"/>
      <c r="U84" s="869"/>
      <c r="V84" s="869"/>
      <c r="W84" s="869"/>
      <c r="X84" s="869"/>
      <c r="Y84" s="869"/>
      <c r="Z84" s="869"/>
      <c r="AA84" s="869"/>
      <c r="AB84" s="869"/>
      <c r="AC84" s="869"/>
      <c r="AD84" s="869"/>
      <c r="AE84" s="869"/>
      <c r="AF84" s="869"/>
      <c r="AG84" s="869"/>
      <c r="AH84" s="869"/>
      <c r="AI84" s="869"/>
      <c r="AJ84" s="869"/>
      <c r="AK84" s="869"/>
      <c r="AL84" s="869"/>
      <c r="AM84" s="869"/>
      <c r="AN84" s="869"/>
      <c r="AO84" s="869"/>
      <c r="AP84" s="869"/>
      <c r="AQ84" s="869"/>
      <c r="AR84" s="869"/>
      <c r="AS84" s="869"/>
      <c r="AT84" s="869"/>
      <c r="AU84" s="869"/>
      <c r="AV84" s="869"/>
      <c r="AW84" s="869"/>
      <c r="AX84" s="869"/>
      <c r="AY84" s="869"/>
      <c r="AZ84" s="869"/>
      <c r="BA84" s="869"/>
      <c r="BB84" s="869"/>
      <c r="BC84" s="869"/>
      <c r="BD84" s="869"/>
      <c r="BE84" s="869"/>
      <c r="BF84" s="869"/>
      <c r="BG84" s="869"/>
      <c r="BH84" s="869"/>
      <c r="BI84" s="6">
        <f t="shared" si="7"/>
        <v>0</v>
      </c>
      <c r="BJ84" s="6"/>
      <c r="BK84" s="6"/>
      <c r="BN84" s="119"/>
    </row>
    <row r="85" spans="1:66" x14ac:dyDescent="0.25">
      <c r="A85" s="868" t="str">
        <f>'BENESTARE '!A103</f>
        <v>301-C</v>
      </c>
      <c r="B85" s="868" t="str">
        <f t="shared" si="8"/>
        <v>C</v>
      </c>
      <c r="C85" s="869"/>
      <c r="D85" s="869"/>
      <c r="E85" s="869"/>
      <c r="F85" s="869"/>
      <c r="G85" s="869"/>
      <c r="H85" s="869"/>
      <c r="I85" s="869"/>
      <c r="J85" s="869"/>
      <c r="K85" s="869"/>
      <c r="L85" s="869"/>
      <c r="M85" s="869"/>
      <c r="N85" s="869"/>
      <c r="O85" s="869"/>
      <c r="P85" s="869"/>
      <c r="Q85" s="869"/>
      <c r="R85" s="869"/>
      <c r="S85" s="869"/>
      <c r="T85" s="869"/>
      <c r="U85" s="869"/>
      <c r="V85" s="869"/>
      <c r="W85" s="869"/>
      <c r="X85" s="869"/>
      <c r="Y85" s="869"/>
      <c r="Z85" s="869"/>
      <c r="AA85" s="869"/>
      <c r="AB85" s="869"/>
      <c r="AC85" s="869"/>
      <c r="AD85" s="869"/>
      <c r="AE85" s="869"/>
      <c r="AF85" s="869"/>
      <c r="AG85" s="869"/>
      <c r="AH85" s="869"/>
      <c r="AI85" s="869"/>
      <c r="AJ85" s="869"/>
      <c r="AK85" s="869"/>
      <c r="AL85" s="869"/>
      <c r="AM85" s="869"/>
      <c r="AN85" s="869"/>
      <c r="AO85" s="869"/>
      <c r="AP85" s="869"/>
      <c r="AQ85" s="869"/>
      <c r="AR85" s="869"/>
      <c r="AS85" s="869"/>
      <c r="AT85" s="869"/>
      <c r="AU85" s="869"/>
      <c r="AV85" s="869"/>
      <c r="AW85" s="869"/>
      <c r="AX85" s="869"/>
      <c r="AY85" s="869"/>
      <c r="AZ85" s="869"/>
      <c r="BA85" s="869"/>
      <c r="BB85" s="869"/>
      <c r="BC85" s="869"/>
      <c r="BD85" s="869"/>
      <c r="BE85" s="869"/>
      <c r="BF85" s="869"/>
      <c r="BG85" s="869"/>
      <c r="BH85" s="869"/>
      <c r="BI85" s="6">
        <f t="shared" si="7"/>
        <v>0</v>
      </c>
      <c r="BJ85" s="6"/>
      <c r="BK85" s="6"/>
      <c r="BN85" s="119"/>
    </row>
    <row r="86" spans="1:66" x14ac:dyDescent="0.25">
      <c r="A86" s="868" t="str">
        <f>'BENESTARE '!A104</f>
        <v>103-C</v>
      </c>
      <c r="B86" s="868" t="str">
        <f t="shared" si="8"/>
        <v>C</v>
      </c>
      <c r="C86" s="869"/>
      <c r="D86" s="869"/>
      <c r="E86" s="869"/>
      <c r="F86" s="869"/>
      <c r="G86" s="869"/>
      <c r="H86" s="869"/>
      <c r="I86" s="869"/>
      <c r="J86" s="869"/>
      <c r="K86" s="869"/>
      <c r="L86" s="869"/>
      <c r="M86" s="869"/>
      <c r="N86" s="869"/>
      <c r="O86" s="869"/>
      <c r="P86" s="869"/>
      <c r="Q86" s="869"/>
      <c r="R86" s="869"/>
      <c r="S86" s="869"/>
      <c r="T86" s="869"/>
      <c r="U86" s="869"/>
      <c r="V86" s="869"/>
      <c r="W86" s="869"/>
      <c r="X86" s="869"/>
      <c r="Y86" s="869"/>
      <c r="Z86" s="869"/>
      <c r="AA86" s="869"/>
      <c r="AB86" s="869"/>
      <c r="AC86" s="869"/>
      <c r="AD86" s="869"/>
      <c r="AE86" s="869"/>
      <c r="AF86" s="869"/>
      <c r="AG86" s="869"/>
      <c r="AH86" s="869"/>
      <c r="AI86" s="869"/>
      <c r="AJ86" s="869"/>
      <c r="AK86" s="869"/>
      <c r="AL86" s="869"/>
      <c r="AM86" s="869"/>
      <c r="AN86" s="869"/>
      <c r="AO86" s="869"/>
      <c r="AP86" s="869"/>
      <c r="AQ86" s="869"/>
      <c r="AR86" s="869"/>
      <c r="AS86" s="869"/>
      <c r="AT86" s="869"/>
      <c r="AU86" s="869"/>
      <c r="AV86" s="869"/>
      <c r="AW86" s="869"/>
      <c r="AX86" s="869"/>
      <c r="AY86" s="869"/>
      <c r="AZ86" s="869"/>
      <c r="BA86" s="869"/>
      <c r="BB86" s="869"/>
      <c r="BC86" s="869"/>
      <c r="BD86" s="869"/>
      <c r="BE86" s="869"/>
      <c r="BF86" s="869"/>
      <c r="BG86" s="869"/>
      <c r="BH86" s="869"/>
      <c r="BI86" s="6">
        <f t="shared" si="7"/>
        <v>0</v>
      </c>
      <c r="BJ86" s="6"/>
      <c r="BK86" s="6"/>
      <c r="BN86" s="119"/>
    </row>
    <row r="87" spans="1:66" x14ac:dyDescent="0.25">
      <c r="A87" s="868" t="str">
        <f>'BENESTARE '!A105</f>
        <v>504-C</v>
      </c>
      <c r="B87" s="868" t="str">
        <f t="shared" si="8"/>
        <v>C</v>
      </c>
      <c r="C87" s="869"/>
      <c r="D87" s="869"/>
      <c r="E87" s="869"/>
      <c r="F87" s="869"/>
      <c r="G87" s="869"/>
      <c r="H87" s="869"/>
      <c r="I87" s="869"/>
      <c r="J87" s="869"/>
      <c r="K87" s="869"/>
      <c r="L87" s="869"/>
      <c r="M87" s="869"/>
      <c r="N87" s="869"/>
      <c r="O87" s="869"/>
      <c r="P87" s="869"/>
      <c r="Q87" s="869"/>
      <c r="R87" s="869"/>
      <c r="S87" s="869"/>
      <c r="T87" s="869"/>
      <c r="U87" s="869"/>
      <c r="V87" s="869"/>
      <c r="W87" s="869"/>
      <c r="X87" s="869"/>
      <c r="Y87" s="869"/>
      <c r="Z87" s="869"/>
      <c r="AA87" s="869"/>
      <c r="AB87" s="869"/>
      <c r="AC87" s="869"/>
      <c r="AD87" s="869"/>
      <c r="AE87" s="869"/>
      <c r="AF87" s="869"/>
      <c r="AG87" s="869"/>
      <c r="AH87" s="869"/>
      <c r="AI87" s="869"/>
      <c r="AJ87" s="869"/>
      <c r="AK87" s="869"/>
      <c r="AL87" s="869"/>
      <c r="AM87" s="869"/>
      <c r="AN87" s="869"/>
      <c r="AO87" s="869"/>
      <c r="AP87" s="869"/>
      <c r="AQ87" s="869"/>
      <c r="AR87" s="869"/>
      <c r="AS87" s="869"/>
      <c r="AT87" s="869"/>
      <c r="AU87" s="869"/>
      <c r="AV87" s="869"/>
      <c r="AW87" s="869"/>
      <c r="AX87" s="869"/>
      <c r="AY87" s="869"/>
      <c r="AZ87" s="869"/>
      <c r="BA87" s="869"/>
      <c r="BB87" s="869"/>
      <c r="BC87" s="869"/>
      <c r="BD87" s="869"/>
      <c r="BE87" s="869"/>
      <c r="BF87" s="869"/>
      <c r="BG87" s="869"/>
      <c r="BH87" s="869"/>
      <c r="BI87" s="6">
        <f t="shared" si="7"/>
        <v>0</v>
      </c>
      <c r="BJ87" s="6"/>
      <c r="BK87" s="6"/>
      <c r="BN87" s="119"/>
    </row>
    <row r="88" spans="1:66" x14ac:dyDescent="0.25">
      <c r="A88" s="868" t="str">
        <f>'BENESTARE '!A106</f>
        <v>101-C</v>
      </c>
      <c r="B88" s="868" t="str">
        <f t="shared" si="8"/>
        <v>C</v>
      </c>
      <c r="C88" s="869"/>
      <c r="D88" s="869"/>
      <c r="E88" s="869"/>
      <c r="F88" s="869"/>
      <c r="G88" s="869"/>
      <c r="H88" s="869"/>
      <c r="I88" s="869"/>
      <c r="J88" s="869"/>
      <c r="K88" s="869"/>
      <c r="L88" s="869"/>
      <c r="M88" s="869"/>
      <c r="N88" s="869"/>
      <c r="O88" s="869"/>
      <c r="P88" s="869"/>
      <c r="Q88" s="869"/>
      <c r="R88" s="869"/>
      <c r="S88" s="869"/>
      <c r="T88" s="869"/>
      <c r="U88" s="869"/>
      <c r="V88" s="869"/>
      <c r="W88" s="869"/>
      <c r="X88" s="869"/>
      <c r="Y88" s="869"/>
      <c r="Z88" s="869"/>
      <c r="AA88" s="869"/>
      <c r="AB88" s="869"/>
      <c r="AC88" s="869"/>
      <c r="AD88" s="869"/>
      <c r="AE88" s="869"/>
      <c r="AF88" s="869"/>
      <c r="AG88" s="869"/>
      <c r="AH88" s="869"/>
      <c r="AI88" s="869"/>
      <c r="AJ88" s="869"/>
      <c r="AK88" s="869"/>
      <c r="AL88" s="869"/>
      <c r="AM88" s="869"/>
      <c r="AN88" s="869"/>
      <c r="AO88" s="869"/>
      <c r="AP88" s="869"/>
      <c r="AQ88" s="869"/>
      <c r="AR88" s="869"/>
      <c r="AS88" s="869"/>
      <c r="AT88" s="869"/>
      <c r="AU88" s="869"/>
      <c r="AV88" s="869"/>
      <c r="AW88" s="869"/>
      <c r="AX88" s="869"/>
      <c r="AY88" s="869"/>
      <c r="AZ88" s="869"/>
      <c r="BA88" s="869"/>
      <c r="BB88" s="869"/>
      <c r="BC88" s="869"/>
      <c r="BD88" s="869"/>
      <c r="BE88" s="869"/>
      <c r="BF88" s="869"/>
      <c r="BG88" s="869"/>
      <c r="BH88" s="869"/>
      <c r="BI88" s="6">
        <f t="shared" si="7"/>
        <v>0</v>
      </c>
      <c r="BJ88" s="6"/>
      <c r="BK88" s="6"/>
      <c r="BN88" s="119"/>
    </row>
    <row r="89" spans="1:66" x14ac:dyDescent="0.25">
      <c r="A89" s="868" t="e">
        <f>'BENESTARE '!#REF!</f>
        <v>#REF!</v>
      </c>
      <c r="B89" s="868" t="e">
        <f t="shared" si="8"/>
        <v>#REF!</v>
      </c>
      <c r="C89" s="869"/>
      <c r="D89" s="869"/>
      <c r="E89" s="869"/>
      <c r="F89" s="869"/>
      <c r="G89" s="869"/>
      <c r="H89" s="869"/>
      <c r="I89" s="869"/>
      <c r="J89" s="869"/>
      <c r="K89" s="869"/>
      <c r="L89" s="869"/>
      <c r="M89" s="869"/>
      <c r="N89" s="869"/>
      <c r="O89" s="869"/>
      <c r="P89" s="869"/>
      <c r="Q89" s="869"/>
      <c r="R89" s="869"/>
      <c r="S89" s="869"/>
      <c r="T89" s="869"/>
      <c r="U89" s="869"/>
      <c r="V89" s="869"/>
      <c r="W89" s="869"/>
      <c r="X89" s="869"/>
      <c r="Y89" s="869"/>
      <c r="Z89" s="869"/>
      <c r="AA89" s="869"/>
      <c r="AB89" s="869"/>
      <c r="AC89" s="869"/>
      <c r="AD89" s="869"/>
      <c r="AE89" s="869"/>
      <c r="AF89" s="869"/>
      <c r="AG89" s="869"/>
      <c r="AH89" s="869"/>
      <c r="AI89" s="869"/>
      <c r="AJ89" s="869"/>
      <c r="AK89" s="869"/>
      <c r="AL89" s="869"/>
      <c r="AM89" s="869"/>
      <c r="AN89" s="869"/>
      <c r="AO89" s="869"/>
      <c r="AP89" s="869"/>
      <c r="AQ89" s="869"/>
      <c r="AR89" s="869"/>
      <c r="AS89" s="869"/>
      <c r="AT89" s="869"/>
      <c r="AU89" s="869"/>
      <c r="AV89" s="869"/>
      <c r="AW89" s="869"/>
      <c r="AX89" s="869"/>
      <c r="AY89" s="869"/>
      <c r="AZ89" s="869"/>
      <c r="BA89" s="869"/>
      <c r="BB89" s="869"/>
      <c r="BC89" s="869"/>
      <c r="BD89" s="869"/>
      <c r="BE89" s="869"/>
      <c r="BF89" s="869"/>
      <c r="BG89" s="869"/>
      <c r="BH89" s="869"/>
      <c r="BI89" s="6">
        <f t="shared" si="7"/>
        <v>0</v>
      </c>
      <c r="BJ89" s="6"/>
      <c r="BK89" s="6"/>
      <c r="BN89" s="119"/>
    </row>
    <row r="90" spans="1:66" x14ac:dyDescent="0.25">
      <c r="A90" s="868" t="str">
        <f>'BENESTARE '!A107</f>
        <v>409-C</v>
      </c>
      <c r="B90" s="868" t="str">
        <f t="shared" si="8"/>
        <v>C</v>
      </c>
      <c r="C90" s="869"/>
      <c r="D90" s="869"/>
      <c r="E90" s="869"/>
      <c r="F90" s="869"/>
      <c r="G90" s="869"/>
      <c r="H90" s="869"/>
      <c r="I90" s="869"/>
      <c r="J90" s="869"/>
      <c r="K90" s="869"/>
      <c r="L90" s="869"/>
      <c r="M90" s="869"/>
      <c r="N90" s="869"/>
      <c r="O90" s="869"/>
      <c r="P90" s="869"/>
      <c r="Q90" s="869"/>
      <c r="R90" s="869"/>
      <c r="S90" s="869"/>
      <c r="T90" s="869"/>
      <c r="U90" s="869"/>
      <c r="V90" s="869"/>
      <c r="W90" s="869"/>
      <c r="X90" s="869"/>
      <c r="Y90" s="869"/>
      <c r="Z90" s="869"/>
      <c r="AA90" s="869"/>
      <c r="AB90" s="869"/>
      <c r="AC90" s="869"/>
      <c r="AD90" s="869"/>
      <c r="AE90" s="869"/>
      <c r="AF90" s="869"/>
      <c r="AG90" s="869"/>
      <c r="AH90" s="869"/>
      <c r="AI90" s="869"/>
      <c r="AJ90" s="869"/>
      <c r="AK90" s="869"/>
      <c r="AL90" s="869"/>
      <c r="AM90" s="869"/>
      <c r="AN90" s="869"/>
      <c r="AO90" s="869"/>
      <c r="AP90" s="869"/>
      <c r="AQ90" s="869"/>
      <c r="AR90" s="869"/>
      <c r="AS90" s="869"/>
      <c r="AT90" s="869"/>
      <c r="AU90" s="869"/>
      <c r="AV90" s="869"/>
      <c r="AW90" s="869"/>
      <c r="AX90" s="869"/>
      <c r="AY90" s="869"/>
      <c r="AZ90" s="869"/>
      <c r="BA90" s="869"/>
      <c r="BB90" s="869"/>
      <c r="BC90" s="869"/>
      <c r="BD90" s="869"/>
      <c r="BE90" s="869"/>
      <c r="BF90" s="869"/>
      <c r="BG90" s="869"/>
      <c r="BH90" s="869"/>
      <c r="BI90" s="6">
        <f t="shared" si="7"/>
        <v>0</v>
      </c>
      <c r="BJ90" s="6"/>
      <c r="BK90" s="6"/>
      <c r="BN90" s="119"/>
    </row>
    <row r="91" spans="1:66" x14ac:dyDescent="0.25">
      <c r="A91" s="868" t="str">
        <f>'BENESTARE '!A108</f>
        <v>501-C</v>
      </c>
      <c r="B91" s="868" t="str">
        <f t="shared" si="8"/>
        <v>C</v>
      </c>
      <c r="C91" s="869"/>
      <c r="D91" s="869"/>
      <c r="E91" s="869"/>
      <c r="F91" s="869"/>
      <c r="G91" s="869"/>
      <c r="H91" s="869"/>
      <c r="I91" s="869"/>
      <c r="J91" s="869"/>
      <c r="K91" s="869"/>
      <c r="L91" s="869"/>
      <c r="M91" s="869"/>
      <c r="N91" s="869"/>
      <c r="O91" s="869"/>
      <c r="P91" s="869"/>
      <c r="Q91" s="869"/>
      <c r="R91" s="869"/>
      <c r="S91" s="869"/>
      <c r="T91" s="869"/>
      <c r="U91" s="869"/>
      <c r="V91" s="869"/>
      <c r="W91" s="869"/>
      <c r="X91" s="869"/>
      <c r="Y91" s="869"/>
      <c r="Z91" s="869"/>
      <c r="AA91" s="869"/>
      <c r="AB91" s="869"/>
      <c r="AC91" s="869"/>
      <c r="AD91" s="869"/>
      <c r="AE91" s="869"/>
      <c r="AF91" s="869"/>
      <c r="AG91" s="869"/>
      <c r="AH91" s="869"/>
      <c r="AI91" s="869"/>
      <c r="AJ91" s="869"/>
      <c r="AK91" s="869"/>
      <c r="AL91" s="869"/>
      <c r="AM91" s="869"/>
      <c r="AN91" s="869"/>
      <c r="AO91" s="869"/>
      <c r="AP91" s="869"/>
      <c r="AQ91" s="869"/>
      <c r="AR91" s="869"/>
      <c r="AS91" s="869"/>
      <c r="AT91" s="869"/>
      <c r="AU91" s="869"/>
      <c r="AV91" s="869"/>
      <c r="AW91" s="869"/>
      <c r="AX91" s="869"/>
      <c r="AY91" s="869"/>
      <c r="AZ91" s="869"/>
      <c r="BA91" s="869"/>
      <c r="BB91" s="869"/>
      <c r="BC91" s="869"/>
      <c r="BD91" s="869"/>
      <c r="BE91" s="869"/>
      <c r="BF91" s="869"/>
      <c r="BG91" s="869"/>
      <c r="BH91" s="869"/>
      <c r="BI91" s="6">
        <f t="shared" si="7"/>
        <v>0</v>
      </c>
      <c r="BJ91" s="6"/>
      <c r="BK91" s="6"/>
      <c r="BN91" s="119"/>
    </row>
    <row r="92" spans="1:66" x14ac:dyDescent="0.25">
      <c r="A92" s="868" t="str">
        <f>'BENESTARE '!A109</f>
        <v>510-C</v>
      </c>
      <c r="B92" s="868" t="str">
        <f t="shared" si="8"/>
        <v>C</v>
      </c>
      <c r="C92" s="869"/>
      <c r="D92" s="869"/>
      <c r="E92" s="869"/>
      <c r="F92" s="869"/>
      <c r="G92" s="869"/>
      <c r="H92" s="869"/>
      <c r="I92" s="869"/>
      <c r="J92" s="869"/>
      <c r="K92" s="869"/>
      <c r="L92" s="869"/>
      <c r="M92" s="869"/>
      <c r="N92" s="869"/>
      <c r="O92" s="869"/>
      <c r="P92" s="869"/>
      <c r="Q92" s="869"/>
      <c r="R92" s="869"/>
      <c r="S92" s="869"/>
      <c r="T92" s="869"/>
      <c r="U92" s="869"/>
      <c r="V92" s="869"/>
      <c r="W92" s="869"/>
      <c r="X92" s="869"/>
      <c r="Y92" s="869"/>
      <c r="Z92" s="869"/>
      <c r="AA92" s="869"/>
      <c r="AB92" s="869"/>
      <c r="AC92" s="869"/>
      <c r="AD92" s="869"/>
      <c r="AE92" s="869"/>
      <c r="AF92" s="869"/>
      <c r="AG92" s="869"/>
      <c r="AH92" s="869"/>
      <c r="AI92" s="869"/>
      <c r="AJ92" s="869"/>
      <c r="AK92" s="869"/>
      <c r="AL92" s="869"/>
      <c r="AM92" s="869"/>
      <c r="AN92" s="869"/>
      <c r="AO92" s="869"/>
      <c r="AP92" s="869"/>
      <c r="AQ92" s="869"/>
      <c r="AR92" s="869"/>
      <c r="AS92" s="869"/>
      <c r="AT92" s="869"/>
      <c r="AU92" s="869"/>
      <c r="AV92" s="869"/>
      <c r="AW92" s="869"/>
      <c r="AX92" s="869"/>
      <c r="AY92" s="869"/>
      <c r="AZ92" s="869"/>
      <c r="BA92" s="869"/>
      <c r="BB92" s="869"/>
      <c r="BC92" s="869"/>
      <c r="BD92" s="869"/>
      <c r="BE92" s="869"/>
      <c r="BF92" s="869"/>
      <c r="BG92" s="869"/>
      <c r="BH92" s="869"/>
      <c r="BI92" s="6">
        <f t="shared" si="7"/>
        <v>0</v>
      </c>
      <c r="BJ92" s="6"/>
      <c r="BK92" s="6"/>
      <c r="BN92" s="119"/>
    </row>
    <row r="93" spans="1:66" x14ac:dyDescent="0.25">
      <c r="A93" s="868" t="str">
        <f>'BENESTARE '!A110</f>
        <v>602-C</v>
      </c>
      <c r="B93" s="868" t="str">
        <f t="shared" si="8"/>
        <v>C</v>
      </c>
      <c r="C93" s="869"/>
      <c r="D93" s="869"/>
      <c r="E93" s="869"/>
      <c r="F93" s="869"/>
      <c r="G93" s="869"/>
      <c r="H93" s="869"/>
      <c r="I93" s="869"/>
      <c r="J93" s="869"/>
      <c r="K93" s="869"/>
      <c r="L93" s="869"/>
      <c r="M93" s="869"/>
      <c r="N93" s="869"/>
      <c r="O93" s="869"/>
      <c r="P93" s="869"/>
      <c r="Q93" s="869"/>
      <c r="R93" s="869"/>
      <c r="S93" s="869"/>
      <c r="T93" s="869"/>
      <c r="U93" s="869"/>
      <c r="V93" s="869"/>
      <c r="W93" s="869"/>
      <c r="X93" s="869"/>
      <c r="Y93" s="869"/>
      <c r="Z93" s="869"/>
      <c r="AA93" s="869"/>
      <c r="AB93" s="869"/>
      <c r="AC93" s="869"/>
      <c r="AD93" s="869"/>
      <c r="AE93" s="869"/>
      <c r="AF93" s="869"/>
      <c r="AG93" s="869"/>
      <c r="AH93" s="869"/>
      <c r="AI93" s="869"/>
      <c r="AJ93" s="869"/>
      <c r="AK93" s="869"/>
      <c r="AL93" s="869"/>
      <c r="AM93" s="869"/>
      <c r="AN93" s="869"/>
      <c r="AO93" s="869"/>
      <c r="AP93" s="869"/>
      <c r="AQ93" s="869"/>
      <c r="AR93" s="869"/>
      <c r="AS93" s="869"/>
      <c r="AT93" s="869"/>
      <c r="AU93" s="869"/>
      <c r="AV93" s="869"/>
      <c r="AW93" s="869"/>
      <c r="AX93" s="869"/>
      <c r="AY93" s="869"/>
      <c r="AZ93" s="869"/>
      <c r="BA93" s="869"/>
      <c r="BB93" s="869"/>
      <c r="BC93" s="869"/>
      <c r="BD93" s="869"/>
      <c r="BE93" s="869"/>
      <c r="BF93" s="869"/>
      <c r="BG93" s="869"/>
      <c r="BH93" s="869"/>
      <c r="BI93" s="6">
        <f t="shared" si="7"/>
        <v>0</v>
      </c>
      <c r="BJ93" s="6"/>
      <c r="BK93" s="6"/>
      <c r="BN93" s="119"/>
    </row>
    <row r="94" spans="1:66" x14ac:dyDescent="0.25">
      <c r="A94" s="868" t="str">
        <f>'BENESTARE '!A111</f>
        <v>603-C</v>
      </c>
      <c r="B94" s="868" t="str">
        <f t="shared" si="8"/>
        <v>C</v>
      </c>
      <c r="C94" s="869"/>
      <c r="D94" s="869"/>
      <c r="E94" s="869"/>
      <c r="F94" s="869"/>
      <c r="G94" s="869"/>
      <c r="H94" s="869"/>
      <c r="I94" s="869"/>
      <c r="J94" s="869"/>
      <c r="K94" s="869"/>
      <c r="L94" s="869"/>
      <c r="M94" s="869"/>
      <c r="N94" s="869"/>
      <c r="O94" s="869"/>
      <c r="P94" s="869"/>
      <c r="Q94" s="869"/>
      <c r="R94" s="869"/>
      <c r="S94" s="869"/>
      <c r="T94" s="869"/>
      <c r="U94" s="869"/>
      <c r="V94" s="869"/>
      <c r="W94" s="869"/>
      <c r="X94" s="869"/>
      <c r="Y94" s="869"/>
      <c r="Z94" s="869"/>
      <c r="AA94" s="869"/>
      <c r="AB94" s="869"/>
      <c r="AC94" s="869"/>
      <c r="AD94" s="869"/>
      <c r="AE94" s="869"/>
      <c r="AF94" s="869"/>
      <c r="AG94" s="869"/>
      <c r="AH94" s="869"/>
      <c r="AI94" s="869"/>
      <c r="AJ94" s="869"/>
      <c r="AK94" s="869"/>
      <c r="AL94" s="869"/>
      <c r="AM94" s="869"/>
      <c r="AN94" s="869"/>
      <c r="AO94" s="869"/>
      <c r="AP94" s="869"/>
      <c r="AQ94" s="869"/>
      <c r="AR94" s="869"/>
      <c r="AS94" s="869"/>
      <c r="AT94" s="869"/>
      <c r="AU94" s="869"/>
      <c r="AV94" s="869"/>
      <c r="AW94" s="869"/>
      <c r="AX94" s="869"/>
      <c r="AY94" s="869"/>
      <c r="AZ94" s="869"/>
      <c r="BA94" s="869"/>
      <c r="BB94" s="869"/>
      <c r="BC94" s="869"/>
      <c r="BD94" s="869"/>
      <c r="BE94" s="869"/>
      <c r="BF94" s="869"/>
      <c r="BG94" s="869"/>
      <c r="BH94" s="869"/>
      <c r="BI94" s="6">
        <f t="shared" si="7"/>
        <v>0</v>
      </c>
      <c r="BJ94" s="6"/>
      <c r="BK94" s="6"/>
      <c r="BN94" s="119"/>
    </row>
    <row r="95" spans="1:66" x14ac:dyDescent="0.25">
      <c r="A95" s="868" t="str">
        <f>'BENESTARE '!A112</f>
        <v>610-C</v>
      </c>
      <c r="B95" s="868" t="str">
        <f t="shared" si="8"/>
        <v>C</v>
      </c>
      <c r="C95" s="869"/>
      <c r="D95" s="869"/>
      <c r="E95" s="869"/>
      <c r="F95" s="869"/>
      <c r="G95" s="869"/>
      <c r="H95" s="869"/>
      <c r="I95" s="869"/>
      <c r="J95" s="869"/>
      <c r="K95" s="869"/>
      <c r="L95" s="869"/>
      <c r="M95" s="869"/>
      <c r="N95" s="869"/>
      <c r="O95" s="869"/>
      <c r="P95" s="869"/>
      <c r="Q95" s="869"/>
      <c r="R95" s="869"/>
      <c r="S95" s="869"/>
      <c r="T95" s="869"/>
      <c r="U95" s="869"/>
      <c r="V95" s="869"/>
      <c r="W95" s="869"/>
      <c r="X95" s="869"/>
      <c r="Y95" s="869"/>
      <c r="Z95" s="869"/>
      <c r="AA95" s="869"/>
      <c r="AB95" s="869"/>
      <c r="AC95" s="869"/>
      <c r="AD95" s="869"/>
      <c r="AE95" s="869"/>
      <c r="AF95" s="869"/>
      <c r="AG95" s="869"/>
      <c r="AH95" s="869"/>
      <c r="AI95" s="869"/>
      <c r="AJ95" s="869"/>
      <c r="AK95" s="869"/>
      <c r="AL95" s="869"/>
      <c r="AM95" s="869"/>
      <c r="AN95" s="869"/>
      <c r="AO95" s="869"/>
      <c r="AP95" s="869"/>
      <c r="AQ95" s="869"/>
      <c r="AR95" s="869"/>
      <c r="AS95" s="869"/>
      <c r="AT95" s="869"/>
      <c r="AU95" s="869"/>
      <c r="AV95" s="869"/>
      <c r="AW95" s="869"/>
      <c r="AX95" s="869"/>
      <c r="AY95" s="869"/>
      <c r="AZ95" s="869"/>
      <c r="BA95" s="869"/>
      <c r="BB95" s="869"/>
      <c r="BC95" s="869"/>
      <c r="BD95" s="869"/>
      <c r="BE95" s="869"/>
      <c r="BF95" s="869"/>
      <c r="BG95" s="869"/>
      <c r="BH95" s="869"/>
      <c r="BI95" s="6">
        <f t="shared" si="7"/>
        <v>0</v>
      </c>
      <c r="BJ95" s="6"/>
      <c r="BK95" s="6"/>
      <c r="BN95" s="119"/>
    </row>
    <row r="96" spans="1:66" x14ac:dyDescent="0.25">
      <c r="A96" s="868" t="str">
        <f>'BENESTARE '!A113</f>
        <v>503-C</v>
      </c>
      <c r="B96" s="868" t="str">
        <f t="shared" si="8"/>
        <v>C</v>
      </c>
      <c r="C96" s="869"/>
      <c r="D96" s="869"/>
      <c r="E96" s="869"/>
      <c r="F96" s="869"/>
      <c r="G96" s="869"/>
      <c r="H96" s="869"/>
      <c r="I96" s="869"/>
      <c r="J96" s="869"/>
      <c r="K96" s="869"/>
      <c r="L96" s="869"/>
      <c r="M96" s="869"/>
      <c r="N96" s="869"/>
      <c r="O96" s="869"/>
      <c r="P96" s="869"/>
      <c r="Q96" s="869"/>
      <c r="R96" s="869"/>
      <c r="S96" s="869"/>
      <c r="T96" s="869"/>
      <c r="U96" s="869"/>
      <c r="V96" s="869"/>
      <c r="W96" s="869"/>
      <c r="X96" s="869"/>
      <c r="Y96" s="869"/>
      <c r="Z96" s="869"/>
      <c r="AA96" s="869"/>
      <c r="AB96" s="869"/>
      <c r="AC96" s="869"/>
      <c r="AD96" s="869"/>
      <c r="AE96" s="869"/>
      <c r="AF96" s="869"/>
      <c r="AG96" s="869"/>
      <c r="AH96" s="869"/>
      <c r="AI96" s="869"/>
      <c r="AJ96" s="869"/>
      <c r="AK96" s="869"/>
      <c r="AL96" s="869"/>
      <c r="AM96" s="869"/>
      <c r="AN96" s="869"/>
      <c r="AO96" s="869"/>
      <c r="AP96" s="869"/>
      <c r="AQ96" s="869"/>
      <c r="AR96" s="869"/>
      <c r="AS96" s="869"/>
      <c r="AT96" s="869"/>
      <c r="AU96" s="869"/>
      <c r="AV96" s="869"/>
      <c r="AW96" s="869"/>
      <c r="AX96" s="869"/>
      <c r="AY96" s="869"/>
      <c r="AZ96" s="869"/>
      <c r="BA96" s="869"/>
      <c r="BB96" s="869"/>
      <c r="BC96" s="869"/>
      <c r="BD96" s="869"/>
      <c r="BE96" s="869"/>
      <c r="BF96" s="869"/>
      <c r="BG96" s="869"/>
      <c r="BH96" s="869"/>
      <c r="BI96" s="6">
        <f t="shared" si="7"/>
        <v>0</v>
      </c>
      <c r="BJ96" s="6"/>
      <c r="BK96" s="6"/>
      <c r="BN96" s="119"/>
    </row>
    <row r="97" spans="1:66" x14ac:dyDescent="0.25">
      <c r="A97" s="868" t="str">
        <f>'BENESTARE '!A114</f>
        <v>509-C</v>
      </c>
      <c r="B97" s="868" t="str">
        <f t="shared" si="8"/>
        <v>C</v>
      </c>
      <c r="C97" s="869"/>
      <c r="D97" s="869"/>
      <c r="E97" s="869"/>
      <c r="F97" s="869"/>
      <c r="G97" s="869"/>
      <c r="H97" s="869"/>
      <c r="I97" s="869"/>
      <c r="J97" s="869"/>
      <c r="K97" s="869"/>
      <c r="L97" s="869"/>
      <c r="M97" s="869"/>
      <c r="N97" s="869"/>
      <c r="O97" s="869"/>
      <c r="P97" s="869"/>
      <c r="Q97" s="869"/>
      <c r="R97" s="869"/>
      <c r="S97" s="869"/>
      <c r="T97" s="869"/>
      <c r="U97" s="869"/>
      <c r="V97" s="869"/>
      <c r="W97" s="869"/>
      <c r="X97" s="869"/>
      <c r="Y97" s="869"/>
      <c r="Z97" s="869"/>
      <c r="AA97" s="869"/>
      <c r="AB97" s="869"/>
      <c r="AC97" s="869"/>
      <c r="AD97" s="869"/>
      <c r="AE97" s="869"/>
      <c r="AF97" s="869"/>
      <c r="AG97" s="869"/>
      <c r="AH97" s="869"/>
      <c r="AI97" s="869"/>
      <c r="AJ97" s="869"/>
      <c r="AK97" s="869"/>
      <c r="AL97" s="869"/>
      <c r="AM97" s="869"/>
      <c r="AN97" s="869"/>
      <c r="AO97" s="869"/>
      <c r="AP97" s="869"/>
      <c r="AQ97" s="869"/>
      <c r="AR97" s="869"/>
      <c r="AS97" s="869"/>
      <c r="AT97" s="869"/>
      <c r="AU97" s="869"/>
      <c r="AV97" s="869"/>
      <c r="AW97" s="869"/>
      <c r="AX97" s="869"/>
      <c r="AY97" s="869"/>
      <c r="AZ97" s="869"/>
      <c r="BA97" s="869"/>
      <c r="BB97" s="869"/>
      <c r="BC97" s="869"/>
      <c r="BD97" s="869"/>
      <c r="BE97" s="869"/>
      <c r="BF97" s="869"/>
      <c r="BG97" s="869"/>
      <c r="BH97" s="869"/>
      <c r="BI97" s="6">
        <f t="shared" si="7"/>
        <v>0</v>
      </c>
      <c r="BJ97" s="6"/>
      <c r="BK97" s="6"/>
      <c r="BN97" s="119"/>
    </row>
    <row r="98" spans="1:66" x14ac:dyDescent="0.25">
      <c r="A98" s="868" t="str">
        <f>'BENESTARE '!A115</f>
        <v>608-C</v>
      </c>
      <c r="B98" s="868" t="str">
        <f t="shared" si="8"/>
        <v>C</v>
      </c>
      <c r="C98" s="869"/>
      <c r="D98" s="869"/>
      <c r="E98" s="869"/>
      <c r="F98" s="869"/>
      <c r="G98" s="869"/>
      <c r="H98" s="869"/>
      <c r="I98" s="869"/>
      <c r="J98" s="869"/>
      <c r="K98" s="869"/>
      <c r="L98" s="869"/>
      <c r="M98" s="869"/>
      <c r="N98" s="869"/>
      <c r="O98" s="869"/>
      <c r="P98" s="869"/>
      <c r="Q98" s="869"/>
      <c r="R98" s="869"/>
      <c r="S98" s="869"/>
      <c r="T98" s="869"/>
      <c r="U98" s="869"/>
      <c r="V98" s="869"/>
      <c r="W98" s="869"/>
      <c r="X98" s="869"/>
      <c r="Y98" s="869"/>
      <c r="Z98" s="869"/>
      <c r="AA98" s="869"/>
      <c r="AB98" s="869"/>
      <c r="AC98" s="869"/>
      <c r="AD98" s="869"/>
      <c r="AE98" s="869"/>
      <c r="AF98" s="869"/>
      <c r="AG98" s="869"/>
      <c r="AH98" s="869"/>
      <c r="AI98" s="869"/>
      <c r="AJ98" s="869"/>
      <c r="AK98" s="869"/>
      <c r="AL98" s="869"/>
      <c r="AM98" s="869"/>
      <c r="AN98" s="869"/>
      <c r="AO98" s="869"/>
      <c r="AP98" s="869"/>
      <c r="AQ98" s="869"/>
      <c r="AR98" s="869"/>
      <c r="AS98" s="869"/>
      <c r="AT98" s="869"/>
      <c r="AU98" s="869"/>
      <c r="AV98" s="869"/>
      <c r="AW98" s="869"/>
      <c r="AX98" s="869"/>
      <c r="AY98" s="869"/>
      <c r="AZ98" s="869"/>
      <c r="BA98" s="869"/>
      <c r="BB98" s="869"/>
      <c r="BC98" s="869"/>
      <c r="BD98" s="869"/>
      <c r="BE98" s="869"/>
      <c r="BF98" s="869"/>
      <c r="BG98" s="869"/>
      <c r="BH98" s="869"/>
      <c r="BI98" s="6">
        <f t="shared" si="7"/>
        <v>0</v>
      </c>
      <c r="BJ98" s="6"/>
      <c r="BK98" s="6"/>
      <c r="BN98" s="119"/>
    </row>
    <row r="99" spans="1:66" x14ac:dyDescent="0.25">
      <c r="A99" s="868" t="str">
        <f>'BENESTARE '!A116</f>
        <v>609-C</v>
      </c>
      <c r="B99" s="868" t="str">
        <f t="shared" si="8"/>
        <v>C</v>
      </c>
      <c r="C99" s="869"/>
      <c r="D99" s="869"/>
      <c r="E99" s="869"/>
      <c r="F99" s="869"/>
      <c r="G99" s="869"/>
      <c r="H99" s="869"/>
      <c r="I99" s="869"/>
      <c r="J99" s="869"/>
      <c r="K99" s="869"/>
      <c r="L99" s="869"/>
      <c r="M99" s="869"/>
      <c r="N99" s="869"/>
      <c r="O99" s="869"/>
      <c r="P99" s="869"/>
      <c r="Q99" s="869"/>
      <c r="R99" s="869"/>
      <c r="S99" s="869"/>
      <c r="T99" s="869"/>
      <c r="U99" s="869"/>
      <c r="V99" s="869"/>
      <c r="W99" s="869"/>
      <c r="X99" s="869"/>
      <c r="Y99" s="869"/>
      <c r="Z99" s="869"/>
      <c r="AA99" s="869"/>
      <c r="AB99" s="869"/>
      <c r="AC99" s="869"/>
      <c r="AD99" s="869"/>
      <c r="AE99" s="869"/>
      <c r="AF99" s="869"/>
      <c r="AG99" s="869"/>
      <c r="AH99" s="869"/>
      <c r="AI99" s="869"/>
      <c r="AJ99" s="869"/>
      <c r="AK99" s="869"/>
      <c r="AL99" s="869"/>
      <c r="AM99" s="869"/>
      <c r="AN99" s="869"/>
      <c r="AO99" s="869"/>
      <c r="AP99" s="869"/>
      <c r="AQ99" s="869"/>
      <c r="AR99" s="869"/>
      <c r="AS99" s="869"/>
      <c r="AT99" s="869"/>
      <c r="AU99" s="869"/>
      <c r="AV99" s="869"/>
      <c r="AW99" s="869"/>
      <c r="AX99" s="869"/>
      <c r="AY99" s="869"/>
      <c r="AZ99" s="869"/>
      <c r="BA99" s="869"/>
      <c r="BB99" s="869"/>
      <c r="BC99" s="869"/>
      <c r="BD99" s="869"/>
      <c r="BE99" s="869"/>
      <c r="BF99" s="869"/>
      <c r="BG99" s="869"/>
      <c r="BH99" s="869"/>
      <c r="BI99" s="6">
        <f t="shared" si="7"/>
        <v>0</v>
      </c>
      <c r="BJ99" s="6"/>
      <c r="BK99" s="6"/>
      <c r="BN99" s="119"/>
    </row>
    <row r="100" spans="1:66" x14ac:dyDescent="0.25">
      <c r="A100" s="868" t="str">
        <f>'BENESTARE '!A117</f>
        <v>506-B</v>
      </c>
      <c r="B100" s="868" t="str">
        <f t="shared" si="8"/>
        <v>B</v>
      </c>
      <c r="C100" s="869"/>
      <c r="D100" s="869"/>
      <c r="E100" s="869"/>
      <c r="F100" s="869"/>
      <c r="G100" s="869"/>
      <c r="H100" s="869"/>
      <c r="I100" s="869"/>
      <c r="J100" s="869"/>
      <c r="K100" s="869"/>
      <c r="L100" s="869"/>
      <c r="M100" s="869"/>
      <c r="N100" s="869"/>
      <c r="O100" s="869"/>
      <c r="P100" s="869"/>
      <c r="Q100" s="869"/>
      <c r="R100" s="869"/>
      <c r="S100" s="869"/>
      <c r="T100" s="869"/>
      <c r="U100" s="869"/>
      <c r="V100" s="869"/>
      <c r="W100" s="869"/>
      <c r="X100" s="869"/>
      <c r="Y100" s="869"/>
      <c r="Z100" s="869"/>
      <c r="AA100" s="869"/>
      <c r="AB100" s="869"/>
      <c r="AC100" s="869"/>
      <c r="AD100" s="869"/>
      <c r="AE100" s="869"/>
      <c r="AF100" s="869"/>
      <c r="AG100" s="869"/>
      <c r="AH100" s="869"/>
      <c r="AI100" s="869"/>
      <c r="AJ100" s="869"/>
      <c r="AK100" s="869"/>
      <c r="AL100" s="869"/>
      <c r="AM100" s="869"/>
      <c r="AN100" s="869"/>
      <c r="AO100" s="869"/>
      <c r="AP100" s="869"/>
      <c r="AQ100" s="869"/>
      <c r="AR100" s="869"/>
      <c r="AS100" s="869"/>
      <c r="AT100" s="869"/>
      <c r="AU100" s="869"/>
      <c r="AV100" s="869"/>
      <c r="AW100" s="869"/>
      <c r="AX100" s="869"/>
      <c r="AY100" s="869"/>
      <c r="AZ100" s="869"/>
      <c r="BA100" s="869"/>
      <c r="BB100" s="869"/>
      <c r="BC100" s="869"/>
      <c r="BD100" s="869"/>
      <c r="BE100" s="869"/>
      <c r="BF100" s="869"/>
      <c r="BG100" s="869"/>
      <c r="BH100" s="869"/>
      <c r="BI100" s="6">
        <f t="shared" si="7"/>
        <v>0</v>
      </c>
      <c r="BJ100" s="6"/>
      <c r="BK100" s="6"/>
      <c r="BN100" s="119"/>
    </row>
    <row r="101" spans="1:66" x14ac:dyDescent="0.25">
      <c r="A101" s="868" t="str">
        <f>'BENESTARE '!A118</f>
        <v>404-C</v>
      </c>
      <c r="B101" s="868" t="str">
        <f t="shared" si="8"/>
        <v>C</v>
      </c>
      <c r="C101" s="869"/>
      <c r="D101" s="869"/>
      <c r="E101" s="869"/>
      <c r="F101" s="869"/>
      <c r="G101" s="869"/>
      <c r="H101" s="869"/>
      <c r="I101" s="869"/>
      <c r="J101" s="869"/>
      <c r="K101" s="869"/>
      <c r="L101" s="869"/>
      <c r="M101" s="869"/>
      <c r="N101" s="869"/>
      <c r="O101" s="869"/>
      <c r="P101" s="869"/>
      <c r="Q101" s="869"/>
      <c r="R101" s="869"/>
      <c r="S101" s="869"/>
      <c r="T101" s="869"/>
      <c r="U101" s="869"/>
      <c r="V101" s="869"/>
      <c r="W101" s="869"/>
      <c r="X101" s="869"/>
      <c r="Y101" s="869"/>
      <c r="Z101" s="869"/>
      <c r="AA101" s="869"/>
      <c r="AB101" s="869"/>
      <c r="AC101" s="869"/>
      <c r="AD101" s="869"/>
      <c r="AE101" s="869"/>
      <c r="AF101" s="869"/>
      <c r="AG101" s="869"/>
      <c r="AH101" s="869"/>
      <c r="AI101" s="869"/>
      <c r="AJ101" s="869"/>
      <c r="AK101" s="869"/>
      <c r="AL101" s="869"/>
      <c r="AM101" s="869"/>
      <c r="AN101" s="869"/>
      <c r="AO101" s="869"/>
      <c r="AP101" s="869"/>
      <c r="AQ101" s="869"/>
      <c r="AR101" s="869"/>
      <c r="AS101" s="869"/>
      <c r="AT101" s="869"/>
      <c r="AU101" s="869"/>
      <c r="AV101" s="869"/>
      <c r="AW101" s="869"/>
      <c r="AX101" s="869"/>
      <c r="AY101" s="869"/>
      <c r="AZ101" s="869"/>
      <c r="BA101" s="869"/>
      <c r="BB101" s="869"/>
      <c r="BC101" s="869"/>
      <c r="BD101" s="869"/>
      <c r="BE101" s="869"/>
      <c r="BF101" s="869"/>
      <c r="BG101" s="869"/>
      <c r="BH101" s="869"/>
      <c r="BI101" s="6">
        <f t="shared" si="7"/>
        <v>0</v>
      </c>
      <c r="BJ101" s="6"/>
      <c r="BK101" s="6"/>
      <c r="BN101" s="119"/>
    </row>
    <row r="102" spans="1:66" x14ac:dyDescent="0.25">
      <c r="A102" s="868" t="str">
        <f>'BENESTARE '!A125</f>
        <v>303-C</v>
      </c>
      <c r="B102" s="868" t="str">
        <f t="shared" si="8"/>
        <v>C</v>
      </c>
      <c r="C102" s="869"/>
      <c r="D102" s="869"/>
      <c r="E102" s="869"/>
      <c r="F102" s="869"/>
      <c r="G102" s="869"/>
      <c r="H102" s="869"/>
      <c r="I102" s="869"/>
      <c r="J102" s="869"/>
      <c r="K102" s="869"/>
      <c r="L102" s="869"/>
      <c r="M102" s="869"/>
      <c r="N102" s="869"/>
      <c r="O102" s="869"/>
      <c r="P102" s="869"/>
      <c r="Q102" s="869"/>
      <c r="R102" s="869"/>
      <c r="S102" s="869"/>
      <c r="T102" s="869"/>
      <c r="U102" s="869"/>
      <c r="V102" s="869"/>
      <c r="W102" s="869"/>
      <c r="X102" s="869"/>
      <c r="Y102" s="869"/>
      <c r="Z102" s="869"/>
      <c r="AA102" s="869"/>
      <c r="AB102" s="869"/>
      <c r="AC102" s="869"/>
      <c r="AD102" s="869"/>
      <c r="AE102" s="869"/>
      <c r="AF102" s="869"/>
      <c r="AG102" s="869"/>
      <c r="AH102" s="869"/>
      <c r="AI102" s="869">
        <v>1500</v>
      </c>
      <c r="AJ102" s="869">
        <v>1063.6400000000001</v>
      </c>
      <c r="AK102" s="869">
        <v>1063.6400000000001</v>
      </c>
      <c r="AL102" s="869">
        <v>1063.6400000000001</v>
      </c>
      <c r="AM102" s="869">
        <v>1063.6400000000001</v>
      </c>
      <c r="AN102" s="869">
        <v>1063.6400000000001</v>
      </c>
      <c r="AO102" s="869">
        <v>1063.6400000000001</v>
      </c>
      <c r="AP102" s="869">
        <v>1063.6400000000001</v>
      </c>
      <c r="AQ102" s="869">
        <v>1063.6400000000001</v>
      </c>
      <c r="AR102" s="869">
        <v>1063.6400000000001</v>
      </c>
      <c r="AS102" s="869">
        <v>1063.6400000000001</v>
      </c>
      <c r="AT102" s="869">
        <v>1063.6400000000001</v>
      </c>
      <c r="AU102" s="869">
        <v>1063.6400000000001</v>
      </c>
      <c r="AV102" s="869">
        <v>1063.6400000000001</v>
      </c>
      <c r="AW102" s="869">
        <v>1063.6400000000001</v>
      </c>
      <c r="AX102" s="869">
        <v>1063.6400000000001</v>
      </c>
      <c r="AY102" s="869">
        <v>1063.6400000000001</v>
      </c>
      <c r="AZ102" s="869">
        <v>1063.6400000000001</v>
      </c>
      <c r="BA102" s="869">
        <v>1063.6400000000001</v>
      </c>
      <c r="BB102" s="869">
        <v>1063.6400000000001</v>
      </c>
      <c r="BC102" s="869">
        <v>1063.6400000000001</v>
      </c>
      <c r="BD102" s="869">
        <v>1063.6400000000001</v>
      </c>
      <c r="BE102" s="869">
        <v>1063.6400000000001</v>
      </c>
      <c r="BF102" s="869"/>
      <c r="BG102" s="869"/>
      <c r="BH102" s="869"/>
      <c r="BI102" s="6">
        <f t="shared" si="7"/>
        <v>24900.079999999994</v>
      </c>
      <c r="BJ102" s="6"/>
      <c r="BK102" s="6"/>
      <c r="BN102" s="119"/>
    </row>
    <row r="103" spans="1:66" x14ac:dyDescent="0.25">
      <c r="A103" s="233" t="str">
        <f>'BENESTARE '!A129</f>
        <v>408-TC-MC</v>
      </c>
      <c r="B103" s="868" t="str">
        <f t="shared" si="8"/>
        <v>C</v>
      </c>
      <c r="C103" s="869"/>
      <c r="D103" s="869"/>
      <c r="E103" s="869"/>
      <c r="F103" s="869"/>
      <c r="G103" s="869"/>
      <c r="H103" s="869"/>
      <c r="I103" s="869"/>
      <c r="J103" s="869"/>
      <c r="K103" s="869"/>
      <c r="L103" s="869"/>
      <c r="M103" s="869"/>
      <c r="N103" s="869"/>
      <c r="O103" s="869"/>
      <c r="P103" s="869"/>
      <c r="Q103" s="869"/>
      <c r="R103" s="869"/>
      <c r="S103" s="869"/>
      <c r="T103" s="869"/>
      <c r="U103" s="869"/>
      <c r="V103" s="869"/>
      <c r="W103" s="869"/>
      <c r="X103" s="869"/>
      <c r="Y103" s="869"/>
      <c r="Z103" s="869"/>
      <c r="AA103" s="869"/>
      <c r="AB103" s="869"/>
      <c r="AC103" s="869"/>
      <c r="AD103" s="869"/>
      <c r="AE103" s="869"/>
      <c r="AF103" s="869"/>
      <c r="AG103" s="869"/>
      <c r="AH103" s="869"/>
      <c r="AI103" s="869">
        <v>1500</v>
      </c>
      <c r="AJ103" s="869">
        <v>1005</v>
      </c>
      <c r="AK103" s="869">
        <v>1005</v>
      </c>
      <c r="AL103" s="869">
        <v>1005</v>
      </c>
      <c r="AM103" s="869">
        <v>1005</v>
      </c>
      <c r="AN103" s="869">
        <v>1005</v>
      </c>
      <c r="AO103" s="869">
        <v>1005</v>
      </c>
      <c r="AP103" s="869">
        <v>1005</v>
      </c>
      <c r="AQ103" s="869">
        <v>1005</v>
      </c>
      <c r="AR103" s="869">
        <v>1005</v>
      </c>
      <c r="AS103" s="869">
        <v>1005</v>
      </c>
      <c r="AT103" s="869">
        <v>1005</v>
      </c>
      <c r="AU103" s="869">
        <v>1005</v>
      </c>
      <c r="AV103" s="869">
        <v>1005</v>
      </c>
      <c r="AW103" s="869">
        <v>1005</v>
      </c>
      <c r="AX103" s="869">
        <v>1005</v>
      </c>
      <c r="AY103" s="869">
        <v>1005</v>
      </c>
      <c r="AZ103" s="869">
        <v>1005</v>
      </c>
      <c r="BA103" s="869">
        <v>1005</v>
      </c>
      <c r="BB103" s="869">
        <v>1005</v>
      </c>
      <c r="BC103" s="869">
        <v>1005</v>
      </c>
      <c r="BD103" s="869">
        <v>1005</v>
      </c>
      <c r="BE103" s="869">
        <v>1005</v>
      </c>
      <c r="BF103" s="869">
        <v>990</v>
      </c>
      <c r="BG103" s="869"/>
      <c r="BH103" s="869"/>
      <c r="BI103" s="6">
        <f t="shared" si="7"/>
        <v>24600</v>
      </c>
      <c r="BJ103" s="6"/>
      <c r="BK103" s="6"/>
      <c r="BN103" s="119"/>
    </row>
    <row r="104" spans="1:66" x14ac:dyDescent="0.25">
      <c r="A104" s="868" t="str">
        <f>'BENESTARE '!A122</f>
        <v>108-TC-MC</v>
      </c>
      <c r="B104" s="868" t="str">
        <f t="shared" si="8"/>
        <v>C</v>
      </c>
      <c r="C104" s="869"/>
      <c r="D104" s="869"/>
      <c r="E104" s="869"/>
      <c r="F104" s="869"/>
      <c r="G104" s="869"/>
      <c r="H104" s="869"/>
      <c r="I104" s="869"/>
      <c r="J104" s="869"/>
      <c r="K104" s="869"/>
      <c r="L104" s="869"/>
      <c r="M104" s="869"/>
      <c r="N104" s="869"/>
      <c r="O104" s="869"/>
      <c r="P104" s="869"/>
      <c r="Q104" s="869"/>
      <c r="R104" s="869"/>
      <c r="S104" s="869"/>
      <c r="T104" s="869"/>
      <c r="U104" s="869"/>
      <c r="V104" s="869"/>
      <c r="W104" s="869"/>
      <c r="X104" s="869"/>
      <c r="Y104" s="869"/>
      <c r="Z104" s="869"/>
      <c r="AA104" s="869"/>
      <c r="AB104" s="869"/>
      <c r="AC104" s="869"/>
      <c r="AD104" s="869"/>
      <c r="AE104" s="869"/>
      <c r="AF104" s="869"/>
      <c r="AG104" s="869"/>
      <c r="AH104" s="869"/>
      <c r="AI104" s="869">
        <v>1500</v>
      </c>
      <c r="AJ104" s="869">
        <v>1005</v>
      </c>
      <c r="AK104" s="869">
        <v>1005</v>
      </c>
      <c r="AL104" s="869">
        <v>1005</v>
      </c>
      <c r="AM104" s="869">
        <v>1005</v>
      </c>
      <c r="AN104" s="869">
        <v>1005</v>
      </c>
      <c r="AO104" s="869">
        <v>1005</v>
      </c>
      <c r="AP104" s="869">
        <v>1005</v>
      </c>
      <c r="AQ104" s="869">
        <v>1005</v>
      </c>
      <c r="AR104" s="869">
        <v>1005</v>
      </c>
      <c r="AS104" s="869">
        <v>1005</v>
      </c>
      <c r="AT104" s="869">
        <v>1005</v>
      </c>
      <c r="AU104" s="869">
        <v>1005</v>
      </c>
      <c r="AV104" s="869">
        <v>1005</v>
      </c>
      <c r="AW104" s="869">
        <v>1005</v>
      </c>
      <c r="AX104" s="869">
        <v>1005</v>
      </c>
      <c r="AY104" s="869">
        <v>1005</v>
      </c>
      <c r="AZ104" s="869">
        <v>1005</v>
      </c>
      <c r="BA104" s="869">
        <v>1005</v>
      </c>
      <c r="BB104" s="869">
        <v>1005</v>
      </c>
      <c r="BC104" s="869">
        <v>1005</v>
      </c>
      <c r="BD104" s="869">
        <v>1005</v>
      </c>
      <c r="BE104" s="869">
        <v>1005</v>
      </c>
      <c r="BF104" s="869">
        <v>990</v>
      </c>
      <c r="BG104" s="869"/>
      <c r="BH104" s="869"/>
      <c r="BI104" s="6">
        <f t="shared" si="7"/>
        <v>24600</v>
      </c>
      <c r="BJ104" s="6"/>
      <c r="BK104" s="6"/>
      <c r="BN104" s="119"/>
    </row>
    <row r="105" spans="1:66" x14ac:dyDescent="0.25">
      <c r="A105" s="868" t="str">
        <f>'BENESTARE '!A127</f>
        <v>403-TC-MC</v>
      </c>
      <c r="B105" s="868" t="str">
        <f t="shared" si="8"/>
        <v>C</v>
      </c>
      <c r="C105" s="869"/>
      <c r="D105" s="869"/>
      <c r="E105" s="869"/>
      <c r="F105" s="869"/>
      <c r="G105" s="869"/>
      <c r="H105" s="869"/>
      <c r="I105" s="869"/>
      <c r="J105" s="869"/>
      <c r="K105" s="869"/>
      <c r="L105" s="869"/>
      <c r="M105" s="869"/>
      <c r="N105" s="869"/>
      <c r="O105" s="869"/>
      <c r="P105" s="869"/>
      <c r="Q105" s="869"/>
      <c r="R105" s="869"/>
      <c r="S105" s="869"/>
      <c r="T105" s="869"/>
      <c r="U105" s="869"/>
      <c r="V105" s="869"/>
      <c r="W105" s="869"/>
      <c r="X105" s="869"/>
      <c r="Y105" s="869"/>
      <c r="Z105" s="869"/>
      <c r="AA105" s="869"/>
      <c r="AB105" s="869"/>
      <c r="AC105" s="869"/>
      <c r="AD105" s="869"/>
      <c r="AE105" s="869"/>
      <c r="AF105" s="869"/>
      <c r="AG105" s="869"/>
      <c r="AH105" s="869"/>
      <c r="AI105" s="869">
        <v>1500</v>
      </c>
      <c r="AJ105" s="869">
        <v>1005</v>
      </c>
      <c r="AK105" s="869">
        <v>1005</v>
      </c>
      <c r="AL105" s="869">
        <v>1005</v>
      </c>
      <c r="AM105" s="869">
        <v>1005</v>
      </c>
      <c r="AN105" s="869">
        <v>1005</v>
      </c>
      <c r="AO105" s="869">
        <v>1005</v>
      </c>
      <c r="AP105" s="869">
        <v>1005</v>
      </c>
      <c r="AQ105" s="869">
        <v>1005</v>
      </c>
      <c r="AR105" s="869">
        <v>1005</v>
      </c>
      <c r="AS105" s="869">
        <v>1005</v>
      </c>
      <c r="AT105" s="869">
        <v>1005</v>
      </c>
      <c r="AU105" s="869">
        <v>1005</v>
      </c>
      <c r="AV105" s="869">
        <v>1005</v>
      </c>
      <c r="AW105" s="869">
        <v>1005</v>
      </c>
      <c r="AX105" s="869">
        <v>1005</v>
      </c>
      <c r="AY105" s="869">
        <v>1005</v>
      </c>
      <c r="AZ105" s="869">
        <v>1005</v>
      </c>
      <c r="BA105" s="869">
        <v>1005</v>
      </c>
      <c r="BB105" s="869">
        <v>1005</v>
      </c>
      <c r="BC105" s="869">
        <v>1005</v>
      </c>
      <c r="BD105" s="869">
        <v>1005</v>
      </c>
      <c r="BE105" s="869">
        <v>1005</v>
      </c>
      <c r="BF105" s="869">
        <v>990</v>
      </c>
      <c r="BG105" s="869"/>
      <c r="BH105" s="869"/>
      <c r="BI105" s="6">
        <f t="shared" si="7"/>
        <v>24600</v>
      </c>
      <c r="BJ105" s="6"/>
      <c r="BK105" s="6"/>
      <c r="BN105" s="119"/>
    </row>
    <row r="106" spans="1:66" x14ac:dyDescent="0.25">
      <c r="A106" s="868" t="str">
        <f>'BENESTARE '!A126</f>
        <v>304-TC-MB</v>
      </c>
      <c r="B106" s="868" t="str">
        <f t="shared" si="8"/>
        <v>B</v>
      </c>
      <c r="C106" s="869"/>
      <c r="D106" s="869"/>
      <c r="E106" s="869"/>
      <c r="F106" s="869"/>
      <c r="G106" s="869"/>
      <c r="H106" s="869"/>
      <c r="I106" s="869"/>
      <c r="J106" s="869"/>
      <c r="K106" s="869"/>
      <c r="L106" s="869"/>
      <c r="M106" s="869"/>
      <c r="N106" s="869"/>
      <c r="O106" s="869"/>
      <c r="P106" s="869"/>
      <c r="Q106" s="869"/>
      <c r="R106" s="869"/>
      <c r="S106" s="869"/>
      <c r="T106" s="869"/>
      <c r="U106" s="869"/>
      <c r="V106" s="869"/>
      <c r="W106" s="869"/>
      <c r="X106" s="869"/>
      <c r="Y106" s="869"/>
      <c r="Z106" s="869"/>
      <c r="AA106" s="869"/>
      <c r="AB106" s="869"/>
      <c r="AC106" s="869"/>
      <c r="AD106" s="869"/>
      <c r="AE106" s="869"/>
      <c r="AF106" s="869"/>
      <c r="AG106" s="869"/>
      <c r="AH106" s="869"/>
      <c r="AI106" s="869">
        <v>1500</v>
      </c>
      <c r="AJ106" s="869">
        <v>1009</v>
      </c>
      <c r="AK106" s="869">
        <v>1009</v>
      </c>
      <c r="AL106" s="869">
        <v>1009</v>
      </c>
      <c r="AM106" s="869">
        <v>1009</v>
      </c>
      <c r="AN106" s="869">
        <v>1009</v>
      </c>
      <c r="AO106" s="869">
        <v>1009</v>
      </c>
      <c r="AP106" s="869">
        <v>1009</v>
      </c>
      <c r="AQ106" s="869">
        <v>1009</v>
      </c>
      <c r="AR106" s="869">
        <v>1009</v>
      </c>
      <c r="AS106" s="869">
        <v>1009</v>
      </c>
      <c r="AT106" s="869">
        <v>1009</v>
      </c>
      <c r="AU106" s="869">
        <v>1009</v>
      </c>
      <c r="AV106" s="869">
        <v>1009</v>
      </c>
      <c r="AW106" s="869">
        <v>1009</v>
      </c>
      <c r="AX106" s="869">
        <v>1009</v>
      </c>
      <c r="AY106" s="869">
        <v>1009</v>
      </c>
      <c r="AZ106" s="869">
        <v>1009</v>
      </c>
      <c r="BA106" s="869">
        <v>1009</v>
      </c>
      <c r="BB106" s="869">
        <v>1009</v>
      </c>
      <c r="BC106" s="869">
        <v>1009</v>
      </c>
      <c r="BD106" s="869">
        <v>1009</v>
      </c>
      <c r="BE106" s="869">
        <v>1009</v>
      </c>
      <c r="BF106" s="869">
        <v>1002</v>
      </c>
      <c r="BG106" s="869"/>
      <c r="BH106" s="869"/>
      <c r="BI106" s="6">
        <f t="shared" si="7"/>
        <v>24700</v>
      </c>
      <c r="BJ106" s="6"/>
      <c r="BK106" s="6"/>
      <c r="BN106" s="119"/>
    </row>
    <row r="107" spans="1:66" x14ac:dyDescent="0.25">
      <c r="A107" s="868" t="str">
        <f>'BENESTARE '!A123</f>
        <v>202-C</v>
      </c>
      <c r="B107" s="868" t="str">
        <f t="shared" si="8"/>
        <v>C</v>
      </c>
      <c r="C107" s="869"/>
      <c r="D107" s="869"/>
      <c r="E107" s="869"/>
      <c r="F107" s="869"/>
      <c r="G107" s="869"/>
      <c r="H107" s="869"/>
      <c r="I107" s="869"/>
      <c r="J107" s="869"/>
      <c r="K107" s="869"/>
      <c r="L107" s="869"/>
      <c r="M107" s="869"/>
      <c r="N107" s="869"/>
      <c r="O107" s="869"/>
      <c r="P107" s="869"/>
      <c r="Q107" s="869"/>
      <c r="R107" s="869"/>
      <c r="S107" s="869"/>
      <c r="T107" s="869"/>
      <c r="U107" s="869"/>
      <c r="V107" s="869"/>
      <c r="W107" s="869"/>
      <c r="X107" s="869"/>
      <c r="Y107" s="869"/>
      <c r="Z107" s="869"/>
      <c r="AA107" s="869"/>
      <c r="AB107" s="869"/>
      <c r="AC107" s="869"/>
      <c r="AD107" s="869"/>
      <c r="AE107" s="869"/>
      <c r="AF107" s="869"/>
      <c r="AG107" s="869"/>
      <c r="AH107" s="869"/>
      <c r="AI107" s="869">
        <v>1500</v>
      </c>
      <c r="AJ107" s="869">
        <v>1054.55</v>
      </c>
      <c r="AK107" s="869">
        <v>1054.55</v>
      </c>
      <c r="AL107" s="869">
        <v>1054.55</v>
      </c>
      <c r="AM107" s="869">
        <v>1054.55</v>
      </c>
      <c r="AN107" s="869">
        <v>1054.55</v>
      </c>
      <c r="AO107" s="869">
        <v>1054.55</v>
      </c>
      <c r="AP107" s="869">
        <v>1054.55</v>
      </c>
      <c r="AQ107" s="869">
        <v>1054.55</v>
      </c>
      <c r="AR107" s="869">
        <v>1054.55</v>
      </c>
      <c r="AS107" s="869">
        <v>1054.55</v>
      </c>
      <c r="AT107" s="869">
        <v>1054.55</v>
      </c>
      <c r="AU107" s="869">
        <v>1054.55</v>
      </c>
      <c r="AV107" s="869">
        <v>1054.55</v>
      </c>
      <c r="AW107" s="869">
        <v>1054.55</v>
      </c>
      <c r="AX107" s="869">
        <v>1054.55</v>
      </c>
      <c r="AY107" s="869">
        <v>1054.55</v>
      </c>
      <c r="AZ107" s="869">
        <v>1054.55</v>
      </c>
      <c r="BA107" s="869">
        <v>1054.55</v>
      </c>
      <c r="BB107" s="869">
        <v>1054.55</v>
      </c>
      <c r="BC107" s="869">
        <v>1054.55</v>
      </c>
      <c r="BD107" s="869">
        <v>1054.55</v>
      </c>
      <c r="BE107" s="869">
        <v>1054.55</v>
      </c>
      <c r="BF107" s="869"/>
      <c r="BG107" s="869"/>
      <c r="BH107" s="869"/>
      <c r="BI107" s="6">
        <f t="shared" ref="BI107" si="9">SUM(C107:BH107)</f>
        <v>24700.099999999991</v>
      </c>
      <c r="BJ107" s="6"/>
      <c r="BK107" s="6"/>
      <c r="BN107" s="119"/>
    </row>
    <row r="108" spans="1:66" x14ac:dyDescent="0.25">
      <c r="A108" s="868" t="str">
        <f>'BENESTARE '!A124</f>
        <v>209-C</v>
      </c>
      <c r="B108" s="868" t="str">
        <f t="shared" si="8"/>
        <v>C</v>
      </c>
      <c r="C108" s="869"/>
      <c r="D108" s="869"/>
      <c r="E108" s="869"/>
      <c r="F108" s="869"/>
      <c r="G108" s="869"/>
      <c r="H108" s="869"/>
      <c r="I108" s="869"/>
      <c r="J108" s="869"/>
      <c r="K108" s="869"/>
      <c r="L108" s="869"/>
      <c r="M108" s="869"/>
      <c r="N108" s="869"/>
      <c r="O108" s="869"/>
      <c r="P108" s="869"/>
      <c r="Q108" s="869"/>
      <c r="R108" s="869"/>
      <c r="S108" s="869"/>
      <c r="T108" s="869"/>
      <c r="U108" s="869"/>
      <c r="V108" s="869"/>
      <c r="W108" s="869"/>
      <c r="X108" s="869"/>
      <c r="Y108" s="869"/>
      <c r="Z108" s="869"/>
      <c r="AA108" s="869"/>
      <c r="AB108" s="869"/>
      <c r="AC108" s="869"/>
      <c r="AD108" s="869"/>
      <c r="AE108" s="869"/>
      <c r="AF108" s="869"/>
      <c r="AG108" s="869"/>
      <c r="AH108" s="869"/>
      <c r="AI108" s="869">
        <v>1500</v>
      </c>
      <c r="AJ108" s="869">
        <v>1063.6400000000001</v>
      </c>
      <c r="AK108" s="869">
        <v>1063.6400000000001</v>
      </c>
      <c r="AL108" s="869">
        <v>1063.6400000000001</v>
      </c>
      <c r="AM108" s="869">
        <v>1063.6400000000001</v>
      </c>
      <c r="AN108" s="869">
        <v>1063.6400000000001</v>
      </c>
      <c r="AO108" s="869">
        <v>1063.6400000000001</v>
      </c>
      <c r="AP108" s="869">
        <v>1063.6400000000001</v>
      </c>
      <c r="AQ108" s="869">
        <v>1063.6400000000001</v>
      </c>
      <c r="AR108" s="869">
        <v>1063.6400000000001</v>
      </c>
      <c r="AS108" s="869">
        <v>1063.6400000000001</v>
      </c>
      <c r="AT108" s="869">
        <v>1063.6400000000001</v>
      </c>
      <c r="AU108" s="869">
        <v>1063.6400000000001</v>
      </c>
      <c r="AV108" s="869">
        <v>1063.6400000000001</v>
      </c>
      <c r="AW108" s="869">
        <v>1063.6400000000001</v>
      </c>
      <c r="AX108" s="869">
        <v>1063.6400000000001</v>
      </c>
      <c r="AY108" s="869">
        <v>1063.6400000000001</v>
      </c>
      <c r="AZ108" s="869">
        <v>1063.6400000000001</v>
      </c>
      <c r="BA108" s="869">
        <v>1063.6400000000001</v>
      </c>
      <c r="BB108" s="869">
        <v>1063.6400000000001</v>
      </c>
      <c r="BC108" s="869">
        <v>1063.6400000000001</v>
      </c>
      <c r="BD108" s="869">
        <v>1063.6400000000001</v>
      </c>
      <c r="BE108" s="869">
        <v>1063.6400000000001</v>
      </c>
      <c r="BF108" s="869"/>
      <c r="BG108" s="869"/>
      <c r="BH108" s="869"/>
      <c r="BI108" s="6"/>
      <c r="BJ108" s="6"/>
      <c r="BK108" s="6"/>
      <c r="BN108" s="119"/>
    </row>
    <row r="109" spans="1:66" x14ac:dyDescent="0.25">
      <c r="A109" s="233" t="str">
        <f>'BENESTARE '!A130</f>
        <v>607-C</v>
      </c>
      <c r="B109" s="868" t="str">
        <f t="shared" si="8"/>
        <v>C</v>
      </c>
      <c r="C109" s="869"/>
      <c r="D109" s="869"/>
      <c r="E109" s="869"/>
      <c r="F109" s="869"/>
      <c r="G109" s="869"/>
      <c r="H109" s="869"/>
      <c r="I109" s="869"/>
      <c r="J109" s="869"/>
      <c r="K109" s="869"/>
      <c r="L109" s="869"/>
      <c r="M109" s="869"/>
      <c r="N109" s="869"/>
      <c r="O109" s="869"/>
      <c r="P109" s="869"/>
      <c r="Q109" s="869"/>
      <c r="R109" s="869"/>
      <c r="S109" s="869"/>
      <c r="T109" s="869"/>
      <c r="U109" s="869"/>
      <c r="V109" s="869"/>
      <c r="W109" s="869"/>
      <c r="X109" s="869"/>
      <c r="Y109" s="869"/>
      <c r="Z109" s="869"/>
      <c r="AA109" s="869"/>
      <c r="AB109" s="869"/>
      <c r="AC109" s="869"/>
      <c r="AD109" s="869"/>
      <c r="AE109" s="869"/>
      <c r="AF109" s="869"/>
      <c r="AG109" s="869"/>
      <c r="AH109" s="869"/>
      <c r="AI109" s="869">
        <v>1500</v>
      </c>
      <c r="AJ109" s="869">
        <v>1063.6400000000001</v>
      </c>
      <c r="AK109" s="869">
        <v>1063.6400000000001</v>
      </c>
      <c r="AL109" s="869">
        <v>1063.6400000000001</v>
      </c>
      <c r="AM109" s="869">
        <v>1063.6400000000001</v>
      </c>
      <c r="AN109" s="869">
        <v>1063.6400000000001</v>
      </c>
      <c r="AO109" s="869">
        <v>1063.6400000000001</v>
      </c>
      <c r="AP109" s="869">
        <v>1063.6400000000001</v>
      </c>
      <c r="AQ109" s="869">
        <v>1063.6400000000001</v>
      </c>
      <c r="AR109" s="869">
        <v>1063.6400000000001</v>
      </c>
      <c r="AS109" s="869">
        <v>1063.6400000000001</v>
      </c>
      <c r="AT109" s="869">
        <v>1063.6400000000001</v>
      </c>
      <c r="AU109" s="869">
        <v>1063.6400000000001</v>
      </c>
      <c r="AV109" s="869">
        <v>1063.6400000000001</v>
      </c>
      <c r="AW109" s="869">
        <v>1063.6400000000001</v>
      </c>
      <c r="AX109" s="869">
        <v>1063.6400000000001</v>
      </c>
      <c r="AY109" s="869">
        <v>1063.6400000000001</v>
      </c>
      <c r="AZ109" s="869">
        <v>1063.6400000000001</v>
      </c>
      <c r="BA109" s="869">
        <v>1063.6400000000001</v>
      </c>
      <c r="BB109" s="869">
        <v>1063.6400000000001</v>
      </c>
      <c r="BC109" s="869">
        <v>1063.6400000000001</v>
      </c>
      <c r="BD109" s="869">
        <v>1063.6400000000001</v>
      </c>
      <c r="BE109" s="869">
        <v>1063.6400000000001</v>
      </c>
      <c r="BF109" s="869"/>
      <c r="BG109" s="869"/>
      <c r="BH109" s="869"/>
      <c r="BI109" s="6">
        <f t="shared" si="7"/>
        <v>24900.079999999994</v>
      </c>
      <c r="BJ109" s="6"/>
      <c r="BK109" s="6"/>
      <c r="BN109" s="119"/>
    </row>
    <row r="110" spans="1:66" x14ac:dyDescent="0.25">
      <c r="A110" s="233" t="str">
        <f>'BENESTARE '!A128</f>
        <v>407-TC-MB</v>
      </c>
      <c r="B110" s="868" t="str">
        <f t="shared" si="8"/>
        <v>B</v>
      </c>
      <c r="C110" s="869"/>
      <c r="D110" s="869"/>
      <c r="E110" s="869"/>
      <c r="F110" s="869"/>
      <c r="G110" s="869"/>
      <c r="H110" s="869"/>
      <c r="I110" s="869"/>
      <c r="J110" s="869"/>
      <c r="K110" s="869"/>
      <c r="L110" s="869"/>
      <c r="M110" s="869"/>
      <c r="N110" s="869"/>
      <c r="O110" s="869"/>
      <c r="P110" s="869"/>
      <c r="Q110" s="869"/>
      <c r="R110" s="869"/>
      <c r="S110" s="869"/>
      <c r="T110" s="869"/>
      <c r="U110" s="869"/>
      <c r="V110" s="869"/>
      <c r="W110" s="869"/>
      <c r="X110" s="869"/>
      <c r="Y110" s="869"/>
      <c r="Z110" s="869"/>
      <c r="AA110" s="869"/>
      <c r="AB110" s="869"/>
      <c r="AC110" s="869"/>
      <c r="AD110" s="869"/>
      <c r="AE110" s="869"/>
      <c r="AF110" s="869"/>
      <c r="AG110" s="869"/>
      <c r="AH110" s="869"/>
      <c r="AI110" s="869">
        <v>1500</v>
      </c>
      <c r="AJ110" s="869">
        <v>1063.6400000000001</v>
      </c>
      <c r="AK110" s="869">
        <v>1063.6400000000001</v>
      </c>
      <c r="AL110" s="869">
        <v>1063.6400000000001</v>
      </c>
      <c r="AM110" s="869">
        <v>1063.6400000000001</v>
      </c>
      <c r="AN110" s="869">
        <v>1063.6400000000001</v>
      </c>
      <c r="AO110" s="869">
        <v>1063.6400000000001</v>
      </c>
      <c r="AP110" s="869">
        <v>1063.6400000000001</v>
      </c>
      <c r="AQ110" s="869">
        <v>1063.6400000000001</v>
      </c>
      <c r="AR110" s="869">
        <v>1063.6400000000001</v>
      </c>
      <c r="AS110" s="869">
        <v>1063.6400000000001</v>
      </c>
      <c r="AT110" s="869">
        <v>1063.6400000000001</v>
      </c>
      <c r="AU110" s="869">
        <v>1063.6400000000001</v>
      </c>
      <c r="AV110" s="869">
        <v>1063.6400000000001</v>
      </c>
      <c r="AW110" s="869">
        <v>1063.6400000000001</v>
      </c>
      <c r="AX110" s="869">
        <v>1063.6400000000001</v>
      </c>
      <c r="AY110" s="869">
        <v>1063.6400000000001</v>
      </c>
      <c r="AZ110" s="869">
        <v>1063.6400000000001</v>
      </c>
      <c r="BA110" s="869">
        <v>1063.6400000000001</v>
      </c>
      <c r="BB110" s="869">
        <v>1063.6400000000001</v>
      </c>
      <c r="BC110" s="869">
        <v>1063.6400000000001</v>
      </c>
      <c r="BD110" s="869">
        <v>1063.6400000000001</v>
      </c>
      <c r="BE110" s="869">
        <v>1063.6400000000001</v>
      </c>
      <c r="BF110" s="869"/>
      <c r="BG110" s="869"/>
      <c r="BH110" s="869"/>
      <c r="BI110" s="6">
        <f t="shared" si="7"/>
        <v>24900.079999999994</v>
      </c>
      <c r="BJ110" s="6"/>
      <c r="BK110" s="6"/>
      <c r="BN110" s="119"/>
    </row>
    <row r="111" spans="1:66" x14ac:dyDescent="0.25">
      <c r="A111" s="868" t="str">
        <f>'BENESTARE '!A173</f>
        <v>404-C</v>
      </c>
      <c r="B111" s="868" t="str">
        <f t="shared" si="8"/>
        <v>C</v>
      </c>
      <c r="C111" s="869"/>
      <c r="D111" s="869"/>
      <c r="E111" s="869"/>
      <c r="F111" s="869"/>
      <c r="G111" s="869"/>
      <c r="H111" s="869"/>
      <c r="I111" s="869"/>
      <c r="J111" s="869"/>
      <c r="K111" s="869"/>
      <c r="L111" s="869"/>
      <c r="M111" s="869"/>
      <c r="N111" s="869"/>
      <c r="O111" s="869"/>
      <c r="P111" s="869"/>
      <c r="Q111" s="869"/>
      <c r="R111" s="869"/>
      <c r="S111" s="869"/>
      <c r="T111" s="869"/>
      <c r="U111" s="869"/>
      <c r="V111" s="869"/>
      <c r="W111" s="869"/>
      <c r="X111" s="869"/>
      <c r="Y111" s="869"/>
      <c r="Z111" s="869"/>
      <c r="AA111" s="869"/>
      <c r="AB111" s="869"/>
      <c r="AC111" s="869"/>
      <c r="AD111" s="869"/>
      <c r="AE111" s="869"/>
      <c r="AF111" s="869"/>
      <c r="AG111" s="869"/>
      <c r="AH111" s="869"/>
      <c r="AI111" s="869"/>
      <c r="AJ111" s="869"/>
      <c r="AK111" s="869"/>
      <c r="AL111" s="869"/>
      <c r="AM111" s="869"/>
      <c r="AN111" s="869"/>
      <c r="AO111" s="869"/>
      <c r="AP111" s="869"/>
      <c r="AQ111" s="869"/>
      <c r="AR111" s="869"/>
      <c r="AS111" s="869"/>
      <c r="AT111" s="869"/>
      <c r="AU111" s="869"/>
      <c r="AV111" s="869"/>
      <c r="AW111" s="869"/>
      <c r="AX111" s="869"/>
      <c r="AY111" s="869"/>
      <c r="AZ111" s="869"/>
      <c r="BA111" s="869"/>
      <c r="BB111" s="869"/>
      <c r="BC111" s="869"/>
      <c r="BD111" s="869"/>
      <c r="BE111" s="869"/>
      <c r="BF111" s="869"/>
      <c r="BG111" s="869"/>
      <c r="BH111" s="869"/>
      <c r="BI111" s="6">
        <f t="shared" ref="BI111" si="10">SUM(C111:BH111)</f>
        <v>0</v>
      </c>
      <c r="BJ111" s="6"/>
      <c r="BK111" s="6"/>
      <c r="BN111" s="119"/>
    </row>
    <row r="112" spans="1:66" x14ac:dyDescent="0.2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>
        <f>+BI112-BENES!J86</f>
        <v>-24000</v>
      </c>
      <c r="BK112" s="6">
        <f>SUM(C112:AA112)</f>
        <v>0</v>
      </c>
      <c r="BL112" s="2" t="e">
        <f>VLOOKUP(A112,BENES!B85:AV184,43,0)</f>
        <v>#N/A</v>
      </c>
      <c r="BM112" s="2">
        <f>COUNT(C112:AQ112)</f>
        <v>0</v>
      </c>
      <c r="BN112" s="119">
        <f t="shared" si="6"/>
        <v>0</v>
      </c>
    </row>
    <row r="113" spans="1:66" x14ac:dyDescent="0.25">
      <c r="B113" s="2" t="s">
        <v>895</v>
      </c>
      <c r="C113" s="6">
        <f t="shared" ref="C113:AH113" si="11">SUM(C2:C112)</f>
        <v>1000</v>
      </c>
      <c r="D113" s="6">
        <f t="shared" si="11"/>
        <v>1095.24</v>
      </c>
      <c r="E113" s="6">
        <f t="shared" si="11"/>
        <v>1095.24</v>
      </c>
      <c r="F113" s="6">
        <f t="shared" si="11"/>
        <v>1095.24</v>
      </c>
      <c r="G113" s="6">
        <f t="shared" si="11"/>
        <v>1095.24</v>
      </c>
      <c r="H113" s="6">
        <f t="shared" si="11"/>
        <v>1095.24</v>
      </c>
      <c r="I113" s="6">
        <f t="shared" si="11"/>
        <v>1095.24</v>
      </c>
      <c r="J113" s="6">
        <f t="shared" si="11"/>
        <v>1595.24</v>
      </c>
      <c r="K113" s="6">
        <f t="shared" si="11"/>
        <v>9999.74</v>
      </c>
      <c r="L113" s="6">
        <f t="shared" si="11"/>
        <v>17886.449999999997</v>
      </c>
      <c r="M113" s="6">
        <f t="shared" si="11"/>
        <v>22343.59</v>
      </c>
      <c r="N113" s="6">
        <f t="shared" si="11"/>
        <v>23843.59</v>
      </c>
      <c r="O113" s="6">
        <f t="shared" si="11"/>
        <v>26434.490000000005</v>
      </c>
      <c r="P113" s="6">
        <f t="shared" si="11"/>
        <v>34873.590000000004</v>
      </c>
      <c r="Q113" s="6">
        <f t="shared" si="11"/>
        <v>37921.270000000004</v>
      </c>
      <c r="R113" s="6">
        <f t="shared" si="11"/>
        <v>38468.640000000007</v>
      </c>
      <c r="S113" s="6">
        <f t="shared" si="11"/>
        <v>41213.079999999994</v>
      </c>
      <c r="T113" s="6">
        <f t="shared" si="11"/>
        <v>41360.14</v>
      </c>
      <c r="U113" s="6">
        <f t="shared" si="11"/>
        <v>43822.639999999992</v>
      </c>
      <c r="V113" s="6">
        <f t="shared" si="11"/>
        <v>45315.969999999994</v>
      </c>
      <c r="W113" s="6">
        <f t="shared" si="11"/>
        <v>45809.299999999996</v>
      </c>
      <c r="X113" s="6">
        <f t="shared" si="11"/>
        <v>48609.299999999996</v>
      </c>
      <c r="Y113" s="6">
        <f t="shared" si="11"/>
        <v>47421.760000000002</v>
      </c>
      <c r="Z113" s="6">
        <f t="shared" si="11"/>
        <v>47496.76</v>
      </c>
      <c r="AA113" s="6">
        <f t="shared" si="11"/>
        <v>48559.26</v>
      </c>
      <c r="AB113" s="6">
        <f t="shared" si="11"/>
        <v>55052.590000000004</v>
      </c>
      <c r="AC113" s="6">
        <f t="shared" si="11"/>
        <v>100566.81000000001</v>
      </c>
      <c r="AD113" s="6">
        <f t="shared" si="11"/>
        <v>70658.489999999991</v>
      </c>
      <c r="AE113" s="6">
        <f t="shared" si="11"/>
        <v>105339.09000000001</v>
      </c>
      <c r="AF113" s="6">
        <f t="shared" si="11"/>
        <v>80461.290000000008</v>
      </c>
      <c r="AG113" s="6">
        <f t="shared" si="11"/>
        <v>76302.5</v>
      </c>
      <c r="AH113" s="6">
        <f t="shared" si="11"/>
        <v>69920.200000000012</v>
      </c>
      <c r="AI113" s="6">
        <f t="shared" ref="AI113:BI113" si="12">SUM(AI2:AI112)</f>
        <v>77552.53</v>
      </c>
      <c r="AJ113" s="6">
        <f t="shared" si="12"/>
        <v>69509.16</v>
      </c>
      <c r="AK113" s="6">
        <f t="shared" si="12"/>
        <v>53391.970000000016</v>
      </c>
      <c r="AL113" s="6">
        <f t="shared" si="12"/>
        <v>48300.500000000015</v>
      </c>
      <c r="AM113" s="6">
        <f t="shared" si="12"/>
        <v>46232.380000000012</v>
      </c>
      <c r="AN113" s="6">
        <f t="shared" si="12"/>
        <v>46232.380000000012</v>
      </c>
      <c r="AO113" s="6">
        <f t="shared" si="12"/>
        <v>45053.430000000008</v>
      </c>
      <c r="AP113" s="6">
        <f t="shared" si="12"/>
        <v>42124.260000000009</v>
      </c>
      <c r="AQ113" s="6">
        <f t="shared" si="12"/>
        <v>40630.930000000015</v>
      </c>
      <c r="AR113" s="6">
        <f t="shared" si="12"/>
        <v>40630.930000000015</v>
      </c>
      <c r="AS113" s="6">
        <f t="shared" si="12"/>
        <v>39137.55000000001</v>
      </c>
      <c r="AT113" s="6">
        <f t="shared" si="12"/>
        <v>37737.55000000001</v>
      </c>
      <c r="AU113" s="6">
        <f t="shared" si="12"/>
        <v>28550.049999999996</v>
      </c>
      <c r="AV113" s="6">
        <f t="shared" si="12"/>
        <v>25750.049999999996</v>
      </c>
      <c r="AW113" s="6">
        <f t="shared" si="12"/>
        <v>24855.309999999994</v>
      </c>
      <c r="AX113" s="6">
        <f t="shared" si="12"/>
        <v>9333.11</v>
      </c>
      <c r="AY113" s="6">
        <f t="shared" si="12"/>
        <v>9333.11</v>
      </c>
      <c r="AZ113" s="6">
        <f t="shared" si="12"/>
        <v>9333.11</v>
      </c>
      <c r="BA113" s="6">
        <f t="shared" si="12"/>
        <v>9333.11</v>
      </c>
      <c r="BB113" s="6">
        <f t="shared" si="12"/>
        <v>9333.11</v>
      </c>
      <c r="BC113" s="6">
        <f t="shared" si="12"/>
        <v>9333.11</v>
      </c>
      <c r="BD113" s="6">
        <f t="shared" si="12"/>
        <v>9333.11</v>
      </c>
      <c r="BE113" s="6">
        <f t="shared" si="12"/>
        <v>9333.11</v>
      </c>
      <c r="BF113" s="6">
        <f t="shared" si="12"/>
        <v>3972</v>
      </c>
      <c r="BG113" s="6">
        <f t="shared" si="12"/>
        <v>0</v>
      </c>
      <c r="BH113" s="6">
        <f t="shared" si="12"/>
        <v>0</v>
      </c>
      <c r="BI113" s="6">
        <f t="shared" si="12"/>
        <v>1908272.9999999998</v>
      </c>
      <c r="BJ113" s="6"/>
      <c r="BK113" s="6"/>
    </row>
    <row r="114" spans="1:66" x14ac:dyDescent="0.25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6" x14ac:dyDescent="0.25">
      <c r="C115" s="6">
        <f>SUM(C2:C112)</f>
        <v>1000</v>
      </c>
      <c r="D115" s="6"/>
      <c r="E115" s="6"/>
      <c r="F115" s="6"/>
      <c r="G115" s="6"/>
      <c r="H115" s="6">
        <f t="shared" ref="H115:AQ115" si="13">SUM(H2:H112)</f>
        <v>1095.24</v>
      </c>
      <c r="I115" s="6">
        <f t="shared" si="13"/>
        <v>1095.24</v>
      </c>
      <c r="J115" s="6">
        <f t="shared" si="13"/>
        <v>1595.24</v>
      </c>
      <c r="K115" s="6">
        <f t="shared" si="13"/>
        <v>9999.74</v>
      </c>
      <c r="L115" s="6">
        <f t="shared" si="13"/>
        <v>17886.449999999997</v>
      </c>
      <c r="M115" s="6">
        <f t="shared" si="13"/>
        <v>22343.59</v>
      </c>
      <c r="N115" s="6">
        <f t="shared" si="13"/>
        <v>23843.59</v>
      </c>
      <c r="O115" s="6">
        <f t="shared" si="13"/>
        <v>26434.490000000005</v>
      </c>
      <c r="P115" s="6">
        <f t="shared" si="13"/>
        <v>34873.590000000004</v>
      </c>
      <c r="Q115" s="6">
        <f t="shared" si="13"/>
        <v>37921.270000000004</v>
      </c>
      <c r="R115" s="6">
        <f t="shared" si="13"/>
        <v>38468.640000000007</v>
      </c>
      <c r="S115" s="6">
        <f t="shared" si="13"/>
        <v>41213.079999999994</v>
      </c>
      <c r="T115" s="6">
        <f t="shared" si="13"/>
        <v>41360.14</v>
      </c>
      <c r="U115" s="6">
        <f t="shared" si="13"/>
        <v>43822.639999999992</v>
      </c>
      <c r="V115" s="6">
        <f t="shared" si="13"/>
        <v>45315.969999999994</v>
      </c>
      <c r="W115" s="6">
        <f t="shared" si="13"/>
        <v>45809.299999999996</v>
      </c>
      <c r="X115" s="6">
        <f t="shared" si="13"/>
        <v>48609.299999999996</v>
      </c>
      <c r="Y115" s="6">
        <f t="shared" si="13"/>
        <v>47421.760000000002</v>
      </c>
      <c r="Z115" s="6">
        <f t="shared" si="13"/>
        <v>47496.76</v>
      </c>
      <c r="AA115" s="6">
        <f t="shared" si="13"/>
        <v>48559.26</v>
      </c>
      <c r="AB115" s="6">
        <f t="shared" si="13"/>
        <v>55052.590000000004</v>
      </c>
      <c r="AC115" s="6">
        <f t="shared" si="13"/>
        <v>100566.81000000001</v>
      </c>
      <c r="AD115" s="6">
        <f t="shared" si="13"/>
        <v>70658.489999999991</v>
      </c>
      <c r="AE115" s="6">
        <f t="shared" si="13"/>
        <v>105339.09000000001</v>
      </c>
      <c r="AF115" s="6">
        <f t="shared" si="13"/>
        <v>80461.290000000008</v>
      </c>
      <c r="AG115" s="6">
        <f t="shared" si="13"/>
        <v>76302.5</v>
      </c>
      <c r="AH115" s="6">
        <f t="shared" si="13"/>
        <v>69920.200000000012</v>
      </c>
      <c r="AI115" s="6">
        <f t="shared" si="13"/>
        <v>77552.53</v>
      </c>
      <c r="AJ115" s="6">
        <f t="shared" si="13"/>
        <v>69509.16</v>
      </c>
      <c r="AK115" s="6">
        <f t="shared" si="13"/>
        <v>53391.970000000016</v>
      </c>
      <c r="AL115" s="6">
        <f t="shared" si="13"/>
        <v>48300.500000000015</v>
      </c>
      <c r="AM115" s="6">
        <f t="shared" si="13"/>
        <v>46232.380000000012</v>
      </c>
      <c r="AN115" s="6">
        <f t="shared" si="13"/>
        <v>46232.380000000012</v>
      </c>
      <c r="AO115" s="6">
        <f t="shared" si="13"/>
        <v>45053.430000000008</v>
      </c>
      <c r="AP115" s="6">
        <f t="shared" si="13"/>
        <v>42124.260000000009</v>
      </c>
      <c r="AQ115" s="6">
        <f t="shared" si="13"/>
        <v>40630.930000000015</v>
      </c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6" x14ac:dyDescent="0.25">
      <c r="C116" s="6">
        <f>+C115</f>
        <v>1000</v>
      </c>
      <c r="D116" s="6"/>
      <c r="E116" s="6"/>
      <c r="F116" s="6"/>
      <c r="G116" s="6"/>
      <c r="H116" s="6">
        <f>+H115+C116</f>
        <v>2095.2399999999998</v>
      </c>
      <c r="I116" s="6">
        <f t="shared" ref="I116:AP116" si="14">+I115+H116</f>
        <v>3190.4799999999996</v>
      </c>
      <c r="J116" s="6">
        <f t="shared" si="14"/>
        <v>4785.7199999999993</v>
      </c>
      <c r="K116" s="6">
        <f t="shared" si="14"/>
        <v>14785.46</v>
      </c>
      <c r="L116" s="6">
        <f t="shared" si="14"/>
        <v>32671.909999999996</v>
      </c>
      <c r="M116" s="6">
        <f t="shared" si="14"/>
        <v>55015.5</v>
      </c>
      <c r="N116" s="6">
        <f t="shared" si="14"/>
        <v>78859.09</v>
      </c>
      <c r="O116" s="6">
        <f t="shared" si="14"/>
        <v>105293.58</v>
      </c>
      <c r="P116" s="6">
        <f t="shared" si="14"/>
        <v>140167.17000000001</v>
      </c>
      <c r="Q116" s="6">
        <f t="shared" si="14"/>
        <v>178088.44</v>
      </c>
      <c r="R116" s="6">
        <f t="shared" si="14"/>
        <v>216557.08000000002</v>
      </c>
      <c r="S116" s="6">
        <f t="shared" si="14"/>
        <v>257770.16</v>
      </c>
      <c r="T116" s="6">
        <f t="shared" si="14"/>
        <v>299130.3</v>
      </c>
      <c r="U116" s="6">
        <f t="shared" si="14"/>
        <v>342952.94</v>
      </c>
      <c r="V116" s="6">
        <f t="shared" si="14"/>
        <v>388268.91</v>
      </c>
      <c r="W116" s="6">
        <f t="shared" si="14"/>
        <v>434078.20999999996</v>
      </c>
      <c r="X116" s="6">
        <f t="shared" si="14"/>
        <v>482687.50999999995</v>
      </c>
      <c r="Y116" s="6">
        <f t="shared" si="14"/>
        <v>530109.2699999999</v>
      </c>
      <c r="Z116" s="6">
        <f t="shared" si="14"/>
        <v>577606.02999999991</v>
      </c>
      <c r="AA116" s="6">
        <f t="shared" si="14"/>
        <v>626165.28999999992</v>
      </c>
      <c r="AB116" s="6">
        <f t="shared" si="14"/>
        <v>681217.87999999989</v>
      </c>
      <c r="AC116" s="6">
        <f t="shared" si="14"/>
        <v>781784.69</v>
      </c>
      <c r="AD116" s="6">
        <f t="shared" si="14"/>
        <v>852443.17999999993</v>
      </c>
      <c r="AE116" s="6">
        <f t="shared" si="14"/>
        <v>957782.2699999999</v>
      </c>
      <c r="AF116" s="6">
        <f t="shared" si="14"/>
        <v>1038243.5599999999</v>
      </c>
      <c r="AG116" s="6">
        <f t="shared" si="14"/>
        <v>1114546.06</v>
      </c>
      <c r="AH116" s="6">
        <f t="shared" si="14"/>
        <v>1184466.26</v>
      </c>
      <c r="AI116" s="6">
        <f t="shared" si="14"/>
        <v>1262018.79</v>
      </c>
      <c r="AJ116" s="6">
        <f t="shared" si="14"/>
        <v>1331527.95</v>
      </c>
      <c r="AK116" s="6">
        <f t="shared" si="14"/>
        <v>1384919.92</v>
      </c>
      <c r="AL116" s="6">
        <f t="shared" si="14"/>
        <v>1433220.42</v>
      </c>
      <c r="AM116" s="6">
        <f t="shared" si="14"/>
        <v>1479452.8</v>
      </c>
      <c r="AN116" s="6">
        <f t="shared" si="14"/>
        <v>1525685.1800000002</v>
      </c>
      <c r="AO116" s="6">
        <f t="shared" si="14"/>
        <v>1570738.61</v>
      </c>
      <c r="AP116" s="6">
        <f t="shared" si="14"/>
        <v>1612862.87</v>
      </c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6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6" x14ac:dyDescent="0.25">
      <c r="A118" s="5">
        <v>106</v>
      </c>
      <c r="B118" s="5" t="s">
        <v>916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>
        <v>1000</v>
      </c>
      <c r="P118" s="6">
        <v>2228.5700000000002</v>
      </c>
      <c r="Q118" s="6">
        <v>2228.5700000000002</v>
      </c>
      <c r="R118" s="6">
        <v>2228.5700000000002</v>
      </c>
      <c r="S118" s="6">
        <v>2228.5700000000002</v>
      </c>
      <c r="T118" s="6">
        <v>2228.5700000000002</v>
      </c>
      <c r="U118" s="6">
        <v>2228.5700000000002</v>
      </c>
      <c r="V118" s="6">
        <v>2228.5700000000002</v>
      </c>
      <c r="W118" s="6">
        <v>2228.5700000000002</v>
      </c>
      <c r="X118" s="6">
        <v>2228.5700000000002</v>
      </c>
      <c r="Y118" s="6">
        <v>2228.5700000000002</v>
      </c>
      <c r="Z118" s="6">
        <v>2228.5700000000002</v>
      </c>
      <c r="AA118" s="6">
        <v>2228.5700000000002</v>
      </c>
      <c r="AB118" s="6">
        <v>2228.5700000000002</v>
      </c>
      <c r="AC118" s="6">
        <v>2228.5700000000002</v>
      </c>
      <c r="AD118" s="6">
        <v>2228.5700000000002</v>
      </c>
      <c r="AE118" s="6">
        <v>2228.5700000000002</v>
      </c>
      <c r="AF118" s="6">
        <v>2228.5700000000002</v>
      </c>
      <c r="AG118" s="6">
        <v>2228.5700000000002</v>
      </c>
      <c r="AH118" s="6">
        <v>2228.5700000000002</v>
      </c>
      <c r="AI118" s="6">
        <v>2228.5700000000002</v>
      </c>
      <c r="AJ118" s="6">
        <v>2228.6</v>
      </c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>
        <f>SUM(C118:AQ118)</f>
        <v>47800</v>
      </c>
      <c r="BJ118" s="6">
        <f>+BI118-BENES!J12</f>
        <v>0</v>
      </c>
      <c r="BK118" s="6">
        <f>SUM(C118:AA118)</f>
        <v>27742.84</v>
      </c>
      <c r="BL118" s="2">
        <f>VLOOKUP(A118,BENES!B11:AV95,43,0)</f>
        <v>441042.88</v>
      </c>
      <c r="BM118" s="2">
        <f>COUNT(C118:AQ118)</f>
        <v>22</v>
      </c>
      <c r="BN118" s="119">
        <f>IFERROR((+BI118/BM118),0)</f>
        <v>2172.7272727272725</v>
      </c>
    </row>
    <row r="119" spans="1:66" x14ac:dyDescent="0.25">
      <c r="A119" s="5">
        <v>107</v>
      </c>
      <c r="B119" s="5" t="s">
        <v>916</v>
      </c>
      <c r="C119" s="6"/>
      <c r="D119" s="6"/>
      <c r="E119" s="6"/>
      <c r="F119" s="6"/>
      <c r="G119" s="6"/>
      <c r="H119" s="6"/>
      <c r="I119" s="6"/>
      <c r="J119" s="6">
        <v>1000</v>
      </c>
      <c r="K119" s="6">
        <v>1784.29</v>
      </c>
      <c r="L119" s="6">
        <v>1784.29</v>
      </c>
      <c r="M119" s="6">
        <v>1784.29</v>
      </c>
      <c r="N119" s="6">
        <v>1784.29</v>
      </c>
      <c r="O119" s="6">
        <v>1784.29</v>
      </c>
      <c r="P119" s="6">
        <v>1784.29</v>
      </c>
      <c r="Q119" s="6">
        <v>1784.29</v>
      </c>
      <c r="R119" s="6">
        <v>1784.29</v>
      </c>
      <c r="S119" s="6">
        <v>1784.29</v>
      </c>
      <c r="T119" s="6">
        <v>1784.29</v>
      </c>
      <c r="U119" s="6">
        <v>1784.29</v>
      </c>
      <c r="V119" s="6">
        <v>1784.29</v>
      </c>
      <c r="W119" s="6">
        <v>1784.29</v>
      </c>
      <c r="X119" s="6">
        <v>1784.29</v>
      </c>
      <c r="Y119" s="6">
        <v>1784.29</v>
      </c>
      <c r="Z119" s="6">
        <v>1784.29</v>
      </c>
      <c r="AA119" s="6">
        <v>1784.29</v>
      </c>
      <c r="AB119" s="6">
        <v>1784.29</v>
      </c>
      <c r="AC119" s="6">
        <v>1784.29</v>
      </c>
      <c r="AD119" s="6">
        <v>1784.29</v>
      </c>
      <c r="AE119" s="6">
        <v>1814.2</v>
      </c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>
        <f>SUM(C119:AQ119)</f>
        <v>38500.000000000007</v>
      </c>
      <c r="BJ119" s="6">
        <f>+BI119-BENES!J13</f>
        <v>0</v>
      </c>
      <c r="BK119" s="6">
        <f>SUM(C119:AA119)</f>
        <v>31332.930000000011</v>
      </c>
      <c r="BL119" s="2" t="e">
        <f>VLOOKUP(A119,BENES!B12:AV96,43,0)</f>
        <v>#N/A</v>
      </c>
      <c r="BM119" s="2">
        <f>COUNT(C119:AQ119)</f>
        <v>22</v>
      </c>
      <c r="BN119" s="119">
        <f>IFERROR((+BI119/BM119),0)</f>
        <v>1750.0000000000002</v>
      </c>
    </row>
    <row r="120" spans="1:66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6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6" x14ac:dyDescent="0.2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6" x14ac:dyDescent="0.2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6" x14ac:dyDescent="0.25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6" x14ac:dyDescent="0.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6" x14ac:dyDescent="0.2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6" x14ac:dyDescent="0.25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6" x14ac:dyDescent="0.25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3:63" x14ac:dyDescent="0.2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3:63" x14ac:dyDescent="0.2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3:63" x14ac:dyDescent="0.2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3:63" x14ac:dyDescent="0.2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3:63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3:63" x14ac:dyDescent="0.2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3:63" x14ac:dyDescent="0.2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3:63" x14ac:dyDescent="0.2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3:63" x14ac:dyDescent="0.2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3:63" x14ac:dyDescent="0.2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3:63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3:63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3:63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3:63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3:63" x14ac:dyDescent="0.2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3:63" x14ac:dyDescent="0.2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3:63" x14ac:dyDescent="0.2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3:63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3:63" x14ac:dyDescent="0.2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3:63" x14ac:dyDescent="0.2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3:63" x14ac:dyDescent="0.2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3:63" x14ac:dyDescent="0.2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3:63" x14ac:dyDescent="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3:63" x14ac:dyDescent="0.2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3:63" x14ac:dyDescent="0.2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3:63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95E7-56CF-49D8-88ED-6303D4C0DB96}">
  <sheetPr>
    <tabColor rgb="FF92D050"/>
  </sheetPr>
  <dimension ref="A1:AT151"/>
  <sheetViews>
    <sheetView showGridLines="0" zoomScale="86" zoomScaleNormal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I14" sqref="I14"/>
    </sheetView>
  </sheetViews>
  <sheetFormatPr defaultColWidth="8.85546875" defaultRowHeight="15" customHeight="1" outlineLevelCol="1" x14ac:dyDescent="0.25"/>
  <cols>
    <col min="1" max="1" width="0.85546875" style="562" customWidth="1"/>
    <col min="2" max="2" width="7.7109375" style="562" customWidth="1"/>
    <col min="3" max="3" width="11.7109375" style="597" customWidth="1" outlineLevel="1"/>
    <col min="4" max="4" width="11.7109375" style="562" customWidth="1" outlineLevel="1"/>
    <col min="5" max="5" width="13.7109375" style="562" customWidth="1" outlineLevel="1"/>
    <col min="6" max="6" width="45.7109375" style="562" customWidth="1"/>
    <col min="7" max="7" width="14.7109375" style="597" customWidth="1" outlineLevel="1"/>
    <col min="8" max="8" width="14.7109375" style="562" customWidth="1" outlineLevel="1"/>
    <col min="9" max="10" width="15.7109375" style="562" customWidth="1"/>
    <col min="11" max="13" width="13.7109375" style="562" hidden="1" customWidth="1" outlineLevel="1"/>
    <col min="14" max="14" width="13.7109375" style="562" customWidth="1" collapsed="1"/>
    <col min="15" max="19" width="13.7109375" style="562" hidden="1" customWidth="1" outlineLevel="1"/>
    <col min="20" max="20" width="13.7109375" style="562" customWidth="1" collapsed="1"/>
    <col min="21" max="21" width="13.7109375" style="562" customWidth="1"/>
    <col min="22" max="22" width="15.7109375" style="562" customWidth="1"/>
    <col min="23" max="24" width="12.42578125" style="562" customWidth="1"/>
    <col min="25" max="25" width="13.42578125" style="562" customWidth="1"/>
    <col min="26" max="26" width="18.140625" style="562" customWidth="1"/>
    <col min="27" max="27" width="15.140625" style="562" customWidth="1"/>
    <col min="28" max="28" width="21.5703125" style="562" customWidth="1"/>
    <col min="29" max="29" width="17.28515625" style="562" customWidth="1"/>
    <col min="30" max="30" width="22.42578125" style="562" customWidth="1"/>
    <col min="31" max="32" width="9.7109375" style="562" customWidth="1"/>
    <col min="33" max="34" width="14.5703125" style="562" customWidth="1"/>
    <col min="35" max="35" width="11.28515625" style="562" customWidth="1"/>
    <col min="36" max="36" width="17.85546875" style="562" customWidth="1"/>
    <col min="37" max="37" width="16.7109375" style="562" customWidth="1"/>
    <col min="38" max="38" width="15" style="562" bestFit="1" customWidth="1"/>
    <col min="39" max="40" width="11.7109375" style="562" customWidth="1"/>
    <col min="41" max="41" width="12.140625" style="562" customWidth="1"/>
    <col min="42" max="42" width="13.85546875" style="562" customWidth="1"/>
    <col min="43" max="43" width="11.5703125" style="562" customWidth="1"/>
    <col min="44" max="44" width="22.42578125" style="562" customWidth="1"/>
    <col min="45" max="45" width="14.28515625" style="562" customWidth="1"/>
    <col min="46" max="46" width="38.85546875" style="562" bestFit="1" customWidth="1"/>
    <col min="47" max="16384" width="8.85546875" style="562"/>
  </cols>
  <sheetData>
    <row r="1" spans="1:46" s="315" customFormat="1" ht="15" customHeight="1" x14ac:dyDescent="0.25">
      <c r="A1" s="316"/>
      <c r="B1" s="318"/>
      <c r="G1" s="318"/>
      <c r="H1" s="318"/>
      <c r="I1" s="316"/>
      <c r="J1" s="316"/>
      <c r="K1" s="316"/>
    </row>
    <row r="2" spans="1:46" s="315" customFormat="1" ht="22.5" customHeight="1" x14ac:dyDescent="0.25">
      <c r="A2" s="316"/>
      <c r="B2" s="314" t="s">
        <v>1350</v>
      </c>
      <c r="E2" s="314"/>
      <c r="G2" s="318"/>
      <c r="H2" s="318"/>
      <c r="I2" s="316"/>
      <c r="J2" s="316"/>
      <c r="K2" s="316"/>
      <c r="AM2" s="317"/>
      <c r="AN2" s="317"/>
      <c r="AO2" s="317"/>
      <c r="AP2" s="317"/>
      <c r="AQ2" s="317"/>
      <c r="AR2" s="317"/>
      <c r="AS2" s="317"/>
    </row>
    <row r="3" spans="1:46" s="315" customFormat="1" ht="16.5" customHeight="1" x14ac:dyDescent="0.25">
      <c r="A3" s="421"/>
      <c r="B3" s="426" t="s">
        <v>1351</v>
      </c>
      <c r="E3" s="671">
        <v>46048</v>
      </c>
      <c r="G3" s="318"/>
      <c r="H3" s="318"/>
      <c r="I3" s="316"/>
      <c r="J3" s="316"/>
      <c r="K3" s="316"/>
      <c r="AT3" s="317"/>
    </row>
    <row r="4" spans="1:46" s="315" customFormat="1" ht="15" customHeight="1" x14ac:dyDescent="0.25">
      <c r="A4" s="423"/>
      <c r="B4" s="427" t="e">
        <f>"REPORTE DE RESERVAS Y COBROS AL "&amp;UPPER(TEXT(_xlfn.XLOOKUP(E3,K6:U6,K6:U6),"dd mmmm yyyy"))</f>
        <v>#N/A</v>
      </c>
      <c r="G4" s="318"/>
      <c r="H4" s="318"/>
      <c r="I4" s="316"/>
      <c r="J4" s="316"/>
      <c r="K4" s="316"/>
      <c r="AT4" s="317"/>
    </row>
    <row r="5" spans="1:46" s="581" customFormat="1" ht="12.75" customHeight="1" x14ac:dyDescent="0.25">
      <c r="A5" s="691"/>
      <c r="B5" s="664">
        <v>1</v>
      </c>
      <c r="C5" s="664">
        <v>2</v>
      </c>
      <c r="D5" s="664">
        <f>+C5+1</f>
        <v>3</v>
      </c>
      <c r="E5" s="664">
        <f t="shared" ref="E5:S5" si="0">+D5+1</f>
        <v>4</v>
      </c>
      <c r="F5" s="664">
        <f t="shared" si="0"/>
        <v>5</v>
      </c>
      <c r="G5" s="664">
        <f t="shared" si="0"/>
        <v>6</v>
      </c>
      <c r="H5" s="664">
        <f t="shared" si="0"/>
        <v>7</v>
      </c>
      <c r="I5" s="664">
        <f t="shared" si="0"/>
        <v>8</v>
      </c>
      <c r="J5" s="664">
        <f t="shared" si="0"/>
        <v>9</v>
      </c>
      <c r="K5" s="664">
        <f t="shared" si="0"/>
        <v>10</v>
      </c>
      <c r="L5" s="664">
        <f>+K5+1</f>
        <v>11</v>
      </c>
      <c r="M5" s="664">
        <f>+L5+1</f>
        <v>12</v>
      </c>
      <c r="N5" s="664">
        <f>+M5+1</f>
        <v>13</v>
      </c>
      <c r="O5" s="664">
        <f t="shared" si="0"/>
        <v>14</v>
      </c>
      <c r="P5" s="664">
        <f t="shared" si="0"/>
        <v>15</v>
      </c>
      <c r="Q5" s="664">
        <f t="shared" si="0"/>
        <v>16</v>
      </c>
      <c r="R5" s="664">
        <f t="shared" si="0"/>
        <v>17</v>
      </c>
      <c r="S5" s="664">
        <f t="shared" si="0"/>
        <v>18</v>
      </c>
      <c r="T5" s="664">
        <f t="shared" ref="T5" si="1">+S5+1</f>
        <v>19</v>
      </c>
      <c r="U5" s="664">
        <f t="shared" ref="U5" si="2">+T5+1</f>
        <v>20</v>
      </c>
      <c r="V5" s="664"/>
      <c r="W5" s="664"/>
      <c r="X5" s="664"/>
      <c r="Y5" s="664"/>
      <c r="Z5" s="664"/>
      <c r="AA5" s="664"/>
      <c r="AB5" s="664"/>
      <c r="AC5" s="664"/>
      <c r="AD5" s="664"/>
      <c r="AE5" s="664"/>
      <c r="AF5" s="664"/>
      <c r="AG5" s="664"/>
      <c r="AH5" s="664"/>
      <c r="AI5" s="664"/>
      <c r="AJ5" s="664"/>
      <c r="AK5" s="664" t="s">
        <v>343</v>
      </c>
      <c r="AL5" s="664"/>
      <c r="AM5" s="664"/>
      <c r="AN5" s="664"/>
      <c r="AO5" s="664"/>
      <c r="AP5" s="664"/>
      <c r="AQ5" s="664"/>
      <c r="AR5" s="664"/>
      <c r="AS5" s="664"/>
    </row>
    <row r="6" spans="1:46" ht="45" customHeight="1" x14ac:dyDescent="0.25">
      <c r="A6" s="316"/>
      <c r="B6" s="425" t="s">
        <v>62</v>
      </c>
      <c r="C6" s="425" t="s">
        <v>1352</v>
      </c>
      <c r="D6" s="425" t="s">
        <v>144</v>
      </c>
      <c r="E6" s="425" t="s">
        <v>65</v>
      </c>
      <c r="F6" s="425" t="s">
        <v>66</v>
      </c>
      <c r="G6" s="425" t="s">
        <v>133</v>
      </c>
      <c r="H6" s="425" t="s">
        <v>68</v>
      </c>
      <c r="I6" s="425" t="s">
        <v>69</v>
      </c>
      <c r="J6" s="425" t="s">
        <v>70</v>
      </c>
      <c r="K6" s="624">
        <v>45747</v>
      </c>
      <c r="L6" s="624">
        <v>45777</v>
      </c>
      <c r="M6" s="624">
        <v>45808</v>
      </c>
      <c r="N6" s="624">
        <v>45838</v>
      </c>
      <c r="O6" s="624">
        <v>45869</v>
      </c>
      <c r="P6" s="624">
        <v>45900</v>
      </c>
      <c r="Q6" s="624">
        <v>45930</v>
      </c>
      <c r="R6" s="624">
        <v>45961</v>
      </c>
      <c r="S6" s="624">
        <v>45991</v>
      </c>
      <c r="T6" s="624">
        <v>46022</v>
      </c>
      <c r="U6" s="624">
        <v>46053</v>
      </c>
      <c r="V6" s="425" t="s">
        <v>101</v>
      </c>
      <c r="W6" s="425" t="s">
        <v>102</v>
      </c>
      <c r="X6" s="425" t="s">
        <v>103</v>
      </c>
      <c r="Y6" s="425" t="s">
        <v>104</v>
      </c>
      <c r="Z6" s="425" t="s">
        <v>105</v>
      </c>
      <c r="AA6" s="425" t="s">
        <v>106</v>
      </c>
      <c r="AB6" s="425" t="s">
        <v>107</v>
      </c>
      <c r="AC6" s="425" t="s">
        <v>108</v>
      </c>
      <c r="AD6" s="624" t="s">
        <v>161</v>
      </c>
      <c r="AE6" s="425" t="s">
        <v>110</v>
      </c>
      <c r="AF6" s="425" t="s">
        <v>111</v>
      </c>
      <c r="AG6" s="425" t="s">
        <v>112</v>
      </c>
      <c r="AH6" s="425" t="s">
        <v>113</v>
      </c>
      <c r="AI6" s="425" t="s">
        <v>114</v>
      </c>
      <c r="AJ6" s="625" t="s">
        <v>115</v>
      </c>
      <c r="AK6" s="625" t="s">
        <v>116</v>
      </c>
      <c r="AL6" s="625" t="s">
        <v>117</v>
      </c>
      <c r="AM6" s="625" t="s">
        <v>118</v>
      </c>
      <c r="AN6" s="625" t="s">
        <v>119</v>
      </c>
      <c r="AO6" s="625" t="s">
        <v>48</v>
      </c>
      <c r="AP6" s="625" t="s">
        <v>120</v>
      </c>
      <c r="AQ6" s="626" t="s">
        <v>121</v>
      </c>
      <c r="AR6" s="625" t="s">
        <v>122</v>
      </c>
      <c r="AS6" s="625" t="s">
        <v>123</v>
      </c>
      <c r="AT6" s="625" t="s">
        <v>124</v>
      </c>
    </row>
    <row r="7" spans="1:46" s="563" customFormat="1" ht="13.9" customHeight="1" x14ac:dyDescent="0.25">
      <c r="B7" s="564">
        <v>101</v>
      </c>
      <c r="C7" s="565" t="s">
        <v>1353</v>
      </c>
      <c r="D7" s="565" t="s">
        <v>913</v>
      </c>
      <c r="E7" s="565"/>
      <c r="F7" s="563" t="s">
        <v>1354</v>
      </c>
      <c r="G7" s="566">
        <v>45823</v>
      </c>
      <c r="H7" s="565" t="s">
        <v>1355</v>
      </c>
      <c r="I7" s="873">
        <v>665200</v>
      </c>
      <c r="J7" s="873">
        <v>46600</v>
      </c>
      <c r="K7" s="567"/>
      <c r="L7" s="568"/>
      <c r="M7" s="569"/>
      <c r="N7" s="569">
        <v>0</v>
      </c>
      <c r="O7" s="569"/>
      <c r="P7" s="569"/>
      <c r="Q7" s="569">
        <v>3000</v>
      </c>
      <c r="R7" s="569">
        <v>2000</v>
      </c>
      <c r="S7" s="569">
        <v>2000</v>
      </c>
      <c r="T7" s="569">
        <v>2000</v>
      </c>
      <c r="U7" s="569"/>
      <c r="V7" s="570">
        <f t="shared" ref="V7:V38" si="3">SUM(K7:U7)</f>
        <v>9000</v>
      </c>
      <c r="W7" s="571">
        <f t="shared" ref="W7:W38" si="4">IFERROR((+V7/J7),0)</f>
        <v>0.19313304721030042</v>
      </c>
      <c r="X7" s="570">
        <f t="shared" ref="X7:X38" si="5">+V7-AB7</f>
        <v>-37600</v>
      </c>
      <c r="Y7" s="571">
        <f t="shared" ref="Y7:Y38" si="6">+X7/J7</f>
        <v>-0.80686695278969955</v>
      </c>
      <c r="Z7" s="572">
        <f t="shared" ref="Z7:Z38" si="7">+I7-V7</f>
        <v>656200</v>
      </c>
      <c r="AA7" s="573">
        <f t="shared" ref="AA7:AA38" si="8">+Z7/I7</f>
        <v>0.98647023451593507</v>
      </c>
      <c r="AB7" s="572">
        <f t="shared" ref="AB7:AB38" si="9">IF(AC7="Vendido",J7*1,IF(AC7="Disponible",J7*0,IF(AC7="Enganche Completado",J7*1,IF(AC7="Superávit de Enganche",J7*1,0))))</f>
        <v>46600</v>
      </c>
      <c r="AC7" s="574" t="str">
        <f t="shared" ref="AC7:AC38" si="10">IF(F7=0,"Apartamento Disponible",IF(F7&gt;1,"Vendido",0))</f>
        <v>Vendido</v>
      </c>
      <c r="AD7" s="574" t="str">
        <f t="shared" ref="AD7:AD38" si="11">IF(AND(AC7="Vendido",G7&gt;=0,AL7&lt;=V7,V7&lt;AB7),"Cliente al día",IF(AND(AC7="Vendido",G7&gt;=0,AL7&lt;=V7,V7=AB7),"Enganche Completado",IF(AND(AC7="Vendido",G7&gt;=0,AL7&lt;V7,V7&gt;AB7),"Superávit de Enganche",IF(AND(AC7="Apartamento Disponible",G7=0,X7=0),"Disponible","Cliente Atrasado"))))</f>
        <v>Cliente al día</v>
      </c>
      <c r="AE7" s="575">
        <v>26</v>
      </c>
      <c r="AF7" s="575">
        <f t="shared" ref="AF7:AF38" si="12">IF(AE7&gt;1,1,0)</f>
        <v>1</v>
      </c>
      <c r="AG7" s="575">
        <f t="shared" ref="AG7:AG38" si="13">+AE7+AF7</f>
        <v>27</v>
      </c>
      <c r="AH7" s="568">
        <v>1500</v>
      </c>
      <c r="AI7" s="568">
        <v>1653.85</v>
      </c>
      <c r="AJ7" s="574">
        <f t="shared" ref="AJ7:AJ38" si="14">COUNTIFS(K7:U7,"&gt;0.01",K7:U7,"&lt;" &amp; AH7)</f>
        <v>0</v>
      </c>
      <c r="AK7" s="692">
        <f>IF($G7&gt;0,DATEDIF($G7,$E$3,"M"),0)</f>
        <v>7</v>
      </c>
      <c r="AL7" s="577">
        <f t="shared" ref="AL7:AL38" si="15">(AJ7*AI7)+AH7</f>
        <v>1500</v>
      </c>
      <c r="AM7" s="576">
        <f t="shared" ref="AM7:AM38" si="16">SUMIF(K7:U7,"&lt;=" &amp; AI7,K7:U7)</f>
        <v>0</v>
      </c>
      <c r="AN7" s="576">
        <f t="shared" ref="AN7:AN38" si="17">SUMIF(K7:U7,"&gt;" &amp; AI7,K7:U7)</f>
        <v>9000</v>
      </c>
      <c r="AO7" s="576">
        <f t="shared" ref="AO7:AO38" si="18">V7-AM7-AN7</f>
        <v>0</v>
      </c>
      <c r="AP7" s="576">
        <f t="shared" ref="AP7:AP38" si="19">IF(V7&gt;AL7,V7-AL7,0)</f>
        <v>7500</v>
      </c>
      <c r="AQ7" s="578">
        <f>ROUNDUP(IF(F7&gt;0,AP7/AH7,0),0)</f>
        <v>5</v>
      </c>
      <c r="AR7" s="578">
        <f>ROUNDUP(IF(G7&gt;0,AQ7/AI7,0),0)</f>
        <v>1</v>
      </c>
      <c r="AS7" s="579"/>
      <c r="AT7" s="579"/>
    </row>
    <row r="8" spans="1:46" s="563" customFormat="1" ht="13.9" customHeight="1" x14ac:dyDescent="0.25">
      <c r="B8" s="564">
        <v>102</v>
      </c>
      <c r="C8" s="565" t="s">
        <v>1356</v>
      </c>
      <c r="D8" s="565" t="s">
        <v>913</v>
      </c>
      <c r="E8" s="565"/>
      <c r="G8" s="565"/>
      <c r="H8" s="565" t="s">
        <v>374</v>
      </c>
      <c r="I8" s="873">
        <v>995500</v>
      </c>
      <c r="J8" s="873">
        <v>69685</v>
      </c>
      <c r="K8" s="567"/>
      <c r="L8" s="568"/>
      <c r="M8" s="569"/>
      <c r="N8" s="569"/>
      <c r="O8" s="569"/>
      <c r="P8" s="569"/>
      <c r="Q8" s="569">
        <v>0</v>
      </c>
      <c r="R8" s="569">
        <v>0</v>
      </c>
      <c r="S8" s="569">
        <v>0</v>
      </c>
      <c r="T8" s="569"/>
      <c r="U8" s="569"/>
      <c r="V8" s="570">
        <f t="shared" si="3"/>
        <v>0</v>
      </c>
      <c r="W8" s="571">
        <f t="shared" si="4"/>
        <v>0</v>
      </c>
      <c r="X8" s="570">
        <f t="shared" si="5"/>
        <v>0</v>
      </c>
      <c r="Y8" s="571">
        <f t="shared" si="6"/>
        <v>0</v>
      </c>
      <c r="Z8" s="572">
        <f t="shared" si="7"/>
        <v>995500</v>
      </c>
      <c r="AA8" s="573">
        <f t="shared" si="8"/>
        <v>1</v>
      </c>
      <c r="AB8" s="572">
        <f t="shared" si="9"/>
        <v>0</v>
      </c>
      <c r="AC8" s="574" t="str">
        <f t="shared" si="10"/>
        <v>Apartamento Disponible</v>
      </c>
      <c r="AD8" s="574" t="str">
        <f t="shared" si="11"/>
        <v>Disponible</v>
      </c>
      <c r="AE8" s="575"/>
      <c r="AF8" s="575">
        <f t="shared" si="12"/>
        <v>0</v>
      </c>
      <c r="AG8" s="575">
        <f t="shared" si="13"/>
        <v>0</v>
      </c>
      <c r="AH8" s="568"/>
      <c r="AI8" s="568"/>
      <c r="AJ8" s="574">
        <f t="shared" si="14"/>
        <v>0</v>
      </c>
      <c r="AK8" s="692">
        <f t="shared" ref="AK8:AK71" si="20">IF($G8&gt;0,DATEDIF($G8,$E$3,"M"),0)</f>
        <v>0</v>
      </c>
      <c r="AL8" s="577">
        <f t="shared" si="15"/>
        <v>0</v>
      </c>
      <c r="AM8" s="576">
        <f t="shared" si="16"/>
        <v>0</v>
      </c>
      <c r="AN8" s="576">
        <f t="shared" si="17"/>
        <v>0</v>
      </c>
      <c r="AO8" s="576">
        <f t="shared" si="18"/>
        <v>0</v>
      </c>
      <c r="AP8" s="576">
        <f t="shared" si="19"/>
        <v>0</v>
      </c>
      <c r="AQ8" s="576">
        <f>IF(V8&lt;AL8,AL8-V8,0)</f>
        <v>0</v>
      </c>
      <c r="AR8" s="578">
        <f t="shared" ref="AR8:AR39" si="21">ROUNDUP(IF(G8&gt;0,AQ8/AI8,0),0)</f>
        <v>0</v>
      </c>
      <c r="AS8" s="579"/>
      <c r="AT8" s="579"/>
    </row>
    <row r="9" spans="1:46" s="563" customFormat="1" ht="13.9" customHeight="1" x14ac:dyDescent="0.25">
      <c r="B9" s="564">
        <v>103</v>
      </c>
      <c r="C9" s="565" t="s">
        <v>1356</v>
      </c>
      <c r="D9" s="565" t="s">
        <v>913</v>
      </c>
      <c r="E9" s="565"/>
      <c r="G9" s="565"/>
      <c r="H9" s="565" t="s">
        <v>374</v>
      </c>
      <c r="I9" s="873">
        <v>995500</v>
      </c>
      <c r="J9" s="873">
        <v>69685</v>
      </c>
      <c r="K9" s="567"/>
      <c r="L9" s="568"/>
      <c r="M9" s="569"/>
      <c r="N9" s="569"/>
      <c r="O9" s="569"/>
      <c r="P9" s="569"/>
      <c r="Q9" s="569">
        <v>0</v>
      </c>
      <c r="R9" s="569">
        <v>0</v>
      </c>
      <c r="S9" s="569">
        <v>0</v>
      </c>
      <c r="T9" s="569"/>
      <c r="U9" s="569"/>
      <c r="V9" s="570">
        <f t="shared" si="3"/>
        <v>0</v>
      </c>
      <c r="W9" s="571">
        <f t="shared" si="4"/>
        <v>0</v>
      </c>
      <c r="X9" s="570">
        <f t="shared" si="5"/>
        <v>0</v>
      </c>
      <c r="Y9" s="571">
        <f t="shared" si="6"/>
        <v>0</v>
      </c>
      <c r="Z9" s="572">
        <f t="shared" si="7"/>
        <v>995500</v>
      </c>
      <c r="AA9" s="573">
        <f t="shared" si="8"/>
        <v>1</v>
      </c>
      <c r="AB9" s="572">
        <f t="shared" si="9"/>
        <v>0</v>
      </c>
      <c r="AC9" s="574" t="str">
        <f t="shared" si="10"/>
        <v>Apartamento Disponible</v>
      </c>
      <c r="AD9" s="574" t="str">
        <f t="shared" si="11"/>
        <v>Disponible</v>
      </c>
      <c r="AE9" s="575"/>
      <c r="AF9" s="575">
        <f t="shared" si="12"/>
        <v>0</v>
      </c>
      <c r="AG9" s="575">
        <f t="shared" si="13"/>
        <v>0</v>
      </c>
      <c r="AH9" s="568"/>
      <c r="AI9" s="568"/>
      <c r="AJ9" s="574">
        <f t="shared" si="14"/>
        <v>0</v>
      </c>
      <c r="AK9" s="692">
        <f t="shared" si="20"/>
        <v>0</v>
      </c>
      <c r="AL9" s="577">
        <f t="shared" si="15"/>
        <v>0</v>
      </c>
      <c r="AM9" s="576">
        <f t="shared" si="16"/>
        <v>0</v>
      </c>
      <c r="AN9" s="576">
        <f t="shared" si="17"/>
        <v>0</v>
      </c>
      <c r="AO9" s="576">
        <f t="shared" si="18"/>
        <v>0</v>
      </c>
      <c r="AP9" s="576">
        <f t="shared" si="19"/>
        <v>0</v>
      </c>
      <c r="AQ9" s="576">
        <f t="shared" ref="AQ9:AQ72" si="22">IF(V9&lt;AL9,AL9-V9,0)</f>
        <v>0</v>
      </c>
      <c r="AR9" s="578">
        <f t="shared" si="21"/>
        <v>0</v>
      </c>
      <c r="AS9" s="579"/>
      <c r="AT9" s="579"/>
    </row>
    <row r="10" spans="1:46" s="563" customFormat="1" ht="13.9" customHeight="1" x14ac:dyDescent="0.25">
      <c r="B10" s="564">
        <v>104</v>
      </c>
      <c r="C10" s="565" t="s">
        <v>1353</v>
      </c>
      <c r="D10" s="565" t="s">
        <v>913</v>
      </c>
      <c r="E10" s="565" t="s">
        <v>917</v>
      </c>
      <c r="F10" s="563" t="s">
        <v>918</v>
      </c>
      <c r="G10" s="566">
        <v>45856</v>
      </c>
      <c r="H10" s="565" t="s">
        <v>1355</v>
      </c>
      <c r="I10" s="873">
        <v>655200</v>
      </c>
      <c r="J10" s="873">
        <v>45864.000000000007</v>
      </c>
      <c r="K10" s="567"/>
      <c r="L10" s="568"/>
      <c r="M10" s="569"/>
      <c r="N10" s="900"/>
      <c r="O10" s="900">
        <f>1500+1500</f>
        <v>3000</v>
      </c>
      <c r="P10" s="900"/>
      <c r="Q10" s="900">
        <f>1653.85+1653.85</f>
        <v>3307.7</v>
      </c>
      <c r="R10" s="569">
        <v>0</v>
      </c>
      <c r="S10" s="569">
        <v>0</v>
      </c>
      <c r="T10" s="569"/>
      <c r="U10" s="569"/>
      <c r="V10" s="570">
        <f>SUM(K10:U10)</f>
        <v>6307.7</v>
      </c>
      <c r="W10" s="571">
        <f t="shared" si="4"/>
        <v>0.13753052503052501</v>
      </c>
      <c r="X10" s="570">
        <f t="shared" si="5"/>
        <v>-39556.30000000001</v>
      </c>
      <c r="Y10" s="571">
        <f t="shared" si="6"/>
        <v>-0.86246947496947501</v>
      </c>
      <c r="Z10" s="572">
        <f t="shared" si="7"/>
        <v>648892.30000000005</v>
      </c>
      <c r="AA10" s="573">
        <f t="shared" si="8"/>
        <v>0.99037286324786333</v>
      </c>
      <c r="AB10" s="572">
        <f t="shared" si="9"/>
        <v>45864.000000000007</v>
      </c>
      <c r="AC10" s="574" t="str">
        <f t="shared" si="10"/>
        <v>Vendido</v>
      </c>
      <c r="AD10" s="574" t="str">
        <f t="shared" si="11"/>
        <v>Cliente al día</v>
      </c>
      <c r="AE10" s="575">
        <v>26</v>
      </c>
      <c r="AF10" s="575">
        <f t="shared" si="12"/>
        <v>1</v>
      </c>
      <c r="AG10" s="575">
        <f t="shared" si="13"/>
        <v>27</v>
      </c>
      <c r="AH10" s="568">
        <v>3000</v>
      </c>
      <c r="AI10" s="568">
        <v>1653.85</v>
      </c>
      <c r="AJ10" s="574">
        <f t="shared" si="14"/>
        <v>0</v>
      </c>
      <c r="AK10" s="692">
        <f t="shared" si="20"/>
        <v>6</v>
      </c>
      <c r="AL10" s="577">
        <f t="shared" si="15"/>
        <v>3000</v>
      </c>
      <c r="AM10" s="576">
        <f t="shared" si="16"/>
        <v>0</v>
      </c>
      <c r="AN10" s="576">
        <f t="shared" si="17"/>
        <v>6307.7</v>
      </c>
      <c r="AO10" s="576">
        <f t="shared" si="18"/>
        <v>0</v>
      </c>
      <c r="AP10" s="576">
        <f t="shared" si="19"/>
        <v>3307.7</v>
      </c>
      <c r="AQ10" s="576">
        <f t="shared" si="22"/>
        <v>0</v>
      </c>
      <c r="AR10" s="578">
        <f t="shared" si="21"/>
        <v>0</v>
      </c>
      <c r="AS10" s="579"/>
      <c r="AT10" s="579"/>
    </row>
    <row r="11" spans="1:46" s="563" customFormat="1" ht="13.9" customHeight="1" x14ac:dyDescent="0.25">
      <c r="B11" s="564">
        <v>105</v>
      </c>
      <c r="C11" s="565" t="s">
        <v>1353</v>
      </c>
      <c r="D11" s="565" t="s">
        <v>913</v>
      </c>
      <c r="E11" s="565"/>
      <c r="F11" s="563" t="s">
        <v>1357</v>
      </c>
      <c r="G11" s="580">
        <v>45835</v>
      </c>
      <c r="H11" s="565" t="s">
        <v>1355</v>
      </c>
      <c r="I11" s="873">
        <v>655200</v>
      </c>
      <c r="J11" s="873">
        <v>46000</v>
      </c>
      <c r="K11" s="567"/>
      <c r="L11" s="568"/>
      <c r="M11" s="569"/>
      <c r="N11" s="900">
        <v>1500</v>
      </c>
      <c r="O11" s="900">
        <v>1500</v>
      </c>
      <c r="P11" s="900"/>
      <c r="Q11" s="900">
        <v>1654</v>
      </c>
      <c r="R11" s="569">
        <v>0</v>
      </c>
      <c r="S11" s="569">
        <v>0</v>
      </c>
      <c r="T11" s="569"/>
      <c r="U11" s="569"/>
      <c r="V11" s="570">
        <f t="shared" si="3"/>
        <v>4654</v>
      </c>
      <c r="W11" s="571">
        <f t="shared" si="4"/>
        <v>0.10117391304347827</v>
      </c>
      <c r="X11" s="570">
        <f t="shared" si="5"/>
        <v>-41346</v>
      </c>
      <c r="Y11" s="571">
        <f t="shared" si="6"/>
        <v>-0.89882608695652177</v>
      </c>
      <c r="Z11" s="572">
        <f t="shared" si="7"/>
        <v>650546</v>
      </c>
      <c r="AA11" s="573">
        <f t="shared" si="8"/>
        <v>0.99289682539682544</v>
      </c>
      <c r="AB11" s="572">
        <f t="shared" si="9"/>
        <v>46000</v>
      </c>
      <c r="AC11" s="574" t="str">
        <f t="shared" si="10"/>
        <v>Vendido</v>
      </c>
      <c r="AD11" s="574" t="str">
        <f t="shared" si="11"/>
        <v>Cliente al día</v>
      </c>
      <c r="AE11" s="575">
        <v>26</v>
      </c>
      <c r="AF11" s="575">
        <f t="shared" si="12"/>
        <v>1</v>
      </c>
      <c r="AG11" s="575">
        <f t="shared" si="13"/>
        <v>27</v>
      </c>
      <c r="AH11" s="568">
        <v>1500</v>
      </c>
      <c r="AI11" s="568">
        <v>1653.85</v>
      </c>
      <c r="AJ11" s="574">
        <f t="shared" si="14"/>
        <v>0</v>
      </c>
      <c r="AK11" s="692">
        <f t="shared" si="20"/>
        <v>6</v>
      </c>
      <c r="AL11" s="577">
        <f t="shared" si="15"/>
        <v>1500</v>
      </c>
      <c r="AM11" s="576">
        <f t="shared" si="16"/>
        <v>3000</v>
      </c>
      <c r="AN11" s="576">
        <f t="shared" si="17"/>
        <v>1654</v>
      </c>
      <c r="AO11" s="576">
        <f t="shared" si="18"/>
        <v>0</v>
      </c>
      <c r="AP11" s="576">
        <f t="shared" si="19"/>
        <v>3154</v>
      </c>
      <c r="AQ11" s="576">
        <f t="shared" si="22"/>
        <v>0</v>
      </c>
      <c r="AR11" s="578">
        <f t="shared" si="21"/>
        <v>0</v>
      </c>
      <c r="AS11" s="579"/>
      <c r="AT11" s="579"/>
    </row>
    <row r="12" spans="1:46" s="563" customFormat="1" ht="13.9" customHeight="1" x14ac:dyDescent="0.25">
      <c r="B12" s="564">
        <v>106</v>
      </c>
      <c r="C12" s="565" t="s">
        <v>1358</v>
      </c>
      <c r="D12" s="565" t="s">
        <v>913</v>
      </c>
      <c r="E12" s="565"/>
      <c r="F12" s="563" t="s">
        <v>1359</v>
      </c>
      <c r="G12" s="580">
        <v>45866</v>
      </c>
      <c r="H12" s="565" t="s">
        <v>1355</v>
      </c>
      <c r="I12" s="873">
        <v>847700</v>
      </c>
      <c r="J12" s="873">
        <v>59339.000000000007</v>
      </c>
      <c r="K12" s="567"/>
      <c r="L12" s="568"/>
      <c r="M12" s="569"/>
      <c r="N12" s="569"/>
      <c r="O12" s="569">
        <v>3000</v>
      </c>
      <c r="P12" s="569"/>
      <c r="Q12" s="569">
        <v>0</v>
      </c>
      <c r="R12" s="569">
        <v>6346.14</v>
      </c>
      <c r="S12" s="569">
        <v>2115.38</v>
      </c>
      <c r="T12" s="569">
        <v>2115.38</v>
      </c>
      <c r="U12" s="569">
        <v>2115.38</v>
      </c>
      <c r="V12" s="570">
        <f t="shared" si="3"/>
        <v>15692.280000000002</v>
      </c>
      <c r="W12" s="571">
        <f t="shared" si="4"/>
        <v>0.26445137262171592</v>
      </c>
      <c r="X12" s="570">
        <f t="shared" si="5"/>
        <v>-43646.720000000001</v>
      </c>
      <c r="Y12" s="571">
        <f t="shared" si="6"/>
        <v>-0.73554862737828408</v>
      </c>
      <c r="Z12" s="572">
        <f t="shared" si="7"/>
        <v>832007.72</v>
      </c>
      <c r="AA12" s="573">
        <f t="shared" si="8"/>
        <v>0.98148840391647985</v>
      </c>
      <c r="AB12" s="572">
        <f t="shared" si="9"/>
        <v>59339.000000000007</v>
      </c>
      <c r="AC12" s="574" t="str">
        <f t="shared" si="10"/>
        <v>Vendido</v>
      </c>
      <c r="AD12" s="574" t="str">
        <f t="shared" si="11"/>
        <v>Cliente al día</v>
      </c>
      <c r="AE12" s="575"/>
      <c r="AF12" s="575">
        <f t="shared" si="12"/>
        <v>0</v>
      </c>
      <c r="AG12" s="575">
        <f t="shared" si="13"/>
        <v>0</v>
      </c>
      <c r="AH12" s="568"/>
      <c r="AI12" s="568"/>
      <c r="AJ12" s="574">
        <f t="shared" si="14"/>
        <v>0</v>
      </c>
      <c r="AK12" s="692">
        <f t="shared" si="20"/>
        <v>5</v>
      </c>
      <c r="AL12" s="577">
        <f t="shared" si="15"/>
        <v>0</v>
      </c>
      <c r="AM12" s="576">
        <f t="shared" si="16"/>
        <v>0</v>
      </c>
      <c r="AN12" s="576">
        <f t="shared" si="17"/>
        <v>0</v>
      </c>
      <c r="AO12" s="576">
        <f t="shared" si="18"/>
        <v>15692.280000000002</v>
      </c>
      <c r="AP12" s="576">
        <f t="shared" si="19"/>
        <v>15692.280000000002</v>
      </c>
      <c r="AQ12" s="576">
        <f t="shared" si="22"/>
        <v>0</v>
      </c>
      <c r="AR12" s="578" t="e">
        <f t="shared" si="21"/>
        <v>#DIV/0!</v>
      </c>
      <c r="AS12" s="579"/>
      <c r="AT12" s="579"/>
    </row>
    <row r="13" spans="1:46" s="563" customFormat="1" ht="13.9" customHeight="1" x14ac:dyDescent="0.25">
      <c r="B13" s="564">
        <v>107</v>
      </c>
      <c r="C13" s="565" t="s">
        <v>1356</v>
      </c>
      <c r="D13" s="565" t="s">
        <v>913</v>
      </c>
      <c r="E13" s="565" t="s">
        <v>917</v>
      </c>
      <c r="F13" s="563" t="s">
        <v>1360</v>
      </c>
      <c r="G13" s="580">
        <v>45866</v>
      </c>
      <c r="H13" s="565" t="s">
        <v>1355</v>
      </c>
      <c r="I13" s="873">
        <v>995700</v>
      </c>
      <c r="J13" s="873">
        <v>69699</v>
      </c>
      <c r="K13" s="567"/>
      <c r="L13" s="568"/>
      <c r="M13" s="569"/>
      <c r="N13" s="569"/>
      <c r="O13" s="569">
        <v>3000</v>
      </c>
      <c r="P13" s="569">
        <v>2192.31</v>
      </c>
      <c r="Q13" s="569">
        <v>0</v>
      </c>
      <c r="R13" s="569">
        <v>2192.31</v>
      </c>
      <c r="S13" s="569">
        <v>2192.31</v>
      </c>
      <c r="T13" s="569">
        <v>2192.31</v>
      </c>
      <c r="U13" s="569">
        <v>2192.31</v>
      </c>
      <c r="V13" s="570">
        <f t="shared" si="3"/>
        <v>13961.549999999997</v>
      </c>
      <c r="W13" s="571">
        <f t="shared" si="4"/>
        <v>0.2003120561270606</v>
      </c>
      <c r="X13" s="570">
        <f t="shared" si="5"/>
        <v>-55737.450000000004</v>
      </c>
      <c r="Y13" s="571">
        <f t="shared" si="6"/>
        <v>-0.7996879438729394</v>
      </c>
      <c r="Z13" s="572">
        <f t="shared" si="7"/>
        <v>981738.45</v>
      </c>
      <c r="AA13" s="573">
        <f t="shared" si="8"/>
        <v>0.98597815607110573</v>
      </c>
      <c r="AB13" s="572">
        <f t="shared" si="9"/>
        <v>69699</v>
      </c>
      <c r="AC13" s="574" t="str">
        <f t="shared" si="10"/>
        <v>Vendido</v>
      </c>
      <c r="AD13" s="574" t="str">
        <f t="shared" si="11"/>
        <v>Cliente al día</v>
      </c>
      <c r="AE13" s="575"/>
      <c r="AF13" s="575">
        <f t="shared" si="12"/>
        <v>0</v>
      </c>
      <c r="AG13" s="575">
        <f t="shared" si="13"/>
        <v>0</v>
      </c>
      <c r="AH13" s="568"/>
      <c r="AI13" s="568"/>
      <c r="AJ13" s="574">
        <f t="shared" si="14"/>
        <v>0</v>
      </c>
      <c r="AK13" s="692">
        <f t="shared" si="20"/>
        <v>5</v>
      </c>
      <c r="AL13" s="577">
        <f t="shared" si="15"/>
        <v>0</v>
      </c>
      <c r="AM13" s="576">
        <f t="shared" si="16"/>
        <v>0</v>
      </c>
      <c r="AN13" s="576">
        <f t="shared" si="17"/>
        <v>0</v>
      </c>
      <c r="AO13" s="576">
        <f t="shared" si="18"/>
        <v>13961.549999999997</v>
      </c>
      <c r="AP13" s="576">
        <f t="shared" si="19"/>
        <v>13961.549999999997</v>
      </c>
      <c r="AQ13" s="576">
        <f t="shared" si="22"/>
        <v>0</v>
      </c>
      <c r="AR13" s="578" t="e">
        <f t="shared" si="21"/>
        <v>#DIV/0!</v>
      </c>
      <c r="AS13" s="579"/>
      <c r="AT13" s="579"/>
    </row>
    <row r="14" spans="1:46" s="563" customFormat="1" ht="13.9" customHeight="1" x14ac:dyDescent="0.25">
      <c r="B14" s="564">
        <v>108</v>
      </c>
      <c r="C14" s="565" t="s">
        <v>1356</v>
      </c>
      <c r="D14" s="565" t="s">
        <v>913</v>
      </c>
      <c r="E14" s="565"/>
      <c r="G14" s="565"/>
      <c r="H14" s="565" t="s">
        <v>374</v>
      </c>
      <c r="I14" s="873">
        <v>995700</v>
      </c>
      <c r="J14" s="873">
        <v>69699</v>
      </c>
      <c r="K14" s="567"/>
      <c r="L14" s="568"/>
      <c r="M14" s="569"/>
      <c r="N14" s="569"/>
      <c r="O14" s="569"/>
      <c r="P14" s="569"/>
      <c r="Q14" s="569">
        <v>0</v>
      </c>
      <c r="R14" s="569">
        <v>0</v>
      </c>
      <c r="S14" s="569">
        <v>0</v>
      </c>
      <c r="T14" s="569"/>
      <c r="U14" s="569"/>
      <c r="V14" s="570">
        <f t="shared" si="3"/>
        <v>0</v>
      </c>
      <c r="W14" s="571">
        <f t="shared" si="4"/>
        <v>0</v>
      </c>
      <c r="X14" s="570">
        <f t="shared" si="5"/>
        <v>0</v>
      </c>
      <c r="Y14" s="571">
        <f t="shared" si="6"/>
        <v>0</v>
      </c>
      <c r="Z14" s="572">
        <f t="shared" si="7"/>
        <v>995700</v>
      </c>
      <c r="AA14" s="573">
        <f t="shared" si="8"/>
        <v>1</v>
      </c>
      <c r="AB14" s="572">
        <f t="shared" si="9"/>
        <v>0</v>
      </c>
      <c r="AC14" s="574" t="str">
        <f t="shared" si="10"/>
        <v>Apartamento Disponible</v>
      </c>
      <c r="AD14" s="574" t="str">
        <f t="shared" si="11"/>
        <v>Disponible</v>
      </c>
      <c r="AE14" s="575"/>
      <c r="AF14" s="575">
        <f t="shared" si="12"/>
        <v>0</v>
      </c>
      <c r="AG14" s="575">
        <f t="shared" si="13"/>
        <v>0</v>
      </c>
      <c r="AH14" s="568"/>
      <c r="AI14" s="568"/>
      <c r="AJ14" s="574">
        <f t="shared" si="14"/>
        <v>0</v>
      </c>
      <c r="AK14" s="692">
        <f t="shared" si="20"/>
        <v>0</v>
      </c>
      <c r="AL14" s="577">
        <f t="shared" si="15"/>
        <v>0</v>
      </c>
      <c r="AM14" s="576">
        <f t="shared" si="16"/>
        <v>0</v>
      </c>
      <c r="AN14" s="576">
        <f t="shared" si="17"/>
        <v>0</v>
      </c>
      <c r="AO14" s="576">
        <f t="shared" si="18"/>
        <v>0</v>
      </c>
      <c r="AP14" s="576">
        <f t="shared" si="19"/>
        <v>0</v>
      </c>
      <c r="AQ14" s="576">
        <f t="shared" si="22"/>
        <v>0</v>
      </c>
      <c r="AR14" s="578">
        <f t="shared" si="21"/>
        <v>0</v>
      </c>
      <c r="AS14" s="579"/>
      <c r="AT14" s="579"/>
    </row>
    <row r="15" spans="1:46" s="563" customFormat="1" ht="13.9" customHeight="1" x14ac:dyDescent="0.25">
      <c r="B15" s="564">
        <v>109</v>
      </c>
      <c r="C15" s="565" t="s">
        <v>1358</v>
      </c>
      <c r="D15" s="565" t="s">
        <v>913</v>
      </c>
      <c r="E15" s="565"/>
      <c r="G15" s="565"/>
      <c r="H15" s="565" t="s">
        <v>374</v>
      </c>
      <c r="I15" s="873">
        <v>847700</v>
      </c>
      <c r="J15" s="873">
        <v>59339.000000000007</v>
      </c>
      <c r="K15" s="567"/>
      <c r="L15" s="568"/>
      <c r="M15" s="569"/>
      <c r="N15" s="569"/>
      <c r="O15" s="569"/>
      <c r="P15" s="569"/>
      <c r="Q15" s="569">
        <v>0</v>
      </c>
      <c r="R15" s="569">
        <v>0</v>
      </c>
      <c r="S15" s="569">
        <v>0</v>
      </c>
      <c r="T15" s="569"/>
      <c r="U15" s="569"/>
      <c r="V15" s="570">
        <f t="shared" si="3"/>
        <v>0</v>
      </c>
      <c r="W15" s="571">
        <f t="shared" si="4"/>
        <v>0</v>
      </c>
      <c r="X15" s="570">
        <f t="shared" si="5"/>
        <v>0</v>
      </c>
      <c r="Y15" s="571">
        <f t="shared" si="6"/>
        <v>0</v>
      </c>
      <c r="Z15" s="572">
        <f t="shared" si="7"/>
        <v>847700</v>
      </c>
      <c r="AA15" s="573">
        <f t="shared" si="8"/>
        <v>1</v>
      </c>
      <c r="AB15" s="572">
        <f t="shared" si="9"/>
        <v>0</v>
      </c>
      <c r="AC15" s="574" t="str">
        <f t="shared" si="10"/>
        <v>Apartamento Disponible</v>
      </c>
      <c r="AD15" s="574" t="str">
        <f t="shared" si="11"/>
        <v>Disponible</v>
      </c>
      <c r="AE15" s="575"/>
      <c r="AF15" s="575">
        <f t="shared" si="12"/>
        <v>0</v>
      </c>
      <c r="AG15" s="575">
        <f t="shared" si="13"/>
        <v>0</v>
      </c>
      <c r="AH15" s="568"/>
      <c r="AI15" s="568"/>
      <c r="AJ15" s="574">
        <f t="shared" si="14"/>
        <v>0</v>
      </c>
      <c r="AK15" s="692">
        <f t="shared" si="20"/>
        <v>0</v>
      </c>
      <c r="AL15" s="577">
        <f t="shared" si="15"/>
        <v>0</v>
      </c>
      <c r="AM15" s="576">
        <f t="shared" si="16"/>
        <v>0</v>
      </c>
      <c r="AN15" s="576">
        <f t="shared" si="17"/>
        <v>0</v>
      </c>
      <c r="AO15" s="576">
        <f t="shared" si="18"/>
        <v>0</v>
      </c>
      <c r="AP15" s="576">
        <f t="shared" si="19"/>
        <v>0</v>
      </c>
      <c r="AQ15" s="576">
        <f t="shared" si="22"/>
        <v>0</v>
      </c>
      <c r="AR15" s="578">
        <f t="shared" si="21"/>
        <v>0</v>
      </c>
      <c r="AS15" s="579"/>
      <c r="AT15" s="579"/>
    </row>
    <row r="16" spans="1:46" s="563" customFormat="1" ht="13.9" customHeight="1" x14ac:dyDescent="0.25">
      <c r="B16" s="564">
        <v>201</v>
      </c>
      <c r="C16" s="565" t="s">
        <v>1361</v>
      </c>
      <c r="D16" s="565" t="s">
        <v>913</v>
      </c>
      <c r="E16" s="565"/>
      <c r="G16" s="565"/>
      <c r="H16" s="565" t="s">
        <v>374</v>
      </c>
      <c r="I16" s="873">
        <v>622000</v>
      </c>
      <c r="J16" s="873">
        <v>43540.000000000007</v>
      </c>
      <c r="K16" s="567"/>
      <c r="L16" s="568"/>
      <c r="M16" s="569"/>
      <c r="N16" s="569"/>
      <c r="O16" s="569"/>
      <c r="P16" s="569"/>
      <c r="Q16" s="569">
        <v>0</v>
      </c>
      <c r="R16" s="569">
        <v>0</v>
      </c>
      <c r="S16" s="569">
        <v>0</v>
      </c>
      <c r="T16" s="569"/>
      <c r="U16" s="569"/>
      <c r="V16" s="570">
        <f t="shared" si="3"/>
        <v>0</v>
      </c>
      <c r="W16" s="571">
        <f t="shared" si="4"/>
        <v>0</v>
      </c>
      <c r="X16" s="570">
        <f t="shared" si="5"/>
        <v>0</v>
      </c>
      <c r="Y16" s="571">
        <f t="shared" si="6"/>
        <v>0</v>
      </c>
      <c r="Z16" s="572">
        <f t="shared" si="7"/>
        <v>622000</v>
      </c>
      <c r="AA16" s="573">
        <f t="shared" si="8"/>
        <v>1</v>
      </c>
      <c r="AB16" s="572">
        <f t="shared" si="9"/>
        <v>0</v>
      </c>
      <c r="AC16" s="574" t="str">
        <f t="shared" si="10"/>
        <v>Apartamento Disponible</v>
      </c>
      <c r="AD16" s="574" t="str">
        <f t="shared" si="11"/>
        <v>Disponible</v>
      </c>
      <c r="AE16" s="575"/>
      <c r="AF16" s="575">
        <f t="shared" si="12"/>
        <v>0</v>
      </c>
      <c r="AG16" s="575">
        <f t="shared" si="13"/>
        <v>0</v>
      </c>
      <c r="AH16" s="568"/>
      <c r="AI16" s="568"/>
      <c r="AJ16" s="574">
        <f t="shared" si="14"/>
        <v>0</v>
      </c>
      <c r="AK16" s="692">
        <f t="shared" si="20"/>
        <v>0</v>
      </c>
      <c r="AL16" s="577">
        <f t="shared" si="15"/>
        <v>0</v>
      </c>
      <c r="AM16" s="576">
        <f t="shared" si="16"/>
        <v>0</v>
      </c>
      <c r="AN16" s="576">
        <f t="shared" si="17"/>
        <v>0</v>
      </c>
      <c r="AO16" s="576">
        <f t="shared" si="18"/>
        <v>0</v>
      </c>
      <c r="AP16" s="576">
        <f t="shared" si="19"/>
        <v>0</v>
      </c>
      <c r="AQ16" s="576">
        <f t="shared" si="22"/>
        <v>0</v>
      </c>
      <c r="AR16" s="578">
        <f t="shared" si="21"/>
        <v>0</v>
      </c>
      <c r="AS16" s="579"/>
      <c r="AT16" s="579"/>
    </row>
    <row r="17" spans="2:46" s="563" customFormat="1" ht="13.9" customHeight="1" x14ac:dyDescent="0.25">
      <c r="B17" s="564">
        <v>202</v>
      </c>
      <c r="C17" s="565" t="s">
        <v>1362</v>
      </c>
      <c r="D17" s="565" t="s">
        <v>913</v>
      </c>
      <c r="E17" s="565" t="s">
        <v>1363</v>
      </c>
      <c r="F17" s="563" t="s">
        <v>1364</v>
      </c>
      <c r="G17" s="580">
        <v>46021</v>
      </c>
      <c r="H17" s="565" t="s">
        <v>374</v>
      </c>
      <c r="I17" s="873">
        <v>817300</v>
      </c>
      <c r="J17" s="873">
        <v>57211.000000000007</v>
      </c>
      <c r="K17" s="567"/>
      <c r="L17" s="568"/>
      <c r="M17" s="569"/>
      <c r="N17" s="569"/>
      <c r="O17" s="569"/>
      <c r="P17" s="569"/>
      <c r="Q17" s="569">
        <v>0</v>
      </c>
      <c r="R17" s="569">
        <v>0</v>
      </c>
      <c r="S17" s="569">
        <v>0</v>
      </c>
      <c r="T17" s="569">
        <v>3000</v>
      </c>
      <c r="U17" s="569"/>
      <c r="V17" s="570">
        <f t="shared" si="3"/>
        <v>3000</v>
      </c>
      <c r="W17" s="571">
        <f t="shared" si="4"/>
        <v>5.2437468319029554E-2</v>
      </c>
      <c r="X17" s="570">
        <f t="shared" si="5"/>
        <v>-54211.000000000007</v>
      </c>
      <c r="Y17" s="571">
        <f t="shared" si="6"/>
        <v>-0.94756253168097049</v>
      </c>
      <c r="Z17" s="572">
        <f t="shared" si="7"/>
        <v>814300</v>
      </c>
      <c r="AA17" s="573">
        <f t="shared" si="8"/>
        <v>0.9963293772176679</v>
      </c>
      <c r="AB17" s="572">
        <f t="shared" si="9"/>
        <v>57211.000000000007</v>
      </c>
      <c r="AC17" s="574" t="str">
        <f t="shared" si="10"/>
        <v>Vendido</v>
      </c>
      <c r="AD17" s="574" t="str">
        <f t="shared" si="11"/>
        <v>Cliente al día</v>
      </c>
      <c r="AE17" s="575"/>
      <c r="AF17" s="575">
        <f t="shared" si="12"/>
        <v>0</v>
      </c>
      <c r="AG17" s="575">
        <f t="shared" si="13"/>
        <v>0</v>
      </c>
      <c r="AH17" s="568"/>
      <c r="AI17" s="568"/>
      <c r="AJ17" s="574">
        <f t="shared" si="14"/>
        <v>0</v>
      </c>
      <c r="AK17" s="692">
        <f t="shared" si="20"/>
        <v>0</v>
      </c>
      <c r="AL17" s="577">
        <f t="shared" si="15"/>
        <v>0</v>
      </c>
      <c r="AM17" s="576">
        <f t="shared" si="16"/>
        <v>0</v>
      </c>
      <c r="AN17" s="576">
        <f t="shared" si="17"/>
        <v>0</v>
      </c>
      <c r="AO17" s="576">
        <f t="shared" si="18"/>
        <v>3000</v>
      </c>
      <c r="AP17" s="576">
        <f t="shared" si="19"/>
        <v>3000</v>
      </c>
      <c r="AQ17" s="576">
        <f t="shared" si="22"/>
        <v>0</v>
      </c>
      <c r="AR17" s="578" t="e">
        <f t="shared" si="21"/>
        <v>#DIV/0!</v>
      </c>
      <c r="AS17" s="579"/>
      <c r="AT17" s="579"/>
    </row>
    <row r="18" spans="2:46" s="563" customFormat="1" ht="13.9" customHeight="1" x14ac:dyDescent="0.25">
      <c r="B18" s="564">
        <v>203</v>
      </c>
      <c r="C18" s="565" t="s">
        <v>1362</v>
      </c>
      <c r="D18" s="565" t="s">
        <v>913</v>
      </c>
      <c r="E18" s="565"/>
      <c r="G18" s="565"/>
      <c r="H18" s="565" t="s">
        <v>374</v>
      </c>
      <c r="I18" s="873">
        <v>817300</v>
      </c>
      <c r="J18" s="873">
        <v>57211.000000000007</v>
      </c>
      <c r="K18" s="567"/>
      <c r="L18" s="568"/>
      <c r="M18" s="569"/>
      <c r="N18" s="569"/>
      <c r="O18" s="569"/>
      <c r="P18" s="569"/>
      <c r="Q18" s="569">
        <v>0</v>
      </c>
      <c r="R18" s="569">
        <v>0</v>
      </c>
      <c r="S18" s="569">
        <v>0</v>
      </c>
      <c r="T18" s="569"/>
      <c r="U18" s="569"/>
      <c r="V18" s="570">
        <f t="shared" si="3"/>
        <v>0</v>
      </c>
      <c r="W18" s="571">
        <f t="shared" si="4"/>
        <v>0</v>
      </c>
      <c r="X18" s="570">
        <f t="shared" si="5"/>
        <v>0</v>
      </c>
      <c r="Y18" s="571">
        <f t="shared" si="6"/>
        <v>0</v>
      </c>
      <c r="Z18" s="572">
        <f t="shared" si="7"/>
        <v>817300</v>
      </c>
      <c r="AA18" s="573">
        <f t="shared" si="8"/>
        <v>1</v>
      </c>
      <c r="AB18" s="572">
        <f t="shared" si="9"/>
        <v>0</v>
      </c>
      <c r="AC18" s="574" t="str">
        <f t="shared" si="10"/>
        <v>Apartamento Disponible</v>
      </c>
      <c r="AD18" s="574" t="str">
        <f t="shared" si="11"/>
        <v>Disponible</v>
      </c>
      <c r="AE18" s="575"/>
      <c r="AF18" s="575">
        <f t="shared" si="12"/>
        <v>0</v>
      </c>
      <c r="AG18" s="575">
        <f t="shared" si="13"/>
        <v>0</v>
      </c>
      <c r="AH18" s="568"/>
      <c r="AI18" s="568"/>
      <c r="AJ18" s="574">
        <f t="shared" si="14"/>
        <v>0</v>
      </c>
      <c r="AK18" s="692">
        <f t="shared" si="20"/>
        <v>0</v>
      </c>
      <c r="AL18" s="577">
        <f t="shared" si="15"/>
        <v>0</v>
      </c>
      <c r="AM18" s="576">
        <f t="shared" si="16"/>
        <v>0</v>
      </c>
      <c r="AN18" s="576">
        <f t="shared" si="17"/>
        <v>0</v>
      </c>
      <c r="AO18" s="576">
        <f t="shared" si="18"/>
        <v>0</v>
      </c>
      <c r="AP18" s="576">
        <f t="shared" si="19"/>
        <v>0</v>
      </c>
      <c r="AQ18" s="576">
        <f t="shared" si="22"/>
        <v>0</v>
      </c>
      <c r="AR18" s="578">
        <f t="shared" si="21"/>
        <v>0</v>
      </c>
      <c r="AS18" s="579"/>
      <c r="AT18" s="579"/>
    </row>
    <row r="19" spans="2:46" s="563" customFormat="1" ht="13.9" customHeight="1" x14ac:dyDescent="0.25">
      <c r="B19" s="564">
        <v>204</v>
      </c>
      <c r="C19" s="565" t="s">
        <v>1361</v>
      </c>
      <c r="D19" s="565" t="s">
        <v>913</v>
      </c>
      <c r="E19" s="565"/>
      <c r="G19" s="580"/>
      <c r="H19" s="565" t="s">
        <v>374</v>
      </c>
      <c r="I19" s="873">
        <v>622000</v>
      </c>
      <c r="J19" s="873">
        <v>43540.000000000007</v>
      </c>
      <c r="K19" s="567"/>
      <c r="L19" s="568"/>
      <c r="M19" s="569"/>
      <c r="N19" s="569"/>
      <c r="O19" s="569"/>
      <c r="P19" s="569"/>
      <c r="Q19" s="569">
        <v>0</v>
      </c>
      <c r="R19" s="569">
        <v>0</v>
      </c>
      <c r="S19" s="569">
        <v>0</v>
      </c>
      <c r="T19" s="569"/>
      <c r="U19" s="569"/>
      <c r="V19" s="570">
        <f t="shared" si="3"/>
        <v>0</v>
      </c>
      <c r="W19" s="571">
        <f t="shared" si="4"/>
        <v>0</v>
      </c>
      <c r="X19" s="570">
        <f t="shared" si="5"/>
        <v>0</v>
      </c>
      <c r="Y19" s="571">
        <f t="shared" si="6"/>
        <v>0</v>
      </c>
      <c r="Z19" s="572">
        <f t="shared" si="7"/>
        <v>622000</v>
      </c>
      <c r="AA19" s="573">
        <f t="shared" si="8"/>
        <v>1</v>
      </c>
      <c r="AB19" s="572">
        <f t="shared" si="9"/>
        <v>0</v>
      </c>
      <c r="AC19" s="574"/>
      <c r="AD19" s="574" t="str">
        <f t="shared" si="11"/>
        <v>Cliente Atrasado</v>
      </c>
      <c r="AE19" s="575"/>
      <c r="AF19" s="575">
        <f t="shared" si="12"/>
        <v>0</v>
      </c>
      <c r="AG19" s="575">
        <f t="shared" si="13"/>
        <v>0</v>
      </c>
      <c r="AH19" s="568"/>
      <c r="AI19" s="568"/>
      <c r="AJ19" s="574">
        <f t="shared" si="14"/>
        <v>0</v>
      </c>
      <c r="AK19" s="692">
        <f t="shared" si="20"/>
        <v>0</v>
      </c>
      <c r="AL19" s="577">
        <f t="shared" si="15"/>
        <v>0</v>
      </c>
      <c r="AM19" s="576">
        <f t="shared" si="16"/>
        <v>0</v>
      </c>
      <c r="AN19" s="576">
        <f t="shared" si="17"/>
        <v>0</v>
      </c>
      <c r="AO19" s="576">
        <f t="shared" si="18"/>
        <v>0</v>
      </c>
      <c r="AP19" s="576">
        <f t="shared" si="19"/>
        <v>0</v>
      </c>
      <c r="AQ19" s="576">
        <f t="shared" si="22"/>
        <v>0</v>
      </c>
      <c r="AR19" s="578">
        <f t="shared" si="21"/>
        <v>0</v>
      </c>
      <c r="AS19" s="579"/>
      <c r="AT19" s="579"/>
    </row>
    <row r="20" spans="2:46" s="563" customFormat="1" ht="13.9" customHeight="1" x14ac:dyDescent="0.25">
      <c r="B20" s="564">
        <v>205</v>
      </c>
      <c r="C20" s="565" t="s">
        <v>1361</v>
      </c>
      <c r="D20" s="565" t="s">
        <v>913</v>
      </c>
      <c r="E20" s="565"/>
      <c r="G20" s="565"/>
      <c r="H20" s="565" t="s">
        <v>374</v>
      </c>
      <c r="I20" s="873">
        <v>622000</v>
      </c>
      <c r="J20" s="873">
        <v>43540.000000000007</v>
      </c>
      <c r="K20" s="567"/>
      <c r="L20" s="568"/>
      <c r="M20" s="569"/>
      <c r="N20" s="569"/>
      <c r="O20" s="569"/>
      <c r="P20" s="569"/>
      <c r="Q20" s="569">
        <v>0</v>
      </c>
      <c r="R20" s="569">
        <v>0</v>
      </c>
      <c r="S20" s="569">
        <v>0</v>
      </c>
      <c r="T20" s="569"/>
      <c r="U20" s="569"/>
      <c r="V20" s="570">
        <f t="shared" si="3"/>
        <v>0</v>
      </c>
      <c r="W20" s="571">
        <f t="shared" si="4"/>
        <v>0</v>
      </c>
      <c r="X20" s="570">
        <f t="shared" si="5"/>
        <v>0</v>
      </c>
      <c r="Y20" s="571">
        <f t="shared" si="6"/>
        <v>0</v>
      </c>
      <c r="Z20" s="572">
        <f t="shared" si="7"/>
        <v>622000</v>
      </c>
      <c r="AA20" s="573">
        <f t="shared" si="8"/>
        <v>1</v>
      </c>
      <c r="AB20" s="572">
        <f t="shared" si="9"/>
        <v>0</v>
      </c>
      <c r="AC20" s="574" t="str">
        <f t="shared" si="10"/>
        <v>Apartamento Disponible</v>
      </c>
      <c r="AD20" s="574" t="str">
        <f t="shared" si="11"/>
        <v>Disponible</v>
      </c>
      <c r="AE20" s="575"/>
      <c r="AF20" s="575">
        <f t="shared" si="12"/>
        <v>0</v>
      </c>
      <c r="AG20" s="575">
        <f t="shared" si="13"/>
        <v>0</v>
      </c>
      <c r="AH20" s="568"/>
      <c r="AI20" s="568"/>
      <c r="AJ20" s="574">
        <f t="shared" si="14"/>
        <v>0</v>
      </c>
      <c r="AK20" s="692">
        <f t="shared" si="20"/>
        <v>0</v>
      </c>
      <c r="AL20" s="577">
        <f t="shared" si="15"/>
        <v>0</v>
      </c>
      <c r="AM20" s="576">
        <f t="shared" si="16"/>
        <v>0</v>
      </c>
      <c r="AN20" s="576">
        <f t="shared" si="17"/>
        <v>0</v>
      </c>
      <c r="AO20" s="576">
        <f t="shared" si="18"/>
        <v>0</v>
      </c>
      <c r="AP20" s="576">
        <f t="shared" si="19"/>
        <v>0</v>
      </c>
      <c r="AQ20" s="576">
        <f t="shared" si="22"/>
        <v>0</v>
      </c>
      <c r="AR20" s="578">
        <f t="shared" si="21"/>
        <v>0</v>
      </c>
      <c r="AS20" s="579"/>
      <c r="AT20" s="579"/>
    </row>
    <row r="21" spans="2:46" s="563" customFormat="1" ht="13.9" customHeight="1" x14ac:dyDescent="0.25">
      <c r="B21" s="564">
        <v>206</v>
      </c>
      <c r="C21" s="565" t="s">
        <v>1365</v>
      </c>
      <c r="D21" s="565" t="s">
        <v>913</v>
      </c>
      <c r="E21" s="565"/>
      <c r="G21" s="565"/>
      <c r="H21" s="565" t="s">
        <v>374</v>
      </c>
      <c r="I21" s="873">
        <v>794400</v>
      </c>
      <c r="J21" s="873">
        <v>55608.000000000007</v>
      </c>
      <c r="K21" s="567"/>
      <c r="L21" s="568"/>
      <c r="M21" s="569"/>
      <c r="N21" s="569"/>
      <c r="O21" s="569"/>
      <c r="P21" s="569"/>
      <c r="Q21" s="569">
        <v>0</v>
      </c>
      <c r="R21" s="569">
        <v>0</v>
      </c>
      <c r="S21" s="569">
        <v>0</v>
      </c>
      <c r="T21" s="569"/>
      <c r="U21" s="569"/>
      <c r="V21" s="570">
        <f t="shared" si="3"/>
        <v>0</v>
      </c>
      <c r="W21" s="571">
        <f t="shared" si="4"/>
        <v>0</v>
      </c>
      <c r="X21" s="570">
        <f t="shared" si="5"/>
        <v>0</v>
      </c>
      <c r="Y21" s="571">
        <f t="shared" si="6"/>
        <v>0</v>
      </c>
      <c r="Z21" s="572">
        <f t="shared" si="7"/>
        <v>794400</v>
      </c>
      <c r="AA21" s="573">
        <f t="shared" si="8"/>
        <v>1</v>
      </c>
      <c r="AB21" s="572">
        <f t="shared" si="9"/>
        <v>0</v>
      </c>
      <c r="AC21" s="574" t="str">
        <f t="shared" si="10"/>
        <v>Apartamento Disponible</v>
      </c>
      <c r="AD21" s="574" t="str">
        <f t="shared" si="11"/>
        <v>Disponible</v>
      </c>
      <c r="AE21" s="575"/>
      <c r="AF21" s="575">
        <f t="shared" si="12"/>
        <v>0</v>
      </c>
      <c r="AG21" s="575">
        <f t="shared" si="13"/>
        <v>0</v>
      </c>
      <c r="AH21" s="568"/>
      <c r="AI21" s="568"/>
      <c r="AJ21" s="574">
        <f t="shared" si="14"/>
        <v>0</v>
      </c>
      <c r="AK21" s="692">
        <f t="shared" si="20"/>
        <v>0</v>
      </c>
      <c r="AL21" s="577">
        <f t="shared" si="15"/>
        <v>0</v>
      </c>
      <c r="AM21" s="576">
        <f t="shared" si="16"/>
        <v>0</v>
      </c>
      <c r="AN21" s="576">
        <f t="shared" si="17"/>
        <v>0</v>
      </c>
      <c r="AO21" s="576">
        <f t="shared" si="18"/>
        <v>0</v>
      </c>
      <c r="AP21" s="576">
        <f t="shared" si="19"/>
        <v>0</v>
      </c>
      <c r="AQ21" s="576">
        <f t="shared" si="22"/>
        <v>0</v>
      </c>
      <c r="AR21" s="578">
        <f t="shared" si="21"/>
        <v>0</v>
      </c>
      <c r="AS21" s="579"/>
      <c r="AT21" s="579"/>
    </row>
    <row r="22" spans="2:46" s="563" customFormat="1" ht="13.9" customHeight="1" x14ac:dyDescent="0.25">
      <c r="B22" s="564">
        <v>207</v>
      </c>
      <c r="C22" s="565" t="s">
        <v>1362</v>
      </c>
      <c r="D22" s="565" t="s">
        <v>913</v>
      </c>
      <c r="E22" s="565"/>
      <c r="G22" s="565"/>
      <c r="H22" s="565" t="s">
        <v>374</v>
      </c>
      <c r="I22" s="873">
        <v>817300</v>
      </c>
      <c r="J22" s="873">
        <v>57211.000000000007</v>
      </c>
      <c r="K22" s="567"/>
      <c r="L22" s="568"/>
      <c r="M22" s="569"/>
      <c r="N22" s="569"/>
      <c r="O22" s="569"/>
      <c r="P22" s="569"/>
      <c r="Q22" s="569">
        <v>0</v>
      </c>
      <c r="R22" s="569">
        <v>0</v>
      </c>
      <c r="S22" s="569">
        <v>0</v>
      </c>
      <c r="T22" s="569"/>
      <c r="U22" s="569"/>
      <c r="V22" s="570">
        <f t="shared" si="3"/>
        <v>0</v>
      </c>
      <c r="W22" s="571">
        <f t="shared" si="4"/>
        <v>0</v>
      </c>
      <c r="X22" s="570">
        <f t="shared" si="5"/>
        <v>0</v>
      </c>
      <c r="Y22" s="571">
        <f t="shared" si="6"/>
        <v>0</v>
      </c>
      <c r="Z22" s="572">
        <f t="shared" si="7"/>
        <v>817300</v>
      </c>
      <c r="AA22" s="573">
        <f t="shared" si="8"/>
        <v>1</v>
      </c>
      <c r="AB22" s="572">
        <f t="shared" si="9"/>
        <v>0</v>
      </c>
      <c r="AC22" s="574" t="str">
        <f t="shared" si="10"/>
        <v>Apartamento Disponible</v>
      </c>
      <c r="AD22" s="574" t="str">
        <f t="shared" si="11"/>
        <v>Disponible</v>
      </c>
      <c r="AE22" s="575"/>
      <c r="AF22" s="575">
        <f t="shared" si="12"/>
        <v>0</v>
      </c>
      <c r="AG22" s="575">
        <f t="shared" si="13"/>
        <v>0</v>
      </c>
      <c r="AH22" s="568"/>
      <c r="AI22" s="568"/>
      <c r="AJ22" s="574">
        <f t="shared" si="14"/>
        <v>0</v>
      </c>
      <c r="AK22" s="692">
        <f t="shared" si="20"/>
        <v>0</v>
      </c>
      <c r="AL22" s="577">
        <f t="shared" si="15"/>
        <v>0</v>
      </c>
      <c r="AM22" s="576">
        <f t="shared" si="16"/>
        <v>0</v>
      </c>
      <c r="AN22" s="576">
        <f t="shared" si="17"/>
        <v>0</v>
      </c>
      <c r="AO22" s="576">
        <f t="shared" si="18"/>
        <v>0</v>
      </c>
      <c r="AP22" s="576">
        <f t="shared" si="19"/>
        <v>0</v>
      </c>
      <c r="AQ22" s="576">
        <f t="shared" si="22"/>
        <v>0</v>
      </c>
      <c r="AR22" s="578">
        <f t="shared" si="21"/>
        <v>0</v>
      </c>
      <c r="AS22" s="579"/>
      <c r="AT22" s="579"/>
    </row>
    <row r="23" spans="2:46" s="563" customFormat="1" ht="13.9" customHeight="1" x14ac:dyDescent="0.25">
      <c r="B23" s="564">
        <v>208</v>
      </c>
      <c r="C23" s="565" t="s">
        <v>1362</v>
      </c>
      <c r="D23" s="565" t="s">
        <v>913</v>
      </c>
      <c r="E23" s="565"/>
      <c r="G23" s="565"/>
      <c r="H23" s="565" t="s">
        <v>374</v>
      </c>
      <c r="I23" s="873">
        <v>817300</v>
      </c>
      <c r="J23" s="873">
        <v>57211.000000000007</v>
      </c>
      <c r="K23" s="567"/>
      <c r="L23" s="568"/>
      <c r="M23" s="569"/>
      <c r="N23" s="569"/>
      <c r="O23" s="569"/>
      <c r="P23" s="569"/>
      <c r="Q23" s="569">
        <v>0</v>
      </c>
      <c r="R23" s="569">
        <v>0</v>
      </c>
      <c r="S23" s="569">
        <v>0</v>
      </c>
      <c r="T23" s="569"/>
      <c r="U23" s="569"/>
      <c r="V23" s="570">
        <f t="shared" si="3"/>
        <v>0</v>
      </c>
      <c r="W23" s="571">
        <f t="shared" si="4"/>
        <v>0</v>
      </c>
      <c r="X23" s="570">
        <f t="shared" si="5"/>
        <v>0</v>
      </c>
      <c r="Y23" s="571">
        <f t="shared" si="6"/>
        <v>0</v>
      </c>
      <c r="Z23" s="572">
        <f t="shared" si="7"/>
        <v>817300</v>
      </c>
      <c r="AA23" s="573">
        <f t="shared" si="8"/>
        <v>1</v>
      </c>
      <c r="AB23" s="572">
        <f t="shared" si="9"/>
        <v>0</v>
      </c>
      <c r="AC23" s="574" t="str">
        <f t="shared" si="10"/>
        <v>Apartamento Disponible</v>
      </c>
      <c r="AD23" s="574" t="str">
        <f t="shared" si="11"/>
        <v>Disponible</v>
      </c>
      <c r="AE23" s="575"/>
      <c r="AF23" s="575">
        <f t="shared" si="12"/>
        <v>0</v>
      </c>
      <c r="AG23" s="575">
        <f t="shared" si="13"/>
        <v>0</v>
      </c>
      <c r="AH23" s="568"/>
      <c r="AI23" s="568"/>
      <c r="AJ23" s="574">
        <f t="shared" si="14"/>
        <v>0</v>
      </c>
      <c r="AK23" s="692">
        <f t="shared" si="20"/>
        <v>0</v>
      </c>
      <c r="AL23" s="577">
        <f t="shared" si="15"/>
        <v>0</v>
      </c>
      <c r="AM23" s="576">
        <f t="shared" si="16"/>
        <v>0</v>
      </c>
      <c r="AN23" s="576">
        <f t="shared" si="17"/>
        <v>0</v>
      </c>
      <c r="AO23" s="576">
        <f t="shared" si="18"/>
        <v>0</v>
      </c>
      <c r="AP23" s="576">
        <f t="shared" si="19"/>
        <v>0</v>
      </c>
      <c r="AQ23" s="576">
        <f t="shared" si="22"/>
        <v>0</v>
      </c>
      <c r="AR23" s="578">
        <f t="shared" si="21"/>
        <v>0</v>
      </c>
      <c r="AS23" s="579"/>
      <c r="AT23" s="579"/>
    </row>
    <row r="24" spans="2:46" s="563" customFormat="1" ht="13.9" customHeight="1" x14ac:dyDescent="0.25">
      <c r="B24" s="564">
        <v>209</v>
      </c>
      <c r="C24" s="565" t="s">
        <v>1365</v>
      </c>
      <c r="D24" s="565" t="s">
        <v>913</v>
      </c>
      <c r="E24" s="565"/>
      <c r="G24" s="565"/>
      <c r="H24" s="565" t="s">
        <v>374</v>
      </c>
      <c r="I24" s="873">
        <v>794400</v>
      </c>
      <c r="J24" s="873">
        <v>55608.000000000007</v>
      </c>
      <c r="K24" s="567"/>
      <c r="L24" s="568"/>
      <c r="M24" s="569"/>
      <c r="N24" s="569"/>
      <c r="O24" s="569"/>
      <c r="P24" s="569"/>
      <c r="Q24" s="569">
        <v>0</v>
      </c>
      <c r="R24" s="569">
        <v>0</v>
      </c>
      <c r="S24" s="569">
        <v>0</v>
      </c>
      <c r="T24" s="569"/>
      <c r="U24" s="569"/>
      <c r="V24" s="570">
        <f t="shared" si="3"/>
        <v>0</v>
      </c>
      <c r="W24" s="571">
        <f t="shared" si="4"/>
        <v>0</v>
      </c>
      <c r="X24" s="570">
        <f t="shared" si="5"/>
        <v>0</v>
      </c>
      <c r="Y24" s="571">
        <f t="shared" si="6"/>
        <v>0</v>
      </c>
      <c r="Z24" s="572">
        <f t="shared" si="7"/>
        <v>794400</v>
      </c>
      <c r="AA24" s="573">
        <f t="shared" si="8"/>
        <v>1</v>
      </c>
      <c r="AB24" s="572">
        <f t="shared" si="9"/>
        <v>0</v>
      </c>
      <c r="AC24" s="574" t="str">
        <f t="shared" si="10"/>
        <v>Apartamento Disponible</v>
      </c>
      <c r="AD24" s="574" t="str">
        <f t="shared" si="11"/>
        <v>Disponible</v>
      </c>
      <c r="AE24" s="575"/>
      <c r="AF24" s="575">
        <f t="shared" si="12"/>
        <v>0</v>
      </c>
      <c r="AG24" s="575">
        <f t="shared" si="13"/>
        <v>0</v>
      </c>
      <c r="AH24" s="568"/>
      <c r="AI24" s="568"/>
      <c r="AJ24" s="574">
        <f t="shared" si="14"/>
        <v>0</v>
      </c>
      <c r="AK24" s="692">
        <f t="shared" si="20"/>
        <v>0</v>
      </c>
      <c r="AL24" s="577">
        <f t="shared" si="15"/>
        <v>0</v>
      </c>
      <c r="AM24" s="576">
        <f t="shared" si="16"/>
        <v>0</v>
      </c>
      <c r="AN24" s="576">
        <f t="shared" si="17"/>
        <v>0</v>
      </c>
      <c r="AO24" s="576">
        <f t="shared" si="18"/>
        <v>0</v>
      </c>
      <c r="AP24" s="576">
        <f t="shared" si="19"/>
        <v>0</v>
      </c>
      <c r="AQ24" s="576">
        <f t="shared" si="22"/>
        <v>0</v>
      </c>
      <c r="AR24" s="578">
        <f t="shared" si="21"/>
        <v>0</v>
      </c>
      <c r="AS24" s="579"/>
      <c r="AT24" s="579"/>
    </row>
    <row r="25" spans="2:46" s="563" customFormat="1" ht="13.9" customHeight="1" x14ac:dyDescent="0.25">
      <c r="B25" s="564">
        <v>301</v>
      </c>
      <c r="C25" s="565" t="s">
        <v>1361</v>
      </c>
      <c r="D25" s="565" t="s">
        <v>913</v>
      </c>
      <c r="E25" s="565"/>
      <c r="G25" s="565"/>
      <c r="H25" s="565" t="s">
        <v>374</v>
      </c>
      <c r="I25" s="873">
        <v>622000</v>
      </c>
      <c r="J25" s="873">
        <v>43540.000000000007</v>
      </c>
      <c r="K25" s="567"/>
      <c r="L25" s="568"/>
      <c r="M25" s="569"/>
      <c r="N25" s="569"/>
      <c r="O25" s="569"/>
      <c r="P25" s="569"/>
      <c r="Q25" s="569">
        <v>0</v>
      </c>
      <c r="R25" s="569">
        <v>0</v>
      </c>
      <c r="S25" s="569">
        <v>0</v>
      </c>
      <c r="T25" s="569"/>
      <c r="U25" s="569"/>
      <c r="V25" s="570">
        <f t="shared" si="3"/>
        <v>0</v>
      </c>
      <c r="W25" s="571">
        <f t="shared" si="4"/>
        <v>0</v>
      </c>
      <c r="X25" s="570">
        <f t="shared" si="5"/>
        <v>0</v>
      </c>
      <c r="Y25" s="571">
        <f t="shared" si="6"/>
        <v>0</v>
      </c>
      <c r="Z25" s="572">
        <f t="shared" si="7"/>
        <v>622000</v>
      </c>
      <c r="AA25" s="573">
        <f t="shared" si="8"/>
        <v>1</v>
      </c>
      <c r="AB25" s="572">
        <f t="shared" si="9"/>
        <v>0</v>
      </c>
      <c r="AC25" s="574" t="str">
        <f t="shared" si="10"/>
        <v>Apartamento Disponible</v>
      </c>
      <c r="AD25" s="574" t="str">
        <f t="shared" si="11"/>
        <v>Disponible</v>
      </c>
      <c r="AE25" s="575"/>
      <c r="AF25" s="575">
        <f t="shared" si="12"/>
        <v>0</v>
      </c>
      <c r="AG25" s="575">
        <f t="shared" si="13"/>
        <v>0</v>
      </c>
      <c r="AH25" s="568"/>
      <c r="AI25" s="568"/>
      <c r="AJ25" s="574">
        <f t="shared" si="14"/>
        <v>0</v>
      </c>
      <c r="AK25" s="692">
        <f t="shared" si="20"/>
        <v>0</v>
      </c>
      <c r="AL25" s="577">
        <f t="shared" si="15"/>
        <v>0</v>
      </c>
      <c r="AM25" s="576">
        <f t="shared" si="16"/>
        <v>0</v>
      </c>
      <c r="AN25" s="576">
        <f t="shared" si="17"/>
        <v>0</v>
      </c>
      <c r="AO25" s="576">
        <f t="shared" si="18"/>
        <v>0</v>
      </c>
      <c r="AP25" s="576">
        <f t="shared" si="19"/>
        <v>0</v>
      </c>
      <c r="AQ25" s="576">
        <f t="shared" si="22"/>
        <v>0</v>
      </c>
      <c r="AR25" s="578">
        <f t="shared" si="21"/>
        <v>0</v>
      </c>
      <c r="AS25" s="579"/>
      <c r="AT25" s="579"/>
    </row>
    <row r="26" spans="2:46" s="563" customFormat="1" ht="13.9" customHeight="1" x14ac:dyDescent="0.25">
      <c r="B26" s="564">
        <v>302</v>
      </c>
      <c r="C26" s="565" t="s">
        <v>1362</v>
      </c>
      <c r="D26" s="565" t="s">
        <v>913</v>
      </c>
      <c r="E26" s="565" t="s">
        <v>917</v>
      </c>
      <c r="F26" s="563" t="s">
        <v>1366</v>
      </c>
      <c r="G26" s="580">
        <v>46030</v>
      </c>
      <c r="H26" s="565" t="s">
        <v>956</v>
      </c>
      <c r="I26" s="873">
        <v>817300</v>
      </c>
      <c r="J26" s="873">
        <v>57211.000000000007</v>
      </c>
      <c r="K26" s="567"/>
      <c r="L26" s="568"/>
      <c r="M26" s="569"/>
      <c r="N26" s="569"/>
      <c r="O26" s="569"/>
      <c r="P26" s="569"/>
      <c r="Q26" s="569">
        <v>0</v>
      </c>
      <c r="R26" s="569">
        <v>0</v>
      </c>
      <c r="S26" s="569">
        <v>0</v>
      </c>
      <c r="T26" s="569"/>
      <c r="U26" s="569">
        <v>3000</v>
      </c>
      <c r="V26" s="570">
        <f t="shared" si="3"/>
        <v>3000</v>
      </c>
      <c r="W26" s="571">
        <f t="shared" si="4"/>
        <v>5.2437468319029554E-2</v>
      </c>
      <c r="X26" s="570">
        <f t="shared" si="5"/>
        <v>-54211.000000000007</v>
      </c>
      <c r="Y26" s="571">
        <f t="shared" si="6"/>
        <v>-0.94756253168097049</v>
      </c>
      <c r="Z26" s="572">
        <f t="shared" si="7"/>
        <v>814300</v>
      </c>
      <c r="AA26" s="573">
        <f t="shared" si="8"/>
        <v>0.9963293772176679</v>
      </c>
      <c r="AB26" s="572">
        <f t="shared" si="9"/>
        <v>57211.000000000007</v>
      </c>
      <c r="AC26" s="574" t="str">
        <f t="shared" si="10"/>
        <v>Vendido</v>
      </c>
      <c r="AD26" s="574" t="str">
        <f t="shared" si="11"/>
        <v>Cliente al día</v>
      </c>
      <c r="AE26" s="575"/>
      <c r="AF26" s="575">
        <f t="shared" si="12"/>
        <v>0</v>
      </c>
      <c r="AG26" s="575">
        <f t="shared" si="13"/>
        <v>0</v>
      </c>
      <c r="AH26" s="568"/>
      <c r="AI26" s="568"/>
      <c r="AJ26" s="574">
        <f t="shared" si="14"/>
        <v>0</v>
      </c>
      <c r="AK26" s="692">
        <f t="shared" si="20"/>
        <v>0</v>
      </c>
      <c r="AL26" s="577">
        <f t="shared" si="15"/>
        <v>0</v>
      </c>
      <c r="AM26" s="576">
        <f t="shared" si="16"/>
        <v>0</v>
      </c>
      <c r="AN26" s="576">
        <f t="shared" si="17"/>
        <v>0</v>
      </c>
      <c r="AO26" s="576">
        <f t="shared" si="18"/>
        <v>3000</v>
      </c>
      <c r="AP26" s="576">
        <f t="shared" si="19"/>
        <v>3000</v>
      </c>
      <c r="AQ26" s="576">
        <f t="shared" si="22"/>
        <v>0</v>
      </c>
      <c r="AR26" s="578" t="e">
        <f t="shared" si="21"/>
        <v>#DIV/0!</v>
      </c>
      <c r="AS26" s="579"/>
      <c r="AT26" s="579"/>
    </row>
    <row r="27" spans="2:46" s="563" customFormat="1" ht="13.9" customHeight="1" x14ac:dyDescent="0.25">
      <c r="B27" s="564">
        <v>303</v>
      </c>
      <c r="C27" s="565" t="s">
        <v>1362</v>
      </c>
      <c r="D27" s="565" t="s">
        <v>913</v>
      </c>
      <c r="E27" s="892" t="s">
        <v>1363</v>
      </c>
      <c r="F27" s="563" t="s">
        <v>1367</v>
      </c>
      <c r="G27" s="580">
        <v>45970</v>
      </c>
      <c r="H27" s="565" t="s">
        <v>956</v>
      </c>
      <c r="I27" s="873">
        <v>744000</v>
      </c>
      <c r="J27" s="873">
        <v>52100</v>
      </c>
      <c r="K27" s="567"/>
      <c r="L27" s="568"/>
      <c r="M27" s="569"/>
      <c r="N27" s="569"/>
      <c r="O27" s="569"/>
      <c r="P27" s="569"/>
      <c r="Q27" s="569">
        <v>0</v>
      </c>
      <c r="R27" s="569">
        <v>0</v>
      </c>
      <c r="S27" s="569">
        <v>3000</v>
      </c>
      <c r="T27" s="569">
        <v>2332</v>
      </c>
      <c r="U27" s="569">
        <v>2232</v>
      </c>
      <c r="V27" s="570">
        <f t="shared" si="3"/>
        <v>7564</v>
      </c>
      <c r="W27" s="571">
        <f t="shared" si="4"/>
        <v>0.14518234165067179</v>
      </c>
      <c r="X27" s="570">
        <f t="shared" si="5"/>
        <v>-44536</v>
      </c>
      <c r="Y27" s="571">
        <f t="shared" si="6"/>
        <v>-0.85481765834932821</v>
      </c>
      <c r="Z27" s="572">
        <f t="shared" si="7"/>
        <v>736436</v>
      </c>
      <c r="AA27" s="573">
        <f t="shared" si="8"/>
        <v>0.98983333333333334</v>
      </c>
      <c r="AB27" s="572">
        <f t="shared" si="9"/>
        <v>52100</v>
      </c>
      <c r="AC27" s="574" t="str">
        <f t="shared" si="10"/>
        <v>Vendido</v>
      </c>
      <c r="AD27" s="574" t="str">
        <f t="shared" si="11"/>
        <v>Cliente al día</v>
      </c>
      <c r="AE27" s="575"/>
      <c r="AF27" s="575">
        <f t="shared" si="12"/>
        <v>0</v>
      </c>
      <c r="AG27" s="575">
        <f t="shared" si="13"/>
        <v>0</v>
      </c>
      <c r="AH27" s="568"/>
      <c r="AI27" s="568"/>
      <c r="AJ27" s="574">
        <f t="shared" si="14"/>
        <v>0</v>
      </c>
      <c r="AK27" s="692">
        <f t="shared" si="20"/>
        <v>2</v>
      </c>
      <c r="AL27" s="577">
        <f t="shared" si="15"/>
        <v>0</v>
      </c>
      <c r="AM27" s="576">
        <f t="shared" si="16"/>
        <v>0</v>
      </c>
      <c r="AN27" s="576">
        <f t="shared" si="17"/>
        <v>0</v>
      </c>
      <c r="AO27" s="576">
        <f t="shared" si="18"/>
        <v>7564</v>
      </c>
      <c r="AP27" s="576">
        <f t="shared" si="19"/>
        <v>7564</v>
      </c>
      <c r="AQ27" s="576">
        <f t="shared" si="22"/>
        <v>0</v>
      </c>
      <c r="AR27" s="578" t="e">
        <f t="shared" si="21"/>
        <v>#DIV/0!</v>
      </c>
      <c r="AS27" s="579"/>
      <c r="AT27" s="579"/>
    </row>
    <row r="28" spans="2:46" s="563" customFormat="1" ht="13.9" customHeight="1" x14ac:dyDescent="0.25">
      <c r="B28" s="564">
        <v>304</v>
      </c>
      <c r="C28" s="565" t="s">
        <v>1361</v>
      </c>
      <c r="D28" s="565" t="s">
        <v>913</v>
      </c>
      <c r="E28" s="565"/>
      <c r="G28" s="565"/>
      <c r="H28" s="565" t="s">
        <v>374</v>
      </c>
      <c r="I28" s="873">
        <v>622000</v>
      </c>
      <c r="J28" s="873">
        <v>43540.000000000007</v>
      </c>
      <c r="K28" s="567"/>
      <c r="L28" s="568"/>
      <c r="M28" s="569"/>
      <c r="N28" s="569"/>
      <c r="O28" s="569"/>
      <c r="P28" s="569"/>
      <c r="Q28" s="569">
        <v>0</v>
      </c>
      <c r="R28" s="569">
        <v>0</v>
      </c>
      <c r="S28" s="569">
        <v>0</v>
      </c>
      <c r="T28" s="569"/>
      <c r="U28" s="569"/>
      <c r="V28" s="570">
        <f t="shared" si="3"/>
        <v>0</v>
      </c>
      <c r="W28" s="571">
        <f t="shared" si="4"/>
        <v>0</v>
      </c>
      <c r="X28" s="570">
        <f t="shared" si="5"/>
        <v>0</v>
      </c>
      <c r="Y28" s="571">
        <f t="shared" si="6"/>
        <v>0</v>
      </c>
      <c r="Z28" s="572">
        <f t="shared" si="7"/>
        <v>622000</v>
      </c>
      <c r="AA28" s="573">
        <f t="shared" si="8"/>
        <v>1</v>
      </c>
      <c r="AB28" s="572">
        <f t="shared" si="9"/>
        <v>0</v>
      </c>
      <c r="AC28" s="574" t="str">
        <f t="shared" si="10"/>
        <v>Apartamento Disponible</v>
      </c>
      <c r="AD28" s="574" t="str">
        <f t="shared" si="11"/>
        <v>Disponible</v>
      </c>
      <c r="AE28" s="575"/>
      <c r="AF28" s="575">
        <f t="shared" si="12"/>
        <v>0</v>
      </c>
      <c r="AG28" s="575">
        <f t="shared" si="13"/>
        <v>0</v>
      </c>
      <c r="AH28" s="568"/>
      <c r="AI28" s="568"/>
      <c r="AJ28" s="574">
        <f t="shared" si="14"/>
        <v>0</v>
      </c>
      <c r="AK28" s="692">
        <f t="shared" si="20"/>
        <v>0</v>
      </c>
      <c r="AL28" s="577">
        <f t="shared" si="15"/>
        <v>0</v>
      </c>
      <c r="AM28" s="576">
        <f t="shared" si="16"/>
        <v>0</v>
      </c>
      <c r="AN28" s="576">
        <f t="shared" si="17"/>
        <v>0</v>
      </c>
      <c r="AO28" s="576">
        <f t="shared" si="18"/>
        <v>0</v>
      </c>
      <c r="AP28" s="576">
        <f t="shared" si="19"/>
        <v>0</v>
      </c>
      <c r="AQ28" s="576">
        <f t="shared" si="22"/>
        <v>0</v>
      </c>
      <c r="AR28" s="578">
        <f t="shared" si="21"/>
        <v>0</v>
      </c>
      <c r="AS28" s="579"/>
      <c r="AT28" s="579"/>
    </row>
    <row r="29" spans="2:46" s="563" customFormat="1" ht="13.9" customHeight="1" x14ac:dyDescent="0.25">
      <c r="B29" s="564">
        <v>305</v>
      </c>
      <c r="C29" s="565" t="s">
        <v>1361</v>
      </c>
      <c r="D29" s="565" t="s">
        <v>913</v>
      </c>
      <c r="E29" s="565"/>
      <c r="G29" s="565"/>
      <c r="H29" s="565" t="s">
        <v>374</v>
      </c>
      <c r="I29" s="873">
        <v>622000</v>
      </c>
      <c r="J29" s="873">
        <v>43540.000000000007</v>
      </c>
      <c r="K29" s="567"/>
      <c r="L29" s="568"/>
      <c r="M29" s="569"/>
      <c r="N29" s="569"/>
      <c r="O29" s="569"/>
      <c r="P29" s="569"/>
      <c r="Q29" s="569">
        <v>0</v>
      </c>
      <c r="R29" s="569">
        <v>0</v>
      </c>
      <c r="S29" s="569">
        <v>0</v>
      </c>
      <c r="T29" s="569"/>
      <c r="U29" s="569"/>
      <c r="V29" s="570">
        <f t="shared" si="3"/>
        <v>0</v>
      </c>
      <c r="W29" s="571">
        <f t="shared" si="4"/>
        <v>0</v>
      </c>
      <c r="X29" s="570">
        <f t="shared" si="5"/>
        <v>0</v>
      </c>
      <c r="Y29" s="571">
        <f t="shared" si="6"/>
        <v>0</v>
      </c>
      <c r="Z29" s="572">
        <f t="shared" si="7"/>
        <v>622000</v>
      </c>
      <c r="AA29" s="573">
        <f t="shared" si="8"/>
        <v>1</v>
      </c>
      <c r="AB29" s="572">
        <f t="shared" si="9"/>
        <v>0</v>
      </c>
      <c r="AC29" s="574" t="str">
        <f t="shared" si="10"/>
        <v>Apartamento Disponible</v>
      </c>
      <c r="AD29" s="574" t="str">
        <f t="shared" si="11"/>
        <v>Disponible</v>
      </c>
      <c r="AE29" s="575"/>
      <c r="AF29" s="575">
        <f t="shared" si="12"/>
        <v>0</v>
      </c>
      <c r="AG29" s="575">
        <f t="shared" si="13"/>
        <v>0</v>
      </c>
      <c r="AH29" s="568"/>
      <c r="AI29" s="568"/>
      <c r="AJ29" s="574">
        <f t="shared" si="14"/>
        <v>0</v>
      </c>
      <c r="AK29" s="692">
        <f t="shared" si="20"/>
        <v>0</v>
      </c>
      <c r="AL29" s="577">
        <f t="shared" si="15"/>
        <v>0</v>
      </c>
      <c r="AM29" s="576">
        <f t="shared" si="16"/>
        <v>0</v>
      </c>
      <c r="AN29" s="576">
        <f t="shared" si="17"/>
        <v>0</v>
      </c>
      <c r="AO29" s="576">
        <f t="shared" si="18"/>
        <v>0</v>
      </c>
      <c r="AP29" s="576">
        <f t="shared" si="19"/>
        <v>0</v>
      </c>
      <c r="AQ29" s="576">
        <f t="shared" si="22"/>
        <v>0</v>
      </c>
      <c r="AR29" s="578">
        <f t="shared" si="21"/>
        <v>0</v>
      </c>
      <c r="AS29" s="579"/>
      <c r="AT29" s="579"/>
    </row>
    <row r="30" spans="2:46" s="563" customFormat="1" ht="13.9" customHeight="1" x14ac:dyDescent="0.25">
      <c r="B30" s="564">
        <v>306</v>
      </c>
      <c r="C30" s="565" t="s">
        <v>1365</v>
      </c>
      <c r="D30" s="565" t="s">
        <v>913</v>
      </c>
      <c r="E30" s="565"/>
      <c r="G30" s="565"/>
      <c r="H30" s="565" t="s">
        <v>374</v>
      </c>
      <c r="I30" s="873">
        <v>794400</v>
      </c>
      <c r="J30" s="873">
        <v>55608.000000000007</v>
      </c>
      <c r="K30" s="567"/>
      <c r="L30" s="568"/>
      <c r="M30" s="569"/>
      <c r="N30" s="569"/>
      <c r="O30" s="569"/>
      <c r="P30" s="569"/>
      <c r="Q30" s="569">
        <v>0</v>
      </c>
      <c r="R30" s="569">
        <v>0</v>
      </c>
      <c r="S30" s="569">
        <v>0</v>
      </c>
      <c r="T30" s="569"/>
      <c r="U30" s="569"/>
      <c r="V30" s="570">
        <f t="shared" si="3"/>
        <v>0</v>
      </c>
      <c r="W30" s="571">
        <f t="shared" si="4"/>
        <v>0</v>
      </c>
      <c r="X30" s="570">
        <f t="shared" si="5"/>
        <v>0</v>
      </c>
      <c r="Y30" s="571">
        <f t="shared" si="6"/>
        <v>0</v>
      </c>
      <c r="Z30" s="572">
        <f t="shared" si="7"/>
        <v>794400</v>
      </c>
      <c r="AA30" s="573">
        <f t="shared" si="8"/>
        <v>1</v>
      </c>
      <c r="AB30" s="572">
        <f t="shared" si="9"/>
        <v>0</v>
      </c>
      <c r="AC30" s="574" t="str">
        <f t="shared" si="10"/>
        <v>Apartamento Disponible</v>
      </c>
      <c r="AD30" s="574" t="str">
        <f t="shared" si="11"/>
        <v>Disponible</v>
      </c>
      <c r="AE30" s="575"/>
      <c r="AF30" s="575">
        <f t="shared" si="12"/>
        <v>0</v>
      </c>
      <c r="AG30" s="575">
        <f t="shared" si="13"/>
        <v>0</v>
      </c>
      <c r="AH30" s="568"/>
      <c r="AI30" s="568"/>
      <c r="AJ30" s="574">
        <f t="shared" si="14"/>
        <v>0</v>
      </c>
      <c r="AK30" s="692">
        <f t="shared" si="20"/>
        <v>0</v>
      </c>
      <c r="AL30" s="577">
        <f t="shared" si="15"/>
        <v>0</v>
      </c>
      <c r="AM30" s="576">
        <f t="shared" si="16"/>
        <v>0</v>
      </c>
      <c r="AN30" s="576">
        <f t="shared" si="17"/>
        <v>0</v>
      </c>
      <c r="AO30" s="576">
        <f t="shared" si="18"/>
        <v>0</v>
      </c>
      <c r="AP30" s="576">
        <f t="shared" si="19"/>
        <v>0</v>
      </c>
      <c r="AQ30" s="576">
        <f t="shared" si="22"/>
        <v>0</v>
      </c>
      <c r="AR30" s="578">
        <f t="shared" si="21"/>
        <v>0</v>
      </c>
      <c r="AS30" s="579"/>
      <c r="AT30" s="579"/>
    </row>
    <row r="31" spans="2:46" s="563" customFormat="1" ht="13.9" customHeight="1" x14ac:dyDescent="0.25">
      <c r="B31" s="564">
        <v>307</v>
      </c>
      <c r="C31" s="565" t="s">
        <v>1362</v>
      </c>
      <c r="D31" s="565" t="s">
        <v>913</v>
      </c>
      <c r="E31" s="565"/>
      <c r="G31" s="565"/>
      <c r="H31" s="565" t="s">
        <v>374</v>
      </c>
      <c r="I31" s="873">
        <v>926600</v>
      </c>
      <c r="J31" s="873">
        <v>64862.000000000007</v>
      </c>
      <c r="K31" s="567"/>
      <c r="L31" s="568"/>
      <c r="M31" s="569"/>
      <c r="N31" s="569"/>
      <c r="O31" s="569"/>
      <c r="P31" s="569"/>
      <c r="Q31" s="569">
        <v>0</v>
      </c>
      <c r="R31" s="569">
        <v>0</v>
      </c>
      <c r="S31" s="569">
        <v>0</v>
      </c>
      <c r="T31" s="569"/>
      <c r="U31" s="569"/>
      <c r="V31" s="570">
        <f t="shared" si="3"/>
        <v>0</v>
      </c>
      <c r="W31" s="571">
        <f t="shared" si="4"/>
        <v>0</v>
      </c>
      <c r="X31" s="570">
        <f t="shared" si="5"/>
        <v>0</v>
      </c>
      <c r="Y31" s="571">
        <f t="shared" si="6"/>
        <v>0</v>
      </c>
      <c r="Z31" s="572">
        <f t="shared" si="7"/>
        <v>926600</v>
      </c>
      <c r="AA31" s="573">
        <f t="shared" si="8"/>
        <v>1</v>
      </c>
      <c r="AB31" s="572">
        <f t="shared" si="9"/>
        <v>0</v>
      </c>
      <c r="AC31" s="574" t="str">
        <f t="shared" si="10"/>
        <v>Apartamento Disponible</v>
      </c>
      <c r="AD31" s="574" t="str">
        <f t="shared" si="11"/>
        <v>Disponible</v>
      </c>
      <c r="AE31" s="575"/>
      <c r="AF31" s="575">
        <f t="shared" si="12"/>
        <v>0</v>
      </c>
      <c r="AG31" s="575">
        <f t="shared" si="13"/>
        <v>0</v>
      </c>
      <c r="AH31" s="568"/>
      <c r="AI31" s="568"/>
      <c r="AJ31" s="574">
        <f t="shared" si="14"/>
        <v>0</v>
      </c>
      <c r="AK31" s="692">
        <f t="shared" si="20"/>
        <v>0</v>
      </c>
      <c r="AL31" s="577">
        <f t="shared" si="15"/>
        <v>0</v>
      </c>
      <c r="AM31" s="576">
        <f t="shared" si="16"/>
        <v>0</v>
      </c>
      <c r="AN31" s="576">
        <f t="shared" si="17"/>
        <v>0</v>
      </c>
      <c r="AO31" s="576">
        <f t="shared" si="18"/>
        <v>0</v>
      </c>
      <c r="AP31" s="576">
        <f t="shared" si="19"/>
        <v>0</v>
      </c>
      <c r="AQ31" s="576">
        <f t="shared" si="22"/>
        <v>0</v>
      </c>
      <c r="AR31" s="578">
        <f t="shared" si="21"/>
        <v>0</v>
      </c>
      <c r="AS31" s="579"/>
      <c r="AT31" s="579"/>
    </row>
    <row r="32" spans="2:46" s="563" customFormat="1" ht="13.9" customHeight="1" x14ac:dyDescent="0.25">
      <c r="B32" s="564">
        <v>308</v>
      </c>
      <c r="C32" s="565" t="s">
        <v>1362</v>
      </c>
      <c r="D32" s="565" t="s">
        <v>913</v>
      </c>
      <c r="E32" s="565"/>
      <c r="G32" s="565"/>
      <c r="H32" s="565" t="s">
        <v>374</v>
      </c>
      <c r="I32" s="873">
        <v>926600</v>
      </c>
      <c r="J32" s="873">
        <v>64862.000000000007</v>
      </c>
      <c r="K32" s="567"/>
      <c r="L32" s="568"/>
      <c r="M32" s="569"/>
      <c r="N32" s="569"/>
      <c r="O32" s="569"/>
      <c r="P32" s="569"/>
      <c r="Q32" s="569">
        <v>0</v>
      </c>
      <c r="R32" s="569">
        <v>0</v>
      </c>
      <c r="S32" s="569">
        <v>0</v>
      </c>
      <c r="T32" s="569"/>
      <c r="U32" s="569"/>
      <c r="V32" s="570">
        <f t="shared" si="3"/>
        <v>0</v>
      </c>
      <c r="W32" s="571">
        <f t="shared" si="4"/>
        <v>0</v>
      </c>
      <c r="X32" s="570">
        <f t="shared" si="5"/>
        <v>0</v>
      </c>
      <c r="Y32" s="571">
        <f t="shared" si="6"/>
        <v>0</v>
      </c>
      <c r="Z32" s="572">
        <f t="shared" si="7"/>
        <v>926600</v>
      </c>
      <c r="AA32" s="573">
        <f t="shared" si="8"/>
        <v>1</v>
      </c>
      <c r="AB32" s="572">
        <f t="shared" si="9"/>
        <v>0</v>
      </c>
      <c r="AC32" s="574" t="str">
        <f t="shared" si="10"/>
        <v>Apartamento Disponible</v>
      </c>
      <c r="AD32" s="574" t="str">
        <f t="shared" si="11"/>
        <v>Disponible</v>
      </c>
      <c r="AE32" s="575"/>
      <c r="AF32" s="575">
        <f t="shared" si="12"/>
        <v>0</v>
      </c>
      <c r="AG32" s="575">
        <f t="shared" si="13"/>
        <v>0</v>
      </c>
      <c r="AH32" s="568"/>
      <c r="AI32" s="568"/>
      <c r="AJ32" s="574">
        <f t="shared" si="14"/>
        <v>0</v>
      </c>
      <c r="AK32" s="692">
        <f t="shared" si="20"/>
        <v>0</v>
      </c>
      <c r="AL32" s="577">
        <f t="shared" si="15"/>
        <v>0</v>
      </c>
      <c r="AM32" s="576">
        <f t="shared" si="16"/>
        <v>0</v>
      </c>
      <c r="AN32" s="576">
        <f t="shared" si="17"/>
        <v>0</v>
      </c>
      <c r="AO32" s="576">
        <f t="shared" si="18"/>
        <v>0</v>
      </c>
      <c r="AP32" s="576">
        <f t="shared" si="19"/>
        <v>0</v>
      </c>
      <c r="AQ32" s="576">
        <f t="shared" si="22"/>
        <v>0</v>
      </c>
      <c r="AR32" s="578">
        <f t="shared" si="21"/>
        <v>0</v>
      </c>
      <c r="AS32" s="579"/>
      <c r="AT32" s="579"/>
    </row>
    <row r="33" spans="1:46" s="563" customFormat="1" ht="13.9" customHeight="1" x14ac:dyDescent="0.25">
      <c r="B33" s="564">
        <v>309</v>
      </c>
      <c r="C33" s="565" t="s">
        <v>1365</v>
      </c>
      <c r="D33" s="565" t="s">
        <v>913</v>
      </c>
      <c r="E33" s="565"/>
      <c r="G33" s="565"/>
      <c r="H33" s="565" t="s">
        <v>374</v>
      </c>
      <c r="I33" s="873">
        <v>794400</v>
      </c>
      <c r="J33" s="873">
        <v>55608.000000000007</v>
      </c>
      <c r="K33" s="567"/>
      <c r="L33" s="568"/>
      <c r="M33" s="569"/>
      <c r="N33" s="569"/>
      <c r="O33" s="569"/>
      <c r="P33" s="569"/>
      <c r="Q33" s="569">
        <v>0</v>
      </c>
      <c r="R33" s="569">
        <v>0</v>
      </c>
      <c r="S33" s="569">
        <v>0</v>
      </c>
      <c r="T33" s="569"/>
      <c r="U33" s="569"/>
      <c r="V33" s="570">
        <f t="shared" si="3"/>
        <v>0</v>
      </c>
      <c r="W33" s="571">
        <f t="shared" si="4"/>
        <v>0</v>
      </c>
      <c r="X33" s="570">
        <f t="shared" si="5"/>
        <v>0</v>
      </c>
      <c r="Y33" s="571">
        <f t="shared" si="6"/>
        <v>0</v>
      </c>
      <c r="Z33" s="572">
        <f t="shared" si="7"/>
        <v>794400</v>
      </c>
      <c r="AA33" s="573">
        <f t="shared" si="8"/>
        <v>1</v>
      </c>
      <c r="AB33" s="572">
        <f t="shared" si="9"/>
        <v>0</v>
      </c>
      <c r="AC33" s="574" t="str">
        <f t="shared" si="10"/>
        <v>Apartamento Disponible</v>
      </c>
      <c r="AD33" s="574" t="str">
        <f t="shared" si="11"/>
        <v>Disponible</v>
      </c>
      <c r="AE33" s="575"/>
      <c r="AF33" s="575">
        <f t="shared" si="12"/>
        <v>0</v>
      </c>
      <c r="AG33" s="575">
        <f t="shared" si="13"/>
        <v>0</v>
      </c>
      <c r="AH33" s="568"/>
      <c r="AI33" s="568"/>
      <c r="AJ33" s="574">
        <f t="shared" si="14"/>
        <v>0</v>
      </c>
      <c r="AK33" s="692">
        <f t="shared" si="20"/>
        <v>0</v>
      </c>
      <c r="AL33" s="577">
        <f t="shared" si="15"/>
        <v>0</v>
      </c>
      <c r="AM33" s="576">
        <f t="shared" si="16"/>
        <v>0</v>
      </c>
      <c r="AN33" s="576">
        <f t="shared" si="17"/>
        <v>0</v>
      </c>
      <c r="AO33" s="576">
        <f t="shared" si="18"/>
        <v>0</v>
      </c>
      <c r="AP33" s="576">
        <f t="shared" si="19"/>
        <v>0</v>
      </c>
      <c r="AQ33" s="576">
        <f t="shared" si="22"/>
        <v>0</v>
      </c>
      <c r="AR33" s="578">
        <f t="shared" si="21"/>
        <v>0</v>
      </c>
      <c r="AS33" s="579"/>
      <c r="AT33" s="579"/>
    </row>
    <row r="34" spans="1:46" s="563" customFormat="1" ht="13.9" customHeight="1" x14ac:dyDescent="0.25">
      <c r="B34" s="564">
        <v>401</v>
      </c>
      <c r="C34" s="565" t="s">
        <v>1361</v>
      </c>
      <c r="D34" s="565" t="s">
        <v>913</v>
      </c>
      <c r="E34" s="565"/>
      <c r="F34" s="563" t="s">
        <v>1368</v>
      </c>
      <c r="G34" s="580">
        <v>45870</v>
      </c>
      <c r="H34" s="565" t="s">
        <v>1355</v>
      </c>
      <c r="I34" s="873">
        <v>622000</v>
      </c>
      <c r="J34" s="873">
        <v>43540.000000000007</v>
      </c>
      <c r="K34" s="567"/>
      <c r="L34" s="568"/>
      <c r="M34" s="569"/>
      <c r="N34" s="569"/>
      <c r="O34" s="569"/>
      <c r="P34" s="569">
        <v>3000</v>
      </c>
      <c r="Q34" s="569">
        <v>1640</v>
      </c>
      <c r="R34" s="569">
        <v>1640</v>
      </c>
      <c r="S34" s="569">
        <v>1640</v>
      </c>
      <c r="T34" s="569">
        <v>1640</v>
      </c>
      <c r="U34" s="569">
        <v>1640</v>
      </c>
      <c r="V34" s="570">
        <f t="shared" si="3"/>
        <v>11200</v>
      </c>
      <c r="W34" s="571">
        <f t="shared" si="4"/>
        <v>0.25723472668810288</v>
      </c>
      <c r="X34" s="570">
        <f t="shared" si="5"/>
        <v>-32340.000000000007</v>
      </c>
      <c r="Y34" s="571">
        <f t="shared" si="6"/>
        <v>-0.74276527331189712</v>
      </c>
      <c r="Z34" s="572">
        <f t="shared" si="7"/>
        <v>610800</v>
      </c>
      <c r="AA34" s="573">
        <f t="shared" si="8"/>
        <v>0.98199356913183278</v>
      </c>
      <c r="AB34" s="572">
        <f t="shared" si="9"/>
        <v>43540.000000000007</v>
      </c>
      <c r="AC34" s="574" t="str">
        <f t="shared" si="10"/>
        <v>Vendido</v>
      </c>
      <c r="AD34" s="574" t="str">
        <f t="shared" si="11"/>
        <v>Cliente al día</v>
      </c>
      <c r="AE34" s="575"/>
      <c r="AF34" s="575">
        <f t="shared" si="12"/>
        <v>0</v>
      </c>
      <c r="AG34" s="575">
        <f t="shared" si="13"/>
        <v>0</v>
      </c>
      <c r="AH34" s="568"/>
      <c r="AI34" s="568"/>
      <c r="AJ34" s="574">
        <f t="shared" si="14"/>
        <v>0</v>
      </c>
      <c r="AK34" s="692">
        <f t="shared" si="20"/>
        <v>5</v>
      </c>
      <c r="AL34" s="577">
        <f t="shared" si="15"/>
        <v>0</v>
      </c>
      <c r="AM34" s="576">
        <f t="shared" si="16"/>
        <v>0</v>
      </c>
      <c r="AN34" s="576">
        <f t="shared" si="17"/>
        <v>0</v>
      </c>
      <c r="AO34" s="576">
        <f t="shared" si="18"/>
        <v>11200</v>
      </c>
      <c r="AP34" s="576">
        <f t="shared" si="19"/>
        <v>11200</v>
      </c>
      <c r="AQ34" s="576">
        <f t="shared" si="22"/>
        <v>0</v>
      </c>
      <c r="AR34" s="578" t="e">
        <f t="shared" si="21"/>
        <v>#DIV/0!</v>
      </c>
      <c r="AS34" s="579"/>
      <c r="AT34" s="579"/>
    </row>
    <row r="35" spans="1:46" s="563" customFormat="1" ht="13.9" customHeight="1" x14ac:dyDescent="0.25">
      <c r="B35" s="564">
        <v>402</v>
      </c>
      <c r="C35" s="565" t="s">
        <v>1362</v>
      </c>
      <c r="D35" s="565" t="s">
        <v>913</v>
      </c>
      <c r="E35" s="564" t="s">
        <v>1369</v>
      </c>
      <c r="F35" s="581" t="s">
        <v>1370</v>
      </c>
      <c r="G35" s="566">
        <v>45803</v>
      </c>
      <c r="H35" s="565" t="s">
        <v>1355</v>
      </c>
      <c r="I35" s="873">
        <v>898802</v>
      </c>
      <c r="J35" s="873">
        <v>60002</v>
      </c>
      <c r="K35" s="567"/>
      <c r="L35" s="568"/>
      <c r="M35" s="569">
        <v>3000</v>
      </c>
      <c r="N35" s="569">
        <v>2142.9299999999998</v>
      </c>
      <c r="O35" s="569">
        <v>2142.9299999999998</v>
      </c>
      <c r="P35" s="569">
        <v>2142.9299999999998</v>
      </c>
      <c r="Q35" s="569">
        <v>2142.9299999999998</v>
      </c>
      <c r="R35" s="569">
        <v>2142.9299999999998</v>
      </c>
      <c r="S35" s="569">
        <v>2142.9299999999998</v>
      </c>
      <c r="T35" s="569">
        <v>2142.9299999999998</v>
      </c>
      <c r="U35" s="569">
        <v>2142.9299999999998</v>
      </c>
      <c r="V35" s="570">
        <f t="shared" si="3"/>
        <v>20143.440000000002</v>
      </c>
      <c r="W35" s="571">
        <f t="shared" si="4"/>
        <v>0.33571280957301425</v>
      </c>
      <c r="X35" s="570">
        <f t="shared" si="5"/>
        <v>-39858.559999999998</v>
      </c>
      <c r="Y35" s="571">
        <f t="shared" si="6"/>
        <v>-0.6642871904269857</v>
      </c>
      <c r="Z35" s="572">
        <f t="shared" si="7"/>
        <v>878658.56000000006</v>
      </c>
      <c r="AA35" s="573">
        <f t="shared" si="8"/>
        <v>0.97758856789370752</v>
      </c>
      <c r="AB35" s="572">
        <f t="shared" si="9"/>
        <v>60002</v>
      </c>
      <c r="AC35" s="574" t="str">
        <f t="shared" si="10"/>
        <v>Vendido</v>
      </c>
      <c r="AD35" s="574" t="str">
        <f t="shared" si="11"/>
        <v>Cliente al día</v>
      </c>
      <c r="AE35" s="575">
        <v>28</v>
      </c>
      <c r="AF35" s="575">
        <f t="shared" si="12"/>
        <v>1</v>
      </c>
      <c r="AG35" s="575">
        <f t="shared" si="13"/>
        <v>29</v>
      </c>
      <c r="AH35" s="568">
        <v>3000</v>
      </c>
      <c r="AI35" s="568">
        <v>2142.9299999999998</v>
      </c>
      <c r="AJ35" s="574">
        <f t="shared" si="14"/>
        <v>8</v>
      </c>
      <c r="AK35" s="692">
        <f t="shared" si="20"/>
        <v>8</v>
      </c>
      <c r="AL35" s="577">
        <f t="shared" si="15"/>
        <v>20143.439999999999</v>
      </c>
      <c r="AM35" s="576">
        <f t="shared" si="16"/>
        <v>17143.439999999999</v>
      </c>
      <c r="AN35" s="576">
        <f t="shared" si="17"/>
        <v>3000</v>
      </c>
      <c r="AO35" s="576">
        <f t="shared" si="18"/>
        <v>3.637978807091713E-12</v>
      </c>
      <c r="AP35" s="576">
        <f t="shared" si="19"/>
        <v>0</v>
      </c>
      <c r="AQ35" s="576">
        <f t="shared" si="22"/>
        <v>0</v>
      </c>
      <c r="AR35" s="578">
        <f t="shared" si="21"/>
        <v>0</v>
      </c>
      <c r="AS35" s="579"/>
      <c r="AT35" s="579"/>
    </row>
    <row r="36" spans="1:46" s="563" customFormat="1" ht="13.9" customHeight="1" x14ac:dyDescent="0.25">
      <c r="B36" s="564">
        <v>403</v>
      </c>
      <c r="C36" s="565" t="s">
        <v>1362</v>
      </c>
      <c r="D36" s="565" t="s">
        <v>913</v>
      </c>
      <c r="E36" s="565"/>
      <c r="G36" s="565"/>
      <c r="H36" s="565" t="s">
        <v>374</v>
      </c>
      <c r="I36" s="873">
        <v>926600</v>
      </c>
      <c r="J36" s="873">
        <v>64862.000000000007</v>
      </c>
      <c r="K36" s="567"/>
      <c r="L36" s="568"/>
      <c r="M36" s="569"/>
      <c r="N36" s="569"/>
      <c r="O36" s="569"/>
      <c r="P36" s="569"/>
      <c r="Q36" s="569">
        <v>0</v>
      </c>
      <c r="R36" s="569">
        <v>0</v>
      </c>
      <c r="S36" s="569">
        <v>0</v>
      </c>
      <c r="T36" s="569"/>
      <c r="U36" s="569"/>
      <c r="V36" s="570">
        <f t="shared" si="3"/>
        <v>0</v>
      </c>
      <c r="W36" s="571">
        <f t="shared" si="4"/>
        <v>0</v>
      </c>
      <c r="X36" s="570">
        <f t="shared" si="5"/>
        <v>0</v>
      </c>
      <c r="Y36" s="571">
        <f t="shared" si="6"/>
        <v>0</v>
      </c>
      <c r="Z36" s="572">
        <f t="shared" si="7"/>
        <v>926600</v>
      </c>
      <c r="AA36" s="573">
        <f t="shared" si="8"/>
        <v>1</v>
      </c>
      <c r="AB36" s="572">
        <f t="shared" si="9"/>
        <v>0</v>
      </c>
      <c r="AC36" s="574" t="str">
        <f t="shared" si="10"/>
        <v>Apartamento Disponible</v>
      </c>
      <c r="AD36" s="574" t="str">
        <f t="shared" si="11"/>
        <v>Disponible</v>
      </c>
      <c r="AE36" s="575"/>
      <c r="AF36" s="575">
        <f t="shared" si="12"/>
        <v>0</v>
      </c>
      <c r="AG36" s="575">
        <f t="shared" si="13"/>
        <v>0</v>
      </c>
      <c r="AH36" s="568"/>
      <c r="AI36" s="568"/>
      <c r="AJ36" s="574">
        <f t="shared" si="14"/>
        <v>0</v>
      </c>
      <c r="AK36" s="692">
        <f t="shared" si="20"/>
        <v>0</v>
      </c>
      <c r="AL36" s="577">
        <f t="shared" si="15"/>
        <v>0</v>
      </c>
      <c r="AM36" s="576">
        <f t="shared" si="16"/>
        <v>0</v>
      </c>
      <c r="AN36" s="576">
        <f t="shared" si="17"/>
        <v>0</v>
      </c>
      <c r="AO36" s="576">
        <f t="shared" si="18"/>
        <v>0</v>
      </c>
      <c r="AP36" s="576">
        <f t="shared" si="19"/>
        <v>0</v>
      </c>
      <c r="AQ36" s="576">
        <f t="shared" si="22"/>
        <v>0</v>
      </c>
      <c r="AR36" s="578">
        <f t="shared" si="21"/>
        <v>0</v>
      </c>
      <c r="AS36" s="579"/>
      <c r="AT36" s="579"/>
    </row>
    <row r="37" spans="1:46" s="563" customFormat="1" ht="13.9" customHeight="1" x14ac:dyDescent="0.25">
      <c r="B37" s="564">
        <v>404</v>
      </c>
      <c r="C37" s="565" t="s">
        <v>1361</v>
      </c>
      <c r="D37" s="565" t="s">
        <v>913</v>
      </c>
      <c r="E37" s="565"/>
      <c r="G37" s="565"/>
      <c r="H37" s="565" t="s">
        <v>374</v>
      </c>
      <c r="I37" s="873">
        <v>622000</v>
      </c>
      <c r="J37" s="873">
        <v>43540.000000000007</v>
      </c>
      <c r="K37" s="567"/>
      <c r="L37" s="568"/>
      <c r="M37" s="569"/>
      <c r="N37" s="569"/>
      <c r="O37" s="569"/>
      <c r="P37" s="569"/>
      <c r="Q37" s="569">
        <v>0</v>
      </c>
      <c r="R37" s="569">
        <v>0</v>
      </c>
      <c r="S37" s="569">
        <v>0</v>
      </c>
      <c r="T37" s="569"/>
      <c r="U37" s="569"/>
      <c r="V37" s="570">
        <f t="shared" si="3"/>
        <v>0</v>
      </c>
      <c r="W37" s="571">
        <f t="shared" si="4"/>
        <v>0</v>
      </c>
      <c r="X37" s="570">
        <f t="shared" si="5"/>
        <v>0</v>
      </c>
      <c r="Y37" s="571">
        <f t="shared" si="6"/>
        <v>0</v>
      </c>
      <c r="Z37" s="572">
        <f t="shared" si="7"/>
        <v>622000</v>
      </c>
      <c r="AA37" s="573">
        <f t="shared" si="8"/>
        <v>1</v>
      </c>
      <c r="AB37" s="572">
        <f t="shared" si="9"/>
        <v>0</v>
      </c>
      <c r="AC37" s="574" t="str">
        <f t="shared" si="10"/>
        <v>Apartamento Disponible</v>
      </c>
      <c r="AD37" s="574" t="str">
        <f t="shared" si="11"/>
        <v>Disponible</v>
      </c>
      <c r="AE37" s="575"/>
      <c r="AF37" s="575">
        <f t="shared" si="12"/>
        <v>0</v>
      </c>
      <c r="AG37" s="575">
        <f t="shared" si="13"/>
        <v>0</v>
      </c>
      <c r="AH37" s="568"/>
      <c r="AI37" s="568"/>
      <c r="AJ37" s="574">
        <f t="shared" si="14"/>
        <v>0</v>
      </c>
      <c r="AK37" s="692">
        <f t="shared" si="20"/>
        <v>0</v>
      </c>
      <c r="AL37" s="577">
        <f t="shared" si="15"/>
        <v>0</v>
      </c>
      <c r="AM37" s="576">
        <f t="shared" si="16"/>
        <v>0</v>
      </c>
      <c r="AN37" s="576">
        <f t="shared" si="17"/>
        <v>0</v>
      </c>
      <c r="AO37" s="576">
        <f t="shared" si="18"/>
        <v>0</v>
      </c>
      <c r="AP37" s="576">
        <f t="shared" si="19"/>
        <v>0</v>
      </c>
      <c r="AQ37" s="576">
        <f t="shared" si="22"/>
        <v>0</v>
      </c>
      <c r="AR37" s="578">
        <f t="shared" si="21"/>
        <v>0</v>
      </c>
      <c r="AS37" s="579"/>
      <c r="AT37" s="579"/>
    </row>
    <row r="38" spans="1:46" s="563" customFormat="1" ht="13.9" customHeight="1" x14ac:dyDescent="0.25">
      <c r="B38" s="564">
        <v>405</v>
      </c>
      <c r="C38" s="565" t="s">
        <v>913</v>
      </c>
      <c r="D38" s="565" t="s">
        <v>913</v>
      </c>
      <c r="E38" s="565" t="s">
        <v>917</v>
      </c>
      <c r="F38" s="563" t="s">
        <v>1371</v>
      </c>
      <c r="G38" s="580">
        <v>46018</v>
      </c>
      <c r="H38" s="565" t="s">
        <v>956</v>
      </c>
      <c r="I38" s="873">
        <v>622000</v>
      </c>
      <c r="J38" s="873">
        <v>43540.000000000007</v>
      </c>
      <c r="K38" s="567"/>
      <c r="L38" s="568"/>
      <c r="M38" s="569"/>
      <c r="N38" s="569"/>
      <c r="O38" s="569"/>
      <c r="P38" s="569"/>
      <c r="Q38" s="569">
        <v>0</v>
      </c>
      <c r="R38" s="569">
        <v>0</v>
      </c>
      <c r="S38" s="569">
        <v>0</v>
      </c>
      <c r="T38" s="569">
        <v>1000</v>
      </c>
      <c r="U38" s="569"/>
      <c r="V38" s="570">
        <f t="shared" si="3"/>
        <v>1000</v>
      </c>
      <c r="W38" s="571">
        <f t="shared" si="4"/>
        <v>2.2967386311437753E-2</v>
      </c>
      <c r="X38" s="570">
        <f t="shared" si="5"/>
        <v>-42540.000000000007</v>
      </c>
      <c r="Y38" s="571">
        <f t="shared" si="6"/>
        <v>-0.9770326136885622</v>
      </c>
      <c r="Z38" s="572">
        <f t="shared" si="7"/>
        <v>621000</v>
      </c>
      <c r="AA38" s="573">
        <f t="shared" si="8"/>
        <v>0.99839228295819937</v>
      </c>
      <c r="AB38" s="572">
        <f t="shared" si="9"/>
        <v>43540.000000000007</v>
      </c>
      <c r="AC38" s="574" t="str">
        <f t="shared" si="10"/>
        <v>Vendido</v>
      </c>
      <c r="AD38" s="574" t="str">
        <f t="shared" si="11"/>
        <v>Cliente al día</v>
      </c>
      <c r="AE38" s="575"/>
      <c r="AF38" s="575">
        <f t="shared" si="12"/>
        <v>0</v>
      </c>
      <c r="AG38" s="575">
        <f t="shared" si="13"/>
        <v>0</v>
      </c>
      <c r="AH38" s="568"/>
      <c r="AI38" s="568"/>
      <c r="AJ38" s="574">
        <f t="shared" si="14"/>
        <v>0</v>
      </c>
      <c r="AK38" s="692">
        <f t="shared" si="20"/>
        <v>0</v>
      </c>
      <c r="AL38" s="577">
        <f t="shared" si="15"/>
        <v>0</v>
      </c>
      <c r="AM38" s="576">
        <f t="shared" si="16"/>
        <v>0</v>
      </c>
      <c r="AN38" s="576">
        <f t="shared" si="17"/>
        <v>0</v>
      </c>
      <c r="AO38" s="576">
        <f t="shared" si="18"/>
        <v>1000</v>
      </c>
      <c r="AP38" s="576">
        <f t="shared" si="19"/>
        <v>1000</v>
      </c>
      <c r="AQ38" s="576">
        <f t="shared" si="22"/>
        <v>0</v>
      </c>
      <c r="AR38" s="578" t="e">
        <f t="shared" si="21"/>
        <v>#DIV/0!</v>
      </c>
      <c r="AS38" s="579"/>
      <c r="AT38" s="579"/>
    </row>
    <row r="39" spans="1:46" s="563" customFormat="1" ht="13.9" customHeight="1" x14ac:dyDescent="0.25">
      <c r="B39" s="564">
        <v>406</v>
      </c>
      <c r="C39" s="565" t="s">
        <v>1365</v>
      </c>
      <c r="D39" s="565" t="s">
        <v>913</v>
      </c>
      <c r="E39" s="565"/>
      <c r="G39" s="565"/>
      <c r="H39" s="565" t="s">
        <v>374</v>
      </c>
      <c r="I39" s="873">
        <v>794400</v>
      </c>
      <c r="J39" s="873">
        <v>55608.000000000007</v>
      </c>
      <c r="K39" s="567"/>
      <c r="L39" s="568"/>
      <c r="M39" s="569"/>
      <c r="N39" s="569"/>
      <c r="O39" s="569"/>
      <c r="P39" s="569"/>
      <c r="Q39" s="569">
        <v>0</v>
      </c>
      <c r="R39" s="569">
        <v>0</v>
      </c>
      <c r="S39" s="569">
        <v>0</v>
      </c>
      <c r="T39" s="569"/>
      <c r="U39" s="569"/>
      <c r="V39" s="570">
        <f t="shared" ref="V39:V70" si="23">SUM(K39:U39)</f>
        <v>0</v>
      </c>
      <c r="W39" s="571">
        <f t="shared" ref="W39:W70" si="24">IFERROR((+V39/J39),0)</f>
        <v>0</v>
      </c>
      <c r="X39" s="570">
        <f t="shared" ref="X39:X68" si="25">+V39-AB39</f>
        <v>0</v>
      </c>
      <c r="Y39" s="571">
        <f t="shared" ref="Y39:Y70" si="26">+X39/J39</f>
        <v>0</v>
      </c>
      <c r="Z39" s="572">
        <f t="shared" ref="Z39:Z70" si="27">+I39-V39</f>
        <v>794400</v>
      </c>
      <c r="AA39" s="573">
        <f t="shared" ref="AA39:AA70" si="28">+Z39/I39</f>
        <v>1</v>
      </c>
      <c r="AB39" s="572">
        <f t="shared" ref="AB39:AB70" si="29">IF(AC39="Vendido",J39*1,IF(AC39="Disponible",J39*0,IF(AC39="Enganche Completado",J39*1,IF(AC39="Superávit de Enganche",J39*1,0))))</f>
        <v>0</v>
      </c>
      <c r="AC39" s="574" t="str">
        <f t="shared" ref="AC39:AC70" si="30">IF(F39=0,"Apartamento Disponible",IF(F39&gt;1,"Vendido",0))</f>
        <v>Apartamento Disponible</v>
      </c>
      <c r="AD39" s="574" t="str">
        <f t="shared" ref="AD39:AD70" si="31">IF(AND(AC39="Vendido",G39&gt;=0,AL39&lt;=V39,V39&lt;AB39),"Cliente al día",IF(AND(AC39="Vendido",G39&gt;=0,AL39&lt;=V39,V39=AB39),"Enganche Completado",IF(AND(AC39="Vendido",G39&gt;=0,AL39&lt;V39,V39&gt;AB39),"Superávit de Enganche",IF(AND(AC39="Apartamento Disponible",G39=0,X39=0),"Disponible","Cliente Atrasado"))))</f>
        <v>Disponible</v>
      </c>
      <c r="AE39" s="575"/>
      <c r="AF39" s="575">
        <f t="shared" ref="AF39:AF68" si="32">IF(AE39&gt;1,1,0)</f>
        <v>0</v>
      </c>
      <c r="AG39" s="575">
        <f t="shared" ref="AG39:AG68" si="33">+AE39+AF39</f>
        <v>0</v>
      </c>
      <c r="AH39" s="568"/>
      <c r="AI39" s="568"/>
      <c r="AJ39" s="574">
        <f t="shared" ref="AJ39:AJ70" si="34">COUNTIFS(K39:U39,"&gt;0.01",K39:U39,"&lt;" &amp; AH39)</f>
        <v>0</v>
      </c>
      <c r="AK39" s="692">
        <f t="shared" si="20"/>
        <v>0</v>
      </c>
      <c r="AL39" s="577">
        <f t="shared" ref="AL39:AL68" si="35">(AJ39*AI39)+AH39</f>
        <v>0</v>
      </c>
      <c r="AM39" s="576">
        <f t="shared" ref="AM39:AM70" si="36">SUMIF(K39:U39,"&lt;=" &amp; AI39,K39:U39)</f>
        <v>0</v>
      </c>
      <c r="AN39" s="576">
        <f t="shared" ref="AN39:AN70" si="37">SUMIF(K39:U39,"&gt;" &amp; AI39,K39:U39)</f>
        <v>0</v>
      </c>
      <c r="AO39" s="576">
        <f t="shared" ref="AO39:AO68" si="38">V39-AM39-AN39</f>
        <v>0</v>
      </c>
      <c r="AP39" s="576">
        <f t="shared" ref="AP39:AP68" si="39">IF(V39&gt;AL39,V39-AL39,0)</f>
        <v>0</v>
      </c>
      <c r="AQ39" s="576">
        <f t="shared" si="22"/>
        <v>0</v>
      </c>
      <c r="AR39" s="578">
        <f t="shared" si="21"/>
        <v>0</v>
      </c>
      <c r="AS39" s="579"/>
      <c r="AT39" s="579"/>
    </row>
    <row r="40" spans="1:46" s="563" customFormat="1" ht="13.9" customHeight="1" x14ac:dyDescent="0.25">
      <c r="B40" s="564">
        <v>407</v>
      </c>
      <c r="C40" s="565" t="s">
        <v>1362</v>
      </c>
      <c r="D40" s="565" t="s">
        <v>913</v>
      </c>
      <c r="E40" s="565"/>
      <c r="G40" s="565"/>
      <c r="H40" s="565" t="s">
        <v>374</v>
      </c>
      <c r="I40" s="873">
        <v>926600</v>
      </c>
      <c r="J40" s="873">
        <v>64862.000000000007</v>
      </c>
      <c r="K40" s="567"/>
      <c r="L40" s="568"/>
      <c r="M40" s="569"/>
      <c r="N40" s="569"/>
      <c r="O40" s="569"/>
      <c r="P40" s="569"/>
      <c r="Q40" s="569">
        <v>0</v>
      </c>
      <c r="R40" s="569">
        <v>0</v>
      </c>
      <c r="S40" s="569">
        <v>0</v>
      </c>
      <c r="T40" s="569"/>
      <c r="U40" s="569"/>
      <c r="V40" s="570">
        <f t="shared" si="23"/>
        <v>0</v>
      </c>
      <c r="W40" s="571">
        <f t="shared" si="24"/>
        <v>0</v>
      </c>
      <c r="X40" s="570">
        <f t="shared" si="25"/>
        <v>0</v>
      </c>
      <c r="Y40" s="571">
        <f t="shared" si="26"/>
        <v>0</v>
      </c>
      <c r="Z40" s="572">
        <f t="shared" si="27"/>
        <v>926600</v>
      </c>
      <c r="AA40" s="573">
        <f t="shared" si="28"/>
        <v>1</v>
      </c>
      <c r="AB40" s="572">
        <f t="shared" si="29"/>
        <v>0</v>
      </c>
      <c r="AC40" s="574" t="str">
        <f t="shared" si="30"/>
        <v>Apartamento Disponible</v>
      </c>
      <c r="AD40" s="574" t="str">
        <f t="shared" si="31"/>
        <v>Disponible</v>
      </c>
      <c r="AE40" s="575"/>
      <c r="AF40" s="575">
        <f t="shared" si="32"/>
        <v>0</v>
      </c>
      <c r="AG40" s="575">
        <f t="shared" si="33"/>
        <v>0</v>
      </c>
      <c r="AH40" s="568"/>
      <c r="AI40" s="568"/>
      <c r="AJ40" s="574">
        <f t="shared" si="34"/>
        <v>0</v>
      </c>
      <c r="AK40" s="692">
        <f t="shared" si="20"/>
        <v>0</v>
      </c>
      <c r="AL40" s="577">
        <f t="shared" si="35"/>
        <v>0</v>
      </c>
      <c r="AM40" s="576">
        <f t="shared" si="36"/>
        <v>0</v>
      </c>
      <c r="AN40" s="576">
        <f t="shared" si="37"/>
        <v>0</v>
      </c>
      <c r="AO40" s="576">
        <f t="shared" si="38"/>
        <v>0</v>
      </c>
      <c r="AP40" s="576">
        <f t="shared" si="39"/>
        <v>0</v>
      </c>
      <c r="AQ40" s="576">
        <f t="shared" si="22"/>
        <v>0</v>
      </c>
      <c r="AR40" s="578">
        <f t="shared" ref="AR40:AR71" si="40">ROUNDUP(IF(G40&gt;0,AQ40/AI40,0),0)</f>
        <v>0</v>
      </c>
      <c r="AS40" s="579"/>
      <c r="AT40" s="579"/>
    </row>
    <row r="41" spans="1:46" s="563" customFormat="1" ht="13.9" customHeight="1" x14ac:dyDescent="0.25">
      <c r="B41" s="564">
        <v>408</v>
      </c>
      <c r="C41" s="565" t="s">
        <v>1362</v>
      </c>
      <c r="D41" s="565" t="s">
        <v>913</v>
      </c>
      <c r="E41" s="565"/>
      <c r="G41" s="565"/>
      <c r="H41" s="565" t="s">
        <v>374</v>
      </c>
      <c r="I41" s="873">
        <v>926600</v>
      </c>
      <c r="J41" s="873">
        <v>64862.000000000007</v>
      </c>
      <c r="K41" s="567"/>
      <c r="L41" s="568"/>
      <c r="M41" s="569"/>
      <c r="N41" s="569"/>
      <c r="O41" s="569"/>
      <c r="P41" s="569"/>
      <c r="Q41" s="569">
        <v>0</v>
      </c>
      <c r="R41" s="569">
        <v>0</v>
      </c>
      <c r="S41" s="569">
        <v>0</v>
      </c>
      <c r="T41" s="569"/>
      <c r="U41" s="569"/>
      <c r="V41" s="570">
        <f t="shared" si="23"/>
        <v>0</v>
      </c>
      <c r="W41" s="571">
        <f t="shared" si="24"/>
        <v>0</v>
      </c>
      <c r="X41" s="570">
        <f t="shared" si="25"/>
        <v>0</v>
      </c>
      <c r="Y41" s="571">
        <f t="shared" si="26"/>
        <v>0</v>
      </c>
      <c r="Z41" s="572">
        <f t="shared" si="27"/>
        <v>926600</v>
      </c>
      <c r="AA41" s="573">
        <f t="shared" si="28"/>
        <v>1</v>
      </c>
      <c r="AB41" s="572">
        <f t="shared" si="29"/>
        <v>0</v>
      </c>
      <c r="AC41" s="574" t="str">
        <f t="shared" si="30"/>
        <v>Apartamento Disponible</v>
      </c>
      <c r="AD41" s="574" t="str">
        <f t="shared" si="31"/>
        <v>Disponible</v>
      </c>
      <c r="AE41" s="575"/>
      <c r="AF41" s="575">
        <f t="shared" si="32"/>
        <v>0</v>
      </c>
      <c r="AG41" s="575">
        <f t="shared" si="33"/>
        <v>0</v>
      </c>
      <c r="AH41" s="568"/>
      <c r="AI41" s="568"/>
      <c r="AJ41" s="574">
        <f t="shared" si="34"/>
        <v>0</v>
      </c>
      <c r="AK41" s="692">
        <f t="shared" si="20"/>
        <v>0</v>
      </c>
      <c r="AL41" s="577">
        <f t="shared" si="35"/>
        <v>0</v>
      </c>
      <c r="AM41" s="576">
        <f t="shared" si="36"/>
        <v>0</v>
      </c>
      <c r="AN41" s="576">
        <f t="shared" si="37"/>
        <v>0</v>
      </c>
      <c r="AO41" s="576">
        <f t="shared" si="38"/>
        <v>0</v>
      </c>
      <c r="AP41" s="576">
        <f t="shared" si="39"/>
        <v>0</v>
      </c>
      <c r="AQ41" s="576">
        <f t="shared" si="22"/>
        <v>0</v>
      </c>
      <c r="AR41" s="578">
        <f t="shared" si="40"/>
        <v>0</v>
      </c>
      <c r="AS41" s="579"/>
      <c r="AT41" s="579"/>
    </row>
    <row r="42" spans="1:46" s="563" customFormat="1" ht="13.9" customHeight="1" x14ac:dyDescent="0.25">
      <c r="B42" s="564">
        <v>409</v>
      </c>
      <c r="C42" s="565" t="s">
        <v>1365</v>
      </c>
      <c r="D42" s="565" t="s">
        <v>913</v>
      </c>
      <c r="E42" s="565"/>
      <c r="G42" s="565"/>
      <c r="H42" s="565" t="s">
        <v>374</v>
      </c>
      <c r="I42" s="873">
        <v>794400</v>
      </c>
      <c r="J42" s="873">
        <v>55608.000000000007</v>
      </c>
      <c r="K42" s="567"/>
      <c r="L42" s="568"/>
      <c r="M42" s="569"/>
      <c r="N42" s="569"/>
      <c r="O42" s="569"/>
      <c r="P42" s="569"/>
      <c r="Q42" s="569">
        <v>0</v>
      </c>
      <c r="R42" s="569">
        <v>0</v>
      </c>
      <c r="S42" s="569">
        <v>0</v>
      </c>
      <c r="T42" s="569"/>
      <c r="U42" s="569"/>
      <c r="V42" s="570">
        <f t="shared" si="23"/>
        <v>0</v>
      </c>
      <c r="W42" s="571">
        <f t="shared" si="24"/>
        <v>0</v>
      </c>
      <c r="X42" s="570">
        <f t="shared" si="25"/>
        <v>0</v>
      </c>
      <c r="Y42" s="571">
        <f t="shared" si="26"/>
        <v>0</v>
      </c>
      <c r="Z42" s="572">
        <f t="shared" si="27"/>
        <v>794400</v>
      </c>
      <c r="AA42" s="573">
        <f t="shared" si="28"/>
        <v>1</v>
      </c>
      <c r="AB42" s="572">
        <f t="shared" si="29"/>
        <v>0</v>
      </c>
      <c r="AC42" s="574" t="str">
        <f t="shared" si="30"/>
        <v>Apartamento Disponible</v>
      </c>
      <c r="AD42" s="574" t="str">
        <f t="shared" si="31"/>
        <v>Disponible</v>
      </c>
      <c r="AE42" s="575"/>
      <c r="AF42" s="575">
        <f t="shared" si="32"/>
        <v>0</v>
      </c>
      <c r="AG42" s="575">
        <f t="shared" si="33"/>
        <v>0</v>
      </c>
      <c r="AH42" s="568"/>
      <c r="AI42" s="568"/>
      <c r="AJ42" s="574">
        <f t="shared" si="34"/>
        <v>0</v>
      </c>
      <c r="AK42" s="692">
        <f t="shared" si="20"/>
        <v>0</v>
      </c>
      <c r="AL42" s="577">
        <f t="shared" si="35"/>
        <v>0</v>
      </c>
      <c r="AM42" s="576">
        <f t="shared" si="36"/>
        <v>0</v>
      </c>
      <c r="AN42" s="576">
        <f t="shared" si="37"/>
        <v>0</v>
      </c>
      <c r="AO42" s="576">
        <f t="shared" si="38"/>
        <v>0</v>
      </c>
      <c r="AP42" s="576">
        <f t="shared" si="39"/>
        <v>0</v>
      </c>
      <c r="AQ42" s="576">
        <f t="shared" si="22"/>
        <v>0</v>
      </c>
      <c r="AR42" s="578">
        <f t="shared" si="40"/>
        <v>0</v>
      </c>
      <c r="AS42" s="579"/>
      <c r="AT42" s="579"/>
    </row>
    <row r="43" spans="1:46" s="563" customFormat="1" ht="13.9" customHeight="1" x14ac:dyDescent="0.25">
      <c r="A43" s="582"/>
      <c r="B43" s="564">
        <v>501</v>
      </c>
      <c r="C43" s="565" t="s">
        <v>1361</v>
      </c>
      <c r="D43" s="565" t="s">
        <v>913</v>
      </c>
      <c r="E43" s="564" t="s">
        <v>1372</v>
      </c>
      <c r="F43" s="581" t="s">
        <v>1373</v>
      </c>
      <c r="G43" s="566">
        <v>45794</v>
      </c>
      <c r="H43" s="565" t="s">
        <v>1355</v>
      </c>
      <c r="I43" s="582">
        <v>603340</v>
      </c>
      <c r="J43" s="582">
        <v>60340</v>
      </c>
      <c r="K43" s="567"/>
      <c r="L43" s="568">
        <v>0</v>
      </c>
      <c r="M43" s="569">
        <v>3000</v>
      </c>
      <c r="N43" s="569">
        <v>2047.64</v>
      </c>
      <c r="O43" s="569">
        <f>2047.64+2047.64</f>
        <v>4095.28</v>
      </c>
      <c r="P43" s="569">
        <v>0</v>
      </c>
      <c r="Q43" s="569">
        <v>2047.64</v>
      </c>
      <c r="R43" s="569">
        <v>2047.64</v>
      </c>
      <c r="S43" s="569">
        <v>2047.64</v>
      </c>
      <c r="T43" s="569">
        <v>2047.64</v>
      </c>
      <c r="U43" s="569">
        <v>2047.64</v>
      </c>
      <c r="V43" s="570">
        <f t="shared" si="23"/>
        <v>19381.12</v>
      </c>
      <c r="W43" s="571">
        <f t="shared" si="24"/>
        <v>0.32119854159761352</v>
      </c>
      <c r="X43" s="570">
        <f t="shared" si="25"/>
        <v>-40958.880000000005</v>
      </c>
      <c r="Y43" s="571">
        <f t="shared" si="26"/>
        <v>-0.67880145840238659</v>
      </c>
      <c r="Z43" s="572">
        <f t="shared" si="27"/>
        <v>583958.88</v>
      </c>
      <c r="AA43" s="573">
        <f t="shared" si="28"/>
        <v>0.96787695163589349</v>
      </c>
      <c r="AB43" s="572">
        <f t="shared" si="29"/>
        <v>60340</v>
      </c>
      <c r="AC43" s="574" t="str">
        <f t="shared" si="30"/>
        <v>Vendido</v>
      </c>
      <c r="AD43" s="574" t="str">
        <f t="shared" si="31"/>
        <v>Cliente al día</v>
      </c>
      <c r="AE43" s="575">
        <v>28</v>
      </c>
      <c r="AF43" s="575">
        <f t="shared" si="32"/>
        <v>1</v>
      </c>
      <c r="AG43" s="575">
        <f t="shared" si="33"/>
        <v>29</v>
      </c>
      <c r="AH43" s="568">
        <v>3000</v>
      </c>
      <c r="AI43" s="568">
        <v>2047.64</v>
      </c>
      <c r="AJ43" s="574">
        <f t="shared" si="34"/>
        <v>6</v>
      </c>
      <c r="AK43" s="692">
        <f t="shared" si="20"/>
        <v>8</v>
      </c>
      <c r="AL43" s="577">
        <f t="shared" si="35"/>
        <v>15285.84</v>
      </c>
      <c r="AM43" s="576">
        <f t="shared" si="36"/>
        <v>12285.84</v>
      </c>
      <c r="AN43" s="576">
        <f t="shared" si="37"/>
        <v>7095.2800000000007</v>
      </c>
      <c r="AO43" s="576">
        <f t="shared" si="38"/>
        <v>0</v>
      </c>
      <c r="AP43" s="576">
        <f t="shared" si="39"/>
        <v>4095.2799999999988</v>
      </c>
      <c r="AQ43" s="576">
        <f t="shared" si="22"/>
        <v>0</v>
      </c>
      <c r="AR43" s="578">
        <f t="shared" si="40"/>
        <v>0</v>
      </c>
      <c r="AS43" s="579"/>
      <c r="AT43" s="579"/>
    </row>
    <row r="44" spans="1:46" s="563" customFormat="1" ht="13.9" customHeight="1" x14ac:dyDescent="0.25">
      <c r="A44" s="582"/>
      <c r="B44" s="564">
        <v>502</v>
      </c>
      <c r="C44" s="565" t="s">
        <v>1362</v>
      </c>
      <c r="D44" s="565" t="s">
        <v>913</v>
      </c>
      <c r="E44" s="564"/>
      <c r="F44" s="581" t="s">
        <v>1374</v>
      </c>
      <c r="G44" s="566">
        <v>45946</v>
      </c>
      <c r="H44" s="565" t="s">
        <v>956</v>
      </c>
      <c r="I44" s="582">
        <v>744000</v>
      </c>
      <c r="J44" s="582">
        <v>52100</v>
      </c>
      <c r="K44" s="567"/>
      <c r="L44" s="568"/>
      <c r="M44" s="569"/>
      <c r="N44" s="569"/>
      <c r="O44" s="569"/>
      <c r="P44" s="569"/>
      <c r="Q44" s="569">
        <v>0</v>
      </c>
      <c r="R44" s="569">
        <v>500</v>
      </c>
      <c r="S44" s="569">
        <v>0</v>
      </c>
      <c r="T44" s="569">
        <v>2500</v>
      </c>
      <c r="U44" s="569"/>
      <c r="V44" s="570">
        <f t="shared" si="23"/>
        <v>3000</v>
      </c>
      <c r="W44" s="571">
        <f t="shared" si="24"/>
        <v>5.7581573896353169E-2</v>
      </c>
      <c r="X44" s="570">
        <f t="shared" si="25"/>
        <v>-49100</v>
      </c>
      <c r="Y44" s="571">
        <f t="shared" si="26"/>
        <v>-0.94241842610364679</v>
      </c>
      <c r="Z44" s="572">
        <f t="shared" si="27"/>
        <v>741000</v>
      </c>
      <c r="AA44" s="573">
        <f t="shared" si="28"/>
        <v>0.99596774193548387</v>
      </c>
      <c r="AB44" s="572">
        <f t="shared" si="29"/>
        <v>52100</v>
      </c>
      <c r="AC44" s="574" t="str">
        <f t="shared" si="30"/>
        <v>Vendido</v>
      </c>
      <c r="AD44" s="574" t="str">
        <f t="shared" si="31"/>
        <v>Cliente al día</v>
      </c>
      <c r="AE44" s="575"/>
      <c r="AF44" s="575">
        <f t="shared" si="32"/>
        <v>0</v>
      </c>
      <c r="AG44" s="575">
        <f t="shared" si="33"/>
        <v>0</v>
      </c>
      <c r="AH44" s="568"/>
      <c r="AI44" s="568"/>
      <c r="AJ44" s="574">
        <f t="shared" si="34"/>
        <v>0</v>
      </c>
      <c r="AK44" s="692">
        <f t="shared" si="20"/>
        <v>3</v>
      </c>
      <c r="AL44" s="577">
        <f t="shared" si="35"/>
        <v>0</v>
      </c>
      <c r="AM44" s="576">
        <f t="shared" si="36"/>
        <v>0</v>
      </c>
      <c r="AN44" s="576">
        <f t="shared" si="37"/>
        <v>0</v>
      </c>
      <c r="AO44" s="576">
        <f t="shared" si="38"/>
        <v>3000</v>
      </c>
      <c r="AP44" s="576">
        <f t="shared" si="39"/>
        <v>3000</v>
      </c>
      <c r="AQ44" s="576">
        <f t="shared" si="22"/>
        <v>0</v>
      </c>
      <c r="AR44" s="578" t="e">
        <f t="shared" si="40"/>
        <v>#DIV/0!</v>
      </c>
      <c r="AS44" s="579"/>
      <c r="AT44" s="579"/>
    </row>
    <row r="45" spans="1:46" s="563" customFormat="1" ht="13.9" customHeight="1" x14ac:dyDescent="0.25">
      <c r="A45" s="582"/>
      <c r="B45" s="564">
        <v>503</v>
      </c>
      <c r="C45" s="565" t="s">
        <v>1362</v>
      </c>
      <c r="D45" s="565" t="s">
        <v>913</v>
      </c>
      <c r="E45" s="564"/>
      <c r="F45" s="581" t="s">
        <v>1375</v>
      </c>
      <c r="G45" s="566">
        <v>45942</v>
      </c>
      <c r="H45" s="565" t="s">
        <v>956</v>
      </c>
      <c r="I45" s="582">
        <v>744000</v>
      </c>
      <c r="J45" s="582">
        <v>52100</v>
      </c>
      <c r="K45" s="567"/>
      <c r="L45" s="568"/>
      <c r="M45" s="569"/>
      <c r="N45" s="569"/>
      <c r="O45" s="569"/>
      <c r="P45" s="569"/>
      <c r="Q45" s="569">
        <v>0</v>
      </c>
      <c r="R45" s="569">
        <v>3000</v>
      </c>
      <c r="S45" s="569">
        <v>2135</v>
      </c>
      <c r="T45" s="569"/>
      <c r="U45" s="569">
        <v>2135</v>
      </c>
      <c r="V45" s="570">
        <f t="shared" si="23"/>
        <v>7270</v>
      </c>
      <c r="W45" s="571">
        <f t="shared" si="24"/>
        <v>0.13953934740882917</v>
      </c>
      <c r="X45" s="570">
        <f t="shared" si="25"/>
        <v>-44830</v>
      </c>
      <c r="Y45" s="571">
        <f t="shared" si="26"/>
        <v>-0.86046065259117077</v>
      </c>
      <c r="Z45" s="572">
        <f t="shared" si="27"/>
        <v>736730</v>
      </c>
      <c r="AA45" s="573">
        <f t="shared" si="28"/>
        <v>0.99022849462365592</v>
      </c>
      <c r="AB45" s="572">
        <f t="shared" si="29"/>
        <v>52100</v>
      </c>
      <c r="AC45" s="574" t="str">
        <f t="shared" si="30"/>
        <v>Vendido</v>
      </c>
      <c r="AD45" s="574" t="str">
        <f t="shared" si="31"/>
        <v>Cliente al día</v>
      </c>
      <c r="AE45" s="575"/>
      <c r="AF45" s="575">
        <f t="shared" si="32"/>
        <v>0</v>
      </c>
      <c r="AG45" s="575">
        <f t="shared" si="33"/>
        <v>0</v>
      </c>
      <c r="AH45" s="568"/>
      <c r="AI45" s="568"/>
      <c r="AJ45" s="574">
        <f t="shared" si="34"/>
        <v>0</v>
      </c>
      <c r="AK45" s="692">
        <f t="shared" si="20"/>
        <v>3</v>
      </c>
      <c r="AL45" s="577">
        <f t="shared" si="35"/>
        <v>0</v>
      </c>
      <c r="AM45" s="576">
        <f t="shared" si="36"/>
        <v>0</v>
      </c>
      <c r="AN45" s="576">
        <f t="shared" si="37"/>
        <v>0</v>
      </c>
      <c r="AO45" s="576">
        <f t="shared" si="38"/>
        <v>7270</v>
      </c>
      <c r="AP45" s="576">
        <f t="shared" si="39"/>
        <v>7270</v>
      </c>
      <c r="AQ45" s="576">
        <f t="shared" si="22"/>
        <v>0</v>
      </c>
      <c r="AR45" s="578" t="e">
        <f t="shared" si="40"/>
        <v>#DIV/0!</v>
      </c>
      <c r="AS45" s="579"/>
      <c r="AT45" s="579"/>
    </row>
    <row r="46" spans="1:46" s="563" customFormat="1" ht="13.9" customHeight="1" x14ac:dyDescent="0.25">
      <c r="A46" s="582"/>
      <c r="B46" s="564">
        <v>504</v>
      </c>
      <c r="C46" s="565" t="s">
        <v>1361</v>
      </c>
      <c r="D46" s="565" t="s">
        <v>913</v>
      </c>
      <c r="E46" s="564" t="s">
        <v>1363</v>
      </c>
      <c r="F46" s="581" t="s">
        <v>1376</v>
      </c>
      <c r="G46" s="566">
        <v>45856</v>
      </c>
      <c r="H46" s="565" t="s">
        <v>1355</v>
      </c>
      <c r="I46" s="582">
        <v>622000</v>
      </c>
      <c r="J46" s="582">
        <v>43540.000000000007</v>
      </c>
      <c r="K46" s="567"/>
      <c r="L46" s="568"/>
      <c r="M46" s="569"/>
      <c r="N46" s="569"/>
      <c r="O46" s="569">
        <v>3000</v>
      </c>
      <c r="P46" s="569">
        <v>31000</v>
      </c>
      <c r="Q46" s="569">
        <v>0</v>
      </c>
      <c r="R46" s="569">
        <v>0</v>
      </c>
      <c r="S46" s="569">
        <v>0</v>
      </c>
      <c r="T46" s="569"/>
      <c r="U46" s="569"/>
      <c r="V46" s="570">
        <f t="shared" si="23"/>
        <v>34000</v>
      </c>
      <c r="W46" s="571">
        <f t="shared" si="24"/>
        <v>0.78089113458888371</v>
      </c>
      <c r="X46" s="570">
        <f t="shared" si="25"/>
        <v>-9540.0000000000073</v>
      </c>
      <c r="Y46" s="571">
        <f t="shared" si="26"/>
        <v>-0.21910886541111635</v>
      </c>
      <c r="Z46" s="572">
        <f t="shared" si="27"/>
        <v>588000</v>
      </c>
      <c r="AA46" s="573">
        <f t="shared" si="28"/>
        <v>0.94533762057877813</v>
      </c>
      <c r="AB46" s="572">
        <f t="shared" si="29"/>
        <v>43540.000000000007</v>
      </c>
      <c r="AC46" s="574" t="str">
        <f t="shared" si="30"/>
        <v>Vendido</v>
      </c>
      <c r="AD46" s="574" t="str">
        <f t="shared" si="31"/>
        <v>Cliente al día</v>
      </c>
      <c r="AE46" s="575">
        <v>26</v>
      </c>
      <c r="AF46" s="575">
        <f t="shared" si="32"/>
        <v>1</v>
      </c>
      <c r="AG46" s="575">
        <f t="shared" si="33"/>
        <v>27</v>
      </c>
      <c r="AH46" s="568">
        <v>3000</v>
      </c>
      <c r="AI46" s="568">
        <v>1576.92</v>
      </c>
      <c r="AJ46" s="574">
        <f t="shared" si="34"/>
        <v>0</v>
      </c>
      <c r="AK46" s="692">
        <f t="shared" si="20"/>
        <v>6</v>
      </c>
      <c r="AL46" s="577">
        <f t="shared" si="35"/>
        <v>3000</v>
      </c>
      <c r="AM46" s="576">
        <f t="shared" si="36"/>
        <v>0</v>
      </c>
      <c r="AN46" s="576">
        <f t="shared" si="37"/>
        <v>34000</v>
      </c>
      <c r="AO46" s="576">
        <f t="shared" si="38"/>
        <v>0</v>
      </c>
      <c r="AP46" s="576">
        <f t="shared" si="39"/>
        <v>31000</v>
      </c>
      <c r="AQ46" s="576">
        <f t="shared" si="22"/>
        <v>0</v>
      </c>
      <c r="AR46" s="578">
        <f t="shared" si="40"/>
        <v>0</v>
      </c>
      <c r="AS46" s="579"/>
      <c r="AT46" s="579"/>
    </row>
    <row r="47" spans="1:46" s="563" customFormat="1" ht="13.9" customHeight="1" x14ac:dyDescent="0.25">
      <c r="A47" s="582"/>
      <c r="B47" s="564">
        <v>505</v>
      </c>
      <c r="C47" s="565" t="s">
        <v>1361</v>
      </c>
      <c r="D47" s="565" t="s">
        <v>913</v>
      </c>
      <c r="E47" s="564"/>
      <c r="F47" s="581" t="s">
        <v>1377</v>
      </c>
      <c r="G47" s="566">
        <v>45823</v>
      </c>
      <c r="H47" s="565" t="s">
        <v>1355</v>
      </c>
      <c r="I47" s="582">
        <v>622000</v>
      </c>
      <c r="J47" s="582">
        <v>44000</v>
      </c>
      <c r="K47" s="567"/>
      <c r="L47" s="568"/>
      <c r="M47" s="569"/>
      <c r="N47" s="569">
        <v>0</v>
      </c>
      <c r="O47" s="900">
        <f>1500+1500</f>
        <v>3000</v>
      </c>
      <c r="P47" s="900">
        <v>1576.92</v>
      </c>
      <c r="Q47" s="900">
        <v>0</v>
      </c>
      <c r="R47" s="900">
        <v>0</v>
      </c>
      <c r="S47" s="900">
        <v>0</v>
      </c>
      <c r="T47" s="569"/>
      <c r="U47" s="569"/>
      <c r="V47" s="570">
        <f t="shared" si="23"/>
        <v>4576.92</v>
      </c>
      <c r="W47" s="571">
        <f t="shared" si="24"/>
        <v>0.10402090909090909</v>
      </c>
      <c r="X47" s="570">
        <f t="shared" si="25"/>
        <v>-39423.08</v>
      </c>
      <c r="Y47" s="571">
        <f t="shared" si="26"/>
        <v>-0.895979090909091</v>
      </c>
      <c r="Z47" s="572">
        <f t="shared" si="27"/>
        <v>617423.07999999996</v>
      </c>
      <c r="AA47" s="573">
        <f t="shared" si="28"/>
        <v>0.99264160771704169</v>
      </c>
      <c r="AB47" s="572">
        <f t="shared" si="29"/>
        <v>44000</v>
      </c>
      <c r="AC47" s="574" t="str">
        <f t="shared" si="30"/>
        <v>Vendido</v>
      </c>
      <c r="AD47" s="574" t="str">
        <f t="shared" si="31"/>
        <v>Cliente al día</v>
      </c>
      <c r="AE47" s="575">
        <v>26</v>
      </c>
      <c r="AF47" s="575">
        <f t="shared" si="32"/>
        <v>1</v>
      </c>
      <c r="AG47" s="575">
        <f t="shared" si="33"/>
        <v>27</v>
      </c>
      <c r="AH47" s="568">
        <v>1500</v>
      </c>
      <c r="AI47" s="568">
        <v>1576.92</v>
      </c>
      <c r="AJ47" s="574">
        <f t="shared" si="34"/>
        <v>0</v>
      </c>
      <c r="AK47" s="692">
        <f t="shared" si="20"/>
        <v>7</v>
      </c>
      <c r="AL47" s="577">
        <f t="shared" si="35"/>
        <v>1500</v>
      </c>
      <c r="AM47" s="576">
        <f t="shared" si="36"/>
        <v>1576.92</v>
      </c>
      <c r="AN47" s="576">
        <f t="shared" si="37"/>
        <v>3000</v>
      </c>
      <c r="AO47" s="576">
        <f t="shared" si="38"/>
        <v>0</v>
      </c>
      <c r="AP47" s="576">
        <f t="shared" si="39"/>
        <v>3076.92</v>
      </c>
      <c r="AQ47" s="576">
        <f t="shared" si="22"/>
        <v>0</v>
      </c>
      <c r="AR47" s="578">
        <f t="shared" si="40"/>
        <v>0</v>
      </c>
      <c r="AS47" s="579"/>
      <c r="AT47" s="579"/>
    </row>
    <row r="48" spans="1:46" s="563" customFormat="1" ht="13.9" customHeight="1" x14ac:dyDescent="0.25">
      <c r="A48" s="581"/>
      <c r="B48" s="564">
        <v>506</v>
      </c>
      <c r="C48" s="565" t="s">
        <v>1365</v>
      </c>
      <c r="D48" s="565" t="s">
        <v>913</v>
      </c>
      <c r="E48" s="564" t="s">
        <v>366</v>
      </c>
      <c r="F48" s="581" t="s">
        <v>635</v>
      </c>
      <c r="G48" s="566">
        <v>45794</v>
      </c>
      <c r="H48" s="565" t="s">
        <v>1355</v>
      </c>
      <c r="I48" s="582">
        <v>770568</v>
      </c>
      <c r="J48" s="582">
        <f>53968-3000</f>
        <v>50968</v>
      </c>
      <c r="K48" s="567"/>
      <c r="L48" s="568">
        <v>0</v>
      </c>
      <c r="M48" s="569">
        <v>3000</v>
      </c>
      <c r="N48" s="569">
        <v>1820.29</v>
      </c>
      <c r="O48" s="569">
        <v>1820.29</v>
      </c>
      <c r="P48" s="569">
        <v>1820.29</v>
      </c>
      <c r="Q48" s="569">
        <v>1820.29</v>
      </c>
      <c r="R48" s="569">
        <v>3417.29</v>
      </c>
      <c r="S48" s="569">
        <v>1820.29</v>
      </c>
      <c r="T48" s="569">
        <v>1820.29</v>
      </c>
      <c r="U48" s="569">
        <v>1820.29</v>
      </c>
      <c r="V48" s="570">
        <f t="shared" si="23"/>
        <v>19159.320000000003</v>
      </c>
      <c r="W48" s="571">
        <f t="shared" si="24"/>
        <v>0.37590880552503536</v>
      </c>
      <c r="X48" s="570">
        <f>+V48-AB48</f>
        <v>-31808.679999999997</v>
      </c>
      <c r="Y48" s="571">
        <f t="shared" si="26"/>
        <v>-0.62409119447496464</v>
      </c>
      <c r="Z48" s="572">
        <f t="shared" si="27"/>
        <v>751408.68</v>
      </c>
      <c r="AA48" s="573">
        <f t="shared" si="28"/>
        <v>0.97513610739091172</v>
      </c>
      <c r="AB48" s="572">
        <f t="shared" si="29"/>
        <v>50968</v>
      </c>
      <c r="AC48" s="574" t="str">
        <f t="shared" si="30"/>
        <v>Vendido</v>
      </c>
      <c r="AD48" s="574" t="str">
        <f t="shared" si="31"/>
        <v>Cliente al día</v>
      </c>
      <c r="AE48" s="575">
        <v>28</v>
      </c>
      <c r="AF48" s="575">
        <f t="shared" si="32"/>
        <v>1</v>
      </c>
      <c r="AG48" s="575">
        <f t="shared" si="33"/>
        <v>29</v>
      </c>
      <c r="AH48" s="568">
        <v>3000</v>
      </c>
      <c r="AI48" s="568">
        <v>1820.29</v>
      </c>
      <c r="AJ48" s="574">
        <f t="shared" si="34"/>
        <v>7</v>
      </c>
      <c r="AK48" s="692">
        <f t="shared" si="20"/>
        <v>8</v>
      </c>
      <c r="AL48" s="577">
        <f>(AJ48*AI48)+AH48</f>
        <v>15742.029999999999</v>
      </c>
      <c r="AM48" s="576">
        <f t="shared" si="36"/>
        <v>12742.030000000002</v>
      </c>
      <c r="AN48" s="576">
        <f t="shared" si="37"/>
        <v>6417.29</v>
      </c>
      <c r="AO48" s="576">
        <f t="shared" si="38"/>
        <v>0</v>
      </c>
      <c r="AP48" s="576">
        <f t="shared" si="39"/>
        <v>3417.2900000000045</v>
      </c>
      <c r="AQ48" s="576">
        <f t="shared" si="22"/>
        <v>0</v>
      </c>
      <c r="AR48" s="578">
        <f t="shared" si="40"/>
        <v>0</v>
      </c>
      <c r="AS48" s="579"/>
      <c r="AT48" s="579"/>
    </row>
    <row r="49" spans="1:46" s="563" customFormat="1" ht="13.9" customHeight="1" x14ac:dyDescent="0.25">
      <c r="A49" s="581"/>
      <c r="B49" s="564">
        <v>507</v>
      </c>
      <c r="C49" s="565" t="s">
        <v>1362</v>
      </c>
      <c r="D49" s="565" t="s">
        <v>913</v>
      </c>
      <c r="E49" s="564"/>
      <c r="F49" s="581"/>
      <c r="G49" s="566"/>
      <c r="H49" s="565" t="s">
        <v>374</v>
      </c>
      <c r="I49" s="582">
        <v>926600</v>
      </c>
      <c r="J49" s="582">
        <v>64862.000000000007</v>
      </c>
      <c r="K49" s="567"/>
      <c r="L49" s="568"/>
      <c r="M49" s="569"/>
      <c r="N49" s="569"/>
      <c r="O49" s="569"/>
      <c r="P49" s="569"/>
      <c r="Q49" s="569">
        <v>0</v>
      </c>
      <c r="R49" s="569">
        <v>0</v>
      </c>
      <c r="S49" s="569">
        <v>0</v>
      </c>
      <c r="T49" s="569"/>
      <c r="U49" s="569"/>
      <c r="V49" s="570">
        <f t="shared" si="23"/>
        <v>0</v>
      </c>
      <c r="W49" s="571">
        <f t="shared" si="24"/>
        <v>0</v>
      </c>
      <c r="X49" s="570">
        <f t="shared" si="25"/>
        <v>0</v>
      </c>
      <c r="Y49" s="571">
        <f t="shared" si="26"/>
        <v>0</v>
      </c>
      <c r="Z49" s="572">
        <f t="shared" si="27"/>
        <v>926600</v>
      </c>
      <c r="AA49" s="573">
        <f t="shared" si="28"/>
        <v>1</v>
      </c>
      <c r="AB49" s="572">
        <f t="shared" si="29"/>
        <v>0</v>
      </c>
      <c r="AC49" s="574" t="str">
        <f t="shared" si="30"/>
        <v>Apartamento Disponible</v>
      </c>
      <c r="AD49" s="574" t="str">
        <f t="shared" si="31"/>
        <v>Disponible</v>
      </c>
      <c r="AE49" s="575"/>
      <c r="AF49" s="575">
        <f t="shared" si="32"/>
        <v>0</v>
      </c>
      <c r="AG49" s="575">
        <f t="shared" si="33"/>
        <v>0</v>
      </c>
      <c r="AH49" s="568"/>
      <c r="AI49" s="568"/>
      <c r="AJ49" s="574">
        <f t="shared" si="34"/>
        <v>0</v>
      </c>
      <c r="AK49" s="692">
        <f t="shared" si="20"/>
        <v>0</v>
      </c>
      <c r="AL49" s="577">
        <f t="shared" si="35"/>
        <v>0</v>
      </c>
      <c r="AM49" s="576">
        <f t="shared" si="36"/>
        <v>0</v>
      </c>
      <c r="AN49" s="576">
        <f t="shared" si="37"/>
        <v>0</v>
      </c>
      <c r="AO49" s="576">
        <f t="shared" si="38"/>
        <v>0</v>
      </c>
      <c r="AP49" s="576">
        <f t="shared" si="39"/>
        <v>0</v>
      </c>
      <c r="AQ49" s="576">
        <f t="shared" si="22"/>
        <v>0</v>
      </c>
      <c r="AR49" s="578">
        <f t="shared" si="40"/>
        <v>0</v>
      </c>
      <c r="AS49" s="579"/>
      <c r="AT49" s="579"/>
    </row>
    <row r="50" spans="1:46" s="563" customFormat="1" ht="13.9" customHeight="1" x14ac:dyDescent="0.25">
      <c r="A50" s="581"/>
      <c r="B50" s="564">
        <v>508</v>
      </c>
      <c r="C50" s="565" t="s">
        <v>1362</v>
      </c>
      <c r="D50" s="565" t="s">
        <v>913</v>
      </c>
      <c r="E50" s="564"/>
      <c r="F50" s="581"/>
      <c r="G50" s="566"/>
      <c r="H50" s="565" t="s">
        <v>374</v>
      </c>
      <c r="I50" s="582">
        <v>926600</v>
      </c>
      <c r="J50" s="582">
        <v>64862.000000000007</v>
      </c>
      <c r="K50" s="567"/>
      <c r="L50" s="568"/>
      <c r="M50" s="569"/>
      <c r="N50" s="569"/>
      <c r="O50" s="569"/>
      <c r="P50" s="569"/>
      <c r="Q50" s="569">
        <v>0</v>
      </c>
      <c r="R50" s="569">
        <v>0</v>
      </c>
      <c r="S50" s="569">
        <v>0</v>
      </c>
      <c r="T50" s="569"/>
      <c r="U50" s="569"/>
      <c r="V50" s="570">
        <f t="shared" si="23"/>
        <v>0</v>
      </c>
      <c r="W50" s="571">
        <f t="shared" si="24"/>
        <v>0</v>
      </c>
      <c r="X50" s="570">
        <f t="shared" si="25"/>
        <v>0</v>
      </c>
      <c r="Y50" s="571">
        <f t="shared" si="26"/>
        <v>0</v>
      </c>
      <c r="Z50" s="572">
        <f t="shared" si="27"/>
        <v>926600</v>
      </c>
      <c r="AA50" s="573">
        <f t="shared" si="28"/>
        <v>1</v>
      </c>
      <c r="AB50" s="572">
        <f t="shared" si="29"/>
        <v>0</v>
      </c>
      <c r="AC50" s="574" t="str">
        <f t="shared" si="30"/>
        <v>Apartamento Disponible</v>
      </c>
      <c r="AD50" s="574" t="str">
        <f t="shared" si="31"/>
        <v>Disponible</v>
      </c>
      <c r="AE50" s="575"/>
      <c r="AF50" s="575">
        <f t="shared" si="32"/>
        <v>0</v>
      </c>
      <c r="AG50" s="575">
        <f t="shared" si="33"/>
        <v>0</v>
      </c>
      <c r="AH50" s="568"/>
      <c r="AI50" s="568"/>
      <c r="AJ50" s="574">
        <f t="shared" si="34"/>
        <v>0</v>
      </c>
      <c r="AK50" s="692">
        <f t="shared" si="20"/>
        <v>0</v>
      </c>
      <c r="AL50" s="577">
        <f t="shared" si="35"/>
        <v>0</v>
      </c>
      <c r="AM50" s="576">
        <f t="shared" si="36"/>
        <v>0</v>
      </c>
      <c r="AN50" s="576">
        <f t="shared" si="37"/>
        <v>0</v>
      </c>
      <c r="AO50" s="576">
        <f t="shared" si="38"/>
        <v>0</v>
      </c>
      <c r="AP50" s="576">
        <f t="shared" si="39"/>
        <v>0</v>
      </c>
      <c r="AQ50" s="576">
        <f t="shared" si="22"/>
        <v>0</v>
      </c>
      <c r="AR50" s="578">
        <f t="shared" si="40"/>
        <v>0</v>
      </c>
      <c r="AS50" s="579"/>
      <c r="AT50" s="579"/>
    </row>
    <row r="51" spans="1:46" s="563" customFormat="1" ht="13.9" customHeight="1" x14ac:dyDescent="0.25">
      <c r="A51" s="581"/>
      <c r="B51" s="564">
        <v>509</v>
      </c>
      <c r="C51" s="565" t="s">
        <v>1365</v>
      </c>
      <c r="D51" s="565" t="s">
        <v>913</v>
      </c>
      <c r="E51" s="564"/>
      <c r="F51" s="581"/>
      <c r="G51" s="566"/>
      <c r="H51" s="565" t="s">
        <v>374</v>
      </c>
      <c r="I51" s="582">
        <v>794400</v>
      </c>
      <c r="J51" s="582">
        <v>55608.000000000007</v>
      </c>
      <c r="K51" s="567"/>
      <c r="L51" s="568"/>
      <c r="M51" s="569"/>
      <c r="N51" s="569"/>
      <c r="O51" s="569"/>
      <c r="P51" s="569"/>
      <c r="Q51" s="569">
        <v>0</v>
      </c>
      <c r="R51" s="569">
        <v>0</v>
      </c>
      <c r="S51" s="569">
        <v>0</v>
      </c>
      <c r="T51" s="569"/>
      <c r="U51" s="569"/>
      <c r="V51" s="570">
        <f t="shared" si="23"/>
        <v>0</v>
      </c>
      <c r="W51" s="571">
        <f t="shared" si="24"/>
        <v>0</v>
      </c>
      <c r="X51" s="570">
        <f t="shared" si="25"/>
        <v>0</v>
      </c>
      <c r="Y51" s="571">
        <f t="shared" si="26"/>
        <v>0</v>
      </c>
      <c r="Z51" s="572">
        <f t="shared" si="27"/>
        <v>794400</v>
      </c>
      <c r="AA51" s="573">
        <f t="shared" si="28"/>
        <v>1</v>
      </c>
      <c r="AB51" s="572">
        <f t="shared" si="29"/>
        <v>0</v>
      </c>
      <c r="AC51" s="574" t="str">
        <f t="shared" si="30"/>
        <v>Apartamento Disponible</v>
      </c>
      <c r="AD51" s="574" t="str">
        <f t="shared" si="31"/>
        <v>Disponible</v>
      </c>
      <c r="AE51" s="575"/>
      <c r="AF51" s="575">
        <f t="shared" si="32"/>
        <v>0</v>
      </c>
      <c r="AG51" s="575">
        <f t="shared" si="33"/>
        <v>0</v>
      </c>
      <c r="AH51" s="568"/>
      <c r="AI51" s="568"/>
      <c r="AJ51" s="574">
        <f t="shared" si="34"/>
        <v>0</v>
      </c>
      <c r="AK51" s="692">
        <f t="shared" si="20"/>
        <v>0</v>
      </c>
      <c r="AL51" s="577">
        <f t="shared" si="35"/>
        <v>0</v>
      </c>
      <c r="AM51" s="576">
        <f t="shared" si="36"/>
        <v>0</v>
      </c>
      <c r="AN51" s="576">
        <f t="shared" si="37"/>
        <v>0</v>
      </c>
      <c r="AO51" s="576">
        <f t="shared" si="38"/>
        <v>0</v>
      </c>
      <c r="AP51" s="576">
        <f t="shared" si="39"/>
        <v>0</v>
      </c>
      <c r="AQ51" s="576">
        <f t="shared" si="22"/>
        <v>0</v>
      </c>
      <c r="AR51" s="578">
        <f t="shared" si="40"/>
        <v>0</v>
      </c>
      <c r="AS51" s="579"/>
      <c r="AT51" s="579"/>
    </row>
    <row r="52" spans="1:46" s="563" customFormat="1" ht="13.9" customHeight="1" x14ac:dyDescent="0.25">
      <c r="A52" s="581"/>
      <c r="B52" s="564">
        <v>601</v>
      </c>
      <c r="C52" s="565" t="s">
        <v>1361</v>
      </c>
      <c r="D52" s="565" t="s">
        <v>913</v>
      </c>
      <c r="E52" s="564" t="s">
        <v>1363</v>
      </c>
      <c r="F52" s="581" t="s">
        <v>1378</v>
      </c>
      <c r="G52" s="566">
        <v>45908</v>
      </c>
      <c r="H52" s="565" t="s">
        <v>1355</v>
      </c>
      <c r="I52" s="582">
        <v>636400</v>
      </c>
      <c r="J52" s="582">
        <v>44600</v>
      </c>
      <c r="K52" s="567"/>
      <c r="L52" s="568"/>
      <c r="M52" s="569"/>
      <c r="N52" s="569"/>
      <c r="O52" s="569"/>
      <c r="P52" s="569"/>
      <c r="Q52" s="569">
        <v>3000</v>
      </c>
      <c r="R52" s="569">
        <v>1734</v>
      </c>
      <c r="S52" s="569">
        <v>1734</v>
      </c>
      <c r="T52" s="569">
        <v>1734</v>
      </c>
      <c r="U52" s="569">
        <v>1734</v>
      </c>
      <c r="V52" s="570">
        <f t="shared" si="23"/>
        <v>9936</v>
      </c>
      <c r="W52" s="571">
        <f t="shared" si="24"/>
        <v>0.22278026905829595</v>
      </c>
      <c r="X52" s="570">
        <f t="shared" si="25"/>
        <v>-34664</v>
      </c>
      <c r="Y52" s="571">
        <f t="shared" si="26"/>
        <v>-0.77721973094170405</v>
      </c>
      <c r="Z52" s="572">
        <f t="shared" si="27"/>
        <v>626464</v>
      </c>
      <c r="AA52" s="573">
        <f t="shared" si="28"/>
        <v>0.98438717787554997</v>
      </c>
      <c r="AB52" s="572">
        <f t="shared" si="29"/>
        <v>44600</v>
      </c>
      <c r="AC52" s="574" t="str">
        <f t="shared" si="30"/>
        <v>Vendido</v>
      </c>
      <c r="AD52" s="574" t="str">
        <f t="shared" si="31"/>
        <v>Cliente al día</v>
      </c>
      <c r="AE52" s="575"/>
      <c r="AF52" s="575">
        <f t="shared" si="32"/>
        <v>0</v>
      </c>
      <c r="AG52" s="575">
        <f t="shared" si="33"/>
        <v>0</v>
      </c>
      <c r="AH52" s="568"/>
      <c r="AI52" s="568"/>
      <c r="AJ52" s="574">
        <f t="shared" si="34"/>
        <v>0</v>
      </c>
      <c r="AK52" s="692">
        <f t="shared" si="20"/>
        <v>4</v>
      </c>
      <c r="AL52" s="577">
        <f t="shared" si="35"/>
        <v>0</v>
      </c>
      <c r="AM52" s="576">
        <f t="shared" si="36"/>
        <v>0</v>
      </c>
      <c r="AN52" s="576">
        <f t="shared" si="37"/>
        <v>0</v>
      </c>
      <c r="AO52" s="576">
        <f t="shared" si="38"/>
        <v>9936</v>
      </c>
      <c r="AP52" s="576">
        <f t="shared" si="39"/>
        <v>9936</v>
      </c>
      <c r="AQ52" s="576">
        <f t="shared" si="22"/>
        <v>0</v>
      </c>
      <c r="AR52" s="578" t="e">
        <f t="shared" si="40"/>
        <v>#DIV/0!</v>
      </c>
      <c r="AS52" s="579"/>
      <c r="AT52" s="579"/>
    </row>
    <row r="53" spans="1:46" s="563" customFormat="1" ht="13.9" customHeight="1" x14ac:dyDescent="0.25">
      <c r="A53" s="581"/>
      <c r="B53" s="564">
        <v>602</v>
      </c>
      <c r="C53" s="565" t="s">
        <v>1362</v>
      </c>
      <c r="D53" s="565" t="s">
        <v>913</v>
      </c>
      <c r="E53" s="564"/>
      <c r="F53" s="581" t="s">
        <v>1379</v>
      </c>
      <c r="G53" s="566">
        <v>45942</v>
      </c>
      <c r="H53" s="565" t="s">
        <v>956</v>
      </c>
      <c r="I53" s="582">
        <v>744000</v>
      </c>
      <c r="J53" s="582">
        <v>52100</v>
      </c>
      <c r="K53" s="567"/>
      <c r="L53" s="568"/>
      <c r="M53" s="569"/>
      <c r="N53" s="569"/>
      <c r="O53" s="569"/>
      <c r="P53" s="569"/>
      <c r="Q53" s="569">
        <v>0</v>
      </c>
      <c r="R53" s="569">
        <v>3000</v>
      </c>
      <c r="S53" s="569">
        <v>3000</v>
      </c>
      <c r="T53" s="569">
        <v>3000</v>
      </c>
      <c r="U53" s="569">
        <v>3000</v>
      </c>
      <c r="V53" s="570">
        <f t="shared" si="23"/>
        <v>12000</v>
      </c>
      <c r="W53" s="571">
        <f t="shared" si="24"/>
        <v>0.23032629558541268</v>
      </c>
      <c r="X53" s="570">
        <f t="shared" si="25"/>
        <v>-40100</v>
      </c>
      <c r="Y53" s="571">
        <f t="shared" si="26"/>
        <v>-0.76967370441458738</v>
      </c>
      <c r="Z53" s="572">
        <f t="shared" si="27"/>
        <v>732000</v>
      </c>
      <c r="AA53" s="573">
        <f t="shared" si="28"/>
        <v>0.9838709677419355</v>
      </c>
      <c r="AB53" s="572">
        <f t="shared" si="29"/>
        <v>52100</v>
      </c>
      <c r="AC53" s="574" t="str">
        <f t="shared" si="30"/>
        <v>Vendido</v>
      </c>
      <c r="AD53" s="574" t="str">
        <f t="shared" si="31"/>
        <v>Cliente al día</v>
      </c>
      <c r="AE53" s="575"/>
      <c r="AF53" s="575">
        <f t="shared" si="32"/>
        <v>0</v>
      </c>
      <c r="AG53" s="575">
        <f t="shared" si="33"/>
        <v>0</v>
      </c>
      <c r="AH53" s="568"/>
      <c r="AI53" s="568"/>
      <c r="AJ53" s="574">
        <f t="shared" si="34"/>
        <v>0</v>
      </c>
      <c r="AK53" s="692">
        <f t="shared" si="20"/>
        <v>3</v>
      </c>
      <c r="AL53" s="577">
        <f t="shared" si="35"/>
        <v>0</v>
      </c>
      <c r="AM53" s="576">
        <f t="shared" si="36"/>
        <v>0</v>
      </c>
      <c r="AN53" s="576">
        <f t="shared" si="37"/>
        <v>0</v>
      </c>
      <c r="AO53" s="576">
        <f t="shared" si="38"/>
        <v>12000</v>
      </c>
      <c r="AP53" s="576">
        <f t="shared" si="39"/>
        <v>12000</v>
      </c>
      <c r="AQ53" s="576">
        <f t="shared" si="22"/>
        <v>0</v>
      </c>
      <c r="AR53" s="578" t="e">
        <f t="shared" si="40"/>
        <v>#DIV/0!</v>
      </c>
      <c r="AS53" s="579"/>
      <c r="AT53" s="579"/>
    </row>
    <row r="54" spans="1:46" s="563" customFormat="1" ht="13.9" customHeight="1" x14ac:dyDescent="0.25">
      <c r="A54" s="581"/>
      <c r="B54" s="564">
        <v>603</v>
      </c>
      <c r="C54" s="565" t="s">
        <v>1362</v>
      </c>
      <c r="D54" s="565" t="s">
        <v>913</v>
      </c>
      <c r="E54" s="565" t="s">
        <v>917</v>
      </c>
      <c r="F54" s="581" t="s">
        <v>1380</v>
      </c>
      <c r="G54" s="566">
        <v>45977</v>
      </c>
      <c r="H54" s="565" t="s">
        <v>956</v>
      </c>
      <c r="I54" s="582">
        <v>744000</v>
      </c>
      <c r="J54" s="582">
        <v>52100</v>
      </c>
      <c r="K54" s="567"/>
      <c r="L54" s="568"/>
      <c r="M54" s="569"/>
      <c r="N54" s="569"/>
      <c r="O54" s="569"/>
      <c r="P54" s="569"/>
      <c r="Q54" s="569">
        <v>0</v>
      </c>
      <c r="R54" s="569">
        <v>0</v>
      </c>
      <c r="S54" s="569">
        <v>2000</v>
      </c>
      <c r="T54" s="569"/>
      <c r="U54" s="569"/>
      <c r="V54" s="570">
        <f t="shared" si="23"/>
        <v>2000</v>
      </c>
      <c r="W54" s="571">
        <f t="shared" si="24"/>
        <v>3.8387715930902108E-2</v>
      </c>
      <c r="X54" s="570">
        <f t="shared" si="25"/>
        <v>-50100</v>
      </c>
      <c r="Y54" s="571">
        <f t="shared" si="26"/>
        <v>-0.96161228406909793</v>
      </c>
      <c r="Z54" s="572">
        <f t="shared" si="27"/>
        <v>742000</v>
      </c>
      <c r="AA54" s="573">
        <f t="shared" si="28"/>
        <v>0.99731182795698925</v>
      </c>
      <c r="AB54" s="572">
        <f t="shared" si="29"/>
        <v>52100</v>
      </c>
      <c r="AC54" s="574" t="str">
        <f t="shared" si="30"/>
        <v>Vendido</v>
      </c>
      <c r="AD54" s="574" t="str">
        <f t="shared" si="31"/>
        <v>Cliente al día</v>
      </c>
      <c r="AE54" s="575"/>
      <c r="AF54" s="575">
        <f t="shared" si="32"/>
        <v>0</v>
      </c>
      <c r="AG54" s="575">
        <f t="shared" si="33"/>
        <v>0</v>
      </c>
      <c r="AH54" s="568"/>
      <c r="AI54" s="568"/>
      <c r="AJ54" s="574">
        <f t="shared" si="34"/>
        <v>0</v>
      </c>
      <c r="AK54" s="692">
        <f t="shared" si="20"/>
        <v>2</v>
      </c>
      <c r="AL54" s="577">
        <f t="shared" si="35"/>
        <v>0</v>
      </c>
      <c r="AM54" s="576">
        <f t="shared" si="36"/>
        <v>0</v>
      </c>
      <c r="AN54" s="576">
        <f t="shared" si="37"/>
        <v>0</v>
      </c>
      <c r="AO54" s="576">
        <f t="shared" si="38"/>
        <v>2000</v>
      </c>
      <c r="AP54" s="576">
        <f t="shared" si="39"/>
        <v>2000</v>
      </c>
      <c r="AQ54" s="576">
        <f t="shared" si="22"/>
        <v>0</v>
      </c>
      <c r="AR54" s="578" t="e">
        <f t="shared" si="40"/>
        <v>#DIV/0!</v>
      </c>
      <c r="AS54" s="579"/>
      <c r="AT54" s="579"/>
    </row>
    <row r="55" spans="1:46" s="563" customFormat="1" ht="13.9" customHeight="1" x14ac:dyDescent="0.25">
      <c r="A55" s="581"/>
      <c r="B55" s="564">
        <v>604</v>
      </c>
      <c r="C55" s="565" t="s">
        <v>1361</v>
      </c>
      <c r="D55" s="565" t="s">
        <v>913</v>
      </c>
      <c r="E55" s="564"/>
      <c r="F55" s="581" t="s">
        <v>1381</v>
      </c>
      <c r="G55" s="566">
        <v>45864</v>
      </c>
      <c r="H55" s="565" t="s">
        <v>1355</v>
      </c>
      <c r="I55" s="582">
        <v>636400</v>
      </c>
      <c r="J55" s="582">
        <v>44548.000000000007</v>
      </c>
      <c r="K55" s="567"/>
      <c r="L55" s="568"/>
      <c r="M55" s="569"/>
      <c r="N55" s="569"/>
      <c r="O55" s="569">
        <v>3000</v>
      </c>
      <c r="P55" s="569">
        <v>1597</v>
      </c>
      <c r="Q55" s="569">
        <v>0</v>
      </c>
      <c r="R55" s="569">
        <v>1597</v>
      </c>
      <c r="S55" s="569">
        <v>0</v>
      </c>
      <c r="T55" s="569">
        <f>1597+1597</f>
        <v>3194</v>
      </c>
      <c r="U55" s="569"/>
      <c r="V55" s="570">
        <f t="shared" si="23"/>
        <v>9388</v>
      </c>
      <c r="W55" s="571">
        <f t="shared" si="24"/>
        <v>0.21073897818083862</v>
      </c>
      <c r="X55" s="570">
        <f t="shared" si="25"/>
        <v>-35160.000000000007</v>
      </c>
      <c r="Y55" s="571">
        <f t="shared" si="26"/>
        <v>-0.78926102181916136</v>
      </c>
      <c r="Z55" s="572">
        <f t="shared" si="27"/>
        <v>627012</v>
      </c>
      <c r="AA55" s="573">
        <f t="shared" si="28"/>
        <v>0.98524827152734129</v>
      </c>
      <c r="AB55" s="572">
        <f t="shared" si="29"/>
        <v>44548.000000000007</v>
      </c>
      <c r="AC55" s="574" t="str">
        <f t="shared" si="30"/>
        <v>Vendido</v>
      </c>
      <c r="AD55" s="574" t="str">
        <f t="shared" si="31"/>
        <v>Cliente al día</v>
      </c>
      <c r="AE55" s="575"/>
      <c r="AF55" s="575">
        <f t="shared" si="32"/>
        <v>0</v>
      </c>
      <c r="AG55" s="575">
        <f t="shared" si="33"/>
        <v>0</v>
      </c>
      <c r="AH55" s="568"/>
      <c r="AI55" s="568"/>
      <c r="AJ55" s="574">
        <f t="shared" si="34"/>
        <v>0</v>
      </c>
      <c r="AK55" s="692">
        <f t="shared" si="20"/>
        <v>6</v>
      </c>
      <c r="AL55" s="577">
        <f t="shared" si="35"/>
        <v>0</v>
      </c>
      <c r="AM55" s="576">
        <f t="shared" si="36"/>
        <v>0</v>
      </c>
      <c r="AN55" s="576">
        <f t="shared" si="37"/>
        <v>0</v>
      </c>
      <c r="AO55" s="576">
        <f t="shared" si="38"/>
        <v>9388</v>
      </c>
      <c r="AP55" s="576">
        <f t="shared" si="39"/>
        <v>9388</v>
      </c>
      <c r="AQ55" s="576">
        <f t="shared" si="22"/>
        <v>0</v>
      </c>
      <c r="AR55" s="578" t="e">
        <f t="shared" si="40"/>
        <v>#DIV/0!</v>
      </c>
      <c r="AS55" s="579"/>
      <c r="AT55" s="579"/>
    </row>
    <row r="56" spans="1:46" s="563" customFormat="1" ht="13.9" customHeight="1" x14ac:dyDescent="0.25">
      <c r="A56" s="581"/>
      <c r="B56" s="564">
        <v>605</v>
      </c>
      <c r="C56" s="565" t="s">
        <v>1361</v>
      </c>
      <c r="D56" s="565" t="s">
        <v>913</v>
      </c>
      <c r="E56" s="564"/>
      <c r="F56" s="581" t="s">
        <v>1382</v>
      </c>
      <c r="G56" s="566">
        <v>45872</v>
      </c>
      <c r="H56" s="565" t="s">
        <v>1355</v>
      </c>
      <c r="I56" s="582">
        <v>636400</v>
      </c>
      <c r="J56" s="582">
        <v>44548.000000000007</v>
      </c>
      <c r="K56" s="567"/>
      <c r="L56" s="568"/>
      <c r="M56" s="569"/>
      <c r="N56" s="569"/>
      <c r="O56" s="569"/>
      <c r="P56" s="569">
        <v>3000</v>
      </c>
      <c r="Q56" s="569">
        <v>1680</v>
      </c>
      <c r="R56" s="569">
        <v>1680</v>
      </c>
      <c r="S56" s="569">
        <v>1680</v>
      </c>
      <c r="T56" s="569">
        <v>1680</v>
      </c>
      <c r="U56" s="569"/>
      <c r="V56" s="570">
        <f t="shared" si="23"/>
        <v>9720</v>
      </c>
      <c r="W56" s="571">
        <f t="shared" si="24"/>
        <v>0.21819161354045072</v>
      </c>
      <c r="X56" s="570">
        <f t="shared" si="25"/>
        <v>-34828.000000000007</v>
      </c>
      <c r="Y56" s="571">
        <f t="shared" si="26"/>
        <v>-0.78180838645954931</v>
      </c>
      <c r="Z56" s="572">
        <f t="shared" si="27"/>
        <v>626680</v>
      </c>
      <c r="AA56" s="573">
        <f t="shared" si="28"/>
        <v>0.98472658705216842</v>
      </c>
      <c r="AB56" s="572">
        <f t="shared" si="29"/>
        <v>44548.000000000007</v>
      </c>
      <c r="AC56" s="574" t="str">
        <f t="shared" si="30"/>
        <v>Vendido</v>
      </c>
      <c r="AD56" s="574" t="str">
        <f t="shared" si="31"/>
        <v>Cliente al día</v>
      </c>
      <c r="AE56" s="575"/>
      <c r="AF56" s="575">
        <f t="shared" si="32"/>
        <v>0</v>
      </c>
      <c r="AG56" s="575">
        <f t="shared" si="33"/>
        <v>0</v>
      </c>
      <c r="AH56" s="568"/>
      <c r="AI56" s="568"/>
      <c r="AJ56" s="574">
        <f t="shared" si="34"/>
        <v>0</v>
      </c>
      <c r="AK56" s="692">
        <f t="shared" si="20"/>
        <v>5</v>
      </c>
      <c r="AL56" s="577">
        <f t="shared" si="35"/>
        <v>0</v>
      </c>
      <c r="AM56" s="576">
        <f t="shared" si="36"/>
        <v>0</v>
      </c>
      <c r="AN56" s="576">
        <f t="shared" si="37"/>
        <v>0</v>
      </c>
      <c r="AO56" s="576">
        <f t="shared" si="38"/>
        <v>9720</v>
      </c>
      <c r="AP56" s="576">
        <f t="shared" si="39"/>
        <v>9720</v>
      </c>
      <c r="AQ56" s="576">
        <f t="shared" si="22"/>
        <v>0</v>
      </c>
      <c r="AR56" s="578" t="e">
        <f t="shared" si="40"/>
        <v>#DIV/0!</v>
      </c>
      <c r="AS56" s="579"/>
      <c r="AT56" s="579"/>
    </row>
    <row r="57" spans="1:46" s="563" customFormat="1" ht="13.9" customHeight="1" x14ac:dyDescent="0.25">
      <c r="A57" s="581"/>
      <c r="B57" s="564">
        <v>606</v>
      </c>
      <c r="C57" s="565" t="s">
        <v>1365</v>
      </c>
      <c r="D57" s="565" t="s">
        <v>913</v>
      </c>
      <c r="E57" s="564"/>
      <c r="F57" s="581"/>
      <c r="G57" s="566"/>
      <c r="H57" s="565" t="s">
        <v>374</v>
      </c>
      <c r="I57" s="582">
        <v>813000</v>
      </c>
      <c r="J57" s="582">
        <v>56910.000000000007</v>
      </c>
      <c r="K57" s="567"/>
      <c r="L57" s="568"/>
      <c r="M57" s="569"/>
      <c r="N57" s="569"/>
      <c r="O57" s="569"/>
      <c r="P57" s="569"/>
      <c r="Q57" s="569">
        <v>0</v>
      </c>
      <c r="R57" s="569">
        <v>0</v>
      </c>
      <c r="S57" s="569">
        <v>0</v>
      </c>
      <c r="T57" s="569"/>
      <c r="U57" s="569"/>
      <c r="V57" s="570">
        <f t="shared" si="23"/>
        <v>0</v>
      </c>
      <c r="W57" s="571">
        <f t="shared" si="24"/>
        <v>0</v>
      </c>
      <c r="X57" s="570">
        <f t="shared" si="25"/>
        <v>0</v>
      </c>
      <c r="Y57" s="571">
        <f t="shared" si="26"/>
        <v>0</v>
      </c>
      <c r="Z57" s="572">
        <f t="shared" si="27"/>
        <v>813000</v>
      </c>
      <c r="AA57" s="573">
        <f t="shared" si="28"/>
        <v>1</v>
      </c>
      <c r="AB57" s="572">
        <f t="shared" si="29"/>
        <v>0</v>
      </c>
      <c r="AC57" s="574" t="str">
        <f t="shared" si="30"/>
        <v>Apartamento Disponible</v>
      </c>
      <c r="AD57" s="574" t="str">
        <f t="shared" si="31"/>
        <v>Disponible</v>
      </c>
      <c r="AE57" s="575"/>
      <c r="AF57" s="575">
        <f t="shared" si="32"/>
        <v>0</v>
      </c>
      <c r="AG57" s="575">
        <f t="shared" si="33"/>
        <v>0</v>
      </c>
      <c r="AH57" s="568"/>
      <c r="AI57" s="568"/>
      <c r="AJ57" s="574">
        <f t="shared" si="34"/>
        <v>0</v>
      </c>
      <c r="AK57" s="692">
        <f t="shared" si="20"/>
        <v>0</v>
      </c>
      <c r="AL57" s="577">
        <f t="shared" si="35"/>
        <v>0</v>
      </c>
      <c r="AM57" s="576">
        <f t="shared" si="36"/>
        <v>0</v>
      </c>
      <c r="AN57" s="576">
        <f t="shared" si="37"/>
        <v>0</v>
      </c>
      <c r="AO57" s="576">
        <f t="shared" si="38"/>
        <v>0</v>
      </c>
      <c r="AP57" s="576">
        <f t="shared" si="39"/>
        <v>0</v>
      </c>
      <c r="AQ57" s="576">
        <f t="shared" si="22"/>
        <v>0</v>
      </c>
      <c r="AR57" s="578">
        <f t="shared" si="40"/>
        <v>0</v>
      </c>
      <c r="AS57" s="579"/>
      <c r="AT57" s="579"/>
    </row>
    <row r="58" spans="1:46" s="563" customFormat="1" ht="13.9" customHeight="1" x14ac:dyDescent="0.25">
      <c r="A58" s="581"/>
      <c r="B58" s="564">
        <v>607</v>
      </c>
      <c r="C58" s="565" t="s">
        <v>1362</v>
      </c>
      <c r="D58" s="565" t="s">
        <v>913</v>
      </c>
      <c r="E58" s="564"/>
      <c r="F58" s="581"/>
      <c r="G58" s="566"/>
      <c r="H58" s="565" t="s">
        <v>374</v>
      </c>
      <c r="I58" s="582">
        <v>945900</v>
      </c>
      <c r="J58" s="582">
        <v>66213</v>
      </c>
      <c r="K58" s="567"/>
      <c r="L58" s="568"/>
      <c r="M58" s="569"/>
      <c r="N58" s="569"/>
      <c r="O58" s="569"/>
      <c r="P58" s="569"/>
      <c r="Q58" s="569">
        <v>0</v>
      </c>
      <c r="R58" s="569">
        <v>0</v>
      </c>
      <c r="S58" s="569">
        <v>0</v>
      </c>
      <c r="T58" s="569"/>
      <c r="U58" s="569"/>
      <c r="V58" s="570">
        <f t="shared" si="23"/>
        <v>0</v>
      </c>
      <c r="W58" s="571">
        <f t="shared" si="24"/>
        <v>0</v>
      </c>
      <c r="X58" s="570">
        <f t="shared" si="25"/>
        <v>0</v>
      </c>
      <c r="Y58" s="571">
        <f t="shared" si="26"/>
        <v>0</v>
      </c>
      <c r="Z58" s="572">
        <f t="shared" si="27"/>
        <v>945900</v>
      </c>
      <c r="AA58" s="573">
        <f t="shared" si="28"/>
        <v>1</v>
      </c>
      <c r="AB58" s="572">
        <f t="shared" si="29"/>
        <v>0</v>
      </c>
      <c r="AC58" s="574" t="str">
        <f t="shared" si="30"/>
        <v>Apartamento Disponible</v>
      </c>
      <c r="AD58" s="574" t="str">
        <f t="shared" si="31"/>
        <v>Disponible</v>
      </c>
      <c r="AE58" s="575"/>
      <c r="AF58" s="575">
        <f t="shared" si="32"/>
        <v>0</v>
      </c>
      <c r="AG58" s="575">
        <f t="shared" si="33"/>
        <v>0</v>
      </c>
      <c r="AH58" s="568"/>
      <c r="AI58" s="568"/>
      <c r="AJ58" s="574">
        <f t="shared" si="34"/>
        <v>0</v>
      </c>
      <c r="AK58" s="692">
        <f t="shared" si="20"/>
        <v>0</v>
      </c>
      <c r="AL58" s="577">
        <f t="shared" si="35"/>
        <v>0</v>
      </c>
      <c r="AM58" s="576">
        <f t="shared" si="36"/>
        <v>0</v>
      </c>
      <c r="AN58" s="576">
        <f t="shared" si="37"/>
        <v>0</v>
      </c>
      <c r="AO58" s="576">
        <f t="shared" si="38"/>
        <v>0</v>
      </c>
      <c r="AP58" s="576">
        <f t="shared" si="39"/>
        <v>0</v>
      </c>
      <c r="AQ58" s="576">
        <f t="shared" si="22"/>
        <v>0</v>
      </c>
      <c r="AR58" s="578">
        <f t="shared" si="40"/>
        <v>0</v>
      </c>
      <c r="AS58" s="579"/>
      <c r="AT58" s="579"/>
    </row>
    <row r="59" spans="1:46" s="563" customFormat="1" ht="13.9" customHeight="1" x14ac:dyDescent="0.2">
      <c r="A59" s="581"/>
      <c r="B59" s="564">
        <v>608</v>
      </c>
      <c r="C59" s="565" t="s">
        <v>1362</v>
      </c>
      <c r="D59" s="565" t="s">
        <v>913</v>
      </c>
      <c r="E59" s="564" t="s">
        <v>1363</v>
      </c>
      <c r="F59" s="898" t="s">
        <v>1383</v>
      </c>
      <c r="G59" s="566">
        <v>46013</v>
      </c>
      <c r="H59" s="565" t="s">
        <v>374</v>
      </c>
      <c r="I59" s="582">
        <v>945900</v>
      </c>
      <c r="J59" s="582">
        <v>66213</v>
      </c>
      <c r="K59" s="567"/>
      <c r="L59" s="568"/>
      <c r="M59" s="569"/>
      <c r="N59" s="569"/>
      <c r="O59" s="569"/>
      <c r="P59" s="569"/>
      <c r="Q59" s="569">
        <v>0</v>
      </c>
      <c r="R59" s="569">
        <v>0</v>
      </c>
      <c r="S59" s="569">
        <v>0</v>
      </c>
      <c r="T59" s="569">
        <f>1000+2000</f>
        <v>3000</v>
      </c>
      <c r="U59" s="569">
        <v>1500</v>
      </c>
      <c r="V59" s="570">
        <f t="shared" si="23"/>
        <v>4500</v>
      </c>
      <c r="W59" s="571">
        <f t="shared" si="24"/>
        <v>6.7962484708440934E-2</v>
      </c>
      <c r="X59" s="570">
        <f t="shared" si="25"/>
        <v>-61713</v>
      </c>
      <c r="Y59" s="571">
        <f t="shared" si="26"/>
        <v>-0.93203751529155909</v>
      </c>
      <c r="Z59" s="572">
        <f t="shared" si="27"/>
        <v>941400</v>
      </c>
      <c r="AA59" s="573">
        <f t="shared" si="28"/>
        <v>0.99524262607040914</v>
      </c>
      <c r="AB59" s="572">
        <f t="shared" si="29"/>
        <v>66213</v>
      </c>
      <c r="AC59" s="574" t="str">
        <f t="shared" si="30"/>
        <v>Vendido</v>
      </c>
      <c r="AD59" s="574" t="str">
        <f t="shared" si="31"/>
        <v>Cliente al día</v>
      </c>
      <c r="AE59" s="575"/>
      <c r="AF59" s="575">
        <f t="shared" si="32"/>
        <v>0</v>
      </c>
      <c r="AG59" s="575">
        <f t="shared" si="33"/>
        <v>0</v>
      </c>
      <c r="AH59" s="568"/>
      <c r="AI59" s="568"/>
      <c r="AJ59" s="574">
        <f t="shared" si="34"/>
        <v>0</v>
      </c>
      <c r="AK59" s="692">
        <f t="shared" si="20"/>
        <v>1</v>
      </c>
      <c r="AL59" s="577">
        <f t="shared" si="35"/>
        <v>0</v>
      </c>
      <c r="AM59" s="576">
        <f t="shared" si="36"/>
        <v>0</v>
      </c>
      <c r="AN59" s="576">
        <f t="shared" si="37"/>
        <v>0</v>
      </c>
      <c r="AO59" s="576">
        <f t="shared" si="38"/>
        <v>4500</v>
      </c>
      <c r="AP59" s="576">
        <f t="shared" si="39"/>
        <v>4500</v>
      </c>
      <c r="AQ59" s="576">
        <f t="shared" si="22"/>
        <v>0</v>
      </c>
      <c r="AR59" s="578" t="e">
        <f t="shared" si="40"/>
        <v>#DIV/0!</v>
      </c>
      <c r="AS59" s="579"/>
      <c r="AT59" s="579"/>
    </row>
    <row r="60" spans="1:46" s="563" customFormat="1" ht="13.9" customHeight="1" x14ac:dyDescent="0.25">
      <c r="A60" s="581"/>
      <c r="B60" s="564">
        <v>609</v>
      </c>
      <c r="C60" s="565" t="s">
        <v>1365</v>
      </c>
      <c r="D60" s="565" t="s">
        <v>913</v>
      </c>
      <c r="E60" s="564"/>
      <c r="F60" s="581"/>
      <c r="G60" s="566"/>
      <c r="H60" s="565" t="s">
        <v>374</v>
      </c>
      <c r="I60" s="582">
        <v>813000</v>
      </c>
      <c r="J60" s="582">
        <v>56910.000000000007</v>
      </c>
      <c r="K60" s="567"/>
      <c r="L60" s="568"/>
      <c r="M60" s="569"/>
      <c r="N60" s="569"/>
      <c r="O60" s="569"/>
      <c r="P60" s="569"/>
      <c r="Q60" s="569">
        <v>0</v>
      </c>
      <c r="R60" s="569">
        <v>0</v>
      </c>
      <c r="S60" s="569">
        <v>0</v>
      </c>
      <c r="T60" s="569"/>
      <c r="U60" s="569"/>
      <c r="V60" s="570">
        <f t="shared" si="23"/>
        <v>0</v>
      </c>
      <c r="W60" s="571">
        <f t="shared" si="24"/>
        <v>0</v>
      </c>
      <c r="X60" s="570">
        <f t="shared" si="25"/>
        <v>0</v>
      </c>
      <c r="Y60" s="571">
        <f t="shared" si="26"/>
        <v>0</v>
      </c>
      <c r="Z60" s="572">
        <f t="shared" si="27"/>
        <v>813000</v>
      </c>
      <c r="AA60" s="573">
        <f t="shared" si="28"/>
        <v>1</v>
      </c>
      <c r="AB60" s="572">
        <f t="shared" si="29"/>
        <v>0</v>
      </c>
      <c r="AC60" s="574" t="str">
        <f t="shared" si="30"/>
        <v>Apartamento Disponible</v>
      </c>
      <c r="AD60" s="574" t="str">
        <f t="shared" si="31"/>
        <v>Disponible</v>
      </c>
      <c r="AE60" s="575"/>
      <c r="AF60" s="575">
        <f t="shared" si="32"/>
        <v>0</v>
      </c>
      <c r="AG60" s="575">
        <f t="shared" si="33"/>
        <v>0</v>
      </c>
      <c r="AH60" s="568"/>
      <c r="AI60" s="568"/>
      <c r="AJ60" s="574">
        <f t="shared" si="34"/>
        <v>0</v>
      </c>
      <c r="AK60" s="692">
        <f t="shared" si="20"/>
        <v>0</v>
      </c>
      <c r="AL60" s="577">
        <f t="shared" si="35"/>
        <v>0</v>
      </c>
      <c r="AM60" s="576">
        <f t="shared" si="36"/>
        <v>0</v>
      </c>
      <c r="AN60" s="576">
        <f t="shared" si="37"/>
        <v>0</v>
      </c>
      <c r="AO60" s="576">
        <f t="shared" si="38"/>
        <v>0</v>
      </c>
      <c r="AP60" s="576">
        <f t="shared" si="39"/>
        <v>0</v>
      </c>
      <c r="AQ60" s="576">
        <f t="shared" si="22"/>
        <v>0</v>
      </c>
      <c r="AR60" s="578">
        <f t="shared" si="40"/>
        <v>0</v>
      </c>
      <c r="AS60" s="579"/>
      <c r="AT60" s="579"/>
    </row>
    <row r="61" spans="1:46" s="563" customFormat="1" ht="13.9" customHeight="1" x14ac:dyDescent="0.25">
      <c r="A61" s="582"/>
      <c r="B61" s="564">
        <v>701</v>
      </c>
      <c r="C61" s="565" t="s">
        <v>1361</v>
      </c>
      <c r="D61" s="565" t="s">
        <v>913</v>
      </c>
      <c r="E61" s="564" t="s">
        <v>1369</v>
      </c>
      <c r="F61" s="581" t="s">
        <v>1384</v>
      </c>
      <c r="G61" s="566">
        <v>45772</v>
      </c>
      <c r="H61" s="565" t="s">
        <v>1355</v>
      </c>
      <c r="I61" s="582">
        <v>636400</v>
      </c>
      <c r="J61" s="582">
        <v>63700</v>
      </c>
      <c r="K61" s="567"/>
      <c r="L61" s="568">
        <v>5000</v>
      </c>
      <c r="M61" s="569">
        <v>2174.0700000000002</v>
      </c>
      <c r="N61" s="569">
        <v>2174.0700000000002</v>
      </c>
      <c r="O61" s="569">
        <v>2174.0700000000002</v>
      </c>
      <c r="P61" s="569">
        <v>2174.0700000000002</v>
      </c>
      <c r="Q61" s="569">
        <v>2174.0700000000002</v>
      </c>
      <c r="R61" s="569">
        <v>2174.0700000000002</v>
      </c>
      <c r="S61" s="569">
        <v>2174.0700000000002</v>
      </c>
      <c r="T61" s="569"/>
      <c r="U61" s="569"/>
      <c r="V61" s="570">
        <f t="shared" si="23"/>
        <v>20218.489999999998</v>
      </c>
      <c r="W61" s="571">
        <f t="shared" si="24"/>
        <v>0.31740172684458395</v>
      </c>
      <c r="X61" s="570">
        <f t="shared" si="25"/>
        <v>-43481.51</v>
      </c>
      <c r="Y61" s="571">
        <f t="shared" si="26"/>
        <v>-0.68259827315541599</v>
      </c>
      <c r="Z61" s="572">
        <f t="shared" si="27"/>
        <v>616181.51</v>
      </c>
      <c r="AA61" s="573">
        <f t="shared" si="28"/>
        <v>0.96822990257699559</v>
      </c>
      <c r="AB61" s="572">
        <f t="shared" si="29"/>
        <v>63700</v>
      </c>
      <c r="AC61" s="574" t="str">
        <f t="shared" si="30"/>
        <v>Vendido</v>
      </c>
      <c r="AD61" s="574" t="str">
        <f t="shared" si="31"/>
        <v>Cliente al día</v>
      </c>
      <c r="AE61" s="575">
        <v>27</v>
      </c>
      <c r="AF61" s="575">
        <f t="shared" si="32"/>
        <v>1</v>
      </c>
      <c r="AG61" s="575">
        <f t="shared" si="33"/>
        <v>28</v>
      </c>
      <c r="AH61" s="568">
        <v>5000</v>
      </c>
      <c r="AI61" s="568">
        <v>2147.0700000000002</v>
      </c>
      <c r="AJ61" s="574">
        <f t="shared" si="34"/>
        <v>7</v>
      </c>
      <c r="AK61" s="692">
        <f t="shared" si="20"/>
        <v>9</v>
      </c>
      <c r="AL61" s="577">
        <f t="shared" si="35"/>
        <v>20029.490000000002</v>
      </c>
      <c r="AM61" s="576">
        <f t="shared" si="36"/>
        <v>0</v>
      </c>
      <c r="AN61" s="576">
        <f t="shared" si="37"/>
        <v>20218.489999999998</v>
      </c>
      <c r="AO61" s="576">
        <f t="shared" si="38"/>
        <v>0</v>
      </c>
      <c r="AP61" s="576">
        <f t="shared" si="39"/>
        <v>188.99999999999636</v>
      </c>
      <c r="AQ61" s="576">
        <f t="shared" si="22"/>
        <v>0</v>
      </c>
      <c r="AR61" s="578">
        <f t="shared" si="40"/>
        <v>0</v>
      </c>
      <c r="AS61" s="579"/>
      <c r="AT61" s="579"/>
    </row>
    <row r="62" spans="1:46" s="563" customFormat="1" ht="13.9" customHeight="1" x14ac:dyDescent="0.25">
      <c r="A62" s="582"/>
      <c r="B62" s="564">
        <v>702</v>
      </c>
      <c r="C62" s="565" t="s">
        <v>1362</v>
      </c>
      <c r="D62" s="565" t="s">
        <v>913</v>
      </c>
      <c r="E62" s="564" t="s">
        <v>917</v>
      </c>
      <c r="F62" s="581" t="s">
        <v>1385</v>
      </c>
      <c r="G62" s="566">
        <v>45902</v>
      </c>
      <c r="H62" s="565" t="s">
        <v>1355</v>
      </c>
      <c r="I62" s="582">
        <v>744000</v>
      </c>
      <c r="J62" s="582">
        <v>52100</v>
      </c>
      <c r="K62" s="567"/>
      <c r="L62" s="568"/>
      <c r="M62" s="569"/>
      <c r="N62" s="569"/>
      <c r="O62" s="569"/>
      <c r="P62" s="569"/>
      <c r="Q62" s="569">
        <v>3000</v>
      </c>
      <c r="R62" s="569">
        <v>2046</v>
      </c>
      <c r="S62" s="569">
        <v>2046</v>
      </c>
      <c r="T62" s="569">
        <v>2046</v>
      </c>
      <c r="U62" s="569"/>
      <c r="V62" s="570">
        <f t="shared" si="23"/>
        <v>9138</v>
      </c>
      <c r="W62" s="571">
        <f t="shared" si="24"/>
        <v>0.17539347408829176</v>
      </c>
      <c r="X62" s="570">
        <f t="shared" si="25"/>
        <v>-42962</v>
      </c>
      <c r="Y62" s="571">
        <f t="shared" si="26"/>
        <v>-0.82460652591170824</v>
      </c>
      <c r="Z62" s="572">
        <f t="shared" si="27"/>
        <v>734862</v>
      </c>
      <c r="AA62" s="573">
        <f t="shared" si="28"/>
        <v>0.98771774193548389</v>
      </c>
      <c r="AB62" s="572">
        <f t="shared" si="29"/>
        <v>52100</v>
      </c>
      <c r="AC62" s="574" t="str">
        <f t="shared" si="30"/>
        <v>Vendido</v>
      </c>
      <c r="AD62" s="574" t="str">
        <f t="shared" si="31"/>
        <v>Cliente al día</v>
      </c>
      <c r="AE62" s="575"/>
      <c r="AF62" s="575">
        <f t="shared" si="32"/>
        <v>0</v>
      </c>
      <c r="AG62" s="575">
        <f t="shared" si="33"/>
        <v>0</v>
      </c>
      <c r="AH62" s="568"/>
      <c r="AI62" s="568"/>
      <c r="AJ62" s="574">
        <f t="shared" si="34"/>
        <v>0</v>
      </c>
      <c r="AK62" s="692">
        <f t="shared" si="20"/>
        <v>4</v>
      </c>
      <c r="AL62" s="577">
        <f t="shared" si="35"/>
        <v>0</v>
      </c>
      <c r="AM62" s="576">
        <f t="shared" si="36"/>
        <v>0</v>
      </c>
      <c r="AN62" s="576">
        <f t="shared" si="37"/>
        <v>0</v>
      </c>
      <c r="AO62" s="576">
        <f t="shared" si="38"/>
        <v>9138</v>
      </c>
      <c r="AP62" s="576">
        <f t="shared" si="39"/>
        <v>9138</v>
      </c>
      <c r="AQ62" s="576">
        <f t="shared" si="22"/>
        <v>0</v>
      </c>
      <c r="AR62" s="578" t="e">
        <f t="shared" si="40"/>
        <v>#DIV/0!</v>
      </c>
      <c r="AS62" s="579"/>
      <c r="AT62" s="579"/>
    </row>
    <row r="63" spans="1:46" s="563" customFormat="1" ht="13.9" customHeight="1" x14ac:dyDescent="0.25">
      <c r="A63" s="582"/>
      <c r="B63" s="564">
        <v>703</v>
      </c>
      <c r="C63" s="565" t="s">
        <v>1362</v>
      </c>
      <c r="D63" s="565" t="s">
        <v>913</v>
      </c>
      <c r="E63" s="564"/>
      <c r="F63" s="581" t="s">
        <v>1386</v>
      </c>
      <c r="G63" s="566">
        <v>45948</v>
      </c>
      <c r="H63" s="565" t="s">
        <v>956</v>
      </c>
      <c r="I63" s="582">
        <v>744000</v>
      </c>
      <c r="J63" s="582">
        <v>52100</v>
      </c>
      <c r="K63" s="567"/>
      <c r="L63" s="568"/>
      <c r="M63" s="569"/>
      <c r="N63" s="569"/>
      <c r="O63" s="569"/>
      <c r="P63" s="569"/>
      <c r="Q63" s="569">
        <v>0</v>
      </c>
      <c r="R63" s="569">
        <v>3000</v>
      </c>
      <c r="S63" s="569">
        <v>2135</v>
      </c>
      <c r="T63" s="569">
        <v>2135</v>
      </c>
      <c r="U63" s="569">
        <v>2135</v>
      </c>
      <c r="V63" s="570">
        <f t="shared" si="23"/>
        <v>9405</v>
      </c>
      <c r="W63" s="571">
        <f t="shared" si="24"/>
        <v>0.18051823416506718</v>
      </c>
      <c r="X63" s="570">
        <f t="shared" si="25"/>
        <v>-42695</v>
      </c>
      <c r="Y63" s="571">
        <f t="shared" si="26"/>
        <v>-0.81948176583493282</v>
      </c>
      <c r="Z63" s="572">
        <f t="shared" si="27"/>
        <v>734595</v>
      </c>
      <c r="AA63" s="573">
        <f t="shared" si="28"/>
        <v>0.98735887096774189</v>
      </c>
      <c r="AB63" s="572">
        <f t="shared" si="29"/>
        <v>52100</v>
      </c>
      <c r="AC63" s="574" t="str">
        <f t="shared" si="30"/>
        <v>Vendido</v>
      </c>
      <c r="AD63" s="574" t="str">
        <f t="shared" si="31"/>
        <v>Cliente al día</v>
      </c>
      <c r="AE63" s="575"/>
      <c r="AF63" s="575">
        <f t="shared" si="32"/>
        <v>0</v>
      </c>
      <c r="AG63" s="575">
        <f t="shared" si="33"/>
        <v>0</v>
      </c>
      <c r="AH63" s="568"/>
      <c r="AI63" s="568"/>
      <c r="AJ63" s="574">
        <f t="shared" si="34"/>
        <v>0</v>
      </c>
      <c r="AK63" s="692">
        <f t="shared" si="20"/>
        <v>3</v>
      </c>
      <c r="AL63" s="577">
        <f t="shared" si="35"/>
        <v>0</v>
      </c>
      <c r="AM63" s="576">
        <f t="shared" si="36"/>
        <v>0</v>
      </c>
      <c r="AN63" s="576">
        <f t="shared" si="37"/>
        <v>0</v>
      </c>
      <c r="AO63" s="576">
        <f t="shared" si="38"/>
        <v>9405</v>
      </c>
      <c r="AP63" s="576">
        <f t="shared" si="39"/>
        <v>9405</v>
      </c>
      <c r="AQ63" s="576">
        <f t="shared" si="22"/>
        <v>0</v>
      </c>
      <c r="AR63" s="578" t="e">
        <f t="shared" si="40"/>
        <v>#DIV/0!</v>
      </c>
      <c r="AS63" s="579"/>
      <c r="AT63" s="579"/>
    </row>
    <row r="64" spans="1:46" s="563" customFormat="1" ht="13.9" customHeight="1" x14ac:dyDescent="0.25">
      <c r="A64" s="582"/>
      <c r="B64" s="564">
        <v>704</v>
      </c>
      <c r="C64" s="564" t="s">
        <v>1361</v>
      </c>
      <c r="D64" s="564" t="s">
        <v>913</v>
      </c>
      <c r="E64" s="564" t="s">
        <v>917</v>
      </c>
      <c r="F64" s="581" t="s">
        <v>1387</v>
      </c>
      <c r="G64" s="566">
        <v>45843</v>
      </c>
      <c r="H64" s="565" t="s">
        <v>1355</v>
      </c>
      <c r="I64" s="582">
        <v>636400</v>
      </c>
      <c r="J64" s="582">
        <v>44548</v>
      </c>
      <c r="K64" s="567"/>
      <c r="L64" s="568">
        <v>0</v>
      </c>
      <c r="M64" s="569"/>
      <c r="N64" s="569">
        <v>0</v>
      </c>
      <c r="O64" s="569">
        <v>3000</v>
      </c>
      <c r="P64" s="569">
        <v>1615.38</v>
      </c>
      <c r="Q64" s="569">
        <v>1615.38</v>
      </c>
      <c r="R64" s="569">
        <v>1615.38</v>
      </c>
      <c r="S64" s="569">
        <v>1615.38</v>
      </c>
      <c r="T64" s="569">
        <v>1615.38</v>
      </c>
      <c r="U64" s="569">
        <v>1615.38</v>
      </c>
      <c r="V64" s="570">
        <f t="shared" si="23"/>
        <v>12692.280000000002</v>
      </c>
      <c r="W64" s="571">
        <f t="shared" si="24"/>
        <v>0.28491245398222148</v>
      </c>
      <c r="X64" s="570">
        <f t="shared" si="25"/>
        <v>-31855.719999999998</v>
      </c>
      <c r="Y64" s="571">
        <f t="shared" si="26"/>
        <v>-0.71508754601777857</v>
      </c>
      <c r="Z64" s="572">
        <f t="shared" si="27"/>
        <v>623707.72</v>
      </c>
      <c r="AA64" s="573">
        <f t="shared" si="28"/>
        <v>0.98005612822124444</v>
      </c>
      <c r="AB64" s="572">
        <f t="shared" si="29"/>
        <v>44548</v>
      </c>
      <c r="AC64" s="574" t="str">
        <f t="shared" si="30"/>
        <v>Vendido</v>
      </c>
      <c r="AD64" s="574" t="str">
        <f t="shared" si="31"/>
        <v>Cliente al día</v>
      </c>
      <c r="AE64" s="583">
        <v>26</v>
      </c>
      <c r="AF64" s="583">
        <f t="shared" si="32"/>
        <v>1</v>
      </c>
      <c r="AG64" s="583">
        <f t="shared" si="33"/>
        <v>27</v>
      </c>
      <c r="AH64" s="567">
        <v>3000</v>
      </c>
      <c r="AI64" s="567">
        <v>1615.38</v>
      </c>
      <c r="AJ64" s="574">
        <f t="shared" si="34"/>
        <v>6</v>
      </c>
      <c r="AK64" s="692">
        <f t="shared" si="20"/>
        <v>6</v>
      </c>
      <c r="AL64" s="576">
        <f t="shared" si="35"/>
        <v>12692.28</v>
      </c>
      <c r="AM64" s="576">
        <f t="shared" si="36"/>
        <v>9692.2800000000007</v>
      </c>
      <c r="AN64" s="576">
        <f t="shared" si="37"/>
        <v>3000</v>
      </c>
      <c r="AO64" s="576">
        <f t="shared" si="38"/>
        <v>0</v>
      </c>
      <c r="AP64" s="576">
        <f t="shared" si="39"/>
        <v>0</v>
      </c>
      <c r="AQ64" s="576">
        <f t="shared" si="22"/>
        <v>0</v>
      </c>
      <c r="AR64" s="578">
        <f t="shared" si="40"/>
        <v>0</v>
      </c>
      <c r="AS64" s="579"/>
      <c r="AT64" s="579"/>
    </row>
    <row r="65" spans="1:46" s="563" customFormat="1" ht="13.9" customHeight="1" x14ac:dyDescent="0.25">
      <c r="A65" s="582"/>
      <c r="B65" s="564">
        <v>705</v>
      </c>
      <c r="C65" s="565" t="s">
        <v>1361</v>
      </c>
      <c r="D65" s="565" t="s">
        <v>913</v>
      </c>
      <c r="E65" s="564" t="s">
        <v>917</v>
      </c>
      <c r="F65" s="581" t="s">
        <v>1388</v>
      </c>
      <c r="G65" s="566">
        <v>45856</v>
      </c>
      <c r="H65" s="565" t="s">
        <v>1355</v>
      </c>
      <c r="I65" s="582">
        <v>636400</v>
      </c>
      <c r="J65" s="582">
        <v>44548.000000000007</v>
      </c>
      <c r="K65" s="567"/>
      <c r="L65" s="568"/>
      <c r="M65" s="569"/>
      <c r="N65" s="569"/>
      <c r="O65" s="569">
        <v>3000</v>
      </c>
      <c r="P65" s="569">
        <v>1615.5</v>
      </c>
      <c r="Q65" s="569">
        <v>1615.5</v>
      </c>
      <c r="R65" s="569">
        <v>1615.5</v>
      </c>
      <c r="S65" s="569">
        <v>1615.5</v>
      </c>
      <c r="T65" s="569">
        <v>1615.5</v>
      </c>
      <c r="U65" s="569">
        <v>1615.5</v>
      </c>
      <c r="V65" s="570">
        <f t="shared" si="23"/>
        <v>12693</v>
      </c>
      <c r="W65" s="571">
        <f t="shared" si="24"/>
        <v>0.2849286163239651</v>
      </c>
      <c r="X65" s="570">
        <f t="shared" si="25"/>
        <v>-31855.000000000007</v>
      </c>
      <c r="Y65" s="571">
        <f t="shared" si="26"/>
        <v>-0.71507138367603484</v>
      </c>
      <c r="Z65" s="572">
        <f t="shared" si="27"/>
        <v>623707</v>
      </c>
      <c r="AA65" s="573">
        <f t="shared" si="28"/>
        <v>0.98005499685732245</v>
      </c>
      <c r="AB65" s="572">
        <f t="shared" si="29"/>
        <v>44548.000000000007</v>
      </c>
      <c r="AC65" s="574" t="str">
        <f t="shared" si="30"/>
        <v>Vendido</v>
      </c>
      <c r="AD65" s="574" t="str">
        <f t="shared" si="31"/>
        <v>Cliente al día</v>
      </c>
      <c r="AE65" s="575">
        <v>26</v>
      </c>
      <c r="AF65" s="575">
        <f t="shared" si="32"/>
        <v>1</v>
      </c>
      <c r="AG65" s="575">
        <f t="shared" si="33"/>
        <v>27</v>
      </c>
      <c r="AH65" s="568">
        <v>3000</v>
      </c>
      <c r="AI65" s="568">
        <v>1615.38</v>
      </c>
      <c r="AJ65" s="574">
        <f t="shared" si="34"/>
        <v>6</v>
      </c>
      <c r="AK65" s="692">
        <f t="shared" si="20"/>
        <v>6</v>
      </c>
      <c r="AL65" s="577">
        <f t="shared" si="35"/>
        <v>12692.28</v>
      </c>
      <c r="AM65" s="576">
        <f t="shared" si="36"/>
        <v>0</v>
      </c>
      <c r="AN65" s="576">
        <f t="shared" si="37"/>
        <v>12693</v>
      </c>
      <c r="AO65" s="576">
        <f t="shared" si="38"/>
        <v>0</v>
      </c>
      <c r="AP65" s="576">
        <f t="shared" si="39"/>
        <v>0.71999999999934516</v>
      </c>
      <c r="AQ65" s="576">
        <f t="shared" si="22"/>
        <v>0</v>
      </c>
      <c r="AR65" s="578">
        <f t="shared" si="40"/>
        <v>0</v>
      </c>
      <c r="AS65" s="579"/>
      <c r="AT65" s="579"/>
    </row>
    <row r="66" spans="1:46" s="563" customFormat="1" ht="13.9" customHeight="1" x14ac:dyDescent="0.25">
      <c r="A66" s="582"/>
      <c r="B66" s="564">
        <v>706</v>
      </c>
      <c r="C66" s="565" t="s">
        <v>1365</v>
      </c>
      <c r="D66" s="565" t="s">
        <v>913</v>
      </c>
      <c r="E66" s="564" t="s">
        <v>1363</v>
      </c>
      <c r="F66" s="581" t="s">
        <v>1389</v>
      </c>
      <c r="G66" s="566">
        <v>46027</v>
      </c>
      <c r="H66" s="565" t="s">
        <v>956</v>
      </c>
      <c r="I66" s="582">
        <v>813000</v>
      </c>
      <c r="J66" s="582">
        <v>56910.000000000007</v>
      </c>
      <c r="K66" s="567"/>
      <c r="L66" s="568"/>
      <c r="M66" s="569"/>
      <c r="N66" s="569"/>
      <c r="O66" s="569"/>
      <c r="P66" s="569"/>
      <c r="Q66" s="569">
        <v>0</v>
      </c>
      <c r="R66" s="569">
        <v>0</v>
      </c>
      <c r="S66" s="569">
        <v>0</v>
      </c>
      <c r="T66" s="569"/>
      <c r="U66" s="569">
        <v>3000</v>
      </c>
      <c r="V66" s="570">
        <f t="shared" si="23"/>
        <v>3000</v>
      </c>
      <c r="W66" s="571">
        <f t="shared" si="24"/>
        <v>5.2714812862414334E-2</v>
      </c>
      <c r="X66" s="570">
        <f t="shared" si="25"/>
        <v>-53910.000000000007</v>
      </c>
      <c r="Y66" s="571">
        <f t="shared" si="26"/>
        <v>-0.94728518713758569</v>
      </c>
      <c r="Z66" s="572">
        <f t="shared" si="27"/>
        <v>810000</v>
      </c>
      <c r="AA66" s="573">
        <f t="shared" si="28"/>
        <v>0.99630996309963105</v>
      </c>
      <c r="AB66" s="572">
        <f t="shared" si="29"/>
        <v>56910.000000000007</v>
      </c>
      <c r="AC66" s="574" t="str">
        <f t="shared" si="30"/>
        <v>Vendido</v>
      </c>
      <c r="AD66" s="574" t="str">
        <f t="shared" si="31"/>
        <v>Cliente al día</v>
      </c>
      <c r="AE66" s="575"/>
      <c r="AF66" s="575">
        <f t="shared" si="32"/>
        <v>0</v>
      </c>
      <c r="AG66" s="575">
        <f t="shared" si="33"/>
        <v>0</v>
      </c>
      <c r="AH66" s="568"/>
      <c r="AI66" s="568"/>
      <c r="AJ66" s="574">
        <f t="shared" si="34"/>
        <v>0</v>
      </c>
      <c r="AK66" s="692">
        <f t="shared" si="20"/>
        <v>0</v>
      </c>
      <c r="AL66" s="577">
        <f t="shared" si="35"/>
        <v>0</v>
      </c>
      <c r="AM66" s="576">
        <f t="shared" si="36"/>
        <v>0</v>
      </c>
      <c r="AN66" s="576">
        <f t="shared" si="37"/>
        <v>0</v>
      </c>
      <c r="AO66" s="576">
        <f t="shared" si="38"/>
        <v>3000</v>
      </c>
      <c r="AP66" s="576">
        <f t="shared" si="39"/>
        <v>3000</v>
      </c>
      <c r="AQ66" s="576">
        <f t="shared" si="22"/>
        <v>0</v>
      </c>
      <c r="AR66" s="578" t="e">
        <f t="shared" si="40"/>
        <v>#DIV/0!</v>
      </c>
      <c r="AS66" s="579"/>
      <c r="AT66" s="579"/>
    </row>
    <row r="67" spans="1:46" s="563" customFormat="1" ht="13.9" customHeight="1" x14ac:dyDescent="0.25">
      <c r="A67" s="582"/>
      <c r="B67" s="564">
        <v>707</v>
      </c>
      <c r="C67" s="565" t="s">
        <v>1362</v>
      </c>
      <c r="D67" s="565" t="s">
        <v>913</v>
      </c>
      <c r="E67" s="564"/>
      <c r="F67" s="581"/>
      <c r="G67" s="566"/>
      <c r="H67" s="565" t="s">
        <v>374</v>
      </c>
      <c r="I67" s="582">
        <v>945900</v>
      </c>
      <c r="J67" s="582">
        <v>66213</v>
      </c>
      <c r="K67" s="567"/>
      <c r="L67" s="568"/>
      <c r="M67" s="569"/>
      <c r="N67" s="569"/>
      <c r="O67" s="569"/>
      <c r="P67" s="569"/>
      <c r="Q67" s="569">
        <v>0</v>
      </c>
      <c r="R67" s="569">
        <v>0</v>
      </c>
      <c r="S67" s="569">
        <v>0</v>
      </c>
      <c r="T67" s="569"/>
      <c r="U67" s="569"/>
      <c r="V67" s="570">
        <f t="shared" si="23"/>
        <v>0</v>
      </c>
      <c r="W67" s="571">
        <f t="shared" si="24"/>
        <v>0</v>
      </c>
      <c r="X67" s="570">
        <f t="shared" si="25"/>
        <v>0</v>
      </c>
      <c r="Y67" s="571">
        <f t="shared" si="26"/>
        <v>0</v>
      </c>
      <c r="Z67" s="572">
        <f t="shared" si="27"/>
        <v>945900</v>
      </c>
      <c r="AA67" s="573">
        <f t="shared" si="28"/>
        <v>1</v>
      </c>
      <c r="AB67" s="572">
        <f t="shared" si="29"/>
        <v>0</v>
      </c>
      <c r="AC67" s="574" t="str">
        <f t="shared" si="30"/>
        <v>Apartamento Disponible</v>
      </c>
      <c r="AD67" s="574" t="str">
        <f t="shared" si="31"/>
        <v>Disponible</v>
      </c>
      <c r="AE67" s="575"/>
      <c r="AF67" s="575">
        <f t="shared" si="32"/>
        <v>0</v>
      </c>
      <c r="AG67" s="575">
        <f t="shared" si="33"/>
        <v>0</v>
      </c>
      <c r="AH67" s="568"/>
      <c r="AI67" s="568"/>
      <c r="AJ67" s="574">
        <f t="shared" si="34"/>
        <v>0</v>
      </c>
      <c r="AK67" s="692">
        <f t="shared" si="20"/>
        <v>0</v>
      </c>
      <c r="AL67" s="577">
        <f t="shared" si="35"/>
        <v>0</v>
      </c>
      <c r="AM67" s="576">
        <f t="shared" si="36"/>
        <v>0</v>
      </c>
      <c r="AN67" s="576">
        <f t="shared" si="37"/>
        <v>0</v>
      </c>
      <c r="AO67" s="576">
        <f t="shared" si="38"/>
        <v>0</v>
      </c>
      <c r="AP67" s="576">
        <f t="shared" si="39"/>
        <v>0</v>
      </c>
      <c r="AQ67" s="576">
        <f t="shared" si="22"/>
        <v>0</v>
      </c>
      <c r="AR67" s="578">
        <f t="shared" si="40"/>
        <v>0</v>
      </c>
      <c r="AS67" s="579"/>
      <c r="AT67" s="579"/>
    </row>
    <row r="68" spans="1:46" s="563" customFormat="1" ht="13.9" customHeight="1" x14ac:dyDescent="0.25">
      <c r="A68" s="582"/>
      <c r="B68" s="564">
        <v>708</v>
      </c>
      <c r="C68" s="565" t="s">
        <v>1362</v>
      </c>
      <c r="D68" s="565" t="s">
        <v>913</v>
      </c>
      <c r="E68" s="564"/>
      <c r="F68" s="581" t="s">
        <v>1390</v>
      </c>
      <c r="G68" s="566">
        <v>45957</v>
      </c>
      <c r="H68" s="565" t="s">
        <v>956</v>
      </c>
      <c r="I68" s="582">
        <v>744000</v>
      </c>
      <c r="J68" s="582">
        <v>52100</v>
      </c>
      <c r="K68" s="567"/>
      <c r="L68" s="568"/>
      <c r="M68" s="569"/>
      <c r="N68" s="569"/>
      <c r="O68" s="569"/>
      <c r="P68" s="569"/>
      <c r="Q68" s="569">
        <v>0</v>
      </c>
      <c r="R68" s="569">
        <v>1000</v>
      </c>
      <c r="S68" s="569">
        <v>3200</v>
      </c>
      <c r="T68" s="569">
        <v>1200</v>
      </c>
      <c r="U68" s="569">
        <v>1200</v>
      </c>
      <c r="V68" s="570">
        <f t="shared" si="23"/>
        <v>6600</v>
      </c>
      <c r="W68" s="571">
        <f t="shared" si="24"/>
        <v>0.12667946257197696</v>
      </c>
      <c r="X68" s="570">
        <f t="shared" si="25"/>
        <v>-45500</v>
      </c>
      <c r="Y68" s="571">
        <f t="shared" si="26"/>
        <v>-0.87332053742802307</v>
      </c>
      <c r="Z68" s="572">
        <f t="shared" si="27"/>
        <v>737400</v>
      </c>
      <c r="AA68" s="573">
        <f t="shared" si="28"/>
        <v>0.99112903225806448</v>
      </c>
      <c r="AB68" s="572">
        <f t="shared" si="29"/>
        <v>52100</v>
      </c>
      <c r="AC68" s="574" t="str">
        <f t="shared" si="30"/>
        <v>Vendido</v>
      </c>
      <c r="AD68" s="574" t="str">
        <f t="shared" si="31"/>
        <v>Cliente al día</v>
      </c>
      <c r="AE68" s="575"/>
      <c r="AF68" s="575">
        <f t="shared" si="32"/>
        <v>0</v>
      </c>
      <c r="AG68" s="575">
        <f t="shared" si="33"/>
        <v>0</v>
      </c>
      <c r="AH68" s="568"/>
      <c r="AI68" s="568"/>
      <c r="AJ68" s="574">
        <f t="shared" si="34"/>
        <v>0</v>
      </c>
      <c r="AK68" s="692">
        <f t="shared" si="20"/>
        <v>2</v>
      </c>
      <c r="AL68" s="577">
        <f t="shared" si="35"/>
        <v>0</v>
      </c>
      <c r="AM68" s="576">
        <f t="shared" si="36"/>
        <v>0</v>
      </c>
      <c r="AN68" s="576">
        <f t="shared" si="37"/>
        <v>0</v>
      </c>
      <c r="AO68" s="576">
        <f t="shared" si="38"/>
        <v>6600</v>
      </c>
      <c r="AP68" s="576">
        <f t="shared" si="39"/>
        <v>6600</v>
      </c>
      <c r="AQ68" s="576">
        <f t="shared" si="22"/>
        <v>0</v>
      </c>
      <c r="AR68" s="578" t="e">
        <f t="shared" si="40"/>
        <v>#DIV/0!</v>
      </c>
      <c r="AS68" s="579"/>
      <c r="AT68" s="579"/>
    </row>
    <row r="69" spans="1:46" s="563" customFormat="1" ht="13.9" customHeight="1" x14ac:dyDescent="0.25">
      <c r="A69" s="582"/>
      <c r="B69" s="564">
        <v>709</v>
      </c>
      <c r="C69" s="565" t="s">
        <v>1365</v>
      </c>
      <c r="D69" s="565" t="s">
        <v>913</v>
      </c>
      <c r="E69" s="564" t="s">
        <v>917</v>
      </c>
      <c r="F69" s="581" t="s">
        <v>1391</v>
      </c>
      <c r="G69" s="566">
        <v>46032</v>
      </c>
      <c r="H69" s="564" t="s">
        <v>374</v>
      </c>
      <c r="I69" s="582">
        <v>813000</v>
      </c>
      <c r="J69" s="582">
        <v>57000</v>
      </c>
      <c r="K69" s="567"/>
      <c r="L69" s="568">
        <v>0</v>
      </c>
      <c r="M69" s="640">
        <v>0</v>
      </c>
      <c r="N69" s="640">
        <v>0</v>
      </c>
      <c r="O69" s="640">
        <v>0</v>
      </c>
      <c r="P69" s="640">
        <v>0</v>
      </c>
      <c r="Q69" s="569">
        <v>0</v>
      </c>
      <c r="R69" s="569">
        <v>0</v>
      </c>
      <c r="S69" s="569">
        <v>0</v>
      </c>
      <c r="T69" s="569"/>
      <c r="U69" s="569">
        <v>3000</v>
      </c>
      <c r="V69" s="570">
        <f t="shared" si="23"/>
        <v>3000</v>
      </c>
      <c r="W69" s="571">
        <f t="shared" si="24"/>
        <v>5.2631578947368418E-2</v>
      </c>
      <c r="X69" s="570">
        <f t="shared" ref="X69:X82" si="41">+V69-AB69</f>
        <v>-54000</v>
      </c>
      <c r="Y69" s="571">
        <f t="shared" si="26"/>
        <v>-0.94736842105263153</v>
      </c>
      <c r="Z69" s="572">
        <f t="shared" si="27"/>
        <v>810000</v>
      </c>
      <c r="AA69" s="573">
        <f t="shared" si="28"/>
        <v>0.99630996309963105</v>
      </c>
      <c r="AB69" s="572">
        <f t="shared" si="29"/>
        <v>57000</v>
      </c>
      <c r="AC69" s="574" t="str">
        <f t="shared" si="30"/>
        <v>Vendido</v>
      </c>
      <c r="AD69" s="574" t="str">
        <f t="shared" si="31"/>
        <v>Cliente al día</v>
      </c>
      <c r="AE69" s="575">
        <v>28</v>
      </c>
      <c r="AF69" s="575">
        <f t="shared" ref="AF69" si="42">IF(AE69&gt;1,1,0)</f>
        <v>1</v>
      </c>
      <c r="AG69" s="575">
        <f t="shared" ref="AG69:AG82" si="43">+AE69+AF69</f>
        <v>29</v>
      </c>
      <c r="AH69" s="568">
        <v>3000</v>
      </c>
      <c r="AI69" s="568">
        <v>1500</v>
      </c>
      <c r="AJ69" s="574">
        <f t="shared" si="34"/>
        <v>0</v>
      </c>
      <c r="AK69" s="692">
        <f t="shared" si="20"/>
        <v>0</v>
      </c>
      <c r="AL69" s="577">
        <f t="shared" ref="AL69:AL82" si="44">(AJ69*AI69)+AH69</f>
        <v>3000</v>
      </c>
      <c r="AM69" s="576">
        <f t="shared" si="36"/>
        <v>0</v>
      </c>
      <c r="AN69" s="576">
        <f t="shared" si="37"/>
        <v>3000</v>
      </c>
      <c r="AO69" s="576">
        <f t="shared" ref="AO69:AO82" si="45">V69-AM69-AN69</f>
        <v>0</v>
      </c>
      <c r="AP69" s="576">
        <f t="shared" ref="AP69:AP82" si="46">IF(V69&gt;AL69,V69-AL69,0)</f>
        <v>0</v>
      </c>
      <c r="AQ69" s="576">
        <f t="shared" si="22"/>
        <v>0</v>
      </c>
      <c r="AR69" s="578">
        <f t="shared" si="40"/>
        <v>0</v>
      </c>
      <c r="AS69" s="579"/>
      <c r="AT69" s="579"/>
    </row>
    <row r="70" spans="1:46" s="563" customFormat="1" ht="13.9" customHeight="1" x14ac:dyDescent="0.25">
      <c r="A70" s="582"/>
      <c r="B70" s="564">
        <v>801</v>
      </c>
      <c r="C70" s="565" t="s">
        <v>1361</v>
      </c>
      <c r="D70" s="565" t="s">
        <v>913</v>
      </c>
      <c r="E70" s="564"/>
      <c r="F70" s="581"/>
      <c r="G70" s="566"/>
      <c r="H70" s="565" t="s">
        <v>374</v>
      </c>
      <c r="I70" s="582">
        <v>636400</v>
      </c>
      <c r="J70" s="582">
        <v>44548.000000000007</v>
      </c>
      <c r="K70" s="567"/>
      <c r="L70" s="568"/>
      <c r="M70" s="569"/>
      <c r="N70" s="569"/>
      <c r="O70" s="569"/>
      <c r="P70" s="569"/>
      <c r="Q70" s="569">
        <v>0</v>
      </c>
      <c r="R70" s="569">
        <v>0</v>
      </c>
      <c r="S70" s="569">
        <v>0</v>
      </c>
      <c r="T70" s="569"/>
      <c r="U70" s="569"/>
      <c r="V70" s="570">
        <f t="shared" si="23"/>
        <v>0</v>
      </c>
      <c r="W70" s="571">
        <f t="shared" si="24"/>
        <v>0</v>
      </c>
      <c r="X70" s="570">
        <f t="shared" ref="X70:X81" si="47">+V70-AB70</f>
        <v>0</v>
      </c>
      <c r="Y70" s="571">
        <f t="shared" si="26"/>
        <v>0</v>
      </c>
      <c r="Z70" s="572">
        <f t="shared" si="27"/>
        <v>636400</v>
      </c>
      <c r="AA70" s="573">
        <f t="shared" si="28"/>
        <v>1</v>
      </c>
      <c r="AB70" s="572">
        <f t="shared" si="29"/>
        <v>0</v>
      </c>
      <c r="AC70" s="574" t="str">
        <f t="shared" si="30"/>
        <v>Apartamento Disponible</v>
      </c>
      <c r="AD70" s="574" t="str">
        <f t="shared" si="31"/>
        <v>Disponible</v>
      </c>
      <c r="AE70" s="575"/>
      <c r="AF70" s="575">
        <f t="shared" ref="AF70:AF81" si="48">IF(AE70&gt;1,1,0)</f>
        <v>0</v>
      </c>
      <c r="AG70" s="575">
        <f t="shared" ref="AG70:AG81" si="49">+AE70+AF70</f>
        <v>0</v>
      </c>
      <c r="AH70" s="568"/>
      <c r="AI70" s="568"/>
      <c r="AJ70" s="574">
        <f t="shared" si="34"/>
        <v>0</v>
      </c>
      <c r="AK70" s="692">
        <f t="shared" si="20"/>
        <v>0</v>
      </c>
      <c r="AL70" s="577">
        <f t="shared" ref="AL70:AL81" si="50">(AJ70*AI70)+AH70</f>
        <v>0</v>
      </c>
      <c r="AM70" s="576">
        <f t="shared" si="36"/>
        <v>0</v>
      </c>
      <c r="AN70" s="576">
        <f t="shared" si="37"/>
        <v>0</v>
      </c>
      <c r="AO70" s="576">
        <f t="shared" ref="AO70:AO81" si="51">V70-AM70-AN70</f>
        <v>0</v>
      </c>
      <c r="AP70" s="576">
        <f t="shared" ref="AP70:AP81" si="52">IF(V70&gt;AL70,V70-AL70,0)</f>
        <v>0</v>
      </c>
      <c r="AQ70" s="576">
        <f t="shared" si="22"/>
        <v>0</v>
      </c>
      <c r="AR70" s="578">
        <f t="shared" si="40"/>
        <v>0</v>
      </c>
      <c r="AS70" s="579"/>
      <c r="AT70" s="579"/>
    </row>
    <row r="71" spans="1:46" s="563" customFormat="1" ht="13.9" customHeight="1" x14ac:dyDescent="0.25">
      <c r="A71" s="582"/>
      <c r="B71" s="564">
        <v>802</v>
      </c>
      <c r="C71" s="565" t="s">
        <v>1362</v>
      </c>
      <c r="D71" s="565" t="s">
        <v>913</v>
      </c>
      <c r="E71" s="564"/>
      <c r="F71" s="581" t="s">
        <v>1392</v>
      </c>
      <c r="G71" s="566">
        <v>45897</v>
      </c>
      <c r="H71" s="565" t="s">
        <v>1355</v>
      </c>
      <c r="I71" s="582">
        <v>744000</v>
      </c>
      <c r="J71" s="582">
        <v>52100</v>
      </c>
      <c r="K71" s="567"/>
      <c r="L71" s="568"/>
      <c r="M71" s="569"/>
      <c r="N71" s="900"/>
      <c r="O71" s="900"/>
      <c r="P71" s="900">
        <v>3000</v>
      </c>
      <c r="Q71" s="900">
        <v>0</v>
      </c>
      <c r="R71" s="900">
        <v>0</v>
      </c>
      <c r="S71" s="900">
        <v>0</v>
      </c>
      <c r="T71" s="900"/>
      <c r="U71" s="569"/>
      <c r="V71" s="570">
        <f t="shared" ref="V71:V102" si="53">SUM(K71:U71)</f>
        <v>3000</v>
      </c>
      <c r="W71" s="571">
        <f t="shared" ref="W71:W102" si="54">IFERROR((+V71/J71),0)</f>
        <v>5.7581573896353169E-2</v>
      </c>
      <c r="X71" s="570">
        <f t="shared" si="47"/>
        <v>-49100</v>
      </c>
      <c r="Y71" s="571">
        <f t="shared" ref="Y71:Y102" si="55">+X71/J71</f>
        <v>-0.94241842610364679</v>
      </c>
      <c r="Z71" s="572">
        <f t="shared" ref="Z71:Z102" si="56">+I71-V71</f>
        <v>741000</v>
      </c>
      <c r="AA71" s="573">
        <f t="shared" ref="AA71:AA102" si="57">+Z71/I71</f>
        <v>0.99596774193548387</v>
      </c>
      <c r="AB71" s="572">
        <f t="shared" ref="AB71:AB102" si="58">IF(AC71="Vendido",J71*1,IF(AC71="Disponible",J71*0,IF(AC71="Enganche Completado",J71*1,IF(AC71="Superávit de Enganche",J71*1,0))))</f>
        <v>52100</v>
      </c>
      <c r="AC71" s="574" t="str">
        <f t="shared" ref="AC71:AC102" si="59">IF(F71=0,"Apartamento Disponible",IF(F71&gt;1,"Vendido",0))</f>
        <v>Vendido</v>
      </c>
      <c r="AD71" s="574" t="str">
        <f t="shared" ref="AD71:AD102" si="60">IF(AND(AC71="Vendido",G71&gt;=0,AL71&lt;=V71,V71&lt;AB71),"Cliente al día",IF(AND(AC71="Vendido",G71&gt;=0,AL71&lt;=V71,V71=AB71),"Enganche Completado",IF(AND(AC71="Vendido",G71&gt;=0,AL71&lt;V71,V71&gt;AB71),"Superávit de Enganche",IF(AND(AC71="Apartamento Disponible",G71=0,X71=0),"Disponible","Cliente Atrasado"))))</f>
        <v>Cliente al día</v>
      </c>
      <c r="AE71" s="575"/>
      <c r="AF71" s="575">
        <f t="shared" si="48"/>
        <v>0</v>
      </c>
      <c r="AG71" s="575">
        <f t="shared" si="49"/>
        <v>0</v>
      </c>
      <c r="AH71" s="568"/>
      <c r="AI71" s="568"/>
      <c r="AJ71" s="574">
        <f t="shared" ref="AJ71:AJ102" si="61">COUNTIFS(K71:U71,"&gt;0.01",K71:U71,"&lt;" &amp; AH71)</f>
        <v>0</v>
      </c>
      <c r="AK71" s="692">
        <f t="shared" si="20"/>
        <v>4</v>
      </c>
      <c r="AL71" s="577">
        <f t="shared" si="50"/>
        <v>0</v>
      </c>
      <c r="AM71" s="576">
        <f t="shared" ref="AM71:AM102" si="62">SUMIF(K71:U71,"&lt;=" &amp; AI71,K71:U71)</f>
        <v>0</v>
      </c>
      <c r="AN71" s="576">
        <f t="shared" ref="AN71:AN102" si="63">SUMIF(K71:U71,"&gt;" &amp; AI71,K71:U71)</f>
        <v>0</v>
      </c>
      <c r="AO71" s="576">
        <f t="shared" si="51"/>
        <v>3000</v>
      </c>
      <c r="AP71" s="576">
        <f t="shared" si="52"/>
        <v>3000</v>
      </c>
      <c r="AQ71" s="576">
        <f t="shared" si="22"/>
        <v>0</v>
      </c>
      <c r="AR71" s="578" t="e">
        <f t="shared" si="40"/>
        <v>#DIV/0!</v>
      </c>
      <c r="AS71" s="579"/>
      <c r="AT71" s="579"/>
    </row>
    <row r="72" spans="1:46" s="563" customFormat="1" ht="13.9" customHeight="1" x14ac:dyDescent="0.25">
      <c r="A72" s="582"/>
      <c r="B72" s="564">
        <v>803</v>
      </c>
      <c r="C72" s="565" t="s">
        <v>1362</v>
      </c>
      <c r="D72" s="565" t="s">
        <v>913</v>
      </c>
      <c r="E72" s="564"/>
      <c r="F72" s="581" t="s">
        <v>1393</v>
      </c>
      <c r="G72" s="566">
        <v>45927</v>
      </c>
      <c r="H72" s="565" t="s">
        <v>1355</v>
      </c>
      <c r="I72" s="582">
        <v>744000</v>
      </c>
      <c r="J72" s="582">
        <v>53000</v>
      </c>
      <c r="K72" s="567"/>
      <c r="L72" s="568"/>
      <c r="M72" s="569"/>
      <c r="N72" s="569"/>
      <c r="O72" s="569"/>
      <c r="P72" s="569"/>
      <c r="Q72" s="569">
        <v>3000</v>
      </c>
      <c r="R72" s="569">
        <v>500</v>
      </c>
      <c r="S72" s="569">
        <v>0</v>
      </c>
      <c r="T72" s="569">
        <v>500</v>
      </c>
      <c r="U72" s="569">
        <v>500</v>
      </c>
      <c r="V72" s="570">
        <f t="shared" si="53"/>
        <v>4500</v>
      </c>
      <c r="W72" s="571">
        <f t="shared" si="54"/>
        <v>8.4905660377358486E-2</v>
      </c>
      <c r="X72" s="570">
        <f t="shared" si="47"/>
        <v>-48500</v>
      </c>
      <c r="Y72" s="571">
        <f t="shared" si="55"/>
        <v>-0.91509433962264153</v>
      </c>
      <c r="Z72" s="572">
        <f t="shared" si="56"/>
        <v>739500</v>
      </c>
      <c r="AA72" s="573">
        <f t="shared" si="57"/>
        <v>0.99395161290322576</v>
      </c>
      <c r="AB72" s="572">
        <f t="shared" si="58"/>
        <v>53000</v>
      </c>
      <c r="AC72" s="574" t="str">
        <f t="shared" si="59"/>
        <v>Vendido</v>
      </c>
      <c r="AD72" s="574" t="str">
        <f t="shared" si="60"/>
        <v>Cliente al día</v>
      </c>
      <c r="AE72" s="575"/>
      <c r="AF72" s="575">
        <f t="shared" si="48"/>
        <v>0</v>
      </c>
      <c r="AG72" s="575">
        <f t="shared" si="49"/>
        <v>0</v>
      </c>
      <c r="AH72" s="568"/>
      <c r="AI72" s="568"/>
      <c r="AJ72" s="574">
        <f t="shared" si="61"/>
        <v>0</v>
      </c>
      <c r="AK72" s="692">
        <f t="shared" ref="AK72:AK123" si="64">IF($G72&gt;0,DATEDIF($G72,$E$3,"M"),0)</f>
        <v>3</v>
      </c>
      <c r="AL72" s="577">
        <f t="shared" si="50"/>
        <v>0</v>
      </c>
      <c r="AM72" s="576">
        <f t="shared" si="62"/>
        <v>0</v>
      </c>
      <c r="AN72" s="576">
        <f t="shared" si="63"/>
        <v>0</v>
      </c>
      <c r="AO72" s="576">
        <f t="shared" si="51"/>
        <v>4500</v>
      </c>
      <c r="AP72" s="576">
        <f t="shared" si="52"/>
        <v>4500</v>
      </c>
      <c r="AQ72" s="576">
        <f t="shared" si="22"/>
        <v>0</v>
      </c>
      <c r="AR72" s="578" t="e">
        <f t="shared" ref="AR72:AR103" si="65">ROUNDUP(IF(G72&gt;0,AQ72/AI72,0),0)</f>
        <v>#DIV/0!</v>
      </c>
      <c r="AS72" s="579"/>
      <c r="AT72" s="579"/>
    </row>
    <row r="73" spans="1:46" s="563" customFormat="1" ht="13.9" customHeight="1" x14ac:dyDescent="0.25">
      <c r="A73" s="582"/>
      <c r="B73" s="564">
        <v>804</v>
      </c>
      <c r="C73" s="565" t="s">
        <v>1361</v>
      </c>
      <c r="D73" s="565" t="s">
        <v>913</v>
      </c>
      <c r="E73" s="564" t="s">
        <v>1363</v>
      </c>
      <c r="F73" s="581" t="s">
        <v>1394</v>
      </c>
      <c r="G73" s="566">
        <v>45835</v>
      </c>
      <c r="H73" s="565" t="s">
        <v>1355</v>
      </c>
      <c r="I73" s="582">
        <v>636400</v>
      </c>
      <c r="J73" s="582">
        <v>44600</v>
      </c>
      <c r="K73" s="567"/>
      <c r="L73" s="568"/>
      <c r="M73" s="569"/>
      <c r="N73" s="569">
        <v>1500</v>
      </c>
      <c r="O73" s="569">
        <v>2038.81</v>
      </c>
      <c r="P73" s="569">
        <v>2038.81</v>
      </c>
      <c r="Q73" s="569">
        <v>2038.81</v>
      </c>
      <c r="R73" s="569">
        <v>1540.74</v>
      </c>
      <c r="S73" s="569">
        <v>0</v>
      </c>
      <c r="T73" s="569">
        <v>1540.74</v>
      </c>
      <c r="U73" s="569">
        <v>1540.74</v>
      </c>
      <c r="V73" s="570">
        <f t="shared" si="53"/>
        <v>12238.65</v>
      </c>
      <c r="W73" s="571">
        <f t="shared" si="54"/>
        <v>0.27440919282511211</v>
      </c>
      <c r="X73" s="570">
        <f t="shared" si="47"/>
        <v>-32361.35</v>
      </c>
      <c r="Y73" s="571">
        <f t="shared" si="55"/>
        <v>-0.72559080717488789</v>
      </c>
      <c r="Z73" s="572">
        <f t="shared" si="56"/>
        <v>624161.35</v>
      </c>
      <c r="AA73" s="573">
        <f t="shared" si="57"/>
        <v>0.98076893463230674</v>
      </c>
      <c r="AB73" s="572">
        <f t="shared" si="58"/>
        <v>44600</v>
      </c>
      <c r="AC73" s="574" t="str">
        <f t="shared" si="59"/>
        <v>Vendido</v>
      </c>
      <c r="AD73" s="574" t="str">
        <f t="shared" si="60"/>
        <v>Cliente al día</v>
      </c>
      <c r="AE73" s="575">
        <v>27</v>
      </c>
      <c r="AF73" s="575">
        <f t="shared" si="48"/>
        <v>1</v>
      </c>
      <c r="AG73" s="575">
        <f t="shared" si="49"/>
        <v>28</v>
      </c>
      <c r="AH73" s="568">
        <v>1500</v>
      </c>
      <c r="AI73" s="568">
        <v>2038.81</v>
      </c>
      <c r="AJ73" s="574">
        <f t="shared" si="61"/>
        <v>0</v>
      </c>
      <c r="AK73" s="692">
        <f t="shared" si="64"/>
        <v>6</v>
      </c>
      <c r="AL73" s="577">
        <f t="shared" si="50"/>
        <v>1500</v>
      </c>
      <c r="AM73" s="576">
        <f t="shared" si="62"/>
        <v>12238.65</v>
      </c>
      <c r="AN73" s="576">
        <f t="shared" si="63"/>
        <v>0</v>
      </c>
      <c r="AO73" s="576">
        <f t="shared" si="51"/>
        <v>0</v>
      </c>
      <c r="AP73" s="576">
        <f t="shared" si="52"/>
        <v>10738.65</v>
      </c>
      <c r="AQ73" s="576">
        <f t="shared" ref="AQ73:AQ123" si="66">IF(V73&lt;AL73,AL73-V73,0)</f>
        <v>0</v>
      </c>
      <c r="AR73" s="578">
        <f t="shared" si="65"/>
        <v>0</v>
      </c>
      <c r="AS73" s="579"/>
      <c r="AT73" s="579"/>
    </row>
    <row r="74" spans="1:46" s="563" customFormat="1" ht="13.9" customHeight="1" x14ac:dyDescent="0.25">
      <c r="A74" s="582"/>
      <c r="B74" s="564">
        <v>805</v>
      </c>
      <c r="C74" s="565" t="s">
        <v>1361</v>
      </c>
      <c r="D74" s="565" t="s">
        <v>913</v>
      </c>
      <c r="E74" s="564" t="s">
        <v>917</v>
      </c>
      <c r="F74" s="581" t="s">
        <v>1395</v>
      </c>
      <c r="G74" s="566">
        <v>45856</v>
      </c>
      <c r="H74" s="565" t="s">
        <v>1355</v>
      </c>
      <c r="I74" s="582">
        <v>636400</v>
      </c>
      <c r="J74" s="582">
        <v>44548.000000000007</v>
      </c>
      <c r="K74" s="567"/>
      <c r="L74" s="568"/>
      <c r="M74" s="569"/>
      <c r="N74" s="569"/>
      <c r="O74" s="569">
        <f>1500+1500</f>
        <v>3000</v>
      </c>
      <c r="P74" s="569"/>
      <c r="Q74" s="569">
        <v>0</v>
      </c>
      <c r="R74" s="569">
        <v>1615.38</v>
      </c>
      <c r="S74" s="569">
        <v>1615.38</v>
      </c>
      <c r="T74" s="569">
        <f>1615.38+1615.38</f>
        <v>3230.76</v>
      </c>
      <c r="U74" s="569"/>
      <c r="V74" s="570">
        <f t="shared" si="53"/>
        <v>9461.52</v>
      </c>
      <c r="W74" s="571">
        <f t="shared" si="54"/>
        <v>0.21238933285444911</v>
      </c>
      <c r="X74" s="570">
        <f t="shared" si="47"/>
        <v>-35086.48000000001</v>
      </c>
      <c r="Y74" s="571">
        <f t="shared" si="55"/>
        <v>-0.78761066714555095</v>
      </c>
      <c r="Z74" s="572">
        <f t="shared" si="56"/>
        <v>626938.48</v>
      </c>
      <c r="AA74" s="573">
        <f t="shared" si="57"/>
        <v>0.98513274670018858</v>
      </c>
      <c r="AB74" s="572">
        <f t="shared" si="58"/>
        <v>44548.000000000007</v>
      </c>
      <c r="AC74" s="574" t="str">
        <f t="shared" si="59"/>
        <v>Vendido</v>
      </c>
      <c r="AD74" s="574" t="str">
        <f t="shared" si="60"/>
        <v>Cliente al día</v>
      </c>
      <c r="AE74" s="575">
        <v>26</v>
      </c>
      <c r="AF74" s="575">
        <f t="shared" si="48"/>
        <v>1</v>
      </c>
      <c r="AG74" s="575">
        <f t="shared" si="49"/>
        <v>27</v>
      </c>
      <c r="AH74" s="568">
        <v>3000</v>
      </c>
      <c r="AI74" s="568">
        <v>1615.38</v>
      </c>
      <c r="AJ74" s="574">
        <f t="shared" si="61"/>
        <v>2</v>
      </c>
      <c r="AK74" s="692">
        <f t="shared" si="64"/>
        <v>6</v>
      </c>
      <c r="AL74" s="577">
        <f t="shared" si="50"/>
        <v>6230.76</v>
      </c>
      <c r="AM74" s="576">
        <f t="shared" si="62"/>
        <v>3230.76</v>
      </c>
      <c r="AN74" s="576">
        <f t="shared" si="63"/>
        <v>6230.76</v>
      </c>
      <c r="AO74" s="576">
        <f t="shared" si="51"/>
        <v>0</v>
      </c>
      <c r="AP74" s="576">
        <f t="shared" si="52"/>
        <v>3230.76</v>
      </c>
      <c r="AQ74" s="576">
        <f t="shared" si="66"/>
        <v>0</v>
      </c>
      <c r="AR74" s="578">
        <f t="shared" si="65"/>
        <v>0</v>
      </c>
      <c r="AS74" s="579"/>
      <c r="AT74" s="579"/>
    </row>
    <row r="75" spans="1:46" s="563" customFormat="1" ht="13.9" customHeight="1" x14ac:dyDescent="0.25">
      <c r="A75" s="582"/>
      <c r="B75" s="564">
        <v>806</v>
      </c>
      <c r="C75" s="565" t="s">
        <v>1365</v>
      </c>
      <c r="D75" s="565" t="s">
        <v>913</v>
      </c>
      <c r="E75" s="564"/>
      <c r="F75" s="581" t="s">
        <v>1396</v>
      </c>
      <c r="G75" s="566"/>
      <c r="H75" s="565" t="s">
        <v>374</v>
      </c>
      <c r="I75" s="582">
        <v>744000</v>
      </c>
      <c r="J75" s="582">
        <v>52100</v>
      </c>
      <c r="K75" s="567"/>
      <c r="L75" s="568"/>
      <c r="M75" s="569"/>
      <c r="N75" s="900"/>
      <c r="O75" s="900"/>
      <c r="P75" s="900">
        <v>3000</v>
      </c>
      <c r="Q75" s="900">
        <v>0</v>
      </c>
      <c r="R75" s="900">
        <v>0</v>
      </c>
      <c r="S75" s="900">
        <v>0</v>
      </c>
      <c r="T75" s="900"/>
      <c r="U75" s="569"/>
      <c r="V75" s="570">
        <f t="shared" si="53"/>
        <v>3000</v>
      </c>
      <c r="W75" s="571">
        <f t="shared" si="54"/>
        <v>5.7581573896353169E-2</v>
      </c>
      <c r="X75" s="570">
        <f t="shared" si="47"/>
        <v>-49100</v>
      </c>
      <c r="Y75" s="571">
        <f t="shared" si="55"/>
        <v>-0.94241842610364679</v>
      </c>
      <c r="Z75" s="572">
        <f t="shared" si="56"/>
        <v>741000</v>
      </c>
      <c r="AA75" s="573">
        <f t="shared" si="57"/>
        <v>0.99596774193548387</v>
      </c>
      <c r="AB75" s="572">
        <f t="shared" si="58"/>
        <v>52100</v>
      </c>
      <c r="AC75" s="574" t="str">
        <f t="shared" si="59"/>
        <v>Vendido</v>
      </c>
      <c r="AD75" s="593" t="str">
        <f>IF(AND(AC75="Vendido",G75&gt;=0,AL75&lt;=V75,V75&lt;AB75),"Cliente al día",IF(AND(AC75="Vendido",G75&gt;=0,AL75&lt;=V75,V75=AB75),"Enganche Completado",IF(AND(AC75="Vendido",G75&gt;=0,AL75&lt;V75,V75&gt;AB75),"Superávit de Enganche",IF(AND(AC75="Apartamento Disponible",G75=0,X75=0),"Disponible","Cliente Atrasado"))))</f>
        <v>Cliente al día</v>
      </c>
      <c r="AE75" s="575"/>
      <c r="AF75" s="575">
        <f t="shared" si="48"/>
        <v>0</v>
      </c>
      <c r="AG75" s="575">
        <f t="shared" si="49"/>
        <v>0</v>
      </c>
      <c r="AH75" s="568"/>
      <c r="AI75" s="568"/>
      <c r="AJ75" s="574">
        <f t="shared" si="61"/>
        <v>0</v>
      </c>
      <c r="AK75" s="692">
        <f t="shared" si="64"/>
        <v>0</v>
      </c>
      <c r="AL75" s="577">
        <f t="shared" si="50"/>
        <v>0</v>
      </c>
      <c r="AM75" s="576">
        <f t="shared" si="62"/>
        <v>0</v>
      </c>
      <c r="AN75" s="576">
        <f t="shared" si="63"/>
        <v>0</v>
      </c>
      <c r="AO75" s="576">
        <f t="shared" si="51"/>
        <v>3000</v>
      </c>
      <c r="AP75" s="576">
        <f t="shared" si="52"/>
        <v>3000</v>
      </c>
      <c r="AQ75" s="576">
        <f t="shared" si="66"/>
        <v>0</v>
      </c>
      <c r="AR75" s="578">
        <f t="shared" si="65"/>
        <v>0</v>
      </c>
      <c r="AS75" s="579"/>
      <c r="AT75" s="579"/>
    </row>
    <row r="76" spans="1:46" s="563" customFormat="1" ht="13.9" customHeight="1" x14ac:dyDescent="0.25">
      <c r="A76" s="582"/>
      <c r="B76" s="564">
        <v>807</v>
      </c>
      <c r="C76" s="565" t="s">
        <v>1362</v>
      </c>
      <c r="D76" s="565" t="s">
        <v>913</v>
      </c>
      <c r="E76" s="564"/>
      <c r="F76" s="581" t="s">
        <v>1397</v>
      </c>
      <c r="G76" s="566">
        <v>45942</v>
      </c>
      <c r="H76" s="565" t="s">
        <v>956</v>
      </c>
      <c r="I76" s="582">
        <v>744000</v>
      </c>
      <c r="J76" s="582">
        <v>52100</v>
      </c>
      <c r="K76" s="567"/>
      <c r="L76" s="568"/>
      <c r="M76" s="569"/>
      <c r="N76" s="569"/>
      <c r="O76" s="569"/>
      <c r="P76" s="569"/>
      <c r="Q76" s="569">
        <v>0</v>
      </c>
      <c r="R76" s="569">
        <v>3000</v>
      </c>
      <c r="S76" s="569">
        <v>2200</v>
      </c>
      <c r="T76" s="569">
        <v>2200</v>
      </c>
      <c r="U76" s="569">
        <v>2200</v>
      </c>
      <c r="V76" s="570">
        <f t="shared" si="53"/>
        <v>9600</v>
      </c>
      <c r="W76" s="571">
        <f t="shared" si="54"/>
        <v>0.18426103646833014</v>
      </c>
      <c r="X76" s="570">
        <f t="shared" si="47"/>
        <v>-42500</v>
      </c>
      <c r="Y76" s="571">
        <f t="shared" si="55"/>
        <v>-0.81573896353166986</v>
      </c>
      <c r="Z76" s="572">
        <f t="shared" si="56"/>
        <v>734400</v>
      </c>
      <c r="AA76" s="573">
        <f t="shared" si="57"/>
        <v>0.98709677419354835</v>
      </c>
      <c r="AB76" s="572">
        <f t="shared" si="58"/>
        <v>52100</v>
      </c>
      <c r="AC76" s="574" t="str">
        <f t="shared" si="59"/>
        <v>Vendido</v>
      </c>
      <c r="AD76" s="574" t="str">
        <f t="shared" si="60"/>
        <v>Cliente al día</v>
      </c>
      <c r="AE76" s="575"/>
      <c r="AF76" s="575">
        <f t="shared" si="48"/>
        <v>0</v>
      </c>
      <c r="AG76" s="575">
        <f t="shared" si="49"/>
        <v>0</v>
      </c>
      <c r="AH76" s="568"/>
      <c r="AI76" s="568"/>
      <c r="AJ76" s="574">
        <f t="shared" si="61"/>
        <v>0</v>
      </c>
      <c r="AK76" s="692">
        <f t="shared" si="64"/>
        <v>3</v>
      </c>
      <c r="AL76" s="577">
        <f t="shared" si="50"/>
        <v>0</v>
      </c>
      <c r="AM76" s="576">
        <f t="shared" si="62"/>
        <v>0</v>
      </c>
      <c r="AN76" s="576">
        <f t="shared" si="63"/>
        <v>0</v>
      </c>
      <c r="AO76" s="576">
        <f t="shared" si="51"/>
        <v>9600</v>
      </c>
      <c r="AP76" s="576">
        <f t="shared" si="52"/>
        <v>9600</v>
      </c>
      <c r="AQ76" s="576">
        <f t="shared" si="66"/>
        <v>0</v>
      </c>
      <c r="AR76" s="578" t="e">
        <f t="shared" si="65"/>
        <v>#DIV/0!</v>
      </c>
      <c r="AS76" s="579"/>
      <c r="AT76" s="579"/>
    </row>
    <row r="77" spans="1:46" s="563" customFormat="1" ht="13.9" customHeight="1" x14ac:dyDescent="0.25">
      <c r="A77" s="582"/>
      <c r="B77" s="564">
        <v>808</v>
      </c>
      <c r="C77" s="565" t="s">
        <v>1362</v>
      </c>
      <c r="D77" s="565" t="s">
        <v>913</v>
      </c>
      <c r="E77" s="564" t="s">
        <v>1363</v>
      </c>
      <c r="F77" s="581" t="s">
        <v>1398</v>
      </c>
      <c r="G77" s="566">
        <v>45907</v>
      </c>
      <c r="H77" s="565" t="s">
        <v>1355</v>
      </c>
      <c r="I77" s="582">
        <v>744000</v>
      </c>
      <c r="J77" s="582">
        <v>52100</v>
      </c>
      <c r="K77" s="567"/>
      <c r="L77" s="568"/>
      <c r="M77" s="569"/>
      <c r="N77" s="569"/>
      <c r="O77" s="569"/>
      <c r="P77" s="569"/>
      <c r="Q77" s="569">
        <v>3000</v>
      </c>
      <c r="R77" s="569">
        <v>2046</v>
      </c>
      <c r="S77" s="569">
        <v>2046</v>
      </c>
      <c r="T77" s="569">
        <v>2046</v>
      </c>
      <c r="U77" s="569">
        <v>2046</v>
      </c>
      <c r="V77" s="570">
        <f t="shared" si="53"/>
        <v>11184</v>
      </c>
      <c r="W77" s="571">
        <f t="shared" si="54"/>
        <v>0.2146641074856046</v>
      </c>
      <c r="X77" s="570">
        <f t="shared" si="47"/>
        <v>-40916</v>
      </c>
      <c r="Y77" s="571">
        <f t="shared" si="55"/>
        <v>-0.7853358925143954</v>
      </c>
      <c r="Z77" s="572">
        <f t="shared" si="56"/>
        <v>732816</v>
      </c>
      <c r="AA77" s="573">
        <f t="shared" si="57"/>
        <v>0.98496774193548386</v>
      </c>
      <c r="AB77" s="572">
        <f t="shared" si="58"/>
        <v>52100</v>
      </c>
      <c r="AC77" s="574" t="str">
        <f t="shared" si="59"/>
        <v>Vendido</v>
      </c>
      <c r="AD77" s="574" t="str">
        <f t="shared" si="60"/>
        <v>Cliente al día</v>
      </c>
      <c r="AE77" s="575"/>
      <c r="AF77" s="575">
        <f t="shared" si="48"/>
        <v>0</v>
      </c>
      <c r="AG77" s="575">
        <f t="shared" si="49"/>
        <v>0</v>
      </c>
      <c r="AH77" s="568"/>
      <c r="AI77" s="568"/>
      <c r="AJ77" s="574">
        <f t="shared" si="61"/>
        <v>0</v>
      </c>
      <c r="AK77" s="692">
        <f t="shared" si="64"/>
        <v>4</v>
      </c>
      <c r="AL77" s="577">
        <f t="shared" si="50"/>
        <v>0</v>
      </c>
      <c r="AM77" s="576">
        <f t="shared" si="62"/>
        <v>0</v>
      </c>
      <c r="AN77" s="576">
        <f t="shared" si="63"/>
        <v>0</v>
      </c>
      <c r="AO77" s="576">
        <f t="shared" si="51"/>
        <v>11184</v>
      </c>
      <c r="AP77" s="576">
        <f t="shared" si="52"/>
        <v>11184</v>
      </c>
      <c r="AQ77" s="576">
        <f t="shared" si="66"/>
        <v>0</v>
      </c>
      <c r="AR77" s="578" t="e">
        <f t="shared" si="65"/>
        <v>#DIV/0!</v>
      </c>
      <c r="AS77" s="579"/>
      <c r="AT77" s="579"/>
    </row>
    <row r="78" spans="1:46" s="563" customFormat="1" ht="13.9" customHeight="1" x14ac:dyDescent="0.25">
      <c r="A78" s="582"/>
      <c r="B78" s="564">
        <v>809</v>
      </c>
      <c r="C78" s="565" t="s">
        <v>1365</v>
      </c>
      <c r="D78" s="565" t="s">
        <v>913</v>
      </c>
      <c r="E78" s="564"/>
      <c r="F78" s="581" t="s">
        <v>1399</v>
      </c>
      <c r="G78" s="566">
        <v>45823</v>
      </c>
      <c r="H78" s="565" t="s">
        <v>1355</v>
      </c>
      <c r="I78" s="582">
        <v>813000</v>
      </c>
      <c r="J78" s="582">
        <v>56910.000000000007</v>
      </c>
      <c r="K78" s="567"/>
      <c r="L78" s="568"/>
      <c r="M78" s="569"/>
      <c r="N78" s="569">
        <v>3000</v>
      </c>
      <c r="O78" s="569">
        <v>2000</v>
      </c>
      <c r="P78" s="569">
        <v>2000</v>
      </c>
      <c r="Q78" s="569">
        <v>2000</v>
      </c>
      <c r="R78" s="569">
        <v>2000</v>
      </c>
      <c r="S78" s="569">
        <v>2000</v>
      </c>
      <c r="T78" s="569">
        <v>2000</v>
      </c>
      <c r="U78" s="569">
        <v>2000</v>
      </c>
      <c r="V78" s="570">
        <f t="shared" si="53"/>
        <v>17000</v>
      </c>
      <c r="W78" s="571">
        <f t="shared" si="54"/>
        <v>0.29871727288701455</v>
      </c>
      <c r="X78" s="570">
        <f t="shared" si="47"/>
        <v>-39910.000000000007</v>
      </c>
      <c r="Y78" s="571">
        <f t="shared" si="55"/>
        <v>-0.70128272711298545</v>
      </c>
      <c r="Z78" s="572">
        <f t="shared" si="56"/>
        <v>796000</v>
      </c>
      <c r="AA78" s="573">
        <f t="shared" si="57"/>
        <v>0.97908979089790893</v>
      </c>
      <c r="AB78" s="572">
        <f t="shared" si="58"/>
        <v>56910.000000000007</v>
      </c>
      <c r="AC78" s="574" t="str">
        <f t="shared" si="59"/>
        <v>Vendido</v>
      </c>
      <c r="AD78" s="574" t="str">
        <f t="shared" si="60"/>
        <v>Cliente al día</v>
      </c>
      <c r="AE78" s="575">
        <v>27</v>
      </c>
      <c r="AF78" s="575">
        <f t="shared" si="48"/>
        <v>1</v>
      </c>
      <c r="AG78" s="575">
        <f t="shared" si="49"/>
        <v>28</v>
      </c>
      <c r="AH78" s="568">
        <v>3000</v>
      </c>
      <c r="AI78" s="568">
        <v>1996.97</v>
      </c>
      <c r="AJ78" s="574">
        <f t="shared" si="61"/>
        <v>7</v>
      </c>
      <c r="AK78" s="692">
        <f t="shared" si="64"/>
        <v>7</v>
      </c>
      <c r="AL78" s="577">
        <f t="shared" si="50"/>
        <v>16978.79</v>
      </c>
      <c r="AM78" s="576">
        <f t="shared" si="62"/>
        <v>0</v>
      </c>
      <c r="AN78" s="576">
        <f t="shared" si="63"/>
        <v>17000</v>
      </c>
      <c r="AO78" s="576">
        <f t="shared" si="51"/>
        <v>0</v>
      </c>
      <c r="AP78" s="576">
        <f t="shared" si="52"/>
        <v>21.209999999999127</v>
      </c>
      <c r="AQ78" s="576">
        <f t="shared" si="66"/>
        <v>0</v>
      </c>
      <c r="AR78" s="578">
        <f t="shared" si="65"/>
        <v>0</v>
      </c>
      <c r="AS78" s="579"/>
      <c r="AT78" s="579"/>
    </row>
    <row r="79" spans="1:46" s="563" customFormat="1" ht="13.9" customHeight="1" x14ac:dyDescent="0.25">
      <c r="A79" s="582"/>
      <c r="B79" s="564">
        <v>901</v>
      </c>
      <c r="C79" s="565" t="s">
        <v>1361</v>
      </c>
      <c r="D79" s="565" t="s">
        <v>913</v>
      </c>
      <c r="E79" s="564"/>
      <c r="F79" s="581"/>
      <c r="G79" s="566"/>
      <c r="H79" s="565" t="s">
        <v>374</v>
      </c>
      <c r="I79" s="582">
        <v>636400</v>
      </c>
      <c r="J79" s="582">
        <v>44548.000000000007</v>
      </c>
      <c r="K79" s="567"/>
      <c r="L79" s="568"/>
      <c r="M79" s="569"/>
      <c r="N79" s="569"/>
      <c r="O79" s="569"/>
      <c r="P79" s="569"/>
      <c r="Q79" s="569">
        <v>0</v>
      </c>
      <c r="R79" s="569">
        <v>0</v>
      </c>
      <c r="S79" s="569">
        <v>0</v>
      </c>
      <c r="T79" s="569"/>
      <c r="U79" s="569"/>
      <c r="V79" s="570">
        <f t="shared" si="53"/>
        <v>0</v>
      </c>
      <c r="W79" s="571">
        <f t="shared" si="54"/>
        <v>0</v>
      </c>
      <c r="X79" s="570">
        <f t="shared" si="47"/>
        <v>0</v>
      </c>
      <c r="Y79" s="571">
        <f t="shared" si="55"/>
        <v>0</v>
      </c>
      <c r="Z79" s="572">
        <f t="shared" si="56"/>
        <v>636400</v>
      </c>
      <c r="AA79" s="573">
        <f t="shared" si="57"/>
        <v>1</v>
      </c>
      <c r="AB79" s="572">
        <f t="shared" si="58"/>
        <v>0</v>
      </c>
      <c r="AC79" s="574" t="str">
        <f t="shared" si="59"/>
        <v>Apartamento Disponible</v>
      </c>
      <c r="AD79" s="574" t="str">
        <f t="shared" si="60"/>
        <v>Disponible</v>
      </c>
      <c r="AE79" s="575"/>
      <c r="AF79" s="575">
        <f t="shared" si="48"/>
        <v>0</v>
      </c>
      <c r="AG79" s="575">
        <f t="shared" si="49"/>
        <v>0</v>
      </c>
      <c r="AH79" s="568"/>
      <c r="AI79" s="568"/>
      <c r="AJ79" s="574">
        <f t="shared" si="61"/>
        <v>0</v>
      </c>
      <c r="AK79" s="692">
        <f t="shared" si="64"/>
        <v>0</v>
      </c>
      <c r="AL79" s="577">
        <f t="shared" si="50"/>
        <v>0</v>
      </c>
      <c r="AM79" s="576">
        <f t="shared" si="62"/>
        <v>0</v>
      </c>
      <c r="AN79" s="576">
        <f t="shared" si="63"/>
        <v>0</v>
      </c>
      <c r="AO79" s="576">
        <f t="shared" si="51"/>
        <v>0</v>
      </c>
      <c r="AP79" s="576">
        <f t="shared" si="52"/>
        <v>0</v>
      </c>
      <c r="AQ79" s="576">
        <f t="shared" si="66"/>
        <v>0</v>
      </c>
      <c r="AR79" s="578">
        <f t="shared" si="65"/>
        <v>0</v>
      </c>
      <c r="AS79" s="579"/>
      <c r="AT79" s="579"/>
    </row>
    <row r="80" spans="1:46" s="563" customFormat="1" ht="13.9" customHeight="1" x14ac:dyDescent="0.25">
      <c r="A80" s="582"/>
      <c r="B80" s="564">
        <v>902</v>
      </c>
      <c r="C80" s="565" t="s">
        <v>1362</v>
      </c>
      <c r="D80" s="565" t="s">
        <v>913</v>
      </c>
      <c r="E80" s="564"/>
      <c r="F80" s="581" t="s">
        <v>1400</v>
      </c>
      <c r="G80" s="566">
        <v>45880</v>
      </c>
      <c r="H80" s="565" t="s">
        <v>1355</v>
      </c>
      <c r="I80" s="582">
        <v>945900</v>
      </c>
      <c r="J80" s="582">
        <v>66213</v>
      </c>
      <c r="K80" s="567"/>
      <c r="L80" s="568"/>
      <c r="M80" s="569"/>
      <c r="N80" s="569"/>
      <c r="O80" s="569"/>
      <c r="P80" s="569">
        <v>1500</v>
      </c>
      <c r="Q80" s="569">
        <v>3000</v>
      </c>
      <c r="R80" s="569">
        <v>3000</v>
      </c>
      <c r="S80" s="569">
        <v>3000</v>
      </c>
      <c r="T80" s="569">
        <v>3000</v>
      </c>
      <c r="U80" s="569">
        <v>3000</v>
      </c>
      <c r="V80" s="570">
        <f t="shared" si="53"/>
        <v>16500</v>
      </c>
      <c r="W80" s="571">
        <f t="shared" si="54"/>
        <v>0.24919577726428344</v>
      </c>
      <c r="X80" s="570">
        <f t="shared" si="47"/>
        <v>-49713</v>
      </c>
      <c r="Y80" s="571">
        <f t="shared" si="55"/>
        <v>-0.75080422273571656</v>
      </c>
      <c r="Z80" s="572">
        <f t="shared" si="56"/>
        <v>929400</v>
      </c>
      <c r="AA80" s="573">
        <f t="shared" si="57"/>
        <v>0.98255629559150015</v>
      </c>
      <c r="AB80" s="572">
        <f t="shared" si="58"/>
        <v>66213</v>
      </c>
      <c r="AC80" s="574" t="str">
        <f t="shared" si="59"/>
        <v>Vendido</v>
      </c>
      <c r="AD80" s="574" t="str">
        <f t="shared" si="60"/>
        <v>Cliente al día</v>
      </c>
      <c r="AE80" s="575"/>
      <c r="AF80" s="575">
        <f t="shared" si="48"/>
        <v>0</v>
      </c>
      <c r="AG80" s="575">
        <f t="shared" si="49"/>
        <v>0</v>
      </c>
      <c r="AH80" s="568"/>
      <c r="AI80" s="568"/>
      <c r="AJ80" s="574">
        <f t="shared" si="61"/>
        <v>0</v>
      </c>
      <c r="AK80" s="692">
        <f t="shared" si="64"/>
        <v>5</v>
      </c>
      <c r="AL80" s="577">
        <f t="shared" si="50"/>
        <v>0</v>
      </c>
      <c r="AM80" s="576">
        <f t="shared" si="62"/>
        <v>0</v>
      </c>
      <c r="AN80" s="576">
        <f t="shared" si="63"/>
        <v>0</v>
      </c>
      <c r="AO80" s="576">
        <f t="shared" si="51"/>
        <v>16500</v>
      </c>
      <c r="AP80" s="576">
        <f t="shared" si="52"/>
        <v>16500</v>
      </c>
      <c r="AQ80" s="576">
        <f t="shared" si="66"/>
        <v>0</v>
      </c>
      <c r="AR80" s="578" t="e">
        <f t="shared" si="65"/>
        <v>#DIV/0!</v>
      </c>
      <c r="AS80" s="579"/>
      <c r="AT80" s="579"/>
    </row>
    <row r="81" spans="1:46" s="563" customFormat="1" ht="13.9" customHeight="1" x14ac:dyDescent="0.25">
      <c r="A81" s="582"/>
      <c r="B81" s="564">
        <v>903</v>
      </c>
      <c r="C81" s="565" t="s">
        <v>1362</v>
      </c>
      <c r="D81" s="565" t="s">
        <v>913</v>
      </c>
      <c r="E81" s="564"/>
      <c r="F81" s="581" t="s">
        <v>1401</v>
      </c>
      <c r="G81" s="566">
        <v>45872</v>
      </c>
      <c r="H81" s="565" t="s">
        <v>1355</v>
      </c>
      <c r="I81" s="582">
        <v>945900</v>
      </c>
      <c r="J81" s="582">
        <v>66213</v>
      </c>
      <c r="K81" s="567"/>
      <c r="L81" s="568"/>
      <c r="M81" s="569"/>
      <c r="N81" s="569"/>
      <c r="O81" s="569"/>
      <c r="P81" s="569">
        <v>3000</v>
      </c>
      <c r="Q81" s="569">
        <v>2000</v>
      </c>
      <c r="R81" s="569">
        <v>2000</v>
      </c>
      <c r="S81" s="569">
        <v>2000</v>
      </c>
      <c r="T81" s="569">
        <v>2000</v>
      </c>
      <c r="U81" s="569">
        <v>2000</v>
      </c>
      <c r="V81" s="570">
        <f t="shared" si="53"/>
        <v>13000</v>
      </c>
      <c r="W81" s="571">
        <f t="shared" si="54"/>
        <v>0.19633606693549605</v>
      </c>
      <c r="X81" s="570">
        <f t="shared" si="47"/>
        <v>-53213</v>
      </c>
      <c r="Y81" s="571">
        <f t="shared" si="55"/>
        <v>-0.8036639330645039</v>
      </c>
      <c r="Z81" s="572">
        <f t="shared" si="56"/>
        <v>932900</v>
      </c>
      <c r="AA81" s="573">
        <f t="shared" si="57"/>
        <v>0.98625647531451532</v>
      </c>
      <c r="AB81" s="572">
        <f t="shared" si="58"/>
        <v>66213</v>
      </c>
      <c r="AC81" s="574" t="str">
        <f t="shared" si="59"/>
        <v>Vendido</v>
      </c>
      <c r="AD81" s="574" t="str">
        <f t="shared" si="60"/>
        <v>Cliente al día</v>
      </c>
      <c r="AE81" s="575"/>
      <c r="AF81" s="575">
        <f t="shared" si="48"/>
        <v>0</v>
      </c>
      <c r="AG81" s="575">
        <f t="shared" si="49"/>
        <v>0</v>
      </c>
      <c r="AH81" s="568"/>
      <c r="AI81" s="568"/>
      <c r="AJ81" s="574">
        <f t="shared" si="61"/>
        <v>0</v>
      </c>
      <c r="AK81" s="692">
        <f t="shared" si="64"/>
        <v>5</v>
      </c>
      <c r="AL81" s="577">
        <f t="shared" si="50"/>
        <v>0</v>
      </c>
      <c r="AM81" s="576">
        <f t="shared" si="62"/>
        <v>0</v>
      </c>
      <c r="AN81" s="576">
        <f t="shared" si="63"/>
        <v>0</v>
      </c>
      <c r="AO81" s="576">
        <f t="shared" si="51"/>
        <v>13000</v>
      </c>
      <c r="AP81" s="576">
        <f t="shared" si="52"/>
        <v>13000</v>
      </c>
      <c r="AQ81" s="576">
        <f t="shared" si="66"/>
        <v>0</v>
      </c>
      <c r="AR81" s="578" t="e">
        <f t="shared" si="65"/>
        <v>#DIV/0!</v>
      </c>
      <c r="AS81" s="579"/>
      <c r="AT81" s="579"/>
    </row>
    <row r="82" spans="1:46" s="586" customFormat="1" ht="13.9" customHeight="1" x14ac:dyDescent="0.25">
      <c r="A82" s="584"/>
      <c r="B82" s="585">
        <v>904</v>
      </c>
      <c r="C82" s="585" t="s">
        <v>1361</v>
      </c>
      <c r="D82" s="585" t="s">
        <v>913</v>
      </c>
      <c r="E82" s="564" t="s">
        <v>1363</v>
      </c>
      <c r="F82" s="586" t="s">
        <v>1402</v>
      </c>
      <c r="G82" s="587">
        <v>45835</v>
      </c>
      <c r="H82" s="565" t="s">
        <v>1355</v>
      </c>
      <c r="I82" s="584">
        <v>617038</v>
      </c>
      <c r="J82" s="584">
        <v>43308</v>
      </c>
      <c r="K82" s="588"/>
      <c r="L82" s="589">
        <v>0</v>
      </c>
      <c r="M82" s="569">
        <v>0</v>
      </c>
      <c r="N82" s="900">
        <v>1500</v>
      </c>
      <c r="O82" s="900">
        <v>1500</v>
      </c>
      <c r="P82" s="900">
        <v>0</v>
      </c>
      <c r="Q82" s="900">
        <v>0</v>
      </c>
      <c r="R82" s="900">
        <v>0</v>
      </c>
      <c r="S82" s="900">
        <v>0</v>
      </c>
      <c r="T82" s="900"/>
      <c r="U82" s="569"/>
      <c r="V82" s="590">
        <f t="shared" si="53"/>
        <v>3000</v>
      </c>
      <c r="W82" s="591">
        <f t="shared" si="54"/>
        <v>6.9271266278747579E-2</v>
      </c>
      <c r="X82" s="590">
        <f t="shared" si="41"/>
        <v>-40308</v>
      </c>
      <c r="Y82" s="591">
        <f t="shared" si="55"/>
        <v>-0.93072873372125242</v>
      </c>
      <c r="Z82" s="590">
        <f t="shared" si="56"/>
        <v>614038</v>
      </c>
      <c r="AA82" s="592">
        <f t="shared" si="57"/>
        <v>0.99513806280974593</v>
      </c>
      <c r="AB82" s="590">
        <f t="shared" si="58"/>
        <v>43308</v>
      </c>
      <c r="AC82" s="593" t="str">
        <f t="shared" si="59"/>
        <v>Vendido</v>
      </c>
      <c r="AD82" s="593" t="str">
        <f>IF(AND(AC82="Vendido",G82&gt;=0,AL82&lt;=V82,V82&lt;AB82),"Cliente al día",IF(AND(AC82="Vendido",G82&gt;=0,AL82&lt;=V82,V82=AB82),"Enganche Completado",IF(AND(AC82="Vendido",G82&gt;=0,AL82&lt;V82,V82&gt;AB82),"Superávit de Enganche",IF(AND(AC82="Apartamento Disponible",G82=0,X82=0),"Disponible","Cliente Atrasado"))))</f>
        <v>Cliente Atrasado</v>
      </c>
      <c r="AE82" s="594">
        <v>26</v>
      </c>
      <c r="AF82" s="575">
        <f>IF(AE82&gt;1,1,0)</f>
        <v>1</v>
      </c>
      <c r="AG82" s="594">
        <f t="shared" si="43"/>
        <v>27</v>
      </c>
      <c r="AH82" s="589">
        <v>3000</v>
      </c>
      <c r="AI82" s="589">
        <v>1555.56</v>
      </c>
      <c r="AJ82" s="593">
        <f t="shared" si="61"/>
        <v>2</v>
      </c>
      <c r="AK82" s="692">
        <f t="shared" si="64"/>
        <v>6</v>
      </c>
      <c r="AL82" s="595">
        <f t="shared" si="44"/>
        <v>6111.12</v>
      </c>
      <c r="AM82" s="596">
        <f t="shared" si="62"/>
        <v>3000</v>
      </c>
      <c r="AN82" s="596">
        <f t="shared" si="63"/>
        <v>0</v>
      </c>
      <c r="AO82" s="596">
        <f t="shared" si="45"/>
        <v>0</v>
      </c>
      <c r="AP82" s="596">
        <f t="shared" si="46"/>
        <v>0</v>
      </c>
      <c r="AQ82" s="576">
        <f t="shared" si="66"/>
        <v>3111.12</v>
      </c>
      <c r="AR82" s="578">
        <f t="shared" si="65"/>
        <v>2</v>
      </c>
      <c r="AS82" s="593"/>
      <c r="AT82" s="593" t="s">
        <v>1403</v>
      </c>
    </row>
    <row r="83" spans="1:46" s="563" customFormat="1" ht="13.9" customHeight="1" x14ac:dyDescent="0.25">
      <c r="A83" s="582"/>
      <c r="B83" s="564">
        <v>905</v>
      </c>
      <c r="C83" s="565" t="s">
        <v>1361</v>
      </c>
      <c r="D83" s="565" t="s">
        <v>913</v>
      </c>
      <c r="E83" s="564" t="s">
        <v>917</v>
      </c>
      <c r="F83" s="581" t="s">
        <v>1404</v>
      </c>
      <c r="G83" s="566">
        <v>45835</v>
      </c>
      <c r="H83" s="565" t="s">
        <v>1355</v>
      </c>
      <c r="I83" s="582">
        <v>636400</v>
      </c>
      <c r="J83" s="582">
        <v>44548.000000000007</v>
      </c>
      <c r="K83" s="567"/>
      <c r="L83" s="568"/>
      <c r="M83" s="569"/>
      <c r="N83" s="900"/>
      <c r="O83" s="900">
        <v>1500</v>
      </c>
      <c r="P83" s="900"/>
      <c r="Q83" s="900">
        <v>0</v>
      </c>
      <c r="R83" s="900">
        <v>0</v>
      </c>
      <c r="S83" s="900">
        <v>0</v>
      </c>
      <c r="T83" s="900"/>
      <c r="U83" s="569"/>
      <c r="V83" s="570">
        <f t="shared" si="53"/>
        <v>1500</v>
      </c>
      <c r="W83" s="571">
        <f t="shared" si="54"/>
        <v>3.3671545299452273E-2</v>
      </c>
      <c r="X83" s="570">
        <f t="shared" ref="X83:X123" si="67">+V83-AB83</f>
        <v>-43048.000000000007</v>
      </c>
      <c r="Y83" s="571">
        <f t="shared" si="55"/>
        <v>-0.96632845470054773</v>
      </c>
      <c r="Z83" s="572">
        <f t="shared" si="56"/>
        <v>634900</v>
      </c>
      <c r="AA83" s="573">
        <f t="shared" si="57"/>
        <v>0.99764299182903837</v>
      </c>
      <c r="AB83" s="572">
        <f t="shared" si="58"/>
        <v>44548.000000000007</v>
      </c>
      <c r="AC83" s="574" t="str">
        <f t="shared" si="59"/>
        <v>Vendido</v>
      </c>
      <c r="AD83" s="574" t="str">
        <f>IF(AND(AC83="Vendido",G83&gt;=0,AL83&lt;=V83,V83&lt;AB83),"Cliente al día",IF(AND(AC83="Vendido",G83&gt;=0,AL83&lt;=V83,V83=AB83),"Enganche Completado",IF(AND(AC83="Vendido",G83&gt;=0,AL83&lt;V83,V83&gt;AB83),"Superávit de Enganche",IF(AND(AC83="Apartamento Disponible",G83=0,X83=0),"Disponible","Cliente Atrasado"))))</f>
        <v>Cliente Atrasado</v>
      </c>
      <c r="AE83" s="575">
        <v>26</v>
      </c>
      <c r="AF83" s="575">
        <f t="shared" ref="AF83:AF123" si="68">IF(AE83&gt;1,1,0)</f>
        <v>1</v>
      </c>
      <c r="AG83" s="575">
        <f t="shared" ref="AG83:AG123" si="69">+AE83+AF83</f>
        <v>27</v>
      </c>
      <c r="AH83" s="568">
        <v>3000</v>
      </c>
      <c r="AI83" s="568">
        <v>1555.56</v>
      </c>
      <c r="AJ83" s="574">
        <f t="shared" si="61"/>
        <v>1</v>
      </c>
      <c r="AK83" s="692">
        <f t="shared" si="64"/>
        <v>6</v>
      </c>
      <c r="AL83" s="577">
        <f t="shared" ref="AL83:AL123" si="70">(AJ83*AI83)+AH83</f>
        <v>4555.5599999999995</v>
      </c>
      <c r="AM83" s="576">
        <f t="shared" si="62"/>
        <v>1500</v>
      </c>
      <c r="AN83" s="576">
        <f t="shared" si="63"/>
        <v>0</v>
      </c>
      <c r="AO83" s="576">
        <f t="shared" ref="AO83:AO123" si="71">V83-AM83-AN83</f>
        <v>0</v>
      </c>
      <c r="AP83" s="576">
        <f t="shared" ref="AP83:AP123" si="72">IF(V83&gt;AL83,V83-AL83,0)</f>
        <v>0</v>
      </c>
      <c r="AQ83" s="576">
        <f t="shared" si="66"/>
        <v>3055.5599999999995</v>
      </c>
      <c r="AR83" s="578">
        <f t="shared" si="65"/>
        <v>2</v>
      </c>
      <c r="AS83" s="579"/>
      <c r="AT83" s="579"/>
    </row>
    <row r="84" spans="1:46" s="563" customFormat="1" ht="13.9" customHeight="1" x14ac:dyDescent="0.25">
      <c r="A84" s="582"/>
      <c r="B84" s="564">
        <v>906</v>
      </c>
      <c r="C84" s="565" t="s">
        <v>1365</v>
      </c>
      <c r="D84" s="565" t="s">
        <v>913</v>
      </c>
      <c r="E84" s="564"/>
      <c r="F84" s="581" t="s">
        <v>1405</v>
      </c>
      <c r="G84" s="566">
        <v>45865</v>
      </c>
      <c r="H84" s="565" t="s">
        <v>1355</v>
      </c>
      <c r="I84" s="582">
        <v>813000</v>
      </c>
      <c r="J84" s="582">
        <v>56910.000000000007</v>
      </c>
      <c r="K84" s="567"/>
      <c r="L84" s="568"/>
      <c r="M84" s="569"/>
      <c r="N84" s="569"/>
      <c r="O84" s="569">
        <v>3000</v>
      </c>
      <c r="P84" s="569">
        <v>2000</v>
      </c>
      <c r="Q84" s="569">
        <v>2000</v>
      </c>
      <c r="R84" s="569">
        <v>2000</v>
      </c>
      <c r="S84" s="569">
        <v>2000</v>
      </c>
      <c r="T84" s="569">
        <v>2000</v>
      </c>
      <c r="U84" s="569">
        <v>2000</v>
      </c>
      <c r="V84" s="570">
        <f t="shared" si="53"/>
        <v>15000</v>
      </c>
      <c r="W84" s="571">
        <f t="shared" si="54"/>
        <v>0.26357406431207164</v>
      </c>
      <c r="X84" s="570">
        <f t="shared" si="67"/>
        <v>-41910.000000000007</v>
      </c>
      <c r="Y84" s="571">
        <f t="shared" si="55"/>
        <v>-0.73642593568792836</v>
      </c>
      <c r="Z84" s="572">
        <f t="shared" si="56"/>
        <v>798000</v>
      </c>
      <c r="AA84" s="573">
        <f t="shared" si="57"/>
        <v>0.98154981549815501</v>
      </c>
      <c r="AB84" s="572">
        <f t="shared" si="58"/>
        <v>56910.000000000007</v>
      </c>
      <c r="AC84" s="574" t="str">
        <f t="shared" si="59"/>
        <v>Vendido</v>
      </c>
      <c r="AD84" s="574" t="str">
        <f t="shared" si="60"/>
        <v>Cliente al día</v>
      </c>
      <c r="AE84" s="575"/>
      <c r="AF84" s="575">
        <f t="shared" si="68"/>
        <v>0</v>
      </c>
      <c r="AG84" s="575">
        <f t="shared" si="69"/>
        <v>0</v>
      </c>
      <c r="AH84" s="568"/>
      <c r="AI84" s="568"/>
      <c r="AJ84" s="574">
        <f t="shared" si="61"/>
        <v>0</v>
      </c>
      <c r="AK84" s="692">
        <f t="shared" si="64"/>
        <v>5</v>
      </c>
      <c r="AL84" s="577">
        <f t="shared" si="70"/>
        <v>0</v>
      </c>
      <c r="AM84" s="576">
        <f t="shared" si="62"/>
        <v>0</v>
      </c>
      <c r="AN84" s="576">
        <f t="shared" si="63"/>
        <v>0</v>
      </c>
      <c r="AO84" s="576">
        <f t="shared" si="71"/>
        <v>15000</v>
      </c>
      <c r="AP84" s="576">
        <f t="shared" si="72"/>
        <v>15000</v>
      </c>
      <c r="AQ84" s="576">
        <f t="shared" si="66"/>
        <v>0</v>
      </c>
      <c r="AR84" s="578" t="e">
        <f t="shared" si="65"/>
        <v>#DIV/0!</v>
      </c>
      <c r="AS84" s="579"/>
      <c r="AT84" s="579"/>
    </row>
    <row r="85" spans="1:46" s="563" customFormat="1" ht="13.9" customHeight="1" x14ac:dyDescent="0.25">
      <c r="A85" s="582"/>
      <c r="B85" s="564">
        <v>907</v>
      </c>
      <c r="C85" s="565" t="s">
        <v>1362</v>
      </c>
      <c r="D85" s="565" t="s">
        <v>913</v>
      </c>
      <c r="E85" s="564" t="s">
        <v>917</v>
      </c>
      <c r="F85" s="581" t="s">
        <v>1406</v>
      </c>
      <c r="G85" s="566">
        <v>45921</v>
      </c>
      <c r="H85" s="565" t="s">
        <v>1355</v>
      </c>
      <c r="I85" s="582">
        <v>744000</v>
      </c>
      <c r="J85" s="582">
        <v>53000</v>
      </c>
      <c r="K85" s="567"/>
      <c r="L85" s="568"/>
      <c r="M85" s="569"/>
      <c r="N85" s="569"/>
      <c r="O85" s="569"/>
      <c r="P85" s="569"/>
      <c r="Q85" s="569">
        <v>3000</v>
      </c>
      <c r="R85" s="569">
        <v>2500</v>
      </c>
      <c r="S85" s="569">
        <v>2500</v>
      </c>
      <c r="T85" s="569">
        <v>3500</v>
      </c>
      <c r="U85" s="569">
        <v>2500</v>
      </c>
      <c r="V85" s="570">
        <f t="shared" si="53"/>
        <v>14000</v>
      </c>
      <c r="W85" s="571">
        <f t="shared" si="54"/>
        <v>0.26415094339622641</v>
      </c>
      <c r="X85" s="570">
        <f t="shared" si="67"/>
        <v>-39000</v>
      </c>
      <c r="Y85" s="571">
        <f t="shared" si="55"/>
        <v>-0.73584905660377353</v>
      </c>
      <c r="Z85" s="572">
        <f t="shared" si="56"/>
        <v>730000</v>
      </c>
      <c r="AA85" s="573">
        <f t="shared" si="57"/>
        <v>0.98118279569892475</v>
      </c>
      <c r="AB85" s="572">
        <f t="shared" si="58"/>
        <v>53000</v>
      </c>
      <c r="AC85" s="574" t="str">
        <f t="shared" si="59"/>
        <v>Vendido</v>
      </c>
      <c r="AD85" s="574" t="str">
        <f t="shared" si="60"/>
        <v>Cliente al día</v>
      </c>
      <c r="AE85" s="575"/>
      <c r="AF85" s="575">
        <f t="shared" si="68"/>
        <v>0</v>
      </c>
      <c r="AG85" s="575">
        <f t="shared" si="69"/>
        <v>0</v>
      </c>
      <c r="AH85" s="568"/>
      <c r="AI85" s="568"/>
      <c r="AJ85" s="574">
        <f t="shared" si="61"/>
        <v>0</v>
      </c>
      <c r="AK85" s="692">
        <f t="shared" si="64"/>
        <v>4</v>
      </c>
      <c r="AL85" s="577">
        <f t="shared" si="70"/>
        <v>0</v>
      </c>
      <c r="AM85" s="576">
        <f t="shared" si="62"/>
        <v>0</v>
      </c>
      <c r="AN85" s="576">
        <f t="shared" si="63"/>
        <v>0</v>
      </c>
      <c r="AO85" s="576">
        <f t="shared" si="71"/>
        <v>14000</v>
      </c>
      <c r="AP85" s="576">
        <f t="shared" si="72"/>
        <v>14000</v>
      </c>
      <c r="AQ85" s="576">
        <f t="shared" si="66"/>
        <v>0</v>
      </c>
      <c r="AR85" s="578" t="e">
        <f t="shared" si="65"/>
        <v>#DIV/0!</v>
      </c>
      <c r="AS85" s="579"/>
      <c r="AT85" s="579"/>
    </row>
    <row r="86" spans="1:46" s="563" customFormat="1" ht="13.9" customHeight="1" x14ac:dyDescent="0.25">
      <c r="A86" s="582"/>
      <c r="B86" s="564">
        <v>908</v>
      </c>
      <c r="C86" s="565" t="s">
        <v>1362</v>
      </c>
      <c r="D86" s="565" t="s">
        <v>913</v>
      </c>
      <c r="E86" s="564"/>
      <c r="F86" s="581" t="s">
        <v>1407</v>
      </c>
      <c r="G86" s="566">
        <v>45888</v>
      </c>
      <c r="H86" s="565" t="s">
        <v>1355</v>
      </c>
      <c r="I86" s="582">
        <v>945900</v>
      </c>
      <c r="J86" s="582">
        <v>66213</v>
      </c>
      <c r="K86" s="567"/>
      <c r="L86" s="568"/>
      <c r="M86" s="569"/>
      <c r="N86" s="569"/>
      <c r="O86" s="569"/>
      <c r="P86" s="569">
        <v>3000</v>
      </c>
      <c r="Q86" s="569">
        <v>1964</v>
      </c>
      <c r="R86" s="569">
        <v>1964</v>
      </c>
      <c r="S86" s="569">
        <v>1964</v>
      </c>
      <c r="T86" s="569">
        <v>1964</v>
      </c>
      <c r="U86" s="569">
        <v>1964</v>
      </c>
      <c r="V86" s="570">
        <f t="shared" si="53"/>
        <v>12820</v>
      </c>
      <c r="W86" s="571">
        <f t="shared" si="54"/>
        <v>0.19361756754715842</v>
      </c>
      <c r="X86" s="570">
        <f t="shared" si="67"/>
        <v>-53393</v>
      </c>
      <c r="Y86" s="571">
        <f t="shared" si="55"/>
        <v>-0.80638243245284158</v>
      </c>
      <c r="Z86" s="572">
        <f t="shared" si="56"/>
        <v>933080</v>
      </c>
      <c r="AA86" s="573">
        <f t="shared" si="57"/>
        <v>0.98644677027169891</v>
      </c>
      <c r="AB86" s="572">
        <f t="shared" si="58"/>
        <v>66213</v>
      </c>
      <c r="AC86" s="574" t="str">
        <f t="shared" si="59"/>
        <v>Vendido</v>
      </c>
      <c r="AD86" s="574" t="str">
        <f t="shared" si="60"/>
        <v>Cliente al día</v>
      </c>
      <c r="AE86" s="575"/>
      <c r="AF86" s="575">
        <f t="shared" si="68"/>
        <v>0</v>
      </c>
      <c r="AG86" s="575">
        <f t="shared" si="69"/>
        <v>0</v>
      </c>
      <c r="AH86" s="568"/>
      <c r="AI86" s="568"/>
      <c r="AJ86" s="574">
        <f t="shared" si="61"/>
        <v>0</v>
      </c>
      <c r="AK86" s="692">
        <f t="shared" si="64"/>
        <v>5</v>
      </c>
      <c r="AL86" s="577">
        <f t="shared" si="70"/>
        <v>0</v>
      </c>
      <c r="AM86" s="576">
        <f t="shared" si="62"/>
        <v>0</v>
      </c>
      <c r="AN86" s="576">
        <f t="shared" si="63"/>
        <v>0</v>
      </c>
      <c r="AO86" s="576">
        <f t="shared" si="71"/>
        <v>12820</v>
      </c>
      <c r="AP86" s="576">
        <f t="shared" si="72"/>
        <v>12820</v>
      </c>
      <c r="AQ86" s="576">
        <f t="shared" si="66"/>
        <v>0</v>
      </c>
      <c r="AR86" s="578" t="e">
        <f t="shared" si="65"/>
        <v>#DIV/0!</v>
      </c>
      <c r="AS86" s="579"/>
      <c r="AT86" s="579"/>
    </row>
    <row r="87" spans="1:46" s="563" customFormat="1" ht="13.9" customHeight="1" x14ac:dyDescent="0.25">
      <c r="A87" s="582"/>
      <c r="B87" s="564">
        <v>909</v>
      </c>
      <c r="C87" s="565" t="s">
        <v>1365</v>
      </c>
      <c r="D87" s="565" t="s">
        <v>913</v>
      </c>
      <c r="E87" s="564" t="s">
        <v>1363</v>
      </c>
      <c r="F87" s="581" t="s">
        <v>1408</v>
      </c>
      <c r="G87" s="566">
        <v>45794</v>
      </c>
      <c r="H87" s="565" t="s">
        <v>1355</v>
      </c>
      <c r="I87" s="582">
        <v>813000</v>
      </c>
      <c r="J87" s="582">
        <v>57000</v>
      </c>
      <c r="K87" s="567"/>
      <c r="L87" s="568"/>
      <c r="M87" s="640">
        <v>3000</v>
      </c>
      <c r="N87" s="640">
        <v>1500</v>
      </c>
      <c r="O87" s="640">
        <v>1500</v>
      </c>
      <c r="P87" s="640">
        <v>1500</v>
      </c>
      <c r="Q87" s="569">
        <v>1500</v>
      </c>
      <c r="R87" s="569">
        <v>1500</v>
      </c>
      <c r="S87" s="569">
        <v>1500</v>
      </c>
      <c r="T87" s="569">
        <v>1500</v>
      </c>
      <c r="U87" s="569">
        <v>1500</v>
      </c>
      <c r="V87" s="570">
        <f t="shared" si="53"/>
        <v>15000</v>
      </c>
      <c r="W87" s="571">
        <f t="shared" si="54"/>
        <v>0.26315789473684209</v>
      </c>
      <c r="X87" s="570">
        <f t="shared" si="67"/>
        <v>-42000</v>
      </c>
      <c r="Y87" s="571">
        <f t="shared" si="55"/>
        <v>-0.73684210526315785</v>
      </c>
      <c r="Z87" s="572">
        <f t="shared" si="56"/>
        <v>798000</v>
      </c>
      <c r="AA87" s="573">
        <f t="shared" si="57"/>
        <v>0.98154981549815501</v>
      </c>
      <c r="AB87" s="572">
        <f t="shared" si="58"/>
        <v>57000</v>
      </c>
      <c r="AC87" s="574" t="str">
        <f t="shared" si="59"/>
        <v>Vendido</v>
      </c>
      <c r="AD87" s="574" t="str">
        <f t="shared" si="60"/>
        <v>Cliente al día</v>
      </c>
      <c r="AE87" s="575">
        <v>28</v>
      </c>
      <c r="AF87" s="575">
        <f t="shared" si="68"/>
        <v>1</v>
      </c>
      <c r="AG87" s="575">
        <f t="shared" si="69"/>
        <v>29</v>
      </c>
      <c r="AH87" s="568">
        <v>3000</v>
      </c>
      <c r="AI87" s="568">
        <v>1500</v>
      </c>
      <c r="AJ87" s="574">
        <f t="shared" si="61"/>
        <v>8</v>
      </c>
      <c r="AK87" s="692">
        <f t="shared" si="64"/>
        <v>8</v>
      </c>
      <c r="AL87" s="577">
        <f t="shared" si="70"/>
        <v>15000</v>
      </c>
      <c r="AM87" s="576">
        <f t="shared" si="62"/>
        <v>12000</v>
      </c>
      <c r="AN87" s="576">
        <f t="shared" si="63"/>
        <v>3000</v>
      </c>
      <c r="AO87" s="576">
        <f t="shared" si="71"/>
        <v>0</v>
      </c>
      <c r="AP87" s="576">
        <f t="shared" si="72"/>
        <v>0</v>
      </c>
      <c r="AQ87" s="576">
        <f t="shared" si="66"/>
        <v>0</v>
      </c>
      <c r="AR87" s="578">
        <f t="shared" si="65"/>
        <v>0</v>
      </c>
      <c r="AS87" s="579"/>
      <c r="AT87" s="579"/>
    </row>
    <row r="88" spans="1:46" s="563" customFormat="1" ht="13.9" customHeight="1" x14ac:dyDescent="0.25">
      <c r="A88" s="582"/>
      <c r="B88" s="564">
        <v>1001</v>
      </c>
      <c r="C88" s="565" t="s">
        <v>1361</v>
      </c>
      <c r="D88" s="565" t="s">
        <v>913</v>
      </c>
      <c r="E88" s="564"/>
      <c r="F88" s="581" t="s">
        <v>1409</v>
      </c>
      <c r="G88" s="566">
        <v>45887</v>
      </c>
      <c r="H88" s="565" t="s">
        <v>1355</v>
      </c>
      <c r="I88" s="582">
        <v>744000</v>
      </c>
      <c r="J88" s="582">
        <v>52100</v>
      </c>
      <c r="K88" s="567"/>
      <c r="L88" s="568"/>
      <c r="M88" s="569"/>
      <c r="N88" s="569"/>
      <c r="O88" s="569"/>
      <c r="P88" s="569">
        <f>1500+1500</f>
        <v>3000</v>
      </c>
      <c r="Q88" s="569">
        <f>1700+20</f>
        <v>1720</v>
      </c>
      <c r="R88" s="569">
        <v>1720</v>
      </c>
      <c r="S88" s="569">
        <v>1720</v>
      </c>
      <c r="T88" s="569">
        <v>1720</v>
      </c>
      <c r="U88" s="569">
        <v>1720</v>
      </c>
      <c r="V88" s="570">
        <f t="shared" si="53"/>
        <v>11600</v>
      </c>
      <c r="W88" s="571">
        <f t="shared" si="54"/>
        <v>0.22264875239923224</v>
      </c>
      <c r="X88" s="570">
        <f t="shared" si="67"/>
        <v>-40500</v>
      </c>
      <c r="Y88" s="571">
        <f t="shared" si="55"/>
        <v>-0.77735124760076779</v>
      </c>
      <c r="Z88" s="572">
        <f t="shared" si="56"/>
        <v>732400</v>
      </c>
      <c r="AA88" s="573">
        <f t="shared" si="57"/>
        <v>0.9844086021505376</v>
      </c>
      <c r="AB88" s="572">
        <f t="shared" si="58"/>
        <v>52100</v>
      </c>
      <c r="AC88" s="574" t="str">
        <f t="shared" si="59"/>
        <v>Vendido</v>
      </c>
      <c r="AD88" s="574" t="str">
        <f t="shared" si="60"/>
        <v>Cliente al día</v>
      </c>
      <c r="AE88" s="575"/>
      <c r="AF88" s="575">
        <f t="shared" si="68"/>
        <v>0</v>
      </c>
      <c r="AG88" s="575">
        <f t="shared" si="69"/>
        <v>0</v>
      </c>
      <c r="AH88" s="568"/>
      <c r="AI88" s="568"/>
      <c r="AJ88" s="574">
        <f t="shared" si="61"/>
        <v>0</v>
      </c>
      <c r="AK88" s="692">
        <f t="shared" si="64"/>
        <v>5</v>
      </c>
      <c r="AL88" s="577">
        <f t="shared" si="70"/>
        <v>0</v>
      </c>
      <c r="AM88" s="576">
        <f t="shared" si="62"/>
        <v>0</v>
      </c>
      <c r="AN88" s="576">
        <f t="shared" si="63"/>
        <v>0</v>
      </c>
      <c r="AO88" s="576">
        <f t="shared" si="71"/>
        <v>11600</v>
      </c>
      <c r="AP88" s="576">
        <f t="shared" si="72"/>
        <v>11600</v>
      </c>
      <c r="AQ88" s="576">
        <f t="shared" si="66"/>
        <v>0</v>
      </c>
      <c r="AR88" s="578" t="e">
        <f t="shared" si="65"/>
        <v>#DIV/0!</v>
      </c>
      <c r="AS88" s="579"/>
      <c r="AT88" s="579"/>
    </row>
    <row r="89" spans="1:46" s="563" customFormat="1" ht="13.9" customHeight="1" x14ac:dyDescent="0.25">
      <c r="A89" s="582"/>
      <c r="B89" s="564">
        <v>1002</v>
      </c>
      <c r="C89" s="565" t="s">
        <v>1362</v>
      </c>
      <c r="D89" s="565" t="s">
        <v>913</v>
      </c>
      <c r="E89" s="564"/>
      <c r="F89" s="581" t="s">
        <v>1410</v>
      </c>
      <c r="G89" s="566">
        <v>45946</v>
      </c>
      <c r="H89" s="565" t="s">
        <v>956</v>
      </c>
      <c r="I89" s="582">
        <v>744000</v>
      </c>
      <c r="J89" s="582">
        <v>52100</v>
      </c>
      <c r="K89" s="567"/>
      <c r="L89" s="568"/>
      <c r="M89" s="569"/>
      <c r="N89" s="900"/>
      <c r="O89" s="900"/>
      <c r="P89" s="900"/>
      <c r="Q89" s="900">
        <v>0</v>
      </c>
      <c r="R89" s="900">
        <v>3000</v>
      </c>
      <c r="S89" s="900">
        <v>0</v>
      </c>
      <c r="T89" s="900"/>
      <c r="U89" s="569"/>
      <c r="V89" s="570">
        <f t="shared" si="53"/>
        <v>3000</v>
      </c>
      <c r="W89" s="571">
        <f t="shared" si="54"/>
        <v>5.7581573896353169E-2</v>
      </c>
      <c r="X89" s="570">
        <f t="shared" si="67"/>
        <v>-49100</v>
      </c>
      <c r="Y89" s="571">
        <f t="shared" si="55"/>
        <v>-0.94241842610364679</v>
      </c>
      <c r="Z89" s="572">
        <f t="shared" si="56"/>
        <v>741000</v>
      </c>
      <c r="AA89" s="573">
        <f t="shared" si="57"/>
        <v>0.99596774193548387</v>
      </c>
      <c r="AB89" s="572">
        <f t="shared" si="58"/>
        <v>52100</v>
      </c>
      <c r="AC89" s="574" t="str">
        <f t="shared" si="59"/>
        <v>Vendido</v>
      </c>
      <c r="AD89" s="574" t="str">
        <f>IF(AND(AC89="Vendido",G89&gt;=0,AL89&lt;=V89,V89&lt;AB89),"Cliente al día",IF(AND(AC89="Vendido",G89&gt;=0,AL89&lt;=V89,V89=AB89),"Enganche Completado",IF(AND(AC89="Vendido",G89&gt;=0,AL89&lt;V89,V89&gt;AB89),"Superávit de Enganche",IF(AND(AC89="Apartamento Disponible",G89=0,X89=0),"Disponible","Cliente Atrasado"))))</f>
        <v>Cliente al día</v>
      </c>
      <c r="AE89" s="575"/>
      <c r="AF89" s="575">
        <f t="shared" si="68"/>
        <v>0</v>
      </c>
      <c r="AG89" s="575">
        <f t="shared" si="69"/>
        <v>0</v>
      </c>
      <c r="AH89" s="568"/>
      <c r="AI89" s="568"/>
      <c r="AJ89" s="574">
        <f t="shared" si="61"/>
        <v>0</v>
      </c>
      <c r="AK89" s="692">
        <f t="shared" si="64"/>
        <v>3</v>
      </c>
      <c r="AL89" s="577">
        <f t="shared" si="70"/>
        <v>0</v>
      </c>
      <c r="AM89" s="576">
        <f t="shared" si="62"/>
        <v>0</v>
      </c>
      <c r="AN89" s="576">
        <f t="shared" si="63"/>
        <v>0</v>
      </c>
      <c r="AO89" s="576">
        <f t="shared" si="71"/>
        <v>3000</v>
      </c>
      <c r="AP89" s="576">
        <f t="shared" si="72"/>
        <v>3000</v>
      </c>
      <c r="AQ89" s="576">
        <f t="shared" si="66"/>
        <v>0</v>
      </c>
      <c r="AR89" s="578" t="e">
        <f t="shared" si="65"/>
        <v>#DIV/0!</v>
      </c>
      <c r="AS89" s="579"/>
      <c r="AT89" s="579"/>
    </row>
    <row r="90" spans="1:46" s="563" customFormat="1" ht="13.9" customHeight="1" x14ac:dyDescent="0.25">
      <c r="A90" s="582"/>
      <c r="B90" s="564">
        <v>1003</v>
      </c>
      <c r="C90" s="565" t="s">
        <v>1362</v>
      </c>
      <c r="D90" s="565" t="s">
        <v>913</v>
      </c>
      <c r="E90" s="564"/>
      <c r="F90" s="581" t="s">
        <v>1411</v>
      </c>
      <c r="G90" s="566">
        <v>45946</v>
      </c>
      <c r="H90" s="565" t="s">
        <v>956</v>
      </c>
      <c r="I90" s="582">
        <v>744000</v>
      </c>
      <c r="J90" s="582">
        <v>52100</v>
      </c>
      <c r="K90" s="567"/>
      <c r="L90" s="568"/>
      <c r="M90" s="569"/>
      <c r="N90" s="900"/>
      <c r="O90" s="900"/>
      <c r="P90" s="900"/>
      <c r="Q90" s="900">
        <v>0</v>
      </c>
      <c r="R90" s="900">
        <v>1000</v>
      </c>
      <c r="S90" s="900">
        <v>0</v>
      </c>
      <c r="T90" s="900"/>
      <c r="U90" s="569"/>
      <c r="V90" s="570">
        <f t="shared" si="53"/>
        <v>1000</v>
      </c>
      <c r="W90" s="571">
        <f t="shared" si="54"/>
        <v>1.9193857965451054E-2</v>
      </c>
      <c r="X90" s="570">
        <f t="shared" si="67"/>
        <v>-51100</v>
      </c>
      <c r="Y90" s="571">
        <f t="shared" si="55"/>
        <v>-0.98080614203454897</v>
      </c>
      <c r="Z90" s="572">
        <f t="shared" si="56"/>
        <v>743000</v>
      </c>
      <c r="AA90" s="573">
        <f t="shared" si="57"/>
        <v>0.99865591397849462</v>
      </c>
      <c r="AB90" s="572">
        <f t="shared" si="58"/>
        <v>52100</v>
      </c>
      <c r="AC90" s="574" t="str">
        <f t="shared" si="59"/>
        <v>Vendido</v>
      </c>
      <c r="AD90" s="574" t="str">
        <f>IF(AND(AC90="Vendido",G90&gt;=0,AL90&lt;=V90,V90&lt;AB90),"Cliente al día",IF(AND(AC90="Vendido",G90&gt;=0,AL90&lt;=V90,V90=AB90),"Enganche Completado",IF(AND(AC90="Vendido",G90&gt;=0,AL90&lt;V90,V90&gt;AB90),"Superávit de Enganche",IF(AND(AC90="Apartamento Disponible",G90=0,X90=0),"Disponible","Cliente Atrasado"))))</f>
        <v>Cliente al día</v>
      </c>
      <c r="AE90" s="575"/>
      <c r="AF90" s="575">
        <f t="shared" si="68"/>
        <v>0</v>
      </c>
      <c r="AG90" s="575">
        <f t="shared" si="69"/>
        <v>0</v>
      </c>
      <c r="AH90" s="568"/>
      <c r="AI90" s="568"/>
      <c r="AJ90" s="574">
        <f t="shared" si="61"/>
        <v>0</v>
      </c>
      <c r="AK90" s="692">
        <f t="shared" si="64"/>
        <v>3</v>
      </c>
      <c r="AL90" s="577">
        <f t="shared" si="70"/>
        <v>0</v>
      </c>
      <c r="AM90" s="576">
        <f t="shared" si="62"/>
        <v>0</v>
      </c>
      <c r="AN90" s="576">
        <f t="shared" si="63"/>
        <v>0</v>
      </c>
      <c r="AO90" s="576">
        <f t="shared" si="71"/>
        <v>1000</v>
      </c>
      <c r="AP90" s="576">
        <f t="shared" si="72"/>
        <v>1000</v>
      </c>
      <c r="AQ90" s="576">
        <f t="shared" si="66"/>
        <v>0</v>
      </c>
      <c r="AR90" s="578" t="e">
        <f t="shared" si="65"/>
        <v>#DIV/0!</v>
      </c>
      <c r="AS90" s="579"/>
      <c r="AT90" s="579"/>
    </row>
    <row r="91" spans="1:46" s="563" customFormat="1" ht="13.9" customHeight="1" x14ac:dyDescent="0.25">
      <c r="A91" s="582"/>
      <c r="B91" s="564">
        <v>1004</v>
      </c>
      <c r="C91" s="565" t="s">
        <v>1361</v>
      </c>
      <c r="D91" s="565" t="s">
        <v>913</v>
      </c>
      <c r="E91" s="564"/>
      <c r="F91" s="581" t="s">
        <v>1412</v>
      </c>
      <c r="G91" s="566">
        <v>45945</v>
      </c>
      <c r="H91" s="565" t="s">
        <v>956</v>
      </c>
      <c r="I91" s="582">
        <v>655200</v>
      </c>
      <c r="J91" s="582">
        <v>45900</v>
      </c>
      <c r="K91" s="567"/>
      <c r="L91" s="568"/>
      <c r="M91" s="569"/>
      <c r="N91" s="569"/>
      <c r="O91" s="569"/>
      <c r="P91" s="569"/>
      <c r="Q91" s="569">
        <v>0</v>
      </c>
      <c r="R91" s="569">
        <v>0</v>
      </c>
      <c r="S91" s="569">
        <v>0</v>
      </c>
      <c r="T91" s="569">
        <v>3000</v>
      </c>
      <c r="U91" s="569"/>
      <c r="V91" s="570">
        <f t="shared" si="53"/>
        <v>3000</v>
      </c>
      <c r="W91" s="571">
        <f t="shared" si="54"/>
        <v>6.535947712418301E-2</v>
      </c>
      <c r="X91" s="570">
        <f t="shared" si="67"/>
        <v>-42900</v>
      </c>
      <c r="Y91" s="571">
        <f t="shared" si="55"/>
        <v>-0.934640522875817</v>
      </c>
      <c r="Z91" s="572">
        <f t="shared" si="56"/>
        <v>652200</v>
      </c>
      <c r="AA91" s="573">
        <f t="shared" si="57"/>
        <v>0.99542124542124544</v>
      </c>
      <c r="AB91" s="572">
        <f t="shared" si="58"/>
        <v>45900</v>
      </c>
      <c r="AC91" s="574" t="str">
        <f t="shared" si="59"/>
        <v>Vendido</v>
      </c>
      <c r="AD91" s="574" t="str">
        <f t="shared" si="60"/>
        <v>Cliente al día</v>
      </c>
      <c r="AE91" s="575"/>
      <c r="AF91" s="575">
        <f t="shared" si="68"/>
        <v>0</v>
      </c>
      <c r="AG91" s="575">
        <f t="shared" si="69"/>
        <v>0</v>
      </c>
      <c r="AH91" s="568"/>
      <c r="AI91" s="568"/>
      <c r="AJ91" s="574">
        <f t="shared" si="61"/>
        <v>0</v>
      </c>
      <c r="AK91" s="692">
        <f t="shared" si="64"/>
        <v>3</v>
      </c>
      <c r="AL91" s="577">
        <f t="shared" si="70"/>
        <v>0</v>
      </c>
      <c r="AM91" s="576">
        <f t="shared" si="62"/>
        <v>0</v>
      </c>
      <c r="AN91" s="576">
        <f t="shared" si="63"/>
        <v>0</v>
      </c>
      <c r="AO91" s="576">
        <f t="shared" si="71"/>
        <v>3000</v>
      </c>
      <c r="AP91" s="576">
        <f t="shared" si="72"/>
        <v>3000</v>
      </c>
      <c r="AQ91" s="576">
        <f t="shared" si="66"/>
        <v>0</v>
      </c>
      <c r="AR91" s="578" t="e">
        <f t="shared" si="65"/>
        <v>#DIV/0!</v>
      </c>
      <c r="AS91" s="579"/>
      <c r="AT91" s="579"/>
    </row>
    <row r="92" spans="1:46" s="563" customFormat="1" ht="13.9" customHeight="1" x14ac:dyDescent="0.25">
      <c r="A92" s="582"/>
      <c r="B92" s="564">
        <v>1005</v>
      </c>
      <c r="C92" s="565" t="s">
        <v>1361</v>
      </c>
      <c r="D92" s="565" t="s">
        <v>913</v>
      </c>
      <c r="E92" s="564"/>
      <c r="F92" s="581"/>
      <c r="G92" s="566"/>
      <c r="H92" s="565" t="s">
        <v>374</v>
      </c>
      <c r="I92" s="582">
        <v>678800</v>
      </c>
      <c r="J92" s="582">
        <v>47516.000000000007</v>
      </c>
      <c r="K92" s="567"/>
      <c r="L92" s="568"/>
      <c r="M92" s="569"/>
      <c r="N92" s="569"/>
      <c r="O92" s="569"/>
      <c r="P92" s="569"/>
      <c r="Q92" s="569">
        <v>0</v>
      </c>
      <c r="R92" s="569">
        <v>0</v>
      </c>
      <c r="S92" s="569">
        <v>0</v>
      </c>
      <c r="T92" s="569"/>
      <c r="U92" s="569"/>
      <c r="V92" s="570">
        <f t="shared" si="53"/>
        <v>0</v>
      </c>
      <c r="W92" s="571">
        <f t="shared" si="54"/>
        <v>0</v>
      </c>
      <c r="X92" s="570">
        <f t="shared" si="67"/>
        <v>0</v>
      </c>
      <c r="Y92" s="571">
        <f t="shared" si="55"/>
        <v>0</v>
      </c>
      <c r="Z92" s="572">
        <f t="shared" si="56"/>
        <v>678800</v>
      </c>
      <c r="AA92" s="573">
        <f t="shared" si="57"/>
        <v>1</v>
      </c>
      <c r="AB92" s="572">
        <f t="shared" si="58"/>
        <v>0</v>
      </c>
      <c r="AC92" s="574" t="str">
        <f t="shared" si="59"/>
        <v>Apartamento Disponible</v>
      </c>
      <c r="AD92" s="574" t="str">
        <f t="shared" si="60"/>
        <v>Disponible</v>
      </c>
      <c r="AE92" s="575"/>
      <c r="AF92" s="575">
        <f t="shared" si="68"/>
        <v>0</v>
      </c>
      <c r="AG92" s="575">
        <f t="shared" si="69"/>
        <v>0</v>
      </c>
      <c r="AH92" s="568"/>
      <c r="AI92" s="568"/>
      <c r="AJ92" s="574">
        <f t="shared" si="61"/>
        <v>0</v>
      </c>
      <c r="AK92" s="692">
        <f t="shared" si="64"/>
        <v>0</v>
      </c>
      <c r="AL92" s="577">
        <f t="shared" si="70"/>
        <v>0</v>
      </c>
      <c r="AM92" s="576">
        <f t="shared" si="62"/>
        <v>0</v>
      </c>
      <c r="AN92" s="576">
        <f t="shared" si="63"/>
        <v>0</v>
      </c>
      <c r="AO92" s="576">
        <f t="shared" si="71"/>
        <v>0</v>
      </c>
      <c r="AP92" s="576">
        <f t="shared" si="72"/>
        <v>0</v>
      </c>
      <c r="AQ92" s="576">
        <f t="shared" si="66"/>
        <v>0</v>
      </c>
      <c r="AR92" s="578">
        <f t="shared" si="65"/>
        <v>0</v>
      </c>
      <c r="AS92" s="579"/>
      <c r="AT92" s="579"/>
    </row>
    <row r="93" spans="1:46" s="563" customFormat="1" ht="13.9" customHeight="1" x14ac:dyDescent="0.25">
      <c r="A93" s="582"/>
      <c r="B93" s="564">
        <v>1006</v>
      </c>
      <c r="C93" s="565" t="s">
        <v>1365</v>
      </c>
      <c r="D93" s="565" t="s">
        <v>913</v>
      </c>
      <c r="E93" s="564"/>
      <c r="F93" s="581"/>
      <c r="G93" s="566"/>
      <c r="H93" s="565" t="s">
        <v>374</v>
      </c>
      <c r="I93" s="582">
        <v>825400</v>
      </c>
      <c r="J93" s="582">
        <v>57778.000000000007</v>
      </c>
      <c r="K93" s="567"/>
      <c r="L93" s="568"/>
      <c r="M93" s="569"/>
      <c r="N93" s="569"/>
      <c r="O93" s="569"/>
      <c r="P93" s="569"/>
      <c r="Q93" s="569">
        <v>0</v>
      </c>
      <c r="R93" s="569">
        <v>0</v>
      </c>
      <c r="S93" s="569">
        <v>0</v>
      </c>
      <c r="T93" s="569"/>
      <c r="U93" s="569"/>
      <c r="V93" s="570">
        <f t="shared" si="53"/>
        <v>0</v>
      </c>
      <c r="W93" s="571">
        <f t="shared" si="54"/>
        <v>0</v>
      </c>
      <c r="X93" s="570">
        <f t="shared" si="67"/>
        <v>0</v>
      </c>
      <c r="Y93" s="571">
        <f t="shared" si="55"/>
        <v>0</v>
      </c>
      <c r="Z93" s="572">
        <f t="shared" si="56"/>
        <v>825400</v>
      </c>
      <c r="AA93" s="573">
        <f t="shared" si="57"/>
        <v>1</v>
      </c>
      <c r="AB93" s="572">
        <f t="shared" si="58"/>
        <v>0</v>
      </c>
      <c r="AC93" s="574" t="str">
        <f t="shared" si="59"/>
        <v>Apartamento Disponible</v>
      </c>
      <c r="AD93" s="574" t="str">
        <f t="shared" si="60"/>
        <v>Disponible</v>
      </c>
      <c r="AE93" s="575"/>
      <c r="AF93" s="575">
        <f t="shared" si="68"/>
        <v>0</v>
      </c>
      <c r="AG93" s="575">
        <f t="shared" si="69"/>
        <v>0</v>
      </c>
      <c r="AH93" s="568"/>
      <c r="AI93" s="568"/>
      <c r="AJ93" s="574">
        <f t="shared" si="61"/>
        <v>0</v>
      </c>
      <c r="AK93" s="692">
        <f t="shared" si="64"/>
        <v>0</v>
      </c>
      <c r="AL93" s="577">
        <f t="shared" si="70"/>
        <v>0</v>
      </c>
      <c r="AM93" s="576">
        <f t="shared" si="62"/>
        <v>0</v>
      </c>
      <c r="AN93" s="576">
        <f t="shared" si="63"/>
        <v>0</v>
      </c>
      <c r="AO93" s="576">
        <f t="shared" si="71"/>
        <v>0</v>
      </c>
      <c r="AP93" s="576">
        <f t="shared" si="72"/>
        <v>0</v>
      </c>
      <c r="AQ93" s="576">
        <f t="shared" si="66"/>
        <v>0</v>
      </c>
      <c r="AR93" s="578">
        <f t="shared" si="65"/>
        <v>0</v>
      </c>
      <c r="AS93" s="579"/>
      <c r="AT93" s="579"/>
    </row>
    <row r="94" spans="1:46" s="563" customFormat="1" ht="13.9" customHeight="1" x14ac:dyDescent="0.25">
      <c r="A94" s="582"/>
      <c r="B94" s="564">
        <v>1007</v>
      </c>
      <c r="C94" s="565" t="s">
        <v>1362</v>
      </c>
      <c r="D94" s="565" t="s">
        <v>913</v>
      </c>
      <c r="E94" s="565" t="s">
        <v>917</v>
      </c>
      <c r="F94" s="581" t="s">
        <v>1413</v>
      </c>
      <c r="G94" s="566">
        <v>45985</v>
      </c>
      <c r="H94" s="565" t="s">
        <v>956</v>
      </c>
      <c r="I94" s="582">
        <v>744000</v>
      </c>
      <c r="J94" s="582">
        <v>52100</v>
      </c>
      <c r="K94" s="567"/>
      <c r="L94" s="568"/>
      <c r="M94" s="569"/>
      <c r="N94" s="900"/>
      <c r="O94" s="900"/>
      <c r="P94" s="900"/>
      <c r="Q94" s="900">
        <v>0</v>
      </c>
      <c r="R94" s="900">
        <v>0</v>
      </c>
      <c r="S94" s="900">
        <f>1500+1500</f>
        <v>3000</v>
      </c>
      <c r="T94" s="900"/>
      <c r="U94" s="569"/>
      <c r="V94" s="570">
        <f t="shared" si="53"/>
        <v>3000</v>
      </c>
      <c r="W94" s="571">
        <f t="shared" si="54"/>
        <v>5.7581573896353169E-2</v>
      </c>
      <c r="X94" s="570">
        <f t="shared" si="67"/>
        <v>-49100</v>
      </c>
      <c r="Y94" s="571">
        <f t="shared" si="55"/>
        <v>-0.94241842610364679</v>
      </c>
      <c r="Z94" s="572">
        <f t="shared" si="56"/>
        <v>741000</v>
      </c>
      <c r="AA94" s="573">
        <f t="shared" si="57"/>
        <v>0.99596774193548387</v>
      </c>
      <c r="AB94" s="572">
        <f t="shared" si="58"/>
        <v>52100</v>
      </c>
      <c r="AC94" s="574" t="str">
        <f t="shared" si="59"/>
        <v>Vendido</v>
      </c>
      <c r="AD94" s="574" t="str">
        <f t="shared" si="60"/>
        <v>Cliente al día</v>
      </c>
      <c r="AE94" s="575"/>
      <c r="AF94" s="575">
        <f t="shared" si="68"/>
        <v>0</v>
      </c>
      <c r="AG94" s="575">
        <f t="shared" si="69"/>
        <v>0</v>
      </c>
      <c r="AH94" s="568"/>
      <c r="AI94" s="568"/>
      <c r="AJ94" s="574">
        <f t="shared" si="61"/>
        <v>0</v>
      </c>
      <c r="AK94" s="692">
        <f t="shared" si="64"/>
        <v>2</v>
      </c>
      <c r="AL94" s="577">
        <f t="shared" si="70"/>
        <v>0</v>
      </c>
      <c r="AM94" s="576">
        <f t="shared" si="62"/>
        <v>0</v>
      </c>
      <c r="AN94" s="576">
        <f t="shared" si="63"/>
        <v>0</v>
      </c>
      <c r="AO94" s="576">
        <f t="shared" si="71"/>
        <v>3000</v>
      </c>
      <c r="AP94" s="576">
        <f t="shared" si="72"/>
        <v>3000</v>
      </c>
      <c r="AQ94" s="576">
        <f t="shared" si="66"/>
        <v>0</v>
      </c>
      <c r="AR94" s="578" t="e">
        <f t="shared" si="65"/>
        <v>#DIV/0!</v>
      </c>
      <c r="AS94" s="579"/>
      <c r="AT94" s="579"/>
    </row>
    <row r="95" spans="1:46" s="563" customFormat="1" ht="13.9" customHeight="1" x14ac:dyDescent="0.25">
      <c r="A95" s="582"/>
      <c r="B95" s="564">
        <v>1008</v>
      </c>
      <c r="C95" s="565" t="s">
        <v>1362</v>
      </c>
      <c r="D95" s="565" t="s">
        <v>913</v>
      </c>
      <c r="E95" s="564"/>
      <c r="F95" s="581"/>
      <c r="G95" s="566"/>
      <c r="H95" s="565" t="s">
        <v>374</v>
      </c>
      <c r="I95" s="582">
        <v>958800</v>
      </c>
      <c r="J95" s="582">
        <v>67116</v>
      </c>
      <c r="K95" s="567"/>
      <c r="L95" s="568"/>
      <c r="M95" s="569"/>
      <c r="N95" s="569"/>
      <c r="O95" s="569"/>
      <c r="P95" s="569"/>
      <c r="Q95" s="569">
        <v>0</v>
      </c>
      <c r="R95" s="569">
        <v>0</v>
      </c>
      <c r="S95" s="569">
        <v>1000</v>
      </c>
      <c r="T95" s="569"/>
      <c r="U95" s="569"/>
      <c r="V95" s="570">
        <f t="shared" si="53"/>
        <v>1000</v>
      </c>
      <c r="W95" s="571">
        <f t="shared" si="54"/>
        <v>1.4899576852017402E-2</v>
      </c>
      <c r="X95" s="570">
        <f t="shared" si="67"/>
        <v>1000</v>
      </c>
      <c r="Y95" s="571">
        <f t="shared" si="55"/>
        <v>1.4899576852017402E-2</v>
      </c>
      <c r="Z95" s="572">
        <f t="shared" si="56"/>
        <v>957800</v>
      </c>
      <c r="AA95" s="573">
        <f t="shared" si="57"/>
        <v>0.99895702962035882</v>
      </c>
      <c r="AB95" s="572">
        <f t="shared" si="58"/>
        <v>0</v>
      </c>
      <c r="AC95" s="574" t="str">
        <f t="shared" si="59"/>
        <v>Apartamento Disponible</v>
      </c>
      <c r="AD95" s="574" t="str">
        <f t="shared" si="60"/>
        <v>Cliente Atrasado</v>
      </c>
      <c r="AE95" s="575"/>
      <c r="AF95" s="575">
        <f t="shared" si="68"/>
        <v>0</v>
      </c>
      <c r="AG95" s="575">
        <f t="shared" si="69"/>
        <v>0</v>
      </c>
      <c r="AH95" s="568"/>
      <c r="AI95" s="568"/>
      <c r="AJ95" s="574">
        <f t="shared" si="61"/>
        <v>0</v>
      </c>
      <c r="AK95" s="692">
        <f t="shared" si="64"/>
        <v>0</v>
      </c>
      <c r="AL95" s="577">
        <f t="shared" si="70"/>
        <v>0</v>
      </c>
      <c r="AM95" s="576">
        <f t="shared" si="62"/>
        <v>0</v>
      </c>
      <c r="AN95" s="576">
        <f t="shared" si="63"/>
        <v>0</v>
      </c>
      <c r="AO95" s="576">
        <f t="shared" si="71"/>
        <v>1000</v>
      </c>
      <c r="AP95" s="576">
        <f t="shared" si="72"/>
        <v>1000</v>
      </c>
      <c r="AQ95" s="576">
        <f t="shared" si="66"/>
        <v>0</v>
      </c>
      <c r="AR95" s="578">
        <f t="shared" si="65"/>
        <v>0</v>
      </c>
      <c r="AS95" s="579"/>
      <c r="AT95" s="579"/>
    </row>
    <row r="96" spans="1:46" s="563" customFormat="1" ht="13.9" customHeight="1" x14ac:dyDescent="0.25">
      <c r="A96" s="582"/>
      <c r="B96" s="564">
        <v>1009</v>
      </c>
      <c r="C96" s="565" t="s">
        <v>1365</v>
      </c>
      <c r="D96" s="565" t="s">
        <v>913</v>
      </c>
      <c r="E96" s="564" t="s">
        <v>1363</v>
      </c>
      <c r="F96" s="581" t="s">
        <v>1414</v>
      </c>
      <c r="G96" s="566">
        <v>46011</v>
      </c>
      <c r="H96" s="565" t="s">
        <v>374</v>
      </c>
      <c r="I96" s="582">
        <v>825400</v>
      </c>
      <c r="J96" s="582">
        <v>57778.000000000007</v>
      </c>
      <c r="K96" s="567"/>
      <c r="L96" s="568"/>
      <c r="M96" s="569"/>
      <c r="N96" s="569"/>
      <c r="O96" s="569"/>
      <c r="P96" s="569"/>
      <c r="Q96" s="569">
        <v>0</v>
      </c>
      <c r="R96" s="569">
        <v>0</v>
      </c>
      <c r="S96" s="569">
        <v>0</v>
      </c>
      <c r="T96" s="569">
        <v>3000</v>
      </c>
      <c r="U96" s="569"/>
      <c r="V96" s="570">
        <f t="shared" si="53"/>
        <v>3000</v>
      </c>
      <c r="W96" s="571">
        <f t="shared" si="54"/>
        <v>5.1922877219702991E-2</v>
      </c>
      <c r="X96" s="570">
        <f t="shared" si="67"/>
        <v>-54778.000000000007</v>
      </c>
      <c r="Y96" s="571">
        <f t="shared" si="55"/>
        <v>-0.94807712278029699</v>
      </c>
      <c r="Z96" s="572">
        <f t="shared" si="56"/>
        <v>822400</v>
      </c>
      <c r="AA96" s="573">
        <f t="shared" si="57"/>
        <v>0.99636539859462081</v>
      </c>
      <c r="AB96" s="572">
        <f t="shared" si="58"/>
        <v>57778.000000000007</v>
      </c>
      <c r="AC96" s="574" t="str">
        <f t="shared" si="59"/>
        <v>Vendido</v>
      </c>
      <c r="AD96" s="574" t="str">
        <f t="shared" si="60"/>
        <v>Cliente al día</v>
      </c>
      <c r="AE96" s="575"/>
      <c r="AF96" s="575">
        <f t="shared" si="68"/>
        <v>0</v>
      </c>
      <c r="AG96" s="575">
        <f t="shared" si="69"/>
        <v>0</v>
      </c>
      <c r="AH96" s="568"/>
      <c r="AI96" s="568"/>
      <c r="AJ96" s="574">
        <f t="shared" si="61"/>
        <v>0</v>
      </c>
      <c r="AK96" s="692">
        <f t="shared" si="64"/>
        <v>1</v>
      </c>
      <c r="AL96" s="577">
        <f t="shared" si="70"/>
        <v>0</v>
      </c>
      <c r="AM96" s="576">
        <f t="shared" si="62"/>
        <v>0</v>
      </c>
      <c r="AN96" s="576">
        <f t="shared" si="63"/>
        <v>0</v>
      </c>
      <c r="AO96" s="576">
        <f t="shared" si="71"/>
        <v>3000</v>
      </c>
      <c r="AP96" s="576">
        <f t="shared" si="72"/>
        <v>3000</v>
      </c>
      <c r="AQ96" s="576">
        <f t="shared" si="66"/>
        <v>0</v>
      </c>
      <c r="AR96" s="578" t="e">
        <f t="shared" si="65"/>
        <v>#DIV/0!</v>
      </c>
      <c r="AS96" s="579"/>
      <c r="AT96" s="579"/>
    </row>
    <row r="97" spans="1:46" s="563" customFormat="1" ht="13.9" customHeight="1" x14ac:dyDescent="0.25">
      <c r="A97" s="582"/>
      <c r="B97" s="564">
        <v>1101</v>
      </c>
      <c r="C97" s="565" t="s">
        <v>1361</v>
      </c>
      <c r="D97" s="565" t="s">
        <v>913</v>
      </c>
      <c r="E97" s="564"/>
      <c r="F97" s="581"/>
      <c r="G97" s="566"/>
      <c r="H97" s="565" t="s">
        <v>374</v>
      </c>
      <c r="I97" s="582">
        <v>678800</v>
      </c>
      <c r="J97" s="582">
        <v>47516.000000000007</v>
      </c>
      <c r="K97" s="567"/>
      <c r="L97" s="568"/>
      <c r="M97" s="569"/>
      <c r="N97" s="569"/>
      <c r="O97" s="569"/>
      <c r="P97" s="569"/>
      <c r="Q97" s="569">
        <v>0</v>
      </c>
      <c r="R97" s="569">
        <v>0</v>
      </c>
      <c r="S97" s="569">
        <v>0</v>
      </c>
      <c r="T97" s="569"/>
      <c r="U97" s="569"/>
      <c r="V97" s="570">
        <f t="shared" si="53"/>
        <v>0</v>
      </c>
      <c r="W97" s="571">
        <f t="shared" si="54"/>
        <v>0</v>
      </c>
      <c r="X97" s="570">
        <f t="shared" si="67"/>
        <v>0</v>
      </c>
      <c r="Y97" s="571">
        <f t="shared" si="55"/>
        <v>0</v>
      </c>
      <c r="Z97" s="572">
        <f t="shared" si="56"/>
        <v>678800</v>
      </c>
      <c r="AA97" s="573">
        <f t="shared" si="57"/>
        <v>1</v>
      </c>
      <c r="AB97" s="572">
        <f t="shared" si="58"/>
        <v>0</v>
      </c>
      <c r="AC97" s="574" t="str">
        <f t="shared" si="59"/>
        <v>Apartamento Disponible</v>
      </c>
      <c r="AD97" s="574" t="str">
        <f t="shared" si="60"/>
        <v>Disponible</v>
      </c>
      <c r="AE97" s="575"/>
      <c r="AF97" s="575">
        <f t="shared" si="68"/>
        <v>0</v>
      </c>
      <c r="AG97" s="575">
        <f t="shared" si="69"/>
        <v>0</v>
      </c>
      <c r="AH97" s="568"/>
      <c r="AI97" s="568"/>
      <c r="AJ97" s="574">
        <f t="shared" si="61"/>
        <v>0</v>
      </c>
      <c r="AK97" s="692">
        <f t="shared" si="64"/>
        <v>0</v>
      </c>
      <c r="AL97" s="577">
        <f t="shared" si="70"/>
        <v>0</v>
      </c>
      <c r="AM97" s="576">
        <f t="shared" si="62"/>
        <v>0</v>
      </c>
      <c r="AN97" s="576">
        <f t="shared" si="63"/>
        <v>0</v>
      </c>
      <c r="AO97" s="576">
        <f t="shared" si="71"/>
        <v>0</v>
      </c>
      <c r="AP97" s="576">
        <f t="shared" si="72"/>
        <v>0</v>
      </c>
      <c r="AQ97" s="576">
        <f t="shared" si="66"/>
        <v>0</v>
      </c>
      <c r="AR97" s="578">
        <f t="shared" si="65"/>
        <v>0</v>
      </c>
      <c r="AS97" s="579"/>
      <c r="AT97" s="579"/>
    </row>
    <row r="98" spans="1:46" s="563" customFormat="1" ht="13.9" customHeight="1" x14ac:dyDescent="0.25">
      <c r="A98" s="582"/>
      <c r="B98" s="564">
        <v>1102</v>
      </c>
      <c r="C98" s="565" t="s">
        <v>1362</v>
      </c>
      <c r="D98" s="565" t="s">
        <v>913</v>
      </c>
      <c r="E98" s="564" t="s">
        <v>1363</v>
      </c>
      <c r="F98" s="581" t="s">
        <v>1415</v>
      </c>
      <c r="G98" s="566">
        <v>45976</v>
      </c>
      <c r="H98" s="565" t="s">
        <v>956</v>
      </c>
      <c r="I98" s="582">
        <v>744000</v>
      </c>
      <c r="J98" s="582">
        <v>52100</v>
      </c>
      <c r="K98" s="567"/>
      <c r="L98" s="568"/>
      <c r="M98" s="569"/>
      <c r="N98" s="569"/>
      <c r="O98" s="569"/>
      <c r="P98" s="569"/>
      <c r="Q98" s="569">
        <v>0</v>
      </c>
      <c r="R98" s="569">
        <v>0</v>
      </c>
      <c r="S98" s="569">
        <v>3000</v>
      </c>
      <c r="T98" s="569">
        <v>3000</v>
      </c>
      <c r="U98" s="569">
        <v>3000</v>
      </c>
      <c r="V98" s="570">
        <f t="shared" si="53"/>
        <v>9000</v>
      </c>
      <c r="W98" s="571">
        <f t="shared" si="54"/>
        <v>0.17274472168905949</v>
      </c>
      <c r="X98" s="570">
        <f t="shared" si="67"/>
        <v>-43100</v>
      </c>
      <c r="Y98" s="571">
        <f t="shared" si="55"/>
        <v>-0.82725527831094048</v>
      </c>
      <c r="Z98" s="572">
        <f t="shared" si="56"/>
        <v>735000</v>
      </c>
      <c r="AA98" s="573">
        <f t="shared" si="57"/>
        <v>0.98790322580645162</v>
      </c>
      <c r="AB98" s="572">
        <f t="shared" si="58"/>
        <v>52100</v>
      </c>
      <c r="AC98" s="574" t="str">
        <f t="shared" si="59"/>
        <v>Vendido</v>
      </c>
      <c r="AD98" s="574" t="str">
        <f t="shared" si="60"/>
        <v>Cliente al día</v>
      </c>
      <c r="AE98" s="575"/>
      <c r="AF98" s="575">
        <f t="shared" si="68"/>
        <v>0</v>
      </c>
      <c r="AG98" s="575">
        <f t="shared" si="69"/>
        <v>0</v>
      </c>
      <c r="AH98" s="568"/>
      <c r="AI98" s="568"/>
      <c r="AJ98" s="574">
        <f t="shared" si="61"/>
        <v>0</v>
      </c>
      <c r="AK98" s="692">
        <f t="shared" si="64"/>
        <v>2</v>
      </c>
      <c r="AL98" s="577">
        <f t="shared" si="70"/>
        <v>0</v>
      </c>
      <c r="AM98" s="576">
        <f t="shared" si="62"/>
        <v>0</v>
      </c>
      <c r="AN98" s="576">
        <f t="shared" si="63"/>
        <v>0</v>
      </c>
      <c r="AO98" s="576">
        <f t="shared" si="71"/>
        <v>9000</v>
      </c>
      <c r="AP98" s="576">
        <f t="shared" si="72"/>
        <v>9000</v>
      </c>
      <c r="AQ98" s="576">
        <f t="shared" si="66"/>
        <v>0</v>
      </c>
      <c r="AR98" s="578" t="e">
        <f t="shared" si="65"/>
        <v>#DIV/0!</v>
      </c>
      <c r="AS98" s="579"/>
      <c r="AT98" s="579"/>
    </row>
    <row r="99" spans="1:46" s="563" customFormat="1" ht="13.9" customHeight="1" x14ac:dyDescent="0.25">
      <c r="A99" s="582"/>
      <c r="B99" s="564">
        <v>1103</v>
      </c>
      <c r="C99" s="565" t="s">
        <v>1362</v>
      </c>
      <c r="D99" s="565" t="s">
        <v>913</v>
      </c>
      <c r="E99" s="564"/>
      <c r="F99" s="581" t="s">
        <v>1416</v>
      </c>
      <c r="G99" s="566" t="s">
        <v>1417</v>
      </c>
      <c r="H99" s="565" t="s">
        <v>374</v>
      </c>
      <c r="I99" s="582">
        <v>958800</v>
      </c>
      <c r="J99" s="582">
        <v>67116</v>
      </c>
      <c r="K99" s="567"/>
      <c r="L99" s="568"/>
      <c r="M99" s="569"/>
      <c r="N99" s="569"/>
      <c r="O99" s="569"/>
      <c r="P99" s="569"/>
      <c r="Q99" s="569">
        <v>0</v>
      </c>
      <c r="R99" s="569">
        <v>0</v>
      </c>
      <c r="S99" s="569">
        <v>0</v>
      </c>
      <c r="T99" s="569">
        <v>200</v>
      </c>
      <c r="U99" s="569"/>
      <c r="V99" s="570">
        <f t="shared" si="53"/>
        <v>200</v>
      </c>
      <c r="W99" s="571">
        <f t="shared" si="54"/>
        <v>2.9799153704034805E-3</v>
      </c>
      <c r="X99" s="570">
        <f t="shared" si="67"/>
        <v>-66916</v>
      </c>
      <c r="Y99" s="571">
        <f t="shared" si="55"/>
        <v>-0.99702008462959657</v>
      </c>
      <c r="Z99" s="572">
        <f t="shared" si="56"/>
        <v>958600</v>
      </c>
      <c r="AA99" s="573">
        <f t="shared" si="57"/>
        <v>0.99979140592407179</v>
      </c>
      <c r="AB99" s="572">
        <f t="shared" si="58"/>
        <v>67116</v>
      </c>
      <c r="AC99" s="574" t="str">
        <f t="shared" si="59"/>
        <v>Vendido</v>
      </c>
      <c r="AD99" s="574" t="str">
        <f t="shared" si="60"/>
        <v>Cliente al día</v>
      </c>
      <c r="AE99" s="575"/>
      <c r="AF99" s="575">
        <f t="shared" si="68"/>
        <v>0</v>
      </c>
      <c r="AG99" s="575">
        <f t="shared" si="69"/>
        <v>0</v>
      </c>
      <c r="AH99" s="568"/>
      <c r="AI99" s="568"/>
      <c r="AJ99" s="574">
        <f t="shared" si="61"/>
        <v>0</v>
      </c>
      <c r="AK99" s="692" t="e">
        <f t="shared" si="64"/>
        <v>#VALUE!</v>
      </c>
      <c r="AL99" s="577">
        <f t="shared" si="70"/>
        <v>0</v>
      </c>
      <c r="AM99" s="576">
        <f t="shared" si="62"/>
        <v>0</v>
      </c>
      <c r="AN99" s="576">
        <f t="shared" si="63"/>
        <v>0</v>
      </c>
      <c r="AO99" s="576">
        <f t="shared" si="71"/>
        <v>200</v>
      </c>
      <c r="AP99" s="576">
        <f t="shared" si="72"/>
        <v>200</v>
      </c>
      <c r="AQ99" s="576">
        <f t="shared" si="66"/>
        <v>0</v>
      </c>
      <c r="AR99" s="578" t="e">
        <f t="shared" si="65"/>
        <v>#DIV/0!</v>
      </c>
      <c r="AS99" s="579"/>
      <c r="AT99" s="579"/>
    </row>
    <row r="100" spans="1:46" s="563" customFormat="1" ht="13.9" customHeight="1" x14ac:dyDescent="0.25">
      <c r="A100" s="582"/>
      <c r="B100" s="564">
        <v>1104</v>
      </c>
      <c r="C100" s="565" t="s">
        <v>1361</v>
      </c>
      <c r="D100" s="565" t="s">
        <v>913</v>
      </c>
      <c r="E100" s="564"/>
      <c r="F100" s="581"/>
      <c r="G100" s="566"/>
      <c r="H100" s="565" t="s">
        <v>374</v>
      </c>
      <c r="I100" s="582">
        <v>678800</v>
      </c>
      <c r="J100" s="582">
        <v>47516.000000000007</v>
      </c>
      <c r="K100" s="567"/>
      <c r="L100" s="568"/>
      <c r="M100" s="569"/>
      <c r="N100" s="569"/>
      <c r="O100" s="569"/>
      <c r="P100" s="569"/>
      <c r="Q100" s="569">
        <v>0</v>
      </c>
      <c r="R100" s="569">
        <v>0</v>
      </c>
      <c r="S100" s="569">
        <v>0</v>
      </c>
      <c r="T100" s="569"/>
      <c r="U100" s="569"/>
      <c r="V100" s="570">
        <f t="shared" si="53"/>
        <v>0</v>
      </c>
      <c r="W100" s="571">
        <f t="shared" si="54"/>
        <v>0</v>
      </c>
      <c r="X100" s="570">
        <f t="shared" si="67"/>
        <v>0</v>
      </c>
      <c r="Y100" s="571">
        <f t="shared" si="55"/>
        <v>0</v>
      </c>
      <c r="Z100" s="572">
        <f t="shared" si="56"/>
        <v>678800</v>
      </c>
      <c r="AA100" s="573">
        <f t="shared" si="57"/>
        <v>1</v>
      </c>
      <c r="AB100" s="572">
        <f t="shared" si="58"/>
        <v>0</v>
      </c>
      <c r="AC100" s="574" t="str">
        <f t="shared" si="59"/>
        <v>Apartamento Disponible</v>
      </c>
      <c r="AD100" s="574" t="str">
        <f t="shared" si="60"/>
        <v>Disponible</v>
      </c>
      <c r="AE100" s="575"/>
      <c r="AF100" s="575">
        <f t="shared" si="68"/>
        <v>0</v>
      </c>
      <c r="AG100" s="575">
        <f t="shared" si="69"/>
        <v>0</v>
      </c>
      <c r="AH100" s="568"/>
      <c r="AI100" s="568"/>
      <c r="AJ100" s="574">
        <f t="shared" si="61"/>
        <v>0</v>
      </c>
      <c r="AK100" s="692">
        <f t="shared" si="64"/>
        <v>0</v>
      </c>
      <c r="AL100" s="577">
        <f t="shared" si="70"/>
        <v>0</v>
      </c>
      <c r="AM100" s="576">
        <f t="shared" si="62"/>
        <v>0</v>
      </c>
      <c r="AN100" s="576">
        <f t="shared" si="63"/>
        <v>0</v>
      </c>
      <c r="AO100" s="576">
        <f t="shared" si="71"/>
        <v>0</v>
      </c>
      <c r="AP100" s="576">
        <f t="shared" si="72"/>
        <v>0</v>
      </c>
      <c r="AQ100" s="576">
        <f t="shared" si="66"/>
        <v>0</v>
      </c>
      <c r="AR100" s="578">
        <f t="shared" si="65"/>
        <v>0</v>
      </c>
      <c r="AS100" s="579"/>
      <c r="AT100" s="579"/>
    </row>
    <row r="101" spans="1:46" s="563" customFormat="1" ht="13.9" customHeight="1" x14ac:dyDescent="0.25">
      <c r="A101" s="582"/>
      <c r="B101" s="564">
        <v>1105</v>
      </c>
      <c r="C101" s="565" t="s">
        <v>1361</v>
      </c>
      <c r="D101" s="565" t="s">
        <v>913</v>
      </c>
      <c r="E101" s="564"/>
      <c r="F101" s="581"/>
      <c r="G101" s="566"/>
      <c r="H101" s="565" t="s">
        <v>374</v>
      </c>
      <c r="I101" s="582">
        <v>678800</v>
      </c>
      <c r="J101" s="582">
        <v>47516.000000000007</v>
      </c>
      <c r="K101" s="567"/>
      <c r="L101" s="568"/>
      <c r="M101" s="569"/>
      <c r="N101" s="569"/>
      <c r="O101" s="569"/>
      <c r="P101" s="569"/>
      <c r="Q101" s="569">
        <v>0</v>
      </c>
      <c r="R101" s="569">
        <v>0</v>
      </c>
      <c r="S101" s="569">
        <v>0</v>
      </c>
      <c r="T101" s="569"/>
      <c r="U101" s="569"/>
      <c r="V101" s="570">
        <f t="shared" si="53"/>
        <v>0</v>
      </c>
      <c r="W101" s="571">
        <f t="shared" si="54"/>
        <v>0</v>
      </c>
      <c r="X101" s="570">
        <f t="shared" si="67"/>
        <v>0</v>
      </c>
      <c r="Y101" s="571">
        <f t="shared" si="55"/>
        <v>0</v>
      </c>
      <c r="Z101" s="572">
        <f t="shared" si="56"/>
        <v>678800</v>
      </c>
      <c r="AA101" s="573">
        <f t="shared" si="57"/>
        <v>1</v>
      </c>
      <c r="AB101" s="572">
        <f t="shared" si="58"/>
        <v>0</v>
      </c>
      <c r="AC101" s="574" t="str">
        <f t="shared" si="59"/>
        <v>Apartamento Disponible</v>
      </c>
      <c r="AD101" s="574" t="str">
        <f t="shared" si="60"/>
        <v>Disponible</v>
      </c>
      <c r="AE101" s="575"/>
      <c r="AF101" s="575">
        <f t="shared" si="68"/>
        <v>0</v>
      </c>
      <c r="AG101" s="575">
        <f t="shared" si="69"/>
        <v>0</v>
      </c>
      <c r="AH101" s="568"/>
      <c r="AI101" s="568"/>
      <c r="AJ101" s="574">
        <f t="shared" si="61"/>
        <v>0</v>
      </c>
      <c r="AK101" s="692">
        <f t="shared" si="64"/>
        <v>0</v>
      </c>
      <c r="AL101" s="577">
        <f t="shared" si="70"/>
        <v>0</v>
      </c>
      <c r="AM101" s="576">
        <f t="shared" si="62"/>
        <v>0</v>
      </c>
      <c r="AN101" s="576">
        <f t="shared" si="63"/>
        <v>0</v>
      </c>
      <c r="AO101" s="576">
        <f t="shared" si="71"/>
        <v>0</v>
      </c>
      <c r="AP101" s="576">
        <f t="shared" si="72"/>
        <v>0</v>
      </c>
      <c r="AQ101" s="576">
        <f t="shared" si="66"/>
        <v>0</v>
      </c>
      <c r="AR101" s="578">
        <f t="shared" si="65"/>
        <v>0</v>
      </c>
      <c r="AS101" s="579"/>
      <c r="AT101" s="579"/>
    </row>
    <row r="102" spans="1:46" s="563" customFormat="1" ht="13.9" customHeight="1" x14ac:dyDescent="0.25">
      <c r="A102" s="582"/>
      <c r="B102" s="564">
        <v>1106</v>
      </c>
      <c r="C102" s="565" t="s">
        <v>1365</v>
      </c>
      <c r="D102" s="565" t="s">
        <v>913</v>
      </c>
      <c r="E102" s="564"/>
      <c r="F102" s="581"/>
      <c r="G102" s="566"/>
      <c r="H102" s="565" t="s">
        <v>374</v>
      </c>
      <c r="I102" s="582">
        <v>825400</v>
      </c>
      <c r="J102" s="582">
        <v>57778.000000000007</v>
      </c>
      <c r="K102" s="567"/>
      <c r="L102" s="568"/>
      <c r="M102" s="569"/>
      <c r="N102" s="569"/>
      <c r="O102" s="569"/>
      <c r="P102" s="569"/>
      <c r="Q102" s="569">
        <v>0</v>
      </c>
      <c r="R102" s="569">
        <v>0</v>
      </c>
      <c r="S102" s="569">
        <v>0</v>
      </c>
      <c r="T102" s="569"/>
      <c r="U102" s="569"/>
      <c r="V102" s="570">
        <f t="shared" si="53"/>
        <v>0</v>
      </c>
      <c r="W102" s="571">
        <f t="shared" si="54"/>
        <v>0</v>
      </c>
      <c r="X102" s="570">
        <f t="shared" si="67"/>
        <v>0</v>
      </c>
      <c r="Y102" s="571">
        <f t="shared" si="55"/>
        <v>0</v>
      </c>
      <c r="Z102" s="572">
        <f t="shared" si="56"/>
        <v>825400</v>
      </c>
      <c r="AA102" s="573">
        <f t="shared" si="57"/>
        <v>1</v>
      </c>
      <c r="AB102" s="572">
        <f t="shared" si="58"/>
        <v>0</v>
      </c>
      <c r="AC102" s="574" t="str">
        <f t="shared" si="59"/>
        <v>Apartamento Disponible</v>
      </c>
      <c r="AD102" s="574" t="str">
        <f t="shared" si="60"/>
        <v>Disponible</v>
      </c>
      <c r="AE102" s="575"/>
      <c r="AF102" s="575">
        <f t="shared" si="68"/>
        <v>0</v>
      </c>
      <c r="AG102" s="575">
        <f t="shared" si="69"/>
        <v>0</v>
      </c>
      <c r="AH102" s="568"/>
      <c r="AI102" s="568"/>
      <c r="AJ102" s="574">
        <f t="shared" si="61"/>
        <v>0</v>
      </c>
      <c r="AK102" s="692">
        <f t="shared" si="64"/>
        <v>0</v>
      </c>
      <c r="AL102" s="577">
        <f t="shared" si="70"/>
        <v>0</v>
      </c>
      <c r="AM102" s="576">
        <f t="shared" si="62"/>
        <v>0</v>
      </c>
      <c r="AN102" s="576">
        <f t="shared" si="63"/>
        <v>0</v>
      </c>
      <c r="AO102" s="576">
        <f t="shared" si="71"/>
        <v>0</v>
      </c>
      <c r="AP102" s="576">
        <f t="shared" si="72"/>
        <v>0</v>
      </c>
      <c r="AQ102" s="576">
        <f t="shared" si="66"/>
        <v>0</v>
      </c>
      <c r="AR102" s="578">
        <f t="shared" si="65"/>
        <v>0</v>
      </c>
      <c r="AS102" s="579"/>
      <c r="AT102" s="579"/>
    </row>
    <row r="103" spans="1:46" s="563" customFormat="1" ht="13.9" customHeight="1" x14ac:dyDescent="0.25">
      <c r="A103" s="582"/>
      <c r="B103" s="564">
        <v>1107</v>
      </c>
      <c r="C103" s="565" t="s">
        <v>1362</v>
      </c>
      <c r="D103" s="565" t="s">
        <v>913</v>
      </c>
      <c r="E103" s="564"/>
      <c r="F103" s="581"/>
      <c r="G103" s="566"/>
      <c r="H103" s="565" t="s">
        <v>374</v>
      </c>
      <c r="I103" s="582">
        <v>958800</v>
      </c>
      <c r="J103" s="582">
        <v>67116</v>
      </c>
      <c r="K103" s="567"/>
      <c r="L103" s="568"/>
      <c r="M103" s="569"/>
      <c r="N103" s="569"/>
      <c r="O103" s="569"/>
      <c r="P103" s="569"/>
      <c r="Q103" s="569">
        <v>0</v>
      </c>
      <c r="R103" s="569">
        <v>0</v>
      </c>
      <c r="S103" s="569">
        <v>3000</v>
      </c>
      <c r="T103" s="569"/>
      <c r="U103" s="569"/>
      <c r="V103" s="570">
        <f t="shared" ref="V103:V123" si="73">SUM(K103:U103)</f>
        <v>3000</v>
      </c>
      <c r="W103" s="571">
        <f t="shared" ref="W103:W123" si="74">IFERROR((+V103/J103),0)</f>
        <v>4.469873055605221E-2</v>
      </c>
      <c r="X103" s="570">
        <f t="shared" si="67"/>
        <v>3000</v>
      </c>
      <c r="Y103" s="571">
        <f t="shared" ref="Y103:Y123" si="75">+X103/J103</f>
        <v>4.469873055605221E-2</v>
      </c>
      <c r="Z103" s="572">
        <f t="shared" ref="Z103:Z123" si="76">+I103-V103</f>
        <v>955800</v>
      </c>
      <c r="AA103" s="573">
        <f t="shared" ref="AA103:AA123" si="77">+Z103/I103</f>
        <v>0.99687108886107634</v>
      </c>
      <c r="AB103" s="572">
        <f t="shared" ref="AB103:AB123" si="78">IF(AC103="Vendido",J103*1,IF(AC103="Disponible",J103*0,IF(AC103="Enganche Completado",J103*1,IF(AC103="Superávit de Enganche",J103*1,0))))</f>
        <v>0</v>
      </c>
      <c r="AC103" s="574" t="str">
        <f t="shared" ref="AC103:AC123" si="79">IF(F103=0,"Apartamento Disponible",IF(F103&gt;1,"Vendido",0))</f>
        <v>Apartamento Disponible</v>
      </c>
      <c r="AD103" s="574" t="str">
        <f t="shared" ref="AD103:AD123" si="80">IF(AND(AC103="Vendido",G103&gt;=0,AL103&lt;=V103,V103&lt;AB103),"Cliente al día",IF(AND(AC103="Vendido",G103&gt;=0,AL103&lt;=V103,V103=AB103),"Enganche Completado",IF(AND(AC103="Vendido",G103&gt;=0,AL103&lt;V103,V103&gt;AB103),"Superávit de Enganche",IF(AND(AC103="Apartamento Disponible",G103=0,X103=0),"Disponible","Cliente Atrasado"))))</f>
        <v>Cliente Atrasado</v>
      </c>
      <c r="AE103" s="575"/>
      <c r="AF103" s="575">
        <f t="shared" si="68"/>
        <v>0</v>
      </c>
      <c r="AG103" s="575">
        <f t="shared" si="69"/>
        <v>0</v>
      </c>
      <c r="AH103" s="568"/>
      <c r="AI103" s="568"/>
      <c r="AJ103" s="574">
        <f t="shared" ref="AJ103:AJ123" si="81">COUNTIFS(K103:U103,"&gt;0.01",K103:U103,"&lt;" &amp; AH103)</f>
        <v>0</v>
      </c>
      <c r="AK103" s="692">
        <f t="shared" si="64"/>
        <v>0</v>
      </c>
      <c r="AL103" s="577">
        <f t="shared" si="70"/>
        <v>0</v>
      </c>
      <c r="AM103" s="576">
        <f t="shared" ref="AM103:AM123" si="82">SUMIF(K103:U103,"&lt;=" &amp; AI103,K103:U103)</f>
        <v>0</v>
      </c>
      <c r="AN103" s="576">
        <f t="shared" ref="AN103:AN123" si="83">SUMIF(K103:U103,"&gt;" &amp; AI103,K103:U103)</f>
        <v>0</v>
      </c>
      <c r="AO103" s="576">
        <f t="shared" si="71"/>
        <v>3000</v>
      </c>
      <c r="AP103" s="576">
        <f t="shared" si="72"/>
        <v>3000</v>
      </c>
      <c r="AQ103" s="576">
        <f t="shared" si="66"/>
        <v>0</v>
      </c>
      <c r="AR103" s="578">
        <f t="shared" si="65"/>
        <v>0</v>
      </c>
      <c r="AS103" s="579"/>
      <c r="AT103" s="579"/>
    </row>
    <row r="104" spans="1:46" s="563" customFormat="1" ht="13.9" customHeight="1" x14ac:dyDescent="0.25">
      <c r="A104" s="582"/>
      <c r="B104" s="564">
        <v>1108</v>
      </c>
      <c r="C104" s="565" t="s">
        <v>1362</v>
      </c>
      <c r="D104" s="565" t="s">
        <v>913</v>
      </c>
      <c r="E104" s="564" t="s">
        <v>1363</v>
      </c>
      <c r="F104" s="581" t="s">
        <v>1418</v>
      </c>
      <c r="G104" s="566">
        <v>45985</v>
      </c>
      <c r="H104" s="565" t="s">
        <v>374</v>
      </c>
      <c r="I104" s="582">
        <v>744000</v>
      </c>
      <c r="J104" s="582">
        <v>52100</v>
      </c>
      <c r="K104" s="567"/>
      <c r="L104" s="568"/>
      <c r="M104" s="569"/>
      <c r="N104" s="569"/>
      <c r="O104" s="569"/>
      <c r="P104" s="569"/>
      <c r="Q104" s="569">
        <v>0</v>
      </c>
      <c r="R104" s="569">
        <v>0</v>
      </c>
      <c r="S104" s="569">
        <f>2000+1000</f>
        <v>3000</v>
      </c>
      <c r="T104" s="569">
        <v>2232</v>
      </c>
      <c r="U104" s="569"/>
      <c r="V104" s="570">
        <f t="shared" si="73"/>
        <v>5232</v>
      </c>
      <c r="W104" s="571">
        <f t="shared" si="74"/>
        <v>0.10042226487523992</v>
      </c>
      <c r="X104" s="570">
        <f t="shared" si="67"/>
        <v>-46868</v>
      </c>
      <c r="Y104" s="571">
        <f t="shared" si="75"/>
        <v>-0.89957773512476003</v>
      </c>
      <c r="Z104" s="572">
        <f t="shared" si="76"/>
        <v>738768</v>
      </c>
      <c r="AA104" s="573">
        <f t="shared" si="77"/>
        <v>0.99296774193548387</v>
      </c>
      <c r="AB104" s="572">
        <f t="shared" si="78"/>
        <v>52100</v>
      </c>
      <c r="AC104" s="574" t="str">
        <f t="shared" si="79"/>
        <v>Vendido</v>
      </c>
      <c r="AD104" s="574" t="str">
        <f t="shared" si="80"/>
        <v>Cliente al día</v>
      </c>
      <c r="AE104" s="575"/>
      <c r="AF104" s="575">
        <f t="shared" si="68"/>
        <v>0</v>
      </c>
      <c r="AG104" s="575">
        <f t="shared" si="69"/>
        <v>0</v>
      </c>
      <c r="AH104" s="568"/>
      <c r="AI104" s="568"/>
      <c r="AJ104" s="574">
        <f t="shared" si="81"/>
        <v>0</v>
      </c>
      <c r="AK104" s="692">
        <f t="shared" si="64"/>
        <v>2</v>
      </c>
      <c r="AL104" s="577">
        <f t="shared" si="70"/>
        <v>0</v>
      </c>
      <c r="AM104" s="576">
        <f t="shared" si="82"/>
        <v>0</v>
      </c>
      <c r="AN104" s="576">
        <f t="shared" si="83"/>
        <v>0</v>
      </c>
      <c r="AO104" s="576">
        <f t="shared" si="71"/>
        <v>5232</v>
      </c>
      <c r="AP104" s="576">
        <f t="shared" si="72"/>
        <v>5232</v>
      </c>
      <c r="AQ104" s="576">
        <f t="shared" si="66"/>
        <v>0</v>
      </c>
      <c r="AR104" s="578" t="e">
        <f t="shared" ref="AR104:AR123" si="84">ROUNDUP(IF(G104&gt;0,AQ104/AI104,0),0)</f>
        <v>#DIV/0!</v>
      </c>
      <c r="AS104" s="579"/>
      <c r="AT104" s="579"/>
    </row>
    <row r="105" spans="1:46" s="563" customFormat="1" ht="13.9" customHeight="1" x14ac:dyDescent="0.25">
      <c r="A105" s="582"/>
      <c r="B105" s="564">
        <v>1109</v>
      </c>
      <c r="C105" s="565" t="s">
        <v>1365</v>
      </c>
      <c r="D105" s="565" t="s">
        <v>913</v>
      </c>
      <c r="E105" s="564"/>
      <c r="F105" s="581"/>
      <c r="G105" s="566"/>
      <c r="H105" s="565" t="s">
        <v>374</v>
      </c>
      <c r="I105" s="582">
        <v>825400</v>
      </c>
      <c r="J105" s="582">
        <v>57778.000000000007</v>
      </c>
      <c r="K105" s="567"/>
      <c r="L105" s="568"/>
      <c r="M105" s="569"/>
      <c r="N105" s="569"/>
      <c r="O105" s="569"/>
      <c r="P105" s="569"/>
      <c r="Q105" s="569">
        <v>0</v>
      </c>
      <c r="R105" s="569">
        <v>0</v>
      </c>
      <c r="S105" s="569">
        <v>0</v>
      </c>
      <c r="T105" s="569"/>
      <c r="U105" s="569"/>
      <c r="V105" s="570">
        <f t="shared" si="73"/>
        <v>0</v>
      </c>
      <c r="W105" s="571">
        <f t="shared" si="74"/>
        <v>0</v>
      </c>
      <c r="X105" s="570">
        <f t="shared" si="67"/>
        <v>0</v>
      </c>
      <c r="Y105" s="571">
        <f t="shared" si="75"/>
        <v>0</v>
      </c>
      <c r="Z105" s="572">
        <f t="shared" si="76"/>
        <v>825400</v>
      </c>
      <c r="AA105" s="573">
        <f t="shared" si="77"/>
        <v>1</v>
      </c>
      <c r="AB105" s="572">
        <f t="shared" si="78"/>
        <v>0</v>
      </c>
      <c r="AC105" s="574" t="str">
        <f t="shared" si="79"/>
        <v>Apartamento Disponible</v>
      </c>
      <c r="AD105" s="574" t="str">
        <f t="shared" si="80"/>
        <v>Disponible</v>
      </c>
      <c r="AE105" s="575"/>
      <c r="AF105" s="575">
        <f t="shared" si="68"/>
        <v>0</v>
      </c>
      <c r="AG105" s="575">
        <f t="shared" si="69"/>
        <v>0</v>
      </c>
      <c r="AH105" s="568"/>
      <c r="AI105" s="568"/>
      <c r="AJ105" s="574">
        <f t="shared" si="81"/>
        <v>0</v>
      </c>
      <c r="AK105" s="692">
        <f t="shared" si="64"/>
        <v>0</v>
      </c>
      <c r="AL105" s="577">
        <f t="shared" si="70"/>
        <v>0</v>
      </c>
      <c r="AM105" s="576">
        <f t="shared" si="82"/>
        <v>0</v>
      </c>
      <c r="AN105" s="576">
        <f t="shared" si="83"/>
        <v>0</v>
      </c>
      <c r="AO105" s="576">
        <f t="shared" si="71"/>
        <v>0</v>
      </c>
      <c r="AP105" s="576">
        <f t="shared" si="72"/>
        <v>0</v>
      </c>
      <c r="AQ105" s="576">
        <f t="shared" si="66"/>
        <v>0</v>
      </c>
      <c r="AR105" s="578">
        <f t="shared" si="84"/>
        <v>0</v>
      </c>
      <c r="AS105" s="579"/>
      <c r="AT105" s="579"/>
    </row>
    <row r="106" spans="1:46" s="563" customFormat="1" ht="13.9" customHeight="1" x14ac:dyDescent="0.25">
      <c r="A106" s="582"/>
      <c r="B106" s="564">
        <v>1201</v>
      </c>
      <c r="C106" s="565" t="s">
        <v>1361</v>
      </c>
      <c r="D106" s="565" t="s">
        <v>913</v>
      </c>
      <c r="E106" s="564" t="s">
        <v>1363</v>
      </c>
      <c r="F106" s="581" t="s">
        <v>1419</v>
      </c>
      <c r="G106" s="566">
        <v>46034</v>
      </c>
      <c r="H106" s="565" t="s">
        <v>374</v>
      </c>
      <c r="I106" s="582">
        <v>678800</v>
      </c>
      <c r="J106" s="582">
        <v>47516.000000000007</v>
      </c>
      <c r="K106" s="567"/>
      <c r="L106" s="568"/>
      <c r="M106" s="569"/>
      <c r="N106" s="900"/>
      <c r="O106" s="900"/>
      <c r="P106" s="900"/>
      <c r="Q106" s="900">
        <v>0</v>
      </c>
      <c r="R106" s="900">
        <v>0</v>
      </c>
      <c r="S106" s="900">
        <v>0</v>
      </c>
      <c r="T106" s="900"/>
      <c r="U106" s="569">
        <v>3000</v>
      </c>
      <c r="V106" s="570">
        <f t="shared" si="73"/>
        <v>3000</v>
      </c>
      <c r="W106" s="571">
        <f t="shared" si="74"/>
        <v>6.3136627662261122E-2</v>
      </c>
      <c r="X106" s="570">
        <f t="shared" si="67"/>
        <v>-44516.000000000007</v>
      </c>
      <c r="Y106" s="571">
        <f t="shared" si="75"/>
        <v>-0.93686337233773886</v>
      </c>
      <c r="Z106" s="572">
        <f t="shared" si="76"/>
        <v>675800</v>
      </c>
      <c r="AA106" s="573">
        <f t="shared" si="77"/>
        <v>0.99558043606364177</v>
      </c>
      <c r="AB106" s="572">
        <f t="shared" si="78"/>
        <v>47516.000000000007</v>
      </c>
      <c r="AC106" s="574" t="str">
        <f t="shared" si="79"/>
        <v>Vendido</v>
      </c>
      <c r="AD106" s="574" t="str">
        <f t="shared" si="80"/>
        <v>Cliente al día</v>
      </c>
      <c r="AE106" s="575"/>
      <c r="AF106" s="575">
        <f t="shared" si="68"/>
        <v>0</v>
      </c>
      <c r="AG106" s="575">
        <f t="shared" si="69"/>
        <v>0</v>
      </c>
      <c r="AH106" s="568"/>
      <c r="AI106" s="568"/>
      <c r="AJ106" s="574">
        <f t="shared" si="81"/>
        <v>0</v>
      </c>
      <c r="AK106" s="692">
        <f t="shared" si="64"/>
        <v>0</v>
      </c>
      <c r="AL106" s="577">
        <f t="shared" si="70"/>
        <v>0</v>
      </c>
      <c r="AM106" s="576">
        <f t="shared" si="82"/>
        <v>0</v>
      </c>
      <c r="AN106" s="576">
        <f t="shared" si="83"/>
        <v>0</v>
      </c>
      <c r="AO106" s="576">
        <f t="shared" si="71"/>
        <v>3000</v>
      </c>
      <c r="AP106" s="576">
        <f t="shared" si="72"/>
        <v>3000</v>
      </c>
      <c r="AQ106" s="576">
        <f t="shared" si="66"/>
        <v>0</v>
      </c>
      <c r="AR106" s="578" t="e">
        <f t="shared" si="84"/>
        <v>#DIV/0!</v>
      </c>
      <c r="AS106" s="579"/>
      <c r="AT106" s="579"/>
    </row>
    <row r="107" spans="1:46" s="563" customFormat="1" ht="13.9" customHeight="1" x14ac:dyDescent="0.25">
      <c r="A107" s="582"/>
      <c r="B107" s="564">
        <v>1202</v>
      </c>
      <c r="C107" s="565" t="s">
        <v>1362</v>
      </c>
      <c r="D107" s="565" t="s">
        <v>913</v>
      </c>
      <c r="E107" s="565" t="s">
        <v>917</v>
      </c>
      <c r="F107" s="581" t="s">
        <v>1420</v>
      </c>
      <c r="G107" s="566">
        <v>45976</v>
      </c>
      <c r="H107" s="565" t="s">
        <v>956</v>
      </c>
      <c r="I107" s="582">
        <v>744000</v>
      </c>
      <c r="J107" s="582">
        <v>52100</v>
      </c>
      <c r="K107" s="567"/>
      <c r="L107" s="568"/>
      <c r="M107" s="569"/>
      <c r="N107" s="569"/>
      <c r="O107" s="569"/>
      <c r="P107" s="569"/>
      <c r="Q107" s="569">
        <v>0</v>
      </c>
      <c r="R107" s="569">
        <v>0</v>
      </c>
      <c r="S107" s="569">
        <v>3000</v>
      </c>
      <c r="T107" s="569">
        <v>2232</v>
      </c>
      <c r="U107" s="569">
        <v>2232</v>
      </c>
      <c r="V107" s="570">
        <f t="shared" si="73"/>
        <v>7464</v>
      </c>
      <c r="W107" s="571">
        <f t="shared" si="74"/>
        <v>0.14326295585412668</v>
      </c>
      <c r="X107" s="570">
        <f t="shared" si="67"/>
        <v>-44636</v>
      </c>
      <c r="Y107" s="571">
        <f t="shared" si="75"/>
        <v>-0.85673704414587337</v>
      </c>
      <c r="Z107" s="572">
        <f t="shared" si="76"/>
        <v>736536</v>
      </c>
      <c r="AA107" s="573">
        <f t="shared" si="77"/>
        <v>0.98996774193548387</v>
      </c>
      <c r="AB107" s="572">
        <f t="shared" si="78"/>
        <v>52100</v>
      </c>
      <c r="AC107" s="574" t="str">
        <f t="shared" si="79"/>
        <v>Vendido</v>
      </c>
      <c r="AD107" s="574" t="str">
        <f t="shared" si="80"/>
        <v>Cliente al día</v>
      </c>
      <c r="AE107" s="575"/>
      <c r="AF107" s="575">
        <f t="shared" si="68"/>
        <v>0</v>
      </c>
      <c r="AG107" s="575">
        <f t="shared" si="69"/>
        <v>0</v>
      </c>
      <c r="AH107" s="568"/>
      <c r="AI107" s="568"/>
      <c r="AJ107" s="574">
        <f t="shared" si="81"/>
        <v>0</v>
      </c>
      <c r="AK107" s="692">
        <f t="shared" si="64"/>
        <v>2</v>
      </c>
      <c r="AL107" s="577">
        <f t="shared" si="70"/>
        <v>0</v>
      </c>
      <c r="AM107" s="576">
        <f t="shared" si="82"/>
        <v>0</v>
      </c>
      <c r="AN107" s="576">
        <f t="shared" si="83"/>
        <v>0</v>
      </c>
      <c r="AO107" s="576">
        <f t="shared" si="71"/>
        <v>7464</v>
      </c>
      <c r="AP107" s="576">
        <f t="shared" si="72"/>
        <v>7464</v>
      </c>
      <c r="AQ107" s="576">
        <f t="shared" si="66"/>
        <v>0</v>
      </c>
      <c r="AR107" s="578" t="e">
        <f t="shared" si="84"/>
        <v>#DIV/0!</v>
      </c>
      <c r="AS107" s="579"/>
      <c r="AT107" s="579"/>
    </row>
    <row r="108" spans="1:46" s="563" customFormat="1" ht="13.9" customHeight="1" x14ac:dyDescent="0.25">
      <c r="A108" s="582"/>
      <c r="B108" s="564">
        <v>1203</v>
      </c>
      <c r="C108" s="565" t="s">
        <v>1362</v>
      </c>
      <c r="D108" s="565" t="s">
        <v>913</v>
      </c>
      <c r="E108" s="565" t="s">
        <v>917</v>
      </c>
      <c r="F108" s="581" t="s">
        <v>1421</v>
      </c>
      <c r="G108" s="566">
        <v>45976</v>
      </c>
      <c r="H108" s="565" t="s">
        <v>956</v>
      </c>
      <c r="I108" s="582">
        <v>744000</v>
      </c>
      <c r="J108" s="582">
        <v>52100</v>
      </c>
      <c r="K108" s="567"/>
      <c r="L108" s="568"/>
      <c r="M108" s="569"/>
      <c r="N108" s="569"/>
      <c r="O108" s="569"/>
      <c r="P108" s="569"/>
      <c r="Q108" s="569">
        <v>0</v>
      </c>
      <c r="R108" s="569">
        <v>0</v>
      </c>
      <c r="S108" s="569">
        <v>3000</v>
      </c>
      <c r="T108" s="569">
        <v>2232</v>
      </c>
      <c r="U108" s="569">
        <v>2232</v>
      </c>
      <c r="V108" s="570">
        <f t="shared" si="73"/>
        <v>7464</v>
      </c>
      <c r="W108" s="571">
        <f t="shared" si="74"/>
        <v>0.14326295585412668</v>
      </c>
      <c r="X108" s="570">
        <f t="shared" si="67"/>
        <v>-44636</v>
      </c>
      <c r="Y108" s="571">
        <f t="shared" si="75"/>
        <v>-0.85673704414587337</v>
      </c>
      <c r="Z108" s="572">
        <f t="shared" si="76"/>
        <v>736536</v>
      </c>
      <c r="AA108" s="573">
        <f t="shared" si="77"/>
        <v>0.98996774193548387</v>
      </c>
      <c r="AB108" s="572">
        <f t="shared" si="78"/>
        <v>52100</v>
      </c>
      <c r="AC108" s="574" t="str">
        <f t="shared" si="79"/>
        <v>Vendido</v>
      </c>
      <c r="AD108" s="574" t="str">
        <f t="shared" si="80"/>
        <v>Cliente al día</v>
      </c>
      <c r="AE108" s="575"/>
      <c r="AF108" s="575">
        <f t="shared" si="68"/>
        <v>0</v>
      </c>
      <c r="AG108" s="575">
        <f t="shared" si="69"/>
        <v>0</v>
      </c>
      <c r="AH108" s="568"/>
      <c r="AI108" s="568"/>
      <c r="AJ108" s="574">
        <f t="shared" si="81"/>
        <v>0</v>
      </c>
      <c r="AK108" s="692">
        <f t="shared" si="64"/>
        <v>2</v>
      </c>
      <c r="AL108" s="577">
        <f t="shared" si="70"/>
        <v>0</v>
      </c>
      <c r="AM108" s="576">
        <f t="shared" si="82"/>
        <v>0</v>
      </c>
      <c r="AN108" s="576">
        <f t="shared" si="83"/>
        <v>0</v>
      </c>
      <c r="AO108" s="576">
        <f t="shared" si="71"/>
        <v>7464</v>
      </c>
      <c r="AP108" s="576">
        <f t="shared" si="72"/>
        <v>7464</v>
      </c>
      <c r="AQ108" s="576">
        <f t="shared" si="66"/>
        <v>0</v>
      </c>
      <c r="AR108" s="578" t="e">
        <f t="shared" si="84"/>
        <v>#DIV/0!</v>
      </c>
      <c r="AS108" s="579"/>
      <c r="AT108" s="579"/>
    </row>
    <row r="109" spans="1:46" s="563" customFormat="1" ht="13.9" customHeight="1" x14ac:dyDescent="0.25">
      <c r="A109" s="582"/>
      <c r="B109" s="564">
        <v>1204</v>
      </c>
      <c r="C109" s="565" t="s">
        <v>1361</v>
      </c>
      <c r="D109" s="565" t="s">
        <v>913</v>
      </c>
      <c r="E109" s="565" t="s">
        <v>917</v>
      </c>
      <c r="F109" s="581" t="s">
        <v>1422</v>
      </c>
      <c r="G109" s="566">
        <v>45853</v>
      </c>
      <c r="H109" s="565" t="s">
        <v>1355</v>
      </c>
      <c r="I109" s="582">
        <v>678800</v>
      </c>
      <c r="J109" s="582">
        <v>47516.000000000007</v>
      </c>
      <c r="K109" s="567"/>
      <c r="L109" s="568"/>
      <c r="M109" s="569"/>
      <c r="N109" s="900"/>
      <c r="O109" s="900">
        <v>3000</v>
      </c>
      <c r="P109" s="900"/>
      <c r="Q109" s="900">
        <v>0</v>
      </c>
      <c r="R109" s="900">
        <v>0</v>
      </c>
      <c r="S109" s="900">
        <v>0</v>
      </c>
      <c r="T109" s="900"/>
      <c r="U109" s="569"/>
      <c r="V109" s="570">
        <f t="shared" si="73"/>
        <v>3000</v>
      </c>
      <c r="W109" s="571">
        <f t="shared" si="74"/>
        <v>6.3136627662261122E-2</v>
      </c>
      <c r="X109" s="570">
        <f t="shared" si="67"/>
        <v>-44516.000000000007</v>
      </c>
      <c r="Y109" s="571">
        <f t="shared" si="75"/>
        <v>-0.93686337233773886</v>
      </c>
      <c r="Z109" s="572">
        <f t="shared" si="76"/>
        <v>675800</v>
      </c>
      <c r="AA109" s="573">
        <f t="shared" si="77"/>
        <v>0.99558043606364177</v>
      </c>
      <c r="AB109" s="572">
        <f t="shared" si="78"/>
        <v>47516.000000000007</v>
      </c>
      <c r="AC109" s="574" t="str">
        <f t="shared" si="79"/>
        <v>Vendido</v>
      </c>
      <c r="AD109" s="574" t="str">
        <f>IF(AND(AC109="Vendido",G109&gt;=0,AL109&lt;=V109,V109&lt;AB109),"Cliente al día",IF(AND(AC109="Vendido",G109&gt;=0,AL109&lt;=V109,V109=AB109),"Enganche Completado",IF(AND(AC109="Vendido",G109&gt;=0,AL109&lt;V109,V109&gt;AB109),"Superávit de Enganche",IF(AND(AC109="Apartamento Disponible",G109=0,X109=0),"Disponible","Cliente Atrasado"))))</f>
        <v>Cliente al día</v>
      </c>
      <c r="AE109" s="575">
        <v>26</v>
      </c>
      <c r="AF109" s="575">
        <f t="shared" si="68"/>
        <v>1</v>
      </c>
      <c r="AG109" s="575">
        <f t="shared" si="69"/>
        <v>27</v>
      </c>
      <c r="AH109" s="568">
        <v>3000</v>
      </c>
      <c r="AI109" s="568">
        <v>1730.77</v>
      </c>
      <c r="AJ109" s="574">
        <f t="shared" si="81"/>
        <v>0</v>
      </c>
      <c r="AK109" s="692">
        <f t="shared" si="64"/>
        <v>6</v>
      </c>
      <c r="AL109" s="577">
        <f t="shared" si="70"/>
        <v>3000</v>
      </c>
      <c r="AM109" s="576">
        <f t="shared" si="82"/>
        <v>0</v>
      </c>
      <c r="AN109" s="576">
        <f t="shared" si="83"/>
        <v>3000</v>
      </c>
      <c r="AO109" s="576">
        <f t="shared" si="71"/>
        <v>0</v>
      </c>
      <c r="AP109" s="576">
        <f t="shared" si="72"/>
        <v>0</v>
      </c>
      <c r="AQ109" s="576">
        <f t="shared" si="66"/>
        <v>0</v>
      </c>
      <c r="AR109" s="578">
        <f t="shared" si="84"/>
        <v>0</v>
      </c>
      <c r="AS109" s="579"/>
      <c r="AT109" s="579"/>
    </row>
    <row r="110" spans="1:46" s="563" customFormat="1" ht="13.9" customHeight="1" x14ac:dyDescent="0.25">
      <c r="A110" s="582"/>
      <c r="B110" s="564">
        <v>1205</v>
      </c>
      <c r="C110" s="565" t="s">
        <v>1361</v>
      </c>
      <c r="D110" s="565" t="s">
        <v>913</v>
      </c>
      <c r="E110" s="564"/>
      <c r="F110" s="581"/>
      <c r="G110" s="566"/>
      <c r="H110" s="565" t="s">
        <v>374</v>
      </c>
      <c r="I110" s="582">
        <v>678800</v>
      </c>
      <c r="J110" s="582">
        <v>47516.000000000007</v>
      </c>
      <c r="K110" s="567"/>
      <c r="L110" s="568"/>
      <c r="M110" s="569"/>
      <c r="N110" s="569"/>
      <c r="O110" s="569"/>
      <c r="P110" s="569"/>
      <c r="Q110" s="569">
        <v>0</v>
      </c>
      <c r="R110" s="569">
        <v>0</v>
      </c>
      <c r="S110" s="569">
        <v>0</v>
      </c>
      <c r="T110" s="569"/>
      <c r="U110" s="569"/>
      <c r="V110" s="570">
        <f t="shared" si="73"/>
        <v>0</v>
      </c>
      <c r="W110" s="571">
        <f t="shared" si="74"/>
        <v>0</v>
      </c>
      <c r="X110" s="570">
        <f t="shared" si="67"/>
        <v>0</v>
      </c>
      <c r="Y110" s="571">
        <f t="shared" si="75"/>
        <v>0</v>
      </c>
      <c r="Z110" s="572">
        <f t="shared" si="76"/>
        <v>678800</v>
      </c>
      <c r="AA110" s="573">
        <f t="shared" si="77"/>
        <v>1</v>
      </c>
      <c r="AB110" s="572">
        <f t="shared" si="78"/>
        <v>0</v>
      </c>
      <c r="AC110" s="574" t="str">
        <f t="shared" si="79"/>
        <v>Apartamento Disponible</v>
      </c>
      <c r="AD110" s="574" t="str">
        <f t="shared" si="80"/>
        <v>Disponible</v>
      </c>
      <c r="AE110" s="575"/>
      <c r="AF110" s="575">
        <f t="shared" si="68"/>
        <v>0</v>
      </c>
      <c r="AG110" s="575">
        <f t="shared" si="69"/>
        <v>0</v>
      </c>
      <c r="AH110" s="568"/>
      <c r="AI110" s="568"/>
      <c r="AJ110" s="574">
        <f t="shared" si="81"/>
        <v>0</v>
      </c>
      <c r="AK110" s="692">
        <f t="shared" si="64"/>
        <v>0</v>
      </c>
      <c r="AL110" s="577">
        <f t="shared" si="70"/>
        <v>0</v>
      </c>
      <c r="AM110" s="576">
        <f t="shared" si="82"/>
        <v>0</v>
      </c>
      <c r="AN110" s="576">
        <f t="shared" si="83"/>
        <v>0</v>
      </c>
      <c r="AO110" s="576">
        <f t="shared" si="71"/>
        <v>0</v>
      </c>
      <c r="AP110" s="576">
        <f t="shared" si="72"/>
        <v>0</v>
      </c>
      <c r="AQ110" s="576">
        <f t="shared" si="66"/>
        <v>0</v>
      </c>
      <c r="AR110" s="578">
        <f t="shared" si="84"/>
        <v>0</v>
      </c>
      <c r="AS110" s="579"/>
      <c r="AT110" s="579"/>
    </row>
    <row r="111" spans="1:46" s="563" customFormat="1" ht="13.9" customHeight="1" x14ac:dyDescent="0.25">
      <c r="A111" s="582"/>
      <c r="B111" s="564">
        <v>1206</v>
      </c>
      <c r="C111" s="565" t="s">
        <v>1365</v>
      </c>
      <c r="D111" s="565" t="s">
        <v>913</v>
      </c>
      <c r="E111" s="564"/>
      <c r="F111" s="581"/>
      <c r="G111" s="566"/>
      <c r="H111" s="565" t="s">
        <v>374</v>
      </c>
      <c r="I111" s="582">
        <v>825400</v>
      </c>
      <c r="J111" s="582">
        <v>57778.000000000007</v>
      </c>
      <c r="K111" s="567"/>
      <c r="L111" s="568"/>
      <c r="M111" s="569"/>
      <c r="N111" s="569"/>
      <c r="O111" s="569"/>
      <c r="P111" s="569"/>
      <c r="Q111" s="569">
        <v>0</v>
      </c>
      <c r="R111" s="569">
        <v>0</v>
      </c>
      <c r="S111" s="569">
        <v>0</v>
      </c>
      <c r="T111" s="569"/>
      <c r="U111" s="569"/>
      <c r="V111" s="570">
        <f t="shared" si="73"/>
        <v>0</v>
      </c>
      <c r="W111" s="571">
        <f t="shared" si="74"/>
        <v>0</v>
      </c>
      <c r="X111" s="570">
        <f t="shared" si="67"/>
        <v>0</v>
      </c>
      <c r="Y111" s="571">
        <f t="shared" si="75"/>
        <v>0</v>
      </c>
      <c r="Z111" s="572">
        <f t="shared" si="76"/>
        <v>825400</v>
      </c>
      <c r="AA111" s="573">
        <f t="shared" si="77"/>
        <v>1</v>
      </c>
      <c r="AB111" s="572">
        <f t="shared" si="78"/>
        <v>0</v>
      </c>
      <c r="AC111" s="574" t="str">
        <f t="shared" si="79"/>
        <v>Apartamento Disponible</v>
      </c>
      <c r="AD111" s="574" t="str">
        <f t="shared" si="80"/>
        <v>Disponible</v>
      </c>
      <c r="AE111" s="575"/>
      <c r="AF111" s="575">
        <f t="shared" si="68"/>
        <v>0</v>
      </c>
      <c r="AG111" s="575">
        <f t="shared" si="69"/>
        <v>0</v>
      </c>
      <c r="AH111" s="568"/>
      <c r="AI111" s="568"/>
      <c r="AJ111" s="574">
        <f t="shared" si="81"/>
        <v>0</v>
      </c>
      <c r="AK111" s="692">
        <f t="shared" si="64"/>
        <v>0</v>
      </c>
      <c r="AL111" s="577">
        <f t="shared" si="70"/>
        <v>0</v>
      </c>
      <c r="AM111" s="576">
        <f t="shared" si="82"/>
        <v>0</v>
      </c>
      <c r="AN111" s="576">
        <f t="shared" si="83"/>
        <v>0</v>
      </c>
      <c r="AO111" s="576">
        <f t="shared" si="71"/>
        <v>0</v>
      </c>
      <c r="AP111" s="576">
        <f t="shared" si="72"/>
        <v>0</v>
      </c>
      <c r="AQ111" s="576">
        <f t="shared" si="66"/>
        <v>0</v>
      </c>
      <c r="AR111" s="578">
        <f t="shared" si="84"/>
        <v>0</v>
      </c>
      <c r="AS111" s="579"/>
      <c r="AT111" s="579"/>
    </row>
    <row r="112" spans="1:46" s="563" customFormat="1" ht="13.9" customHeight="1" x14ac:dyDescent="0.25">
      <c r="A112" s="582"/>
      <c r="B112" s="564">
        <v>1207</v>
      </c>
      <c r="C112" s="565" t="s">
        <v>1362</v>
      </c>
      <c r="D112" s="565" t="s">
        <v>913</v>
      </c>
      <c r="E112" s="564"/>
      <c r="F112" s="581"/>
      <c r="G112" s="566"/>
      <c r="H112" s="565" t="s">
        <v>374</v>
      </c>
      <c r="I112" s="582">
        <v>958800</v>
      </c>
      <c r="J112" s="582">
        <v>67116</v>
      </c>
      <c r="K112" s="567"/>
      <c r="L112" s="568"/>
      <c r="M112" s="569"/>
      <c r="N112" s="569"/>
      <c r="O112" s="569"/>
      <c r="P112" s="569"/>
      <c r="Q112" s="569">
        <v>0</v>
      </c>
      <c r="R112" s="569">
        <v>0</v>
      </c>
      <c r="S112" s="569">
        <v>0</v>
      </c>
      <c r="T112" s="569"/>
      <c r="U112" s="569"/>
      <c r="V112" s="570">
        <f t="shared" si="73"/>
        <v>0</v>
      </c>
      <c r="W112" s="571">
        <f t="shared" si="74"/>
        <v>0</v>
      </c>
      <c r="X112" s="570">
        <f t="shared" si="67"/>
        <v>0</v>
      </c>
      <c r="Y112" s="571">
        <f t="shared" si="75"/>
        <v>0</v>
      </c>
      <c r="Z112" s="572">
        <f t="shared" si="76"/>
        <v>958800</v>
      </c>
      <c r="AA112" s="573">
        <f t="shared" si="77"/>
        <v>1</v>
      </c>
      <c r="AB112" s="572">
        <f t="shared" si="78"/>
        <v>0</v>
      </c>
      <c r="AC112" s="574" t="str">
        <f t="shared" si="79"/>
        <v>Apartamento Disponible</v>
      </c>
      <c r="AD112" s="574" t="str">
        <f t="shared" si="80"/>
        <v>Disponible</v>
      </c>
      <c r="AE112" s="575"/>
      <c r="AF112" s="575">
        <f t="shared" si="68"/>
        <v>0</v>
      </c>
      <c r="AG112" s="575">
        <f t="shared" si="69"/>
        <v>0</v>
      </c>
      <c r="AH112" s="568"/>
      <c r="AI112" s="568"/>
      <c r="AJ112" s="574">
        <f t="shared" si="81"/>
        <v>0</v>
      </c>
      <c r="AK112" s="692">
        <f t="shared" si="64"/>
        <v>0</v>
      </c>
      <c r="AL112" s="577">
        <f t="shared" si="70"/>
        <v>0</v>
      </c>
      <c r="AM112" s="576">
        <f t="shared" si="82"/>
        <v>0</v>
      </c>
      <c r="AN112" s="576">
        <f t="shared" si="83"/>
        <v>0</v>
      </c>
      <c r="AO112" s="576">
        <f t="shared" si="71"/>
        <v>0</v>
      </c>
      <c r="AP112" s="576">
        <f t="shared" si="72"/>
        <v>0</v>
      </c>
      <c r="AQ112" s="576">
        <f t="shared" si="66"/>
        <v>0</v>
      </c>
      <c r="AR112" s="578">
        <f t="shared" si="84"/>
        <v>0</v>
      </c>
      <c r="AS112" s="579"/>
      <c r="AT112" s="579"/>
    </row>
    <row r="113" spans="1:46" s="563" customFormat="1" ht="13.9" customHeight="1" x14ac:dyDescent="0.25">
      <c r="A113" s="582"/>
      <c r="B113" s="564">
        <v>1208</v>
      </c>
      <c r="C113" s="565" t="s">
        <v>1362</v>
      </c>
      <c r="D113" s="565" t="s">
        <v>913</v>
      </c>
      <c r="E113" s="565" t="s">
        <v>917</v>
      </c>
      <c r="F113" s="581" t="s">
        <v>1423</v>
      </c>
      <c r="G113" s="566">
        <v>46006</v>
      </c>
      <c r="H113" s="565" t="s">
        <v>956</v>
      </c>
      <c r="I113" s="582">
        <v>958800</v>
      </c>
      <c r="J113" s="582">
        <v>67116</v>
      </c>
      <c r="K113" s="567"/>
      <c r="L113" s="568"/>
      <c r="M113" s="569"/>
      <c r="N113" s="569"/>
      <c r="O113" s="569"/>
      <c r="P113" s="569"/>
      <c r="Q113" s="569">
        <v>0</v>
      </c>
      <c r="R113" s="569">
        <v>0</v>
      </c>
      <c r="S113" s="569">
        <v>0</v>
      </c>
      <c r="T113" s="569">
        <v>3000</v>
      </c>
      <c r="U113" s="569">
        <v>2320</v>
      </c>
      <c r="V113" s="570">
        <f t="shared" si="73"/>
        <v>5320</v>
      </c>
      <c r="W113" s="571">
        <f t="shared" si="74"/>
        <v>7.9265748852732576E-2</v>
      </c>
      <c r="X113" s="570">
        <f t="shared" si="67"/>
        <v>-61796</v>
      </c>
      <c r="Y113" s="571">
        <f t="shared" si="75"/>
        <v>-0.92073425114726737</v>
      </c>
      <c r="Z113" s="572">
        <f t="shared" si="76"/>
        <v>953480</v>
      </c>
      <c r="AA113" s="573">
        <f t="shared" si="77"/>
        <v>0.99445139758030876</v>
      </c>
      <c r="AB113" s="572">
        <f t="shared" si="78"/>
        <v>67116</v>
      </c>
      <c r="AC113" s="574" t="str">
        <f t="shared" si="79"/>
        <v>Vendido</v>
      </c>
      <c r="AD113" s="574" t="str">
        <f t="shared" si="80"/>
        <v>Cliente al día</v>
      </c>
      <c r="AE113" s="575"/>
      <c r="AF113" s="575">
        <f t="shared" si="68"/>
        <v>0</v>
      </c>
      <c r="AG113" s="575">
        <f t="shared" si="69"/>
        <v>0</v>
      </c>
      <c r="AH113" s="568"/>
      <c r="AI113" s="568"/>
      <c r="AJ113" s="574">
        <f t="shared" si="81"/>
        <v>0</v>
      </c>
      <c r="AK113" s="692">
        <f t="shared" si="64"/>
        <v>1</v>
      </c>
      <c r="AL113" s="577">
        <f t="shared" si="70"/>
        <v>0</v>
      </c>
      <c r="AM113" s="576">
        <f t="shared" si="82"/>
        <v>0</v>
      </c>
      <c r="AN113" s="576">
        <f t="shared" si="83"/>
        <v>0</v>
      </c>
      <c r="AO113" s="576">
        <f t="shared" si="71"/>
        <v>5320</v>
      </c>
      <c r="AP113" s="576">
        <f t="shared" si="72"/>
        <v>5320</v>
      </c>
      <c r="AQ113" s="576">
        <f t="shared" si="66"/>
        <v>0</v>
      </c>
      <c r="AR113" s="578" t="e">
        <f t="shared" si="84"/>
        <v>#DIV/0!</v>
      </c>
      <c r="AS113" s="579"/>
      <c r="AT113" s="579"/>
    </row>
    <row r="114" spans="1:46" s="563" customFormat="1" ht="13.9" customHeight="1" x14ac:dyDescent="0.25">
      <c r="A114" s="582"/>
      <c r="B114" s="564">
        <v>1209</v>
      </c>
      <c r="C114" s="565" t="s">
        <v>1365</v>
      </c>
      <c r="D114" s="565" t="s">
        <v>913</v>
      </c>
      <c r="E114" s="564" t="s">
        <v>1363</v>
      </c>
      <c r="F114" s="581" t="s">
        <v>1424</v>
      </c>
      <c r="G114" s="566">
        <v>46011</v>
      </c>
      <c r="H114" s="565" t="s">
        <v>374</v>
      </c>
      <c r="I114" s="582">
        <v>825400</v>
      </c>
      <c r="J114" s="582">
        <v>57778.000000000007</v>
      </c>
      <c r="K114" s="567"/>
      <c r="L114" s="568"/>
      <c r="M114" s="569"/>
      <c r="N114" s="569"/>
      <c r="O114" s="569"/>
      <c r="P114" s="569"/>
      <c r="Q114" s="569">
        <v>0</v>
      </c>
      <c r="R114" s="569">
        <v>0</v>
      </c>
      <c r="S114" s="569">
        <v>0</v>
      </c>
      <c r="T114" s="569">
        <v>3000</v>
      </c>
      <c r="U114" s="569">
        <v>2339</v>
      </c>
      <c r="V114" s="570">
        <f t="shared" si="73"/>
        <v>5339</v>
      </c>
      <c r="W114" s="571">
        <f t="shared" si="74"/>
        <v>9.2405413825331434E-2</v>
      </c>
      <c r="X114" s="570">
        <f t="shared" si="67"/>
        <v>-52439.000000000007</v>
      </c>
      <c r="Y114" s="571">
        <f t="shared" si="75"/>
        <v>-0.90759458617466859</v>
      </c>
      <c r="Z114" s="572">
        <f t="shared" si="76"/>
        <v>820061</v>
      </c>
      <c r="AA114" s="573">
        <f t="shared" si="77"/>
        <v>0.99353162103222681</v>
      </c>
      <c r="AB114" s="572">
        <f t="shared" si="78"/>
        <v>57778.000000000007</v>
      </c>
      <c r="AC114" s="574" t="str">
        <f t="shared" si="79"/>
        <v>Vendido</v>
      </c>
      <c r="AD114" s="574" t="str">
        <f t="shared" si="80"/>
        <v>Cliente al día</v>
      </c>
      <c r="AE114" s="575"/>
      <c r="AF114" s="575">
        <f t="shared" si="68"/>
        <v>0</v>
      </c>
      <c r="AG114" s="575">
        <f t="shared" si="69"/>
        <v>0</v>
      </c>
      <c r="AH114" s="568"/>
      <c r="AI114" s="568"/>
      <c r="AJ114" s="574">
        <f t="shared" si="81"/>
        <v>0</v>
      </c>
      <c r="AK114" s="692">
        <f t="shared" si="64"/>
        <v>1</v>
      </c>
      <c r="AL114" s="577">
        <f t="shared" si="70"/>
        <v>0</v>
      </c>
      <c r="AM114" s="576">
        <f t="shared" si="82"/>
        <v>0</v>
      </c>
      <c r="AN114" s="576">
        <f t="shared" si="83"/>
        <v>0</v>
      </c>
      <c r="AO114" s="576">
        <f t="shared" si="71"/>
        <v>5339</v>
      </c>
      <c r="AP114" s="576">
        <f t="shared" si="72"/>
        <v>5339</v>
      </c>
      <c r="AQ114" s="576">
        <f t="shared" si="66"/>
        <v>0</v>
      </c>
      <c r="AR114" s="578" t="e">
        <f t="shared" si="84"/>
        <v>#DIV/0!</v>
      </c>
      <c r="AS114" s="579"/>
      <c r="AT114" s="579"/>
    </row>
    <row r="115" spans="1:46" s="563" customFormat="1" ht="13.9" customHeight="1" x14ac:dyDescent="0.25">
      <c r="A115" s="582"/>
      <c r="B115" s="564">
        <v>1301</v>
      </c>
      <c r="C115" s="565" t="s">
        <v>1361</v>
      </c>
      <c r="D115" s="565" t="s">
        <v>913</v>
      </c>
      <c r="E115" s="564"/>
      <c r="F115" s="581"/>
      <c r="G115" s="566"/>
      <c r="H115" s="565" t="s">
        <v>374</v>
      </c>
      <c r="I115" s="582">
        <v>678800</v>
      </c>
      <c r="J115" s="582">
        <v>47516.000000000007</v>
      </c>
      <c r="K115" s="567"/>
      <c r="L115" s="568"/>
      <c r="M115" s="569"/>
      <c r="N115" s="569"/>
      <c r="O115" s="569"/>
      <c r="P115" s="569"/>
      <c r="Q115" s="569">
        <v>0</v>
      </c>
      <c r="R115" s="569">
        <v>0</v>
      </c>
      <c r="S115" s="569">
        <v>0</v>
      </c>
      <c r="T115" s="569"/>
      <c r="U115" s="569"/>
      <c r="V115" s="570">
        <f t="shared" si="73"/>
        <v>0</v>
      </c>
      <c r="W115" s="571">
        <f t="shared" si="74"/>
        <v>0</v>
      </c>
      <c r="X115" s="570">
        <f t="shared" si="67"/>
        <v>0</v>
      </c>
      <c r="Y115" s="571">
        <f t="shared" si="75"/>
        <v>0</v>
      </c>
      <c r="Z115" s="572">
        <f t="shared" si="76"/>
        <v>678800</v>
      </c>
      <c r="AA115" s="573">
        <f t="shared" si="77"/>
        <v>1</v>
      </c>
      <c r="AB115" s="572">
        <f t="shared" si="78"/>
        <v>0</v>
      </c>
      <c r="AC115" s="574" t="str">
        <f t="shared" si="79"/>
        <v>Apartamento Disponible</v>
      </c>
      <c r="AD115" s="574" t="str">
        <f t="shared" si="80"/>
        <v>Disponible</v>
      </c>
      <c r="AE115" s="575"/>
      <c r="AF115" s="575">
        <f t="shared" si="68"/>
        <v>0</v>
      </c>
      <c r="AG115" s="575">
        <f t="shared" si="69"/>
        <v>0</v>
      </c>
      <c r="AH115" s="568"/>
      <c r="AI115" s="568"/>
      <c r="AJ115" s="574">
        <f t="shared" si="81"/>
        <v>0</v>
      </c>
      <c r="AK115" s="692">
        <f t="shared" si="64"/>
        <v>0</v>
      </c>
      <c r="AL115" s="577">
        <f t="shared" si="70"/>
        <v>0</v>
      </c>
      <c r="AM115" s="576">
        <f t="shared" si="82"/>
        <v>0</v>
      </c>
      <c r="AN115" s="576">
        <f t="shared" si="83"/>
        <v>0</v>
      </c>
      <c r="AO115" s="576">
        <f t="shared" si="71"/>
        <v>0</v>
      </c>
      <c r="AP115" s="576">
        <f t="shared" si="72"/>
        <v>0</v>
      </c>
      <c r="AQ115" s="576">
        <f t="shared" si="66"/>
        <v>0</v>
      </c>
      <c r="AR115" s="578">
        <f t="shared" si="84"/>
        <v>0</v>
      </c>
      <c r="AS115" s="579"/>
      <c r="AT115" s="579"/>
    </row>
    <row r="116" spans="1:46" s="563" customFormat="1" ht="13.9" customHeight="1" x14ac:dyDescent="0.25">
      <c r="A116" s="582"/>
      <c r="B116" s="564">
        <v>1302</v>
      </c>
      <c r="C116" s="565" t="s">
        <v>1362</v>
      </c>
      <c r="D116" s="565" t="s">
        <v>913</v>
      </c>
      <c r="E116" s="564" t="s">
        <v>1425</v>
      </c>
      <c r="F116" s="581" t="s">
        <v>1426</v>
      </c>
      <c r="G116" s="566">
        <v>45991</v>
      </c>
      <c r="H116" s="565" t="s">
        <v>374</v>
      </c>
      <c r="I116" s="582">
        <v>744000</v>
      </c>
      <c r="J116" s="582">
        <v>52100</v>
      </c>
      <c r="K116" s="567"/>
      <c r="L116" s="568"/>
      <c r="M116" s="569"/>
      <c r="N116" s="900"/>
      <c r="O116" s="900"/>
      <c r="P116" s="900"/>
      <c r="Q116" s="900">
        <v>0</v>
      </c>
      <c r="R116" s="900">
        <v>0</v>
      </c>
      <c r="S116" s="900">
        <v>3000</v>
      </c>
      <c r="T116" s="900"/>
      <c r="U116" s="569"/>
      <c r="V116" s="570">
        <f t="shared" si="73"/>
        <v>3000</v>
      </c>
      <c r="W116" s="571">
        <f t="shared" si="74"/>
        <v>5.7581573896353169E-2</v>
      </c>
      <c r="X116" s="570">
        <f t="shared" si="67"/>
        <v>-49100</v>
      </c>
      <c r="Y116" s="571">
        <f t="shared" si="75"/>
        <v>-0.94241842610364679</v>
      </c>
      <c r="Z116" s="572">
        <f t="shared" si="76"/>
        <v>741000</v>
      </c>
      <c r="AA116" s="573">
        <f t="shared" si="77"/>
        <v>0.99596774193548387</v>
      </c>
      <c r="AB116" s="572">
        <f t="shared" si="78"/>
        <v>52100</v>
      </c>
      <c r="AC116" s="574" t="str">
        <f t="shared" si="79"/>
        <v>Vendido</v>
      </c>
      <c r="AD116" s="574" t="str">
        <f t="shared" si="80"/>
        <v>Cliente al día</v>
      </c>
      <c r="AE116" s="575"/>
      <c r="AF116" s="575">
        <f t="shared" si="68"/>
        <v>0</v>
      </c>
      <c r="AG116" s="575">
        <f t="shared" si="69"/>
        <v>0</v>
      </c>
      <c r="AH116" s="568"/>
      <c r="AI116" s="568"/>
      <c r="AJ116" s="574">
        <f t="shared" si="81"/>
        <v>0</v>
      </c>
      <c r="AK116" s="692">
        <f t="shared" si="64"/>
        <v>1</v>
      </c>
      <c r="AL116" s="577">
        <f t="shared" si="70"/>
        <v>0</v>
      </c>
      <c r="AM116" s="576">
        <f t="shared" si="82"/>
        <v>0</v>
      </c>
      <c r="AN116" s="576">
        <f t="shared" si="83"/>
        <v>0</v>
      </c>
      <c r="AO116" s="576">
        <f t="shared" si="71"/>
        <v>3000</v>
      </c>
      <c r="AP116" s="576">
        <f t="shared" si="72"/>
        <v>3000</v>
      </c>
      <c r="AQ116" s="576">
        <f t="shared" si="66"/>
        <v>0</v>
      </c>
      <c r="AR116" s="578" t="e">
        <f t="shared" si="84"/>
        <v>#DIV/0!</v>
      </c>
      <c r="AS116" s="579"/>
      <c r="AT116" s="579"/>
    </row>
    <row r="117" spans="1:46" s="563" customFormat="1" ht="13.9" customHeight="1" x14ac:dyDescent="0.25">
      <c r="A117" s="582"/>
      <c r="B117" s="564">
        <v>1303</v>
      </c>
      <c r="C117" s="565" t="s">
        <v>1362</v>
      </c>
      <c r="D117" s="565" t="s">
        <v>913</v>
      </c>
      <c r="E117" s="564"/>
      <c r="F117" s="581"/>
      <c r="G117" s="566"/>
      <c r="H117" s="565" t="s">
        <v>374</v>
      </c>
      <c r="I117" s="582">
        <v>958800</v>
      </c>
      <c r="J117" s="582">
        <v>67116</v>
      </c>
      <c r="K117" s="567"/>
      <c r="L117" s="568"/>
      <c r="M117" s="569"/>
      <c r="N117" s="569"/>
      <c r="O117" s="569"/>
      <c r="P117" s="569"/>
      <c r="Q117" s="569">
        <v>0</v>
      </c>
      <c r="R117" s="569">
        <v>0</v>
      </c>
      <c r="S117" s="569">
        <v>0</v>
      </c>
      <c r="T117" s="569"/>
      <c r="U117" s="569"/>
      <c r="V117" s="570">
        <f t="shared" si="73"/>
        <v>0</v>
      </c>
      <c r="W117" s="571">
        <f t="shared" si="74"/>
        <v>0</v>
      </c>
      <c r="X117" s="570">
        <f t="shared" si="67"/>
        <v>0</v>
      </c>
      <c r="Y117" s="571">
        <f t="shared" si="75"/>
        <v>0</v>
      </c>
      <c r="Z117" s="572">
        <f t="shared" si="76"/>
        <v>958800</v>
      </c>
      <c r="AA117" s="573">
        <f t="shared" si="77"/>
        <v>1</v>
      </c>
      <c r="AB117" s="572">
        <f t="shared" si="78"/>
        <v>0</v>
      </c>
      <c r="AC117" s="574" t="str">
        <f t="shared" si="79"/>
        <v>Apartamento Disponible</v>
      </c>
      <c r="AD117" s="574" t="str">
        <f t="shared" si="80"/>
        <v>Disponible</v>
      </c>
      <c r="AE117" s="575"/>
      <c r="AF117" s="575">
        <f t="shared" si="68"/>
        <v>0</v>
      </c>
      <c r="AG117" s="575">
        <f t="shared" si="69"/>
        <v>0</v>
      </c>
      <c r="AH117" s="568"/>
      <c r="AI117" s="568"/>
      <c r="AJ117" s="574">
        <f t="shared" si="81"/>
        <v>0</v>
      </c>
      <c r="AK117" s="692">
        <f t="shared" si="64"/>
        <v>0</v>
      </c>
      <c r="AL117" s="577">
        <f t="shared" si="70"/>
        <v>0</v>
      </c>
      <c r="AM117" s="576">
        <f t="shared" si="82"/>
        <v>0</v>
      </c>
      <c r="AN117" s="576">
        <f t="shared" si="83"/>
        <v>0</v>
      </c>
      <c r="AO117" s="576">
        <f t="shared" si="71"/>
        <v>0</v>
      </c>
      <c r="AP117" s="576">
        <f t="shared" si="72"/>
        <v>0</v>
      </c>
      <c r="AQ117" s="576">
        <f t="shared" si="66"/>
        <v>0</v>
      </c>
      <c r="AR117" s="578">
        <f t="shared" si="84"/>
        <v>0</v>
      </c>
      <c r="AS117" s="579"/>
      <c r="AT117" s="579"/>
    </row>
    <row r="118" spans="1:46" s="563" customFormat="1" ht="13.9" customHeight="1" x14ac:dyDescent="0.25">
      <c r="A118" s="582"/>
      <c r="B118" s="564">
        <v>1304</v>
      </c>
      <c r="C118" s="565" t="s">
        <v>1361</v>
      </c>
      <c r="D118" s="565" t="s">
        <v>913</v>
      </c>
      <c r="E118" s="564"/>
      <c r="F118" s="581"/>
      <c r="G118" s="566"/>
      <c r="H118" s="565" t="s">
        <v>374</v>
      </c>
      <c r="I118" s="582">
        <v>678800</v>
      </c>
      <c r="J118" s="582">
        <v>47516.000000000007</v>
      </c>
      <c r="K118" s="567"/>
      <c r="L118" s="568"/>
      <c r="M118" s="569"/>
      <c r="N118" s="569"/>
      <c r="O118" s="569"/>
      <c r="P118" s="569"/>
      <c r="Q118" s="569">
        <v>0</v>
      </c>
      <c r="R118" s="569">
        <v>0</v>
      </c>
      <c r="S118" s="569">
        <v>0</v>
      </c>
      <c r="T118" s="569"/>
      <c r="U118" s="569"/>
      <c r="V118" s="570">
        <f t="shared" si="73"/>
        <v>0</v>
      </c>
      <c r="W118" s="571">
        <f t="shared" si="74"/>
        <v>0</v>
      </c>
      <c r="X118" s="570">
        <f t="shared" si="67"/>
        <v>0</v>
      </c>
      <c r="Y118" s="571">
        <f t="shared" si="75"/>
        <v>0</v>
      </c>
      <c r="Z118" s="572">
        <f t="shared" si="76"/>
        <v>678800</v>
      </c>
      <c r="AA118" s="573">
        <f t="shared" si="77"/>
        <v>1</v>
      </c>
      <c r="AB118" s="572">
        <f t="shared" si="78"/>
        <v>0</v>
      </c>
      <c r="AC118" s="574" t="str">
        <f t="shared" si="79"/>
        <v>Apartamento Disponible</v>
      </c>
      <c r="AD118" s="574" t="str">
        <f t="shared" si="80"/>
        <v>Disponible</v>
      </c>
      <c r="AE118" s="575"/>
      <c r="AF118" s="575">
        <f t="shared" si="68"/>
        <v>0</v>
      </c>
      <c r="AG118" s="575">
        <f t="shared" si="69"/>
        <v>0</v>
      </c>
      <c r="AH118" s="568"/>
      <c r="AI118" s="568"/>
      <c r="AJ118" s="574">
        <f t="shared" si="81"/>
        <v>0</v>
      </c>
      <c r="AK118" s="692">
        <f t="shared" si="64"/>
        <v>0</v>
      </c>
      <c r="AL118" s="577">
        <f t="shared" si="70"/>
        <v>0</v>
      </c>
      <c r="AM118" s="576">
        <f t="shared" si="82"/>
        <v>0</v>
      </c>
      <c r="AN118" s="576">
        <f t="shared" si="83"/>
        <v>0</v>
      </c>
      <c r="AO118" s="576">
        <f t="shared" si="71"/>
        <v>0</v>
      </c>
      <c r="AP118" s="576">
        <f t="shared" si="72"/>
        <v>0</v>
      </c>
      <c r="AQ118" s="576">
        <f t="shared" si="66"/>
        <v>0</v>
      </c>
      <c r="AR118" s="578">
        <f t="shared" si="84"/>
        <v>0</v>
      </c>
      <c r="AS118" s="579"/>
      <c r="AT118" s="579"/>
    </row>
    <row r="119" spans="1:46" s="563" customFormat="1" ht="13.9" customHeight="1" x14ac:dyDescent="0.25">
      <c r="A119" s="582"/>
      <c r="B119" s="564">
        <v>1305</v>
      </c>
      <c r="C119" s="565" t="s">
        <v>1361</v>
      </c>
      <c r="D119" s="565" t="s">
        <v>913</v>
      </c>
      <c r="E119" s="564"/>
      <c r="F119" s="581"/>
      <c r="G119" s="566"/>
      <c r="H119" s="565" t="s">
        <v>374</v>
      </c>
      <c r="I119" s="582">
        <v>678800</v>
      </c>
      <c r="J119" s="582">
        <v>47516.000000000007</v>
      </c>
      <c r="K119" s="567"/>
      <c r="L119" s="568"/>
      <c r="M119" s="569"/>
      <c r="N119" s="569"/>
      <c r="O119" s="569"/>
      <c r="P119" s="569"/>
      <c r="Q119" s="569">
        <v>0</v>
      </c>
      <c r="R119" s="569">
        <v>0</v>
      </c>
      <c r="S119" s="569">
        <v>0</v>
      </c>
      <c r="T119" s="569"/>
      <c r="U119" s="569"/>
      <c r="V119" s="570">
        <f t="shared" si="73"/>
        <v>0</v>
      </c>
      <c r="W119" s="571">
        <f t="shared" si="74"/>
        <v>0</v>
      </c>
      <c r="X119" s="570">
        <f t="shared" si="67"/>
        <v>0</v>
      </c>
      <c r="Y119" s="571">
        <f t="shared" si="75"/>
        <v>0</v>
      </c>
      <c r="Z119" s="572">
        <f t="shared" si="76"/>
        <v>678800</v>
      </c>
      <c r="AA119" s="573">
        <f t="shared" si="77"/>
        <v>1</v>
      </c>
      <c r="AB119" s="572">
        <f t="shared" si="78"/>
        <v>0</v>
      </c>
      <c r="AC119" s="574" t="str">
        <f t="shared" si="79"/>
        <v>Apartamento Disponible</v>
      </c>
      <c r="AD119" s="574" t="str">
        <f t="shared" si="80"/>
        <v>Disponible</v>
      </c>
      <c r="AE119" s="575"/>
      <c r="AF119" s="575">
        <f t="shared" si="68"/>
        <v>0</v>
      </c>
      <c r="AG119" s="575">
        <f t="shared" si="69"/>
        <v>0</v>
      </c>
      <c r="AH119" s="568"/>
      <c r="AI119" s="568"/>
      <c r="AJ119" s="574">
        <f t="shared" si="81"/>
        <v>0</v>
      </c>
      <c r="AK119" s="692">
        <f t="shared" si="64"/>
        <v>0</v>
      </c>
      <c r="AL119" s="577">
        <f t="shared" si="70"/>
        <v>0</v>
      </c>
      <c r="AM119" s="576">
        <f t="shared" si="82"/>
        <v>0</v>
      </c>
      <c r="AN119" s="576">
        <f t="shared" si="83"/>
        <v>0</v>
      </c>
      <c r="AO119" s="576">
        <f t="shared" si="71"/>
        <v>0</v>
      </c>
      <c r="AP119" s="576">
        <f t="shared" si="72"/>
        <v>0</v>
      </c>
      <c r="AQ119" s="576">
        <f t="shared" si="66"/>
        <v>0</v>
      </c>
      <c r="AR119" s="578">
        <f t="shared" si="84"/>
        <v>0</v>
      </c>
      <c r="AS119" s="579"/>
      <c r="AT119" s="579"/>
    </row>
    <row r="120" spans="1:46" s="563" customFormat="1" ht="13.9" customHeight="1" x14ac:dyDescent="0.25">
      <c r="A120" s="582"/>
      <c r="B120" s="564">
        <v>1306</v>
      </c>
      <c r="C120" s="565" t="s">
        <v>1365</v>
      </c>
      <c r="D120" s="565" t="s">
        <v>913</v>
      </c>
      <c r="E120" s="564"/>
      <c r="F120" s="581"/>
      <c r="G120" s="566"/>
      <c r="H120" s="565" t="s">
        <v>374</v>
      </c>
      <c r="I120" s="582">
        <v>825400</v>
      </c>
      <c r="J120" s="582">
        <v>57778.000000000007</v>
      </c>
      <c r="K120" s="567"/>
      <c r="L120" s="568"/>
      <c r="M120" s="569"/>
      <c r="N120" s="569"/>
      <c r="O120" s="569"/>
      <c r="P120" s="569"/>
      <c r="Q120" s="569">
        <v>0</v>
      </c>
      <c r="R120" s="569">
        <v>0</v>
      </c>
      <c r="S120" s="569">
        <v>0</v>
      </c>
      <c r="T120" s="569"/>
      <c r="U120" s="569"/>
      <c r="V120" s="570">
        <f t="shared" si="73"/>
        <v>0</v>
      </c>
      <c r="W120" s="571">
        <f t="shared" si="74"/>
        <v>0</v>
      </c>
      <c r="X120" s="570">
        <f t="shared" si="67"/>
        <v>0</v>
      </c>
      <c r="Y120" s="571">
        <f t="shared" si="75"/>
        <v>0</v>
      </c>
      <c r="Z120" s="572">
        <f t="shared" si="76"/>
        <v>825400</v>
      </c>
      <c r="AA120" s="573">
        <f t="shared" si="77"/>
        <v>1</v>
      </c>
      <c r="AB120" s="572">
        <f t="shared" si="78"/>
        <v>0</v>
      </c>
      <c r="AC120" s="574" t="str">
        <f t="shared" si="79"/>
        <v>Apartamento Disponible</v>
      </c>
      <c r="AD120" s="574" t="str">
        <f t="shared" si="80"/>
        <v>Disponible</v>
      </c>
      <c r="AE120" s="575"/>
      <c r="AF120" s="575">
        <f t="shared" si="68"/>
        <v>0</v>
      </c>
      <c r="AG120" s="575">
        <f t="shared" si="69"/>
        <v>0</v>
      </c>
      <c r="AH120" s="568"/>
      <c r="AI120" s="568"/>
      <c r="AJ120" s="574">
        <f t="shared" si="81"/>
        <v>0</v>
      </c>
      <c r="AK120" s="692">
        <f t="shared" si="64"/>
        <v>0</v>
      </c>
      <c r="AL120" s="577">
        <f t="shared" si="70"/>
        <v>0</v>
      </c>
      <c r="AM120" s="576">
        <f t="shared" si="82"/>
        <v>0</v>
      </c>
      <c r="AN120" s="576">
        <f t="shared" si="83"/>
        <v>0</v>
      </c>
      <c r="AO120" s="576">
        <f t="shared" si="71"/>
        <v>0</v>
      </c>
      <c r="AP120" s="576">
        <f t="shared" si="72"/>
        <v>0</v>
      </c>
      <c r="AQ120" s="576">
        <f t="shared" si="66"/>
        <v>0</v>
      </c>
      <c r="AR120" s="578">
        <f t="shared" si="84"/>
        <v>0</v>
      </c>
      <c r="AS120" s="579"/>
      <c r="AT120" s="579"/>
    </row>
    <row r="121" spans="1:46" s="563" customFormat="1" ht="13.9" customHeight="1" x14ac:dyDescent="0.25">
      <c r="A121" s="582"/>
      <c r="B121" s="564">
        <v>1307</v>
      </c>
      <c r="C121" s="565" t="s">
        <v>1362</v>
      </c>
      <c r="D121" s="565" t="s">
        <v>913</v>
      </c>
      <c r="E121" s="564"/>
      <c r="F121" s="581"/>
      <c r="G121" s="566"/>
      <c r="H121" s="565" t="s">
        <v>374</v>
      </c>
      <c r="I121" s="582">
        <v>958800</v>
      </c>
      <c r="J121" s="582">
        <v>67116</v>
      </c>
      <c r="K121" s="567"/>
      <c r="L121" s="568"/>
      <c r="M121" s="569"/>
      <c r="N121" s="569"/>
      <c r="O121" s="569"/>
      <c r="P121" s="569"/>
      <c r="Q121" s="569">
        <v>0</v>
      </c>
      <c r="R121" s="569">
        <v>0</v>
      </c>
      <c r="S121" s="569">
        <v>0</v>
      </c>
      <c r="T121" s="569"/>
      <c r="U121" s="569"/>
      <c r="V121" s="570">
        <f t="shared" si="73"/>
        <v>0</v>
      </c>
      <c r="W121" s="571">
        <f t="shared" si="74"/>
        <v>0</v>
      </c>
      <c r="X121" s="570">
        <f t="shared" si="67"/>
        <v>0</v>
      </c>
      <c r="Y121" s="571">
        <f t="shared" si="75"/>
        <v>0</v>
      </c>
      <c r="Z121" s="572">
        <f t="shared" si="76"/>
        <v>958800</v>
      </c>
      <c r="AA121" s="573">
        <f t="shared" si="77"/>
        <v>1</v>
      </c>
      <c r="AB121" s="572">
        <f t="shared" si="78"/>
        <v>0</v>
      </c>
      <c r="AC121" s="574" t="str">
        <f t="shared" si="79"/>
        <v>Apartamento Disponible</v>
      </c>
      <c r="AD121" s="574" t="str">
        <f t="shared" si="80"/>
        <v>Disponible</v>
      </c>
      <c r="AE121" s="575"/>
      <c r="AF121" s="575">
        <f t="shared" si="68"/>
        <v>0</v>
      </c>
      <c r="AG121" s="575">
        <f t="shared" si="69"/>
        <v>0</v>
      </c>
      <c r="AH121" s="568"/>
      <c r="AI121" s="568"/>
      <c r="AJ121" s="574">
        <f t="shared" si="81"/>
        <v>0</v>
      </c>
      <c r="AK121" s="692">
        <f t="shared" si="64"/>
        <v>0</v>
      </c>
      <c r="AL121" s="577">
        <f t="shared" si="70"/>
        <v>0</v>
      </c>
      <c r="AM121" s="576">
        <f t="shared" si="82"/>
        <v>0</v>
      </c>
      <c r="AN121" s="576">
        <f t="shared" si="83"/>
        <v>0</v>
      </c>
      <c r="AO121" s="576">
        <f t="shared" si="71"/>
        <v>0</v>
      </c>
      <c r="AP121" s="576">
        <f t="shared" si="72"/>
        <v>0</v>
      </c>
      <c r="AQ121" s="576">
        <f t="shared" si="66"/>
        <v>0</v>
      </c>
      <c r="AR121" s="578">
        <f t="shared" si="84"/>
        <v>0</v>
      </c>
      <c r="AS121" s="579"/>
      <c r="AT121" s="579"/>
    </row>
    <row r="122" spans="1:46" s="563" customFormat="1" ht="13.9" customHeight="1" x14ac:dyDescent="0.25">
      <c r="A122" s="582"/>
      <c r="B122" s="564">
        <v>1308</v>
      </c>
      <c r="C122" s="565" t="s">
        <v>1362</v>
      </c>
      <c r="D122" s="565" t="s">
        <v>913</v>
      </c>
      <c r="E122" s="564"/>
      <c r="F122" s="581"/>
      <c r="G122" s="566"/>
      <c r="H122" s="565" t="s">
        <v>374</v>
      </c>
      <c r="I122" s="582">
        <v>958800</v>
      </c>
      <c r="J122" s="582">
        <v>67116</v>
      </c>
      <c r="K122" s="567"/>
      <c r="L122" s="568"/>
      <c r="M122" s="569"/>
      <c r="N122" s="569"/>
      <c r="O122" s="569"/>
      <c r="P122" s="569"/>
      <c r="Q122" s="569">
        <v>0</v>
      </c>
      <c r="R122" s="569">
        <v>0</v>
      </c>
      <c r="S122" s="569">
        <v>0</v>
      </c>
      <c r="T122" s="569"/>
      <c r="U122" s="569"/>
      <c r="V122" s="570">
        <f t="shared" si="73"/>
        <v>0</v>
      </c>
      <c r="W122" s="571">
        <f t="shared" si="74"/>
        <v>0</v>
      </c>
      <c r="X122" s="570">
        <f t="shared" si="67"/>
        <v>0</v>
      </c>
      <c r="Y122" s="571">
        <f t="shared" si="75"/>
        <v>0</v>
      </c>
      <c r="Z122" s="572">
        <f t="shared" si="76"/>
        <v>958800</v>
      </c>
      <c r="AA122" s="573">
        <f t="shared" si="77"/>
        <v>1</v>
      </c>
      <c r="AB122" s="572">
        <f t="shared" si="78"/>
        <v>0</v>
      </c>
      <c r="AC122" s="574" t="str">
        <f t="shared" si="79"/>
        <v>Apartamento Disponible</v>
      </c>
      <c r="AD122" s="574" t="str">
        <f t="shared" si="80"/>
        <v>Disponible</v>
      </c>
      <c r="AE122" s="575"/>
      <c r="AF122" s="575">
        <f t="shared" si="68"/>
        <v>0</v>
      </c>
      <c r="AG122" s="575">
        <f t="shared" si="69"/>
        <v>0</v>
      </c>
      <c r="AH122" s="568"/>
      <c r="AI122" s="568"/>
      <c r="AJ122" s="574">
        <f t="shared" si="81"/>
        <v>0</v>
      </c>
      <c r="AK122" s="692">
        <f t="shared" si="64"/>
        <v>0</v>
      </c>
      <c r="AL122" s="577">
        <f t="shared" si="70"/>
        <v>0</v>
      </c>
      <c r="AM122" s="576">
        <f t="shared" si="82"/>
        <v>0</v>
      </c>
      <c r="AN122" s="576">
        <f t="shared" si="83"/>
        <v>0</v>
      </c>
      <c r="AO122" s="576">
        <f t="shared" si="71"/>
        <v>0</v>
      </c>
      <c r="AP122" s="576">
        <f t="shared" si="72"/>
        <v>0</v>
      </c>
      <c r="AQ122" s="576">
        <f t="shared" si="66"/>
        <v>0</v>
      </c>
      <c r="AR122" s="578">
        <f t="shared" si="84"/>
        <v>0</v>
      </c>
      <c r="AS122" s="579"/>
      <c r="AT122" s="579"/>
    </row>
    <row r="123" spans="1:46" s="563" customFormat="1" ht="13.9" customHeight="1" x14ac:dyDescent="0.25">
      <c r="B123" s="564">
        <v>1309</v>
      </c>
      <c r="C123" s="565" t="s">
        <v>1365</v>
      </c>
      <c r="D123" s="565" t="s">
        <v>913</v>
      </c>
      <c r="E123" s="564"/>
      <c r="F123" s="581"/>
      <c r="G123" s="566"/>
      <c r="H123" s="565" t="s">
        <v>374</v>
      </c>
      <c r="I123" s="582">
        <v>825400</v>
      </c>
      <c r="J123" s="582">
        <v>57778.000000000007</v>
      </c>
      <c r="K123" s="567"/>
      <c r="L123" s="568"/>
      <c r="M123" s="569"/>
      <c r="N123" s="569"/>
      <c r="O123" s="569"/>
      <c r="P123" s="569"/>
      <c r="Q123" s="569">
        <v>0</v>
      </c>
      <c r="R123" s="569">
        <v>0</v>
      </c>
      <c r="S123" s="569">
        <v>0</v>
      </c>
      <c r="T123" s="569"/>
      <c r="U123" s="569"/>
      <c r="V123" s="570">
        <f t="shared" si="73"/>
        <v>0</v>
      </c>
      <c r="W123" s="571">
        <f t="shared" si="74"/>
        <v>0</v>
      </c>
      <c r="X123" s="570">
        <f t="shared" si="67"/>
        <v>0</v>
      </c>
      <c r="Y123" s="571">
        <f t="shared" si="75"/>
        <v>0</v>
      </c>
      <c r="Z123" s="572">
        <f t="shared" si="76"/>
        <v>825400</v>
      </c>
      <c r="AA123" s="573">
        <f t="shared" si="77"/>
        <v>1</v>
      </c>
      <c r="AB123" s="572">
        <f t="shared" si="78"/>
        <v>0</v>
      </c>
      <c r="AC123" s="574" t="str">
        <f t="shared" si="79"/>
        <v>Apartamento Disponible</v>
      </c>
      <c r="AD123" s="574" t="str">
        <f t="shared" si="80"/>
        <v>Disponible</v>
      </c>
      <c r="AE123" s="575"/>
      <c r="AF123" s="575">
        <f t="shared" si="68"/>
        <v>0</v>
      </c>
      <c r="AG123" s="575">
        <f t="shared" si="69"/>
        <v>0</v>
      </c>
      <c r="AH123" s="568"/>
      <c r="AI123" s="568"/>
      <c r="AJ123" s="574">
        <f t="shared" si="81"/>
        <v>0</v>
      </c>
      <c r="AK123" s="692">
        <f t="shared" si="64"/>
        <v>0</v>
      </c>
      <c r="AL123" s="577">
        <f t="shared" si="70"/>
        <v>0</v>
      </c>
      <c r="AM123" s="576">
        <f t="shared" si="82"/>
        <v>0</v>
      </c>
      <c r="AN123" s="576">
        <f t="shared" si="83"/>
        <v>0</v>
      </c>
      <c r="AO123" s="576">
        <f t="shared" si="71"/>
        <v>0</v>
      </c>
      <c r="AP123" s="576">
        <f t="shared" si="72"/>
        <v>0</v>
      </c>
      <c r="AQ123" s="576">
        <f t="shared" si="66"/>
        <v>0</v>
      </c>
      <c r="AR123" s="578">
        <f t="shared" si="84"/>
        <v>0</v>
      </c>
      <c r="AS123" s="579"/>
      <c r="AT123" s="579"/>
    </row>
    <row r="124" spans="1:46" ht="15.75" thickBot="1" x14ac:dyDescent="0.3">
      <c r="I124" s="598">
        <f t="shared" ref="I124:V124" si="85">SUM(I7:I123)</f>
        <v>90714248</v>
      </c>
      <c r="J124" s="598">
        <f t="shared" si="85"/>
        <v>6384697</v>
      </c>
      <c r="K124" s="599">
        <f t="shared" si="85"/>
        <v>0</v>
      </c>
      <c r="L124" s="599">
        <f t="shared" ref="L124:S124" si="86">SUM(L7:L123)</f>
        <v>5000</v>
      </c>
      <c r="M124" s="599">
        <f t="shared" si="86"/>
        <v>14174.07</v>
      </c>
      <c r="N124" s="599">
        <f t="shared" si="86"/>
        <v>17184.93</v>
      </c>
      <c r="O124" s="599">
        <f t="shared" si="86"/>
        <v>53271.38</v>
      </c>
      <c r="P124" s="599">
        <f>SUM(P7:P123)</f>
        <v>75773.209999999992</v>
      </c>
      <c r="Q124" s="599">
        <f>SUM(Q7:Q123)</f>
        <v>53920.32</v>
      </c>
      <c r="R124" s="599">
        <f>SUM(R7:R123)</f>
        <v>72134.37999999999</v>
      </c>
      <c r="S124" s="599">
        <f t="shared" si="86"/>
        <v>84838.88</v>
      </c>
      <c r="T124" s="599">
        <f>SUM(T7:T123)</f>
        <v>93107.93</v>
      </c>
      <c r="U124" s="599">
        <f>SUM(U7:U123)</f>
        <v>76219.170000000013</v>
      </c>
      <c r="V124" s="599">
        <f t="shared" si="85"/>
        <v>545624.27</v>
      </c>
      <c r="W124" s="600">
        <f>+V124/V127</f>
        <v>0.91750035926545526</v>
      </c>
      <c r="AL124" s="601">
        <f t="shared" ref="AL124:AQ124" si="87">SUM(AL7:AL123)</f>
        <v>163461.59</v>
      </c>
      <c r="AM124" s="601">
        <f t="shared" si="87"/>
        <v>88409.919999999984</v>
      </c>
      <c r="AN124" s="601">
        <f>SUM(AN7:AN123)</f>
        <v>138616.52000000002</v>
      </c>
      <c r="AO124" s="602">
        <f t="shared" si="87"/>
        <v>318597.83</v>
      </c>
      <c r="AP124" s="601">
        <f t="shared" si="87"/>
        <v>388329.36</v>
      </c>
      <c r="AQ124" s="603">
        <f t="shared" si="87"/>
        <v>6171.6799999999994</v>
      </c>
      <c r="AR124" s="315"/>
      <c r="AS124" s="315"/>
      <c r="AT124" s="315"/>
    </row>
    <row r="125" spans="1:46" ht="15.75" thickBot="1" x14ac:dyDescent="0.3">
      <c r="G125" s="627" t="s">
        <v>708</v>
      </c>
      <c r="I125" s="323"/>
      <c r="K125" s="604">
        <f>+K141</f>
        <v>0</v>
      </c>
      <c r="L125" s="604">
        <f>+L141</f>
        <v>0</v>
      </c>
      <c r="M125" s="604">
        <f t="shared" ref="M125:U125" si="88">+M141</f>
        <v>7500</v>
      </c>
      <c r="N125" s="604">
        <f t="shared" si="88"/>
        <v>0</v>
      </c>
      <c r="O125" s="604">
        <f t="shared" si="88"/>
        <v>0</v>
      </c>
      <c r="P125" s="604">
        <f t="shared" si="88"/>
        <v>0</v>
      </c>
      <c r="Q125" s="604">
        <f t="shared" si="88"/>
        <v>0</v>
      </c>
      <c r="R125" s="604">
        <f t="shared" ref="R125" si="89">+R141</f>
        <v>0</v>
      </c>
      <c r="S125" s="604">
        <f t="shared" si="88"/>
        <v>0</v>
      </c>
      <c r="T125" s="604">
        <f t="shared" si="88"/>
        <v>500</v>
      </c>
      <c r="U125" s="604">
        <f t="shared" si="88"/>
        <v>0</v>
      </c>
      <c r="V125" s="605">
        <f>SUM(K125:U125)</f>
        <v>8000</v>
      </c>
      <c r="AQ125" s="606">
        <f>SUMIF(AS7:AS123,"F&amp;F",AQ7:AQ123)</f>
        <v>0</v>
      </c>
      <c r="AR125" s="323" t="s">
        <v>709</v>
      </c>
      <c r="AS125" s="315"/>
      <c r="AT125" s="315"/>
    </row>
    <row r="126" spans="1:46" x14ac:dyDescent="0.25">
      <c r="G126" s="628" t="s">
        <v>710</v>
      </c>
      <c r="I126" s="315"/>
      <c r="K126" s="607">
        <f t="shared" ref="K126:U126" si="90">SUM(K124:K125)</f>
        <v>0</v>
      </c>
      <c r="L126" s="607">
        <f t="shared" si="90"/>
        <v>5000</v>
      </c>
      <c r="M126" s="607">
        <f t="shared" si="90"/>
        <v>21674.07</v>
      </c>
      <c r="N126" s="607">
        <f t="shared" si="90"/>
        <v>17184.93</v>
      </c>
      <c r="O126" s="607">
        <f t="shared" si="90"/>
        <v>53271.38</v>
      </c>
      <c r="P126" s="607">
        <f t="shared" si="90"/>
        <v>75773.209999999992</v>
      </c>
      <c r="Q126" s="607">
        <f t="shared" ref="Q126" si="91">SUM(Q124:Q125)</f>
        <v>53920.32</v>
      </c>
      <c r="R126" s="607">
        <f t="shared" ref="R126" si="92">SUM(R124:R125)</f>
        <v>72134.37999999999</v>
      </c>
      <c r="S126" s="607">
        <f t="shared" si="90"/>
        <v>84838.88</v>
      </c>
      <c r="T126" s="607">
        <f t="shared" ref="T126" si="93">SUM(T124:T125)</f>
        <v>93607.93</v>
      </c>
      <c r="U126" s="607">
        <f t="shared" si="90"/>
        <v>76219.170000000013</v>
      </c>
      <c r="V126" s="607">
        <f>SUM(V124:V125)</f>
        <v>553624.27</v>
      </c>
      <c r="AQ126" s="315"/>
      <c r="AR126" s="315"/>
      <c r="AS126" s="315"/>
      <c r="AT126" s="315"/>
    </row>
    <row r="127" spans="1:46" ht="15.75" thickBot="1" x14ac:dyDescent="0.3">
      <c r="G127" s="628" t="s">
        <v>1021</v>
      </c>
      <c r="K127" s="605">
        <f>+'BL PPTO'!AA120</f>
        <v>0</v>
      </c>
      <c r="L127" s="605">
        <f>+'BL PPTO'!AB120</f>
        <v>5000</v>
      </c>
      <c r="M127" s="605">
        <f>+'BL PPTO'!AC120</f>
        <v>17174.07</v>
      </c>
      <c r="N127" s="605">
        <f>+'BL PPTO'!AD120</f>
        <v>18685.150000000001</v>
      </c>
      <c r="O127" s="605">
        <f>+'BL PPTO'!AE120</f>
        <v>54685.15</v>
      </c>
      <c r="P127" s="605">
        <f>+'BL PPTO'!AF120</f>
        <v>60754.179999999986</v>
      </c>
      <c r="Q127" s="605">
        <f>+'BL PPTO'!AG120</f>
        <v>69204.909999999989</v>
      </c>
      <c r="R127" s="605">
        <f>+'BL PPTO'!AH120</f>
        <v>78789.25999999998</v>
      </c>
      <c r="S127" s="605">
        <f>+'BL PPTO'!AI120</f>
        <v>88395.409999999989</v>
      </c>
      <c r="T127" s="605">
        <f>+'BL PPTO'!AJ120</f>
        <v>95325.989999999991</v>
      </c>
      <c r="U127" s="605">
        <f>+'BL PPTO'!AK120</f>
        <v>106671.50000000001</v>
      </c>
      <c r="V127" s="605">
        <f>SUM(K127:U127)</f>
        <v>594685.62</v>
      </c>
      <c r="AQ127" s="607">
        <f>+AQ124-AQ125</f>
        <v>6171.6799999999994</v>
      </c>
      <c r="AR127" s="323" t="s">
        <v>713</v>
      </c>
      <c r="AS127" s="323"/>
      <c r="AT127" s="323"/>
    </row>
    <row r="128" spans="1:46" x14ac:dyDescent="0.25">
      <c r="G128" s="627" t="s">
        <v>714</v>
      </c>
      <c r="K128" s="320">
        <f>+K126-K127</f>
        <v>0</v>
      </c>
      <c r="L128" s="320">
        <f>+L126-L127</f>
        <v>0</v>
      </c>
      <c r="M128" s="320">
        <f>+M126-M127</f>
        <v>4500</v>
      </c>
      <c r="N128" s="320">
        <f>+N126-N127</f>
        <v>-1500.2200000000012</v>
      </c>
      <c r="O128" s="608">
        <f t="shared" ref="O128:U128" si="94">+O124-O125</f>
        <v>53271.38</v>
      </c>
      <c r="P128" s="608">
        <f t="shared" si="94"/>
        <v>75773.209999999992</v>
      </c>
      <c r="Q128" s="608">
        <f t="shared" ref="Q128" si="95">+Q124-Q125</f>
        <v>53920.32</v>
      </c>
      <c r="R128" s="608">
        <f t="shared" ref="R128" si="96">+R124-R125</f>
        <v>72134.37999999999</v>
      </c>
      <c r="S128" s="608">
        <f t="shared" si="94"/>
        <v>84838.88</v>
      </c>
      <c r="T128" s="609">
        <f t="shared" ref="T128" si="97">+T124-T125</f>
        <v>92607.93</v>
      </c>
      <c r="U128" s="609">
        <f t="shared" si="94"/>
        <v>76219.170000000013</v>
      </c>
      <c r="V128" s="320">
        <f>+V124-V127</f>
        <v>-49061.349999999977</v>
      </c>
    </row>
    <row r="130" spans="1:46" x14ac:dyDescent="0.25">
      <c r="H130" s="315"/>
      <c r="I130" s="316"/>
      <c r="J130" s="319"/>
      <c r="K130" s="610">
        <v>1</v>
      </c>
      <c r="L130" s="610">
        <v>1</v>
      </c>
      <c r="M130" s="610">
        <v>1</v>
      </c>
      <c r="N130" s="610">
        <v>1</v>
      </c>
      <c r="O130" s="610">
        <v>1</v>
      </c>
      <c r="P130" s="610">
        <v>1</v>
      </c>
      <c r="Q130" s="610">
        <v>1</v>
      </c>
      <c r="R130" s="610">
        <v>1</v>
      </c>
      <c r="S130" s="610">
        <v>1</v>
      </c>
      <c r="X130" s="901">
        <f>+J109</f>
        <v>47516.000000000007</v>
      </c>
    </row>
    <row r="131" spans="1:46" x14ac:dyDescent="0.25">
      <c r="G131" s="628" t="s">
        <v>716</v>
      </c>
      <c r="I131" s="324"/>
      <c r="J131" s="611"/>
      <c r="K131" s="324" t="e">
        <f t="shared" ref="K131:P131" si="98">(K126*K130)/K127</f>
        <v>#DIV/0!</v>
      </c>
      <c r="L131" s="324">
        <f t="shared" si="98"/>
        <v>1</v>
      </c>
      <c r="M131" s="324">
        <f t="shared" si="98"/>
        <v>1.2620229217651959</v>
      </c>
      <c r="N131" s="793">
        <f t="shared" si="98"/>
        <v>0.91971057229939279</v>
      </c>
      <c r="O131" s="793">
        <f t="shared" si="98"/>
        <v>0.97414709477801553</v>
      </c>
      <c r="P131" s="793">
        <f t="shared" si="98"/>
        <v>1.2472098216122744</v>
      </c>
      <c r="Q131" s="793">
        <f t="shared" ref="Q131:R131" si="99">(Q126*Q130)/Q127</f>
        <v>0.77914009280555396</v>
      </c>
      <c r="R131" s="793">
        <f t="shared" si="99"/>
        <v>0.91553569610883523</v>
      </c>
      <c r="S131" s="793">
        <f t="shared" ref="S131:U131" si="100">(S126*S130)/S127</f>
        <v>0.95976567109084077</v>
      </c>
      <c r="T131" s="793">
        <f t="shared" si="100"/>
        <v>0</v>
      </c>
      <c r="U131" s="793">
        <f t="shared" si="100"/>
        <v>0</v>
      </c>
      <c r="X131" s="901">
        <f>+O109</f>
        <v>3000</v>
      </c>
    </row>
    <row r="132" spans="1:46" ht="15" customHeight="1" x14ac:dyDescent="0.25">
      <c r="X132" s="902">
        <f>+X130-X131</f>
        <v>44516.000000000007</v>
      </c>
    </row>
    <row r="133" spans="1:46" x14ac:dyDescent="0.25">
      <c r="B133" s="612" t="s">
        <v>719</v>
      </c>
      <c r="C133" s="315"/>
      <c r="D133" s="315"/>
      <c r="E133" s="315"/>
      <c r="F133" s="315"/>
      <c r="G133" s="318"/>
      <c r="H133" s="315"/>
      <c r="I133" s="316"/>
      <c r="J133" s="319"/>
    </row>
    <row r="134" spans="1:46" x14ac:dyDescent="0.25">
      <c r="B134" s="322" t="s">
        <v>721</v>
      </c>
      <c r="C134" s="322" t="s">
        <v>722</v>
      </c>
      <c r="D134" s="322" t="s">
        <v>1023</v>
      </c>
      <c r="E134" s="322" t="s">
        <v>723</v>
      </c>
      <c r="F134" s="322" t="s">
        <v>724</v>
      </c>
      <c r="G134" s="322" t="s">
        <v>725</v>
      </c>
      <c r="H134" s="322" t="s">
        <v>726</v>
      </c>
      <c r="I134" s="322" t="s">
        <v>727</v>
      </c>
      <c r="J134" s="322" t="s">
        <v>728</v>
      </c>
      <c r="K134" s="613"/>
    </row>
    <row r="135" spans="1:46" x14ac:dyDescent="0.25">
      <c r="A135" s="614"/>
      <c r="B135" s="585">
        <v>704</v>
      </c>
      <c r="C135" s="585" t="s">
        <v>1361</v>
      </c>
      <c r="D135" s="585" t="s">
        <v>913</v>
      </c>
      <c r="E135" s="585" t="s">
        <v>1160</v>
      </c>
      <c r="F135" s="586" t="s">
        <v>1427</v>
      </c>
      <c r="G135" s="587">
        <v>45794</v>
      </c>
      <c r="H135" s="585" t="s">
        <v>956</v>
      </c>
      <c r="I135" s="613">
        <v>636400</v>
      </c>
      <c r="J135" s="613">
        <v>44600</v>
      </c>
      <c r="K135" s="613">
        <v>0</v>
      </c>
      <c r="L135" s="613">
        <v>0</v>
      </c>
      <c r="M135" s="613">
        <v>3000</v>
      </c>
      <c r="N135" s="613"/>
      <c r="O135" s="613"/>
      <c r="P135" s="613"/>
      <c r="Q135" s="613"/>
      <c r="R135" s="613"/>
      <c r="S135" s="613"/>
      <c r="T135" s="613"/>
      <c r="U135" s="613"/>
      <c r="V135" s="613">
        <f>SUM(K135:U135)</f>
        <v>3000</v>
      </c>
      <c r="W135" s="613"/>
      <c r="Y135" s="615"/>
      <c r="Z135" s="615"/>
      <c r="AA135" s="615"/>
      <c r="AB135" s="615"/>
      <c r="AC135" s="615"/>
      <c r="AD135" s="615"/>
      <c r="AE135" s="615"/>
      <c r="AF135" s="615"/>
      <c r="AG135" s="615"/>
      <c r="AH135" s="615"/>
      <c r="AI135" s="615"/>
      <c r="AJ135" s="615"/>
      <c r="AK135" s="615"/>
      <c r="AL135" s="615"/>
      <c r="AM135" s="615"/>
      <c r="AN135" s="615"/>
      <c r="AO135" s="615"/>
      <c r="AP135" s="615"/>
      <c r="AQ135" s="615"/>
      <c r="AR135" s="615"/>
      <c r="AS135" s="615" t="s">
        <v>1428</v>
      </c>
      <c r="AT135" s="615"/>
    </row>
    <row r="136" spans="1:46" ht="15" customHeight="1" x14ac:dyDescent="0.25">
      <c r="A136" s="614"/>
      <c r="B136" s="585">
        <v>904</v>
      </c>
      <c r="C136" s="585" t="s">
        <v>1361</v>
      </c>
      <c r="D136" s="585" t="s">
        <v>913</v>
      </c>
      <c r="E136" s="585" t="s">
        <v>1372</v>
      </c>
      <c r="F136" s="586" t="s">
        <v>1429</v>
      </c>
      <c r="G136" s="587">
        <v>45802</v>
      </c>
      <c r="H136" s="585" t="s">
        <v>956</v>
      </c>
      <c r="I136" s="613">
        <v>617038</v>
      </c>
      <c r="J136" s="613">
        <v>43308</v>
      </c>
      <c r="K136" s="613"/>
      <c r="L136" s="613">
        <v>0</v>
      </c>
      <c r="M136" s="613">
        <v>1500</v>
      </c>
      <c r="N136" s="613">
        <v>0</v>
      </c>
      <c r="O136" s="613">
        <v>0</v>
      </c>
      <c r="P136" s="613">
        <v>0</v>
      </c>
      <c r="Q136" s="613">
        <v>0</v>
      </c>
      <c r="R136" s="613">
        <v>0</v>
      </c>
      <c r="S136" s="613">
        <v>0</v>
      </c>
      <c r="T136" s="613">
        <v>0</v>
      </c>
      <c r="U136" s="613">
        <v>0</v>
      </c>
      <c r="V136" s="613">
        <f>SUM(K136:U136)</f>
        <v>1500</v>
      </c>
      <c r="W136" s="613"/>
      <c r="X136" s="613"/>
      <c r="Y136" s="616"/>
      <c r="Z136" s="613"/>
      <c r="AA136" s="617"/>
      <c r="AB136" s="613"/>
      <c r="AC136" s="615"/>
      <c r="AD136" s="615"/>
      <c r="AE136" s="618"/>
      <c r="AF136" s="618"/>
      <c r="AG136" s="618"/>
      <c r="AH136" s="619"/>
      <c r="AI136" s="619"/>
      <c r="AJ136" s="615"/>
      <c r="AK136" s="620"/>
      <c r="AL136" s="620"/>
      <c r="AM136" s="620"/>
      <c r="AN136" s="620"/>
      <c r="AO136" s="620"/>
      <c r="AP136" s="620"/>
      <c r="AQ136" s="620"/>
      <c r="AR136" s="620"/>
      <c r="AS136" s="615" t="s">
        <v>1428</v>
      </c>
      <c r="AT136" s="621"/>
    </row>
    <row r="137" spans="1:46" ht="15" customHeight="1" x14ac:dyDescent="0.25">
      <c r="B137" s="597">
        <v>405</v>
      </c>
      <c r="C137" s="597" t="s">
        <v>1361</v>
      </c>
      <c r="D137" s="597" t="s">
        <v>913</v>
      </c>
      <c r="F137" s="562" t="s">
        <v>1430</v>
      </c>
      <c r="G137" s="899">
        <v>45993</v>
      </c>
      <c r="H137" s="562" t="s">
        <v>956</v>
      </c>
      <c r="I137" s="613">
        <v>622000</v>
      </c>
      <c r="J137" s="613">
        <v>43540.000000000007</v>
      </c>
      <c r="K137" s="613"/>
      <c r="L137" s="613"/>
      <c r="M137" s="613"/>
      <c r="N137" s="613"/>
      <c r="O137" s="613"/>
      <c r="P137" s="613"/>
      <c r="Q137" s="613">
        <v>0</v>
      </c>
      <c r="R137" s="613">
        <v>0</v>
      </c>
      <c r="S137" s="613">
        <v>0</v>
      </c>
      <c r="T137" s="613">
        <v>500</v>
      </c>
      <c r="U137" s="613">
        <v>0</v>
      </c>
      <c r="V137" s="613">
        <f t="shared" ref="V137:V139" si="101">SUM(K137:U137)</f>
        <v>500</v>
      </c>
      <c r="W137" s="613"/>
    </row>
    <row r="138" spans="1:46" ht="15" customHeight="1" x14ac:dyDescent="0.25">
      <c r="B138" s="597">
        <v>709</v>
      </c>
      <c r="C138" s="597" t="s">
        <v>1365</v>
      </c>
      <c r="D138" s="597" t="s">
        <v>913</v>
      </c>
      <c r="E138" s="562" t="s">
        <v>1363</v>
      </c>
      <c r="G138" s="899"/>
      <c r="H138" s="562" t="s">
        <v>374</v>
      </c>
      <c r="I138" s="613">
        <v>813000</v>
      </c>
      <c r="J138" s="613">
        <v>57000</v>
      </c>
      <c r="K138" s="613"/>
      <c r="L138" s="613">
        <v>0</v>
      </c>
      <c r="M138" s="613">
        <v>3000</v>
      </c>
      <c r="N138" s="613">
        <v>0</v>
      </c>
      <c r="O138" s="613">
        <v>0</v>
      </c>
      <c r="P138" s="613">
        <v>0</v>
      </c>
      <c r="Q138" s="613">
        <v>0</v>
      </c>
      <c r="R138" s="613">
        <v>0</v>
      </c>
      <c r="S138" s="613">
        <v>0</v>
      </c>
      <c r="T138" s="613"/>
      <c r="U138" s="613"/>
      <c r="V138" s="613">
        <f t="shared" si="101"/>
        <v>3000</v>
      </c>
      <c r="W138" s="613"/>
    </row>
    <row r="139" spans="1:46" ht="15" customHeight="1" x14ac:dyDescent="0.25">
      <c r="I139" s="613"/>
      <c r="J139" s="613"/>
      <c r="K139" s="613"/>
      <c r="V139" s="613">
        <f t="shared" si="101"/>
        <v>0</v>
      </c>
    </row>
    <row r="141" spans="1:46" ht="15.75" thickBot="1" x14ac:dyDescent="0.3">
      <c r="G141" s="628" t="s">
        <v>764</v>
      </c>
      <c r="I141" s="622"/>
      <c r="J141" s="622"/>
      <c r="K141" s="623">
        <f t="shared" ref="K141:U141" si="102">SUM(K135:K140)</f>
        <v>0</v>
      </c>
      <c r="L141" s="598">
        <f>SUM(L135:L140)</f>
        <v>0</v>
      </c>
      <c r="M141" s="623">
        <f t="shared" si="102"/>
        <v>7500</v>
      </c>
      <c r="N141" s="623">
        <f t="shared" si="102"/>
        <v>0</v>
      </c>
      <c r="O141" s="623">
        <f t="shared" si="102"/>
        <v>0</v>
      </c>
      <c r="P141" s="623">
        <f t="shared" si="102"/>
        <v>0</v>
      </c>
      <c r="Q141" s="623">
        <f t="shared" si="102"/>
        <v>0</v>
      </c>
      <c r="R141" s="623">
        <f t="shared" si="102"/>
        <v>0</v>
      </c>
      <c r="S141" s="623">
        <f t="shared" si="102"/>
        <v>0</v>
      </c>
      <c r="T141" s="623">
        <f t="shared" ref="T141" si="103">SUM(T135:T140)</f>
        <v>500</v>
      </c>
      <c r="U141" s="623">
        <f t="shared" si="102"/>
        <v>0</v>
      </c>
      <c r="V141" s="598">
        <f>SUM(V135:V140)</f>
        <v>8000</v>
      </c>
    </row>
    <row r="149" spans="6:6" ht="15" customHeight="1" x14ac:dyDescent="0.25">
      <c r="F149" s="562" t="s">
        <v>1431</v>
      </c>
    </row>
    <row r="150" spans="6:6" ht="15" customHeight="1" x14ac:dyDescent="0.25">
      <c r="F150" s="562" t="s">
        <v>1432</v>
      </c>
    </row>
    <row r="151" spans="6:6" ht="15" customHeight="1" x14ac:dyDescent="0.25">
      <c r="F151" s="562" t="s">
        <v>1433</v>
      </c>
    </row>
  </sheetData>
  <autoFilter ref="A6:AT128" xr:uid="{8B2095E7-56CF-49D8-88ED-6303D4C0DB96}"/>
  <conditionalFormatting sqref="I135:K139 K134 J135:U136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{7A4889F9-2718-4863-AD76-B6F89F072631}</x14:id>
        </ext>
      </extLst>
    </cfRule>
  </conditionalFormatting>
  <conditionalFormatting sqref="K7:U123">
    <cfRule type="cellIs" dxfId="10" priority="1" operator="lessThan">
      <formula>0.01</formula>
    </cfRule>
  </conditionalFormatting>
  <conditionalFormatting sqref="K128:V128">
    <cfRule type="cellIs" dxfId="9" priority="10" operator="lessThan">
      <formula>0.01</formula>
    </cfRule>
    <cfRule type="cellIs" dxfId="8" priority="11" operator="greaterThan">
      <formula>0.01</formula>
    </cfRule>
  </conditionalFormatting>
  <conditionalFormatting sqref="V7:V123 V135:W136 K137:U138 W137:W138 V137:V139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{1DCFABCE-0D65-47F6-BF17-01A67311819A}</x14:id>
        </ext>
      </extLst>
    </cfRule>
  </conditionalFormatting>
  <conditionalFormatting sqref="X7:X123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{7ADFA955-77CC-4B46-9805-2C7AE800A5CD}</x14:id>
        </ext>
      </extLst>
    </cfRule>
  </conditionalFormatting>
  <conditionalFormatting sqref="X1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{759E7657-7139-4382-A019-B465B34939FA}</x14:id>
        </ext>
      </extLst>
    </cfRule>
  </conditionalFormatting>
  <conditionalFormatting sqref="AD7:AD123">
    <cfRule type="containsText" dxfId="7" priority="14" operator="containsText" text="Cliente al día">
      <formula>NOT(ISERROR(SEARCH("Cliente al día",AD7)))</formula>
    </cfRule>
    <cfRule type="containsText" dxfId="6" priority="15" operator="containsText" text="Superávit de Enganche">
      <formula>NOT(ISERROR(SEARCH("Superávit de Enganche",AD7)))</formula>
    </cfRule>
    <cfRule type="containsText" dxfId="5" priority="16" operator="containsText" text="Enganche Completado">
      <formula>NOT(ISERROR(SEARCH("Enganche Completado",AD7)))</formula>
    </cfRule>
    <cfRule type="containsText" dxfId="4" priority="17" operator="containsText" text="Cliente Atrasado">
      <formula>NOT(ISERROR(SEARCH("Cliente Atrasado",AD7)))</formula>
    </cfRule>
  </conditionalFormatting>
  <conditionalFormatting sqref="AD136">
    <cfRule type="containsText" dxfId="3" priority="4" operator="containsText" text="Cliente al día">
      <formula>NOT(ISERROR(SEARCH("Cliente al día",AD136)))</formula>
    </cfRule>
    <cfRule type="containsText" dxfId="2" priority="5" operator="containsText" text="Superávit de Enganche">
      <formula>NOT(ISERROR(SEARCH("Superávit de Enganche",AD136)))</formula>
    </cfRule>
    <cfRule type="containsText" dxfId="1" priority="6" operator="containsText" text="Enganche Completado">
      <formula>NOT(ISERROR(SEARCH("Enganche Completado",AD136)))</formula>
    </cfRule>
    <cfRule type="containsText" dxfId="0" priority="7" operator="containsText" text="Cliente Atrasado">
      <formula>NOT(ISERROR(SEARCH("Cliente Atrasado",AD136)))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4889F9-2718-4863-AD76-B6F89F0726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I135:K139 K134 J135:U136</xm:sqref>
        </x14:conditionalFormatting>
        <x14:conditionalFormatting xmlns:xm="http://schemas.microsoft.com/office/excel/2006/main">
          <x14:cfRule type="dataBar" id="{1DCFABCE-0D65-47F6-BF17-01A6731181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V7:V123 V135:W136 K137:U138 W137:W138 V137:V139</xm:sqref>
        </x14:conditionalFormatting>
        <x14:conditionalFormatting xmlns:xm="http://schemas.microsoft.com/office/excel/2006/main">
          <x14:cfRule type="dataBar" id="{7ADFA955-77CC-4B46-9805-2C7AE800A5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X7:X123</xm:sqref>
        </x14:conditionalFormatting>
        <x14:conditionalFormatting xmlns:xm="http://schemas.microsoft.com/office/excel/2006/main">
          <x14:cfRule type="dataBar" id="{759E7657-7139-4382-A019-B465B34939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X136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FBD8-6C68-4F1C-9D49-70EE9845EADC}">
  <dimension ref="A1:CM160"/>
  <sheetViews>
    <sheetView workbookViewId="0">
      <pane xSplit="2" ySplit="1" topLeftCell="E3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ColWidth="11.42578125" defaultRowHeight="15" customHeight="1" x14ac:dyDescent="0.25"/>
  <cols>
    <col min="1" max="1" width="10.42578125" style="226" customWidth="1"/>
    <col min="2" max="2" width="17" style="226" customWidth="1"/>
    <col min="3" max="19" width="13" style="226" customWidth="1"/>
    <col min="20" max="42" width="14" style="226" bestFit="1" customWidth="1"/>
    <col min="43" max="84" width="14" style="226" customWidth="1"/>
    <col min="85" max="85" width="14" style="226" bestFit="1" customWidth="1"/>
    <col min="86" max="86" width="14.140625" style="226" customWidth="1"/>
    <col min="87" max="87" width="13.7109375" style="226" customWidth="1"/>
    <col min="88" max="16384" width="11.42578125" style="226"/>
  </cols>
  <sheetData>
    <row r="1" spans="1:91" s="227" customFormat="1" ht="15.75" x14ac:dyDescent="0.25">
      <c r="A1" s="83" t="s">
        <v>62</v>
      </c>
      <c r="B1" s="83" t="s">
        <v>68</v>
      </c>
      <c r="C1" s="84">
        <v>44986</v>
      </c>
      <c r="D1" s="84">
        <v>45017</v>
      </c>
      <c r="E1" s="84">
        <v>45047</v>
      </c>
      <c r="F1" s="84">
        <v>45078</v>
      </c>
      <c r="G1" s="84">
        <v>45108</v>
      </c>
      <c r="H1" s="84">
        <v>45139</v>
      </c>
      <c r="I1" s="84">
        <v>45170</v>
      </c>
      <c r="J1" s="84">
        <v>45200</v>
      </c>
      <c r="K1" s="84">
        <v>45231</v>
      </c>
      <c r="L1" s="84">
        <v>45261</v>
      </c>
      <c r="M1" s="84">
        <v>45292</v>
      </c>
      <c r="N1" s="84">
        <v>45323</v>
      </c>
      <c r="O1" s="84">
        <v>45352</v>
      </c>
      <c r="P1" s="84">
        <v>45383</v>
      </c>
      <c r="Q1" s="84">
        <v>45413</v>
      </c>
      <c r="R1" s="84">
        <v>45444</v>
      </c>
      <c r="S1" s="84">
        <v>45474</v>
      </c>
      <c r="T1" s="84">
        <v>45505</v>
      </c>
      <c r="U1" s="84">
        <v>45536</v>
      </c>
      <c r="V1" s="84">
        <v>45566</v>
      </c>
      <c r="W1" s="84">
        <v>45597</v>
      </c>
      <c r="X1" s="84">
        <v>45627</v>
      </c>
      <c r="Y1" s="84">
        <v>45658</v>
      </c>
      <c r="Z1" s="84">
        <v>45689</v>
      </c>
      <c r="AA1" s="84">
        <v>45717</v>
      </c>
      <c r="AB1" s="84">
        <v>45748</v>
      </c>
      <c r="AC1" s="84">
        <v>45778</v>
      </c>
      <c r="AD1" s="84">
        <v>45809</v>
      </c>
      <c r="AE1" s="234">
        <v>45839</v>
      </c>
      <c r="AF1" s="234">
        <v>45870</v>
      </c>
      <c r="AG1" s="234">
        <v>45901</v>
      </c>
      <c r="AH1" s="234">
        <v>45931</v>
      </c>
      <c r="AI1" s="234">
        <v>45962</v>
      </c>
      <c r="AJ1" s="234">
        <v>45992</v>
      </c>
      <c r="AK1" s="234">
        <v>46023</v>
      </c>
      <c r="AL1" s="234">
        <v>46054</v>
      </c>
      <c r="AM1" s="234">
        <v>46082</v>
      </c>
      <c r="AN1" s="234">
        <v>46113</v>
      </c>
      <c r="AO1" s="234">
        <v>46143</v>
      </c>
      <c r="AP1" s="234">
        <v>46174</v>
      </c>
      <c r="AQ1" s="234">
        <v>46204</v>
      </c>
      <c r="AR1" s="234">
        <v>46235</v>
      </c>
      <c r="AS1" s="234">
        <v>46266</v>
      </c>
      <c r="AT1" s="234">
        <v>46296</v>
      </c>
      <c r="AU1" s="234">
        <v>46327</v>
      </c>
      <c r="AV1" s="234">
        <v>46357</v>
      </c>
      <c r="AW1" s="234">
        <v>46388</v>
      </c>
      <c r="AX1" s="234">
        <v>46419</v>
      </c>
      <c r="AY1" s="84">
        <v>46447</v>
      </c>
      <c r="AZ1" s="84">
        <v>46478</v>
      </c>
      <c r="BA1" s="84">
        <v>46508</v>
      </c>
      <c r="BB1" s="84">
        <v>46539</v>
      </c>
      <c r="BC1" s="84">
        <v>46569</v>
      </c>
      <c r="BD1" s="84">
        <v>46600</v>
      </c>
      <c r="BE1" s="84">
        <v>46631</v>
      </c>
      <c r="BF1" s="84">
        <v>46661</v>
      </c>
      <c r="BG1" s="84">
        <v>46692</v>
      </c>
      <c r="BH1" s="84">
        <v>46722</v>
      </c>
      <c r="BI1" s="84">
        <v>46753</v>
      </c>
      <c r="BJ1" s="84">
        <v>46784</v>
      </c>
      <c r="BK1" s="84">
        <v>46813</v>
      </c>
      <c r="BL1" s="84">
        <v>46844</v>
      </c>
      <c r="BM1" s="84">
        <v>46874</v>
      </c>
      <c r="BN1" s="84">
        <v>46905</v>
      </c>
      <c r="BO1" s="84">
        <v>46935</v>
      </c>
      <c r="BP1" s="84">
        <v>46966</v>
      </c>
      <c r="BQ1" s="84">
        <v>46997</v>
      </c>
      <c r="BR1" s="84">
        <v>47027</v>
      </c>
      <c r="BS1" s="84">
        <v>47058</v>
      </c>
      <c r="BT1" s="84">
        <v>47088</v>
      </c>
      <c r="BU1" s="84">
        <v>47119</v>
      </c>
      <c r="BV1" s="84">
        <v>47150</v>
      </c>
      <c r="BW1" s="84">
        <v>47178</v>
      </c>
      <c r="BX1" s="84">
        <v>47209</v>
      </c>
      <c r="BY1" s="84">
        <v>47239</v>
      </c>
      <c r="BZ1" s="84">
        <v>47270</v>
      </c>
      <c r="CA1" s="84">
        <v>47300</v>
      </c>
      <c r="CB1" s="84">
        <v>47331</v>
      </c>
      <c r="CC1" s="84">
        <v>47362</v>
      </c>
      <c r="CD1" s="84">
        <v>47392</v>
      </c>
      <c r="CE1" s="84">
        <v>47423</v>
      </c>
      <c r="CF1" s="84">
        <v>47453</v>
      </c>
      <c r="CG1" s="85" t="s">
        <v>328</v>
      </c>
      <c r="CH1" s="85" t="s">
        <v>1434</v>
      </c>
      <c r="CI1" s="85" t="s">
        <v>1435</v>
      </c>
      <c r="CJ1" s="85" t="s">
        <v>1436</v>
      </c>
      <c r="CK1" s="85" t="s">
        <v>1437</v>
      </c>
      <c r="CL1" s="85" t="s">
        <v>1438</v>
      </c>
      <c r="CM1" s="85" t="s">
        <v>354</v>
      </c>
    </row>
    <row r="2" spans="1:91" x14ac:dyDescent="0.25">
      <c r="A2" s="5">
        <v>101</v>
      </c>
      <c r="B2" s="5" t="str">
        <f>VLOOKUP(A2,'BL-TAPIAS'!B6:H124,7,FALSE)</f>
        <v>4. Plan de Pagos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1500</v>
      </c>
      <c r="AE2" s="6">
        <v>1500</v>
      </c>
      <c r="AF2" s="6">
        <v>1653.85</v>
      </c>
      <c r="AG2" s="6">
        <v>1653.85</v>
      </c>
      <c r="AH2" s="6">
        <v>1653.85</v>
      </c>
      <c r="AI2" s="6">
        <v>1653.85</v>
      </c>
      <c r="AJ2" s="6">
        <v>1653.85</v>
      </c>
      <c r="AK2" s="6">
        <v>1653.85</v>
      </c>
      <c r="AL2" s="6">
        <v>1653.85</v>
      </c>
      <c r="AM2" s="6">
        <v>1653.85</v>
      </c>
      <c r="AN2" s="6">
        <v>1653.85</v>
      </c>
      <c r="AO2" s="6">
        <v>1653.85</v>
      </c>
      <c r="AP2" s="6">
        <v>1653.85</v>
      </c>
      <c r="AQ2" s="6">
        <v>1653.85</v>
      </c>
      <c r="AR2" s="6">
        <v>1653.85</v>
      </c>
      <c r="AS2" s="6">
        <v>1653.85</v>
      </c>
      <c r="AT2" s="6">
        <v>1653.85</v>
      </c>
      <c r="AU2" s="6">
        <v>1653.85</v>
      </c>
      <c r="AV2" s="6">
        <v>1653.85</v>
      </c>
      <c r="AW2" s="6">
        <v>1653.85</v>
      </c>
      <c r="AX2" s="6">
        <v>1653.85</v>
      </c>
      <c r="AY2" s="6">
        <v>1653.85</v>
      </c>
      <c r="AZ2" s="6">
        <v>1653.85</v>
      </c>
      <c r="BA2" s="6">
        <v>1653.85</v>
      </c>
      <c r="BB2" s="6">
        <v>1653.85</v>
      </c>
      <c r="BC2" s="6">
        <v>1653.85</v>
      </c>
      <c r="BD2" s="6">
        <v>1653.85</v>
      </c>
      <c r="BE2" s="6">
        <v>1653.85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>
        <f t="shared" ref="CG2:CG38" si="0">SUM(C2:BT2)</f>
        <v>46000.099999999977</v>
      </c>
      <c r="CH2" s="6">
        <f>VLOOKUP(A2,'BL-TAPIAS'!$B$6:$J$123,8,FALSE)</f>
        <v>665200</v>
      </c>
      <c r="CI2" s="6">
        <f>VLOOKUP(A2,'BL-TAPIAS'!$B$6:$J$123,9,FALSE)</f>
        <v>46600</v>
      </c>
      <c r="CJ2" s="119">
        <v>3000</v>
      </c>
      <c r="CK2" s="119">
        <f t="shared" ref="CK2:CK42" si="1">+CI2-CJ2</f>
        <v>43600</v>
      </c>
      <c r="CL2" s="119">
        <f t="shared" ref="CL2:CL42" si="2">+CK2/26</f>
        <v>1676.9230769230769</v>
      </c>
      <c r="CM2" s="215">
        <f t="shared" ref="CM2:CM29" si="3">+CG2-CK2</f>
        <v>2400.0999999999767</v>
      </c>
    </row>
    <row r="3" spans="1:91" x14ac:dyDescent="0.25">
      <c r="A3" s="5">
        <v>102</v>
      </c>
      <c r="B3" s="5" t="str">
        <f>VLOOKUP(A3,'BL-TAPIAS'!B7:H125,7,FALSE)</f>
        <v>1.Disponible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>
        <v>5000</v>
      </c>
      <c r="AL3" s="6">
        <v>2487.88</v>
      </c>
      <c r="AM3" s="6">
        <v>2487.88</v>
      </c>
      <c r="AN3" s="6">
        <v>2487.88</v>
      </c>
      <c r="AO3" s="6">
        <v>2487.88</v>
      </c>
      <c r="AP3" s="6">
        <v>2487.88</v>
      </c>
      <c r="AQ3" s="6">
        <v>2487.88</v>
      </c>
      <c r="AR3" s="6">
        <v>2487.88</v>
      </c>
      <c r="AS3" s="6">
        <v>2487.88</v>
      </c>
      <c r="AT3" s="6">
        <v>2487.88</v>
      </c>
      <c r="AU3" s="6">
        <v>2487.88</v>
      </c>
      <c r="AV3" s="6">
        <v>2487.88</v>
      </c>
      <c r="AW3" s="6">
        <v>2487.88</v>
      </c>
      <c r="AX3" s="6">
        <v>2487.88</v>
      </c>
      <c r="AY3" s="6">
        <v>2487.88</v>
      </c>
      <c r="AZ3" s="6">
        <v>2487.88</v>
      </c>
      <c r="BA3" s="6">
        <v>2487.88</v>
      </c>
      <c r="BB3" s="6">
        <v>2487.88</v>
      </c>
      <c r="BC3" s="6">
        <v>2487.88</v>
      </c>
      <c r="BD3" s="6">
        <v>2487.88</v>
      </c>
      <c r="BE3" s="6">
        <v>2487.88</v>
      </c>
      <c r="BF3" s="6">
        <v>2487.88</v>
      </c>
      <c r="BG3" s="6">
        <v>2487.88</v>
      </c>
      <c r="BH3" s="6">
        <v>2487.88</v>
      </c>
      <c r="BI3" s="6">
        <v>2463.7600000000002</v>
      </c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>
        <f t="shared" si="0"/>
        <v>64684.999999999978</v>
      </c>
      <c r="CH3" s="6">
        <f>VLOOKUP(A3,'BL-TAPIAS'!$B$6:$J$123,8,FALSE)</f>
        <v>995500</v>
      </c>
      <c r="CI3" s="6">
        <f>VLOOKUP(A3,'BL-TAPIAS'!$B$6:$J$123,9,FALSE)</f>
        <v>69685</v>
      </c>
      <c r="CJ3" s="119">
        <v>5000</v>
      </c>
      <c r="CK3" s="119">
        <f t="shared" si="1"/>
        <v>64685</v>
      </c>
      <c r="CL3" s="119">
        <f t="shared" si="2"/>
        <v>2487.8846153846152</v>
      </c>
      <c r="CM3" s="215">
        <f t="shared" si="3"/>
        <v>0</v>
      </c>
    </row>
    <row r="4" spans="1:91" x14ac:dyDescent="0.25">
      <c r="A4" s="5">
        <v>103</v>
      </c>
      <c r="B4" s="5" t="str">
        <f>VLOOKUP(A4,'BL-TAPIAS'!B8:H126,7,FALSE)</f>
        <v>1.Disponible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>
        <v>5000</v>
      </c>
      <c r="AF4" s="6">
        <v>2487.88</v>
      </c>
      <c r="AG4" s="6">
        <v>2487.88</v>
      </c>
      <c r="AH4" s="6">
        <v>2487.88</v>
      </c>
      <c r="AI4" s="6">
        <v>2487.88</v>
      </c>
      <c r="AJ4" s="6">
        <v>2487.88</v>
      </c>
      <c r="AK4" s="6">
        <v>2487.88</v>
      </c>
      <c r="AL4" s="6">
        <v>2487.88</v>
      </c>
      <c r="AM4" s="6">
        <v>2487.88</v>
      </c>
      <c r="AN4" s="6">
        <v>2487.88</v>
      </c>
      <c r="AO4" s="6">
        <v>2487.88</v>
      </c>
      <c r="AP4" s="6">
        <v>2487.88</v>
      </c>
      <c r="AQ4" s="6">
        <v>2487.88</v>
      </c>
      <c r="AR4" s="6">
        <v>2487.88</v>
      </c>
      <c r="AS4" s="6">
        <v>2487.88</v>
      </c>
      <c r="AT4" s="6">
        <v>2487.88</v>
      </c>
      <c r="AU4" s="6">
        <v>2487.88</v>
      </c>
      <c r="AV4" s="6">
        <v>2487.88</v>
      </c>
      <c r="AW4" s="6">
        <v>2487.88</v>
      </c>
      <c r="AX4" s="6">
        <v>2487.88</v>
      </c>
      <c r="AY4" s="6">
        <v>2487.88</v>
      </c>
      <c r="AZ4" s="6">
        <v>2487.88</v>
      </c>
      <c r="BA4" s="6">
        <v>2487.88</v>
      </c>
      <c r="BB4" s="6">
        <v>2487.88</v>
      </c>
      <c r="BC4" s="6">
        <v>2463.7600000000002</v>
      </c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>
        <f t="shared" si="0"/>
        <v>64684.999999999978</v>
      </c>
      <c r="CH4" s="6">
        <f>VLOOKUP(A4,'BL-TAPIAS'!$B$6:$J$123,8,FALSE)</f>
        <v>995500</v>
      </c>
      <c r="CI4" s="6">
        <f>VLOOKUP(A4,'BL-TAPIAS'!$B$6:$J$123,9,FALSE)</f>
        <v>69685</v>
      </c>
      <c r="CJ4" s="119">
        <v>5000</v>
      </c>
      <c r="CK4" s="119">
        <f t="shared" si="1"/>
        <v>64685</v>
      </c>
      <c r="CL4" s="119">
        <f t="shared" si="2"/>
        <v>2487.8846153846152</v>
      </c>
      <c r="CM4" s="215">
        <f t="shared" si="3"/>
        <v>0</v>
      </c>
    </row>
    <row r="5" spans="1:91" x14ac:dyDescent="0.25">
      <c r="A5" s="5">
        <v>104</v>
      </c>
      <c r="B5" s="5" t="str">
        <f>VLOOKUP(A5,'BL-TAPIAS'!B9:H127,7,FALSE)</f>
        <v>4. Plan de Pagos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>
        <v>3000</v>
      </c>
      <c r="AF5" s="6">
        <v>1653.85</v>
      </c>
      <c r="AG5" s="6">
        <v>1653.85</v>
      </c>
      <c r="AH5" s="6">
        <v>1653.85</v>
      </c>
      <c r="AI5" s="6">
        <v>1653.85</v>
      </c>
      <c r="AJ5" s="6">
        <v>1653.85</v>
      </c>
      <c r="AK5" s="6">
        <v>1653.85</v>
      </c>
      <c r="AL5" s="6">
        <v>1653.85</v>
      </c>
      <c r="AM5" s="6">
        <v>1653.85</v>
      </c>
      <c r="AN5" s="6">
        <v>1653.85</v>
      </c>
      <c r="AO5" s="6">
        <v>1653.85</v>
      </c>
      <c r="AP5" s="6">
        <v>1653.85</v>
      </c>
      <c r="AQ5" s="6">
        <v>1653.85</v>
      </c>
      <c r="AR5" s="6">
        <v>1653.85</v>
      </c>
      <c r="AS5" s="6">
        <v>1653.85</v>
      </c>
      <c r="AT5" s="6">
        <v>1653.85</v>
      </c>
      <c r="AU5" s="6">
        <v>1653.85</v>
      </c>
      <c r="AV5" s="6">
        <v>1653.85</v>
      </c>
      <c r="AW5" s="6">
        <v>1653.85</v>
      </c>
      <c r="AX5" s="6">
        <v>1653.85</v>
      </c>
      <c r="AY5" s="6">
        <v>1653.85</v>
      </c>
      <c r="AZ5" s="6">
        <v>1653.85</v>
      </c>
      <c r="BA5" s="6">
        <v>1653.85</v>
      </c>
      <c r="BB5" s="6">
        <v>1653.85</v>
      </c>
      <c r="BC5" s="6">
        <v>1653.85</v>
      </c>
      <c r="BD5" s="6">
        <v>1653.85</v>
      </c>
      <c r="BE5" s="6">
        <v>1653.75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f t="shared" si="0"/>
        <v>45999.999999999978</v>
      </c>
      <c r="CH5" s="6">
        <f>VLOOKUP(A5,'BL-TAPIAS'!$B$6:$J$123,8,FALSE)</f>
        <v>655200</v>
      </c>
      <c r="CI5" s="6">
        <f>VLOOKUP(A5,'BL-TAPIAS'!$B$6:$J$123,9,FALSE)</f>
        <v>45864.000000000007</v>
      </c>
      <c r="CJ5" s="119">
        <v>3000</v>
      </c>
      <c r="CK5" s="119">
        <f t="shared" si="1"/>
        <v>42864.000000000007</v>
      </c>
      <c r="CL5" s="119">
        <f t="shared" si="2"/>
        <v>1648.615384615385</v>
      </c>
      <c r="CM5" s="215">
        <f t="shared" si="3"/>
        <v>3135.9999999999709</v>
      </c>
    </row>
    <row r="6" spans="1:91" x14ac:dyDescent="0.25">
      <c r="A6" s="5">
        <v>105</v>
      </c>
      <c r="B6" s="5" t="str">
        <f>VLOOKUP(A6,'BL-TAPIAS'!B10:H128,7,FALSE)</f>
        <v>4. Plan de Pagos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1500</v>
      </c>
      <c r="AE6" s="6">
        <v>1500</v>
      </c>
      <c r="AF6" s="6">
        <v>1653.85</v>
      </c>
      <c r="AG6" s="6">
        <v>1653.85</v>
      </c>
      <c r="AH6" s="6">
        <v>1653.85</v>
      </c>
      <c r="AI6" s="6">
        <v>1653.85</v>
      </c>
      <c r="AJ6" s="6">
        <v>1653.85</v>
      </c>
      <c r="AK6" s="6">
        <v>1653.85</v>
      </c>
      <c r="AL6" s="6">
        <v>1653.85</v>
      </c>
      <c r="AM6" s="6">
        <v>1653.85</v>
      </c>
      <c r="AN6" s="6">
        <v>1653.85</v>
      </c>
      <c r="AO6" s="6">
        <v>1653.85</v>
      </c>
      <c r="AP6" s="6">
        <v>1653.85</v>
      </c>
      <c r="AQ6" s="6">
        <v>1653.85</v>
      </c>
      <c r="AR6" s="6">
        <v>1653.85</v>
      </c>
      <c r="AS6" s="6">
        <v>1653.85</v>
      </c>
      <c r="AT6" s="6">
        <v>1653.85</v>
      </c>
      <c r="AU6" s="6">
        <v>1653.85</v>
      </c>
      <c r="AV6" s="6">
        <v>1653.85</v>
      </c>
      <c r="AW6" s="6">
        <v>1653.85</v>
      </c>
      <c r="AX6" s="6">
        <v>1653.85</v>
      </c>
      <c r="AY6" s="6">
        <v>1653.85</v>
      </c>
      <c r="AZ6" s="6">
        <v>1653.85</v>
      </c>
      <c r="BA6" s="6">
        <v>1653.85</v>
      </c>
      <c r="BB6" s="6">
        <v>1653.85</v>
      </c>
      <c r="BC6" s="6">
        <v>1653.85</v>
      </c>
      <c r="BD6" s="6">
        <v>1653.85</v>
      </c>
      <c r="BE6" s="6">
        <v>1653.85</v>
      </c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f t="shared" si="0"/>
        <v>46000.099999999977</v>
      </c>
      <c r="CH6" s="6">
        <f>VLOOKUP(A6,'BL-TAPIAS'!$B$6:$J$123,8,FALSE)</f>
        <v>655200</v>
      </c>
      <c r="CI6" s="6">
        <f>VLOOKUP(A6,'BL-TAPIAS'!$B$6:$J$123,9,FALSE)</f>
        <v>46000</v>
      </c>
      <c r="CJ6" s="119">
        <v>3000</v>
      </c>
      <c r="CK6" s="119">
        <f t="shared" si="1"/>
        <v>43000</v>
      </c>
      <c r="CL6" s="119">
        <f t="shared" si="2"/>
        <v>1653.8461538461538</v>
      </c>
      <c r="CM6" s="215">
        <f t="shared" si="3"/>
        <v>3000.0999999999767</v>
      </c>
    </row>
    <row r="7" spans="1:91" x14ac:dyDescent="0.25">
      <c r="A7" s="5">
        <v>106</v>
      </c>
      <c r="B7" s="5" t="str">
        <f>VLOOKUP(A7,'BL-TAPIAS'!B11:H129,7,FALSE)</f>
        <v>4. Plan de Pagos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5000</v>
      </c>
      <c r="AL7" s="6">
        <v>2089.86</v>
      </c>
      <c r="AM7" s="6">
        <v>2089.86</v>
      </c>
      <c r="AN7" s="6">
        <v>2089.86</v>
      </c>
      <c r="AO7" s="6">
        <v>2089.86</v>
      </c>
      <c r="AP7" s="6">
        <v>2089.86</v>
      </c>
      <c r="AQ7" s="6">
        <v>2089.86</v>
      </c>
      <c r="AR7" s="6">
        <v>2089.86</v>
      </c>
      <c r="AS7" s="6">
        <v>2089.86</v>
      </c>
      <c r="AT7" s="6">
        <v>2089.86</v>
      </c>
      <c r="AU7" s="6">
        <v>2089.86</v>
      </c>
      <c r="AV7" s="6">
        <v>2089.86</v>
      </c>
      <c r="AW7" s="6">
        <v>2089.86</v>
      </c>
      <c r="AX7" s="6">
        <v>2089.86</v>
      </c>
      <c r="AY7" s="6">
        <v>2089.86</v>
      </c>
      <c r="AZ7" s="6">
        <v>2089.86</v>
      </c>
      <c r="BA7" s="6">
        <v>2089.86</v>
      </c>
      <c r="BB7" s="6">
        <v>2089.86</v>
      </c>
      <c r="BC7" s="6">
        <v>2089.86</v>
      </c>
      <c r="BD7" s="6">
        <v>2089.86</v>
      </c>
      <c r="BE7" s="6">
        <v>2089.86</v>
      </c>
      <c r="BF7" s="6">
        <v>2089.86</v>
      </c>
      <c r="BG7" s="6">
        <v>2089.86</v>
      </c>
      <c r="BH7" s="6">
        <v>2089.86</v>
      </c>
      <c r="BI7" s="6">
        <v>1272.22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f t="shared" si="0"/>
        <v>54339.000000000015</v>
      </c>
      <c r="CH7" s="6">
        <f>VLOOKUP(A7,'BL-TAPIAS'!$B$6:$J$123,8,FALSE)</f>
        <v>847700</v>
      </c>
      <c r="CI7" s="6">
        <f>VLOOKUP(A7,'BL-TAPIAS'!$B$6:$J$123,9,FALSE)</f>
        <v>59339.000000000007</v>
      </c>
      <c r="CJ7" s="119">
        <v>5000</v>
      </c>
      <c r="CK7" s="119">
        <f t="shared" si="1"/>
        <v>54339.000000000007</v>
      </c>
      <c r="CL7" s="119">
        <f t="shared" si="2"/>
        <v>2089.9615384615386</v>
      </c>
      <c r="CM7" s="215">
        <f t="shared" si="3"/>
        <v>0</v>
      </c>
    </row>
    <row r="8" spans="1:91" x14ac:dyDescent="0.25">
      <c r="A8" s="5">
        <v>107</v>
      </c>
      <c r="B8" s="5" t="str">
        <f>VLOOKUP(A8,'BL-TAPIAS'!B12:H133,7,FALSE)</f>
        <v>4. Plan de Pagos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>
        <v>5000</v>
      </c>
      <c r="AQ8" s="6">
        <v>2487.88</v>
      </c>
      <c r="AR8" s="6">
        <v>2487.88</v>
      </c>
      <c r="AS8" s="6">
        <v>2487.88</v>
      </c>
      <c r="AT8" s="6">
        <v>2487.88</v>
      </c>
      <c r="AU8" s="6">
        <v>2487.88</v>
      </c>
      <c r="AV8" s="6">
        <v>2487.88</v>
      </c>
      <c r="AW8" s="6">
        <v>2487.88</v>
      </c>
      <c r="AX8" s="6">
        <v>2487.88</v>
      </c>
      <c r="AY8" s="6">
        <v>2487.88</v>
      </c>
      <c r="AZ8" s="6">
        <v>2487.88</v>
      </c>
      <c r="BA8" s="6">
        <v>2487.88</v>
      </c>
      <c r="BB8" s="6">
        <v>2487.88</v>
      </c>
      <c r="BC8" s="6">
        <v>2487.88</v>
      </c>
      <c r="BD8" s="6">
        <v>2487.88</v>
      </c>
      <c r="BE8" s="6">
        <v>2487.88</v>
      </c>
      <c r="BF8" s="6">
        <v>2487.88</v>
      </c>
      <c r="BG8" s="6">
        <v>2487.88</v>
      </c>
      <c r="BH8" s="6">
        <v>2487.88</v>
      </c>
      <c r="BI8" s="6">
        <v>2487.88</v>
      </c>
      <c r="BJ8" s="6">
        <v>2487.88</v>
      </c>
      <c r="BK8" s="6">
        <v>2487.88</v>
      </c>
      <c r="BL8" s="6">
        <v>2487.88</v>
      </c>
      <c r="BM8" s="6">
        <v>2487.88</v>
      </c>
      <c r="BN8" s="6">
        <v>2477.7600000000002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f t="shared" si="0"/>
        <v>64698.999999999978</v>
      </c>
      <c r="CH8" s="6">
        <f>VLOOKUP(A8,'BL-TAPIAS'!$B$6:$J$123,8,FALSE)</f>
        <v>995700</v>
      </c>
      <c r="CI8" s="6">
        <f>VLOOKUP(A8,'BL-TAPIAS'!$B$6:$J$123,9,FALSE)</f>
        <v>69699</v>
      </c>
      <c r="CJ8" s="119">
        <v>5000</v>
      </c>
      <c r="CK8" s="119">
        <f t="shared" si="1"/>
        <v>64699</v>
      </c>
      <c r="CL8" s="119">
        <f t="shared" si="2"/>
        <v>2488.4230769230771</v>
      </c>
      <c r="CM8" s="215">
        <f t="shared" si="3"/>
        <v>0</v>
      </c>
    </row>
    <row r="9" spans="1:91" x14ac:dyDescent="0.25">
      <c r="A9" s="5">
        <v>108</v>
      </c>
      <c r="B9" s="5" t="str">
        <f>VLOOKUP(A9,'BL-TAPIAS'!B13:H134,7,FALSE)</f>
        <v>1.Disponible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>
        <v>5000</v>
      </c>
      <c r="AR9" s="6">
        <v>2487.88</v>
      </c>
      <c r="AS9" s="6">
        <v>2487.88</v>
      </c>
      <c r="AT9" s="6">
        <v>2487.88</v>
      </c>
      <c r="AU9" s="6">
        <v>2487.88</v>
      </c>
      <c r="AV9" s="6">
        <v>2487.88</v>
      </c>
      <c r="AW9" s="6">
        <v>2487.88</v>
      </c>
      <c r="AX9" s="6">
        <v>2487.88</v>
      </c>
      <c r="AY9" s="6">
        <v>2487.88</v>
      </c>
      <c r="AZ9" s="6">
        <v>2487.88</v>
      </c>
      <c r="BA9" s="6">
        <v>2487.88</v>
      </c>
      <c r="BB9" s="6">
        <v>2487.88</v>
      </c>
      <c r="BC9" s="6">
        <v>2487.88</v>
      </c>
      <c r="BD9" s="6">
        <v>2487.88</v>
      </c>
      <c r="BE9" s="6">
        <v>2487.88</v>
      </c>
      <c r="BF9" s="6">
        <v>2487.88</v>
      </c>
      <c r="BG9" s="6">
        <v>2487.88</v>
      </c>
      <c r="BH9" s="6">
        <v>2487.88</v>
      </c>
      <c r="BI9" s="6">
        <v>2487.88</v>
      </c>
      <c r="BJ9" s="6">
        <v>2487.88</v>
      </c>
      <c r="BK9" s="6">
        <v>2487.88</v>
      </c>
      <c r="BL9" s="6">
        <v>2487.88</v>
      </c>
      <c r="BM9" s="6">
        <v>2487.88</v>
      </c>
      <c r="BN9" s="6">
        <v>2487.88</v>
      </c>
      <c r="BO9" s="6">
        <v>2477.7600000000002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f t="shared" si="0"/>
        <v>64698.999999999978</v>
      </c>
      <c r="CH9" s="6">
        <f>VLOOKUP(A9,'BL-TAPIAS'!$B$6:$J$123,8,FALSE)</f>
        <v>995700</v>
      </c>
      <c r="CI9" s="6">
        <f>VLOOKUP(A9,'BL-TAPIAS'!$B$6:$J$123,9,FALSE)</f>
        <v>69699</v>
      </c>
      <c r="CJ9" s="119">
        <v>5000</v>
      </c>
      <c r="CK9" s="119">
        <f t="shared" si="1"/>
        <v>64699</v>
      </c>
      <c r="CL9" s="119">
        <f t="shared" si="2"/>
        <v>2488.4230769230771</v>
      </c>
      <c r="CM9" s="215">
        <f t="shared" si="3"/>
        <v>0</v>
      </c>
    </row>
    <row r="10" spans="1:91" x14ac:dyDescent="0.25">
      <c r="A10" s="5">
        <v>109</v>
      </c>
      <c r="B10" s="5" t="str">
        <f>VLOOKUP(A10,'BL-TAPIAS'!B14:H135,7,FALSE)</f>
        <v>1.Disponible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5000</v>
      </c>
      <c r="AG10" s="6">
        <v>2089.96</v>
      </c>
      <c r="AH10" s="6">
        <v>2089.96</v>
      </c>
      <c r="AI10" s="6">
        <v>2089.96</v>
      </c>
      <c r="AJ10" s="6">
        <v>2089.96</v>
      </c>
      <c r="AK10" s="6">
        <v>2089.96</v>
      </c>
      <c r="AL10" s="6">
        <v>2089.96</v>
      </c>
      <c r="AM10" s="6">
        <v>2089.96</v>
      </c>
      <c r="AN10" s="6">
        <v>2089.96</v>
      </c>
      <c r="AO10" s="6">
        <v>2089.96</v>
      </c>
      <c r="AP10" s="6">
        <v>2089.96</v>
      </c>
      <c r="AQ10" s="6">
        <v>2089.96</v>
      </c>
      <c r="AR10" s="6">
        <v>2089.96</v>
      </c>
      <c r="AS10" s="6">
        <v>2089.96</v>
      </c>
      <c r="AT10" s="6">
        <v>2089.96</v>
      </c>
      <c r="AU10" s="6">
        <v>2089.96</v>
      </c>
      <c r="AV10" s="6">
        <v>2089.96</v>
      </c>
      <c r="AW10" s="6">
        <v>2089.96</v>
      </c>
      <c r="AX10" s="6">
        <v>2089.96</v>
      </c>
      <c r="AY10" s="6">
        <v>2089.96</v>
      </c>
      <c r="AZ10" s="6">
        <v>2089.96</v>
      </c>
      <c r="BA10" s="6">
        <v>2089.96</v>
      </c>
      <c r="BB10" s="6">
        <v>2089.96</v>
      </c>
      <c r="BC10" s="6">
        <v>2089.96</v>
      </c>
      <c r="BD10" s="6">
        <v>1269.92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f t="shared" si="0"/>
        <v>54338.999999999985</v>
      </c>
      <c r="CH10" s="6">
        <f>VLOOKUP(A10,'BL-TAPIAS'!$B$6:$J$123,8,FALSE)</f>
        <v>847700</v>
      </c>
      <c r="CI10" s="6">
        <f>VLOOKUP(A10,'BL-TAPIAS'!$B$6:$J$123,9,FALSE)</f>
        <v>59339.000000000007</v>
      </c>
      <c r="CJ10" s="119">
        <v>5000</v>
      </c>
      <c r="CK10" s="119">
        <f t="shared" si="1"/>
        <v>54339.000000000007</v>
      </c>
      <c r="CL10" s="119">
        <f t="shared" si="2"/>
        <v>2089.9615384615386</v>
      </c>
      <c r="CM10" s="215">
        <f t="shared" si="3"/>
        <v>0</v>
      </c>
    </row>
    <row r="11" spans="1:91" x14ac:dyDescent="0.25">
      <c r="A11" s="5">
        <v>201</v>
      </c>
      <c r="B11" s="5" t="str">
        <f>VLOOKUP(A11,'BL-TAPIAS'!B15:H136,7,FALSE)</f>
        <v>1.Disponible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3000</v>
      </c>
      <c r="AF11" s="6">
        <v>1559.23</v>
      </c>
      <c r="AG11" s="6">
        <v>1559.23</v>
      </c>
      <c r="AH11" s="6">
        <v>1559.23</v>
      </c>
      <c r="AI11" s="6">
        <v>1559.23</v>
      </c>
      <c r="AJ11" s="6">
        <v>1559.23</v>
      </c>
      <c r="AK11" s="6">
        <v>1559.23</v>
      </c>
      <c r="AL11" s="6">
        <v>1559.23</v>
      </c>
      <c r="AM11" s="6">
        <v>1559.23</v>
      </c>
      <c r="AN11" s="6">
        <v>1559.23</v>
      </c>
      <c r="AO11" s="6">
        <v>1559.23</v>
      </c>
      <c r="AP11" s="6">
        <v>1559.23</v>
      </c>
      <c r="AQ11" s="6">
        <v>1559.23</v>
      </c>
      <c r="AR11" s="6">
        <v>1559.23</v>
      </c>
      <c r="AS11" s="6">
        <v>1559.23</v>
      </c>
      <c r="AT11" s="6">
        <v>1559.23</v>
      </c>
      <c r="AU11" s="6">
        <v>1559.23</v>
      </c>
      <c r="AV11" s="6">
        <v>1559.23</v>
      </c>
      <c r="AW11" s="6">
        <v>1559.23</v>
      </c>
      <c r="AX11" s="6">
        <v>1559.23</v>
      </c>
      <c r="AY11" s="6">
        <v>1559.23</v>
      </c>
      <c r="AZ11" s="6">
        <v>1559.23</v>
      </c>
      <c r="BA11" s="6">
        <v>1559.23</v>
      </c>
      <c r="BB11" s="6">
        <v>1559.23</v>
      </c>
      <c r="BC11" s="6">
        <v>1677.71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f t="shared" si="0"/>
        <v>40540</v>
      </c>
      <c r="CH11" s="6">
        <f>VLOOKUP(A11,'BL-TAPIAS'!$B$6:$J$123,8,FALSE)</f>
        <v>622000</v>
      </c>
      <c r="CI11" s="6">
        <f>VLOOKUP(A11,'BL-TAPIAS'!$B$6:$J$123,9,FALSE)</f>
        <v>43540.000000000007</v>
      </c>
      <c r="CJ11" s="119">
        <v>3000</v>
      </c>
      <c r="CK11" s="119">
        <f t="shared" si="1"/>
        <v>40540.000000000007</v>
      </c>
      <c r="CL11" s="119">
        <f t="shared" si="2"/>
        <v>1559.2307692307695</v>
      </c>
      <c r="CM11" s="215">
        <f t="shared" si="3"/>
        <v>0</v>
      </c>
    </row>
    <row r="12" spans="1:91" x14ac:dyDescent="0.25">
      <c r="A12" s="5">
        <v>202</v>
      </c>
      <c r="B12" s="5" t="str">
        <f>VLOOKUP(A12,'BL-TAPIAS'!B16:H137,7,FALSE)</f>
        <v>1.Disponible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5000</v>
      </c>
      <c r="AH12" s="6">
        <v>2008.12</v>
      </c>
      <c r="AI12" s="6">
        <v>2008.12</v>
      </c>
      <c r="AJ12" s="6">
        <v>2008.12</v>
      </c>
      <c r="AK12" s="6">
        <v>2008.12</v>
      </c>
      <c r="AL12" s="6">
        <v>2008.12</v>
      </c>
      <c r="AM12" s="6">
        <v>2008.12</v>
      </c>
      <c r="AN12" s="6">
        <v>2008.12</v>
      </c>
      <c r="AO12" s="6">
        <v>2008.12</v>
      </c>
      <c r="AP12" s="6">
        <v>2008.12</v>
      </c>
      <c r="AQ12" s="6">
        <v>2008.12</v>
      </c>
      <c r="AR12" s="6">
        <v>2008.12</v>
      </c>
      <c r="AS12" s="6">
        <v>2008.12</v>
      </c>
      <c r="AT12" s="6">
        <v>2008.12</v>
      </c>
      <c r="AU12" s="6">
        <v>2008.12</v>
      </c>
      <c r="AV12" s="6">
        <v>2008.12</v>
      </c>
      <c r="AW12" s="6">
        <v>2008.12</v>
      </c>
      <c r="AX12" s="6">
        <v>2008.12</v>
      </c>
      <c r="AY12" s="6">
        <v>2008.12</v>
      </c>
      <c r="AZ12" s="6">
        <v>2008.12</v>
      </c>
      <c r="BA12" s="6">
        <v>2008.12</v>
      </c>
      <c r="BB12" s="6">
        <v>2008.12</v>
      </c>
      <c r="BC12" s="6">
        <v>2008.12</v>
      </c>
      <c r="BD12" s="6">
        <v>2008.12</v>
      </c>
      <c r="BE12" s="6">
        <v>1024.24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f t="shared" si="0"/>
        <v>52211.000000000015</v>
      </c>
      <c r="CH12" s="6">
        <f>VLOOKUP(A12,'BL-TAPIAS'!$B$6:$J$123,8,FALSE)</f>
        <v>817300</v>
      </c>
      <c r="CI12" s="6">
        <f>VLOOKUP(A12,'BL-TAPIAS'!$B$6:$J$123,9,FALSE)</f>
        <v>57211.000000000007</v>
      </c>
      <c r="CJ12" s="119">
        <v>5000</v>
      </c>
      <c r="CK12" s="119">
        <f t="shared" si="1"/>
        <v>52211.000000000007</v>
      </c>
      <c r="CL12" s="119">
        <f t="shared" si="2"/>
        <v>2008.115384615385</v>
      </c>
      <c r="CM12" s="215">
        <f t="shared" si="3"/>
        <v>0</v>
      </c>
    </row>
    <row r="13" spans="1:91" x14ac:dyDescent="0.25">
      <c r="A13" s="5">
        <v>203</v>
      </c>
      <c r="B13" s="5" t="str">
        <f>VLOOKUP(A13,'BL-TAPIAS'!B17:H139,7,FALSE)</f>
        <v>1.Disponible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5000</v>
      </c>
      <c r="AQ13" s="6">
        <v>2008.12</v>
      </c>
      <c r="AR13" s="6">
        <v>2008.12</v>
      </c>
      <c r="AS13" s="6">
        <v>2008.12</v>
      </c>
      <c r="AT13" s="6">
        <v>2008.12</v>
      </c>
      <c r="AU13" s="6">
        <v>2008.12</v>
      </c>
      <c r="AV13" s="6">
        <v>2008.12</v>
      </c>
      <c r="AW13" s="6">
        <v>2008.12</v>
      </c>
      <c r="AX13" s="6">
        <v>2008.12</v>
      </c>
      <c r="AY13" s="6">
        <v>2008.12</v>
      </c>
      <c r="AZ13" s="6">
        <v>2008.12</v>
      </c>
      <c r="BA13" s="6">
        <v>2008.12</v>
      </c>
      <c r="BB13" s="6">
        <v>2008.12</v>
      </c>
      <c r="BC13" s="6">
        <v>2008.12</v>
      </c>
      <c r="BD13" s="6">
        <v>2008.12</v>
      </c>
      <c r="BE13" s="6">
        <v>2008.12</v>
      </c>
      <c r="BF13" s="6">
        <v>2008.12</v>
      </c>
      <c r="BG13" s="6">
        <v>2008.12</v>
      </c>
      <c r="BH13" s="6">
        <v>2008.12</v>
      </c>
      <c r="BI13" s="6">
        <v>2008.12</v>
      </c>
      <c r="BJ13" s="6">
        <v>2008.12</v>
      </c>
      <c r="BK13" s="6">
        <v>2008.12</v>
      </c>
      <c r="BL13" s="6">
        <v>2008.12</v>
      </c>
      <c r="BM13" s="6">
        <v>2008.12</v>
      </c>
      <c r="BN13" s="6">
        <v>1024.24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f t="shared" si="0"/>
        <v>52211.000000000015</v>
      </c>
      <c r="CH13" s="6">
        <f>VLOOKUP(A13,'BL-TAPIAS'!$B$6:$J$123,8,FALSE)</f>
        <v>817300</v>
      </c>
      <c r="CI13" s="6">
        <f>VLOOKUP(A13,'BL-TAPIAS'!$B$6:$J$123,9,FALSE)</f>
        <v>57211.000000000007</v>
      </c>
      <c r="CJ13" s="119">
        <v>5000</v>
      </c>
      <c r="CK13" s="119">
        <f t="shared" si="1"/>
        <v>52211.000000000007</v>
      </c>
      <c r="CL13" s="119">
        <f t="shared" si="2"/>
        <v>2008.115384615385</v>
      </c>
      <c r="CM13" s="215">
        <f t="shared" si="3"/>
        <v>0</v>
      </c>
    </row>
    <row r="14" spans="1:91" x14ac:dyDescent="0.25">
      <c r="A14" s="5">
        <v>204</v>
      </c>
      <c r="B14" s="5" t="str">
        <f>VLOOKUP(A14,'BL-TAPIAS'!B18:H140,7,FALSE)</f>
        <v>1.Disponible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3000</v>
      </c>
      <c r="AG14" s="6">
        <v>1559.23</v>
      </c>
      <c r="AH14" s="6">
        <v>1559.23</v>
      </c>
      <c r="AI14" s="6">
        <v>1559.23</v>
      </c>
      <c r="AJ14" s="6">
        <v>1559.23</v>
      </c>
      <c r="AK14" s="6">
        <v>1559.23</v>
      </c>
      <c r="AL14" s="6">
        <v>1559.23</v>
      </c>
      <c r="AM14" s="6">
        <v>1559.23</v>
      </c>
      <c r="AN14" s="6">
        <v>1559.23</v>
      </c>
      <c r="AO14" s="6">
        <v>1559.23</v>
      </c>
      <c r="AP14" s="6">
        <v>1559.23</v>
      </c>
      <c r="AQ14" s="6">
        <v>1559.23</v>
      </c>
      <c r="AR14" s="6">
        <v>1559.23</v>
      </c>
      <c r="AS14" s="6">
        <v>1559.23</v>
      </c>
      <c r="AT14" s="6">
        <v>1559.23</v>
      </c>
      <c r="AU14" s="6">
        <v>1559.23</v>
      </c>
      <c r="AV14" s="6">
        <v>1559.23</v>
      </c>
      <c r="AW14" s="6">
        <v>1559.23</v>
      </c>
      <c r="AX14" s="6">
        <v>1559.23</v>
      </c>
      <c r="AY14" s="6">
        <v>1559.23</v>
      </c>
      <c r="AZ14" s="6">
        <v>1559.23</v>
      </c>
      <c r="BA14" s="6">
        <v>1559.23</v>
      </c>
      <c r="BB14" s="6">
        <v>1559.23</v>
      </c>
      <c r="BC14" s="6">
        <v>1559.23</v>
      </c>
      <c r="BD14" s="6">
        <v>1677.71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f t="shared" si="0"/>
        <v>40540</v>
      </c>
      <c r="CH14" s="6">
        <f>VLOOKUP(A14,'BL-TAPIAS'!$B$6:$J$123,8,FALSE)</f>
        <v>622000</v>
      </c>
      <c r="CI14" s="6">
        <f>VLOOKUP(A14,'BL-TAPIAS'!$B$6:$J$123,9,FALSE)</f>
        <v>43540.000000000007</v>
      </c>
      <c r="CJ14" s="119">
        <v>3000</v>
      </c>
      <c r="CK14" s="119">
        <f t="shared" si="1"/>
        <v>40540.000000000007</v>
      </c>
      <c r="CL14" s="119">
        <f t="shared" si="2"/>
        <v>1559.2307692307695</v>
      </c>
      <c r="CM14" s="215">
        <f t="shared" si="3"/>
        <v>0</v>
      </c>
    </row>
    <row r="15" spans="1:91" x14ac:dyDescent="0.25">
      <c r="A15" s="5">
        <v>205</v>
      </c>
      <c r="B15" s="5" t="str">
        <f>VLOOKUP(A15,'BL-TAPIAS'!B19:H141,7,FALSE)</f>
        <v>1.Disponible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3000</v>
      </c>
      <c r="AH15" s="6">
        <v>1559.23</v>
      </c>
      <c r="AI15" s="6">
        <v>1559.23</v>
      </c>
      <c r="AJ15" s="6">
        <v>1559.23</v>
      </c>
      <c r="AK15" s="6">
        <v>1559.23</v>
      </c>
      <c r="AL15" s="6">
        <v>1559.23</v>
      </c>
      <c r="AM15" s="6">
        <v>1559.23</v>
      </c>
      <c r="AN15" s="6">
        <v>1559.23</v>
      </c>
      <c r="AO15" s="6">
        <v>1559.23</v>
      </c>
      <c r="AP15" s="6">
        <v>1559.23</v>
      </c>
      <c r="AQ15" s="6">
        <v>1559.23</v>
      </c>
      <c r="AR15" s="6">
        <v>1559.23</v>
      </c>
      <c r="AS15" s="6">
        <v>1559.23</v>
      </c>
      <c r="AT15" s="6">
        <v>1559.23</v>
      </c>
      <c r="AU15" s="6">
        <v>1559.23</v>
      </c>
      <c r="AV15" s="6">
        <v>1559.23</v>
      </c>
      <c r="AW15" s="6">
        <v>1559.23</v>
      </c>
      <c r="AX15" s="6">
        <v>1559.23</v>
      </c>
      <c r="AY15" s="6">
        <v>1559.23</v>
      </c>
      <c r="AZ15" s="6">
        <v>1559.23</v>
      </c>
      <c r="BA15" s="6">
        <v>1559.23</v>
      </c>
      <c r="BB15" s="6">
        <v>1559.23</v>
      </c>
      <c r="BC15" s="6">
        <v>1559.23</v>
      </c>
      <c r="BD15" s="6">
        <v>1559.23</v>
      </c>
      <c r="BE15" s="6">
        <v>1677.71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f t="shared" si="0"/>
        <v>40540</v>
      </c>
      <c r="CH15" s="6">
        <f>VLOOKUP(A15,'BL-TAPIAS'!$B$6:$J$123,8,FALSE)</f>
        <v>622000</v>
      </c>
      <c r="CI15" s="6">
        <f>VLOOKUP(A15,'BL-TAPIAS'!$B$6:$J$123,9,FALSE)</f>
        <v>43540.000000000007</v>
      </c>
      <c r="CJ15" s="119">
        <v>3000</v>
      </c>
      <c r="CK15" s="119">
        <f t="shared" si="1"/>
        <v>40540.000000000007</v>
      </c>
      <c r="CL15" s="119">
        <f t="shared" si="2"/>
        <v>1559.2307692307695</v>
      </c>
      <c r="CM15" s="215">
        <f t="shared" si="3"/>
        <v>0</v>
      </c>
    </row>
    <row r="16" spans="1:91" x14ac:dyDescent="0.25">
      <c r="A16" s="5">
        <v>206</v>
      </c>
      <c r="B16" s="5" t="str">
        <f>VLOOKUP(A16,'BL-TAPIAS'!B20:H142,7,FALSE)</f>
        <v>1.Disponible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5000</v>
      </c>
      <c r="AQ16" s="6">
        <v>2023.38</v>
      </c>
      <c r="AR16" s="6">
        <v>2023.38</v>
      </c>
      <c r="AS16" s="6">
        <v>2023.38</v>
      </c>
      <c r="AT16" s="6">
        <v>2023.38</v>
      </c>
      <c r="AU16" s="6">
        <v>2023.38</v>
      </c>
      <c r="AV16" s="6">
        <v>2023.38</v>
      </c>
      <c r="AW16" s="6">
        <v>2023.38</v>
      </c>
      <c r="AX16" s="6">
        <v>2023.38</v>
      </c>
      <c r="AY16" s="6">
        <v>2023.38</v>
      </c>
      <c r="AZ16" s="6">
        <v>2023.38</v>
      </c>
      <c r="BA16" s="6">
        <v>2023.38</v>
      </c>
      <c r="BB16" s="6">
        <v>2023.38</v>
      </c>
      <c r="BC16" s="6">
        <v>2023.38</v>
      </c>
      <c r="BD16" s="6">
        <v>2023.38</v>
      </c>
      <c r="BE16" s="6">
        <v>2023.38</v>
      </c>
      <c r="BF16" s="6">
        <v>2023.38</v>
      </c>
      <c r="BG16" s="6">
        <v>2023.38</v>
      </c>
      <c r="BH16" s="6">
        <v>2023.38</v>
      </c>
      <c r="BI16" s="6">
        <v>2023.38</v>
      </c>
      <c r="BJ16" s="6">
        <v>2023.38</v>
      </c>
      <c r="BK16" s="6">
        <v>2023.38</v>
      </c>
      <c r="BL16" s="6">
        <v>2023.38</v>
      </c>
      <c r="BM16" s="6">
        <v>2023.38</v>
      </c>
      <c r="BN16" s="6">
        <v>1070.26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f t="shared" si="0"/>
        <v>52607.999999999985</v>
      </c>
      <c r="CH16" s="6">
        <f>VLOOKUP(A16,'BL-TAPIAS'!$B$6:$J$123,8,FALSE)</f>
        <v>794400</v>
      </c>
      <c r="CI16" s="6">
        <f>VLOOKUP(A16,'BL-TAPIAS'!$B$6:$J$123,9,FALSE)</f>
        <v>55608.000000000007</v>
      </c>
      <c r="CJ16" s="119">
        <v>3000</v>
      </c>
      <c r="CK16" s="119">
        <f t="shared" si="1"/>
        <v>52608.000000000007</v>
      </c>
      <c r="CL16" s="119">
        <f t="shared" si="2"/>
        <v>2023.3846153846157</v>
      </c>
      <c r="CM16" s="215">
        <f t="shared" si="3"/>
        <v>0</v>
      </c>
    </row>
    <row r="17" spans="1:91" x14ac:dyDescent="0.25">
      <c r="A17" s="5">
        <v>207</v>
      </c>
      <c r="B17" s="5" t="str">
        <f>VLOOKUP(A17,'BL-TAPIAS'!B21:H143,7,FALSE)</f>
        <v>1.Disponible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5000</v>
      </c>
      <c r="AR17" s="6">
        <v>2008.12</v>
      </c>
      <c r="AS17" s="6">
        <v>2008.12</v>
      </c>
      <c r="AT17" s="6">
        <v>2008.12</v>
      </c>
      <c r="AU17" s="6">
        <v>2008.12</v>
      </c>
      <c r="AV17" s="6">
        <v>2008.12</v>
      </c>
      <c r="AW17" s="6">
        <v>2008.12</v>
      </c>
      <c r="AX17" s="6">
        <v>2008.12</v>
      </c>
      <c r="AY17" s="6">
        <v>2008.12</v>
      </c>
      <c r="AZ17" s="6">
        <v>2008.12</v>
      </c>
      <c r="BA17" s="6">
        <v>2008.12</v>
      </c>
      <c r="BB17" s="6">
        <v>2008.12</v>
      </c>
      <c r="BC17" s="6">
        <v>2008.12</v>
      </c>
      <c r="BD17" s="6">
        <v>2008.12</v>
      </c>
      <c r="BE17" s="6">
        <v>2008.12</v>
      </c>
      <c r="BF17" s="6">
        <v>2008.12</v>
      </c>
      <c r="BG17" s="6">
        <v>2008.12</v>
      </c>
      <c r="BH17" s="6">
        <v>2008.12</v>
      </c>
      <c r="BI17" s="6">
        <v>2008.12</v>
      </c>
      <c r="BJ17" s="6">
        <v>2008.12</v>
      </c>
      <c r="BK17" s="6">
        <v>2008.12</v>
      </c>
      <c r="BL17" s="6">
        <v>2008.12</v>
      </c>
      <c r="BM17" s="6">
        <v>2008.12</v>
      </c>
      <c r="BN17" s="6">
        <v>2008.12</v>
      </c>
      <c r="BO17" s="6">
        <v>1024.24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f t="shared" si="0"/>
        <v>52211.000000000015</v>
      </c>
      <c r="CH17" s="6">
        <f>VLOOKUP(A17,'BL-TAPIAS'!$B$6:$J$123,8,FALSE)</f>
        <v>817300</v>
      </c>
      <c r="CI17" s="6">
        <f>VLOOKUP(A17,'BL-TAPIAS'!$B$6:$J$123,9,FALSE)</f>
        <v>57211.000000000007</v>
      </c>
      <c r="CJ17" s="119">
        <v>5000</v>
      </c>
      <c r="CK17" s="119">
        <f t="shared" si="1"/>
        <v>52211.000000000007</v>
      </c>
      <c r="CL17" s="119">
        <f t="shared" si="2"/>
        <v>2008.115384615385</v>
      </c>
      <c r="CM17" s="215">
        <f t="shared" si="3"/>
        <v>0</v>
      </c>
    </row>
    <row r="18" spans="1:91" x14ac:dyDescent="0.25">
      <c r="A18" s="5">
        <v>208</v>
      </c>
      <c r="B18" s="5" t="str">
        <f>VLOOKUP(A18,'BL-TAPIAS'!B22:H144,7,FALSE)</f>
        <v>1.Disponible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5000</v>
      </c>
      <c r="AS18" s="6">
        <v>2008.12</v>
      </c>
      <c r="AT18" s="6">
        <v>2008.12</v>
      </c>
      <c r="AU18" s="6">
        <v>2008.12</v>
      </c>
      <c r="AV18" s="6">
        <v>2008.12</v>
      </c>
      <c r="AW18" s="6">
        <v>2008.12</v>
      </c>
      <c r="AX18" s="6">
        <v>2008.12</v>
      </c>
      <c r="AY18" s="6">
        <v>2008.12</v>
      </c>
      <c r="AZ18" s="6">
        <v>2008.12</v>
      </c>
      <c r="BA18" s="6">
        <v>2008.12</v>
      </c>
      <c r="BB18" s="6">
        <v>2008.12</v>
      </c>
      <c r="BC18" s="6">
        <v>2008.12</v>
      </c>
      <c r="BD18" s="6">
        <v>2008.12</v>
      </c>
      <c r="BE18" s="6">
        <v>2008.12</v>
      </c>
      <c r="BF18" s="6">
        <v>2008.12</v>
      </c>
      <c r="BG18" s="6">
        <v>2008.12</v>
      </c>
      <c r="BH18" s="6">
        <v>2008.12</v>
      </c>
      <c r="BI18" s="6">
        <v>2008.12</v>
      </c>
      <c r="BJ18" s="6">
        <v>2008.12</v>
      </c>
      <c r="BK18" s="6">
        <v>2008.12</v>
      </c>
      <c r="BL18" s="6">
        <v>2008.12</v>
      </c>
      <c r="BM18" s="6">
        <v>2008.12</v>
      </c>
      <c r="BN18" s="6">
        <v>2008.12</v>
      </c>
      <c r="BO18" s="6">
        <v>2008.12</v>
      </c>
      <c r="BP18" s="6">
        <v>1024.24</v>
      </c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f t="shared" si="0"/>
        <v>52211.000000000015</v>
      </c>
      <c r="CH18" s="6">
        <f>VLOOKUP(A18,'BL-TAPIAS'!$B$6:$J$123,8,FALSE)</f>
        <v>817300</v>
      </c>
      <c r="CI18" s="6">
        <f>VLOOKUP(A18,'BL-TAPIAS'!$B$6:$J$123,9,FALSE)</f>
        <v>57211.000000000007</v>
      </c>
      <c r="CJ18" s="119">
        <v>5000</v>
      </c>
      <c r="CK18" s="119">
        <f t="shared" si="1"/>
        <v>52211.000000000007</v>
      </c>
      <c r="CL18" s="119">
        <f t="shared" si="2"/>
        <v>2008.115384615385</v>
      </c>
      <c r="CM18" s="215">
        <f t="shared" si="3"/>
        <v>0</v>
      </c>
    </row>
    <row r="19" spans="1:91" x14ac:dyDescent="0.25">
      <c r="A19" s="5">
        <v>209</v>
      </c>
      <c r="B19" s="5" t="str">
        <f>VLOOKUP(A19,'BL-TAPIAS'!B23:H145,7,FALSE)</f>
        <v>1.Disponible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5000</v>
      </c>
      <c r="AG19" s="6">
        <v>2023.38</v>
      </c>
      <c r="AH19" s="6">
        <v>2023.38</v>
      </c>
      <c r="AI19" s="6">
        <v>2023.38</v>
      </c>
      <c r="AJ19" s="6">
        <v>2023.38</v>
      </c>
      <c r="AK19" s="6">
        <v>2023.38</v>
      </c>
      <c r="AL19" s="6">
        <v>2023.38</v>
      </c>
      <c r="AM19" s="6">
        <v>2023.38</v>
      </c>
      <c r="AN19" s="6">
        <v>2023.38</v>
      </c>
      <c r="AO19" s="6">
        <v>2023.38</v>
      </c>
      <c r="AP19" s="6">
        <v>2023.38</v>
      </c>
      <c r="AQ19" s="6">
        <v>2023.38</v>
      </c>
      <c r="AR19" s="6">
        <v>2023.38</v>
      </c>
      <c r="AS19" s="6">
        <v>2023.38</v>
      </c>
      <c r="AT19" s="6">
        <v>2023.38</v>
      </c>
      <c r="AU19" s="6">
        <v>2023.38</v>
      </c>
      <c r="AV19" s="6">
        <v>2023.38</v>
      </c>
      <c r="AW19" s="6">
        <v>2023.38</v>
      </c>
      <c r="AX19" s="6">
        <v>2023.38</v>
      </c>
      <c r="AY19" s="6">
        <v>2023.38</v>
      </c>
      <c r="AZ19" s="6">
        <v>2023.38</v>
      </c>
      <c r="BA19" s="6">
        <v>2023.38</v>
      </c>
      <c r="BB19" s="6">
        <v>2023.38</v>
      </c>
      <c r="BC19" s="6">
        <v>2023.38</v>
      </c>
      <c r="BD19" s="6">
        <v>1070.26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f t="shared" si="0"/>
        <v>52607.999999999985</v>
      </c>
      <c r="CH19" s="6">
        <f>VLOOKUP(A19,'BL-TAPIAS'!$B$6:$J$123,8,FALSE)</f>
        <v>794400</v>
      </c>
      <c r="CI19" s="6">
        <f>VLOOKUP(A19,'BL-TAPIAS'!$B$6:$J$123,9,FALSE)</f>
        <v>55608.000000000007</v>
      </c>
      <c r="CJ19" s="119">
        <v>3000</v>
      </c>
      <c r="CK19" s="119">
        <f t="shared" si="1"/>
        <v>52608.000000000007</v>
      </c>
      <c r="CL19" s="119">
        <f t="shared" si="2"/>
        <v>2023.3846153846157</v>
      </c>
      <c r="CM19" s="215">
        <f t="shared" si="3"/>
        <v>0</v>
      </c>
    </row>
    <row r="20" spans="1:91" x14ac:dyDescent="0.25">
      <c r="A20" s="5">
        <v>301</v>
      </c>
      <c r="B20" s="5" t="str">
        <f>VLOOKUP(A20,'BL-TAPIAS'!B24:H146,7,FALSE)</f>
        <v>1.Disponible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3000</v>
      </c>
      <c r="AI20" s="6">
        <v>1559.23</v>
      </c>
      <c r="AJ20" s="6">
        <v>1559.23</v>
      </c>
      <c r="AK20" s="6">
        <v>1559.23</v>
      </c>
      <c r="AL20" s="6">
        <v>1559.23</v>
      </c>
      <c r="AM20" s="6">
        <v>1559.23</v>
      </c>
      <c r="AN20" s="6">
        <v>1559.23</v>
      </c>
      <c r="AO20" s="6">
        <v>1559.23</v>
      </c>
      <c r="AP20" s="6">
        <v>1559.23</v>
      </c>
      <c r="AQ20" s="6">
        <v>1559.23</v>
      </c>
      <c r="AR20" s="6">
        <v>1559.23</v>
      </c>
      <c r="AS20" s="6">
        <v>1559.23</v>
      </c>
      <c r="AT20" s="6">
        <v>1559.23</v>
      </c>
      <c r="AU20" s="6">
        <v>1559.23</v>
      </c>
      <c r="AV20" s="6">
        <v>1559.23</v>
      </c>
      <c r="AW20" s="6">
        <v>1559.23</v>
      </c>
      <c r="AX20" s="6">
        <v>1559.23</v>
      </c>
      <c r="AY20" s="6">
        <v>1559.23</v>
      </c>
      <c r="AZ20" s="6">
        <v>1559.23</v>
      </c>
      <c r="BA20" s="6">
        <v>1559.23</v>
      </c>
      <c r="BB20" s="6">
        <v>1559.23</v>
      </c>
      <c r="BC20" s="6">
        <v>1559.23</v>
      </c>
      <c r="BD20" s="6">
        <v>1559.23</v>
      </c>
      <c r="BE20" s="6">
        <v>1559.23</v>
      </c>
      <c r="BF20" s="6">
        <v>1677.71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f t="shared" si="0"/>
        <v>40540</v>
      </c>
      <c r="CH20" s="6">
        <f>VLOOKUP(A20,'BL-TAPIAS'!$B$6:$J$123,8,FALSE)</f>
        <v>622000</v>
      </c>
      <c r="CI20" s="6">
        <f>VLOOKUP(A20,'BL-TAPIAS'!$B$6:$J$123,9,FALSE)</f>
        <v>43540.000000000007</v>
      </c>
      <c r="CJ20" s="119">
        <v>3000</v>
      </c>
      <c r="CK20" s="119">
        <f t="shared" si="1"/>
        <v>40540.000000000007</v>
      </c>
      <c r="CL20" s="119">
        <f t="shared" si="2"/>
        <v>1559.2307692307695</v>
      </c>
      <c r="CM20" s="215">
        <f t="shared" si="3"/>
        <v>0</v>
      </c>
    </row>
    <row r="21" spans="1:91" x14ac:dyDescent="0.25">
      <c r="A21" s="5">
        <v>302</v>
      </c>
      <c r="B21" s="5" t="str">
        <f>VLOOKUP(A21,'BL-TAPIAS'!B25:H147,7,FALSE)</f>
        <v>2.Reservado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5000</v>
      </c>
      <c r="AF21" s="6">
        <v>2008.12</v>
      </c>
      <c r="AG21" s="6">
        <v>2008.12</v>
      </c>
      <c r="AH21" s="6">
        <v>2008.12</v>
      </c>
      <c r="AI21" s="6">
        <v>2008.12</v>
      </c>
      <c r="AJ21" s="6">
        <v>2008.12</v>
      </c>
      <c r="AK21" s="6">
        <v>2008.12</v>
      </c>
      <c r="AL21" s="6">
        <v>2008.12</v>
      </c>
      <c r="AM21" s="6">
        <v>2008.12</v>
      </c>
      <c r="AN21" s="6">
        <v>2008.12</v>
      </c>
      <c r="AO21" s="6">
        <v>2008.12</v>
      </c>
      <c r="AP21" s="6">
        <v>2008.12</v>
      </c>
      <c r="AQ21" s="6">
        <v>2008.12</v>
      </c>
      <c r="AR21" s="6">
        <v>2008.12</v>
      </c>
      <c r="AS21" s="6">
        <v>2008.12</v>
      </c>
      <c r="AT21" s="6">
        <v>2008.12</v>
      </c>
      <c r="AU21" s="6">
        <v>2008.12</v>
      </c>
      <c r="AV21" s="6">
        <v>2008.12</v>
      </c>
      <c r="AW21" s="6">
        <v>2008.12</v>
      </c>
      <c r="AX21" s="6">
        <v>2008.12</v>
      </c>
      <c r="AY21" s="6">
        <v>2008.12</v>
      </c>
      <c r="AZ21" s="6">
        <v>2008.12</v>
      </c>
      <c r="BA21" s="6">
        <v>2008.12</v>
      </c>
      <c r="BB21" s="6">
        <v>2008.12</v>
      </c>
      <c r="BC21" s="6">
        <v>1024.24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f t="shared" si="0"/>
        <v>52211.000000000015</v>
      </c>
      <c r="CH21" s="6">
        <f>VLOOKUP(A21,'BL-TAPIAS'!$B$6:$J$123,8,FALSE)</f>
        <v>817300</v>
      </c>
      <c r="CI21" s="6">
        <f>VLOOKUP(A21,'BL-TAPIAS'!$B$6:$J$123,9,FALSE)</f>
        <v>57211.000000000007</v>
      </c>
      <c r="CJ21" s="119">
        <v>5000</v>
      </c>
      <c r="CK21" s="119">
        <f t="shared" si="1"/>
        <v>52211.000000000007</v>
      </c>
      <c r="CL21" s="119">
        <f t="shared" si="2"/>
        <v>2008.115384615385</v>
      </c>
      <c r="CM21" s="215">
        <f t="shared" si="3"/>
        <v>0</v>
      </c>
    </row>
    <row r="22" spans="1:91" x14ac:dyDescent="0.25">
      <c r="A22" s="5">
        <v>303</v>
      </c>
      <c r="B22" s="5" t="str">
        <f>VLOOKUP(A22,'BL-TAPIAS'!B26:H148,7,FALSE)</f>
        <v>2.Reservado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5000</v>
      </c>
      <c r="AK22" s="6">
        <v>2008.12</v>
      </c>
      <c r="AL22" s="6">
        <v>2008.12</v>
      </c>
      <c r="AM22" s="6">
        <v>2008.12</v>
      </c>
      <c r="AN22" s="6">
        <v>2008.12</v>
      </c>
      <c r="AO22" s="6">
        <v>2008.12</v>
      </c>
      <c r="AP22" s="6">
        <v>2008.12</v>
      </c>
      <c r="AQ22" s="6">
        <v>2008.12</v>
      </c>
      <c r="AR22" s="6">
        <v>2008.12</v>
      </c>
      <c r="AS22" s="6">
        <v>2008.12</v>
      </c>
      <c r="AT22" s="6">
        <v>2008.12</v>
      </c>
      <c r="AU22" s="6">
        <v>2008.12</v>
      </c>
      <c r="AV22" s="6">
        <v>2008.12</v>
      </c>
      <c r="AW22" s="6">
        <v>2008.12</v>
      </c>
      <c r="AX22" s="6">
        <v>2008.12</v>
      </c>
      <c r="AY22" s="6">
        <v>2008.12</v>
      </c>
      <c r="AZ22" s="6">
        <v>2008.12</v>
      </c>
      <c r="BA22" s="6">
        <v>2008.12</v>
      </c>
      <c r="BB22" s="6">
        <v>2008.12</v>
      </c>
      <c r="BC22" s="6">
        <v>2008.12</v>
      </c>
      <c r="BD22" s="6">
        <v>2008.12</v>
      </c>
      <c r="BE22" s="6">
        <v>2008.12</v>
      </c>
      <c r="BF22" s="6">
        <v>2008.12</v>
      </c>
      <c r="BG22" s="6">
        <v>2008.12</v>
      </c>
      <c r="BH22" s="6">
        <v>1024.24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f t="shared" si="0"/>
        <v>52211.000000000015</v>
      </c>
      <c r="CH22" s="6">
        <f>VLOOKUP(A22,'BL-TAPIAS'!$B$6:$J$123,8,FALSE)</f>
        <v>744000</v>
      </c>
      <c r="CI22" s="6">
        <f>VLOOKUP(A22,'BL-TAPIAS'!$B$6:$J$123,9,FALSE)</f>
        <v>52100</v>
      </c>
      <c r="CJ22" s="119">
        <v>5000</v>
      </c>
      <c r="CK22" s="119">
        <f t="shared" si="1"/>
        <v>47100</v>
      </c>
      <c r="CL22" s="119">
        <f t="shared" si="2"/>
        <v>1811.5384615384614</v>
      </c>
      <c r="CM22" s="215">
        <f t="shared" si="3"/>
        <v>5111.0000000000146</v>
      </c>
    </row>
    <row r="23" spans="1:91" x14ac:dyDescent="0.25">
      <c r="A23" s="5">
        <v>304</v>
      </c>
      <c r="B23" s="5" t="str">
        <f>VLOOKUP(A23,'BL-TAPIAS'!B27:H149,7,FALSE)</f>
        <v>1.Disponible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3000</v>
      </c>
      <c r="AJ23" s="6">
        <v>1559.23</v>
      </c>
      <c r="AK23" s="6">
        <v>1559.23</v>
      </c>
      <c r="AL23" s="6">
        <v>1559.23</v>
      </c>
      <c r="AM23" s="6">
        <v>1559.23</v>
      </c>
      <c r="AN23" s="6">
        <v>1559.23</v>
      </c>
      <c r="AO23" s="6">
        <v>1559.23</v>
      </c>
      <c r="AP23" s="6">
        <v>1559.23</v>
      </c>
      <c r="AQ23" s="6">
        <v>1559.23</v>
      </c>
      <c r="AR23" s="6">
        <v>1559.23</v>
      </c>
      <c r="AS23" s="6">
        <v>1559.23</v>
      </c>
      <c r="AT23" s="6">
        <v>1559.23</v>
      </c>
      <c r="AU23" s="6">
        <v>1559.23</v>
      </c>
      <c r="AV23" s="6">
        <v>1559.23</v>
      </c>
      <c r="AW23" s="6">
        <v>1559.23</v>
      </c>
      <c r="AX23" s="6">
        <v>1559.23</v>
      </c>
      <c r="AY23" s="6">
        <v>1559.23</v>
      </c>
      <c r="AZ23" s="6">
        <v>1559.23</v>
      </c>
      <c r="BA23" s="6">
        <v>1559.23</v>
      </c>
      <c r="BB23" s="6">
        <v>1559.23</v>
      </c>
      <c r="BC23" s="6">
        <v>1559.23</v>
      </c>
      <c r="BD23" s="6">
        <v>1559.23</v>
      </c>
      <c r="BE23" s="6">
        <v>1559.23</v>
      </c>
      <c r="BF23" s="6">
        <v>1559.23</v>
      </c>
      <c r="BG23" s="6">
        <v>1677.71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f t="shared" si="0"/>
        <v>40540</v>
      </c>
      <c r="CH23" s="6">
        <f>VLOOKUP(A23,'BL-TAPIAS'!$B$6:$J$123,8,FALSE)</f>
        <v>622000</v>
      </c>
      <c r="CI23" s="6">
        <f>VLOOKUP(A23,'BL-TAPIAS'!$B$6:$J$123,9,FALSE)</f>
        <v>43540.000000000007</v>
      </c>
      <c r="CJ23" s="119">
        <v>3000</v>
      </c>
      <c r="CK23" s="119">
        <f t="shared" si="1"/>
        <v>40540.000000000007</v>
      </c>
      <c r="CL23" s="119">
        <f t="shared" si="2"/>
        <v>1559.2307692307695</v>
      </c>
      <c r="CM23" s="215">
        <f t="shared" si="3"/>
        <v>0</v>
      </c>
    </row>
    <row r="24" spans="1:91" x14ac:dyDescent="0.25">
      <c r="A24" s="5">
        <v>305</v>
      </c>
      <c r="B24" s="5" t="str">
        <f>VLOOKUP(A24,'BL-TAPIAS'!B28:H150,7,FALSE)</f>
        <v>1.Disponible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3000</v>
      </c>
      <c r="AK24" s="6">
        <v>1559.23</v>
      </c>
      <c r="AL24" s="6">
        <v>1559.23</v>
      </c>
      <c r="AM24" s="6">
        <v>1559.23</v>
      </c>
      <c r="AN24" s="6">
        <v>1559.23</v>
      </c>
      <c r="AO24" s="6">
        <v>1559.23</v>
      </c>
      <c r="AP24" s="6">
        <v>1559.23</v>
      </c>
      <c r="AQ24" s="6">
        <v>1559.23</v>
      </c>
      <c r="AR24" s="6">
        <v>1559.23</v>
      </c>
      <c r="AS24" s="6">
        <v>1559.23</v>
      </c>
      <c r="AT24" s="6">
        <v>1559.23</v>
      </c>
      <c r="AU24" s="6">
        <v>1559.23</v>
      </c>
      <c r="AV24" s="6">
        <v>1559.23</v>
      </c>
      <c r="AW24" s="6">
        <v>1559.23</v>
      </c>
      <c r="AX24" s="6">
        <v>1559.23</v>
      </c>
      <c r="AY24" s="6">
        <v>1559.23</v>
      </c>
      <c r="AZ24" s="6">
        <v>1559.23</v>
      </c>
      <c r="BA24" s="6">
        <v>1559.23</v>
      </c>
      <c r="BB24" s="6">
        <v>1559.23</v>
      </c>
      <c r="BC24" s="6">
        <v>1559.23</v>
      </c>
      <c r="BD24" s="6">
        <v>1559.23</v>
      </c>
      <c r="BE24" s="6">
        <v>1559.23</v>
      </c>
      <c r="BF24" s="6">
        <v>1559.23</v>
      </c>
      <c r="BG24" s="6">
        <v>1559.23</v>
      </c>
      <c r="BH24" s="6">
        <v>1677.71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f t="shared" si="0"/>
        <v>40540</v>
      </c>
      <c r="CH24" s="6">
        <f>VLOOKUP(A24,'BL-TAPIAS'!$B$6:$J$123,8,FALSE)</f>
        <v>622000</v>
      </c>
      <c r="CI24" s="6">
        <f>VLOOKUP(A24,'BL-TAPIAS'!$B$6:$J$123,9,FALSE)</f>
        <v>43540.000000000007</v>
      </c>
      <c r="CJ24" s="119">
        <v>3000</v>
      </c>
      <c r="CK24" s="119">
        <f t="shared" si="1"/>
        <v>40540.000000000007</v>
      </c>
      <c r="CL24" s="119">
        <f t="shared" si="2"/>
        <v>1559.2307692307695</v>
      </c>
      <c r="CM24" s="215">
        <f t="shared" si="3"/>
        <v>0</v>
      </c>
    </row>
    <row r="25" spans="1:91" x14ac:dyDescent="0.25">
      <c r="A25" s="5">
        <v>306</v>
      </c>
      <c r="B25" s="5" t="str">
        <f>VLOOKUP(A25,'BL-TAPIAS'!B29:H151,7,FALSE)</f>
        <v>1.Disponible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3000</v>
      </c>
      <c r="AF25" s="6">
        <v>2023.38</v>
      </c>
      <c r="AG25" s="6">
        <v>2023.38</v>
      </c>
      <c r="AH25" s="6">
        <v>2023.38</v>
      </c>
      <c r="AI25" s="6">
        <v>2023.38</v>
      </c>
      <c r="AJ25" s="6">
        <v>2023.38</v>
      </c>
      <c r="AK25" s="6">
        <v>2023.38</v>
      </c>
      <c r="AL25" s="6">
        <v>2023.38</v>
      </c>
      <c r="AM25" s="6">
        <v>2023.38</v>
      </c>
      <c r="AN25" s="6">
        <v>2023.38</v>
      </c>
      <c r="AO25" s="6">
        <v>2023.38</v>
      </c>
      <c r="AP25" s="6">
        <v>2023.38</v>
      </c>
      <c r="AQ25" s="6">
        <v>2023.38</v>
      </c>
      <c r="AR25" s="6">
        <v>2023.38</v>
      </c>
      <c r="AS25" s="6">
        <v>2023.38</v>
      </c>
      <c r="AT25" s="6">
        <v>2023.38</v>
      </c>
      <c r="AU25" s="6">
        <v>2023.38</v>
      </c>
      <c r="AV25" s="6">
        <v>2023.38</v>
      </c>
      <c r="AW25" s="6">
        <v>2023.38</v>
      </c>
      <c r="AX25" s="6">
        <v>2023.38</v>
      </c>
      <c r="AY25" s="6">
        <v>2023.38</v>
      </c>
      <c r="AZ25" s="6">
        <v>2023.38</v>
      </c>
      <c r="BA25" s="6">
        <v>2023.38</v>
      </c>
      <c r="BB25" s="6">
        <v>2023.38</v>
      </c>
      <c r="BC25" s="6">
        <v>2023.38</v>
      </c>
      <c r="BD25" s="6">
        <v>1046.8800000000001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f t="shared" si="0"/>
        <v>52607.999999999985</v>
      </c>
      <c r="CH25" s="6">
        <f>VLOOKUP(A25,'BL-TAPIAS'!$B$6:$J$123,8,FALSE)</f>
        <v>794400</v>
      </c>
      <c r="CI25" s="6">
        <f>VLOOKUP(A25,'BL-TAPIAS'!$B$6:$J$123,9,FALSE)</f>
        <v>55608.000000000007</v>
      </c>
      <c r="CJ25" s="119">
        <v>3000</v>
      </c>
      <c r="CK25" s="119">
        <f t="shared" si="1"/>
        <v>52608.000000000007</v>
      </c>
      <c r="CL25" s="119">
        <f t="shared" si="2"/>
        <v>2023.3846153846157</v>
      </c>
      <c r="CM25" s="215">
        <f t="shared" si="3"/>
        <v>0</v>
      </c>
    </row>
    <row r="26" spans="1:91" x14ac:dyDescent="0.25">
      <c r="A26" s="5">
        <v>307</v>
      </c>
      <c r="B26" s="5" t="str">
        <f>VLOOKUP(A26,'BL-TAPIAS'!B30:H152,7,FALSE)</f>
        <v>1.Disponible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>
        <v>5000</v>
      </c>
      <c r="AL26" s="6">
        <v>2302.38</v>
      </c>
      <c r="AM26" s="6">
        <v>2302.38</v>
      </c>
      <c r="AN26" s="6">
        <v>2302.38</v>
      </c>
      <c r="AO26" s="6">
        <v>2302.38</v>
      </c>
      <c r="AP26" s="6">
        <v>2302.38</v>
      </c>
      <c r="AQ26" s="6">
        <v>2302.38</v>
      </c>
      <c r="AR26" s="6">
        <v>2302.38</v>
      </c>
      <c r="AS26" s="6">
        <v>2302.38</v>
      </c>
      <c r="AT26" s="6">
        <v>2302.38</v>
      </c>
      <c r="AU26" s="6">
        <v>2302.38</v>
      </c>
      <c r="AV26" s="6">
        <v>2302.38</v>
      </c>
      <c r="AW26" s="6">
        <v>2302.38</v>
      </c>
      <c r="AX26" s="6">
        <v>2302.38</v>
      </c>
      <c r="AY26" s="6">
        <v>2302.38</v>
      </c>
      <c r="AZ26" s="6">
        <v>2302.38</v>
      </c>
      <c r="BA26" s="6">
        <v>2302.38</v>
      </c>
      <c r="BB26" s="6">
        <v>2302.38</v>
      </c>
      <c r="BC26" s="6">
        <v>2302.38</v>
      </c>
      <c r="BD26" s="6">
        <v>2302.38</v>
      </c>
      <c r="BE26" s="6">
        <v>2302.38</v>
      </c>
      <c r="BF26" s="6">
        <v>2302.38</v>
      </c>
      <c r="BG26" s="6">
        <v>2302.38</v>
      </c>
      <c r="BH26" s="6">
        <v>2302.38</v>
      </c>
      <c r="BI26" s="6">
        <v>1907.26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f t="shared" si="0"/>
        <v>59861.999999999985</v>
      </c>
      <c r="CH26" s="6">
        <f>VLOOKUP(A26,'BL-TAPIAS'!$B$6:$J$123,8,FALSE)</f>
        <v>926600</v>
      </c>
      <c r="CI26" s="6">
        <f>VLOOKUP(A26,'BL-TAPIAS'!$B$6:$J$123,9,FALSE)</f>
        <v>64862.000000000007</v>
      </c>
      <c r="CJ26" s="119">
        <v>5000</v>
      </c>
      <c r="CK26" s="119">
        <f t="shared" si="1"/>
        <v>59862.000000000007</v>
      </c>
      <c r="CL26" s="119">
        <f t="shared" si="2"/>
        <v>2302.3846153846157</v>
      </c>
      <c r="CM26" s="215">
        <f t="shared" si="3"/>
        <v>0</v>
      </c>
    </row>
    <row r="27" spans="1:91" x14ac:dyDescent="0.25">
      <c r="A27" s="5">
        <v>308</v>
      </c>
      <c r="B27" s="5" t="str">
        <f>VLOOKUP(A27,'BL-TAPIAS'!B31:H153,7,FALSE)</f>
        <v>1.Disponible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5000</v>
      </c>
      <c r="AU27" s="6">
        <v>2302.38</v>
      </c>
      <c r="AV27" s="6">
        <v>2302.38</v>
      </c>
      <c r="AW27" s="6">
        <v>2302.38</v>
      </c>
      <c r="AX27" s="6">
        <v>2302.38</v>
      </c>
      <c r="AY27" s="6">
        <v>2302.38</v>
      </c>
      <c r="AZ27" s="6">
        <v>2302.38</v>
      </c>
      <c r="BA27" s="6">
        <v>2302.38</v>
      </c>
      <c r="BB27" s="6">
        <v>2302.38</v>
      </c>
      <c r="BC27" s="6">
        <v>2302.38</v>
      </c>
      <c r="BD27" s="6">
        <v>2302.38</v>
      </c>
      <c r="BE27" s="6">
        <v>2302.38</v>
      </c>
      <c r="BF27" s="6">
        <v>2302.38</v>
      </c>
      <c r="BG27" s="6">
        <v>2302.38</v>
      </c>
      <c r="BH27" s="6">
        <v>2302.38</v>
      </c>
      <c r="BI27" s="6">
        <v>2302.38</v>
      </c>
      <c r="BJ27" s="6">
        <v>2302.38</v>
      </c>
      <c r="BK27" s="6">
        <v>2302.38</v>
      </c>
      <c r="BL27" s="6">
        <v>2302.38</v>
      </c>
      <c r="BM27" s="6">
        <v>2302.38</v>
      </c>
      <c r="BN27" s="6">
        <v>2302.38</v>
      </c>
      <c r="BO27" s="6">
        <v>2302.38</v>
      </c>
      <c r="BP27" s="6">
        <v>2302.38</v>
      </c>
      <c r="BQ27" s="6">
        <v>2302.38</v>
      </c>
      <c r="BR27" s="6">
        <v>1907.26</v>
      </c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f t="shared" si="0"/>
        <v>59861.999999999985</v>
      </c>
      <c r="CH27" s="6">
        <f>VLOOKUP(A27,'BL-TAPIAS'!$B$6:$J$123,8,FALSE)</f>
        <v>926600</v>
      </c>
      <c r="CI27" s="6">
        <f>VLOOKUP(A27,'BL-TAPIAS'!$B$6:$J$123,9,FALSE)</f>
        <v>64862.000000000007</v>
      </c>
      <c r="CJ27" s="119">
        <v>5000</v>
      </c>
      <c r="CK27" s="119">
        <f t="shared" si="1"/>
        <v>59862.000000000007</v>
      </c>
      <c r="CL27" s="119">
        <f t="shared" si="2"/>
        <v>2302.3846153846157</v>
      </c>
      <c r="CM27" s="215">
        <f t="shared" si="3"/>
        <v>0</v>
      </c>
    </row>
    <row r="28" spans="1:91" x14ac:dyDescent="0.25">
      <c r="A28" s="5">
        <v>309</v>
      </c>
      <c r="B28" s="5" t="str">
        <f>VLOOKUP(A28,'BL-TAPIAS'!B32:H154,7,FALSE)</f>
        <v>1.Disponible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3000</v>
      </c>
      <c r="AT28" s="6">
        <v>2023.38</v>
      </c>
      <c r="AU28" s="6">
        <v>2023.38</v>
      </c>
      <c r="AV28" s="6">
        <v>2023.38</v>
      </c>
      <c r="AW28" s="6">
        <v>2023.38</v>
      </c>
      <c r="AX28" s="6">
        <v>2023.38</v>
      </c>
      <c r="AY28" s="6">
        <v>2023.38</v>
      </c>
      <c r="AZ28" s="6">
        <v>2023.38</v>
      </c>
      <c r="BA28" s="6">
        <v>2023.38</v>
      </c>
      <c r="BB28" s="6">
        <v>2023.38</v>
      </c>
      <c r="BC28" s="6">
        <v>2023.38</v>
      </c>
      <c r="BD28" s="6">
        <v>2023.38</v>
      </c>
      <c r="BE28" s="6">
        <v>2023.38</v>
      </c>
      <c r="BF28" s="6">
        <v>2023.38</v>
      </c>
      <c r="BG28" s="6">
        <v>2023.38</v>
      </c>
      <c r="BH28" s="6">
        <v>2023.38</v>
      </c>
      <c r="BI28" s="6">
        <v>2023.38</v>
      </c>
      <c r="BJ28" s="6">
        <v>2023.38</v>
      </c>
      <c r="BK28" s="6">
        <v>2023.38</v>
      </c>
      <c r="BL28" s="6">
        <v>2023.38</v>
      </c>
      <c r="BM28" s="6">
        <v>2023.38</v>
      </c>
      <c r="BN28" s="6">
        <v>2023.38</v>
      </c>
      <c r="BO28" s="6">
        <v>2023.38</v>
      </c>
      <c r="BP28" s="6">
        <v>2023.38</v>
      </c>
      <c r="BQ28" s="6">
        <v>2023.38</v>
      </c>
      <c r="BR28" s="6">
        <v>1046.8800000000001</v>
      </c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f t="shared" si="0"/>
        <v>52607.999999999985</v>
      </c>
      <c r="CH28" s="6">
        <f>VLOOKUP(A28,'BL-TAPIAS'!$B$6:$J$123,8,FALSE)</f>
        <v>794400</v>
      </c>
      <c r="CI28" s="6">
        <f>VLOOKUP(A28,'BL-TAPIAS'!$B$6:$J$123,9,FALSE)</f>
        <v>55608.000000000007</v>
      </c>
      <c r="CJ28" s="119">
        <v>3000</v>
      </c>
      <c r="CK28" s="119">
        <f t="shared" si="1"/>
        <v>52608.000000000007</v>
      </c>
      <c r="CL28" s="119">
        <f t="shared" si="2"/>
        <v>2023.3846153846157</v>
      </c>
      <c r="CM28" s="215">
        <f t="shared" si="3"/>
        <v>0</v>
      </c>
    </row>
    <row r="29" spans="1:91" x14ac:dyDescent="0.25">
      <c r="A29" s="5">
        <v>401</v>
      </c>
      <c r="B29" s="5" t="str">
        <f>VLOOKUP(A29,'BL-TAPIAS'!B33:H155,7,FALSE)</f>
        <v>4. Plan de Pagos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3000</v>
      </c>
      <c r="AL29" s="6">
        <v>1559.23</v>
      </c>
      <c r="AM29" s="6">
        <v>1559.23</v>
      </c>
      <c r="AN29" s="6">
        <v>1559.23</v>
      </c>
      <c r="AO29" s="6">
        <v>1559.23</v>
      </c>
      <c r="AP29" s="6">
        <v>1559.23</v>
      </c>
      <c r="AQ29" s="6">
        <v>1559.23</v>
      </c>
      <c r="AR29" s="6">
        <v>1559.23</v>
      </c>
      <c r="AS29" s="6">
        <v>1559.23</v>
      </c>
      <c r="AT29" s="6">
        <v>1559.23</v>
      </c>
      <c r="AU29" s="6">
        <v>1559.23</v>
      </c>
      <c r="AV29" s="6">
        <v>1559.23</v>
      </c>
      <c r="AW29" s="6">
        <v>1559.23</v>
      </c>
      <c r="AX29" s="6">
        <v>1559.23</v>
      </c>
      <c r="AY29" s="6">
        <v>1559.23</v>
      </c>
      <c r="AZ29" s="6">
        <v>1559.23</v>
      </c>
      <c r="BA29" s="6">
        <v>1559.23</v>
      </c>
      <c r="BB29" s="6">
        <v>1559.23</v>
      </c>
      <c r="BC29" s="6">
        <v>1559.23</v>
      </c>
      <c r="BD29" s="6">
        <v>1559.23</v>
      </c>
      <c r="BE29" s="6">
        <v>1559.23</v>
      </c>
      <c r="BF29" s="6">
        <v>1559.23</v>
      </c>
      <c r="BG29" s="6">
        <v>1559.23</v>
      </c>
      <c r="BH29" s="6">
        <v>1559.23</v>
      </c>
      <c r="BI29" s="6">
        <v>1677.71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f t="shared" si="0"/>
        <v>40540</v>
      </c>
      <c r="CH29" s="6">
        <f>VLOOKUP(A29,'BL-TAPIAS'!$B$6:$J$123,8,FALSE)</f>
        <v>622000</v>
      </c>
      <c r="CI29" s="6">
        <f>VLOOKUP(A29,'BL-TAPIAS'!$B$6:$J$123,9,FALSE)</f>
        <v>43540.000000000007</v>
      </c>
      <c r="CJ29" s="119">
        <v>3000</v>
      </c>
      <c r="CK29" s="119">
        <f t="shared" si="1"/>
        <v>40540.000000000007</v>
      </c>
      <c r="CL29" s="119">
        <f t="shared" si="2"/>
        <v>1559.2307692307695</v>
      </c>
      <c r="CM29" s="215">
        <f t="shared" si="3"/>
        <v>0</v>
      </c>
    </row>
    <row r="30" spans="1:91" x14ac:dyDescent="0.25">
      <c r="A30" s="233">
        <v>402</v>
      </c>
      <c r="B30" s="233" t="str">
        <f>VLOOKUP(A30,'BL-TAPIAS'!B34:H156,7,FALSE)</f>
        <v>4. Plan de Pagos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3000</v>
      </c>
      <c r="AD30" s="6">
        <v>2142.9299999999998</v>
      </c>
      <c r="AE30" s="6">
        <v>2142.9299999999998</v>
      </c>
      <c r="AF30" s="6">
        <v>2142.9299999999998</v>
      </c>
      <c r="AG30" s="6">
        <v>2142.9299999999998</v>
      </c>
      <c r="AH30" s="6">
        <v>2142.9299999999998</v>
      </c>
      <c r="AI30" s="6">
        <v>2142.9299999999998</v>
      </c>
      <c r="AJ30" s="6">
        <v>2142.9299999999998</v>
      </c>
      <c r="AK30" s="6">
        <v>2142.9299999999998</v>
      </c>
      <c r="AL30" s="6">
        <v>2142.9299999999998</v>
      </c>
      <c r="AM30" s="6">
        <v>2142.9299999999998</v>
      </c>
      <c r="AN30" s="6">
        <v>2142.9299999999998</v>
      </c>
      <c r="AO30" s="6">
        <v>2142.9299999999998</v>
      </c>
      <c r="AP30" s="6">
        <v>2142.9299999999998</v>
      </c>
      <c r="AQ30" s="6">
        <v>2142.9299999999998</v>
      </c>
      <c r="AR30" s="6">
        <v>2142.9299999999998</v>
      </c>
      <c r="AS30" s="6">
        <v>2142.9299999999998</v>
      </c>
      <c r="AT30" s="6">
        <v>2142.9299999999998</v>
      </c>
      <c r="AU30" s="6">
        <v>2142.9299999999998</v>
      </c>
      <c r="AV30" s="6">
        <v>2142.9299999999998</v>
      </c>
      <c r="AW30" s="6">
        <v>2142.9299999999998</v>
      </c>
      <c r="AX30" s="6">
        <v>2142.9299999999998</v>
      </c>
      <c r="AY30" s="6">
        <v>2142.9299999999998</v>
      </c>
      <c r="AZ30" s="6">
        <v>2142.9299999999998</v>
      </c>
      <c r="BA30" s="6">
        <v>2142.9299999999998</v>
      </c>
      <c r="BB30" s="6">
        <v>2142.9299999999998</v>
      </c>
      <c r="BC30" s="6">
        <v>2142.9299999999998</v>
      </c>
      <c r="BD30" s="6">
        <v>2142.9299999999998</v>
      </c>
      <c r="BE30" s="6">
        <v>2142.9299999999998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f t="shared" si="0"/>
        <v>63002.040000000008</v>
      </c>
      <c r="CH30" s="201">
        <f>VLOOKUP(A30,'BL-TAPIAS'!$B$6:$J$123,8,FALSE)</f>
        <v>898802</v>
      </c>
      <c r="CI30" s="201">
        <f>VLOOKUP(A30,'BL-TAPIAS'!$B$6:$J$123,9,FALSE)</f>
        <v>60002</v>
      </c>
      <c r="CJ30" s="239">
        <v>3000</v>
      </c>
      <c r="CK30" s="239">
        <f t="shared" si="1"/>
        <v>57002</v>
      </c>
      <c r="CL30" s="239">
        <f t="shared" si="2"/>
        <v>2192.3846153846152</v>
      </c>
      <c r="CM30" s="215">
        <f>+CG30-CK30</f>
        <v>6000.0400000000081</v>
      </c>
    </row>
    <row r="31" spans="1:91" x14ac:dyDescent="0.25">
      <c r="A31" s="5">
        <v>403</v>
      </c>
      <c r="B31" s="5" t="str">
        <f>VLOOKUP(A31,'BL-TAPIAS'!B35:H157,7,FALSE)</f>
        <v>1.Disponible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5000</v>
      </c>
      <c r="AF31" s="6">
        <v>2302.38</v>
      </c>
      <c r="AG31" s="6">
        <v>2302.38</v>
      </c>
      <c r="AH31" s="6">
        <v>2302.38</v>
      </c>
      <c r="AI31" s="6">
        <v>2302.38</v>
      </c>
      <c r="AJ31" s="6">
        <v>2302.38</v>
      </c>
      <c r="AK31" s="6">
        <v>2302.38</v>
      </c>
      <c r="AL31" s="6">
        <v>2302.38</v>
      </c>
      <c r="AM31" s="6">
        <v>2302.38</v>
      </c>
      <c r="AN31" s="6">
        <v>2302.38</v>
      </c>
      <c r="AO31" s="6">
        <v>2302.38</v>
      </c>
      <c r="AP31" s="6">
        <v>2302.38</v>
      </c>
      <c r="AQ31" s="6">
        <v>2302.38</v>
      </c>
      <c r="AR31" s="6">
        <v>2302.38</v>
      </c>
      <c r="AS31" s="6">
        <v>2302.38</v>
      </c>
      <c r="AT31" s="6">
        <v>2302.38</v>
      </c>
      <c r="AU31" s="6">
        <v>2302.38</v>
      </c>
      <c r="AV31" s="6">
        <v>2302.38</v>
      </c>
      <c r="AW31" s="6">
        <v>2302.38</v>
      </c>
      <c r="AX31" s="6">
        <v>2302.38</v>
      </c>
      <c r="AY31" s="6">
        <v>2302.38</v>
      </c>
      <c r="AZ31" s="6">
        <v>2302.38</v>
      </c>
      <c r="BA31" s="6">
        <v>2302.38</v>
      </c>
      <c r="BB31" s="6">
        <v>2302.38</v>
      </c>
      <c r="BC31" s="6">
        <v>1907.26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f t="shared" si="0"/>
        <v>59861.999999999985</v>
      </c>
      <c r="CH31" s="6">
        <f>VLOOKUP(A31,'BL-TAPIAS'!$B$6:$J$123,8,FALSE)</f>
        <v>926600</v>
      </c>
      <c r="CI31" s="6">
        <f>VLOOKUP(A31,'BL-TAPIAS'!$B$6:$J$123,9,FALSE)</f>
        <v>64862.000000000007</v>
      </c>
      <c r="CJ31" s="119">
        <v>5000</v>
      </c>
      <c r="CK31" s="119">
        <f t="shared" si="1"/>
        <v>59862.000000000007</v>
      </c>
      <c r="CL31" s="119">
        <f t="shared" si="2"/>
        <v>2302.3846153846157</v>
      </c>
      <c r="CM31" s="215">
        <f t="shared" ref="CM31:CM94" si="4">+CG31-CK31</f>
        <v>0</v>
      </c>
    </row>
    <row r="32" spans="1:91" x14ac:dyDescent="0.25">
      <c r="A32" s="5">
        <v>404</v>
      </c>
      <c r="B32" s="5" t="str">
        <f>VLOOKUP(A32,'BL-TAPIAS'!B36:H158,7,FALSE)</f>
        <v>1.Disponible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>
        <v>3000</v>
      </c>
      <c r="AM32" s="6">
        <v>1559.23</v>
      </c>
      <c r="AN32" s="6">
        <v>1559.23</v>
      </c>
      <c r="AO32" s="6">
        <v>1559.23</v>
      </c>
      <c r="AP32" s="6">
        <v>1559.23</v>
      </c>
      <c r="AQ32" s="6">
        <v>1559.23</v>
      </c>
      <c r="AR32" s="6">
        <v>1559.23</v>
      </c>
      <c r="AS32" s="6">
        <v>1559.23</v>
      </c>
      <c r="AT32" s="6">
        <v>1559.23</v>
      </c>
      <c r="AU32" s="6">
        <v>1559.23</v>
      </c>
      <c r="AV32" s="6">
        <v>1559.23</v>
      </c>
      <c r="AW32" s="6">
        <v>1559.23</v>
      </c>
      <c r="AX32" s="6">
        <v>1559.23</v>
      </c>
      <c r="AY32" s="6">
        <v>1559.23</v>
      </c>
      <c r="AZ32" s="6">
        <v>1559.23</v>
      </c>
      <c r="BA32" s="6">
        <v>1559.23</v>
      </c>
      <c r="BB32" s="6">
        <v>1559.23</v>
      </c>
      <c r="BC32" s="6">
        <v>1559.23</v>
      </c>
      <c r="BD32" s="6">
        <v>1559.23</v>
      </c>
      <c r="BE32" s="6">
        <v>1559.23</v>
      </c>
      <c r="BF32" s="6">
        <v>1559.23</v>
      </c>
      <c r="BG32" s="6">
        <v>1559.23</v>
      </c>
      <c r="BH32" s="6">
        <v>1559.23</v>
      </c>
      <c r="BI32" s="6">
        <v>1559.23</v>
      </c>
      <c r="BJ32" s="6">
        <v>1677.71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f t="shared" si="0"/>
        <v>40540</v>
      </c>
      <c r="CH32" s="6">
        <f>VLOOKUP(A32,'BL-TAPIAS'!$B$6:$J$123,8,FALSE)</f>
        <v>622000</v>
      </c>
      <c r="CI32" s="6">
        <f>VLOOKUP(A32,'BL-TAPIAS'!$B$6:$J$123,9,FALSE)</f>
        <v>43540.000000000007</v>
      </c>
      <c r="CJ32" s="119">
        <v>3000</v>
      </c>
      <c r="CK32" s="119">
        <f t="shared" si="1"/>
        <v>40540.000000000007</v>
      </c>
      <c r="CL32" s="119">
        <f t="shared" si="2"/>
        <v>1559.2307692307695</v>
      </c>
      <c r="CM32" s="215">
        <f t="shared" si="4"/>
        <v>0</v>
      </c>
    </row>
    <row r="33" spans="1:91" x14ac:dyDescent="0.25">
      <c r="A33" s="5">
        <v>405</v>
      </c>
      <c r="B33" s="5" t="str">
        <f>VLOOKUP(A33,'BL-TAPIAS'!B37:H159,7,FALSE)</f>
        <v>2.Reservado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3000</v>
      </c>
      <c r="AN33" s="6">
        <v>1559.23</v>
      </c>
      <c r="AO33" s="6">
        <v>1559.23</v>
      </c>
      <c r="AP33" s="6">
        <v>1559.23</v>
      </c>
      <c r="AQ33" s="6">
        <v>1559.23</v>
      </c>
      <c r="AR33" s="6">
        <v>1559.23</v>
      </c>
      <c r="AS33" s="6">
        <v>1559.23</v>
      </c>
      <c r="AT33" s="6">
        <v>1559.23</v>
      </c>
      <c r="AU33" s="6">
        <v>1559.23</v>
      </c>
      <c r="AV33" s="6">
        <v>1559.23</v>
      </c>
      <c r="AW33" s="6">
        <v>1559.23</v>
      </c>
      <c r="AX33" s="6">
        <v>1559.23</v>
      </c>
      <c r="AY33" s="6">
        <v>1559.23</v>
      </c>
      <c r="AZ33" s="6">
        <v>1559.23</v>
      </c>
      <c r="BA33" s="6">
        <v>1559.23</v>
      </c>
      <c r="BB33" s="6">
        <v>1559.23</v>
      </c>
      <c r="BC33" s="6">
        <v>1559.23</v>
      </c>
      <c r="BD33" s="6">
        <v>1559.23</v>
      </c>
      <c r="BE33" s="6">
        <v>1559.23</v>
      </c>
      <c r="BF33" s="6">
        <v>1559.23</v>
      </c>
      <c r="BG33" s="6">
        <v>1559.23</v>
      </c>
      <c r="BH33" s="6">
        <v>1559.23</v>
      </c>
      <c r="BI33" s="6">
        <v>1559.23</v>
      </c>
      <c r="BJ33" s="6">
        <v>1559.23</v>
      </c>
      <c r="BK33" s="6">
        <v>1677.71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f t="shared" si="0"/>
        <v>40540</v>
      </c>
      <c r="CH33" s="6">
        <f>VLOOKUP(A33,'BL-TAPIAS'!$B$6:$J$123,8,FALSE)</f>
        <v>622000</v>
      </c>
      <c r="CI33" s="6">
        <f>VLOOKUP(A33,'BL-TAPIAS'!$B$6:$J$123,9,FALSE)</f>
        <v>43540.000000000007</v>
      </c>
      <c r="CJ33" s="119">
        <v>3000</v>
      </c>
      <c r="CK33" s="119">
        <f t="shared" si="1"/>
        <v>40540.000000000007</v>
      </c>
      <c r="CL33" s="119">
        <f t="shared" si="2"/>
        <v>1559.2307692307695</v>
      </c>
      <c r="CM33" s="215">
        <f t="shared" si="4"/>
        <v>0</v>
      </c>
    </row>
    <row r="34" spans="1:91" x14ac:dyDescent="0.25">
      <c r="A34" s="5">
        <v>406</v>
      </c>
      <c r="B34" s="5" t="str">
        <f>VLOOKUP(A34,'BL-TAPIAS'!B38:H160,7,FALSE)</f>
        <v>1.Disponible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5000</v>
      </c>
      <c r="AR34" s="6">
        <v>2023.38</v>
      </c>
      <c r="AS34" s="6">
        <v>2023.38</v>
      </c>
      <c r="AT34" s="6">
        <v>2023.38</v>
      </c>
      <c r="AU34" s="6">
        <v>2023.38</v>
      </c>
      <c r="AV34" s="6">
        <v>2023.38</v>
      </c>
      <c r="AW34" s="6">
        <v>2023.38</v>
      </c>
      <c r="AX34" s="6">
        <v>2023.38</v>
      </c>
      <c r="AY34" s="6">
        <v>2023.38</v>
      </c>
      <c r="AZ34" s="6">
        <v>2023.38</v>
      </c>
      <c r="BA34" s="6">
        <v>2023.38</v>
      </c>
      <c r="BB34" s="6">
        <v>2023.38</v>
      </c>
      <c r="BC34" s="6">
        <v>2023.38</v>
      </c>
      <c r="BD34" s="6">
        <v>2023.38</v>
      </c>
      <c r="BE34" s="6">
        <v>2023.38</v>
      </c>
      <c r="BF34" s="6">
        <v>2023.38</v>
      </c>
      <c r="BG34" s="6">
        <v>2023.38</v>
      </c>
      <c r="BH34" s="6">
        <v>2023.38</v>
      </c>
      <c r="BI34" s="6">
        <v>2023.38</v>
      </c>
      <c r="BJ34" s="6">
        <v>2023.38</v>
      </c>
      <c r="BK34" s="6">
        <v>2023.38</v>
      </c>
      <c r="BL34" s="6">
        <v>2023.38</v>
      </c>
      <c r="BM34" s="6">
        <v>2023.38</v>
      </c>
      <c r="BN34" s="6">
        <v>2023.38</v>
      </c>
      <c r="BO34" s="6">
        <v>1070.26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f t="shared" si="0"/>
        <v>52607.999999999985</v>
      </c>
      <c r="CH34" s="6">
        <f>VLOOKUP(A34,'BL-TAPIAS'!$B$6:$J$123,8,FALSE)</f>
        <v>794400</v>
      </c>
      <c r="CI34" s="6">
        <f>VLOOKUP(A34,'BL-TAPIAS'!$B$6:$J$123,9,FALSE)</f>
        <v>55608.000000000007</v>
      </c>
      <c r="CJ34" s="119">
        <v>3000</v>
      </c>
      <c r="CK34" s="119">
        <f t="shared" si="1"/>
        <v>52608.000000000007</v>
      </c>
      <c r="CL34" s="119">
        <f t="shared" si="2"/>
        <v>2023.3846153846157</v>
      </c>
      <c r="CM34" s="215">
        <f t="shared" si="4"/>
        <v>0</v>
      </c>
    </row>
    <row r="35" spans="1:91" x14ac:dyDescent="0.25">
      <c r="A35" s="5">
        <v>407</v>
      </c>
      <c r="B35" s="5" t="str">
        <f>VLOOKUP(A35,'BL-TAPIAS'!B39:H161,7,FALSE)</f>
        <v>1.Disponible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5000</v>
      </c>
      <c r="AT35" s="6">
        <v>2302.38</v>
      </c>
      <c r="AU35" s="6">
        <v>2302.38</v>
      </c>
      <c r="AV35" s="6">
        <v>2302.38</v>
      </c>
      <c r="AW35" s="6">
        <v>2302.38</v>
      </c>
      <c r="AX35" s="6">
        <v>2302.38</v>
      </c>
      <c r="AY35" s="6">
        <v>2302.38</v>
      </c>
      <c r="AZ35" s="6">
        <v>2302.38</v>
      </c>
      <c r="BA35" s="6">
        <v>2302.38</v>
      </c>
      <c r="BB35" s="6">
        <v>2302.38</v>
      </c>
      <c r="BC35" s="6">
        <v>2302.38</v>
      </c>
      <c r="BD35" s="6">
        <v>2302.38</v>
      </c>
      <c r="BE35" s="6">
        <v>2302.38</v>
      </c>
      <c r="BF35" s="6">
        <v>2302.38</v>
      </c>
      <c r="BG35" s="6">
        <v>2302.38</v>
      </c>
      <c r="BH35" s="6">
        <v>2302.38</v>
      </c>
      <c r="BI35" s="6">
        <v>2302.38</v>
      </c>
      <c r="BJ35" s="6">
        <v>2302.38</v>
      </c>
      <c r="BK35" s="6">
        <v>2302.38</v>
      </c>
      <c r="BL35" s="6">
        <v>2302.38</v>
      </c>
      <c r="BM35" s="6">
        <v>2302.38</v>
      </c>
      <c r="BN35" s="6">
        <v>2302.38</v>
      </c>
      <c r="BO35" s="6">
        <v>2302.38</v>
      </c>
      <c r="BP35" s="6">
        <v>2302.38</v>
      </c>
      <c r="BQ35" s="6">
        <v>1907.26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f t="shared" si="0"/>
        <v>59861.999999999985</v>
      </c>
      <c r="CH35" s="6">
        <f>VLOOKUP(A35,'BL-TAPIAS'!$B$6:$J$123,8,FALSE)</f>
        <v>926600</v>
      </c>
      <c r="CI35" s="6">
        <f>VLOOKUP(A35,'BL-TAPIAS'!$B$6:$J$123,9,FALSE)</f>
        <v>64862.000000000007</v>
      </c>
      <c r="CJ35" s="119">
        <v>5000</v>
      </c>
      <c r="CK35" s="119">
        <f t="shared" si="1"/>
        <v>59862.000000000007</v>
      </c>
      <c r="CL35" s="119">
        <f t="shared" si="2"/>
        <v>2302.3846153846157</v>
      </c>
      <c r="CM35" s="215">
        <f t="shared" si="4"/>
        <v>0</v>
      </c>
    </row>
    <row r="36" spans="1:91" x14ac:dyDescent="0.25">
      <c r="A36" s="5">
        <v>408</v>
      </c>
      <c r="B36" s="5" t="str">
        <f>VLOOKUP(A36,'BL-TAPIAS'!B40:H162,7,FALSE)</f>
        <v>1.Disponible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5000</v>
      </c>
      <c r="AU36" s="6">
        <v>2302.38</v>
      </c>
      <c r="AV36" s="6">
        <v>2302.38</v>
      </c>
      <c r="AW36" s="6">
        <v>2302.38</v>
      </c>
      <c r="AX36" s="6">
        <v>2302.38</v>
      </c>
      <c r="AY36" s="6">
        <v>2302.38</v>
      </c>
      <c r="AZ36" s="6">
        <v>2302.38</v>
      </c>
      <c r="BA36" s="6">
        <v>2302.38</v>
      </c>
      <c r="BB36" s="6">
        <v>2302.38</v>
      </c>
      <c r="BC36" s="6">
        <v>2302.38</v>
      </c>
      <c r="BD36" s="6">
        <v>2302.38</v>
      </c>
      <c r="BE36" s="6">
        <v>2302.38</v>
      </c>
      <c r="BF36" s="6">
        <v>2302.38</v>
      </c>
      <c r="BG36" s="6">
        <v>2302.38</v>
      </c>
      <c r="BH36" s="6">
        <v>2302.38</v>
      </c>
      <c r="BI36" s="6">
        <v>2302.38</v>
      </c>
      <c r="BJ36" s="6">
        <v>2302.38</v>
      </c>
      <c r="BK36" s="6">
        <v>2302.38</v>
      </c>
      <c r="BL36" s="6">
        <v>2302.38</v>
      </c>
      <c r="BM36" s="6">
        <v>2302.38</v>
      </c>
      <c r="BN36" s="6">
        <v>2302.38</v>
      </c>
      <c r="BO36" s="6">
        <v>2302.38</v>
      </c>
      <c r="BP36" s="6">
        <v>2302.38</v>
      </c>
      <c r="BQ36" s="6">
        <v>2302.38</v>
      </c>
      <c r="BR36" s="6">
        <v>1907.26</v>
      </c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f t="shared" si="0"/>
        <v>59861.999999999985</v>
      </c>
      <c r="CH36" s="6">
        <f>VLOOKUP(A36,'BL-TAPIAS'!$B$6:$J$123,8,FALSE)</f>
        <v>926600</v>
      </c>
      <c r="CI36" s="6">
        <f>VLOOKUP(A36,'BL-TAPIAS'!$B$6:$J$123,9,FALSE)</f>
        <v>64862.000000000007</v>
      </c>
      <c r="CJ36" s="119">
        <v>5000</v>
      </c>
      <c r="CK36" s="119">
        <f t="shared" si="1"/>
        <v>59862.000000000007</v>
      </c>
      <c r="CL36" s="119">
        <f t="shared" si="2"/>
        <v>2302.3846153846157</v>
      </c>
      <c r="CM36" s="215">
        <f t="shared" si="4"/>
        <v>0</v>
      </c>
    </row>
    <row r="37" spans="1:91" x14ac:dyDescent="0.25">
      <c r="A37" s="5">
        <v>409</v>
      </c>
      <c r="B37" s="5" t="str">
        <f>VLOOKUP(A37,'BL-TAPIAS'!B41:H163,7,FALSE)</f>
        <v>1.Disponible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5000</v>
      </c>
      <c r="AS37" s="6">
        <v>2023.38</v>
      </c>
      <c r="AT37" s="6">
        <v>2023.38</v>
      </c>
      <c r="AU37" s="6">
        <v>2023.38</v>
      </c>
      <c r="AV37" s="6">
        <v>2023.38</v>
      </c>
      <c r="AW37" s="6">
        <v>2023.38</v>
      </c>
      <c r="AX37" s="6">
        <v>2023.38</v>
      </c>
      <c r="AY37" s="6">
        <v>2023.38</v>
      </c>
      <c r="AZ37" s="6">
        <v>2023.38</v>
      </c>
      <c r="BA37" s="6">
        <v>2023.38</v>
      </c>
      <c r="BB37" s="6">
        <v>2023.38</v>
      </c>
      <c r="BC37" s="6">
        <v>2023.38</v>
      </c>
      <c r="BD37" s="6">
        <v>2023.38</v>
      </c>
      <c r="BE37" s="6">
        <v>2023.38</v>
      </c>
      <c r="BF37" s="6">
        <v>2023.38</v>
      </c>
      <c r="BG37" s="6">
        <v>2023.38</v>
      </c>
      <c r="BH37" s="6">
        <v>2023.38</v>
      </c>
      <c r="BI37" s="6">
        <v>2023.38</v>
      </c>
      <c r="BJ37" s="6">
        <v>2023.38</v>
      </c>
      <c r="BK37" s="6">
        <v>2023.38</v>
      </c>
      <c r="BL37" s="6">
        <v>2023.38</v>
      </c>
      <c r="BM37" s="6">
        <v>2023.38</v>
      </c>
      <c r="BN37" s="6">
        <v>2023.38</v>
      </c>
      <c r="BO37" s="6">
        <v>2023.38</v>
      </c>
      <c r="BP37" s="6">
        <v>1070.26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f t="shared" si="0"/>
        <v>52607.999999999985</v>
      </c>
      <c r="CH37" s="6">
        <f>VLOOKUP(A37,'BL-TAPIAS'!$B$6:$J$123,8,FALSE)</f>
        <v>794400</v>
      </c>
      <c r="CI37" s="6">
        <f>VLOOKUP(A37,'BL-TAPIAS'!$B$6:$J$123,9,FALSE)</f>
        <v>55608.000000000007</v>
      </c>
      <c r="CJ37" s="119">
        <v>3000</v>
      </c>
      <c r="CK37" s="119">
        <f t="shared" si="1"/>
        <v>52608.000000000007</v>
      </c>
      <c r="CL37" s="119">
        <f t="shared" si="2"/>
        <v>2023.3846153846157</v>
      </c>
      <c r="CM37" s="215">
        <f t="shared" si="4"/>
        <v>0</v>
      </c>
    </row>
    <row r="38" spans="1:91" x14ac:dyDescent="0.25">
      <c r="A38" s="233">
        <v>501</v>
      </c>
      <c r="B38" s="233" t="str">
        <f>VLOOKUP(A38,'BL-TAPIAS'!B42:H164,7,FALSE)</f>
        <v>4. Plan de Pagos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3000</v>
      </c>
      <c r="AD38" s="6">
        <v>2047.86</v>
      </c>
      <c r="AE38" s="6">
        <v>2047.86</v>
      </c>
      <c r="AF38" s="6">
        <v>2047.86</v>
      </c>
      <c r="AG38" s="6">
        <v>2047.86</v>
      </c>
      <c r="AH38" s="6">
        <v>2047.86</v>
      </c>
      <c r="AI38" s="6">
        <v>2047.86</v>
      </c>
      <c r="AJ38" s="6">
        <v>2047.86</v>
      </c>
      <c r="AK38" s="6">
        <v>2047.86</v>
      </c>
      <c r="AL38" s="6">
        <v>2047.86</v>
      </c>
      <c r="AM38" s="6">
        <v>2047.86</v>
      </c>
      <c r="AN38" s="6">
        <v>2047.86</v>
      </c>
      <c r="AO38" s="6">
        <v>2047.86</v>
      </c>
      <c r="AP38" s="6">
        <v>2047.86</v>
      </c>
      <c r="AQ38" s="6">
        <v>2047.86</v>
      </c>
      <c r="AR38" s="6">
        <v>2047.86</v>
      </c>
      <c r="AS38" s="6">
        <v>2047.86</v>
      </c>
      <c r="AT38" s="6">
        <v>2047.86</v>
      </c>
      <c r="AU38" s="6">
        <v>2047.86</v>
      </c>
      <c r="AV38" s="6">
        <v>2047.86</v>
      </c>
      <c r="AW38" s="6">
        <v>2047.86</v>
      </c>
      <c r="AX38" s="6">
        <v>2047.86</v>
      </c>
      <c r="AY38" s="6">
        <v>2047.86</v>
      </c>
      <c r="AZ38" s="6">
        <v>2047.86</v>
      </c>
      <c r="BA38" s="6">
        <v>2047.86</v>
      </c>
      <c r="BB38" s="6">
        <v>2047.86</v>
      </c>
      <c r="BC38" s="6">
        <v>2047.86</v>
      </c>
      <c r="BD38" s="6">
        <v>2047.86</v>
      </c>
      <c r="BE38" s="6">
        <v>2047.86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f t="shared" si="0"/>
        <v>60340.080000000009</v>
      </c>
      <c r="CH38" s="201">
        <f>VLOOKUP(A38,'BL-TAPIAS'!$B$6:$J$123,8,FALSE)</f>
        <v>603340</v>
      </c>
      <c r="CI38" s="201">
        <f>VLOOKUP(A38,'BL-TAPIAS'!$B$6:$J$123,9,FALSE)</f>
        <v>60340</v>
      </c>
      <c r="CJ38" s="239">
        <v>3000</v>
      </c>
      <c r="CK38" s="239">
        <f t="shared" si="1"/>
        <v>57340</v>
      </c>
      <c r="CL38" s="239">
        <f t="shared" si="2"/>
        <v>2205.3846153846152</v>
      </c>
      <c r="CM38" s="215">
        <f t="shared" si="4"/>
        <v>3000.080000000009</v>
      </c>
    </row>
    <row r="39" spans="1:91" x14ac:dyDescent="0.25">
      <c r="A39" s="5">
        <v>502</v>
      </c>
      <c r="B39" s="5" t="str">
        <f>VLOOKUP(A39,'BL-TAPIAS'!B43:H165,7,FALSE)</f>
        <v>2.Reservado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5000</v>
      </c>
      <c r="AW39" s="6">
        <v>2302.38</v>
      </c>
      <c r="AX39" s="6">
        <v>2302.38</v>
      </c>
      <c r="AY39" s="6">
        <v>2302.38</v>
      </c>
      <c r="AZ39" s="6">
        <v>2302.38</v>
      </c>
      <c r="BA39" s="6">
        <v>2302.38</v>
      </c>
      <c r="BB39" s="6">
        <v>2302.38</v>
      </c>
      <c r="BC39" s="6">
        <v>2302.38</v>
      </c>
      <c r="BD39" s="6">
        <v>2302.38</v>
      </c>
      <c r="BE39" s="6">
        <v>2302.38</v>
      </c>
      <c r="BF39" s="6">
        <v>2302.38</v>
      </c>
      <c r="BG39" s="6">
        <v>2302.38</v>
      </c>
      <c r="BH39" s="6">
        <v>2302.38</v>
      </c>
      <c r="BI39" s="6">
        <v>2302.38</v>
      </c>
      <c r="BJ39" s="6">
        <v>2302.38</v>
      </c>
      <c r="BK39" s="6">
        <v>2302.38</v>
      </c>
      <c r="BL39" s="6">
        <v>2302.38</v>
      </c>
      <c r="BM39" s="6">
        <v>2302.38</v>
      </c>
      <c r="BN39" s="6">
        <v>2302.38</v>
      </c>
      <c r="BO39" s="6">
        <v>2302.38</v>
      </c>
      <c r="BP39" s="6">
        <v>2302.38</v>
      </c>
      <c r="BQ39" s="6">
        <v>2302.38</v>
      </c>
      <c r="BR39" s="6">
        <v>2302.38</v>
      </c>
      <c r="BS39" s="6">
        <v>2302.38</v>
      </c>
      <c r="BT39" s="6">
        <v>1907.26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f>SUM(C39:CF39)</f>
        <v>59861.999999999985</v>
      </c>
      <c r="CH39" s="6">
        <f>VLOOKUP(A39,'BL-TAPIAS'!$B$6:$J$123,8,FALSE)</f>
        <v>744000</v>
      </c>
      <c r="CI39" s="6">
        <f>VLOOKUP(A39,'BL-TAPIAS'!$B$6:$J$123,9,FALSE)</f>
        <v>52100</v>
      </c>
      <c r="CJ39" s="119">
        <v>5000</v>
      </c>
      <c r="CK39" s="119">
        <f t="shared" si="1"/>
        <v>47100</v>
      </c>
      <c r="CL39" s="119">
        <f t="shared" si="2"/>
        <v>1811.5384615384614</v>
      </c>
      <c r="CM39" s="215">
        <f t="shared" si="4"/>
        <v>12761.999999999985</v>
      </c>
    </row>
    <row r="40" spans="1:91" x14ac:dyDescent="0.25">
      <c r="A40" s="5">
        <v>503</v>
      </c>
      <c r="B40" s="5" t="str">
        <f>VLOOKUP(A40,'BL-TAPIAS'!B44:H166,7,FALSE)</f>
        <v>2.Reservado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5000</v>
      </c>
      <c r="AX40" s="6">
        <v>2302.38</v>
      </c>
      <c r="AY40" s="6">
        <v>2302.38</v>
      </c>
      <c r="AZ40" s="6">
        <v>2302.38</v>
      </c>
      <c r="BA40" s="6">
        <v>2302.38</v>
      </c>
      <c r="BB40" s="6">
        <v>2302.38</v>
      </c>
      <c r="BC40" s="6">
        <v>2302.38</v>
      </c>
      <c r="BD40" s="6">
        <v>2302.38</v>
      </c>
      <c r="BE40" s="6">
        <v>2302.38</v>
      </c>
      <c r="BF40" s="6">
        <v>2302.38</v>
      </c>
      <c r="BG40" s="6">
        <v>2302.38</v>
      </c>
      <c r="BH40" s="6">
        <v>2302.38</v>
      </c>
      <c r="BI40" s="6">
        <v>2302.38</v>
      </c>
      <c r="BJ40" s="6">
        <v>2302.38</v>
      </c>
      <c r="BK40" s="6">
        <v>2302.38</v>
      </c>
      <c r="BL40" s="6">
        <v>2302.38</v>
      </c>
      <c r="BM40" s="6">
        <v>2302.38</v>
      </c>
      <c r="BN40" s="6">
        <v>2302.38</v>
      </c>
      <c r="BO40" s="6">
        <v>2302.38</v>
      </c>
      <c r="BP40" s="6">
        <v>2302.38</v>
      </c>
      <c r="BQ40" s="6">
        <v>2302.38</v>
      </c>
      <c r="BR40" s="6">
        <v>2302.38</v>
      </c>
      <c r="BS40" s="6">
        <v>2302.38</v>
      </c>
      <c r="BT40" s="6">
        <v>2302.38</v>
      </c>
      <c r="BU40" s="6">
        <v>1907.26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f>SUM(C40:CF40)</f>
        <v>59861.999999999985</v>
      </c>
      <c r="CH40" s="6">
        <f>VLOOKUP(A40,'BL-TAPIAS'!$B$6:$J$123,8,FALSE)</f>
        <v>744000</v>
      </c>
      <c r="CI40" s="6">
        <f>VLOOKUP(A40,'BL-TAPIAS'!$B$6:$J$123,9,FALSE)</f>
        <v>52100</v>
      </c>
      <c r="CJ40" s="119">
        <v>5000</v>
      </c>
      <c r="CK40" s="119">
        <f t="shared" si="1"/>
        <v>47100</v>
      </c>
      <c r="CL40" s="119">
        <f t="shared" si="2"/>
        <v>1811.5384615384614</v>
      </c>
      <c r="CM40" s="215">
        <f t="shared" si="4"/>
        <v>12761.999999999985</v>
      </c>
    </row>
    <row r="41" spans="1:91" x14ac:dyDescent="0.25">
      <c r="A41" s="5">
        <v>504</v>
      </c>
      <c r="B41" s="5" t="str">
        <f>VLOOKUP(A41,'BL-TAPIAS'!B45:H167,7,FALSE)</f>
        <v>4. Plan de Pagos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3000</v>
      </c>
      <c r="AF41" s="6">
        <v>1576.92</v>
      </c>
      <c r="AG41" s="6">
        <v>1576.92</v>
      </c>
      <c r="AH41" s="6">
        <v>1576.92</v>
      </c>
      <c r="AI41" s="6">
        <v>1576.92</v>
      </c>
      <c r="AJ41" s="6">
        <v>1576.92</v>
      </c>
      <c r="AK41" s="6">
        <v>1576.92</v>
      </c>
      <c r="AL41" s="6">
        <v>1576.92</v>
      </c>
      <c r="AM41" s="6">
        <v>1576.92</v>
      </c>
      <c r="AN41" s="6">
        <v>1576.92</v>
      </c>
      <c r="AO41" s="6">
        <v>1576.92</v>
      </c>
      <c r="AP41" s="6">
        <v>1576.92</v>
      </c>
      <c r="AQ41" s="6">
        <v>1576.92</v>
      </c>
      <c r="AR41" s="6">
        <v>1576.92</v>
      </c>
      <c r="AS41" s="6">
        <v>1576.92</v>
      </c>
      <c r="AT41" s="6">
        <v>1576.92</v>
      </c>
      <c r="AU41" s="6">
        <v>1576.92</v>
      </c>
      <c r="AV41" s="6">
        <v>1576.92</v>
      </c>
      <c r="AW41" s="6">
        <v>1576.92</v>
      </c>
      <c r="AX41" s="6">
        <v>1576.92</v>
      </c>
      <c r="AY41" s="6">
        <v>1576.92</v>
      </c>
      <c r="AZ41" s="6">
        <v>1576.92</v>
      </c>
      <c r="BA41" s="6">
        <v>1576.92</v>
      </c>
      <c r="BB41" s="6">
        <v>1576.92</v>
      </c>
      <c r="BC41" s="6">
        <v>1576.92</v>
      </c>
      <c r="BD41" s="6">
        <v>1576.92</v>
      </c>
      <c r="BE41" s="6">
        <v>1577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f>SUM(C41:BT41)</f>
        <v>43999.999999999971</v>
      </c>
      <c r="CH41" s="6">
        <f>VLOOKUP(A41,'BL-TAPIAS'!$B$6:$J$123,8,FALSE)</f>
        <v>622000</v>
      </c>
      <c r="CI41" s="6">
        <f>VLOOKUP(A41,'BL-TAPIAS'!$B$6:$J$123,9,FALSE)</f>
        <v>43540.000000000007</v>
      </c>
      <c r="CJ41" s="119">
        <v>3000</v>
      </c>
      <c r="CK41" s="119">
        <f t="shared" si="1"/>
        <v>40540.000000000007</v>
      </c>
      <c r="CL41" s="119">
        <f t="shared" si="2"/>
        <v>1559.2307692307695</v>
      </c>
      <c r="CM41" s="215">
        <f t="shared" si="4"/>
        <v>3459.9999999999636</v>
      </c>
    </row>
    <row r="42" spans="1:91" x14ac:dyDescent="0.25">
      <c r="A42" s="5">
        <v>505</v>
      </c>
      <c r="B42" s="5" t="str">
        <f>VLOOKUP(A42,'BL-TAPIAS'!B46:H168,7,FALSE)</f>
        <v>4. Plan de Pagos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2"/>
      <c r="AD42" s="6">
        <v>1500</v>
      </c>
      <c r="AE42" s="6">
        <v>1500</v>
      </c>
      <c r="AF42" s="6">
        <v>1576.92</v>
      </c>
      <c r="AG42" s="6">
        <v>1576.92</v>
      </c>
      <c r="AH42" s="6">
        <v>1576.92</v>
      </c>
      <c r="AI42" s="6">
        <v>1576.92</v>
      </c>
      <c r="AJ42" s="6">
        <v>1576.92</v>
      </c>
      <c r="AK42" s="6">
        <v>1576.92</v>
      </c>
      <c r="AL42" s="6">
        <v>1576.92</v>
      </c>
      <c r="AM42" s="6">
        <v>1576.92</v>
      </c>
      <c r="AN42" s="6">
        <v>1576.92</v>
      </c>
      <c r="AO42" s="6">
        <v>1576.92</v>
      </c>
      <c r="AP42" s="6">
        <v>1576.92</v>
      </c>
      <c r="AQ42" s="6">
        <v>1576.92</v>
      </c>
      <c r="AR42" s="6">
        <v>1576.92</v>
      </c>
      <c r="AS42" s="6">
        <v>1576.92</v>
      </c>
      <c r="AT42" s="6">
        <v>1576.92</v>
      </c>
      <c r="AU42" s="6">
        <v>1576.92</v>
      </c>
      <c r="AV42" s="6">
        <v>1576.92</v>
      </c>
      <c r="AW42" s="6">
        <v>1576.92</v>
      </c>
      <c r="AX42" s="6">
        <v>1576.92</v>
      </c>
      <c r="AY42" s="6">
        <v>1576.92</v>
      </c>
      <c r="AZ42" s="6">
        <v>1576.92</v>
      </c>
      <c r="BA42" s="6">
        <v>1576.92</v>
      </c>
      <c r="BB42" s="6">
        <v>1576.92</v>
      </c>
      <c r="BC42" s="6">
        <v>1576.92</v>
      </c>
      <c r="BD42" s="6">
        <v>1576.92</v>
      </c>
      <c r="BE42" s="6">
        <v>1576.92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f>SUM(C42:BT42)</f>
        <v>43999.919999999969</v>
      </c>
      <c r="CH42" s="6">
        <f>VLOOKUP(A42,'BL-TAPIAS'!$B$6:$J$123,8,FALSE)</f>
        <v>622000</v>
      </c>
      <c r="CI42" s="6">
        <f>VLOOKUP(A42,'BL-TAPIAS'!$B$6:$J$123,9,FALSE)</f>
        <v>44000</v>
      </c>
      <c r="CJ42" s="119">
        <v>3000</v>
      </c>
      <c r="CK42" s="119">
        <f t="shared" si="1"/>
        <v>41000</v>
      </c>
      <c r="CL42" s="119">
        <f t="shared" si="2"/>
        <v>1576.9230769230769</v>
      </c>
      <c r="CM42" s="215">
        <f t="shared" si="4"/>
        <v>2999.9199999999691</v>
      </c>
    </row>
    <row r="43" spans="1:91" x14ac:dyDescent="0.25">
      <c r="A43" s="233">
        <v>506</v>
      </c>
      <c r="B43" s="233" t="str">
        <f>VLOOKUP(A43,'BL-TAPIAS'!B47:H169,7,FALSE)</f>
        <v>4. Plan de Pagos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3000</v>
      </c>
      <c r="AD43" s="6">
        <v>1820.29</v>
      </c>
      <c r="AE43" s="6">
        <v>1820.29</v>
      </c>
      <c r="AF43" s="6">
        <v>1820.29</v>
      </c>
      <c r="AG43" s="6">
        <v>1820.29</v>
      </c>
      <c r="AH43" s="6">
        <v>1820.29</v>
      </c>
      <c r="AI43" s="6">
        <v>1820.29</v>
      </c>
      <c r="AJ43" s="6">
        <v>1820.29</v>
      </c>
      <c r="AK43" s="6">
        <v>1820.29</v>
      </c>
      <c r="AL43" s="6">
        <v>1820.29</v>
      </c>
      <c r="AM43" s="6">
        <v>1820.29</v>
      </c>
      <c r="AN43" s="6">
        <v>1820.29</v>
      </c>
      <c r="AO43" s="6">
        <v>1820.29</v>
      </c>
      <c r="AP43" s="6">
        <v>1820.29</v>
      </c>
      <c r="AQ43" s="6">
        <v>1820.29</v>
      </c>
      <c r="AR43" s="6">
        <v>1820.29</v>
      </c>
      <c r="AS43" s="6">
        <v>1820.29</v>
      </c>
      <c r="AT43" s="6">
        <v>1820.29</v>
      </c>
      <c r="AU43" s="6">
        <v>1820.29</v>
      </c>
      <c r="AV43" s="6">
        <v>1820.29</v>
      </c>
      <c r="AW43" s="6">
        <v>1820.29</v>
      </c>
      <c r="AX43" s="6">
        <v>1820.29</v>
      </c>
      <c r="AY43" s="6">
        <v>1820.29</v>
      </c>
      <c r="AZ43" s="6">
        <v>1820.29</v>
      </c>
      <c r="BA43" s="6">
        <v>1820.29</v>
      </c>
      <c r="BB43" s="6">
        <v>1820.29</v>
      </c>
      <c r="BC43" s="6">
        <v>1820.29</v>
      </c>
      <c r="BD43" s="6">
        <v>1820.29</v>
      </c>
      <c r="BE43" s="6">
        <v>1820.17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f>SUM(C43:BT43)</f>
        <v>53968.000000000015</v>
      </c>
      <c r="CH43" s="201">
        <f>VLOOKUP(A43,'BL-TAPIAS'!$B$6:$J$123,8,FALSE)</f>
        <v>770568</v>
      </c>
      <c r="CI43" s="201">
        <f>VLOOKUP(A43,'BL-TAPIAS'!$B$6:$J$123,9,FALSE)</f>
        <v>50968</v>
      </c>
      <c r="CJ43" s="239">
        <v>3000</v>
      </c>
      <c r="CK43" s="239">
        <f>+CI43-CJ43</f>
        <v>47968</v>
      </c>
      <c r="CL43" s="239">
        <f>+CK43/26</f>
        <v>1844.9230769230769</v>
      </c>
      <c r="CM43" s="215">
        <f t="shared" si="4"/>
        <v>6000.0000000000146</v>
      </c>
    </row>
    <row r="44" spans="1:91" x14ac:dyDescent="0.25">
      <c r="A44" s="5">
        <v>507</v>
      </c>
      <c r="B44" s="5" t="str">
        <f>VLOOKUP(A44,'BL-TAPIAS'!B48:H170,7,FALSE)</f>
        <v>1.Disponible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>
        <v>5000</v>
      </c>
      <c r="AY44" s="6">
        <v>2302.38</v>
      </c>
      <c r="AZ44" s="6">
        <v>2302.38</v>
      </c>
      <c r="BA44" s="6">
        <v>2302.38</v>
      </c>
      <c r="BB44" s="6">
        <v>2302.38</v>
      </c>
      <c r="BC44" s="6">
        <v>2302.38</v>
      </c>
      <c r="BD44" s="6">
        <v>2302.38</v>
      </c>
      <c r="BE44" s="6">
        <v>2302.38</v>
      </c>
      <c r="BF44" s="6">
        <v>2302.38</v>
      </c>
      <c r="BG44" s="6">
        <v>2302.38</v>
      </c>
      <c r="BH44" s="6">
        <v>2302.38</v>
      </c>
      <c r="BI44" s="6">
        <v>2302.38</v>
      </c>
      <c r="BJ44" s="6">
        <v>2302.38</v>
      </c>
      <c r="BK44" s="6">
        <v>2302.38</v>
      </c>
      <c r="BL44" s="6">
        <v>2302.38</v>
      </c>
      <c r="BM44" s="6">
        <v>2302.38</v>
      </c>
      <c r="BN44" s="6">
        <v>2302.38</v>
      </c>
      <c r="BO44" s="6">
        <v>2302.38</v>
      </c>
      <c r="BP44" s="6">
        <v>2302.38</v>
      </c>
      <c r="BQ44" s="6">
        <v>2302.38</v>
      </c>
      <c r="BR44" s="6">
        <v>2302.38</v>
      </c>
      <c r="BS44" s="6">
        <v>2302.38</v>
      </c>
      <c r="BT44" s="6">
        <v>2302.38</v>
      </c>
      <c r="BU44" s="6">
        <v>2302.38</v>
      </c>
      <c r="BV44" s="6">
        <v>1907.26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f>SUM(C44:CF44)</f>
        <v>59861.999999999985</v>
      </c>
      <c r="CH44" s="6">
        <f>VLOOKUP(A44,'BL-TAPIAS'!$B$6:$J$123,8,FALSE)</f>
        <v>926600</v>
      </c>
      <c r="CI44" s="6">
        <f>VLOOKUP(A44,'BL-TAPIAS'!$B$6:$J$123,9,FALSE)</f>
        <v>64862.000000000007</v>
      </c>
      <c r="CJ44" s="119">
        <v>5000</v>
      </c>
      <c r="CK44" s="119">
        <f t="shared" ref="CK44:CK107" si="5">+CI44-CJ44</f>
        <v>59862.000000000007</v>
      </c>
      <c r="CL44" s="119">
        <f t="shared" ref="CL44:CL107" si="6">+CK44/26</f>
        <v>2302.3846153846157</v>
      </c>
      <c r="CM44" s="215">
        <f t="shared" si="4"/>
        <v>0</v>
      </c>
    </row>
    <row r="45" spans="1:91" x14ac:dyDescent="0.25">
      <c r="A45" s="5">
        <v>508</v>
      </c>
      <c r="B45" s="5" t="str">
        <f>VLOOKUP(A45,'BL-TAPIAS'!B49:H171,7,FALSE)</f>
        <v>1.Disponible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>
        <v>5000</v>
      </c>
      <c r="AZ45" s="6">
        <v>2302.38</v>
      </c>
      <c r="BA45" s="6">
        <v>2302.38</v>
      </c>
      <c r="BB45" s="6">
        <v>2302.38</v>
      </c>
      <c r="BC45" s="6">
        <v>2302.38</v>
      </c>
      <c r="BD45" s="6">
        <v>2302.38</v>
      </c>
      <c r="BE45" s="6">
        <v>2302.38</v>
      </c>
      <c r="BF45" s="6">
        <v>2302.38</v>
      </c>
      <c r="BG45" s="6">
        <v>2302.38</v>
      </c>
      <c r="BH45" s="6">
        <v>2302.38</v>
      </c>
      <c r="BI45" s="6">
        <v>2302.38</v>
      </c>
      <c r="BJ45" s="6">
        <v>2302.38</v>
      </c>
      <c r="BK45" s="6">
        <v>2302.38</v>
      </c>
      <c r="BL45" s="6">
        <v>2302.38</v>
      </c>
      <c r="BM45" s="6">
        <v>2302.38</v>
      </c>
      <c r="BN45" s="6">
        <v>2302.38</v>
      </c>
      <c r="BO45" s="6">
        <v>2302.38</v>
      </c>
      <c r="BP45" s="6">
        <v>2302.38</v>
      </c>
      <c r="BQ45" s="6">
        <v>2302.38</v>
      </c>
      <c r="BR45" s="6">
        <v>2302.38</v>
      </c>
      <c r="BS45" s="6">
        <v>2302.38</v>
      </c>
      <c r="BT45" s="6">
        <v>2302.38</v>
      </c>
      <c r="BU45" s="6">
        <v>2302.38</v>
      </c>
      <c r="BV45" s="6">
        <v>2302.38</v>
      </c>
      <c r="BW45" s="6">
        <v>1907.26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f>SUM(C45:CF45)</f>
        <v>59861.999999999985</v>
      </c>
      <c r="CH45" s="6">
        <f>VLOOKUP(A45,'BL-TAPIAS'!$B$6:$J$123,8,FALSE)</f>
        <v>926600</v>
      </c>
      <c r="CI45" s="6">
        <f>VLOOKUP(A45,'BL-TAPIAS'!$B$6:$J$123,9,FALSE)</f>
        <v>64862.000000000007</v>
      </c>
      <c r="CJ45" s="119">
        <v>5000</v>
      </c>
      <c r="CK45" s="119">
        <f t="shared" si="5"/>
        <v>59862.000000000007</v>
      </c>
      <c r="CL45" s="119">
        <f t="shared" si="6"/>
        <v>2302.3846153846157</v>
      </c>
      <c r="CM45" s="215">
        <f t="shared" si="4"/>
        <v>0</v>
      </c>
    </row>
    <row r="46" spans="1:91" x14ac:dyDescent="0.25">
      <c r="A46" s="5">
        <v>509</v>
      </c>
      <c r="B46" s="5" t="str">
        <f>VLOOKUP(A46,'BL-TAPIAS'!B50:H172,7,FALSE)</f>
        <v>1.Disponible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5000</v>
      </c>
      <c r="AQ46" s="6">
        <v>2023.38</v>
      </c>
      <c r="AR46" s="6">
        <v>2023.38</v>
      </c>
      <c r="AS46" s="6">
        <v>2023.38</v>
      </c>
      <c r="AT46" s="6">
        <v>2023.38</v>
      </c>
      <c r="AU46" s="6">
        <v>2023.38</v>
      </c>
      <c r="AV46" s="6">
        <v>2023.38</v>
      </c>
      <c r="AW46" s="6">
        <v>2023.38</v>
      </c>
      <c r="AX46" s="6">
        <v>2023.38</v>
      </c>
      <c r="AY46" s="6">
        <v>2023.38</v>
      </c>
      <c r="AZ46" s="6">
        <v>2023.38</v>
      </c>
      <c r="BA46" s="6">
        <v>2023.38</v>
      </c>
      <c r="BB46" s="6">
        <v>2023.38</v>
      </c>
      <c r="BC46" s="6">
        <v>2023.38</v>
      </c>
      <c r="BD46" s="6">
        <v>2023.38</v>
      </c>
      <c r="BE46" s="6">
        <v>2023.38</v>
      </c>
      <c r="BF46" s="6">
        <v>2023.38</v>
      </c>
      <c r="BG46" s="6">
        <v>2023.38</v>
      </c>
      <c r="BH46" s="6">
        <v>2023.38</v>
      </c>
      <c r="BI46" s="6">
        <v>2023.38</v>
      </c>
      <c r="BJ46" s="6">
        <v>2023.38</v>
      </c>
      <c r="BK46" s="6">
        <v>2023.38</v>
      </c>
      <c r="BL46" s="6">
        <v>2023.38</v>
      </c>
      <c r="BM46" s="6">
        <v>2023.38</v>
      </c>
      <c r="BN46" s="6">
        <v>1070.26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f>SUM(C46:BT46)</f>
        <v>52607.999999999985</v>
      </c>
      <c r="CH46" s="6">
        <f>VLOOKUP(A46,'BL-TAPIAS'!$B$6:$J$123,8,FALSE)</f>
        <v>794400</v>
      </c>
      <c r="CI46" s="6">
        <f>VLOOKUP(A46,'BL-TAPIAS'!$B$6:$J$123,9,FALSE)</f>
        <v>55608.000000000007</v>
      </c>
      <c r="CJ46" s="119">
        <v>3000</v>
      </c>
      <c r="CK46" s="119">
        <f t="shared" si="5"/>
        <v>52608.000000000007</v>
      </c>
      <c r="CL46" s="119">
        <f t="shared" si="6"/>
        <v>2023.3846153846157</v>
      </c>
      <c r="CM46" s="215">
        <f t="shared" si="4"/>
        <v>0</v>
      </c>
    </row>
    <row r="47" spans="1:91" x14ac:dyDescent="0.25">
      <c r="A47" s="5">
        <v>601</v>
      </c>
      <c r="B47" s="5" t="str">
        <f>VLOOKUP(A47,'BL-TAPIAS'!B51:H173,7,FALSE)</f>
        <v>4. Plan de Pagos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3000</v>
      </c>
      <c r="AH47" s="6">
        <v>1598</v>
      </c>
      <c r="AI47" s="6">
        <v>1598</v>
      </c>
      <c r="AJ47" s="6">
        <v>1598</v>
      </c>
      <c r="AK47" s="6">
        <v>1598</v>
      </c>
      <c r="AL47" s="6">
        <v>1598</v>
      </c>
      <c r="AM47" s="6">
        <v>1598</v>
      </c>
      <c r="AN47" s="6">
        <v>1598</v>
      </c>
      <c r="AO47" s="6">
        <v>1598</v>
      </c>
      <c r="AP47" s="6">
        <v>1598</v>
      </c>
      <c r="AQ47" s="6">
        <v>1598</v>
      </c>
      <c r="AR47" s="6">
        <v>1598</v>
      </c>
      <c r="AS47" s="6">
        <v>1598</v>
      </c>
      <c r="AT47" s="6">
        <v>1598</v>
      </c>
      <c r="AU47" s="6">
        <v>1598</v>
      </c>
      <c r="AV47" s="6">
        <v>1598</v>
      </c>
      <c r="AW47" s="6">
        <v>1598</v>
      </c>
      <c r="AX47" s="6">
        <v>1598</v>
      </c>
      <c r="AY47" s="6">
        <v>1598</v>
      </c>
      <c r="AZ47" s="6">
        <v>1598</v>
      </c>
      <c r="BA47" s="6">
        <v>1598</v>
      </c>
      <c r="BB47" s="6">
        <v>1598</v>
      </c>
      <c r="BC47" s="6">
        <v>1598</v>
      </c>
      <c r="BD47" s="6">
        <v>1598</v>
      </c>
      <c r="BE47" s="6">
        <v>1794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f>SUM(C47:BT47)</f>
        <v>41548</v>
      </c>
      <c r="CH47" s="6">
        <f>VLOOKUP(A47,'BL-TAPIAS'!$B$6:$J$123,8,FALSE)</f>
        <v>636400</v>
      </c>
      <c r="CI47" s="6">
        <f>VLOOKUP(A47,'BL-TAPIAS'!$B$6:$J$123,9,FALSE)</f>
        <v>44600</v>
      </c>
      <c r="CJ47" s="119">
        <v>3000</v>
      </c>
      <c r="CK47" s="119">
        <f t="shared" si="5"/>
        <v>41600</v>
      </c>
      <c r="CL47" s="119">
        <f t="shared" si="6"/>
        <v>1600</v>
      </c>
      <c r="CM47" s="215">
        <f t="shared" si="4"/>
        <v>-52</v>
      </c>
    </row>
    <row r="48" spans="1:91" x14ac:dyDescent="0.25">
      <c r="A48" s="5">
        <v>602</v>
      </c>
      <c r="B48" s="5" t="str">
        <f>VLOOKUP(A48,'BL-TAPIAS'!B52:H174,7,FALSE)</f>
        <v>2.Reservado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5000</v>
      </c>
      <c r="AW48" s="6">
        <v>2354.35</v>
      </c>
      <c r="AX48" s="6">
        <v>2354.35</v>
      </c>
      <c r="AY48" s="6">
        <v>2354.35</v>
      </c>
      <c r="AZ48" s="6">
        <v>2354.35</v>
      </c>
      <c r="BA48" s="6">
        <v>2354.35</v>
      </c>
      <c r="BB48" s="6">
        <v>2354.35</v>
      </c>
      <c r="BC48" s="6">
        <v>2354.35</v>
      </c>
      <c r="BD48" s="6">
        <v>2354.35</v>
      </c>
      <c r="BE48" s="6">
        <v>2354.35</v>
      </c>
      <c r="BF48" s="6">
        <v>2354.35</v>
      </c>
      <c r="BG48" s="6">
        <v>2354.35</v>
      </c>
      <c r="BH48" s="6">
        <v>2354.35</v>
      </c>
      <c r="BI48" s="6">
        <v>2354.35</v>
      </c>
      <c r="BJ48" s="6">
        <v>2354.35</v>
      </c>
      <c r="BK48" s="6">
        <v>2354.35</v>
      </c>
      <c r="BL48" s="6">
        <v>2354.35</v>
      </c>
      <c r="BM48" s="6">
        <v>2354.35</v>
      </c>
      <c r="BN48" s="6">
        <v>2354.35</v>
      </c>
      <c r="BO48" s="6">
        <v>2354.35</v>
      </c>
      <c r="BP48" s="6">
        <v>2354.35</v>
      </c>
      <c r="BQ48" s="6">
        <v>2354.35</v>
      </c>
      <c r="BR48" s="6">
        <v>2354.35</v>
      </c>
      <c r="BS48" s="6">
        <v>2354.35</v>
      </c>
      <c r="BT48" s="6">
        <v>2062.9499999999998</v>
      </c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f>SUM(C48:CF48)</f>
        <v>61212.999999999971</v>
      </c>
      <c r="CH48" s="6">
        <f>VLOOKUP(A48,'BL-TAPIAS'!$B$6:$J$123,8,FALSE)</f>
        <v>744000</v>
      </c>
      <c r="CI48" s="6">
        <f>VLOOKUP(A48,'BL-TAPIAS'!$B$6:$J$123,9,FALSE)</f>
        <v>52100</v>
      </c>
      <c r="CJ48" s="119">
        <v>5000</v>
      </c>
      <c r="CK48" s="119">
        <f t="shared" si="5"/>
        <v>47100</v>
      </c>
      <c r="CL48" s="119">
        <f t="shared" si="6"/>
        <v>1811.5384615384614</v>
      </c>
      <c r="CM48" s="215">
        <f t="shared" si="4"/>
        <v>14112.999999999971</v>
      </c>
    </row>
    <row r="49" spans="1:91" x14ac:dyDescent="0.25">
      <c r="A49" s="5">
        <v>603</v>
      </c>
      <c r="B49" s="5" t="str">
        <f>VLOOKUP(A49,'BL-TAPIAS'!B53:H175,7,FALSE)</f>
        <v>2.Reservado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5000</v>
      </c>
      <c r="BA49" s="6">
        <v>2354.35</v>
      </c>
      <c r="BB49" s="6">
        <v>2354.35</v>
      </c>
      <c r="BC49" s="6">
        <v>2354.35</v>
      </c>
      <c r="BD49" s="6">
        <v>2354.35</v>
      </c>
      <c r="BE49" s="6">
        <v>2354.35</v>
      </c>
      <c r="BF49" s="6">
        <v>2354.35</v>
      </c>
      <c r="BG49" s="6">
        <v>2354.35</v>
      </c>
      <c r="BH49" s="6">
        <v>2354.35</v>
      </c>
      <c r="BI49" s="6">
        <v>2354.35</v>
      </c>
      <c r="BJ49" s="6">
        <v>2354.35</v>
      </c>
      <c r="BK49" s="6">
        <v>2354.35</v>
      </c>
      <c r="BL49" s="6">
        <v>2354.35</v>
      </c>
      <c r="BM49" s="6">
        <v>2354.35</v>
      </c>
      <c r="BN49" s="6">
        <v>2354.35</v>
      </c>
      <c r="BO49" s="6">
        <v>2354.35</v>
      </c>
      <c r="BP49" s="6">
        <v>2354.35</v>
      </c>
      <c r="BQ49" s="6">
        <v>2354.35</v>
      </c>
      <c r="BR49" s="6">
        <v>2354.35</v>
      </c>
      <c r="BS49" s="6">
        <v>2354.35</v>
      </c>
      <c r="BT49" s="6">
        <v>2354.35</v>
      </c>
      <c r="BU49" s="6">
        <v>2354.35</v>
      </c>
      <c r="BV49" s="6">
        <v>2354.35</v>
      </c>
      <c r="BW49" s="6">
        <v>2354.35</v>
      </c>
      <c r="BX49" s="6">
        <v>2062.9499999999998</v>
      </c>
      <c r="BY49" s="6"/>
      <c r="BZ49" s="6"/>
      <c r="CA49" s="6"/>
      <c r="CB49" s="6"/>
      <c r="CC49" s="6"/>
      <c r="CD49" s="6"/>
      <c r="CE49" s="6"/>
      <c r="CF49" s="6"/>
      <c r="CG49" s="6">
        <f>SUM(C49:CF49)</f>
        <v>61212.999999999971</v>
      </c>
      <c r="CH49" s="6">
        <f>VLOOKUP(A49,'BL-TAPIAS'!$B$6:$J$123,8,FALSE)</f>
        <v>744000</v>
      </c>
      <c r="CI49" s="6">
        <f>VLOOKUP(A49,'BL-TAPIAS'!$B$6:$J$123,9,FALSE)</f>
        <v>52100</v>
      </c>
      <c r="CJ49" s="119">
        <v>5000</v>
      </c>
      <c r="CK49" s="119">
        <f t="shared" si="5"/>
        <v>47100</v>
      </c>
      <c r="CL49" s="119">
        <f t="shared" si="6"/>
        <v>1811.5384615384614</v>
      </c>
      <c r="CM49" s="215">
        <f t="shared" si="4"/>
        <v>14112.999999999971</v>
      </c>
    </row>
    <row r="50" spans="1:91" x14ac:dyDescent="0.25">
      <c r="A50" s="5">
        <v>604</v>
      </c>
      <c r="B50" s="5" t="str">
        <f>VLOOKUP(A50,'BL-TAPIAS'!B54:H176,7,FALSE)</f>
        <v>4. Plan de Pagos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3000</v>
      </c>
      <c r="AI50" s="6">
        <v>1598</v>
      </c>
      <c r="AJ50" s="6">
        <v>1598</v>
      </c>
      <c r="AK50" s="6">
        <v>1598</v>
      </c>
      <c r="AL50" s="6">
        <v>1598</v>
      </c>
      <c r="AM50" s="6">
        <v>1598</v>
      </c>
      <c r="AN50" s="6">
        <v>1598</v>
      </c>
      <c r="AO50" s="6">
        <v>1598</v>
      </c>
      <c r="AP50" s="6">
        <v>1598</v>
      </c>
      <c r="AQ50" s="6">
        <v>1598</v>
      </c>
      <c r="AR50" s="6">
        <v>1598</v>
      </c>
      <c r="AS50" s="6">
        <v>1598</v>
      </c>
      <c r="AT50" s="6">
        <v>1598</v>
      </c>
      <c r="AU50" s="6">
        <v>1598</v>
      </c>
      <c r="AV50" s="6">
        <v>1598</v>
      </c>
      <c r="AW50" s="6">
        <v>1598</v>
      </c>
      <c r="AX50" s="6">
        <v>1598</v>
      </c>
      <c r="AY50" s="6">
        <v>1598</v>
      </c>
      <c r="AZ50" s="6">
        <v>1598</v>
      </c>
      <c r="BA50" s="6">
        <v>1598</v>
      </c>
      <c r="BB50" s="6">
        <v>1598</v>
      </c>
      <c r="BC50" s="6">
        <v>1598</v>
      </c>
      <c r="BD50" s="6">
        <v>1598</v>
      </c>
      <c r="BE50" s="6">
        <v>1598</v>
      </c>
      <c r="BF50" s="6">
        <v>1794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f>SUM(C50:BT50)</f>
        <v>41548</v>
      </c>
      <c r="CH50" s="6">
        <f>VLOOKUP(A50,'BL-TAPIAS'!$B$6:$J$123,8,FALSE)</f>
        <v>636400</v>
      </c>
      <c r="CI50" s="6">
        <f>VLOOKUP(A50,'BL-TAPIAS'!$B$6:$J$123,9,FALSE)</f>
        <v>44548.000000000007</v>
      </c>
      <c r="CJ50" s="119">
        <v>3000</v>
      </c>
      <c r="CK50" s="119">
        <f t="shared" si="5"/>
        <v>41548.000000000007</v>
      </c>
      <c r="CL50" s="119">
        <f t="shared" si="6"/>
        <v>1598.0000000000002</v>
      </c>
      <c r="CM50" s="215">
        <f t="shared" si="4"/>
        <v>0</v>
      </c>
    </row>
    <row r="51" spans="1:91" x14ac:dyDescent="0.25">
      <c r="A51" s="5">
        <v>605</v>
      </c>
      <c r="B51" s="5" t="str">
        <f>VLOOKUP(A51,'BL-TAPIAS'!B55:H177,7,FALSE)</f>
        <v>4. Plan de Pagos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3000</v>
      </c>
      <c r="AJ51" s="6">
        <v>1598</v>
      </c>
      <c r="AK51" s="6">
        <v>1598</v>
      </c>
      <c r="AL51" s="6">
        <v>1598</v>
      </c>
      <c r="AM51" s="6">
        <v>1598</v>
      </c>
      <c r="AN51" s="6">
        <v>1598</v>
      </c>
      <c r="AO51" s="6">
        <v>1598</v>
      </c>
      <c r="AP51" s="6">
        <v>1598</v>
      </c>
      <c r="AQ51" s="6">
        <v>1598</v>
      </c>
      <c r="AR51" s="6">
        <v>1598</v>
      </c>
      <c r="AS51" s="6">
        <v>1598</v>
      </c>
      <c r="AT51" s="6">
        <v>1598</v>
      </c>
      <c r="AU51" s="6">
        <v>1598</v>
      </c>
      <c r="AV51" s="6">
        <v>1598</v>
      </c>
      <c r="AW51" s="6">
        <v>1598</v>
      </c>
      <c r="AX51" s="6">
        <v>1598</v>
      </c>
      <c r="AY51" s="6">
        <v>1598</v>
      </c>
      <c r="AZ51" s="6">
        <v>1598</v>
      </c>
      <c r="BA51" s="6">
        <v>1598</v>
      </c>
      <c r="BB51" s="6">
        <v>1598</v>
      </c>
      <c r="BC51" s="6">
        <v>1598</v>
      </c>
      <c r="BD51" s="6">
        <v>1598</v>
      </c>
      <c r="BE51" s="6">
        <v>1598</v>
      </c>
      <c r="BF51" s="6">
        <v>1598</v>
      </c>
      <c r="BG51" s="6">
        <v>1794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f>SUM(C51:BT51)</f>
        <v>41548</v>
      </c>
      <c r="CH51" s="6">
        <f>VLOOKUP(A51,'BL-TAPIAS'!$B$6:$J$123,8,FALSE)</f>
        <v>636400</v>
      </c>
      <c r="CI51" s="6">
        <f>VLOOKUP(A51,'BL-TAPIAS'!$B$6:$J$123,9,FALSE)</f>
        <v>44548.000000000007</v>
      </c>
      <c r="CJ51" s="119">
        <v>3000</v>
      </c>
      <c r="CK51" s="119">
        <f t="shared" si="5"/>
        <v>41548.000000000007</v>
      </c>
      <c r="CL51" s="119">
        <f t="shared" si="6"/>
        <v>1598.0000000000002</v>
      </c>
      <c r="CM51" s="215">
        <f t="shared" si="4"/>
        <v>0</v>
      </c>
    </row>
    <row r="52" spans="1:91" x14ac:dyDescent="0.25">
      <c r="A52" s="5">
        <v>606</v>
      </c>
      <c r="B52" s="5" t="str">
        <f>VLOOKUP(A52,'BL-TAPIAS'!B56:H178,7,FALSE)</f>
        <v>1.Disponible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5000</v>
      </c>
      <c r="AU52" s="6">
        <v>1996.54</v>
      </c>
      <c r="AV52" s="6">
        <v>1996.54</v>
      </c>
      <c r="AW52" s="6">
        <v>1996.54</v>
      </c>
      <c r="AX52" s="6">
        <v>1996.54</v>
      </c>
      <c r="AY52" s="6">
        <v>1996.54</v>
      </c>
      <c r="AZ52" s="6">
        <v>1996.54</v>
      </c>
      <c r="BA52" s="6">
        <v>1996.54</v>
      </c>
      <c r="BB52" s="6">
        <v>1996.54</v>
      </c>
      <c r="BC52" s="6">
        <v>1996.54</v>
      </c>
      <c r="BD52" s="6">
        <v>1996.54</v>
      </c>
      <c r="BE52" s="6">
        <v>1996.54</v>
      </c>
      <c r="BF52" s="6">
        <v>1996.54</v>
      </c>
      <c r="BG52" s="6">
        <v>1996.54</v>
      </c>
      <c r="BH52" s="6">
        <v>1996.54</v>
      </c>
      <c r="BI52" s="6">
        <v>1996.54</v>
      </c>
      <c r="BJ52" s="6">
        <v>1996.54</v>
      </c>
      <c r="BK52" s="6">
        <v>1996.54</v>
      </c>
      <c r="BL52" s="6">
        <v>1996.54</v>
      </c>
      <c r="BM52" s="6">
        <v>1996.54</v>
      </c>
      <c r="BN52" s="6">
        <v>1996.54</v>
      </c>
      <c r="BO52" s="6">
        <v>1996.54</v>
      </c>
      <c r="BP52" s="6">
        <v>1996.54</v>
      </c>
      <c r="BQ52" s="6">
        <v>1996.54</v>
      </c>
      <c r="BR52" s="6">
        <v>989.58</v>
      </c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f>SUM(C52:BT52)</f>
        <v>51910.000000000015</v>
      </c>
      <c r="CH52" s="6">
        <f>VLOOKUP(A52,'BL-TAPIAS'!$B$6:$J$123,8,FALSE)</f>
        <v>813000</v>
      </c>
      <c r="CI52" s="6">
        <f>VLOOKUP(A52,'BL-TAPIAS'!$B$6:$J$123,9,FALSE)</f>
        <v>56910.000000000007</v>
      </c>
      <c r="CJ52" s="119">
        <v>5000</v>
      </c>
      <c r="CK52" s="119">
        <f t="shared" si="5"/>
        <v>51910.000000000007</v>
      </c>
      <c r="CL52" s="119">
        <f t="shared" si="6"/>
        <v>1996.5384615384619</v>
      </c>
      <c r="CM52" s="215">
        <f t="shared" si="4"/>
        <v>0</v>
      </c>
    </row>
    <row r="53" spans="1:91" x14ac:dyDescent="0.25">
      <c r="A53" s="5">
        <v>607</v>
      </c>
      <c r="B53" s="5" t="str">
        <f>VLOOKUP(A53,'BL-TAPIAS'!B57:H179,7,FALSE)</f>
        <v>1.Disponible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5000</v>
      </c>
      <c r="BB53" s="6">
        <v>2354.35</v>
      </c>
      <c r="BC53" s="6">
        <v>2354.35</v>
      </c>
      <c r="BD53" s="6">
        <v>2354.35</v>
      </c>
      <c r="BE53" s="6">
        <v>2354.35</v>
      </c>
      <c r="BF53" s="6">
        <v>2354.35</v>
      </c>
      <c r="BG53" s="6">
        <v>2354.35</v>
      </c>
      <c r="BH53" s="6">
        <v>2354.35</v>
      </c>
      <c r="BI53" s="6">
        <v>2354.35</v>
      </c>
      <c r="BJ53" s="6">
        <v>2354.35</v>
      </c>
      <c r="BK53" s="6">
        <v>2354.35</v>
      </c>
      <c r="BL53" s="6">
        <v>2354.35</v>
      </c>
      <c r="BM53" s="6">
        <v>2354.35</v>
      </c>
      <c r="BN53" s="6">
        <v>2354.35</v>
      </c>
      <c r="BO53" s="6">
        <v>2354.35</v>
      </c>
      <c r="BP53" s="6">
        <v>2354.35</v>
      </c>
      <c r="BQ53" s="6">
        <v>2354.35</v>
      </c>
      <c r="BR53" s="6">
        <v>2354.35</v>
      </c>
      <c r="BS53" s="6">
        <v>2354.35</v>
      </c>
      <c r="BT53" s="6">
        <v>2354.35</v>
      </c>
      <c r="BU53" s="6">
        <v>2354.35</v>
      </c>
      <c r="BV53" s="6">
        <v>2354.35</v>
      </c>
      <c r="BW53" s="6">
        <v>2354.35</v>
      </c>
      <c r="BX53" s="6">
        <v>2354.35</v>
      </c>
      <c r="BY53" s="6">
        <v>2062.9499999999998</v>
      </c>
      <c r="BZ53" s="6"/>
      <c r="CA53" s="6"/>
      <c r="CB53" s="6"/>
      <c r="CC53" s="6"/>
      <c r="CD53" s="6"/>
      <c r="CE53" s="6"/>
      <c r="CF53" s="6"/>
      <c r="CG53" s="6">
        <f>SUM(C53:CF53)</f>
        <v>61212.999999999971</v>
      </c>
      <c r="CH53" s="6">
        <f>VLOOKUP(A53,'BL-TAPIAS'!$B$6:$J$123,8,FALSE)</f>
        <v>945900</v>
      </c>
      <c r="CI53" s="6">
        <f>VLOOKUP(A53,'BL-TAPIAS'!$B$6:$J$123,9,FALSE)</f>
        <v>66213</v>
      </c>
      <c r="CJ53" s="119">
        <v>5000</v>
      </c>
      <c r="CK53" s="119">
        <f t="shared" si="5"/>
        <v>61213</v>
      </c>
      <c r="CL53" s="119">
        <f t="shared" si="6"/>
        <v>2354.3461538461538</v>
      </c>
      <c r="CM53" s="215">
        <f t="shared" si="4"/>
        <v>0</v>
      </c>
    </row>
    <row r="54" spans="1:91" x14ac:dyDescent="0.25">
      <c r="A54" s="5">
        <v>608</v>
      </c>
      <c r="B54" s="5" t="str">
        <f>VLOOKUP(A54,'BL-TAPIAS'!B58:H180,7,FALSE)</f>
        <v>1.Disponible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>
        <v>5000</v>
      </c>
      <c r="AY54" s="6">
        <v>2354.35</v>
      </c>
      <c r="AZ54" s="6">
        <v>2354.35</v>
      </c>
      <c r="BA54" s="6">
        <v>2354.35</v>
      </c>
      <c r="BB54" s="6">
        <v>2354.35</v>
      </c>
      <c r="BC54" s="6">
        <v>2354.35</v>
      </c>
      <c r="BD54" s="6">
        <v>2354.35</v>
      </c>
      <c r="BE54" s="6">
        <v>2354.35</v>
      </c>
      <c r="BF54" s="6">
        <v>2354.35</v>
      </c>
      <c r="BG54" s="6">
        <v>2354.35</v>
      </c>
      <c r="BH54" s="6">
        <v>2354.35</v>
      </c>
      <c r="BI54" s="6">
        <v>2354.35</v>
      </c>
      <c r="BJ54" s="6">
        <v>2354.35</v>
      </c>
      <c r="BK54" s="6">
        <v>2354.35</v>
      </c>
      <c r="BL54" s="6">
        <v>2354.35</v>
      </c>
      <c r="BM54" s="6">
        <v>2354.35</v>
      </c>
      <c r="BN54" s="6">
        <v>2354.35</v>
      </c>
      <c r="BO54" s="6">
        <v>2354.35</v>
      </c>
      <c r="BP54" s="6">
        <v>2354.35</v>
      </c>
      <c r="BQ54" s="6">
        <v>2354.35</v>
      </c>
      <c r="BR54" s="6">
        <v>2354.35</v>
      </c>
      <c r="BS54" s="6">
        <v>2354.35</v>
      </c>
      <c r="BT54" s="6">
        <v>2354.35</v>
      </c>
      <c r="BU54" s="6">
        <v>2354.35</v>
      </c>
      <c r="BV54" s="6">
        <v>2062.9499999999998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f>SUM(C54:CF54)</f>
        <v>61212.999999999971</v>
      </c>
      <c r="CH54" s="6">
        <f>VLOOKUP(A54,'BL-TAPIAS'!$B$6:$J$123,8,FALSE)</f>
        <v>945900</v>
      </c>
      <c r="CI54" s="6">
        <f>VLOOKUP(A54,'BL-TAPIAS'!$B$6:$J$123,9,FALSE)</f>
        <v>66213</v>
      </c>
      <c r="CJ54" s="119">
        <v>5000</v>
      </c>
      <c r="CK54" s="119">
        <f t="shared" si="5"/>
        <v>61213</v>
      </c>
      <c r="CL54" s="119">
        <f t="shared" si="6"/>
        <v>2354.3461538461538</v>
      </c>
      <c r="CM54" s="215">
        <f t="shared" si="4"/>
        <v>0</v>
      </c>
    </row>
    <row r="55" spans="1:91" x14ac:dyDescent="0.25">
      <c r="A55" s="5">
        <v>609</v>
      </c>
      <c r="B55" s="5" t="str">
        <f>VLOOKUP(A55,'BL-TAPIAS'!B59:H181,7,FALSE)</f>
        <v>1.Disponible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5000</v>
      </c>
      <c r="AW55" s="6">
        <v>1996.54</v>
      </c>
      <c r="AX55" s="6">
        <v>1996.54</v>
      </c>
      <c r="AY55" s="6">
        <v>1996.54</v>
      </c>
      <c r="AZ55" s="6">
        <v>1996.54</v>
      </c>
      <c r="BA55" s="6">
        <v>1996.54</v>
      </c>
      <c r="BB55" s="6">
        <v>1996.54</v>
      </c>
      <c r="BC55" s="6">
        <v>1996.54</v>
      </c>
      <c r="BD55" s="6">
        <v>1996.54</v>
      </c>
      <c r="BE55" s="6">
        <v>1996.54</v>
      </c>
      <c r="BF55" s="6">
        <v>1996.54</v>
      </c>
      <c r="BG55" s="6">
        <v>1996.54</v>
      </c>
      <c r="BH55" s="6">
        <v>1996.54</v>
      </c>
      <c r="BI55" s="6">
        <v>1996.54</v>
      </c>
      <c r="BJ55" s="6">
        <v>1996.54</v>
      </c>
      <c r="BK55" s="6">
        <v>1996.54</v>
      </c>
      <c r="BL55" s="6">
        <v>1996.54</v>
      </c>
      <c r="BM55" s="6">
        <v>1996.54</v>
      </c>
      <c r="BN55" s="6">
        <v>1996.54</v>
      </c>
      <c r="BO55" s="6">
        <v>1996.54</v>
      </c>
      <c r="BP55" s="6">
        <v>1996.54</v>
      </c>
      <c r="BQ55" s="6">
        <v>1996.54</v>
      </c>
      <c r="BR55" s="6">
        <v>1996.54</v>
      </c>
      <c r="BS55" s="6">
        <v>1996.54</v>
      </c>
      <c r="BT55" s="6">
        <v>989.58</v>
      </c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f>SUM(C55:CF55)</f>
        <v>51910.000000000015</v>
      </c>
      <c r="CH55" s="6">
        <f>VLOOKUP(A55,'BL-TAPIAS'!$B$6:$J$123,8,FALSE)</f>
        <v>813000</v>
      </c>
      <c r="CI55" s="6">
        <f>VLOOKUP(A55,'BL-TAPIAS'!$B$6:$J$123,9,FALSE)</f>
        <v>56910.000000000007</v>
      </c>
      <c r="CJ55" s="119">
        <v>5000</v>
      </c>
      <c r="CK55" s="119">
        <f t="shared" si="5"/>
        <v>51910.000000000007</v>
      </c>
      <c r="CL55" s="119">
        <f t="shared" si="6"/>
        <v>1996.5384615384619</v>
      </c>
      <c r="CM55" s="215">
        <f t="shared" si="4"/>
        <v>0</v>
      </c>
    </row>
    <row r="56" spans="1:91" x14ac:dyDescent="0.25">
      <c r="A56" s="233">
        <v>701</v>
      </c>
      <c r="B56" s="233" t="str">
        <f>VLOOKUP(A56,'BL-TAPIAS'!B60:H182,7,FALSE)</f>
        <v>4. Plan de Pagos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5000</v>
      </c>
      <c r="AC56" s="6">
        <v>2174.0700000000002</v>
      </c>
      <c r="AD56" s="6">
        <v>2174.0700000000002</v>
      </c>
      <c r="AE56" s="6">
        <v>2174.0700000000002</v>
      </c>
      <c r="AF56" s="6">
        <v>2174.0700000000002</v>
      </c>
      <c r="AG56" s="6">
        <v>2174.0700000000002</v>
      </c>
      <c r="AH56" s="6">
        <v>2174.0700000000002</v>
      </c>
      <c r="AI56" s="6">
        <v>2174.0700000000002</v>
      </c>
      <c r="AJ56" s="6">
        <v>2174.0700000000002</v>
      </c>
      <c r="AK56" s="6">
        <v>2174.0700000000002</v>
      </c>
      <c r="AL56" s="6">
        <v>2174.0700000000002</v>
      </c>
      <c r="AM56" s="6">
        <v>2174.0700000000002</v>
      </c>
      <c r="AN56" s="6">
        <v>2174.0700000000002</v>
      </c>
      <c r="AO56" s="6">
        <v>2174.0700000000002</v>
      </c>
      <c r="AP56" s="6">
        <v>2174.0700000000002</v>
      </c>
      <c r="AQ56" s="6">
        <v>2174.0700000000002</v>
      </c>
      <c r="AR56" s="6">
        <v>2174.0700000000002</v>
      </c>
      <c r="AS56" s="6">
        <v>2174.0700000000002</v>
      </c>
      <c r="AT56" s="6">
        <v>2174.0700000000002</v>
      </c>
      <c r="AU56" s="6">
        <v>2174.0700000000002</v>
      </c>
      <c r="AV56" s="6">
        <v>2174.0700000000002</v>
      </c>
      <c r="AW56" s="6">
        <v>2174.0700000000002</v>
      </c>
      <c r="AX56" s="6">
        <v>2174.0700000000002</v>
      </c>
      <c r="AY56" s="6">
        <v>2174.0700000000002</v>
      </c>
      <c r="AZ56" s="6">
        <v>2174.0700000000002</v>
      </c>
      <c r="BA56" s="6">
        <v>2174.0700000000002</v>
      </c>
      <c r="BB56" s="6">
        <v>2174.0700000000002</v>
      </c>
      <c r="BC56" s="6">
        <v>2174.1799999999998</v>
      </c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f>SUM(C56:BT56)</f>
        <v>63699.999999999993</v>
      </c>
      <c r="CH56" s="201">
        <f>VLOOKUP(A56,'BL-TAPIAS'!$B$6:$J$123,8,FALSE)</f>
        <v>636400</v>
      </c>
      <c r="CI56" s="201">
        <f>VLOOKUP(A56,'BL-TAPIAS'!$B$6:$J$123,9,FALSE)</f>
        <v>63700</v>
      </c>
      <c r="CJ56" s="239">
        <v>5000</v>
      </c>
      <c r="CK56" s="239">
        <f t="shared" si="5"/>
        <v>58700</v>
      </c>
      <c r="CL56" s="239">
        <f>+CK56/27</f>
        <v>2174.0740740740739</v>
      </c>
      <c r="CM56" s="215">
        <f>+CG56-CK56</f>
        <v>4999.9999999999927</v>
      </c>
    </row>
    <row r="57" spans="1:91" x14ac:dyDescent="0.25">
      <c r="A57" s="5">
        <v>702</v>
      </c>
      <c r="B57" s="5" t="str">
        <f>VLOOKUP(A57,'BL-TAPIAS'!B61:H183,7,FALSE)</f>
        <v>4. Plan de Pagos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>
        <v>5000</v>
      </c>
      <c r="AZ57" s="6">
        <v>2354.35</v>
      </c>
      <c r="BA57" s="6">
        <v>2354.35</v>
      </c>
      <c r="BB57" s="6">
        <v>2354.35</v>
      </c>
      <c r="BC57" s="6">
        <v>2354.35</v>
      </c>
      <c r="BD57" s="6">
        <v>2354.35</v>
      </c>
      <c r="BE57" s="6">
        <v>2354.35</v>
      </c>
      <c r="BF57" s="6">
        <v>2354.35</v>
      </c>
      <c r="BG57" s="6">
        <v>2354.35</v>
      </c>
      <c r="BH57" s="6">
        <v>2354.35</v>
      </c>
      <c r="BI57" s="6">
        <v>2354.35</v>
      </c>
      <c r="BJ57" s="6">
        <v>2354.35</v>
      </c>
      <c r="BK57" s="6">
        <v>2354.35</v>
      </c>
      <c r="BL57" s="6">
        <v>2354.35</v>
      </c>
      <c r="BM57" s="6">
        <v>2354.35</v>
      </c>
      <c r="BN57" s="6">
        <v>2354.35</v>
      </c>
      <c r="BO57" s="6">
        <v>2354.35</v>
      </c>
      <c r="BP57" s="6">
        <v>2354.35</v>
      </c>
      <c r="BQ57" s="6">
        <v>2354.35</v>
      </c>
      <c r="BR57" s="6">
        <v>2354.35</v>
      </c>
      <c r="BS57" s="6">
        <v>2354.35</v>
      </c>
      <c r="BT57" s="6">
        <v>2354.35</v>
      </c>
      <c r="BU57" s="6">
        <v>2354.35</v>
      </c>
      <c r="BV57" s="6">
        <v>2354.35</v>
      </c>
      <c r="BW57" s="6">
        <v>2062.9499999999998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f>SUM(C57:CF57)</f>
        <v>61212.999999999971</v>
      </c>
      <c r="CH57" s="6">
        <f>VLOOKUP(A57,'BL-TAPIAS'!$B$6:$J$123,8,FALSE)</f>
        <v>744000</v>
      </c>
      <c r="CI57" s="6">
        <f>VLOOKUP(A57,'BL-TAPIAS'!$B$6:$J$123,9,FALSE)</f>
        <v>52100</v>
      </c>
      <c r="CJ57" s="119">
        <v>5000</v>
      </c>
      <c r="CK57" s="119">
        <f t="shared" si="5"/>
        <v>47100</v>
      </c>
      <c r="CL57" s="119">
        <f t="shared" si="6"/>
        <v>1811.5384615384614</v>
      </c>
      <c r="CM57" s="215">
        <f t="shared" si="4"/>
        <v>14112.999999999971</v>
      </c>
    </row>
    <row r="58" spans="1:91" x14ac:dyDescent="0.25">
      <c r="A58" s="5">
        <v>703</v>
      </c>
      <c r="B58" s="5" t="str">
        <f>VLOOKUP(A58,'BL-TAPIAS'!B62:H184,7,FALSE)</f>
        <v>2.Reservado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>
        <v>5000</v>
      </c>
      <c r="AY58" s="6">
        <v>2354.35</v>
      </c>
      <c r="AZ58" s="6">
        <v>2354.35</v>
      </c>
      <c r="BA58" s="6">
        <v>2354.35</v>
      </c>
      <c r="BB58" s="6">
        <v>2354.35</v>
      </c>
      <c r="BC58" s="6">
        <v>2354.35</v>
      </c>
      <c r="BD58" s="6">
        <v>2354.35</v>
      </c>
      <c r="BE58" s="6">
        <v>2354.35</v>
      </c>
      <c r="BF58" s="6">
        <v>2354.35</v>
      </c>
      <c r="BG58" s="6">
        <v>2354.35</v>
      </c>
      <c r="BH58" s="6">
        <v>2354.35</v>
      </c>
      <c r="BI58" s="6">
        <v>2354.35</v>
      </c>
      <c r="BJ58" s="6">
        <v>2354.35</v>
      </c>
      <c r="BK58" s="6">
        <v>2354.35</v>
      </c>
      <c r="BL58" s="6">
        <v>2354.35</v>
      </c>
      <c r="BM58" s="6">
        <v>2354.35</v>
      </c>
      <c r="BN58" s="6">
        <v>2354.35</v>
      </c>
      <c r="BO58" s="6">
        <v>2354.35</v>
      </c>
      <c r="BP58" s="6">
        <v>2354.35</v>
      </c>
      <c r="BQ58" s="6">
        <v>2354.35</v>
      </c>
      <c r="BR58" s="6">
        <v>2354.35</v>
      </c>
      <c r="BS58" s="6">
        <v>2354.35</v>
      </c>
      <c r="BT58" s="6">
        <v>2354.35</v>
      </c>
      <c r="BU58" s="6">
        <v>2354.35</v>
      </c>
      <c r="BV58" s="6">
        <v>2062.9499999999998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f>SUM(C58:CF58)</f>
        <v>61212.999999999971</v>
      </c>
      <c r="CH58" s="6">
        <f>VLOOKUP(A58,'BL-TAPIAS'!$B$6:$J$123,8,FALSE)</f>
        <v>744000</v>
      </c>
      <c r="CI58" s="6">
        <f>VLOOKUP(A58,'BL-TAPIAS'!$B$6:$J$123,9,FALSE)</f>
        <v>52100</v>
      </c>
      <c r="CJ58" s="119">
        <v>5000</v>
      </c>
      <c r="CK58" s="119">
        <f t="shared" si="5"/>
        <v>47100</v>
      </c>
      <c r="CL58" s="119">
        <f t="shared" si="6"/>
        <v>1811.5384615384614</v>
      </c>
      <c r="CM58" s="215">
        <f t="shared" si="4"/>
        <v>14112.999999999971</v>
      </c>
    </row>
    <row r="59" spans="1:91" x14ac:dyDescent="0.25">
      <c r="A59" s="233">
        <v>704</v>
      </c>
      <c r="B59" s="233" t="str">
        <f>VLOOKUP(A59,'BL-TAPIAS'!B63:H185,7,FALSE)</f>
        <v>4. Plan de Pagos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3000</v>
      </c>
      <c r="AF59" s="6">
        <v>1615.38</v>
      </c>
      <c r="AG59" s="6">
        <v>1615.38</v>
      </c>
      <c r="AH59" s="6">
        <v>1615.38</v>
      </c>
      <c r="AI59" s="6">
        <v>1615.38</v>
      </c>
      <c r="AJ59" s="6">
        <v>1615.38</v>
      </c>
      <c r="AK59" s="6">
        <v>1615.38</v>
      </c>
      <c r="AL59" s="6">
        <v>1615.38</v>
      </c>
      <c r="AM59" s="6">
        <v>1615.38</v>
      </c>
      <c r="AN59" s="6">
        <v>1615.38</v>
      </c>
      <c r="AO59" s="6">
        <v>1615.38</v>
      </c>
      <c r="AP59" s="6">
        <v>1615.38</v>
      </c>
      <c r="AQ59" s="6">
        <v>1615.38</v>
      </c>
      <c r="AR59" s="6">
        <v>1615.38</v>
      </c>
      <c r="AS59" s="6">
        <v>1615.38</v>
      </c>
      <c r="AT59" s="6">
        <v>1615.38</v>
      </c>
      <c r="AU59" s="6">
        <v>1615.38</v>
      </c>
      <c r="AV59" s="6">
        <v>1615.38</v>
      </c>
      <c r="AW59" s="6">
        <v>1615.38</v>
      </c>
      <c r="AX59" s="6">
        <v>1615.38</v>
      </c>
      <c r="AY59" s="6">
        <v>1615.38</v>
      </c>
      <c r="AZ59" s="6">
        <v>1615.38</v>
      </c>
      <c r="BA59" s="6">
        <v>1615.38</v>
      </c>
      <c r="BB59" s="6">
        <v>1615.38</v>
      </c>
      <c r="BC59" s="6">
        <v>1615.38</v>
      </c>
      <c r="BD59" s="6">
        <v>1615.38</v>
      </c>
      <c r="BE59" s="6">
        <v>1615.5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f>SUM(C59:BT59)</f>
        <v>45000</v>
      </c>
      <c r="CH59" s="201">
        <f>VLOOKUP(A59,'BL-TAPIAS'!$B$6:$J$123,8,FALSE)</f>
        <v>636400</v>
      </c>
      <c r="CI59" s="201">
        <f>VLOOKUP(A59,'BL-TAPIAS'!$B$6:$J$123,9,FALSE)</f>
        <v>44548</v>
      </c>
      <c r="CJ59" s="239">
        <v>3000</v>
      </c>
      <c r="CK59" s="239">
        <f t="shared" si="5"/>
        <v>41548</v>
      </c>
      <c r="CL59" s="239">
        <f t="shared" si="6"/>
        <v>1598</v>
      </c>
      <c r="CM59" s="215">
        <f t="shared" si="4"/>
        <v>3452</v>
      </c>
    </row>
    <row r="60" spans="1:91" x14ac:dyDescent="0.25">
      <c r="A60" s="5">
        <v>705</v>
      </c>
      <c r="B60" s="5" t="str">
        <f>VLOOKUP(A60,'BL-TAPIAS'!B64:H186,7,FALSE)</f>
        <v>4. Plan de Pagos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3000</v>
      </c>
      <c r="AF60" s="6">
        <v>1615.38</v>
      </c>
      <c r="AG60" s="6">
        <v>1615.38</v>
      </c>
      <c r="AH60" s="6">
        <v>1615.38</v>
      </c>
      <c r="AI60" s="6">
        <v>1615.38</v>
      </c>
      <c r="AJ60" s="6">
        <v>1615.38</v>
      </c>
      <c r="AK60" s="6">
        <v>1615.38</v>
      </c>
      <c r="AL60" s="6">
        <v>1615.38</v>
      </c>
      <c r="AM60" s="6">
        <v>1615.38</v>
      </c>
      <c r="AN60" s="6">
        <v>1615.38</v>
      </c>
      <c r="AO60" s="6">
        <v>1615.38</v>
      </c>
      <c r="AP60" s="6">
        <v>1615.38</v>
      </c>
      <c r="AQ60" s="6">
        <v>1615.38</v>
      </c>
      <c r="AR60" s="6">
        <v>1615.38</v>
      </c>
      <c r="AS60" s="6">
        <v>1615.38</v>
      </c>
      <c r="AT60" s="6">
        <v>1615.38</v>
      </c>
      <c r="AU60" s="6">
        <v>1615.38</v>
      </c>
      <c r="AV60" s="6">
        <v>1615.38</v>
      </c>
      <c r="AW60" s="6">
        <v>1615.38</v>
      </c>
      <c r="AX60" s="6">
        <v>1615.38</v>
      </c>
      <c r="AY60" s="6">
        <v>1615.38</v>
      </c>
      <c r="AZ60" s="6">
        <v>1615.38</v>
      </c>
      <c r="BA60" s="6">
        <v>1615.38</v>
      </c>
      <c r="BB60" s="6">
        <v>1615.38</v>
      </c>
      <c r="BC60" s="6">
        <v>1615.38</v>
      </c>
      <c r="BD60" s="6">
        <v>1615.38</v>
      </c>
      <c r="BE60" s="6">
        <v>1615.5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f>SUM(C60:BT60)</f>
        <v>45000</v>
      </c>
      <c r="CH60" s="6">
        <f>VLOOKUP(A60,'BL-TAPIAS'!$B$6:$J$123,8,FALSE)</f>
        <v>636400</v>
      </c>
      <c r="CI60" s="6">
        <f>VLOOKUP(A60,'BL-TAPIAS'!$B$6:$J$123,9,FALSE)</f>
        <v>44548.000000000007</v>
      </c>
      <c r="CJ60" s="119">
        <v>3000</v>
      </c>
      <c r="CK60" s="119">
        <f t="shared" si="5"/>
        <v>41548.000000000007</v>
      </c>
      <c r="CL60" s="119">
        <f t="shared" si="6"/>
        <v>1598.0000000000002</v>
      </c>
      <c r="CM60" s="215">
        <f t="shared" si="4"/>
        <v>3451.9999999999927</v>
      </c>
    </row>
    <row r="61" spans="1:91" x14ac:dyDescent="0.25">
      <c r="A61" s="5">
        <v>706</v>
      </c>
      <c r="B61" s="5" t="str">
        <f>VLOOKUP(A61,'BL-TAPIAS'!B65:H187,7,FALSE)</f>
        <v>2.Reservado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5000</v>
      </c>
      <c r="BA61" s="6">
        <v>1996.54</v>
      </c>
      <c r="BB61" s="6">
        <v>1996.54</v>
      </c>
      <c r="BC61" s="6">
        <v>1996.54</v>
      </c>
      <c r="BD61" s="6">
        <v>1996.54</v>
      </c>
      <c r="BE61" s="6">
        <v>1996.54</v>
      </c>
      <c r="BF61" s="6">
        <v>1996.54</v>
      </c>
      <c r="BG61" s="6">
        <v>1996.54</v>
      </c>
      <c r="BH61" s="6">
        <v>1996.54</v>
      </c>
      <c r="BI61" s="6">
        <v>1996.54</v>
      </c>
      <c r="BJ61" s="6">
        <v>1996.54</v>
      </c>
      <c r="BK61" s="6">
        <v>1996.54</v>
      </c>
      <c r="BL61" s="6">
        <v>1996.54</v>
      </c>
      <c r="BM61" s="6">
        <v>1996.54</v>
      </c>
      <c r="BN61" s="6">
        <v>1996.54</v>
      </c>
      <c r="BO61" s="6">
        <v>1996.54</v>
      </c>
      <c r="BP61" s="6">
        <v>1996.54</v>
      </c>
      <c r="BQ61" s="6">
        <v>1996.54</v>
      </c>
      <c r="BR61" s="6">
        <v>1996.54</v>
      </c>
      <c r="BS61" s="6">
        <v>1996.54</v>
      </c>
      <c r="BT61" s="6">
        <v>1996.54</v>
      </c>
      <c r="BU61" s="6">
        <v>1996.54</v>
      </c>
      <c r="BV61" s="6">
        <v>1996.54</v>
      </c>
      <c r="BW61" s="6">
        <v>1996.54</v>
      </c>
      <c r="BX61" s="6">
        <v>989.58</v>
      </c>
      <c r="BY61" s="6"/>
      <c r="BZ61" s="6"/>
      <c r="CA61" s="6"/>
      <c r="CB61" s="6"/>
      <c r="CC61" s="6"/>
      <c r="CD61" s="6"/>
      <c r="CE61" s="6"/>
      <c r="CF61" s="6"/>
      <c r="CG61" s="6">
        <f>SUM(C61:CF61)</f>
        <v>51910.000000000015</v>
      </c>
      <c r="CH61" s="6">
        <f>VLOOKUP(A61,'BL-TAPIAS'!$B$6:$J$123,8,FALSE)</f>
        <v>813000</v>
      </c>
      <c r="CI61" s="6">
        <f>VLOOKUP(A61,'BL-TAPIAS'!$B$6:$J$123,9,FALSE)</f>
        <v>56910.000000000007</v>
      </c>
      <c r="CJ61" s="119">
        <v>5000</v>
      </c>
      <c r="CK61" s="119">
        <f t="shared" si="5"/>
        <v>51910.000000000007</v>
      </c>
      <c r="CL61" s="119">
        <f t="shared" si="6"/>
        <v>1996.5384615384619</v>
      </c>
      <c r="CM61" s="215">
        <f t="shared" si="4"/>
        <v>0</v>
      </c>
    </row>
    <row r="62" spans="1:91" x14ac:dyDescent="0.25">
      <c r="A62" s="5">
        <v>707</v>
      </c>
      <c r="B62" s="5" t="str">
        <f>VLOOKUP(A62,'BL-TAPIAS'!B66:H188,7,FALSE)</f>
        <v>1.Disponible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5000</v>
      </c>
      <c r="AX62" s="6">
        <v>2354.35</v>
      </c>
      <c r="AY62" s="6">
        <v>2354.35</v>
      </c>
      <c r="AZ62" s="6">
        <v>2354.35</v>
      </c>
      <c r="BA62" s="6">
        <v>2354.35</v>
      </c>
      <c r="BB62" s="6">
        <v>2354.35</v>
      </c>
      <c r="BC62" s="6">
        <v>2354.35</v>
      </c>
      <c r="BD62" s="6">
        <v>2354.35</v>
      </c>
      <c r="BE62" s="6">
        <v>2354.35</v>
      </c>
      <c r="BF62" s="6">
        <v>2354.35</v>
      </c>
      <c r="BG62" s="6">
        <v>2354.35</v>
      </c>
      <c r="BH62" s="6">
        <v>2354.35</v>
      </c>
      <c r="BI62" s="6">
        <v>2354.35</v>
      </c>
      <c r="BJ62" s="6">
        <v>2354.35</v>
      </c>
      <c r="BK62" s="6">
        <v>2354.35</v>
      </c>
      <c r="BL62" s="6">
        <v>2354.35</v>
      </c>
      <c r="BM62" s="6">
        <v>2354.35</v>
      </c>
      <c r="BN62" s="6">
        <v>2354.35</v>
      </c>
      <c r="BO62" s="6">
        <v>2354.35</v>
      </c>
      <c r="BP62" s="6">
        <v>2354.35</v>
      </c>
      <c r="BQ62" s="6">
        <v>2354.35</v>
      </c>
      <c r="BR62" s="6">
        <v>2354.35</v>
      </c>
      <c r="BS62" s="6">
        <v>2354.35</v>
      </c>
      <c r="BT62" s="6">
        <v>2354.35</v>
      </c>
      <c r="BU62" s="6">
        <v>2062.9499999999998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f>SUM(C62:CF62)</f>
        <v>61212.999999999971</v>
      </c>
      <c r="CH62" s="6">
        <f>VLOOKUP(A62,'BL-TAPIAS'!$B$6:$J$123,8,FALSE)</f>
        <v>945900</v>
      </c>
      <c r="CI62" s="6">
        <f>VLOOKUP(A62,'BL-TAPIAS'!$B$6:$J$123,9,FALSE)</f>
        <v>66213</v>
      </c>
      <c r="CJ62" s="119">
        <v>5000</v>
      </c>
      <c r="CK62" s="119">
        <f t="shared" si="5"/>
        <v>61213</v>
      </c>
      <c r="CL62" s="119">
        <f t="shared" si="6"/>
        <v>2354.3461538461538</v>
      </c>
      <c r="CM62" s="215">
        <f t="shared" si="4"/>
        <v>0</v>
      </c>
    </row>
    <row r="63" spans="1:91" x14ac:dyDescent="0.25">
      <c r="A63" s="5">
        <v>708</v>
      </c>
      <c r="B63" s="5" t="str">
        <f>VLOOKUP(A63,'BL-TAPIAS'!B67:H189,7,FALSE)</f>
        <v>2.Reservado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5000</v>
      </c>
      <c r="AU63" s="6">
        <v>2354.35</v>
      </c>
      <c r="AV63" s="6">
        <v>2354.35</v>
      </c>
      <c r="AW63" s="6">
        <v>2354.35</v>
      </c>
      <c r="AX63" s="6">
        <v>2354.35</v>
      </c>
      <c r="AY63" s="6">
        <v>2354.35</v>
      </c>
      <c r="AZ63" s="6">
        <v>2354.35</v>
      </c>
      <c r="BA63" s="6">
        <v>2354.35</v>
      </c>
      <c r="BB63" s="6">
        <v>2354.35</v>
      </c>
      <c r="BC63" s="6">
        <v>2354.35</v>
      </c>
      <c r="BD63" s="6">
        <v>2354.35</v>
      </c>
      <c r="BE63" s="6">
        <v>2354.35</v>
      </c>
      <c r="BF63" s="6">
        <v>2354.35</v>
      </c>
      <c r="BG63" s="6">
        <v>2354.35</v>
      </c>
      <c r="BH63" s="6">
        <v>2354.35</v>
      </c>
      <c r="BI63" s="6">
        <v>2354.35</v>
      </c>
      <c r="BJ63" s="6">
        <v>2354.35</v>
      </c>
      <c r="BK63" s="6">
        <v>2354.35</v>
      </c>
      <c r="BL63" s="6">
        <v>2354.35</v>
      </c>
      <c r="BM63" s="6">
        <v>2354.35</v>
      </c>
      <c r="BN63" s="6">
        <v>2354.35</v>
      </c>
      <c r="BO63" s="6">
        <v>2354.35</v>
      </c>
      <c r="BP63" s="6">
        <v>2354.35</v>
      </c>
      <c r="BQ63" s="6">
        <v>2354.35</v>
      </c>
      <c r="BR63" s="6">
        <v>2062.9499999999998</v>
      </c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f t="shared" ref="CG63:CG74" si="7">SUM(C63:BT63)</f>
        <v>61212.999999999971</v>
      </c>
      <c r="CH63" s="6">
        <f>VLOOKUP(A63,'BL-TAPIAS'!$B$6:$J$123,8,FALSE)</f>
        <v>744000</v>
      </c>
      <c r="CI63" s="6">
        <f>VLOOKUP(A63,'BL-TAPIAS'!$B$6:$J$123,9,FALSE)</f>
        <v>52100</v>
      </c>
      <c r="CJ63" s="119">
        <v>5000</v>
      </c>
      <c r="CK63" s="119">
        <f t="shared" si="5"/>
        <v>47100</v>
      </c>
      <c r="CL63" s="119">
        <f t="shared" si="6"/>
        <v>1811.5384615384614</v>
      </c>
      <c r="CM63" s="215">
        <f t="shared" si="4"/>
        <v>14112.999999999971</v>
      </c>
    </row>
    <row r="64" spans="1:91" x14ac:dyDescent="0.25">
      <c r="A64" s="233">
        <v>709</v>
      </c>
      <c r="B64" s="233" t="str">
        <f>VLOOKUP(A64,'BL-TAPIAS'!B68:H190,7,FALSE)</f>
        <v>1.Disponible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3000</v>
      </c>
      <c r="AD64" s="6">
        <v>1500</v>
      </c>
      <c r="AE64" s="6">
        <v>1500</v>
      </c>
      <c r="AF64" s="6">
        <v>1500</v>
      </c>
      <c r="AG64" s="6">
        <v>1500</v>
      </c>
      <c r="AH64" s="6">
        <v>1500</v>
      </c>
      <c r="AI64" s="6">
        <v>1500</v>
      </c>
      <c r="AJ64" s="6">
        <v>1500</v>
      </c>
      <c r="AK64" s="6">
        <v>1500</v>
      </c>
      <c r="AL64" s="6">
        <v>1500</v>
      </c>
      <c r="AM64" s="6">
        <v>1500</v>
      </c>
      <c r="AN64" s="6">
        <v>1500</v>
      </c>
      <c r="AO64" s="6">
        <v>1500</v>
      </c>
      <c r="AP64" s="6">
        <v>2250</v>
      </c>
      <c r="AQ64" s="6">
        <v>2250</v>
      </c>
      <c r="AR64" s="6">
        <v>2250</v>
      </c>
      <c r="AS64" s="6">
        <v>2250</v>
      </c>
      <c r="AT64" s="6">
        <v>2250</v>
      </c>
      <c r="AU64" s="6">
        <v>2250</v>
      </c>
      <c r="AV64" s="6">
        <v>2250</v>
      </c>
      <c r="AW64" s="6">
        <v>2250</v>
      </c>
      <c r="AX64" s="6">
        <v>2250</v>
      </c>
      <c r="AY64" s="6">
        <v>2250</v>
      </c>
      <c r="AZ64" s="6">
        <v>2250</v>
      </c>
      <c r="BA64" s="6">
        <v>2250</v>
      </c>
      <c r="BB64" s="6">
        <v>2250</v>
      </c>
      <c r="BC64" s="6">
        <v>2250</v>
      </c>
      <c r="BD64" s="6">
        <v>2250</v>
      </c>
      <c r="BE64" s="6">
        <v>2250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f t="shared" si="7"/>
        <v>57000</v>
      </c>
      <c r="CH64" s="201">
        <f>VLOOKUP(A64,'BL-TAPIAS'!$B$6:$J$123,8,FALSE)</f>
        <v>813000</v>
      </c>
      <c r="CI64" s="201">
        <f>VLOOKUP(A64,'BL-TAPIAS'!$B$6:$J$123,9,FALSE)</f>
        <v>57000</v>
      </c>
      <c r="CJ64" s="239">
        <v>5000</v>
      </c>
      <c r="CK64" s="239">
        <f t="shared" si="5"/>
        <v>52000</v>
      </c>
      <c r="CL64" s="239">
        <f t="shared" si="6"/>
        <v>2000</v>
      </c>
      <c r="CM64" s="215">
        <f t="shared" si="4"/>
        <v>5000</v>
      </c>
    </row>
    <row r="65" spans="1:91" x14ac:dyDescent="0.25">
      <c r="A65" s="5">
        <v>801</v>
      </c>
      <c r="B65" s="5" t="str">
        <f>VLOOKUP(A65,'BL-TAPIAS'!B69:H191,7,FALSE)</f>
        <v>1.Disponible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3000</v>
      </c>
      <c r="AL65" s="6">
        <v>1598</v>
      </c>
      <c r="AM65" s="6">
        <v>1598</v>
      </c>
      <c r="AN65" s="6">
        <v>1598</v>
      </c>
      <c r="AO65" s="6">
        <v>1598</v>
      </c>
      <c r="AP65" s="6">
        <v>1598</v>
      </c>
      <c r="AQ65" s="6">
        <v>1598</v>
      </c>
      <c r="AR65" s="6">
        <v>1598</v>
      </c>
      <c r="AS65" s="6">
        <v>1598</v>
      </c>
      <c r="AT65" s="6">
        <v>1598</v>
      </c>
      <c r="AU65" s="6">
        <v>1598</v>
      </c>
      <c r="AV65" s="6">
        <v>1598</v>
      </c>
      <c r="AW65" s="6">
        <v>1598</v>
      </c>
      <c r="AX65" s="6">
        <v>1598</v>
      </c>
      <c r="AY65" s="6">
        <v>1598</v>
      </c>
      <c r="AZ65" s="6">
        <v>1598</v>
      </c>
      <c r="BA65" s="6">
        <v>1598</v>
      </c>
      <c r="BB65" s="6">
        <v>1598</v>
      </c>
      <c r="BC65" s="6">
        <v>1598</v>
      </c>
      <c r="BD65" s="6">
        <v>1598</v>
      </c>
      <c r="BE65" s="6">
        <v>1598</v>
      </c>
      <c r="BF65" s="6">
        <v>1598</v>
      </c>
      <c r="BG65" s="6">
        <v>1598</v>
      </c>
      <c r="BH65" s="6">
        <v>1598</v>
      </c>
      <c r="BI65" s="6">
        <v>1794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f t="shared" si="7"/>
        <v>41548</v>
      </c>
      <c r="CH65" s="6">
        <f>VLOOKUP(A65,'BL-TAPIAS'!$B$6:$J$123,8,FALSE)</f>
        <v>636400</v>
      </c>
      <c r="CI65" s="6">
        <f>VLOOKUP(A65,'BL-TAPIAS'!$B$6:$J$123,9,FALSE)</f>
        <v>44548.000000000007</v>
      </c>
      <c r="CJ65" s="119">
        <v>3000</v>
      </c>
      <c r="CK65" s="119">
        <f t="shared" si="5"/>
        <v>41548.000000000007</v>
      </c>
      <c r="CL65" s="119">
        <f t="shared" si="6"/>
        <v>1598.0000000000002</v>
      </c>
      <c r="CM65" s="215">
        <f t="shared" si="4"/>
        <v>0</v>
      </c>
    </row>
    <row r="66" spans="1:91" x14ac:dyDescent="0.25">
      <c r="A66" s="5">
        <v>802</v>
      </c>
      <c r="B66" s="5" t="str">
        <f>VLOOKUP(A66,'BL-TAPIAS'!B70:H192,7,FALSE)</f>
        <v>4. Plan de Pagos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5000</v>
      </c>
      <c r="AV66" s="6">
        <v>2354.35</v>
      </c>
      <c r="AW66" s="6">
        <v>2354.35</v>
      </c>
      <c r="AX66" s="6">
        <v>2354.35</v>
      </c>
      <c r="AY66" s="6">
        <v>2354.35</v>
      </c>
      <c r="AZ66" s="6">
        <v>2354.35</v>
      </c>
      <c r="BA66" s="6">
        <v>2354.35</v>
      </c>
      <c r="BB66" s="6">
        <v>2354.35</v>
      </c>
      <c r="BC66" s="6">
        <v>2354.35</v>
      </c>
      <c r="BD66" s="6">
        <v>2354.35</v>
      </c>
      <c r="BE66" s="6">
        <v>2354.35</v>
      </c>
      <c r="BF66" s="6">
        <v>2354.35</v>
      </c>
      <c r="BG66" s="6">
        <v>2354.35</v>
      </c>
      <c r="BH66" s="6">
        <v>2354.35</v>
      </c>
      <c r="BI66" s="6">
        <v>2354.35</v>
      </c>
      <c r="BJ66" s="6">
        <v>2354.35</v>
      </c>
      <c r="BK66" s="6">
        <v>2354.35</v>
      </c>
      <c r="BL66" s="6">
        <v>2354.35</v>
      </c>
      <c r="BM66" s="6">
        <v>2354.35</v>
      </c>
      <c r="BN66" s="6">
        <v>2354.35</v>
      </c>
      <c r="BO66" s="6">
        <v>2354.35</v>
      </c>
      <c r="BP66" s="6">
        <v>2354.35</v>
      </c>
      <c r="BQ66" s="6">
        <v>2354.35</v>
      </c>
      <c r="BR66" s="6">
        <v>2354.35</v>
      </c>
      <c r="BS66" s="6">
        <v>2062.9499999999998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f t="shared" si="7"/>
        <v>61212.999999999971</v>
      </c>
      <c r="CH66" s="6">
        <f>VLOOKUP(A66,'BL-TAPIAS'!$B$6:$J$123,8,FALSE)</f>
        <v>744000</v>
      </c>
      <c r="CI66" s="6">
        <f>VLOOKUP(A66,'BL-TAPIAS'!$B$6:$J$123,9,FALSE)</f>
        <v>52100</v>
      </c>
      <c r="CJ66" s="119">
        <v>5000</v>
      </c>
      <c r="CK66" s="119">
        <f t="shared" si="5"/>
        <v>47100</v>
      </c>
      <c r="CL66" s="119">
        <f t="shared" si="6"/>
        <v>1811.5384615384614</v>
      </c>
      <c r="CM66" s="215">
        <f t="shared" si="4"/>
        <v>14112.999999999971</v>
      </c>
    </row>
    <row r="67" spans="1:91" x14ac:dyDescent="0.25">
      <c r="A67" s="5">
        <v>803</v>
      </c>
      <c r="B67" s="5" t="str">
        <f>VLOOKUP(A67,'BL-TAPIAS'!B71:H193,7,FALSE)</f>
        <v>4. Plan de Pagos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5000</v>
      </c>
      <c r="AR67" s="6">
        <v>2354.35</v>
      </c>
      <c r="AS67" s="6">
        <v>2354.35</v>
      </c>
      <c r="AT67" s="6">
        <v>2354.35</v>
      </c>
      <c r="AU67" s="6">
        <v>2354.35</v>
      </c>
      <c r="AV67" s="6">
        <v>2354.35</v>
      </c>
      <c r="AW67" s="6">
        <v>2354.35</v>
      </c>
      <c r="AX67" s="6">
        <v>2354.35</v>
      </c>
      <c r="AY67" s="6">
        <v>2354.35</v>
      </c>
      <c r="AZ67" s="6">
        <v>2354.35</v>
      </c>
      <c r="BA67" s="6">
        <v>2354.35</v>
      </c>
      <c r="BB67" s="6">
        <v>2354.35</v>
      </c>
      <c r="BC67" s="6">
        <v>2354.35</v>
      </c>
      <c r="BD67" s="6">
        <v>2354.35</v>
      </c>
      <c r="BE67" s="6">
        <v>2354.35</v>
      </c>
      <c r="BF67" s="6">
        <v>2354.35</v>
      </c>
      <c r="BG67" s="6">
        <v>2354.35</v>
      </c>
      <c r="BH67" s="6">
        <v>2354.35</v>
      </c>
      <c r="BI67" s="6">
        <v>2354.35</v>
      </c>
      <c r="BJ67" s="6">
        <v>2354.35</v>
      </c>
      <c r="BK67" s="6">
        <v>2354.35</v>
      </c>
      <c r="BL67" s="6">
        <v>2354.35</v>
      </c>
      <c r="BM67" s="6">
        <v>2354.35</v>
      </c>
      <c r="BN67" s="6">
        <v>2354.35</v>
      </c>
      <c r="BO67" s="6">
        <v>2062.9499999999998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f t="shared" si="7"/>
        <v>61212.999999999971</v>
      </c>
      <c r="CH67" s="6">
        <f>VLOOKUP(A67,'BL-TAPIAS'!$B$6:$J$123,8,FALSE)</f>
        <v>744000</v>
      </c>
      <c r="CI67" s="6">
        <f>VLOOKUP(A67,'BL-TAPIAS'!$B$6:$J$123,9,FALSE)</f>
        <v>53000</v>
      </c>
      <c r="CJ67" s="119">
        <v>5000</v>
      </c>
      <c r="CK67" s="119">
        <f t="shared" si="5"/>
        <v>48000</v>
      </c>
      <c r="CL67" s="119">
        <f t="shared" si="6"/>
        <v>1846.1538461538462</v>
      </c>
      <c r="CM67" s="215">
        <f t="shared" si="4"/>
        <v>13212.999999999971</v>
      </c>
    </row>
    <row r="68" spans="1:91" x14ac:dyDescent="0.25">
      <c r="A68" s="5">
        <v>804</v>
      </c>
      <c r="B68" s="5" t="str">
        <f>VLOOKUP(A68,'BL-TAPIAS'!B72:H194,7,FALSE)</f>
        <v>4. Plan de Pagos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3000</v>
      </c>
      <c r="AM68" s="6">
        <v>1598</v>
      </c>
      <c r="AN68" s="6">
        <v>1598</v>
      </c>
      <c r="AO68" s="6">
        <v>1598</v>
      </c>
      <c r="AP68" s="6">
        <v>1598</v>
      </c>
      <c r="AQ68" s="6">
        <v>1598</v>
      </c>
      <c r="AR68" s="6">
        <v>1598</v>
      </c>
      <c r="AS68" s="6">
        <v>1598</v>
      </c>
      <c r="AT68" s="6">
        <v>1598</v>
      </c>
      <c r="AU68" s="6">
        <v>1598</v>
      </c>
      <c r="AV68" s="6">
        <v>1598</v>
      </c>
      <c r="AW68" s="6">
        <v>1598</v>
      </c>
      <c r="AX68" s="6">
        <v>1598</v>
      </c>
      <c r="AY68" s="6">
        <v>1598</v>
      </c>
      <c r="AZ68" s="6">
        <v>1598</v>
      </c>
      <c r="BA68" s="6">
        <v>1598</v>
      </c>
      <c r="BB68" s="6">
        <v>1598</v>
      </c>
      <c r="BC68" s="6">
        <v>1598</v>
      </c>
      <c r="BD68" s="6">
        <v>1598</v>
      </c>
      <c r="BE68" s="6">
        <v>1598</v>
      </c>
      <c r="BF68" s="6">
        <v>1598</v>
      </c>
      <c r="BG68" s="6">
        <v>1598</v>
      </c>
      <c r="BH68" s="6">
        <v>1598</v>
      </c>
      <c r="BI68" s="6">
        <v>1598</v>
      </c>
      <c r="BJ68" s="6">
        <v>1794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f t="shared" si="7"/>
        <v>41548</v>
      </c>
      <c r="CH68" s="6">
        <f>VLOOKUP(A68,'BL-TAPIAS'!$B$6:$J$123,8,FALSE)</f>
        <v>636400</v>
      </c>
      <c r="CI68" s="6">
        <f>VLOOKUP(A68,'BL-TAPIAS'!$B$6:$J$123,9,FALSE)</f>
        <v>44600</v>
      </c>
      <c r="CJ68" s="119">
        <v>3000</v>
      </c>
      <c r="CK68" s="119">
        <f t="shared" si="5"/>
        <v>41600</v>
      </c>
      <c r="CL68" s="119">
        <f t="shared" si="6"/>
        <v>1600</v>
      </c>
      <c r="CM68" s="215">
        <f t="shared" si="4"/>
        <v>-52</v>
      </c>
    </row>
    <row r="69" spans="1:91" x14ac:dyDescent="0.25">
      <c r="A69" s="5">
        <v>805</v>
      </c>
      <c r="B69" s="5" t="str">
        <f>VLOOKUP(A69,'BL-TAPIAS'!B73:H195,7,FALSE)</f>
        <v>4. Plan de Pagos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>
        <v>3000</v>
      </c>
      <c r="AN69" s="6">
        <v>1598</v>
      </c>
      <c r="AO69" s="6">
        <v>1598</v>
      </c>
      <c r="AP69" s="6">
        <v>1598</v>
      </c>
      <c r="AQ69" s="6">
        <v>3000</v>
      </c>
      <c r="AR69" s="6">
        <v>1615.38</v>
      </c>
      <c r="AS69" s="6">
        <v>1615.38</v>
      </c>
      <c r="AT69" s="6">
        <v>1615.38</v>
      </c>
      <c r="AU69" s="6">
        <v>1615.38</v>
      </c>
      <c r="AV69" s="6">
        <v>1615.38</v>
      </c>
      <c r="AW69" s="6">
        <v>1615.38</v>
      </c>
      <c r="AX69" s="6">
        <v>1615.38</v>
      </c>
      <c r="AY69" s="6">
        <v>1615.38</v>
      </c>
      <c r="AZ69" s="6">
        <v>1615.38</v>
      </c>
      <c r="BA69" s="6">
        <v>1615.38</v>
      </c>
      <c r="BB69" s="6">
        <v>1615.38</v>
      </c>
      <c r="BC69" s="6">
        <v>1615.38</v>
      </c>
      <c r="BD69" s="6">
        <v>1615.38</v>
      </c>
      <c r="BE69" s="6">
        <v>1615.38</v>
      </c>
      <c r="BF69" s="6">
        <v>1615.38</v>
      </c>
      <c r="BG69" s="6">
        <v>1615.38</v>
      </c>
      <c r="BH69" s="6">
        <v>1615.38</v>
      </c>
      <c r="BI69" s="6">
        <v>1615.38</v>
      </c>
      <c r="BJ69" s="6">
        <v>1615.38</v>
      </c>
      <c r="BK69" s="6">
        <v>1615.38</v>
      </c>
      <c r="BL69" s="6">
        <v>1615.38</v>
      </c>
      <c r="BM69" s="6">
        <v>1615.38</v>
      </c>
      <c r="BN69" s="6">
        <v>1615.38</v>
      </c>
      <c r="BO69" s="6">
        <v>1615.38</v>
      </c>
      <c r="BP69" s="6">
        <v>1615.38</v>
      </c>
      <c r="BQ69" s="6">
        <v>1615.5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f t="shared" si="7"/>
        <v>52793.999999999985</v>
      </c>
      <c r="CH69" s="6">
        <f>VLOOKUP(A69,'BL-TAPIAS'!$B$6:$J$123,8,FALSE)</f>
        <v>636400</v>
      </c>
      <c r="CI69" s="6">
        <f>VLOOKUP(A69,'BL-TAPIAS'!$B$6:$J$123,9,FALSE)</f>
        <v>44548.000000000007</v>
      </c>
      <c r="CJ69" s="119">
        <v>3000</v>
      </c>
      <c r="CK69" s="119">
        <f t="shared" si="5"/>
        <v>41548.000000000007</v>
      </c>
      <c r="CL69" s="119">
        <f t="shared" si="6"/>
        <v>1598.0000000000002</v>
      </c>
      <c r="CM69" s="215">
        <f t="shared" si="4"/>
        <v>11245.999999999978</v>
      </c>
    </row>
    <row r="70" spans="1:91" x14ac:dyDescent="0.25">
      <c r="A70" s="5">
        <v>806</v>
      </c>
      <c r="B70" s="5" t="str">
        <f>VLOOKUP(A70,'BL-TAPIAS'!B74:H196,7,FALSE)</f>
        <v>1.Disponible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5000</v>
      </c>
      <c r="AS70" s="6">
        <v>1996.54</v>
      </c>
      <c r="AT70" s="6">
        <v>1996.54</v>
      </c>
      <c r="AU70" s="6">
        <v>1996.54</v>
      </c>
      <c r="AV70" s="6">
        <v>1996.54</v>
      </c>
      <c r="AW70" s="6">
        <v>1996.54</v>
      </c>
      <c r="AX70" s="6">
        <v>1996.54</v>
      </c>
      <c r="AY70" s="6">
        <v>1996.54</v>
      </c>
      <c r="AZ70" s="6">
        <v>1996.54</v>
      </c>
      <c r="BA70" s="6">
        <v>1996.54</v>
      </c>
      <c r="BB70" s="6">
        <v>1996.54</v>
      </c>
      <c r="BC70" s="6">
        <v>1996.54</v>
      </c>
      <c r="BD70" s="6">
        <v>1996.54</v>
      </c>
      <c r="BE70" s="6">
        <v>1996.54</v>
      </c>
      <c r="BF70" s="6">
        <v>1996.54</v>
      </c>
      <c r="BG70" s="6">
        <v>1996.54</v>
      </c>
      <c r="BH70" s="6">
        <v>1996.54</v>
      </c>
      <c r="BI70" s="6">
        <v>1996.54</v>
      </c>
      <c r="BJ70" s="6">
        <v>1996.54</v>
      </c>
      <c r="BK70" s="6">
        <v>1996.54</v>
      </c>
      <c r="BL70" s="6">
        <v>1996.54</v>
      </c>
      <c r="BM70" s="6">
        <v>1996.54</v>
      </c>
      <c r="BN70" s="6">
        <v>1996.54</v>
      </c>
      <c r="BO70" s="6">
        <v>1996.54</v>
      </c>
      <c r="BP70" s="6">
        <v>989.58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f t="shared" si="7"/>
        <v>51910.000000000015</v>
      </c>
      <c r="CH70" s="6">
        <f>VLOOKUP(A70,'BL-TAPIAS'!$B$6:$J$123,8,FALSE)</f>
        <v>744000</v>
      </c>
      <c r="CI70" s="6">
        <f>VLOOKUP(A70,'BL-TAPIAS'!$B$6:$J$123,9,FALSE)</f>
        <v>52100</v>
      </c>
      <c r="CJ70" s="119">
        <v>5000</v>
      </c>
      <c r="CK70" s="119">
        <f t="shared" si="5"/>
        <v>47100</v>
      </c>
      <c r="CL70" s="119">
        <f t="shared" si="6"/>
        <v>1811.5384615384614</v>
      </c>
      <c r="CM70" s="215">
        <f t="shared" si="4"/>
        <v>4810.0000000000146</v>
      </c>
    </row>
    <row r="71" spans="1:91" x14ac:dyDescent="0.25">
      <c r="A71" s="5">
        <v>807</v>
      </c>
      <c r="B71" s="5" t="str">
        <f>VLOOKUP(A71,'BL-TAPIAS'!B75:H197,7,FALSE)</f>
        <v>2.Reservado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5000</v>
      </c>
      <c r="AT71" s="6">
        <v>2354.35</v>
      </c>
      <c r="AU71" s="6">
        <v>2354.35</v>
      </c>
      <c r="AV71" s="6">
        <v>2354.35</v>
      </c>
      <c r="AW71" s="6">
        <v>2354.35</v>
      </c>
      <c r="AX71" s="6">
        <v>2354.35</v>
      </c>
      <c r="AY71" s="6">
        <v>2354.35</v>
      </c>
      <c r="AZ71" s="6">
        <v>2354.35</v>
      </c>
      <c r="BA71" s="6">
        <v>2354.35</v>
      </c>
      <c r="BB71" s="6">
        <v>2354.35</v>
      </c>
      <c r="BC71" s="6">
        <v>2354.35</v>
      </c>
      <c r="BD71" s="6">
        <v>2354.35</v>
      </c>
      <c r="BE71" s="6">
        <v>2354.35</v>
      </c>
      <c r="BF71" s="6">
        <v>2354.35</v>
      </c>
      <c r="BG71" s="6">
        <v>2354.35</v>
      </c>
      <c r="BH71" s="6">
        <v>2354.35</v>
      </c>
      <c r="BI71" s="6">
        <v>2354.35</v>
      </c>
      <c r="BJ71" s="6">
        <v>2354.35</v>
      </c>
      <c r="BK71" s="6">
        <v>2354.35</v>
      </c>
      <c r="BL71" s="6">
        <v>2354.35</v>
      </c>
      <c r="BM71" s="6">
        <v>2354.35</v>
      </c>
      <c r="BN71" s="6">
        <v>2354.35</v>
      </c>
      <c r="BO71" s="6">
        <v>2354.35</v>
      </c>
      <c r="BP71" s="6">
        <v>2354.35</v>
      </c>
      <c r="BQ71" s="6">
        <v>2062.9499999999998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f t="shared" si="7"/>
        <v>61212.999999999971</v>
      </c>
      <c r="CH71" s="6">
        <f>VLOOKUP(A71,'BL-TAPIAS'!$B$6:$J$123,8,FALSE)</f>
        <v>744000</v>
      </c>
      <c r="CI71" s="6">
        <f>VLOOKUP(A71,'BL-TAPIAS'!$B$6:$J$123,9,FALSE)</f>
        <v>52100</v>
      </c>
      <c r="CJ71" s="119">
        <v>5000</v>
      </c>
      <c r="CK71" s="119">
        <f t="shared" si="5"/>
        <v>47100</v>
      </c>
      <c r="CL71" s="119">
        <f t="shared" si="6"/>
        <v>1811.5384615384614</v>
      </c>
      <c r="CM71" s="215">
        <f t="shared" si="4"/>
        <v>14112.999999999971</v>
      </c>
    </row>
    <row r="72" spans="1:91" x14ac:dyDescent="0.25">
      <c r="A72" s="5">
        <v>808</v>
      </c>
      <c r="B72" s="5" t="str">
        <f>VLOOKUP(A72,'BL-TAPIAS'!B76:H198,7,FALSE)</f>
        <v>4. Plan de Pagos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5000</v>
      </c>
      <c r="AS72" s="6">
        <v>2354.35</v>
      </c>
      <c r="AT72" s="6">
        <v>2354.35</v>
      </c>
      <c r="AU72" s="6">
        <v>2354.35</v>
      </c>
      <c r="AV72" s="6">
        <v>2354.35</v>
      </c>
      <c r="AW72" s="6">
        <v>2354.35</v>
      </c>
      <c r="AX72" s="6">
        <v>2354.35</v>
      </c>
      <c r="AY72" s="6">
        <v>2354.35</v>
      </c>
      <c r="AZ72" s="6">
        <v>2354.35</v>
      </c>
      <c r="BA72" s="6">
        <v>2354.35</v>
      </c>
      <c r="BB72" s="6">
        <v>2354.35</v>
      </c>
      <c r="BC72" s="6">
        <v>2354.35</v>
      </c>
      <c r="BD72" s="6">
        <v>2354.35</v>
      </c>
      <c r="BE72" s="6">
        <v>2354.35</v>
      </c>
      <c r="BF72" s="6">
        <v>2354.35</v>
      </c>
      <c r="BG72" s="6">
        <v>2354.35</v>
      </c>
      <c r="BH72" s="6">
        <v>2354.35</v>
      </c>
      <c r="BI72" s="6">
        <v>2354.35</v>
      </c>
      <c r="BJ72" s="6">
        <v>2354.35</v>
      </c>
      <c r="BK72" s="6">
        <v>2354.35</v>
      </c>
      <c r="BL72" s="6">
        <v>2354.35</v>
      </c>
      <c r="BM72" s="6">
        <v>2354.35</v>
      </c>
      <c r="BN72" s="6">
        <v>2354.35</v>
      </c>
      <c r="BO72" s="6">
        <v>2354.35</v>
      </c>
      <c r="BP72" s="6">
        <v>2062.9499999999998</v>
      </c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f t="shared" si="7"/>
        <v>61212.999999999971</v>
      </c>
      <c r="CH72" s="6">
        <f>VLOOKUP(A72,'BL-TAPIAS'!$B$6:$J$123,8,FALSE)</f>
        <v>744000</v>
      </c>
      <c r="CI72" s="6">
        <f>VLOOKUP(A72,'BL-TAPIAS'!$B$6:$J$123,9,FALSE)</f>
        <v>52100</v>
      </c>
      <c r="CJ72" s="119">
        <v>5000</v>
      </c>
      <c r="CK72" s="119">
        <f t="shared" si="5"/>
        <v>47100</v>
      </c>
      <c r="CL72" s="119">
        <f t="shared" si="6"/>
        <v>1811.5384615384614</v>
      </c>
      <c r="CM72" s="215">
        <f t="shared" si="4"/>
        <v>14112.999999999971</v>
      </c>
    </row>
    <row r="73" spans="1:91" x14ac:dyDescent="0.25">
      <c r="A73" s="5">
        <v>809</v>
      </c>
      <c r="B73" s="5" t="str">
        <f>VLOOKUP(A73,'BL-TAPIAS'!B77:H199,7,FALSE)</f>
        <v>4. Plan de Pagos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5000</v>
      </c>
      <c r="AT73" s="6">
        <v>1996.54</v>
      </c>
      <c r="AU73" s="6">
        <v>1996.54</v>
      </c>
      <c r="AV73" s="6">
        <v>1996.54</v>
      </c>
      <c r="AW73" s="6">
        <v>1996.54</v>
      </c>
      <c r="AX73" s="6">
        <v>1996.54</v>
      </c>
      <c r="AY73" s="6">
        <v>1996.54</v>
      </c>
      <c r="AZ73" s="6">
        <v>1996.54</v>
      </c>
      <c r="BA73" s="6">
        <v>1996.54</v>
      </c>
      <c r="BB73" s="6">
        <v>1996.54</v>
      </c>
      <c r="BC73" s="6">
        <v>1996.54</v>
      </c>
      <c r="BD73" s="6">
        <v>1996.54</v>
      </c>
      <c r="BE73" s="6">
        <v>1996.54</v>
      </c>
      <c r="BF73" s="6">
        <v>1996.54</v>
      </c>
      <c r="BG73" s="6">
        <v>1996.54</v>
      </c>
      <c r="BH73" s="6">
        <v>1996.54</v>
      </c>
      <c r="BI73" s="6">
        <v>1996.54</v>
      </c>
      <c r="BJ73" s="6">
        <v>1996.54</v>
      </c>
      <c r="BK73" s="6">
        <v>1996.54</v>
      </c>
      <c r="BL73" s="6">
        <v>1996.54</v>
      </c>
      <c r="BM73" s="6">
        <v>1996.54</v>
      </c>
      <c r="BN73" s="6">
        <v>1996.54</v>
      </c>
      <c r="BO73" s="6">
        <v>1996.54</v>
      </c>
      <c r="BP73" s="6">
        <v>1996.54</v>
      </c>
      <c r="BQ73" s="6">
        <v>989.58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f t="shared" si="7"/>
        <v>51910.000000000015</v>
      </c>
      <c r="CH73" s="6">
        <f>VLOOKUP(A73,'BL-TAPIAS'!$B$6:$J$123,8,FALSE)</f>
        <v>813000</v>
      </c>
      <c r="CI73" s="6">
        <f>VLOOKUP(A73,'BL-TAPIAS'!$B$6:$J$123,9,FALSE)</f>
        <v>56910.000000000007</v>
      </c>
      <c r="CJ73" s="119">
        <v>5000</v>
      </c>
      <c r="CK73" s="119">
        <f t="shared" si="5"/>
        <v>51910.000000000007</v>
      </c>
      <c r="CL73" s="119">
        <f t="shared" si="6"/>
        <v>1996.5384615384619</v>
      </c>
      <c r="CM73" s="215">
        <f t="shared" si="4"/>
        <v>0</v>
      </c>
    </row>
    <row r="74" spans="1:91" x14ac:dyDescent="0.25">
      <c r="A74" s="5">
        <v>901</v>
      </c>
      <c r="B74" s="5" t="str">
        <f>VLOOKUP(A74,'BL-TAPIAS'!B78:H200,7,FALSE)</f>
        <v>1.Disponible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>
        <v>3000</v>
      </c>
      <c r="AO74" s="6">
        <v>1598</v>
      </c>
      <c r="AP74" s="6">
        <v>1598</v>
      </c>
      <c r="AQ74" s="6">
        <v>1598</v>
      </c>
      <c r="AR74" s="6">
        <v>1598</v>
      </c>
      <c r="AS74" s="6">
        <v>1598</v>
      </c>
      <c r="AT74" s="6">
        <v>1598</v>
      </c>
      <c r="AU74" s="6">
        <v>1598</v>
      </c>
      <c r="AV74" s="6">
        <v>1598</v>
      </c>
      <c r="AW74" s="6">
        <v>1598</v>
      </c>
      <c r="AX74" s="6">
        <v>1598</v>
      </c>
      <c r="AY74" s="6">
        <v>1598</v>
      </c>
      <c r="AZ74" s="6">
        <v>1598</v>
      </c>
      <c r="BA74" s="6">
        <v>1598</v>
      </c>
      <c r="BB74" s="6">
        <v>1598</v>
      </c>
      <c r="BC74" s="6">
        <v>1598</v>
      </c>
      <c r="BD74" s="6">
        <v>1598</v>
      </c>
      <c r="BE74" s="6">
        <v>1598</v>
      </c>
      <c r="BF74" s="6">
        <v>1598</v>
      </c>
      <c r="BG74" s="6">
        <v>1598</v>
      </c>
      <c r="BH74" s="6">
        <v>1598</v>
      </c>
      <c r="BI74" s="6">
        <v>1598</v>
      </c>
      <c r="BJ74" s="6">
        <v>1598</v>
      </c>
      <c r="BK74" s="6">
        <v>1598</v>
      </c>
      <c r="BL74" s="6">
        <v>1794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f t="shared" si="7"/>
        <v>41548</v>
      </c>
      <c r="CH74" s="6">
        <f>VLOOKUP(A74,'BL-TAPIAS'!$B$6:$J$123,8,FALSE)</f>
        <v>636400</v>
      </c>
      <c r="CI74" s="6">
        <f>VLOOKUP(A74,'BL-TAPIAS'!$B$6:$J$123,9,FALSE)</f>
        <v>44548.000000000007</v>
      </c>
      <c r="CJ74" s="119">
        <v>3000</v>
      </c>
      <c r="CK74" s="119">
        <f t="shared" si="5"/>
        <v>41548.000000000007</v>
      </c>
      <c r="CL74" s="119">
        <f t="shared" si="6"/>
        <v>1598.0000000000002</v>
      </c>
      <c r="CM74" s="215">
        <f t="shared" si="4"/>
        <v>0</v>
      </c>
    </row>
    <row r="75" spans="1:91" x14ac:dyDescent="0.25">
      <c r="A75" s="5">
        <v>902</v>
      </c>
      <c r="B75" s="5" t="str">
        <f>VLOOKUP(A75,'BL-TAPIAS'!B79:H201,7,FALSE)</f>
        <v>4. Plan de Pagos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>
        <v>5000</v>
      </c>
      <c r="AY75" s="6">
        <v>2354.35</v>
      </c>
      <c r="AZ75" s="6">
        <v>2354.35</v>
      </c>
      <c r="BA75" s="6">
        <v>2354.35</v>
      </c>
      <c r="BB75" s="6">
        <v>2354.35</v>
      </c>
      <c r="BC75" s="6">
        <v>2354.35</v>
      </c>
      <c r="BD75" s="6">
        <v>2354.35</v>
      </c>
      <c r="BE75" s="6">
        <v>2354.35</v>
      </c>
      <c r="BF75" s="6">
        <v>2354.35</v>
      </c>
      <c r="BG75" s="6">
        <v>2354.35</v>
      </c>
      <c r="BH75" s="6">
        <v>2354.35</v>
      </c>
      <c r="BI75" s="6">
        <v>2354.35</v>
      </c>
      <c r="BJ75" s="6">
        <v>2354.35</v>
      </c>
      <c r="BK75" s="6">
        <v>2354.35</v>
      </c>
      <c r="BL75" s="6">
        <v>2354.35</v>
      </c>
      <c r="BM75" s="6">
        <v>2354.35</v>
      </c>
      <c r="BN75" s="6">
        <v>2354.35</v>
      </c>
      <c r="BO75" s="6">
        <v>2354.35</v>
      </c>
      <c r="BP75" s="6">
        <v>2354.35</v>
      </c>
      <c r="BQ75" s="6">
        <v>2354.35</v>
      </c>
      <c r="BR75" s="6">
        <v>2354.35</v>
      </c>
      <c r="BS75" s="6">
        <v>2354.35</v>
      </c>
      <c r="BT75" s="6">
        <v>2354.35</v>
      </c>
      <c r="BU75" s="6">
        <v>2354.35</v>
      </c>
      <c r="BV75" s="6">
        <v>2062.9499999999998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f>SUM(C75:CF75)</f>
        <v>61212.999999999971</v>
      </c>
      <c r="CH75" s="6">
        <f>VLOOKUP(A75,'BL-TAPIAS'!$B$6:$J$123,8,FALSE)</f>
        <v>945900</v>
      </c>
      <c r="CI75" s="6">
        <f>VLOOKUP(A75,'BL-TAPIAS'!$B$6:$J$123,9,FALSE)</f>
        <v>66213</v>
      </c>
      <c r="CJ75" s="119">
        <v>5000</v>
      </c>
      <c r="CK75" s="119">
        <f t="shared" si="5"/>
        <v>61213</v>
      </c>
      <c r="CL75" s="119">
        <f t="shared" si="6"/>
        <v>2354.3461538461538</v>
      </c>
      <c r="CM75" s="215">
        <f t="shared" si="4"/>
        <v>0</v>
      </c>
    </row>
    <row r="76" spans="1:91" x14ac:dyDescent="0.25">
      <c r="A76" s="5">
        <v>903</v>
      </c>
      <c r="B76" s="5" t="str">
        <f>VLOOKUP(A76,'BL-TAPIAS'!B80:H202,7,FALSE)</f>
        <v>4. Plan de Pagos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5000</v>
      </c>
      <c r="AZ76" s="6">
        <v>2354.35</v>
      </c>
      <c r="BA76" s="6">
        <v>2354.35</v>
      </c>
      <c r="BB76" s="6">
        <v>2354.35</v>
      </c>
      <c r="BC76" s="6">
        <v>2354.35</v>
      </c>
      <c r="BD76" s="6">
        <v>2354.35</v>
      </c>
      <c r="BE76" s="6">
        <v>2354.35</v>
      </c>
      <c r="BF76" s="6">
        <v>2354.35</v>
      </c>
      <c r="BG76" s="6">
        <v>2354.35</v>
      </c>
      <c r="BH76" s="6">
        <v>2354.35</v>
      </c>
      <c r="BI76" s="6">
        <v>2354.35</v>
      </c>
      <c r="BJ76" s="6">
        <v>2354.35</v>
      </c>
      <c r="BK76" s="6">
        <v>2354.35</v>
      </c>
      <c r="BL76" s="6">
        <v>2354.35</v>
      </c>
      <c r="BM76" s="6">
        <v>2354.35</v>
      </c>
      <c r="BN76" s="6">
        <v>2354.35</v>
      </c>
      <c r="BO76" s="6">
        <v>2354.35</v>
      </c>
      <c r="BP76" s="6">
        <v>2354.35</v>
      </c>
      <c r="BQ76" s="6">
        <v>2354.35</v>
      </c>
      <c r="BR76" s="6">
        <v>2354.35</v>
      </c>
      <c r="BS76" s="6">
        <v>2354.35</v>
      </c>
      <c r="BT76" s="6">
        <v>2354.35</v>
      </c>
      <c r="BU76" s="6">
        <v>2354.35</v>
      </c>
      <c r="BV76" s="6">
        <v>2354.35</v>
      </c>
      <c r="BW76" s="6">
        <v>2062.9499999999998</v>
      </c>
      <c r="BX76" s="6"/>
      <c r="BY76" s="6"/>
      <c r="BZ76" s="6"/>
      <c r="CA76" s="6"/>
      <c r="CB76" s="6"/>
      <c r="CC76" s="6"/>
      <c r="CD76" s="6"/>
      <c r="CE76" s="6"/>
      <c r="CF76" s="6"/>
      <c r="CG76" s="6">
        <f>SUM(C76:CF76)</f>
        <v>61212.999999999971</v>
      </c>
      <c r="CH76" s="6">
        <f>VLOOKUP(A76,'BL-TAPIAS'!$B$6:$J$123,8,FALSE)</f>
        <v>945900</v>
      </c>
      <c r="CI76" s="6">
        <f>VLOOKUP(A76,'BL-TAPIAS'!$B$6:$J$123,9,FALSE)</f>
        <v>66213</v>
      </c>
      <c r="CJ76" s="119">
        <v>5000</v>
      </c>
      <c r="CK76" s="119">
        <f t="shared" si="5"/>
        <v>61213</v>
      </c>
      <c r="CL76" s="119">
        <f t="shared" si="6"/>
        <v>2354.3461538461538</v>
      </c>
      <c r="CM76" s="215">
        <f t="shared" si="4"/>
        <v>0</v>
      </c>
    </row>
    <row r="77" spans="1:91" x14ac:dyDescent="0.25">
      <c r="A77" s="233">
        <v>904</v>
      </c>
      <c r="B77" s="233" t="str">
        <f>VLOOKUP(A77,'BL-TAPIAS'!B81:H203,7,FALSE)</f>
        <v>4. Plan de Pagos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>
        <v>1500</v>
      </c>
      <c r="AE77" s="6">
        <v>1500</v>
      </c>
      <c r="AF77" s="6">
        <v>1555.56</v>
      </c>
      <c r="AG77" s="6">
        <v>1555.56</v>
      </c>
      <c r="AH77" s="6">
        <v>1555.56</v>
      </c>
      <c r="AI77" s="6">
        <v>1555.56</v>
      </c>
      <c r="AJ77" s="6">
        <v>1555.56</v>
      </c>
      <c r="AK77" s="6">
        <v>1555.56</v>
      </c>
      <c r="AL77" s="6">
        <v>1555.56</v>
      </c>
      <c r="AM77" s="6">
        <v>1555.56</v>
      </c>
      <c r="AN77" s="6">
        <v>1555.56</v>
      </c>
      <c r="AO77" s="6">
        <v>1555.56</v>
      </c>
      <c r="AP77" s="6">
        <v>1555.56</v>
      </c>
      <c r="AQ77" s="6">
        <v>1555.56</v>
      </c>
      <c r="AR77" s="6">
        <v>1555.56</v>
      </c>
      <c r="AS77" s="6">
        <v>1555.56</v>
      </c>
      <c r="AT77" s="6">
        <v>1555.56</v>
      </c>
      <c r="AU77" s="6">
        <v>1555.56</v>
      </c>
      <c r="AV77" s="6">
        <v>1555.56</v>
      </c>
      <c r="AW77" s="6">
        <v>1555.56</v>
      </c>
      <c r="AX77" s="6">
        <v>1555.56</v>
      </c>
      <c r="AY77" s="6">
        <v>1555.56</v>
      </c>
      <c r="AZ77" s="6">
        <v>1555.56</v>
      </c>
      <c r="BA77" s="6">
        <v>1555.56</v>
      </c>
      <c r="BB77" s="6">
        <v>1555.56</v>
      </c>
      <c r="BC77" s="6">
        <v>1555.56</v>
      </c>
      <c r="BD77" s="6">
        <v>1555.56</v>
      </c>
      <c r="BE77" s="6">
        <v>3111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f>SUM(C77:BT77)</f>
        <v>45000</v>
      </c>
      <c r="CH77" s="201">
        <f>VLOOKUP(A77,'BL-TAPIAS'!$B$6:$J$123,8,FALSE)</f>
        <v>617038</v>
      </c>
      <c r="CI77" s="201">
        <f>VLOOKUP(A77,'BL-TAPIAS'!$B$6:$J$123,9,FALSE)</f>
        <v>43308</v>
      </c>
      <c r="CJ77" s="239">
        <v>3000</v>
      </c>
      <c r="CK77" s="239">
        <f t="shared" si="5"/>
        <v>40308</v>
      </c>
      <c r="CL77" s="239">
        <f t="shared" si="6"/>
        <v>1550.3076923076924</v>
      </c>
      <c r="CM77" s="215">
        <f t="shared" si="4"/>
        <v>4692</v>
      </c>
    </row>
    <row r="78" spans="1:91" x14ac:dyDescent="0.25">
      <c r="A78" s="5">
        <v>905</v>
      </c>
      <c r="B78" s="5" t="str">
        <f>VLOOKUP(A78,'BL-TAPIAS'!B82:H204,7,FALSE)</f>
        <v>4. Plan de Pagos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2"/>
      <c r="AD78" s="6">
        <v>1500</v>
      </c>
      <c r="AE78" s="6">
        <v>1500</v>
      </c>
      <c r="AF78" s="6">
        <v>1555.56</v>
      </c>
      <c r="AG78" s="6">
        <v>1555.56</v>
      </c>
      <c r="AH78" s="6">
        <v>1555.56</v>
      </c>
      <c r="AI78" s="6">
        <v>1555.56</v>
      </c>
      <c r="AJ78" s="6">
        <v>1555.56</v>
      </c>
      <c r="AK78" s="6">
        <v>1555.56</v>
      </c>
      <c r="AL78" s="6">
        <v>1555.56</v>
      </c>
      <c r="AM78" s="6">
        <v>1555.56</v>
      </c>
      <c r="AN78" s="6">
        <v>1555.56</v>
      </c>
      <c r="AO78" s="6">
        <v>1555.56</v>
      </c>
      <c r="AP78" s="6">
        <v>1555.56</v>
      </c>
      <c r="AQ78" s="6">
        <v>1555.56</v>
      </c>
      <c r="AR78" s="6">
        <v>1555.56</v>
      </c>
      <c r="AS78" s="6">
        <v>1555.56</v>
      </c>
      <c r="AT78" s="6">
        <v>1555.56</v>
      </c>
      <c r="AU78" s="6">
        <v>1555.56</v>
      </c>
      <c r="AV78" s="6">
        <v>1555.56</v>
      </c>
      <c r="AW78" s="6">
        <v>1555.56</v>
      </c>
      <c r="AX78" s="6">
        <v>1555.56</v>
      </c>
      <c r="AY78" s="6">
        <v>1555.56</v>
      </c>
      <c r="AZ78" s="6">
        <v>1555.56</v>
      </c>
      <c r="BA78" s="6">
        <v>1555.56</v>
      </c>
      <c r="BB78" s="6">
        <v>1555.56</v>
      </c>
      <c r="BC78" s="6">
        <v>1555.56</v>
      </c>
      <c r="BD78" s="6">
        <v>1555.56</v>
      </c>
      <c r="BE78" s="6">
        <v>3111</v>
      </c>
      <c r="BF78" s="6"/>
      <c r="BG78" s="2"/>
      <c r="BH78" s="2"/>
      <c r="BI78" s="2"/>
      <c r="BJ78" s="2"/>
      <c r="BK78" s="2"/>
      <c r="BL78" s="2"/>
      <c r="BM78" s="2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f>SUM(C78:BT78)</f>
        <v>45000</v>
      </c>
      <c r="CH78" s="6">
        <f>VLOOKUP(A78,'BL-TAPIAS'!$B$6:$J$123,8,FALSE)</f>
        <v>636400</v>
      </c>
      <c r="CI78" s="6">
        <f>VLOOKUP(A78,'BL-TAPIAS'!$B$6:$J$123,9,FALSE)</f>
        <v>44548.000000000007</v>
      </c>
      <c r="CJ78" s="119">
        <v>3000</v>
      </c>
      <c r="CK78" s="119">
        <f t="shared" si="5"/>
        <v>41548.000000000007</v>
      </c>
      <c r="CL78" s="119">
        <f t="shared" si="6"/>
        <v>1598.0000000000002</v>
      </c>
      <c r="CM78" s="215">
        <f t="shared" si="4"/>
        <v>3451.9999999999927</v>
      </c>
    </row>
    <row r="79" spans="1:91" x14ac:dyDescent="0.25">
      <c r="A79" s="5">
        <v>906</v>
      </c>
      <c r="B79" s="5" t="str">
        <f>VLOOKUP(A79,'BL-TAPIAS'!B83:H205,7,FALSE)</f>
        <v>4. Plan de Pagos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5000</v>
      </c>
      <c r="AX79" s="6">
        <v>1996.54</v>
      </c>
      <c r="AY79" s="6">
        <v>1996.54</v>
      </c>
      <c r="AZ79" s="6">
        <v>1996.54</v>
      </c>
      <c r="BA79" s="6">
        <v>1996.54</v>
      </c>
      <c r="BB79" s="6">
        <v>1996.54</v>
      </c>
      <c r="BC79" s="6">
        <v>1996.54</v>
      </c>
      <c r="BD79" s="6">
        <v>1996.54</v>
      </c>
      <c r="BE79" s="6">
        <v>1996.54</v>
      </c>
      <c r="BF79" s="6">
        <v>1996.54</v>
      </c>
      <c r="BG79" s="6">
        <v>1996.54</v>
      </c>
      <c r="BH79" s="6">
        <v>1996.54</v>
      </c>
      <c r="BI79" s="6">
        <v>1996.54</v>
      </c>
      <c r="BJ79" s="6">
        <v>1996.54</v>
      </c>
      <c r="BK79" s="6">
        <v>1996.54</v>
      </c>
      <c r="BL79" s="6">
        <v>1996.54</v>
      </c>
      <c r="BM79" s="6">
        <v>1996.54</v>
      </c>
      <c r="BN79" s="6">
        <v>1996.54</v>
      </c>
      <c r="BO79" s="6">
        <v>1996.54</v>
      </c>
      <c r="BP79" s="6">
        <v>1996.54</v>
      </c>
      <c r="BQ79" s="6">
        <v>1996.54</v>
      </c>
      <c r="BR79" s="6">
        <v>1996.54</v>
      </c>
      <c r="BS79" s="6">
        <v>1996.54</v>
      </c>
      <c r="BT79" s="6">
        <v>1996.54</v>
      </c>
      <c r="BU79" s="6">
        <v>989.58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f>SUM(C79:CF79)</f>
        <v>51910.000000000015</v>
      </c>
      <c r="CH79" s="6">
        <f>VLOOKUP(A79,'BL-TAPIAS'!$B$6:$J$123,8,FALSE)</f>
        <v>813000</v>
      </c>
      <c r="CI79" s="6">
        <f>VLOOKUP(A79,'BL-TAPIAS'!$B$6:$J$123,9,FALSE)</f>
        <v>56910.000000000007</v>
      </c>
      <c r="CJ79" s="119">
        <v>5000</v>
      </c>
      <c r="CK79" s="119">
        <f t="shared" si="5"/>
        <v>51910.000000000007</v>
      </c>
      <c r="CL79" s="119">
        <f t="shared" si="6"/>
        <v>1996.5384615384619</v>
      </c>
      <c r="CM79" s="215">
        <f t="shared" si="4"/>
        <v>0</v>
      </c>
    </row>
    <row r="80" spans="1:91" x14ac:dyDescent="0.25">
      <c r="A80" s="5">
        <v>907</v>
      </c>
      <c r="B80" s="5" t="str">
        <f>VLOOKUP(A80,'BL-TAPIAS'!B84:H206,7,FALSE)</f>
        <v>4. Plan de Pagos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5000</v>
      </c>
      <c r="BC80" s="6">
        <v>2354.35</v>
      </c>
      <c r="BD80" s="6">
        <v>2354.35</v>
      </c>
      <c r="BE80" s="6">
        <v>2354.35</v>
      </c>
      <c r="BF80" s="6">
        <v>2354.35</v>
      </c>
      <c r="BG80" s="6">
        <v>2354.35</v>
      </c>
      <c r="BH80" s="6">
        <v>2354.35</v>
      </c>
      <c r="BI80" s="6">
        <v>2354.35</v>
      </c>
      <c r="BJ80" s="6">
        <v>2354.35</v>
      </c>
      <c r="BK80" s="6">
        <v>2354.35</v>
      </c>
      <c r="BL80" s="6">
        <v>2354.35</v>
      </c>
      <c r="BM80" s="6">
        <v>2354.35</v>
      </c>
      <c r="BN80" s="6">
        <v>2354.35</v>
      </c>
      <c r="BO80" s="6">
        <v>2354.35</v>
      </c>
      <c r="BP80" s="6">
        <v>2354.35</v>
      </c>
      <c r="BQ80" s="6">
        <v>2354.35</v>
      </c>
      <c r="BR80" s="6">
        <v>2354.35</v>
      </c>
      <c r="BS80" s="6">
        <v>2354.35</v>
      </c>
      <c r="BT80" s="6">
        <v>2354.35</v>
      </c>
      <c r="BU80" s="6">
        <v>2354.35</v>
      </c>
      <c r="BV80" s="6">
        <v>2354.35</v>
      </c>
      <c r="BW80" s="6">
        <v>2354.35</v>
      </c>
      <c r="BX80" s="6">
        <v>2354.35</v>
      </c>
      <c r="BY80" s="6">
        <v>2354.35</v>
      </c>
      <c r="BZ80" s="6">
        <v>2062.9499999999998</v>
      </c>
      <c r="CA80" s="6"/>
      <c r="CB80" s="6"/>
      <c r="CC80" s="6"/>
      <c r="CD80" s="6"/>
      <c r="CE80" s="6"/>
      <c r="CF80" s="6"/>
      <c r="CG80" s="6">
        <f>SUM(C80:CF80)</f>
        <v>61212.999999999971</v>
      </c>
      <c r="CH80" s="6">
        <f>VLOOKUP(A80,'BL-TAPIAS'!$B$6:$J$123,8,FALSE)</f>
        <v>744000</v>
      </c>
      <c r="CI80" s="6">
        <f>VLOOKUP(A80,'BL-TAPIAS'!$B$6:$J$123,9,FALSE)</f>
        <v>53000</v>
      </c>
      <c r="CJ80" s="119">
        <v>5000</v>
      </c>
      <c r="CK80" s="119">
        <f t="shared" si="5"/>
        <v>48000</v>
      </c>
      <c r="CL80" s="119">
        <f t="shared" si="6"/>
        <v>1846.1538461538462</v>
      </c>
      <c r="CM80" s="215">
        <f t="shared" si="4"/>
        <v>13212.999999999971</v>
      </c>
    </row>
    <row r="81" spans="1:91" x14ac:dyDescent="0.25">
      <c r="A81" s="5">
        <v>908</v>
      </c>
      <c r="B81" s="5" t="str">
        <f>VLOOKUP(A81,'BL-TAPIAS'!B85:H207,7,FALSE)</f>
        <v>4. Plan de Pagos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5000</v>
      </c>
      <c r="AJ81" s="6">
        <v>2354.35</v>
      </c>
      <c r="AK81" s="6">
        <v>2354.35</v>
      </c>
      <c r="AL81" s="6">
        <v>2354.35</v>
      </c>
      <c r="AM81" s="6">
        <v>2354.35</v>
      </c>
      <c r="AN81" s="6">
        <v>2354.35</v>
      </c>
      <c r="AO81" s="6">
        <v>2354.35</v>
      </c>
      <c r="AP81" s="6">
        <v>2354.35</v>
      </c>
      <c r="AQ81" s="6">
        <v>2354.35</v>
      </c>
      <c r="AR81" s="6">
        <v>2354.35</v>
      </c>
      <c r="AS81" s="6">
        <v>2354.35</v>
      </c>
      <c r="AT81" s="6">
        <v>2354.35</v>
      </c>
      <c r="AU81" s="6">
        <v>2354.35</v>
      </c>
      <c r="AV81" s="6">
        <v>2354.35</v>
      </c>
      <c r="AW81" s="6">
        <v>2354.35</v>
      </c>
      <c r="AX81" s="6">
        <v>2354.35</v>
      </c>
      <c r="AY81" s="6">
        <v>2354.35</v>
      </c>
      <c r="AZ81" s="6">
        <v>2354.35</v>
      </c>
      <c r="BA81" s="6">
        <v>2354.35</v>
      </c>
      <c r="BB81" s="6">
        <v>2354.35</v>
      </c>
      <c r="BC81" s="6">
        <v>2354.35</v>
      </c>
      <c r="BD81" s="6">
        <v>2354.35</v>
      </c>
      <c r="BE81" s="6">
        <v>2354.35</v>
      </c>
      <c r="BF81" s="6">
        <v>2354.35</v>
      </c>
      <c r="BG81" s="6">
        <v>2062.9499999999998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f>SUM(C81:BT81)</f>
        <v>61212.999999999971</v>
      </c>
      <c r="CH81" s="6">
        <f>VLOOKUP(A81,'BL-TAPIAS'!$B$6:$J$123,8,FALSE)</f>
        <v>945900</v>
      </c>
      <c r="CI81" s="6">
        <f>VLOOKUP(A81,'BL-TAPIAS'!$B$6:$J$123,9,FALSE)</f>
        <v>66213</v>
      </c>
      <c r="CJ81" s="119">
        <v>5000</v>
      </c>
      <c r="CK81" s="119">
        <f t="shared" si="5"/>
        <v>61213</v>
      </c>
      <c r="CL81" s="119">
        <f t="shared" si="6"/>
        <v>2354.3461538461538</v>
      </c>
      <c r="CM81" s="215">
        <f t="shared" si="4"/>
        <v>0</v>
      </c>
    </row>
    <row r="82" spans="1:91" x14ac:dyDescent="0.25">
      <c r="A82" s="233">
        <v>909</v>
      </c>
      <c r="B82" s="233" t="str">
        <f>VLOOKUP(A82,'BL-TAPIAS'!B86:H208,7,FALSE)</f>
        <v>4. Plan de Pagos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3000</v>
      </c>
      <c r="AD82" s="6">
        <v>1500</v>
      </c>
      <c r="AE82" s="6">
        <v>1500</v>
      </c>
      <c r="AF82" s="6">
        <v>1500</v>
      </c>
      <c r="AG82" s="6">
        <v>1500</v>
      </c>
      <c r="AH82" s="6">
        <v>1500</v>
      </c>
      <c r="AI82" s="6">
        <v>1500</v>
      </c>
      <c r="AJ82" s="6">
        <v>1500</v>
      </c>
      <c r="AK82" s="6">
        <v>1500</v>
      </c>
      <c r="AL82" s="6">
        <v>1500</v>
      </c>
      <c r="AM82" s="6">
        <v>1500</v>
      </c>
      <c r="AN82" s="6">
        <v>1500</v>
      </c>
      <c r="AO82" s="6">
        <v>1500</v>
      </c>
      <c r="AP82" s="6">
        <v>2250</v>
      </c>
      <c r="AQ82" s="6">
        <v>2250</v>
      </c>
      <c r="AR82" s="6">
        <v>2250</v>
      </c>
      <c r="AS82" s="6">
        <v>2250</v>
      </c>
      <c r="AT82" s="6">
        <v>2250</v>
      </c>
      <c r="AU82" s="6">
        <v>2250</v>
      </c>
      <c r="AV82" s="6">
        <v>2250</v>
      </c>
      <c r="AW82" s="6">
        <v>2250</v>
      </c>
      <c r="AX82" s="6">
        <v>2250</v>
      </c>
      <c r="AY82" s="6">
        <v>2250</v>
      </c>
      <c r="AZ82" s="6">
        <v>2250</v>
      </c>
      <c r="BA82" s="6">
        <v>2250</v>
      </c>
      <c r="BB82" s="6">
        <v>2250</v>
      </c>
      <c r="BC82" s="6">
        <v>2250</v>
      </c>
      <c r="BD82" s="6">
        <v>2250</v>
      </c>
      <c r="BE82" s="6">
        <v>2250</v>
      </c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f>SUM(C82:BT82)</f>
        <v>57000</v>
      </c>
      <c r="CH82" s="201">
        <f>VLOOKUP(A82,'BL-TAPIAS'!$B$6:$J$123,8,FALSE)</f>
        <v>813000</v>
      </c>
      <c r="CI82" s="201">
        <f>VLOOKUP(A82,'BL-TAPIAS'!$B$6:$J$123,9,FALSE)</f>
        <v>57000</v>
      </c>
      <c r="CJ82" s="239">
        <v>3000</v>
      </c>
      <c r="CK82" s="239">
        <f t="shared" si="5"/>
        <v>54000</v>
      </c>
      <c r="CL82" s="239">
        <f>+CK82/28</f>
        <v>1928.5714285714287</v>
      </c>
      <c r="CM82" s="215">
        <f t="shared" si="4"/>
        <v>3000</v>
      </c>
    </row>
    <row r="83" spans="1:91" x14ac:dyDescent="0.25">
      <c r="A83" s="5">
        <v>1001</v>
      </c>
      <c r="B83" s="5" t="str">
        <f>VLOOKUP(A83,'BL-TAPIAS'!B87:H209,7,FALSE)</f>
        <v>4. Plan de Pagos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>
        <v>3000</v>
      </c>
      <c r="AN83" s="6">
        <v>1623.85</v>
      </c>
      <c r="AO83" s="6">
        <v>1623.85</v>
      </c>
      <c r="AP83" s="6">
        <v>1623.85</v>
      </c>
      <c r="AQ83" s="6">
        <v>1623.85</v>
      </c>
      <c r="AR83" s="6">
        <v>1623.85</v>
      </c>
      <c r="AS83" s="6">
        <v>1623.85</v>
      </c>
      <c r="AT83" s="6">
        <v>1623.85</v>
      </c>
      <c r="AU83" s="6">
        <v>1623.85</v>
      </c>
      <c r="AV83" s="6">
        <v>1623.85</v>
      </c>
      <c r="AW83" s="6">
        <v>1623.85</v>
      </c>
      <c r="AX83" s="6">
        <v>1623.85</v>
      </c>
      <c r="AY83" s="6">
        <v>1623.85</v>
      </c>
      <c r="AZ83" s="6">
        <v>1623.85</v>
      </c>
      <c r="BA83" s="6">
        <v>1623.85</v>
      </c>
      <c r="BB83" s="6">
        <v>1623.85</v>
      </c>
      <c r="BC83" s="6">
        <v>1623.85</v>
      </c>
      <c r="BD83" s="6">
        <v>1623.85</v>
      </c>
      <c r="BE83" s="6">
        <v>1623.85</v>
      </c>
      <c r="BF83" s="6">
        <v>1623.85</v>
      </c>
      <c r="BG83" s="6">
        <v>1623.85</v>
      </c>
      <c r="BH83" s="6">
        <v>1623.85</v>
      </c>
      <c r="BI83" s="6">
        <v>1623.85</v>
      </c>
      <c r="BJ83" s="6">
        <v>1623.85</v>
      </c>
      <c r="BK83" s="6">
        <v>1623.85</v>
      </c>
      <c r="BL83" s="6">
        <v>247.6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f>SUM(C83:BT83)</f>
        <v>42219.999999999978</v>
      </c>
      <c r="CH83" s="6">
        <f>VLOOKUP(A83,'BL-TAPIAS'!$B$6:$J$123,8,FALSE)</f>
        <v>744000</v>
      </c>
      <c r="CI83" s="6">
        <f>VLOOKUP(A83,'BL-TAPIAS'!$B$6:$J$123,9,FALSE)</f>
        <v>52100</v>
      </c>
      <c r="CJ83" s="119">
        <v>3000</v>
      </c>
      <c r="CK83" s="119">
        <f t="shared" si="5"/>
        <v>49100</v>
      </c>
      <c r="CL83" s="119">
        <f t="shared" si="6"/>
        <v>1888.4615384615386</v>
      </c>
      <c r="CM83" s="215">
        <f t="shared" si="4"/>
        <v>-6880.0000000000218</v>
      </c>
    </row>
    <row r="84" spans="1:91" x14ac:dyDescent="0.25">
      <c r="A84" s="5">
        <v>1002</v>
      </c>
      <c r="B84" s="5" t="str">
        <f>VLOOKUP(A84,'BL-TAPIAS'!B88:H210,7,FALSE)</f>
        <v>2.Reservado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5000</v>
      </c>
      <c r="AV84" s="6">
        <v>2389.08</v>
      </c>
      <c r="AW84" s="6">
        <v>2389.08</v>
      </c>
      <c r="AX84" s="6">
        <v>2389.08</v>
      </c>
      <c r="AY84" s="6">
        <v>2389.08</v>
      </c>
      <c r="AZ84" s="6">
        <v>2389.08</v>
      </c>
      <c r="BA84" s="6">
        <v>2389.08</v>
      </c>
      <c r="BB84" s="6">
        <v>2389.08</v>
      </c>
      <c r="BC84" s="6">
        <v>2389.08</v>
      </c>
      <c r="BD84" s="6">
        <v>2389.08</v>
      </c>
      <c r="BE84" s="6">
        <v>2389.08</v>
      </c>
      <c r="BF84" s="6">
        <v>2389.08</v>
      </c>
      <c r="BG84" s="6">
        <v>2389.08</v>
      </c>
      <c r="BH84" s="6">
        <v>2389.08</v>
      </c>
      <c r="BI84" s="6">
        <v>2389.08</v>
      </c>
      <c r="BJ84" s="6">
        <v>2389.08</v>
      </c>
      <c r="BK84" s="6">
        <v>2389.08</v>
      </c>
      <c r="BL84" s="6">
        <v>2389.08</v>
      </c>
      <c r="BM84" s="6">
        <v>2389.08</v>
      </c>
      <c r="BN84" s="6">
        <v>2389.08</v>
      </c>
      <c r="BO84" s="6">
        <v>2389.08</v>
      </c>
      <c r="BP84" s="6">
        <v>2389.08</v>
      </c>
      <c r="BQ84" s="6">
        <v>2389.08</v>
      </c>
      <c r="BR84" s="6">
        <v>2389.08</v>
      </c>
      <c r="BS84" s="6">
        <v>2167.16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f>SUM(C84:BT84)</f>
        <v>62116.000000000029</v>
      </c>
      <c r="CH84" s="6">
        <f>VLOOKUP(A84,'BL-TAPIAS'!$B$6:$J$123,8,FALSE)</f>
        <v>744000</v>
      </c>
      <c r="CI84" s="6">
        <f>VLOOKUP(A84,'BL-TAPIAS'!$B$6:$J$123,9,FALSE)</f>
        <v>52100</v>
      </c>
      <c r="CJ84" s="119">
        <v>5000</v>
      </c>
      <c r="CK84" s="119">
        <f t="shared" si="5"/>
        <v>47100</v>
      </c>
      <c r="CL84" s="119">
        <f t="shared" si="6"/>
        <v>1811.5384615384614</v>
      </c>
      <c r="CM84" s="215">
        <f t="shared" si="4"/>
        <v>15016.000000000029</v>
      </c>
    </row>
    <row r="85" spans="1:91" x14ac:dyDescent="0.25">
      <c r="A85" s="5">
        <v>1003</v>
      </c>
      <c r="B85" s="5" t="str">
        <f>VLOOKUP(A85,'BL-TAPIAS'!B89:H211,7,FALSE)</f>
        <v>2.Reservado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5000</v>
      </c>
      <c r="AW85" s="6">
        <v>2389.08</v>
      </c>
      <c r="AX85" s="6">
        <v>2389.08</v>
      </c>
      <c r="AY85" s="6">
        <v>2389.08</v>
      </c>
      <c r="AZ85" s="6">
        <v>2389.08</v>
      </c>
      <c r="BA85" s="6">
        <v>2389.08</v>
      </c>
      <c r="BB85" s="6">
        <v>2389.08</v>
      </c>
      <c r="BC85" s="6">
        <v>2389.08</v>
      </c>
      <c r="BD85" s="6">
        <v>2389.08</v>
      </c>
      <c r="BE85" s="6">
        <v>2389.08</v>
      </c>
      <c r="BF85" s="6">
        <v>2389.08</v>
      </c>
      <c r="BG85" s="6">
        <v>2389.08</v>
      </c>
      <c r="BH85" s="6">
        <v>2389.08</v>
      </c>
      <c r="BI85" s="6">
        <v>2389.08</v>
      </c>
      <c r="BJ85" s="6">
        <v>2389.08</v>
      </c>
      <c r="BK85" s="6">
        <v>2389.08</v>
      </c>
      <c r="BL85" s="6">
        <v>2389.08</v>
      </c>
      <c r="BM85" s="6">
        <v>2389.08</v>
      </c>
      <c r="BN85" s="6">
        <v>2389.08</v>
      </c>
      <c r="BO85" s="6">
        <v>2389.08</v>
      </c>
      <c r="BP85" s="6">
        <v>2389.08</v>
      </c>
      <c r="BQ85" s="6">
        <v>2389.08</v>
      </c>
      <c r="BR85" s="6">
        <v>2389.08</v>
      </c>
      <c r="BS85" s="6">
        <v>2389.08</v>
      </c>
      <c r="BT85" s="6">
        <v>2167.16</v>
      </c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f>SUM(C85:CF85)</f>
        <v>62116.000000000029</v>
      </c>
      <c r="CH85" s="6">
        <f>VLOOKUP(A85,'BL-TAPIAS'!$B$6:$J$123,8,FALSE)</f>
        <v>744000</v>
      </c>
      <c r="CI85" s="6">
        <f>VLOOKUP(A85,'BL-TAPIAS'!$B$6:$J$123,9,FALSE)</f>
        <v>52100</v>
      </c>
      <c r="CJ85" s="119">
        <v>5000</v>
      </c>
      <c r="CK85" s="119">
        <f t="shared" si="5"/>
        <v>47100</v>
      </c>
      <c r="CL85" s="119">
        <f t="shared" si="6"/>
        <v>1811.5384615384614</v>
      </c>
      <c r="CM85" s="215">
        <f t="shared" si="4"/>
        <v>15016.000000000029</v>
      </c>
    </row>
    <row r="86" spans="1:91" x14ac:dyDescent="0.25">
      <c r="A86" s="5">
        <v>1004</v>
      </c>
      <c r="B86" s="5" t="str">
        <f>VLOOKUP(A86,'BL-TAPIAS'!B90:H212,7,FALSE)</f>
        <v>2.Reservado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3000</v>
      </c>
      <c r="AM86" s="6">
        <v>1712.15</v>
      </c>
      <c r="AN86" s="6">
        <v>1712.15</v>
      </c>
      <c r="AO86" s="6">
        <v>1712.15</v>
      </c>
      <c r="AP86" s="6">
        <v>1712.15</v>
      </c>
      <c r="AQ86" s="6">
        <v>1712.15</v>
      </c>
      <c r="AR86" s="6">
        <v>1712.15</v>
      </c>
      <c r="AS86" s="6">
        <v>1712.15</v>
      </c>
      <c r="AT86" s="6">
        <v>1712.15</v>
      </c>
      <c r="AU86" s="6">
        <v>1712.15</v>
      </c>
      <c r="AV86" s="6">
        <v>1712.15</v>
      </c>
      <c r="AW86" s="6">
        <v>1712.15</v>
      </c>
      <c r="AX86" s="6">
        <v>1712.15</v>
      </c>
      <c r="AY86" s="6">
        <v>1712.15</v>
      </c>
      <c r="AZ86" s="6">
        <v>1712.15</v>
      </c>
      <c r="BA86" s="6">
        <v>1712.15</v>
      </c>
      <c r="BB86" s="6">
        <v>1712.15</v>
      </c>
      <c r="BC86" s="6">
        <v>1712.15</v>
      </c>
      <c r="BD86" s="6">
        <v>1712.15</v>
      </c>
      <c r="BE86" s="6">
        <v>1712.15</v>
      </c>
      <c r="BF86" s="6">
        <v>1712.15</v>
      </c>
      <c r="BG86" s="6">
        <v>1712.15</v>
      </c>
      <c r="BH86" s="6">
        <v>1712.15</v>
      </c>
      <c r="BI86" s="6">
        <v>1712.15</v>
      </c>
      <c r="BJ86" s="6">
        <v>1712.15</v>
      </c>
      <c r="BK86" s="6">
        <v>424.4</v>
      </c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f t="shared" ref="CG86:CG107" si="8">SUM(C86:BT86)</f>
        <v>44516.000000000022</v>
      </c>
      <c r="CH86" s="6">
        <f>VLOOKUP(A86,'BL-TAPIAS'!$B$6:$J$123,8,FALSE)</f>
        <v>655200</v>
      </c>
      <c r="CI86" s="6">
        <f>VLOOKUP(A86,'BL-TAPIAS'!$B$6:$J$123,9,FALSE)</f>
        <v>45900</v>
      </c>
      <c r="CJ86" s="119">
        <v>3000</v>
      </c>
      <c r="CK86" s="119">
        <f t="shared" si="5"/>
        <v>42900</v>
      </c>
      <c r="CL86" s="119">
        <f t="shared" si="6"/>
        <v>1650</v>
      </c>
      <c r="CM86" s="215">
        <f t="shared" si="4"/>
        <v>1616.0000000000218</v>
      </c>
    </row>
    <row r="87" spans="1:91" x14ac:dyDescent="0.25">
      <c r="A87" s="5">
        <v>1005</v>
      </c>
      <c r="B87" s="5" t="str">
        <f>VLOOKUP(A87,'BL-TAPIAS'!B91:H213,7,FALSE)</f>
        <v>1.Disponible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>
        <v>3000</v>
      </c>
      <c r="AN87" s="6">
        <v>1712.15</v>
      </c>
      <c r="AO87" s="6">
        <v>1712.15</v>
      </c>
      <c r="AP87" s="6">
        <v>1712.15</v>
      </c>
      <c r="AQ87" s="6">
        <v>1712.15</v>
      </c>
      <c r="AR87" s="6">
        <v>1712.15</v>
      </c>
      <c r="AS87" s="6">
        <v>1712.15</v>
      </c>
      <c r="AT87" s="6">
        <v>1712.15</v>
      </c>
      <c r="AU87" s="6">
        <v>1712.15</v>
      </c>
      <c r="AV87" s="6">
        <v>1712.15</v>
      </c>
      <c r="AW87" s="6">
        <v>1712.15</v>
      </c>
      <c r="AX87" s="6">
        <v>1712.15</v>
      </c>
      <c r="AY87" s="6">
        <v>1712.15</v>
      </c>
      <c r="AZ87" s="6">
        <v>1712.15</v>
      </c>
      <c r="BA87" s="6">
        <v>1712.15</v>
      </c>
      <c r="BB87" s="6">
        <v>1712.15</v>
      </c>
      <c r="BC87" s="6">
        <v>1712.15</v>
      </c>
      <c r="BD87" s="6">
        <v>1712.15</v>
      </c>
      <c r="BE87" s="6">
        <v>1712.15</v>
      </c>
      <c r="BF87" s="6">
        <v>1712.15</v>
      </c>
      <c r="BG87" s="6">
        <v>1712.15</v>
      </c>
      <c r="BH87" s="6">
        <v>1712.15</v>
      </c>
      <c r="BI87" s="6">
        <v>1712.15</v>
      </c>
      <c r="BJ87" s="6">
        <v>1712.15</v>
      </c>
      <c r="BK87" s="6">
        <v>1712.15</v>
      </c>
      <c r="BL87" s="6">
        <v>424.4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f t="shared" si="8"/>
        <v>44516.000000000022</v>
      </c>
      <c r="CH87" s="6">
        <f>VLOOKUP(A87,'BL-TAPIAS'!$B$6:$J$123,8,FALSE)</f>
        <v>678800</v>
      </c>
      <c r="CI87" s="6">
        <f>VLOOKUP(A87,'BL-TAPIAS'!$B$6:$J$123,9,FALSE)</f>
        <v>47516.000000000007</v>
      </c>
      <c r="CJ87" s="119">
        <v>3000</v>
      </c>
      <c r="CK87" s="119">
        <f t="shared" si="5"/>
        <v>44516.000000000007</v>
      </c>
      <c r="CL87" s="119">
        <f t="shared" si="6"/>
        <v>1712.1538461538464</v>
      </c>
      <c r="CM87" s="215">
        <f t="shared" si="4"/>
        <v>0</v>
      </c>
    </row>
    <row r="88" spans="1:91" x14ac:dyDescent="0.25">
      <c r="A88" s="5">
        <v>1006</v>
      </c>
      <c r="B88" s="5" t="str">
        <f>VLOOKUP(A88,'BL-TAPIAS'!B92:H214,7,FALSE)</f>
        <v>1.Disponible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5000</v>
      </c>
      <c r="AV88" s="6">
        <v>2029.92</v>
      </c>
      <c r="AW88" s="6">
        <v>2029.92</v>
      </c>
      <c r="AX88" s="6">
        <v>2029.92</v>
      </c>
      <c r="AY88" s="6">
        <v>2029.92</v>
      </c>
      <c r="AZ88" s="6">
        <v>2029.92</v>
      </c>
      <c r="BA88" s="6">
        <v>2029.92</v>
      </c>
      <c r="BB88" s="6">
        <v>2029.92</v>
      </c>
      <c r="BC88" s="6">
        <v>2029.92</v>
      </c>
      <c r="BD88" s="6">
        <v>2029.92</v>
      </c>
      <c r="BE88" s="6">
        <v>2029.92</v>
      </c>
      <c r="BF88" s="6">
        <v>2029.92</v>
      </c>
      <c r="BG88" s="6">
        <v>2029.92</v>
      </c>
      <c r="BH88" s="6">
        <v>2029.92</v>
      </c>
      <c r="BI88" s="6">
        <v>2029.92</v>
      </c>
      <c r="BJ88" s="6">
        <v>2029.92</v>
      </c>
      <c r="BK88" s="6">
        <v>2029.92</v>
      </c>
      <c r="BL88" s="6">
        <v>2029.92</v>
      </c>
      <c r="BM88" s="6">
        <v>2029.92</v>
      </c>
      <c r="BN88" s="6">
        <v>2029.92</v>
      </c>
      <c r="BO88" s="6">
        <v>2029.92</v>
      </c>
      <c r="BP88" s="6">
        <v>2029.92</v>
      </c>
      <c r="BQ88" s="6">
        <v>2029.92</v>
      </c>
      <c r="BR88" s="6">
        <v>2029.92</v>
      </c>
      <c r="BS88" s="6">
        <v>1089.8399999999999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f t="shared" si="8"/>
        <v>52777.999999999971</v>
      </c>
      <c r="CH88" s="6">
        <f>VLOOKUP(A88,'BL-TAPIAS'!$B$6:$J$123,8,FALSE)</f>
        <v>825400</v>
      </c>
      <c r="CI88" s="6">
        <f>VLOOKUP(A88,'BL-TAPIAS'!$B$6:$J$123,9,FALSE)</f>
        <v>57778.000000000007</v>
      </c>
      <c r="CJ88" s="119">
        <v>5000</v>
      </c>
      <c r="CK88" s="119">
        <f t="shared" si="5"/>
        <v>52778.000000000007</v>
      </c>
      <c r="CL88" s="119">
        <f t="shared" si="6"/>
        <v>2029.9230769230771</v>
      </c>
      <c r="CM88" s="215">
        <f t="shared" si="4"/>
        <v>0</v>
      </c>
    </row>
    <row r="89" spans="1:91" x14ac:dyDescent="0.25">
      <c r="A89" s="5">
        <v>1007</v>
      </c>
      <c r="B89" s="5" t="str">
        <f>VLOOKUP(A89,'BL-TAPIAS'!B93:H215,7,FALSE)</f>
        <v>2.Reservado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>
        <v>5000</v>
      </c>
      <c r="AO89" s="6">
        <v>2389.08</v>
      </c>
      <c r="AP89" s="6">
        <v>2389.08</v>
      </c>
      <c r="AQ89" s="6">
        <v>2389.08</v>
      </c>
      <c r="AR89" s="6">
        <v>2389.08</v>
      </c>
      <c r="AS89" s="6">
        <v>2389.08</v>
      </c>
      <c r="AT89" s="6">
        <v>2389.08</v>
      </c>
      <c r="AU89" s="6">
        <v>2389.08</v>
      </c>
      <c r="AV89" s="6">
        <v>2389.08</v>
      </c>
      <c r="AW89" s="6">
        <v>2389.08</v>
      </c>
      <c r="AX89" s="6">
        <v>2389.08</v>
      </c>
      <c r="AY89" s="6">
        <v>2389.08</v>
      </c>
      <c r="AZ89" s="6">
        <v>2389.08</v>
      </c>
      <c r="BA89" s="6">
        <v>2389.08</v>
      </c>
      <c r="BB89" s="6">
        <v>2389.08</v>
      </c>
      <c r="BC89" s="6">
        <v>2389.08</v>
      </c>
      <c r="BD89" s="6">
        <v>2389.08</v>
      </c>
      <c r="BE89" s="6">
        <v>2389.08</v>
      </c>
      <c r="BF89" s="6">
        <v>2389.08</v>
      </c>
      <c r="BG89" s="6">
        <v>2389.08</v>
      </c>
      <c r="BH89" s="6">
        <v>2389.08</v>
      </c>
      <c r="BI89" s="6">
        <v>2389.08</v>
      </c>
      <c r="BJ89" s="6">
        <v>2389.08</v>
      </c>
      <c r="BK89" s="6">
        <v>2389.08</v>
      </c>
      <c r="BL89" s="6">
        <v>2167.16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f t="shared" si="8"/>
        <v>62116.000000000029</v>
      </c>
      <c r="CH89" s="6">
        <f>VLOOKUP(A89,'BL-TAPIAS'!$B$6:$J$123,8,FALSE)</f>
        <v>744000</v>
      </c>
      <c r="CI89" s="6">
        <f>VLOOKUP(A89,'BL-TAPIAS'!$B$6:$J$123,9,FALSE)</f>
        <v>52100</v>
      </c>
      <c r="CJ89" s="119">
        <v>5000</v>
      </c>
      <c r="CK89" s="119">
        <f t="shared" si="5"/>
        <v>47100</v>
      </c>
      <c r="CL89" s="119">
        <f t="shared" si="6"/>
        <v>1811.5384615384614</v>
      </c>
      <c r="CM89" s="215">
        <f t="shared" si="4"/>
        <v>15016.000000000029</v>
      </c>
    </row>
    <row r="90" spans="1:91" x14ac:dyDescent="0.25">
      <c r="A90" s="5">
        <v>1008</v>
      </c>
      <c r="B90" s="5" t="str">
        <f>VLOOKUP(A90,'BL-TAPIAS'!B94:H216,7,FALSE)</f>
        <v>1.Disponible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>
        <f>+CJ90</f>
        <v>5000</v>
      </c>
      <c r="AM90" s="6">
        <v>2389.08</v>
      </c>
      <c r="AN90" s="6">
        <v>2389.08</v>
      </c>
      <c r="AO90" s="6">
        <v>2389.08</v>
      </c>
      <c r="AP90" s="6">
        <v>2389.08</v>
      </c>
      <c r="AQ90" s="6">
        <v>2389.08</v>
      </c>
      <c r="AR90" s="6">
        <v>2389.08</v>
      </c>
      <c r="AS90" s="6">
        <v>2389.08</v>
      </c>
      <c r="AT90" s="6">
        <v>2389.08</v>
      </c>
      <c r="AU90" s="6">
        <v>2389.08</v>
      </c>
      <c r="AV90" s="6">
        <v>2389.08</v>
      </c>
      <c r="AW90" s="6">
        <v>2389.08</v>
      </c>
      <c r="AX90" s="6">
        <v>2389.08</v>
      </c>
      <c r="AY90" s="6">
        <v>2389.08</v>
      </c>
      <c r="AZ90" s="6">
        <v>2389.08</v>
      </c>
      <c r="BA90" s="6">
        <v>2389.08</v>
      </c>
      <c r="BB90" s="6">
        <v>2389.08</v>
      </c>
      <c r="BC90" s="6">
        <v>2389.08</v>
      </c>
      <c r="BD90" s="6">
        <v>2389.08</v>
      </c>
      <c r="BE90" s="6">
        <v>2389.08</v>
      </c>
      <c r="BF90" s="6">
        <v>2389.08</v>
      </c>
      <c r="BG90" s="6">
        <v>2389.08</v>
      </c>
      <c r="BH90" s="6">
        <v>2389.08</v>
      </c>
      <c r="BI90" s="6">
        <v>2389.08</v>
      </c>
      <c r="BJ90" s="6">
        <v>2167.16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f t="shared" si="8"/>
        <v>62116.000000000029</v>
      </c>
      <c r="CH90" s="6">
        <f>VLOOKUP(A90,'BL-TAPIAS'!$B$6:$J$123,8,FALSE)</f>
        <v>958800</v>
      </c>
      <c r="CI90" s="6">
        <f>VLOOKUP(A90,'BL-TAPIAS'!$B$6:$J$123,9,FALSE)</f>
        <v>67116</v>
      </c>
      <c r="CJ90" s="119">
        <v>5000</v>
      </c>
      <c r="CK90" s="119">
        <f t="shared" si="5"/>
        <v>62116</v>
      </c>
      <c r="CL90" s="119">
        <f t="shared" si="6"/>
        <v>2389.0769230769229</v>
      </c>
      <c r="CM90" s="215">
        <f t="shared" si="4"/>
        <v>0</v>
      </c>
    </row>
    <row r="91" spans="1:91" x14ac:dyDescent="0.25">
      <c r="A91" s="5">
        <v>1009</v>
      </c>
      <c r="B91" s="5" t="str">
        <f>VLOOKUP(A91,'BL-TAPIAS'!B95:H217,7,FALSE)</f>
        <v>1.Disponible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>
        <f>+CJ91</f>
        <v>5000</v>
      </c>
      <c r="AP91" s="6">
        <v>2029.92</v>
      </c>
      <c r="AQ91" s="6">
        <v>2029.92</v>
      </c>
      <c r="AR91" s="6">
        <v>2029.92</v>
      </c>
      <c r="AS91" s="6">
        <v>2029.92</v>
      </c>
      <c r="AT91" s="6">
        <v>2029.92</v>
      </c>
      <c r="AU91" s="6">
        <v>2029.92</v>
      </c>
      <c r="AV91" s="6">
        <v>2029.92</v>
      </c>
      <c r="AW91" s="6">
        <v>2029.92</v>
      </c>
      <c r="AX91" s="6">
        <v>2029.92</v>
      </c>
      <c r="AY91" s="6">
        <v>2029.92</v>
      </c>
      <c r="AZ91" s="6">
        <v>2029.92</v>
      </c>
      <c r="BA91" s="6">
        <v>2029.92</v>
      </c>
      <c r="BB91" s="6">
        <v>2029.92</v>
      </c>
      <c r="BC91" s="6">
        <v>2029.92</v>
      </c>
      <c r="BD91" s="6">
        <v>2029.92</v>
      </c>
      <c r="BE91" s="6">
        <v>2029.92</v>
      </c>
      <c r="BF91" s="6">
        <v>2029.92</v>
      </c>
      <c r="BG91" s="6">
        <v>2029.92</v>
      </c>
      <c r="BH91" s="6">
        <v>2029.92</v>
      </c>
      <c r="BI91" s="6">
        <v>2029.92</v>
      </c>
      <c r="BJ91" s="6">
        <v>2029.92</v>
      </c>
      <c r="BK91" s="6">
        <v>2029.92</v>
      </c>
      <c r="BL91" s="6">
        <v>2029.92</v>
      </c>
      <c r="BM91" s="6">
        <v>1089.8399999999999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f t="shared" si="8"/>
        <v>52777.999999999971</v>
      </c>
      <c r="CH91" s="6">
        <f>VLOOKUP(A91,'BL-TAPIAS'!$B$6:$J$123,8,FALSE)</f>
        <v>825400</v>
      </c>
      <c r="CI91" s="6">
        <f>VLOOKUP(A91,'BL-TAPIAS'!$B$6:$J$123,9,FALSE)</f>
        <v>57778.000000000007</v>
      </c>
      <c r="CJ91" s="119">
        <v>5000</v>
      </c>
      <c r="CK91" s="119">
        <f t="shared" si="5"/>
        <v>52778.000000000007</v>
      </c>
      <c r="CL91" s="119">
        <f t="shared" si="6"/>
        <v>2029.9230769230771</v>
      </c>
      <c r="CM91" s="215">
        <f t="shared" si="4"/>
        <v>0</v>
      </c>
    </row>
    <row r="92" spans="1:91" x14ac:dyDescent="0.25">
      <c r="A92" s="5">
        <v>1101</v>
      </c>
      <c r="B92" s="5" t="str">
        <f>VLOOKUP(A92,'BL-TAPIAS'!B96:H218,7,FALSE)</f>
        <v>1.Disponible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>
        <v>3000</v>
      </c>
      <c r="AO92" s="6">
        <v>1712.15</v>
      </c>
      <c r="AP92" s="6">
        <v>1712.15</v>
      </c>
      <c r="AQ92" s="6">
        <v>1712.15</v>
      </c>
      <c r="AR92" s="6">
        <v>1712.15</v>
      </c>
      <c r="AS92" s="6">
        <v>1712.15</v>
      </c>
      <c r="AT92" s="6">
        <v>1712.15</v>
      </c>
      <c r="AU92" s="6">
        <v>1712.15</v>
      </c>
      <c r="AV92" s="6">
        <v>1712.15</v>
      </c>
      <c r="AW92" s="6">
        <v>1712.15</v>
      </c>
      <c r="AX92" s="6">
        <v>1712.15</v>
      </c>
      <c r="AY92" s="6">
        <v>1712.15</v>
      </c>
      <c r="AZ92" s="6">
        <v>1712.15</v>
      </c>
      <c r="BA92" s="6">
        <v>1712.15</v>
      </c>
      <c r="BB92" s="6">
        <v>1712.15</v>
      </c>
      <c r="BC92" s="6">
        <v>1712.15</v>
      </c>
      <c r="BD92" s="6">
        <v>1712.15</v>
      </c>
      <c r="BE92" s="6">
        <v>1712.15</v>
      </c>
      <c r="BF92" s="6">
        <v>1712.15</v>
      </c>
      <c r="BG92" s="6">
        <v>1712.15</v>
      </c>
      <c r="BH92" s="6">
        <v>1712.15</v>
      </c>
      <c r="BI92" s="6">
        <v>1712.15</v>
      </c>
      <c r="BJ92" s="6">
        <v>1712.15</v>
      </c>
      <c r="BK92" s="6">
        <v>1712.15</v>
      </c>
      <c r="BL92" s="6">
        <v>1712.15</v>
      </c>
      <c r="BM92" s="6">
        <v>424.4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f t="shared" si="8"/>
        <v>44516.000000000022</v>
      </c>
      <c r="CH92" s="6">
        <f>VLOOKUP(A92,'BL-TAPIAS'!$B$6:$J$123,8,FALSE)</f>
        <v>678800</v>
      </c>
      <c r="CI92" s="6">
        <f>VLOOKUP(A92,'BL-TAPIAS'!$B$6:$J$123,9,FALSE)</f>
        <v>47516.000000000007</v>
      </c>
      <c r="CJ92" s="119">
        <v>3000</v>
      </c>
      <c r="CK92" s="119">
        <f t="shared" si="5"/>
        <v>44516.000000000007</v>
      </c>
      <c r="CL92" s="119">
        <f t="shared" si="6"/>
        <v>1712.1538461538464</v>
      </c>
      <c r="CM92" s="215">
        <f t="shared" si="4"/>
        <v>0</v>
      </c>
    </row>
    <row r="93" spans="1:91" x14ac:dyDescent="0.25">
      <c r="A93" s="5">
        <v>1102</v>
      </c>
      <c r="B93" s="5" t="str">
        <f>VLOOKUP(A93,'BL-TAPIAS'!B97:H219,7,FALSE)</f>
        <v>2.Reservado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>
        <v>5000</v>
      </c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f t="shared" si="8"/>
        <v>5000</v>
      </c>
      <c r="CH93" s="6">
        <f>VLOOKUP(A93,'BL-TAPIAS'!$B$6:$J$123,8,FALSE)</f>
        <v>744000</v>
      </c>
      <c r="CI93" s="6">
        <f>VLOOKUP(A93,'BL-TAPIAS'!$B$6:$J$123,9,FALSE)</f>
        <v>52100</v>
      </c>
      <c r="CJ93" s="119">
        <v>5000</v>
      </c>
      <c r="CK93" s="119">
        <f t="shared" si="5"/>
        <v>47100</v>
      </c>
      <c r="CL93" s="119">
        <f t="shared" si="6"/>
        <v>1811.5384615384614</v>
      </c>
      <c r="CM93" s="215">
        <f t="shared" si="4"/>
        <v>-42100</v>
      </c>
    </row>
    <row r="94" spans="1:91" x14ac:dyDescent="0.25">
      <c r="A94" s="5">
        <v>1103</v>
      </c>
      <c r="B94" s="5" t="str">
        <f>VLOOKUP(A94,'BL-TAPIAS'!B98:H220,7,FALSE)</f>
        <v>1.Disponible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>
        <v>5000</v>
      </c>
      <c r="AK94" s="6">
        <v>2389.08</v>
      </c>
      <c r="AL94" s="6">
        <v>2389.08</v>
      </c>
      <c r="AM94" s="6">
        <v>2389.08</v>
      </c>
      <c r="AN94" s="6">
        <v>2389.08</v>
      </c>
      <c r="AO94" s="6">
        <v>2389.08</v>
      </c>
      <c r="AP94" s="6">
        <v>2389.08</v>
      </c>
      <c r="AQ94" s="6">
        <v>2389.08</v>
      </c>
      <c r="AR94" s="6">
        <v>2389.08</v>
      </c>
      <c r="AS94" s="6">
        <v>2389.08</v>
      </c>
      <c r="AT94" s="6">
        <v>2389.08</v>
      </c>
      <c r="AU94" s="6">
        <v>2389.08</v>
      </c>
      <c r="AV94" s="6">
        <v>2389.08</v>
      </c>
      <c r="AW94" s="6">
        <v>2389.08</v>
      </c>
      <c r="AX94" s="6">
        <v>2389.08</v>
      </c>
      <c r="AY94" s="6">
        <v>2389.08</v>
      </c>
      <c r="AZ94" s="6">
        <v>2389.08</v>
      </c>
      <c r="BA94" s="6">
        <v>2389.08</v>
      </c>
      <c r="BB94" s="6">
        <v>2389.08</v>
      </c>
      <c r="BC94" s="6">
        <v>2389.08</v>
      </c>
      <c r="BD94" s="6">
        <v>2389.08</v>
      </c>
      <c r="BE94" s="6">
        <v>2389.08</v>
      </c>
      <c r="BF94" s="6">
        <v>2389.08</v>
      </c>
      <c r="BG94" s="6">
        <v>2389.08</v>
      </c>
      <c r="BH94" s="6">
        <v>2167.16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f t="shared" si="8"/>
        <v>62116.000000000029</v>
      </c>
      <c r="CH94" s="6">
        <f>VLOOKUP(A94,'BL-TAPIAS'!$B$6:$J$123,8,FALSE)</f>
        <v>958800</v>
      </c>
      <c r="CI94" s="6">
        <f>VLOOKUP(A94,'BL-TAPIAS'!$B$6:$J$123,9,FALSE)</f>
        <v>67116</v>
      </c>
      <c r="CJ94" s="119">
        <v>5000</v>
      </c>
      <c r="CK94" s="119">
        <f t="shared" si="5"/>
        <v>62116</v>
      </c>
      <c r="CL94" s="119">
        <f t="shared" si="6"/>
        <v>2389.0769230769229</v>
      </c>
      <c r="CM94" s="215">
        <f t="shared" si="4"/>
        <v>0</v>
      </c>
    </row>
    <row r="95" spans="1:91" x14ac:dyDescent="0.25">
      <c r="A95" s="5">
        <v>1104</v>
      </c>
      <c r="B95" s="5" t="str">
        <f>VLOOKUP(A95,'BL-TAPIAS'!B99:H221,7,FALSE)</f>
        <v>1.Disponible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>
        <v>3000</v>
      </c>
      <c r="AP95" s="6">
        <v>1712.15</v>
      </c>
      <c r="AQ95" s="6">
        <v>1712.15</v>
      </c>
      <c r="AR95" s="6">
        <v>1712.15</v>
      </c>
      <c r="AS95" s="6">
        <v>1712.15</v>
      </c>
      <c r="AT95" s="6">
        <v>1712.15</v>
      </c>
      <c r="AU95" s="6">
        <v>1712.15</v>
      </c>
      <c r="AV95" s="6">
        <v>1712.15</v>
      </c>
      <c r="AW95" s="6">
        <v>1712.15</v>
      </c>
      <c r="AX95" s="6">
        <v>1712.15</v>
      </c>
      <c r="AY95" s="6">
        <v>1712.15</v>
      </c>
      <c r="AZ95" s="6">
        <v>1712.15</v>
      </c>
      <c r="BA95" s="6">
        <v>1712.15</v>
      </c>
      <c r="BB95" s="6">
        <v>1712.15</v>
      </c>
      <c r="BC95" s="6">
        <v>1712.15</v>
      </c>
      <c r="BD95" s="6">
        <v>1712.15</v>
      </c>
      <c r="BE95" s="6">
        <v>1712.15</v>
      </c>
      <c r="BF95" s="6">
        <v>1712.15</v>
      </c>
      <c r="BG95" s="6">
        <v>1712.15</v>
      </c>
      <c r="BH95" s="6">
        <v>1712.15</v>
      </c>
      <c r="BI95" s="6">
        <v>1712.15</v>
      </c>
      <c r="BJ95" s="6">
        <v>1712.15</v>
      </c>
      <c r="BK95" s="6">
        <v>1712.15</v>
      </c>
      <c r="BL95" s="6">
        <v>1712.15</v>
      </c>
      <c r="BM95" s="6">
        <v>1712.15</v>
      </c>
      <c r="BN95" s="6">
        <v>424.4</v>
      </c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f t="shared" si="8"/>
        <v>44516.000000000022</v>
      </c>
      <c r="CH95" s="6">
        <f>VLOOKUP(A95,'BL-TAPIAS'!$B$6:$J$123,8,FALSE)</f>
        <v>678800</v>
      </c>
      <c r="CI95" s="6">
        <f>VLOOKUP(A95,'BL-TAPIAS'!$B$6:$J$123,9,FALSE)</f>
        <v>47516.000000000007</v>
      </c>
      <c r="CJ95" s="119">
        <v>3000</v>
      </c>
      <c r="CK95" s="119">
        <f t="shared" si="5"/>
        <v>44516.000000000007</v>
      </c>
      <c r="CL95" s="119">
        <f t="shared" si="6"/>
        <v>1712.1538461538464</v>
      </c>
      <c r="CM95" s="215">
        <f t="shared" ref="CM95:CM118" si="9">+CG95-CK95</f>
        <v>0</v>
      </c>
    </row>
    <row r="96" spans="1:91" x14ac:dyDescent="0.25">
      <c r="A96" s="5">
        <v>1105</v>
      </c>
      <c r="B96" s="5" t="str">
        <f>VLOOKUP(A96,'BL-TAPIAS'!B100:H222,7,FALSE)</f>
        <v>1.Disponible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>
        <v>3000</v>
      </c>
      <c r="AQ96" s="6">
        <v>1712.15</v>
      </c>
      <c r="AR96" s="6">
        <v>1712.15</v>
      </c>
      <c r="AS96" s="6">
        <v>1712.15</v>
      </c>
      <c r="AT96" s="6">
        <v>1712.15</v>
      </c>
      <c r="AU96" s="6">
        <v>1712.15</v>
      </c>
      <c r="AV96" s="6">
        <v>1712.15</v>
      </c>
      <c r="AW96" s="6">
        <v>1712.15</v>
      </c>
      <c r="AX96" s="6">
        <v>1712.15</v>
      </c>
      <c r="AY96" s="6">
        <v>1712.15</v>
      </c>
      <c r="AZ96" s="6">
        <v>1712.15</v>
      </c>
      <c r="BA96" s="6">
        <v>1712.15</v>
      </c>
      <c r="BB96" s="6">
        <v>1712.15</v>
      </c>
      <c r="BC96" s="6">
        <v>1712.15</v>
      </c>
      <c r="BD96" s="6">
        <v>1712.15</v>
      </c>
      <c r="BE96" s="6">
        <v>1712.15</v>
      </c>
      <c r="BF96" s="6">
        <v>1712.15</v>
      </c>
      <c r="BG96" s="6">
        <v>1712.15</v>
      </c>
      <c r="BH96" s="6">
        <v>1712.15</v>
      </c>
      <c r="BI96" s="6">
        <v>1712.15</v>
      </c>
      <c r="BJ96" s="6">
        <v>1712.15</v>
      </c>
      <c r="BK96" s="6">
        <v>1712.15</v>
      </c>
      <c r="BL96" s="6">
        <v>1712.15</v>
      </c>
      <c r="BM96" s="6">
        <v>1712.15</v>
      </c>
      <c r="BN96" s="6">
        <v>1712.15</v>
      </c>
      <c r="BO96" s="6">
        <v>424.4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f t="shared" si="8"/>
        <v>44516.000000000022</v>
      </c>
      <c r="CH96" s="6">
        <f>VLOOKUP(A96,'BL-TAPIAS'!$B$6:$J$123,8,FALSE)</f>
        <v>678800</v>
      </c>
      <c r="CI96" s="6">
        <f>VLOOKUP(A96,'BL-TAPIAS'!$B$6:$J$123,9,FALSE)</f>
        <v>47516.000000000007</v>
      </c>
      <c r="CJ96" s="119">
        <v>3000</v>
      </c>
      <c r="CK96" s="119">
        <f t="shared" si="5"/>
        <v>44516.000000000007</v>
      </c>
      <c r="CL96" s="119">
        <f t="shared" si="6"/>
        <v>1712.1538461538464</v>
      </c>
      <c r="CM96" s="215">
        <f t="shared" si="9"/>
        <v>0</v>
      </c>
    </row>
    <row r="97" spans="1:91" x14ac:dyDescent="0.25">
      <c r="A97" s="5">
        <v>1106</v>
      </c>
      <c r="B97" s="5" t="str">
        <f>VLOOKUP(A97,'BL-TAPIAS'!B101:H223,7,FALSE)</f>
        <v>1.Disponible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5000</v>
      </c>
      <c r="AJ97" s="6">
        <v>2029.92</v>
      </c>
      <c r="AK97" s="6">
        <v>2029.92</v>
      </c>
      <c r="AL97" s="6">
        <v>2029.92</v>
      </c>
      <c r="AM97" s="6">
        <v>2029.92</v>
      </c>
      <c r="AN97" s="6">
        <v>2029.92</v>
      </c>
      <c r="AO97" s="6">
        <v>2029.92</v>
      </c>
      <c r="AP97" s="6">
        <v>2029.92</v>
      </c>
      <c r="AQ97" s="6">
        <v>2029.92</v>
      </c>
      <c r="AR97" s="6">
        <v>2029.92</v>
      </c>
      <c r="AS97" s="6">
        <v>2029.92</v>
      </c>
      <c r="AT97" s="6">
        <v>2029.92</v>
      </c>
      <c r="AU97" s="6">
        <v>2029.92</v>
      </c>
      <c r="AV97" s="6">
        <v>2029.92</v>
      </c>
      <c r="AW97" s="6">
        <v>2029.92</v>
      </c>
      <c r="AX97" s="6">
        <v>2029.92</v>
      </c>
      <c r="AY97" s="6">
        <v>2029.92</v>
      </c>
      <c r="AZ97" s="6">
        <v>2029.92</v>
      </c>
      <c r="BA97" s="6">
        <v>2029.92</v>
      </c>
      <c r="BB97" s="6">
        <v>2029.92</v>
      </c>
      <c r="BC97" s="6">
        <v>2029.92</v>
      </c>
      <c r="BD97" s="6">
        <v>2029.92</v>
      </c>
      <c r="BE97" s="6">
        <v>2029.92</v>
      </c>
      <c r="BF97" s="6">
        <v>2029.92</v>
      </c>
      <c r="BG97" s="6">
        <v>1089.8399999999999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f t="shared" si="8"/>
        <v>52777.999999999971</v>
      </c>
      <c r="CH97" s="6">
        <f>VLOOKUP(A97,'BL-TAPIAS'!$B$6:$J$123,8,FALSE)</f>
        <v>825400</v>
      </c>
      <c r="CI97" s="6">
        <f>VLOOKUP(A97,'BL-TAPIAS'!$B$6:$J$123,9,FALSE)</f>
        <v>57778.000000000007</v>
      </c>
      <c r="CJ97" s="119">
        <v>5000</v>
      </c>
      <c r="CK97" s="119">
        <f t="shared" si="5"/>
        <v>52778.000000000007</v>
      </c>
      <c r="CL97" s="119">
        <f t="shared" si="6"/>
        <v>2029.9230769230771</v>
      </c>
      <c r="CM97" s="215">
        <f t="shared" si="9"/>
        <v>0</v>
      </c>
    </row>
    <row r="98" spans="1:91" x14ac:dyDescent="0.25">
      <c r="A98" s="5">
        <v>1107</v>
      </c>
      <c r="B98" s="5" t="str">
        <f>VLOOKUP(A98,'BL-TAPIAS'!B102:H224,7,FALSE)</f>
        <v>1.Disponible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>
        <v>5000</v>
      </c>
      <c r="AK98" s="6">
        <v>2389.08</v>
      </c>
      <c r="AL98" s="6">
        <v>2389.08</v>
      </c>
      <c r="AM98" s="6">
        <v>2389.08</v>
      </c>
      <c r="AN98" s="6">
        <v>2389.08</v>
      </c>
      <c r="AO98" s="6">
        <v>2389.08</v>
      </c>
      <c r="AP98" s="6">
        <v>2389.08</v>
      </c>
      <c r="AQ98" s="6">
        <v>2389.08</v>
      </c>
      <c r="AR98" s="6">
        <v>2389.08</v>
      </c>
      <c r="AS98" s="6">
        <v>2389.08</v>
      </c>
      <c r="AT98" s="6">
        <v>2389.08</v>
      </c>
      <c r="AU98" s="6">
        <v>2389.08</v>
      </c>
      <c r="AV98" s="6">
        <v>2389.08</v>
      </c>
      <c r="AW98" s="6">
        <v>2389.08</v>
      </c>
      <c r="AX98" s="6">
        <v>2389.08</v>
      </c>
      <c r="AY98" s="6">
        <v>2389.08</v>
      </c>
      <c r="AZ98" s="6">
        <v>2389.08</v>
      </c>
      <c r="BA98" s="6">
        <v>2389.08</v>
      </c>
      <c r="BB98" s="6">
        <v>2389.08</v>
      </c>
      <c r="BC98" s="6">
        <v>2389.08</v>
      </c>
      <c r="BD98" s="6">
        <v>2389.08</v>
      </c>
      <c r="BE98" s="6">
        <v>2389.08</v>
      </c>
      <c r="BF98" s="6">
        <v>2389.08</v>
      </c>
      <c r="BG98" s="6">
        <v>2389.08</v>
      </c>
      <c r="BH98" s="6">
        <v>2167.16</v>
      </c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f t="shared" si="8"/>
        <v>62116.000000000029</v>
      </c>
      <c r="CH98" s="6">
        <f>VLOOKUP(A98,'BL-TAPIAS'!$B$6:$J$123,8,FALSE)</f>
        <v>958800</v>
      </c>
      <c r="CI98" s="6">
        <f>VLOOKUP(A98,'BL-TAPIAS'!$B$6:$J$123,9,FALSE)</f>
        <v>67116</v>
      </c>
      <c r="CJ98" s="119">
        <v>5000</v>
      </c>
      <c r="CK98" s="119">
        <f t="shared" si="5"/>
        <v>62116</v>
      </c>
      <c r="CL98" s="119">
        <f t="shared" si="6"/>
        <v>2389.0769230769229</v>
      </c>
      <c r="CM98" s="215">
        <f t="shared" si="9"/>
        <v>0</v>
      </c>
    </row>
    <row r="99" spans="1:91" x14ac:dyDescent="0.25">
      <c r="A99" s="5">
        <v>1108</v>
      </c>
      <c r="B99" s="5" t="str">
        <f>VLOOKUP(A99,'BL-TAPIAS'!B103:H225,7,FALSE)</f>
        <v>1.Disponible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5000</v>
      </c>
      <c r="AG99" s="6">
        <v>2389.08</v>
      </c>
      <c r="AH99" s="6">
        <v>2389.08</v>
      </c>
      <c r="AI99" s="6">
        <v>2389.08</v>
      </c>
      <c r="AJ99" s="6">
        <v>2389.08</v>
      </c>
      <c r="AK99" s="6">
        <v>2389.08</v>
      </c>
      <c r="AL99" s="6">
        <v>2389.08</v>
      </c>
      <c r="AM99" s="6">
        <v>2389.08</v>
      </c>
      <c r="AN99" s="6">
        <v>2389.08</v>
      </c>
      <c r="AO99" s="6">
        <v>2389.08</v>
      </c>
      <c r="AP99" s="6">
        <v>2389.08</v>
      </c>
      <c r="AQ99" s="6">
        <v>2389.08</v>
      </c>
      <c r="AR99" s="6">
        <v>2389.08</v>
      </c>
      <c r="AS99" s="6">
        <v>2389.08</v>
      </c>
      <c r="AT99" s="6">
        <v>2389.08</v>
      </c>
      <c r="AU99" s="6">
        <v>2389.08</v>
      </c>
      <c r="AV99" s="6">
        <v>2389.08</v>
      </c>
      <c r="AW99" s="6">
        <v>2389.08</v>
      </c>
      <c r="AX99" s="6">
        <v>2389.08</v>
      </c>
      <c r="AY99" s="6">
        <v>2389.08</v>
      </c>
      <c r="AZ99" s="6">
        <v>2389.08</v>
      </c>
      <c r="BA99" s="6">
        <v>2389.08</v>
      </c>
      <c r="BB99" s="6">
        <v>2389.08</v>
      </c>
      <c r="BC99" s="6">
        <v>2389.08</v>
      </c>
      <c r="BD99" s="6">
        <v>2167.16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>
        <f t="shared" si="8"/>
        <v>62116.000000000029</v>
      </c>
      <c r="CH99" s="6">
        <f>VLOOKUP(A99,'BL-TAPIAS'!$B$6:$J$123,8,FALSE)</f>
        <v>744000</v>
      </c>
      <c r="CI99" s="6">
        <f>VLOOKUP(A99,'BL-TAPIAS'!$B$6:$J$123,9,FALSE)</f>
        <v>52100</v>
      </c>
      <c r="CJ99" s="119">
        <v>5000</v>
      </c>
      <c r="CK99" s="119">
        <f t="shared" si="5"/>
        <v>47100</v>
      </c>
      <c r="CL99" s="119">
        <f t="shared" si="6"/>
        <v>1811.5384615384614</v>
      </c>
      <c r="CM99" s="215">
        <f t="shared" si="9"/>
        <v>15016.000000000029</v>
      </c>
    </row>
    <row r="100" spans="1:91" x14ac:dyDescent="0.25">
      <c r="A100" s="5">
        <v>1109</v>
      </c>
      <c r="B100" s="5" t="str">
        <f>VLOOKUP(A100,'BL-TAPIAS'!B104:H226,7,FALSE)</f>
        <v>1.Disponible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5000</v>
      </c>
      <c r="AH100" s="6">
        <v>2029.92</v>
      </c>
      <c r="AI100" s="6">
        <v>2029.92</v>
      </c>
      <c r="AJ100" s="6">
        <v>2029.92</v>
      </c>
      <c r="AK100" s="6">
        <v>2029.92</v>
      </c>
      <c r="AL100" s="6">
        <v>2029.92</v>
      </c>
      <c r="AM100" s="6">
        <v>2029.92</v>
      </c>
      <c r="AN100" s="6">
        <v>2029.92</v>
      </c>
      <c r="AO100" s="6">
        <v>2029.92</v>
      </c>
      <c r="AP100" s="6">
        <v>2029.92</v>
      </c>
      <c r="AQ100" s="6">
        <v>2029.92</v>
      </c>
      <c r="AR100" s="6">
        <v>2029.92</v>
      </c>
      <c r="AS100" s="6">
        <v>2029.92</v>
      </c>
      <c r="AT100" s="6">
        <v>2029.92</v>
      </c>
      <c r="AU100" s="6">
        <v>2029.92</v>
      </c>
      <c r="AV100" s="6">
        <v>2029.92</v>
      </c>
      <c r="AW100" s="6">
        <v>2029.92</v>
      </c>
      <c r="AX100" s="6">
        <v>2029.92</v>
      </c>
      <c r="AY100" s="6">
        <v>2029.92</v>
      </c>
      <c r="AZ100" s="6">
        <v>2029.92</v>
      </c>
      <c r="BA100" s="6">
        <v>2029.92</v>
      </c>
      <c r="BB100" s="6">
        <v>2029.92</v>
      </c>
      <c r="BC100" s="6">
        <v>2029.92</v>
      </c>
      <c r="BD100" s="6">
        <v>2029.92</v>
      </c>
      <c r="BE100" s="6">
        <v>1089.8399999999999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f t="shared" si="8"/>
        <v>52777.999999999971</v>
      </c>
      <c r="CH100" s="6">
        <f>VLOOKUP(A100,'BL-TAPIAS'!$B$6:$J$123,8,FALSE)</f>
        <v>825400</v>
      </c>
      <c r="CI100" s="6">
        <f>VLOOKUP(A100,'BL-TAPIAS'!$B$6:$J$123,9,FALSE)</f>
        <v>57778.000000000007</v>
      </c>
      <c r="CJ100" s="119">
        <v>5000</v>
      </c>
      <c r="CK100" s="119">
        <f t="shared" si="5"/>
        <v>52778.000000000007</v>
      </c>
      <c r="CL100" s="119">
        <f t="shared" si="6"/>
        <v>2029.9230769230771</v>
      </c>
      <c r="CM100" s="215">
        <f t="shared" si="9"/>
        <v>0</v>
      </c>
    </row>
    <row r="101" spans="1:91" x14ac:dyDescent="0.25">
      <c r="A101" s="5">
        <v>1201</v>
      </c>
      <c r="B101" s="5" t="str">
        <f>VLOOKUP(A101,'BL-TAPIAS'!B105:H227,7,FALSE)</f>
        <v>1.Disponible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>
        <v>3000</v>
      </c>
      <c r="AR101" s="6">
        <v>1712.15</v>
      </c>
      <c r="AS101" s="6">
        <v>1712.15</v>
      </c>
      <c r="AT101" s="6">
        <v>1712.15</v>
      </c>
      <c r="AU101" s="6">
        <v>1712.15</v>
      </c>
      <c r="AV101" s="6">
        <v>1712.15</v>
      </c>
      <c r="AW101" s="6">
        <v>1712.15</v>
      </c>
      <c r="AX101" s="6">
        <v>1712.15</v>
      </c>
      <c r="AY101" s="6">
        <v>1712.15</v>
      </c>
      <c r="AZ101" s="6">
        <v>1712.15</v>
      </c>
      <c r="BA101" s="6">
        <v>1712.15</v>
      </c>
      <c r="BB101" s="6">
        <v>1712.15</v>
      </c>
      <c r="BC101" s="6">
        <v>1712.15</v>
      </c>
      <c r="BD101" s="6">
        <v>1712.15</v>
      </c>
      <c r="BE101" s="6">
        <v>1712.15</v>
      </c>
      <c r="BF101" s="6">
        <v>1712.15</v>
      </c>
      <c r="BG101" s="6">
        <v>1712.15</v>
      </c>
      <c r="BH101" s="6">
        <v>1712.15</v>
      </c>
      <c r="BI101" s="6">
        <v>1712.15</v>
      </c>
      <c r="BJ101" s="6">
        <v>1712.15</v>
      </c>
      <c r="BK101" s="6">
        <v>1712.15</v>
      </c>
      <c r="BL101" s="6">
        <v>1712.15</v>
      </c>
      <c r="BM101" s="6">
        <v>1712.15</v>
      </c>
      <c r="BN101" s="6">
        <v>1712.15</v>
      </c>
      <c r="BO101" s="6">
        <v>1712.15</v>
      </c>
      <c r="BP101" s="6">
        <v>424.4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>
        <f t="shared" si="8"/>
        <v>44516.000000000022</v>
      </c>
      <c r="CH101" s="6">
        <f>VLOOKUP(A101,'BL-TAPIAS'!$B$6:$J$123,8,FALSE)</f>
        <v>678800</v>
      </c>
      <c r="CI101" s="6">
        <f>VLOOKUP(A101,'BL-TAPIAS'!$B$6:$J$123,9,FALSE)</f>
        <v>47516.000000000007</v>
      </c>
      <c r="CJ101" s="119">
        <v>3000</v>
      </c>
      <c r="CK101" s="119">
        <f t="shared" si="5"/>
        <v>44516.000000000007</v>
      </c>
      <c r="CL101" s="119">
        <f t="shared" si="6"/>
        <v>1712.1538461538464</v>
      </c>
      <c r="CM101" s="215">
        <f t="shared" si="9"/>
        <v>0</v>
      </c>
    </row>
    <row r="102" spans="1:91" x14ac:dyDescent="0.25">
      <c r="A102" s="5">
        <v>1202</v>
      </c>
      <c r="B102" s="5" t="str">
        <f>VLOOKUP(A102,'BL-TAPIAS'!B106:H228,7,FALSE)</f>
        <v>2.Reservado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5000</v>
      </c>
      <c r="AI102" s="6">
        <v>2389.08</v>
      </c>
      <c r="AJ102" s="6">
        <v>2389.08</v>
      </c>
      <c r="AK102" s="6">
        <v>2389.08</v>
      </c>
      <c r="AL102" s="6">
        <v>2389.08</v>
      </c>
      <c r="AM102" s="6">
        <v>2389.08</v>
      </c>
      <c r="AN102" s="6">
        <v>2389.08</v>
      </c>
      <c r="AO102" s="6">
        <v>2389.08</v>
      </c>
      <c r="AP102" s="6">
        <v>2389.08</v>
      </c>
      <c r="AQ102" s="6">
        <v>2389.08</v>
      </c>
      <c r="AR102" s="6">
        <v>2389.08</v>
      </c>
      <c r="AS102" s="6">
        <v>2389.08</v>
      </c>
      <c r="AT102" s="6">
        <v>2389.08</v>
      </c>
      <c r="AU102" s="6">
        <v>2389.08</v>
      </c>
      <c r="AV102" s="6">
        <v>2389.08</v>
      </c>
      <c r="AW102" s="6">
        <v>2389.08</v>
      </c>
      <c r="AX102" s="6">
        <v>2389.08</v>
      </c>
      <c r="AY102" s="6">
        <v>2389.08</v>
      </c>
      <c r="AZ102" s="6">
        <v>2389.08</v>
      </c>
      <c r="BA102" s="6">
        <v>2389.08</v>
      </c>
      <c r="BB102" s="6">
        <v>2389.08</v>
      </c>
      <c r="BC102" s="6">
        <v>2389.08</v>
      </c>
      <c r="BD102" s="6">
        <v>2389.08</v>
      </c>
      <c r="BE102" s="6">
        <v>2389.08</v>
      </c>
      <c r="BF102" s="6">
        <v>2167.16</v>
      </c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f t="shared" si="8"/>
        <v>62116.000000000029</v>
      </c>
      <c r="CH102" s="6">
        <f>VLOOKUP(A102,'BL-TAPIAS'!$B$6:$J$123,8,FALSE)</f>
        <v>744000</v>
      </c>
      <c r="CI102" s="6">
        <f>VLOOKUP(A102,'BL-TAPIAS'!$B$6:$J$123,9,FALSE)</f>
        <v>52100</v>
      </c>
      <c r="CJ102" s="119">
        <v>5000</v>
      </c>
      <c r="CK102" s="119">
        <f t="shared" si="5"/>
        <v>47100</v>
      </c>
      <c r="CL102" s="119">
        <f t="shared" si="6"/>
        <v>1811.5384615384614</v>
      </c>
      <c r="CM102" s="215">
        <f t="shared" si="9"/>
        <v>15016.000000000029</v>
      </c>
    </row>
    <row r="103" spans="1:91" x14ac:dyDescent="0.25">
      <c r="A103" s="5">
        <v>1203</v>
      </c>
      <c r="B103" s="5" t="str">
        <f>VLOOKUP(A103,'BL-TAPIAS'!B107:H229,7,FALSE)</f>
        <v>2.Reservado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5000</v>
      </c>
      <c r="AJ103" s="6">
        <v>2389.08</v>
      </c>
      <c r="AK103" s="6">
        <v>2389.08</v>
      </c>
      <c r="AL103" s="6">
        <v>2389.08</v>
      </c>
      <c r="AM103" s="6">
        <v>2389.08</v>
      </c>
      <c r="AN103" s="6">
        <v>2389.08</v>
      </c>
      <c r="AO103" s="6">
        <v>2389.08</v>
      </c>
      <c r="AP103" s="6">
        <v>2389.08</v>
      </c>
      <c r="AQ103" s="6">
        <v>2389.08</v>
      </c>
      <c r="AR103" s="6">
        <v>2389.08</v>
      </c>
      <c r="AS103" s="6">
        <v>2389.08</v>
      </c>
      <c r="AT103" s="6">
        <v>2389.08</v>
      </c>
      <c r="AU103" s="6">
        <v>2389.08</v>
      </c>
      <c r="AV103" s="6">
        <v>2389.08</v>
      </c>
      <c r="AW103" s="6">
        <v>2389.08</v>
      </c>
      <c r="AX103" s="6">
        <v>2389.08</v>
      </c>
      <c r="AY103" s="6">
        <v>2389.08</v>
      </c>
      <c r="AZ103" s="6">
        <v>2389.08</v>
      </c>
      <c r="BA103" s="6">
        <v>2389.08</v>
      </c>
      <c r="BB103" s="6">
        <v>2389.08</v>
      </c>
      <c r="BC103" s="6">
        <v>2389.08</v>
      </c>
      <c r="BD103" s="6">
        <v>2389.08</v>
      </c>
      <c r="BE103" s="6">
        <v>2389.08</v>
      </c>
      <c r="BF103" s="6">
        <v>2389.08</v>
      </c>
      <c r="BG103" s="6">
        <v>2167.16</v>
      </c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f t="shared" si="8"/>
        <v>62116.000000000029</v>
      </c>
      <c r="CH103" s="6">
        <f>VLOOKUP(A103,'BL-TAPIAS'!$B$6:$J$123,8,FALSE)</f>
        <v>744000</v>
      </c>
      <c r="CI103" s="6">
        <f>VLOOKUP(A103,'BL-TAPIAS'!$B$6:$J$123,9,FALSE)</f>
        <v>52100</v>
      </c>
      <c r="CJ103" s="119">
        <v>5000</v>
      </c>
      <c r="CK103" s="119">
        <f t="shared" si="5"/>
        <v>47100</v>
      </c>
      <c r="CL103" s="119">
        <f t="shared" si="6"/>
        <v>1811.5384615384614</v>
      </c>
      <c r="CM103" s="215">
        <f t="shared" si="9"/>
        <v>15016.000000000029</v>
      </c>
    </row>
    <row r="104" spans="1:91" x14ac:dyDescent="0.25">
      <c r="A104" s="5">
        <v>1204</v>
      </c>
      <c r="B104" s="5" t="str">
        <f>VLOOKUP(A104,'BL-TAPIAS'!B108:H230,7,FALSE)</f>
        <v>4. Plan de Pagos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>
        <v>3000</v>
      </c>
      <c r="AF104" s="6">
        <v>1730.77</v>
      </c>
      <c r="AG104" s="6">
        <v>1730.77</v>
      </c>
      <c r="AH104" s="6">
        <v>1730.77</v>
      </c>
      <c r="AI104" s="6">
        <v>1730.77</v>
      </c>
      <c r="AJ104" s="6">
        <v>1730.77</v>
      </c>
      <c r="AK104" s="6">
        <v>1730.77</v>
      </c>
      <c r="AL104" s="6">
        <v>1730.77</v>
      </c>
      <c r="AM104" s="6">
        <v>1730.77</v>
      </c>
      <c r="AN104" s="6">
        <v>1730.77</v>
      </c>
      <c r="AO104" s="6">
        <v>1730.77</v>
      </c>
      <c r="AP104" s="6">
        <v>1730.77</v>
      </c>
      <c r="AQ104" s="6">
        <v>1730.77</v>
      </c>
      <c r="AR104" s="6">
        <v>1730.77</v>
      </c>
      <c r="AS104" s="6">
        <v>1730.77</v>
      </c>
      <c r="AT104" s="6">
        <v>1730.77</v>
      </c>
      <c r="AU104" s="6">
        <v>1730.77</v>
      </c>
      <c r="AV104" s="6">
        <v>1730.77</v>
      </c>
      <c r="AW104" s="6">
        <v>1730.77</v>
      </c>
      <c r="AX104" s="6">
        <v>1730.77</v>
      </c>
      <c r="AY104" s="6">
        <v>1730.77</v>
      </c>
      <c r="AZ104" s="6">
        <v>1730.77</v>
      </c>
      <c r="BA104" s="6">
        <v>1730.77</v>
      </c>
      <c r="BB104" s="6">
        <v>1730.77</v>
      </c>
      <c r="BC104" s="6">
        <v>1730.77</v>
      </c>
      <c r="BD104" s="6">
        <v>1730.77</v>
      </c>
      <c r="BE104" s="6">
        <v>1730.77</v>
      </c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>
        <f t="shared" si="8"/>
        <v>48000.019999999982</v>
      </c>
      <c r="CH104" s="6">
        <f>VLOOKUP(A104,'BL-TAPIAS'!$B$6:$J$123,8,FALSE)</f>
        <v>678800</v>
      </c>
      <c r="CI104" s="6">
        <f>VLOOKUP(A104,'BL-TAPIAS'!$B$6:$J$123,9,FALSE)</f>
        <v>47516.000000000007</v>
      </c>
      <c r="CJ104" s="119">
        <v>3000</v>
      </c>
      <c r="CK104" s="119">
        <f t="shared" si="5"/>
        <v>44516.000000000007</v>
      </c>
      <c r="CL104" s="119">
        <f t="shared" si="6"/>
        <v>1712.1538461538464</v>
      </c>
      <c r="CM104" s="215">
        <f t="shared" si="9"/>
        <v>3484.019999999975</v>
      </c>
    </row>
    <row r="105" spans="1:91" x14ac:dyDescent="0.25">
      <c r="A105" s="5">
        <v>1205</v>
      </c>
      <c r="B105" s="5" t="str">
        <f>VLOOKUP(A105,'BL-TAPIAS'!B109:H231,7,FALSE)</f>
        <v>1.Disponible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>
        <v>3000</v>
      </c>
      <c r="AT105" s="6">
        <v>1712.15</v>
      </c>
      <c r="AU105" s="6">
        <v>1712.15</v>
      </c>
      <c r="AV105" s="6">
        <v>1712.15</v>
      </c>
      <c r="AW105" s="6">
        <v>1712.15</v>
      </c>
      <c r="AX105" s="6">
        <v>1712.15</v>
      </c>
      <c r="AY105" s="6">
        <v>1712.15</v>
      </c>
      <c r="AZ105" s="6">
        <v>1712.15</v>
      </c>
      <c r="BA105" s="6">
        <v>1712.15</v>
      </c>
      <c r="BB105" s="6">
        <v>1712.15</v>
      </c>
      <c r="BC105" s="6">
        <v>1712.15</v>
      </c>
      <c r="BD105" s="6">
        <v>1712.15</v>
      </c>
      <c r="BE105" s="6">
        <v>1712.15</v>
      </c>
      <c r="BF105" s="6">
        <v>1712.15</v>
      </c>
      <c r="BG105" s="6">
        <v>1712.15</v>
      </c>
      <c r="BH105" s="6">
        <v>1712.15</v>
      </c>
      <c r="BI105" s="6">
        <v>1712.15</v>
      </c>
      <c r="BJ105" s="6">
        <v>1712.15</v>
      </c>
      <c r="BK105" s="6">
        <v>1712.15</v>
      </c>
      <c r="BL105" s="6">
        <v>1712.15</v>
      </c>
      <c r="BM105" s="6">
        <v>1712.15</v>
      </c>
      <c r="BN105" s="6">
        <v>1712.15</v>
      </c>
      <c r="BO105" s="6">
        <v>1712.15</v>
      </c>
      <c r="BP105" s="6">
        <v>1712.15</v>
      </c>
      <c r="BQ105" s="6">
        <v>1712.15</v>
      </c>
      <c r="BR105" s="6">
        <v>424.4</v>
      </c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>
        <f t="shared" si="8"/>
        <v>44516.000000000022</v>
      </c>
      <c r="CH105" s="6">
        <f>VLOOKUP(A105,'BL-TAPIAS'!$B$6:$J$123,8,FALSE)</f>
        <v>678800</v>
      </c>
      <c r="CI105" s="6">
        <f>VLOOKUP(A105,'BL-TAPIAS'!$B$6:$J$123,9,FALSE)</f>
        <v>47516.000000000007</v>
      </c>
      <c r="CJ105" s="119">
        <v>3000</v>
      </c>
      <c r="CK105" s="119">
        <f t="shared" si="5"/>
        <v>44516.000000000007</v>
      </c>
      <c r="CL105" s="119">
        <f t="shared" si="6"/>
        <v>1712.1538461538464</v>
      </c>
      <c r="CM105" s="215">
        <f t="shared" si="9"/>
        <v>0</v>
      </c>
    </row>
    <row r="106" spans="1:91" x14ac:dyDescent="0.25">
      <c r="A106" s="5">
        <v>1206</v>
      </c>
      <c r="B106" s="5" t="str">
        <f>VLOOKUP(A106,'BL-TAPIAS'!B110:H232,7,FALSE)</f>
        <v>1.Disponible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>
        <v>5000</v>
      </c>
      <c r="AI106" s="6">
        <v>2029.92</v>
      </c>
      <c r="AJ106" s="6">
        <v>2029.92</v>
      </c>
      <c r="AK106" s="6">
        <v>2029.92</v>
      </c>
      <c r="AL106" s="6">
        <v>2029.92</v>
      </c>
      <c r="AM106" s="6">
        <v>2029.92</v>
      </c>
      <c r="AN106" s="6">
        <v>2029.92</v>
      </c>
      <c r="AO106" s="6">
        <v>2029.92</v>
      </c>
      <c r="AP106" s="6">
        <v>2029.92</v>
      </c>
      <c r="AQ106" s="6">
        <v>2029.92</v>
      </c>
      <c r="AR106" s="6">
        <v>2029.92</v>
      </c>
      <c r="AS106" s="6">
        <v>2029.92</v>
      </c>
      <c r="AT106" s="6">
        <v>2029.92</v>
      </c>
      <c r="AU106" s="6">
        <v>2029.92</v>
      </c>
      <c r="AV106" s="6">
        <v>2029.92</v>
      </c>
      <c r="AW106" s="6">
        <v>2029.92</v>
      </c>
      <c r="AX106" s="6">
        <v>2029.92</v>
      </c>
      <c r="AY106" s="6">
        <v>2029.92</v>
      </c>
      <c r="AZ106" s="6">
        <v>2029.92</v>
      </c>
      <c r="BA106" s="6">
        <v>2029.92</v>
      </c>
      <c r="BB106" s="6">
        <v>2029.92</v>
      </c>
      <c r="BC106" s="6">
        <v>2029.92</v>
      </c>
      <c r="BD106" s="6">
        <v>2029.92</v>
      </c>
      <c r="BE106" s="6">
        <v>2029.92</v>
      </c>
      <c r="BF106" s="6">
        <v>1089.8399999999999</v>
      </c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>
        <f t="shared" si="8"/>
        <v>52777.999999999971</v>
      </c>
      <c r="CH106" s="6">
        <f>VLOOKUP(A106,'BL-TAPIAS'!$B$6:$J$123,8,FALSE)</f>
        <v>825400</v>
      </c>
      <c r="CI106" s="6">
        <f>VLOOKUP(A106,'BL-TAPIAS'!$B$6:$J$123,9,FALSE)</f>
        <v>57778.000000000007</v>
      </c>
      <c r="CJ106" s="119">
        <v>5000</v>
      </c>
      <c r="CK106" s="119">
        <f t="shared" si="5"/>
        <v>52778.000000000007</v>
      </c>
      <c r="CL106" s="119">
        <f t="shared" si="6"/>
        <v>2029.9230769230771</v>
      </c>
      <c r="CM106" s="215">
        <f t="shared" si="9"/>
        <v>0</v>
      </c>
    </row>
    <row r="107" spans="1:91" x14ac:dyDescent="0.25">
      <c r="A107" s="5">
        <v>1207</v>
      </c>
      <c r="B107" s="5" t="str">
        <f>VLOOKUP(A107,'BL-TAPIAS'!B111:H233,7,FALSE)</f>
        <v>1.Disponible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>
        <v>5000</v>
      </c>
      <c r="AH107" s="6">
        <v>2389.08</v>
      </c>
      <c r="AI107" s="6">
        <v>2389.08</v>
      </c>
      <c r="AJ107" s="6">
        <v>2389.08</v>
      </c>
      <c r="AK107" s="6">
        <v>2389.08</v>
      </c>
      <c r="AL107" s="6">
        <v>2389.08</v>
      </c>
      <c r="AM107" s="6">
        <v>2389.08</v>
      </c>
      <c r="AN107" s="6">
        <v>2389.08</v>
      </c>
      <c r="AO107" s="6">
        <v>2389.08</v>
      </c>
      <c r="AP107" s="6">
        <v>2389.08</v>
      </c>
      <c r="AQ107" s="6">
        <v>2389.08</v>
      </c>
      <c r="AR107" s="6">
        <v>2389.08</v>
      </c>
      <c r="AS107" s="6">
        <v>2389.08</v>
      </c>
      <c r="AT107" s="6">
        <v>2389.08</v>
      </c>
      <c r="AU107" s="6">
        <v>2389.08</v>
      </c>
      <c r="AV107" s="6">
        <v>2389.08</v>
      </c>
      <c r="AW107" s="6">
        <v>2389.08</v>
      </c>
      <c r="AX107" s="6">
        <v>2389.08</v>
      </c>
      <c r="AY107" s="6">
        <v>2389.08</v>
      </c>
      <c r="AZ107" s="6">
        <v>2389.08</v>
      </c>
      <c r="BA107" s="6">
        <v>2389.08</v>
      </c>
      <c r="BB107" s="6">
        <v>2389.08</v>
      </c>
      <c r="BC107" s="6">
        <v>2389.08</v>
      </c>
      <c r="BD107" s="6">
        <v>2389.08</v>
      </c>
      <c r="BE107" s="6">
        <v>2167.16</v>
      </c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>
        <f t="shared" si="8"/>
        <v>62116.000000000029</v>
      </c>
      <c r="CH107" s="6">
        <f>VLOOKUP(A107,'BL-TAPIAS'!$B$6:$J$123,8,FALSE)</f>
        <v>958800</v>
      </c>
      <c r="CI107" s="6">
        <f>VLOOKUP(A107,'BL-TAPIAS'!$B$6:$J$123,9,FALSE)</f>
        <v>67116</v>
      </c>
      <c r="CJ107" s="119">
        <v>5000</v>
      </c>
      <c r="CK107" s="119">
        <f t="shared" si="5"/>
        <v>62116</v>
      </c>
      <c r="CL107" s="119">
        <f t="shared" si="6"/>
        <v>2389.0769230769229</v>
      </c>
      <c r="CM107" s="215">
        <f t="shared" si="9"/>
        <v>0</v>
      </c>
    </row>
    <row r="108" spans="1:91" x14ac:dyDescent="0.25">
      <c r="A108" s="5">
        <v>1208</v>
      </c>
      <c r="B108" s="5" t="str">
        <f>VLOOKUP(A108,'BL-TAPIAS'!B112:H234,7,FALSE)</f>
        <v>2.Reservado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>
        <v>5000</v>
      </c>
      <c r="AX108" s="6">
        <v>2389.08</v>
      </c>
      <c r="AY108" s="6">
        <v>2389.08</v>
      </c>
      <c r="AZ108" s="6">
        <v>2389.08</v>
      </c>
      <c r="BA108" s="6">
        <v>2389.08</v>
      </c>
      <c r="BB108" s="6">
        <v>2389.08</v>
      </c>
      <c r="BC108" s="6">
        <v>2389.08</v>
      </c>
      <c r="BD108" s="6">
        <v>2389.08</v>
      </c>
      <c r="BE108" s="6">
        <v>2389.08</v>
      </c>
      <c r="BF108" s="6">
        <v>2389.08</v>
      </c>
      <c r="BG108" s="6">
        <v>2389.08</v>
      </c>
      <c r="BH108" s="6">
        <v>2389.08</v>
      </c>
      <c r="BI108" s="6">
        <v>2389.08</v>
      </c>
      <c r="BJ108" s="6">
        <v>2389.08</v>
      </c>
      <c r="BK108" s="6">
        <v>2389.08</v>
      </c>
      <c r="BL108" s="6">
        <v>2389.08</v>
      </c>
      <c r="BM108" s="6">
        <v>2389.08</v>
      </c>
      <c r="BN108" s="6">
        <v>2389.08</v>
      </c>
      <c r="BO108" s="6">
        <v>2389.08</v>
      </c>
      <c r="BP108" s="6">
        <v>2389.08</v>
      </c>
      <c r="BQ108" s="6">
        <v>2389.08</v>
      </c>
      <c r="BR108" s="6">
        <v>2389.08</v>
      </c>
      <c r="BS108" s="6">
        <v>2389.08</v>
      </c>
      <c r="BT108" s="6">
        <v>2389.08</v>
      </c>
      <c r="BU108" s="6">
        <v>2167.16</v>
      </c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>
        <f>SUM(C108:CF108)</f>
        <v>62116.000000000029</v>
      </c>
      <c r="CH108" s="6">
        <f>VLOOKUP(A108,'BL-TAPIAS'!$B$6:$J$123,8,FALSE)</f>
        <v>958800</v>
      </c>
      <c r="CI108" s="6">
        <f>VLOOKUP(A108,'BL-TAPIAS'!$B$6:$J$123,9,FALSE)</f>
        <v>67116</v>
      </c>
      <c r="CJ108" s="119">
        <v>5000</v>
      </c>
      <c r="CK108" s="119">
        <f t="shared" ref="CK108:CK118" si="10">+CI108-CJ108</f>
        <v>62116</v>
      </c>
      <c r="CL108" s="119">
        <f t="shared" ref="CL108:CL118" si="11">+CK108/26</f>
        <v>2389.0769230769229</v>
      </c>
      <c r="CM108" s="215">
        <f t="shared" si="9"/>
        <v>0</v>
      </c>
    </row>
    <row r="109" spans="1:91" x14ac:dyDescent="0.25">
      <c r="A109" s="5">
        <v>1209</v>
      </c>
      <c r="B109" s="5" t="str">
        <f>VLOOKUP(A109,'BL-TAPIAS'!B113:H235,7,FALSE)</f>
        <v>1.Disponible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235">
        <v>5000</v>
      </c>
      <c r="AI109" s="6">
        <v>2029.92</v>
      </c>
      <c r="AJ109" s="6">
        <v>2029.92</v>
      </c>
      <c r="AK109" s="6">
        <v>2029.92</v>
      </c>
      <c r="AL109" s="6">
        <v>2029.92</v>
      </c>
      <c r="AM109" s="6">
        <v>2029.92</v>
      </c>
      <c r="AN109" s="6">
        <v>2029.92</v>
      </c>
      <c r="AO109" s="6">
        <v>2029.92</v>
      </c>
      <c r="AP109" s="6">
        <v>2029.92</v>
      </c>
      <c r="AQ109" s="6">
        <v>2029.92</v>
      </c>
      <c r="AR109" s="6">
        <v>2029.92</v>
      </c>
      <c r="AS109" s="6">
        <v>2029.92</v>
      </c>
      <c r="AT109" s="6">
        <v>2029.92</v>
      </c>
      <c r="AU109" s="6">
        <v>2029.92</v>
      </c>
      <c r="AV109" s="6">
        <v>2029.92</v>
      </c>
      <c r="AW109" s="6">
        <v>2029.92</v>
      </c>
      <c r="AX109" s="6">
        <v>2029.92</v>
      </c>
      <c r="AY109" s="6">
        <v>2029.92</v>
      </c>
      <c r="AZ109" s="6">
        <v>2029.92</v>
      </c>
      <c r="BA109" s="6">
        <v>2029.92</v>
      </c>
      <c r="BB109" s="6">
        <v>2029.92</v>
      </c>
      <c r="BC109" s="6">
        <v>2029.92</v>
      </c>
      <c r="BD109" s="6">
        <v>2029.92</v>
      </c>
      <c r="BE109" s="6">
        <v>2029.92</v>
      </c>
      <c r="BF109" s="6">
        <v>1089.8399999999999</v>
      </c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>
        <f>SUM(C109:BT109)</f>
        <v>52777.999999999971</v>
      </c>
      <c r="CH109" s="6">
        <f>VLOOKUP(A109,'BL-TAPIAS'!$B$6:$J$123,8,FALSE)</f>
        <v>825400</v>
      </c>
      <c r="CI109" s="6">
        <f>VLOOKUP(A109,'BL-TAPIAS'!$B$6:$J$123,9,FALSE)</f>
        <v>57778.000000000007</v>
      </c>
      <c r="CJ109" s="119">
        <v>5000</v>
      </c>
      <c r="CK109" s="119">
        <f t="shared" si="10"/>
        <v>52778.000000000007</v>
      </c>
      <c r="CL109" s="119">
        <f t="shared" si="11"/>
        <v>2029.9230769230771</v>
      </c>
      <c r="CM109" s="215">
        <f t="shared" si="9"/>
        <v>0</v>
      </c>
    </row>
    <row r="110" spans="1:91" x14ac:dyDescent="0.25">
      <c r="A110" s="5">
        <v>1301</v>
      </c>
      <c r="B110" s="5" t="str">
        <f>VLOOKUP(A110,'BL-TAPIAS'!B114:H236,7,FALSE)</f>
        <v>1.Disponible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>
        <v>3000</v>
      </c>
      <c r="AU110" s="6">
        <v>1712.15</v>
      </c>
      <c r="AV110" s="6">
        <v>1712.15</v>
      </c>
      <c r="AW110" s="6">
        <v>1712.15</v>
      </c>
      <c r="AX110" s="6">
        <v>1712.15</v>
      </c>
      <c r="AY110" s="6">
        <v>1712.15</v>
      </c>
      <c r="AZ110" s="6">
        <v>1712.15</v>
      </c>
      <c r="BA110" s="6">
        <v>1712.15</v>
      </c>
      <c r="BB110" s="6">
        <v>1712.15</v>
      </c>
      <c r="BC110" s="6">
        <v>1712.15</v>
      </c>
      <c r="BD110" s="6">
        <v>1712.15</v>
      </c>
      <c r="BE110" s="6">
        <v>1712.15</v>
      </c>
      <c r="BF110" s="6">
        <v>1712.15</v>
      </c>
      <c r="BG110" s="6">
        <v>1712.15</v>
      </c>
      <c r="BH110" s="6">
        <v>1712.15</v>
      </c>
      <c r="BI110" s="6">
        <v>1712.15</v>
      </c>
      <c r="BJ110" s="6">
        <v>1712.15</v>
      </c>
      <c r="BK110" s="6">
        <v>1712.15</v>
      </c>
      <c r="BL110" s="6">
        <v>1712.15</v>
      </c>
      <c r="BM110" s="6">
        <v>1712.15</v>
      </c>
      <c r="BN110" s="6">
        <v>1712.15</v>
      </c>
      <c r="BO110" s="6">
        <v>1712.15</v>
      </c>
      <c r="BP110" s="6">
        <v>1712.15</v>
      </c>
      <c r="BQ110" s="6">
        <v>1712.15</v>
      </c>
      <c r="BR110" s="6">
        <v>1712.15</v>
      </c>
      <c r="BS110" s="6">
        <v>424.4</v>
      </c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>
        <f>SUM(C110:BT110)</f>
        <v>44516.000000000022</v>
      </c>
      <c r="CH110" s="6">
        <f>VLOOKUP(A110,'BL-TAPIAS'!$B$6:$J$123,8,FALSE)</f>
        <v>678800</v>
      </c>
      <c r="CI110" s="6">
        <f>VLOOKUP(A110,'BL-TAPIAS'!$B$6:$J$123,9,FALSE)</f>
        <v>47516.000000000007</v>
      </c>
      <c r="CJ110" s="119">
        <v>3000</v>
      </c>
      <c r="CK110" s="119">
        <f t="shared" si="10"/>
        <v>44516.000000000007</v>
      </c>
      <c r="CL110" s="119">
        <f t="shared" si="11"/>
        <v>1712.1538461538464</v>
      </c>
      <c r="CM110" s="215">
        <f t="shared" si="9"/>
        <v>0</v>
      </c>
    </row>
    <row r="111" spans="1:91" x14ac:dyDescent="0.25">
      <c r="A111" s="5">
        <v>1302</v>
      </c>
      <c r="B111" s="5" t="str">
        <f>VLOOKUP(A111,'BL-TAPIAS'!B115:H237,7,FALSE)</f>
        <v>1.Disponible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>
        <v>5000</v>
      </c>
      <c r="AZ111" s="6">
        <v>2389.08</v>
      </c>
      <c r="BA111" s="6">
        <v>2389.08</v>
      </c>
      <c r="BB111" s="6">
        <v>2389.08</v>
      </c>
      <c r="BC111" s="6">
        <v>2389.08</v>
      </c>
      <c r="BD111" s="6">
        <v>2389.08</v>
      </c>
      <c r="BE111" s="6">
        <v>2389.08</v>
      </c>
      <c r="BF111" s="6">
        <v>2389.08</v>
      </c>
      <c r="BG111" s="6">
        <v>2389.08</v>
      </c>
      <c r="BH111" s="6">
        <v>2389.08</v>
      </c>
      <c r="BI111" s="6">
        <v>2389.08</v>
      </c>
      <c r="BJ111" s="6">
        <v>2389.08</v>
      </c>
      <c r="BK111" s="6">
        <v>2389.08</v>
      </c>
      <c r="BL111" s="6">
        <v>2389.08</v>
      </c>
      <c r="BM111" s="6">
        <v>2389.08</v>
      </c>
      <c r="BN111" s="6">
        <v>2389.08</v>
      </c>
      <c r="BO111" s="6">
        <v>2389.08</v>
      </c>
      <c r="BP111" s="6">
        <v>2389.08</v>
      </c>
      <c r="BQ111" s="6">
        <v>2389.08</v>
      </c>
      <c r="BR111" s="6">
        <v>2389.08</v>
      </c>
      <c r="BS111" s="6">
        <v>2389.08</v>
      </c>
      <c r="BT111" s="6">
        <v>2389.08</v>
      </c>
      <c r="BU111" s="6">
        <v>2389.08</v>
      </c>
      <c r="BV111" s="6">
        <v>2389.08</v>
      </c>
      <c r="BW111" s="6">
        <v>2167.16</v>
      </c>
      <c r="BX111" s="6"/>
      <c r="BY111" s="6"/>
      <c r="BZ111" s="6"/>
      <c r="CA111" s="6"/>
      <c r="CB111" s="6"/>
      <c r="CC111" s="6"/>
      <c r="CD111" s="6"/>
      <c r="CE111" s="6"/>
      <c r="CF111" s="6"/>
      <c r="CG111" s="6">
        <f>SUM(C111:CF111)</f>
        <v>62116.000000000029</v>
      </c>
      <c r="CH111" s="6">
        <f>VLOOKUP(A111,'BL-TAPIAS'!$B$6:$J$123,8,FALSE)</f>
        <v>744000</v>
      </c>
      <c r="CI111" s="6">
        <f>VLOOKUP(A111,'BL-TAPIAS'!$B$6:$J$123,9,FALSE)</f>
        <v>52100</v>
      </c>
      <c r="CJ111" s="119">
        <v>5000</v>
      </c>
      <c r="CK111" s="119">
        <f t="shared" si="10"/>
        <v>47100</v>
      </c>
      <c r="CL111" s="119">
        <f t="shared" si="11"/>
        <v>1811.5384615384614</v>
      </c>
      <c r="CM111" s="215">
        <f t="shared" si="9"/>
        <v>15016.000000000029</v>
      </c>
    </row>
    <row r="112" spans="1:91" x14ac:dyDescent="0.25">
      <c r="A112" s="5">
        <v>1303</v>
      </c>
      <c r="B112" s="5" t="str">
        <f>VLOOKUP(A112,'BL-TAPIAS'!B116:H238,7,FALSE)</f>
        <v>1.Disponible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>
        <v>5000</v>
      </c>
      <c r="BA112" s="6">
        <v>2389.08</v>
      </c>
      <c r="BB112" s="6">
        <v>2389.08</v>
      </c>
      <c r="BC112" s="6">
        <v>2389.08</v>
      </c>
      <c r="BD112" s="6">
        <v>2389.08</v>
      </c>
      <c r="BE112" s="6">
        <v>2389.08</v>
      </c>
      <c r="BF112" s="6">
        <v>2389.08</v>
      </c>
      <c r="BG112" s="6">
        <v>2389.08</v>
      </c>
      <c r="BH112" s="6">
        <v>2389.08</v>
      </c>
      <c r="BI112" s="6">
        <v>2389.08</v>
      </c>
      <c r="BJ112" s="6">
        <v>2389.08</v>
      </c>
      <c r="BK112" s="6">
        <v>2389.08</v>
      </c>
      <c r="BL112" s="6">
        <v>2389.08</v>
      </c>
      <c r="BM112" s="6">
        <v>2389.08</v>
      </c>
      <c r="BN112" s="6">
        <v>2389.08</v>
      </c>
      <c r="BO112" s="6">
        <v>2389.08</v>
      </c>
      <c r="BP112" s="6">
        <v>2389.08</v>
      </c>
      <c r="BQ112" s="6">
        <v>2389.08</v>
      </c>
      <c r="BR112" s="6">
        <v>2389.08</v>
      </c>
      <c r="BS112" s="6">
        <v>2389.08</v>
      </c>
      <c r="BT112" s="6">
        <v>2389.08</v>
      </c>
      <c r="BU112" s="6">
        <v>2389.08</v>
      </c>
      <c r="BV112" s="6">
        <v>2389.08</v>
      </c>
      <c r="BW112" s="6">
        <v>2389.08</v>
      </c>
      <c r="BX112" s="6">
        <v>2167.16</v>
      </c>
      <c r="BY112" s="6"/>
      <c r="BZ112" s="6"/>
      <c r="CA112" s="6"/>
      <c r="CB112" s="6"/>
      <c r="CC112" s="6"/>
      <c r="CD112" s="6"/>
      <c r="CE112" s="6"/>
      <c r="CF112" s="6"/>
      <c r="CG112" s="6">
        <f>SUM(C112:CF112)</f>
        <v>62116.000000000029</v>
      </c>
      <c r="CH112" s="6">
        <f>VLOOKUP(A112,'BL-TAPIAS'!$B$6:$J$123,8,FALSE)</f>
        <v>958800</v>
      </c>
      <c r="CI112" s="6">
        <f>VLOOKUP(A112,'BL-TAPIAS'!$B$6:$J$123,9,FALSE)</f>
        <v>67116</v>
      </c>
      <c r="CJ112" s="119">
        <v>5000</v>
      </c>
      <c r="CK112" s="119">
        <f t="shared" si="10"/>
        <v>62116</v>
      </c>
      <c r="CL112" s="119">
        <f t="shared" si="11"/>
        <v>2389.0769230769229</v>
      </c>
      <c r="CM112" s="215">
        <f t="shared" si="9"/>
        <v>0</v>
      </c>
    </row>
    <row r="113" spans="1:91" x14ac:dyDescent="0.25">
      <c r="A113" s="5">
        <v>1304</v>
      </c>
      <c r="B113" s="5" t="str">
        <f>VLOOKUP(A113,'BL-TAPIAS'!B117:H239,7,FALSE)</f>
        <v>1.Disponible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>
        <v>3000</v>
      </c>
      <c r="AV113" s="6">
        <v>1712.15</v>
      </c>
      <c r="AW113" s="6">
        <v>1712.15</v>
      </c>
      <c r="AX113" s="6">
        <v>1712.15</v>
      </c>
      <c r="AY113" s="6">
        <v>1712.15</v>
      </c>
      <c r="AZ113" s="6">
        <v>1712.15</v>
      </c>
      <c r="BA113" s="6">
        <v>1712.15</v>
      </c>
      <c r="BB113" s="6">
        <v>1712.15</v>
      </c>
      <c r="BC113" s="6">
        <v>1712.15</v>
      </c>
      <c r="BD113" s="6">
        <v>1712.15</v>
      </c>
      <c r="BE113" s="6">
        <v>1712.15</v>
      </c>
      <c r="BF113" s="6">
        <v>1712.15</v>
      </c>
      <c r="BG113" s="6">
        <v>1712.15</v>
      </c>
      <c r="BH113" s="6">
        <v>1712.15</v>
      </c>
      <c r="BI113" s="6">
        <v>1712.15</v>
      </c>
      <c r="BJ113" s="6">
        <v>1712.15</v>
      </c>
      <c r="BK113" s="6">
        <v>1712.15</v>
      </c>
      <c r="BL113" s="6">
        <v>1712.15</v>
      </c>
      <c r="BM113" s="6">
        <v>1712.15</v>
      </c>
      <c r="BN113" s="6">
        <v>1712.15</v>
      </c>
      <c r="BO113" s="6">
        <v>1712.15</v>
      </c>
      <c r="BP113" s="6">
        <v>1712.15</v>
      </c>
      <c r="BQ113" s="6">
        <v>1712.15</v>
      </c>
      <c r="BR113" s="6">
        <v>1712.15</v>
      </c>
      <c r="BS113" s="6">
        <v>1712.15</v>
      </c>
      <c r="BT113" s="6">
        <v>424.4</v>
      </c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>
        <f>SUM(C113:BT113)</f>
        <v>44516.000000000022</v>
      </c>
      <c r="CH113" s="6">
        <f>VLOOKUP(A113,'BL-TAPIAS'!$B$6:$J$123,8,FALSE)</f>
        <v>678800</v>
      </c>
      <c r="CI113" s="6">
        <f>VLOOKUP(A113,'BL-TAPIAS'!$B$6:$J$123,9,FALSE)</f>
        <v>47516.000000000007</v>
      </c>
      <c r="CJ113" s="119">
        <v>3000</v>
      </c>
      <c r="CK113" s="119">
        <f t="shared" si="10"/>
        <v>44516.000000000007</v>
      </c>
      <c r="CL113" s="119">
        <f t="shared" si="11"/>
        <v>1712.1538461538464</v>
      </c>
      <c r="CM113" s="215">
        <f t="shared" si="9"/>
        <v>0</v>
      </c>
    </row>
    <row r="114" spans="1:91" x14ac:dyDescent="0.25">
      <c r="A114" s="5">
        <v>1305</v>
      </c>
      <c r="B114" s="5" t="str">
        <f>VLOOKUP(A114,'BL-TAPIAS'!B118:H240,7,FALSE)</f>
        <v>1.Disponible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>
        <v>3000</v>
      </c>
      <c r="AV114" s="6">
        <v>1712.15</v>
      </c>
      <c r="AW114" s="6">
        <v>1712.15</v>
      </c>
      <c r="AX114" s="6">
        <v>1712.15</v>
      </c>
      <c r="AY114" s="6">
        <v>1712.15</v>
      </c>
      <c r="AZ114" s="6">
        <v>1712.15</v>
      </c>
      <c r="BA114" s="6">
        <v>1712.15</v>
      </c>
      <c r="BB114" s="6">
        <v>1712.15</v>
      </c>
      <c r="BC114" s="6">
        <v>1712.15</v>
      </c>
      <c r="BD114" s="6">
        <v>1712.15</v>
      </c>
      <c r="BE114" s="6">
        <v>1712.15</v>
      </c>
      <c r="BF114" s="6">
        <v>1712.15</v>
      </c>
      <c r="BG114" s="6">
        <v>1712.15</v>
      </c>
      <c r="BH114" s="6">
        <v>1712.15</v>
      </c>
      <c r="BI114" s="6">
        <v>1712.15</v>
      </c>
      <c r="BJ114" s="6">
        <v>1712.15</v>
      </c>
      <c r="BK114" s="6">
        <v>1712.15</v>
      </c>
      <c r="BL114" s="6">
        <v>1712.15</v>
      </c>
      <c r="BM114" s="6">
        <v>1712.15</v>
      </c>
      <c r="BN114" s="6">
        <v>1712.15</v>
      </c>
      <c r="BO114" s="6">
        <v>1712.15</v>
      </c>
      <c r="BP114" s="6">
        <v>1712.15</v>
      </c>
      <c r="BQ114" s="6">
        <v>1712.15</v>
      </c>
      <c r="BR114" s="6">
        <v>1712.15</v>
      </c>
      <c r="BS114" s="6">
        <v>1712.15</v>
      </c>
      <c r="BT114" s="6">
        <v>424.4</v>
      </c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>
        <f>SUM(C114:BT114)</f>
        <v>44516.000000000022</v>
      </c>
      <c r="CH114" s="6">
        <f>VLOOKUP(A114,'BL-TAPIAS'!$B$6:$J$123,8,FALSE)</f>
        <v>678800</v>
      </c>
      <c r="CI114" s="6">
        <f>VLOOKUP(A114,'BL-TAPIAS'!$B$6:$J$123,9,FALSE)</f>
        <v>47516.000000000007</v>
      </c>
      <c r="CJ114" s="119">
        <v>3000</v>
      </c>
      <c r="CK114" s="119">
        <f t="shared" si="10"/>
        <v>44516.000000000007</v>
      </c>
      <c r="CL114" s="119">
        <f t="shared" si="11"/>
        <v>1712.1538461538464</v>
      </c>
      <c r="CM114" s="215">
        <f t="shared" si="9"/>
        <v>0</v>
      </c>
    </row>
    <row r="115" spans="1:91" x14ac:dyDescent="0.25">
      <c r="A115" s="5">
        <v>1306</v>
      </c>
      <c r="B115" s="5" t="str">
        <f>VLOOKUP(A115,'BL-TAPIAS'!B119:H241,7,FALSE)</f>
        <v>1.Disponible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>
        <v>5000</v>
      </c>
      <c r="AW115" s="6">
        <v>2029.92</v>
      </c>
      <c r="AX115" s="6">
        <v>2029.92</v>
      </c>
      <c r="AY115" s="6">
        <v>2029.92</v>
      </c>
      <c r="AZ115" s="6">
        <v>2029.92</v>
      </c>
      <c r="BA115" s="6">
        <v>2029.92</v>
      </c>
      <c r="BB115" s="6">
        <v>2029.92</v>
      </c>
      <c r="BC115" s="6">
        <v>2029.92</v>
      </c>
      <c r="BD115" s="6">
        <v>2029.92</v>
      </c>
      <c r="BE115" s="6">
        <v>2029.92</v>
      </c>
      <c r="BF115" s="6">
        <v>2029.92</v>
      </c>
      <c r="BG115" s="6">
        <v>2029.92</v>
      </c>
      <c r="BH115" s="6">
        <v>2029.92</v>
      </c>
      <c r="BI115" s="6">
        <v>2029.92</v>
      </c>
      <c r="BJ115" s="6">
        <v>2029.92</v>
      </c>
      <c r="BK115" s="6">
        <v>2029.92</v>
      </c>
      <c r="BL115" s="6">
        <v>2029.92</v>
      </c>
      <c r="BM115" s="6">
        <v>2029.92</v>
      </c>
      <c r="BN115" s="6">
        <v>2029.92</v>
      </c>
      <c r="BO115" s="6">
        <v>2029.92</v>
      </c>
      <c r="BP115" s="6">
        <v>2029.92</v>
      </c>
      <c r="BQ115" s="6">
        <v>2029.92</v>
      </c>
      <c r="BR115" s="6">
        <v>2029.92</v>
      </c>
      <c r="BS115" s="6">
        <v>2029.92</v>
      </c>
      <c r="BT115" s="6">
        <v>1089.8399999999999</v>
      </c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>
        <f>SUM(C115:CF115)</f>
        <v>52777.999999999971</v>
      </c>
      <c r="CH115" s="6">
        <f>VLOOKUP(A115,'BL-TAPIAS'!$B$6:$J$123,8,FALSE)</f>
        <v>825400</v>
      </c>
      <c r="CI115" s="6">
        <f>VLOOKUP(A115,'BL-TAPIAS'!$B$6:$J$123,9,FALSE)</f>
        <v>57778.000000000007</v>
      </c>
      <c r="CJ115" s="119">
        <v>5000</v>
      </c>
      <c r="CK115" s="119">
        <f t="shared" si="10"/>
        <v>52778.000000000007</v>
      </c>
      <c r="CL115" s="119">
        <f t="shared" si="11"/>
        <v>2029.9230769230771</v>
      </c>
      <c r="CM115" s="215">
        <f t="shared" si="9"/>
        <v>0</v>
      </c>
    </row>
    <row r="116" spans="1:91" x14ac:dyDescent="0.25">
      <c r="A116" s="5">
        <v>1307</v>
      </c>
      <c r="B116" s="5" t="str">
        <f>VLOOKUP(A116,'BL-TAPIAS'!B120:H242,7,FALSE)</f>
        <v>1.Disponible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>
        <v>5000</v>
      </c>
      <c r="AG116" s="6">
        <v>2389.08</v>
      </c>
      <c r="AH116" s="6">
        <v>2389.08</v>
      </c>
      <c r="AI116" s="6">
        <v>2389.08</v>
      </c>
      <c r="AJ116" s="6">
        <v>2389.08</v>
      </c>
      <c r="AK116" s="6">
        <v>2389.08</v>
      </c>
      <c r="AL116" s="6">
        <v>2389.08</v>
      </c>
      <c r="AM116" s="6">
        <v>2389.08</v>
      </c>
      <c r="AN116" s="6">
        <v>2389.08</v>
      </c>
      <c r="AO116" s="6">
        <v>2389.08</v>
      </c>
      <c r="AP116" s="6">
        <v>2389.08</v>
      </c>
      <c r="AQ116" s="6">
        <v>2389.08</v>
      </c>
      <c r="AR116" s="6">
        <v>2389.08</v>
      </c>
      <c r="AS116" s="6">
        <v>2389.08</v>
      </c>
      <c r="AT116" s="6">
        <v>2389.08</v>
      </c>
      <c r="AU116" s="6">
        <v>2389.08</v>
      </c>
      <c r="AV116" s="6">
        <v>2389.08</v>
      </c>
      <c r="AW116" s="6">
        <v>2389.08</v>
      </c>
      <c r="AX116" s="6">
        <v>2389.08</v>
      </c>
      <c r="AY116" s="6">
        <v>2389.08</v>
      </c>
      <c r="AZ116" s="6">
        <v>2389.08</v>
      </c>
      <c r="BA116" s="6">
        <v>2389.08</v>
      </c>
      <c r="BB116" s="6">
        <v>2389.08</v>
      </c>
      <c r="BC116" s="6">
        <v>2389.08</v>
      </c>
      <c r="BD116" s="6">
        <v>2167.16</v>
      </c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>
        <f>SUM(C116:BT116)</f>
        <v>62116.000000000029</v>
      </c>
      <c r="CH116" s="6">
        <f>VLOOKUP(A116,'BL-TAPIAS'!$B$6:$J$123,8,FALSE)</f>
        <v>958800</v>
      </c>
      <c r="CI116" s="6">
        <f>VLOOKUP(A116,'BL-TAPIAS'!$B$6:$J$123,9,FALSE)</f>
        <v>67116</v>
      </c>
      <c r="CJ116" s="119">
        <v>5000</v>
      </c>
      <c r="CK116" s="119">
        <f t="shared" si="10"/>
        <v>62116</v>
      </c>
      <c r="CL116" s="119">
        <f t="shared" si="11"/>
        <v>2389.0769230769229</v>
      </c>
      <c r="CM116" s="215">
        <f t="shared" si="9"/>
        <v>0</v>
      </c>
    </row>
    <row r="117" spans="1:91" x14ac:dyDescent="0.25">
      <c r="A117" s="5">
        <v>1308</v>
      </c>
      <c r="B117" s="5" t="str">
        <f>VLOOKUP(A117,'BL-TAPIAS'!B121:H243,7,FALSE)</f>
        <v>1.Disponible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>
        <v>5000</v>
      </c>
      <c r="AX117" s="6">
        <v>2389.08</v>
      </c>
      <c r="AY117" s="6">
        <v>2389.08</v>
      </c>
      <c r="AZ117" s="6">
        <v>2389.08</v>
      </c>
      <c r="BA117" s="6">
        <v>2389.08</v>
      </c>
      <c r="BB117" s="6">
        <v>2389.08</v>
      </c>
      <c r="BC117" s="6">
        <v>2389.08</v>
      </c>
      <c r="BD117" s="6">
        <v>2389.08</v>
      </c>
      <c r="BE117" s="6">
        <v>2389.08</v>
      </c>
      <c r="BF117" s="6">
        <v>2389.08</v>
      </c>
      <c r="BG117" s="6">
        <v>2389.08</v>
      </c>
      <c r="BH117" s="6">
        <v>2389.08</v>
      </c>
      <c r="BI117" s="6">
        <v>2389.08</v>
      </c>
      <c r="BJ117" s="6">
        <v>2389.08</v>
      </c>
      <c r="BK117" s="6">
        <v>2389.08</v>
      </c>
      <c r="BL117" s="6">
        <v>2389.08</v>
      </c>
      <c r="BM117" s="6">
        <v>2389.08</v>
      </c>
      <c r="BN117" s="6">
        <v>2389.08</v>
      </c>
      <c r="BO117" s="6">
        <v>2389.08</v>
      </c>
      <c r="BP117" s="6">
        <v>2389.08</v>
      </c>
      <c r="BQ117" s="6">
        <v>2389.08</v>
      </c>
      <c r="BR117" s="6">
        <v>2389.08</v>
      </c>
      <c r="BS117" s="6">
        <v>2389.08</v>
      </c>
      <c r="BT117" s="6">
        <v>2389.08</v>
      </c>
      <c r="BU117" s="6">
        <v>2167.16</v>
      </c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>
        <f>SUM(C117:CF117)</f>
        <v>62116.000000000029</v>
      </c>
      <c r="CH117" s="6">
        <f>VLOOKUP(A117,'BL-TAPIAS'!$B$6:$J$123,8,FALSE)</f>
        <v>958800</v>
      </c>
      <c r="CI117" s="6">
        <f>VLOOKUP(A117,'BL-TAPIAS'!$B$6:$J$123,9,FALSE)</f>
        <v>67116</v>
      </c>
      <c r="CJ117" s="119">
        <v>5000</v>
      </c>
      <c r="CK117" s="119">
        <f t="shared" si="10"/>
        <v>62116</v>
      </c>
      <c r="CL117" s="119">
        <f t="shared" si="11"/>
        <v>2389.0769230769229</v>
      </c>
      <c r="CM117" s="215">
        <f t="shared" si="9"/>
        <v>0</v>
      </c>
    </row>
    <row r="118" spans="1:91" x14ac:dyDescent="0.25">
      <c r="A118" s="5">
        <v>1309</v>
      </c>
      <c r="B118" s="5" t="str">
        <f>VLOOKUP(A118,'BL-TAPIAS'!B122:H244,7,FALSE)</f>
        <v>1.Disponible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>
        <v>5000</v>
      </c>
      <c r="AY118" s="6">
        <v>2029.92</v>
      </c>
      <c r="AZ118" s="6">
        <v>2029.92</v>
      </c>
      <c r="BA118" s="6">
        <v>2029.92</v>
      </c>
      <c r="BB118" s="6">
        <v>2029.92</v>
      </c>
      <c r="BC118" s="6">
        <v>2029.92</v>
      </c>
      <c r="BD118" s="6">
        <v>2029.92</v>
      </c>
      <c r="BE118" s="6">
        <v>2029.92</v>
      </c>
      <c r="BF118" s="6">
        <v>2029.92</v>
      </c>
      <c r="BG118" s="6">
        <v>2029.92</v>
      </c>
      <c r="BH118" s="6">
        <v>2029.92</v>
      </c>
      <c r="BI118" s="6">
        <v>2029.92</v>
      </c>
      <c r="BJ118" s="6">
        <v>2029.92</v>
      </c>
      <c r="BK118" s="6">
        <v>2029.92</v>
      </c>
      <c r="BL118" s="6">
        <v>2029.92</v>
      </c>
      <c r="BM118" s="6">
        <v>2029.92</v>
      </c>
      <c r="BN118" s="6">
        <v>2029.92</v>
      </c>
      <c r="BO118" s="6">
        <v>2029.92</v>
      </c>
      <c r="BP118" s="6">
        <v>2029.92</v>
      </c>
      <c r="BQ118" s="6">
        <v>2029.92</v>
      </c>
      <c r="BR118" s="6">
        <v>2029.92</v>
      </c>
      <c r="BS118" s="6">
        <v>2029.92</v>
      </c>
      <c r="BT118" s="6">
        <v>2029.92</v>
      </c>
      <c r="BU118" s="6">
        <v>2029.92</v>
      </c>
      <c r="BV118" s="6">
        <v>1089.8399999999999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>
        <f>SUM(C118:CF118)</f>
        <v>52777.999999999971</v>
      </c>
      <c r="CH118" s="6">
        <f>VLOOKUP(A118,'BL-TAPIAS'!$B$6:$J$123,8,FALSE)</f>
        <v>825400</v>
      </c>
      <c r="CI118" s="6">
        <f>VLOOKUP(A118,'BL-TAPIAS'!$B$6:$J$123,9,FALSE)</f>
        <v>57778.000000000007</v>
      </c>
      <c r="CJ118" s="119">
        <v>5000</v>
      </c>
      <c r="CK118" s="119">
        <f t="shared" si="10"/>
        <v>52778.000000000007</v>
      </c>
      <c r="CL118" s="119">
        <f t="shared" si="11"/>
        <v>2029.9230769230771</v>
      </c>
      <c r="CM118" s="215">
        <f t="shared" si="9"/>
        <v>0</v>
      </c>
    </row>
    <row r="119" spans="1:91" x14ac:dyDescent="0.25">
      <c r="A119" s="2"/>
      <c r="B119" s="2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2"/>
      <c r="CI119" s="2"/>
      <c r="CJ119" s="2"/>
      <c r="CK119" s="2"/>
      <c r="CL119" s="2"/>
      <c r="CM119" s="2"/>
    </row>
    <row r="120" spans="1:91" x14ac:dyDescent="0.25">
      <c r="A120" s="2"/>
      <c r="B120" s="2" t="s">
        <v>1439</v>
      </c>
      <c r="C120" s="6">
        <f t="shared" ref="C120:AH120" si="12">SUM(C2:C119)</f>
        <v>0</v>
      </c>
      <c r="D120" s="6">
        <f t="shared" si="12"/>
        <v>0</v>
      </c>
      <c r="E120" s="6">
        <f t="shared" si="12"/>
        <v>0</v>
      </c>
      <c r="F120" s="6">
        <f t="shared" si="12"/>
        <v>0</v>
      </c>
      <c r="G120" s="6">
        <f t="shared" si="12"/>
        <v>0</v>
      </c>
      <c r="H120" s="6">
        <f t="shared" si="12"/>
        <v>0</v>
      </c>
      <c r="I120" s="6">
        <f t="shared" si="12"/>
        <v>0</v>
      </c>
      <c r="J120" s="6">
        <f t="shared" si="12"/>
        <v>0</v>
      </c>
      <c r="K120" s="6">
        <f t="shared" si="12"/>
        <v>0</v>
      </c>
      <c r="L120" s="6">
        <f t="shared" si="12"/>
        <v>0</v>
      </c>
      <c r="M120" s="6">
        <f t="shared" si="12"/>
        <v>0</v>
      </c>
      <c r="N120" s="6">
        <f t="shared" si="12"/>
        <v>0</v>
      </c>
      <c r="O120" s="6">
        <f t="shared" si="12"/>
        <v>0</v>
      </c>
      <c r="P120" s="6">
        <f t="shared" si="12"/>
        <v>0</v>
      </c>
      <c r="Q120" s="6">
        <f t="shared" si="12"/>
        <v>0</v>
      </c>
      <c r="R120" s="6">
        <f t="shared" si="12"/>
        <v>0</v>
      </c>
      <c r="S120" s="6">
        <f t="shared" si="12"/>
        <v>0</v>
      </c>
      <c r="T120" s="6">
        <f t="shared" si="12"/>
        <v>0</v>
      </c>
      <c r="U120" s="6">
        <f t="shared" si="12"/>
        <v>0</v>
      </c>
      <c r="V120" s="6">
        <f t="shared" si="12"/>
        <v>0</v>
      </c>
      <c r="W120" s="6">
        <f t="shared" si="12"/>
        <v>0</v>
      </c>
      <c r="X120" s="6">
        <f t="shared" si="12"/>
        <v>0</v>
      </c>
      <c r="Y120" s="6">
        <f t="shared" si="12"/>
        <v>0</v>
      </c>
      <c r="Z120" s="6">
        <f t="shared" si="12"/>
        <v>0</v>
      </c>
      <c r="AA120" s="6">
        <f t="shared" si="12"/>
        <v>0</v>
      </c>
      <c r="AB120" s="6">
        <f t="shared" si="12"/>
        <v>5000</v>
      </c>
      <c r="AC120" s="6">
        <f t="shared" si="12"/>
        <v>17174.07</v>
      </c>
      <c r="AD120" s="6">
        <f t="shared" si="12"/>
        <v>18685.150000000001</v>
      </c>
      <c r="AE120" s="6">
        <f t="shared" si="12"/>
        <v>54685.15</v>
      </c>
      <c r="AF120" s="6">
        <f t="shared" si="12"/>
        <v>60754.179999999986</v>
      </c>
      <c r="AG120" s="6">
        <f t="shared" si="12"/>
        <v>69204.909999999989</v>
      </c>
      <c r="AH120" s="6">
        <f t="shared" si="12"/>
        <v>78789.25999999998</v>
      </c>
      <c r="AI120" s="6">
        <f t="shared" ref="AI120:CG120" si="13">SUM(AI2:AI119)</f>
        <v>88395.409999999989</v>
      </c>
      <c r="AJ120" s="6">
        <f t="shared" si="13"/>
        <v>95325.989999999991</v>
      </c>
      <c r="AK120" s="6">
        <f t="shared" si="13"/>
        <v>106671.50000000001</v>
      </c>
      <c r="AL120" s="6">
        <f t="shared" si="13"/>
        <v>109708.85</v>
      </c>
      <c r="AM120" s="6">
        <f t="shared" si="13"/>
        <v>114967.31</v>
      </c>
      <c r="AN120" s="6">
        <f t="shared" si="13"/>
        <v>125460.54</v>
      </c>
      <c r="AO120" s="6">
        <f t="shared" si="13"/>
        <v>123159.76999999999</v>
      </c>
      <c r="AP120" s="6">
        <f t="shared" si="13"/>
        <v>143401.84</v>
      </c>
      <c r="AQ120" s="6">
        <f t="shared" si="13"/>
        <v>155058.74999999997</v>
      </c>
      <c r="AR120" s="6">
        <f t="shared" si="13"/>
        <v>161260.00999999995</v>
      </c>
      <c r="AS120" s="6">
        <f t="shared" si="13"/>
        <v>170642.39999999997</v>
      </c>
      <c r="AT120" s="6">
        <f t="shared" si="13"/>
        <v>183031.19999999992</v>
      </c>
      <c r="AU120" s="6">
        <f t="shared" si="13"/>
        <v>191698.99999999991</v>
      </c>
      <c r="AV120" s="6">
        <f t="shared" si="13"/>
        <v>205896.64999999994</v>
      </c>
      <c r="AW120" s="6">
        <f t="shared" si="13"/>
        <v>216968.91999999993</v>
      </c>
      <c r="AX120" s="6">
        <f t="shared" si="13"/>
        <v>228400.34999999995</v>
      </c>
      <c r="AY120" s="6">
        <f t="shared" si="13"/>
        <v>234795.69999999998</v>
      </c>
      <c r="AZ120" s="6">
        <f t="shared" si="13"/>
        <v>239195.86</v>
      </c>
      <c r="BA120" s="6">
        <f t="shared" si="13"/>
        <v>235935.82999999996</v>
      </c>
      <c r="BB120" s="6">
        <f t="shared" si="13"/>
        <v>238290.17999999996</v>
      </c>
      <c r="BC120" s="6">
        <f t="shared" ref="BC120:BT120" si="14">SUM(BC2:BC119)</f>
        <v>234359.99999999997</v>
      </c>
      <c r="BD120" s="6">
        <f t="shared" si="14"/>
        <v>222037.82999999996</v>
      </c>
      <c r="BE120" s="6">
        <f t="shared" si="14"/>
        <v>213918.31999999995</v>
      </c>
      <c r="BF120" s="6">
        <f t="shared" si="14"/>
        <v>174567.66999999993</v>
      </c>
      <c r="BG120" s="6">
        <f t="shared" si="14"/>
        <v>165610.19999999992</v>
      </c>
      <c r="BH120" s="6">
        <f t="shared" si="14"/>
        <v>155509.29999999996</v>
      </c>
      <c r="BI120" s="6">
        <f t="shared" si="14"/>
        <v>147550.62999999995</v>
      </c>
      <c r="BJ120" s="6">
        <f t="shared" si="14"/>
        <v>138528.24</v>
      </c>
      <c r="BK120" s="6">
        <f t="shared" si="14"/>
        <v>131720.09999999998</v>
      </c>
      <c r="BL120" s="6">
        <f t="shared" si="14"/>
        <v>126928.06999999996</v>
      </c>
      <c r="BM120" s="6">
        <f t="shared" si="14"/>
        <v>120067.07999999996</v>
      </c>
      <c r="BN120" s="6">
        <f t="shared" si="14"/>
        <v>114364.84999999998</v>
      </c>
      <c r="BO120" s="6">
        <f t="shared" si="14"/>
        <v>104771.65999999996</v>
      </c>
      <c r="BP120" s="6">
        <f t="shared" si="14"/>
        <v>93188.939999999959</v>
      </c>
      <c r="BQ120" s="6">
        <f t="shared" si="14"/>
        <v>85924.14999999998</v>
      </c>
      <c r="BR120" s="6">
        <f t="shared" si="14"/>
        <v>74996.00999999998</v>
      </c>
      <c r="BS120" s="6">
        <f t="shared" si="14"/>
        <v>63916.530000000006</v>
      </c>
      <c r="BT120" s="6">
        <f t="shared" si="14"/>
        <v>52741.2</v>
      </c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>
        <f t="shared" si="13"/>
        <v>6200890.2599999998</v>
      </c>
      <c r="CH120" s="2"/>
      <c r="CI120" s="2"/>
      <c r="CJ120" s="2"/>
      <c r="CK120" s="2"/>
      <c r="CL120" s="2"/>
      <c r="CM120" s="2"/>
    </row>
    <row r="121" spans="1:91" x14ac:dyDescent="0.25">
      <c r="A121" s="2"/>
      <c r="B121" s="2" t="s">
        <v>896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>
        <f>+AC120-AC122</f>
        <v>0</v>
      </c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2"/>
      <c r="CI121" s="2"/>
      <c r="CJ121" s="2"/>
      <c r="CK121" s="2"/>
      <c r="CL121" s="2"/>
      <c r="CM121" s="2"/>
    </row>
    <row r="122" spans="1:91" x14ac:dyDescent="0.25">
      <c r="A122" s="2"/>
      <c r="B122" s="2"/>
      <c r="C122" s="6">
        <f t="shared" ref="C122:AC122" si="15">SUBTOTAL(9,C4:C118)</f>
        <v>0</v>
      </c>
      <c r="D122" s="6">
        <f t="shared" si="15"/>
        <v>0</v>
      </c>
      <c r="E122" s="6">
        <f t="shared" si="15"/>
        <v>0</v>
      </c>
      <c r="F122" s="6">
        <f t="shared" si="15"/>
        <v>0</v>
      </c>
      <c r="G122" s="6">
        <f t="shared" si="15"/>
        <v>0</v>
      </c>
      <c r="H122" s="6">
        <f t="shared" si="15"/>
        <v>0</v>
      </c>
      <c r="I122" s="6">
        <f t="shared" si="15"/>
        <v>0</v>
      </c>
      <c r="J122" s="6">
        <f t="shared" si="15"/>
        <v>0</v>
      </c>
      <c r="K122" s="6">
        <f t="shared" si="15"/>
        <v>0</v>
      </c>
      <c r="L122" s="6">
        <f t="shared" si="15"/>
        <v>0</v>
      </c>
      <c r="M122" s="6">
        <f t="shared" si="15"/>
        <v>0</v>
      </c>
      <c r="N122" s="6">
        <f t="shared" si="15"/>
        <v>0</v>
      </c>
      <c r="O122" s="6">
        <f t="shared" si="15"/>
        <v>0</v>
      </c>
      <c r="P122" s="6">
        <f t="shared" si="15"/>
        <v>0</v>
      </c>
      <c r="Q122" s="6">
        <f t="shared" si="15"/>
        <v>0</v>
      </c>
      <c r="R122" s="6">
        <f t="shared" si="15"/>
        <v>0</v>
      </c>
      <c r="S122" s="6">
        <f t="shared" si="15"/>
        <v>0</v>
      </c>
      <c r="T122" s="6">
        <f t="shared" si="15"/>
        <v>0</v>
      </c>
      <c r="U122" s="6">
        <f t="shared" si="15"/>
        <v>0</v>
      </c>
      <c r="V122" s="6">
        <f t="shared" si="15"/>
        <v>0</v>
      </c>
      <c r="W122" s="6">
        <f t="shared" si="15"/>
        <v>0</v>
      </c>
      <c r="X122" s="6">
        <f t="shared" si="15"/>
        <v>0</v>
      </c>
      <c r="Y122" s="6">
        <f t="shared" si="15"/>
        <v>0</v>
      </c>
      <c r="Z122" s="6">
        <f t="shared" si="15"/>
        <v>0</v>
      </c>
      <c r="AA122" s="6">
        <f t="shared" si="15"/>
        <v>0</v>
      </c>
      <c r="AB122" s="6">
        <f t="shared" si="15"/>
        <v>5000</v>
      </c>
      <c r="AC122" s="6">
        <f t="shared" si="15"/>
        <v>17174.07</v>
      </c>
      <c r="AD122" s="6">
        <f>SUM(C122:AC122)</f>
        <v>22174.07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2"/>
      <c r="CI122" s="2"/>
      <c r="CJ122" s="2"/>
      <c r="CK122" s="2"/>
      <c r="CL122" s="2"/>
      <c r="CM122" s="2"/>
    </row>
    <row r="123" spans="1:91" x14ac:dyDescent="0.25">
      <c r="A123" s="2"/>
      <c r="B123" s="2" t="s">
        <v>1440</v>
      </c>
      <c r="C123" s="6">
        <f>+C120</f>
        <v>0</v>
      </c>
      <c r="D123" s="6">
        <f t="shared" ref="D123:Z123" si="16">+D120+C123</f>
        <v>0</v>
      </c>
      <c r="E123" s="6">
        <f t="shared" si="16"/>
        <v>0</v>
      </c>
      <c r="F123" s="6">
        <f t="shared" si="16"/>
        <v>0</v>
      </c>
      <c r="G123" s="6">
        <f t="shared" si="16"/>
        <v>0</v>
      </c>
      <c r="H123" s="6">
        <f t="shared" si="16"/>
        <v>0</v>
      </c>
      <c r="I123" s="6">
        <f t="shared" si="16"/>
        <v>0</v>
      </c>
      <c r="J123" s="6">
        <f t="shared" si="16"/>
        <v>0</v>
      </c>
      <c r="K123" s="6">
        <f t="shared" si="16"/>
        <v>0</v>
      </c>
      <c r="L123" s="6">
        <f t="shared" si="16"/>
        <v>0</v>
      </c>
      <c r="M123" s="6">
        <f t="shared" si="16"/>
        <v>0</v>
      </c>
      <c r="N123" s="6">
        <f t="shared" si="16"/>
        <v>0</v>
      </c>
      <c r="O123" s="6">
        <f t="shared" si="16"/>
        <v>0</v>
      </c>
      <c r="P123" s="6">
        <f t="shared" si="16"/>
        <v>0</v>
      </c>
      <c r="Q123" s="6">
        <f t="shared" si="16"/>
        <v>0</v>
      </c>
      <c r="R123" s="6">
        <f t="shared" si="16"/>
        <v>0</v>
      </c>
      <c r="S123" s="6">
        <f t="shared" si="16"/>
        <v>0</v>
      </c>
      <c r="T123" s="6">
        <f t="shared" si="16"/>
        <v>0</v>
      </c>
      <c r="U123" s="6">
        <f t="shared" si="16"/>
        <v>0</v>
      </c>
      <c r="V123" s="6">
        <f t="shared" si="16"/>
        <v>0</v>
      </c>
      <c r="W123" s="6">
        <f t="shared" si="16"/>
        <v>0</v>
      </c>
      <c r="X123" s="6">
        <f t="shared" si="16"/>
        <v>0</v>
      </c>
      <c r="Y123" s="6">
        <f t="shared" si="16"/>
        <v>0</v>
      </c>
      <c r="Z123" s="6">
        <f t="shared" si="16"/>
        <v>0</v>
      </c>
      <c r="AA123" s="6">
        <f t="shared" ref="AA123:BB123" si="17">+Z123+AA120</f>
        <v>0</v>
      </c>
      <c r="AB123" s="6">
        <f t="shared" si="17"/>
        <v>5000</v>
      </c>
      <c r="AC123" s="6">
        <f t="shared" si="17"/>
        <v>22174.07</v>
      </c>
      <c r="AD123" s="201">
        <f t="shared" si="17"/>
        <v>40859.22</v>
      </c>
      <c r="AE123" s="6">
        <f t="shared" si="17"/>
        <v>95544.37</v>
      </c>
      <c r="AF123" s="6">
        <f t="shared" si="17"/>
        <v>156298.54999999999</v>
      </c>
      <c r="AG123" s="6">
        <f t="shared" si="17"/>
        <v>225503.45999999996</v>
      </c>
      <c r="AH123" s="6">
        <f t="shared" si="17"/>
        <v>304292.71999999997</v>
      </c>
      <c r="AI123" s="6">
        <f t="shared" si="17"/>
        <v>392688.12999999995</v>
      </c>
      <c r="AJ123" s="6">
        <f t="shared" si="17"/>
        <v>488014.11999999994</v>
      </c>
      <c r="AK123" s="6">
        <f t="shared" si="17"/>
        <v>594685.62</v>
      </c>
      <c r="AL123" s="6">
        <f t="shared" si="17"/>
        <v>704394.47</v>
      </c>
      <c r="AM123" s="6">
        <f t="shared" si="17"/>
        <v>819361.78</v>
      </c>
      <c r="AN123" s="6">
        <f t="shared" si="17"/>
        <v>944822.32000000007</v>
      </c>
      <c r="AO123" s="6">
        <f t="shared" si="17"/>
        <v>1067982.0900000001</v>
      </c>
      <c r="AP123" s="6">
        <f t="shared" si="17"/>
        <v>1211383.9300000002</v>
      </c>
      <c r="AQ123" s="6">
        <f t="shared" si="17"/>
        <v>1366442.6800000002</v>
      </c>
      <c r="AR123" s="6">
        <f t="shared" si="17"/>
        <v>1527702.6900000002</v>
      </c>
      <c r="AS123" s="6">
        <f t="shared" si="17"/>
        <v>1698345.09</v>
      </c>
      <c r="AT123" s="6">
        <f t="shared" si="17"/>
        <v>1881376.29</v>
      </c>
      <c r="AU123" s="6">
        <f t="shared" si="17"/>
        <v>2073075.29</v>
      </c>
      <c r="AV123" s="6">
        <f t="shared" si="17"/>
        <v>2278971.94</v>
      </c>
      <c r="AW123" s="6">
        <f t="shared" si="17"/>
        <v>2495940.86</v>
      </c>
      <c r="AX123" s="6">
        <f t="shared" si="17"/>
        <v>2724341.21</v>
      </c>
      <c r="AY123" s="6">
        <f t="shared" si="17"/>
        <v>2959136.91</v>
      </c>
      <c r="AZ123" s="6">
        <f t="shared" si="17"/>
        <v>3198332.77</v>
      </c>
      <c r="BA123" s="6">
        <f t="shared" si="17"/>
        <v>3434268.6</v>
      </c>
      <c r="BB123" s="6">
        <f t="shared" si="17"/>
        <v>3672558.7800000003</v>
      </c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2"/>
      <c r="CI123" s="2"/>
      <c r="CJ123" s="2"/>
      <c r="CK123" s="2"/>
      <c r="CL123" s="2"/>
      <c r="CM123" s="2"/>
    </row>
    <row r="124" spans="1:91" x14ac:dyDescent="0.25">
      <c r="A124" s="2"/>
      <c r="B124" s="2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>
        <f>+AC123-AD122</f>
        <v>0</v>
      </c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2"/>
      <c r="CI124" s="2"/>
      <c r="CJ124" s="2"/>
      <c r="CK124" s="2"/>
      <c r="CL124" s="2"/>
      <c r="CM124" s="2"/>
    </row>
    <row r="125" spans="1:91" x14ac:dyDescent="0.25">
      <c r="A125" s="2"/>
      <c r="B125" s="2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235">
        <f t="shared" ref="AB125:BT125" si="18">COUNTIF(AB2:AB119,"=3000")+COUNTIF(AB2:AB119,"=5000")</f>
        <v>1</v>
      </c>
      <c r="AC125" s="235">
        <f t="shared" si="18"/>
        <v>5</v>
      </c>
      <c r="AD125" s="235">
        <f t="shared" si="18"/>
        <v>0</v>
      </c>
      <c r="AE125" s="235">
        <f t="shared" si="18"/>
        <v>10</v>
      </c>
      <c r="AF125" s="235">
        <f t="shared" si="18"/>
        <v>5</v>
      </c>
      <c r="AG125" s="235">
        <f t="shared" si="18"/>
        <v>5</v>
      </c>
      <c r="AH125" s="235">
        <f t="shared" si="18"/>
        <v>5</v>
      </c>
      <c r="AI125" s="235">
        <f t="shared" si="18"/>
        <v>5</v>
      </c>
      <c r="AJ125" s="235">
        <f t="shared" si="18"/>
        <v>4</v>
      </c>
      <c r="AK125" s="235">
        <f t="shared" si="18"/>
        <v>5</v>
      </c>
      <c r="AL125" s="235">
        <f t="shared" si="18"/>
        <v>4</v>
      </c>
      <c r="AM125" s="235">
        <f t="shared" si="18"/>
        <v>4</v>
      </c>
      <c r="AN125" s="235">
        <f t="shared" si="18"/>
        <v>4</v>
      </c>
      <c r="AO125" s="235">
        <f t="shared" si="18"/>
        <v>2</v>
      </c>
      <c r="AP125" s="235">
        <f t="shared" si="18"/>
        <v>5</v>
      </c>
      <c r="AQ125" s="235">
        <f t="shared" si="18"/>
        <v>6</v>
      </c>
      <c r="AR125" s="235">
        <f t="shared" si="18"/>
        <v>4</v>
      </c>
      <c r="AS125" s="235">
        <f t="shared" si="18"/>
        <v>5</v>
      </c>
      <c r="AT125" s="235">
        <f t="shared" si="18"/>
        <v>5</v>
      </c>
      <c r="AU125" s="235">
        <f t="shared" si="18"/>
        <v>5</v>
      </c>
      <c r="AV125" s="235">
        <f t="shared" si="18"/>
        <v>5</v>
      </c>
      <c r="AW125" s="235">
        <f t="shared" si="18"/>
        <v>5</v>
      </c>
      <c r="AX125" s="235">
        <f t="shared" si="18"/>
        <v>5</v>
      </c>
      <c r="AY125" s="6">
        <f t="shared" si="18"/>
        <v>4</v>
      </c>
      <c r="AZ125" s="6">
        <f t="shared" si="18"/>
        <v>3</v>
      </c>
      <c r="BA125" s="6">
        <f t="shared" si="18"/>
        <v>1</v>
      </c>
      <c r="BB125" s="6">
        <f t="shared" si="18"/>
        <v>1</v>
      </c>
      <c r="BC125" s="6">
        <f t="shared" si="18"/>
        <v>0</v>
      </c>
      <c r="BD125" s="6">
        <f t="shared" si="18"/>
        <v>0</v>
      </c>
      <c r="BE125" s="6">
        <f t="shared" si="18"/>
        <v>0</v>
      </c>
      <c r="BF125" s="6">
        <f t="shared" si="18"/>
        <v>0</v>
      </c>
      <c r="BG125" s="6">
        <f t="shared" si="18"/>
        <v>0</v>
      </c>
      <c r="BH125" s="6">
        <f t="shared" si="18"/>
        <v>0</v>
      </c>
      <c r="BI125" s="6">
        <f t="shared" si="18"/>
        <v>0</v>
      </c>
      <c r="BJ125" s="6">
        <f t="shared" si="18"/>
        <v>0</v>
      </c>
      <c r="BK125" s="6">
        <f t="shared" si="18"/>
        <v>0</v>
      </c>
      <c r="BL125" s="6">
        <f t="shared" si="18"/>
        <v>0</v>
      </c>
      <c r="BM125" s="6">
        <f t="shared" si="18"/>
        <v>0</v>
      </c>
      <c r="BN125" s="6">
        <f t="shared" si="18"/>
        <v>0</v>
      </c>
      <c r="BO125" s="6">
        <f t="shared" si="18"/>
        <v>0</v>
      </c>
      <c r="BP125" s="6">
        <f t="shared" si="18"/>
        <v>0</v>
      </c>
      <c r="BQ125" s="6">
        <f t="shared" si="18"/>
        <v>0</v>
      </c>
      <c r="BR125" s="6">
        <f t="shared" si="18"/>
        <v>0</v>
      </c>
      <c r="BS125" s="6">
        <f t="shared" si="18"/>
        <v>0</v>
      </c>
      <c r="BT125" s="6">
        <f t="shared" si="18"/>
        <v>0</v>
      </c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2"/>
      <c r="CI125" s="2"/>
      <c r="CJ125" s="2"/>
      <c r="CK125" s="2"/>
      <c r="CL125" s="2"/>
      <c r="CM125" s="2"/>
    </row>
    <row r="126" spans="1:91" x14ac:dyDescent="0.25">
      <c r="A126" s="2"/>
      <c r="B126" s="2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2"/>
      <c r="CI126" s="2"/>
      <c r="CJ126" s="2"/>
      <c r="CK126" s="2"/>
      <c r="CL126" s="2"/>
      <c r="CM126" s="2"/>
    </row>
    <row r="127" spans="1:91" x14ac:dyDescent="0.25">
      <c r="A127" s="2"/>
      <c r="B127" s="2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2"/>
      <c r="CI127" s="2"/>
      <c r="CJ127" s="2"/>
      <c r="CK127" s="2"/>
      <c r="CL127" s="2"/>
      <c r="CM127" s="2"/>
    </row>
    <row r="128" spans="1:91" x14ac:dyDescent="0.25">
      <c r="A128" s="2"/>
      <c r="B128" s="2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2"/>
      <c r="CI128" s="2"/>
      <c r="CJ128" s="2"/>
      <c r="CK128" s="2"/>
      <c r="CL128" s="2"/>
      <c r="CM128" s="2"/>
    </row>
    <row r="129" spans="3:91" x14ac:dyDescent="0.2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2"/>
      <c r="CI129" s="2"/>
      <c r="CJ129" s="2"/>
      <c r="CK129" s="2"/>
      <c r="CL129" s="2"/>
      <c r="CM129" s="2"/>
    </row>
    <row r="130" spans="3:91" x14ac:dyDescent="0.2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2"/>
      <c r="CI130" s="2"/>
      <c r="CJ130" s="2"/>
      <c r="CK130" s="2"/>
      <c r="CL130" s="2"/>
      <c r="CM130" s="2"/>
    </row>
    <row r="131" spans="3:91" x14ac:dyDescent="0.2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2"/>
      <c r="CI131" s="2"/>
      <c r="CJ131" s="2"/>
      <c r="CK131" s="2"/>
      <c r="CL131" s="2"/>
      <c r="CM131" s="2"/>
    </row>
    <row r="132" spans="3:91" x14ac:dyDescent="0.2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2"/>
      <c r="CI132" s="2"/>
      <c r="CJ132" s="2"/>
      <c r="CK132" s="2"/>
      <c r="CL132" s="2"/>
      <c r="CM132" s="2"/>
    </row>
    <row r="133" spans="3:91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2"/>
      <c r="CI133" s="2"/>
      <c r="CJ133" s="2"/>
      <c r="CK133" s="2"/>
      <c r="CL133" s="2"/>
      <c r="CM133" s="2"/>
    </row>
    <row r="134" spans="3:91" x14ac:dyDescent="0.2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2"/>
      <c r="CI134" s="2"/>
      <c r="CJ134" s="2"/>
      <c r="CK134" s="2"/>
      <c r="CL134" s="2"/>
      <c r="CM134" s="2"/>
    </row>
    <row r="135" spans="3:91" x14ac:dyDescent="0.2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2"/>
      <c r="CI135" s="2"/>
      <c r="CJ135" s="2"/>
      <c r="CK135" s="2"/>
      <c r="CL135" s="2"/>
      <c r="CM135" s="2"/>
    </row>
    <row r="136" spans="3:91" x14ac:dyDescent="0.2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2"/>
      <c r="CI136" s="2"/>
      <c r="CJ136" s="2"/>
      <c r="CK136" s="2"/>
      <c r="CL136" s="2"/>
      <c r="CM136" s="2"/>
    </row>
    <row r="137" spans="3:91" x14ac:dyDescent="0.2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2"/>
      <c r="CI137" s="2"/>
      <c r="CJ137" s="2"/>
      <c r="CK137" s="2"/>
      <c r="CL137" s="2"/>
      <c r="CM137" s="2"/>
    </row>
    <row r="138" spans="3:91" x14ac:dyDescent="0.2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2"/>
      <c r="CI138" s="2"/>
      <c r="CJ138" s="2"/>
      <c r="CK138" s="2"/>
      <c r="CL138" s="2"/>
      <c r="CM138" s="2"/>
    </row>
    <row r="139" spans="3:9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2"/>
      <c r="CI139" s="2"/>
      <c r="CJ139" s="2"/>
      <c r="CK139" s="2"/>
      <c r="CL139" s="2"/>
      <c r="CM139" s="2"/>
    </row>
    <row r="140" spans="3:91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2"/>
      <c r="CI140" s="2"/>
      <c r="CJ140" s="2"/>
      <c r="CK140" s="2"/>
      <c r="CL140" s="2"/>
      <c r="CM140" s="2"/>
    </row>
    <row r="141" spans="3:91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2"/>
      <c r="CI141" s="2"/>
      <c r="CJ141" s="2"/>
      <c r="CK141" s="2"/>
      <c r="CL141" s="2"/>
      <c r="CM141" s="2"/>
    </row>
    <row r="142" spans="3:91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2"/>
      <c r="CI142" s="2"/>
      <c r="CJ142" s="2"/>
      <c r="CK142" s="2"/>
      <c r="CL142" s="2"/>
      <c r="CM142" s="2"/>
    </row>
    <row r="143" spans="3:91" x14ac:dyDescent="0.2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2"/>
      <c r="CI143" s="2"/>
      <c r="CJ143" s="2"/>
      <c r="CK143" s="2"/>
      <c r="CL143" s="2"/>
      <c r="CM143" s="2"/>
    </row>
    <row r="144" spans="3:91" x14ac:dyDescent="0.2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2"/>
      <c r="CI144" s="2"/>
      <c r="CJ144" s="2"/>
      <c r="CK144" s="2"/>
      <c r="CL144" s="2"/>
      <c r="CM144" s="2"/>
    </row>
    <row r="145" spans="3:91" x14ac:dyDescent="0.2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2"/>
      <c r="CI145" s="2"/>
      <c r="CJ145" s="2"/>
      <c r="CK145" s="2"/>
      <c r="CL145" s="2"/>
      <c r="CM145" s="2"/>
    </row>
    <row r="146" spans="3:9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2"/>
      <c r="CI146" s="2"/>
      <c r="CJ146" s="2"/>
      <c r="CK146" s="2"/>
      <c r="CL146" s="2"/>
      <c r="CM146" s="2"/>
    </row>
    <row r="147" spans="3:91" x14ac:dyDescent="0.2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2"/>
      <c r="CI147" s="2"/>
      <c r="CJ147" s="2"/>
      <c r="CK147" s="2"/>
      <c r="CL147" s="2"/>
      <c r="CM147" s="2"/>
    </row>
    <row r="148" spans="3:91" x14ac:dyDescent="0.2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2"/>
      <c r="CI148" s="2"/>
      <c r="CJ148" s="2"/>
      <c r="CK148" s="2"/>
      <c r="CL148" s="2"/>
      <c r="CM148" s="2"/>
    </row>
    <row r="149" spans="3:91" x14ac:dyDescent="0.2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2"/>
      <c r="CI149" s="2"/>
      <c r="CJ149" s="2"/>
      <c r="CK149" s="2"/>
      <c r="CL149" s="2"/>
      <c r="CM149" s="2"/>
    </row>
    <row r="150" spans="3:91" x14ac:dyDescent="0.2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2"/>
      <c r="CI150" s="2"/>
      <c r="CJ150" s="2"/>
      <c r="CK150" s="2"/>
      <c r="CL150" s="2"/>
      <c r="CM150" s="2"/>
    </row>
    <row r="151" spans="3:91" x14ac:dyDescent="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2"/>
      <c r="CI151" s="2"/>
      <c r="CJ151" s="2"/>
      <c r="CK151" s="2"/>
      <c r="CL151" s="2"/>
      <c r="CM151" s="2"/>
    </row>
    <row r="152" spans="3:91" x14ac:dyDescent="0.2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2"/>
      <c r="CI152" s="2"/>
      <c r="CJ152" s="2"/>
      <c r="CK152" s="2"/>
      <c r="CL152" s="2"/>
      <c r="CM152" s="2"/>
    </row>
    <row r="153" spans="3:91" x14ac:dyDescent="0.2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2"/>
      <c r="CI153" s="2"/>
      <c r="CJ153" s="2"/>
      <c r="CK153" s="2"/>
      <c r="CL153" s="2"/>
      <c r="CM153" s="2"/>
    </row>
    <row r="154" spans="3:9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2"/>
      <c r="CI154" s="2"/>
      <c r="CJ154" s="2"/>
      <c r="CK154" s="2"/>
      <c r="CL154" s="2"/>
      <c r="CM154" s="2"/>
    </row>
    <row r="155" spans="3:91" x14ac:dyDescent="0.2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2"/>
      <c r="CI155" s="2"/>
      <c r="CJ155" s="2"/>
      <c r="CK155" s="2"/>
      <c r="CL155" s="2"/>
      <c r="CM155" s="2"/>
    </row>
    <row r="156" spans="3:91" x14ac:dyDescent="0.2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2"/>
      <c r="CI156" s="2"/>
      <c r="CJ156" s="2"/>
      <c r="CK156" s="2"/>
      <c r="CL156" s="2"/>
      <c r="CM156" s="2"/>
    </row>
    <row r="157" spans="3:91" x14ac:dyDescent="0.2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2"/>
      <c r="CI157" s="2"/>
      <c r="CJ157" s="2"/>
      <c r="CK157" s="2"/>
      <c r="CL157" s="2"/>
      <c r="CM157" s="2"/>
    </row>
    <row r="158" spans="3:91" x14ac:dyDescent="0.25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2"/>
      <c r="CI158" s="2"/>
      <c r="CJ158" s="2"/>
      <c r="CK158" s="2"/>
      <c r="CL158" s="2"/>
      <c r="CM158" s="2"/>
    </row>
    <row r="159" spans="3:91" x14ac:dyDescent="0.25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2"/>
      <c r="CI159" s="2"/>
      <c r="CJ159" s="2"/>
      <c r="CK159" s="2"/>
      <c r="CL159" s="2"/>
      <c r="CM159" s="2"/>
    </row>
    <row r="160" spans="3:91" x14ac:dyDescent="0.25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2"/>
      <c r="CI160" s="2"/>
      <c r="CJ160" s="2"/>
      <c r="CK160" s="2"/>
      <c r="CL160" s="2"/>
      <c r="CM160" s="2"/>
    </row>
  </sheetData>
  <autoFilter ref="A1:CM118" xr:uid="{0BD3FBD8-6C68-4F1C-9D49-70EE9845EA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BFD2-EED6-41EA-8A1B-40FBFA54CD82}">
  <sheetPr>
    <tabColor theme="1"/>
  </sheetPr>
  <dimension ref="A1:A5"/>
  <sheetViews>
    <sheetView workbookViewId="0"/>
  </sheetViews>
  <sheetFormatPr defaultColWidth="11.42578125" defaultRowHeight="15" x14ac:dyDescent="0.25"/>
  <cols>
    <col min="1" max="1" width="22.28515625" customWidth="1"/>
  </cols>
  <sheetData>
    <row r="1" spans="1:1" x14ac:dyDescent="0.25">
      <c r="A1" s="425" t="s">
        <v>68</v>
      </c>
    </row>
    <row r="2" spans="1:1" x14ac:dyDescent="0.25">
      <c r="A2" s="436" t="s">
        <v>374</v>
      </c>
    </row>
    <row r="3" spans="1:1" x14ac:dyDescent="0.25">
      <c r="A3" s="436" t="s">
        <v>137</v>
      </c>
    </row>
    <row r="4" spans="1:1" x14ac:dyDescent="0.25">
      <c r="A4" s="436" t="s">
        <v>1441</v>
      </c>
    </row>
    <row r="5" spans="1:1" x14ac:dyDescent="0.25">
      <c r="A5" s="436" t="s">
        <v>128</v>
      </c>
    </row>
  </sheetData>
  <autoFilter ref="A1:A5" xr:uid="{C470BFD2-EED6-41EA-8A1B-40FBFA54CD82}">
    <sortState xmlns:xlrd2="http://schemas.microsoft.com/office/spreadsheetml/2017/richdata2" ref="A2:A5">
      <sortCondition ref="A1:A5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1107-8CE4-452B-90C2-740DDFA0D158}">
  <dimension ref="A1:M66"/>
  <sheetViews>
    <sheetView workbookViewId="0">
      <selection activeCell="M58" sqref="M58"/>
    </sheetView>
  </sheetViews>
  <sheetFormatPr defaultColWidth="11.42578125" defaultRowHeight="15" x14ac:dyDescent="0.25"/>
  <sheetData>
    <row r="1" spans="1:7" ht="40.5" x14ac:dyDescent="0.25">
      <c r="A1" s="177" t="s">
        <v>62</v>
      </c>
      <c r="B1" s="177" t="s">
        <v>144</v>
      </c>
      <c r="C1" s="177" t="s">
        <v>67</v>
      </c>
      <c r="D1" s="179" t="s">
        <v>111</v>
      </c>
      <c r="E1" s="179" t="s">
        <v>112</v>
      </c>
      <c r="F1" s="179" t="s">
        <v>113</v>
      </c>
      <c r="G1" s="177" t="s">
        <v>1442</v>
      </c>
    </row>
    <row r="2" spans="1:7" hidden="1" x14ac:dyDescent="0.25">
      <c r="A2" s="160">
        <v>101</v>
      </c>
      <c r="B2" s="160" t="s">
        <v>145</v>
      </c>
      <c r="C2" s="162">
        <v>45374</v>
      </c>
      <c r="D2" s="174">
        <v>1</v>
      </c>
      <c r="E2" s="174">
        <v>23</v>
      </c>
      <c r="F2" s="173">
        <v>1500</v>
      </c>
      <c r="G2" s="173">
        <v>1022.73</v>
      </c>
    </row>
    <row r="3" spans="1:7" hidden="1" x14ac:dyDescent="0.25">
      <c r="A3" s="135">
        <v>102</v>
      </c>
      <c r="B3" s="135" t="s">
        <v>145</v>
      </c>
      <c r="C3" s="138">
        <v>45453</v>
      </c>
      <c r="D3" s="174">
        <v>1</v>
      </c>
      <c r="E3" s="174">
        <v>19</v>
      </c>
      <c r="F3" s="173">
        <v>1500</v>
      </c>
      <c r="G3" s="789">
        <v>1244.44</v>
      </c>
    </row>
    <row r="4" spans="1:7" hidden="1" x14ac:dyDescent="0.25">
      <c r="A4" s="135">
        <v>103</v>
      </c>
      <c r="B4" s="135" t="s">
        <v>145</v>
      </c>
      <c r="C4" s="138">
        <v>45348</v>
      </c>
      <c r="D4" s="174">
        <v>1</v>
      </c>
      <c r="E4" s="174">
        <v>23</v>
      </c>
      <c r="F4" s="173">
        <v>500</v>
      </c>
      <c r="G4" s="789">
        <v>1045.45</v>
      </c>
    </row>
    <row r="5" spans="1:7" hidden="1" x14ac:dyDescent="0.25">
      <c r="A5" s="135">
        <v>104</v>
      </c>
      <c r="B5" s="135" t="s">
        <v>145</v>
      </c>
      <c r="C5" s="138">
        <v>45258</v>
      </c>
      <c r="D5" s="174">
        <v>1</v>
      </c>
      <c r="E5" s="174">
        <v>14</v>
      </c>
      <c r="F5" s="173">
        <v>300</v>
      </c>
      <c r="G5" s="789">
        <v>1815.38</v>
      </c>
    </row>
    <row r="6" spans="1:7" hidden="1" x14ac:dyDescent="0.25">
      <c r="A6" s="135">
        <v>105</v>
      </c>
      <c r="B6" s="135" t="s">
        <v>145</v>
      </c>
      <c r="C6" s="138">
        <v>45201</v>
      </c>
      <c r="D6" s="174">
        <v>1</v>
      </c>
      <c r="E6" s="174">
        <v>22</v>
      </c>
      <c r="F6" s="173">
        <v>1000</v>
      </c>
      <c r="G6" s="789">
        <v>1784.29</v>
      </c>
    </row>
    <row r="7" spans="1:7" hidden="1" x14ac:dyDescent="0.25">
      <c r="A7" s="135">
        <v>108</v>
      </c>
      <c r="B7" s="135" t="s">
        <v>145</v>
      </c>
      <c r="C7" s="138">
        <v>45202</v>
      </c>
      <c r="D7" s="174">
        <v>1</v>
      </c>
      <c r="E7" s="174">
        <v>20</v>
      </c>
      <c r="F7" s="173">
        <v>3230</v>
      </c>
      <c r="G7" s="789">
        <v>2434.7399999999998</v>
      </c>
    </row>
    <row r="8" spans="1:7" hidden="1" x14ac:dyDescent="0.25">
      <c r="A8" s="135">
        <v>109</v>
      </c>
      <c r="B8" s="135" t="s">
        <v>145</v>
      </c>
      <c r="C8" s="138">
        <v>45661</v>
      </c>
      <c r="D8" s="174">
        <v>1</v>
      </c>
      <c r="E8" s="174">
        <v>13</v>
      </c>
      <c r="F8" s="173">
        <v>1500</v>
      </c>
      <c r="G8" s="789">
        <v>1875</v>
      </c>
    </row>
    <row r="9" spans="1:7" hidden="1" x14ac:dyDescent="0.25">
      <c r="A9" s="135">
        <v>201</v>
      </c>
      <c r="B9" s="135" t="s">
        <v>145</v>
      </c>
      <c r="C9" s="138">
        <v>45389</v>
      </c>
      <c r="D9" s="174">
        <v>1</v>
      </c>
      <c r="E9" s="174">
        <v>23</v>
      </c>
      <c r="F9" s="173">
        <v>1000</v>
      </c>
      <c r="G9" s="789">
        <v>1045.45</v>
      </c>
    </row>
    <row r="10" spans="1:7" hidden="1" x14ac:dyDescent="0.25">
      <c r="A10" s="135">
        <v>202</v>
      </c>
      <c r="B10" s="135" t="s">
        <v>145</v>
      </c>
      <c r="C10" s="138">
        <v>45257</v>
      </c>
      <c r="D10" s="174">
        <v>1</v>
      </c>
      <c r="E10" s="174">
        <v>23</v>
      </c>
      <c r="F10" s="173">
        <v>500</v>
      </c>
      <c r="G10" s="789">
        <v>2240.91</v>
      </c>
    </row>
    <row r="11" spans="1:7" hidden="1" x14ac:dyDescent="0.25">
      <c r="A11" s="135">
        <v>203</v>
      </c>
      <c r="B11" s="135" t="s">
        <v>145</v>
      </c>
      <c r="C11" s="138">
        <v>45479</v>
      </c>
      <c r="D11" s="174">
        <v>1</v>
      </c>
      <c r="E11" s="174">
        <v>17</v>
      </c>
      <c r="F11" s="173">
        <v>1500</v>
      </c>
      <c r="G11" s="789">
        <v>1323.53</v>
      </c>
    </row>
    <row r="12" spans="1:7" hidden="1" x14ac:dyDescent="0.25">
      <c r="A12" s="287">
        <v>204</v>
      </c>
      <c r="B12" s="135" t="s">
        <v>145</v>
      </c>
      <c r="C12" s="138">
        <v>45479</v>
      </c>
      <c r="D12" s="174">
        <v>1</v>
      </c>
      <c r="E12" s="174">
        <v>17</v>
      </c>
      <c r="F12" s="173">
        <v>1500</v>
      </c>
      <c r="G12" s="789">
        <v>1323.53</v>
      </c>
    </row>
    <row r="13" spans="1:7" hidden="1" x14ac:dyDescent="0.25">
      <c r="A13" s="135">
        <v>205</v>
      </c>
      <c r="B13" s="135" t="s">
        <v>145</v>
      </c>
      <c r="C13" s="138">
        <v>45239</v>
      </c>
      <c r="D13" s="174">
        <v>1</v>
      </c>
      <c r="E13" s="174">
        <v>23</v>
      </c>
      <c r="F13" s="173">
        <v>1000</v>
      </c>
      <c r="G13" s="789">
        <v>1704.55</v>
      </c>
    </row>
    <row r="14" spans="1:7" hidden="1" x14ac:dyDescent="0.25">
      <c r="A14" s="135">
        <v>207</v>
      </c>
      <c r="B14" s="135" t="s">
        <v>145</v>
      </c>
      <c r="C14" s="138">
        <v>45224</v>
      </c>
      <c r="D14" s="174">
        <v>1</v>
      </c>
      <c r="E14" s="174">
        <v>23</v>
      </c>
      <c r="F14" s="173">
        <v>500</v>
      </c>
      <c r="G14" s="789">
        <v>2374.5</v>
      </c>
    </row>
    <row r="15" spans="1:7" hidden="1" x14ac:dyDescent="0.25">
      <c r="A15" s="135">
        <v>209</v>
      </c>
      <c r="B15" s="135" t="s">
        <v>145</v>
      </c>
      <c r="C15" s="138">
        <v>45579</v>
      </c>
      <c r="D15" s="174">
        <v>1</v>
      </c>
      <c r="E15" s="174">
        <v>15</v>
      </c>
      <c r="F15" s="173">
        <v>500</v>
      </c>
      <c r="G15" s="789">
        <v>1671.43</v>
      </c>
    </row>
    <row r="16" spans="1:7" hidden="1" x14ac:dyDescent="0.25">
      <c r="A16" s="247">
        <v>210</v>
      </c>
      <c r="B16" s="135" t="s">
        <v>145</v>
      </c>
      <c r="C16" s="138">
        <v>45569</v>
      </c>
      <c r="D16" s="174">
        <v>1</v>
      </c>
      <c r="E16" s="174">
        <v>16</v>
      </c>
      <c r="F16" s="173">
        <v>1500</v>
      </c>
      <c r="G16" s="789">
        <v>1493.33</v>
      </c>
    </row>
    <row r="17" spans="1:7" hidden="1" x14ac:dyDescent="0.25">
      <c r="A17" s="231">
        <v>301</v>
      </c>
      <c r="B17" s="135" t="s">
        <v>145</v>
      </c>
      <c r="C17" s="138">
        <v>45807</v>
      </c>
      <c r="D17" s="174">
        <v>1</v>
      </c>
      <c r="E17" s="174">
        <v>16</v>
      </c>
      <c r="F17" s="173">
        <v>1500</v>
      </c>
      <c r="G17" s="789">
        <v>1493.38</v>
      </c>
    </row>
    <row r="18" spans="1:7" hidden="1" x14ac:dyDescent="0.25">
      <c r="A18" s="231">
        <v>302</v>
      </c>
      <c r="B18" s="135" t="s">
        <v>145</v>
      </c>
      <c r="C18" s="138">
        <v>45803</v>
      </c>
      <c r="D18" s="174">
        <v>1</v>
      </c>
      <c r="E18" s="174">
        <v>17</v>
      </c>
      <c r="F18" s="173">
        <v>1500</v>
      </c>
      <c r="G18" s="789">
        <v>1400</v>
      </c>
    </row>
    <row r="19" spans="1:7" hidden="1" x14ac:dyDescent="0.25">
      <c r="A19" s="135">
        <v>303</v>
      </c>
      <c r="B19" s="135" t="s">
        <v>145</v>
      </c>
      <c r="C19" s="138">
        <v>45635</v>
      </c>
      <c r="D19" s="174">
        <v>1</v>
      </c>
      <c r="E19" s="174">
        <v>14</v>
      </c>
      <c r="F19" s="173">
        <v>1500</v>
      </c>
      <c r="G19" s="789">
        <v>1723.08</v>
      </c>
    </row>
    <row r="20" spans="1:7" hidden="1" x14ac:dyDescent="0.25">
      <c r="A20" s="135">
        <v>304</v>
      </c>
      <c r="B20" s="231" t="s">
        <v>145</v>
      </c>
      <c r="C20" s="138">
        <v>45565</v>
      </c>
      <c r="D20" s="174">
        <v>1</v>
      </c>
      <c r="E20" s="174">
        <v>16</v>
      </c>
      <c r="F20" s="173">
        <v>1500</v>
      </c>
      <c r="G20" s="789">
        <v>1493.33</v>
      </c>
    </row>
    <row r="21" spans="1:7" hidden="1" x14ac:dyDescent="0.25">
      <c r="A21" s="231">
        <v>305</v>
      </c>
      <c r="B21" s="135" t="s">
        <v>145</v>
      </c>
      <c r="C21" s="138">
        <v>45814</v>
      </c>
      <c r="D21" s="174">
        <v>0</v>
      </c>
      <c r="E21" s="174">
        <v>0</v>
      </c>
      <c r="F21" s="173">
        <v>1500</v>
      </c>
      <c r="G21" s="789">
        <v>2</v>
      </c>
    </row>
    <row r="22" spans="1:7" hidden="1" x14ac:dyDescent="0.25">
      <c r="A22" s="280">
        <v>306</v>
      </c>
      <c r="B22" s="135" t="s">
        <v>145</v>
      </c>
      <c r="C22" s="282">
        <v>45830</v>
      </c>
      <c r="D22" s="174">
        <v>0</v>
      </c>
      <c r="E22" s="174">
        <v>0</v>
      </c>
      <c r="F22" s="173">
        <v>3000</v>
      </c>
      <c r="G22" s="789">
        <v>0</v>
      </c>
    </row>
    <row r="23" spans="1:7" hidden="1" x14ac:dyDescent="0.25">
      <c r="A23" s="135">
        <v>308</v>
      </c>
      <c r="B23" s="135" t="s">
        <v>145</v>
      </c>
      <c r="C23" s="138">
        <v>45390</v>
      </c>
      <c r="D23" s="174">
        <v>1</v>
      </c>
      <c r="E23" s="174">
        <v>21</v>
      </c>
      <c r="F23" s="173">
        <v>1500</v>
      </c>
      <c r="G23" s="789">
        <v>1125</v>
      </c>
    </row>
    <row r="24" spans="1:7" hidden="1" x14ac:dyDescent="0.25">
      <c r="A24" s="280">
        <v>309</v>
      </c>
      <c r="B24" s="135" t="s">
        <v>145</v>
      </c>
      <c r="C24" s="282">
        <v>45833</v>
      </c>
      <c r="D24" s="174">
        <v>0</v>
      </c>
      <c r="E24" s="174">
        <v>0</v>
      </c>
      <c r="F24" s="173">
        <v>3000</v>
      </c>
      <c r="G24" s="789">
        <v>0</v>
      </c>
    </row>
    <row r="25" spans="1:7" hidden="1" x14ac:dyDescent="0.25">
      <c r="A25" s="135">
        <v>401</v>
      </c>
      <c r="B25" s="135" t="s">
        <v>145</v>
      </c>
      <c r="C25" s="138">
        <v>45262</v>
      </c>
      <c r="D25" s="174">
        <v>1</v>
      </c>
      <c r="E25" s="174">
        <v>23</v>
      </c>
      <c r="F25" s="173">
        <v>500</v>
      </c>
      <c r="G25" s="789">
        <v>2333.33</v>
      </c>
    </row>
    <row r="26" spans="1:7" hidden="1" x14ac:dyDescent="0.25">
      <c r="A26" s="135">
        <v>402</v>
      </c>
      <c r="B26" s="135" t="s">
        <v>145</v>
      </c>
      <c r="C26" s="138"/>
      <c r="D26" s="174">
        <v>1</v>
      </c>
      <c r="E26" s="174">
        <v>14</v>
      </c>
      <c r="F26" s="173">
        <v>500</v>
      </c>
      <c r="G26" s="789">
        <v>1800</v>
      </c>
    </row>
    <row r="27" spans="1:7" hidden="1" x14ac:dyDescent="0.25">
      <c r="A27" s="135">
        <v>403</v>
      </c>
      <c r="B27" s="135" t="s">
        <v>145</v>
      </c>
      <c r="C27" s="138">
        <v>45426</v>
      </c>
      <c r="D27" s="174">
        <v>1</v>
      </c>
      <c r="E27" s="174">
        <v>20</v>
      </c>
      <c r="F27" s="173">
        <v>1500</v>
      </c>
      <c r="G27" s="789">
        <v>1178.95</v>
      </c>
    </row>
    <row r="28" spans="1:7" hidden="1" x14ac:dyDescent="0.25">
      <c r="A28" s="247">
        <v>405</v>
      </c>
      <c r="B28" s="247" t="s">
        <v>145</v>
      </c>
      <c r="C28" s="274">
        <v>45838</v>
      </c>
      <c r="D28" s="210">
        <v>1</v>
      </c>
      <c r="E28" s="210">
        <v>17</v>
      </c>
      <c r="F28" s="211">
        <v>1500</v>
      </c>
      <c r="G28" s="211">
        <v>1062.5</v>
      </c>
    </row>
    <row r="29" spans="1:7" hidden="1" x14ac:dyDescent="0.25">
      <c r="A29" s="231">
        <v>407</v>
      </c>
      <c r="B29" s="135" t="s">
        <v>145</v>
      </c>
      <c r="C29" s="138">
        <v>45787</v>
      </c>
      <c r="D29" s="174">
        <v>1</v>
      </c>
      <c r="E29" s="174">
        <v>13</v>
      </c>
      <c r="F29" s="173">
        <v>1500</v>
      </c>
      <c r="G29" s="789">
        <v>1866.67</v>
      </c>
    </row>
    <row r="30" spans="1:7" hidden="1" x14ac:dyDescent="0.25">
      <c r="A30" s="135">
        <v>409</v>
      </c>
      <c r="B30" s="135" t="s">
        <v>145</v>
      </c>
      <c r="C30" s="138">
        <v>45747</v>
      </c>
      <c r="D30" s="174">
        <v>1</v>
      </c>
      <c r="E30" s="174">
        <v>16</v>
      </c>
      <c r="F30" s="173">
        <v>1500</v>
      </c>
      <c r="G30" s="789">
        <v>1493.33</v>
      </c>
    </row>
    <row r="31" spans="1:7" hidden="1" x14ac:dyDescent="0.25">
      <c r="A31" s="135">
        <v>410</v>
      </c>
      <c r="B31" s="135" t="s">
        <v>145</v>
      </c>
      <c r="C31" s="138">
        <v>45368</v>
      </c>
      <c r="D31" s="174">
        <v>1</v>
      </c>
      <c r="E31" s="174">
        <v>22</v>
      </c>
      <c r="F31" s="173">
        <v>1000</v>
      </c>
      <c r="G31" s="789">
        <v>1095.24</v>
      </c>
    </row>
    <row r="32" spans="1:7" hidden="1" x14ac:dyDescent="0.25">
      <c r="A32" s="135">
        <v>502</v>
      </c>
      <c r="B32" s="135" t="s">
        <v>145</v>
      </c>
      <c r="C32" s="138">
        <v>45270</v>
      </c>
      <c r="D32" s="174">
        <v>1</v>
      </c>
      <c r="E32" s="174">
        <v>23</v>
      </c>
      <c r="F32" s="173">
        <v>1000</v>
      </c>
      <c r="G32" s="789">
        <v>2323.81</v>
      </c>
    </row>
    <row r="33" spans="1:8" hidden="1" x14ac:dyDescent="0.25">
      <c r="A33" s="135">
        <v>503</v>
      </c>
      <c r="B33" s="135" t="s">
        <v>145</v>
      </c>
      <c r="C33" s="138">
        <v>45835</v>
      </c>
      <c r="D33" s="174">
        <v>1</v>
      </c>
      <c r="E33" s="174">
        <v>17</v>
      </c>
      <c r="F33" s="173">
        <v>1500</v>
      </c>
      <c r="G33" s="789">
        <v>1400</v>
      </c>
    </row>
    <row r="34" spans="1:8" hidden="1" x14ac:dyDescent="0.25">
      <c r="A34" s="135">
        <v>504</v>
      </c>
      <c r="B34" s="135" t="s">
        <v>145</v>
      </c>
      <c r="C34" s="138">
        <v>45836</v>
      </c>
      <c r="D34" s="174">
        <v>1</v>
      </c>
      <c r="E34" s="174">
        <v>17</v>
      </c>
      <c r="F34" s="173">
        <v>1500</v>
      </c>
      <c r="G34" s="789">
        <v>1400</v>
      </c>
    </row>
    <row r="35" spans="1:8" hidden="1" x14ac:dyDescent="0.25">
      <c r="A35" s="281">
        <v>505</v>
      </c>
      <c r="B35" s="135" t="s">
        <v>145</v>
      </c>
      <c r="C35" s="138">
        <v>45693</v>
      </c>
      <c r="D35" s="174">
        <v>1</v>
      </c>
      <c r="E35" s="174">
        <v>17</v>
      </c>
      <c r="F35" s="173">
        <v>1500</v>
      </c>
      <c r="G35" s="789">
        <v>1062.5</v>
      </c>
    </row>
    <row r="36" spans="1:8" hidden="1" x14ac:dyDescent="0.25">
      <c r="A36" s="281">
        <v>507</v>
      </c>
      <c r="B36" s="135" t="s">
        <v>145</v>
      </c>
      <c r="C36" s="138">
        <v>45836</v>
      </c>
      <c r="D36" s="174">
        <v>1</v>
      </c>
      <c r="E36" s="174">
        <v>17</v>
      </c>
      <c r="F36" s="173">
        <v>1500</v>
      </c>
      <c r="G36" s="789">
        <v>1400</v>
      </c>
    </row>
    <row r="37" spans="1:8" hidden="1" x14ac:dyDescent="0.25">
      <c r="A37" s="135">
        <v>508</v>
      </c>
      <c r="B37" s="135" t="s">
        <v>145</v>
      </c>
      <c r="C37" s="138">
        <v>45836</v>
      </c>
      <c r="D37" s="174">
        <v>1</v>
      </c>
      <c r="E37" s="174">
        <v>17</v>
      </c>
      <c r="F37" s="173">
        <v>1500</v>
      </c>
      <c r="G37" s="789">
        <v>1400</v>
      </c>
    </row>
    <row r="38" spans="1:8" hidden="1" x14ac:dyDescent="0.25">
      <c r="A38" s="135">
        <v>510</v>
      </c>
      <c r="B38" s="135" t="s">
        <v>145</v>
      </c>
      <c r="C38" s="138">
        <v>45511</v>
      </c>
      <c r="D38" s="174">
        <v>1</v>
      </c>
      <c r="E38" s="174">
        <v>17</v>
      </c>
      <c r="F38" s="173">
        <v>500</v>
      </c>
      <c r="G38" s="789">
        <v>1462.5</v>
      </c>
    </row>
    <row r="39" spans="1:8" hidden="1" x14ac:dyDescent="0.25">
      <c r="A39" s="135">
        <v>601</v>
      </c>
      <c r="B39" s="135" t="s">
        <v>145</v>
      </c>
      <c r="C39" s="138">
        <v>45407</v>
      </c>
      <c r="D39" s="174">
        <v>1</v>
      </c>
      <c r="E39" s="174">
        <v>21</v>
      </c>
      <c r="F39" s="173">
        <v>1500</v>
      </c>
      <c r="G39" s="789">
        <v>1229.5</v>
      </c>
    </row>
    <row r="40" spans="1:8" hidden="1" x14ac:dyDescent="0.25">
      <c r="A40" s="135">
        <v>602</v>
      </c>
      <c r="B40" s="135" t="s">
        <v>145</v>
      </c>
      <c r="C40" s="138">
        <v>45257</v>
      </c>
      <c r="D40" s="174">
        <v>1</v>
      </c>
      <c r="E40" s="174">
        <v>23</v>
      </c>
      <c r="F40" s="173">
        <v>500</v>
      </c>
      <c r="G40" s="789">
        <v>2436.84</v>
      </c>
    </row>
    <row r="41" spans="1:8" hidden="1" x14ac:dyDescent="0.25">
      <c r="A41" s="135">
        <v>604</v>
      </c>
      <c r="B41" s="135" t="s">
        <v>145</v>
      </c>
      <c r="C41" s="138">
        <v>45837</v>
      </c>
      <c r="D41" s="174">
        <v>1</v>
      </c>
      <c r="E41" s="174">
        <v>17</v>
      </c>
      <c r="F41" s="173">
        <v>1500</v>
      </c>
      <c r="G41" s="789">
        <v>1400</v>
      </c>
    </row>
    <row r="42" spans="1:8" hidden="1" x14ac:dyDescent="0.25">
      <c r="A42" s="278">
        <v>606</v>
      </c>
      <c r="B42" s="135" t="s">
        <v>145</v>
      </c>
      <c r="C42" s="138">
        <v>45838</v>
      </c>
      <c r="D42" s="174">
        <v>1</v>
      </c>
      <c r="E42" s="174">
        <v>17</v>
      </c>
      <c r="F42" s="173">
        <v>1500</v>
      </c>
      <c r="G42" s="789">
        <v>1400</v>
      </c>
    </row>
    <row r="43" spans="1:8" hidden="1" x14ac:dyDescent="0.25">
      <c r="A43" s="135">
        <v>607</v>
      </c>
      <c r="B43" s="135" t="s">
        <v>145</v>
      </c>
      <c r="C43" s="138">
        <v>45419</v>
      </c>
      <c r="D43" s="174">
        <v>1</v>
      </c>
      <c r="E43" s="174">
        <v>20</v>
      </c>
      <c r="F43" s="173">
        <v>1500</v>
      </c>
      <c r="G43" s="789">
        <v>894.74</v>
      </c>
    </row>
    <row r="44" spans="1:8" hidden="1" x14ac:dyDescent="0.25">
      <c r="A44" s="135">
        <v>608</v>
      </c>
      <c r="B44" s="135" t="s">
        <v>145</v>
      </c>
      <c r="C44" s="138">
        <v>45410</v>
      </c>
      <c r="D44" s="174">
        <v>1</v>
      </c>
      <c r="E44" s="174">
        <v>21</v>
      </c>
      <c r="F44" s="173">
        <v>1500</v>
      </c>
      <c r="G44" s="789">
        <v>1125</v>
      </c>
    </row>
    <row r="45" spans="1:8" hidden="1" x14ac:dyDescent="0.25">
      <c r="A45" s="135">
        <v>610</v>
      </c>
      <c r="B45" s="135" t="s">
        <v>145</v>
      </c>
      <c r="C45" s="138">
        <v>45349</v>
      </c>
      <c r="D45" s="174">
        <v>1</v>
      </c>
      <c r="E45" s="174">
        <v>23</v>
      </c>
      <c r="F45" s="173">
        <v>1000</v>
      </c>
      <c r="G45" s="789">
        <v>1045.45</v>
      </c>
    </row>
    <row r="46" spans="1:8" hidden="1" x14ac:dyDescent="0.25">
      <c r="A46" s="281">
        <v>104</v>
      </c>
      <c r="B46" s="281" t="s">
        <v>146</v>
      </c>
      <c r="C46" s="282">
        <v>45858</v>
      </c>
      <c r="D46" s="174">
        <v>0</v>
      </c>
      <c r="E46" s="174">
        <v>0</v>
      </c>
      <c r="F46" s="173"/>
      <c r="G46" s="789"/>
      <c r="H46" t="s">
        <v>1443</v>
      </c>
    </row>
    <row r="47" spans="1:8" hidden="1" x14ac:dyDescent="0.25">
      <c r="A47" s="135">
        <v>106</v>
      </c>
      <c r="B47" s="135" t="s">
        <v>146</v>
      </c>
      <c r="C47" s="138">
        <v>45354</v>
      </c>
      <c r="D47" s="174">
        <v>1</v>
      </c>
      <c r="E47" s="174">
        <v>22</v>
      </c>
      <c r="F47" s="173">
        <v>1000</v>
      </c>
      <c r="G47" s="789">
        <v>2228.5700000000002</v>
      </c>
    </row>
    <row r="48" spans="1:8" hidden="1" x14ac:dyDescent="0.25">
      <c r="A48" s="135">
        <v>206</v>
      </c>
      <c r="B48" s="135" t="s">
        <v>146</v>
      </c>
      <c r="C48" s="138">
        <v>45430</v>
      </c>
      <c r="D48" s="174">
        <v>1</v>
      </c>
      <c r="E48" s="174">
        <v>20</v>
      </c>
      <c r="F48" s="173">
        <v>1500</v>
      </c>
      <c r="G48" s="789">
        <v>1184.21</v>
      </c>
    </row>
    <row r="49" spans="1:13" hidden="1" x14ac:dyDescent="0.25">
      <c r="A49" s="286">
        <v>213</v>
      </c>
      <c r="B49" s="287" t="s">
        <v>916</v>
      </c>
      <c r="C49" s="138">
        <v>45372</v>
      </c>
      <c r="D49" s="174">
        <v>1</v>
      </c>
      <c r="E49" s="174">
        <v>20</v>
      </c>
      <c r="F49" s="173">
        <v>1000</v>
      </c>
      <c r="G49" s="789">
        <v>1210.53</v>
      </c>
    </row>
    <row r="50" spans="1:13" hidden="1" x14ac:dyDescent="0.25">
      <c r="A50" s="135">
        <v>305</v>
      </c>
      <c r="B50" s="135" t="s">
        <v>146</v>
      </c>
      <c r="C50" s="289">
        <v>45853</v>
      </c>
      <c r="D50" s="174">
        <v>1</v>
      </c>
      <c r="E50" s="174">
        <v>19</v>
      </c>
      <c r="F50" s="173">
        <v>1500</v>
      </c>
      <c r="G50" s="789">
        <v>1272.22</v>
      </c>
      <c r="H50" t="s">
        <v>1443</v>
      </c>
    </row>
    <row r="51" spans="1:13" hidden="1" x14ac:dyDescent="0.25">
      <c r="A51" s="287">
        <v>306</v>
      </c>
      <c r="B51" s="287" t="s">
        <v>916</v>
      </c>
      <c r="C51" s="138">
        <v>45767</v>
      </c>
      <c r="D51" s="174">
        <v>0</v>
      </c>
      <c r="E51" s="174">
        <v>1</v>
      </c>
      <c r="F51" s="173">
        <v>5000</v>
      </c>
      <c r="G51" s="789">
        <v>43242</v>
      </c>
    </row>
    <row r="52" spans="1:13" hidden="1" x14ac:dyDescent="0.25">
      <c r="A52" s="281">
        <v>308</v>
      </c>
      <c r="B52" s="281" t="s">
        <v>146</v>
      </c>
      <c r="C52" s="282">
        <v>45844</v>
      </c>
      <c r="D52" s="174">
        <v>1</v>
      </c>
      <c r="E52" s="174">
        <v>19</v>
      </c>
      <c r="F52" s="173">
        <v>1500</v>
      </c>
      <c r="G52" s="789">
        <v>1272.22</v>
      </c>
    </row>
    <row r="53" spans="1:13" hidden="1" x14ac:dyDescent="0.25">
      <c r="A53" s="135">
        <v>311</v>
      </c>
      <c r="B53" s="135" t="s">
        <v>146</v>
      </c>
      <c r="C53" s="138">
        <v>45427</v>
      </c>
      <c r="D53" s="174">
        <v>1</v>
      </c>
      <c r="E53" s="174">
        <v>12</v>
      </c>
      <c r="F53" s="173">
        <v>1500</v>
      </c>
      <c r="G53" s="789">
        <v>1178.95</v>
      </c>
    </row>
    <row r="54" spans="1:13" x14ac:dyDescent="0.25">
      <c r="A54" s="281">
        <v>312</v>
      </c>
      <c r="B54" s="281" t="s">
        <v>146</v>
      </c>
      <c r="C54" s="282">
        <v>45869</v>
      </c>
      <c r="D54" s="174">
        <v>0</v>
      </c>
      <c r="E54" s="174">
        <v>0</v>
      </c>
      <c r="F54" s="173">
        <v>3000</v>
      </c>
      <c r="G54" s="789">
        <v>0</v>
      </c>
      <c r="H54" t="s">
        <v>1444</v>
      </c>
      <c r="M54" t="s">
        <v>1445</v>
      </c>
    </row>
    <row r="55" spans="1:13" x14ac:dyDescent="0.25">
      <c r="A55" s="281">
        <v>313</v>
      </c>
      <c r="B55" s="281" t="s">
        <v>916</v>
      </c>
      <c r="C55" s="282">
        <v>45869</v>
      </c>
      <c r="D55" s="174">
        <v>0</v>
      </c>
      <c r="E55" s="174">
        <v>0</v>
      </c>
      <c r="F55" s="173"/>
      <c r="G55" s="789">
        <v>0</v>
      </c>
      <c r="H55" t="s">
        <v>1444</v>
      </c>
      <c r="M55" t="s">
        <v>1445</v>
      </c>
    </row>
    <row r="56" spans="1:13" hidden="1" x14ac:dyDescent="0.25">
      <c r="A56" s="135">
        <v>405</v>
      </c>
      <c r="B56" s="135" t="s">
        <v>146</v>
      </c>
      <c r="C56" s="138">
        <v>45626</v>
      </c>
      <c r="D56" s="174">
        <v>1</v>
      </c>
      <c r="E56" s="174">
        <v>14</v>
      </c>
      <c r="F56" s="173"/>
      <c r="G56" s="789"/>
      <c r="H56" t="s">
        <v>1443</v>
      </c>
    </row>
    <row r="57" spans="1:13" hidden="1" x14ac:dyDescent="0.25">
      <c r="A57" s="281">
        <v>409</v>
      </c>
      <c r="B57" s="281" t="s">
        <v>146</v>
      </c>
      <c r="C57" s="282">
        <v>45841</v>
      </c>
      <c r="D57" s="174">
        <v>1</v>
      </c>
      <c r="E57" s="174">
        <v>17</v>
      </c>
      <c r="F57" s="173">
        <v>1500</v>
      </c>
      <c r="G57" s="789">
        <v>1400</v>
      </c>
    </row>
    <row r="58" spans="1:13" x14ac:dyDescent="0.25">
      <c r="A58" s="281">
        <v>411</v>
      </c>
      <c r="B58" s="281" t="s">
        <v>146</v>
      </c>
      <c r="C58" s="282">
        <v>45858</v>
      </c>
      <c r="D58" s="174">
        <v>0</v>
      </c>
      <c r="E58" s="174">
        <v>0</v>
      </c>
      <c r="F58" s="173"/>
      <c r="G58" s="789">
        <v>0</v>
      </c>
      <c r="H58" t="s">
        <v>1444</v>
      </c>
      <c r="M58" t="s">
        <v>1445</v>
      </c>
    </row>
    <row r="59" spans="1:13" x14ac:dyDescent="0.25">
      <c r="A59" s="135">
        <v>501</v>
      </c>
      <c r="B59" s="135" t="s">
        <v>146</v>
      </c>
      <c r="C59" s="138">
        <v>45836</v>
      </c>
      <c r="D59" s="174">
        <v>0</v>
      </c>
      <c r="E59" s="174">
        <v>0</v>
      </c>
      <c r="F59" s="173"/>
      <c r="G59" s="789">
        <v>0</v>
      </c>
      <c r="H59" t="s">
        <v>1446</v>
      </c>
      <c r="M59" t="s">
        <v>1447</v>
      </c>
    </row>
    <row r="60" spans="1:13" x14ac:dyDescent="0.25">
      <c r="A60" s="281">
        <v>501</v>
      </c>
      <c r="B60" s="281" t="s">
        <v>146</v>
      </c>
      <c r="C60" s="282">
        <v>45851</v>
      </c>
      <c r="D60" s="174">
        <v>1</v>
      </c>
      <c r="E60" s="174">
        <v>19</v>
      </c>
      <c r="F60" s="173">
        <v>1500</v>
      </c>
      <c r="G60" s="789">
        <v>1272.22</v>
      </c>
      <c r="H60" t="s">
        <v>1448</v>
      </c>
      <c r="M60" t="s">
        <v>1445</v>
      </c>
    </row>
    <row r="61" spans="1:13" hidden="1" x14ac:dyDescent="0.25">
      <c r="A61" s="281">
        <v>508</v>
      </c>
      <c r="B61" s="281" t="s">
        <v>146</v>
      </c>
      <c r="C61" s="282">
        <v>45850</v>
      </c>
      <c r="D61" s="174">
        <v>1</v>
      </c>
      <c r="E61" s="174">
        <v>19</v>
      </c>
      <c r="F61" s="173">
        <v>1500</v>
      </c>
      <c r="G61" s="789">
        <v>1272.22</v>
      </c>
    </row>
    <row r="62" spans="1:13" x14ac:dyDescent="0.25">
      <c r="A62" s="281">
        <v>601</v>
      </c>
      <c r="B62" s="281" t="s">
        <v>146</v>
      </c>
      <c r="C62" s="282">
        <v>45864</v>
      </c>
      <c r="D62" s="174">
        <v>0</v>
      </c>
      <c r="E62" s="174">
        <v>0</v>
      </c>
      <c r="F62" s="173"/>
      <c r="G62" s="789">
        <v>0</v>
      </c>
      <c r="H62" t="s">
        <v>1444</v>
      </c>
      <c r="M62" t="s">
        <v>1445</v>
      </c>
    </row>
    <row r="63" spans="1:13" hidden="1" x14ac:dyDescent="0.25">
      <c r="A63" s="281">
        <v>604</v>
      </c>
      <c r="B63" s="281" t="s">
        <v>146</v>
      </c>
      <c r="C63" s="282">
        <v>45843</v>
      </c>
      <c r="D63" s="174"/>
      <c r="E63" s="174"/>
      <c r="F63" s="173"/>
      <c r="G63" s="789"/>
    </row>
    <row r="64" spans="1:13" hidden="1" x14ac:dyDescent="0.25">
      <c r="A64" s="247">
        <v>606</v>
      </c>
      <c r="B64" s="135" t="s">
        <v>146</v>
      </c>
      <c r="C64" s="138">
        <v>45442</v>
      </c>
      <c r="D64" s="174">
        <v>1</v>
      </c>
      <c r="E64" s="174">
        <v>20</v>
      </c>
      <c r="F64" s="173">
        <v>1500</v>
      </c>
      <c r="G64" s="789">
        <v>1184.21</v>
      </c>
    </row>
    <row r="65" spans="1:7" hidden="1" x14ac:dyDescent="0.25">
      <c r="A65" s="135">
        <v>613</v>
      </c>
      <c r="B65" s="135" t="s">
        <v>146</v>
      </c>
      <c r="C65" s="138">
        <v>45340</v>
      </c>
      <c r="D65" s="174">
        <v>1</v>
      </c>
      <c r="E65" s="174">
        <v>23</v>
      </c>
      <c r="F65" s="173">
        <v>1000</v>
      </c>
      <c r="G65" s="789">
        <v>1045.45</v>
      </c>
    </row>
    <row r="66" spans="1:7" x14ac:dyDescent="0.25">
      <c r="A66" s="288" t="s">
        <v>981</v>
      </c>
      <c r="B66" s="135"/>
      <c r="C66" s="138">
        <v>45511</v>
      </c>
      <c r="D66" s="174">
        <v>1</v>
      </c>
      <c r="E66" s="174">
        <v>17</v>
      </c>
      <c r="F66" s="173">
        <v>500</v>
      </c>
      <c r="G66" s="789">
        <v>1462.5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RESUMEN</vt:lpstr>
      <vt:lpstr>Detalle2</vt:lpstr>
      <vt:lpstr>Detalle3</vt:lpstr>
      <vt:lpstr>ALERTA (B5)</vt:lpstr>
      <vt:lpstr>Detalle1</vt:lpstr>
      <vt:lpstr>ALERTA BEN</vt:lpstr>
      <vt:lpstr>ALERTA BLT</vt:lpstr>
      <vt:lpstr>SANTA ELISA</vt:lpstr>
      <vt:lpstr>SANTA ELISA PPTO</vt:lpstr>
      <vt:lpstr>ANÁLISIS</vt:lpstr>
      <vt:lpstr>BOULEVARD 5</vt:lpstr>
      <vt:lpstr>Dep. por confirmar</vt:lpstr>
      <vt:lpstr>B5-Status cobranza</vt:lpstr>
      <vt:lpstr>B5-2</vt:lpstr>
      <vt:lpstr>B5</vt:lpstr>
      <vt:lpstr>BOULEVARD PPTO</vt:lpstr>
      <vt:lpstr>status1B5</vt:lpstr>
      <vt:lpstr>status2B5</vt:lpstr>
      <vt:lpstr>BENES</vt:lpstr>
      <vt:lpstr>BOULEVARD 5 orig.</vt:lpstr>
      <vt:lpstr>BENESTARE </vt:lpstr>
      <vt:lpstr>BENESTARE PPTO</vt:lpstr>
      <vt:lpstr>BL-TAPIAS</vt:lpstr>
      <vt:lpstr>BL PPTO</vt:lpstr>
      <vt:lpstr>Info</vt:lpstr>
      <vt:lpstr>PEND. BTARE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Sagastume</dc:creator>
  <cp:keywords/>
  <dc:description/>
  <cp:lastModifiedBy>Leonel Molina</cp:lastModifiedBy>
  <cp:revision/>
  <dcterms:created xsi:type="dcterms:W3CDTF">2025-03-06T00:00:58Z</dcterms:created>
  <dcterms:modified xsi:type="dcterms:W3CDTF">2026-02-02T15:31:04Z</dcterms:modified>
  <cp:category/>
  <cp:contentStatus/>
</cp:coreProperties>
</file>